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 sheetId="1" r:id="rId5"/>
    <sheet state="visible" name="Leaving Soon" sheetId="2" r:id="rId6"/>
    <sheet state="visible" name="Monthly" sheetId="3" r:id="rId7"/>
    <sheet state="visible" name="Extra" sheetId="4" r:id="rId8"/>
    <sheet state="visible" name="Removed" sheetId="5" r:id="rId9"/>
    <sheet state="visible" name="Likely Leaving" sheetId="6" r:id="rId10"/>
    <sheet state="visible" name="Premium" sheetId="7" r:id="rId11"/>
    <sheet state="visible" name="VR" sheetId="8" r:id="rId12"/>
    <sheet state="visible" name="Suggestions" sheetId="9" r:id="rId13"/>
    <sheet state="visible" name="Classics" sheetId="10" r:id="rId14"/>
    <sheet state="visible" name="Remasters" sheetId="11" r:id="rId15"/>
    <sheet state="visible" name="PS5 Download" sheetId="12" r:id="rId16"/>
    <sheet state="visible" name="PS4 Download" sheetId="13" r:id="rId17"/>
    <sheet state="visible" name="PS3 - Streaming Only" sheetId="14" r:id="rId18"/>
    <sheet state="visible" name="Cloud Streaming" sheetId="15" r:id="rId19"/>
    <sheet state="visible" name="MISSING PC Streaming" sheetId="16" r:id="rId20"/>
    <sheet state="visible" name="Vita Monthly" sheetId="17" r:id="rId21"/>
  </sheets>
  <definedNames>
    <definedName localSheetId="12" name="red">'PS4 Download'!$A$1</definedName>
    <definedName localSheetId="11" name="gris">#REF!</definedName>
    <definedName localSheetId="13" name="gris">#REF!</definedName>
    <definedName localSheetId="0" name="red">'Master List'!$A$1</definedName>
    <definedName localSheetId="3" name="onrush">#REF!</definedName>
    <definedName localSheetId="15" name="gris">#REF!</definedName>
    <definedName localSheetId="2" name="gris">#REF!</definedName>
    <definedName localSheetId="1" name="onrush">#REF!</definedName>
    <definedName localSheetId="3" name="red">Extra!$A$1</definedName>
    <definedName localSheetId="3" name="banjo">#REF!</definedName>
    <definedName localSheetId="9" name="gris">#REF!</definedName>
    <definedName localSheetId="14" name="onrush">#REF!</definedName>
    <definedName localSheetId="2" name="banjo">#REF!</definedName>
    <definedName localSheetId="0" name="onrush">#REF!</definedName>
    <definedName localSheetId="14" name="gris">#REF!</definedName>
    <definedName localSheetId="16" name="banjo">#REF!</definedName>
    <definedName localSheetId="2" name="onrush">#REF!</definedName>
    <definedName localSheetId="1" name="banjo">#REF!</definedName>
    <definedName localSheetId="10" name="red">Remasters!$A$1</definedName>
    <definedName localSheetId="12" name="gris">#REF!</definedName>
    <definedName localSheetId="11" name="onrush">#REF!</definedName>
    <definedName localSheetId="15" name="onrush">#REF!</definedName>
    <definedName localSheetId="9" name="red">Classics!$A$1</definedName>
    <definedName localSheetId="6" name="gris">#REF!</definedName>
    <definedName localSheetId="0" name="banjo">#REF!</definedName>
    <definedName localSheetId="12" name="banjo">#REF!</definedName>
    <definedName localSheetId="0" name="gris">#REF!</definedName>
    <definedName localSheetId="7" name="banjo">#REF!</definedName>
    <definedName localSheetId="4" name="banjo">#REF!</definedName>
    <definedName localSheetId="10" name="gris">#REF!</definedName>
    <definedName localSheetId="16" name="onrush">#REF!</definedName>
    <definedName localSheetId="6" name="red">Premium!$A$1</definedName>
    <definedName localSheetId="5" name="banjo">#REF!</definedName>
    <definedName localSheetId="7" name="onrush">#REF!</definedName>
    <definedName localSheetId="6" name="banjo">#REF!</definedName>
    <definedName localSheetId="11" name="red">'PS5 Download'!$A$1</definedName>
    <definedName localSheetId="9" name="banjo">#REF!</definedName>
    <definedName localSheetId="5" name="gris">#REF!</definedName>
    <definedName localSheetId="16" name="red">'Vita Monthly'!$A$1</definedName>
    <definedName localSheetId="10" name="banjo">#REF!</definedName>
    <definedName localSheetId="1" name="gris">#REF!</definedName>
    <definedName localSheetId="15" name="red">'MISSING PC Streaming'!$A$1</definedName>
    <definedName localSheetId="14" name="banjo">#REF!</definedName>
    <definedName localSheetId="13" name="onrush">#REF!</definedName>
    <definedName localSheetId="15" name="banjo">#REF!</definedName>
    <definedName localSheetId="7" name="red">VR!$A$1</definedName>
    <definedName localSheetId="3" name="gris">#REF!</definedName>
    <definedName localSheetId="4" name="gris">#REF!</definedName>
    <definedName localSheetId="10" name="onrush">#REF!</definedName>
    <definedName localSheetId="13" name="banjo">#REF!</definedName>
    <definedName localSheetId="9" name="onrush">#REF!</definedName>
    <definedName localSheetId="13" name="red">'PS3 - Streaming Only'!$A$1</definedName>
    <definedName localSheetId="4" name="red">Removed!$A$1</definedName>
    <definedName localSheetId="14" name="red">'Cloud Streaming'!$A$1</definedName>
    <definedName localSheetId="2" name="red">Monthly!$A$1</definedName>
    <definedName localSheetId="16" name="gris">#REF!</definedName>
    <definedName localSheetId="5" name="onrush">#REF!</definedName>
    <definedName localSheetId="7" name="gris">#REF!</definedName>
    <definedName localSheetId="11" name="banjo">#REF!</definedName>
    <definedName localSheetId="12" name="onrush">#REF!</definedName>
    <definedName localSheetId="5" name="red">'Likely Leaving'!$A$1</definedName>
    <definedName localSheetId="4" name="onrush">#REF!</definedName>
    <definedName localSheetId="6" name="onrush">#REF!</definedName>
    <definedName localSheetId="1" name="red">'Leaving Soon'!$A$1</definedName>
    <definedName hidden="1" localSheetId="0" name="_xlnm._FilterDatabase">'Master List'!$A$2:$P$2763</definedName>
    <definedName hidden="1" localSheetId="1" name="_xlnm._FilterDatabase">'Leaving Soon'!$A$2:$N$779</definedName>
    <definedName hidden="1" localSheetId="2" name="_xlnm._FilterDatabase">Monthly!$A$2:$N$779</definedName>
    <definedName hidden="1" localSheetId="3" name="_xlnm._FilterDatabase">Extra!$A$2:$N$779</definedName>
    <definedName hidden="1" localSheetId="4" name="_xlnm._FilterDatabase">Removed!$A$2:$N$779</definedName>
    <definedName hidden="1" localSheetId="5" name="_xlnm._FilterDatabase">'Likely Leaving'!$A$2:$N$779</definedName>
    <definedName hidden="1" localSheetId="6" name="_xlnm._FilterDatabase">Premium!$A$2:$N$779</definedName>
    <definedName hidden="1" localSheetId="7" name="_xlnm._FilterDatabase">VR!$A$2:$N$779</definedName>
    <definedName hidden="1" localSheetId="9" name="_xlnm._FilterDatabase">Classics!$A$2:$N$779</definedName>
    <definedName hidden="1" localSheetId="10" name="_xlnm._FilterDatabase">Remasters!$A$2:$N$779</definedName>
    <definedName hidden="1" localSheetId="11" name="_xlnm._FilterDatabase">'PS5 Download'!$A$2:$N$779</definedName>
    <definedName hidden="1" localSheetId="12" name="_xlnm._FilterDatabase">'PS4 Download'!$A$2:$N$779</definedName>
    <definedName hidden="1" localSheetId="13" name="_xlnm._FilterDatabase">'PS3 - Streaming Only'!$A$2:$N$779</definedName>
    <definedName hidden="1" localSheetId="14" name="_xlnm._FilterDatabase">'Cloud Streaming'!$A$2:$N$779</definedName>
    <definedName hidden="1" localSheetId="15" name="_xlnm._FilterDatabase">'MISSING PC Streaming'!$A$2:$N$779</definedName>
    <definedName hidden="1" localSheetId="16" name="_xlnm._FilterDatabase">'Vita Monthly'!$A$2:$N$779</definedName>
    <definedName name="YEARDUR">LAMBDA(start, end, lambda(s, e, if(s &gt; e, -1 , 1 ) * yearfrac(s, e, 4))(if(isblank(start),today(),start), if(isblank(end),today(),end)))</definedName>
    <definedName name="MONTHDUR">LAMBDA(start, end, YEARDUR(start, end) * 12)</definedName>
  </definedNames>
  <calcPr/>
</workbook>
</file>

<file path=xl/sharedStrings.xml><?xml version="1.0" encoding="utf-8"?>
<sst xmlns="http://schemas.openxmlformats.org/spreadsheetml/2006/main" count="15360" uniqueCount="2715">
  <si>
    <t>Complete NA Playstation Plus Master List by u/ABattleVet</t>
  </si>
  <si>
    <t>Game</t>
  </si>
  <si>
    <t>System</t>
  </si>
  <si>
    <t>Tier</t>
  </si>
  <si>
    <t xml:space="preserve"> Complete NA Playstation Plus Master List by u/ABattleVet</t>
  </si>
  <si>
    <t>Status</t>
  </si>
  <si>
    <t>Added</t>
  </si>
  <si>
    <t>Removed</t>
  </si>
  <si>
    <t>Months</t>
  </si>
  <si>
    <t>Release</t>
  </si>
  <si>
    <t>Age</t>
  </si>
  <si>
    <t>Metacritic</t>
  </si>
  <si>
    <t>User</t>
  </si>
  <si>
    <t>Completion</t>
  </si>
  <si>
    <t>Genre</t>
  </si>
  <si>
    <t>Notes / Original System</t>
  </si>
  <si>
    <t>PC Streaming</t>
  </si>
  <si>
    <t>Local Multiplayer</t>
  </si>
  <si>
    <t>PS4 games no longer priority after 2025, starting in 2026 fewer will be added</t>
  </si>
  <si>
    <t>Game Pass</t>
  </si>
  <si>
    <t>Need to check &lt;0 age</t>
  </si>
  <si>
    <t>Leaving</t>
  </si>
  <si>
    <t>PC / Portal</t>
  </si>
  <si>
    <t>Streaming</t>
  </si>
  <si>
    <t>Ninja Gaiden: Ragebound</t>
  </si>
  <si>
    <t>PS5/PS4</t>
  </si>
  <si>
    <t>Extra</t>
  </si>
  <si>
    <t>Platformer</t>
  </si>
  <si>
    <t>Dungeons of Hinterberg</t>
  </si>
  <si>
    <t>Action-Adventure</t>
  </si>
  <si>
    <t>Sniper Elite: Resistance</t>
  </si>
  <si>
    <t>Shooter</t>
  </si>
  <si>
    <t>Ball x Pit</t>
  </si>
  <si>
    <t>PS5</t>
  </si>
  <si>
    <t>No</t>
  </si>
  <si>
    <t>Slitterhead</t>
  </si>
  <si>
    <t>Survival</t>
  </si>
  <si>
    <t>RuneScape: Dragonwilds</t>
  </si>
  <si>
    <t>WWE 2K26</t>
  </si>
  <si>
    <t>Wrestling</t>
  </si>
  <si>
    <t>Mega Man X Command Mission</t>
  </si>
  <si>
    <t>Premium (Classics)</t>
  </si>
  <si>
    <t>RPG</t>
  </si>
  <si>
    <t>PS2</t>
  </si>
  <si>
    <t>Metro Redux</t>
  </si>
  <si>
    <t>PS4</t>
  </si>
  <si>
    <t>Premium (Remasters)</t>
  </si>
  <si>
    <t>PS3, remasters of Metro 2033 and Metro: Last Light</t>
  </si>
  <si>
    <t>Date Everything!</t>
  </si>
  <si>
    <t>Hell is Us</t>
  </si>
  <si>
    <t>Umamusume Pretty Derby - Party Dash</t>
  </si>
  <si>
    <t>Party</t>
  </si>
  <si>
    <t>Two Point Museum</t>
  </si>
  <si>
    <t>Tycoon</t>
  </si>
  <si>
    <t>Metro Exodus</t>
  </si>
  <si>
    <t>Dying Light 2</t>
  </si>
  <si>
    <t>Kingdom Come: Deliverance II</t>
  </si>
  <si>
    <t>Vampire Survivors</t>
  </si>
  <si>
    <t>Shoot-'Em-Up</t>
  </si>
  <si>
    <t>Onimusha: Dawn of Dreams</t>
  </si>
  <si>
    <t>Disney's Atlantis: The Lost Empire</t>
  </si>
  <si>
    <t>PS1</t>
  </si>
  <si>
    <t>Helldivers 2</t>
  </si>
  <si>
    <t>Mighty Morphin Power Rangers: Rita’s Rewind</t>
  </si>
  <si>
    <t>Action</t>
  </si>
  <si>
    <t>Dying Light</t>
  </si>
  <si>
    <t>Citizen Sleeper 2: Starward Vector</t>
  </si>
  <si>
    <t>Snow Bros. Wonderland</t>
  </si>
  <si>
    <t>Avatar: Frontiers of Pandora</t>
  </si>
  <si>
    <t>Firefighting Simulator: Ignite</t>
  </si>
  <si>
    <t>Simulation</t>
  </si>
  <si>
    <t>Indigo Prophecy</t>
  </si>
  <si>
    <t>Psi-Ops: The Mindgate Conspiracy</t>
  </si>
  <si>
    <t>Rise of the Ronin</t>
  </si>
  <si>
    <t>Final Fantasy XVI</t>
  </si>
  <si>
    <t>Sonic X Shadow Generations</t>
  </si>
  <si>
    <t>Kingdom Come: Deliverance</t>
  </si>
  <si>
    <t>Life is Strange: Double Exposure</t>
  </si>
  <si>
    <t>Farming Simulator 25</t>
  </si>
  <si>
    <t>Blades of Fire</t>
  </si>
  <si>
    <t>Black Desert</t>
  </si>
  <si>
    <t>Gitaroo Man</t>
  </si>
  <si>
    <t>Rhythm</t>
  </si>
  <si>
    <t>Destiny 2: Legacy Collection (2025)</t>
  </si>
  <si>
    <t>The Final Shape, Lightfall, The Witch Queen, Beyond Light, and Shadowkeep</t>
  </si>
  <si>
    <t>Star Wars Outlaws</t>
  </si>
  <si>
    <t>Red Dead Redemption 2</t>
  </si>
  <si>
    <t>Bramble: The Mountain King</t>
  </si>
  <si>
    <t>The Thaumaturge</t>
  </si>
  <si>
    <t>Flintlock: The Siege of Dawn</t>
  </si>
  <si>
    <t>Broken Sword - Shadows of the Templar: Reforged</t>
  </si>
  <si>
    <t>Point-and-Click</t>
  </si>
  <si>
    <t>Enotria: The Last Song Standard Edition</t>
  </si>
  <si>
    <t>Time Crisis</t>
  </si>
  <si>
    <t>The Crew: Motorfest</t>
  </si>
  <si>
    <t>Racing</t>
  </si>
  <si>
    <t>Horizon Zero Dawn: Remastered</t>
  </si>
  <si>
    <t>Remastered for PS5, Complete for PS4</t>
  </si>
  <si>
    <t>Football Manager 26</t>
  </si>
  <si>
    <t>Warriors: Abyss</t>
  </si>
  <si>
    <t>Squirrel with a Gun</t>
  </si>
  <si>
    <t>The Casting of Frank Stone</t>
  </si>
  <si>
    <t>Monster Train</t>
  </si>
  <si>
    <t>Strategy</t>
  </si>
  <si>
    <t>Wild Arms 4</t>
  </si>
  <si>
    <t>Warhammer 40,000: Space Marine II</t>
  </si>
  <si>
    <t>Persona 5 Royal</t>
  </si>
  <si>
    <t>Royal for PS5, Ultimate Edition for PS4</t>
  </si>
  <si>
    <t>Blasphemous 2</t>
  </si>
  <si>
    <t>Metal Eden</t>
  </si>
  <si>
    <t>Lord of the Rings: Return to Moria</t>
  </si>
  <si>
    <t>Astroneer</t>
  </si>
  <si>
    <t>Adventure</t>
  </si>
  <si>
    <t>Tekken: Dark Resurrection</t>
  </si>
  <si>
    <t>Fighting</t>
  </si>
  <si>
    <t>PSP</t>
  </si>
  <si>
    <t>Marvel’s Spider-Man 2</t>
  </si>
  <si>
    <t>Test Drive Unlimited: Solar Crown</t>
  </si>
  <si>
    <t>Neva</t>
  </si>
  <si>
    <t>Season: A Letter to the Future</t>
  </si>
  <si>
    <t>Monster Hunter Stories 2: Wings of Ruin</t>
  </si>
  <si>
    <t>Monster Hunter Stories</t>
  </si>
  <si>
    <t>Venba</t>
  </si>
  <si>
    <t>Echoes of the End: Enhanced Edition</t>
  </si>
  <si>
    <t>Rugby 25</t>
  </si>
  <si>
    <t>Sports</t>
  </si>
  <si>
    <t>Disney Pixar Wall-E</t>
  </si>
  <si>
    <t>Resident Evil: Village</t>
  </si>
  <si>
    <t>Like a Dragon: Infinite Wealth</t>
  </si>
  <si>
    <t>Expeditions: A MudRunner Game</t>
  </si>
  <si>
    <t>A Quiet Place: The Road Ahead</t>
  </si>
  <si>
    <t>Darkest Dungeon II</t>
  </si>
  <si>
    <t>Roguelike</t>
  </si>
  <si>
    <t>The Exit 8</t>
  </si>
  <si>
    <t>Art of Rally</t>
  </si>
  <si>
    <t>A Little to the Left</t>
  </si>
  <si>
    <t>Puzzle</t>
  </si>
  <si>
    <t>Ridge Racer</t>
  </si>
  <si>
    <t>Assassin’s Creed Mirage</t>
  </si>
  <si>
    <t>Wo Long: Fallen Dynasty</t>
  </si>
  <si>
    <t>Granblue Fantasy: Relink</t>
  </si>
  <si>
    <t>Planet Coaster 2</t>
  </si>
  <si>
    <t>Cat Quest III</t>
  </si>
  <si>
    <t>Lego Horizon Adventures</t>
  </si>
  <si>
    <t>Paw Patrol: Grand Prix</t>
  </si>
  <si>
    <t>Paw Patrol World</t>
  </si>
  <si>
    <t>Soulcalibur III</t>
  </si>
  <si>
    <t>Skate Story</t>
  </si>
  <si>
    <t>Grand Theft Auto V</t>
  </si>
  <si>
    <t>Yes</t>
  </si>
  <si>
    <t>Pacific Drive</t>
  </si>
  <si>
    <t>30</t>
  </si>
  <si>
    <t>Still Wakes the Deep</t>
  </si>
  <si>
    <t xml:space="preserve">4 </t>
  </si>
  <si>
    <t>Survival (horror)</t>
  </si>
  <si>
    <t>Insurgency: Sandstorm</t>
  </si>
  <si>
    <t>15</t>
  </si>
  <si>
    <t>Thank Goodness You’re Here!</t>
  </si>
  <si>
    <t>2</t>
  </si>
  <si>
    <t>The Talos Principle 2</t>
  </si>
  <si>
    <t>27</t>
  </si>
  <si>
    <t>Monster Jam Showdown</t>
  </si>
  <si>
    <t>Tomb Raider: Anniversary</t>
  </si>
  <si>
    <t>Until Dawn (2024)</t>
  </si>
  <si>
    <t>V Rising</t>
  </si>
  <si>
    <t>Poppy Playtime: Chapter 1</t>
  </si>
  <si>
    <t>As Dusk Falls</t>
  </si>
  <si>
    <t>Wizard with a Gun</t>
  </si>
  <si>
    <t>Sandbox</t>
  </si>
  <si>
    <t>Tekken 3</t>
  </si>
  <si>
    <t>The Last of Us: Part 2 Remastered</t>
  </si>
  <si>
    <t>Green Hell</t>
  </si>
  <si>
    <t>Fate/Samurai Remnant</t>
  </si>
  <si>
    <t>Crow Country</t>
  </si>
  <si>
    <t>The Invincible</t>
  </si>
  <si>
    <t>Conscript</t>
  </si>
  <si>
    <t>Legacy of Kain: Defiance</t>
  </si>
  <si>
    <t>The Rogue Prince of Persia</t>
  </si>
  <si>
    <t>Mortal Kombat 1</t>
  </si>
  <si>
    <t>Marvel's Spider-Man</t>
  </si>
  <si>
    <t>Remasteref for PS5 and GOTy for PS4</t>
  </si>
  <si>
    <t>Sword of the Sea</t>
  </si>
  <si>
    <t>Atelier Ryza 3: Alchemist of the End &amp; the Secret Key</t>
  </si>
  <si>
    <t>INDIKA</t>
  </si>
  <si>
    <t>Coral Island</t>
  </si>
  <si>
    <t>Virtual Life</t>
  </si>
  <si>
    <t>Resident Evil 2</t>
  </si>
  <si>
    <t>Resident Evil 3: Nemesis</t>
  </si>
  <si>
    <t>Abiotic Factor</t>
  </si>
  <si>
    <t>Banishers: Ghosts of New Eden</t>
  </si>
  <si>
    <t>Bluey: The Videogame</t>
  </si>
  <si>
    <t>Planet Zoo</t>
  </si>
  <si>
    <t>Twisted Metal III</t>
  </si>
  <si>
    <t>Driving</t>
  </si>
  <si>
    <t>Twisted Metal 4</t>
  </si>
  <si>
    <t>Cyberpunk 2077</t>
  </si>
  <si>
    <t>FBC: Firebreak</t>
  </si>
  <si>
    <t>Five Nights at Freddy's: Help Wanted 2</t>
  </si>
  <si>
    <t>theHunter: Call of the Wild</t>
  </si>
  <si>
    <t>Hunting</t>
  </si>
  <si>
    <t>Eiyuden Chronicle: Hundred Heroes</t>
  </si>
  <si>
    <t>Train Sim World 5</t>
  </si>
  <si>
    <t>Endless Dungeon</t>
  </si>
  <si>
    <t>Deus Ex: The Conspiracy</t>
  </si>
  <si>
    <t>Myst</t>
  </si>
  <si>
    <t>Riven</t>
  </si>
  <si>
    <t>Skull and Bones</t>
  </si>
  <si>
    <t>Extra (Ubisoft+ Classics)</t>
  </si>
  <si>
    <t>Another Crab's Treasure</t>
  </si>
  <si>
    <t>Five Nights at Freddy's: Help Wanted - Full Time Edition</t>
  </si>
  <si>
    <t>S.T.A.L.K.E.R.: Legends of the Zone Trilogy</t>
  </si>
  <si>
    <t>Granblue Fantasy Versus: Rising</t>
  </si>
  <si>
    <t>Humankind</t>
  </si>
  <si>
    <t>Story of Seasons: A Wonderful Life</t>
  </si>
  <si>
    <t>Battle Engine Aquila</t>
  </si>
  <si>
    <t>Hogwarts Legacy</t>
  </si>
  <si>
    <t>PlateUp!</t>
  </si>
  <si>
    <t>Arcade</t>
  </si>
  <si>
    <t>Alone in the Dark 2</t>
  </si>
  <si>
    <t>War of the Monsters</t>
  </si>
  <si>
    <t>Blue Prince</t>
  </si>
  <si>
    <t>Prince of Persia: The Lost Crown</t>
  </si>
  <si>
    <t>Metroidvania</t>
  </si>
  <si>
    <t>Captain Tsubasa: Rise of New Champions</t>
  </si>
  <si>
    <t>Soccer</t>
  </si>
  <si>
    <t>Arcade Paradise</t>
  </si>
  <si>
    <t xml:space="preserve">Virtual Career </t>
  </si>
  <si>
    <t>Bang-On Balls: Chronicles</t>
  </si>
  <si>
    <t>You Suck at Parking</t>
  </si>
  <si>
    <t xml:space="preserve">Racing </t>
  </si>
  <si>
    <t>Syberia: The World Before</t>
  </si>
  <si>
    <t xml:space="preserve">Point-and-Click </t>
  </si>
  <si>
    <t>Armored Core</t>
  </si>
  <si>
    <t>Armored Core: Project Phantasma</t>
  </si>
  <si>
    <t>Armored Core: Master of Arena</t>
  </si>
  <si>
    <t>MORDHAU</t>
  </si>
  <si>
    <t>Somerville</t>
  </si>
  <si>
    <t>Tin Hearts</t>
  </si>
  <si>
    <t>PS5/PSVR2</t>
  </si>
  <si>
    <t>Patapon 3</t>
  </si>
  <si>
    <t>Dropship: United Peace Force</t>
  </si>
  <si>
    <t>God of War: Ragnarök</t>
  </si>
  <si>
    <t>Atlas Fallen: Reign Of Sand</t>
  </si>
  <si>
    <t>ANNO: Mutationem</t>
  </si>
  <si>
    <t xml:space="preserve">Metroidvania </t>
  </si>
  <si>
    <t>Orcs Must Die! 3</t>
  </si>
  <si>
    <t>Defense</t>
  </si>
  <si>
    <t>Citizen Sleeper</t>
  </si>
  <si>
    <t>Poker Club</t>
  </si>
  <si>
    <t>Gambling</t>
  </si>
  <si>
    <t>Indiana Jones and the Staff of Kings</t>
  </si>
  <si>
    <t>MediEvil II</t>
  </si>
  <si>
    <t>WRC Generations</t>
  </si>
  <si>
    <t>Coffee Talk</t>
  </si>
  <si>
    <t xml:space="preserve">Visual Novel </t>
  </si>
  <si>
    <t>Coffee Talk Episode 2: Hibiscus &amp; Butterfly</t>
  </si>
  <si>
    <t>A Space for the Unbound</t>
  </si>
  <si>
    <t>Biped</t>
  </si>
  <si>
    <t>PHOGS!</t>
  </si>
  <si>
    <t>Rabbids: Party of Legends</t>
  </si>
  <si>
    <t>Sly 2: Band of Thieves</t>
  </si>
  <si>
    <t>Sly 3: Honor Among Thieves</t>
  </si>
  <si>
    <t>Jak and Daxter: The Precursor Legacy</t>
  </si>
  <si>
    <t>Overcooked! All You Can Eat</t>
  </si>
  <si>
    <t>Stick Fight: The Game</t>
  </si>
  <si>
    <t>Killer Frequency</t>
  </si>
  <si>
    <t>Hungry Shark World</t>
  </si>
  <si>
    <t>Chivalry 2</t>
  </si>
  <si>
    <t>Beat-'Em-Up</t>
  </si>
  <si>
    <t>Blood Omen: Legacy of Kain</t>
  </si>
  <si>
    <t>Blood Omen 2</t>
  </si>
  <si>
    <t>Two Point Campus</t>
  </si>
  <si>
    <t>Portal (PS5 + Premium)</t>
  </si>
  <si>
    <t>GRIS</t>
  </si>
  <si>
    <t>Return to Monkey Island</t>
  </si>
  <si>
    <t>OVERPASS 2</t>
  </si>
  <si>
    <t>Tom Clancy's Ghost Recon: Wildlands</t>
  </si>
  <si>
    <t>Dino Crisis</t>
  </si>
  <si>
    <t>R-Type Dimensions EX</t>
  </si>
  <si>
    <t>Compilation</t>
  </si>
  <si>
    <t>The Last of Us: Part I</t>
  </si>
  <si>
    <t>Ben 10</t>
  </si>
  <si>
    <t>Under The Waves</t>
  </si>
  <si>
    <t>Chernobylite</t>
  </si>
  <si>
    <t>Wild Card Football</t>
  </si>
  <si>
    <t>Space Engineers</t>
  </si>
  <si>
    <t>Far Cry 5</t>
  </si>
  <si>
    <t>Returning game</t>
  </si>
  <si>
    <t>Secret Agent Clank</t>
  </si>
  <si>
    <t>SkyGunner</t>
  </si>
  <si>
    <t>Mister Mosquito</t>
  </si>
  <si>
    <t>DOOM + DOOM II: Enhanced</t>
  </si>
  <si>
    <t>MS-DOS</t>
  </si>
  <si>
    <t>Watch Dogs 2</t>
  </si>
  <si>
    <t>TimeSplitters</t>
  </si>
  <si>
    <t>TimeSplitters 2</t>
  </si>
  <si>
    <t>TimeSplitters: Future Perfect</t>
  </si>
  <si>
    <t>No More Heroes III</t>
  </si>
  <si>
    <t>Pathfinder: Wrath of the Righteous</t>
  </si>
  <si>
    <t>DEADCRAFT</t>
  </si>
  <si>
    <t>Steep</t>
  </si>
  <si>
    <t>Jeanne d'Arc</t>
  </si>
  <si>
    <t>Ratchet and Clank: Size Matters</t>
  </si>
  <si>
    <t>Summoner</t>
  </si>
  <si>
    <t>Crusader Kings III</t>
  </si>
  <si>
    <t>Police Simulator: Patrol Officers</t>
  </si>
  <si>
    <t>Far Cry 4</t>
  </si>
  <si>
    <t>LEGO The Hobbit</t>
  </si>
  <si>
    <t>Anno 1800</t>
  </si>
  <si>
    <t>Management</t>
  </si>
  <si>
    <t>Daxter</t>
  </si>
  <si>
    <t>Ghosthunter</t>
  </si>
  <si>
    <t>LEGO Star Wars II: The Original Trilogy</t>
  </si>
  <si>
    <t>PS2 / PSP</t>
  </si>
  <si>
    <t>Tomb Raider: Legend</t>
  </si>
  <si>
    <t>Star Wars: The Clone Wars</t>
  </si>
  <si>
    <t>Sly Cooper and the Thievius Raccoonus</t>
  </si>
  <si>
    <t>Cricket 24</t>
  </si>
  <si>
    <t>DREDGE</t>
  </si>
  <si>
    <t>Crime Boss: Rockay City</t>
  </si>
  <si>
    <t>Deceive Inc.</t>
  </si>
  <si>
    <t>Cat Quest</t>
  </si>
  <si>
    <t>Cat Quest II: The Lupus Empire</t>
  </si>
  <si>
    <t>Watch Dogs</t>
  </si>
  <si>
    <t>The Settlers: New Allies</t>
  </si>
  <si>
    <t>2Xtreme</t>
  </si>
  <si>
    <t>G-Police</t>
  </si>
  <si>
    <t>Worms Pinball</t>
  </si>
  <si>
    <t>Construction Simulator</t>
  </si>
  <si>
    <t>Raji: An Ancient Epic</t>
  </si>
  <si>
    <t>Lego Marvel's Avengers</t>
  </si>
  <si>
    <t>Lego Ninjago Movie Videogame</t>
  </si>
  <si>
    <t>Oddballers</t>
  </si>
  <si>
    <t>The Crew 2</t>
  </si>
  <si>
    <t>Alone in the Dark: The New Nightmare</t>
  </si>
  <si>
    <t>Star Wars Rebel Assault II: The Hidden Empire</t>
  </si>
  <si>
    <t>MediEvil</t>
  </si>
  <si>
    <t>Mystic Pillars: Remastered</t>
  </si>
  <si>
    <t>Blood Bowl III</t>
  </si>
  <si>
    <t>LEGO DC Super-Villains</t>
  </si>
  <si>
    <t>Cool Boarders</t>
  </si>
  <si>
    <t>Gods Eater: Burst</t>
  </si>
  <si>
    <t>Jak and Daxter: The Lost Frontier</t>
  </si>
  <si>
    <t>Roguebook</t>
  </si>
  <si>
    <t>Card Battle</t>
  </si>
  <si>
    <t>LEGO Jurassic World</t>
  </si>
  <si>
    <t>LEGO Worlds</t>
  </si>
  <si>
    <t>Assassin's Creed Valhalla</t>
  </si>
  <si>
    <t>Resistance: Retribution</t>
  </si>
  <si>
    <t>Jet Moto 2</t>
  </si>
  <si>
    <t>Session: Skate Sim</t>
  </si>
  <si>
    <t>LEGO City Undercover</t>
  </si>
  <si>
    <t>Shadow Tactics: Blades of the Shogun</t>
  </si>
  <si>
    <t>Surviving the Aftermath</t>
  </si>
  <si>
    <t>Rally Cross</t>
  </si>
  <si>
    <t>Star Wars Episode I: The Phantom Menace</t>
  </si>
  <si>
    <t>Salt and Sacrifice</t>
  </si>
  <si>
    <t>Disney/Pixar Buzz Lightyear of Star Command</t>
  </si>
  <si>
    <t>Thrillville</t>
  </si>
  <si>
    <t>Thrillville: Off the Rails</t>
  </si>
  <si>
    <t>Nobunaga's Ambition: Taishi</t>
  </si>
  <si>
    <t>Grandia</t>
  </si>
  <si>
    <t>Jet Moto</t>
  </si>
  <si>
    <t>Disney/PIXAR Up</t>
  </si>
  <si>
    <t>PaRappa the Rapper 2</t>
  </si>
  <si>
    <t>A-Train Express</t>
  </si>
  <si>
    <t>Elite: Dangerous</t>
  </si>
  <si>
    <t>Outlast 2</t>
  </si>
  <si>
    <t>Eldest Souls</t>
  </si>
  <si>
    <t>FAR: Changing Tides</t>
  </si>
  <si>
    <t>Ape Escape Academy</t>
  </si>
  <si>
    <t>IQ Final</t>
  </si>
  <si>
    <t>Soulcalibur: Broken Destiny</t>
  </si>
  <si>
    <t>Tekken 6</t>
  </si>
  <si>
    <t>This War of Mine: Final Cut</t>
  </si>
  <si>
    <t>Contra: Rogue Corps</t>
  </si>
  <si>
    <t>West of Dead</t>
  </si>
  <si>
    <t>Call of the Sea</t>
  </si>
  <si>
    <t>PAW Patrol The Movie: Adventure City Calls</t>
  </si>
  <si>
    <t>Tails Noir</t>
  </si>
  <si>
    <t>Destiny 2: The Witch Queen</t>
  </si>
  <si>
    <t>Hotel Transylvania: Scary-Tale Adventures</t>
  </si>
  <si>
    <t>PJ Masks: Heroes of the Night</t>
  </si>
  <si>
    <t>Dreams</t>
  </si>
  <si>
    <t>PS4/PSVR</t>
  </si>
  <si>
    <t>Two Point Hospital: Jumbo Edition</t>
  </si>
  <si>
    <t>Ape Escape: On the Loose</t>
  </si>
  <si>
    <t>MediEvil: Resurrection</t>
  </si>
  <si>
    <t>Pursuit Force: Extreme Justice</t>
  </si>
  <si>
    <t>Sniper Elite 5</t>
  </si>
  <si>
    <t>World War Z</t>
  </si>
  <si>
    <t>Dynasty Warriors 9</t>
  </si>
  <si>
    <t>Melty Blood: Type Lumina</t>
  </si>
  <si>
    <t>Samurai Warriors 5</t>
  </si>
  <si>
    <t>Undertale</t>
  </si>
  <si>
    <t>Gravity Crash Portable</t>
  </si>
  <si>
    <t>Twisted Metal</t>
  </si>
  <si>
    <t>Twisted Metal 2</t>
  </si>
  <si>
    <t>My Friend Peppa Pig</t>
  </si>
  <si>
    <t>PAW Patrol Mighty Pups Save Adventure Bay</t>
  </si>
  <si>
    <t>A Hat in Time</t>
  </si>
  <si>
    <t>Carto</t>
  </si>
  <si>
    <t>Deus Ex: Mankind Divided</t>
  </si>
  <si>
    <t>Forager</t>
  </si>
  <si>
    <t>Killing Floor 2</t>
  </si>
  <si>
    <t>Lonely Mountains: Downhill</t>
  </si>
  <si>
    <t>Thief (2014)</t>
  </si>
  <si>
    <t>Far Cry 6</t>
  </si>
  <si>
    <t>Killzone: Liberation</t>
  </si>
  <si>
    <t>Herc's Adventures</t>
  </si>
  <si>
    <t>Worms</t>
  </si>
  <si>
    <t>Crysis: Remastered</t>
  </si>
  <si>
    <t>Windows</t>
  </si>
  <si>
    <t>Ratchet and Clank: Rift Apart</t>
  </si>
  <si>
    <t>Thymesia</t>
  </si>
  <si>
    <t>Bus Simulator 21: Next Stop</t>
  </si>
  <si>
    <t>Humanity</t>
  </si>
  <si>
    <t>Conan Exiles</t>
  </si>
  <si>
    <t>Dishonored 2</t>
  </si>
  <si>
    <t>Dishonored: Death of the Outsider</t>
  </si>
  <si>
    <t>Rain World</t>
  </si>
  <si>
    <t>Rise of the Tomb Raider: 20 Year Celebration</t>
  </si>
  <si>
    <t>Rune Factory 4: Special</t>
  </si>
  <si>
    <t>Sakuna: Of Rice and Ruin</t>
  </si>
  <si>
    <t>Shadow of the Tomb Raider</t>
  </si>
  <si>
    <t>Story of Seasons: Friends of Mineral Town</t>
  </si>
  <si>
    <t>The Evil Within 2</t>
  </si>
  <si>
    <t>Tomb Raider: Definitive Edition</t>
  </si>
  <si>
    <t>Wolfenstein: Youngblood</t>
  </si>
  <si>
    <t>Watch Dogs: Legion</t>
  </si>
  <si>
    <t>Blade Dancer: Lineage of Light</t>
  </si>
  <si>
    <t>Syphon Filter: Logan's Shadow</t>
  </si>
  <si>
    <t>Pursuit Force</t>
  </si>
  <si>
    <t>Ghostbusters: The Video Game - Remastered</t>
  </si>
  <si>
    <t>Bassmaster Fishing</t>
  </si>
  <si>
    <t>DOOM: Eternal</t>
  </si>
  <si>
    <t>Monster Boy and the Cursed Kingdom</t>
  </si>
  <si>
    <t>Sackboy: A Big Adventure</t>
  </si>
  <si>
    <t>Wolfenstein II: The New Colossus</t>
  </si>
  <si>
    <t>Wolfenstein: The Old Blood</t>
  </si>
  <si>
    <t>Riders Republic</t>
  </si>
  <si>
    <t>Dishonored: Definitive Edition</t>
  </si>
  <si>
    <t>PS3</t>
  </si>
  <si>
    <t>DOOM</t>
  </si>
  <si>
    <t>DOOM II: Hell on Earth</t>
  </si>
  <si>
    <t>DOOM 64</t>
  </si>
  <si>
    <t>N64</t>
  </si>
  <si>
    <t>DOOM 3</t>
  </si>
  <si>
    <t>Anodyne</t>
  </si>
  <si>
    <t>UNCHARTED: Legacy of Thieves Collection</t>
  </si>
  <si>
    <t>Immortals Fenyx Rising</t>
  </si>
  <si>
    <t>RAGE 2</t>
  </si>
  <si>
    <t>Tom Clancy's Rainbow Six: Extraction</t>
  </si>
  <si>
    <t>Untitled Goose Game</t>
  </si>
  <si>
    <t>R4: Ridge Racer Type 4</t>
  </si>
  <si>
    <t>Ape Academy 2</t>
  </si>
  <si>
    <t>Syphon Filter: Dark Mirror</t>
  </si>
  <si>
    <t>The Forgotten City</t>
  </si>
  <si>
    <t>Earth Defense Force 5</t>
  </si>
  <si>
    <t>Harvest Moon: Back to Nature</t>
  </si>
  <si>
    <t>The Legend of Dragoon</t>
  </si>
  <si>
    <t>Erica</t>
  </si>
  <si>
    <t>Hot Shots Golf 2</t>
  </si>
  <si>
    <t>Star Wars Demolition</t>
  </si>
  <si>
    <t>Syphon Filter 3</t>
  </si>
  <si>
    <t>Ben 10: Power Trip</t>
  </si>
  <si>
    <t>The Pedestrian</t>
  </si>
  <si>
    <t>Adventure Time: Pirates of the Enchiridion</t>
  </si>
  <si>
    <t>Gigantosaurus: The Game</t>
  </si>
  <si>
    <t>Worms W.M.D</t>
  </si>
  <si>
    <t>Far Cry: New Dawn</t>
  </si>
  <si>
    <t>Far Cry: Primal</t>
  </si>
  <si>
    <t>Oddworld: Abe's Exoddus</t>
  </si>
  <si>
    <t>Pinball Heroes</t>
  </si>
  <si>
    <t>Ridge Racer 2</t>
  </si>
  <si>
    <t>Heavenly Sword</t>
  </si>
  <si>
    <t>Premium (Streaming Only)</t>
  </si>
  <si>
    <t>Ys VIII: Lacrimosa of DANA</t>
  </si>
  <si>
    <t>Oddworld: Soulstorm: Enhanced Edition</t>
  </si>
  <si>
    <t>The Elder Scrolls V: Skyrim - Special Edition</t>
  </si>
  <si>
    <t>The Gardens Between</t>
  </si>
  <si>
    <t>Earth Defense Force: Iron Rain</t>
  </si>
  <si>
    <t>Earth Defense Force: World Brothers</t>
  </si>
  <si>
    <t>Tom Clancy's Rainbow Six Siege</t>
  </si>
  <si>
    <t>Tom Clancy's The Division 2</t>
  </si>
  <si>
    <t>Tom Clancy's Ghost Recon: Breakpoint</t>
  </si>
  <si>
    <t>Ratchet and Clank</t>
  </si>
  <si>
    <t>Ratchet: Deadlocked</t>
  </si>
  <si>
    <t>Ratchet and Clank: Going Commando</t>
  </si>
  <si>
    <t>Ratchet and Clank: Tools of Destruction</t>
  </si>
  <si>
    <t>Ratchet and Clank: Up Your Arsenal</t>
  </si>
  <si>
    <t>Hohokum</t>
  </si>
  <si>
    <t>Assassin's Creed Chronicles: China</t>
  </si>
  <si>
    <t>Assassin's Creed Chronicles: India</t>
  </si>
  <si>
    <t>Assassin's Creed Chronicles: Russia</t>
  </si>
  <si>
    <t>Assassin's Creed III: Remastered</t>
  </si>
  <si>
    <t>Assassin's Creed Odyssey</t>
  </si>
  <si>
    <t>Assassin's Creed Syndicate</t>
  </si>
  <si>
    <t>Castlevania: Lords of Shadow</t>
  </si>
  <si>
    <t>Everyday Shooter</t>
  </si>
  <si>
    <t>Alex Kidd in Miracle World DX</t>
  </si>
  <si>
    <t>Rabbids Invasion: The Interactive TV Show</t>
  </si>
  <si>
    <t>Assassin's Creed Origins</t>
  </si>
  <si>
    <t>Rayman Legends</t>
  </si>
  <si>
    <t>Syphon Filter 2</t>
  </si>
  <si>
    <t/>
  </si>
  <si>
    <t>Kingdom of Paradise</t>
  </si>
  <si>
    <t>Bentley's Hackpack</t>
  </si>
  <si>
    <t>The Sly Collection</t>
  </si>
  <si>
    <t>Sly Cooper: Thieves in Time</t>
  </si>
  <si>
    <t>Dead by Daylight</t>
  </si>
  <si>
    <t>Wheel of Fortune (2017)</t>
  </si>
  <si>
    <t>UNO</t>
  </si>
  <si>
    <t>Monopoly Madness</t>
  </si>
  <si>
    <t>Final Fantasy VII: Remake Intergrade</t>
  </si>
  <si>
    <t>PS4 gets the base version</t>
  </si>
  <si>
    <t>Spirit of the North: Enhanced Edition</t>
  </si>
  <si>
    <t>Ice Age: Scrat's Nutty Adventure</t>
  </si>
  <si>
    <t>JUMANJI: The Video Game</t>
  </si>
  <si>
    <t>Paw Patrol: On a Roll!</t>
  </si>
  <si>
    <t>ReadySet Heroes</t>
  </si>
  <si>
    <t>Assassin's Creed: The Ezio Collection</t>
  </si>
  <si>
    <t>Assassin's Creed IV: Black Flag</t>
  </si>
  <si>
    <t>Assassin's Creed Freedom Cry</t>
  </si>
  <si>
    <t>Assassin's Creed Unity</t>
  </si>
  <si>
    <t>Assassin's Creed Rogue: Remastered</t>
  </si>
  <si>
    <t>No Heroes Allowed: No Puzzles Either!</t>
  </si>
  <si>
    <t>LocoRoco Midnight Carnival</t>
  </si>
  <si>
    <t>Demon's Souls</t>
  </si>
  <si>
    <t>Returnal</t>
  </si>
  <si>
    <t>Death Stranding: Director's Cut</t>
  </si>
  <si>
    <t>Ghost of Tsushima: Director's Cut</t>
  </si>
  <si>
    <t>Human: Fall Flat</t>
  </si>
  <si>
    <t>Marvel's Guardians Of The Galaxy</t>
  </si>
  <si>
    <t>Marvel's Spider-Man: Miles Morales</t>
  </si>
  <si>
    <t>Monster Truck Championship</t>
  </si>
  <si>
    <t>Observer: System Redux</t>
  </si>
  <si>
    <t>Horror</t>
  </si>
  <si>
    <t>Tennis World Tour 2</t>
  </si>
  <si>
    <t>Warhammer: Chaosbane - Slayer Edition</t>
  </si>
  <si>
    <t>Skate</t>
  </si>
  <si>
    <t>Chess Ultra</t>
  </si>
  <si>
    <r>
      <rPr>
        <rFont val="Arial"/>
        <b/>
        <color rgb="FFFFFF00"/>
        <sz val="10.0"/>
      </rPr>
      <t xml:space="preserve">Please note that this is driven by the age that games joined starting with when the </t>
    </r>
    <r>
      <rPr>
        <rFont val="Arial"/>
        <b/>
        <color rgb="FFFF0000"/>
        <sz val="10.0"/>
        <u/>
      </rPr>
      <t>new</t>
    </r>
    <r>
      <rPr>
        <rFont val="Arial"/>
        <b/>
        <color rgb="FFFFFF00"/>
        <sz val="10.0"/>
      </rPr>
      <t xml:space="preserve"> ps plus launched as I do not have the dates games joined playstation now (therefore any games taht did not join in Jun 2022 are more accurate)</t>
    </r>
  </si>
  <si>
    <t>Tetris Effect: Connected</t>
  </si>
  <si>
    <t>Age of Wonders: Planetfall</t>
  </si>
  <si>
    <t>Bad North</t>
  </si>
  <si>
    <t>Bee Simulator</t>
  </si>
  <si>
    <t>Call of Cthulhu</t>
  </si>
  <si>
    <t>Cartoon Network: Battle Crashers</t>
  </si>
  <si>
    <t>Celeste</t>
  </si>
  <si>
    <t>Children of Morta</t>
  </si>
  <si>
    <t>Dark Rose Valkyrie</t>
  </si>
  <si>
    <t>Dead or Alive 5: Last Round</t>
  </si>
  <si>
    <t>Death end re;Quest</t>
  </si>
  <si>
    <t>Deliver Us the Moon</t>
  </si>
  <si>
    <t>Interactive Story</t>
  </si>
  <si>
    <t>Desperados III</t>
  </si>
  <si>
    <t>Disgaea 5: Alliance of Vengeance</t>
  </si>
  <si>
    <t>DOOM (2016)</t>
  </si>
  <si>
    <t>Dragon Star Varnir</t>
  </si>
  <si>
    <t>Dynasty Warriors 8: Empires</t>
  </si>
  <si>
    <t>Earth Defense Force 4.1: The Shadow of New Despair</t>
  </si>
  <si>
    <t>Embr</t>
  </si>
  <si>
    <t>Empire of Sin</t>
  </si>
  <si>
    <t>Entwined</t>
  </si>
  <si>
    <t>Music</t>
  </si>
  <si>
    <t>Fade to Silence</t>
  </si>
  <si>
    <t>Fallout 76</t>
  </si>
  <si>
    <t>FIA European Truck Racing Championship</t>
  </si>
  <si>
    <t>For The King</t>
  </si>
  <si>
    <t>Frostpunk</t>
  </si>
  <si>
    <t>Fury Unleashed</t>
  </si>
  <si>
    <t>Golf with Your Friends</t>
  </si>
  <si>
    <t>Grand Ages: Medieval</t>
  </si>
  <si>
    <t>Gravity Rush 2</t>
  </si>
  <si>
    <t>Harvest Moon: Mad Dash</t>
  </si>
  <si>
    <t>Hello Neighbor</t>
  </si>
  <si>
    <t>Hotline Miami 2: Wrong Number</t>
  </si>
  <si>
    <t>Hotshot Racing</t>
  </si>
  <si>
    <t>I Am Bread</t>
  </si>
  <si>
    <t>inFAMOUS: First Light</t>
  </si>
  <si>
    <t>LEGO Batman 3: Beyond Gotham</t>
  </si>
  <si>
    <t>Little Big Workshop</t>
  </si>
  <si>
    <t>Little Nightmares</t>
  </si>
  <si>
    <t>Magicka 2</t>
  </si>
  <si>
    <t>Mahjong</t>
  </si>
  <si>
    <t>Malicious Fallen</t>
  </si>
  <si>
    <t>Megadimension Neptunia VII</t>
  </si>
  <si>
    <t>Moonlighter</t>
  </si>
  <si>
    <t>Mudrunner</t>
  </si>
  <si>
    <t>NASCAR Heat 5</t>
  </si>
  <si>
    <t>Oddworld: New 'n' Tasty</t>
  </si>
  <si>
    <t>Omega Quintet</t>
  </si>
  <si>
    <t>Overpass</t>
  </si>
  <si>
    <t>Pile Up! Box by Box</t>
  </si>
  <si>
    <t>Prey</t>
  </si>
  <si>
    <t>Prison Architect</t>
  </si>
  <si>
    <t>Pure Hold'em World Poker Championship</t>
  </si>
  <si>
    <t>Card &amp; Board</t>
  </si>
  <si>
    <t>Pure Pool</t>
  </si>
  <si>
    <t>Rapala Fishing: Pro Series</t>
  </si>
  <si>
    <t>Rock of Ages 3: Make &amp; Break</t>
  </si>
  <si>
    <t>Secret Neighbor</t>
  </si>
  <si>
    <t>Shadow of the Colossus</t>
  </si>
  <si>
    <t>Shadow Warrior 2</t>
  </si>
  <si>
    <t>Space Hulk: Deathwing - Enhanced Edition</t>
  </si>
  <si>
    <t>Stellaris</t>
  </si>
  <si>
    <t>Terraria</t>
  </si>
  <si>
    <t>The Fisherman: Fishing Planet</t>
  </si>
  <si>
    <t>The Last Guardian</t>
  </si>
  <si>
    <t>The Technomancer</t>
  </si>
  <si>
    <t>Townsmen: A Kingdom Rebuilt</t>
  </si>
  <si>
    <t>Tricky Towers</t>
  </si>
  <si>
    <t>Valiant Hearts: The Great War</t>
  </si>
  <si>
    <t>Warhammer 40,000: Inquisitor - Martyr</t>
  </si>
  <si>
    <t>Ys IX: Monstrum Nox</t>
  </si>
  <si>
    <t>Matterfall</t>
  </si>
  <si>
    <t>Space Junkies</t>
  </si>
  <si>
    <t>Transference</t>
  </si>
  <si>
    <t>Eagle Flight</t>
  </si>
  <si>
    <t>Werewolves Within</t>
  </si>
  <si>
    <t>Far Cry 3: Blood Dragon - Classic Edition</t>
  </si>
  <si>
    <t>Far Cry 3: Classic Edition</t>
  </si>
  <si>
    <t>Legendary Fishing</t>
  </si>
  <si>
    <t>Risk: Urban Assault</t>
  </si>
  <si>
    <t>South Park: The Fractured But Whole</t>
  </si>
  <si>
    <t>South Park: The Stick of Truth</t>
  </si>
  <si>
    <t>Starlink: Battle For Atlas</t>
  </si>
  <si>
    <t>Tom Clancy's The Division</t>
  </si>
  <si>
    <t>Trackmania Turbo</t>
  </si>
  <si>
    <t>Trials of The Blood Dragon</t>
  </si>
  <si>
    <t>Trials Rising</t>
  </si>
  <si>
    <t>ZOMBI</t>
  </si>
  <si>
    <t>Super Stardust Portable</t>
  </si>
  <si>
    <t>PSP, PS4 version added 1/24 after PS5 version came 6/23/22</t>
  </si>
  <si>
    <t>Ape Escape</t>
  </si>
  <si>
    <t>Hot Shots Golf</t>
  </si>
  <si>
    <t>I.Q Intelligent Qube</t>
  </si>
  <si>
    <t>Jumping Flash!</t>
  </si>
  <si>
    <t>Mr. Driller</t>
  </si>
  <si>
    <t>Oddworld: Abe's Oddysee</t>
  </si>
  <si>
    <t>Resident Evil: Director's Cut</t>
  </si>
  <si>
    <t>Syphon Filter</t>
  </si>
  <si>
    <t>Tekken 2</t>
  </si>
  <si>
    <t>Wild Arms</t>
  </si>
  <si>
    <t>Worms Armageddon</t>
  </si>
  <si>
    <t>Worms World Party</t>
  </si>
  <si>
    <t>echochrome</t>
  </si>
  <si>
    <t>Ape Escape 2</t>
  </si>
  <si>
    <t>Arc The Lad: Twilight of the Spirits</t>
  </si>
  <si>
    <t>Turn-Based Tactics</t>
  </si>
  <si>
    <t>Dark Cloud</t>
  </si>
  <si>
    <t>Dark Cloud 2</t>
  </si>
  <si>
    <t>FantaVision</t>
  </si>
  <si>
    <t>Hot Shots Tennis</t>
  </si>
  <si>
    <t>Jak 3</t>
  </si>
  <si>
    <t>Jak II</t>
  </si>
  <si>
    <t>Jak X: Combat Racing</t>
  </si>
  <si>
    <t>Kinetica</t>
  </si>
  <si>
    <t>OKAGE: Shadow King</t>
  </si>
  <si>
    <t>Primal</t>
  </si>
  <si>
    <t>Rise of the Kasai</t>
  </si>
  <si>
    <t>Rogue Galaxy</t>
  </si>
  <si>
    <t>SIREN</t>
  </si>
  <si>
    <t>Star Wars: Bounty Hunter</t>
  </si>
  <si>
    <t>Star Wars: Jedi Starfighter</t>
  </si>
  <si>
    <t>Star Wars: Racer Revenge</t>
  </si>
  <si>
    <t>The Mark of Kri</t>
  </si>
  <si>
    <t>Wild Arms 3</t>
  </si>
  <si>
    <t>LocoRoco 2: Remastered</t>
  </si>
  <si>
    <t>Lumines: Remastered</t>
  </si>
  <si>
    <t>Outcast: Second Contact</t>
  </si>
  <si>
    <t>Patapon: Remastered</t>
  </si>
  <si>
    <t>Patapon 2: Remastered</t>
  </si>
  <si>
    <t>Serious Sam Collection</t>
  </si>
  <si>
    <t>UNCHARTED: The Nathan Drake Collection</t>
  </si>
  <si>
    <t>MX vs. ATV: Alive</t>
  </si>
  <si>
    <t>MX vs. ATV: Untamed</t>
  </si>
  <si>
    <t>Raiden IV: OverKill</t>
  </si>
  <si>
    <t>Retro City Rampage DX</t>
  </si>
  <si>
    <t>Rune Factory: Tides of Destiny</t>
  </si>
  <si>
    <t>Split/Second: Velocity</t>
  </si>
  <si>
    <t>Star Raiders</t>
  </si>
  <si>
    <t>STARWHAL</t>
  </si>
  <si>
    <t>The Awakened Fate: Ultimatum</t>
  </si>
  <si>
    <t>Urban Trial Freestyle</t>
  </si>
  <si>
    <t>Velocity Ultra</t>
  </si>
  <si>
    <t>Way of the Samurai 4: Plus</t>
  </si>
  <si>
    <t>XBlaze Lost: Memories</t>
  </si>
  <si>
    <t>Visual Novel</t>
  </si>
  <si>
    <t>Werewolf: The Apocalypse - Earthblood</t>
  </si>
  <si>
    <t>Totally Reliable Delivery Service</t>
  </si>
  <si>
    <t>Yet Another Zombie Defense</t>
  </si>
  <si>
    <t>Car Mechanic Simulator</t>
  </si>
  <si>
    <t>Nioh</t>
  </si>
  <si>
    <t>The Long Dark</t>
  </si>
  <si>
    <t>Zombie Army 4: Dead War</t>
  </si>
  <si>
    <t>Destruction AllStars</t>
  </si>
  <si>
    <t>Concrete Genie: Digital Deluxe Edition</t>
  </si>
  <si>
    <t>Assetto Corsa Competizione</t>
  </si>
  <si>
    <t>Maneater</t>
  </si>
  <si>
    <t>Surviving Mars</t>
  </si>
  <si>
    <t>Stranded Deep</t>
  </si>
  <si>
    <t>The Surge 2</t>
  </si>
  <si>
    <t>Bloodborne</t>
  </si>
  <si>
    <t>Days Gone</t>
  </si>
  <si>
    <t>Detroit: Become Human</t>
  </si>
  <si>
    <t>Fallout 4</t>
  </si>
  <si>
    <t>Hollow Knight: Voidheart Edition</t>
  </si>
  <si>
    <t>Warhammer Vermintide 2</t>
  </si>
  <si>
    <t>Trine 4: The Nightmare Prince</t>
  </si>
  <si>
    <t>AO Tennis 2</t>
  </si>
  <si>
    <t>Dead Cells</t>
  </si>
  <si>
    <t>Power Rangers: Battle For The Grid</t>
  </si>
  <si>
    <t>Uncharted 4: A Thief's End</t>
  </si>
  <si>
    <t>UNCHARTED: The Lost Legacy</t>
  </si>
  <si>
    <t>Cities: Skylines</t>
  </si>
  <si>
    <t>The Surge</t>
  </si>
  <si>
    <t>Vampyr</t>
  </si>
  <si>
    <t>Wolfenstein: The New Order</t>
  </si>
  <si>
    <t>The Raven: Remastered</t>
  </si>
  <si>
    <t>WipEout: Omega Collection</t>
  </si>
  <si>
    <t>Castlevania: Lords of Shadow - Mirror of Fate</t>
  </si>
  <si>
    <t>Castlevania: Lords of Shadow 2</t>
  </si>
  <si>
    <t>Nightmares From the Deep 2: The Siren's Call</t>
  </si>
  <si>
    <t>Hidden Object</t>
  </si>
  <si>
    <t>Surgeon Simulator: Anniversary Edition</t>
  </si>
  <si>
    <t>Brawlout</t>
  </si>
  <si>
    <t>Black Knight Sword</t>
  </si>
  <si>
    <t>Rebel Galaxy</t>
  </si>
  <si>
    <t>Lock's Quest</t>
  </si>
  <si>
    <t>Bubsy: The Woolies Strike Back</t>
  </si>
  <si>
    <t>Kingdom: New Lands</t>
  </si>
  <si>
    <t>TRON RUN/r</t>
  </si>
  <si>
    <t>For Honor</t>
  </si>
  <si>
    <t>Removed from streaming</t>
  </si>
  <si>
    <t>GAROU: Mark of the Wolves</t>
  </si>
  <si>
    <t>Mount &amp; Blade: Warband</t>
  </si>
  <si>
    <t>Super Star Wars</t>
  </si>
  <si>
    <t>SNES</t>
  </si>
  <si>
    <t>Battle Chasers: Nightwar</t>
  </si>
  <si>
    <t>Vikings: Wolves of Midgard</t>
  </si>
  <si>
    <t>LocoRoco: Remastered</t>
  </si>
  <si>
    <t>Sniper Elite 4</t>
  </si>
  <si>
    <t>The Elder Scrolls Online: Tamriel Unlimited</t>
  </si>
  <si>
    <t>Carmageddon: Max Damage</t>
  </si>
  <si>
    <t>XCOM 2</t>
  </si>
  <si>
    <t>Trials Fusion</t>
  </si>
  <si>
    <t>The Last Blade 2</t>
  </si>
  <si>
    <t>Atari Flashback Classics Vol. 1</t>
  </si>
  <si>
    <t>Atari 2600 and Arcade</t>
  </si>
  <si>
    <t>Atari Flashback Classics Vol. 2</t>
  </si>
  <si>
    <t>Alienation</t>
  </si>
  <si>
    <t>Aragami</t>
  </si>
  <si>
    <t>Everybody's Golf</t>
  </si>
  <si>
    <t>Knack</t>
  </si>
  <si>
    <t>Gravity Rush: Remastered</t>
  </si>
  <si>
    <t>PS Vita</t>
  </si>
  <si>
    <t>High Stakes on the Vegas Strip: Poker Edition</t>
  </si>
  <si>
    <t>The Witch and the Hundred Knight: Revival Edition</t>
  </si>
  <si>
    <t>FALLOUT 3</t>
  </si>
  <si>
    <t>Fallout: New Vegas</t>
  </si>
  <si>
    <t>HUNTED: THE DEMON'S FORGE</t>
  </si>
  <si>
    <t>Killzone Shadow Fall</t>
  </si>
  <si>
    <t>Shadow of the Beast</t>
  </si>
  <si>
    <t>Tearaway Unfolded</t>
  </si>
  <si>
    <t>Tropico 5</t>
  </si>
  <si>
    <t>Resogun</t>
  </si>
  <si>
    <t>Air Conflicts: Pacific Carriers</t>
  </si>
  <si>
    <t>God of War III: Remastered</t>
  </si>
  <si>
    <t>Q*Bert: Rebooted</t>
  </si>
  <si>
    <t>Until Dawn</t>
  </si>
  <si>
    <t>Bolt</t>
  </si>
  <si>
    <t>Cars Mater-National Championship</t>
  </si>
  <si>
    <t>Cars Race-O-Rama</t>
  </si>
  <si>
    <t>Disney Epic Mickey 2: The Power of Two</t>
  </si>
  <si>
    <t>Disney Universe</t>
  </si>
  <si>
    <t>Disney/PIXAR Brave</t>
  </si>
  <si>
    <t>Disney/PIXAR Cars 2: The Video Game</t>
  </si>
  <si>
    <t>Disney/PIXAR Toy Story Mania!</t>
  </si>
  <si>
    <t>Disney G-Force</t>
  </si>
  <si>
    <t>Phineas and Ferb: Across the 2nd Dimension</t>
  </si>
  <si>
    <t>Pirates of the Caribbean: At World's End</t>
  </si>
  <si>
    <t>Disney/PIXAR Ratatouille</t>
  </si>
  <si>
    <t>Tron: Evolution</t>
  </si>
  <si>
    <t>Dynasty Warriors 8: Xtreme Legends</t>
  </si>
  <si>
    <t>LEGO Indiana Jones 2: The Adventure Continues</t>
  </si>
  <si>
    <t>LEGO Indiana Jones: The Original Adventures</t>
  </si>
  <si>
    <t>LEGO Star Wars III: The Clone Wars</t>
  </si>
  <si>
    <t>LEGO Star Wars: The Complete Saga</t>
  </si>
  <si>
    <t>Dynasty Warriors 6: Empires</t>
  </si>
  <si>
    <t>NINJA GAIDEN 3</t>
  </si>
  <si>
    <t>NINJA GAIDEN 3: Razor's Edge</t>
  </si>
  <si>
    <t>NOBUNAGA'S AMBITION: Sphere of Influence</t>
  </si>
  <si>
    <t>QUANTUM THEORY</t>
  </si>
  <si>
    <t>SAMURAI WARRIORS 2: Empires - HD Version</t>
  </si>
  <si>
    <t>SAMURAI WARRIORS 3: Empires</t>
  </si>
  <si>
    <t>SAMURAI WARRIORS 4</t>
  </si>
  <si>
    <t>WARRIORS OROCHI 3</t>
  </si>
  <si>
    <t>Warriors: Legends of Troy</t>
  </si>
  <si>
    <t>YAIBA: NINJA GAIDEN Z</t>
  </si>
  <si>
    <t>Alien Rage</t>
  </si>
  <si>
    <t>Enemy Front</t>
  </si>
  <si>
    <t>Go! Sports Ski</t>
  </si>
  <si>
    <t>Greg Hastings Paintball 2</t>
  </si>
  <si>
    <t>AKIBA'S TRIP: Undead &amp; Undressed</t>
  </si>
  <si>
    <t>All Zombies Must Die!</t>
  </si>
  <si>
    <t>Bladestorm: Nightmare</t>
  </si>
  <si>
    <t>BloodRayne: Betrayal</t>
  </si>
  <si>
    <t>Burn Zombie Burn!</t>
  </si>
  <si>
    <t>Castlevania: Harmony of Despair</t>
  </si>
  <si>
    <t>Deception IV: The Nightmare Princess</t>
  </si>
  <si>
    <t>Child of Light</t>
  </si>
  <si>
    <t>Battle Princess of Arcadias</t>
  </si>
  <si>
    <t>DISGAEA 3: Absence of Justice</t>
  </si>
  <si>
    <t>DISGAEA 4: A Promise Unforgotten</t>
  </si>
  <si>
    <t>Disgaea D2: A Brighter Darkness</t>
  </si>
  <si>
    <t>Dragon Fin Soup</t>
  </si>
  <si>
    <t>BEYOND: Two Souls (2016)</t>
  </si>
  <si>
    <t>Heavy Rain (2016)</t>
  </si>
  <si>
    <t>The Last of Us: Left Behind</t>
  </si>
  <si>
    <t>Arcana Heart 3: LOVE MAX!!!!!</t>
  </si>
  <si>
    <t>Bellator MMA Onslaught</t>
  </si>
  <si>
    <t>Deadliest Warrior: Legends</t>
  </si>
  <si>
    <t>Deadliest Warrior: The Game</t>
  </si>
  <si>
    <t>Genji: Days of the Blade</t>
  </si>
  <si>
    <t>MotorStorm RC: Complete Edition</t>
  </si>
  <si>
    <t>Air Conflicts: Secret Wars</t>
  </si>
  <si>
    <t>Air Conflicts: Vietnam</t>
  </si>
  <si>
    <t>BATTLE OF TILES EX</t>
  </si>
  <si>
    <t>Dogfight 1942</t>
  </si>
  <si>
    <t>Duke Nukem: Forever</t>
  </si>
  <si>
    <t>HOARD</t>
  </si>
  <si>
    <t>Doc Clock: The Toasted Sandwich of Time</t>
  </si>
  <si>
    <t>Hamsterball</t>
  </si>
  <si>
    <t>Jetpack Joyride Deluxe</t>
  </si>
  <si>
    <t>Kung Fu Rabbit</t>
  </si>
  <si>
    <t>LEGO Batman: The Videogame</t>
  </si>
  <si>
    <t>Magic Orbz</t>
  </si>
  <si>
    <t>Resident Evil 4</t>
  </si>
  <si>
    <t>Resident Evil Operation Raccoon City</t>
  </si>
  <si>
    <t>Resident Evil Revelations</t>
  </si>
  <si>
    <t>Resident Evil Revelations 2: Complete Edition</t>
  </si>
  <si>
    <t>Dark Void</t>
  </si>
  <si>
    <t>Darkstalkers: Resurrection</t>
  </si>
  <si>
    <t>Devil May Cry 4</t>
  </si>
  <si>
    <t>Devil May Cry: HD Collection</t>
  </si>
  <si>
    <t>The Lego Movie Videogame</t>
  </si>
  <si>
    <t>F.E.A.R. FIRST ENCOUNTER ASSAULT RECON</t>
  </si>
  <si>
    <t>Injustice: Gods Among Us - Ultimate Edition</t>
  </si>
  <si>
    <t>Escape Dead Island</t>
  </si>
  <si>
    <t>Narco Terror</t>
  </si>
  <si>
    <t>Sacred 3: Gold Edition</t>
  </si>
  <si>
    <t>Sacred Citadel</t>
  </si>
  <si>
    <t>.detuned</t>
  </si>
  <si>
    <t>Anarchy: Rush Hour</t>
  </si>
  <si>
    <t>Armageddon Riders</t>
  </si>
  <si>
    <t>Big Sky Infinity</t>
  </si>
  <si>
    <t>Class of Heroes 2G</t>
  </si>
  <si>
    <t>CRASH COMMANDO</t>
  </si>
  <si>
    <t>Hot Shots Golf: Out of Bounds</t>
  </si>
  <si>
    <t>Golf</t>
  </si>
  <si>
    <t>Hot Shots Golf: World Invitational</t>
  </si>
  <si>
    <t>Invizimals: The Lost Kingdom</t>
  </si>
  <si>
    <t>Linger in Shadows</t>
  </si>
  <si>
    <t>Interactive</t>
  </si>
  <si>
    <t>LocoRoco Cocoreccho!</t>
  </si>
  <si>
    <t>Magus</t>
  </si>
  <si>
    <t>Mamorukun Curse!</t>
  </si>
  <si>
    <t>MotorStorm Apocalypse</t>
  </si>
  <si>
    <t>NINJA GAIDEN SIGMA 2</t>
  </si>
  <si>
    <t>Numblast</t>
  </si>
  <si>
    <t>OKABU</t>
  </si>
  <si>
    <t>PixelJunk Eden Encore</t>
  </si>
  <si>
    <t>PixelJunk Monsters</t>
  </si>
  <si>
    <t>PixelJunk Racers 2nd Lap</t>
  </si>
  <si>
    <t>Prismatic Solid</t>
  </si>
  <si>
    <t>Puppeteer</t>
  </si>
  <si>
    <t>Ragnarok Odyssey ACE</t>
  </si>
  <si>
    <t>rain</t>
  </si>
  <si>
    <t>Ratchet and Clank: All 4 One</t>
  </si>
  <si>
    <t>Ratchet and Clank: Quest for Booty</t>
  </si>
  <si>
    <t>Red Faction: Battlegrounds</t>
  </si>
  <si>
    <t>Resistance 3</t>
  </si>
  <si>
    <t>Ricochet HD</t>
  </si>
  <si>
    <t>Savage Moon</t>
  </si>
  <si>
    <t>Sky Fighter</t>
  </si>
  <si>
    <t>Slender: The Arrival</t>
  </si>
  <si>
    <t>Smash Cars</t>
  </si>
  <si>
    <t>Snakeball</t>
  </si>
  <si>
    <t>Soldner-X 2: Final Prototype</t>
  </si>
  <si>
    <t>Spelunker Collection</t>
  </si>
  <si>
    <t>Spelunker HD</t>
  </si>
  <si>
    <t>Tales from Space: Mutant Blobs Attack</t>
  </si>
  <si>
    <t>The Guided Fate Paradox</t>
  </si>
  <si>
    <t>The Last Guy</t>
  </si>
  <si>
    <t>TOKYO JUNGLE</t>
  </si>
  <si>
    <t>Toy Home</t>
  </si>
  <si>
    <t>Trash Panic</t>
  </si>
  <si>
    <t>TRINITY: Souls of Zill O'll</t>
  </si>
  <si>
    <t>Wakeboarding HD</t>
  </si>
  <si>
    <t>When Vikings Attack!</t>
  </si>
  <si>
    <t>White Knight Chronicles: International Edition</t>
  </si>
  <si>
    <t>XBLAZE Code: Embryo</t>
  </si>
  <si>
    <t>XCOM: Enemy Within</t>
  </si>
  <si>
    <t>Zack Zero</t>
  </si>
  <si>
    <t>Zombie Tycoon 2: Brainhov's Revenge</t>
  </si>
  <si>
    <t>STRIDER (2014)</t>
  </si>
  <si>
    <t>Alien Spidy</t>
  </si>
  <si>
    <t>Anna: Extended Edition</t>
  </si>
  <si>
    <t>Asura's Wrath</t>
  </si>
  <si>
    <t>Atelier Escha &amp; Logy ~Alchemists of the Dusk Sky~</t>
  </si>
  <si>
    <t>Atelier Rorona Plus: The Alchemist of Arland</t>
  </si>
  <si>
    <t>Battle Fantasia</t>
  </si>
  <si>
    <t>Resident Evil: The Darkside Chronicles</t>
  </si>
  <si>
    <t>Bionic Commando: Rearmed</t>
  </si>
  <si>
    <t>Bionic Commando: Rearmed 2</t>
  </si>
  <si>
    <t>CAPCOM ARCADE CABINET: ALL-IN-ONE PACK</t>
  </si>
  <si>
    <t>Cel Damage HD</t>
  </si>
  <si>
    <t>Comet Crash: Bionic Bundle</t>
  </si>
  <si>
    <t>Death Track: Resurrection</t>
  </si>
  <si>
    <t>Divekick</t>
  </si>
  <si>
    <t>Double Dragon Neon</t>
  </si>
  <si>
    <t>Dragon's Lair</t>
  </si>
  <si>
    <t>Dragon's Lair II: Time Warp</t>
  </si>
  <si>
    <t>Ethan: Meteor Hunter</t>
  </si>
  <si>
    <t>Frogger Returns</t>
  </si>
  <si>
    <t>Fuel Overdose</t>
  </si>
  <si>
    <t>Hamilton's Great Adventure</t>
  </si>
  <si>
    <t>ibb &amp; obb</t>
  </si>
  <si>
    <t>Joe Danger 2: The Movie</t>
  </si>
  <si>
    <t>Karateka</t>
  </si>
  <si>
    <t>Knytt Underground</t>
  </si>
  <si>
    <t>Lost Planet: Extreme Condition</t>
  </si>
  <si>
    <t>Lost Planet 2</t>
  </si>
  <si>
    <t>Lost Planet 3</t>
  </si>
  <si>
    <t>Matt Hazard: Blood Bath and Beyond</t>
  </si>
  <si>
    <t>MEGA MAN 10</t>
  </si>
  <si>
    <t>MEGA MAN 9</t>
  </si>
  <si>
    <t>Pid</t>
  </si>
  <si>
    <t>Proteus</t>
  </si>
  <si>
    <t>Rocket Knight</t>
  </si>
  <si>
    <t>Rogue Warrior</t>
  </si>
  <si>
    <t>Rotastic</t>
  </si>
  <si>
    <t>Sam &amp; Max Beyond Time and Space: Episode 1 - Ice Station Santa</t>
  </si>
  <si>
    <t>Sam &amp; Max Beyond Time and Space: Episode 2 - Moai Better Blues</t>
  </si>
  <si>
    <t>Sam &amp; Max Beyond Time and Space: Episode 3 - Night of the Raving Dead</t>
  </si>
  <si>
    <t>Sam &amp; Max Beyond Time and Space: Episode 4 - Chariots of the Dogs</t>
  </si>
  <si>
    <t>Sam &amp; Max Beyond Time and Space: Episode 5 - What's New Beelzebub?</t>
  </si>
  <si>
    <t>Sam &amp; Max The Devil's Playhouse: Episode 1 - The Penal Zone</t>
  </si>
  <si>
    <t>Sam &amp; Max The Devil's Playhouse: Episode 2 - The Tomb of Sammun-Mak</t>
  </si>
  <si>
    <t>Sam &amp; Max The Devil's Playhouse: Episode 3 - They Stole Max's Brain</t>
  </si>
  <si>
    <t>Sam &amp; Max The Devil's Playhouse: Episode 4 - Beyond Alley of Dolls</t>
  </si>
  <si>
    <t>Sam &amp; Max The Devil's Playhouse: Episode 5 - The City That Dares Not Sleep</t>
  </si>
  <si>
    <t>Space Ace</t>
  </si>
  <si>
    <t>STRONG BAD'S COOL GAME FOR ATTRACTIVE PEOPLE - EPISODE 1: HOMESTAR RUINER</t>
  </si>
  <si>
    <t>STRONG BAD'S COOL GAME FOR ATTRACTIVE PEOPLE - EPISODE 2: STRONG BADIA THE FREE</t>
  </si>
  <si>
    <t>STRONG BAD'S COOL GAME FOR ATTRACTIVE PEOPLE - EPISODE 3: BADDEST OF THE BANDS</t>
  </si>
  <si>
    <t>STRONG BAD'S COOL GAME FOR ATTRACTIVE PEOPLE - EPISODE 4: DANGERESQUE 3: THE CRIMINAL PROJECTIVE</t>
  </si>
  <si>
    <t>STRONG BAD'S COOL GAME FOR ATTRACTIVE PEOPLE - EPISODE 5: 8-BIT IS ENOUGH</t>
  </si>
  <si>
    <t>Thunder Wolves</t>
  </si>
  <si>
    <t>Truck Racer</t>
  </si>
  <si>
    <t>Voodoo Chronicles: The First Sign</t>
  </si>
  <si>
    <t>Warlords</t>
  </si>
  <si>
    <t>Champion Jockey: G1 Jockey &amp; Gallop Racer</t>
  </si>
  <si>
    <t>Dynasty Warriors 6</t>
  </si>
  <si>
    <t>NINJA GAIDEN SIGMA</t>
  </si>
  <si>
    <t>Super Stardust HD</t>
  </si>
  <si>
    <t>Alone in the Dark: Inferno</t>
  </si>
  <si>
    <t>Rainbow Moon</t>
  </si>
  <si>
    <t>Hotline Miami</t>
  </si>
  <si>
    <t>AFRIKA</t>
  </si>
  <si>
    <t>Anomaly: Warzone Earth</t>
  </si>
  <si>
    <t>Aqua Panic!</t>
  </si>
  <si>
    <t>Ar nosurge: Ode to an Unborn Star</t>
  </si>
  <si>
    <t>Arcana Heart 3</t>
  </si>
  <si>
    <t>Atelier Ayesha: The Alchemist of Dusk</t>
  </si>
  <si>
    <t>Atelier Meruru: The Alchemist of Arland</t>
  </si>
  <si>
    <t>Atelier Shallie ~Alchemists of the Dusk Sea~</t>
  </si>
  <si>
    <t>Bang Bang Racing</t>
  </si>
  <si>
    <t>Batman: Arkham Origins</t>
  </si>
  <si>
    <t>BIT.TRIP Presents...Runner2: Future Legend of Rhythm Alien</t>
  </si>
  <si>
    <t>Bladestorm: The Hundred Years' War</t>
  </si>
  <si>
    <t>BlazBlue: Calamity Trigger</t>
  </si>
  <si>
    <t>Blood Knights</t>
  </si>
  <si>
    <t>Brink</t>
  </si>
  <si>
    <t>Chime Super Deluxe</t>
  </si>
  <si>
    <t>Critter Crunch</t>
  </si>
  <si>
    <t>Dark Sector</t>
  </si>
  <si>
    <t>DEAD OR ALIVE 5</t>
  </si>
  <si>
    <t>Deception IV: Blood Ties</t>
  </si>
  <si>
    <t>Derrick the Deathfin</t>
  </si>
  <si>
    <t>Dynasty Warriors 7</t>
  </si>
  <si>
    <t>Dynasty Warriors 7: Empires</t>
  </si>
  <si>
    <t>Dynasty Warriors 7: Xtreme Legends</t>
  </si>
  <si>
    <t>Dynasty Warriors 8</t>
  </si>
  <si>
    <t>Dynasty Warriors Strikeforce</t>
  </si>
  <si>
    <t>Earth Defense Force 2025</t>
  </si>
  <si>
    <t>Earth Defense Force: Insect Armageddon</t>
  </si>
  <si>
    <t>Eat Lead: The Return of Matt Hazard</t>
  </si>
  <si>
    <t>Eat Them!</t>
  </si>
  <si>
    <t>Elefunk</t>
  </si>
  <si>
    <t>ENSLAVED: Odyssey to the West</t>
  </si>
  <si>
    <t>Eufloria</t>
  </si>
  <si>
    <t>Faery: Legends of Avalon</t>
  </si>
  <si>
    <t>Final Exam</t>
  </si>
  <si>
    <t>Final Fight: Double Impact</t>
  </si>
  <si>
    <t>Brawler</t>
  </si>
  <si>
    <t>Ghostbusters: Sanctum of Slime</t>
  </si>
  <si>
    <t>God of War HD</t>
  </si>
  <si>
    <t>God of War II HD</t>
  </si>
  <si>
    <t>God of War: Ascension</t>
  </si>
  <si>
    <t>Hakuoki: Stories of the Shinsengumi</t>
  </si>
  <si>
    <t>Heavy Fire: Afghanistan</t>
  </si>
  <si>
    <t>Heavy Fire: Shattered Spear</t>
  </si>
  <si>
    <t>Hustle Kings</t>
  </si>
  <si>
    <t>Billiards</t>
  </si>
  <si>
    <t>ICO</t>
  </si>
  <si>
    <t>inFAMOUS</t>
  </si>
  <si>
    <t>inFAMOUS 2</t>
  </si>
  <si>
    <t>inFAMOUS: Festival of Blood</t>
  </si>
  <si>
    <t>Interpol: The Trail of Dr. Chaos</t>
  </si>
  <si>
    <t>Jimmie Johnson's Anything With An Engine</t>
  </si>
  <si>
    <t>Judge Dee: The City God Case</t>
  </si>
  <si>
    <t>Last Rebellion</t>
  </si>
  <si>
    <t>Lead and Gold: Gangs of the Wild West</t>
  </si>
  <si>
    <t>Legasista</t>
  </si>
  <si>
    <t>LEGO Batman 2: DC Super Heroes</t>
  </si>
  <si>
    <t>LEGO Pirates of the Caribbean: The Video Game</t>
  </si>
  <si>
    <t>Machinarium</t>
  </si>
  <si>
    <t>Mars: War Logs</t>
  </si>
  <si>
    <t>METAL SLUG 3</t>
  </si>
  <si>
    <t>Monkey Island 2 Special Edition: LeChuck's Revenge</t>
  </si>
  <si>
    <t>MX vs. ATV: Reflex</t>
  </si>
  <si>
    <t>Papo &amp; Yo</t>
  </si>
  <si>
    <t>Penny Arcade Adventures: On the Rain-Slick Precipice of Darkness - Episode One</t>
  </si>
  <si>
    <t>Penny Arcade Adventures: On the Rain-Slick Precipice of Darkness - Episode Two</t>
  </si>
  <si>
    <t>Piyotama</t>
  </si>
  <si>
    <t>Planet Minigolf</t>
  </si>
  <si>
    <t>Planets Under Attack</t>
  </si>
  <si>
    <t>Pool Nation</t>
  </si>
  <si>
    <t>Port Royale 3: Pirates &amp; Merchants - Gold Edition</t>
  </si>
  <si>
    <t>Puzzle Agent</t>
  </si>
  <si>
    <t>Rag Doll Kung Fu: Fists of Plastic</t>
  </si>
  <si>
    <t>RAGE</t>
  </si>
  <si>
    <t>Ratchet and Clank: A Crack In Time</t>
  </si>
  <si>
    <t>Ratchet and Clank: Full Frontal Assault</t>
  </si>
  <si>
    <t>Realms Of Ancient War</t>
  </si>
  <si>
    <t>Record of Agarest War</t>
  </si>
  <si>
    <t>Record of Agarest War 2</t>
  </si>
  <si>
    <t>Record of Agarest War Zero</t>
  </si>
  <si>
    <t>Red Johnson's Chronicles</t>
  </si>
  <si>
    <t>Red Johnson's Chronicles: One Against All</t>
  </si>
  <si>
    <t>Resident Evil 5: Gold Edition</t>
  </si>
  <si>
    <t>Resident Evil 6</t>
  </si>
  <si>
    <t>Resident Evil Code: Veronica X</t>
  </si>
  <si>
    <t>Resident Evil: The Umbrella Chronicles</t>
  </si>
  <si>
    <t>Retro/Grade</t>
  </si>
  <si>
    <t>Rocketbirds: Hardboiled Chicken</t>
  </si>
  <si>
    <t>Saints Row 2</t>
  </si>
  <si>
    <t>Sanctum 2</t>
  </si>
  <si>
    <t>Shatter</t>
  </si>
  <si>
    <t>Sid Meier's Civilization Revolution</t>
  </si>
  <si>
    <t>Siren: Blood Curse</t>
  </si>
  <si>
    <t>Skullgirls Encore</t>
  </si>
  <si>
    <t>Skydive: Proximity Flight</t>
  </si>
  <si>
    <t>SkyDrift</t>
  </si>
  <si>
    <t>Sniper Elite V2</t>
  </si>
  <si>
    <t>Soldner-X: Himmelssturmer</t>
  </si>
  <si>
    <t>Star Wars: The Force Unleashed II</t>
  </si>
  <si>
    <t>Star Wars: The Force Unleashed - Ultimate Sith Edition</t>
  </si>
  <si>
    <t>StarDrone</t>
  </si>
  <si>
    <t>Street Fighter III: Third Strike - Online Edition</t>
  </si>
  <si>
    <t>Super Puzzle Fighter II Turbo HD Remix</t>
  </si>
  <si>
    <t>Super Street Fighter II Turbo HD Remix</t>
  </si>
  <si>
    <t>Tales from Space: About a Blob</t>
  </si>
  <si>
    <t>The Darkness</t>
  </si>
  <si>
    <t>The Darkness II</t>
  </si>
  <si>
    <t>THE ELDER SCROLLS IV: OBLIVION</t>
  </si>
  <si>
    <t>The King of Fighters XIII</t>
  </si>
  <si>
    <t>The Secret of Monkey Island: Special Edition</t>
  </si>
  <si>
    <t>The UnderGarden</t>
  </si>
  <si>
    <t>Vessel</t>
  </si>
  <si>
    <t>Way of the Samurai 3: Plus</t>
  </si>
  <si>
    <t>Wizardry: Labyrinth of Lost Souls</t>
  </si>
  <si>
    <t>Zen Pinball 2</t>
  </si>
  <si>
    <t>Pinball</t>
  </si>
  <si>
    <t>Ratchet and Clank: Into the Nexus</t>
  </si>
  <si>
    <t>F1 25</t>
  </si>
  <si>
    <t>Essential</t>
  </si>
  <si>
    <t>Hunt: Showdown 1896</t>
  </si>
  <si>
    <t>Earth Defense Force: World Brothers 2</t>
  </si>
  <si>
    <t>Silent Hill 2 (2024)</t>
  </si>
  <si>
    <t>Yakuza: Like a Dragon</t>
  </si>
  <si>
    <t>Gloomhaven: Mercenaries Edition</t>
  </si>
  <si>
    <t>Board</t>
  </si>
  <si>
    <t>Jurassic World Evolution 2</t>
  </si>
  <si>
    <t>Rogue Lords</t>
  </si>
  <si>
    <t>Lake</t>
  </si>
  <si>
    <t>Death Squared</t>
  </si>
  <si>
    <t>Harvest Moon: Light of Hope - Special Edition</t>
  </si>
  <si>
    <t>Harvest Moon: One World</t>
  </si>
  <si>
    <t>MLB The Show 26</t>
  </si>
  <si>
    <t>Baseball Sim</t>
  </si>
  <si>
    <t>Wobbly Life</t>
  </si>
  <si>
    <t>Chained Echoes</t>
  </si>
  <si>
    <t>Madden NFL 26</t>
  </si>
  <si>
    <t>Persona 5 Tactica</t>
  </si>
  <si>
    <t>Shadowrun Returns</t>
  </si>
  <si>
    <t>Shadowrun: Dragonfall - Director's Cut</t>
  </si>
  <si>
    <t>Shadowrun: Hong Kong - Extended Edition</t>
  </si>
  <si>
    <t>Disney/PIXAR Toy Story 3</t>
  </si>
  <si>
    <t>Disney/PIXAR Toy Story 2: Buzz Lightyear to the Rescue!</t>
  </si>
  <si>
    <t>Romance of the Three Kingdoms XIII</t>
  </si>
  <si>
    <t>Toukiden 2</t>
  </si>
  <si>
    <t>Dying Light 2: Reloaded Edition</t>
  </si>
  <si>
    <t>Big Walk</t>
  </si>
  <si>
    <t>Suggestion</t>
  </si>
  <si>
    <t>Response</t>
  </si>
  <si>
    <t>M.Silva</t>
  </si>
  <si>
    <t xml:space="preserve">Add a "removed games" page. Should include games that left the service, when, and which tier they were on. Could also act as historical data for old plus games that were given out (in the old service)до </t>
  </si>
  <si>
    <t>Signalis</t>
  </si>
  <si>
    <t>T. Rust</t>
  </si>
  <si>
    <t>A Column for whether the game is playable via PC in the PS Plus app would be helpful</t>
  </si>
  <si>
    <t>R.Hall</t>
  </si>
  <si>
    <t>either change the notes tab or add a dedicated column for multiplayer</t>
  </si>
  <si>
    <t>Updated</t>
  </si>
  <si>
    <t>C. Guy</t>
  </si>
  <si>
    <t>duplicate local multiplayer column to extra tab</t>
  </si>
  <si>
    <t>P. Dog</t>
  </si>
  <si>
    <t>For the essential games page, add whether or not the game is available through extra or premium.</t>
  </si>
  <si>
    <t>Everything on essentials is available if you have both extra and premium, these are the monthly games to claim and PS+ collection</t>
  </si>
  <si>
    <t>T. Dedinsky</t>
  </si>
  <si>
    <t>A column for the PC app would be great. That thing is in unsearchable, and sometimes games appear in specific categories but not under their letter name, making it even more confusing. (I do appreciate all of the effort put into this, thank you for your hard work)</t>
  </si>
  <si>
    <t>Added, there is a custom search bar someone made a script for that I use</t>
  </si>
  <si>
    <t xml:space="preserve">Local multiplayer column is protected in master list, i want to update the new titles </t>
  </si>
  <si>
    <t>Updated, sorry about that</t>
  </si>
  <si>
    <t>C. Yindra</t>
  </si>
  <si>
    <t>Would you consider a user score column?</t>
  </si>
  <si>
    <t>S. Peejays</t>
  </si>
  <si>
    <t>Sorted sheets (Leaving Soon, Removed, Classics, etc.) are currently bugged. They all only say "#REF!"</t>
  </si>
  <si>
    <t>Fixed</t>
  </si>
  <si>
    <t>Anon</t>
  </si>
  <si>
    <t>Already on there, see the blue tab</t>
  </si>
  <si>
    <t>Earth Defense Force 6</t>
  </si>
  <si>
    <t>V. D.</t>
  </si>
  <si>
    <t>Could we add a separate column with links to the PS Store page for each game?</t>
  </si>
  <si>
    <t>Someone would have to do this manually and I am not doing it</t>
  </si>
  <si>
    <t>B. Sena</t>
  </si>
  <si>
    <t>Is possible to add a "online server" type column, to show if the server are still running, for the online trophies</t>
  </si>
  <si>
    <t>Andy</t>
  </si>
  <si>
    <t>possibility to sort or add a sheet sorted by metacritic score</t>
  </si>
  <si>
    <t>The platform and tier specific ones are sorted by their scores</t>
  </si>
  <si>
    <t>CZ</t>
  </si>
  <si>
    <t>"Possible Leaving Soon:" page ? or similar to "Likely Leaving" in Xbox game pass master list</t>
  </si>
  <si>
    <t>CreeperChief</t>
  </si>
  <si>
    <t>You forgot to add May 2023's PS Plus Essential games: Chivalry 2, Descenders and GRID Legends. Also Rise of the Tomb Raider isn't part of Ubisoft+ Classics</t>
  </si>
  <si>
    <t>Not CZ</t>
  </si>
  <si>
    <t xml:space="preserve">I would also love if you add a "possibly leaving soon" page. It's totally fine if it is only valid for games that were added after the new service went live (as you said in line 15). Eventually all the old games will rotate out anyway so the predictions would become more accurate in the long run. If you could please add a page that shows games that are approaching their 12/24/36 month anniverseries that would be great help.  </t>
  </si>
  <si>
    <t>T.Tauzowski</t>
  </si>
  <si>
    <t>PS provides "concept id" / precise link. It may be useful for precise identification of game or automatic join with metadata (in case of loading the data into external systems). precise info is available : https://www.playstation.com/en-us/ps-plus/games/</t>
  </si>
  <si>
    <t>The links require specific IDs, unless we can get this automated, there is no reason to add it</t>
  </si>
  <si>
    <t>M. Koc</t>
  </si>
  <si>
    <t>Could you kindly set up a new multiplayer page and include detailed information about the available multiplayer modes, such as Split-Screen, Local Co-Op, Local PvP, Online Co-Op, Online PvP, Crossplay for PC, and Crossplay for Xbox? Thank you!</t>
  </si>
  <si>
    <t>Frankenjam</t>
  </si>
  <si>
    <t>Is there an easy way to see what VR games (PSVR and PSVR2) are featured?</t>
  </si>
  <si>
    <t>What do you mean by featured? You can find them in the systems list</t>
  </si>
  <si>
    <t>Harold Halibut</t>
  </si>
  <si>
    <t>L. Zamudio</t>
  </si>
  <si>
    <t>What does the "age" column mean?</t>
  </si>
  <si>
    <t>How old the games are when they join PS+ in terms of years</t>
  </si>
  <si>
    <t>D. Blanco</t>
  </si>
  <si>
    <r>
      <rPr>
        <rFont val="Arial"/>
      </rPr>
      <t xml:space="preserve">Maybe just a nice-have, but maybe add the full history of PS+ games given (at least since PS4 games were given) so we can use this spreadsheet as a "database" for checking if a game is or was available at some point. The full history is curated here: </t>
    </r>
    <r>
      <rPr>
        <rFont val="Arial"/>
        <color rgb="FF1155CC"/>
        <u/>
      </rPr>
      <t>https://www.reddit.com/r/PlayStationPlus/wiki/list/fullna</t>
    </r>
  </si>
  <si>
    <t>Unicorn Overlord</t>
  </si>
  <si>
    <t>C. M</t>
  </si>
  <si>
    <t>Add Release Date for all the actives games which were BLANK in the PS PLUS Master List  - ;)
Cartoon Network: Battle Crashers        11/8/2016
Chicken Police: Paint it RED!        11/5/2020
Child of Light        4/29/2014
Death end re;Quest        4/12/2018
Dragon Star Varnir        10/11/2018
Dynasty Warriors 8: Empires        11/20/2014
Elex        10/17/2017
Everybody's Golf        8/29/2017
Fade to Silence        12/14/2017
Far Cry 3: Blood Dragon - Classic Edition        4/30/2013
Far Cry 3: Classic Edition        6/26/2018
FIA European Truck Racing Championship        7/18/2019
FIGHTING EX LAYER        6/28/2018
Final Fantasy VIII: Remastered        9/3/2019
Final Fantasy XV: Royal Edition        11/29/2016
Fury Unleashed        2/24/2017
Gunvolt Chronicles: Luminous Avenger iX        9/26/2019
Harvest Moon: Light of Hope - Special Edition        11/14/2017
Harvest Moon: Mad Dash        10/29/2019
Harvest Moon: One World        3/3/2021
Horizon Zero Dawn: Complete Edition        8/7/2020
Hotline Miami 2: Wrong Number        3/10/2015
How To Survive 2        2/7/2017
Infinite Minigolf        7/18/2017
Jotun: Valhalla Edition        9/29/2015
Kingdom: Two Crowns        12/11/2018
Legendary Fishing        9/18/2018
Little Big Workshop        10/17/2019
Mahjong        2/20/2017
Matterfall        8/15/2017
Monster Jam Steel Titans 2        3/1/2021
NASCAR Heat 5        7/7/2020
Necromunda: Underhive Wars        9/7/2020
Nightmares from the Deep 2: The Siren's Call        7/24/2013
Oddworld: New 'n' Tasty        7/22/2014
Omega Quintet        10/2/2014
Overpass        2/27/2020
R-Type Final 2        4/29/2021
Risk: Urban Assault        8/1/2016
Rock of Ages 3: Make &amp; Break        7/21/2020
Romance of the Three Kingdoms XIII        1/27/2016
Secret Neighbor        10/23/2019
Shadow of the Colossus        10/18/2005
Space Crew: Legendary Edition        10/15/2020
Space Hulk: Deathwing - Enhanced Edition        12/14/2016
Spitlings        2/25/2020
Starlink: Battle For Atlas        10/16/2018
Stellaris        5/9/2016
Sundered: Eldritch Edition        12/21/2018
The Dark Pictures Anthology: Little Hope        10/30/2020
The Fisherman: Fishing Planet        10/17/2019
The Missing: J.J. Macfield and the Island of Memories        10/11/2018
This is the Police 2        7/31/2018
Tom Clancy's The Division        3/8/2016
Towerfall Ascension        6/25/2013
Townsmen: A Kingdom Rebuilt        11/9/2018
Trackmania Turbo        3/22/2016
Trials Fusion        4/15/2014
Trials of The Blood Dragon        6/13/2016
Trials Rising        2/26/2019
Trine 4: The Nightmare Prince        10/8/2019
Unturned        7/7/2014
Valiant Hearts: The Great War        6/24/2014
Vikings: Wolves of Midgard        3/24/2017
Warhammer 40,000: Inquisitor - Martyr        6/5/2018
Warhammer Vermintide 2        3/8/2018
Yet Another Zombie Defense        8/25/2017
Ys IX: Monstrum Nox        9/26/2019
Ys VIII: Lacrimosa of DANA        7/21/2016
ZOMBI        11/18/2012
Hot Shots Golf        7/17/1997
I.Q Intelligent Qube        1/31/1997
Mr. Driller        10/1/1999
Oddworld: Abe's Oddysee        9/19/1997
Resident Evil: Director's Cut        3/22/1996
Disney/PIXAR Toy Story 2: Buzz Lightyear to the Rescue!        11/17/1999
OKAGE: Shadow King        3/15/2001
Star Wars: Bounty Hunter        11/19/2002
Star Wars: Jedi Starfighter        3/10/2002
Star Wars: Racer Revenge        2/11/2002
War of the Monsters        1/14/2003
Atari Flashback Classics Vol. 1        10/13/2016
Bulletstorm: Full Clip Edition        4/7/2017
Darksiders II: Deathinitive Edition        10/27/2015
God of War III: Remastered        7/14/2015
Kingdoms of Amalur: Re-Reckoning        9/7/2020
LocoRoco: Remastered        9/5/2017
LocoRoco 2: Remastered        12/9/2017
Outcast: Second Contact        11/14/2017
Patapon 2: Remastered        1/29/2020
Q*Bert: Rebooted        7/8/2014
Serious Sam Collection        3/3/2020
The Raven: Remastered        3/13/2018
UNCHARTED: The Nathan Drake Collection        10/7/2015</t>
  </si>
  <si>
    <t>Thank you so much, you rock! Any chance you can do this for all of the removed games as well so I can fully fill it out?</t>
  </si>
  <si>
    <t>Capi E</t>
  </si>
  <si>
    <t>Add a column to whether the game is ps+pc exclusive or ps exclusive.</t>
  </si>
  <si>
    <t>I already have a column for this</t>
  </si>
  <si>
    <t>Anonymous</t>
  </si>
  <si>
    <t>God of War 2018 is available on Extra</t>
  </si>
  <si>
    <t>Can anyone tell me when this was added? I can't find any ps blogs related to it</t>
  </si>
  <si>
    <t>Crime Boss: Rockay City score is wrong I guess?</t>
  </si>
  <si>
    <t xml:space="preserve">Daniel </t>
  </si>
  <si>
    <t xml:space="preserve">I'm pretty sure that DREDGE is not a VR game (it's listed as one on the VR tab). </t>
  </si>
  <si>
    <t>FM</t>
  </si>
  <si>
    <t>A lot of couch co op games are not marked as local multiplayer</t>
  </si>
  <si>
    <t>People would need to make a manual list that have line breaks as a comment on here for me to udpate (the names need to exactly match my list)</t>
  </si>
  <si>
    <t>Helmet Bude</t>
  </si>
  <si>
    <t>Hi! Could you please add a sheet with the streamable games on PS Portal with PS+ Premium? Thx in advance</t>
  </si>
  <si>
    <t>Clash: Artifacts of Chaos</t>
  </si>
  <si>
    <t>Added, some games that are included on PS4 that should be eligible for PC stremaing are not but are accessible for portal streaming</t>
  </si>
  <si>
    <t>JP</t>
  </si>
  <si>
    <t>Avicii Invector is no longer on extra</t>
  </si>
  <si>
    <t>K.M.</t>
  </si>
  <si>
    <t>Add platinum time and difficulty for supported games. If unknown just state ?</t>
  </si>
  <si>
    <t>Someone would have to do this manually and I am not doing it. It already takes a lot of time fo rme to add everything that you see</t>
  </si>
  <si>
    <t>Biomutant misses PS5 as system</t>
  </si>
  <si>
    <t>Demonite</t>
  </si>
  <si>
    <t>Mortal Shell: Enhanced Edition is included in PS+ Extra</t>
  </si>
  <si>
    <t>Fitosam</t>
  </si>
  <si>
    <t>Rename column C "Reponse" to Response</t>
  </si>
  <si>
    <t>Sixel</t>
  </si>
  <si>
    <t>Rez Infinite is actually still available via "PS+ Extra"</t>
  </si>
  <si>
    <t>Tin Hearts have a PS VR2 mode</t>
  </si>
  <si>
    <t>"Bound", "Dreams", "Trackmania Turbo", Wipeout Omega Collection" and "Rise of The Tomb Raider" have PS VR1 modes</t>
  </si>
  <si>
    <t>Still missing The Rogue Prince of Persia. On ps plus extra since august 2025</t>
  </si>
  <si>
    <t>Missing The Last of Us 2 (available now), and Tekken 3, Soul Calibur 3 and Tomb Raider Anniversary coming soon</t>
  </si>
  <si>
    <t>Would you mind double-checking/clarifying? TLOU2 is on the list and the others are all stated as coming soon?</t>
  </si>
  <si>
    <t>Dead Island 2</t>
  </si>
  <si>
    <t>potential missing ps+ reel fishing road trip adventure, project cars 2+3 + echoshift</t>
  </si>
  <si>
    <t>Röki</t>
  </si>
  <si>
    <t>Onee Chanbara Origin</t>
  </si>
  <si>
    <t>Space Crew: Legendary Edition</t>
  </si>
  <si>
    <t>Bomber Crew</t>
  </si>
  <si>
    <t>Call of Duty: Modern Warfare III</t>
  </si>
  <si>
    <t>For the King II</t>
  </si>
  <si>
    <t>CrossCode</t>
  </si>
  <si>
    <t>Risk of Rain 2</t>
  </si>
  <si>
    <t>Tropico 6</t>
  </si>
  <si>
    <t xml:space="preserve">Management </t>
  </si>
  <si>
    <t>The Jackbox Party Pack 9</t>
  </si>
  <si>
    <t>Cursed to Golf</t>
  </si>
  <si>
    <t>Source of Madness</t>
  </si>
  <si>
    <t>Hundred Days: Winemaking Simulator</t>
  </si>
  <si>
    <t>Infinite Minigolf</t>
  </si>
  <si>
    <t>Get Even</t>
  </si>
  <si>
    <t>Grounded: Fully Yoked Edition</t>
  </si>
  <si>
    <t>Nickelodeon All-Star Brawl 2</t>
  </si>
  <si>
    <t>Warhammer 40,000: Darktide</t>
  </si>
  <si>
    <t>EA Sports FC 26</t>
  </si>
  <si>
    <t>Red Dead Redemption</t>
  </si>
  <si>
    <t>Red Dead Redemption: Undead Nightmare</t>
  </si>
  <si>
    <t>We Love Katamari Reroll + Royal Reverie</t>
  </si>
  <si>
    <t>LEGO The Incredibles</t>
  </si>
  <si>
    <t>Lawn Mowing Simulator: Landmark Edition</t>
  </si>
  <si>
    <t>Scott Pilgrim vs. The World: The Game - Complete Edition</t>
  </si>
  <si>
    <t>Lawn Mowing Simulator</t>
  </si>
  <si>
    <t>Destiny 2: Legacy Collection (2024)</t>
  </si>
  <si>
    <t>Lightfall, The Witch Queen, Beyond Light, and Shadowkeep</t>
  </si>
  <si>
    <t>WUCHANG: Fallen Feathers</t>
  </si>
  <si>
    <t>Nine Sols</t>
  </si>
  <si>
    <t>MotoGP 25</t>
  </si>
  <si>
    <t>SAND LAND</t>
  </si>
  <si>
    <t>Soul Hackers 2</t>
  </si>
  <si>
    <t>The Dark Pictures Anthology: Little Hope</t>
  </si>
  <si>
    <t>The Dark Pictures Anthology: Man of Medan</t>
  </si>
  <si>
    <t>Control: Ultimate Edition</t>
  </si>
  <si>
    <t>Mortal Shell</t>
  </si>
  <si>
    <t>Lords of the Fallen (2023)</t>
  </si>
  <si>
    <t>Sword Art Online: Fractured Daydream</t>
  </si>
  <si>
    <t>Tomb Raider I-III Remastered</t>
  </si>
  <si>
    <t>Lost Records: Bloom &amp; Rage - Tape 2: Rage</t>
  </si>
  <si>
    <t>EA Sports PGA Tour</t>
  </si>
  <si>
    <t>Lost Records: Bloom &amp; Rage - Tape 1: Bloom</t>
  </si>
  <si>
    <t>Tape 2 day one launch 4/15/25</t>
  </si>
  <si>
    <t>Dave the Diver</t>
  </si>
  <si>
    <t>Disaster Report 4 Plus: Summer Memories</t>
  </si>
  <si>
    <t>Towerfall Ascension</t>
  </si>
  <si>
    <t>Spitlings</t>
  </si>
  <si>
    <t>Mobile Suit Gundam Battle Operation Code Fairy</t>
  </si>
  <si>
    <t>Vehicle Combat Sim</t>
  </si>
  <si>
    <t>Circus Electrique</t>
  </si>
  <si>
    <t>Teenage Mutant Ninja Turtles: Shredder's Revenge</t>
  </si>
  <si>
    <t>Redout II</t>
  </si>
  <si>
    <t>Paradise Killer</t>
  </si>
  <si>
    <t>Cris Tales</t>
  </si>
  <si>
    <t>Undisputed</t>
  </si>
  <si>
    <t>Subnautica: Below Zero</t>
  </si>
  <si>
    <t>Ultros</t>
  </si>
  <si>
    <t>Ace Combat 7: Skies Unknown</t>
  </si>
  <si>
    <t>Need For Speed: Unbound</t>
  </si>
  <si>
    <t>Core Keeper</t>
  </si>
  <si>
    <t>Disney Epic Mickey: Rebrushed</t>
  </si>
  <si>
    <t>WWE 2K25</t>
  </si>
  <si>
    <t>SaGa Frontier: Remastered</t>
  </si>
  <si>
    <t>Cult of the Lamb</t>
  </si>
  <si>
    <t>Super Neptunia RPG</t>
  </si>
  <si>
    <t>The Ascent</t>
  </si>
  <si>
    <t>Rez Infinite</t>
  </si>
  <si>
    <t>Like a Dragon Gaiden: The Man Who Erased His Name</t>
  </si>
  <si>
    <t>SD Gundam Battle Alliance</t>
  </si>
  <si>
    <t>Sayonara Wild Hearts</t>
  </si>
  <si>
    <t>Rhythym</t>
  </si>
  <si>
    <t>Monopoly Plus</t>
  </si>
  <si>
    <t>Board/Card Game</t>
  </si>
  <si>
    <t>New World: Aeternum</t>
  </si>
  <si>
    <t>Shuts down 1/30/27, delisted1/15/26</t>
  </si>
  <si>
    <t>LEGO Horizon Adventures</t>
  </si>
  <si>
    <t>Killing Floor 3</t>
  </si>
  <si>
    <t>The Outlast Trials</t>
  </si>
  <si>
    <t>Survival horror</t>
  </si>
  <si>
    <t>Synduality Echo of Ada</t>
  </si>
  <si>
    <t>Neon White</t>
  </si>
  <si>
    <t>Battlefield 2042</t>
  </si>
  <si>
    <t>Grand Theft Auto III</t>
  </si>
  <si>
    <t>Arcade Paradise VR</t>
  </si>
  <si>
    <t>Premium (VR)</t>
  </si>
  <si>
    <t>PSVR2</t>
  </si>
  <si>
    <t>Sonic Frontiers</t>
  </si>
  <si>
    <t>Forspoken</t>
  </si>
  <si>
    <t>Star Wars: Tales from the Galaxy's Edge</t>
  </si>
  <si>
    <t>Firefighting Simulator: The Squad</t>
  </si>
  <si>
    <t>River City Melee Mach!!</t>
  </si>
  <si>
    <t>Touhou Genso Rondo: Bullet Ballet</t>
  </si>
  <si>
    <t>11-11 Memories Retold</t>
  </si>
  <si>
    <t>Star Trek: Bridge Crew</t>
  </si>
  <si>
    <t>Stray</t>
  </si>
  <si>
    <t>EA Sports WRC 24</t>
  </si>
  <si>
    <t>Totally Accurate Battle Simulator</t>
  </si>
  <si>
    <t>Battlefield V</t>
  </si>
  <si>
    <t>Like a Dragon: Ishin!</t>
  </si>
  <si>
    <t>Digimon Survive</t>
  </si>
  <si>
    <t>Synapse</t>
  </si>
  <si>
    <t>Travis Strikes Again: No More Heroes - Complete Edition</t>
  </si>
  <si>
    <t>Football Manager 2024</t>
  </si>
  <si>
    <t>Goat Simulator 3</t>
  </si>
  <si>
    <t>Alan Wake II</t>
  </si>
  <si>
    <t>Cocoon</t>
  </si>
  <si>
    <t>Battlefield 1</t>
  </si>
  <si>
    <t>The Dark Pictures Anthology: The Devil in Me</t>
  </si>
  <si>
    <t>Ghostbusters: Spirits Unleashed</t>
  </si>
  <si>
    <t>Tour de France 2023</t>
  </si>
  <si>
    <t>The Last Clockwinder</t>
  </si>
  <si>
    <t>The Dark Pictures Anthology: House of Ashes</t>
  </si>
  <si>
    <t>Psychonauts 2</t>
  </si>
  <si>
    <t>Stardew Valley</t>
  </si>
  <si>
    <t>Viewfinder</t>
  </si>
  <si>
    <t>F.I.S.T.: Forged in Shadow Torch</t>
  </si>
  <si>
    <t>The Plucky Squire</t>
  </si>
  <si>
    <t>Night in the Woods</t>
  </si>
  <si>
    <t>Road 96</t>
  </si>
  <si>
    <t>Pistol Whip</t>
  </si>
  <si>
    <t>Odin Sphere: Leifthrasir</t>
  </si>
  <si>
    <t>Dragon's Crown Pro</t>
  </si>
  <si>
    <t>Lies of P</t>
  </si>
  <si>
    <t>DayZ</t>
  </si>
  <si>
    <t>My Hero One's Justice 2</t>
  </si>
  <si>
    <t>UFC 5</t>
  </si>
  <si>
    <t>Combat Sport</t>
  </si>
  <si>
    <t>Star Wars Jedi: Survivor</t>
  </si>
  <si>
    <t>TopSpin 2K25</t>
  </si>
  <si>
    <t>RIDE 5</t>
  </si>
  <si>
    <t>Wild Hearts</t>
  </si>
  <si>
    <t>The Witcher 3: Wild Hunt</t>
  </si>
  <si>
    <t>Sword Art Online: Last Recollection</t>
  </si>
  <si>
    <t>Sword Art Online: Alicization Lycoris</t>
  </si>
  <si>
    <t>Sword Art Online: Fatal Bullet</t>
  </si>
  <si>
    <t>Sword Art Online: Hollow Realization</t>
  </si>
  <si>
    <t>Naruto to Boruto: Shinobi Striker</t>
  </si>
  <si>
    <t>Sword Art Online: Lost Song</t>
  </si>
  <si>
    <t>PS3, Streaming Only</t>
  </si>
  <si>
    <t>Vacation Simulator</t>
  </si>
  <si>
    <t>Bugsnax</t>
  </si>
  <si>
    <t>Jusant</t>
  </si>
  <si>
    <t>Diablo IV</t>
  </si>
  <si>
    <t>The King of Fighters XV</t>
  </si>
  <si>
    <t>Dying Light 2: Stay Human</t>
  </si>
  <si>
    <t>Remnant II</t>
  </si>
  <si>
    <t>Crisis Core: Final Fantasy VII - Reunion</t>
  </si>
  <si>
    <t>Mount &amp; Blade II: Bannerlord</t>
  </si>
  <si>
    <t>Job Simulator</t>
  </si>
  <si>
    <t>Vampire: The Masquerade - Swansong</t>
  </si>
  <si>
    <t>NBA 2K25</t>
  </si>
  <si>
    <t>Alone in the Dark (2024)</t>
  </si>
  <si>
    <t>Bomb Rush Cyberfunk</t>
  </si>
  <si>
    <t>Destiny 2: The Final Shape</t>
  </si>
  <si>
    <t>After Us</t>
  </si>
  <si>
    <t>Monster Hunter: Rise</t>
  </si>
  <si>
    <t>Kayak VR: Mirage</t>
  </si>
  <si>
    <t>Inscryption</t>
  </si>
  <si>
    <t>Rogue Legacy 2</t>
  </si>
  <si>
    <t>Ark: Survival Ascended</t>
  </si>
  <si>
    <t>Balatro</t>
  </si>
  <si>
    <t>Warhammer 40,000: Boltgun</t>
  </si>
  <si>
    <t>MotoGP 24</t>
  </si>
  <si>
    <t>The Sims 4: Island Living</t>
  </si>
  <si>
    <t>Resistance: Fall of Man</t>
  </si>
  <si>
    <t>Resistance 2</t>
  </si>
  <si>
    <t>Ghostbusters: Rise of the Ghost Lord</t>
  </si>
  <si>
    <t>Walkabout Mini Golf</t>
  </si>
  <si>
    <t>Synth Riders</t>
  </si>
  <si>
    <t>Before Your Eyes</t>
  </si>
  <si>
    <t xml:space="preserve">The Walking Dead: Saints &amp; Sinners - Chapters 1 &amp; 2 </t>
  </si>
  <si>
    <t>LEGO Marvel Super Heroes 2</t>
  </si>
  <si>
    <t>Stranded: Alien Dawn</t>
  </si>
  <si>
    <t>The LEGO Movie 2 Videogame</t>
  </si>
  <si>
    <t>Enter The Gungeon</t>
  </si>
  <si>
    <t>Portal Knights</t>
  </si>
  <si>
    <t>Journey to the Savage Planet</t>
  </si>
  <si>
    <t>Bloodstained: Ritual of the Night</t>
  </si>
  <si>
    <t>Ghostrunner</t>
  </si>
  <si>
    <t>Batman: Arkham Knight</t>
  </si>
  <si>
    <t>Payday 2: Crimewave Edition</t>
  </si>
  <si>
    <t>inFAMOUS: Second Son</t>
  </si>
  <si>
    <t>RoboCop: Rogue City</t>
  </si>
  <si>
    <t>The Texas Chain Saw Massacre</t>
  </si>
  <si>
    <t>Digimon Story: Cyber Sleuth - Hacker's Memory</t>
  </si>
  <si>
    <t>Disco Elysium: The Final Cut</t>
  </si>
  <si>
    <t>Animal Well</t>
  </si>
  <si>
    <t>Tales of Kenzera: ZAU</t>
  </si>
  <si>
    <t>Miasma Chronicles</t>
  </si>
  <si>
    <t>Stray Blade</t>
  </si>
  <si>
    <t>Deliver Us Mars</t>
  </si>
  <si>
    <t>Nour: Play With Your Food</t>
  </si>
  <si>
    <t>Kena: Bridge of Spirits</t>
  </si>
  <si>
    <t>Slay the Spire</t>
  </si>
  <si>
    <t>Dragon Age: The Veilguard</t>
  </si>
  <si>
    <t>Sonic Colors: Ultimate</t>
  </si>
  <si>
    <t>Teenage Mutant Ninja Turtles: The Cowabunga Collection</t>
  </si>
  <si>
    <t>Monster Energy Supercross: The Official Videogame 6</t>
  </si>
  <si>
    <t>Resident Evil 3</t>
  </si>
  <si>
    <t>JoJo's Bizarre Adventure: All-Star Battle R</t>
  </si>
  <si>
    <t>Phoenix Wright: Ace Attorney Trilogy</t>
  </si>
  <si>
    <t>GBA/NDS</t>
  </si>
  <si>
    <t>Dragon Ball Z: Kakarot</t>
  </si>
  <si>
    <t>Final Fantasy Type-0 HD</t>
  </si>
  <si>
    <t>Life Is Strange 2</t>
  </si>
  <si>
    <t>Life Is Strange: True Colors</t>
  </si>
  <si>
    <t>Street Fighter V: Champion Edition</t>
  </si>
  <si>
    <t>Mortal Kombat 11</t>
  </si>
  <si>
    <t>PAYDAY 3</t>
  </si>
  <si>
    <t>High on Life</t>
  </si>
  <si>
    <t>Pac-Man World: Re-PAC</t>
  </si>
  <si>
    <t>The Outer Worlds: Spacer's Choice Edition</t>
  </si>
  <si>
    <t>Tales of Arise</t>
  </si>
  <si>
    <t>Tales of Zestiria</t>
  </si>
  <si>
    <t>Tales of Symphonia: Remastered</t>
  </si>
  <si>
    <t>Tales of Vesperia: Definitive Edition</t>
  </si>
  <si>
    <t>Outriders</t>
  </si>
  <si>
    <t>Scarlet Nexus</t>
  </si>
  <si>
    <t>Bulletstorm: Full Clip Edition</t>
  </si>
  <si>
    <t>Suicide Squad: Kill the Justice League</t>
  </si>
  <si>
    <t>Need for Speed: Hot Pursuit - Remastered</t>
  </si>
  <si>
    <t>The Stanley Parable: Ultra Deluxe</t>
  </si>
  <si>
    <t>Hardspace: Shipbreaker</t>
  </si>
  <si>
    <t>Resident Evil 2 (2019)</t>
  </si>
  <si>
    <t>Just Cause 3</t>
  </si>
  <si>
    <t>Secret of Mana (2018)</t>
  </si>
  <si>
    <t>Street Fighter: 30th Anniversary Collection</t>
  </si>
  <si>
    <t>Arcade, Dreamcast, PS1 - PS2</t>
  </si>
  <si>
    <t>Legend of Mana (2021)</t>
  </si>
  <si>
    <t>Dragon Ball FighterZ</t>
  </si>
  <si>
    <t>Life is Strange</t>
  </si>
  <si>
    <t>Life is Strange: Before the Storm</t>
  </si>
  <si>
    <t>Just Cause 4: Reloaded</t>
  </si>
  <si>
    <t>Temtem</t>
  </si>
  <si>
    <t>It Takes Two</t>
  </si>
  <si>
    <t>Aliens: Dark Descent</t>
  </si>
  <si>
    <t>Gigabash</t>
  </si>
  <si>
    <t>GRIME</t>
  </si>
  <si>
    <t>Metal: Hellsinger</t>
  </si>
  <si>
    <t>Moonscars</t>
  </si>
  <si>
    <t>Prodeus</t>
  </si>
  <si>
    <t>Stranger of Paradise: Final Fantasy Origin</t>
  </si>
  <si>
    <t>Tinykin</t>
  </si>
  <si>
    <t>Mega Man 11</t>
  </si>
  <si>
    <t>Mega Man Legacy Collection</t>
  </si>
  <si>
    <t>Mega Man 1-6 (NES)</t>
  </si>
  <si>
    <t>Mega Man Legacy Collection 2</t>
  </si>
  <si>
    <t>Mega Man 7-10 (SNES, PS1 + Saturn, Wii + PS3 + XB360 for the remainder, respectively)</t>
  </si>
  <si>
    <t>Alternate Jake Hunter: Daedalus The Awakening of Golden Jazz</t>
  </si>
  <si>
    <t>Dead Island: Riptide - Definitive Edition</t>
  </si>
  <si>
    <t>Dead Island: Definitive Edition</t>
  </si>
  <si>
    <t>Soulstice</t>
  </si>
  <si>
    <t>Vampire: The Masquerade - Coteries of New York</t>
  </si>
  <si>
    <t>Evil Genius 2: World Domination</t>
  </si>
  <si>
    <t>Judgment</t>
  </si>
  <si>
    <t>Ghostwire: Tokyo</t>
  </si>
  <si>
    <t>Hot Wheels Unleashed 2: Turbocharged</t>
  </si>
  <si>
    <t>Death Note: Killer Within</t>
  </si>
  <si>
    <t>Grand Theft Auto: San Andreas - The Definitive Edition</t>
  </si>
  <si>
    <t>The Sims 4: City Living</t>
  </si>
  <si>
    <t>Eiyuden Chronicle: Rising</t>
  </si>
  <si>
    <t>Superliminal</t>
  </si>
  <si>
    <t>Dragon's Dogma: Dark Arisen</t>
  </si>
  <si>
    <t>Mobile Suit Gundam: Extreme vs. MaxiBoost On</t>
  </si>
  <si>
    <t>Klonoa: Phantasy Reverie Series</t>
  </si>
  <si>
    <t>PS1 &amp; PS2</t>
  </si>
  <si>
    <t>Teardown</t>
  </si>
  <si>
    <t>Chorus</t>
  </si>
  <si>
    <t>Kingdom Hearts HD 1.5 + 2.5 ReMIX</t>
  </si>
  <si>
    <t>Kingdom Hearts HD 2.8: Final Chapter Prologue</t>
  </si>
  <si>
    <t>Kingdom Hearts III</t>
  </si>
  <si>
    <t xml:space="preserve">Kingdom Hearts: Melody of Memory </t>
  </si>
  <si>
    <t>What Remains of Edith Finch</t>
  </si>
  <si>
    <t>Moving Out</t>
  </si>
  <si>
    <t>Blasphemous</t>
  </si>
  <si>
    <t>Overcooked! 2</t>
  </si>
  <si>
    <t>Dead Space (2023)</t>
  </si>
  <si>
    <t>Doki Doki Literature Club Plus!</t>
  </si>
  <si>
    <t>WWE 2K24</t>
  </si>
  <si>
    <t>Gotham Knights</t>
  </si>
  <si>
    <t>Gungrave G.O.R.E.</t>
  </si>
  <si>
    <t>The Evil Within</t>
  </si>
  <si>
    <t>Dragon Quest XI S: Echoes of an Elusive Age - Definitive Edition</t>
  </si>
  <si>
    <t>Dragon Quest Builders</t>
  </si>
  <si>
    <t>Dragon Quest Builders 2</t>
  </si>
  <si>
    <t>Dragon Quest Heroes: The World Tree's Woe and the Blight Below</t>
  </si>
  <si>
    <t>Dragon Quest Heroes II: Explorer's Edition</t>
  </si>
  <si>
    <t>Ultra Street Fighter IV</t>
  </si>
  <si>
    <t>R-Type Dimensions</t>
  </si>
  <si>
    <t>Toukiden: Kiwami</t>
  </si>
  <si>
    <t>LittleBigPlanet 3</t>
  </si>
  <si>
    <t>MLB The Show 24</t>
  </si>
  <si>
    <t>Little Nightmares II</t>
  </si>
  <si>
    <t>Harry Potter: Quidditch Champions</t>
  </si>
  <si>
    <t>Marvel's Midnight Suns</t>
  </si>
  <si>
    <t>Alien: Isolation</t>
  </si>
  <si>
    <t>13 Sentinels: Aegis Rim</t>
  </si>
  <si>
    <t>Planet Coaster</t>
  </si>
  <si>
    <t>Sniper Ghost Warrior Contracts 2</t>
  </si>
  <si>
    <t>Unpacking</t>
  </si>
  <si>
    <t xml:space="preserve">NieR Replicant ver.1.22474487139... </t>
  </si>
  <si>
    <t>Star Ocean: Integrity and Faithlessness</t>
  </si>
  <si>
    <t>Cloudpunk</t>
  </si>
  <si>
    <t>Star Ocean: The Divine Force</t>
  </si>
  <si>
    <t>Star Ocean: First Departure R</t>
  </si>
  <si>
    <t>Star Ocean: Till the End of Time</t>
  </si>
  <si>
    <t>Star Ocean: The Last Hope - 4K &amp; FHD Remaster</t>
  </si>
  <si>
    <t>Horizon Forbidden West</t>
  </si>
  <si>
    <t>Dragon Ball Xenoverse 2</t>
  </si>
  <si>
    <t>Spiritfarer: Farewell Edition</t>
  </si>
  <si>
    <t>LEGO Star Wars: The Skywalker Saga</t>
  </si>
  <si>
    <t>Five Nights at Freddy's: Security Breach</t>
  </si>
  <si>
    <t>ENDER LILIES: Quietus of the Knights</t>
  </si>
  <si>
    <t>NBA 2K24: Kobe Bryant Edition</t>
  </si>
  <si>
    <t>Leaves game pass in under 6 months, probably the same</t>
  </si>
  <si>
    <t>Need for Speed: Unbound</t>
  </si>
  <si>
    <t>Sea of Stars</t>
  </si>
  <si>
    <t>Destroy All Humans! 2: Reprobed</t>
  </si>
  <si>
    <t>Lost Judgment</t>
  </si>
  <si>
    <t>Midnight Fight Express</t>
  </si>
  <si>
    <t>Moving Out 2</t>
  </si>
  <si>
    <t>Spellforce III: Reforced</t>
  </si>
  <si>
    <t>Wild Arms 2</t>
  </si>
  <si>
    <t>Destroy All Humans! (2020)</t>
  </si>
  <si>
    <t>Trials of Mana</t>
  </si>
  <si>
    <t>Among Us</t>
  </si>
  <si>
    <t>Borderlands 3</t>
  </si>
  <si>
    <t>NHL 24</t>
  </si>
  <si>
    <t>Tiny Tina's Wonderlands: Next-Level Edition</t>
  </si>
  <si>
    <t>Dysmantle</t>
  </si>
  <si>
    <t>Fast &amp; Furious: Spy Racers Rise of SH1FT3R</t>
  </si>
  <si>
    <t>My Little Pony: A Maretime Bay Adventure</t>
  </si>
  <si>
    <t>Saints Row IV: Re-Elected</t>
  </si>
  <si>
    <t>Kingdom: Two Crowns</t>
  </si>
  <si>
    <t>SpongeBob Squarepants: The Cosmic Shake</t>
  </si>
  <si>
    <t>AEW: Fight Forever</t>
  </si>
  <si>
    <t>Streets of Rage 4</t>
  </si>
  <si>
    <t>EA Sports FC 24</t>
  </si>
  <si>
    <t>MotoGP 23</t>
  </si>
  <si>
    <t>Monster Jam: Steel Titans</t>
  </si>
  <si>
    <t>SpongeBob SquarePants: Battle for Bikini Bottom - Rehydrated</t>
  </si>
  <si>
    <t>DC League of Super-Pets: The Adventures of Krypto and Ace</t>
  </si>
  <si>
    <t>Dodgeball Academia</t>
  </si>
  <si>
    <t>The Talos Principle: Deluxe Edition</t>
  </si>
  <si>
    <t>The Wild at Heart</t>
  </si>
  <si>
    <t>Brothers: A Tale of Two Sons</t>
  </si>
  <si>
    <t>Slime Rancher</t>
  </si>
  <si>
    <t>Telling Lies</t>
  </si>
  <si>
    <t>Unturned</t>
  </si>
  <si>
    <t>Baja: Edge of Control HD</t>
  </si>
  <si>
    <t>Indivisible</t>
  </si>
  <si>
    <t>Ghostrunner 2</t>
  </si>
  <si>
    <t>Destiny 2: Lightfall</t>
  </si>
  <si>
    <t>Tunic</t>
  </si>
  <si>
    <t>ELEX II</t>
  </si>
  <si>
    <t>MX vs. ATV Legends</t>
  </si>
  <si>
    <t>Darksiders Genesis</t>
  </si>
  <si>
    <t>Darksiders III</t>
  </si>
  <si>
    <t>Sundered: Eldritch Edition</t>
  </si>
  <si>
    <t>Darksiders II: Deathinitive Edition</t>
  </si>
  <si>
    <t>Darksiders: Warmastered Edition</t>
  </si>
  <si>
    <t>Kingdoms of Amalur: Re-Reckoning</t>
  </si>
  <si>
    <t>Wreckfest</t>
  </si>
  <si>
    <t>Horizon Zero Dawn: Complete Edition</t>
  </si>
  <si>
    <t>I Am Dead</t>
  </si>
  <si>
    <t>Last Stop</t>
  </si>
  <si>
    <t>The Artful Escape</t>
  </si>
  <si>
    <t>Absolver: Downfall</t>
  </si>
  <si>
    <t>Abzû</t>
  </si>
  <si>
    <t>Adr1ft</t>
  </si>
  <si>
    <t>Ashen</t>
  </si>
  <si>
    <t>Elex</t>
  </si>
  <si>
    <t>Final Fantasy XV: Royal Edition</t>
  </si>
  <si>
    <t>How To Survive 2</t>
  </si>
  <si>
    <t>Jotun: Valhalla Edition</t>
  </si>
  <si>
    <t>Minit</t>
  </si>
  <si>
    <t>Monster Jam Steel Titans 2</t>
  </si>
  <si>
    <t>My Friend Pedro</t>
  </si>
  <si>
    <t>Observation</t>
  </si>
  <si>
    <t>The Messenger</t>
  </si>
  <si>
    <t>This is the Police</t>
  </si>
  <si>
    <t>This is the Police 2</t>
  </si>
  <si>
    <t>World of Final Fantasy</t>
  </si>
  <si>
    <t>Final Fantasy XII: The Zodiac Age</t>
  </si>
  <si>
    <t>Final Fantasy X/X-2: HD Remaster</t>
  </si>
  <si>
    <t>Final Fantasy VIII: Remastered</t>
  </si>
  <si>
    <t>Final Fantasy IX</t>
  </si>
  <si>
    <t>Final Fantasy VII</t>
  </si>
  <si>
    <t>Immortals of Aveum</t>
  </si>
  <si>
    <t>Minecraft: Legends</t>
  </si>
  <si>
    <t>Skul: The Hero Slayer</t>
  </si>
  <si>
    <t>Chicken Police: Paint it RED!</t>
  </si>
  <si>
    <t>Dangerous Golf</t>
  </si>
  <si>
    <t>Everspace</t>
  </si>
  <si>
    <t>FIGHTING EX LAYER</t>
  </si>
  <si>
    <t>Gunvolt Chronicles: Luminous Avenger iX</t>
  </si>
  <si>
    <t>Necromunda: Underhive Wars</t>
  </si>
  <si>
    <t>R-Type Final 2</t>
  </si>
  <si>
    <t xml:space="preserve">Reel Fishing: Road Trip Adventure </t>
  </si>
  <si>
    <t>Soulcalibur VI</t>
  </si>
  <si>
    <t>Nights of Azure</t>
  </si>
  <si>
    <t>Nights of Azure 2: Bride of the New Moon</t>
  </si>
  <si>
    <t>Warriors All-Stars</t>
  </si>
  <si>
    <t>Hello Neighbor 2</t>
  </si>
  <si>
    <t>F1 23</t>
  </si>
  <si>
    <t>SIFU</t>
  </si>
  <si>
    <t>Sid Meier's Civilization VI</t>
  </si>
  <si>
    <t>Haven</t>
  </si>
  <si>
    <t>NEO: The World Ends with You</t>
  </si>
  <si>
    <t>Tchia</t>
  </si>
  <si>
    <t>Code Vein</t>
  </si>
  <si>
    <t>Outer Wilds</t>
  </si>
  <si>
    <t>Steelrising</t>
  </si>
  <si>
    <t>Foamstars</t>
  </si>
  <si>
    <t>Rollerdrome</t>
  </si>
  <si>
    <t>Tacoma</t>
  </si>
  <si>
    <t>I am Setsuna</t>
  </si>
  <si>
    <t>Lost Sphear</t>
  </si>
  <si>
    <t>Oninaki</t>
  </si>
  <si>
    <t>Resident Evil 7: Biohazard</t>
  </si>
  <si>
    <t>Tekken 7</t>
  </si>
  <si>
    <t>Hue</t>
  </si>
  <si>
    <t>Lost Words: Beyond The Page</t>
  </si>
  <si>
    <t>Thomas Was Alone</t>
  </si>
  <si>
    <t>A Plague Tale: Requiem</t>
  </si>
  <si>
    <t>Evil West</t>
  </si>
  <si>
    <t>Nobody Saves the World</t>
  </si>
  <si>
    <t>Snowrunner</t>
  </si>
  <si>
    <t>Devil May Cry 5: Special Edition</t>
  </si>
  <si>
    <t>JETT: The Far Shore</t>
  </si>
  <si>
    <t>OMNO</t>
  </si>
  <si>
    <t>Pillars of Eternity II: Deadfire - Ultimate Edition</t>
  </si>
  <si>
    <t>Mitsurugi Kamui Hikae</t>
  </si>
  <si>
    <t>The Missing: J.J. Macfield and the Island of Memories</t>
  </si>
  <si>
    <t>Sable</t>
  </si>
  <si>
    <t>Lego 2K Drive</t>
  </si>
  <si>
    <t>Powerwash Simulator</t>
  </si>
  <si>
    <t>Back 4 Blood</t>
  </si>
  <si>
    <t>Middle-Earth: Shadow of Mordor</t>
  </si>
  <si>
    <t>Middle-Earth: Shadow of War</t>
  </si>
  <si>
    <t>The Escapists 2</t>
  </si>
  <si>
    <t>Yakuza 6: The Song of Life</t>
  </si>
  <si>
    <t>Foreclosed</t>
  </si>
  <si>
    <t>Caladrius Blaze</t>
  </si>
  <si>
    <t>Damascus Gear: Operation Tokyo - HD Edition</t>
  </si>
  <si>
    <t>El Hijo: A Wild West Tale</t>
  </si>
  <si>
    <t>Friday the 13th: The Game</t>
  </si>
  <si>
    <t>Legends of Ethernal</t>
  </si>
  <si>
    <t>Aliens: Fireteam Elite</t>
  </si>
  <si>
    <t>Dragon Ball: The Breakers</t>
  </si>
  <si>
    <t>Mafia II: Definitive Edition</t>
  </si>
  <si>
    <t>Ace of Seafood</t>
  </si>
  <si>
    <t>ConnecTank</t>
  </si>
  <si>
    <t>Dandara: Trials of Fear Edition</t>
  </si>
  <si>
    <t>Giana Sisters: Twisted Dreams - Director's Cut</t>
  </si>
  <si>
    <t>Momodora: Reverie Under The Moonlight</t>
  </si>
  <si>
    <t>My Time at Portia</t>
  </si>
  <si>
    <t>Wild Guns: Reloaded</t>
  </si>
  <si>
    <t>Farming Simulator 22</t>
  </si>
  <si>
    <t>The Callisto Protocol</t>
  </si>
  <si>
    <t>Weird West</t>
  </si>
  <si>
    <t>The Quarry</t>
  </si>
  <si>
    <t>The Medium</t>
  </si>
  <si>
    <t>INSIDE</t>
  </si>
  <si>
    <t>Yakuza 5: Remastered</t>
  </si>
  <si>
    <t>Yakuza 4: Remastered</t>
  </si>
  <si>
    <t>Yakuza 3: Remastered</t>
  </si>
  <si>
    <t>Limbo</t>
  </si>
  <si>
    <t>Astebreed</t>
  </si>
  <si>
    <t>Clouds &amp; Sheep 2</t>
  </si>
  <si>
    <t>Gal Gunvolt Burst</t>
  </si>
  <si>
    <t>TorqueL</t>
  </si>
  <si>
    <t>The Crew</t>
  </si>
  <si>
    <t>Goosebumps: The Game</t>
  </si>
  <si>
    <t>Saints Row (2022)</t>
  </si>
  <si>
    <t>Black Desert: Traveler Edition</t>
  </si>
  <si>
    <t>Generation Zero</t>
  </si>
  <si>
    <t>Chicory: A Colorful Tale</t>
  </si>
  <si>
    <t>Deathloop</t>
  </si>
  <si>
    <t>Death end re;Quest2</t>
  </si>
  <si>
    <t>Nidhogg 2</t>
  </si>
  <si>
    <t>Through The Darkest of Times</t>
  </si>
  <si>
    <t>Umbrella Corps</t>
  </si>
  <si>
    <t>Death's Door</t>
  </si>
  <si>
    <t>PGA Tour 2K23</t>
  </si>
  <si>
    <t>Yakuza 0</t>
  </si>
  <si>
    <t>Yakuza Kiwami</t>
  </si>
  <si>
    <t>Yakuza Kiwami 2</t>
  </si>
  <si>
    <t>DCL: The Game</t>
  </si>
  <si>
    <t>GRIP Combat Racing</t>
  </si>
  <si>
    <t>8-Bit Armies</t>
  </si>
  <si>
    <t>Nidhogg</t>
  </si>
  <si>
    <t>Alan Wake: Remastered</t>
  </si>
  <si>
    <t>Call of Duty: Black Ops Cold War</t>
  </si>
  <si>
    <t>Endling: Extinction is Forever</t>
  </si>
  <si>
    <t>Marvel's Avengers</t>
  </si>
  <si>
    <t>Saints Row: Gat out of Hell</t>
  </si>
  <si>
    <t>Rogue Stormers</t>
  </si>
  <si>
    <t>Borderlands: The Handsome Collection</t>
  </si>
  <si>
    <t>Raiden V: Director's Cut</t>
  </si>
  <si>
    <t>Bioshock 2: Remastered</t>
  </si>
  <si>
    <t>Bioshock Infinite: The Complete Edition</t>
  </si>
  <si>
    <t>Bioshock: Remastered</t>
  </si>
  <si>
    <t>Xbox 360</t>
  </si>
  <si>
    <t>Fluster Cluck</t>
  </si>
  <si>
    <t>NBA 2K23</t>
  </si>
  <si>
    <t>Trek to Yomi</t>
  </si>
  <si>
    <t>Descenders</t>
  </si>
  <si>
    <t>Wytchwood</t>
  </si>
  <si>
    <t>9 Monkeys of Shaolin</t>
  </si>
  <si>
    <t>Agents of Mayhem</t>
  </si>
  <si>
    <t>Ash of Gods: Redemption</t>
  </si>
  <si>
    <t>Avicii Invector</t>
  </si>
  <si>
    <t>Gods Will Fall</t>
  </si>
  <si>
    <t>KeyWe</t>
  </si>
  <si>
    <t>No Straight Roads</t>
  </si>
  <si>
    <t>Party Hard</t>
  </si>
  <si>
    <t>Redeemer: Enhanced Edition</t>
  </si>
  <si>
    <t>Red Faction II</t>
  </si>
  <si>
    <t>John Wick Hex</t>
  </si>
  <si>
    <t>Black Mirror</t>
  </si>
  <si>
    <t>Red Faction</t>
  </si>
  <si>
    <t>Joe Dever's Lone Wolf</t>
  </si>
  <si>
    <t>Defense Grid 2</t>
  </si>
  <si>
    <t>Chivalry II</t>
  </si>
  <si>
    <t>GRID: Legends</t>
  </si>
  <si>
    <t>Balan Wonderworld</t>
  </si>
  <si>
    <t>Kona</t>
  </si>
  <si>
    <t>Marvel's Spider-Man: Game of the Year Edition</t>
  </si>
  <si>
    <t>Tour de France 2021</t>
  </si>
  <si>
    <t>Chocobo's Mystery Dungeon EVERY BUDDY!</t>
  </si>
  <si>
    <t>Chronos: Before the Ashes</t>
  </si>
  <si>
    <t>Dreamfall Chapters</t>
  </si>
  <si>
    <t>Graveyard Keeper</t>
  </si>
  <si>
    <t>Homefront: The Revolution</t>
  </si>
  <si>
    <t>Injustice 2</t>
  </si>
  <si>
    <t>Last Day of June</t>
  </si>
  <si>
    <t>Left Alive: Day One Edition</t>
  </si>
  <si>
    <t>Mighty No. 9</t>
  </si>
  <si>
    <t>MX vs. ATV: All Out</t>
  </si>
  <si>
    <t>NBA 2K Playgrounds 2</t>
  </si>
  <si>
    <t>Pathfinder: Kingmaker - Definitive Edition</t>
  </si>
  <si>
    <t>Shenmue III</t>
  </si>
  <si>
    <t>Star Ocean First Departure R</t>
  </si>
  <si>
    <t>TT Isle of Man: Ride of the Edge 2</t>
  </si>
  <si>
    <t>Virginia</t>
  </si>
  <si>
    <t>Windbound</t>
  </si>
  <si>
    <t>Batman: Return to Arkham - Arkham Asylum</t>
  </si>
  <si>
    <t>Batman: Return to Arkham - Arkham City</t>
  </si>
  <si>
    <t>Deadlight: Director's Cut</t>
  </si>
  <si>
    <t>LEGO Harry Potter Collection</t>
  </si>
  <si>
    <t>Metro 2033: Redux</t>
  </si>
  <si>
    <t>Metro: Last Light - Redux</t>
  </si>
  <si>
    <t>Red Faction: Guerrilla Re-Mars-tered</t>
  </si>
  <si>
    <t>Resident Evil (2015)</t>
  </si>
  <si>
    <t>Relicta</t>
  </si>
  <si>
    <t>This War of Mine: The Little Ones</t>
  </si>
  <si>
    <t>How to Survive: Storm Warning Edition</t>
  </si>
  <si>
    <t>Pixel Piracy</t>
  </si>
  <si>
    <t>Essential (PS+ Collection)</t>
  </si>
  <si>
    <t>Must claim on a PS5</t>
  </si>
  <si>
    <t>Call of Duty: Black Ops III - Zombies Chronicles Edition</t>
  </si>
  <si>
    <t>Crash Bandicoot N. Sane Trilogy</t>
  </si>
  <si>
    <t>God of War (2018)</t>
  </si>
  <si>
    <t>Monster Hunter: World</t>
  </si>
  <si>
    <t>Mortal Kombat X</t>
  </si>
  <si>
    <t>Ratchet and Clank (2016)</t>
  </si>
  <si>
    <t>Resident Evil 7: biohazard</t>
  </si>
  <si>
    <t>The Last of Us: Remastered</t>
  </si>
  <si>
    <t>Meet Your Maker</t>
  </si>
  <si>
    <t>Tails of Iron</t>
  </si>
  <si>
    <t>2Dark</t>
  </si>
  <si>
    <t>Croixleur Sigma</t>
  </si>
  <si>
    <t>Gabbuchi</t>
  </si>
  <si>
    <t>Marvel Puzzle Quest</t>
  </si>
  <si>
    <t>The Caligula Effect: Overdose</t>
  </si>
  <si>
    <t>The Wonderful 101: Remastered</t>
  </si>
  <si>
    <t>Naruto Shippuden: Ultimate Ninja Storm 4</t>
  </si>
  <si>
    <t>Minecraft: Dungeons</t>
  </si>
  <si>
    <t>Monster Energy Supercross: The Official Videogame 5</t>
  </si>
  <si>
    <t>Danger Zone</t>
  </si>
  <si>
    <t>Ghost of a Tale</t>
  </si>
  <si>
    <t>Override 2: Super Mech League</t>
  </si>
  <si>
    <t>The Vanishing of Ethan Carter</t>
  </si>
  <si>
    <t>Victor Vran: Overkill Edition</t>
  </si>
  <si>
    <t>Dungeons 2</t>
  </si>
  <si>
    <t>Velocibox</t>
  </si>
  <si>
    <t>WWE 2K22</t>
  </si>
  <si>
    <t>Destiny 2: Beyond Light</t>
  </si>
  <si>
    <t>Evil Dead: The Game</t>
  </si>
  <si>
    <t>OlliOlli World</t>
  </si>
  <si>
    <t>Mafia: Definitive Edition</t>
  </si>
  <si>
    <t>Grand Theft Auto: Vice City - The Definitive Edition</t>
  </si>
  <si>
    <t>Agatha Christie: The ABC Murders</t>
  </si>
  <si>
    <t>Pure Farming 2018</t>
  </si>
  <si>
    <t>Rad Rodgers</t>
  </si>
  <si>
    <t>Sine Mora EX</t>
  </si>
  <si>
    <t>SkyDrift Infinity</t>
  </si>
  <si>
    <t>Sparkle Unleashed</t>
  </si>
  <si>
    <t>The Turing Test</t>
  </si>
  <si>
    <t>Saints Row: The Third - Remastered</t>
  </si>
  <si>
    <t>The Book of Unwritten Tales 2</t>
  </si>
  <si>
    <t>Whispering Willows</t>
  </si>
  <si>
    <t>Axiom Verge 2</t>
  </si>
  <si>
    <t>Star Wars Jedi: Fallen Order</t>
  </si>
  <si>
    <t>Electronic Super Joy</t>
  </si>
  <si>
    <t>Enigmatis: The Ghosts of Maple Creek</t>
  </si>
  <si>
    <t>Masters of Anima</t>
  </si>
  <si>
    <t>Seasons After Fall</t>
  </si>
  <si>
    <t>Shiness: The Lightning Kingdom</t>
  </si>
  <si>
    <t>Space Hulk: Tactics</t>
  </si>
  <si>
    <t>The Council: The Complete Season</t>
  </si>
  <si>
    <t>JumpJet Rex</t>
  </si>
  <si>
    <t>Leo's Fortune</t>
  </si>
  <si>
    <t>The Last Tinker: City of Colors</t>
  </si>
  <si>
    <t>Bound by Flame</t>
  </si>
  <si>
    <t>Divine Knockout</t>
  </si>
  <si>
    <t>Biomutant</t>
  </si>
  <si>
    <t>Mass Effect: Legendary Edition</t>
  </si>
  <si>
    <t>Pillars of Eternity: Complete Edition</t>
  </si>
  <si>
    <t>Heavenly Bodies</t>
  </si>
  <si>
    <t>Nioh 2: Remastered</t>
  </si>
  <si>
    <t>Greedfall</t>
  </si>
  <si>
    <t>MXGP 2021</t>
  </si>
  <si>
    <t>Mafia III: Definitive Edition</t>
  </si>
  <si>
    <t>Dead Nation: Apocalypse Edition</t>
  </si>
  <si>
    <t>RIDE 4</t>
  </si>
  <si>
    <t>Hot Wheels Unleashed</t>
  </si>
  <si>
    <t>SUPERHOT</t>
  </si>
  <si>
    <t>SOMA</t>
  </si>
  <si>
    <t>PGA Tour 2K21</t>
  </si>
  <si>
    <t>Need for Speed: Heat</t>
  </si>
  <si>
    <t>Granblue Fantasy: Versus</t>
  </si>
  <si>
    <t>Toem</t>
  </si>
  <si>
    <t>Tony Hawk's Pro Skater 1 + 2</t>
  </si>
  <si>
    <t>Yakuza: Like A Dragon</t>
  </si>
  <si>
    <t>NBA 2K22</t>
  </si>
  <si>
    <t>WRC 10: FIA World Rally Championship</t>
  </si>
  <si>
    <t>Killzone: Shadow Fall - Intercept</t>
  </si>
  <si>
    <t>Crash Bandicoot 4: It's About Time</t>
  </si>
  <si>
    <t>Arcadegeddon</t>
  </si>
  <si>
    <t>Syberia</t>
  </si>
  <si>
    <t>Naruto to Boruto: Shinobi Strikers</t>
  </si>
  <si>
    <t>Nickelodeon All-Star Brawl</t>
  </si>
  <si>
    <t>Shadow Warrior 3</t>
  </si>
  <si>
    <t>Blasphemous: Wounds of Eventide</t>
  </si>
  <si>
    <t>Playstation Now (Discontinued)</t>
  </si>
  <si>
    <t>Kerbal Space Program</t>
  </si>
  <si>
    <t>Grand Theft Auto III: The Definitive Edition</t>
  </si>
  <si>
    <t>Amnesia: Collection</t>
  </si>
  <si>
    <t>Monster Jam Steel Titans</t>
  </si>
  <si>
    <t>Firewatch</t>
  </si>
  <si>
    <t>PlayerUnknown's Battlegrounds</t>
  </si>
  <si>
    <t>Farming Simulator 19</t>
  </si>
  <si>
    <t>RIDE 3</t>
  </si>
  <si>
    <t>Titan Quest</t>
  </si>
  <si>
    <t>de Blob</t>
  </si>
  <si>
    <t>MotoGP 17</t>
  </si>
  <si>
    <t>Monster Energy Supercross - The Official Videogame</t>
  </si>
  <si>
    <t>Real Farm</t>
  </si>
  <si>
    <t>DARK ARCANA: THE CARNIVAL</t>
  </si>
  <si>
    <t>Wuppo</t>
  </si>
  <si>
    <t>Tachyon Project</t>
  </si>
  <si>
    <t>MXGP3: The Official Motocross Videogame</t>
  </si>
  <si>
    <t>Desert Child</t>
  </si>
  <si>
    <t>RIVE</t>
  </si>
  <si>
    <t>Gal*Gun: Double Peace</t>
  </si>
  <si>
    <t>Inside My Radio</t>
  </si>
  <si>
    <t>Miko Gakkou Monogatari: Kaede Episode</t>
  </si>
  <si>
    <t>Majin and the Forsaken Kingdom</t>
  </si>
  <si>
    <t>DiRT 4</t>
  </si>
  <si>
    <t>WWE 2K18</t>
  </si>
  <si>
    <t>A Bastard's Tale</t>
  </si>
  <si>
    <t>Pac-Man Championship Edition 2</t>
  </si>
  <si>
    <t>Battlefield 4</t>
  </si>
  <si>
    <t>Dead Space 3</t>
  </si>
  <si>
    <t>F1 2017</t>
  </si>
  <si>
    <t>Battlefield Hardline</t>
  </si>
  <si>
    <t>Metal Gear Solid: Peace Walker</t>
  </si>
  <si>
    <t>Need for Speed Rivals</t>
  </si>
  <si>
    <t>Project Cars 2</t>
  </si>
  <si>
    <t>God Eater 2: Rage Burst</t>
  </si>
  <si>
    <t>Onechanbara Z2: Chaos</t>
  </si>
  <si>
    <t>The Spectrum Retreat</t>
  </si>
  <si>
    <t>Slime-san Superslime Edition</t>
  </si>
  <si>
    <t>Vegas Party</t>
  </si>
  <si>
    <t>Bokosuka Wars II</t>
  </si>
  <si>
    <t>Plague Road</t>
  </si>
  <si>
    <t>Neurovoider</t>
  </si>
  <si>
    <t>Pixel Heroes: Byte &amp; Magic</t>
  </si>
  <si>
    <t>Battalion Commander</t>
  </si>
  <si>
    <t>Momonga Pinball Adventures</t>
  </si>
  <si>
    <t>The Keeper of 4 Elements</t>
  </si>
  <si>
    <t>Mordheim - City of the Damned</t>
  </si>
  <si>
    <t>Castle Invasion: Throne Out</t>
  </si>
  <si>
    <t>The Metronomicon: Slay the Dance Floor</t>
  </si>
  <si>
    <t>Assault Suit Leynos</t>
  </si>
  <si>
    <t>Soul Axiom</t>
  </si>
  <si>
    <t>Neon Chrome</t>
  </si>
  <si>
    <t>Square Heroes</t>
  </si>
  <si>
    <t>Amazing Discoveries in Outer Space</t>
  </si>
  <si>
    <t>Obliteracers</t>
  </si>
  <si>
    <t>A Boy and His Blob</t>
  </si>
  <si>
    <t>Act It Out! A Game Of Charades</t>
  </si>
  <si>
    <t>Zotrix</t>
  </si>
  <si>
    <t>Skyscrappers</t>
  </si>
  <si>
    <t>Super Toy Cars</t>
  </si>
  <si>
    <t>Mastercube</t>
  </si>
  <si>
    <t>Legend of Kay Anniversary</t>
  </si>
  <si>
    <t>Chronicles of Teddy: Harmony of Exidus</t>
  </si>
  <si>
    <t>Minutes</t>
  </si>
  <si>
    <t>The Treasures of Montezuma 4</t>
  </si>
  <si>
    <t>Matching Puzzle</t>
  </si>
  <si>
    <t>In Space We Brawl</t>
  </si>
  <si>
    <t>Natural Doctrine</t>
  </si>
  <si>
    <t>Velocity 2X</t>
  </si>
  <si>
    <t>Strike Suit Zero: Director's Cut</t>
  </si>
  <si>
    <t>Battle Worlds: Kronos</t>
  </si>
  <si>
    <t>Turn-Based Strategy</t>
  </si>
  <si>
    <t>Fairy Fencer F: Advent Dark Force</t>
  </si>
  <si>
    <t>Pumped BMX+</t>
  </si>
  <si>
    <t>Reus</t>
  </si>
  <si>
    <t>World to the West</t>
  </si>
  <si>
    <t>Guilty Gear Xrd Rev 2</t>
  </si>
  <si>
    <t>Harvest Moon: Save the Homeland</t>
  </si>
  <si>
    <t>Destroy All Humans! 2</t>
  </si>
  <si>
    <t>Bridge Constructor</t>
  </si>
  <si>
    <t>100ft Robot Golf</t>
  </si>
  <si>
    <t>Styx: Shards of Darkness</t>
  </si>
  <si>
    <t>Ducati: 90th Anniversary</t>
  </si>
  <si>
    <t>Asdivine Hearts</t>
  </si>
  <si>
    <t>Costume Quest 2</t>
  </si>
  <si>
    <t>Torment: Tides of Numenera</t>
  </si>
  <si>
    <t>Moto Racer 4</t>
  </si>
  <si>
    <t>Alchemic Jousts</t>
  </si>
  <si>
    <t>God Eater: Resurrection</t>
  </si>
  <si>
    <t>Aces of the Luftwaffe</t>
  </si>
  <si>
    <t>Project Cars</t>
  </si>
  <si>
    <t>Bard's Gold</t>
  </si>
  <si>
    <t>Doki-Doki Universe</t>
  </si>
  <si>
    <t>Sound Shapes</t>
  </si>
  <si>
    <t>Gem Smashers</t>
  </si>
  <si>
    <t>Touhou: Scarlet Curiosity</t>
  </si>
  <si>
    <t>BRUT@L</t>
  </si>
  <si>
    <t>Lost Sea</t>
  </si>
  <si>
    <t>Another World: 20th Anniversary Edition</t>
  </si>
  <si>
    <t>BlazBlue: Central Fiction</t>
  </si>
  <si>
    <t>MXGP2: The Official Motocross Videogame</t>
  </si>
  <si>
    <t>Harvest Moon: A Wonderful Life - Special Edition</t>
  </si>
  <si>
    <t>Firefighters: The Simulation</t>
  </si>
  <si>
    <t>Table Top Racing: World Tour</t>
  </si>
  <si>
    <t>Adam's Venture: Origins</t>
  </si>
  <si>
    <t>Aegis of Earth: Protonovus Assault</t>
  </si>
  <si>
    <t>Sebastien Loeb Rally Evo</t>
  </si>
  <si>
    <t>WRC 5: FIA World Rally Championship</t>
  </si>
  <si>
    <t>Mystery Chronicle: One Way Heroics</t>
  </si>
  <si>
    <t>BlazBlue: Chrono Phantasma EXTEND</t>
  </si>
  <si>
    <t>Azkend 2</t>
  </si>
  <si>
    <t>Mantis Burn Racing</t>
  </si>
  <si>
    <t>F1 2016</t>
  </si>
  <si>
    <t>Dynamite Fishing World Games</t>
  </si>
  <si>
    <t>Dead Island: Retro Revenge</t>
  </si>
  <si>
    <t>Baseball Riot</t>
  </si>
  <si>
    <t>Risen 3: Titan Lords - Enhanced Edition</t>
  </si>
  <si>
    <t>Saints Row: Gat Out of Hell</t>
  </si>
  <si>
    <t>The Unfinished Swan</t>
  </si>
  <si>
    <t>Clockwork Tales: Of Glass and Ink</t>
  </si>
  <si>
    <t>Zombie Vikings</t>
  </si>
  <si>
    <t>Assetto Corsa</t>
  </si>
  <si>
    <t>Lords of the Fallen</t>
  </si>
  <si>
    <t>Tiny Brains</t>
  </si>
  <si>
    <t>Professional Farmer 2017</t>
  </si>
  <si>
    <t>Virtual Career</t>
  </si>
  <si>
    <t>DiRT Rally</t>
  </si>
  <si>
    <t>Grand Kingdom</t>
  </si>
  <si>
    <t>Bombing Busters</t>
  </si>
  <si>
    <t>Motorcycle Club</t>
  </si>
  <si>
    <t>Backgammon Blitz</t>
  </si>
  <si>
    <t>Yakuza 4</t>
  </si>
  <si>
    <t>Fat Princess Adventures</t>
  </si>
  <si>
    <t>PixelJunk Shooter Ultimate</t>
  </si>
  <si>
    <t>Everybody's Gone to the Rapture</t>
  </si>
  <si>
    <t>Escape Plan</t>
  </si>
  <si>
    <t>Tennis in the Face</t>
  </si>
  <si>
    <t>MouseCraft</t>
  </si>
  <si>
    <t>Sparkle 2</t>
  </si>
  <si>
    <t>Siegecraft Commander</t>
  </si>
  <si>
    <t>Industry Giant 2</t>
  </si>
  <si>
    <t>Super Dungeon Bros</t>
  </si>
  <si>
    <t>Brick Breaker</t>
  </si>
  <si>
    <t>Active Soccer 2 DX</t>
  </si>
  <si>
    <t>Tetraminos</t>
  </si>
  <si>
    <t>ArcaniA - The Complete Tale</t>
  </si>
  <si>
    <t>Dishonored</t>
  </si>
  <si>
    <t>Wet</t>
  </si>
  <si>
    <t>The Deer God</t>
  </si>
  <si>
    <t>Forestry 2017: The Simulation</t>
  </si>
  <si>
    <t>Ziggurat</t>
  </si>
  <si>
    <t>Stikbold! A Dodgeball Adventure</t>
  </si>
  <si>
    <t>Day of the Tentacle Remastered</t>
  </si>
  <si>
    <t>The Bug Butcher</t>
  </si>
  <si>
    <t>Poncho</t>
  </si>
  <si>
    <t>One Upon Light</t>
  </si>
  <si>
    <t>NOVA-111</t>
  </si>
  <si>
    <t>The Swindle</t>
  </si>
  <si>
    <t>Nom Nom Galaxy</t>
  </si>
  <si>
    <t>Grim Fandango Remastered</t>
  </si>
  <si>
    <t>PixelJunk Nom Nom Galaxy</t>
  </si>
  <si>
    <t>Technomancer</t>
  </si>
  <si>
    <t>Overlord: Fellowship of Evil</t>
  </si>
  <si>
    <t>Extreme Exorcism</t>
  </si>
  <si>
    <t>Tokyo Twilight Ghost Hunters Daybreak: Special Gigs</t>
  </si>
  <si>
    <t>The Swapper</t>
  </si>
  <si>
    <t>Lone Survivor: The Director's Cut</t>
  </si>
  <si>
    <t>Wasteland 2: Director's Cut</t>
  </si>
  <si>
    <t>Tour de France 2016</t>
  </si>
  <si>
    <t>Titan Attacks!</t>
  </si>
  <si>
    <t>Ironcast</t>
  </si>
  <si>
    <t>OlliOlli2: Welcome to Olliwood</t>
  </si>
  <si>
    <t>Exist Archive: The Other Side of the Sky</t>
  </si>
  <si>
    <t>Blood Bowl 2</t>
  </si>
  <si>
    <t>Back to Bed</t>
  </si>
  <si>
    <t>F1 2015</t>
  </si>
  <si>
    <t>Super Stardust Ultra</t>
  </si>
  <si>
    <t>Guilty Gear Xrd -SIGN-</t>
  </si>
  <si>
    <t>Super Mega Baseball</t>
  </si>
  <si>
    <t>CastleStorm Definitive Edition</t>
  </si>
  <si>
    <t>Stick it to the Man</t>
  </si>
  <si>
    <t>Hardware Rivals</t>
  </si>
  <si>
    <t>Last Tinker: City of Colors</t>
  </si>
  <si>
    <t>Broken Age</t>
  </si>
  <si>
    <t>OlliOlli</t>
  </si>
  <si>
    <t>Brave</t>
  </si>
  <si>
    <t>Ratatouille</t>
  </si>
  <si>
    <t>Toy Story Mania</t>
  </si>
  <si>
    <t>Payday 2</t>
  </si>
  <si>
    <t>The Revenge of Shinobi</t>
  </si>
  <si>
    <t>Sonic the Fighters</t>
  </si>
  <si>
    <t>Virtua Fighter 2</t>
  </si>
  <si>
    <t>Sonic Adventure 2</t>
  </si>
  <si>
    <t>Super Hang-On</t>
  </si>
  <si>
    <t>SEGA Bass Fishing</t>
  </si>
  <si>
    <t>Fishing</t>
  </si>
  <si>
    <t>Sonic Adventure</t>
  </si>
  <si>
    <t>Sonic Unleashed</t>
  </si>
  <si>
    <t>Revenge of Shinobi</t>
  </si>
  <si>
    <t>Tekken Tag Tournament 2</t>
  </si>
  <si>
    <t>Dead to Rights: Retribution</t>
  </si>
  <si>
    <t>Tour de France 2015</t>
  </si>
  <si>
    <t>Syberia II</t>
  </si>
  <si>
    <t>The Legend of Heroes: Trails of Cold Steel II</t>
  </si>
  <si>
    <t>Nitroplus Blasterz: Heroines Infinite Duel</t>
  </si>
  <si>
    <t>Handball 16</t>
  </si>
  <si>
    <t>Rugby 15</t>
  </si>
  <si>
    <t>Crimsonland</t>
  </si>
  <si>
    <t>Don Bradman Cricket 14</t>
  </si>
  <si>
    <t>BlazeRush</t>
  </si>
  <si>
    <t>Hunter's Trophy 2 : Australia</t>
  </si>
  <si>
    <t>Rugby World Cup 2015</t>
  </si>
  <si>
    <t>Trine</t>
  </si>
  <si>
    <t>Burn Zombie Burn: The Diarrhea Bundle</t>
  </si>
  <si>
    <t>The House of the Dead 4</t>
  </si>
  <si>
    <t>The House of the Dead Overkill Extended Cut</t>
  </si>
  <si>
    <t>Silent Hill HD Collection</t>
  </si>
  <si>
    <t>The House of the Dead 3</t>
  </si>
  <si>
    <t>Ni No Kuni: Wrath of the White Witch</t>
  </si>
  <si>
    <t>The Legend of Heroes: Trails of Cold Steel</t>
  </si>
  <si>
    <t>The Awakened Fate Ultimatum</t>
  </si>
  <si>
    <t>Counter Spy</t>
  </si>
  <si>
    <t>Spec Ops: The Line</t>
  </si>
  <si>
    <t>Katamari Forever</t>
  </si>
  <si>
    <t>The Wolf Among Us</t>
  </si>
  <si>
    <t>Under Night In-Birth Exe:Late</t>
  </si>
  <si>
    <t>KILLZONE HD</t>
  </si>
  <si>
    <t>Super Stacker Party</t>
  </si>
  <si>
    <t>fLOW</t>
  </si>
  <si>
    <t>Journey</t>
  </si>
  <si>
    <t>Starhawk</t>
  </si>
  <si>
    <t>God of War: Ghost of Sparta</t>
  </si>
  <si>
    <t>Gravity Crash</t>
  </si>
  <si>
    <t>Flower</t>
  </si>
  <si>
    <t>KILLZONE 2</t>
  </si>
  <si>
    <t>God of War: Chains of Olympus</t>
  </si>
  <si>
    <t>Go! Puzzle</t>
  </si>
  <si>
    <t>Lemmings</t>
  </si>
  <si>
    <t>Marvel Puzzle Quest: Dark Reign</t>
  </si>
  <si>
    <t>Jeremy McGrath's Offroad</t>
  </si>
  <si>
    <t>WRC 4: FIA World Rally Championship</t>
  </si>
  <si>
    <t>DeathSpank: The Baconing</t>
  </si>
  <si>
    <t>Hunter's Trophy 2: America</t>
  </si>
  <si>
    <t>Mortal Kombat</t>
  </si>
  <si>
    <t>Zeno Clash II</t>
  </si>
  <si>
    <t>CAPCOM ARCADE CABINET</t>
  </si>
  <si>
    <t>Choplifter HD</t>
  </si>
  <si>
    <t>Oddworld: Stranger's Wrath HD</t>
  </si>
  <si>
    <t>Bodycount</t>
  </si>
  <si>
    <t>Sniper: Ghost Warrior</t>
  </si>
  <si>
    <t>Braid</t>
  </si>
  <si>
    <t>Painkiller - Hell and Damnation</t>
  </si>
  <si>
    <t>PixelJunk Sidescroller</t>
  </si>
  <si>
    <t>PixelJunk Shooter 2</t>
  </si>
  <si>
    <t>PixelJunk Shooter</t>
  </si>
  <si>
    <t>King Oddball</t>
  </si>
  <si>
    <t>Red Faction Battlegrounds</t>
  </si>
  <si>
    <t>Sniper: Ghost Warrior 2</t>
  </si>
  <si>
    <t>F1 2014</t>
  </si>
  <si>
    <t>Farming Simulator</t>
  </si>
  <si>
    <t>Farming</t>
  </si>
  <si>
    <t>Operation Flashpoint: Red River</t>
  </si>
  <si>
    <t>Galaga Legions DX</t>
  </si>
  <si>
    <t>Grid Autosport</t>
  </si>
  <si>
    <t>Sly Cooper Collection</t>
  </si>
  <si>
    <t>Dead Island: Riptide</t>
  </si>
  <si>
    <t>Guacamelee! Bundle Fantástico</t>
  </si>
  <si>
    <t>MotorStorm: Apocalypse</t>
  </si>
  <si>
    <t>PAC-MAN Championship Edition DX</t>
  </si>
  <si>
    <t>Port Royale 3: Gold</t>
  </si>
  <si>
    <t>Runner2: Future Legend of Rhythm Alien</t>
  </si>
  <si>
    <t>Saints Row IV</t>
  </si>
  <si>
    <t>Stealth Inc: A Clone in the Dark</t>
  </si>
  <si>
    <t>Virtua Fighter 5: Final Showdown</t>
  </si>
  <si>
    <t>Moto GP 13</t>
  </si>
  <si>
    <t>Spelunky</t>
  </si>
  <si>
    <t>The Last of Us</t>
  </si>
  <si>
    <t>Grid 2</t>
  </si>
  <si>
    <t>Sonic The Hedgehog 4 Episode II</t>
  </si>
  <si>
    <t>Sonic Generations</t>
  </si>
  <si>
    <t>de Blob 2</t>
  </si>
  <si>
    <t>KILLZONE 3</t>
  </si>
  <si>
    <t>Sonic The Hedgehog 4 Episode I</t>
  </si>
  <si>
    <t>LUMINES Supernova</t>
  </si>
  <si>
    <t>Mahjong Tales: Ancient Wisdom</t>
  </si>
  <si>
    <t>Mirror's Edge</t>
  </si>
  <si>
    <t>FIFA 22</t>
  </si>
  <si>
    <t>Playstation Plus (Discontinued)</t>
  </si>
  <si>
    <t>Tribes of Midgard</t>
  </si>
  <si>
    <t>Curse of the Dead Gods</t>
  </si>
  <si>
    <t>Sonic Forces</t>
  </si>
  <si>
    <t>Sonic Mania</t>
  </si>
  <si>
    <t>Team Sonic Racing</t>
  </si>
  <si>
    <t>WWE 2K19</t>
  </si>
  <si>
    <t>Valkyria Chronicles: Remastered</t>
  </si>
  <si>
    <t>Metal Gear Rising Revengeance Ultimate Edition</t>
  </si>
  <si>
    <t>Metal Gear Solid V: The Phantom Pain</t>
  </si>
  <si>
    <t>Metal Gear Solid V: Ground Zeroes</t>
  </si>
  <si>
    <t>Metal Gear Solid 4: Guns of the Patriots</t>
  </si>
  <si>
    <t>Destroy All Humans!</t>
  </si>
  <si>
    <t>The Dwarves</t>
  </si>
  <si>
    <t>Yakuza 5</t>
  </si>
  <si>
    <t>MX vs. ATV: Supercross Encore</t>
  </si>
  <si>
    <t>Alex Kidd in Miracle World</t>
  </si>
  <si>
    <t>Fighting Vipers</t>
  </si>
  <si>
    <t>Altered Beast</t>
  </si>
  <si>
    <t>Comix Zone</t>
  </si>
  <si>
    <t>Golden Axe</t>
  </si>
  <si>
    <t>Catherine</t>
  </si>
  <si>
    <t>Nights Into Dreams</t>
  </si>
  <si>
    <t>Virtua Fighter V</t>
  </si>
  <si>
    <t>Renegade Ops</t>
  </si>
  <si>
    <t>Crazy Taxi</t>
  </si>
  <si>
    <t>Bomberman Ultra</t>
  </si>
  <si>
    <t>Persona 5</t>
  </si>
  <si>
    <t>The Golf Club 2019 Featuring PGA Tour</t>
  </si>
  <si>
    <t>NBA 2K18</t>
  </si>
  <si>
    <t>Basketball</t>
  </si>
  <si>
    <t>Hotel Transylvania 3: Monsters Overboard</t>
  </si>
  <si>
    <t>No Time to Explain</t>
  </si>
  <si>
    <t>Exile's End</t>
  </si>
  <si>
    <t>Anomaly 2</t>
  </si>
  <si>
    <t>The Final Station</t>
  </si>
  <si>
    <t>Lovely Planet</t>
  </si>
  <si>
    <t>AKIBA'S BEAT</t>
  </si>
  <si>
    <t>Sonic CD</t>
  </si>
  <si>
    <t>Hood: Outlaws &amp; Legends</t>
  </si>
  <si>
    <t>ARK: Survival Evolved</t>
  </si>
  <si>
    <t>Ghost of Tsushima: Legends</t>
  </si>
  <si>
    <t>Planet Coaster: Console Edition</t>
  </si>
  <si>
    <t>UFC 4</t>
  </si>
  <si>
    <t>Tiny Tina's Assault on Dragon Keep: A Wonderlands One-Shot Adventure</t>
  </si>
  <si>
    <t>Superhot</t>
  </si>
  <si>
    <t>Persona 5 Strikers</t>
  </si>
  <si>
    <t>Dirt 5</t>
  </si>
  <si>
    <t>Deep Rock Galactic</t>
  </si>
  <si>
    <t>The Last of Us Part II</t>
  </si>
  <si>
    <t>Godfall: Challenger Edition</t>
  </si>
  <si>
    <t>Lego DC Super-Villains</t>
  </si>
  <si>
    <t>The Persistence</t>
  </si>
  <si>
    <t>The Walking Dead: Saints &amp; Sinners</t>
  </si>
  <si>
    <t>Until You Fall</t>
  </si>
  <si>
    <t>Knockout City</t>
  </si>
  <si>
    <t>First Class Trouble</t>
  </si>
  <si>
    <t>Hell Let Loose</t>
  </si>
  <si>
    <t>Overcooked: All You Can Eat!</t>
  </si>
  <si>
    <t>Predator: Hunting Grounds</t>
  </si>
  <si>
    <t>Hitman 2</t>
  </si>
  <si>
    <t>Hunter’s Arena: Legends</t>
  </si>
  <si>
    <t>Plants vs. Zombies: Battle for Neighborville</t>
  </si>
  <si>
    <t>Virtua Fighter 5 Ultimate Showdown</t>
  </si>
  <si>
    <t>The Witcher 3: Wild Hunt - Game of the Year Edition</t>
  </si>
  <si>
    <t>A Plague Tale: Innocence</t>
  </si>
  <si>
    <t>Call of Duty: Black Ops 4</t>
  </si>
  <si>
    <t>WWE 2K Battlegrounds</t>
  </si>
  <si>
    <t>Operation: Tango</t>
  </si>
  <si>
    <t>Star Wars: Squadrons</t>
  </si>
  <si>
    <t>Oddworld: Soulstorm</t>
  </si>
  <si>
    <t>Final Fantasy VII Remake</t>
  </si>
  <si>
    <t>Remnant: From the Ashes</t>
  </si>
  <si>
    <t>Maquette</t>
  </si>
  <si>
    <t>Farpoint</t>
  </si>
  <si>
    <t>Concrete Genie</t>
  </si>
  <si>
    <t>HITMAN 2</t>
  </si>
  <si>
    <t>Just Cause 4</t>
  </si>
  <si>
    <t>Rocket Arena</t>
  </si>
  <si>
    <t>Worms Rumble</t>
  </si>
  <si>
    <t>Need for Speed Payback</t>
  </si>
  <si>
    <t>Street Fighter V</t>
  </si>
  <si>
    <t>Fall Guys</t>
  </si>
  <si>
    <t>Call of Duty: Modern Warfare 2 Campaign Remastered</t>
  </si>
  <si>
    <t>NBA 2K20</t>
  </si>
  <si>
    <t>Star Wars Battlefront II</t>
  </si>
  <si>
    <t>Call of Duty: WWII</t>
  </si>
  <si>
    <t>Uncharted 4: A Thief’s End</t>
  </si>
  <si>
    <t>DiRT Rally 2.0</t>
  </si>
  <si>
    <t>Bioshock: The Collection</t>
  </si>
  <si>
    <t>The Sims 4</t>
  </si>
  <si>
    <t>Firewall Zero Hour</t>
  </si>
  <si>
    <t>Uncharted: The Nathan Drake Collection</t>
  </si>
  <si>
    <t>Goat Simulator</t>
  </si>
  <si>
    <t>Titanfall 2</t>
  </si>
  <si>
    <t>Monster Energy Supercross: The Game</t>
  </si>
  <si>
    <t>The Last of Us Remastered</t>
  </si>
  <si>
    <t>MLB The Show 19</t>
  </si>
  <si>
    <t>Batman Arkham Knight</t>
  </si>
  <si>
    <t>Wipeout Omega Collection</t>
  </si>
  <si>
    <t>Heavy Rain</t>
  </si>
  <si>
    <t>Horizon Chase Turbo</t>
  </si>
  <si>
    <t>Overcooked</t>
  </si>
  <si>
    <t>Conan: Exiles</t>
  </si>
  <si>
    <t>Call of Duty: Modern Warfare Remastered</t>
  </si>
  <si>
    <t>The Witness</t>
  </si>
  <si>
    <t>Hitman: The Complete First Season</t>
  </si>
  <si>
    <t>PS3/Vita</t>
  </si>
  <si>
    <t>Gunhouse</t>
  </si>
  <si>
    <t>PS4/Vita</t>
  </si>
  <si>
    <t>Rogue Aces</t>
  </si>
  <si>
    <t>Zone of the Enders HD Collection</t>
  </si>
  <si>
    <t>Amplitude</t>
  </si>
  <si>
    <t>PS4/PS3</t>
  </si>
  <si>
    <t>Fallen Legion: Flames of Rebellion</t>
  </si>
  <si>
    <t>Super Mutant Alien Assault</t>
  </si>
  <si>
    <t>Vita</t>
  </si>
  <si>
    <t>ONRUSH</t>
  </si>
  <si>
    <t>Steins;Gate</t>
  </si>
  <si>
    <t>Steredenn</t>
  </si>
  <si>
    <t>Iconoclasts</t>
  </si>
  <si>
    <t>Papers, Please</t>
  </si>
  <si>
    <t>The Jackbox Party Pack 2</t>
  </si>
  <si>
    <t>Arkedo Series</t>
  </si>
  <si>
    <t>Burly Men at Sea</t>
  </si>
  <si>
    <t>Roundabout</t>
  </si>
  <si>
    <t>Laser League</t>
  </si>
  <si>
    <t>Knowledge is Power</t>
  </si>
  <si>
    <t>Master Reboot</t>
  </si>
  <si>
    <t>The Bridge</t>
  </si>
  <si>
    <t>PS4/PS3/Vita</t>
  </si>
  <si>
    <t>2064: Read Only Memories</t>
  </si>
  <si>
    <t>Rocketbirds 2: Evolution</t>
  </si>
  <si>
    <t>Destiny 2</t>
  </si>
  <si>
    <t>Q.U.B.E Director's Cut</t>
  </si>
  <si>
    <t>Foul Play</t>
  </si>
  <si>
    <t>Mafia III</t>
  </si>
  <si>
    <t>Serious Sam 3: BFE</t>
  </si>
  <si>
    <t>Draw Slasher</t>
  </si>
  <si>
    <t>Space Hulk</t>
  </si>
  <si>
    <t>Absolver</t>
  </si>
  <si>
    <t>Rayman 3 HD</t>
  </si>
  <si>
    <t>Space Overlords</t>
  </si>
  <si>
    <t>Zero Escape: Zero Time Dilemma</t>
  </si>
  <si>
    <t>Call of Duty: Black Ops III</t>
  </si>
  <si>
    <t>Zombie Driver HD</t>
  </si>
  <si>
    <t>Tom Clancy’s Ghost Recon: Future Soldier</t>
  </si>
  <si>
    <t>Atomic Ninjas</t>
  </si>
  <si>
    <t>Squares</t>
  </si>
  <si>
    <t>Beyond: Two Souls</t>
  </si>
  <si>
    <t>Risen 3: Titan Lords</t>
  </si>
  <si>
    <t>Eat Them</t>
  </si>
  <si>
    <t>Furmins</t>
  </si>
  <si>
    <t>Mad Max</t>
  </si>
  <si>
    <t>99Vidas</t>
  </si>
  <si>
    <t>Q*Bert Rebooted</t>
  </si>
  <si>
    <t>Claire: Extended Cut</t>
  </si>
  <si>
    <t>RiME</t>
  </si>
  <si>
    <t>Starblood Arena</t>
  </si>
  <si>
    <t>Mugen Souls Z</t>
  </si>
  <si>
    <t>Exiles End</t>
  </si>
  <si>
    <t>Batman: The Telltale Series</t>
  </si>
  <si>
    <t>Sacred 3</t>
  </si>
  <si>
    <t>Book of Unwritten Tales 2</t>
  </si>
  <si>
    <t>Psycho-Pass: Mandatory Happiness</t>
  </si>
  <si>
    <t>Uncanny Valley</t>
  </si>
  <si>
    <t>Darksiders II Deathinitive Edition</t>
  </si>
  <si>
    <t>Kung Fu Panda: Showdown of Legendary Legends</t>
  </si>
  <si>
    <t>Syberia Collection</t>
  </si>
  <si>
    <t>Xblaze Lost: Memories</t>
  </si>
  <si>
    <t>Forma.8</t>
  </si>
  <si>
    <t>Wanted Corp</t>
  </si>
  <si>
    <t>Worms Battlegrounds</t>
  </si>
  <si>
    <t>Bound</t>
  </si>
  <si>
    <t>Until Dawn: Rush of Blood</t>
  </si>
  <si>
    <t>Dungeon Punks</t>
  </si>
  <si>
    <t>Broken Sword 5: The Serpent’s Curse (Episodes 1 &amp; 2)</t>
  </si>
  <si>
    <t>That’s You!</t>
  </si>
  <si>
    <t>RIGS: Mechanised Combat League</t>
  </si>
  <si>
    <t>Monster Jam Battlegrounds</t>
  </si>
  <si>
    <t>Sky Force Anniversary</t>
  </si>
  <si>
    <t>Strike Vector Ex</t>
  </si>
  <si>
    <t>Handball 2016</t>
  </si>
  <si>
    <t>We Are Doomed</t>
  </si>
  <si>
    <t>Hatoful Boyfriend</t>
  </si>
  <si>
    <t>Assassin’s Creed Freedom Cry</t>
  </si>
  <si>
    <t>Super Motherload</t>
  </si>
  <si>
    <t>Snake Ball</t>
  </si>
  <si>
    <t>Downwell</t>
  </si>
  <si>
    <t>Level 22</t>
  </si>
  <si>
    <t>Game of Thrones: A Telltale Games Series</t>
  </si>
  <si>
    <t>Tokyo Jungle</t>
  </si>
  <si>
    <t>Darkstalkers Resurrection</t>
  </si>
  <si>
    <t>Don’t Die, Mr. Robot</t>
  </si>
  <si>
    <t>Element4l</t>
  </si>
  <si>
    <t>Abyss Odyssey</t>
  </si>
  <si>
    <t>WRC 5: World Rally Championship</t>
  </si>
  <si>
    <t>Spy Chameleon</t>
  </si>
  <si>
    <t>ABZU</t>
  </si>
  <si>
    <t>Tales from the Borderlands</t>
  </si>
  <si>
    <t>Port Royale 3: Pirates and Merchants</t>
  </si>
  <si>
    <t>Laser Disco Defenders</t>
  </si>
  <si>
    <t>Type:Rider</t>
  </si>
  <si>
    <t>Drawn To Death</t>
  </si>
  <si>
    <t>Lovers in a Dangerous Spacetime</t>
  </si>
  <si>
    <t>Alien Rage - Extended Edition</t>
  </si>
  <si>
    <t>10 Second Ninja X</t>
  </si>
  <si>
    <t>Curses ‘N Chaos</t>
  </si>
  <si>
    <t>Disc Jam</t>
  </si>
  <si>
    <t>Lumo</t>
  </si>
  <si>
    <t>Severed</t>
  </si>
  <si>
    <t>Not a Hero</t>
  </si>
  <si>
    <t>Starwhal</t>
  </si>
  <si>
    <t>Ninja Senki DX</t>
  </si>
  <si>
    <t>Blazerush</t>
  </si>
  <si>
    <t>Titan Souls</t>
  </si>
  <si>
    <t>Stories: The Path of Destinies</t>
  </si>
  <si>
    <t>Invisible, Inc.</t>
  </si>
  <si>
    <t>Hyper Void</t>
  </si>
  <si>
    <t>Tiny Troopers Joint Ops</t>
  </si>
  <si>
    <t>Color Guardians</t>
  </si>
  <si>
    <t>VVVVVV</t>
  </si>
  <si>
    <t>Everybody’s Gone to the Rapture</t>
  </si>
  <si>
    <t>The Deadly Tower of Monsters</t>
  </si>
  <si>
    <t>DiRT 3</t>
  </si>
  <si>
    <t>Letter Quest Remastered</t>
  </si>
  <si>
    <t>Resident Evil</t>
  </si>
  <si>
    <t>Transformers: Devastation</t>
  </si>
  <si>
    <t>Mad Riders</t>
  </si>
  <si>
    <t>From Dust</t>
  </si>
  <si>
    <t>Code:Realize - Guardian of Rebirth</t>
  </si>
  <si>
    <t>Actual Sunlight</t>
  </si>
  <si>
    <t>Badland</t>
  </si>
  <si>
    <t>Prince of Persia: The Forgotten Sands</t>
  </si>
  <si>
    <t>Datura</t>
  </si>
  <si>
    <t>Amnesia: Memories</t>
  </si>
  <si>
    <t>Vita/PSP</t>
  </si>
  <si>
    <t>Ultratron</t>
  </si>
  <si>
    <t>Furi</t>
  </si>
  <si>
    <t>Saint's Row: Gat Out of Hell</t>
  </si>
  <si>
    <t>Oreshika: Tainted Bloodlines</t>
  </si>
  <si>
    <t>Prince of Persia: Revelation</t>
  </si>
  <si>
    <t>Fat Princess</t>
  </si>
  <si>
    <t>Call of Juarez: Bound in Blood</t>
  </si>
  <si>
    <t>NBA 2K16</t>
  </si>
  <si>
    <t>Gone Home</t>
  </si>
  <si>
    <t>Little Deviants</t>
  </si>
  <si>
    <t>Echochrome</t>
  </si>
  <si>
    <t>Switch Galaxy Ultra</t>
  </si>
  <si>
    <t>Bionic Commando Rearmed</t>
  </si>
  <si>
    <t>Dead Star</t>
  </si>
  <si>
    <t>Zombi</t>
  </si>
  <si>
    <t>Shutshimi</t>
  </si>
  <si>
    <t>A Virus named Tom</t>
  </si>
  <si>
    <t>I am Alive</t>
  </si>
  <si>
    <t>Broforce</t>
  </si>
  <si>
    <t>Galak-Z</t>
  </si>
  <si>
    <t>Flame Over</t>
  </si>
  <si>
    <t>Reality Fighters</t>
  </si>
  <si>
    <t>Helldivers</t>
  </si>
  <si>
    <t>Nova-111</t>
  </si>
  <si>
    <t>Lemmings Touch</t>
  </si>
  <si>
    <t>Persona 4 Arena Ultimax</t>
  </si>
  <si>
    <t>Hardware: Rivals</t>
  </si>
  <si>
    <t>Nihilumbra</t>
  </si>
  <si>
    <t>History Legends of War: Patton</t>
  </si>
  <si>
    <t>Dragon Age: Origins</t>
  </si>
  <si>
    <t>Medal of Honor: Warfighter</t>
  </si>
  <si>
    <t>Gauntlet: Slayer Edition</t>
  </si>
  <si>
    <t>King's Quest - Chapter 1: A Knight to Remember</t>
  </si>
  <si>
    <t>Freedom Wars</t>
  </si>
  <si>
    <t>Far Cry 3: Blood Dragon</t>
  </si>
  <si>
    <t>SSX</t>
  </si>
  <si>
    <t>The Walking Dead: Season 2</t>
  </si>
  <si>
    <t>Mass Effect 2</t>
  </si>
  <si>
    <t>Beyond Good &amp; Evil HD</t>
  </si>
  <si>
    <t>Invizimals</t>
  </si>
  <si>
    <t>Super Meat Boy</t>
  </si>
  <si>
    <t>Unmechanical Extended</t>
  </si>
  <si>
    <t>Kickbeat</t>
  </si>
  <si>
    <t>Chariot</t>
  </si>
  <si>
    <t>Super Time Force Ultra</t>
  </si>
  <si>
    <t>Xeodrifter</t>
  </si>
  <si>
    <t>Teslagrad</t>
  </si>
  <si>
    <t>Grow Home</t>
  </si>
  <si>
    <t>La-Mulana EX</t>
  </si>
  <si>
    <t>Lara Croft and the Temple of Osiris</t>
  </si>
  <si>
    <t>Stealth Inc 2: A Game of Clones</t>
  </si>
  <si>
    <t>CastleStorm</t>
  </si>
  <si>
    <t>Mousecraft</t>
  </si>
  <si>
    <t>Rocket League</t>
  </si>
  <si>
    <t>Styx: Master of Shadows</t>
  </si>
  <si>
    <t>Geometry Wars 3: Dimensions</t>
  </si>
  <si>
    <t>Rain</t>
  </si>
  <si>
    <t>Super Exploding Zoo</t>
  </si>
  <si>
    <t>Futuridum</t>
  </si>
  <si>
    <t>Skulls of the Shogun: Bone-A-Fide Edition</t>
  </si>
  <si>
    <t>Call of Juarez: Gunslinger</t>
  </si>
  <si>
    <t>Cloudberry Kingdom</t>
  </si>
  <si>
    <t>Ether One</t>
  </si>
  <si>
    <t>Guacamelee! Super Turbo Championship Edition</t>
  </si>
  <si>
    <t>Race the Sun</t>
  </si>
  <si>
    <t>Murasaki Baby</t>
  </si>
  <si>
    <t>MonsterBag</t>
  </si>
  <si>
    <t>Killzone Mercenary</t>
  </si>
  <si>
    <t>Never Alone</t>
  </si>
  <si>
    <t>Aaru's Awakening</t>
  </si>
  <si>
    <t>Tower of Guns</t>
  </si>
  <si>
    <t>Mighty Flip Champs! DX</t>
  </si>
  <si>
    <t>CounterSpy</t>
  </si>
  <si>
    <t>Sherlock Holmes: Crimes and Punishments</t>
  </si>
  <si>
    <t>Valiant Hearts</t>
  </si>
  <si>
    <t>Rogue Legacy</t>
  </si>
  <si>
    <t>Transistor</t>
  </si>
  <si>
    <t>Apotheon</t>
  </si>
  <si>
    <t>Thief</t>
  </si>
  <si>
    <t>Kick &amp; Fennick</t>
  </si>
  <si>
    <t>Whoa Dave!</t>
  </si>
  <si>
    <t>InFamous: First Light</t>
  </si>
  <si>
    <t>Prototype 2</t>
  </si>
  <si>
    <t>DuckTales Remastered</t>
  </si>
  <si>
    <t>Duke Nukem 3D: Megaton Edition</t>
  </si>
  <si>
    <t>Final Horizon</t>
  </si>
  <si>
    <t>Secret Ponchos</t>
  </si>
  <si>
    <t>Deadly Premonition: The Director’s Cut</t>
  </si>
  <si>
    <t>Hitman HD Trilogy</t>
  </si>
  <si>
    <t>Injustice: Gods Among Us</t>
  </si>
  <si>
    <t>The Binding of Isaac Rebirth</t>
  </si>
  <si>
    <t>SteamWorld Dig: A Fistful of Dirt</t>
  </si>
  <si>
    <t>Luftrausers</t>
  </si>
  <si>
    <t>Frozen Synapse Prime</t>
  </si>
  <si>
    <t>The Hungry Horde</t>
  </si>
  <si>
    <t>Pix the Cat</t>
  </si>
  <si>
    <t>Dust: An Elysian Tail</t>
  </si>
  <si>
    <t>Batman: Arkham Asylum</t>
  </si>
  <si>
    <t>Dungeons &amp; Dragons: Chronicles of Mystara</t>
  </si>
  <si>
    <t>Sportsfriends</t>
  </si>
  <si>
    <t>Playstation All-Stars Battle Royale</t>
  </si>
  <si>
    <t>Hoard</t>
  </si>
  <si>
    <t>Joe Danger</t>
  </si>
  <si>
    <t>TxK</t>
  </si>
  <si>
    <t>Fez</t>
  </si>
  <si>
    <t>Road Not Taken</t>
  </si>
  <si>
    <t>Dragon's Crown</t>
  </si>
  <si>
    <t>Crysis 3</t>
  </si>
  <si>
    <t>Metrico</t>
  </si>
  <si>
    <t>Strider</t>
  </si>
  <si>
    <t>Muramasa Rebirth</t>
  </si>
  <si>
    <t>Mutant Mudds Deluxe</t>
  </si>
  <si>
    <t>Trine 2: Complete Story</t>
  </si>
  <si>
    <t>NBA 2K14</t>
  </si>
  <si>
    <t>Surge Deluxe</t>
  </si>
  <si>
    <t>Stick It to the Man</t>
  </si>
  <si>
    <t>Pro Evolution Soccer 2014</t>
  </si>
  <si>
    <t>PixelJunk Monsters Ultimate HD</t>
  </si>
  <si>
    <t>Tower Defense</t>
  </si>
  <si>
    <t>Castle of Illusion Starring Mickey Mouse</t>
  </si>
  <si>
    <t>Stealth Inc. A Clone in the Dark</t>
  </si>
  <si>
    <t>Mercenary Kings</t>
  </si>
  <si>
    <t>Batman: Arkham City</t>
  </si>
  <si>
    <t>Monster Hunter: Freedom Unite</t>
  </si>
  <si>
    <t>Unit 13</t>
  </si>
  <si>
    <t>Lone Survivor: The Director’s Cut</t>
  </si>
  <si>
    <t>Tomb Raider</t>
  </si>
  <si>
    <t>ModNation Racers: Road Trip</t>
  </si>
  <si>
    <t>Remember Me</t>
  </si>
  <si>
    <t>Street Fighter X Tekken</t>
  </si>
  <si>
    <t>Outlast</t>
  </si>
  <si>
    <t>Metro: Last Light</t>
  </si>
  <si>
    <t>Smart As</t>
  </si>
  <si>
    <t>Worms Battle Islands</t>
  </si>
  <si>
    <t>BioShock Infinite</t>
  </si>
  <si>
    <t>DmC: Devil May Cry</t>
  </si>
  <si>
    <t>Don’t Starve</t>
  </si>
  <si>
    <t>Sonic &amp; All-Stars Racing Transformed</t>
  </si>
  <si>
    <t>Dyad</t>
  </si>
  <si>
    <t>GRID 2</t>
  </si>
  <si>
    <t>Borderlands 2</t>
  </si>
  <si>
    <t>Contrast</t>
  </si>
  <si>
    <t>Soul Sacrifice</t>
  </si>
  <si>
    <t>Oddworld: Stranger's Wrath</t>
  </si>
  <si>
    <t>Binary Domain</t>
  </si>
  <si>
    <t>Dragon’s Dogma: Dark Arisen</t>
  </si>
  <si>
    <t>Ibb &amp; obb</t>
  </si>
  <si>
    <t>Sine Mora</t>
  </si>
  <si>
    <t>Poker Night 2</t>
  </si>
  <si>
    <t>Kingdoms of Amalur: Reckoning</t>
  </si>
  <si>
    <t>Rayman Origins</t>
  </si>
  <si>
    <t>Grand Theft Auto: Liberty City Stories</t>
  </si>
  <si>
    <t>Resident Evil Chronicles HD Collection</t>
  </si>
  <si>
    <t>ICO HD</t>
  </si>
  <si>
    <t>Darkstalkers Chronicle: The Chaos Tower</t>
  </si>
  <si>
    <t>Zen Pinball 2: Star Wars Pinball</t>
  </si>
  <si>
    <t>Bit.Trip Presents...Runner2: Future Legend of Rhythm Alien</t>
  </si>
  <si>
    <t>Hitman: Absolution</t>
  </si>
  <si>
    <t>Oddworld: Munch's Oddysey HD</t>
  </si>
  <si>
    <t>Dokuro</t>
  </si>
  <si>
    <t>Jet Set Radio</t>
  </si>
  <si>
    <t>Metal Slug XX</t>
  </si>
  <si>
    <t>Battlefield 3</t>
  </si>
  <si>
    <t>LittleBigPlanet Karting</t>
  </si>
  <si>
    <t>XCOM: Enemy Unknown</t>
  </si>
  <si>
    <t>Uncharted 3: Drake's Deception (single-player)</t>
  </si>
  <si>
    <t>Zero Escape: Virtue's Last Reward</t>
  </si>
  <si>
    <t>Gods Eater Burst</t>
  </si>
  <si>
    <t>Saints Row: The Third</t>
  </si>
  <si>
    <t>Deus Ex: Human Revolution</t>
  </si>
  <si>
    <t>Germinator</t>
  </si>
  <si>
    <t>Pinball Arcade</t>
  </si>
  <si>
    <t>BlazBlue: Continuum Shift Extend</t>
  </si>
  <si>
    <t>Sleeping Dogs</t>
  </si>
  <si>
    <t>Zombie Tycoon 2</t>
  </si>
  <si>
    <t>SoulCalibur: Broken Destiny</t>
  </si>
  <si>
    <t>Labyrinth Legends</t>
  </si>
  <si>
    <t>Malicious</t>
  </si>
  <si>
    <t>Demon’s Souls</t>
  </si>
  <si>
    <t>The Cave</t>
  </si>
  <si>
    <t>Tekken VI</t>
  </si>
  <si>
    <t>Disgaea 3: Absence of Detention</t>
  </si>
  <si>
    <t>Plants vs. Zombies</t>
  </si>
  <si>
    <t>Vanquish</t>
  </si>
  <si>
    <t>Mega Man Maverick Hunter X</t>
  </si>
  <si>
    <t>Closure</t>
  </si>
  <si>
    <t>Guardians of Middle Earth</t>
  </si>
  <si>
    <t>Ninja Gaiden Sigma Plus</t>
  </si>
  <si>
    <t>Foosball 2012</t>
  </si>
  <si>
    <t>Darksiders</t>
  </si>
  <si>
    <t>Mega Man 10</t>
  </si>
  <si>
    <t>Mega Man 9</t>
  </si>
  <si>
    <t>Chronovolt</t>
  </si>
  <si>
    <t>NBA Jam: On Fire</t>
  </si>
  <si>
    <t>Retro City Rampage</t>
  </si>
  <si>
    <t>Rochard</t>
  </si>
  <si>
    <t>Street Fighter IV: Arcade Edition</t>
  </si>
  <si>
    <t>Bioshock 2</t>
  </si>
  <si>
    <t>Sonic the Hedgehog 2</t>
  </si>
  <si>
    <t>Sonic the Hedgehog</t>
  </si>
  <si>
    <t>Final Fantasy Tactics: The War of the Lions</t>
  </si>
  <si>
    <t>WipEout 2048</t>
  </si>
  <si>
    <t>Uncharted: Golden Abyss</t>
  </si>
  <si>
    <t>Gravity Rush</t>
  </si>
  <si>
    <t>Quantum Conundrum</t>
  </si>
  <si>
    <t>Dungeon Defenders</t>
  </si>
  <si>
    <t>King of Fighters XIII</t>
  </si>
  <si>
    <t>PAYDAY: The Heist</t>
  </si>
  <si>
    <t>NFL Blitz</t>
  </si>
  <si>
    <t>Ronnie O'Sullivan's Snooker</t>
  </si>
  <si>
    <t>PS Minis</t>
  </si>
  <si>
    <t>Starhawk (single-player ONLY)</t>
  </si>
  <si>
    <t>Scott Pilgrim vs. The World</t>
  </si>
  <si>
    <t>Borderlands</t>
  </si>
  <si>
    <t>Outland</t>
  </si>
  <si>
    <t>Bloodrayne Betrayal</t>
  </si>
  <si>
    <t>Farm Frenzy 2</t>
  </si>
  <si>
    <t>The Walking Dead (Ep. 1 &amp; 2)</t>
  </si>
  <si>
    <t>Gotham City Imposters</t>
  </si>
  <si>
    <t>Pac-Man Championship Edition DX</t>
  </si>
  <si>
    <t>International Track and Field</t>
  </si>
  <si>
    <t>Kaleidoscope</t>
  </si>
  <si>
    <t>Virtua Fighter 5 Final Showdown</t>
  </si>
  <si>
    <t>Lara Croft and the Guardian of Light</t>
  </si>
  <si>
    <t>Warhammer 40,000: Space Marine</t>
  </si>
  <si>
    <t>Just Cause 2</t>
  </si>
  <si>
    <t>Little Big Planet 2</t>
  </si>
  <si>
    <t>Zombie Apocalypse: Never Die Alone</t>
  </si>
  <si>
    <t>Sideway: New York</t>
  </si>
  <si>
    <t>Hard Corps: Uprising</t>
  </si>
  <si>
    <t>Awesomenauts</t>
  </si>
  <si>
    <t>Velocity</t>
  </si>
  <si>
    <t>Floating Cloud God Saves The Pilgrims</t>
  </si>
  <si>
    <t>Trine 2</t>
  </si>
  <si>
    <t>Rock of Ages</t>
  </si>
  <si>
    <t>Castlevania: Symphony of the Night</t>
  </si>
  <si>
    <t>Castlevania: Chronicles</t>
  </si>
  <si>
    <t>Defenders of the Mystic Garden</t>
  </si>
  <si>
    <t>Shank 2</t>
  </si>
  <si>
    <t>Shift 2: Unleashed</t>
  </si>
  <si>
    <t>Silent Hill</t>
  </si>
  <si>
    <t>Canabalt</t>
  </si>
  <si>
    <t>Bermuda Triangle</t>
  </si>
  <si>
    <t>Um Jammer Lammy</t>
  </si>
  <si>
    <t>Far Cry 2</t>
  </si>
  <si>
    <t>The Simpsons Arcade Game</t>
  </si>
  <si>
    <t>Fatal Inertia EX</t>
  </si>
  <si>
    <t>Inferno Pool</t>
  </si>
  <si>
    <t>Supersonic Acrobatic Rocket Powered Battle Cars</t>
  </si>
  <si>
    <t>Final Fantasy V</t>
  </si>
  <si>
    <t>Gold Medalist</t>
  </si>
  <si>
    <t>Hungry Giraffe</t>
  </si>
  <si>
    <t>Back to the Future The Game</t>
  </si>
  <si>
    <t>Sword &amp; Soldiers</t>
  </si>
  <si>
    <t>Stick Man Rescue</t>
  </si>
  <si>
    <t>Tomb Raider: Underworld</t>
  </si>
  <si>
    <t>Marvel Pinball</t>
  </si>
  <si>
    <t>Orbit</t>
  </si>
  <si>
    <t>Mad Blocker Alpha</t>
  </si>
  <si>
    <t>A Space Shooter for 2 Bucks!</t>
  </si>
  <si>
    <t>Spyro Year of the Dragon</t>
  </si>
  <si>
    <t>Spyro 2: Ripto’s Rage</t>
  </si>
  <si>
    <t>Spyro the Dragon</t>
  </si>
  <si>
    <t>Hydrophobia: Prophecy</t>
  </si>
  <si>
    <t>CTR: Crash Team Racing</t>
  </si>
  <si>
    <t>Crash Bandicoot3: Warped</t>
  </si>
  <si>
    <t>Crash Bandicoot 2</t>
  </si>
  <si>
    <t>Crash Bandicoot</t>
  </si>
  <si>
    <t>Doodle Fit</t>
  </si>
  <si>
    <t>Where is my Heart</t>
  </si>
  <si>
    <t>Rumble Trucks</t>
  </si>
  <si>
    <t>Costume Quest</t>
  </si>
  <si>
    <t>Elemental Monster</t>
  </si>
  <si>
    <t>Dead Nation</t>
  </si>
  <si>
    <t>Warhawk</t>
  </si>
  <si>
    <t>Street Smart</t>
  </si>
  <si>
    <t>Speedball 2</t>
  </si>
  <si>
    <t>1000 Tiny Claws</t>
  </si>
  <si>
    <t>Burn Zombie Burn</t>
  </si>
  <si>
    <t>Jelly Pops</t>
  </si>
  <si>
    <t>Astro Tripper</t>
  </si>
  <si>
    <t>Bashi Blocks</t>
  </si>
  <si>
    <t>Resident Evil Director’s Cut</t>
  </si>
  <si>
    <t>Destruction Derby</t>
  </si>
  <si>
    <t>OMG-Z!</t>
  </si>
  <si>
    <t>Dr. Maybe and the Adventures of Scarygirl</t>
  </si>
  <si>
    <t>Crash Commando</t>
  </si>
  <si>
    <t>Me Monstar: Hear Me Roar</t>
  </si>
  <si>
    <t>Alien Zombie Death</t>
  </si>
  <si>
    <t>Guerilla War</t>
  </si>
  <si>
    <t>Bomberman ULTRA</t>
  </si>
  <si>
    <t>Medievil</t>
  </si>
  <si>
    <t>Streets of Rage 2</t>
  </si>
  <si>
    <t>Magic the Gathering: Duels of the Planeswalkers 2011</t>
  </si>
  <si>
    <t>Lilo &amp; Stitch</t>
  </si>
  <si>
    <t>The 2D Adventures of Rotating Octopus Character</t>
  </si>
  <si>
    <t>Babel the King of Blocks</t>
  </si>
  <si>
    <t>Duael Invaders</t>
  </si>
  <si>
    <t>Vector TD</t>
  </si>
  <si>
    <t>Comet Crash</t>
  </si>
  <si>
    <t>Oddworld: Abe’s Exoddus</t>
  </si>
  <si>
    <t>Pix’n Love Rush</t>
  </si>
  <si>
    <t>Enigmo</t>
  </si>
  <si>
    <t>Stacking</t>
  </si>
  <si>
    <t>Let’s Golf</t>
  </si>
  <si>
    <t>Karimogi</t>
  </si>
  <si>
    <t>Digger HD</t>
  </si>
  <si>
    <t>Hero of Sparta</t>
  </si>
  <si>
    <t>Pipe Madness</t>
  </si>
  <si>
    <t>Lead &amp; Gold</t>
  </si>
  <si>
    <t>Sackboy's Prehistoric Moves</t>
  </si>
  <si>
    <t>A Space Shooter For 2 Bucks</t>
  </si>
  <si>
    <t>I Must Run!</t>
  </si>
  <si>
    <t>Crash Team Racing</t>
  </si>
  <si>
    <t>Sam &amp; Max: The Devil’s Playhouse (Episodes 1-5)</t>
  </si>
  <si>
    <t>DYNOGEMS</t>
  </si>
  <si>
    <t>BreakQuest</t>
  </si>
  <si>
    <t>Bubble Trubble</t>
  </si>
  <si>
    <t>Bloons</t>
  </si>
  <si>
    <t>Oddworld: Abe’s Oddysee</t>
  </si>
  <si>
    <t>Echoes</t>
  </si>
  <si>
    <t>Zen Pinball</t>
  </si>
  <si>
    <t>Blast Off</t>
  </si>
  <si>
    <t>Vempires</t>
  </si>
  <si>
    <t>Mushroom Wars</t>
  </si>
  <si>
    <t>Aero Racer</t>
  </si>
  <si>
    <t>Kahoots</t>
  </si>
  <si>
    <t>Field Runners</t>
  </si>
  <si>
    <t>Age of Zombies</t>
  </si>
  <si>
    <t>WipEout HD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</si>
</sst>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
    <numFmt numFmtId="166" formatCode="#.0"/>
  </numFmts>
  <fonts count="17">
    <font>
      <sz val="10.0"/>
      <color rgb="FF000000"/>
      <name val="Calibri"/>
      <scheme val="minor"/>
    </font>
    <font>
      <b/>
      <sz val="10.0"/>
      <color rgb="FFFFFFFF"/>
      <name val="Arial"/>
    </font>
    <font>
      <b/>
      <sz val="10.0"/>
      <color rgb="FFFFFF00"/>
      <name val="Arial"/>
    </font>
    <font>
      <sz val="10.0"/>
      <color rgb="FFFFFFFF"/>
      <name val="Arial"/>
    </font>
    <font>
      <sz val="10.0"/>
      <color theme="1"/>
      <name val="Arial"/>
    </font>
    <font>
      <b/>
      <u/>
      <sz val="10.0"/>
      <color rgb="FF00FF00"/>
      <name val="Arial"/>
    </font>
    <font>
      <b/>
      <u/>
      <sz val="10.0"/>
      <color rgb="FF00FF00"/>
      <name val="Arial"/>
    </font>
    <font>
      <sz val="10.0"/>
      <color rgb="FFFFFF00"/>
      <name val="Arial"/>
    </font>
    <font>
      <b/>
      <u/>
      <sz val="10.0"/>
      <color rgb="FFFF0000"/>
      <name val="Arial"/>
    </font>
    <font>
      <color theme="1"/>
      <name val="Arial"/>
    </font>
    <font>
      <color theme="1"/>
      <name val="Calibri"/>
    </font>
    <font>
      <color rgb="FF000000"/>
      <name val="Arial"/>
    </font>
    <font>
      <color rgb="FF000000"/>
      <name val="&quot;Arial&quot;"/>
    </font>
    <font>
      <b/>
      <color theme="1"/>
      <name val="Arial"/>
    </font>
    <font>
      <sz val="11.0"/>
      <color theme="1"/>
      <name val="Arial"/>
    </font>
    <font>
      <u/>
      <color rgb="FF0000FF"/>
      <name val="Arial"/>
    </font>
    <font>
      <color theme="1"/>
      <name val="Calibri"/>
      <scheme val="minor"/>
    </font>
  </fonts>
  <fills count="8">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B7E1CD"/>
        <bgColor rgb="FFB7E1CD"/>
      </patternFill>
    </fill>
    <fill>
      <patternFill patternType="solid">
        <fgColor rgb="FFF4C7C3"/>
        <bgColor rgb="FFF4C7C3"/>
      </patternFill>
    </fill>
    <fill>
      <patternFill patternType="solid">
        <fgColor rgb="FFFCE8B2"/>
        <bgColor rgb="FFFCE8B2"/>
      </patternFill>
    </fill>
  </fills>
  <borders count="4">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xf>
    <xf borderId="0" fillId="2" fontId="2" numFmtId="49" xfId="0" applyAlignment="1" applyFill="1" applyFont="1" applyNumberFormat="1">
      <alignment horizontal="left" readingOrder="0"/>
    </xf>
    <xf borderId="0" fillId="2" fontId="1" numFmtId="49" xfId="0" applyAlignment="1" applyFill="1" applyFont="1" applyNumberFormat="1">
      <alignment horizontal="left" readingOrder="0"/>
    </xf>
    <xf borderId="1" fillId="2" fontId="1" numFmtId="49" xfId="0" applyAlignment="1" applyBorder="1" applyFill="1" applyFont="1" applyNumberFormat="1">
      <alignment horizontal="center" readingOrder="0"/>
    </xf>
    <xf borderId="0" fillId="2" fontId="3" numFmtId="49" xfId="0" applyAlignment="1" applyFill="1" applyFont="1" applyNumberFormat="1">
      <alignment horizontal="center" vertical="bottom"/>
    </xf>
    <xf borderId="1" fillId="2" fontId="1" numFmtId="49" xfId="0" applyAlignment="1" applyBorder="1" applyFill="1" applyFont="1" applyNumberFormat="1">
      <alignment horizontal="center" vertical="bottom"/>
    </xf>
    <xf borderId="1" fillId="2" fontId="1" numFmtId="49" xfId="0" applyAlignment="1" applyBorder="1" applyFill="1" applyFont="1" applyNumberFormat="1">
      <alignment horizontal="center" readingOrder="0" vertical="bottom"/>
    </xf>
    <xf borderId="1" fillId="2" fontId="1" numFmtId="4" xfId="0" applyAlignment="1" applyBorder="1" applyFill="1" applyFont="1" applyNumberFormat="1">
      <alignment horizontal="center" vertical="bottom"/>
    </xf>
    <xf borderId="0" fillId="2" fontId="2" numFmtId="49" xfId="0" applyAlignment="1" applyFill="1" applyFont="1" applyNumberFormat="1">
      <alignment horizontal="center" readingOrder="0" vertical="bottom"/>
    </xf>
    <xf borderId="0" fillId="2" fontId="1" numFmtId="49" xfId="0" applyAlignment="1" applyFill="1" applyFont="1" applyNumberFormat="1">
      <alignment horizontal="center" readingOrder="0" vertical="bottom"/>
    </xf>
    <xf borderId="1" fillId="2" fontId="2" numFmtId="49" xfId="0" applyAlignment="1" applyBorder="1" applyFill="1" applyFont="1" applyNumberFormat="1">
      <alignment horizontal="center" readingOrder="0" vertical="bottom"/>
    </xf>
    <xf borderId="0" fillId="2" fontId="2" numFmtId="49" xfId="0" applyAlignment="1" applyFill="1" applyFont="1" applyNumberFormat="1">
      <alignment horizontal="center" readingOrder="0"/>
    </xf>
    <xf borderId="1" fillId="0" fontId="4" numFmtId="49" xfId="0" applyAlignment="1" applyBorder="1" applyFont="1" applyNumberFormat="1">
      <alignment vertical="bottom"/>
    </xf>
    <xf borderId="0" fillId="2" fontId="5" numFmtId="49" xfId="0" applyAlignment="1" applyFill="1" applyFont="1" applyNumberFormat="1">
      <alignment horizontal="center" readingOrder="0"/>
    </xf>
    <xf borderId="1" fillId="0" fontId="4" numFmtId="49" xfId="0" applyAlignment="1" applyBorder="1" applyFont="1" applyNumberFormat="1">
      <alignment horizontal="center" vertical="bottom"/>
    </xf>
    <xf borderId="1" fillId="0" fontId="4" numFmtId="49" xfId="0" applyAlignment="1" applyBorder="1" applyFont="1" applyNumberFormat="1">
      <alignment horizontal="center" readingOrder="0" vertical="bottom"/>
    </xf>
    <xf borderId="1" fillId="0" fontId="4" numFmtId="164" xfId="0" applyAlignment="1" applyBorder="1" applyFont="1" applyNumberFormat="1">
      <alignment horizontal="right" readingOrder="0" vertical="bottom"/>
    </xf>
    <xf borderId="1" fillId="0" fontId="4" numFmtId="164" xfId="0" applyAlignment="1" applyBorder="1" applyFont="1" applyNumberFormat="1">
      <alignment readingOrder="0" vertical="bottom"/>
    </xf>
    <xf borderId="1" fillId="0" fontId="4" numFmtId="4" xfId="0" applyAlignment="1" applyBorder="1" applyFont="1" applyNumberFormat="1">
      <alignment horizontal="right" vertical="bottom"/>
    </xf>
    <xf borderId="0" fillId="2" fontId="6" numFmtId="49" xfId="0" applyAlignment="1" applyFill="1" applyFont="1" applyNumberFormat="1">
      <alignment horizontal="left" readingOrder="0"/>
    </xf>
    <xf borderId="1" fillId="0" fontId="4" numFmtId="165" xfId="0" applyAlignment="1" applyBorder="1" applyFont="1" applyNumberFormat="1">
      <alignment horizontal="center" vertical="bottom"/>
    </xf>
    <xf borderId="0" fillId="2" fontId="7" numFmtId="49" xfId="0" applyAlignment="1" applyFill="1" applyFont="1" applyNumberFormat="1">
      <alignment horizontal="center" readingOrder="0"/>
    </xf>
    <xf borderId="1" fillId="0" fontId="4" numFmtId="166" xfId="0" applyAlignment="1" applyBorder="1" applyFont="1" applyNumberFormat="1">
      <alignment horizontal="center" readingOrder="0" vertical="bottom"/>
    </xf>
    <xf borderId="1" fillId="0" fontId="4" numFmtId="49" xfId="0" applyAlignment="1" applyBorder="1" applyFont="1" applyNumberFormat="1">
      <alignment horizontal="left" vertical="bottom"/>
    </xf>
    <xf borderId="1" fillId="0" fontId="4" numFmtId="49" xfId="0" applyAlignment="1" applyBorder="1" applyFont="1" applyNumberFormat="1">
      <alignment horizontal="left" readingOrder="0" vertical="bottom"/>
    </xf>
    <xf borderId="0" fillId="0" fontId="4" numFmtId="49" xfId="0" applyAlignment="1" applyFont="1" applyNumberFormat="1">
      <alignment horizontal="left" readingOrder="0" vertical="bottom"/>
    </xf>
    <xf borderId="0" fillId="2" fontId="8" numFmtId="49" xfId="0" applyAlignment="1" applyFill="1" applyFont="1" applyNumberFormat="1">
      <alignment horizontal="left" readingOrder="0"/>
    </xf>
    <xf borderId="0" fillId="2" fontId="3" numFmtId="49" xfId="0" applyAlignment="1" applyFill="1" applyFont="1" applyNumberFormat="1">
      <alignment horizontal="center" readingOrder="0" vertical="bottom"/>
    </xf>
    <xf borderId="1" fillId="3" fontId="9" numFmtId="49" xfId="0" applyAlignment="1" applyBorder="1" applyFill="1" applyFont="1" applyNumberFormat="1">
      <alignment readingOrder="0" vertical="bottom"/>
    </xf>
    <xf borderId="2" fillId="3" fontId="9" numFmtId="0" xfId="0" applyAlignment="1" applyBorder="1" applyFill="1" applyFont="1">
      <alignment horizontal="center" readingOrder="0" vertical="bottom"/>
    </xf>
    <xf borderId="3" fillId="3" fontId="9" numFmtId="49" xfId="0" applyAlignment="1" applyBorder="1" applyFill="1" applyFont="1" applyNumberFormat="1">
      <alignment horizontal="center" readingOrder="0" vertical="bottom"/>
    </xf>
    <xf borderId="3" fillId="3" fontId="9" numFmtId="49" xfId="0" applyAlignment="1" applyBorder="1" applyFill="1" applyFont="1" applyNumberFormat="1">
      <alignment horizontal="center" vertical="bottom"/>
    </xf>
    <xf borderId="3" fillId="3" fontId="9" numFmtId="164" xfId="0" applyAlignment="1" applyBorder="1" applyFill="1" applyFont="1" applyNumberFormat="1">
      <alignment horizontal="right" readingOrder="0" vertical="bottom"/>
    </xf>
    <xf borderId="3" fillId="3" fontId="9" numFmtId="164" xfId="0" applyAlignment="1" applyBorder="1" applyFill="1" applyFont="1" applyNumberFormat="1">
      <alignment vertical="bottom"/>
    </xf>
    <xf borderId="1" fillId="0" fontId="4" numFmtId="49" xfId="0" applyAlignment="1" applyBorder="1" applyFont="1" applyNumberFormat="1">
      <alignment readingOrder="0" vertical="bottom"/>
    </xf>
    <xf borderId="3" fillId="3" fontId="9" numFmtId="4" xfId="0" applyAlignment="1" applyBorder="1" applyFill="1" applyFont="1" applyNumberFormat="1">
      <alignment horizontal="right" vertical="bottom"/>
    </xf>
    <xf borderId="1" fillId="3" fontId="9" numFmtId="164" xfId="0" applyAlignment="1" applyBorder="1" applyFill="1" applyFont="1" applyNumberFormat="1">
      <alignment horizontal="right" readingOrder="0" vertical="bottom"/>
    </xf>
    <xf borderId="1" fillId="3" fontId="9" numFmtId="165" xfId="0" applyAlignment="1" applyBorder="1" applyFill="1" applyFont="1" applyNumberFormat="1">
      <alignment horizontal="center" readingOrder="0" vertical="bottom"/>
    </xf>
    <xf borderId="1" fillId="3" fontId="9" numFmtId="166" xfId="0" applyAlignment="1" applyBorder="1" applyFill="1" applyFont="1" applyNumberFormat="1">
      <alignment horizontal="center" readingOrder="0" vertical="bottom"/>
    </xf>
    <xf borderId="3" fillId="3" fontId="9" numFmtId="4" xfId="0" applyAlignment="1" applyBorder="1" applyFill="1" applyFont="1" applyNumberFormat="1">
      <alignment readingOrder="0" vertical="bottom"/>
    </xf>
    <xf borderId="2" fillId="3" fontId="9" numFmtId="166" xfId="0" applyAlignment="1" applyBorder="1" applyFill="1" applyFont="1" applyNumberFormat="1">
      <alignment readingOrder="0" vertical="bottom"/>
    </xf>
    <xf borderId="3" fillId="3" fontId="9" numFmtId="49" xfId="0" applyAlignment="1" applyBorder="1" applyFill="1" applyFont="1" applyNumberFormat="1">
      <alignment vertical="bottom"/>
    </xf>
    <xf borderId="2" fillId="3" fontId="9" numFmtId="49" xfId="0" applyAlignment="1" applyBorder="1" applyFill="1" applyFont="1" applyNumberFormat="1">
      <alignment vertical="bottom"/>
    </xf>
    <xf borderId="1" fillId="4" fontId="9" numFmtId="49" xfId="0" applyAlignment="1" applyBorder="1" applyFill="1" applyFont="1" applyNumberFormat="1">
      <alignment readingOrder="0" vertical="bottom"/>
    </xf>
    <xf borderId="2" fillId="4" fontId="9" numFmtId="0" xfId="0" applyAlignment="1" applyBorder="1" applyFill="1" applyFont="1">
      <alignment horizontal="center" readingOrder="0" vertical="bottom"/>
    </xf>
    <xf borderId="3" fillId="4" fontId="9" numFmtId="49" xfId="0" applyAlignment="1" applyBorder="1" applyFill="1" applyFont="1" applyNumberFormat="1">
      <alignment horizontal="center" readingOrder="0" vertical="bottom"/>
    </xf>
    <xf borderId="3" fillId="4" fontId="9" numFmtId="49" xfId="0" applyAlignment="1" applyBorder="1" applyFill="1" applyFont="1" applyNumberFormat="1">
      <alignment horizontal="center" vertical="bottom"/>
    </xf>
    <xf borderId="3" fillId="4" fontId="9" numFmtId="164" xfId="0" applyAlignment="1" applyBorder="1" applyFill="1" applyFont="1" applyNumberFormat="1">
      <alignment horizontal="right" readingOrder="0" vertical="bottom"/>
    </xf>
    <xf borderId="3" fillId="4" fontId="9" numFmtId="164" xfId="0" applyAlignment="1" applyBorder="1" applyFill="1" applyFont="1" applyNumberFormat="1">
      <alignment vertical="bottom"/>
    </xf>
    <xf borderId="3" fillId="4" fontId="9" numFmtId="4" xfId="0" applyAlignment="1" applyBorder="1" applyFill="1" applyFont="1" applyNumberFormat="1">
      <alignment horizontal="right" vertical="bottom"/>
    </xf>
    <xf borderId="1" fillId="4" fontId="9" numFmtId="164" xfId="0" applyAlignment="1" applyBorder="1" applyFill="1" applyFont="1" applyNumberFormat="1">
      <alignment horizontal="right" readingOrder="0" vertical="bottom"/>
    </xf>
    <xf borderId="1" fillId="0" fontId="4" numFmtId="0" xfId="0" applyAlignment="1" applyBorder="1" applyFont="1">
      <alignment vertical="bottom"/>
    </xf>
    <xf borderId="1" fillId="0" fontId="4" numFmtId="164" xfId="0" applyAlignment="1" applyBorder="1" applyFont="1" applyNumberFormat="1">
      <alignment horizontal="right" vertical="bottom"/>
    </xf>
    <xf borderId="1" fillId="0" fontId="4" numFmtId="164" xfId="0" applyAlignment="1" applyBorder="1" applyFont="1" applyNumberFormat="1">
      <alignment vertical="bottom"/>
    </xf>
    <xf borderId="1" fillId="4" fontId="9" numFmtId="165" xfId="0" applyAlignment="1" applyBorder="1" applyFill="1" applyFont="1" applyNumberFormat="1">
      <alignment horizontal="center" readingOrder="0" vertical="bottom"/>
    </xf>
    <xf borderId="1" fillId="4" fontId="9" numFmtId="166" xfId="0" applyAlignment="1" applyBorder="1" applyFill="1" applyFont="1" applyNumberFormat="1">
      <alignment horizontal="center" readingOrder="0" vertical="bottom"/>
    </xf>
    <xf borderId="1" fillId="0" fontId="4" numFmtId="0" xfId="0" applyAlignment="1" applyBorder="1" applyFont="1">
      <alignment horizontal="center" readingOrder="0" vertical="bottom"/>
    </xf>
    <xf borderId="3" fillId="4" fontId="9" numFmtId="4" xfId="0" applyAlignment="1" applyBorder="1" applyFill="1" applyFont="1" applyNumberFormat="1">
      <alignment readingOrder="0" vertical="bottom"/>
    </xf>
    <xf borderId="2" fillId="4" fontId="9" numFmtId="166" xfId="0" applyAlignment="1" applyBorder="1" applyFill="1" applyFont="1" applyNumberFormat="1">
      <alignment readingOrder="0" vertical="bottom"/>
    </xf>
    <xf borderId="3" fillId="4" fontId="9" numFmtId="49" xfId="0" applyAlignment="1" applyBorder="1" applyFill="1" applyFont="1" applyNumberFormat="1">
      <alignment vertical="bottom"/>
    </xf>
    <xf borderId="2" fillId="4" fontId="9" numFmtId="49" xfId="0" applyAlignment="1" applyBorder="1" applyFill="1" applyFont="1" applyNumberFormat="1">
      <alignment vertical="bottom"/>
    </xf>
    <xf borderId="1" fillId="0" fontId="4" numFmtId="0" xfId="0" applyAlignment="1" applyBorder="1" applyFont="1">
      <alignment vertical="bottom"/>
    </xf>
    <xf borderId="3" fillId="4" fontId="9" numFmtId="49" xfId="0" applyAlignment="1" applyBorder="1" applyFill="1" applyFont="1" applyNumberFormat="1">
      <alignment readingOrder="0" vertical="bottom"/>
    </xf>
    <xf borderId="3" fillId="4" fontId="9" numFmtId="165" xfId="0" applyAlignment="1" applyBorder="1" applyFill="1" applyFont="1" applyNumberFormat="1">
      <alignment readingOrder="0" vertical="bottom"/>
    </xf>
    <xf borderId="3" fillId="3" fontId="9" numFmtId="49" xfId="0" applyAlignment="1" applyBorder="1" applyFill="1" applyFont="1" applyNumberFormat="1">
      <alignment readingOrder="0" vertical="bottom"/>
    </xf>
    <xf borderId="2" fillId="4" fontId="10" numFmtId="49" xfId="0" applyAlignment="1" applyBorder="1" applyFill="1" applyFont="1" applyNumberFormat="1">
      <alignment vertical="bottom"/>
    </xf>
    <xf borderId="2" fillId="3" fontId="10" numFmtId="49" xfId="0" applyAlignment="1" applyBorder="1" applyFill="1" applyFont="1" applyNumberFormat="1">
      <alignment vertical="bottom"/>
    </xf>
    <xf borderId="1" fillId="0" fontId="4" numFmtId="49" xfId="0" applyAlignment="1" applyBorder="1" applyFont="1" applyNumberFormat="1">
      <alignment horizontal="left" readingOrder="0" vertical="bottom"/>
    </xf>
    <xf borderId="0" fillId="0" fontId="4" numFmtId="49" xfId="0" applyAlignment="1" applyFont="1" applyNumberFormat="1">
      <alignment horizontal="left" readingOrder="0" vertical="bottom"/>
    </xf>
    <xf borderId="1" fillId="0" fontId="11" numFmtId="49" xfId="0" applyAlignment="1" applyBorder="1" applyFont="1" applyNumberFormat="1">
      <alignment horizontal="left" readingOrder="0"/>
    </xf>
    <xf borderId="1" fillId="0" fontId="4" numFmtId="164" xfId="0" applyAlignment="1" applyBorder="1" applyFont="1" applyNumberFormat="1">
      <alignment horizontal="right" vertical="bottom"/>
    </xf>
    <xf borderId="1" fillId="0" fontId="4" numFmtId="49" xfId="0" applyAlignment="1" applyBorder="1" applyFont="1" applyNumberFormat="1">
      <alignment horizontal="left" readingOrder="0" vertical="bottom"/>
    </xf>
    <xf borderId="0" fillId="0" fontId="4" numFmtId="49" xfId="0" applyAlignment="1" applyFont="1" applyNumberFormat="1">
      <alignment horizontal="left" readingOrder="0" vertical="bottom"/>
    </xf>
    <xf borderId="1" fillId="0" fontId="4" numFmtId="0" xfId="0" applyAlignment="1" applyBorder="1" applyFont="1">
      <alignment readingOrder="0" vertical="bottom"/>
    </xf>
    <xf borderId="1" fillId="0" fontId="12" numFmtId="49" xfId="0" applyAlignment="1" applyBorder="1" applyFont="1" applyNumberFormat="1">
      <alignment readingOrder="0"/>
    </xf>
    <xf borderId="1" fillId="3" fontId="9" numFmtId="165" xfId="0" applyAlignment="1" applyBorder="1" applyFill="1" applyFont="1" applyNumberFormat="1">
      <alignment horizontal="center" vertical="bottom"/>
    </xf>
    <xf borderId="1" fillId="4" fontId="9" numFmtId="166" xfId="0" applyAlignment="1" applyBorder="1" applyFill="1" applyFont="1" applyNumberFormat="1">
      <alignment horizontal="center" vertical="bottom"/>
    </xf>
    <xf borderId="1" fillId="4" fontId="9" numFmtId="165" xfId="0" applyAlignment="1" applyBorder="1" applyFill="1" applyFont="1" applyNumberFormat="1">
      <alignment horizontal="center" vertical="bottom"/>
    </xf>
    <xf borderId="1" fillId="3" fontId="9" numFmtId="166" xfId="0" applyAlignment="1" applyBorder="1" applyFill="1" applyFont="1" applyNumberFormat="1">
      <alignment horizontal="center" vertical="bottom"/>
    </xf>
    <xf borderId="3" fillId="4" fontId="9" numFmtId="164" xfId="0" applyAlignment="1" applyBorder="1" applyFill="1" applyFont="1" applyNumberFormat="1">
      <alignment readingOrder="0" vertical="bottom"/>
    </xf>
    <xf borderId="0" fillId="0" fontId="4" numFmtId="49" xfId="0" applyAlignment="1" applyFont="1" applyNumberFormat="1">
      <alignment vertical="bottom"/>
    </xf>
    <xf borderId="0" fillId="0" fontId="4" numFmtId="49" xfId="0" applyAlignment="1" applyFont="1" applyNumberFormat="1">
      <alignment horizontal="center" vertical="bottom"/>
    </xf>
    <xf borderId="0" fillId="0" fontId="4" numFmtId="49" xfId="0" applyAlignment="1" applyFont="1" applyNumberFormat="1">
      <alignment horizontal="center" readingOrder="0" vertical="bottom"/>
    </xf>
    <xf borderId="0" fillId="0" fontId="4" numFmtId="164" xfId="0" applyAlignment="1" applyFont="1" applyNumberFormat="1">
      <alignment horizontal="right" readingOrder="0" vertical="bottom"/>
    </xf>
    <xf borderId="0" fillId="0" fontId="4" numFmtId="164" xfId="0" applyAlignment="1" applyFont="1" applyNumberFormat="1">
      <alignment vertical="bottom"/>
    </xf>
    <xf borderId="0" fillId="0" fontId="4" numFmtId="4" xfId="0" applyAlignment="1" applyFont="1" applyNumberFormat="1">
      <alignment horizontal="right" vertical="bottom"/>
    </xf>
    <xf borderId="0" fillId="0" fontId="4" numFmtId="165" xfId="0" applyAlignment="1" applyFont="1" applyNumberFormat="1">
      <alignment horizontal="center" vertical="bottom"/>
    </xf>
    <xf borderId="0" fillId="0" fontId="4" numFmtId="166" xfId="0" applyAlignment="1" applyFont="1" applyNumberFormat="1">
      <alignment horizontal="center" readingOrder="0" vertical="bottom"/>
    </xf>
    <xf borderId="0" fillId="0" fontId="4" numFmtId="49" xfId="0" applyAlignment="1" applyFont="1" applyNumberFormat="1">
      <alignment horizontal="left" vertical="bottom"/>
    </xf>
    <xf borderId="0" fillId="0" fontId="4" numFmtId="0" xfId="0" applyAlignment="1" applyFont="1">
      <alignment vertical="bottom"/>
    </xf>
    <xf borderId="0" fillId="0" fontId="4" numFmtId="0" xfId="0" applyAlignment="1" applyFont="1">
      <alignment horizontal="center" readingOrder="0" vertical="bottom"/>
    </xf>
    <xf borderId="3" fillId="3" fontId="9" numFmtId="164" xfId="0" applyAlignment="1" applyBorder="1" applyFill="1" applyFont="1" applyNumberFormat="1">
      <alignment readingOrder="0" vertical="bottom"/>
    </xf>
    <xf borderId="1" fillId="0" fontId="13" numFmtId="0" xfId="0" applyAlignment="1" applyBorder="1" applyFont="1">
      <alignment horizontal="center" readingOrder="0"/>
    </xf>
    <xf borderId="1" fillId="0" fontId="9" numFmtId="0" xfId="0" applyAlignment="1" applyBorder="1" applyFont="1">
      <alignment horizontal="center" readingOrder="0" shrinkToFit="0" wrapText="1"/>
    </xf>
    <xf borderId="1" fillId="0" fontId="9" numFmtId="0" xfId="0" applyAlignment="1" applyBorder="1" applyFont="1">
      <alignment readingOrder="0" shrinkToFit="0" wrapText="1"/>
    </xf>
    <xf borderId="1" fillId="5" fontId="9" numFmtId="0" xfId="0" applyAlignment="1" applyBorder="1" applyFill="1" applyFont="1">
      <alignment readingOrder="0" shrinkToFit="0" wrapText="1"/>
    </xf>
    <xf borderId="1" fillId="0" fontId="9" numFmtId="0" xfId="0" applyAlignment="1" applyBorder="1" applyFont="1">
      <alignment readingOrder="0"/>
    </xf>
    <xf borderId="0" fillId="0" fontId="9" numFmtId="0" xfId="0" applyAlignment="1" applyFont="1">
      <alignment readingOrder="0"/>
    </xf>
    <xf borderId="1" fillId="6" fontId="9" numFmtId="0" xfId="0" applyAlignment="1" applyBorder="1" applyFill="1" applyFont="1">
      <alignment readingOrder="0" shrinkToFit="0" wrapText="1"/>
    </xf>
    <xf borderId="1" fillId="0" fontId="14" numFmtId="0" xfId="0" applyAlignment="1" applyBorder="1" applyFont="1">
      <alignment readingOrder="0" shrinkToFit="0" wrapText="1"/>
    </xf>
    <xf borderId="1" fillId="7" fontId="9" numFmtId="0" xfId="0" applyAlignment="1" applyBorder="1" applyFill="1" applyFont="1">
      <alignment readingOrder="0" shrinkToFit="0" wrapText="1"/>
    </xf>
    <xf borderId="1" fillId="0" fontId="15" numFmtId="0" xfId="0" applyAlignment="1" applyBorder="1" applyFont="1">
      <alignment readingOrder="0" shrinkToFit="0" wrapText="1"/>
    </xf>
    <xf borderId="1" fillId="0" fontId="9" numFmtId="0" xfId="0" applyAlignment="1" applyBorder="1" applyFont="1">
      <alignment readingOrder="0" shrinkToFit="0" wrapText="1"/>
    </xf>
    <xf borderId="0" fillId="0" fontId="9" numFmtId="0" xfId="0" applyFont="1"/>
    <xf borderId="0" fillId="0" fontId="9" numFmtId="0" xfId="0" applyAlignment="1" applyFont="1">
      <alignment shrinkToFit="0" wrapText="1"/>
    </xf>
    <xf borderId="0" fillId="0" fontId="16" numFmtId="0" xfId="0" applyAlignment="1" applyFont="1">
      <alignment shrinkToFit="0" wrapText="1"/>
    </xf>
    <xf borderId="0" fillId="0" fontId="16" numFmtId="0" xfId="0" applyAlignment="1" applyFont="1">
      <alignment readingOrder="0" shrinkToFit="0" wrapText="1"/>
    </xf>
  </cellXfs>
  <cellStyles count="1">
    <cellStyle xfId="0" name="Normal" builtinId="0"/>
  </cellStyles>
  <dxfs count="13">
    <dxf>
      <font/>
      <fill>
        <patternFill patternType="none"/>
      </fill>
      <border/>
    </dxf>
    <dxf>
      <font/>
      <fill>
        <patternFill patternType="solid">
          <fgColor rgb="FF46BDC6"/>
          <bgColor rgb="FF46BDC6"/>
        </patternFill>
      </fill>
      <border/>
    </dxf>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F4C7C3"/>
          <bgColor rgb="FFF4C7C3"/>
        </patternFill>
      </fill>
      <border/>
    </dxf>
    <dxf>
      <font/>
      <fill>
        <patternFill patternType="solid">
          <fgColor rgb="FFA4C2F4"/>
          <bgColor rgb="FFA4C2F4"/>
        </patternFill>
      </fill>
      <border/>
    </dxf>
    <dxf>
      <font/>
      <fill>
        <patternFill patternType="solid">
          <fgColor rgb="FFC27BA0"/>
          <bgColor rgb="FFC27BA0"/>
        </patternFill>
      </fill>
      <border/>
    </dxf>
    <dxf>
      <font/>
      <fill>
        <patternFill patternType="solid">
          <fgColor rgb="FFB4A7D6"/>
          <bgColor rgb="FFB4A7D6"/>
        </patternFill>
      </fill>
      <border/>
    </dxf>
    <dxf>
      <font/>
      <fill>
        <patternFill patternType="solid">
          <fgColor rgb="FF783F04"/>
          <bgColor rgb="FF783F04"/>
        </patternFill>
      </fill>
      <border/>
    </dxf>
    <dxf>
      <font/>
      <fill>
        <patternFill patternType="solid">
          <fgColor rgb="FF6AA84F"/>
          <bgColor rgb="FF6AA84F"/>
        </patternFill>
      </fill>
      <border/>
    </dxf>
    <dxf>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kspw-4paT-eE5-mrCrc4R9tg70lH2ZTFrJOUmOtOytg" TargetMode="External"/><Relationship Id="rId2" Type="http://schemas.openxmlformats.org/officeDocument/2006/relationships/hyperlink" Target="https://www.reddit.com/r/PlayStationPlus/comments/1vsusn8/viewing_the_ps_last_chance_to_play_list_from_th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reddit.com/r/PlayStationPlus/wiki/list/fullna"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outlineLevelCol="1"/>
  <cols>
    <col customWidth="1" min="1" max="1" width="58.14"/>
    <col customWidth="1" min="2" max="2" width="12.71" outlineLevel="1"/>
    <col customWidth="1" min="3" max="3" width="27.57" outlineLevel="1"/>
    <col customWidth="1" min="4" max="4" width="13.0" outlineLevel="1"/>
    <col customWidth="1" min="5" max="5" width="13.14" outlineLevel="1"/>
    <col customWidth="1" min="6" max="6" width="14.71" outlineLevel="1"/>
    <col customWidth="1" min="7" max="7" width="10.71" outlineLevel="1"/>
    <col customWidth="1" min="8" max="8" width="13.14"/>
    <col customWidth="1" min="9" max="9" width="10.57"/>
    <col customWidth="1" min="10" max="10" width="12.86"/>
    <col customWidth="1" min="11" max="11" width="11.71"/>
    <col customWidth="1" min="12" max="12" width="13.29"/>
    <col customWidth="1" min="13" max="13" width="15.71"/>
    <col customWidth="1" min="14" max="14" width="49.29"/>
    <col customWidth="1" min="15" max="15" width="17.14"/>
    <col customWidth="1" min="16" max="16" width="23.0"/>
  </cols>
  <sheetData>
    <row r="1">
      <c r="A1" s="1" t="s">
        <v>4</v>
      </c>
      <c r="B1" s="12">
        <f>COUNTIF(D2:D2763,"Active")+COUNTIF(D2:D2763,"Leaving Soon")</f>
        <v>991</v>
      </c>
      <c r="C1" s="3" t="s">
        <v>18</v>
      </c>
      <c r="D1" s="1"/>
      <c r="E1" s="1"/>
      <c r="F1" s="1"/>
      <c r="G1" s="14"/>
      <c r="H1" s="1"/>
      <c r="I1" s="20" t="s">
        <v>19</v>
      </c>
      <c r="J1" s="2"/>
      <c r="K1" s="22" t="s">
        <v>20</v>
      </c>
      <c r="L1" s="14"/>
      <c r="M1" s="27" t="s">
        <v>21</v>
      </c>
      <c r="N1" s="2"/>
      <c r="O1" s="4" t="s">
        <v>22</v>
      </c>
      <c r="P1" s="4"/>
    </row>
    <row r="2">
      <c r="A2" s="5" t="s">
        <v>1</v>
      </c>
      <c r="B2" s="6" t="s">
        <v>2</v>
      </c>
      <c r="C2" s="7" t="s">
        <v>3</v>
      </c>
      <c r="D2" s="6" t="s">
        <v>5</v>
      </c>
      <c r="E2" s="6" t="s">
        <v>6</v>
      </c>
      <c r="F2" s="7" t="s">
        <v>7</v>
      </c>
      <c r="G2" s="8" t="s">
        <v>8</v>
      </c>
      <c r="H2" s="10" t="s">
        <v>9</v>
      </c>
      <c r="I2" s="10" t="s">
        <v>10</v>
      </c>
      <c r="J2" s="3" t="s">
        <v>11</v>
      </c>
      <c r="K2" s="10" t="s">
        <v>12</v>
      </c>
      <c r="L2" s="28" t="s">
        <v>13</v>
      </c>
      <c r="M2" s="10" t="s">
        <v>14</v>
      </c>
      <c r="N2" s="7" t="s">
        <v>15</v>
      </c>
      <c r="O2" s="7" t="s">
        <v>23</v>
      </c>
      <c r="P2" s="7" t="s">
        <v>17</v>
      </c>
    </row>
    <row r="3">
      <c r="A3" s="29" t="s">
        <v>24</v>
      </c>
      <c r="B3" s="30" t="s">
        <v>25</v>
      </c>
      <c r="C3" s="31" t="s">
        <v>26</v>
      </c>
      <c r="D3" s="32" t="str">
        <f t="shared" ref="D3:D2763" si="1">IF(E3&gt;TODAY(),"Coming Soon",IF(F3="","Active",IF(F3&gt;TODAY(),"Leaving Soon","Removed")))</f>
        <v>Active</v>
      </c>
      <c r="E3" s="33">
        <v>46294.0</v>
      </c>
      <c r="F3" s="34"/>
      <c r="G3" s="36">
        <f t="shared" ref="G3:G2763" si="2">MONTHDUR(E3,F3)</f>
        <v>0.2333333333</v>
      </c>
      <c r="H3" s="37">
        <v>45869.0</v>
      </c>
      <c r="I3" s="36">
        <f t="shared" ref="I3:I105" si="3">YEARDUR(H3,E3)</f>
        <v>1.163888889</v>
      </c>
      <c r="J3" s="38">
        <v>84.0</v>
      </c>
      <c r="K3" s="39">
        <v>7.9</v>
      </c>
      <c r="L3" s="38">
        <v>6.0</v>
      </c>
      <c r="M3" s="40" t="s">
        <v>27</v>
      </c>
      <c r="N3" s="41"/>
      <c r="O3" s="42"/>
      <c r="P3" s="43"/>
    </row>
    <row r="4">
      <c r="A4" s="44" t="s">
        <v>28</v>
      </c>
      <c r="B4" s="45" t="s">
        <v>25</v>
      </c>
      <c r="C4" s="46" t="s">
        <v>26</v>
      </c>
      <c r="D4" s="47" t="str">
        <f t="shared" si="1"/>
        <v>Active</v>
      </c>
      <c r="E4" s="48">
        <v>46294.0</v>
      </c>
      <c r="F4" s="49"/>
      <c r="G4" s="50">
        <f t="shared" si="2"/>
        <v>0.2333333333</v>
      </c>
      <c r="H4" s="51">
        <v>45491.0</v>
      </c>
      <c r="I4" s="50">
        <f t="shared" si="3"/>
        <v>2.197222222</v>
      </c>
      <c r="J4" s="55">
        <v>80.0</v>
      </c>
      <c r="K4" s="56">
        <v>7.7</v>
      </c>
      <c r="L4" s="55">
        <v>15.5</v>
      </c>
      <c r="M4" s="58" t="s">
        <v>29</v>
      </c>
      <c r="N4" s="59"/>
      <c r="O4" s="60"/>
      <c r="P4" s="61"/>
    </row>
    <row r="5">
      <c r="A5" s="29" t="s">
        <v>30</v>
      </c>
      <c r="B5" s="30" t="s">
        <v>25</v>
      </c>
      <c r="C5" s="31" t="s">
        <v>26</v>
      </c>
      <c r="D5" s="32" t="str">
        <f t="shared" si="1"/>
        <v>Active</v>
      </c>
      <c r="E5" s="33">
        <v>46294.0</v>
      </c>
      <c r="F5" s="34"/>
      <c r="G5" s="36">
        <f t="shared" si="2"/>
        <v>0.2333333333</v>
      </c>
      <c r="H5" s="37">
        <v>45687.0</v>
      </c>
      <c r="I5" s="36">
        <f t="shared" si="3"/>
        <v>1.663888889</v>
      </c>
      <c r="J5" s="38">
        <v>75.0</v>
      </c>
      <c r="K5" s="39">
        <v>5.9</v>
      </c>
      <c r="L5" s="38">
        <v>9.0</v>
      </c>
      <c r="M5" s="40" t="s">
        <v>31</v>
      </c>
      <c r="N5" s="41"/>
      <c r="O5" s="42"/>
      <c r="P5" s="43"/>
    </row>
    <row r="6">
      <c r="A6" s="44" t="s">
        <v>32</v>
      </c>
      <c r="B6" s="45" t="s">
        <v>33</v>
      </c>
      <c r="C6" s="46" t="s">
        <v>26</v>
      </c>
      <c r="D6" s="47" t="str">
        <f t="shared" si="1"/>
        <v>Active</v>
      </c>
      <c r="E6" s="48">
        <v>46287.0</v>
      </c>
      <c r="F6" s="49"/>
      <c r="G6" s="50">
        <f t="shared" si="2"/>
        <v>0.4666666667</v>
      </c>
      <c r="H6" s="51">
        <v>45945.0</v>
      </c>
      <c r="I6" s="50">
        <f t="shared" si="3"/>
        <v>0.9361111111</v>
      </c>
      <c r="J6" s="55">
        <v>84.0</v>
      </c>
      <c r="K6" s="56">
        <v>8.2</v>
      </c>
      <c r="L6" s="55">
        <v>19.0</v>
      </c>
      <c r="M6" s="58" t="s">
        <v>31</v>
      </c>
      <c r="N6" s="59"/>
      <c r="O6" s="63" t="s">
        <v>34</v>
      </c>
      <c r="P6" s="61"/>
    </row>
    <row r="7">
      <c r="A7" s="29" t="s">
        <v>35</v>
      </c>
      <c r="B7" s="30" t="s">
        <v>25</v>
      </c>
      <c r="C7" s="31" t="s">
        <v>26</v>
      </c>
      <c r="D7" s="32" t="str">
        <f t="shared" si="1"/>
        <v>Active</v>
      </c>
      <c r="E7" s="33">
        <v>46287.0</v>
      </c>
      <c r="F7" s="34"/>
      <c r="G7" s="36">
        <f t="shared" si="2"/>
        <v>0.4666666667</v>
      </c>
      <c r="H7" s="37">
        <v>45604.0</v>
      </c>
      <c r="I7" s="36">
        <f t="shared" si="3"/>
        <v>1.872222222</v>
      </c>
      <c r="J7" s="38">
        <v>62.0</v>
      </c>
      <c r="K7" s="39">
        <v>7.5</v>
      </c>
      <c r="L7" s="38">
        <v>13.5</v>
      </c>
      <c r="M7" s="40" t="s">
        <v>36</v>
      </c>
      <c r="N7" s="41"/>
      <c r="O7" s="42"/>
      <c r="P7" s="43"/>
    </row>
    <row r="8">
      <c r="A8" s="44" t="s">
        <v>37</v>
      </c>
      <c r="B8" s="45" t="s">
        <v>33</v>
      </c>
      <c r="C8" s="46" t="s">
        <v>26</v>
      </c>
      <c r="D8" s="47" t="str">
        <f t="shared" si="1"/>
        <v>Active</v>
      </c>
      <c r="E8" s="48">
        <v>46280.0</v>
      </c>
      <c r="F8" s="49"/>
      <c r="G8" s="50">
        <f t="shared" si="2"/>
        <v>0.7</v>
      </c>
      <c r="H8" s="51">
        <v>46280.0</v>
      </c>
      <c r="I8" s="50">
        <f t="shared" si="3"/>
        <v>0</v>
      </c>
      <c r="J8" s="55"/>
      <c r="K8" s="56"/>
      <c r="L8" s="55">
        <v>20.0</v>
      </c>
      <c r="M8" s="64" t="s">
        <v>29</v>
      </c>
      <c r="N8" s="59"/>
      <c r="O8" s="63" t="s">
        <v>34</v>
      </c>
      <c r="P8" s="61"/>
    </row>
    <row r="9">
      <c r="A9" s="29" t="s">
        <v>38</v>
      </c>
      <c r="B9" s="30" t="s">
        <v>33</v>
      </c>
      <c r="C9" s="31" t="s">
        <v>26</v>
      </c>
      <c r="D9" s="32" t="str">
        <f t="shared" si="1"/>
        <v>Active</v>
      </c>
      <c r="E9" s="33">
        <v>46280.0</v>
      </c>
      <c r="F9" s="34"/>
      <c r="G9" s="36">
        <f t="shared" si="2"/>
        <v>0.7</v>
      </c>
      <c r="H9" s="37">
        <v>46094.0</v>
      </c>
      <c r="I9" s="36">
        <f t="shared" si="3"/>
        <v>0.5055555556</v>
      </c>
      <c r="J9" s="38">
        <v>78.0</v>
      </c>
      <c r="K9" s="39">
        <v>3.5</v>
      </c>
      <c r="L9" s="38">
        <v>14.5</v>
      </c>
      <c r="M9" s="40" t="s">
        <v>39</v>
      </c>
      <c r="N9" s="41"/>
      <c r="O9" s="65" t="s">
        <v>34</v>
      </c>
      <c r="P9" s="43"/>
    </row>
    <row r="10">
      <c r="A10" s="44" t="s">
        <v>40</v>
      </c>
      <c r="B10" s="45" t="s">
        <v>25</v>
      </c>
      <c r="C10" s="46" t="s">
        <v>41</v>
      </c>
      <c r="D10" s="47" t="str">
        <f t="shared" si="1"/>
        <v>Active</v>
      </c>
      <c r="E10" s="48">
        <v>46280.0</v>
      </c>
      <c r="F10" s="49"/>
      <c r="G10" s="50">
        <f t="shared" si="2"/>
        <v>0.7</v>
      </c>
      <c r="H10" s="51">
        <v>38251.0</v>
      </c>
      <c r="I10" s="50">
        <f t="shared" si="3"/>
        <v>21.98333333</v>
      </c>
      <c r="J10" s="55">
        <v>69.0</v>
      </c>
      <c r="K10" s="56">
        <v>7.0</v>
      </c>
      <c r="L10" s="55">
        <v>22.0</v>
      </c>
      <c r="M10" s="58" t="s">
        <v>42</v>
      </c>
      <c r="N10" s="59" t="s">
        <v>43</v>
      </c>
      <c r="O10" s="60"/>
      <c r="P10" s="66"/>
    </row>
    <row r="11">
      <c r="A11" s="29" t="s">
        <v>44</v>
      </c>
      <c r="B11" s="30" t="s">
        <v>45</v>
      </c>
      <c r="C11" s="31" t="s">
        <v>46</v>
      </c>
      <c r="D11" s="32" t="str">
        <f t="shared" si="1"/>
        <v>Active</v>
      </c>
      <c r="E11" s="33">
        <v>46280.0</v>
      </c>
      <c r="F11" s="34"/>
      <c r="G11" s="36">
        <f t="shared" si="2"/>
        <v>0.7</v>
      </c>
      <c r="H11" s="37">
        <v>41877.0</v>
      </c>
      <c r="I11" s="36">
        <f t="shared" si="3"/>
        <v>12.05277778</v>
      </c>
      <c r="J11" s="38">
        <v>83.0</v>
      </c>
      <c r="K11" s="39">
        <v>8.1</v>
      </c>
      <c r="L11" s="38">
        <v>17.0</v>
      </c>
      <c r="M11" s="40" t="s">
        <v>31</v>
      </c>
      <c r="N11" s="41" t="s">
        <v>47</v>
      </c>
      <c r="O11" s="42"/>
      <c r="P11" s="67"/>
    </row>
    <row r="12">
      <c r="A12" s="44" t="s">
        <v>48</v>
      </c>
      <c r="B12" s="45" t="s">
        <v>33</v>
      </c>
      <c r="C12" s="46" t="s">
        <v>26</v>
      </c>
      <c r="D12" s="47" t="str">
        <f t="shared" si="1"/>
        <v>Active</v>
      </c>
      <c r="E12" s="48">
        <v>46275.0</v>
      </c>
      <c r="F12" s="49"/>
      <c r="G12" s="50">
        <f t="shared" si="2"/>
        <v>0.8666666667</v>
      </c>
      <c r="H12" s="51">
        <v>45825.0</v>
      </c>
      <c r="I12" s="50">
        <f t="shared" si="3"/>
        <v>1.230555556</v>
      </c>
      <c r="J12" s="55">
        <v>78.0</v>
      </c>
      <c r="K12" s="56">
        <v>6.7</v>
      </c>
      <c r="L12" s="55">
        <v>19.5</v>
      </c>
      <c r="M12" s="58" t="s">
        <v>29</v>
      </c>
      <c r="N12" s="59"/>
      <c r="O12" s="63" t="s">
        <v>34</v>
      </c>
      <c r="P12" s="61"/>
    </row>
    <row r="13">
      <c r="A13" s="29" t="s">
        <v>49</v>
      </c>
      <c r="B13" s="30" t="s">
        <v>33</v>
      </c>
      <c r="C13" s="31" t="s">
        <v>26</v>
      </c>
      <c r="D13" s="32" t="str">
        <f t="shared" si="1"/>
        <v>Active</v>
      </c>
      <c r="E13" s="33">
        <v>46259.0</v>
      </c>
      <c r="F13" s="34"/>
      <c r="G13" s="36">
        <f t="shared" si="2"/>
        <v>1.366666667</v>
      </c>
      <c r="H13" s="37">
        <v>45904.0</v>
      </c>
      <c r="I13" s="36">
        <f t="shared" si="3"/>
        <v>0.975</v>
      </c>
      <c r="J13" s="38">
        <v>77.0</v>
      </c>
      <c r="K13" s="39">
        <v>7.8</v>
      </c>
      <c r="L13" s="38">
        <v>21.0</v>
      </c>
      <c r="M13" s="40" t="s">
        <v>29</v>
      </c>
      <c r="N13" s="41"/>
      <c r="O13" s="42" t="s">
        <v>34</v>
      </c>
      <c r="P13" s="43"/>
    </row>
    <row r="14">
      <c r="A14" s="44" t="s">
        <v>50</v>
      </c>
      <c r="B14" s="45" t="s">
        <v>45</v>
      </c>
      <c r="C14" s="46" t="s">
        <v>26</v>
      </c>
      <c r="D14" s="47" t="str">
        <f t="shared" si="1"/>
        <v>Active</v>
      </c>
      <c r="E14" s="48">
        <v>46259.0</v>
      </c>
      <c r="F14" s="49"/>
      <c r="G14" s="50">
        <f t="shared" si="2"/>
        <v>1.366666667</v>
      </c>
      <c r="H14" s="51">
        <v>45534.0</v>
      </c>
      <c r="I14" s="50">
        <f t="shared" si="3"/>
        <v>1.986111111</v>
      </c>
      <c r="J14" s="55">
        <v>68.0</v>
      </c>
      <c r="K14" s="56">
        <v>6.7</v>
      </c>
      <c r="L14" s="55">
        <v>9.0</v>
      </c>
      <c r="M14" s="58" t="s">
        <v>51</v>
      </c>
      <c r="N14" s="59"/>
      <c r="O14" s="60"/>
      <c r="P14" s="61"/>
    </row>
    <row r="15">
      <c r="A15" s="29" t="s">
        <v>52</v>
      </c>
      <c r="B15" s="30" t="s">
        <v>33</v>
      </c>
      <c r="C15" s="31" t="s">
        <v>26</v>
      </c>
      <c r="D15" s="32" t="str">
        <f t="shared" si="1"/>
        <v>Active</v>
      </c>
      <c r="E15" s="33">
        <v>46259.0</v>
      </c>
      <c r="F15" s="34"/>
      <c r="G15" s="36">
        <f t="shared" si="2"/>
        <v>1.366666667</v>
      </c>
      <c r="H15" s="37">
        <v>45720.0</v>
      </c>
      <c r="I15" s="36">
        <f t="shared" si="3"/>
        <v>1.475</v>
      </c>
      <c r="J15" s="38">
        <v>84.0</v>
      </c>
      <c r="K15" s="39">
        <v>8.1</v>
      </c>
      <c r="L15" s="38">
        <v>47.0</v>
      </c>
      <c r="M15" s="40" t="s">
        <v>53</v>
      </c>
      <c r="N15" s="41"/>
      <c r="O15" s="42" t="s">
        <v>34</v>
      </c>
      <c r="P15" s="43"/>
    </row>
    <row r="16">
      <c r="A16" s="44" t="s">
        <v>54</v>
      </c>
      <c r="B16" s="45" t="s">
        <v>25</v>
      </c>
      <c r="C16" s="46" t="s">
        <v>26</v>
      </c>
      <c r="D16" s="47" t="str">
        <f t="shared" si="1"/>
        <v>Active</v>
      </c>
      <c r="E16" s="48">
        <v>46259.0</v>
      </c>
      <c r="F16" s="49"/>
      <c r="G16" s="50">
        <f t="shared" si="2"/>
        <v>1.366666667</v>
      </c>
      <c r="H16" s="51">
        <v>43511.0</v>
      </c>
      <c r="I16" s="50">
        <f t="shared" si="3"/>
        <v>7.527777778</v>
      </c>
      <c r="J16" s="55">
        <v>82.0</v>
      </c>
      <c r="K16" s="56">
        <v>7.4</v>
      </c>
      <c r="L16" s="55">
        <v>16.0</v>
      </c>
      <c r="M16" s="58" t="s">
        <v>31</v>
      </c>
      <c r="N16" s="59"/>
      <c r="O16" s="60"/>
      <c r="P16" s="61"/>
    </row>
    <row r="17">
      <c r="A17" s="29" t="s">
        <v>55</v>
      </c>
      <c r="B17" s="30" t="s">
        <v>25</v>
      </c>
      <c r="C17" s="31" t="s">
        <v>26</v>
      </c>
      <c r="D17" s="32" t="str">
        <f t="shared" si="1"/>
        <v>Active</v>
      </c>
      <c r="E17" s="33">
        <v>46259.0</v>
      </c>
      <c r="F17" s="34"/>
      <c r="G17" s="36">
        <f t="shared" si="2"/>
        <v>1.366666667</v>
      </c>
      <c r="H17" s="37">
        <v>44596.0</v>
      </c>
      <c r="I17" s="36">
        <f t="shared" si="3"/>
        <v>4.558333333</v>
      </c>
      <c r="J17" s="38">
        <v>76.0</v>
      </c>
      <c r="K17" s="39">
        <v>7.2</v>
      </c>
      <c r="L17" s="38">
        <v>24.0</v>
      </c>
      <c r="M17" s="40" t="s">
        <v>36</v>
      </c>
      <c r="N17" s="41"/>
      <c r="O17" s="42"/>
      <c r="P17" s="43"/>
    </row>
    <row r="18">
      <c r="A18" s="44" t="s">
        <v>56</v>
      </c>
      <c r="B18" s="45" t="s">
        <v>33</v>
      </c>
      <c r="C18" s="46" t="s">
        <v>26</v>
      </c>
      <c r="D18" s="47" t="str">
        <f t="shared" si="1"/>
        <v>Active</v>
      </c>
      <c r="E18" s="48">
        <v>46252.0</v>
      </c>
      <c r="F18" s="49"/>
      <c r="G18" s="50">
        <f t="shared" si="2"/>
        <v>1.6</v>
      </c>
      <c r="H18" s="51">
        <v>45692.0</v>
      </c>
      <c r="I18" s="50">
        <f t="shared" si="3"/>
        <v>1.538888889</v>
      </c>
      <c r="J18" s="55">
        <v>89.0</v>
      </c>
      <c r="K18" s="56">
        <v>8.7</v>
      </c>
      <c r="L18" s="55">
        <v>55.0</v>
      </c>
      <c r="M18" s="58" t="s">
        <v>42</v>
      </c>
      <c r="N18" s="59"/>
      <c r="O18" s="60" t="s">
        <v>34</v>
      </c>
      <c r="P18" s="61"/>
    </row>
    <row r="19">
      <c r="A19" s="29" t="s">
        <v>57</v>
      </c>
      <c r="B19" s="30" t="s">
        <v>25</v>
      </c>
      <c r="C19" s="31" t="s">
        <v>26</v>
      </c>
      <c r="D19" s="32" t="str">
        <f t="shared" si="1"/>
        <v>Active</v>
      </c>
      <c r="E19" s="33">
        <v>46252.0</v>
      </c>
      <c r="F19" s="34"/>
      <c r="G19" s="36">
        <f t="shared" si="2"/>
        <v>1.6</v>
      </c>
      <c r="H19" s="37">
        <v>44854.0</v>
      </c>
      <c r="I19" s="36">
        <f t="shared" si="3"/>
        <v>3.827777778</v>
      </c>
      <c r="J19" s="38">
        <v>86.0</v>
      </c>
      <c r="K19" s="39">
        <v>8.1</v>
      </c>
      <c r="L19" s="38">
        <v>15.0</v>
      </c>
      <c r="M19" s="40" t="s">
        <v>58</v>
      </c>
      <c r="N19" s="41"/>
      <c r="O19" s="42"/>
      <c r="P19" s="43"/>
    </row>
    <row r="20">
      <c r="A20" s="44" t="s">
        <v>59</v>
      </c>
      <c r="B20" s="45" t="s">
        <v>25</v>
      </c>
      <c r="C20" s="46" t="s">
        <v>41</v>
      </c>
      <c r="D20" s="47" t="str">
        <f t="shared" si="1"/>
        <v>Active</v>
      </c>
      <c r="E20" s="48">
        <v>46252.0</v>
      </c>
      <c r="F20" s="49"/>
      <c r="G20" s="50">
        <f t="shared" si="2"/>
        <v>1.6</v>
      </c>
      <c r="H20" s="51">
        <v>38783.0</v>
      </c>
      <c r="I20" s="50">
        <f t="shared" si="3"/>
        <v>20.44722222</v>
      </c>
      <c r="J20" s="55">
        <v>81.0</v>
      </c>
      <c r="K20" s="56">
        <v>8.5</v>
      </c>
      <c r="L20" s="55">
        <v>20.0</v>
      </c>
      <c r="M20" s="58" t="s">
        <v>29</v>
      </c>
      <c r="N20" s="59" t="s">
        <v>43</v>
      </c>
      <c r="O20" s="60"/>
      <c r="P20" s="66"/>
    </row>
    <row r="21">
      <c r="A21" s="29" t="s">
        <v>60</v>
      </c>
      <c r="B21" s="30" t="s">
        <v>25</v>
      </c>
      <c r="C21" s="31" t="s">
        <v>41</v>
      </c>
      <c r="D21" s="32" t="str">
        <f t="shared" si="1"/>
        <v>Active</v>
      </c>
      <c r="E21" s="33">
        <v>46252.0</v>
      </c>
      <c r="F21" s="34"/>
      <c r="G21" s="36">
        <f t="shared" si="2"/>
        <v>1.6</v>
      </c>
      <c r="H21" s="37">
        <v>37153.0</v>
      </c>
      <c r="I21" s="36">
        <f t="shared" si="3"/>
        <v>24.91388889</v>
      </c>
      <c r="J21" s="38">
        <v>73.0</v>
      </c>
      <c r="K21" s="39">
        <v>7.3</v>
      </c>
      <c r="L21" s="38">
        <v>6.0</v>
      </c>
      <c r="M21" s="40" t="s">
        <v>27</v>
      </c>
      <c r="N21" s="41" t="s">
        <v>61</v>
      </c>
      <c r="O21" s="42"/>
      <c r="P21" s="67"/>
    </row>
    <row r="22">
      <c r="A22" s="44" t="s">
        <v>62</v>
      </c>
      <c r="B22" s="45" t="s">
        <v>33</v>
      </c>
      <c r="C22" s="46" t="s">
        <v>26</v>
      </c>
      <c r="D22" s="47" t="str">
        <f t="shared" si="1"/>
        <v>Active</v>
      </c>
      <c r="E22" s="48">
        <v>46246.0</v>
      </c>
      <c r="F22" s="49"/>
      <c r="G22" s="50">
        <f t="shared" si="2"/>
        <v>1.8</v>
      </c>
      <c r="H22" s="51">
        <v>45330.0</v>
      </c>
      <c r="I22" s="50">
        <f t="shared" si="3"/>
        <v>2.511111111</v>
      </c>
      <c r="J22" s="55">
        <v>82.0</v>
      </c>
      <c r="K22" s="56">
        <v>7.5</v>
      </c>
      <c r="L22" s="55">
        <v>32.0</v>
      </c>
      <c r="M22" s="58" t="s">
        <v>31</v>
      </c>
      <c r="N22" s="59"/>
      <c r="O22" s="60" t="s">
        <v>34</v>
      </c>
      <c r="P22" s="61"/>
    </row>
    <row r="23">
      <c r="A23" s="29" t="s">
        <v>63</v>
      </c>
      <c r="B23" s="30" t="s">
        <v>25</v>
      </c>
      <c r="C23" s="31" t="s">
        <v>26</v>
      </c>
      <c r="D23" s="32" t="str">
        <f t="shared" si="1"/>
        <v>Active</v>
      </c>
      <c r="E23" s="33">
        <v>46231.0</v>
      </c>
      <c r="F23" s="34"/>
      <c r="G23" s="36">
        <f t="shared" si="2"/>
        <v>2.266666667</v>
      </c>
      <c r="H23" s="37">
        <v>45636.0</v>
      </c>
      <c r="I23" s="36">
        <f t="shared" si="3"/>
        <v>1.633333333</v>
      </c>
      <c r="J23" s="38">
        <v>70.0</v>
      </c>
      <c r="K23" s="39">
        <v>5.9</v>
      </c>
      <c r="L23" s="38">
        <v>3.0</v>
      </c>
      <c r="M23" s="40" t="s">
        <v>64</v>
      </c>
      <c r="N23" s="41"/>
      <c r="O23" s="42"/>
      <c r="P23" s="43"/>
    </row>
    <row r="24">
      <c r="A24" s="44" t="s">
        <v>65</v>
      </c>
      <c r="B24" s="45" t="s">
        <v>45</v>
      </c>
      <c r="C24" s="46" t="s">
        <v>26</v>
      </c>
      <c r="D24" s="47" t="str">
        <f t="shared" si="1"/>
        <v>Active</v>
      </c>
      <c r="E24" s="48">
        <v>46231.0</v>
      </c>
      <c r="F24" s="49"/>
      <c r="G24" s="50">
        <f t="shared" si="2"/>
        <v>2.266666667</v>
      </c>
      <c r="H24" s="51">
        <v>42031.0</v>
      </c>
      <c r="I24" s="50">
        <f t="shared" si="3"/>
        <v>11.50277778</v>
      </c>
      <c r="J24" s="55">
        <v>74.0</v>
      </c>
      <c r="K24" s="56">
        <v>8.1</v>
      </c>
      <c r="L24" s="55">
        <v>17.5</v>
      </c>
      <c r="M24" s="58" t="s">
        <v>31</v>
      </c>
      <c r="N24" s="59"/>
      <c r="O24" s="60"/>
      <c r="P24" s="61"/>
    </row>
    <row r="25">
      <c r="A25" s="29" t="s">
        <v>66</v>
      </c>
      <c r="B25" s="30" t="s">
        <v>33</v>
      </c>
      <c r="C25" s="31" t="s">
        <v>26</v>
      </c>
      <c r="D25" s="32" t="str">
        <f t="shared" si="1"/>
        <v>Active</v>
      </c>
      <c r="E25" s="33">
        <v>46231.0</v>
      </c>
      <c r="F25" s="34"/>
      <c r="G25" s="36">
        <f t="shared" si="2"/>
        <v>2.266666667</v>
      </c>
      <c r="H25" s="37">
        <v>45688.0</v>
      </c>
      <c r="I25" s="36">
        <f t="shared" si="3"/>
        <v>1.494444444</v>
      </c>
      <c r="J25" s="38">
        <v>86.0</v>
      </c>
      <c r="K25" s="39">
        <v>8.3</v>
      </c>
      <c r="L25" s="38">
        <v>12.0</v>
      </c>
      <c r="M25" s="40" t="s">
        <v>42</v>
      </c>
      <c r="N25" s="41"/>
      <c r="O25" s="42" t="s">
        <v>34</v>
      </c>
      <c r="P25" s="43"/>
    </row>
    <row r="26">
      <c r="A26" s="44" t="s">
        <v>67</v>
      </c>
      <c r="B26" s="45" t="s">
        <v>33</v>
      </c>
      <c r="C26" s="46" t="s">
        <v>26</v>
      </c>
      <c r="D26" s="47" t="str">
        <f t="shared" si="1"/>
        <v>Active</v>
      </c>
      <c r="E26" s="48">
        <v>46231.0</v>
      </c>
      <c r="F26" s="49"/>
      <c r="G26" s="50">
        <f t="shared" si="2"/>
        <v>2.266666667</v>
      </c>
      <c r="H26" s="51">
        <v>45624.0</v>
      </c>
      <c r="I26" s="50">
        <f t="shared" si="3"/>
        <v>1.666666667</v>
      </c>
      <c r="J26" s="55">
        <v>84.0</v>
      </c>
      <c r="K26" s="56">
        <v>7.8</v>
      </c>
      <c r="L26" s="55">
        <v>4.0</v>
      </c>
      <c r="M26" s="58" t="s">
        <v>64</v>
      </c>
      <c r="N26" s="59"/>
      <c r="O26" s="60" t="s">
        <v>34</v>
      </c>
      <c r="P26" s="61"/>
    </row>
    <row r="27">
      <c r="A27" s="29" t="s">
        <v>68</v>
      </c>
      <c r="B27" s="30" t="s">
        <v>33</v>
      </c>
      <c r="C27" s="31" t="s">
        <v>26</v>
      </c>
      <c r="D27" s="32" t="str">
        <f t="shared" si="1"/>
        <v>Active</v>
      </c>
      <c r="E27" s="33">
        <v>46224.0</v>
      </c>
      <c r="F27" s="34"/>
      <c r="G27" s="36">
        <f t="shared" si="2"/>
        <v>2.5</v>
      </c>
      <c r="H27" s="37">
        <v>45267.0</v>
      </c>
      <c r="I27" s="36">
        <f t="shared" si="3"/>
        <v>2.622222222</v>
      </c>
      <c r="J27" s="38">
        <v>72.0</v>
      </c>
      <c r="K27" s="39">
        <v>7.1</v>
      </c>
      <c r="L27" s="38">
        <v>21.0</v>
      </c>
      <c r="M27" s="40" t="s">
        <v>29</v>
      </c>
      <c r="N27" s="41"/>
      <c r="O27" s="42" t="s">
        <v>34</v>
      </c>
      <c r="P27" s="43"/>
    </row>
    <row r="28">
      <c r="A28" s="44" t="s">
        <v>69</v>
      </c>
      <c r="B28" s="45" t="s">
        <v>33</v>
      </c>
      <c r="C28" s="46" t="s">
        <v>26</v>
      </c>
      <c r="D28" s="47" t="str">
        <f t="shared" si="1"/>
        <v>Active</v>
      </c>
      <c r="E28" s="48">
        <v>46224.0</v>
      </c>
      <c r="F28" s="49"/>
      <c r="G28" s="50">
        <f t="shared" si="2"/>
        <v>2.5</v>
      </c>
      <c r="H28" s="51">
        <v>45909.0</v>
      </c>
      <c r="I28" s="50">
        <f t="shared" si="3"/>
        <v>0.8666666667</v>
      </c>
      <c r="J28" s="55">
        <v>78.0</v>
      </c>
      <c r="K28" s="56">
        <v>7.6</v>
      </c>
      <c r="L28" s="55">
        <v>15.0</v>
      </c>
      <c r="M28" s="58" t="s">
        <v>70</v>
      </c>
      <c r="N28" s="59"/>
      <c r="O28" s="60" t="s">
        <v>34</v>
      </c>
      <c r="P28" s="61"/>
    </row>
    <row r="29">
      <c r="A29" s="29" t="s">
        <v>71</v>
      </c>
      <c r="B29" s="30" t="s">
        <v>25</v>
      </c>
      <c r="C29" s="31" t="s">
        <v>41</v>
      </c>
      <c r="D29" s="32" t="str">
        <f t="shared" si="1"/>
        <v>Active</v>
      </c>
      <c r="E29" s="33">
        <v>46224.0</v>
      </c>
      <c r="F29" s="34"/>
      <c r="G29" s="36">
        <f t="shared" si="2"/>
        <v>2.5</v>
      </c>
      <c r="H29" s="37">
        <v>38615.0</v>
      </c>
      <c r="I29" s="36">
        <f t="shared" si="3"/>
        <v>20.83611111</v>
      </c>
      <c r="J29" s="38">
        <v>85.0</v>
      </c>
      <c r="K29" s="39">
        <v>8.5</v>
      </c>
      <c r="L29" s="38">
        <v>9.0</v>
      </c>
      <c r="M29" s="40" t="s">
        <v>29</v>
      </c>
      <c r="N29" s="41" t="s">
        <v>43</v>
      </c>
      <c r="O29" s="42"/>
      <c r="P29" s="67"/>
    </row>
    <row r="30">
      <c r="A30" s="44" t="s">
        <v>72</v>
      </c>
      <c r="B30" s="45" t="s">
        <v>25</v>
      </c>
      <c r="C30" s="46" t="s">
        <v>41</v>
      </c>
      <c r="D30" s="47" t="str">
        <f t="shared" si="1"/>
        <v>Active</v>
      </c>
      <c r="E30" s="48">
        <v>46224.0</v>
      </c>
      <c r="F30" s="49"/>
      <c r="G30" s="50">
        <f t="shared" si="2"/>
        <v>2.5</v>
      </c>
      <c r="H30" s="51">
        <v>38152.0</v>
      </c>
      <c r="I30" s="50">
        <f t="shared" si="3"/>
        <v>22.10277778</v>
      </c>
      <c r="J30" s="55">
        <v>84.0</v>
      </c>
      <c r="K30" s="56">
        <v>6.9</v>
      </c>
      <c r="L30" s="55">
        <v>10.0</v>
      </c>
      <c r="M30" s="58" t="s">
        <v>31</v>
      </c>
      <c r="N30" s="59" t="s">
        <v>43</v>
      </c>
      <c r="O30" s="60"/>
      <c r="P30" s="66"/>
    </row>
    <row r="31">
      <c r="A31" s="29" t="s">
        <v>73</v>
      </c>
      <c r="B31" s="30" t="s">
        <v>33</v>
      </c>
      <c r="C31" s="31" t="s">
        <v>26</v>
      </c>
      <c r="D31" s="32" t="str">
        <f t="shared" si="1"/>
        <v>Active</v>
      </c>
      <c r="E31" s="33">
        <v>46219.0</v>
      </c>
      <c r="F31" s="34"/>
      <c r="G31" s="36">
        <f t="shared" si="2"/>
        <v>2.666666667</v>
      </c>
      <c r="H31" s="37">
        <v>45373.0</v>
      </c>
      <c r="I31" s="36">
        <f t="shared" si="3"/>
        <v>2.316666667</v>
      </c>
      <c r="J31" s="38">
        <v>76.0</v>
      </c>
      <c r="K31" s="39">
        <v>7.9</v>
      </c>
      <c r="L31" s="38">
        <v>25.0</v>
      </c>
      <c r="M31" s="40" t="s">
        <v>42</v>
      </c>
      <c r="N31" s="41"/>
      <c r="O31" s="42" t="s">
        <v>34</v>
      </c>
      <c r="P31" s="43"/>
    </row>
    <row r="32">
      <c r="A32" s="44" t="s">
        <v>74</v>
      </c>
      <c r="B32" s="45" t="s">
        <v>33</v>
      </c>
      <c r="C32" s="46" t="s">
        <v>26</v>
      </c>
      <c r="D32" s="47" t="str">
        <f t="shared" si="1"/>
        <v>Active</v>
      </c>
      <c r="E32" s="48">
        <v>46189.0</v>
      </c>
      <c r="F32" s="49"/>
      <c r="G32" s="50">
        <f t="shared" si="2"/>
        <v>3.666666667</v>
      </c>
      <c r="H32" s="51">
        <v>45099.0</v>
      </c>
      <c r="I32" s="50">
        <f t="shared" si="3"/>
        <v>2.983333333</v>
      </c>
      <c r="J32" s="55">
        <v>87.0</v>
      </c>
      <c r="K32" s="56">
        <v>8.4</v>
      </c>
      <c r="L32" s="55">
        <v>34.0</v>
      </c>
      <c r="M32" s="58" t="s">
        <v>42</v>
      </c>
      <c r="N32" s="59"/>
      <c r="O32" s="60" t="s">
        <v>34</v>
      </c>
      <c r="P32" s="61"/>
    </row>
    <row r="33">
      <c r="A33" s="29" t="s">
        <v>75</v>
      </c>
      <c r="B33" s="30" t="s">
        <v>25</v>
      </c>
      <c r="C33" s="31" t="s">
        <v>26</v>
      </c>
      <c r="D33" s="32" t="str">
        <f t="shared" si="1"/>
        <v>Active</v>
      </c>
      <c r="E33" s="33">
        <v>46189.0</v>
      </c>
      <c r="F33" s="34"/>
      <c r="G33" s="36">
        <f t="shared" si="2"/>
        <v>3.666666667</v>
      </c>
      <c r="H33" s="37">
        <v>45590.0</v>
      </c>
      <c r="I33" s="36">
        <f t="shared" si="3"/>
        <v>1.641666667</v>
      </c>
      <c r="J33" s="38">
        <v>80.0</v>
      </c>
      <c r="K33" s="39">
        <v>8.9</v>
      </c>
      <c r="L33" s="38">
        <v>7.0</v>
      </c>
      <c r="M33" s="40" t="s">
        <v>29</v>
      </c>
      <c r="N33" s="41"/>
      <c r="O33" s="42"/>
      <c r="P33" s="43"/>
    </row>
    <row r="34">
      <c r="A34" s="44" t="s">
        <v>76</v>
      </c>
      <c r="B34" s="45" t="s">
        <v>25</v>
      </c>
      <c r="C34" s="46" t="s">
        <v>26</v>
      </c>
      <c r="D34" s="47" t="str">
        <f t="shared" si="1"/>
        <v>Active</v>
      </c>
      <c r="E34" s="48">
        <v>46189.0</v>
      </c>
      <c r="F34" s="49"/>
      <c r="G34" s="50">
        <f t="shared" si="2"/>
        <v>3.666666667</v>
      </c>
      <c r="H34" s="51">
        <v>43144.0</v>
      </c>
      <c r="I34" s="50">
        <f t="shared" si="3"/>
        <v>8.341666667</v>
      </c>
      <c r="J34" s="55">
        <v>76.0</v>
      </c>
      <c r="K34" s="56">
        <v>8.0</v>
      </c>
      <c r="L34" s="55">
        <v>41.0</v>
      </c>
      <c r="M34" s="58" t="s">
        <v>42</v>
      </c>
      <c r="N34" s="59"/>
      <c r="O34" s="60"/>
      <c r="P34" s="61"/>
    </row>
    <row r="35">
      <c r="A35" s="29" t="s">
        <v>77</v>
      </c>
      <c r="B35" s="30" t="s">
        <v>33</v>
      </c>
      <c r="C35" s="31" t="s">
        <v>26</v>
      </c>
      <c r="D35" s="32" t="str">
        <f t="shared" si="1"/>
        <v>Active</v>
      </c>
      <c r="E35" s="33">
        <v>46189.0</v>
      </c>
      <c r="F35" s="34"/>
      <c r="G35" s="36">
        <f t="shared" si="2"/>
        <v>3.666666667</v>
      </c>
      <c r="H35" s="37">
        <v>45594.0</v>
      </c>
      <c r="I35" s="36">
        <f t="shared" si="3"/>
        <v>1.630555556</v>
      </c>
      <c r="J35" s="38">
        <v>73.0</v>
      </c>
      <c r="K35" s="39">
        <v>4.7</v>
      </c>
      <c r="L35" s="38">
        <v>13.0</v>
      </c>
      <c r="M35" s="40" t="s">
        <v>29</v>
      </c>
      <c r="N35" s="41"/>
      <c r="O35" s="42" t="s">
        <v>34</v>
      </c>
      <c r="P35" s="43"/>
    </row>
    <row r="36">
      <c r="A36" s="44" t="s">
        <v>78</v>
      </c>
      <c r="B36" s="45" t="s">
        <v>33</v>
      </c>
      <c r="C36" s="46" t="s">
        <v>26</v>
      </c>
      <c r="D36" s="47" t="str">
        <f t="shared" si="1"/>
        <v>Active</v>
      </c>
      <c r="E36" s="48">
        <v>46189.0</v>
      </c>
      <c r="F36" s="49"/>
      <c r="G36" s="50">
        <f t="shared" si="2"/>
        <v>3.666666667</v>
      </c>
      <c r="H36" s="51">
        <v>45608.0</v>
      </c>
      <c r="I36" s="50">
        <f t="shared" si="3"/>
        <v>1.594444444</v>
      </c>
      <c r="J36" s="55">
        <v>75.0</v>
      </c>
      <c r="K36" s="56">
        <v>5.3</v>
      </c>
      <c r="L36" s="55">
        <v>37.0</v>
      </c>
      <c r="M36" s="58" t="s">
        <v>70</v>
      </c>
      <c r="N36" s="59"/>
      <c r="O36" s="60" t="s">
        <v>34</v>
      </c>
      <c r="P36" s="61"/>
    </row>
    <row r="37">
      <c r="A37" s="29" t="s">
        <v>79</v>
      </c>
      <c r="B37" s="30" t="s">
        <v>33</v>
      </c>
      <c r="C37" s="31" t="s">
        <v>26</v>
      </c>
      <c r="D37" s="32" t="str">
        <f t="shared" si="1"/>
        <v>Active</v>
      </c>
      <c r="E37" s="33">
        <v>46189.0</v>
      </c>
      <c r="F37" s="34"/>
      <c r="G37" s="36">
        <f t="shared" si="2"/>
        <v>3.666666667</v>
      </c>
      <c r="H37" s="37">
        <v>45799.0</v>
      </c>
      <c r="I37" s="36">
        <f t="shared" si="3"/>
        <v>1.066666667</v>
      </c>
      <c r="J37" s="38">
        <v>79.0</v>
      </c>
      <c r="K37" s="39">
        <v>8.2</v>
      </c>
      <c r="L37" s="38">
        <v>19.0</v>
      </c>
      <c r="M37" s="40" t="s">
        <v>42</v>
      </c>
      <c r="N37" s="41"/>
      <c r="O37" s="42" t="s">
        <v>34</v>
      </c>
      <c r="P37" s="43"/>
    </row>
    <row r="38">
      <c r="A38" s="44" t="s">
        <v>80</v>
      </c>
      <c r="B38" s="45" t="s">
        <v>33</v>
      </c>
      <c r="C38" s="46" t="s">
        <v>26</v>
      </c>
      <c r="D38" s="47" t="str">
        <f t="shared" si="1"/>
        <v>Active</v>
      </c>
      <c r="E38" s="48">
        <v>46189.0</v>
      </c>
      <c r="F38" s="49"/>
      <c r="G38" s="50">
        <f t="shared" si="2"/>
        <v>3.666666667</v>
      </c>
      <c r="H38" s="51">
        <v>43528.0</v>
      </c>
      <c r="I38" s="50">
        <f t="shared" si="3"/>
        <v>7.283333333</v>
      </c>
      <c r="J38" s="55">
        <v>75.0</v>
      </c>
      <c r="K38" s="56">
        <v>6.2</v>
      </c>
      <c r="L38" s="55">
        <v>34.0</v>
      </c>
      <c r="M38" s="58" t="s">
        <v>42</v>
      </c>
      <c r="N38" s="59"/>
      <c r="O38" s="60" t="s">
        <v>34</v>
      </c>
      <c r="P38" s="61"/>
    </row>
    <row r="39">
      <c r="A39" s="29" t="s">
        <v>81</v>
      </c>
      <c r="B39" s="30" t="s">
        <v>25</v>
      </c>
      <c r="C39" s="31" t="s">
        <v>41</v>
      </c>
      <c r="D39" s="32" t="str">
        <f t="shared" si="1"/>
        <v>Active</v>
      </c>
      <c r="E39" s="33">
        <v>46189.0</v>
      </c>
      <c r="F39" s="34"/>
      <c r="G39" s="36">
        <f t="shared" si="2"/>
        <v>3.666666667</v>
      </c>
      <c r="H39" s="37">
        <v>37431.0</v>
      </c>
      <c r="I39" s="36">
        <f t="shared" si="3"/>
        <v>23.97777778</v>
      </c>
      <c r="J39" s="38">
        <v>91.0</v>
      </c>
      <c r="K39" s="39">
        <v>8.8</v>
      </c>
      <c r="L39" s="38">
        <v>4.0</v>
      </c>
      <c r="M39" s="40" t="s">
        <v>82</v>
      </c>
      <c r="N39" s="41" t="s">
        <v>43</v>
      </c>
      <c r="O39" s="42"/>
      <c r="P39" s="67"/>
    </row>
    <row r="40">
      <c r="A40" s="44" t="s">
        <v>83</v>
      </c>
      <c r="B40" s="45" t="s">
        <v>25</v>
      </c>
      <c r="C40" s="46" t="s">
        <v>26</v>
      </c>
      <c r="D40" s="47" t="str">
        <f t="shared" si="1"/>
        <v>Active</v>
      </c>
      <c r="E40" s="48">
        <v>46182.0</v>
      </c>
      <c r="F40" s="49"/>
      <c r="G40" s="50">
        <f t="shared" si="2"/>
        <v>3.9</v>
      </c>
      <c r="H40" s="51">
        <v>45853.0</v>
      </c>
      <c r="I40" s="50">
        <f t="shared" si="3"/>
        <v>0.9</v>
      </c>
      <c r="J40" s="55">
        <v>79.0</v>
      </c>
      <c r="K40" s="56">
        <v>5.6</v>
      </c>
      <c r="L40" s="55">
        <v>43.0</v>
      </c>
      <c r="M40" s="58" t="s">
        <v>31</v>
      </c>
      <c r="N40" s="59" t="s">
        <v>84</v>
      </c>
      <c r="O40" s="60"/>
      <c r="P40" s="61"/>
    </row>
    <row r="41">
      <c r="A41" s="29" t="s">
        <v>85</v>
      </c>
      <c r="B41" s="30" t="s">
        <v>33</v>
      </c>
      <c r="C41" s="31" t="s">
        <v>26</v>
      </c>
      <c r="D41" s="32" t="str">
        <f t="shared" si="1"/>
        <v>Active</v>
      </c>
      <c r="E41" s="33">
        <v>46161.0</v>
      </c>
      <c r="F41" s="34"/>
      <c r="G41" s="36">
        <f t="shared" si="2"/>
        <v>4.566666667</v>
      </c>
      <c r="H41" s="37">
        <v>45531.0</v>
      </c>
      <c r="I41" s="36">
        <f t="shared" si="3"/>
        <v>1.727777778</v>
      </c>
      <c r="J41" s="38">
        <v>75.0</v>
      </c>
      <c r="K41" s="39">
        <v>5.6</v>
      </c>
      <c r="L41" s="38">
        <v>18.5</v>
      </c>
      <c r="M41" s="40" t="s">
        <v>29</v>
      </c>
      <c r="N41" s="41"/>
      <c r="O41" s="42" t="s">
        <v>34</v>
      </c>
      <c r="P41" s="43"/>
    </row>
    <row r="42">
      <c r="A42" s="44" t="s">
        <v>86</v>
      </c>
      <c r="B42" s="45" t="s">
        <v>45</v>
      </c>
      <c r="C42" s="46" t="s">
        <v>26</v>
      </c>
      <c r="D42" s="47" t="str">
        <f t="shared" si="1"/>
        <v>Active</v>
      </c>
      <c r="E42" s="48">
        <v>46161.0</v>
      </c>
      <c r="F42" s="49"/>
      <c r="G42" s="50">
        <f t="shared" si="2"/>
        <v>4.566666667</v>
      </c>
      <c r="H42" s="51">
        <v>43399.0</v>
      </c>
      <c r="I42" s="50">
        <f t="shared" si="3"/>
        <v>7.563888889</v>
      </c>
      <c r="J42" s="55">
        <v>97.0</v>
      </c>
      <c r="K42" s="56">
        <v>9.0</v>
      </c>
      <c r="L42" s="55">
        <v>50.5</v>
      </c>
      <c r="M42" s="58" t="s">
        <v>29</v>
      </c>
      <c r="N42" s="59"/>
      <c r="O42" s="60"/>
      <c r="P42" s="61"/>
    </row>
    <row r="43">
      <c r="A43" s="29" t="s">
        <v>87</v>
      </c>
      <c r="B43" s="30" t="s">
        <v>25</v>
      </c>
      <c r="C43" s="31" t="s">
        <v>26</v>
      </c>
      <c r="D43" s="32" t="str">
        <f t="shared" si="1"/>
        <v>Active</v>
      </c>
      <c r="E43" s="33">
        <v>46161.0</v>
      </c>
      <c r="F43" s="34"/>
      <c r="G43" s="36">
        <f t="shared" si="2"/>
        <v>4.566666667</v>
      </c>
      <c r="H43" s="37">
        <v>45043.0</v>
      </c>
      <c r="I43" s="36">
        <f t="shared" si="3"/>
        <v>3.061111111</v>
      </c>
      <c r="J43" s="38">
        <v>80.0</v>
      </c>
      <c r="K43" s="39">
        <v>7.8</v>
      </c>
      <c r="L43" s="38">
        <v>4.0</v>
      </c>
      <c r="M43" s="40" t="s">
        <v>29</v>
      </c>
      <c r="N43" s="41"/>
      <c r="O43" s="42"/>
      <c r="P43" s="43"/>
    </row>
    <row r="44">
      <c r="A44" s="44" t="s">
        <v>88</v>
      </c>
      <c r="B44" s="45" t="s">
        <v>33</v>
      </c>
      <c r="C44" s="46" t="s">
        <v>26</v>
      </c>
      <c r="D44" s="47" t="str">
        <f t="shared" si="1"/>
        <v>Active</v>
      </c>
      <c r="E44" s="48">
        <v>46161.0</v>
      </c>
      <c r="F44" s="49"/>
      <c r="G44" s="50">
        <f t="shared" si="2"/>
        <v>4.566666667</v>
      </c>
      <c r="H44" s="51">
        <v>45355.0</v>
      </c>
      <c r="I44" s="50">
        <f t="shared" si="3"/>
        <v>2.208333333</v>
      </c>
      <c r="J44" s="55">
        <v>74.0</v>
      </c>
      <c r="K44" s="56">
        <v>7.1</v>
      </c>
      <c r="L44" s="55">
        <v>21.0</v>
      </c>
      <c r="M44" s="58" t="s">
        <v>42</v>
      </c>
      <c r="N44" s="59"/>
      <c r="O44" s="60" t="s">
        <v>34</v>
      </c>
      <c r="P44" s="61"/>
    </row>
    <row r="45">
      <c r="A45" s="29" t="s">
        <v>89</v>
      </c>
      <c r="B45" s="30" t="s">
        <v>33</v>
      </c>
      <c r="C45" s="31" t="s">
        <v>26</v>
      </c>
      <c r="D45" s="32" t="str">
        <f t="shared" si="1"/>
        <v>Active</v>
      </c>
      <c r="E45" s="33">
        <v>46161.0</v>
      </c>
      <c r="F45" s="34"/>
      <c r="G45" s="36">
        <f t="shared" si="2"/>
        <v>4.566666667</v>
      </c>
      <c r="H45" s="37">
        <v>45490.0</v>
      </c>
      <c r="I45" s="36">
        <f t="shared" si="3"/>
        <v>1.838888889</v>
      </c>
      <c r="J45" s="38">
        <v>71.0</v>
      </c>
      <c r="K45" s="39">
        <v>5.8</v>
      </c>
      <c r="L45" s="38">
        <v>10.0</v>
      </c>
      <c r="M45" s="40" t="s">
        <v>42</v>
      </c>
      <c r="N45" s="41"/>
      <c r="O45" s="42" t="s">
        <v>34</v>
      </c>
      <c r="P45" s="43"/>
    </row>
    <row r="46">
      <c r="A46" s="44" t="s">
        <v>90</v>
      </c>
      <c r="B46" s="45" t="s">
        <v>25</v>
      </c>
      <c r="C46" s="46" t="s">
        <v>26</v>
      </c>
      <c r="D46" s="47" t="str">
        <f t="shared" si="1"/>
        <v>Active</v>
      </c>
      <c r="E46" s="48">
        <v>46161.0</v>
      </c>
      <c r="F46" s="49"/>
      <c r="G46" s="50">
        <f t="shared" si="2"/>
        <v>4.566666667</v>
      </c>
      <c r="H46" s="51">
        <v>45554.0</v>
      </c>
      <c r="I46" s="50">
        <f t="shared" si="3"/>
        <v>1.666666667</v>
      </c>
      <c r="J46" s="55">
        <v>84.0</v>
      </c>
      <c r="K46" s="56">
        <v>8.8</v>
      </c>
      <c r="L46" s="55">
        <v>10.0</v>
      </c>
      <c r="M46" s="58" t="s">
        <v>91</v>
      </c>
      <c r="N46" s="59"/>
      <c r="O46" s="60"/>
      <c r="P46" s="61"/>
    </row>
    <row r="47">
      <c r="A47" s="29" t="s">
        <v>92</v>
      </c>
      <c r="B47" s="30" t="s">
        <v>33</v>
      </c>
      <c r="C47" s="31" t="s">
        <v>26</v>
      </c>
      <c r="D47" s="32" t="str">
        <f t="shared" si="1"/>
        <v>Active</v>
      </c>
      <c r="E47" s="33">
        <v>46161.0</v>
      </c>
      <c r="F47" s="34"/>
      <c r="G47" s="36">
        <f t="shared" si="2"/>
        <v>4.566666667</v>
      </c>
      <c r="H47" s="37">
        <v>45551.0</v>
      </c>
      <c r="I47" s="36">
        <f t="shared" si="3"/>
        <v>1.675</v>
      </c>
      <c r="J47" s="38">
        <v>69.0</v>
      </c>
      <c r="K47" s="39">
        <v>6.1</v>
      </c>
      <c r="L47" s="38">
        <v>29.0</v>
      </c>
      <c r="M47" s="40" t="s">
        <v>42</v>
      </c>
      <c r="N47" s="41"/>
      <c r="O47" s="42"/>
      <c r="P47" s="43"/>
    </row>
    <row r="48">
      <c r="A48" s="44" t="s">
        <v>93</v>
      </c>
      <c r="B48" s="45" t="s">
        <v>25</v>
      </c>
      <c r="C48" s="46" t="s">
        <v>41</v>
      </c>
      <c r="D48" s="47" t="str">
        <f t="shared" si="1"/>
        <v>Active</v>
      </c>
      <c r="E48" s="48">
        <v>46161.0</v>
      </c>
      <c r="F48" s="49"/>
      <c r="G48" s="50">
        <f t="shared" si="2"/>
        <v>4.566666667</v>
      </c>
      <c r="H48" s="51">
        <v>34973.0</v>
      </c>
      <c r="I48" s="50">
        <f t="shared" si="3"/>
        <v>30.63333333</v>
      </c>
      <c r="J48" s="55">
        <v>70.0</v>
      </c>
      <c r="K48" s="56">
        <v>7.5</v>
      </c>
      <c r="L48" s="55">
        <v>1.0</v>
      </c>
      <c r="M48" s="58" t="s">
        <v>31</v>
      </c>
      <c r="N48" s="59" t="s">
        <v>61</v>
      </c>
      <c r="O48" s="60" t="s">
        <v>34</v>
      </c>
      <c r="P48" s="66"/>
    </row>
    <row r="49">
      <c r="A49" s="29" t="s">
        <v>94</v>
      </c>
      <c r="B49" s="30" t="s">
        <v>25</v>
      </c>
      <c r="C49" s="31" t="s">
        <v>26</v>
      </c>
      <c r="D49" s="32" t="str">
        <f t="shared" si="1"/>
        <v>Active</v>
      </c>
      <c r="E49" s="33">
        <v>46133.0</v>
      </c>
      <c r="F49" s="34"/>
      <c r="G49" s="36">
        <f t="shared" si="2"/>
        <v>5.5</v>
      </c>
      <c r="H49" s="37">
        <v>45183.0</v>
      </c>
      <c r="I49" s="36">
        <f t="shared" si="3"/>
        <v>2.602777778</v>
      </c>
      <c r="J49" s="38">
        <v>74.0</v>
      </c>
      <c r="K49" s="39">
        <v>6.3</v>
      </c>
      <c r="L49" s="38">
        <v>20.0</v>
      </c>
      <c r="M49" s="40" t="s">
        <v>95</v>
      </c>
      <c r="N49" s="41"/>
      <c r="O49" s="42"/>
      <c r="P49" s="43"/>
    </row>
    <row r="50">
      <c r="A50" s="44" t="s">
        <v>96</v>
      </c>
      <c r="B50" s="45" t="s">
        <v>25</v>
      </c>
      <c r="C50" s="46" t="s">
        <v>26</v>
      </c>
      <c r="D50" s="47" t="str">
        <f t="shared" si="1"/>
        <v>Active</v>
      </c>
      <c r="E50" s="48">
        <v>46133.0</v>
      </c>
      <c r="F50" s="49"/>
      <c r="G50" s="50">
        <f t="shared" si="2"/>
        <v>5.5</v>
      </c>
      <c r="H50" s="51">
        <v>45596.0</v>
      </c>
      <c r="I50" s="50">
        <f t="shared" si="3"/>
        <v>1.475</v>
      </c>
      <c r="J50" s="55">
        <v>85.0</v>
      </c>
      <c r="K50" s="56">
        <v>7.2</v>
      </c>
      <c r="L50" s="55">
        <v>23.0</v>
      </c>
      <c r="M50" s="58" t="s">
        <v>29</v>
      </c>
      <c r="N50" s="59" t="s">
        <v>97</v>
      </c>
      <c r="O50" s="60"/>
      <c r="P50" s="61"/>
    </row>
    <row r="51">
      <c r="A51" s="29" t="s">
        <v>98</v>
      </c>
      <c r="B51" s="30" t="s">
        <v>33</v>
      </c>
      <c r="C51" s="31" t="s">
        <v>26</v>
      </c>
      <c r="D51" s="32" t="str">
        <f t="shared" si="1"/>
        <v>Active</v>
      </c>
      <c r="E51" s="33">
        <v>46133.0</v>
      </c>
      <c r="F51" s="34"/>
      <c r="G51" s="36">
        <f t="shared" si="2"/>
        <v>5.5</v>
      </c>
      <c r="H51" s="37">
        <v>45965.0</v>
      </c>
      <c r="I51" s="36">
        <f t="shared" si="3"/>
        <v>0.4638888889</v>
      </c>
      <c r="J51" s="38">
        <v>68.0</v>
      </c>
      <c r="K51" s="39">
        <v>2.8</v>
      </c>
      <c r="L51" s="38">
        <v>87.0</v>
      </c>
      <c r="M51" s="40" t="s">
        <v>70</v>
      </c>
      <c r="N51" s="41"/>
      <c r="O51" s="42" t="s">
        <v>34</v>
      </c>
      <c r="P51" s="43"/>
    </row>
    <row r="52">
      <c r="A52" s="44" t="s">
        <v>99</v>
      </c>
      <c r="B52" s="45" t="s">
        <v>25</v>
      </c>
      <c r="C52" s="46" t="s">
        <v>26</v>
      </c>
      <c r="D52" s="47" t="str">
        <f t="shared" si="1"/>
        <v>Active</v>
      </c>
      <c r="E52" s="48">
        <v>46133.0</v>
      </c>
      <c r="F52" s="49"/>
      <c r="G52" s="50">
        <f t="shared" si="2"/>
        <v>5.5</v>
      </c>
      <c r="H52" s="51">
        <v>45700.0</v>
      </c>
      <c r="I52" s="50">
        <f t="shared" si="3"/>
        <v>1.191666667</v>
      </c>
      <c r="J52" s="55">
        <v>68.0</v>
      </c>
      <c r="K52" s="56">
        <v>7.6</v>
      </c>
      <c r="L52" s="55">
        <v>6.0</v>
      </c>
      <c r="M52" s="58" t="s">
        <v>64</v>
      </c>
      <c r="N52" s="59"/>
      <c r="O52" s="60"/>
      <c r="P52" s="61"/>
    </row>
    <row r="53">
      <c r="A53" s="29" t="s">
        <v>100</v>
      </c>
      <c r="B53" s="30" t="s">
        <v>33</v>
      </c>
      <c r="C53" s="31" t="s">
        <v>26</v>
      </c>
      <c r="D53" s="32" t="str">
        <f t="shared" si="1"/>
        <v>Active</v>
      </c>
      <c r="E53" s="33">
        <v>46133.0</v>
      </c>
      <c r="F53" s="34"/>
      <c r="G53" s="36">
        <f t="shared" si="2"/>
        <v>5.5</v>
      </c>
      <c r="H53" s="37">
        <v>45533.0</v>
      </c>
      <c r="I53" s="36">
        <f t="shared" si="3"/>
        <v>1.644444444</v>
      </c>
      <c r="J53" s="38">
        <v>63.0</v>
      </c>
      <c r="K53" s="39">
        <v>6.4</v>
      </c>
      <c r="L53" s="38">
        <v>6.0</v>
      </c>
      <c r="M53" s="40" t="s">
        <v>31</v>
      </c>
      <c r="N53" s="41"/>
      <c r="O53" s="42" t="s">
        <v>34</v>
      </c>
      <c r="P53" s="43"/>
    </row>
    <row r="54">
      <c r="A54" s="44" t="s">
        <v>101</v>
      </c>
      <c r="B54" s="45" t="s">
        <v>33</v>
      </c>
      <c r="C54" s="46" t="s">
        <v>26</v>
      </c>
      <c r="D54" s="47" t="str">
        <f t="shared" si="1"/>
        <v>Active</v>
      </c>
      <c r="E54" s="48">
        <v>46133.0</v>
      </c>
      <c r="F54" s="49"/>
      <c r="G54" s="50">
        <f t="shared" si="2"/>
        <v>5.5</v>
      </c>
      <c r="H54" s="51">
        <v>45538.0</v>
      </c>
      <c r="I54" s="50">
        <f t="shared" si="3"/>
        <v>1.633333333</v>
      </c>
      <c r="J54" s="55">
        <v>71.0</v>
      </c>
      <c r="K54" s="56">
        <v>6.7</v>
      </c>
      <c r="L54" s="55">
        <v>7.0</v>
      </c>
      <c r="M54" s="58" t="s">
        <v>29</v>
      </c>
      <c r="N54" s="59"/>
      <c r="O54" s="60" t="s">
        <v>34</v>
      </c>
      <c r="P54" s="61"/>
    </row>
    <row r="55">
      <c r="A55" s="29" t="s">
        <v>102</v>
      </c>
      <c r="B55" s="30" t="s">
        <v>33</v>
      </c>
      <c r="C55" s="31" t="s">
        <v>26</v>
      </c>
      <c r="D55" s="32" t="str">
        <f t="shared" si="1"/>
        <v>Active</v>
      </c>
      <c r="E55" s="33">
        <v>46133.0</v>
      </c>
      <c r="F55" s="34"/>
      <c r="G55" s="36">
        <f t="shared" si="2"/>
        <v>5.5</v>
      </c>
      <c r="H55" s="37">
        <v>43972.0</v>
      </c>
      <c r="I55" s="36">
        <f t="shared" si="3"/>
        <v>5.916666667</v>
      </c>
      <c r="J55" s="38">
        <v>86.0</v>
      </c>
      <c r="K55" s="39">
        <v>7.8</v>
      </c>
      <c r="L55" s="38">
        <v>12.0</v>
      </c>
      <c r="M55" s="40" t="s">
        <v>103</v>
      </c>
      <c r="N55" s="41"/>
      <c r="O55" s="42" t="s">
        <v>34</v>
      </c>
      <c r="P55" s="43"/>
    </row>
    <row r="56">
      <c r="A56" s="44" t="s">
        <v>104</v>
      </c>
      <c r="B56" s="45" t="s">
        <v>25</v>
      </c>
      <c r="C56" s="46" t="s">
        <v>41</v>
      </c>
      <c r="D56" s="47" t="str">
        <f t="shared" si="1"/>
        <v>Active</v>
      </c>
      <c r="E56" s="48">
        <v>46133.0</v>
      </c>
      <c r="F56" s="49"/>
      <c r="G56" s="50">
        <f t="shared" si="2"/>
        <v>5.5</v>
      </c>
      <c r="H56" s="51">
        <v>38671.0</v>
      </c>
      <c r="I56" s="50">
        <f t="shared" si="3"/>
        <v>20.43333333</v>
      </c>
      <c r="J56" s="55">
        <v>70.0</v>
      </c>
      <c r="K56" s="56">
        <v>7.7</v>
      </c>
      <c r="L56" s="55">
        <v>33.0</v>
      </c>
      <c r="M56" s="58" t="s">
        <v>42</v>
      </c>
      <c r="N56" s="59" t="s">
        <v>43</v>
      </c>
      <c r="O56" s="60"/>
      <c r="P56" s="66"/>
    </row>
    <row r="57">
      <c r="A57" s="29" t="s">
        <v>105</v>
      </c>
      <c r="B57" s="30" t="s">
        <v>33</v>
      </c>
      <c r="C57" s="31" t="s">
        <v>26</v>
      </c>
      <c r="D57" s="32" t="str">
        <f t="shared" si="1"/>
        <v>Active</v>
      </c>
      <c r="E57" s="33">
        <v>46098.0</v>
      </c>
      <c r="F57" s="34"/>
      <c r="G57" s="36">
        <f t="shared" si="2"/>
        <v>6.633333333</v>
      </c>
      <c r="H57" s="37">
        <v>45540.0</v>
      </c>
      <c r="I57" s="36">
        <f t="shared" si="3"/>
        <v>1.533333333</v>
      </c>
      <c r="J57" s="38">
        <v>82.0</v>
      </c>
      <c r="K57" s="39">
        <v>8.0</v>
      </c>
      <c r="L57" s="38">
        <v>9.0</v>
      </c>
      <c r="M57" s="40" t="s">
        <v>31</v>
      </c>
      <c r="N57" s="41"/>
      <c r="O57" s="42" t="s">
        <v>34</v>
      </c>
      <c r="P57" s="43"/>
    </row>
    <row r="58">
      <c r="A58" s="44" t="s">
        <v>106</v>
      </c>
      <c r="B58" s="45" t="s">
        <v>25</v>
      </c>
      <c r="C58" s="46" t="s">
        <v>26</v>
      </c>
      <c r="D58" s="47" t="str">
        <f t="shared" si="1"/>
        <v>Active</v>
      </c>
      <c r="E58" s="48">
        <v>46098.0</v>
      </c>
      <c r="F58" s="49"/>
      <c r="G58" s="50">
        <f t="shared" si="2"/>
        <v>6.633333333</v>
      </c>
      <c r="H58" s="51">
        <v>43921.0</v>
      </c>
      <c r="I58" s="50">
        <f t="shared" si="3"/>
        <v>5.963888889</v>
      </c>
      <c r="J58" s="55">
        <v>95.0</v>
      </c>
      <c r="K58" s="56">
        <v>8.7</v>
      </c>
      <c r="L58" s="55">
        <v>103.0</v>
      </c>
      <c r="M58" s="58" t="s">
        <v>42</v>
      </c>
      <c r="N58" s="59" t="s">
        <v>107</v>
      </c>
      <c r="O58" s="60"/>
      <c r="P58" s="61"/>
    </row>
    <row r="59">
      <c r="A59" s="29" t="s">
        <v>108</v>
      </c>
      <c r="B59" s="30" t="s">
        <v>25</v>
      </c>
      <c r="C59" s="31" t="s">
        <v>26</v>
      </c>
      <c r="D59" s="32" t="str">
        <f t="shared" si="1"/>
        <v>Active</v>
      </c>
      <c r="E59" s="33">
        <v>46098.0</v>
      </c>
      <c r="F59" s="34"/>
      <c r="G59" s="36">
        <f t="shared" si="2"/>
        <v>6.633333333</v>
      </c>
      <c r="H59" s="37">
        <v>45162.0</v>
      </c>
      <c r="I59" s="36">
        <f t="shared" si="3"/>
        <v>2.563888889</v>
      </c>
      <c r="J59" s="38">
        <v>87.0</v>
      </c>
      <c r="K59" s="39">
        <v>8.6</v>
      </c>
      <c r="L59" s="38">
        <v>15.0</v>
      </c>
      <c r="M59" s="40" t="s">
        <v>29</v>
      </c>
      <c r="N59" s="41"/>
      <c r="O59" s="42"/>
      <c r="P59" s="43"/>
    </row>
    <row r="60">
      <c r="A60" s="44" t="s">
        <v>109</v>
      </c>
      <c r="B60" s="45" t="s">
        <v>33</v>
      </c>
      <c r="C60" s="46" t="s">
        <v>26</v>
      </c>
      <c r="D60" s="47" t="str">
        <f t="shared" si="1"/>
        <v>Active</v>
      </c>
      <c r="E60" s="48">
        <v>46098.0</v>
      </c>
      <c r="F60" s="49"/>
      <c r="G60" s="50">
        <f t="shared" si="2"/>
        <v>6.633333333</v>
      </c>
      <c r="H60" s="51">
        <v>45783.0</v>
      </c>
      <c r="I60" s="50">
        <f t="shared" si="3"/>
        <v>0.8638888889</v>
      </c>
      <c r="J60" s="55">
        <v>73.0</v>
      </c>
      <c r="K60" s="56">
        <v>7.4</v>
      </c>
      <c r="L60" s="55">
        <v>6.0</v>
      </c>
      <c r="M60" s="58" t="s">
        <v>31</v>
      </c>
      <c r="N60" s="59"/>
      <c r="O60" s="60" t="s">
        <v>34</v>
      </c>
      <c r="P60" s="61"/>
    </row>
    <row r="61">
      <c r="A61" s="29" t="s">
        <v>110</v>
      </c>
      <c r="B61" s="30" t="s">
        <v>33</v>
      </c>
      <c r="C61" s="31" t="s">
        <v>26</v>
      </c>
      <c r="D61" s="32" t="str">
        <f t="shared" si="1"/>
        <v>Active</v>
      </c>
      <c r="E61" s="33">
        <v>46098.0</v>
      </c>
      <c r="F61" s="34"/>
      <c r="G61" s="36">
        <f t="shared" si="2"/>
        <v>6.633333333</v>
      </c>
      <c r="H61" s="37">
        <v>45223.0</v>
      </c>
      <c r="I61" s="36">
        <f t="shared" si="3"/>
        <v>2.397222222</v>
      </c>
      <c r="J61" s="38">
        <v>74.0</v>
      </c>
      <c r="K61" s="39">
        <v>6.7</v>
      </c>
      <c r="L61" s="38">
        <v>25.0</v>
      </c>
      <c r="M61" s="40" t="s">
        <v>29</v>
      </c>
      <c r="N61" s="41"/>
      <c r="O61" s="42" t="s">
        <v>34</v>
      </c>
      <c r="P61" s="43"/>
    </row>
    <row r="62">
      <c r="A62" s="44" t="s">
        <v>111</v>
      </c>
      <c r="B62" s="45" t="s">
        <v>25</v>
      </c>
      <c r="C62" s="46" t="s">
        <v>26</v>
      </c>
      <c r="D62" s="47" t="str">
        <f t="shared" si="1"/>
        <v>Active</v>
      </c>
      <c r="E62" s="48">
        <v>46098.0</v>
      </c>
      <c r="F62" s="49"/>
      <c r="G62" s="50">
        <f t="shared" si="2"/>
        <v>6.633333333</v>
      </c>
      <c r="H62" s="51">
        <v>43502.0</v>
      </c>
      <c r="I62" s="50">
        <f t="shared" si="3"/>
        <v>7.113888889</v>
      </c>
      <c r="J62" s="55">
        <v>75.0</v>
      </c>
      <c r="K62" s="56">
        <v>7.0</v>
      </c>
      <c r="L62" s="55">
        <v>18.0</v>
      </c>
      <c r="M62" s="58" t="s">
        <v>112</v>
      </c>
      <c r="N62" s="59"/>
      <c r="O62" s="60"/>
      <c r="P62" s="61"/>
    </row>
    <row r="63">
      <c r="A63" s="29" t="s">
        <v>113</v>
      </c>
      <c r="B63" s="30" t="s">
        <v>25</v>
      </c>
      <c r="C63" s="31" t="s">
        <v>41</v>
      </c>
      <c r="D63" s="32" t="str">
        <f t="shared" si="1"/>
        <v>Active</v>
      </c>
      <c r="E63" s="33">
        <v>46098.0</v>
      </c>
      <c r="F63" s="34"/>
      <c r="G63" s="36">
        <f t="shared" si="2"/>
        <v>6.633333333</v>
      </c>
      <c r="H63" s="37">
        <v>38923.0</v>
      </c>
      <c r="I63" s="36">
        <f t="shared" si="3"/>
        <v>19.64444444</v>
      </c>
      <c r="J63" s="38">
        <v>88.0</v>
      </c>
      <c r="K63" s="39">
        <v>8.5</v>
      </c>
      <c r="L63" s="38">
        <v>2.0</v>
      </c>
      <c r="M63" s="40" t="s">
        <v>114</v>
      </c>
      <c r="N63" s="41" t="s">
        <v>115</v>
      </c>
      <c r="O63" s="42"/>
      <c r="P63" s="67"/>
    </row>
    <row r="64">
      <c r="A64" s="44" t="s">
        <v>116</v>
      </c>
      <c r="B64" s="45" t="s">
        <v>33</v>
      </c>
      <c r="C64" s="46" t="s">
        <v>26</v>
      </c>
      <c r="D64" s="47" t="str">
        <f t="shared" si="1"/>
        <v>Active</v>
      </c>
      <c r="E64" s="48">
        <v>46070.0</v>
      </c>
      <c r="F64" s="49"/>
      <c r="G64" s="50">
        <f t="shared" si="2"/>
        <v>7.633333333</v>
      </c>
      <c r="H64" s="51">
        <v>45219.0</v>
      </c>
      <c r="I64" s="50">
        <f t="shared" si="3"/>
        <v>2.325</v>
      </c>
      <c r="J64" s="55">
        <v>90.0</v>
      </c>
      <c r="K64" s="56">
        <v>8.7</v>
      </c>
      <c r="L64" s="55">
        <v>17.0</v>
      </c>
      <c r="M64" s="58" t="s">
        <v>29</v>
      </c>
      <c r="N64" s="59"/>
      <c r="O64" s="60" t="s">
        <v>34</v>
      </c>
      <c r="P64" s="61"/>
    </row>
    <row r="65">
      <c r="A65" s="29" t="s">
        <v>117</v>
      </c>
      <c r="B65" s="30" t="s">
        <v>33</v>
      </c>
      <c r="C65" s="31" t="s">
        <v>26</v>
      </c>
      <c r="D65" s="32" t="str">
        <f t="shared" si="1"/>
        <v>Active</v>
      </c>
      <c r="E65" s="33">
        <v>46070.0</v>
      </c>
      <c r="F65" s="34"/>
      <c r="G65" s="36">
        <f t="shared" si="2"/>
        <v>7.633333333</v>
      </c>
      <c r="H65" s="37">
        <v>45547.0</v>
      </c>
      <c r="I65" s="36">
        <f t="shared" si="3"/>
        <v>1.430555556</v>
      </c>
      <c r="J65" s="38">
        <v>53.0</v>
      </c>
      <c r="K65" s="39">
        <v>4.0</v>
      </c>
      <c r="L65" s="38">
        <v>27.0</v>
      </c>
      <c r="M65" s="40" t="s">
        <v>95</v>
      </c>
      <c r="N65" s="41"/>
      <c r="O65" s="42" t="s">
        <v>34</v>
      </c>
      <c r="P65" s="43"/>
    </row>
    <row r="66">
      <c r="A66" s="44" t="s">
        <v>118</v>
      </c>
      <c r="B66" s="45" t="s">
        <v>25</v>
      </c>
      <c r="C66" s="46" t="s">
        <v>26</v>
      </c>
      <c r="D66" s="47" t="str">
        <f t="shared" si="1"/>
        <v>Active</v>
      </c>
      <c r="E66" s="48">
        <v>46070.0</v>
      </c>
      <c r="F66" s="49"/>
      <c r="G66" s="50">
        <f t="shared" si="2"/>
        <v>7.633333333</v>
      </c>
      <c r="H66" s="51">
        <v>45580.0</v>
      </c>
      <c r="I66" s="50">
        <f t="shared" si="3"/>
        <v>1.338888889</v>
      </c>
      <c r="J66" s="55">
        <v>87.0</v>
      </c>
      <c r="K66" s="56">
        <v>8.3</v>
      </c>
      <c r="L66" s="55">
        <v>4.0</v>
      </c>
      <c r="M66" s="58" t="s">
        <v>29</v>
      </c>
      <c r="N66" s="59"/>
      <c r="O66" s="60"/>
      <c r="P66" s="61"/>
    </row>
    <row r="67">
      <c r="A67" s="29" t="s">
        <v>119</v>
      </c>
      <c r="B67" s="30" t="s">
        <v>25</v>
      </c>
      <c r="C67" s="31" t="s">
        <v>26</v>
      </c>
      <c r="D67" s="32" t="str">
        <f t="shared" si="1"/>
        <v>Active</v>
      </c>
      <c r="E67" s="33">
        <v>46070.0</v>
      </c>
      <c r="F67" s="34"/>
      <c r="G67" s="36">
        <f t="shared" si="2"/>
        <v>7.633333333</v>
      </c>
      <c r="H67" s="37">
        <v>44957.0</v>
      </c>
      <c r="I67" s="36">
        <f t="shared" si="3"/>
        <v>3.047222222</v>
      </c>
      <c r="J67" s="38">
        <v>84.0</v>
      </c>
      <c r="K67" s="39">
        <v>8.3</v>
      </c>
      <c r="L67" s="38">
        <v>10.0</v>
      </c>
      <c r="M67" s="40" t="s">
        <v>29</v>
      </c>
      <c r="N67" s="41"/>
      <c r="O67" s="42"/>
      <c r="P67" s="43"/>
    </row>
    <row r="68">
      <c r="A68" s="44" t="s">
        <v>120</v>
      </c>
      <c r="B68" s="45" t="s">
        <v>45</v>
      </c>
      <c r="C68" s="46" t="s">
        <v>26</v>
      </c>
      <c r="D68" s="47" t="str">
        <f t="shared" si="1"/>
        <v>Active</v>
      </c>
      <c r="E68" s="48">
        <v>46070.0</v>
      </c>
      <c r="F68" s="49"/>
      <c r="G68" s="50">
        <f t="shared" si="2"/>
        <v>7.633333333</v>
      </c>
      <c r="H68" s="51">
        <v>44386.0</v>
      </c>
      <c r="I68" s="50">
        <f t="shared" si="3"/>
        <v>4.605555556</v>
      </c>
      <c r="J68" s="55">
        <v>81.0</v>
      </c>
      <c r="K68" s="56">
        <v>8.6</v>
      </c>
      <c r="L68" s="55">
        <v>41.0</v>
      </c>
      <c r="M68" s="58" t="s">
        <v>42</v>
      </c>
      <c r="N68" s="59"/>
      <c r="O68" s="60"/>
      <c r="P68" s="61"/>
    </row>
    <row r="69">
      <c r="A69" s="29" t="s">
        <v>121</v>
      </c>
      <c r="B69" s="30" t="s">
        <v>45</v>
      </c>
      <c r="C69" s="31" t="s">
        <v>26</v>
      </c>
      <c r="D69" s="32" t="str">
        <f t="shared" si="1"/>
        <v>Active</v>
      </c>
      <c r="E69" s="33">
        <v>46070.0</v>
      </c>
      <c r="F69" s="34"/>
      <c r="G69" s="36">
        <f t="shared" si="2"/>
        <v>7.633333333</v>
      </c>
      <c r="H69" s="37">
        <v>42986.0</v>
      </c>
      <c r="I69" s="36">
        <f t="shared" si="3"/>
        <v>8.441666667</v>
      </c>
      <c r="J69" s="38">
        <v>79.0</v>
      </c>
      <c r="K69" s="39">
        <v>7.9</v>
      </c>
      <c r="L69" s="38">
        <v>35.0</v>
      </c>
      <c r="M69" s="40" t="s">
        <v>42</v>
      </c>
      <c r="N69" s="41"/>
      <c r="O69" s="42"/>
      <c r="P69" s="43"/>
    </row>
    <row r="70">
      <c r="A70" s="44" t="s">
        <v>122</v>
      </c>
      <c r="B70" s="45" t="s">
        <v>33</v>
      </c>
      <c r="C70" s="46" t="s">
        <v>26</v>
      </c>
      <c r="D70" s="47" t="str">
        <f t="shared" si="1"/>
        <v>Active</v>
      </c>
      <c r="E70" s="48">
        <v>46070.0</v>
      </c>
      <c r="F70" s="49"/>
      <c r="G70" s="50">
        <f t="shared" si="2"/>
        <v>7.633333333</v>
      </c>
      <c r="H70" s="51">
        <v>45138.0</v>
      </c>
      <c r="I70" s="50">
        <f t="shared" si="3"/>
        <v>2.547222222</v>
      </c>
      <c r="J70" s="55">
        <v>81.0</v>
      </c>
      <c r="K70" s="56">
        <v>7.7</v>
      </c>
      <c r="L70" s="55">
        <v>2.0</v>
      </c>
      <c r="M70" s="58" t="s">
        <v>112</v>
      </c>
      <c r="N70" s="59"/>
      <c r="O70" s="60" t="s">
        <v>34</v>
      </c>
      <c r="P70" s="61"/>
    </row>
    <row r="71">
      <c r="A71" s="29" t="s">
        <v>123</v>
      </c>
      <c r="B71" s="30" t="s">
        <v>33</v>
      </c>
      <c r="C71" s="31" t="s">
        <v>26</v>
      </c>
      <c r="D71" s="32" t="str">
        <f t="shared" si="1"/>
        <v>Active</v>
      </c>
      <c r="E71" s="33">
        <v>46070.0</v>
      </c>
      <c r="F71" s="34"/>
      <c r="G71" s="36">
        <f t="shared" si="2"/>
        <v>7.633333333</v>
      </c>
      <c r="H71" s="37">
        <v>45881.0</v>
      </c>
      <c r="I71" s="36">
        <f t="shared" si="3"/>
        <v>0.5138888889</v>
      </c>
      <c r="J71" s="38">
        <v>66.0</v>
      </c>
      <c r="K71" s="39">
        <v>6.9</v>
      </c>
      <c r="L71" s="38">
        <v>11.0</v>
      </c>
      <c r="M71" s="40" t="s">
        <v>29</v>
      </c>
      <c r="N71" s="41"/>
      <c r="O71" s="42" t="s">
        <v>34</v>
      </c>
      <c r="P71" s="43"/>
    </row>
    <row r="72">
      <c r="A72" s="44" t="s">
        <v>124</v>
      </c>
      <c r="B72" s="45" t="s">
        <v>25</v>
      </c>
      <c r="C72" s="46" t="s">
        <v>26</v>
      </c>
      <c r="D72" s="47" t="str">
        <f t="shared" si="1"/>
        <v>Active</v>
      </c>
      <c r="E72" s="48">
        <v>46070.0</v>
      </c>
      <c r="F72" s="49"/>
      <c r="G72" s="50">
        <f t="shared" si="2"/>
        <v>7.633333333</v>
      </c>
      <c r="H72" s="51">
        <v>45701.0</v>
      </c>
      <c r="I72" s="50">
        <f t="shared" si="3"/>
        <v>1.011111111</v>
      </c>
      <c r="J72" s="55">
        <v>90.0</v>
      </c>
      <c r="K72" s="56">
        <v>7.4</v>
      </c>
      <c r="L72" s="55">
        <v>16.0</v>
      </c>
      <c r="M72" s="58" t="s">
        <v>125</v>
      </c>
      <c r="N72" s="59"/>
      <c r="O72" s="60"/>
      <c r="P72" s="61"/>
    </row>
    <row r="73">
      <c r="A73" s="29" t="s">
        <v>126</v>
      </c>
      <c r="B73" s="30" t="s">
        <v>25</v>
      </c>
      <c r="C73" s="31" t="s">
        <v>41</v>
      </c>
      <c r="D73" s="32" t="str">
        <f t="shared" si="1"/>
        <v>Active</v>
      </c>
      <c r="E73" s="33">
        <v>46070.0</v>
      </c>
      <c r="F73" s="34"/>
      <c r="G73" s="36">
        <f t="shared" si="2"/>
        <v>7.633333333</v>
      </c>
      <c r="H73" s="37">
        <v>39623.0</v>
      </c>
      <c r="I73" s="36">
        <f t="shared" si="3"/>
        <v>17.64722222</v>
      </c>
      <c r="J73" s="38">
        <v>50.0</v>
      </c>
      <c r="K73" s="39">
        <v>6.8</v>
      </c>
      <c r="L73" s="38">
        <v>8.0</v>
      </c>
      <c r="M73" s="40" t="s">
        <v>29</v>
      </c>
      <c r="N73" s="41" t="s">
        <v>43</v>
      </c>
      <c r="O73" s="42"/>
      <c r="P73" s="67"/>
    </row>
    <row r="74">
      <c r="A74" s="44" t="s">
        <v>127</v>
      </c>
      <c r="B74" s="45" t="s">
        <v>25</v>
      </c>
      <c r="C74" s="46" t="s">
        <v>26</v>
      </c>
      <c r="D74" s="47" t="str">
        <f t="shared" si="1"/>
        <v>Active</v>
      </c>
      <c r="E74" s="48">
        <v>46042.0</v>
      </c>
      <c r="F74" s="49"/>
      <c r="G74" s="50">
        <f t="shared" si="2"/>
        <v>8.533333333</v>
      </c>
      <c r="H74" s="51">
        <v>44323.0</v>
      </c>
      <c r="I74" s="50">
        <f t="shared" si="3"/>
        <v>4.702777778</v>
      </c>
      <c r="J74" s="55">
        <v>84.0</v>
      </c>
      <c r="K74" s="56">
        <v>8.5</v>
      </c>
      <c r="L74" s="55">
        <v>10.0</v>
      </c>
      <c r="M74" s="58" t="s">
        <v>29</v>
      </c>
      <c r="N74" s="59"/>
      <c r="O74" s="60"/>
      <c r="P74" s="61"/>
    </row>
    <row r="75">
      <c r="A75" s="29" t="s">
        <v>128</v>
      </c>
      <c r="B75" s="30" t="s">
        <v>25</v>
      </c>
      <c r="C75" s="31" t="s">
        <v>26</v>
      </c>
      <c r="D75" s="32" t="str">
        <f t="shared" si="1"/>
        <v>Active</v>
      </c>
      <c r="E75" s="33">
        <v>46042.0</v>
      </c>
      <c r="F75" s="34"/>
      <c r="G75" s="36">
        <f t="shared" si="2"/>
        <v>8.533333333</v>
      </c>
      <c r="H75" s="37">
        <v>45317.0</v>
      </c>
      <c r="I75" s="36">
        <f t="shared" si="3"/>
        <v>1.983333333</v>
      </c>
      <c r="J75" s="38">
        <v>83.0</v>
      </c>
      <c r="K75" s="39">
        <v>8.2</v>
      </c>
      <c r="L75" s="38">
        <v>44.0</v>
      </c>
      <c r="M75" s="40" t="s">
        <v>29</v>
      </c>
      <c r="N75" s="41"/>
      <c r="O75" s="42"/>
      <c r="P75" s="43"/>
    </row>
    <row r="76">
      <c r="A76" s="44" t="s">
        <v>129</v>
      </c>
      <c r="B76" s="45" t="s">
        <v>25</v>
      </c>
      <c r="C76" s="46" t="s">
        <v>26</v>
      </c>
      <c r="D76" s="47" t="str">
        <f t="shared" si="1"/>
        <v>Active</v>
      </c>
      <c r="E76" s="48">
        <v>46042.0</v>
      </c>
      <c r="F76" s="49"/>
      <c r="G76" s="50">
        <f t="shared" si="2"/>
        <v>8.533333333</v>
      </c>
      <c r="H76" s="51">
        <v>45356.0</v>
      </c>
      <c r="I76" s="50">
        <f t="shared" si="3"/>
        <v>1.875</v>
      </c>
      <c r="J76" s="55">
        <v>77.0</v>
      </c>
      <c r="K76" s="56">
        <v>5.4</v>
      </c>
      <c r="L76" s="55">
        <v>50.0</v>
      </c>
      <c r="M76" s="58" t="s">
        <v>95</v>
      </c>
      <c r="N76" s="59"/>
      <c r="O76" s="60"/>
      <c r="P76" s="61"/>
    </row>
    <row r="77">
      <c r="A77" s="29" t="s">
        <v>130</v>
      </c>
      <c r="B77" s="30" t="s">
        <v>33</v>
      </c>
      <c r="C77" s="31" t="s">
        <v>26</v>
      </c>
      <c r="D77" s="32" t="str">
        <f t="shared" si="1"/>
        <v>Active</v>
      </c>
      <c r="E77" s="33">
        <v>46042.0</v>
      </c>
      <c r="F77" s="34"/>
      <c r="G77" s="36">
        <f t="shared" si="2"/>
        <v>8.533333333</v>
      </c>
      <c r="H77" s="37">
        <v>45582.0</v>
      </c>
      <c r="I77" s="36">
        <f t="shared" si="3"/>
        <v>1.258333333</v>
      </c>
      <c r="J77" s="38">
        <v>67.0</v>
      </c>
      <c r="K77" s="39">
        <v>6.9</v>
      </c>
      <c r="L77" s="38">
        <v>7.0</v>
      </c>
      <c r="M77" s="40" t="s">
        <v>29</v>
      </c>
      <c r="N77" s="41"/>
      <c r="O77" s="42" t="s">
        <v>34</v>
      </c>
      <c r="P77" s="43"/>
    </row>
    <row r="78">
      <c r="A78" s="44" t="s">
        <v>131</v>
      </c>
      <c r="B78" s="45" t="s">
        <v>25</v>
      </c>
      <c r="C78" s="46" t="s">
        <v>26</v>
      </c>
      <c r="D78" s="47" t="str">
        <f t="shared" si="1"/>
        <v>Active</v>
      </c>
      <c r="E78" s="48">
        <v>46042.0</v>
      </c>
      <c r="F78" s="49"/>
      <c r="G78" s="50">
        <f t="shared" si="2"/>
        <v>8.533333333</v>
      </c>
      <c r="H78" s="51">
        <v>45054.0</v>
      </c>
      <c r="I78" s="50">
        <f t="shared" si="3"/>
        <v>2.7</v>
      </c>
      <c r="J78" s="55">
        <v>81.0</v>
      </c>
      <c r="K78" s="56">
        <v>6.1</v>
      </c>
      <c r="L78" s="55">
        <v>27.0</v>
      </c>
      <c r="M78" s="58" t="s">
        <v>132</v>
      </c>
      <c r="N78" s="59"/>
      <c r="O78" s="60"/>
      <c r="P78" s="61"/>
    </row>
    <row r="79">
      <c r="A79" s="29" t="s">
        <v>133</v>
      </c>
      <c r="B79" s="30" t="s">
        <v>25</v>
      </c>
      <c r="C79" s="31" t="s">
        <v>26</v>
      </c>
      <c r="D79" s="32" t="str">
        <f t="shared" si="1"/>
        <v>Active</v>
      </c>
      <c r="E79" s="33">
        <v>46042.0</v>
      </c>
      <c r="F79" s="34"/>
      <c r="G79" s="36">
        <f t="shared" si="2"/>
        <v>8.533333333</v>
      </c>
      <c r="H79" s="37">
        <v>45399.0</v>
      </c>
      <c r="I79" s="36">
        <f t="shared" si="3"/>
        <v>1.758333333</v>
      </c>
      <c r="J79" s="38">
        <f>average(70,85,90)</f>
        <v>81.66666667</v>
      </c>
      <c r="K79" s="39">
        <v>7.3</v>
      </c>
      <c r="L79" s="38">
        <v>1.0</v>
      </c>
      <c r="M79" s="40" t="s">
        <v>112</v>
      </c>
      <c r="N79" s="41"/>
      <c r="O79" s="42"/>
      <c r="P79" s="43"/>
    </row>
    <row r="80">
      <c r="A80" s="44" t="s">
        <v>134</v>
      </c>
      <c r="B80" s="45" t="s">
        <v>25</v>
      </c>
      <c r="C80" s="46" t="s">
        <v>26</v>
      </c>
      <c r="D80" s="47" t="str">
        <f t="shared" si="1"/>
        <v>Active</v>
      </c>
      <c r="E80" s="48">
        <v>46042.0</v>
      </c>
      <c r="F80" s="49"/>
      <c r="G80" s="50">
        <f t="shared" si="2"/>
        <v>8.533333333</v>
      </c>
      <c r="H80" s="51">
        <v>44097.0</v>
      </c>
      <c r="I80" s="50">
        <f t="shared" si="3"/>
        <v>5.325</v>
      </c>
      <c r="J80" s="55">
        <v>79.0</v>
      </c>
      <c r="K80" s="56">
        <v>6.9</v>
      </c>
      <c r="L80" s="55">
        <v>16.0</v>
      </c>
      <c r="M80" s="58" t="s">
        <v>95</v>
      </c>
      <c r="N80" s="59"/>
      <c r="O80" s="60"/>
      <c r="P80" s="61"/>
    </row>
    <row r="81">
      <c r="A81" s="29" t="s">
        <v>135</v>
      </c>
      <c r="B81" s="30" t="s">
        <v>25</v>
      </c>
      <c r="C81" s="31" t="s">
        <v>26</v>
      </c>
      <c r="D81" s="32" t="str">
        <f t="shared" si="1"/>
        <v>Active</v>
      </c>
      <c r="E81" s="33">
        <v>46042.0</v>
      </c>
      <c r="F81" s="34"/>
      <c r="G81" s="36">
        <f t="shared" si="2"/>
        <v>8.533333333</v>
      </c>
      <c r="H81" s="37">
        <v>44873.0</v>
      </c>
      <c r="I81" s="36">
        <f t="shared" si="3"/>
        <v>3.2</v>
      </c>
      <c r="J81" s="38">
        <v>75.0</v>
      </c>
      <c r="K81" s="39">
        <v>7.1</v>
      </c>
      <c r="L81" s="38">
        <v>4.0</v>
      </c>
      <c r="M81" s="40" t="s">
        <v>136</v>
      </c>
      <c r="N81" s="41"/>
      <c r="O81" s="42"/>
      <c r="P81" s="43"/>
    </row>
    <row r="82">
      <c r="A82" s="44" t="s">
        <v>137</v>
      </c>
      <c r="B82" s="45" t="s">
        <v>25</v>
      </c>
      <c r="C82" s="46" t="s">
        <v>41</v>
      </c>
      <c r="D82" s="47" t="str">
        <f t="shared" si="1"/>
        <v>Active</v>
      </c>
      <c r="E82" s="48">
        <v>46042.0</v>
      </c>
      <c r="F82" s="49"/>
      <c r="G82" s="50">
        <f t="shared" si="2"/>
        <v>8.533333333</v>
      </c>
      <c r="H82" s="51">
        <v>38433.0</v>
      </c>
      <c r="I82" s="50">
        <f t="shared" si="3"/>
        <v>20.82777778</v>
      </c>
      <c r="J82" s="55">
        <v>88.0</v>
      </c>
      <c r="K82" s="56">
        <v>8.1</v>
      </c>
      <c r="L82" s="55">
        <v>9.0</v>
      </c>
      <c r="M82" s="58" t="s">
        <v>95</v>
      </c>
      <c r="N82" s="59" t="s">
        <v>115</v>
      </c>
      <c r="O82" s="60"/>
      <c r="P82" s="66"/>
    </row>
    <row r="83">
      <c r="A83" s="29" t="s">
        <v>138</v>
      </c>
      <c r="B83" s="30" t="s">
        <v>25</v>
      </c>
      <c r="C83" s="31" t="s">
        <v>26</v>
      </c>
      <c r="D83" s="32" t="str">
        <f t="shared" si="1"/>
        <v>Active</v>
      </c>
      <c r="E83" s="33">
        <v>46007.0</v>
      </c>
      <c r="F83" s="34"/>
      <c r="G83" s="36">
        <f t="shared" si="2"/>
        <v>9.666666667</v>
      </c>
      <c r="H83" s="37">
        <v>45204.0</v>
      </c>
      <c r="I83" s="36">
        <f t="shared" si="3"/>
        <v>2.197222222</v>
      </c>
      <c r="J83" s="38">
        <v>76.0</v>
      </c>
      <c r="K83" s="39">
        <v>7.0</v>
      </c>
      <c r="L83" s="38">
        <v>29.0</v>
      </c>
      <c r="M83" s="40" t="s">
        <v>29</v>
      </c>
      <c r="N83" s="41"/>
      <c r="O83" s="42"/>
      <c r="P83" s="43"/>
    </row>
    <row r="84">
      <c r="A84" s="44" t="s">
        <v>139</v>
      </c>
      <c r="B84" s="45" t="s">
        <v>25</v>
      </c>
      <c r="C84" s="46" t="s">
        <v>26</v>
      </c>
      <c r="D84" s="47" t="str">
        <f t="shared" si="1"/>
        <v>Active</v>
      </c>
      <c r="E84" s="48">
        <v>46007.0</v>
      </c>
      <c r="F84" s="49"/>
      <c r="G84" s="50">
        <f t="shared" si="2"/>
        <v>9.666666667</v>
      </c>
      <c r="H84" s="51">
        <v>44988.0</v>
      </c>
      <c r="I84" s="50">
        <f t="shared" si="3"/>
        <v>2.786111111</v>
      </c>
      <c r="J84" s="55">
        <v>80.0</v>
      </c>
      <c r="K84" s="56">
        <v>6.7</v>
      </c>
      <c r="L84" s="55">
        <v>30.0</v>
      </c>
      <c r="M84" s="58" t="s">
        <v>29</v>
      </c>
      <c r="N84" s="59"/>
      <c r="O84" s="60"/>
      <c r="P84" s="61"/>
    </row>
    <row r="85">
      <c r="A85" s="29" t="s">
        <v>140</v>
      </c>
      <c r="B85" s="30" t="s">
        <v>25</v>
      </c>
      <c r="C85" s="31" t="s">
        <v>26</v>
      </c>
      <c r="D85" s="32" t="str">
        <f t="shared" si="1"/>
        <v>Active</v>
      </c>
      <c r="E85" s="33">
        <v>46007.0</v>
      </c>
      <c r="F85" s="34"/>
      <c r="G85" s="36">
        <f t="shared" si="2"/>
        <v>9.666666667</v>
      </c>
      <c r="H85" s="37">
        <v>45323.0</v>
      </c>
      <c r="I85" s="36">
        <f t="shared" si="3"/>
        <v>1.875</v>
      </c>
      <c r="J85" s="38">
        <v>80.0</v>
      </c>
      <c r="K85" s="39">
        <v>8.3</v>
      </c>
      <c r="L85" s="38">
        <v>20.0</v>
      </c>
      <c r="M85" s="40" t="s">
        <v>29</v>
      </c>
      <c r="N85" s="41"/>
      <c r="O85" s="42"/>
      <c r="P85" s="43"/>
    </row>
    <row r="86">
      <c r="A86" s="44" t="s">
        <v>141</v>
      </c>
      <c r="B86" s="45" t="s">
        <v>33</v>
      </c>
      <c r="C86" s="46" t="s">
        <v>26</v>
      </c>
      <c r="D86" s="47" t="str">
        <f t="shared" si="1"/>
        <v>Active</v>
      </c>
      <c r="E86" s="48">
        <v>46007.0</v>
      </c>
      <c r="F86" s="49"/>
      <c r="G86" s="50">
        <f t="shared" si="2"/>
        <v>9.666666667</v>
      </c>
      <c r="H86" s="51">
        <v>45602.0</v>
      </c>
      <c r="I86" s="50">
        <f t="shared" si="3"/>
        <v>1.111111111</v>
      </c>
      <c r="J86" s="55">
        <v>76.0</v>
      </c>
      <c r="K86" s="56">
        <v>5.8</v>
      </c>
      <c r="L86" s="55">
        <v>58.0</v>
      </c>
      <c r="M86" s="58" t="s">
        <v>70</v>
      </c>
      <c r="N86" s="59"/>
      <c r="O86" s="60" t="s">
        <v>34</v>
      </c>
      <c r="P86" s="61"/>
    </row>
    <row r="87">
      <c r="A87" s="29" t="s">
        <v>142</v>
      </c>
      <c r="B87" s="30" t="s">
        <v>25</v>
      </c>
      <c r="C87" s="31" t="s">
        <v>26</v>
      </c>
      <c r="D87" s="32" t="str">
        <f t="shared" si="1"/>
        <v>Active</v>
      </c>
      <c r="E87" s="33">
        <v>46007.0</v>
      </c>
      <c r="F87" s="34"/>
      <c r="G87" s="36">
        <f t="shared" si="2"/>
        <v>9.666666667</v>
      </c>
      <c r="H87" s="37">
        <v>45512.0</v>
      </c>
      <c r="I87" s="36">
        <f t="shared" si="3"/>
        <v>1.355555556</v>
      </c>
      <c r="J87" s="38">
        <v>80.0</v>
      </c>
      <c r="K87" s="39">
        <v>8.0</v>
      </c>
      <c r="L87" s="38">
        <v>10.0</v>
      </c>
      <c r="M87" s="40" t="s">
        <v>42</v>
      </c>
      <c r="N87" s="41"/>
      <c r="O87" s="42"/>
      <c r="P87" s="43"/>
    </row>
    <row r="88">
      <c r="A88" s="44" t="s">
        <v>143</v>
      </c>
      <c r="B88" s="45" t="s">
        <v>33</v>
      </c>
      <c r="C88" s="46" t="s">
        <v>26</v>
      </c>
      <c r="D88" s="47" t="str">
        <f t="shared" si="1"/>
        <v>Active</v>
      </c>
      <c r="E88" s="48">
        <v>46007.0</v>
      </c>
      <c r="F88" s="49"/>
      <c r="G88" s="50">
        <f t="shared" si="2"/>
        <v>9.666666667</v>
      </c>
      <c r="H88" s="51">
        <v>45610.0</v>
      </c>
      <c r="I88" s="50">
        <f t="shared" si="3"/>
        <v>1.088888889</v>
      </c>
      <c r="J88" s="55">
        <v>70.0</v>
      </c>
      <c r="K88" s="56">
        <v>5.8</v>
      </c>
      <c r="L88" s="55">
        <v>7.0</v>
      </c>
      <c r="M88" s="58" t="s">
        <v>29</v>
      </c>
      <c r="N88" s="59"/>
      <c r="O88" s="60" t="s">
        <v>34</v>
      </c>
      <c r="P88" s="61"/>
    </row>
    <row r="89">
      <c r="A89" s="29" t="s">
        <v>144</v>
      </c>
      <c r="B89" s="30" t="s">
        <v>25</v>
      </c>
      <c r="C89" s="31" t="s">
        <v>26</v>
      </c>
      <c r="D89" s="32" t="str">
        <f t="shared" si="1"/>
        <v>Active</v>
      </c>
      <c r="E89" s="33">
        <v>46007.0</v>
      </c>
      <c r="F89" s="34"/>
      <c r="G89" s="36">
        <f t="shared" si="2"/>
        <v>9.666666667</v>
      </c>
      <c r="H89" s="37">
        <v>45198.0</v>
      </c>
      <c r="I89" s="36">
        <f t="shared" si="3"/>
        <v>2.213888889</v>
      </c>
      <c r="J89" s="38">
        <v>79.0</v>
      </c>
      <c r="K89" s="39">
        <v>5.1</v>
      </c>
      <c r="L89" s="38">
        <v>2.0</v>
      </c>
      <c r="M89" s="40" t="s">
        <v>95</v>
      </c>
      <c r="N89" s="41"/>
      <c r="O89" s="42"/>
      <c r="P89" s="43"/>
    </row>
    <row r="90">
      <c r="A90" s="44" t="s">
        <v>145</v>
      </c>
      <c r="B90" s="45" t="s">
        <v>25</v>
      </c>
      <c r="C90" s="46" t="s">
        <v>26</v>
      </c>
      <c r="D90" s="47" t="str">
        <f t="shared" si="1"/>
        <v>Active</v>
      </c>
      <c r="E90" s="48">
        <v>46007.0</v>
      </c>
      <c r="F90" s="49"/>
      <c r="G90" s="50">
        <f t="shared" si="2"/>
        <v>9.666666667</v>
      </c>
      <c r="H90" s="51">
        <v>45198.0</v>
      </c>
      <c r="I90" s="50">
        <f t="shared" si="3"/>
        <v>2.213888889</v>
      </c>
      <c r="J90" s="55">
        <v>79.0</v>
      </c>
      <c r="K90" s="56">
        <v>5.1</v>
      </c>
      <c r="L90" s="55">
        <v>4.0</v>
      </c>
      <c r="M90" s="58" t="s">
        <v>29</v>
      </c>
      <c r="N90" s="59"/>
      <c r="O90" s="60"/>
      <c r="P90" s="61"/>
    </row>
    <row r="91">
      <c r="A91" s="29" t="s">
        <v>146</v>
      </c>
      <c r="B91" s="30" t="s">
        <v>25</v>
      </c>
      <c r="C91" s="31" t="s">
        <v>41</v>
      </c>
      <c r="D91" s="32" t="str">
        <f t="shared" si="1"/>
        <v>Active</v>
      </c>
      <c r="E91" s="33">
        <v>46007.0</v>
      </c>
      <c r="F91" s="34"/>
      <c r="G91" s="36">
        <f t="shared" si="2"/>
        <v>9.666666667</v>
      </c>
      <c r="H91" s="37">
        <v>38650.0</v>
      </c>
      <c r="I91" s="36">
        <f t="shared" si="3"/>
        <v>20.14166667</v>
      </c>
      <c r="J91" s="38">
        <v>86.0</v>
      </c>
      <c r="K91" s="39">
        <v>8.5</v>
      </c>
      <c r="L91" s="38">
        <v>3.0</v>
      </c>
      <c r="M91" s="40" t="s">
        <v>114</v>
      </c>
      <c r="N91" s="41" t="s">
        <v>43</v>
      </c>
      <c r="O91" s="42"/>
      <c r="P91" s="67"/>
    </row>
    <row r="92">
      <c r="A92" s="44" t="s">
        <v>147</v>
      </c>
      <c r="B92" s="45" t="s">
        <v>25</v>
      </c>
      <c r="C92" s="46" t="s">
        <v>26</v>
      </c>
      <c r="D92" s="47" t="str">
        <f t="shared" si="1"/>
        <v>Active</v>
      </c>
      <c r="E92" s="48">
        <v>45999.0</v>
      </c>
      <c r="F92" s="49"/>
      <c r="G92" s="50">
        <f t="shared" si="2"/>
        <v>9.933333333</v>
      </c>
      <c r="H92" s="51">
        <v>45999.0</v>
      </c>
      <c r="I92" s="50">
        <f t="shared" si="3"/>
        <v>0</v>
      </c>
      <c r="J92" s="55">
        <v>85.0</v>
      </c>
      <c r="K92" s="56">
        <v>7.1</v>
      </c>
      <c r="L92" s="55">
        <v>6.0</v>
      </c>
      <c r="M92" s="58" t="s">
        <v>125</v>
      </c>
      <c r="N92" s="59"/>
      <c r="O92" s="60"/>
      <c r="P92" s="61"/>
    </row>
    <row r="93">
      <c r="A93" s="29" t="s">
        <v>148</v>
      </c>
      <c r="B93" s="30" t="s">
        <v>25</v>
      </c>
      <c r="C93" s="31" t="s">
        <v>26</v>
      </c>
      <c r="D93" s="32" t="str">
        <f t="shared" si="1"/>
        <v>Active</v>
      </c>
      <c r="E93" s="33">
        <v>45979.0</v>
      </c>
      <c r="F93" s="34"/>
      <c r="G93" s="36">
        <f t="shared" si="2"/>
        <v>10.6</v>
      </c>
      <c r="H93" s="37">
        <v>41961.0</v>
      </c>
      <c r="I93" s="36">
        <f t="shared" si="3"/>
        <v>11</v>
      </c>
      <c r="J93" s="38">
        <v>97.0</v>
      </c>
      <c r="K93" s="39">
        <v>8.4</v>
      </c>
      <c r="L93" s="38">
        <v>32.0</v>
      </c>
      <c r="M93" s="40" t="s">
        <v>29</v>
      </c>
      <c r="N93" s="41"/>
      <c r="O93" s="42" t="s">
        <v>149</v>
      </c>
      <c r="P93" s="43"/>
    </row>
    <row r="94">
      <c r="A94" s="44" t="s">
        <v>150</v>
      </c>
      <c r="B94" s="45" t="s">
        <v>33</v>
      </c>
      <c r="C94" s="46" t="s">
        <v>26</v>
      </c>
      <c r="D94" s="47" t="str">
        <f t="shared" si="1"/>
        <v>Active</v>
      </c>
      <c r="E94" s="48">
        <v>45979.0</v>
      </c>
      <c r="F94" s="49"/>
      <c r="G94" s="50">
        <f t="shared" si="2"/>
        <v>10.6</v>
      </c>
      <c r="H94" s="51">
        <v>45343.0</v>
      </c>
      <c r="I94" s="50">
        <f t="shared" si="3"/>
        <v>1.741666667</v>
      </c>
      <c r="J94" s="55">
        <v>80.0</v>
      </c>
      <c r="K94" s="56">
        <v>6.2</v>
      </c>
      <c r="L94" s="55" t="s">
        <v>151</v>
      </c>
      <c r="M94" s="58" t="s">
        <v>36</v>
      </c>
      <c r="N94" s="59"/>
      <c r="O94" s="60" t="s">
        <v>34</v>
      </c>
      <c r="P94" s="61"/>
    </row>
    <row r="95">
      <c r="A95" s="29" t="s">
        <v>152</v>
      </c>
      <c r="B95" s="30" t="s">
        <v>33</v>
      </c>
      <c r="C95" s="31" t="s">
        <v>26</v>
      </c>
      <c r="D95" s="32" t="str">
        <f t="shared" si="1"/>
        <v>Active</v>
      </c>
      <c r="E95" s="33">
        <v>45979.0</v>
      </c>
      <c r="F95" s="34"/>
      <c r="G95" s="36">
        <f t="shared" si="2"/>
        <v>10.6</v>
      </c>
      <c r="H95" s="37">
        <v>45461.0</v>
      </c>
      <c r="I95" s="36">
        <f t="shared" si="3"/>
        <v>1.416666667</v>
      </c>
      <c r="J95" s="38">
        <v>83.0</v>
      </c>
      <c r="K95" s="39">
        <v>7.5</v>
      </c>
      <c r="L95" s="38" t="s">
        <v>153</v>
      </c>
      <c r="M95" s="40" t="s">
        <v>154</v>
      </c>
      <c r="N95" s="41"/>
      <c r="O95" s="42" t="s">
        <v>34</v>
      </c>
      <c r="P95" s="43"/>
    </row>
    <row r="96">
      <c r="A96" s="44" t="s">
        <v>155</v>
      </c>
      <c r="B96" s="45" t="s">
        <v>25</v>
      </c>
      <c r="C96" s="46" t="s">
        <v>26</v>
      </c>
      <c r="D96" s="47" t="str">
        <f t="shared" si="1"/>
        <v>Active</v>
      </c>
      <c r="E96" s="48">
        <v>45979.0</v>
      </c>
      <c r="F96" s="49"/>
      <c r="G96" s="50">
        <f t="shared" si="2"/>
        <v>10.6</v>
      </c>
      <c r="H96" s="51">
        <v>43446.0</v>
      </c>
      <c r="I96" s="50">
        <f t="shared" si="3"/>
        <v>6.933333333</v>
      </c>
      <c r="J96" s="55">
        <v>78.0</v>
      </c>
      <c r="K96" s="56">
        <v>8.0</v>
      </c>
      <c r="L96" s="55" t="s">
        <v>156</v>
      </c>
      <c r="M96" s="58" t="s">
        <v>31</v>
      </c>
      <c r="N96" s="59"/>
      <c r="O96" s="60"/>
      <c r="P96" s="61"/>
    </row>
    <row r="97">
      <c r="A97" s="29" t="s">
        <v>157</v>
      </c>
      <c r="B97" s="30" t="s">
        <v>25</v>
      </c>
      <c r="C97" s="31" t="s">
        <v>26</v>
      </c>
      <c r="D97" s="32" t="str">
        <f t="shared" si="1"/>
        <v>Active</v>
      </c>
      <c r="E97" s="33">
        <v>45979.0</v>
      </c>
      <c r="F97" s="34"/>
      <c r="G97" s="36">
        <f t="shared" si="2"/>
        <v>10.6</v>
      </c>
      <c r="H97" s="37">
        <v>45505.0</v>
      </c>
      <c r="I97" s="36">
        <f t="shared" si="3"/>
        <v>1.297222222</v>
      </c>
      <c r="J97" s="38">
        <v>100.0</v>
      </c>
      <c r="K97" s="39">
        <v>7.8</v>
      </c>
      <c r="L97" s="38" t="s">
        <v>158</v>
      </c>
      <c r="M97" s="40" t="s">
        <v>29</v>
      </c>
      <c r="N97" s="41"/>
      <c r="O97" s="42"/>
      <c r="P97" s="43"/>
    </row>
    <row r="98">
      <c r="A98" s="44" t="s">
        <v>159</v>
      </c>
      <c r="B98" s="45" t="s">
        <v>33</v>
      </c>
      <c r="C98" s="46" t="s">
        <v>26</v>
      </c>
      <c r="D98" s="47" t="str">
        <f t="shared" si="1"/>
        <v>Active</v>
      </c>
      <c r="E98" s="48">
        <v>45979.0</v>
      </c>
      <c r="F98" s="49"/>
      <c r="G98" s="50">
        <f t="shared" si="2"/>
        <v>10.6</v>
      </c>
      <c r="H98" s="51">
        <v>45232.0</v>
      </c>
      <c r="I98" s="50">
        <f t="shared" si="3"/>
        <v>2.044444444</v>
      </c>
      <c r="J98" s="55">
        <v>88.0</v>
      </c>
      <c r="K98" s="56">
        <v>8.5</v>
      </c>
      <c r="L98" s="55" t="s">
        <v>160</v>
      </c>
      <c r="M98" s="58" t="s">
        <v>29</v>
      </c>
      <c r="N98" s="59"/>
      <c r="O98" s="60" t="s">
        <v>34</v>
      </c>
      <c r="P98" s="61"/>
    </row>
    <row r="99">
      <c r="A99" s="29" t="s">
        <v>161</v>
      </c>
      <c r="B99" s="30" t="s">
        <v>25</v>
      </c>
      <c r="C99" s="31" t="s">
        <v>26</v>
      </c>
      <c r="D99" s="32" t="str">
        <f t="shared" si="1"/>
        <v>Active</v>
      </c>
      <c r="E99" s="33">
        <v>45979.0</v>
      </c>
      <c r="F99" s="34"/>
      <c r="G99" s="36">
        <f t="shared" si="2"/>
        <v>10.6</v>
      </c>
      <c r="H99" s="37">
        <v>45533.0</v>
      </c>
      <c r="I99" s="36">
        <f t="shared" si="3"/>
        <v>1.219444444</v>
      </c>
      <c r="J99" s="38">
        <v>70.0</v>
      </c>
      <c r="K99" s="39">
        <v>8.0</v>
      </c>
      <c r="L99" s="38">
        <v>21.0</v>
      </c>
      <c r="M99" s="40" t="s">
        <v>95</v>
      </c>
      <c r="N99" s="41"/>
      <c r="O99" s="42"/>
      <c r="P99" s="43"/>
    </row>
    <row r="100">
      <c r="A100" s="44" t="s">
        <v>162</v>
      </c>
      <c r="B100" s="45" t="s">
        <v>25</v>
      </c>
      <c r="C100" s="46" t="s">
        <v>41</v>
      </c>
      <c r="D100" s="47" t="str">
        <f t="shared" si="1"/>
        <v>Active</v>
      </c>
      <c r="E100" s="48">
        <v>45979.0</v>
      </c>
      <c r="F100" s="49"/>
      <c r="G100" s="50">
        <f t="shared" si="2"/>
        <v>10.6</v>
      </c>
      <c r="H100" s="51">
        <v>39378.0</v>
      </c>
      <c r="I100" s="50">
        <f t="shared" si="3"/>
        <v>18.06944444</v>
      </c>
      <c r="J100" s="55">
        <v>77.0</v>
      </c>
      <c r="K100" s="56">
        <v>7.9</v>
      </c>
      <c r="L100" s="55">
        <v>13.0</v>
      </c>
      <c r="M100" s="58" t="s">
        <v>29</v>
      </c>
      <c r="N100" s="59" t="s">
        <v>43</v>
      </c>
      <c r="O100" s="60" t="s">
        <v>34</v>
      </c>
      <c r="P100" s="66"/>
    </row>
    <row r="101">
      <c r="A101" s="29" t="s">
        <v>163</v>
      </c>
      <c r="B101" s="30" t="s">
        <v>33</v>
      </c>
      <c r="C101" s="31" t="s">
        <v>26</v>
      </c>
      <c r="D101" s="32" t="str">
        <f t="shared" si="1"/>
        <v>Active</v>
      </c>
      <c r="E101" s="33">
        <v>45951.0</v>
      </c>
      <c r="F101" s="34"/>
      <c r="G101" s="36">
        <f t="shared" si="2"/>
        <v>11.5</v>
      </c>
      <c r="H101" s="37">
        <v>45569.0</v>
      </c>
      <c r="I101" s="36">
        <f t="shared" si="3"/>
        <v>1.047222222</v>
      </c>
      <c r="J101" s="38">
        <v>70.0</v>
      </c>
      <c r="K101" s="39">
        <v>6.6</v>
      </c>
      <c r="L101" s="38">
        <v>8.0</v>
      </c>
      <c r="M101" s="40" t="s">
        <v>29</v>
      </c>
      <c r="N101" s="41"/>
      <c r="O101" s="42" t="s">
        <v>34</v>
      </c>
      <c r="P101" s="43"/>
    </row>
    <row r="102">
      <c r="A102" s="44" t="s">
        <v>164</v>
      </c>
      <c r="B102" s="45" t="s">
        <v>33</v>
      </c>
      <c r="C102" s="46" t="s">
        <v>26</v>
      </c>
      <c r="D102" s="47" t="str">
        <f t="shared" si="1"/>
        <v>Active</v>
      </c>
      <c r="E102" s="48">
        <v>45951.0</v>
      </c>
      <c r="F102" s="49"/>
      <c r="G102" s="50">
        <f t="shared" si="2"/>
        <v>11.5</v>
      </c>
      <c r="H102" s="51">
        <v>45420.0</v>
      </c>
      <c r="I102" s="50">
        <f t="shared" si="3"/>
        <v>1.452777778</v>
      </c>
      <c r="J102" s="55">
        <v>83.0</v>
      </c>
      <c r="K102" s="56">
        <v>7.0</v>
      </c>
      <c r="L102" s="55">
        <v>47.0</v>
      </c>
      <c r="M102" s="58" t="s">
        <v>29</v>
      </c>
      <c r="N102" s="59"/>
      <c r="O102" s="60" t="s">
        <v>34</v>
      </c>
      <c r="P102" s="61"/>
    </row>
    <row r="103">
      <c r="A103" s="29" t="s">
        <v>165</v>
      </c>
      <c r="B103" s="30" t="s">
        <v>25</v>
      </c>
      <c r="C103" s="31" t="s">
        <v>26</v>
      </c>
      <c r="D103" s="32" t="str">
        <f t="shared" si="1"/>
        <v>Active</v>
      </c>
      <c r="E103" s="33">
        <v>45951.0</v>
      </c>
      <c r="F103" s="34"/>
      <c r="G103" s="36">
        <f t="shared" si="2"/>
        <v>11.5</v>
      </c>
      <c r="H103" s="37">
        <v>45485.0</v>
      </c>
      <c r="I103" s="36">
        <f t="shared" si="3"/>
        <v>1.275</v>
      </c>
      <c r="J103" s="38">
        <v>75.0</v>
      </c>
      <c r="K103" s="39">
        <v>6.8</v>
      </c>
      <c r="L103" s="38">
        <v>1.0</v>
      </c>
      <c r="M103" s="40" t="s">
        <v>36</v>
      </c>
      <c r="N103" s="41"/>
      <c r="O103" s="42"/>
      <c r="P103" s="43"/>
    </row>
    <row r="104">
      <c r="A104" s="44" t="s">
        <v>166</v>
      </c>
      <c r="B104" s="45" t="s">
        <v>25</v>
      </c>
      <c r="C104" s="46" t="s">
        <v>26</v>
      </c>
      <c r="D104" s="47" t="str">
        <f t="shared" si="1"/>
        <v>Active</v>
      </c>
      <c r="E104" s="48">
        <v>45951.0</v>
      </c>
      <c r="F104" s="49"/>
      <c r="G104" s="50">
        <f t="shared" si="2"/>
        <v>11.5</v>
      </c>
      <c r="H104" s="51">
        <v>44761.0</v>
      </c>
      <c r="I104" s="50">
        <f t="shared" si="3"/>
        <v>3.255555556</v>
      </c>
      <c r="J104" s="55">
        <v>77.0</v>
      </c>
      <c r="K104" s="56">
        <v>7.7</v>
      </c>
      <c r="L104" s="55">
        <v>7.0</v>
      </c>
      <c r="M104" s="58" t="s">
        <v>29</v>
      </c>
      <c r="N104" s="59"/>
      <c r="O104" s="60"/>
      <c r="P104" s="61"/>
    </row>
    <row r="105">
      <c r="A105" s="29" t="s">
        <v>167</v>
      </c>
      <c r="B105" s="30" t="s">
        <v>33</v>
      </c>
      <c r="C105" s="31" t="s">
        <v>26</v>
      </c>
      <c r="D105" s="32" t="str">
        <f t="shared" si="1"/>
        <v>Active</v>
      </c>
      <c r="E105" s="33">
        <v>45951.0</v>
      </c>
      <c r="F105" s="34"/>
      <c r="G105" s="36">
        <f t="shared" si="2"/>
        <v>11.5</v>
      </c>
      <c r="H105" s="37">
        <v>45215.0</v>
      </c>
      <c r="I105" s="36">
        <f t="shared" si="3"/>
        <v>2.013888889</v>
      </c>
      <c r="J105" s="38">
        <v>72.0</v>
      </c>
      <c r="K105" s="39">
        <v>5.3</v>
      </c>
      <c r="L105" s="38">
        <v>14.0</v>
      </c>
      <c r="M105" s="40" t="s">
        <v>168</v>
      </c>
      <c r="N105" s="41"/>
      <c r="O105" s="42" t="s">
        <v>34</v>
      </c>
      <c r="P105" s="43"/>
    </row>
    <row r="106">
      <c r="A106" s="44" t="s">
        <v>169</v>
      </c>
      <c r="B106" s="45" t="s">
        <v>25</v>
      </c>
      <c r="C106" s="46" t="s">
        <v>41</v>
      </c>
      <c r="D106" s="47" t="str">
        <f t="shared" si="1"/>
        <v>Active</v>
      </c>
      <c r="E106" s="48">
        <v>45951.0</v>
      </c>
      <c r="F106" s="49"/>
      <c r="G106" s="50">
        <f t="shared" si="2"/>
        <v>11.5</v>
      </c>
      <c r="H106" s="51">
        <v>35914.0</v>
      </c>
      <c r="I106" s="50">
        <v>2.0</v>
      </c>
      <c r="J106" s="55">
        <v>96.0</v>
      </c>
      <c r="K106" s="56">
        <v>8.8</v>
      </c>
      <c r="L106" s="55">
        <v>2.0</v>
      </c>
      <c r="M106" s="58" t="s">
        <v>114</v>
      </c>
      <c r="N106" s="59" t="s">
        <v>61</v>
      </c>
      <c r="O106" s="60"/>
      <c r="P106" s="66"/>
    </row>
    <row r="107">
      <c r="A107" s="29" t="s">
        <v>170</v>
      </c>
      <c r="B107" s="30" t="s">
        <v>33</v>
      </c>
      <c r="C107" s="31" t="s">
        <v>26</v>
      </c>
      <c r="D107" s="32" t="str">
        <f t="shared" si="1"/>
        <v>Active</v>
      </c>
      <c r="E107" s="33">
        <v>45926.0</v>
      </c>
      <c r="F107" s="34"/>
      <c r="G107" s="36">
        <f t="shared" si="2"/>
        <v>12.33333333</v>
      </c>
      <c r="H107" s="37">
        <v>45310.0</v>
      </c>
      <c r="I107" s="36">
        <f t="shared" ref="I107:I2763" si="4">YEARDUR(H107,E107)</f>
        <v>1.686111111</v>
      </c>
      <c r="J107" s="38">
        <v>90.0</v>
      </c>
      <c r="K107" s="39">
        <v>7.5</v>
      </c>
      <c r="L107" s="38">
        <v>23.0</v>
      </c>
      <c r="M107" s="40" t="s">
        <v>36</v>
      </c>
      <c r="N107" s="41"/>
      <c r="O107" s="42" t="s">
        <v>34</v>
      </c>
      <c r="P107" s="43"/>
    </row>
    <row r="108">
      <c r="A108" s="44" t="s">
        <v>171</v>
      </c>
      <c r="B108" s="45" t="s">
        <v>25</v>
      </c>
      <c r="C108" s="46" t="s">
        <v>26</v>
      </c>
      <c r="D108" s="47" t="str">
        <f t="shared" si="1"/>
        <v>Active</v>
      </c>
      <c r="E108" s="48">
        <v>45916.0</v>
      </c>
      <c r="F108" s="49"/>
      <c r="G108" s="50">
        <f t="shared" si="2"/>
        <v>12.66666667</v>
      </c>
      <c r="H108" s="51">
        <v>43713.0</v>
      </c>
      <c r="I108" s="50">
        <f t="shared" si="4"/>
        <v>6.030555556</v>
      </c>
      <c r="J108" s="55">
        <v>78.0</v>
      </c>
      <c r="K108" s="56">
        <v>7.5</v>
      </c>
      <c r="L108" s="55">
        <v>17.0</v>
      </c>
      <c r="M108" s="58" t="s">
        <v>36</v>
      </c>
      <c r="N108" s="59"/>
      <c r="O108" s="60"/>
      <c r="P108" s="61"/>
    </row>
    <row r="109">
      <c r="A109" s="29" t="s">
        <v>172</v>
      </c>
      <c r="B109" s="30" t="s">
        <v>25</v>
      </c>
      <c r="C109" s="31" t="s">
        <v>26</v>
      </c>
      <c r="D109" s="32" t="str">
        <f t="shared" si="1"/>
        <v>Active</v>
      </c>
      <c r="E109" s="33">
        <v>45916.0</v>
      </c>
      <c r="F109" s="34"/>
      <c r="G109" s="36">
        <f t="shared" si="2"/>
        <v>12.66666667</v>
      </c>
      <c r="H109" s="37">
        <v>45198.0</v>
      </c>
      <c r="I109" s="36">
        <f t="shared" si="4"/>
        <v>1.963888889</v>
      </c>
      <c r="J109" s="38">
        <v>81.0</v>
      </c>
      <c r="K109" s="39">
        <v>8.0</v>
      </c>
      <c r="L109" s="38">
        <v>29.0</v>
      </c>
      <c r="M109" s="40" t="s">
        <v>42</v>
      </c>
      <c r="N109" s="41"/>
      <c r="O109" s="42"/>
      <c r="P109" s="43"/>
    </row>
    <row r="110">
      <c r="A110" s="44" t="s">
        <v>173</v>
      </c>
      <c r="B110" s="45" t="s">
        <v>25</v>
      </c>
      <c r="C110" s="46" t="s">
        <v>26</v>
      </c>
      <c r="D110" s="47" t="str">
        <f t="shared" si="1"/>
        <v>Active</v>
      </c>
      <c r="E110" s="48">
        <v>45916.0</v>
      </c>
      <c r="F110" s="49"/>
      <c r="G110" s="50">
        <f t="shared" si="2"/>
        <v>12.66666667</v>
      </c>
      <c r="H110" s="51">
        <v>45421.0</v>
      </c>
      <c r="I110" s="50">
        <f t="shared" si="4"/>
        <v>1.352777778</v>
      </c>
      <c r="J110" s="55">
        <v>84.0</v>
      </c>
      <c r="K110" s="56">
        <v>8.0</v>
      </c>
      <c r="L110" s="55">
        <v>6.0</v>
      </c>
      <c r="M110" s="58" t="s">
        <v>36</v>
      </c>
      <c r="N110" s="59"/>
      <c r="O110" s="60"/>
      <c r="P110" s="61"/>
    </row>
    <row r="111">
      <c r="A111" s="29" t="s">
        <v>174</v>
      </c>
      <c r="B111" s="30" t="s">
        <v>33</v>
      </c>
      <c r="C111" s="31" t="s">
        <v>26</v>
      </c>
      <c r="D111" s="32" t="str">
        <f t="shared" si="1"/>
        <v>Active</v>
      </c>
      <c r="E111" s="33">
        <v>45916.0</v>
      </c>
      <c r="F111" s="34"/>
      <c r="G111" s="36">
        <f t="shared" si="2"/>
        <v>12.66666667</v>
      </c>
      <c r="H111" s="37">
        <v>45236.0</v>
      </c>
      <c r="I111" s="36">
        <f t="shared" si="4"/>
        <v>1.861111111</v>
      </c>
      <c r="J111" s="38">
        <v>72.0</v>
      </c>
      <c r="K111" s="39">
        <v>7.9</v>
      </c>
      <c r="L111" s="38">
        <v>7.0</v>
      </c>
      <c r="M111" s="40" t="s">
        <v>29</v>
      </c>
      <c r="N111" s="41"/>
      <c r="O111" s="42" t="s">
        <v>34</v>
      </c>
      <c r="P111" s="43"/>
    </row>
    <row r="112">
      <c r="A112" s="44" t="s">
        <v>175</v>
      </c>
      <c r="B112" s="45" t="s">
        <v>33</v>
      </c>
      <c r="C112" s="46" t="s">
        <v>26</v>
      </c>
      <c r="D112" s="47" t="str">
        <f t="shared" si="1"/>
        <v>Active</v>
      </c>
      <c r="E112" s="48">
        <v>45916.0</v>
      </c>
      <c r="F112" s="49"/>
      <c r="G112" s="50">
        <f t="shared" si="2"/>
        <v>12.66666667</v>
      </c>
      <c r="H112" s="51">
        <v>45496.0</v>
      </c>
      <c r="I112" s="50">
        <f t="shared" si="4"/>
        <v>1.147222222</v>
      </c>
      <c r="J112" s="55">
        <v>80.0</v>
      </c>
      <c r="K112" s="56">
        <v>8.3</v>
      </c>
      <c r="L112" s="55">
        <v>12.0</v>
      </c>
      <c r="M112" s="58" t="s">
        <v>36</v>
      </c>
      <c r="N112" s="59"/>
      <c r="O112" s="60" t="s">
        <v>34</v>
      </c>
      <c r="P112" s="61"/>
    </row>
    <row r="113">
      <c r="A113" s="29" t="s">
        <v>176</v>
      </c>
      <c r="B113" s="30" t="s">
        <v>25</v>
      </c>
      <c r="C113" s="31" t="s">
        <v>41</v>
      </c>
      <c r="D113" s="32" t="str">
        <f t="shared" si="1"/>
        <v>Active</v>
      </c>
      <c r="E113" s="33">
        <v>45916.0</v>
      </c>
      <c r="F113" s="34"/>
      <c r="G113" s="36">
        <f t="shared" si="2"/>
        <v>12.66666667</v>
      </c>
      <c r="H113" s="37">
        <v>37936.0</v>
      </c>
      <c r="I113" s="36">
        <f t="shared" si="4"/>
        <v>21.84722222</v>
      </c>
      <c r="J113" s="38">
        <v>75.0</v>
      </c>
      <c r="K113" s="39">
        <v>8.7</v>
      </c>
      <c r="L113" s="38">
        <v>12.0</v>
      </c>
      <c r="M113" s="40" t="s">
        <v>36</v>
      </c>
      <c r="N113" s="41" t="s">
        <v>43</v>
      </c>
      <c r="O113" s="42"/>
      <c r="P113" s="67"/>
    </row>
    <row r="114">
      <c r="A114" s="44" t="s">
        <v>177</v>
      </c>
      <c r="B114" s="45" t="s">
        <v>25</v>
      </c>
      <c r="C114" s="46" t="s">
        <v>26</v>
      </c>
      <c r="D114" s="47" t="str">
        <f t="shared" si="1"/>
        <v>Active</v>
      </c>
      <c r="E114" s="48">
        <v>45889.0</v>
      </c>
      <c r="F114" s="49"/>
      <c r="G114" s="50">
        <f t="shared" si="2"/>
        <v>13.53333333</v>
      </c>
      <c r="H114" s="51">
        <v>45889.0</v>
      </c>
      <c r="I114" s="50">
        <f t="shared" si="4"/>
        <v>0</v>
      </c>
      <c r="J114" s="55">
        <v>80.0</v>
      </c>
      <c r="K114" s="56">
        <v>7.4</v>
      </c>
      <c r="L114" s="55">
        <v>10.0</v>
      </c>
      <c r="M114" s="58" t="s">
        <v>27</v>
      </c>
      <c r="N114" s="59"/>
      <c r="O114" s="60"/>
      <c r="P114" s="61"/>
    </row>
    <row r="115">
      <c r="A115" s="29" t="s">
        <v>178</v>
      </c>
      <c r="B115" s="30" t="s">
        <v>33</v>
      </c>
      <c r="C115" s="31" t="s">
        <v>26</v>
      </c>
      <c r="D115" s="32" t="str">
        <f t="shared" si="1"/>
        <v>Active</v>
      </c>
      <c r="E115" s="33">
        <v>45888.0</v>
      </c>
      <c r="F115" s="34"/>
      <c r="G115" s="36">
        <f t="shared" si="2"/>
        <v>13.56666667</v>
      </c>
      <c r="H115" s="37">
        <v>45188.0</v>
      </c>
      <c r="I115" s="36">
        <f t="shared" si="4"/>
        <v>1.916666667</v>
      </c>
      <c r="J115" s="38">
        <v>83.0</v>
      </c>
      <c r="K115" s="39">
        <v>6.5</v>
      </c>
      <c r="L115" s="38">
        <v>7.0</v>
      </c>
      <c r="M115" s="40" t="s">
        <v>114</v>
      </c>
      <c r="N115" s="41"/>
      <c r="O115" s="42" t="s">
        <v>34</v>
      </c>
      <c r="P115" s="43"/>
    </row>
    <row r="116">
      <c r="A116" s="44" t="s">
        <v>179</v>
      </c>
      <c r="B116" s="45" t="s">
        <v>25</v>
      </c>
      <c r="C116" s="46" t="s">
        <v>26</v>
      </c>
      <c r="D116" s="47" t="str">
        <f t="shared" si="1"/>
        <v>Active</v>
      </c>
      <c r="E116" s="48">
        <v>45888.0</v>
      </c>
      <c r="F116" s="49"/>
      <c r="G116" s="50">
        <f t="shared" si="2"/>
        <v>13.56666667</v>
      </c>
      <c r="H116" s="51">
        <v>43350.0</v>
      </c>
      <c r="I116" s="50">
        <f t="shared" si="4"/>
        <v>6.95</v>
      </c>
      <c r="J116" s="55">
        <v>87.0</v>
      </c>
      <c r="K116" s="56">
        <v>8.7</v>
      </c>
      <c r="L116" s="55">
        <v>17.0</v>
      </c>
      <c r="M116" s="58" t="s">
        <v>29</v>
      </c>
      <c r="N116" s="59" t="s">
        <v>180</v>
      </c>
      <c r="O116" s="60"/>
      <c r="P116" s="61"/>
    </row>
    <row r="117">
      <c r="A117" s="29" t="s">
        <v>181</v>
      </c>
      <c r="B117" s="30" t="s">
        <v>33</v>
      </c>
      <c r="C117" s="31" t="s">
        <v>26</v>
      </c>
      <c r="D117" s="32" t="str">
        <f t="shared" si="1"/>
        <v>Active</v>
      </c>
      <c r="E117" s="33">
        <v>45888.0</v>
      </c>
      <c r="F117" s="34"/>
      <c r="G117" s="36">
        <f t="shared" si="2"/>
        <v>13.56666667</v>
      </c>
      <c r="H117" s="37">
        <v>45888.0</v>
      </c>
      <c r="I117" s="36">
        <f t="shared" si="4"/>
        <v>0</v>
      </c>
      <c r="J117" s="38">
        <v>87.0</v>
      </c>
      <c r="K117" s="39">
        <v>8.7</v>
      </c>
      <c r="L117" s="38">
        <v>3.0</v>
      </c>
      <c r="M117" s="40" t="s">
        <v>29</v>
      </c>
      <c r="N117" s="41"/>
      <c r="O117" s="42" t="s">
        <v>34</v>
      </c>
      <c r="P117" s="43"/>
    </row>
    <row r="118">
      <c r="A118" s="44" t="s">
        <v>182</v>
      </c>
      <c r="B118" s="45" t="s">
        <v>25</v>
      </c>
      <c r="C118" s="46" t="s">
        <v>26</v>
      </c>
      <c r="D118" s="47" t="str">
        <f t="shared" si="1"/>
        <v>Active</v>
      </c>
      <c r="E118" s="48">
        <v>45888.0</v>
      </c>
      <c r="F118" s="49"/>
      <c r="G118" s="50">
        <f t="shared" si="2"/>
        <v>13.56666667</v>
      </c>
      <c r="H118" s="51">
        <v>45009.0</v>
      </c>
      <c r="I118" s="50">
        <f t="shared" si="4"/>
        <v>2.402777778</v>
      </c>
      <c r="J118" s="55">
        <v>81.0</v>
      </c>
      <c r="K118" s="56">
        <v>7.5</v>
      </c>
      <c r="L118" s="55">
        <v>34.0</v>
      </c>
      <c r="M118" s="58" t="s">
        <v>42</v>
      </c>
      <c r="N118" s="59"/>
      <c r="O118" s="60"/>
      <c r="P118" s="61"/>
    </row>
    <row r="119">
      <c r="A119" s="29" t="s">
        <v>183</v>
      </c>
      <c r="B119" s="30" t="s">
        <v>33</v>
      </c>
      <c r="C119" s="31" t="s">
        <v>26</v>
      </c>
      <c r="D119" s="32" t="str">
        <f t="shared" si="1"/>
        <v>Active</v>
      </c>
      <c r="E119" s="33">
        <v>45888.0</v>
      </c>
      <c r="F119" s="34"/>
      <c r="G119" s="36">
        <f t="shared" si="2"/>
        <v>13.56666667</v>
      </c>
      <c r="H119" s="37">
        <v>45414.0</v>
      </c>
      <c r="I119" s="36">
        <f t="shared" si="4"/>
        <v>1.297222222</v>
      </c>
      <c r="J119" s="38">
        <v>80.0</v>
      </c>
      <c r="K119" s="39">
        <v>7.1</v>
      </c>
      <c r="L119" s="38">
        <v>4.0</v>
      </c>
      <c r="M119" s="40" t="s">
        <v>29</v>
      </c>
      <c r="N119" s="41"/>
      <c r="O119" s="42" t="s">
        <v>34</v>
      </c>
      <c r="P119" s="43"/>
    </row>
    <row r="120">
      <c r="A120" s="44" t="s">
        <v>184</v>
      </c>
      <c r="B120" s="45" t="s">
        <v>33</v>
      </c>
      <c r="C120" s="46" t="s">
        <v>26</v>
      </c>
      <c r="D120" s="47" t="str">
        <f t="shared" si="1"/>
        <v>Active</v>
      </c>
      <c r="E120" s="48">
        <v>45888.0</v>
      </c>
      <c r="F120" s="49"/>
      <c r="G120" s="50">
        <f t="shared" si="2"/>
        <v>13.56666667</v>
      </c>
      <c r="H120" s="51">
        <v>45244.0</v>
      </c>
      <c r="I120" s="50">
        <f t="shared" si="4"/>
        <v>1.763888889</v>
      </c>
      <c r="J120" s="55">
        <v>82.0</v>
      </c>
      <c r="K120" s="56">
        <v>6.5</v>
      </c>
      <c r="L120" s="55">
        <v>57.0</v>
      </c>
      <c r="M120" s="58" t="s">
        <v>185</v>
      </c>
      <c r="N120" s="59"/>
      <c r="O120" s="60" t="s">
        <v>34</v>
      </c>
      <c r="P120" s="61"/>
    </row>
    <row r="121">
      <c r="A121" s="29" t="s">
        <v>186</v>
      </c>
      <c r="B121" s="30" t="s">
        <v>25</v>
      </c>
      <c r="C121" s="31" t="s">
        <v>41</v>
      </c>
      <c r="D121" s="32" t="str">
        <f t="shared" si="1"/>
        <v>Active</v>
      </c>
      <c r="E121" s="33">
        <v>45888.0</v>
      </c>
      <c r="F121" s="34"/>
      <c r="G121" s="36">
        <f t="shared" si="2"/>
        <v>13.56666667</v>
      </c>
      <c r="H121" s="37">
        <v>35824.0</v>
      </c>
      <c r="I121" s="36">
        <f t="shared" si="4"/>
        <v>27.55555556</v>
      </c>
      <c r="J121" s="38">
        <v>91.0</v>
      </c>
      <c r="K121" s="39">
        <v>8.9</v>
      </c>
      <c r="L121" s="38">
        <v>9.0</v>
      </c>
      <c r="M121" s="40" t="s">
        <v>36</v>
      </c>
      <c r="N121" s="41" t="s">
        <v>61</v>
      </c>
      <c r="O121" s="42"/>
      <c r="P121" s="67"/>
    </row>
    <row r="122">
      <c r="A122" s="44" t="s">
        <v>187</v>
      </c>
      <c r="B122" s="45" t="s">
        <v>25</v>
      </c>
      <c r="C122" s="46" t="s">
        <v>41</v>
      </c>
      <c r="D122" s="47" t="str">
        <f t="shared" si="1"/>
        <v>Active</v>
      </c>
      <c r="E122" s="48">
        <v>45888.0</v>
      </c>
      <c r="F122" s="49"/>
      <c r="G122" s="50">
        <f t="shared" si="2"/>
        <v>13.56666667</v>
      </c>
      <c r="H122" s="51">
        <v>36475.0</v>
      </c>
      <c r="I122" s="50">
        <f t="shared" si="4"/>
        <v>25.77222222</v>
      </c>
      <c r="J122" s="55">
        <v>79.0</v>
      </c>
      <c r="K122" s="56">
        <v>6.7</v>
      </c>
      <c r="L122" s="55">
        <v>6.0</v>
      </c>
      <c r="M122" s="58" t="s">
        <v>36</v>
      </c>
      <c r="N122" s="59" t="s">
        <v>61</v>
      </c>
      <c r="O122" s="60"/>
      <c r="P122" s="66"/>
    </row>
    <row r="123">
      <c r="A123" s="29" t="s">
        <v>188</v>
      </c>
      <c r="B123" s="30" t="s">
        <v>33</v>
      </c>
      <c r="C123" s="31" t="s">
        <v>26</v>
      </c>
      <c r="D123" s="32" t="str">
        <f t="shared" si="1"/>
        <v>Active</v>
      </c>
      <c r="E123" s="33">
        <v>45860.0</v>
      </c>
      <c r="F123" s="34"/>
      <c r="G123" s="36">
        <f t="shared" si="2"/>
        <v>14.46666667</v>
      </c>
      <c r="H123" s="37">
        <v>45860.0</v>
      </c>
      <c r="I123" s="36">
        <f t="shared" si="4"/>
        <v>0</v>
      </c>
      <c r="J123" s="38">
        <v>88.0</v>
      </c>
      <c r="K123" s="39">
        <v>8.4</v>
      </c>
      <c r="L123" s="38">
        <v>33.0</v>
      </c>
      <c r="M123" s="40" t="s">
        <v>36</v>
      </c>
      <c r="N123" s="41"/>
      <c r="O123" s="42" t="s">
        <v>34</v>
      </c>
      <c r="P123" s="43"/>
    </row>
    <row r="124">
      <c r="A124" s="44" t="s">
        <v>189</v>
      </c>
      <c r="B124" s="45" t="s">
        <v>33</v>
      </c>
      <c r="C124" s="46" t="s">
        <v>26</v>
      </c>
      <c r="D124" s="47" t="str">
        <f t="shared" si="1"/>
        <v>Active</v>
      </c>
      <c r="E124" s="48">
        <v>45853.0</v>
      </c>
      <c r="F124" s="49"/>
      <c r="G124" s="50">
        <f t="shared" si="2"/>
        <v>14.7</v>
      </c>
      <c r="H124" s="51">
        <v>45335.0</v>
      </c>
      <c r="I124" s="50">
        <f t="shared" si="4"/>
        <v>1.422222222</v>
      </c>
      <c r="J124" s="55">
        <v>78.0</v>
      </c>
      <c r="K124" s="56">
        <v>7.8</v>
      </c>
      <c r="L124" s="55">
        <v>22.0</v>
      </c>
      <c r="M124" s="58" t="s">
        <v>29</v>
      </c>
      <c r="N124" s="59"/>
      <c r="O124" s="60" t="s">
        <v>34</v>
      </c>
      <c r="P124" s="61"/>
    </row>
    <row r="125">
      <c r="A125" s="29" t="s">
        <v>190</v>
      </c>
      <c r="B125" s="30" t="s">
        <v>25</v>
      </c>
      <c r="C125" s="31" t="s">
        <v>26</v>
      </c>
      <c r="D125" s="32" t="str">
        <f t="shared" si="1"/>
        <v>Active</v>
      </c>
      <c r="E125" s="33">
        <v>45853.0</v>
      </c>
      <c r="F125" s="34"/>
      <c r="G125" s="36">
        <f t="shared" si="2"/>
        <v>14.7</v>
      </c>
      <c r="H125" s="37">
        <v>45247.0</v>
      </c>
      <c r="I125" s="36">
        <f t="shared" si="4"/>
        <v>1.661111111</v>
      </c>
      <c r="J125" s="38">
        <v>56.0</v>
      </c>
      <c r="K125" s="39">
        <v>4.8</v>
      </c>
      <c r="L125" s="38">
        <v>2.0</v>
      </c>
      <c r="M125" s="40" t="s">
        <v>29</v>
      </c>
      <c r="N125" s="41"/>
      <c r="O125" s="42"/>
      <c r="P125" s="43"/>
    </row>
    <row r="126">
      <c r="A126" s="44" t="s">
        <v>191</v>
      </c>
      <c r="B126" s="45" t="s">
        <v>33</v>
      </c>
      <c r="C126" s="46" t="s">
        <v>26</v>
      </c>
      <c r="D126" s="47" t="str">
        <f t="shared" si="1"/>
        <v>Active</v>
      </c>
      <c r="E126" s="48">
        <v>45853.0</v>
      </c>
      <c r="F126" s="49"/>
      <c r="G126" s="50">
        <f t="shared" si="2"/>
        <v>14.7</v>
      </c>
      <c r="H126" s="51">
        <v>43774.0</v>
      </c>
      <c r="I126" s="50">
        <f t="shared" si="4"/>
        <v>5.694444444</v>
      </c>
      <c r="J126" s="55">
        <v>81.0</v>
      </c>
      <c r="K126" s="56">
        <v>7.9</v>
      </c>
      <c r="L126" s="55">
        <v>34.0</v>
      </c>
      <c r="M126" s="58" t="s">
        <v>53</v>
      </c>
      <c r="N126" s="59"/>
      <c r="O126" s="60" t="s">
        <v>34</v>
      </c>
      <c r="P126" s="61"/>
    </row>
    <row r="127">
      <c r="A127" s="29" t="s">
        <v>192</v>
      </c>
      <c r="B127" s="30" t="s">
        <v>25</v>
      </c>
      <c r="C127" s="31" t="s">
        <v>41</v>
      </c>
      <c r="D127" s="32" t="str">
        <f t="shared" si="1"/>
        <v>Active</v>
      </c>
      <c r="E127" s="33">
        <v>45853.0</v>
      </c>
      <c r="F127" s="34"/>
      <c r="G127" s="36">
        <f t="shared" si="2"/>
        <v>14.7</v>
      </c>
      <c r="H127" s="37">
        <v>36109.0</v>
      </c>
      <c r="I127" s="36">
        <f t="shared" si="4"/>
        <v>26.68055556</v>
      </c>
      <c r="J127" s="76"/>
      <c r="K127" s="39">
        <v>6.1</v>
      </c>
      <c r="L127" s="38">
        <v>4.0</v>
      </c>
      <c r="M127" s="40" t="s">
        <v>193</v>
      </c>
      <c r="N127" s="41" t="s">
        <v>61</v>
      </c>
      <c r="O127" s="42"/>
      <c r="P127" s="67"/>
    </row>
    <row r="128">
      <c r="A128" s="44" t="s">
        <v>194</v>
      </c>
      <c r="B128" s="45" t="s">
        <v>25</v>
      </c>
      <c r="C128" s="46" t="s">
        <v>41</v>
      </c>
      <c r="D128" s="47" t="str">
        <f t="shared" si="1"/>
        <v>Active</v>
      </c>
      <c r="E128" s="48">
        <v>45853.0</v>
      </c>
      <c r="F128" s="49"/>
      <c r="G128" s="50">
        <f t="shared" si="2"/>
        <v>14.7</v>
      </c>
      <c r="H128" s="51">
        <v>36479.0</v>
      </c>
      <c r="I128" s="50">
        <f t="shared" si="4"/>
        <v>25.66666667</v>
      </c>
      <c r="J128" s="55">
        <v>8.0</v>
      </c>
      <c r="K128" s="56">
        <v>7.1</v>
      </c>
      <c r="L128" s="55">
        <v>4.0</v>
      </c>
      <c r="M128" s="58" t="s">
        <v>70</v>
      </c>
      <c r="N128" s="59" t="s">
        <v>61</v>
      </c>
      <c r="O128" s="60"/>
      <c r="P128" s="66"/>
    </row>
    <row r="129">
      <c r="A129" s="29" t="s">
        <v>195</v>
      </c>
      <c r="B129" s="30" t="s">
        <v>25</v>
      </c>
      <c r="C129" s="31" t="s">
        <v>26</v>
      </c>
      <c r="D129" s="32" t="str">
        <f t="shared" si="1"/>
        <v>Active</v>
      </c>
      <c r="E129" s="33">
        <v>45847.0</v>
      </c>
      <c r="F129" s="34"/>
      <c r="G129" s="36">
        <f t="shared" si="2"/>
        <v>14.9</v>
      </c>
      <c r="H129" s="37">
        <v>44175.0</v>
      </c>
      <c r="I129" s="36">
        <f t="shared" si="4"/>
        <v>4.580555556</v>
      </c>
      <c r="J129" s="38">
        <v>86.0</v>
      </c>
      <c r="K129" s="39">
        <v>7.3</v>
      </c>
      <c r="L129" s="38">
        <v>26.0</v>
      </c>
      <c r="M129" s="40" t="s">
        <v>42</v>
      </c>
      <c r="N129" s="41"/>
      <c r="O129" s="42"/>
      <c r="P129" s="43"/>
    </row>
    <row r="130">
      <c r="A130" s="44" t="s">
        <v>196</v>
      </c>
      <c r="B130" s="45" t="s">
        <v>33</v>
      </c>
      <c r="C130" s="46" t="s">
        <v>26</v>
      </c>
      <c r="D130" s="47" t="str">
        <f t="shared" si="1"/>
        <v>Active</v>
      </c>
      <c r="E130" s="48">
        <v>45825.0</v>
      </c>
      <c r="F130" s="49"/>
      <c r="G130" s="50">
        <f t="shared" si="2"/>
        <v>15.63333333</v>
      </c>
      <c r="H130" s="51">
        <v>45825.0</v>
      </c>
      <c r="I130" s="50">
        <f t="shared" si="4"/>
        <v>0</v>
      </c>
      <c r="J130" s="55">
        <v>65.0</v>
      </c>
      <c r="K130" s="56">
        <v>5.1</v>
      </c>
      <c r="L130" s="55">
        <v>6.0</v>
      </c>
      <c r="M130" s="58" t="s">
        <v>31</v>
      </c>
      <c r="N130" s="59"/>
      <c r="O130" s="60" t="s">
        <v>34</v>
      </c>
      <c r="P130" s="61"/>
    </row>
    <row r="131">
      <c r="A131" s="29" t="s">
        <v>197</v>
      </c>
      <c r="B131" s="30" t="s">
        <v>33</v>
      </c>
      <c r="C131" s="31" t="s">
        <v>26</v>
      </c>
      <c r="D131" s="32" t="str">
        <f t="shared" si="1"/>
        <v>Active</v>
      </c>
      <c r="E131" s="33">
        <v>45825.0</v>
      </c>
      <c r="F131" s="34"/>
      <c r="G131" s="36">
        <f t="shared" si="2"/>
        <v>15.63333333</v>
      </c>
      <c r="H131" s="37">
        <v>43613.0</v>
      </c>
      <c r="I131" s="36">
        <f t="shared" si="4"/>
        <v>6.052777778</v>
      </c>
      <c r="J131" s="38">
        <v>80.0</v>
      </c>
      <c r="K131" s="39">
        <v>8.2</v>
      </c>
      <c r="L131" s="38">
        <v>9.0</v>
      </c>
      <c r="M131" s="40" t="s">
        <v>36</v>
      </c>
      <c r="N131" s="41"/>
      <c r="O131" s="42" t="s">
        <v>34</v>
      </c>
      <c r="P131" s="43"/>
    </row>
    <row r="132">
      <c r="A132" s="44" t="s">
        <v>198</v>
      </c>
      <c r="B132" s="45" t="s">
        <v>45</v>
      </c>
      <c r="C132" s="46" t="s">
        <v>26</v>
      </c>
      <c r="D132" s="47" t="str">
        <f t="shared" si="1"/>
        <v>Active</v>
      </c>
      <c r="E132" s="48">
        <v>45825.0</v>
      </c>
      <c r="F132" s="49"/>
      <c r="G132" s="50">
        <f t="shared" si="2"/>
        <v>15.63333333</v>
      </c>
      <c r="H132" s="51">
        <v>42782.0</v>
      </c>
      <c r="I132" s="50">
        <f t="shared" si="4"/>
        <v>8.336111111</v>
      </c>
      <c r="J132" s="55">
        <v>64.0</v>
      </c>
      <c r="K132" s="56">
        <v>6.4</v>
      </c>
      <c r="L132" s="55">
        <v>28.0</v>
      </c>
      <c r="M132" s="58" t="s">
        <v>199</v>
      </c>
      <c r="N132" s="59"/>
      <c r="O132" s="60"/>
      <c r="P132" s="61"/>
    </row>
    <row r="133">
      <c r="A133" s="29" t="s">
        <v>200</v>
      </c>
      <c r="B133" s="30" t="s">
        <v>25</v>
      </c>
      <c r="C133" s="31" t="s">
        <v>26</v>
      </c>
      <c r="D133" s="32" t="str">
        <f t="shared" si="1"/>
        <v>Active</v>
      </c>
      <c r="E133" s="33">
        <v>45825.0</v>
      </c>
      <c r="F133" s="34"/>
      <c r="G133" s="36">
        <f t="shared" si="2"/>
        <v>15.63333333</v>
      </c>
      <c r="H133" s="37">
        <v>45405.0</v>
      </c>
      <c r="I133" s="36">
        <f t="shared" si="4"/>
        <v>1.15</v>
      </c>
      <c r="J133" s="38">
        <v>79.0</v>
      </c>
      <c r="K133" s="39">
        <v>7.1</v>
      </c>
      <c r="L133" s="38">
        <v>47.0</v>
      </c>
      <c r="M133" s="40" t="s">
        <v>42</v>
      </c>
      <c r="N133" s="41"/>
      <c r="O133" s="42"/>
      <c r="P133" s="43"/>
    </row>
    <row r="134">
      <c r="A134" s="44" t="s">
        <v>201</v>
      </c>
      <c r="B134" s="45" t="s">
        <v>25</v>
      </c>
      <c r="C134" s="46" t="s">
        <v>26</v>
      </c>
      <c r="D134" s="47" t="str">
        <f t="shared" si="1"/>
        <v>Active</v>
      </c>
      <c r="E134" s="48">
        <v>45825.0</v>
      </c>
      <c r="F134" s="49"/>
      <c r="G134" s="50">
        <f t="shared" si="2"/>
        <v>15.63333333</v>
      </c>
      <c r="H134" s="51">
        <v>45552.0</v>
      </c>
      <c r="I134" s="50">
        <f t="shared" si="4"/>
        <v>0.75</v>
      </c>
      <c r="J134" s="55">
        <v>73.0</v>
      </c>
      <c r="K134" s="56">
        <v>5.5</v>
      </c>
      <c r="L134" s="55">
        <v>112.0</v>
      </c>
      <c r="M134" s="58" t="s">
        <v>70</v>
      </c>
      <c r="N134" s="59"/>
      <c r="O134" s="60"/>
      <c r="P134" s="61"/>
    </row>
    <row r="135">
      <c r="A135" s="29" t="s">
        <v>202</v>
      </c>
      <c r="B135" s="30" t="s">
        <v>25</v>
      </c>
      <c r="C135" s="31" t="s">
        <v>26</v>
      </c>
      <c r="D135" s="32" t="str">
        <f t="shared" si="1"/>
        <v>Active</v>
      </c>
      <c r="E135" s="33">
        <v>45825.0</v>
      </c>
      <c r="F135" s="34"/>
      <c r="G135" s="36">
        <f t="shared" si="2"/>
        <v>15.63333333</v>
      </c>
      <c r="H135" s="37">
        <v>45218.0</v>
      </c>
      <c r="I135" s="36">
        <f t="shared" si="4"/>
        <v>1.661111111</v>
      </c>
      <c r="J135" s="38">
        <v>75.0</v>
      </c>
      <c r="K135" s="39">
        <v>7.6</v>
      </c>
      <c r="L135" s="38">
        <v>15.0</v>
      </c>
      <c r="M135" s="40" t="s">
        <v>103</v>
      </c>
      <c r="N135" s="41"/>
      <c r="O135" s="42"/>
      <c r="P135" s="43"/>
    </row>
    <row r="136">
      <c r="A136" s="44" t="s">
        <v>203</v>
      </c>
      <c r="B136" s="45" t="s">
        <v>25</v>
      </c>
      <c r="C136" s="46" t="s">
        <v>41</v>
      </c>
      <c r="D136" s="47" t="str">
        <f t="shared" si="1"/>
        <v>Active</v>
      </c>
      <c r="E136" s="48">
        <v>45825.0</v>
      </c>
      <c r="F136" s="49"/>
      <c r="G136" s="50">
        <f t="shared" si="2"/>
        <v>15.63333333</v>
      </c>
      <c r="H136" s="51">
        <v>36700.0</v>
      </c>
      <c r="I136" s="50">
        <f t="shared" si="4"/>
        <v>24.98333333</v>
      </c>
      <c r="J136" s="55">
        <v>90.0</v>
      </c>
      <c r="K136" s="56">
        <v>9.0</v>
      </c>
      <c r="L136" s="55">
        <v>23.0</v>
      </c>
      <c r="M136" s="58" t="s">
        <v>29</v>
      </c>
      <c r="N136" s="59" t="s">
        <v>43</v>
      </c>
      <c r="O136" s="60"/>
      <c r="P136" s="66"/>
    </row>
    <row r="137">
      <c r="A137" s="29" t="s">
        <v>204</v>
      </c>
      <c r="B137" s="30" t="s">
        <v>25</v>
      </c>
      <c r="C137" s="31" t="s">
        <v>41</v>
      </c>
      <c r="D137" s="32" t="str">
        <f t="shared" si="1"/>
        <v>Active</v>
      </c>
      <c r="E137" s="33">
        <v>45813.0</v>
      </c>
      <c r="F137" s="34"/>
      <c r="G137" s="36">
        <f t="shared" si="2"/>
        <v>16.03333333</v>
      </c>
      <c r="H137" s="37">
        <v>34236.0</v>
      </c>
      <c r="I137" s="36">
        <f t="shared" si="4"/>
        <v>31.69722222</v>
      </c>
      <c r="J137" s="38">
        <v>75.0</v>
      </c>
      <c r="K137" s="39">
        <v>8.6</v>
      </c>
      <c r="L137" s="38">
        <v>6.0</v>
      </c>
      <c r="M137" s="40" t="s">
        <v>91</v>
      </c>
      <c r="N137" s="41" t="s">
        <v>61</v>
      </c>
      <c r="O137" s="42"/>
      <c r="P137" s="67"/>
    </row>
    <row r="138">
      <c r="A138" s="44" t="s">
        <v>205</v>
      </c>
      <c r="B138" s="45" t="s">
        <v>25</v>
      </c>
      <c r="C138" s="46" t="s">
        <v>41</v>
      </c>
      <c r="D138" s="47" t="str">
        <f t="shared" si="1"/>
        <v>Active</v>
      </c>
      <c r="E138" s="48">
        <v>45813.0</v>
      </c>
      <c r="F138" s="49"/>
      <c r="G138" s="50">
        <f t="shared" si="2"/>
        <v>16.03333333</v>
      </c>
      <c r="H138" s="51">
        <v>35734.0</v>
      </c>
      <c r="I138" s="50">
        <f t="shared" si="4"/>
        <v>27.59722222</v>
      </c>
      <c r="J138" s="55">
        <v>83.0</v>
      </c>
      <c r="K138" s="56">
        <v>7.6</v>
      </c>
      <c r="L138" s="55">
        <v>10.0</v>
      </c>
      <c r="M138" s="58" t="s">
        <v>136</v>
      </c>
      <c r="N138" s="59" t="s">
        <v>61</v>
      </c>
      <c r="O138" s="60"/>
      <c r="P138" s="66"/>
    </row>
    <row r="139">
      <c r="A139" s="29" t="s">
        <v>206</v>
      </c>
      <c r="B139" s="30" t="s">
        <v>33</v>
      </c>
      <c r="C139" s="31" t="s">
        <v>207</v>
      </c>
      <c r="D139" s="32" t="str">
        <f t="shared" si="1"/>
        <v>Active</v>
      </c>
      <c r="E139" s="33">
        <v>45810.0</v>
      </c>
      <c r="F139" s="34"/>
      <c r="G139" s="36">
        <f t="shared" si="2"/>
        <v>16.13333333</v>
      </c>
      <c r="H139" s="37">
        <v>45338.0</v>
      </c>
      <c r="I139" s="36">
        <f t="shared" si="4"/>
        <v>1.294444444</v>
      </c>
      <c r="J139" s="38">
        <v>59.0</v>
      </c>
      <c r="K139" s="39">
        <v>3.3</v>
      </c>
      <c r="L139" s="38">
        <v>32.0</v>
      </c>
      <c r="M139" s="40" t="s">
        <v>29</v>
      </c>
      <c r="N139" s="41"/>
      <c r="O139" s="42" t="s">
        <v>34</v>
      </c>
      <c r="P139" s="43"/>
    </row>
    <row r="140">
      <c r="A140" s="44" t="s">
        <v>208</v>
      </c>
      <c r="B140" s="45" t="s">
        <v>33</v>
      </c>
      <c r="C140" s="46" t="s">
        <v>26</v>
      </c>
      <c r="D140" s="47" t="str">
        <f t="shared" si="1"/>
        <v>Active</v>
      </c>
      <c r="E140" s="48">
        <v>45806.0</v>
      </c>
      <c r="F140" s="49"/>
      <c r="G140" s="50">
        <f t="shared" si="2"/>
        <v>16.23333333</v>
      </c>
      <c r="H140" s="51">
        <v>45407.0</v>
      </c>
      <c r="I140" s="50">
        <f t="shared" si="4"/>
        <v>1.094444444</v>
      </c>
      <c r="J140" s="55">
        <v>78.0</v>
      </c>
      <c r="K140" s="56">
        <v>7.6</v>
      </c>
      <c r="L140" s="55">
        <v>14.0</v>
      </c>
      <c r="M140" s="58" t="s">
        <v>29</v>
      </c>
      <c r="N140" s="59"/>
      <c r="O140" s="60" t="s">
        <v>34</v>
      </c>
      <c r="P140" s="61"/>
    </row>
    <row r="141">
      <c r="A141" s="29" t="s">
        <v>209</v>
      </c>
      <c r="B141" s="30" t="s">
        <v>25</v>
      </c>
      <c r="C141" s="31" t="s">
        <v>26</v>
      </c>
      <c r="D141" s="32" t="str">
        <f t="shared" si="1"/>
        <v>Active</v>
      </c>
      <c r="E141" s="33">
        <v>45797.0</v>
      </c>
      <c r="F141" s="34"/>
      <c r="G141" s="36">
        <f t="shared" si="2"/>
        <v>16.53333333</v>
      </c>
      <c r="H141" s="37">
        <v>43613.0</v>
      </c>
      <c r="I141" s="36">
        <f t="shared" si="4"/>
        <v>5.977777778</v>
      </c>
      <c r="J141" s="38">
        <v>80.0</v>
      </c>
      <c r="K141" s="39">
        <v>8.2</v>
      </c>
      <c r="L141" s="38">
        <v>12.0</v>
      </c>
      <c r="M141" s="40" t="s">
        <v>36</v>
      </c>
      <c r="N141" s="41"/>
      <c r="O141" s="42"/>
      <c r="P141" s="43"/>
    </row>
    <row r="142">
      <c r="A142" s="44" t="s">
        <v>210</v>
      </c>
      <c r="B142" s="45" t="s">
        <v>25</v>
      </c>
      <c r="C142" s="46" t="s">
        <v>26</v>
      </c>
      <c r="D142" s="47" t="str">
        <f t="shared" si="1"/>
        <v>Active</v>
      </c>
      <c r="E142" s="48">
        <v>45797.0</v>
      </c>
      <c r="F142" s="49"/>
      <c r="G142" s="50">
        <f t="shared" si="2"/>
        <v>16.53333333</v>
      </c>
      <c r="H142" s="51">
        <v>45596.0</v>
      </c>
      <c r="I142" s="50">
        <f t="shared" si="4"/>
        <v>0.5555555556</v>
      </c>
      <c r="J142" s="55">
        <v>83.0</v>
      </c>
      <c r="K142" s="56">
        <v>7.3</v>
      </c>
      <c r="L142" s="55">
        <v>23.0</v>
      </c>
      <c r="M142" s="58" t="s">
        <v>31</v>
      </c>
      <c r="N142" s="59"/>
      <c r="O142" s="60"/>
      <c r="P142" s="61"/>
    </row>
    <row r="143">
      <c r="A143" s="29" t="s">
        <v>211</v>
      </c>
      <c r="B143" s="30" t="s">
        <v>25</v>
      </c>
      <c r="C143" s="31" t="s">
        <v>26</v>
      </c>
      <c r="D143" s="32" t="str">
        <f t="shared" si="1"/>
        <v>Active</v>
      </c>
      <c r="E143" s="33">
        <v>45797.0</v>
      </c>
      <c r="F143" s="34"/>
      <c r="G143" s="36">
        <f t="shared" si="2"/>
        <v>16.53333333</v>
      </c>
      <c r="H143" s="37">
        <v>45274.0</v>
      </c>
      <c r="I143" s="36">
        <f t="shared" si="4"/>
        <v>1.433333333</v>
      </c>
      <c r="J143" s="38">
        <v>81.0</v>
      </c>
      <c r="K143" s="39">
        <v>7.0</v>
      </c>
      <c r="L143" s="38">
        <v>13.0</v>
      </c>
      <c r="M143" s="40" t="s">
        <v>114</v>
      </c>
      <c r="N143" s="41"/>
      <c r="O143" s="42"/>
      <c r="P143" s="43"/>
    </row>
    <row r="144">
      <c r="A144" s="44" t="s">
        <v>212</v>
      </c>
      <c r="B144" s="45" t="s">
        <v>25</v>
      </c>
      <c r="C144" s="46" t="s">
        <v>26</v>
      </c>
      <c r="D144" s="47" t="str">
        <f t="shared" si="1"/>
        <v>Active</v>
      </c>
      <c r="E144" s="48">
        <v>45797.0</v>
      </c>
      <c r="F144" s="49"/>
      <c r="G144" s="50">
        <f t="shared" si="2"/>
        <v>16.53333333</v>
      </c>
      <c r="H144" s="51">
        <v>44425.0</v>
      </c>
      <c r="I144" s="50">
        <f t="shared" si="4"/>
        <v>3.758333333</v>
      </c>
      <c r="J144" s="55">
        <v>77.0</v>
      </c>
      <c r="K144" s="56">
        <v>6.7</v>
      </c>
      <c r="L144" s="55">
        <v>16.0</v>
      </c>
      <c r="M144" s="58" t="s">
        <v>103</v>
      </c>
      <c r="N144" s="59"/>
      <c r="O144" s="60"/>
      <c r="P144" s="61"/>
    </row>
    <row r="145">
      <c r="A145" s="29" t="s">
        <v>213</v>
      </c>
      <c r="B145" s="30" t="s">
        <v>33</v>
      </c>
      <c r="C145" s="31" t="s">
        <v>26</v>
      </c>
      <c r="D145" s="32" t="str">
        <f t="shared" si="1"/>
        <v>Active</v>
      </c>
      <c r="E145" s="33">
        <v>45797.0</v>
      </c>
      <c r="F145" s="34"/>
      <c r="G145" s="36">
        <f t="shared" si="2"/>
        <v>16.53333333</v>
      </c>
      <c r="H145" s="37">
        <v>45104.0</v>
      </c>
      <c r="I145" s="36">
        <f t="shared" si="4"/>
        <v>1.897222222</v>
      </c>
      <c r="J145" s="38">
        <v>72.0</v>
      </c>
      <c r="K145" s="39">
        <v>7.5</v>
      </c>
      <c r="L145" s="38">
        <v>24.0</v>
      </c>
      <c r="M145" s="40" t="s">
        <v>185</v>
      </c>
      <c r="N145" s="41"/>
      <c r="O145" s="42" t="s">
        <v>34</v>
      </c>
      <c r="P145" s="43"/>
    </row>
    <row r="146">
      <c r="A146" s="44" t="s">
        <v>214</v>
      </c>
      <c r="B146" s="45" t="s">
        <v>25</v>
      </c>
      <c r="C146" s="46" t="s">
        <v>41</v>
      </c>
      <c r="D146" s="47" t="str">
        <f t="shared" si="1"/>
        <v>Active</v>
      </c>
      <c r="E146" s="48">
        <v>45797.0</v>
      </c>
      <c r="F146" s="49"/>
      <c r="G146" s="50">
        <f t="shared" si="2"/>
        <v>16.53333333</v>
      </c>
      <c r="H146" s="51">
        <v>37641.0</v>
      </c>
      <c r="I146" s="50">
        <f t="shared" si="4"/>
        <v>22.33333333</v>
      </c>
      <c r="J146" s="55">
        <v>76.0</v>
      </c>
      <c r="K146" s="56">
        <v>3.0</v>
      </c>
      <c r="L146" s="55">
        <v>5.0</v>
      </c>
      <c r="M146" s="58" t="s">
        <v>31</v>
      </c>
      <c r="N146" s="59" t="s">
        <v>43</v>
      </c>
      <c r="O146" s="60"/>
      <c r="P146" s="66"/>
    </row>
    <row r="147">
      <c r="A147" s="29" t="s">
        <v>215</v>
      </c>
      <c r="B147" s="30" t="s">
        <v>25</v>
      </c>
      <c r="C147" s="31" t="s">
        <v>26</v>
      </c>
      <c r="D147" s="32" t="str">
        <f t="shared" si="1"/>
        <v>Active</v>
      </c>
      <c r="E147" s="33">
        <v>45762.0</v>
      </c>
      <c r="F147" s="34"/>
      <c r="G147" s="36">
        <f t="shared" si="2"/>
        <v>17.7</v>
      </c>
      <c r="H147" s="37">
        <v>44964.0</v>
      </c>
      <c r="I147" s="36">
        <f t="shared" si="4"/>
        <v>2.188888889</v>
      </c>
      <c r="J147" s="38">
        <v>84.0</v>
      </c>
      <c r="K147" s="39">
        <v>8.2</v>
      </c>
      <c r="L147" s="38">
        <v>27.0</v>
      </c>
      <c r="M147" s="40" t="s">
        <v>42</v>
      </c>
      <c r="N147" s="41"/>
      <c r="O147" s="42"/>
      <c r="P147" s="43"/>
    </row>
    <row r="148">
      <c r="A148" s="44" t="s">
        <v>216</v>
      </c>
      <c r="B148" s="45" t="s">
        <v>25</v>
      </c>
      <c r="C148" s="46" t="s">
        <v>26</v>
      </c>
      <c r="D148" s="47" t="str">
        <f t="shared" si="1"/>
        <v>Active</v>
      </c>
      <c r="E148" s="48">
        <v>45762.0</v>
      </c>
      <c r="F148" s="49"/>
      <c r="G148" s="50">
        <f t="shared" si="2"/>
        <v>17.7</v>
      </c>
      <c r="H148" s="51">
        <v>44777.0</v>
      </c>
      <c r="I148" s="50">
        <f t="shared" si="4"/>
        <v>2.697222222</v>
      </c>
      <c r="J148" s="55">
        <f>average(70,80,85)</f>
        <v>78.33333333</v>
      </c>
      <c r="K148" s="56">
        <v>6.9</v>
      </c>
      <c r="L148" s="55">
        <v>16.0</v>
      </c>
      <c r="M148" s="58" t="s">
        <v>217</v>
      </c>
      <c r="N148" s="59"/>
      <c r="O148" s="60"/>
      <c r="P148" s="61"/>
    </row>
    <row r="149">
      <c r="A149" s="29" t="s">
        <v>218</v>
      </c>
      <c r="B149" s="30" t="s">
        <v>25</v>
      </c>
      <c r="C149" s="31" t="s">
        <v>41</v>
      </c>
      <c r="D149" s="32" t="str">
        <f t="shared" si="1"/>
        <v>Active</v>
      </c>
      <c r="E149" s="33">
        <v>45762.0</v>
      </c>
      <c r="F149" s="34"/>
      <c r="G149" s="36">
        <f t="shared" si="2"/>
        <v>17.7</v>
      </c>
      <c r="H149" s="37">
        <v>34243.0</v>
      </c>
      <c r="I149" s="36">
        <f t="shared" si="4"/>
        <v>31.53888889</v>
      </c>
      <c r="J149" s="38">
        <v>72.0</v>
      </c>
      <c r="K149" s="39">
        <v>7.2</v>
      </c>
      <c r="L149" s="38">
        <v>4.0</v>
      </c>
      <c r="M149" s="40" t="s">
        <v>36</v>
      </c>
      <c r="N149" s="41" t="s">
        <v>61</v>
      </c>
      <c r="O149" s="42"/>
      <c r="P149" s="67"/>
    </row>
    <row r="150">
      <c r="A150" s="44" t="s">
        <v>219</v>
      </c>
      <c r="B150" s="45" t="s">
        <v>25</v>
      </c>
      <c r="C150" s="46" t="s">
        <v>41</v>
      </c>
      <c r="D150" s="47" t="str">
        <f t="shared" si="1"/>
        <v>Active</v>
      </c>
      <c r="E150" s="48">
        <v>45762.0</v>
      </c>
      <c r="F150" s="49"/>
      <c r="G150" s="50">
        <f t="shared" si="2"/>
        <v>17.7</v>
      </c>
      <c r="H150" s="51">
        <v>37635.0</v>
      </c>
      <c r="I150" s="50">
        <f t="shared" si="4"/>
        <v>22.25277778</v>
      </c>
      <c r="J150" s="55">
        <v>80.0</v>
      </c>
      <c r="K150" s="56">
        <v>8.0</v>
      </c>
      <c r="L150" s="55">
        <v>3.0</v>
      </c>
      <c r="M150" s="58" t="s">
        <v>114</v>
      </c>
      <c r="N150" s="59" t="s">
        <v>43</v>
      </c>
      <c r="O150" s="60"/>
      <c r="P150" s="66"/>
    </row>
    <row r="151">
      <c r="A151" s="29" t="s">
        <v>220</v>
      </c>
      <c r="B151" s="30" t="s">
        <v>33</v>
      </c>
      <c r="C151" s="31" t="s">
        <v>26</v>
      </c>
      <c r="D151" s="32" t="str">
        <f t="shared" si="1"/>
        <v>Active</v>
      </c>
      <c r="E151" s="33">
        <v>45757.0</v>
      </c>
      <c r="F151" s="34"/>
      <c r="G151" s="36">
        <f t="shared" si="2"/>
        <v>17.86666667</v>
      </c>
      <c r="H151" s="37">
        <v>45757.0</v>
      </c>
      <c r="I151" s="36">
        <f t="shared" si="4"/>
        <v>0</v>
      </c>
      <c r="J151" s="38">
        <v>92.0</v>
      </c>
      <c r="K151" s="39">
        <v>7.8</v>
      </c>
      <c r="L151" s="38">
        <v>18.0</v>
      </c>
      <c r="M151" s="40" t="s">
        <v>29</v>
      </c>
      <c r="N151" s="41"/>
      <c r="O151" s="42" t="s">
        <v>34</v>
      </c>
      <c r="P151" s="43"/>
    </row>
    <row r="152">
      <c r="A152" s="44" t="s">
        <v>221</v>
      </c>
      <c r="B152" s="45" t="s">
        <v>25</v>
      </c>
      <c r="C152" s="46" t="s">
        <v>26</v>
      </c>
      <c r="D152" s="47" t="str">
        <f t="shared" si="1"/>
        <v>Active</v>
      </c>
      <c r="E152" s="48">
        <v>45734.0</v>
      </c>
      <c r="F152" s="49"/>
      <c r="G152" s="50">
        <f t="shared" si="2"/>
        <v>18.6</v>
      </c>
      <c r="H152" s="51">
        <v>45309.0</v>
      </c>
      <c r="I152" s="50">
        <f t="shared" si="4"/>
        <v>1.166666667</v>
      </c>
      <c r="J152" s="55">
        <v>86.0</v>
      </c>
      <c r="K152" s="56">
        <v>8.5</v>
      </c>
      <c r="L152" s="55">
        <v>17.0</v>
      </c>
      <c r="M152" s="58" t="s">
        <v>222</v>
      </c>
      <c r="N152" s="59"/>
      <c r="O152" s="60" t="s">
        <v>34</v>
      </c>
      <c r="P152" s="61"/>
    </row>
    <row r="153">
      <c r="A153" s="29" t="s">
        <v>223</v>
      </c>
      <c r="B153" s="30" t="s">
        <v>45</v>
      </c>
      <c r="C153" s="31" t="s">
        <v>26</v>
      </c>
      <c r="D153" s="32" t="str">
        <f t="shared" si="1"/>
        <v>Active</v>
      </c>
      <c r="E153" s="33">
        <v>45734.0</v>
      </c>
      <c r="F153" s="34"/>
      <c r="G153" s="36">
        <f t="shared" si="2"/>
        <v>18.6</v>
      </c>
      <c r="H153" s="37">
        <v>44071.0</v>
      </c>
      <c r="I153" s="36">
        <f t="shared" si="4"/>
        <v>4.555555556</v>
      </c>
      <c r="J153" s="38">
        <v>69.0</v>
      </c>
      <c r="K153" s="39">
        <v>7.2</v>
      </c>
      <c r="L153" s="38">
        <v>12.0</v>
      </c>
      <c r="M153" s="40" t="s">
        <v>224</v>
      </c>
      <c r="N153" s="41"/>
      <c r="O153" s="42" t="s">
        <v>149</v>
      </c>
      <c r="P153" s="43"/>
    </row>
    <row r="154">
      <c r="A154" s="44" t="s">
        <v>225</v>
      </c>
      <c r="B154" s="45" t="s">
        <v>25</v>
      </c>
      <c r="C154" s="46" t="s">
        <v>26</v>
      </c>
      <c r="D154" s="47" t="str">
        <f t="shared" si="1"/>
        <v>Active</v>
      </c>
      <c r="E154" s="48">
        <v>45734.0</v>
      </c>
      <c r="F154" s="49"/>
      <c r="G154" s="50">
        <f t="shared" si="2"/>
        <v>18.6</v>
      </c>
      <c r="H154" s="51">
        <v>44784.0</v>
      </c>
      <c r="I154" s="50">
        <f t="shared" si="4"/>
        <v>2.602777778</v>
      </c>
      <c r="J154" s="55">
        <v>73.0</v>
      </c>
      <c r="K154" s="56">
        <v>6.7</v>
      </c>
      <c r="L154" s="55">
        <v>25.0</v>
      </c>
      <c r="M154" s="58" t="s">
        <v>226</v>
      </c>
      <c r="N154" s="59"/>
      <c r="O154" s="60" t="s">
        <v>149</v>
      </c>
      <c r="P154" s="61"/>
    </row>
    <row r="155">
      <c r="A155" s="29" t="s">
        <v>227</v>
      </c>
      <c r="B155" s="30" t="s">
        <v>25</v>
      </c>
      <c r="C155" s="31" t="s">
        <v>26</v>
      </c>
      <c r="D155" s="32" t="str">
        <f t="shared" si="1"/>
        <v>Active</v>
      </c>
      <c r="E155" s="33">
        <v>45734.0</v>
      </c>
      <c r="F155" s="34"/>
      <c r="G155" s="36">
        <f t="shared" si="2"/>
        <v>18.6</v>
      </c>
      <c r="H155" s="37">
        <v>45204.0</v>
      </c>
      <c r="I155" s="36">
        <f t="shared" si="4"/>
        <v>1.452777778</v>
      </c>
      <c r="J155" s="38">
        <v>86.0</v>
      </c>
      <c r="K155" s="39">
        <v>7.8</v>
      </c>
      <c r="L155" s="38">
        <v>3.0</v>
      </c>
      <c r="M155" s="40" t="s">
        <v>27</v>
      </c>
      <c r="N155" s="41"/>
      <c r="O155" s="42" t="s">
        <v>149</v>
      </c>
      <c r="P155" s="43"/>
    </row>
    <row r="156">
      <c r="A156" s="44" t="s">
        <v>228</v>
      </c>
      <c r="B156" s="45" t="s">
        <v>25</v>
      </c>
      <c r="C156" s="46" t="s">
        <v>26</v>
      </c>
      <c r="D156" s="47" t="str">
        <f t="shared" si="1"/>
        <v>Active</v>
      </c>
      <c r="E156" s="48">
        <v>45734.0</v>
      </c>
      <c r="F156" s="49"/>
      <c r="G156" s="50">
        <f t="shared" si="2"/>
        <v>18.6</v>
      </c>
      <c r="H156" s="51">
        <v>44818.0</v>
      </c>
      <c r="I156" s="50">
        <f t="shared" si="4"/>
        <v>2.511111111</v>
      </c>
      <c r="J156" s="55">
        <v>74.0</v>
      </c>
      <c r="K156" s="56">
        <v>5.3</v>
      </c>
      <c r="L156" s="55">
        <v>8.0</v>
      </c>
      <c r="M156" s="58" t="s">
        <v>229</v>
      </c>
      <c r="N156" s="59"/>
      <c r="O156" s="60" t="s">
        <v>34</v>
      </c>
      <c r="P156" s="61"/>
    </row>
    <row r="157">
      <c r="A157" s="29" t="s">
        <v>230</v>
      </c>
      <c r="B157" s="30" t="s">
        <v>25</v>
      </c>
      <c r="C157" s="31" t="s">
        <v>26</v>
      </c>
      <c r="D157" s="32" t="str">
        <f t="shared" si="1"/>
        <v>Active</v>
      </c>
      <c r="E157" s="33">
        <v>45734.0</v>
      </c>
      <c r="F157" s="34"/>
      <c r="G157" s="36">
        <f t="shared" si="2"/>
        <v>18.6</v>
      </c>
      <c r="H157" s="37">
        <v>44638.0</v>
      </c>
      <c r="I157" s="36">
        <f t="shared" si="4"/>
        <v>3</v>
      </c>
      <c r="J157" s="38">
        <v>81.0</v>
      </c>
      <c r="K157" s="39">
        <v>8.5</v>
      </c>
      <c r="L157" s="38">
        <v>14.0</v>
      </c>
      <c r="M157" s="40" t="s">
        <v>231</v>
      </c>
      <c r="N157" s="41"/>
      <c r="O157" s="42" t="s">
        <v>34</v>
      </c>
      <c r="P157" s="43"/>
    </row>
    <row r="158">
      <c r="A158" s="44" t="s">
        <v>232</v>
      </c>
      <c r="B158" s="45" t="s">
        <v>25</v>
      </c>
      <c r="C158" s="46" t="s">
        <v>41</v>
      </c>
      <c r="D158" s="47" t="str">
        <f t="shared" si="1"/>
        <v>Active</v>
      </c>
      <c r="E158" s="48">
        <v>45734.0</v>
      </c>
      <c r="F158" s="49"/>
      <c r="G158" s="50">
        <f t="shared" si="2"/>
        <v>18.6</v>
      </c>
      <c r="H158" s="51">
        <v>35621.0</v>
      </c>
      <c r="I158" s="50">
        <f t="shared" si="4"/>
        <v>27.68888889</v>
      </c>
      <c r="J158" s="55">
        <v>74.0</v>
      </c>
      <c r="K158" s="56">
        <v>7.9</v>
      </c>
      <c r="L158" s="55">
        <v>8.0</v>
      </c>
      <c r="M158" s="58" t="s">
        <v>42</v>
      </c>
      <c r="N158" s="59" t="s">
        <v>61</v>
      </c>
      <c r="O158" s="60" t="s">
        <v>149</v>
      </c>
      <c r="P158" s="66"/>
    </row>
    <row r="159">
      <c r="A159" s="29" t="s">
        <v>233</v>
      </c>
      <c r="B159" s="30" t="s">
        <v>25</v>
      </c>
      <c r="C159" s="31" t="s">
        <v>41</v>
      </c>
      <c r="D159" s="32" t="str">
        <f t="shared" si="1"/>
        <v>Active</v>
      </c>
      <c r="E159" s="33">
        <v>45734.0</v>
      </c>
      <c r="F159" s="34"/>
      <c r="G159" s="36">
        <f t="shared" si="2"/>
        <v>18.6</v>
      </c>
      <c r="H159" s="37">
        <v>36042.0</v>
      </c>
      <c r="I159" s="36">
        <f t="shared" si="4"/>
        <v>26.53888889</v>
      </c>
      <c r="J159" s="38">
        <v>78.0</v>
      </c>
      <c r="K159" s="39">
        <v>8.1</v>
      </c>
      <c r="L159" s="38">
        <v>4.0</v>
      </c>
      <c r="M159" s="40" t="s">
        <v>42</v>
      </c>
      <c r="N159" s="41" t="s">
        <v>61</v>
      </c>
      <c r="O159" s="42" t="s">
        <v>149</v>
      </c>
      <c r="P159" s="67"/>
    </row>
    <row r="160">
      <c r="A160" s="44" t="s">
        <v>234</v>
      </c>
      <c r="B160" s="45" t="s">
        <v>25</v>
      </c>
      <c r="C160" s="46" t="s">
        <v>41</v>
      </c>
      <c r="D160" s="47" t="str">
        <f t="shared" si="1"/>
        <v>Active</v>
      </c>
      <c r="E160" s="48">
        <v>45734.0</v>
      </c>
      <c r="F160" s="49"/>
      <c r="G160" s="50">
        <f t="shared" si="2"/>
        <v>18.6</v>
      </c>
      <c r="H160" s="51">
        <v>36559.0</v>
      </c>
      <c r="I160" s="50">
        <f t="shared" si="4"/>
        <v>25.125</v>
      </c>
      <c r="J160" s="55">
        <v>75.0</v>
      </c>
      <c r="K160" s="56">
        <v>8.2</v>
      </c>
      <c r="L160" s="55">
        <v>4.0</v>
      </c>
      <c r="M160" s="58" t="s">
        <v>42</v>
      </c>
      <c r="N160" s="59" t="s">
        <v>61</v>
      </c>
      <c r="O160" s="60" t="s">
        <v>149</v>
      </c>
      <c r="P160" s="66"/>
    </row>
    <row r="161">
      <c r="A161" s="29" t="s">
        <v>235</v>
      </c>
      <c r="B161" s="30" t="s">
        <v>25</v>
      </c>
      <c r="C161" s="31" t="s">
        <v>26</v>
      </c>
      <c r="D161" s="32" t="str">
        <f t="shared" si="1"/>
        <v>Active</v>
      </c>
      <c r="E161" s="33">
        <v>45705.0</v>
      </c>
      <c r="F161" s="34"/>
      <c r="G161" s="36">
        <f t="shared" si="2"/>
        <v>19.63333333</v>
      </c>
      <c r="H161" s="37">
        <v>43584.0</v>
      </c>
      <c r="I161" s="36">
        <f t="shared" si="4"/>
        <v>5.8</v>
      </c>
      <c r="J161" s="38">
        <v>81.0</v>
      </c>
      <c r="K161" s="39">
        <v>7.4</v>
      </c>
      <c r="L161" s="38">
        <v>101.0</v>
      </c>
      <c r="M161" s="40" t="s">
        <v>29</v>
      </c>
      <c r="N161" s="41"/>
      <c r="O161" s="42" t="s">
        <v>149</v>
      </c>
      <c r="P161" s="43"/>
    </row>
    <row r="162">
      <c r="A162" s="44" t="s">
        <v>236</v>
      </c>
      <c r="B162" s="45" t="s">
        <v>25</v>
      </c>
      <c r="C162" s="46" t="s">
        <v>26</v>
      </c>
      <c r="D162" s="47" t="str">
        <f t="shared" si="1"/>
        <v>Active</v>
      </c>
      <c r="E162" s="48">
        <v>45705.0</v>
      </c>
      <c r="F162" s="49"/>
      <c r="G162" s="50">
        <f t="shared" si="2"/>
        <v>19.63333333</v>
      </c>
      <c r="H162" s="51">
        <v>44880.0</v>
      </c>
      <c r="I162" s="50">
        <f t="shared" si="4"/>
        <v>2.255555556</v>
      </c>
      <c r="J162" s="55">
        <v>71.0</v>
      </c>
      <c r="K162" s="56">
        <v>5.5</v>
      </c>
      <c r="L162" s="55">
        <v>4.21</v>
      </c>
      <c r="M162" s="58" t="s">
        <v>29</v>
      </c>
      <c r="N162" s="59"/>
      <c r="O162" s="60" t="s">
        <v>34</v>
      </c>
      <c r="P162" s="61"/>
    </row>
    <row r="163">
      <c r="A163" s="29" t="s">
        <v>237</v>
      </c>
      <c r="B163" s="30" t="s">
        <v>238</v>
      </c>
      <c r="C163" s="31" t="s">
        <v>26</v>
      </c>
      <c r="D163" s="32" t="str">
        <f t="shared" si="1"/>
        <v>Active</v>
      </c>
      <c r="E163" s="33">
        <v>45705.0</v>
      </c>
      <c r="F163" s="34"/>
      <c r="G163" s="36">
        <f t="shared" si="2"/>
        <v>19.63333333</v>
      </c>
      <c r="H163" s="37">
        <v>45062.0</v>
      </c>
      <c r="I163" s="36">
        <f t="shared" si="4"/>
        <v>1.752777778</v>
      </c>
      <c r="J163" s="38">
        <v>66.0</v>
      </c>
      <c r="K163" s="39">
        <v>8.3</v>
      </c>
      <c r="L163" s="38">
        <v>16.0</v>
      </c>
      <c r="M163" s="40" t="s">
        <v>136</v>
      </c>
      <c r="N163" s="41"/>
      <c r="O163" s="42" t="s">
        <v>34</v>
      </c>
      <c r="P163" s="43"/>
    </row>
    <row r="164">
      <c r="A164" s="44" t="s">
        <v>239</v>
      </c>
      <c r="B164" s="45" t="s">
        <v>25</v>
      </c>
      <c r="C164" s="46" t="s">
        <v>41</v>
      </c>
      <c r="D164" s="47" t="str">
        <f t="shared" si="1"/>
        <v>Active</v>
      </c>
      <c r="E164" s="48">
        <v>45705.0</v>
      </c>
      <c r="F164" s="49"/>
      <c r="G164" s="50">
        <f t="shared" si="2"/>
        <v>19.63333333</v>
      </c>
      <c r="H164" s="51">
        <v>40645.0</v>
      </c>
      <c r="I164" s="50">
        <f t="shared" si="4"/>
        <v>13.84722222</v>
      </c>
      <c r="J164" s="55">
        <v>74.0</v>
      </c>
      <c r="K164" s="56">
        <v>7.3</v>
      </c>
      <c r="L164" s="55">
        <v>26.0</v>
      </c>
      <c r="M164" s="58" t="s">
        <v>29</v>
      </c>
      <c r="N164" s="59" t="s">
        <v>115</v>
      </c>
      <c r="O164" s="60" t="s">
        <v>149</v>
      </c>
      <c r="P164" s="66"/>
    </row>
    <row r="165">
      <c r="A165" s="29" t="s">
        <v>240</v>
      </c>
      <c r="B165" s="30" t="s">
        <v>25</v>
      </c>
      <c r="C165" s="31" t="s">
        <v>41</v>
      </c>
      <c r="D165" s="32" t="str">
        <f t="shared" si="1"/>
        <v>Active</v>
      </c>
      <c r="E165" s="33">
        <v>45705.0</v>
      </c>
      <c r="F165" s="34"/>
      <c r="G165" s="36">
        <f t="shared" si="2"/>
        <v>19.63333333</v>
      </c>
      <c r="H165" s="37">
        <v>37405.0</v>
      </c>
      <c r="I165" s="36">
        <f t="shared" si="4"/>
        <v>22.71666667</v>
      </c>
      <c r="J165" s="38">
        <v>78.0</v>
      </c>
      <c r="K165" s="39">
        <v>8.8</v>
      </c>
      <c r="L165" s="38">
        <v>12.0</v>
      </c>
      <c r="M165" s="40" t="s">
        <v>70</v>
      </c>
      <c r="N165" s="41" t="s">
        <v>43</v>
      </c>
      <c r="O165" s="42" t="s">
        <v>149</v>
      </c>
      <c r="P165" s="67"/>
    </row>
    <row r="166">
      <c r="A166" s="44" t="s">
        <v>241</v>
      </c>
      <c r="B166" s="45" t="s">
        <v>25</v>
      </c>
      <c r="C166" s="46" t="s">
        <v>26</v>
      </c>
      <c r="D166" s="47" t="str">
        <f t="shared" si="1"/>
        <v>Active</v>
      </c>
      <c r="E166" s="48">
        <v>45678.0</v>
      </c>
      <c r="F166" s="49"/>
      <c r="G166" s="50">
        <f t="shared" si="2"/>
        <v>20.5</v>
      </c>
      <c r="H166" s="51">
        <v>44874.0</v>
      </c>
      <c r="I166" s="50">
        <f t="shared" si="4"/>
        <v>2.2</v>
      </c>
      <c r="J166" s="55">
        <v>94.0</v>
      </c>
      <c r="K166" s="56">
        <v>8.2</v>
      </c>
      <c r="L166" s="55">
        <v>27.0</v>
      </c>
      <c r="M166" s="58" t="s">
        <v>29</v>
      </c>
      <c r="N166" s="59"/>
      <c r="O166" s="60" t="s">
        <v>149</v>
      </c>
      <c r="P166" s="61"/>
    </row>
    <row r="167">
      <c r="A167" s="29" t="s">
        <v>242</v>
      </c>
      <c r="B167" s="30" t="s">
        <v>33</v>
      </c>
      <c r="C167" s="31" t="s">
        <v>26</v>
      </c>
      <c r="D167" s="32" t="str">
        <f t="shared" si="1"/>
        <v>Active</v>
      </c>
      <c r="E167" s="33">
        <v>45678.0</v>
      </c>
      <c r="F167" s="34"/>
      <c r="G167" s="36">
        <f t="shared" si="2"/>
        <v>20.5</v>
      </c>
      <c r="H167" s="37">
        <v>45510.0</v>
      </c>
      <c r="I167" s="36">
        <f t="shared" si="4"/>
        <v>0.4583333333</v>
      </c>
      <c r="J167" s="38">
        <v>80.0</v>
      </c>
      <c r="K167" s="39">
        <v>7.1</v>
      </c>
      <c r="L167" s="38">
        <v>11.0</v>
      </c>
      <c r="M167" s="40" t="s">
        <v>42</v>
      </c>
      <c r="N167" s="41"/>
      <c r="O167" s="42" t="s">
        <v>34</v>
      </c>
      <c r="P167" s="43"/>
    </row>
    <row r="168">
      <c r="A168" s="44" t="s">
        <v>243</v>
      </c>
      <c r="B168" s="45" t="s">
        <v>25</v>
      </c>
      <c r="C168" s="46" t="s">
        <v>26</v>
      </c>
      <c r="D168" s="47" t="str">
        <f t="shared" si="1"/>
        <v>Active</v>
      </c>
      <c r="E168" s="48">
        <v>45678.0</v>
      </c>
      <c r="F168" s="49"/>
      <c r="G168" s="50">
        <f t="shared" si="2"/>
        <v>20.5</v>
      </c>
      <c r="H168" s="51">
        <v>44637.0</v>
      </c>
      <c r="I168" s="50">
        <f t="shared" si="4"/>
        <v>2.844444444</v>
      </c>
      <c r="J168" s="55">
        <v>71.0</v>
      </c>
      <c r="K168" s="56">
        <v>6.8</v>
      </c>
      <c r="L168" s="55">
        <v>11.0</v>
      </c>
      <c r="M168" s="58" t="s">
        <v>244</v>
      </c>
      <c r="N168" s="59"/>
      <c r="O168" s="60" t="s">
        <v>149</v>
      </c>
      <c r="P168" s="61"/>
    </row>
    <row r="169">
      <c r="A169" s="29" t="s">
        <v>245</v>
      </c>
      <c r="B169" s="30" t="s">
        <v>25</v>
      </c>
      <c r="C169" s="31" t="s">
        <v>26</v>
      </c>
      <c r="D169" s="32" t="str">
        <f t="shared" si="1"/>
        <v>Active</v>
      </c>
      <c r="E169" s="33">
        <v>45678.0</v>
      </c>
      <c r="F169" s="34"/>
      <c r="G169" s="36">
        <f t="shared" si="2"/>
        <v>20.5</v>
      </c>
      <c r="H169" s="37">
        <v>44400.0</v>
      </c>
      <c r="I169" s="36">
        <f t="shared" si="4"/>
        <v>3.494444444</v>
      </c>
      <c r="J169" s="38">
        <v>77.0</v>
      </c>
      <c r="K169" s="39">
        <v>7.2</v>
      </c>
      <c r="L169" s="38">
        <v>10.0</v>
      </c>
      <c r="M169" s="40" t="s">
        <v>246</v>
      </c>
      <c r="N169" s="41"/>
      <c r="O169" s="42" t="s">
        <v>149</v>
      </c>
      <c r="P169" s="43"/>
    </row>
    <row r="170">
      <c r="A170" s="44" t="s">
        <v>247</v>
      </c>
      <c r="B170" s="45" t="s">
        <v>25</v>
      </c>
      <c r="C170" s="46" t="s">
        <v>26</v>
      </c>
      <c r="D170" s="47" t="str">
        <f t="shared" si="1"/>
        <v>Active</v>
      </c>
      <c r="E170" s="48">
        <v>45678.0</v>
      </c>
      <c r="F170" s="49"/>
      <c r="G170" s="50">
        <f t="shared" si="2"/>
        <v>20.5</v>
      </c>
      <c r="H170" s="51">
        <v>44686.0</v>
      </c>
      <c r="I170" s="50">
        <f t="shared" si="4"/>
        <v>2.711111111</v>
      </c>
      <c r="J170" s="55">
        <v>82.0</v>
      </c>
      <c r="K170" s="56">
        <v>7.4</v>
      </c>
      <c r="L170" s="55">
        <v>7.0</v>
      </c>
      <c r="M170" s="58" t="s">
        <v>42</v>
      </c>
      <c r="N170" s="59"/>
      <c r="O170" s="60" t="s">
        <v>149</v>
      </c>
      <c r="P170" s="61"/>
    </row>
    <row r="171">
      <c r="A171" s="29" t="s">
        <v>248</v>
      </c>
      <c r="B171" s="30" t="s">
        <v>45</v>
      </c>
      <c r="C171" s="31" t="s">
        <v>26</v>
      </c>
      <c r="D171" s="32" t="str">
        <f t="shared" si="1"/>
        <v>Active</v>
      </c>
      <c r="E171" s="33">
        <v>45678.0</v>
      </c>
      <c r="F171" s="34"/>
      <c r="G171" s="36">
        <f t="shared" si="2"/>
        <v>20.5</v>
      </c>
      <c r="H171" s="37">
        <v>44524.0</v>
      </c>
      <c r="I171" s="36">
        <f t="shared" si="4"/>
        <v>3.158333333</v>
      </c>
      <c r="J171" s="38">
        <v>50.0</v>
      </c>
      <c r="K171" s="39">
        <v>5.3</v>
      </c>
      <c r="L171" s="38">
        <v>1.5</v>
      </c>
      <c r="M171" s="40" t="s">
        <v>249</v>
      </c>
      <c r="N171" s="41"/>
      <c r="O171" s="42" t="s">
        <v>34</v>
      </c>
      <c r="P171" s="43"/>
    </row>
    <row r="172">
      <c r="A172" s="44" t="s">
        <v>250</v>
      </c>
      <c r="B172" s="45" t="s">
        <v>25</v>
      </c>
      <c r="C172" s="46" t="s">
        <v>41</v>
      </c>
      <c r="D172" s="47" t="str">
        <f t="shared" si="1"/>
        <v>Active</v>
      </c>
      <c r="E172" s="48">
        <v>45678.0</v>
      </c>
      <c r="F172" s="49"/>
      <c r="G172" s="50">
        <f t="shared" si="2"/>
        <v>20.5</v>
      </c>
      <c r="H172" s="51">
        <v>39973.0</v>
      </c>
      <c r="I172" s="50">
        <f t="shared" si="4"/>
        <v>15.61666667</v>
      </c>
      <c r="J172" s="55">
        <v>55.0</v>
      </c>
      <c r="K172" s="56">
        <v>7.3</v>
      </c>
      <c r="L172" s="55">
        <v>8.0</v>
      </c>
      <c r="M172" s="58" t="s">
        <v>29</v>
      </c>
      <c r="N172" s="59" t="s">
        <v>43</v>
      </c>
      <c r="O172" s="60" t="s">
        <v>149</v>
      </c>
      <c r="P172" s="66"/>
    </row>
    <row r="173">
      <c r="A173" s="29" t="s">
        <v>251</v>
      </c>
      <c r="B173" s="30" t="s">
        <v>25</v>
      </c>
      <c r="C173" s="31" t="s">
        <v>41</v>
      </c>
      <c r="D173" s="32" t="str">
        <f t="shared" si="1"/>
        <v>Active</v>
      </c>
      <c r="E173" s="33">
        <v>45678.0</v>
      </c>
      <c r="F173" s="34"/>
      <c r="G173" s="36">
        <f t="shared" si="2"/>
        <v>20.5</v>
      </c>
      <c r="H173" s="37">
        <v>36646.0</v>
      </c>
      <c r="I173" s="36">
        <f t="shared" si="4"/>
        <v>24.725</v>
      </c>
      <c r="J173" s="38">
        <v>74.0</v>
      </c>
      <c r="K173" s="39">
        <v>8.2</v>
      </c>
      <c r="L173" s="38">
        <v>7.0</v>
      </c>
      <c r="M173" s="40" t="s">
        <v>29</v>
      </c>
      <c r="N173" s="41" t="s">
        <v>61</v>
      </c>
      <c r="O173" s="42" t="s">
        <v>149</v>
      </c>
      <c r="P173" s="67"/>
    </row>
    <row r="174">
      <c r="A174" s="44" t="s">
        <v>252</v>
      </c>
      <c r="B174" s="45" t="s">
        <v>25</v>
      </c>
      <c r="C174" s="46" t="s">
        <v>26</v>
      </c>
      <c r="D174" s="47" t="str">
        <f t="shared" si="1"/>
        <v>Active</v>
      </c>
      <c r="E174" s="48">
        <v>45643.0</v>
      </c>
      <c r="F174" s="49"/>
      <c r="G174" s="50">
        <f t="shared" si="2"/>
        <v>21.63333333</v>
      </c>
      <c r="H174" s="51">
        <v>44868.0</v>
      </c>
      <c r="I174" s="50">
        <f t="shared" si="4"/>
        <v>2.122222222</v>
      </c>
      <c r="J174" s="55">
        <v>74.0</v>
      </c>
      <c r="K174" s="56">
        <v>7.2</v>
      </c>
      <c r="L174" s="55">
        <v>15.0</v>
      </c>
      <c r="M174" s="58" t="s">
        <v>95</v>
      </c>
      <c r="N174" s="59"/>
      <c r="O174" s="60" t="s">
        <v>34</v>
      </c>
      <c r="P174" s="61"/>
    </row>
    <row r="175">
      <c r="A175" s="29" t="s">
        <v>253</v>
      </c>
      <c r="B175" s="30" t="s">
        <v>25</v>
      </c>
      <c r="C175" s="31" t="s">
        <v>26</v>
      </c>
      <c r="D175" s="32" t="str">
        <f t="shared" si="1"/>
        <v>Active</v>
      </c>
      <c r="E175" s="33">
        <v>45643.0</v>
      </c>
      <c r="F175" s="34"/>
      <c r="G175" s="36">
        <f t="shared" si="2"/>
        <v>21.63333333</v>
      </c>
      <c r="H175" s="37">
        <v>43859.0</v>
      </c>
      <c r="I175" s="36">
        <f t="shared" si="4"/>
        <v>4.883333333</v>
      </c>
      <c r="J175" s="38">
        <v>76.0</v>
      </c>
      <c r="K175" s="39">
        <v>7.5</v>
      </c>
      <c r="L175" s="38">
        <v>5.0</v>
      </c>
      <c r="M175" s="40" t="s">
        <v>254</v>
      </c>
      <c r="N175" s="41"/>
      <c r="O175" s="42" t="s">
        <v>149</v>
      </c>
      <c r="P175" s="43"/>
    </row>
    <row r="176">
      <c r="A176" s="44" t="s">
        <v>255</v>
      </c>
      <c r="B176" s="45" t="s">
        <v>25</v>
      </c>
      <c r="C176" s="46" t="s">
        <v>26</v>
      </c>
      <c r="D176" s="47" t="str">
        <f t="shared" si="1"/>
        <v>Active</v>
      </c>
      <c r="E176" s="48">
        <v>45643.0</v>
      </c>
      <c r="F176" s="49"/>
      <c r="G176" s="50">
        <f t="shared" si="2"/>
        <v>21.63333333</v>
      </c>
      <c r="H176" s="51">
        <v>45036.0</v>
      </c>
      <c r="I176" s="50">
        <f t="shared" si="4"/>
        <v>1.658333333</v>
      </c>
      <c r="J176" s="55">
        <v>79.0</v>
      </c>
      <c r="K176" s="56">
        <v>7.5</v>
      </c>
      <c r="L176" s="55">
        <v>7.0</v>
      </c>
      <c r="M176" s="58" t="s">
        <v>254</v>
      </c>
      <c r="N176" s="59"/>
      <c r="O176" s="60" t="s">
        <v>149</v>
      </c>
      <c r="P176" s="61"/>
    </row>
    <row r="177">
      <c r="A177" s="29" t="s">
        <v>256</v>
      </c>
      <c r="B177" s="30" t="s">
        <v>25</v>
      </c>
      <c r="C177" s="31" t="s">
        <v>26</v>
      </c>
      <c r="D177" s="32" t="str">
        <f t="shared" si="1"/>
        <v>Active</v>
      </c>
      <c r="E177" s="33">
        <v>45643.0</v>
      </c>
      <c r="F177" s="34"/>
      <c r="G177" s="36">
        <f t="shared" si="2"/>
        <v>21.63333333</v>
      </c>
      <c r="H177" s="37">
        <v>44945.0</v>
      </c>
      <c r="I177" s="36">
        <f t="shared" si="4"/>
        <v>1.911111111</v>
      </c>
      <c r="J177" s="38">
        <v>85.0</v>
      </c>
      <c r="K177" s="39">
        <v>7.8</v>
      </c>
      <c r="L177" s="38">
        <v>10.0</v>
      </c>
      <c r="M177" s="40" t="s">
        <v>29</v>
      </c>
      <c r="N177" s="41"/>
      <c r="O177" s="42" t="s">
        <v>149</v>
      </c>
      <c r="P177" s="43"/>
    </row>
    <row r="178">
      <c r="A178" s="44" t="s">
        <v>257</v>
      </c>
      <c r="B178" s="45" t="s">
        <v>45</v>
      </c>
      <c r="C178" s="46" t="s">
        <v>26</v>
      </c>
      <c r="D178" s="47" t="str">
        <f t="shared" si="1"/>
        <v>Active</v>
      </c>
      <c r="E178" s="48">
        <v>45643.0</v>
      </c>
      <c r="F178" s="49"/>
      <c r="G178" s="50">
        <f t="shared" si="2"/>
        <v>21.63333333</v>
      </c>
      <c r="H178" s="51">
        <v>43929.0</v>
      </c>
      <c r="I178" s="50">
        <f t="shared" si="4"/>
        <v>4.691666667</v>
      </c>
      <c r="J178" s="55">
        <v>70.0</v>
      </c>
      <c r="K178" s="56">
        <v>7.7</v>
      </c>
      <c r="L178" s="55">
        <v>3.0</v>
      </c>
      <c r="M178" s="58" t="s">
        <v>27</v>
      </c>
      <c r="N178" s="59"/>
      <c r="O178" s="60" t="s">
        <v>149</v>
      </c>
      <c r="P178" s="61"/>
    </row>
    <row r="179">
      <c r="A179" s="29" t="s">
        <v>258</v>
      </c>
      <c r="B179" s="30" t="s">
        <v>25</v>
      </c>
      <c r="C179" s="31" t="s">
        <v>26</v>
      </c>
      <c r="D179" s="32" t="str">
        <f t="shared" si="1"/>
        <v>Active</v>
      </c>
      <c r="E179" s="33">
        <v>45643.0</v>
      </c>
      <c r="F179" s="34"/>
      <c r="G179" s="36">
        <f t="shared" si="2"/>
        <v>21.63333333</v>
      </c>
      <c r="H179" s="37">
        <v>44168.0</v>
      </c>
      <c r="I179" s="36">
        <f t="shared" si="4"/>
        <v>4.038888889</v>
      </c>
      <c r="J179" s="38">
        <v>78.0</v>
      </c>
      <c r="K179" s="39">
        <v>7.5</v>
      </c>
      <c r="L179" s="38">
        <v>8.0</v>
      </c>
      <c r="M179" s="40" t="s">
        <v>29</v>
      </c>
      <c r="N179" s="41"/>
      <c r="O179" s="42" t="s">
        <v>34</v>
      </c>
      <c r="P179" s="43"/>
    </row>
    <row r="180">
      <c r="A180" s="44" t="s">
        <v>259</v>
      </c>
      <c r="B180" s="45" t="s">
        <v>45</v>
      </c>
      <c r="C180" s="46" t="s">
        <v>207</v>
      </c>
      <c r="D180" s="47" t="str">
        <f t="shared" si="1"/>
        <v>Active</v>
      </c>
      <c r="E180" s="48">
        <v>45643.0</v>
      </c>
      <c r="F180" s="49"/>
      <c r="G180" s="50">
        <f t="shared" si="2"/>
        <v>21.63333333</v>
      </c>
      <c r="H180" s="51">
        <v>44742.0</v>
      </c>
      <c r="I180" s="50">
        <f t="shared" si="4"/>
        <v>2.463888889</v>
      </c>
      <c r="J180" s="55">
        <v>69.0</v>
      </c>
      <c r="K180" s="56">
        <v>5.8</v>
      </c>
      <c r="L180" s="55">
        <v>3.0</v>
      </c>
      <c r="M180" s="58" t="s">
        <v>51</v>
      </c>
      <c r="N180" s="59"/>
      <c r="O180" s="60" t="s">
        <v>34</v>
      </c>
      <c r="P180" s="61"/>
    </row>
    <row r="181">
      <c r="A181" s="29" t="s">
        <v>260</v>
      </c>
      <c r="B181" s="30" t="s">
        <v>25</v>
      </c>
      <c r="C181" s="31" t="s">
        <v>41</v>
      </c>
      <c r="D181" s="32" t="str">
        <f t="shared" si="1"/>
        <v>Active</v>
      </c>
      <c r="E181" s="33">
        <v>45643.0</v>
      </c>
      <c r="F181" s="34"/>
      <c r="G181" s="36">
        <f t="shared" si="2"/>
        <v>21.63333333</v>
      </c>
      <c r="H181" s="37">
        <v>38244.0</v>
      </c>
      <c r="I181" s="36">
        <f t="shared" si="4"/>
        <v>20.25833333</v>
      </c>
      <c r="J181" s="38">
        <v>88.0</v>
      </c>
      <c r="K181" s="39">
        <v>8.9</v>
      </c>
      <c r="L181" s="38">
        <v>15.0</v>
      </c>
      <c r="M181" s="40" t="s">
        <v>27</v>
      </c>
      <c r="N181" s="41" t="s">
        <v>43</v>
      </c>
      <c r="O181" s="42" t="s">
        <v>149</v>
      </c>
      <c r="P181" s="67"/>
    </row>
    <row r="182">
      <c r="A182" s="44" t="s">
        <v>261</v>
      </c>
      <c r="B182" s="45" t="s">
        <v>25</v>
      </c>
      <c r="C182" s="46" t="s">
        <v>41</v>
      </c>
      <c r="D182" s="47" t="str">
        <f t="shared" si="1"/>
        <v>Active</v>
      </c>
      <c r="E182" s="48">
        <v>45643.0</v>
      </c>
      <c r="F182" s="49"/>
      <c r="G182" s="50">
        <f t="shared" si="2"/>
        <v>21.63333333</v>
      </c>
      <c r="H182" s="51">
        <v>38621.0</v>
      </c>
      <c r="I182" s="50">
        <f t="shared" si="4"/>
        <v>19.225</v>
      </c>
      <c r="J182" s="55">
        <v>83.0</v>
      </c>
      <c r="K182" s="56">
        <v>8.9</v>
      </c>
      <c r="L182" s="55">
        <v>13.0</v>
      </c>
      <c r="M182" s="58" t="s">
        <v>27</v>
      </c>
      <c r="N182" s="59" t="s">
        <v>43</v>
      </c>
      <c r="O182" s="60" t="s">
        <v>149</v>
      </c>
      <c r="P182" s="66"/>
    </row>
    <row r="183">
      <c r="A183" s="29" t="s">
        <v>262</v>
      </c>
      <c r="B183" s="30" t="s">
        <v>25</v>
      </c>
      <c r="C183" s="31" t="s">
        <v>41</v>
      </c>
      <c r="D183" s="32" t="str">
        <f t="shared" si="1"/>
        <v>Active</v>
      </c>
      <c r="E183" s="33">
        <v>45643.0</v>
      </c>
      <c r="F183" s="34"/>
      <c r="G183" s="36">
        <f t="shared" si="2"/>
        <v>21.63333333</v>
      </c>
      <c r="H183" s="37">
        <v>37229.0</v>
      </c>
      <c r="I183" s="36">
        <f t="shared" si="4"/>
        <v>23.03611111</v>
      </c>
      <c r="J183" s="38">
        <v>90.0</v>
      </c>
      <c r="K183" s="39">
        <v>8.7</v>
      </c>
      <c r="L183" s="38">
        <v>10.0</v>
      </c>
      <c r="M183" s="40" t="s">
        <v>27</v>
      </c>
      <c r="N183" s="41" t="s">
        <v>43</v>
      </c>
      <c r="O183" s="42" t="s">
        <v>149</v>
      </c>
      <c r="P183" s="67"/>
    </row>
    <row r="184">
      <c r="A184" s="44" t="s">
        <v>263</v>
      </c>
      <c r="B184" s="45" t="s">
        <v>25</v>
      </c>
      <c r="C184" s="46" t="s">
        <v>26</v>
      </c>
      <c r="D184" s="47" t="str">
        <f t="shared" si="1"/>
        <v>Active</v>
      </c>
      <c r="E184" s="48">
        <v>45615.0</v>
      </c>
      <c r="F184" s="49"/>
      <c r="G184" s="50">
        <f t="shared" si="2"/>
        <v>22.56666667</v>
      </c>
      <c r="H184" s="51">
        <v>44147.0</v>
      </c>
      <c r="I184" s="50">
        <f t="shared" si="4"/>
        <v>4.019444444</v>
      </c>
      <c r="J184" s="55">
        <v>84.0</v>
      </c>
      <c r="K184" s="56">
        <v>7.2</v>
      </c>
      <c r="L184" s="55">
        <v>24.0</v>
      </c>
      <c r="M184" s="58" t="s">
        <v>217</v>
      </c>
      <c r="N184" s="59"/>
      <c r="O184" s="60" t="s">
        <v>149</v>
      </c>
      <c r="P184" s="61"/>
    </row>
    <row r="185">
      <c r="A185" s="29" t="s">
        <v>264</v>
      </c>
      <c r="B185" s="30" t="s">
        <v>45</v>
      </c>
      <c r="C185" s="31" t="s">
        <v>26</v>
      </c>
      <c r="D185" s="32" t="str">
        <f t="shared" si="1"/>
        <v>Active</v>
      </c>
      <c r="E185" s="33">
        <v>45615.0</v>
      </c>
      <c r="F185" s="34"/>
      <c r="G185" s="36">
        <f t="shared" si="2"/>
        <v>22.56666667</v>
      </c>
      <c r="H185" s="37">
        <v>44287.0</v>
      </c>
      <c r="I185" s="36">
        <f t="shared" si="4"/>
        <v>3.633333333</v>
      </c>
      <c r="J185" s="38">
        <v>83.0</v>
      </c>
      <c r="K185" s="39">
        <v>7.8</v>
      </c>
      <c r="L185" s="38">
        <v>8.0</v>
      </c>
      <c r="M185" s="40" t="s">
        <v>27</v>
      </c>
      <c r="N185" s="41"/>
      <c r="O185" s="42" t="s">
        <v>34</v>
      </c>
      <c r="P185" s="43"/>
    </row>
    <row r="186">
      <c r="A186" s="44" t="s">
        <v>265</v>
      </c>
      <c r="B186" s="45" t="s">
        <v>25</v>
      </c>
      <c r="C186" s="46" t="s">
        <v>26</v>
      </c>
      <c r="D186" s="47" t="str">
        <f t="shared" si="1"/>
        <v>Active</v>
      </c>
      <c r="E186" s="48">
        <v>45615.0</v>
      </c>
      <c r="F186" s="49"/>
      <c r="G186" s="50">
        <f t="shared" si="2"/>
        <v>22.56666667</v>
      </c>
      <c r="H186" s="51">
        <v>45078.0</v>
      </c>
      <c r="I186" s="50">
        <f t="shared" si="4"/>
        <v>1.466666667</v>
      </c>
      <c r="J186" s="55">
        <v>78.0</v>
      </c>
      <c r="K186" s="56">
        <v>7.8</v>
      </c>
      <c r="L186" s="55">
        <v>5.0</v>
      </c>
      <c r="M186" s="58" t="s">
        <v>29</v>
      </c>
      <c r="N186" s="59"/>
      <c r="O186" s="60" t="s">
        <v>149</v>
      </c>
      <c r="P186" s="61"/>
    </row>
    <row r="187">
      <c r="A187" s="29" t="s">
        <v>266</v>
      </c>
      <c r="B187" s="30" t="s">
        <v>45</v>
      </c>
      <c r="C187" s="31" t="s">
        <v>26</v>
      </c>
      <c r="D187" s="32" t="str">
        <f t="shared" si="1"/>
        <v>Active</v>
      </c>
      <c r="E187" s="33">
        <v>45615.0</v>
      </c>
      <c r="F187" s="34"/>
      <c r="G187" s="36">
        <f t="shared" si="2"/>
        <v>22.56666667</v>
      </c>
      <c r="H187" s="37">
        <v>43298.0</v>
      </c>
      <c r="I187" s="36">
        <f t="shared" si="4"/>
        <v>6.338888889</v>
      </c>
      <c r="J187" s="38">
        <v>58.0</v>
      </c>
      <c r="K187" s="39">
        <v>8.2</v>
      </c>
      <c r="L187" s="38">
        <v>25.0</v>
      </c>
      <c r="M187" s="40" t="s">
        <v>29</v>
      </c>
      <c r="N187" s="41"/>
      <c r="O187" s="42" t="s">
        <v>149</v>
      </c>
      <c r="P187" s="43"/>
    </row>
    <row r="188">
      <c r="A188" s="44" t="s">
        <v>267</v>
      </c>
      <c r="B188" s="45" t="s">
        <v>25</v>
      </c>
      <c r="C188" s="46" t="s">
        <v>26</v>
      </c>
      <c r="D188" s="47" t="str">
        <f t="shared" si="1"/>
        <v>Active</v>
      </c>
      <c r="E188" s="48">
        <v>45615.0</v>
      </c>
      <c r="F188" s="49"/>
      <c r="G188" s="50">
        <f t="shared" si="2"/>
        <v>22.56666667</v>
      </c>
      <c r="H188" s="51">
        <v>44355.0</v>
      </c>
      <c r="I188" s="50">
        <f t="shared" si="4"/>
        <v>3.447222222</v>
      </c>
      <c r="J188" s="55">
        <v>82.0</v>
      </c>
      <c r="K188" s="56">
        <v>5.5</v>
      </c>
      <c r="L188" s="55">
        <v>21.0</v>
      </c>
      <c r="M188" s="58" t="s">
        <v>268</v>
      </c>
      <c r="N188" s="59"/>
      <c r="O188" s="60" t="s">
        <v>149</v>
      </c>
      <c r="P188" s="61"/>
    </row>
    <row r="189">
      <c r="A189" s="29" t="s">
        <v>269</v>
      </c>
      <c r="B189" s="30" t="s">
        <v>25</v>
      </c>
      <c r="C189" s="31" t="s">
        <v>41</v>
      </c>
      <c r="D189" s="32" t="str">
        <f t="shared" si="1"/>
        <v>Active</v>
      </c>
      <c r="E189" s="33">
        <v>45615.0</v>
      </c>
      <c r="F189" s="34"/>
      <c r="G189" s="36">
        <f t="shared" si="2"/>
        <v>22.56666667</v>
      </c>
      <c r="H189" s="37">
        <v>35370.0</v>
      </c>
      <c r="I189" s="36">
        <f t="shared" si="4"/>
        <v>28.05</v>
      </c>
      <c r="J189" s="38">
        <v>91.0</v>
      </c>
      <c r="K189" s="39">
        <v>8.8</v>
      </c>
      <c r="L189" s="38">
        <v>18.0</v>
      </c>
      <c r="M189" s="40" t="s">
        <v>29</v>
      </c>
      <c r="N189" s="41" t="s">
        <v>61</v>
      </c>
      <c r="O189" s="42" t="s">
        <v>149</v>
      </c>
      <c r="P189" s="67"/>
    </row>
    <row r="190">
      <c r="A190" s="44" t="s">
        <v>270</v>
      </c>
      <c r="B190" s="45" t="s">
        <v>25</v>
      </c>
      <c r="C190" s="46" t="s">
        <v>41</v>
      </c>
      <c r="D190" s="47" t="str">
        <f t="shared" si="1"/>
        <v>Active</v>
      </c>
      <c r="E190" s="48">
        <v>45615.0</v>
      </c>
      <c r="F190" s="49"/>
      <c r="G190" s="50">
        <f t="shared" si="2"/>
        <v>22.56666667</v>
      </c>
      <c r="H190" s="51">
        <v>37336.0</v>
      </c>
      <c r="I190" s="50">
        <f t="shared" si="4"/>
        <v>22.66111111</v>
      </c>
      <c r="J190" s="55">
        <v>76.0</v>
      </c>
      <c r="K190" s="56">
        <v>7.4</v>
      </c>
      <c r="L190" s="55">
        <v>13.0</v>
      </c>
      <c r="M190" s="58" t="s">
        <v>36</v>
      </c>
      <c r="N190" s="59" t="s">
        <v>43</v>
      </c>
      <c r="O190" s="60" t="s">
        <v>149</v>
      </c>
      <c r="P190" s="66"/>
    </row>
    <row r="191">
      <c r="A191" s="29" t="s">
        <v>271</v>
      </c>
      <c r="B191" s="30" t="s">
        <v>25</v>
      </c>
      <c r="C191" s="31" t="s">
        <v>26</v>
      </c>
      <c r="D191" s="32" t="str">
        <f t="shared" si="1"/>
        <v>Active</v>
      </c>
      <c r="E191" s="33">
        <v>45580.0</v>
      </c>
      <c r="F191" s="34"/>
      <c r="G191" s="36">
        <f t="shared" si="2"/>
        <v>23.7</v>
      </c>
      <c r="H191" s="37">
        <v>44782.0</v>
      </c>
      <c r="I191" s="36">
        <f t="shared" si="4"/>
        <v>2.183333333</v>
      </c>
      <c r="J191" s="38">
        <v>83.0</v>
      </c>
      <c r="K191" s="39">
        <v>7.2</v>
      </c>
      <c r="L191" s="38">
        <v>25.0</v>
      </c>
      <c r="M191" s="40" t="s">
        <v>53</v>
      </c>
      <c r="N191" s="41"/>
      <c r="O191" s="42" t="s">
        <v>272</v>
      </c>
      <c r="P191" s="43"/>
    </row>
    <row r="192">
      <c r="A192" s="44" t="s">
        <v>273</v>
      </c>
      <c r="B192" s="45" t="s">
        <v>25</v>
      </c>
      <c r="C192" s="46" t="s">
        <v>26</v>
      </c>
      <c r="D192" s="47" t="str">
        <f t="shared" si="1"/>
        <v>Active</v>
      </c>
      <c r="E192" s="48">
        <v>45580.0</v>
      </c>
      <c r="F192" s="49"/>
      <c r="G192" s="50">
        <f t="shared" si="2"/>
        <v>23.7</v>
      </c>
      <c r="H192" s="51">
        <v>43447.0</v>
      </c>
      <c r="I192" s="50">
        <f t="shared" si="4"/>
        <v>5.838888889</v>
      </c>
      <c r="J192" s="55">
        <v>83.0</v>
      </c>
      <c r="K192" s="56">
        <v>8.2</v>
      </c>
      <c r="L192" s="55">
        <v>4.0</v>
      </c>
      <c r="M192" s="58" t="s">
        <v>27</v>
      </c>
      <c r="N192" s="59"/>
      <c r="O192" s="60" t="s">
        <v>149</v>
      </c>
      <c r="P192" s="61"/>
    </row>
    <row r="193">
      <c r="A193" s="29" t="s">
        <v>274</v>
      </c>
      <c r="B193" s="30" t="s">
        <v>33</v>
      </c>
      <c r="C193" s="31" t="s">
        <v>26</v>
      </c>
      <c r="D193" s="32" t="str">
        <f t="shared" si="1"/>
        <v>Active</v>
      </c>
      <c r="E193" s="33">
        <v>45580.0</v>
      </c>
      <c r="F193" s="34"/>
      <c r="G193" s="36">
        <f t="shared" si="2"/>
        <v>23.7</v>
      </c>
      <c r="H193" s="37">
        <v>44774.0</v>
      </c>
      <c r="I193" s="36">
        <f t="shared" si="4"/>
        <v>2.205555556</v>
      </c>
      <c r="J193" s="38">
        <v>87.0</v>
      </c>
      <c r="K193" s="39">
        <v>7.6</v>
      </c>
      <c r="L193" s="38">
        <v>10.0</v>
      </c>
      <c r="M193" s="40" t="s">
        <v>231</v>
      </c>
      <c r="N193" s="41"/>
      <c r="O193" s="42" t="s">
        <v>272</v>
      </c>
      <c r="P193" s="43"/>
    </row>
    <row r="194">
      <c r="A194" s="44" t="s">
        <v>275</v>
      </c>
      <c r="B194" s="45" t="s">
        <v>33</v>
      </c>
      <c r="C194" s="46" t="s">
        <v>26</v>
      </c>
      <c r="D194" s="47" t="str">
        <f t="shared" si="1"/>
        <v>Active</v>
      </c>
      <c r="E194" s="48">
        <v>45580.0</v>
      </c>
      <c r="F194" s="49"/>
      <c r="G194" s="50">
        <f t="shared" si="2"/>
        <v>23.7</v>
      </c>
      <c r="H194" s="51">
        <v>45216.0</v>
      </c>
      <c r="I194" s="50">
        <f t="shared" si="4"/>
        <v>0.9944444444</v>
      </c>
      <c r="J194" s="55">
        <v>60.0</v>
      </c>
      <c r="K194" s="56">
        <v>4.0</v>
      </c>
      <c r="L194" s="55">
        <v>8.0</v>
      </c>
      <c r="M194" s="58" t="s">
        <v>95</v>
      </c>
      <c r="N194" s="59"/>
      <c r="O194" s="60" t="s">
        <v>272</v>
      </c>
      <c r="P194" s="61"/>
    </row>
    <row r="195">
      <c r="A195" s="29" t="s">
        <v>276</v>
      </c>
      <c r="B195" s="30" t="s">
        <v>45</v>
      </c>
      <c r="C195" s="31" t="s">
        <v>207</v>
      </c>
      <c r="D195" s="32" t="str">
        <f t="shared" si="1"/>
        <v>Active</v>
      </c>
      <c r="E195" s="33">
        <v>45580.0</v>
      </c>
      <c r="F195" s="34"/>
      <c r="G195" s="36">
        <f t="shared" si="2"/>
        <v>23.7</v>
      </c>
      <c r="H195" s="37">
        <v>42801.0</v>
      </c>
      <c r="I195" s="36">
        <f t="shared" si="4"/>
        <v>7.605555556</v>
      </c>
      <c r="J195" s="38">
        <v>70.0</v>
      </c>
      <c r="K195" s="39">
        <v>6.5</v>
      </c>
      <c r="L195" s="38">
        <v>27.0</v>
      </c>
      <c r="M195" s="40" t="s">
        <v>31</v>
      </c>
      <c r="N195" s="41"/>
      <c r="O195" s="42" t="s">
        <v>149</v>
      </c>
      <c r="P195" s="43"/>
    </row>
    <row r="196">
      <c r="A196" s="44" t="s">
        <v>277</v>
      </c>
      <c r="B196" s="45" t="s">
        <v>25</v>
      </c>
      <c r="C196" s="46" t="s">
        <v>41</v>
      </c>
      <c r="D196" s="47" t="str">
        <f t="shared" si="1"/>
        <v>Active</v>
      </c>
      <c r="E196" s="48">
        <v>45580.0</v>
      </c>
      <c r="F196" s="49"/>
      <c r="G196" s="50">
        <f t="shared" si="2"/>
        <v>23.7</v>
      </c>
      <c r="H196" s="51">
        <v>36844.0</v>
      </c>
      <c r="I196" s="50">
        <f t="shared" si="4"/>
        <v>23.91944444</v>
      </c>
      <c r="J196" s="55">
        <v>74.0</v>
      </c>
      <c r="K196" s="56">
        <v>8.8</v>
      </c>
      <c r="L196" s="55">
        <v>7.0</v>
      </c>
      <c r="M196" s="58" t="s">
        <v>36</v>
      </c>
      <c r="N196" s="59" t="s">
        <v>61</v>
      </c>
      <c r="O196" s="60" t="s">
        <v>149</v>
      </c>
      <c r="P196" s="66"/>
    </row>
    <row r="197">
      <c r="A197" s="29" t="s">
        <v>278</v>
      </c>
      <c r="B197" s="30" t="s">
        <v>45</v>
      </c>
      <c r="C197" s="31" t="s">
        <v>41</v>
      </c>
      <c r="D197" s="32" t="str">
        <f t="shared" si="1"/>
        <v>Active</v>
      </c>
      <c r="E197" s="33">
        <v>45580.0</v>
      </c>
      <c r="F197" s="34"/>
      <c r="G197" s="36">
        <f t="shared" si="2"/>
        <v>23.7</v>
      </c>
      <c r="H197" s="37">
        <v>39848.0</v>
      </c>
      <c r="I197" s="36">
        <f t="shared" si="4"/>
        <v>15.69722222</v>
      </c>
      <c r="J197" s="38">
        <v>76.0</v>
      </c>
      <c r="K197" s="39">
        <v>7.5</v>
      </c>
      <c r="L197" s="38">
        <v>1.0</v>
      </c>
      <c r="M197" s="40" t="s">
        <v>279</v>
      </c>
      <c r="N197" s="41" t="s">
        <v>217</v>
      </c>
      <c r="O197" s="42" t="s">
        <v>34</v>
      </c>
      <c r="P197" s="67"/>
    </row>
    <row r="198">
      <c r="A198" s="44" t="s">
        <v>280</v>
      </c>
      <c r="B198" s="45" t="s">
        <v>33</v>
      </c>
      <c r="C198" s="46" t="s">
        <v>26</v>
      </c>
      <c r="D198" s="47" t="str">
        <f t="shared" si="1"/>
        <v>Active</v>
      </c>
      <c r="E198" s="48">
        <v>45561.0</v>
      </c>
      <c r="F198" s="49"/>
      <c r="G198" s="50">
        <f t="shared" si="2"/>
        <v>24.33333333</v>
      </c>
      <c r="H198" s="51">
        <v>45310.0</v>
      </c>
      <c r="I198" s="50">
        <f t="shared" si="4"/>
        <v>0.6861111111</v>
      </c>
      <c r="J198" s="55">
        <v>90.0</v>
      </c>
      <c r="K198" s="56">
        <v>7.8</v>
      </c>
      <c r="L198" s="55">
        <v>15.0</v>
      </c>
      <c r="M198" s="58" t="s">
        <v>36</v>
      </c>
      <c r="N198" s="59"/>
      <c r="O198" s="60" t="s">
        <v>272</v>
      </c>
      <c r="P198" s="61"/>
    </row>
    <row r="199">
      <c r="A199" s="29" t="s">
        <v>281</v>
      </c>
      <c r="B199" s="30" t="s">
        <v>45</v>
      </c>
      <c r="C199" s="31" t="s">
        <v>26</v>
      </c>
      <c r="D199" s="32" t="str">
        <f t="shared" si="1"/>
        <v>Active</v>
      </c>
      <c r="E199" s="33">
        <v>45552.0</v>
      </c>
      <c r="F199" s="34"/>
      <c r="G199" s="36">
        <f t="shared" si="2"/>
        <v>24.63333333</v>
      </c>
      <c r="H199" s="37">
        <v>43053.0</v>
      </c>
      <c r="I199" s="36">
        <f t="shared" si="4"/>
        <v>6.841666667</v>
      </c>
      <c r="J199" s="38">
        <v>41.0</v>
      </c>
      <c r="K199" s="39">
        <v>5.1</v>
      </c>
      <c r="L199" s="38">
        <v>3.0</v>
      </c>
      <c r="M199" s="40" t="s">
        <v>268</v>
      </c>
      <c r="N199" s="41"/>
      <c r="O199" s="42" t="s">
        <v>149</v>
      </c>
      <c r="P199" s="43"/>
    </row>
    <row r="200">
      <c r="A200" s="44" t="s">
        <v>282</v>
      </c>
      <c r="B200" s="45" t="s">
        <v>25</v>
      </c>
      <c r="C200" s="46" t="s">
        <v>26</v>
      </c>
      <c r="D200" s="47" t="str">
        <f t="shared" si="1"/>
        <v>Active</v>
      </c>
      <c r="E200" s="48">
        <v>45552.0</v>
      </c>
      <c r="F200" s="49"/>
      <c r="G200" s="50">
        <f t="shared" si="2"/>
        <v>24.63333333</v>
      </c>
      <c r="H200" s="51">
        <v>45167.0</v>
      </c>
      <c r="I200" s="50">
        <f t="shared" si="4"/>
        <v>1.05</v>
      </c>
      <c r="J200" s="55">
        <v>70.0</v>
      </c>
      <c r="K200" s="56">
        <v>6.4</v>
      </c>
      <c r="L200" s="55">
        <v>8.0</v>
      </c>
      <c r="M200" s="58" t="s">
        <v>29</v>
      </c>
      <c r="N200" s="59"/>
      <c r="O200" s="60" t="s">
        <v>272</v>
      </c>
      <c r="P200" s="61"/>
    </row>
    <row r="201">
      <c r="A201" s="29" t="s">
        <v>283</v>
      </c>
      <c r="B201" s="30" t="s">
        <v>25</v>
      </c>
      <c r="C201" s="31" t="s">
        <v>26</v>
      </c>
      <c r="D201" s="32" t="str">
        <f t="shared" si="1"/>
        <v>Active</v>
      </c>
      <c r="E201" s="33">
        <v>45552.0</v>
      </c>
      <c r="F201" s="34"/>
      <c r="G201" s="36">
        <f t="shared" si="2"/>
        <v>24.63333333</v>
      </c>
      <c r="H201" s="37">
        <v>44405.0</v>
      </c>
      <c r="I201" s="36">
        <f t="shared" si="4"/>
        <v>3.136111111</v>
      </c>
      <c r="J201" s="38">
        <v>75.0</v>
      </c>
      <c r="K201" s="39">
        <v>7.8</v>
      </c>
      <c r="L201" s="38">
        <v>15.0</v>
      </c>
      <c r="M201" s="40" t="s">
        <v>36</v>
      </c>
      <c r="N201" s="41"/>
      <c r="O201" s="42" t="s">
        <v>149</v>
      </c>
      <c r="P201" s="43"/>
    </row>
    <row r="202">
      <c r="A202" s="44" t="s">
        <v>284</v>
      </c>
      <c r="B202" s="45" t="s">
        <v>25</v>
      </c>
      <c r="C202" s="46" t="s">
        <v>26</v>
      </c>
      <c r="D202" s="47" t="str">
        <f t="shared" si="1"/>
        <v>Active</v>
      </c>
      <c r="E202" s="48">
        <v>45552.0</v>
      </c>
      <c r="F202" s="49"/>
      <c r="G202" s="50">
        <f t="shared" si="2"/>
        <v>24.63333333</v>
      </c>
      <c r="H202" s="51">
        <v>45209.0</v>
      </c>
      <c r="I202" s="50">
        <f t="shared" si="4"/>
        <v>0.9361111111</v>
      </c>
      <c r="J202" s="55">
        <v>72.0</v>
      </c>
      <c r="K202" s="56">
        <v>8.3</v>
      </c>
      <c r="L202" s="55">
        <v>12.0</v>
      </c>
      <c r="M202" s="58" t="s">
        <v>125</v>
      </c>
      <c r="N202" s="59"/>
      <c r="O202" s="60" t="s">
        <v>34</v>
      </c>
      <c r="P202" s="61"/>
    </row>
    <row r="203">
      <c r="A203" s="29" t="s">
        <v>285</v>
      </c>
      <c r="B203" s="30" t="s">
        <v>25</v>
      </c>
      <c r="C203" s="31" t="s">
        <v>26</v>
      </c>
      <c r="D203" s="32" t="str">
        <f t="shared" si="1"/>
        <v>Active</v>
      </c>
      <c r="E203" s="33">
        <v>45552.0</v>
      </c>
      <c r="F203" s="34"/>
      <c r="G203" s="36">
        <f t="shared" si="2"/>
        <v>24.63333333</v>
      </c>
      <c r="H203" s="37">
        <v>43936.0</v>
      </c>
      <c r="I203" s="36">
        <f t="shared" si="4"/>
        <v>4.422222222</v>
      </c>
      <c r="J203" s="38">
        <v>68.0</v>
      </c>
      <c r="K203" s="39">
        <v>4.7</v>
      </c>
      <c r="L203" s="38">
        <v>20.0</v>
      </c>
      <c r="M203" s="40" t="s">
        <v>168</v>
      </c>
      <c r="N203" s="41"/>
      <c r="O203" s="42" t="s">
        <v>34</v>
      </c>
      <c r="P203" s="43"/>
    </row>
    <row r="204">
      <c r="A204" s="44" t="s">
        <v>286</v>
      </c>
      <c r="B204" s="45" t="s">
        <v>45</v>
      </c>
      <c r="C204" s="46" t="s">
        <v>207</v>
      </c>
      <c r="D204" s="47" t="str">
        <f t="shared" si="1"/>
        <v>Active</v>
      </c>
      <c r="E204" s="48">
        <v>45552.0</v>
      </c>
      <c r="F204" s="49"/>
      <c r="G204" s="50">
        <f t="shared" si="2"/>
        <v>24.63333333</v>
      </c>
      <c r="H204" s="51">
        <v>43186.0</v>
      </c>
      <c r="I204" s="50">
        <f t="shared" si="4"/>
        <v>6.472222222</v>
      </c>
      <c r="J204" s="55">
        <v>81.0</v>
      </c>
      <c r="K204" s="56">
        <v>6.9</v>
      </c>
      <c r="L204" s="55">
        <v>18.0</v>
      </c>
      <c r="M204" s="58" t="s">
        <v>31</v>
      </c>
      <c r="N204" s="59" t="s">
        <v>287</v>
      </c>
      <c r="O204" s="60" t="s">
        <v>149</v>
      </c>
      <c r="P204" s="61"/>
    </row>
    <row r="205">
      <c r="A205" s="29" t="s">
        <v>288</v>
      </c>
      <c r="B205" s="30" t="s">
        <v>25</v>
      </c>
      <c r="C205" s="31" t="s">
        <v>41</v>
      </c>
      <c r="D205" s="32" t="str">
        <f t="shared" si="1"/>
        <v>Active</v>
      </c>
      <c r="E205" s="33">
        <v>45552.0</v>
      </c>
      <c r="F205" s="34"/>
      <c r="G205" s="36">
        <f t="shared" si="2"/>
        <v>24.63333333</v>
      </c>
      <c r="H205" s="37">
        <v>39616.0</v>
      </c>
      <c r="I205" s="36">
        <f t="shared" si="4"/>
        <v>16.25</v>
      </c>
      <c r="J205" s="38">
        <v>72.0</v>
      </c>
      <c r="K205" s="39">
        <v>7.4</v>
      </c>
      <c r="L205" s="38">
        <v>8.0</v>
      </c>
      <c r="M205" s="40" t="s">
        <v>27</v>
      </c>
      <c r="N205" s="41" t="s">
        <v>115</v>
      </c>
      <c r="O205" s="42" t="s">
        <v>149</v>
      </c>
      <c r="P205" s="67"/>
    </row>
    <row r="206">
      <c r="A206" s="44" t="s">
        <v>289</v>
      </c>
      <c r="B206" s="45" t="s">
        <v>25</v>
      </c>
      <c r="C206" s="46" t="s">
        <v>41</v>
      </c>
      <c r="D206" s="47" t="str">
        <f t="shared" si="1"/>
        <v>Active</v>
      </c>
      <c r="E206" s="48">
        <v>45552.0</v>
      </c>
      <c r="F206" s="49"/>
      <c r="G206" s="50">
        <f t="shared" si="2"/>
        <v>24.63333333</v>
      </c>
      <c r="H206" s="51">
        <v>37431.0</v>
      </c>
      <c r="I206" s="50">
        <f t="shared" si="4"/>
        <v>22.23055556</v>
      </c>
      <c r="J206" s="55">
        <v>75.0</v>
      </c>
      <c r="K206" s="56">
        <v>8.1</v>
      </c>
      <c r="L206" s="55">
        <v>3.0</v>
      </c>
      <c r="M206" s="58" t="s">
        <v>31</v>
      </c>
      <c r="N206" s="59" t="s">
        <v>43</v>
      </c>
      <c r="O206" s="60" t="s">
        <v>149</v>
      </c>
      <c r="P206" s="66"/>
    </row>
    <row r="207">
      <c r="A207" s="29" t="s">
        <v>290</v>
      </c>
      <c r="B207" s="30" t="s">
        <v>25</v>
      </c>
      <c r="C207" s="31" t="s">
        <v>41</v>
      </c>
      <c r="D207" s="32" t="str">
        <f t="shared" si="1"/>
        <v>Active</v>
      </c>
      <c r="E207" s="33">
        <v>45552.0</v>
      </c>
      <c r="F207" s="34"/>
      <c r="G207" s="36">
        <f t="shared" si="2"/>
        <v>24.63333333</v>
      </c>
      <c r="H207" s="37">
        <v>37327.0</v>
      </c>
      <c r="I207" s="36">
        <f t="shared" si="4"/>
        <v>22.51388889</v>
      </c>
      <c r="J207" s="38">
        <v>65.0</v>
      </c>
      <c r="K207" s="39">
        <v>6.2</v>
      </c>
      <c r="L207" s="38">
        <v>3.0</v>
      </c>
      <c r="M207" s="40" t="s">
        <v>29</v>
      </c>
      <c r="N207" s="41" t="s">
        <v>43</v>
      </c>
      <c r="O207" s="42" t="s">
        <v>149</v>
      </c>
      <c r="P207" s="67"/>
    </row>
    <row r="208">
      <c r="A208" s="44" t="s">
        <v>291</v>
      </c>
      <c r="B208" s="45" t="s">
        <v>45</v>
      </c>
      <c r="C208" s="46" t="s">
        <v>46</v>
      </c>
      <c r="D208" s="47" t="str">
        <f t="shared" si="1"/>
        <v>Active</v>
      </c>
      <c r="E208" s="48">
        <v>45538.0</v>
      </c>
      <c r="F208" s="49"/>
      <c r="G208" s="50">
        <f t="shared" si="2"/>
        <v>25.1</v>
      </c>
      <c r="H208" s="51">
        <v>45512.0</v>
      </c>
      <c r="I208" s="50">
        <f t="shared" si="4"/>
        <v>0.06944444444</v>
      </c>
      <c r="J208" s="55">
        <v>82.0</v>
      </c>
      <c r="K208" s="56">
        <v>9.5</v>
      </c>
      <c r="L208" s="55">
        <v>12.0</v>
      </c>
      <c r="M208" s="58" t="s">
        <v>31</v>
      </c>
      <c r="N208" s="59" t="s">
        <v>292</v>
      </c>
      <c r="O208" s="60" t="s">
        <v>34</v>
      </c>
      <c r="P208" s="66"/>
    </row>
    <row r="209">
      <c r="A209" s="29" t="s">
        <v>293</v>
      </c>
      <c r="B209" s="30" t="s">
        <v>45</v>
      </c>
      <c r="C209" s="31" t="s">
        <v>207</v>
      </c>
      <c r="D209" s="32" t="str">
        <f t="shared" si="1"/>
        <v>Active</v>
      </c>
      <c r="E209" s="33">
        <v>45524.0</v>
      </c>
      <c r="F209" s="34"/>
      <c r="G209" s="36">
        <f t="shared" si="2"/>
        <v>25.53333333</v>
      </c>
      <c r="H209" s="37">
        <v>42689.0</v>
      </c>
      <c r="I209" s="36">
        <f t="shared" si="4"/>
        <v>7.763888889</v>
      </c>
      <c r="J209" s="38">
        <v>82.0</v>
      </c>
      <c r="K209" s="39">
        <v>7.7</v>
      </c>
      <c r="L209" s="38">
        <v>20.0</v>
      </c>
      <c r="M209" s="40" t="s">
        <v>29</v>
      </c>
      <c r="N209" s="41"/>
      <c r="O209" s="42" t="s">
        <v>149</v>
      </c>
      <c r="P209" s="43"/>
    </row>
    <row r="210">
      <c r="A210" s="44" t="s">
        <v>294</v>
      </c>
      <c r="B210" s="45" t="s">
        <v>25</v>
      </c>
      <c r="C210" s="46" t="s">
        <v>41</v>
      </c>
      <c r="D210" s="47" t="str">
        <f t="shared" si="1"/>
        <v>Active</v>
      </c>
      <c r="E210" s="48">
        <v>45524.0</v>
      </c>
      <c r="F210" s="49"/>
      <c r="G210" s="50">
        <f t="shared" si="2"/>
        <v>25.53333333</v>
      </c>
      <c r="H210" s="51">
        <v>36822.0</v>
      </c>
      <c r="I210" s="50">
        <f t="shared" si="4"/>
        <v>23.825</v>
      </c>
      <c r="J210" s="55">
        <v>81.0</v>
      </c>
      <c r="K210" s="56">
        <v>7.8</v>
      </c>
      <c r="L210" s="55">
        <v>2.0</v>
      </c>
      <c r="M210" s="58" t="s">
        <v>31</v>
      </c>
      <c r="N210" s="59" t="s">
        <v>43</v>
      </c>
      <c r="O210" s="60" t="s">
        <v>149</v>
      </c>
      <c r="P210" s="66"/>
    </row>
    <row r="211">
      <c r="A211" s="29" t="s">
        <v>295</v>
      </c>
      <c r="B211" s="30" t="s">
        <v>25</v>
      </c>
      <c r="C211" s="31" t="s">
        <v>41</v>
      </c>
      <c r="D211" s="32" t="str">
        <f t="shared" si="1"/>
        <v>Active</v>
      </c>
      <c r="E211" s="33">
        <v>45524.0</v>
      </c>
      <c r="F211" s="34"/>
      <c r="G211" s="36">
        <f t="shared" si="2"/>
        <v>25.53333333</v>
      </c>
      <c r="H211" s="37">
        <v>37537.0</v>
      </c>
      <c r="I211" s="36">
        <f t="shared" si="4"/>
        <v>21.86666667</v>
      </c>
      <c r="J211" s="38">
        <v>90.0</v>
      </c>
      <c r="K211" s="39">
        <v>8.6</v>
      </c>
      <c r="L211" s="38">
        <v>9.0</v>
      </c>
      <c r="M211" s="40" t="s">
        <v>31</v>
      </c>
      <c r="N211" s="41" t="s">
        <v>43</v>
      </c>
      <c r="O211" s="42" t="s">
        <v>149</v>
      </c>
      <c r="P211" s="67"/>
    </row>
    <row r="212">
      <c r="A212" s="44" t="s">
        <v>296</v>
      </c>
      <c r="B212" s="45" t="s">
        <v>25</v>
      </c>
      <c r="C212" s="46" t="s">
        <v>41</v>
      </c>
      <c r="D212" s="47" t="str">
        <f t="shared" si="1"/>
        <v>Active</v>
      </c>
      <c r="E212" s="48">
        <v>45524.0</v>
      </c>
      <c r="F212" s="49"/>
      <c r="G212" s="50">
        <f t="shared" si="2"/>
        <v>25.53333333</v>
      </c>
      <c r="H212" s="51">
        <v>38432.0</v>
      </c>
      <c r="I212" s="50">
        <f t="shared" si="4"/>
        <v>19.41388889</v>
      </c>
      <c r="J212" s="55">
        <v>83.0</v>
      </c>
      <c r="K212" s="56">
        <v>8.4</v>
      </c>
      <c r="L212" s="55">
        <v>7.0</v>
      </c>
      <c r="M212" s="58" t="s">
        <v>31</v>
      </c>
      <c r="N212" s="59" t="s">
        <v>43</v>
      </c>
      <c r="O212" s="60" t="s">
        <v>149</v>
      </c>
      <c r="P212" s="66"/>
    </row>
    <row r="213">
      <c r="A213" s="29" t="s">
        <v>297</v>
      </c>
      <c r="B213" s="30" t="s">
        <v>25</v>
      </c>
      <c r="C213" s="31" t="s">
        <v>26</v>
      </c>
      <c r="D213" s="32" t="str">
        <f t="shared" si="1"/>
        <v>Active</v>
      </c>
      <c r="E213" s="33">
        <v>45489.0</v>
      </c>
      <c r="F213" s="34"/>
      <c r="G213" s="36">
        <f t="shared" si="2"/>
        <v>26.66666667</v>
      </c>
      <c r="H213" s="37">
        <v>44435.0</v>
      </c>
      <c r="I213" s="36">
        <f t="shared" si="4"/>
        <v>2.886111111</v>
      </c>
      <c r="J213" s="38">
        <v>75.0</v>
      </c>
      <c r="K213" s="39">
        <v>8.1</v>
      </c>
      <c r="L213" s="38">
        <v>12.0</v>
      </c>
      <c r="M213" s="40" t="s">
        <v>29</v>
      </c>
      <c r="N213" s="41"/>
      <c r="O213" s="42" t="s">
        <v>149</v>
      </c>
      <c r="P213" s="43"/>
    </row>
    <row r="214">
      <c r="A214" s="44" t="s">
        <v>298</v>
      </c>
      <c r="B214" s="45" t="s">
        <v>25</v>
      </c>
      <c r="C214" s="46" t="s">
        <v>26</v>
      </c>
      <c r="D214" s="47" t="str">
        <f t="shared" si="1"/>
        <v>Active</v>
      </c>
      <c r="E214" s="48">
        <v>45489.0</v>
      </c>
      <c r="F214" s="49"/>
      <c r="G214" s="50">
        <f t="shared" si="2"/>
        <v>26.66666667</v>
      </c>
      <c r="H214" s="51">
        <v>44441.0</v>
      </c>
      <c r="I214" s="50">
        <f t="shared" si="4"/>
        <v>2.872222222</v>
      </c>
      <c r="J214" s="55">
        <v>83.0</v>
      </c>
      <c r="K214" s="56">
        <v>7.7</v>
      </c>
      <c r="L214" s="55">
        <v>55.0</v>
      </c>
      <c r="M214" s="58" t="s">
        <v>42</v>
      </c>
      <c r="N214" s="59"/>
      <c r="O214" s="60" t="s">
        <v>272</v>
      </c>
      <c r="P214" s="61"/>
    </row>
    <row r="215">
      <c r="A215" s="29" t="s">
        <v>299</v>
      </c>
      <c r="B215" s="30" t="s">
        <v>45</v>
      </c>
      <c r="C215" s="31" t="s">
        <v>26</v>
      </c>
      <c r="D215" s="32" t="str">
        <f t="shared" si="1"/>
        <v>Active</v>
      </c>
      <c r="E215" s="33">
        <v>45489.0</v>
      </c>
      <c r="F215" s="34"/>
      <c r="G215" s="36">
        <f t="shared" si="2"/>
        <v>26.66666667</v>
      </c>
      <c r="H215" s="37">
        <v>44700.0</v>
      </c>
      <c r="I215" s="36">
        <f t="shared" si="4"/>
        <v>2.158333333</v>
      </c>
      <c r="J215" s="38">
        <v>77.0</v>
      </c>
      <c r="K215" s="39">
        <v>7.4</v>
      </c>
      <c r="L215" s="38">
        <v>36.0</v>
      </c>
      <c r="M215" s="40" t="s">
        <v>36</v>
      </c>
      <c r="N215" s="41"/>
      <c r="O215" s="42" t="s">
        <v>149</v>
      </c>
      <c r="P215" s="43"/>
    </row>
    <row r="216">
      <c r="A216" s="44" t="s">
        <v>300</v>
      </c>
      <c r="B216" s="45" t="s">
        <v>45</v>
      </c>
      <c r="C216" s="46" t="s">
        <v>26</v>
      </c>
      <c r="D216" s="47" t="str">
        <f t="shared" si="1"/>
        <v>Active</v>
      </c>
      <c r="E216" s="48">
        <v>45489.0</v>
      </c>
      <c r="F216" s="49"/>
      <c r="G216" s="50">
        <f t="shared" si="2"/>
        <v>26.66666667</v>
      </c>
      <c r="H216" s="51">
        <v>42703.0</v>
      </c>
      <c r="I216" s="50">
        <f t="shared" si="4"/>
        <v>7.630555556</v>
      </c>
      <c r="J216" s="55">
        <v>71.0</v>
      </c>
      <c r="K216" s="56">
        <v>6.4</v>
      </c>
      <c r="L216" s="55">
        <v>12.0</v>
      </c>
      <c r="M216" s="58" t="s">
        <v>125</v>
      </c>
      <c r="N216" s="59" t="s">
        <v>287</v>
      </c>
      <c r="O216" s="60" t="s">
        <v>149</v>
      </c>
      <c r="P216" s="61"/>
    </row>
    <row r="217">
      <c r="A217" s="29" t="s">
        <v>301</v>
      </c>
      <c r="B217" s="30" t="s">
        <v>25</v>
      </c>
      <c r="C217" s="31" t="s">
        <v>41</v>
      </c>
      <c r="D217" s="32" t="str">
        <f t="shared" si="1"/>
        <v>Active</v>
      </c>
      <c r="E217" s="33">
        <v>45489.0</v>
      </c>
      <c r="F217" s="34"/>
      <c r="G217" s="36">
        <f t="shared" si="2"/>
        <v>26.66666667</v>
      </c>
      <c r="H217" s="37">
        <v>39315.0</v>
      </c>
      <c r="I217" s="36">
        <f t="shared" si="4"/>
        <v>16.90277778</v>
      </c>
      <c r="J217" s="38">
        <v>87.0</v>
      </c>
      <c r="K217" s="39">
        <v>8.8</v>
      </c>
      <c r="L217" s="38">
        <v>32.0</v>
      </c>
      <c r="M217" s="40" t="s">
        <v>103</v>
      </c>
      <c r="N217" s="41" t="s">
        <v>115</v>
      </c>
      <c r="O217" s="42" t="s">
        <v>149</v>
      </c>
      <c r="P217" s="67"/>
    </row>
    <row r="218">
      <c r="A218" s="44" t="s">
        <v>302</v>
      </c>
      <c r="B218" s="45" t="s">
        <v>25</v>
      </c>
      <c r="C218" s="46" t="s">
        <v>41</v>
      </c>
      <c r="D218" s="47" t="str">
        <f t="shared" si="1"/>
        <v>Active</v>
      </c>
      <c r="E218" s="48">
        <v>45489.0</v>
      </c>
      <c r="F218" s="49"/>
      <c r="G218" s="50">
        <f t="shared" si="2"/>
        <v>26.66666667</v>
      </c>
      <c r="H218" s="51">
        <v>39126.0</v>
      </c>
      <c r="I218" s="50">
        <f t="shared" si="4"/>
        <v>17.425</v>
      </c>
      <c r="J218" s="55">
        <v>85.0</v>
      </c>
      <c r="K218" s="56">
        <v>7.9</v>
      </c>
      <c r="L218" s="55">
        <v>7.0</v>
      </c>
      <c r="M218" s="58" t="s">
        <v>27</v>
      </c>
      <c r="N218" s="59" t="s">
        <v>115</v>
      </c>
      <c r="O218" s="60" t="s">
        <v>149</v>
      </c>
      <c r="P218" s="66"/>
    </row>
    <row r="219">
      <c r="A219" s="29" t="s">
        <v>303</v>
      </c>
      <c r="B219" s="30" t="s">
        <v>25</v>
      </c>
      <c r="C219" s="31" t="s">
        <v>41</v>
      </c>
      <c r="D219" s="32" t="str">
        <f t="shared" si="1"/>
        <v>Active</v>
      </c>
      <c r="E219" s="33">
        <v>45489.0</v>
      </c>
      <c r="F219" s="34"/>
      <c r="G219" s="36">
        <f t="shared" si="2"/>
        <v>26.66666667</v>
      </c>
      <c r="H219" s="37">
        <v>36823.0</v>
      </c>
      <c r="I219" s="36">
        <f t="shared" si="4"/>
        <v>23.72777778</v>
      </c>
      <c r="J219" s="38">
        <v>74.0</v>
      </c>
      <c r="K219" s="39">
        <v>7.6</v>
      </c>
      <c r="L219" s="38">
        <v>27.0</v>
      </c>
      <c r="M219" s="40" t="s">
        <v>42</v>
      </c>
      <c r="N219" s="41" t="s">
        <v>43</v>
      </c>
      <c r="O219" s="42" t="s">
        <v>149</v>
      </c>
      <c r="P219" s="67"/>
    </row>
    <row r="220">
      <c r="A220" s="44" t="s">
        <v>304</v>
      </c>
      <c r="B220" s="45" t="s">
        <v>33</v>
      </c>
      <c r="C220" s="46" t="s">
        <v>26</v>
      </c>
      <c r="D220" s="47" t="str">
        <f t="shared" si="1"/>
        <v>Active</v>
      </c>
      <c r="E220" s="48">
        <v>45461.0</v>
      </c>
      <c r="F220" s="49"/>
      <c r="G220" s="50">
        <f t="shared" si="2"/>
        <v>27.6</v>
      </c>
      <c r="H220" s="51">
        <v>44075.0</v>
      </c>
      <c r="I220" s="50">
        <f t="shared" si="4"/>
        <v>3.797222222</v>
      </c>
      <c r="J220" s="55">
        <v>91.0</v>
      </c>
      <c r="K220" s="56">
        <v>8.3</v>
      </c>
      <c r="L220" s="55">
        <v>71.0</v>
      </c>
      <c r="M220" s="58" t="s">
        <v>103</v>
      </c>
      <c r="N220" s="59"/>
      <c r="O220" s="60" t="s">
        <v>272</v>
      </c>
      <c r="P220" s="61"/>
    </row>
    <row r="221">
      <c r="A221" s="29" t="s">
        <v>305</v>
      </c>
      <c r="B221" s="30" t="s">
        <v>25</v>
      </c>
      <c r="C221" s="31" t="s">
        <v>26</v>
      </c>
      <c r="D221" s="32" t="str">
        <f t="shared" si="1"/>
        <v>Active</v>
      </c>
      <c r="E221" s="33">
        <v>45461.0</v>
      </c>
      <c r="F221" s="34"/>
      <c r="G221" s="36">
        <f t="shared" si="2"/>
        <v>27.6</v>
      </c>
      <c r="H221" s="37">
        <v>44875.0</v>
      </c>
      <c r="I221" s="36">
        <f t="shared" si="4"/>
        <v>1.605555556</v>
      </c>
      <c r="J221" s="38">
        <v>58.0</v>
      </c>
      <c r="K221" s="39">
        <v>6.3</v>
      </c>
      <c r="L221" s="38">
        <v>28.0</v>
      </c>
      <c r="M221" s="40" t="s">
        <v>70</v>
      </c>
      <c r="N221" s="41"/>
      <c r="O221" s="42" t="s">
        <v>149</v>
      </c>
      <c r="P221" s="43"/>
    </row>
    <row r="222">
      <c r="A222" s="44" t="s">
        <v>306</v>
      </c>
      <c r="B222" s="45" t="s">
        <v>45</v>
      </c>
      <c r="C222" s="46" t="s">
        <v>26</v>
      </c>
      <c r="D222" s="47" t="str">
        <f t="shared" si="1"/>
        <v>Active</v>
      </c>
      <c r="E222" s="48">
        <v>45461.0</v>
      </c>
      <c r="F222" s="49"/>
      <c r="G222" s="50">
        <f t="shared" si="2"/>
        <v>27.6</v>
      </c>
      <c r="H222" s="51">
        <v>41961.0</v>
      </c>
      <c r="I222" s="50">
        <f t="shared" si="4"/>
        <v>9.583333333</v>
      </c>
      <c r="J222" s="55">
        <v>85.0</v>
      </c>
      <c r="K222" s="56">
        <v>7.7</v>
      </c>
      <c r="L222" s="55">
        <v>18.0</v>
      </c>
      <c r="M222" s="58" t="s">
        <v>31</v>
      </c>
      <c r="N222" s="59"/>
      <c r="O222" s="60" t="s">
        <v>34</v>
      </c>
      <c r="P222" s="61"/>
    </row>
    <row r="223">
      <c r="A223" s="29" t="s">
        <v>307</v>
      </c>
      <c r="B223" s="30" t="s">
        <v>45</v>
      </c>
      <c r="C223" s="31" t="s">
        <v>26</v>
      </c>
      <c r="D223" s="32" t="str">
        <f t="shared" si="1"/>
        <v>Active</v>
      </c>
      <c r="E223" s="33">
        <v>45461.0</v>
      </c>
      <c r="F223" s="34"/>
      <c r="G223" s="36">
        <f t="shared" si="2"/>
        <v>27.6</v>
      </c>
      <c r="H223" s="37">
        <v>41737.0</v>
      </c>
      <c r="I223" s="36">
        <f t="shared" si="4"/>
        <v>10.19444444</v>
      </c>
      <c r="J223" s="38">
        <v>72.0</v>
      </c>
      <c r="K223" s="39">
        <v>6.7</v>
      </c>
      <c r="L223" s="38">
        <v>9.0</v>
      </c>
      <c r="M223" s="40" t="s">
        <v>29</v>
      </c>
      <c r="N223" s="41"/>
      <c r="O223" s="42" t="s">
        <v>149</v>
      </c>
      <c r="P223" s="43"/>
    </row>
    <row r="224">
      <c r="A224" s="44" t="s">
        <v>308</v>
      </c>
      <c r="B224" s="45" t="s">
        <v>33</v>
      </c>
      <c r="C224" s="46" t="s">
        <v>207</v>
      </c>
      <c r="D224" s="47" t="str">
        <f t="shared" si="1"/>
        <v>Active</v>
      </c>
      <c r="E224" s="48">
        <v>45461.0</v>
      </c>
      <c r="F224" s="49"/>
      <c r="G224" s="50">
        <f t="shared" si="2"/>
        <v>27.6</v>
      </c>
      <c r="H224" s="51">
        <v>43571.0</v>
      </c>
      <c r="I224" s="50">
        <f t="shared" si="4"/>
        <v>5.172222222</v>
      </c>
      <c r="J224" s="55">
        <v>83.0</v>
      </c>
      <c r="K224" s="56">
        <v>7.1</v>
      </c>
      <c r="L224" s="55">
        <v>14.0</v>
      </c>
      <c r="M224" s="58" t="s">
        <v>309</v>
      </c>
      <c r="N224" s="59"/>
      <c r="O224" s="60" t="s">
        <v>272</v>
      </c>
      <c r="P224" s="61"/>
    </row>
    <row r="225">
      <c r="A225" s="29" t="s">
        <v>310</v>
      </c>
      <c r="B225" s="30" t="s">
        <v>25</v>
      </c>
      <c r="C225" s="31" t="s">
        <v>41</v>
      </c>
      <c r="D225" s="32" t="str">
        <f t="shared" si="1"/>
        <v>Active</v>
      </c>
      <c r="E225" s="33">
        <v>45461.0</v>
      </c>
      <c r="F225" s="34"/>
      <c r="G225" s="36">
        <f t="shared" si="2"/>
        <v>27.6</v>
      </c>
      <c r="H225" s="37">
        <v>38790.0</v>
      </c>
      <c r="I225" s="36">
        <f t="shared" si="4"/>
        <v>18.26111111</v>
      </c>
      <c r="J225" s="38">
        <v>85.0</v>
      </c>
      <c r="K225" s="39">
        <v>8.4</v>
      </c>
      <c r="L225" s="38">
        <v>8.0</v>
      </c>
      <c r="M225" s="40" t="s">
        <v>27</v>
      </c>
      <c r="N225" s="41" t="s">
        <v>115</v>
      </c>
      <c r="O225" s="42" t="s">
        <v>149</v>
      </c>
      <c r="P225" s="67"/>
    </row>
    <row r="226">
      <c r="A226" s="44" t="s">
        <v>311</v>
      </c>
      <c r="B226" s="45" t="s">
        <v>25</v>
      </c>
      <c r="C226" s="46" t="s">
        <v>41</v>
      </c>
      <c r="D226" s="47" t="str">
        <f t="shared" si="1"/>
        <v>Active</v>
      </c>
      <c r="E226" s="48">
        <v>45461.0</v>
      </c>
      <c r="F226" s="49"/>
      <c r="G226" s="50">
        <f t="shared" si="2"/>
        <v>27.6</v>
      </c>
      <c r="H226" s="51">
        <v>38216.0</v>
      </c>
      <c r="I226" s="50">
        <f t="shared" si="4"/>
        <v>19.83611111</v>
      </c>
      <c r="J226" s="55">
        <v>69.0</v>
      </c>
      <c r="K226" s="56">
        <v>8.4</v>
      </c>
      <c r="L226" s="55">
        <v>10.0</v>
      </c>
      <c r="M226" s="58" t="s">
        <v>36</v>
      </c>
      <c r="N226" s="59" t="s">
        <v>43</v>
      </c>
      <c r="O226" s="60" t="s">
        <v>149</v>
      </c>
      <c r="P226" s="66"/>
    </row>
    <row r="227">
      <c r="A227" s="29" t="s">
        <v>312</v>
      </c>
      <c r="B227" s="30" t="s">
        <v>25</v>
      </c>
      <c r="C227" s="31" t="s">
        <v>41</v>
      </c>
      <c r="D227" s="32" t="str">
        <f t="shared" si="1"/>
        <v>Active</v>
      </c>
      <c r="E227" s="33">
        <v>45461.0</v>
      </c>
      <c r="F227" s="34"/>
      <c r="G227" s="36">
        <f t="shared" si="2"/>
        <v>27.6</v>
      </c>
      <c r="H227" s="37">
        <v>38972.0</v>
      </c>
      <c r="I227" s="36">
        <f t="shared" si="4"/>
        <v>17.76666667</v>
      </c>
      <c r="J227" s="38">
        <v>81.0</v>
      </c>
      <c r="K227" s="39">
        <v>8.0</v>
      </c>
      <c r="L227" s="38">
        <v>11.0</v>
      </c>
      <c r="M227" s="40" t="s">
        <v>29</v>
      </c>
      <c r="N227" s="41" t="s">
        <v>313</v>
      </c>
      <c r="O227" s="42" t="s">
        <v>149</v>
      </c>
      <c r="P227" s="43"/>
    </row>
    <row r="228">
      <c r="A228" s="44" t="s">
        <v>314</v>
      </c>
      <c r="B228" s="45" t="s">
        <v>25</v>
      </c>
      <c r="C228" s="46" t="s">
        <v>41</v>
      </c>
      <c r="D228" s="47" t="str">
        <f t="shared" si="1"/>
        <v>Active</v>
      </c>
      <c r="E228" s="48">
        <v>45454.0</v>
      </c>
      <c r="F228" s="49"/>
      <c r="G228" s="50">
        <f t="shared" si="2"/>
        <v>27.83333333</v>
      </c>
      <c r="H228" s="51">
        <v>38818.0</v>
      </c>
      <c r="I228" s="50">
        <f t="shared" si="4"/>
        <v>18.16666667</v>
      </c>
      <c r="J228" s="55">
        <v>80.0</v>
      </c>
      <c r="K228" s="56">
        <v>7.9</v>
      </c>
      <c r="L228" s="55">
        <v>7.0</v>
      </c>
      <c r="M228" s="58" t="s">
        <v>29</v>
      </c>
      <c r="N228" s="59" t="s">
        <v>43</v>
      </c>
      <c r="O228" s="60" t="s">
        <v>149</v>
      </c>
      <c r="P228" s="66"/>
    </row>
    <row r="229">
      <c r="A229" s="29" t="s">
        <v>315</v>
      </c>
      <c r="B229" s="30" t="s">
        <v>45</v>
      </c>
      <c r="C229" s="31" t="s">
        <v>41</v>
      </c>
      <c r="D229" s="32" t="str">
        <f t="shared" si="1"/>
        <v>Active</v>
      </c>
      <c r="E229" s="33">
        <v>45454.0</v>
      </c>
      <c r="F229" s="34"/>
      <c r="G229" s="36">
        <f t="shared" si="2"/>
        <v>27.83333333</v>
      </c>
      <c r="H229" s="37">
        <v>37557.0</v>
      </c>
      <c r="I229" s="36">
        <f t="shared" si="4"/>
        <v>21.61944444</v>
      </c>
      <c r="J229" s="38">
        <v>73.0</v>
      </c>
      <c r="K229" s="39">
        <v>6.8</v>
      </c>
      <c r="L229" s="38">
        <v>6.0</v>
      </c>
      <c r="M229" s="40" t="s">
        <v>31</v>
      </c>
      <c r="N229" s="41" t="s">
        <v>43</v>
      </c>
      <c r="O229" s="42" t="s">
        <v>34</v>
      </c>
      <c r="P229" s="67"/>
    </row>
    <row r="230">
      <c r="A230" s="44" t="s">
        <v>316</v>
      </c>
      <c r="B230" s="45" t="s">
        <v>25</v>
      </c>
      <c r="C230" s="46" t="s">
        <v>41</v>
      </c>
      <c r="D230" s="47" t="str">
        <f t="shared" si="1"/>
        <v>Active</v>
      </c>
      <c r="E230" s="48">
        <v>45454.0</v>
      </c>
      <c r="F230" s="49"/>
      <c r="G230" s="50">
        <f t="shared" si="2"/>
        <v>27.83333333</v>
      </c>
      <c r="H230" s="51">
        <v>37522.0</v>
      </c>
      <c r="I230" s="50">
        <f t="shared" si="4"/>
        <v>21.71666667</v>
      </c>
      <c r="J230" s="55">
        <v>86.0</v>
      </c>
      <c r="K230" s="56">
        <v>8.7</v>
      </c>
      <c r="L230" s="55">
        <v>7.0</v>
      </c>
      <c r="M230" s="58" t="s">
        <v>27</v>
      </c>
      <c r="N230" s="59" t="s">
        <v>43</v>
      </c>
      <c r="O230" s="60" t="s">
        <v>149</v>
      </c>
      <c r="P230" s="66"/>
    </row>
    <row r="231">
      <c r="A231" s="29" t="s">
        <v>317</v>
      </c>
      <c r="B231" s="30" t="s">
        <v>25</v>
      </c>
      <c r="C231" s="31" t="s">
        <v>26</v>
      </c>
      <c r="D231" s="32" t="str">
        <f t="shared" si="1"/>
        <v>Active</v>
      </c>
      <c r="E231" s="33">
        <v>45448.0</v>
      </c>
      <c r="F231" s="34"/>
      <c r="G231" s="36">
        <f t="shared" si="2"/>
        <v>28.03333333</v>
      </c>
      <c r="H231" s="37">
        <v>45204.0</v>
      </c>
      <c r="I231" s="36">
        <f t="shared" si="4"/>
        <v>0.6666666667</v>
      </c>
      <c r="J231" s="38">
        <v>57.0</v>
      </c>
      <c r="K231" s="39">
        <v>5.1</v>
      </c>
      <c r="L231" s="38">
        <v>12.0</v>
      </c>
      <c r="M231" s="40" t="s">
        <v>125</v>
      </c>
      <c r="N231" s="41"/>
      <c r="O231" s="42" t="s">
        <v>149</v>
      </c>
      <c r="P231" s="43"/>
    </row>
    <row r="232">
      <c r="A232" s="44" t="s">
        <v>318</v>
      </c>
      <c r="B232" s="45" t="s">
        <v>33</v>
      </c>
      <c r="C232" s="46" t="s">
        <v>26</v>
      </c>
      <c r="D232" s="47" t="str">
        <f t="shared" si="1"/>
        <v>Active</v>
      </c>
      <c r="E232" s="48">
        <v>45441.0</v>
      </c>
      <c r="F232" s="49"/>
      <c r="G232" s="50">
        <f t="shared" si="2"/>
        <v>28.23333333</v>
      </c>
      <c r="H232" s="51">
        <v>45015.0</v>
      </c>
      <c r="I232" s="50">
        <f t="shared" si="4"/>
        <v>1.163888889</v>
      </c>
      <c r="J232" s="55">
        <v>80.0</v>
      </c>
      <c r="K232" s="56">
        <v>8.0</v>
      </c>
      <c r="L232" s="55">
        <v>10.0</v>
      </c>
      <c r="M232" s="58" t="s">
        <v>29</v>
      </c>
      <c r="N232" s="59"/>
      <c r="O232" s="60" t="s">
        <v>272</v>
      </c>
      <c r="P232" s="61"/>
    </row>
    <row r="233">
      <c r="A233" s="29" t="s">
        <v>319</v>
      </c>
      <c r="B233" s="30" t="s">
        <v>33</v>
      </c>
      <c r="C233" s="31" t="s">
        <v>26</v>
      </c>
      <c r="D233" s="32" t="str">
        <f t="shared" si="1"/>
        <v>Active</v>
      </c>
      <c r="E233" s="33">
        <v>45433.0</v>
      </c>
      <c r="F233" s="34"/>
      <c r="G233" s="36">
        <f t="shared" si="2"/>
        <v>28.5</v>
      </c>
      <c r="H233" s="37">
        <v>45013.0</v>
      </c>
      <c r="I233" s="36">
        <f t="shared" si="4"/>
        <v>1.147222222</v>
      </c>
      <c r="J233" s="38">
        <v>43.0</v>
      </c>
      <c r="K233" s="39">
        <v>5.5</v>
      </c>
      <c r="L233" s="38">
        <v>6.0</v>
      </c>
      <c r="M233" s="40" t="s">
        <v>31</v>
      </c>
      <c r="N233" s="41"/>
      <c r="O233" s="42" t="s">
        <v>272</v>
      </c>
      <c r="P233" s="43"/>
    </row>
    <row r="234">
      <c r="A234" s="44" t="s">
        <v>320</v>
      </c>
      <c r="B234" s="45" t="s">
        <v>33</v>
      </c>
      <c r="C234" s="46" t="s">
        <v>26</v>
      </c>
      <c r="D234" s="47" t="str">
        <f t="shared" si="1"/>
        <v>Active</v>
      </c>
      <c r="E234" s="48">
        <v>45433.0</v>
      </c>
      <c r="F234" s="49"/>
      <c r="G234" s="50">
        <f t="shared" si="2"/>
        <v>28.5</v>
      </c>
      <c r="H234" s="51">
        <v>45006.0</v>
      </c>
      <c r="I234" s="50">
        <f t="shared" si="4"/>
        <v>1.166666667</v>
      </c>
      <c r="J234" s="55">
        <v>75.0</v>
      </c>
      <c r="K234" s="56">
        <v>6.4</v>
      </c>
      <c r="L234" s="55">
        <v>17.0</v>
      </c>
      <c r="M234" s="58" t="s">
        <v>31</v>
      </c>
      <c r="N234" s="59"/>
      <c r="O234" s="60" t="s">
        <v>272</v>
      </c>
      <c r="P234" s="61"/>
    </row>
    <row r="235">
      <c r="A235" s="29" t="s">
        <v>321</v>
      </c>
      <c r="B235" s="30" t="s">
        <v>45</v>
      </c>
      <c r="C235" s="31" t="s">
        <v>26</v>
      </c>
      <c r="D235" s="32" t="str">
        <f t="shared" si="1"/>
        <v>Active</v>
      </c>
      <c r="E235" s="33">
        <v>45433.0</v>
      </c>
      <c r="F235" s="34"/>
      <c r="G235" s="36">
        <f t="shared" si="2"/>
        <v>28.5</v>
      </c>
      <c r="H235" s="37">
        <v>43049.0</v>
      </c>
      <c r="I235" s="36">
        <f t="shared" si="4"/>
        <v>6.530555556</v>
      </c>
      <c r="J235" s="38">
        <v>74.0</v>
      </c>
      <c r="K235" s="39">
        <v>7.6</v>
      </c>
      <c r="L235" s="38">
        <v>6.0</v>
      </c>
      <c r="M235" s="40" t="s">
        <v>42</v>
      </c>
      <c r="N235" s="41"/>
      <c r="O235" s="42" t="s">
        <v>149</v>
      </c>
      <c r="P235" s="43"/>
    </row>
    <row r="236">
      <c r="A236" s="44" t="s">
        <v>322</v>
      </c>
      <c r="B236" s="45" t="s">
        <v>45</v>
      </c>
      <c r="C236" s="46" t="s">
        <v>26</v>
      </c>
      <c r="D236" s="47" t="str">
        <f t="shared" si="1"/>
        <v>Active</v>
      </c>
      <c r="E236" s="48">
        <v>45433.0</v>
      </c>
      <c r="F236" s="49"/>
      <c r="G236" s="50">
        <f t="shared" si="2"/>
        <v>28.5</v>
      </c>
      <c r="H236" s="51">
        <v>43732.0</v>
      </c>
      <c r="I236" s="50">
        <f t="shared" si="4"/>
        <v>4.658333333</v>
      </c>
      <c r="J236" s="55">
        <v>76.0</v>
      </c>
      <c r="K236" s="56">
        <v>7.8</v>
      </c>
      <c r="L236" s="55">
        <v>8.0</v>
      </c>
      <c r="M236" s="58" t="s">
        <v>42</v>
      </c>
      <c r="N236" s="59"/>
      <c r="O236" s="60" t="s">
        <v>149</v>
      </c>
      <c r="P236" s="61"/>
    </row>
    <row r="237">
      <c r="A237" s="29" t="s">
        <v>323</v>
      </c>
      <c r="B237" s="30" t="s">
        <v>45</v>
      </c>
      <c r="C237" s="31" t="s">
        <v>207</v>
      </c>
      <c r="D237" s="32" t="str">
        <f t="shared" si="1"/>
        <v>Active</v>
      </c>
      <c r="E237" s="33">
        <v>45433.0</v>
      </c>
      <c r="F237" s="34"/>
      <c r="G237" s="36">
        <f t="shared" si="2"/>
        <v>28.5</v>
      </c>
      <c r="H237" s="37">
        <v>41786.0</v>
      </c>
      <c r="I237" s="36">
        <f t="shared" si="4"/>
        <v>9.983333333</v>
      </c>
      <c r="J237" s="38">
        <v>80.0</v>
      </c>
      <c r="K237" s="39">
        <v>6.8</v>
      </c>
      <c r="L237" s="38">
        <v>20.0</v>
      </c>
      <c r="M237" s="40" t="s">
        <v>29</v>
      </c>
      <c r="N237" s="41"/>
      <c r="O237" s="42" t="s">
        <v>149</v>
      </c>
      <c r="P237" s="43"/>
    </row>
    <row r="238">
      <c r="A238" s="44" t="s">
        <v>324</v>
      </c>
      <c r="B238" s="45" t="s">
        <v>45</v>
      </c>
      <c r="C238" s="46" t="s">
        <v>207</v>
      </c>
      <c r="D238" s="47" t="str">
        <f t="shared" si="1"/>
        <v>Active</v>
      </c>
      <c r="E238" s="48">
        <v>45433.0</v>
      </c>
      <c r="F238" s="49"/>
      <c r="G238" s="50">
        <f t="shared" si="2"/>
        <v>28.5</v>
      </c>
      <c r="H238" s="51">
        <v>44974.0</v>
      </c>
      <c r="I238" s="50">
        <f t="shared" si="4"/>
        <v>1.261111111</v>
      </c>
      <c r="J238" s="55">
        <v>54.0</v>
      </c>
      <c r="K238" s="56">
        <v>3.3</v>
      </c>
      <c r="L238" s="55">
        <v>35.0</v>
      </c>
      <c r="M238" s="58" t="s">
        <v>309</v>
      </c>
      <c r="N238" s="59"/>
      <c r="O238" s="60" t="s">
        <v>34</v>
      </c>
      <c r="P238" s="61"/>
    </row>
    <row r="239">
      <c r="A239" s="29" t="s">
        <v>325</v>
      </c>
      <c r="B239" s="30" t="s">
        <v>25</v>
      </c>
      <c r="C239" s="31" t="s">
        <v>41</v>
      </c>
      <c r="D239" s="32" t="str">
        <f t="shared" si="1"/>
        <v>Active</v>
      </c>
      <c r="E239" s="33">
        <v>45433.0</v>
      </c>
      <c r="F239" s="34"/>
      <c r="G239" s="36">
        <f t="shared" si="2"/>
        <v>28.5</v>
      </c>
      <c r="H239" s="37">
        <v>35370.0</v>
      </c>
      <c r="I239" s="36">
        <f t="shared" si="4"/>
        <v>27.55555556</v>
      </c>
      <c r="J239" s="38">
        <v>67.0</v>
      </c>
      <c r="K239" s="39">
        <v>7.5</v>
      </c>
      <c r="L239" s="38">
        <v>1.0</v>
      </c>
      <c r="M239" s="40" t="s">
        <v>95</v>
      </c>
      <c r="N239" s="41" t="s">
        <v>61</v>
      </c>
      <c r="O239" s="42" t="s">
        <v>149</v>
      </c>
      <c r="P239" s="67"/>
    </row>
    <row r="240">
      <c r="A240" s="44" t="s">
        <v>326</v>
      </c>
      <c r="B240" s="45" t="s">
        <v>25</v>
      </c>
      <c r="C240" s="46" t="s">
        <v>41</v>
      </c>
      <c r="D240" s="47" t="str">
        <f t="shared" si="1"/>
        <v>Active</v>
      </c>
      <c r="E240" s="48">
        <v>45433.0</v>
      </c>
      <c r="F240" s="49"/>
      <c r="G240" s="50">
        <f t="shared" si="2"/>
        <v>28.5</v>
      </c>
      <c r="H240" s="51">
        <v>35703.0</v>
      </c>
      <c r="I240" s="50">
        <f t="shared" si="4"/>
        <v>26.64166667</v>
      </c>
      <c r="J240" s="55">
        <v>72.0</v>
      </c>
      <c r="K240" s="56">
        <v>7.8</v>
      </c>
      <c r="L240" s="55">
        <v>15.0</v>
      </c>
      <c r="M240" s="58" t="s">
        <v>29</v>
      </c>
      <c r="N240" s="59" t="s">
        <v>61</v>
      </c>
      <c r="O240" s="60" t="s">
        <v>149</v>
      </c>
      <c r="P240" s="66"/>
    </row>
    <row r="241">
      <c r="A241" s="29" t="s">
        <v>327</v>
      </c>
      <c r="B241" s="30" t="s">
        <v>25</v>
      </c>
      <c r="C241" s="31" t="s">
        <v>41</v>
      </c>
      <c r="D241" s="32" t="str">
        <f t="shared" si="1"/>
        <v>Active</v>
      </c>
      <c r="E241" s="33">
        <v>45433.0</v>
      </c>
      <c r="F241" s="34"/>
      <c r="G241" s="36">
        <f t="shared" si="2"/>
        <v>28.5</v>
      </c>
      <c r="H241" s="37">
        <v>36464.0</v>
      </c>
      <c r="I241" s="36">
        <f t="shared" si="4"/>
        <v>24.55833333</v>
      </c>
      <c r="J241" s="38">
        <v>68.0</v>
      </c>
      <c r="K241" s="39">
        <v>7.6</v>
      </c>
      <c r="L241" s="38">
        <v>1.0</v>
      </c>
      <c r="M241" s="40" t="s">
        <v>70</v>
      </c>
      <c r="N241" s="41" t="s">
        <v>61</v>
      </c>
      <c r="O241" s="42" t="s">
        <v>149</v>
      </c>
      <c r="P241" s="67"/>
    </row>
    <row r="242">
      <c r="A242" s="44" t="s">
        <v>328</v>
      </c>
      <c r="B242" s="45" t="s">
        <v>25</v>
      </c>
      <c r="C242" s="46" t="s">
        <v>26</v>
      </c>
      <c r="D242" s="47" t="str">
        <f t="shared" si="1"/>
        <v>Active</v>
      </c>
      <c r="E242" s="48">
        <v>45398.0</v>
      </c>
      <c r="F242" s="49"/>
      <c r="G242" s="50">
        <f t="shared" si="2"/>
        <v>29.66666667</v>
      </c>
      <c r="H242" s="51">
        <v>44824.0</v>
      </c>
      <c r="I242" s="50">
        <f t="shared" si="4"/>
        <v>1.572222222</v>
      </c>
      <c r="J242" s="55">
        <v>78.0</v>
      </c>
      <c r="K242" s="56">
        <v>6.4</v>
      </c>
      <c r="L242" s="55">
        <v>45.0</v>
      </c>
      <c r="M242" s="58" t="s">
        <v>70</v>
      </c>
      <c r="N242" s="59"/>
      <c r="O242" s="60" t="s">
        <v>149</v>
      </c>
      <c r="P242" s="61"/>
    </row>
    <row r="243">
      <c r="A243" s="29" t="s">
        <v>329</v>
      </c>
      <c r="B243" s="30" t="s">
        <v>25</v>
      </c>
      <c r="C243" s="31" t="s">
        <v>26</v>
      </c>
      <c r="D243" s="32" t="str">
        <f t="shared" si="1"/>
        <v>Active</v>
      </c>
      <c r="E243" s="33">
        <v>45398.0</v>
      </c>
      <c r="F243" s="34"/>
      <c r="G243" s="36">
        <f t="shared" si="2"/>
        <v>29.66666667</v>
      </c>
      <c r="H243" s="37">
        <v>44061.0</v>
      </c>
      <c r="I243" s="36">
        <f t="shared" si="4"/>
        <v>3.661111111</v>
      </c>
      <c r="J243" s="38">
        <v>69.0</v>
      </c>
      <c r="K243" s="39">
        <v>7.6</v>
      </c>
      <c r="L243" s="38">
        <v>5.0</v>
      </c>
      <c r="M243" s="40" t="s">
        <v>29</v>
      </c>
      <c r="N243" s="41"/>
      <c r="O243" s="42" t="s">
        <v>272</v>
      </c>
      <c r="P243" s="43"/>
    </row>
    <row r="244">
      <c r="A244" s="44" t="s">
        <v>330</v>
      </c>
      <c r="B244" s="45" t="s">
        <v>45</v>
      </c>
      <c r="C244" s="46" t="s">
        <v>26</v>
      </c>
      <c r="D244" s="47" t="str">
        <f t="shared" si="1"/>
        <v>Active</v>
      </c>
      <c r="E244" s="48">
        <v>45398.0</v>
      </c>
      <c r="F244" s="49"/>
      <c r="G244" s="50">
        <f t="shared" si="2"/>
        <v>29.66666667</v>
      </c>
      <c r="H244" s="51">
        <v>42395.0</v>
      </c>
      <c r="I244" s="50">
        <f t="shared" si="4"/>
        <v>8.222222222</v>
      </c>
      <c r="J244" s="55">
        <v>71.0</v>
      </c>
      <c r="K244" s="56">
        <v>7.2</v>
      </c>
      <c r="L244" s="55">
        <v>9.0</v>
      </c>
      <c r="M244" s="58" t="s">
        <v>29</v>
      </c>
      <c r="N244" s="59"/>
      <c r="O244" s="60" t="s">
        <v>149</v>
      </c>
      <c r="P244" s="61"/>
    </row>
    <row r="245">
      <c r="A245" s="29" t="s">
        <v>331</v>
      </c>
      <c r="B245" s="30" t="s">
        <v>45</v>
      </c>
      <c r="C245" s="31" t="s">
        <v>26</v>
      </c>
      <c r="D245" s="32" t="str">
        <f t="shared" si="1"/>
        <v>Active</v>
      </c>
      <c r="E245" s="33">
        <v>45398.0</v>
      </c>
      <c r="F245" s="34"/>
      <c r="G245" s="36">
        <f t="shared" si="2"/>
        <v>29.66666667</v>
      </c>
      <c r="H245" s="37">
        <v>43000.0</v>
      </c>
      <c r="I245" s="36">
        <f t="shared" si="4"/>
        <v>6.566666667</v>
      </c>
      <c r="J245" s="38">
        <v>67.0</v>
      </c>
      <c r="K245" s="39">
        <v>5.9</v>
      </c>
      <c r="L245" s="38">
        <v>7.0</v>
      </c>
      <c r="M245" s="40" t="s">
        <v>29</v>
      </c>
      <c r="N245" s="41"/>
      <c r="O245" s="42" t="s">
        <v>34</v>
      </c>
      <c r="P245" s="43"/>
    </row>
    <row r="246">
      <c r="A246" s="44" t="s">
        <v>332</v>
      </c>
      <c r="B246" s="45" t="s">
        <v>45</v>
      </c>
      <c r="C246" s="46" t="s">
        <v>26</v>
      </c>
      <c r="D246" s="47" t="str">
        <f t="shared" si="1"/>
        <v>Active</v>
      </c>
      <c r="E246" s="48">
        <v>45398.0</v>
      </c>
      <c r="F246" s="49"/>
      <c r="G246" s="50">
        <f t="shared" si="2"/>
        <v>29.66666667</v>
      </c>
      <c r="H246" s="51">
        <v>44952.0</v>
      </c>
      <c r="I246" s="50">
        <f t="shared" si="4"/>
        <v>1.222222222</v>
      </c>
      <c r="J246" s="55">
        <v>71.0</v>
      </c>
      <c r="K246" s="56">
        <v>5.8</v>
      </c>
      <c r="L246" s="55">
        <v>3.0</v>
      </c>
      <c r="M246" s="58" t="s">
        <v>51</v>
      </c>
      <c r="N246" s="59"/>
      <c r="O246" s="60" t="s">
        <v>34</v>
      </c>
      <c r="P246" s="61"/>
    </row>
    <row r="247">
      <c r="A247" s="29" t="s">
        <v>333</v>
      </c>
      <c r="B247" s="30" t="s">
        <v>45</v>
      </c>
      <c r="C247" s="31" t="s">
        <v>26</v>
      </c>
      <c r="D247" s="32" t="str">
        <f t="shared" si="1"/>
        <v>Active</v>
      </c>
      <c r="E247" s="33">
        <v>45398.0</v>
      </c>
      <c r="F247" s="34"/>
      <c r="G247" s="36">
        <f t="shared" si="2"/>
        <v>29.66666667</v>
      </c>
      <c r="H247" s="37">
        <v>43277.0</v>
      </c>
      <c r="I247" s="36">
        <f t="shared" si="4"/>
        <v>5.805555556</v>
      </c>
      <c r="J247" s="38">
        <v>64.0</v>
      </c>
      <c r="K247" s="39">
        <v>5.8</v>
      </c>
      <c r="L247" s="38">
        <v>20.0</v>
      </c>
      <c r="M247" s="40" t="s">
        <v>95</v>
      </c>
      <c r="N247" s="41"/>
      <c r="O247" s="42" t="s">
        <v>34</v>
      </c>
      <c r="P247" s="43"/>
    </row>
    <row r="248">
      <c r="A248" s="44" t="s">
        <v>334</v>
      </c>
      <c r="B248" s="45" t="s">
        <v>25</v>
      </c>
      <c r="C248" s="46" t="s">
        <v>41</v>
      </c>
      <c r="D248" s="47" t="str">
        <f t="shared" si="1"/>
        <v>Active</v>
      </c>
      <c r="E248" s="48">
        <v>45398.0</v>
      </c>
      <c r="F248" s="49"/>
      <c r="G248" s="50">
        <f t="shared" si="2"/>
        <v>29.66666667</v>
      </c>
      <c r="H248" s="51">
        <v>37067.0</v>
      </c>
      <c r="I248" s="50">
        <f t="shared" si="4"/>
        <v>22.80833333</v>
      </c>
      <c r="J248" s="55">
        <v>66.0</v>
      </c>
      <c r="K248" s="56">
        <v>7.9</v>
      </c>
      <c r="L248" s="55">
        <v>8.0</v>
      </c>
      <c r="M248" s="58" t="s">
        <v>36</v>
      </c>
      <c r="N248" s="59" t="s">
        <v>61</v>
      </c>
      <c r="O248" s="60" t="s">
        <v>149</v>
      </c>
      <c r="P248" s="66"/>
    </row>
    <row r="249">
      <c r="A249" s="29" t="s">
        <v>335</v>
      </c>
      <c r="B249" s="30" t="s">
        <v>25</v>
      </c>
      <c r="C249" s="31" t="s">
        <v>41</v>
      </c>
      <c r="D249" s="32" t="str">
        <f t="shared" si="1"/>
        <v>Active</v>
      </c>
      <c r="E249" s="33">
        <v>45398.0</v>
      </c>
      <c r="F249" s="34"/>
      <c r="G249" s="36">
        <f t="shared" si="2"/>
        <v>29.66666667</v>
      </c>
      <c r="H249" s="37">
        <v>35010.0</v>
      </c>
      <c r="I249" s="36">
        <f t="shared" si="4"/>
        <v>28.44166667</v>
      </c>
      <c r="J249" s="38">
        <v>65.0</v>
      </c>
      <c r="K249" s="39">
        <v>7.7</v>
      </c>
      <c r="L249" s="38">
        <v>6.0</v>
      </c>
      <c r="M249" s="40" t="s">
        <v>31</v>
      </c>
      <c r="N249" s="41" t="s">
        <v>61</v>
      </c>
      <c r="O249" s="42" t="s">
        <v>149</v>
      </c>
      <c r="P249" s="67"/>
    </row>
    <row r="250">
      <c r="A250" s="44" t="s">
        <v>336</v>
      </c>
      <c r="B250" s="45" t="s">
        <v>25</v>
      </c>
      <c r="C250" s="46" t="s">
        <v>41</v>
      </c>
      <c r="D250" s="47" t="str">
        <f t="shared" si="1"/>
        <v>Active</v>
      </c>
      <c r="E250" s="48">
        <v>45398.0</v>
      </c>
      <c r="F250" s="49"/>
      <c r="G250" s="50">
        <f t="shared" si="2"/>
        <v>29.66666667</v>
      </c>
      <c r="H250" s="51">
        <v>36069.0</v>
      </c>
      <c r="I250" s="50">
        <f t="shared" si="4"/>
        <v>25.54166667</v>
      </c>
      <c r="J250" s="55">
        <v>67.0</v>
      </c>
      <c r="K250" s="56">
        <v>8.0</v>
      </c>
      <c r="L250" s="55">
        <v>7.0</v>
      </c>
      <c r="M250" s="58" t="s">
        <v>29</v>
      </c>
      <c r="N250" s="59" t="s">
        <v>61</v>
      </c>
      <c r="O250" s="60" t="s">
        <v>149</v>
      </c>
      <c r="P250" s="66"/>
    </row>
    <row r="251">
      <c r="A251" s="29" t="s">
        <v>337</v>
      </c>
      <c r="B251" s="30" t="s">
        <v>33</v>
      </c>
      <c r="C251" s="31" t="s">
        <v>26</v>
      </c>
      <c r="D251" s="32" t="str">
        <f t="shared" si="1"/>
        <v>Active</v>
      </c>
      <c r="E251" s="33">
        <v>45370.0</v>
      </c>
      <c r="F251" s="34"/>
      <c r="G251" s="36">
        <f t="shared" si="2"/>
        <v>30.56666667</v>
      </c>
      <c r="H251" s="37">
        <v>44350.0</v>
      </c>
      <c r="I251" s="36">
        <f t="shared" si="4"/>
        <v>2.794444444</v>
      </c>
      <c r="J251" s="38">
        <v>74.0</v>
      </c>
      <c r="K251" s="39">
        <v>2.0</v>
      </c>
      <c r="L251" s="38">
        <v>2.0</v>
      </c>
      <c r="M251" s="40" t="s">
        <v>136</v>
      </c>
      <c r="N251" s="41"/>
      <c r="O251" s="42" t="s">
        <v>272</v>
      </c>
      <c r="P251" s="43"/>
    </row>
    <row r="252">
      <c r="A252" s="44" t="s">
        <v>338</v>
      </c>
      <c r="B252" s="45" t="s">
        <v>25</v>
      </c>
      <c r="C252" s="46" t="s">
        <v>26</v>
      </c>
      <c r="D252" s="47" t="str">
        <f t="shared" si="1"/>
        <v>Active</v>
      </c>
      <c r="E252" s="48">
        <v>45370.0</v>
      </c>
      <c r="F252" s="49"/>
      <c r="G252" s="50">
        <f t="shared" si="2"/>
        <v>30.56666667</v>
      </c>
      <c r="H252" s="51">
        <v>44980.0</v>
      </c>
      <c r="I252" s="50">
        <f t="shared" si="4"/>
        <v>1.072222222</v>
      </c>
      <c r="J252" s="55">
        <v>60.0</v>
      </c>
      <c r="K252" s="56">
        <v>1.6</v>
      </c>
      <c r="L252" s="55">
        <v>15.0</v>
      </c>
      <c r="M252" s="58" t="s">
        <v>125</v>
      </c>
      <c r="N252" s="59"/>
      <c r="O252" s="60" t="s">
        <v>149</v>
      </c>
      <c r="P252" s="61"/>
    </row>
    <row r="253">
      <c r="A253" s="29" t="s">
        <v>339</v>
      </c>
      <c r="B253" s="30" t="s">
        <v>45</v>
      </c>
      <c r="C253" s="31" t="s">
        <v>26</v>
      </c>
      <c r="D253" s="32" t="str">
        <f t="shared" si="1"/>
        <v>Active</v>
      </c>
      <c r="E253" s="33">
        <v>45370.0</v>
      </c>
      <c r="F253" s="34"/>
      <c r="G253" s="36">
        <f t="shared" si="2"/>
        <v>30.56666667</v>
      </c>
      <c r="H253" s="37">
        <v>41079.0</v>
      </c>
      <c r="I253" s="36">
        <f t="shared" si="4"/>
        <v>11.75</v>
      </c>
      <c r="J253" s="38">
        <v>79.0</v>
      </c>
      <c r="K253" s="39">
        <v>7.0</v>
      </c>
      <c r="L253" s="38">
        <v>10.0</v>
      </c>
      <c r="M253" s="40" t="s">
        <v>29</v>
      </c>
      <c r="N253" s="41"/>
      <c r="O253" s="42" t="s">
        <v>149</v>
      </c>
      <c r="P253" s="43"/>
    </row>
    <row r="254">
      <c r="A254" s="44" t="s">
        <v>340</v>
      </c>
      <c r="B254" s="45" t="s">
        <v>25</v>
      </c>
      <c r="C254" s="46" t="s">
        <v>41</v>
      </c>
      <c r="D254" s="47" t="str">
        <f t="shared" si="1"/>
        <v>Active</v>
      </c>
      <c r="E254" s="48">
        <v>45370.0</v>
      </c>
      <c r="F254" s="49"/>
      <c r="G254" s="50">
        <f t="shared" si="2"/>
        <v>30.56666667</v>
      </c>
      <c r="H254" s="51">
        <v>35307.0</v>
      </c>
      <c r="I254" s="50">
        <f t="shared" si="4"/>
        <v>27.55277778</v>
      </c>
      <c r="J254" s="55">
        <v>78.0</v>
      </c>
      <c r="K254" s="56">
        <v>5.3</v>
      </c>
      <c r="L254" s="55">
        <v>6.0</v>
      </c>
      <c r="M254" s="58" t="s">
        <v>125</v>
      </c>
      <c r="N254" s="59" t="s">
        <v>61</v>
      </c>
      <c r="O254" s="60" t="s">
        <v>149</v>
      </c>
      <c r="P254" s="66"/>
    </row>
    <row r="255">
      <c r="A255" s="29" t="s">
        <v>341</v>
      </c>
      <c r="B255" s="30" t="s">
        <v>25</v>
      </c>
      <c r="C255" s="31" t="s">
        <v>41</v>
      </c>
      <c r="D255" s="32" t="str">
        <f t="shared" si="1"/>
        <v>Active</v>
      </c>
      <c r="E255" s="33">
        <v>45370.0</v>
      </c>
      <c r="F255" s="34"/>
      <c r="G255" s="36">
        <f t="shared" si="2"/>
        <v>30.56666667</v>
      </c>
      <c r="H255" s="37">
        <v>40617.0</v>
      </c>
      <c r="I255" s="36">
        <f t="shared" si="4"/>
        <v>13.01111111</v>
      </c>
      <c r="J255" s="38">
        <v>71.0</v>
      </c>
      <c r="K255" s="39">
        <v>8.0</v>
      </c>
      <c r="L255" s="38">
        <v>38.0</v>
      </c>
      <c r="M255" s="40" t="s">
        <v>42</v>
      </c>
      <c r="N255" s="41" t="s">
        <v>115</v>
      </c>
      <c r="O255" s="42" t="s">
        <v>149</v>
      </c>
      <c r="P255" s="67"/>
    </row>
    <row r="256">
      <c r="A256" s="44" t="s">
        <v>342</v>
      </c>
      <c r="B256" s="45" t="s">
        <v>25</v>
      </c>
      <c r="C256" s="46" t="s">
        <v>41</v>
      </c>
      <c r="D256" s="47" t="str">
        <f t="shared" si="1"/>
        <v>Active</v>
      </c>
      <c r="E256" s="48">
        <v>45370.0</v>
      </c>
      <c r="F256" s="49"/>
      <c r="G256" s="50">
        <f t="shared" si="2"/>
        <v>30.56666667</v>
      </c>
      <c r="H256" s="51">
        <v>40120.0</v>
      </c>
      <c r="I256" s="50">
        <f t="shared" si="4"/>
        <v>14.37777778</v>
      </c>
      <c r="J256" s="55">
        <v>71.0</v>
      </c>
      <c r="K256" s="56">
        <v>7.2</v>
      </c>
      <c r="L256" s="55">
        <v>8.0</v>
      </c>
      <c r="M256" s="58" t="s">
        <v>27</v>
      </c>
      <c r="N256" s="59" t="s">
        <v>115</v>
      </c>
      <c r="O256" s="60" t="s">
        <v>149</v>
      </c>
      <c r="P256" s="66"/>
    </row>
    <row r="257">
      <c r="A257" s="29" t="s">
        <v>343</v>
      </c>
      <c r="B257" s="30" t="s">
        <v>25</v>
      </c>
      <c r="C257" s="31" t="s">
        <v>26</v>
      </c>
      <c r="D257" s="32" t="str">
        <f t="shared" si="1"/>
        <v>Active</v>
      </c>
      <c r="E257" s="33">
        <v>45342.0</v>
      </c>
      <c r="F257" s="34"/>
      <c r="G257" s="36">
        <f t="shared" si="2"/>
        <v>31.53333333</v>
      </c>
      <c r="H257" s="37">
        <v>44364.0</v>
      </c>
      <c r="I257" s="36">
        <f t="shared" si="4"/>
        <v>2.675</v>
      </c>
      <c r="J257" s="38">
        <v>78.0</v>
      </c>
      <c r="K257" s="39">
        <v>6.5</v>
      </c>
      <c r="L257" s="38">
        <v>9.0</v>
      </c>
      <c r="M257" s="40" t="s">
        <v>344</v>
      </c>
      <c r="N257" s="41"/>
      <c r="O257" s="42" t="s">
        <v>149</v>
      </c>
      <c r="P257" s="43"/>
    </row>
    <row r="258">
      <c r="A258" s="44" t="s">
        <v>345</v>
      </c>
      <c r="B258" s="45" t="s">
        <v>45</v>
      </c>
      <c r="C258" s="46" t="s">
        <v>26</v>
      </c>
      <c r="D258" s="47" t="str">
        <f t="shared" si="1"/>
        <v>Active</v>
      </c>
      <c r="E258" s="48">
        <v>45342.0</v>
      </c>
      <c r="F258" s="49"/>
      <c r="G258" s="50">
        <f t="shared" si="2"/>
        <v>31.53333333</v>
      </c>
      <c r="H258" s="51">
        <v>42164.0</v>
      </c>
      <c r="I258" s="50">
        <f t="shared" si="4"/>
        <v>8.697222222</v>
      </c>
      <c r="J258" s="55">
        <v>70.0</v>
      </c>
      <c r="K258" s="56">
        <v>7.3</v>
      </c>
      <c r="L258" s="55">
        <v>11.0</v>
      </c>
      <c r="M258" s="58" t="s">
        <v>29</v>
      </c>
      <c r="N258" s="59"/>
      <c r="O258" s="60" t="s">
        <v>149</v>
      </c>
      <c r="P258" s="61"/>
    </row>
    <row r="259">
      <c r="A259" s="29" t="s">
        <v>346</v>
      </c>
      <c r="B259" s="30" t="s">
        <v>45</v>
      </c>
      <c r="C259" s="31" t="s">
        <v>26</v>
      </c>
      <c r="D259" s="32" t="str">
        <f t="shared" si="1"/>
        <v>Active</v>
      </c>
      <c r="E259" s="33">
        <v>45342.0</v>
      </c>
      <c r="F259" s="34"/>
      <c r="G259" s="36">
        <f t="shared" si="2"/>
        <v>31.53333333</v>
      </c>
      <c r="H259" s="37">
        <v>42801.0</v>
      </c>
      <c r="I259" s="36">
        <f t="shared" si="4"/>
        <v>6.952777778</v>
      </c>
      <c r="J259" s="38">
        <v>66.0</v>
      </c>
      <c r="K259" s="39">
        <v>6.3</v>
      </c>
      <c r="L259" s="38">
        <v>10.0</v>
      </c>
      <c r="M259" s="40" t="s">
        <v>168</v>
      </c>
      <c r="N259" s="41"/>
      <c r="O259" s="42" t="s">
        <v>149</v>
      </c>
      <c r="P259" s="43"/>
    </row>
    <row r="260">
      <c r="A260" s="44" t="s">
        <v>347</v>
      </c>
      <c r="B260" s="45" t="s">
        <v>25</v>
      </c>
      <c r="C260" s="46" t="s">
        <v>207</v>
      </c>
      <c r="D260" s="47" t="str">
        <f t="shared" si="1"/>
        <v>Active</v>
      </c>
      <c r="E260" s="48">
        <v>45342.0</v>
      </c>
      <c r="F260" s="49"/>
      <c r="G260" s="50">
        <f t="shared" si="2"/>
        <v>31.53333333</v>
      </c>
      <c r="H260" s="51">
        <v>44145.0</v>
      </c>
      <c r="I260" s="50">
        <f t="shared" si="4"/>
        <v>3.277777778</v>
      </c>
      <c r="J260" s="55">
        <v>80.0</v>
      </c>
      <c r="K260" s="56">
        <v>7.2</v>
      </c>
      <c r="L260" s="55">
        <v>61.0</v>
      </c>
      <c r="M260" s="58" t="s">
        <v>42</v>
      </c>
      <c r="N260" s="59"/>
      <c r="O260" s="60" t="s">
        <v>149</v>
      </c>
      <c r="P260" s="61"/>
    </row>
    <row r="261">
      <c r="A261" s="29" t="s">
        <v>348</v>
      </c>
      <c r="B261" s="30" t="s">
        <v>25</v>
      </c>
      <c r="C261" s="31" t="s">
        <v>41</v>
      </c>
      <c r="D261" s="32" t="str">
        <f t="shared" si="1"/>
        <v>Active</v>
      </c>
      <c r="E261" s="33">
        <v>45342.0</v>
      </c>
      <c r="F261" s="34"/>
      <c r="G261" s="36">
        <f t="shared" si="2"/>
        <v>31.53333333</v>
      </c>
      <c r="H261" s="37">
        <v>39889.0</v>
      </c>
      <c r="I261" s="36">
        <f t="shared" si="4"/>
        <v>14.925</v>
      </c>
      <c r="J261" s="38">
        <v>81.0</v>
      </c>
      <c r="K261" s="39">
        <v>7.9</v>
      </c>
      <c r="L261" s="38">
        <v>11.0</v>
      </c>
      <c r="M261" s="40" t="s">
        <v>31</v>
      </c>
      <c r="N261" s="41" t="s">
        <v>115</v>
      </c>
      <c r="O261" s="42" t="s">
        <v>149</v>
      </c>
      <c r="P261" s="67"/>
    </row>
    <row r="262">
      <c r="A262" s="44" t="s">
        <v>349</v>
      </c>
      <c r="B262" s="45" t="s">
        <v>25</v>
      </c>
      <c r="C262" s="46" t="s">
        <v>41</v>
      </c>
      <c r="D262" s="47" t="str">
        <f t="shared" si="1"/>
        <v>Active</v>
      </c>
      <c r="E262" s="48">
        <v>45342.0</v>
      </c>
      <c r="F262" s="49"/>
      <c r="G262" s="50">
        <f t="shared" si="2"/>
        <v>31.53333333</v>
      </c>
      <c r="H262" s="51">
        <v>35734.0</v>
      </c>
      <c r="I262" s="50">
        <f t="shared" si="4"/>
        <v>26.30555556</v>
      </c>
      <c r="J262" s="55">
        <v>77.0</v>
      </c>
      <c r="K262" s="56">
        <v>7.8</v>
      </c>
      <c r="L262" s="55">
        <v>6.0</v>
      </c>
      <c r="M262" s="58" t="s">
        <v>95</v>
      </c>
      <c r="N262" s="59" t="s">
        <v>61</v>
      </c>
      <c r="O262" s="60" t="s">
        <v>149</v>
      </c>
      <c r="P262" s="66"/>
    </row>
    <row r="263">
      <c r="A263" s="29" t="s">
        <v>350</v>
      </c>
      <c r="B263" s="30" t="s">
        <v>25</v>
      </c>
      <c r="C263" s="31" t="s">
        <v>26</v>
      </c>
      <c r="D263" s="32" t="str">
        <f t="shared" si="1"/>
        <v>Active</v>
      </c>
      <c r="E263" s="33">
        <v>45307.0</v>
      </c>
      <c r="F263" s="34"/>
      <c r="G263" s="36">
        <f t="shared" si="2"/>
        <v>32.66666667</v>
      </c>
      <c r="H263" s="37">
        <v>44826.0</v>
      </c>
      <c r="I263" s="36">
        <f t="shared" si="4"/>
        <v>1.316666667</v>
      </c>
      <c r="J263" s="38">
        <v>67.0</v>
      </c>
      <c r="K263" s="39">
        <v>6.1</v>
      </c>
      <c r="L263" s="38">
        <v>3.0</v>
      </c>
      <c r="M263" s="40" t="s">
        <v>125</v>
      </c>
      <c r="N263" s="41"/>
      <c r="O263" s="42" t="s">
        <v>149</v>
      </c>
      <c r="P263" s="43"/>
    </row>
    <row r="264">
      <c r="A264" s="44" t="s">
        <v>351</v>
      </c>
      <c r="B264" s="45" t="s">
        <v>45</v>
      </c>
      <c r="C264" s="46" t="s">
        <v>26</v>
      </c>
      <c r="D264" s="47" t="str">
        <f t="shared" si="1"/>
        <v>Active</v>
      </c>
      <c r="E264" s="48">
        <v>45307.0</v>
      </c>
      <c r="F264" s="49"/>
      <c r="G264" s="50">
        <f t="shared" si="2"/>
        <v>32.66666667</v>
      </c>
      <c r="H264" s="51">
        <v>41351.0</v>
      </c>
      <c r="I264" s="50">
        <f t="shared" si="4"/>
        <v>10.82777778</v>
      </c>
      <c r="J264" s="55">
        <v>80.0</v>
      </c>
      <c r="K264" s="56">
        <v>8.3</v>
      </c>
      <c r="L264" s="55">
        <v>16.0</v>
      </c>
      <c r="M264" s="58" t="s">
        <v>29</v>
      </c>
      <c r="N264" s="59"/>
      <c r="O264" s="60" t="s">
        <v>149</v>
      </c>
      <c r="P264" s="61"/>
    </row>
    <row r="265">
      <c r="A265" s="29" t="s">
        <v>352</v>
      </c>
      <c r="B265" s="30" t="s">
        <v>45</v>
      </c>
      <c r="C265" s="31" t="s">
        <v>26</v>
      </c>
      <c r="D265" s="32" t="str">
        <f t="shared" si="1"/>
        <v>Active</v>
      </c>
      <c r="E265" s="33">
        <v>45307.0</v>
      </c>
      <c r="F265" s="34"/>
      <c r="G265" s="36">
        <f t="shared" si="2"/>
        <v>32.66666667</v>
      </c>
      <c r="H265" s="37">
        <v>42710.0</v>
      </c>
      <c r="I265" s="36">
        <f t="shared" si="4"/>
        <v>7.111111111</v>
      </c>
      <c r="J265" s="38">
        <v>85.0</v>
      </c>
      <c r="K265" s="39">
        <v>8.5</v>
      </c>
      <c r="L265" s="38">
        <v>25.0</v>
      </c>
      <c r="M265" s="40" t="s">
        <v>103</v>
      </c>
      <c r="N265" s="41"/>
      <c r="O265" s="42" t="s">
        <v>149</v>
      </c>
      <c r="P265" s="43"/>
    </row>
    <row r="266">
      <c r="A266" s="44" t="s">
        <v>353</v>
      </c>
      <c r="B266" s="45" t="s">
        <v>45</v>
      </c>
      <c r="C266" s="46" t="s">
        <v>26</v>
      </c>
      <c r="D266" s="47" t="str">
        <f t="shared" si="1"/>
        <v>Active</v>
      </c>
      <c r="E266" s="48">
        <v>45307.0</v>
      </c>
      <c r="F266" s="49"/>
      <c r="G266" s="50">
        <f t="shared" si="2"/>
        <v>32.66666667</v>
      </c>
      <c r="H266" s="51">
        <v>44516.0</v>
      </c>
      <c r="I266" s="50">
        <f t="shared" si="4"/>
        <v>2.166666667</v>
      </c>
      <c r="J266" s="55">
        <v>69.0</v>
      </c>
      <c r="K266" s="56">
        <v>6.2</v>
      </c>
      <c r="L266" s="55">
        <v>18.0</v>
      </c>
      <c r="M266" s="58" t="s">
        <v>70</v>
      </c>
      <c r="N266" s="59"/>
      <c r="O266" s="60" t="s">
        <v>149</v>
      </c>
      <c r="P266" s="61"/>
    </row>
    <row r="267">
      <c r="A267" s="29" t="s">
        <v>354</v>
      </c>
      <c r="B267" s="30" t="s">
        <v>25</v>
      </c>
      <c r="C267" s="31" t="s">
        <v>41</v>
      </c>
      <c r="D267" s="32" t="str">
        <f t="shared" si="1"/>
        <v>Active</v>
      </c>
      <c r="E267" s="33">
        <v>45307.0</v>
      </c>
      <c r="F267" s="34"/>
      <c r="G267" s="36">
        <f t="shared" si="2"/>
        <v>32.66666667</v>
      </c>
      <c r="H267" s="37">
        <v>35734.0</v>
      </c>
      <c r="I267" s="36">
        <f t="shared" si="4"/>
        <v>26.21111111</v>
      </c>
      <c r="J267" s="38">
        <v>79.0</v>
      </c>
      <c r="K267" s="39">
        <v>7.9</v>
      </c>
      <c r="L267" s="38">
        <v>7.0</v>
      </c>
      <c r="M267" s="40" t="s">
        <v>95</v>
      </c>
      <c r="N267" s="41" t="s">
        <v>61</v>
      </c>
      <c r="O267" s="42" t="s">
        <v>149</v>
      </c>
      <c r="P267" s="67"/>
    </row>
    <row r="268">
      <c r="A268" s="44" t="s">
        <v>355</v>
      </c>
      <c r="B268" s="45" t="s">
        <v>25</v>
      </c>
      <c r="C268" s="46" t="s">
        <v>41</v>
      </c>
      <c r="D268" s="47" t="str">
        <f t="shared" si="1"/>
        <v>Active</v>
      </c>
      <c r="E268" s="48">
        <v>45307.0</v>
      </c>
      <c r="F268" s="49"/>
      <c r="G268" s="50">
        <f t="shared" si="2"/>
        <v>32.66666667</v>
      </c>
      <c r="H268" s="51">
        <v>36311.0</v>
      </c>
      <c r="I268" s="50">
        <f t="shared" si="4"/>
        <v>24.62777778</v>
      </c>
      <c r="J268" s="55">
        <v>62.0</v>
      </c>
      <c r="K268" s="56">
        <v>7.4</v>
      </c>
      <c r="L268" s="55">
        <v>8.0</v>
      </c>
      <c r="M268" s="58" t="s">
        <v>29</v>
      </c>
      <c r="N268" s="59" t="s">
        <v>61</v>
      </c>
      <c r="O268" s="60" t="s">
        <v>149</v>
      </c>
      <c r="P268" s="66"/>
    </row>
    <row r="269">
      <c r="A269" s="29" t="s">
        <v>356</v>
      </c>
      <c r="B269" s="30" t="s">
        <v>25</v>
      </c>
      <c r="C269" s="31" t="s">
        <v>26</v>
      </c>
      <c r="D269" s="32" t="str">
        <f t="shared" si="1"/>
        <v>Active</v>
      </c>
      <c r="E269" s="33">
        <v>45279.0</v>
      </c>
      <c r="F269" s="34"/>
      <c r="G269" s="36">
        <f t="shared" si="2"/>
        <v>33.56666667</v>
      </c>
      <c r="H269" s="37">
        <v>44691.0</v>
      </c>
      <c r="I269" s="36">
        <f t="shared" si="4"/>
        <v>1.608333333</v>
      </c>
      <c r="J269" s="38">
        <v>73.0</v>
      </c>
      <c r="K269" s="39">
        <v>4.4</v>
      </c>
      <c r="L269" s="38">
        <v>16.0</v>
      </c>
      <c r="M269" s="40" t="s">
        <v>222</v>
      </c>
      <c r="N269" s="41"/>
      <c r="O269" s="42" t="s">
        <v>149</v>
      </c>
      <c r="P269" s="43"/>
    </row>
    <row r="270">
      <c r="A270" s="44" t="s">
        <v>357</v>
      </c>
      <c r="B270" s="45" t="s">
        <v>25</v>
      </c>
      <c r="C270" s="46" t="s">
        <v>41</v>
      </c>
      <c r="D270" s="47" t="str">
        <f t="shared" si="1"/>
        <v>Active</v>
      </c>
      <c r="E270" s="48">
        <v>45279.0</v>
      </c>
      <c r="F270" s="49"/>
      <c r="G270" s="50">
        <f t="shared" si="2"/>
        <v>33.56666667</v>
      </c>
      <c r="H270" s="51">
        <v>36795.0</v>
      </c>
      <c r="I270" s="50">
        <f t="shared" si="4"/>
        <v>23.23055556</v>
      </c>
      <c r="J270" s="55">
        <v>54.0</v>
      </c>
      <c r="K270" s="56">
        <v>8.3</v>
      </c>
      <c r="L270" s="55">
        <v>7.0</v>
      </c>
      <c r="M270" s="58" t="s">
        <v>29</v>
      </c>
      <c r="N270" s="59" t="s">
        <v>61</v>
      </c>
      <c r="O270" s="60" t="s">
        <v>272</v>
      </c>
      <c r="P270" s="66"/>
    </row>
    <row r="271">
      <c r="A271" s="29" t="s">
        <v>358</v>
      </c>
      <c r="B271" s="30" t="s">
        <v>25</v>
      </c>
      <c r="C271" s="31" t="s">
        <v>41</v>
      </c>
      <c r="D271" s="32" t="str">
        <f t="shared" si="1"/>
        <v>Active</v>
      </c>
      <c r="E271" s="33">
        <v>45279.0</v>
      </c>
      <c r="F271" s="34"/>
      <c r="G271" s="36">
        <f t="shared" si="2"/>
        <v>33.56666667</v>
      </c>
      <c r="H271" s="37">
        <v>39042.0</v>
      </c>
      <c r="I271" s="36">
        <f t="shared" si="4"/>
        <v>17.07777778</v>
      </c>
      <c r="J271" s="38">
        <v>69.0</v>
      </c>
      <c r="K271" s="39">
        <v>2.3</v>
      </c>
      <c r="L271" s="38">
        <v>6.0</v>
      </c>
      <c r="M271" s="40" t="s">
        <v>103</v>
      </c>
      <c r="N271" s="41" t="s">
        <v>43</v>
      </c>
      <c r="O271" s="42" t="s">
        <v>272</v>
      </c>
      <c r="P271" s="67"/>
    </row>
    <row r="272">
      <c r="A272" s="44" t="s">
        <v>359</v>
      </c>
      <c r="B272" s="45" t="s">
        <v>25</v>
      </c>
      <c r="C272" s="46" t="s">
        <v>41</v>
      </c>
      <c r="D272" s="47" t="str">
        <f t="shared" si="1"/>
        <v>Active</v>
      </c>
      <c r="E272" s="48">
        <v>45279.0</v>
      </c>
      <c r="F272" s="49"/>
      <c r="G272" s="50">
        <f t="shared" si="2"/>
        <v>33.56666667</v>
      </c>
      <c r="H272" s="51">
        <v>39364.0</v>
      </c>
      <c r="I272" s="50">
        <f t="shared" si="4"/>
        <v>16.19444444</v>
      </c>
      <c r="J272" s="55">
        <v>70.0</v>
      </c>
      <c r="K272" s="56">
        <v>2.9</v>
      </c>
      <c r="L272" s="55">
        <v>7.0</v>
      </c>
      <c r="M272" s="58" t="s">
        <v>103</v>
      </c>
      <c r="N272" s="59" t="s">
        <v>43</v>
      </c>
      <c r="O272" s="60" t="s">
        <v>34</v>
      </c>
      <c r="P272" s="66"/>
    </row>
    <row r="273">
      <c r="A273" s="29" t="s">
        <v>360</v>
      </c>
      <c r="B273" s="30" t="s">
        <v>45</v>
      </c>
      <c r="C273" s="31" t="s">
        <v>26</v>
      </c>
      <c r="D273" s="32" t="str">
        <f t="shared" si="1"/>
        <v>Active</v>
      </c>
      <c r="E273" s="33">
        <v>45251.0</v>
      </c>
      <c r="F273" s="34"/>
      <c r="G273" s="36">
        <f t="shared" si="2"/>
        <v>34.5</v>
      </c>
      <c r="H273" s="37">
        <v>43256.0</v>
      </c>
      <c r="I273" s="36">
        <f t="shared" si="4"/>
        <v>5.461111111</v>
      </c>
      <c r="J273" s="38">
        <v>70.0</v>
      </c>
      <c r="K273" s="39">
        <v>7.3</v>
      </c>
      <c r="L273" s="38">
        <v>23.0</v>
      </c>
      <c r="M273" s="40" t="s">
        <v>103</v>
      </c>
      <c r="N273" s="41"/>
      <c r="O273" s="42" t="s">
        <v>149</v>
      </c>
      <c r="P273" s="43"/>
    </row>
    <row r="274">
      <c r="A274" s="44" t="s">
        <v>361</v>
      </c>
      <c r="B274" s="45" t="s">
        <v>25</v>
      </c>
      <c r="C274" s="46" t="s">
        <v>41</v>
      </c>
      <c r="D274" s="47" t="str">
        <f t="shared" si="1"/>
        <v>Active</v>
      </c>
      <c r="E274" s="48">
        <v>45251.0</v>
      </c>
      <c r="F274" s="49"/>
      <c r="G274" s="50">
        <f t="shared" si="2"/>
        <v>34.5</v>
      </c>
      <c r="H274" s="51">
        <v>36433.0</v>
      </c>
      <c r="I274" s="50">
        <f t="shared" si="4"/>
        <v>24.14166667</v>
      </c>
      <c r="J274" s="55">
        <v>89.0</v>
      </c>
      <c r="K274" s="56">
        <v>7.7</v>
      </c>
      <c r="L274" s="55">
        <v>43.0</v>
      </c>
      <c r="M274" s="58" t="s">
        <v>42</v>
      </c>
      <c r="N274" s="59" t="s">
        <v>61</v>
      </c>
      <c r="O274" s="60" t="s">
        <v>149</v>
      </c>
      <c r="P274" s="66"/>
    </row>
    <row r="275">
      <c r="A275" s="29" t="s">
        <v>362</v>
      </c>
      <c r="B275" s="30" t="s">
        <v>25</v>
      </c>
      <c r="C275" s="31" t="s">
        <v>41</v>
      </c>
      <c r="D275" s="32" t="str">
        <f t="shared" si="1"/>
        <v>Active</v>
      </c>
      <c r="E275" s="33">
        <v>45251.0</v>
      </c>
      <c r="F275" s="34"/>
      <c r="G275" s="36">
        <f t="shared" si="2"/>
        <v>34.5</v>
      </c>
      <c r="H275" s="37">
        <v>35764.0</v>
      </c>
      <c r="I275" s="36">
        <f t="shared" si="4"/>
        <v>25.975</v>
      </c>
      <c r="J275" s="76"/>
      <c r="K275" s="39">
        <v>7.6</v>
      </c>
      <c r="L275" s="38">
        <v>6.0</v>
      </c>
      <c r="M275" s="40" t="s">
        <v>95</v>
      </c>
      <c r="N275" s="41" t="s">
        <v>61</v>
      </c>
      <c r="O275" s="42" t="s">
        <v>149</v>
      </c>
      <c r="P275" s="67"/>
    </row>
    <row r="276">
      <c r="A276" s="44" t="s">
        <v>363</v>
      </c>
      <c r="B276" s="45" t="s">
        <v>25</v>
      </c>
      <c r="C276" s="46" t="s">
        <v>41</v>
      </c>
      <c r="D276" s="47" t="str">
        <f t="shared" si="1"/>
        <v>Active</v>
      </c>
      <c r="E276" s="48">
        <v>45251.0</v>
      </c>
      <c r="F276" s="49"/>
      <c r="G276" s="50">
        <f t="shared" si="2"/>
        <v>34.5</v>
      </c>
      <c r="H276" s="51">
        <v>39959.0</v>
      </c>
      <c r="I276" s="50">
        <f t="shared" si="4"/>
        <v>14.48611111</v>
      </c>
      <c r="J276" s="55">
        <v>65.0</v>
      </c>
      <c r="K276" s="56">
        <v>6.8</v>
      </c>
      <c r="L276" s="55">
        <v>5.0</v>
      </c>
      <c r="M276" s="58" t="s">
        <v>29</v>
      </c>
      <c r="N276" s="59" t="s">
        <v>115</v>
      </c>
      <c r="O276" s="60" t="s">
        <v>149</v>
      </c>
      <c r="P276" s="66"/>
    </row>
    <row r="277">
      <c r="A277" s="29" t="s">
        <v>364</v>
      </c>
      <c r="B277" s="30" t="s">
        <v>45</v>
      </c>
      <c r="C277" s="31" t="s">
        <v>41</v>
      </c>
      <c r="D277" s="32" t="str">
        <f t="shared" si="1"/>
        <v>Active</v>
      </c>
      <c r="E277" s="33">
        <v>45251.0</v>
      </c>
      <c r="F277" s="34"/>
      <c r="G277" s="36">
        <f t="shared" si="2"/>
        <v>34.5</v>
      </c>
      <c r="H277" s="37">
        <v>37279.0</v>
      </c>
      <c r="I277" s="36">
        <f t="shared" si="4"/>
        <v>21.82777778</v>
      </c>
      <c r="J277" s="38">
        <v>67.0</v>
      </c>
      <c r="K277" s="39">
        <v>8.0</v>
      </c>
      <c r="L277" s="38">
        <v>2.0</v>
      </c>
      <c r="M277" s="40" t="s">
        <v>82</v>
      </c>
      <c r="N277" s="41" t="s">
        <v>43</v>
      </c>
      <c r="O277" s="42" t="s">
        <v>149</v>
      </c>
      <c r="P277" s="67"/>
    </row>
    <row r="278">
      <c r="A278" s="44" t="s">
        <v>365</v>
      </c>
      <c r="B278" s="45" t="s">
        <v>45</v>
      </c>
      <c r="C278" s="46" t="s">
        <v>26</v>
      </c>
      <c r="D278" s="47" t="str">
        <f t="shared" si="1"/>
        <v>Active</v>
      </c>
      <c r="E278" s="48">
        <v>45218.0</v>
      </c>
      <c r="F278" s="49"/>
      <c r="G278" s="50">
        <f t="shared" si="2"/>
        <v>35.56666667</v>
      </c>
      <c r="H278" s="51">
        <v>43607.0</v>
      </c>
      <c r="I278" s="50">
        <f t="shared" si="4"/>
        <v>4.408333333</v>
      </c>
      <c r="J278" s="55">
        <v>60.0</v>
      </c>
      <c r="K278" s="77"/>
      <c r="L278" s="78"/>
      <c r="M278" s="58" t="s">
        <v>70</v>
      </c>
      <c r="N278" s="59"/>
      <c r="O278" s="60" t="s">
        <v>149</v>
      </c>
      <c r="P278" s="61"/>
    </row>
    <row r="279">
      <c r="A279" s="29" t="s">
        <v>366</v>
      </c>
      <c r="B279" s="30" t="s">
        <v>45</v>
      </c>
      <c r="C279" s="31" t="s">
        <v>26</v>
      </c>
      <c r="D279" s="32" t="str">
        <f t="shared" si="1"/>
        <v>Active</v>
      </c>
      <c r="E279" s="33">
        <v>45216.0</v>
      </c>
      <c r="F279" s="34"/>
      <c r="G279" s="36">
        <f t="shared" si="2"/>
        <v>35.63333333</v>
      </c>
      <c r="H279" s="37">
        <v>41989.0</v>
      </c>
      <c r="I279" s="36">
        <f t="shared" si="4"/>
        <v>8.836111111</v>
      </c>
      <c r="J279" s="38">
        <v>77.0</v>
      </c>
      <c r="K279" s="39">
        <v>6.7</v>
      </c>
      <c r="L279" s="38">
        <v>91.0</v>
      </c>
      <c r="M279" s="40" t="s">
        <v>70</v>
      </c>
      <c r="N279" s="41"/>
      <c r="O279" s="42" t="s">
        <v>149</v>
      </c>
      <c r="P279" s="43"/>
    </row>
    <row r="280">
      <c r="A280" s="44" t="s">
        <v>367</v>
      </c>
      <c r="B280" s="45" t="s">
        <v>45</v>
      </c>
      <c r="C280" s="46" t="s">
        <v>26</v>
      </c>
      <c r="D280" s="47" t="str">
        <f t="shared" si="1"/>
        <v>Active</v>
      </c>
      <c r="E280" s="48">
        <v>45216.0</v>
      </c>
      <c r="F280" s="49"/>
      <c r="G280" s="50">
        <f t="shared" si="2"/>
        <v>35.63333333</v>
      </c>
      <c r="H280" s="51">
        <v>42849.0</v>
      </c>
      <c r="I280" s="50">
        <f t="shared" si="4"/>
        <v>6.480555556</v>
      </c>
      <c r="J280" s="55">
        <v>68.0</v>
      </c>
      <c r="K280" s="56">
        <v>7.0</v>
      </c>
      <c r="L280" s="55">
        <v>8.0</v>
      </c>
      <c r="M280" s="58" t="s">
        <v>36</v>
      </c>
      <c r="N280" s="59"/>
      <c r="O280" s="60" t="s">
        <v>149</v>
      </c>
      <c r="P280" s="61"/>
    </row>
    <row r="281">
      <c r="A281" s="29" t="s">
        <v>368</v>
      </c>
      <c r="B281" s="30" t="s">
        <v>25</v>
      </c>
      <c r="C281" s="31" t="s">
        <v>26</v>
      </c>
      <c r="D281" s="32" t="str">
        <f t="shared" si="1"/>
        <v>Active</v>
      </c>
      <c r="E281" s="33">
        <v>45216.0</v>
      </c>
      <c r="F281" s="34"/>
      <c r="G281" s="36">
        <f t="shared" si="2"/>
        <v>35.63333333</v>
      </c>
      <c r="H281" s="37">
        <v>44406.0</v>
      </c>
      <c r="I281" s="36">
        <f t="shared" si="4"/>
        <v>2.216666667</v>
      </c>
      <c r="J281" s="38">
        <v>79.0</v>
      </c>
      <c r="K281" s="39">
        <v>6.8</v>
      </c>
      <c r="L281" s="38">
        <v>5.0</v>
      </c>
      <c r="M281" s="40" t="s">
        <v>42</v>
      </c>
      <c r="N281" s="41"/>
      <c r="O281" s="42" t="s">
        <v>149</v>
      </c>
      <c r="P281" s="43"/>
    </row>
    <row r="282">
      <c r="A282" s="44" t="s">
        <v>369</v>
      </c>
      <c r="B282" s="45" t="s">
        <v>25</v>
      </c>
      <c r="C282" s="46" t="s">
        <v>26</v>
      </c>
      <c r="D282" s="47" t="str">
        <f t="shared" si="1"/>
        <v>Active</v>
      </c>
      <c r="E282" s="48">
        <v>45216.0</v>
      </c>
      <c r="F282" s="49"/>
      <c r="G282" s="50">
        <f t="shared" si="2"/>
        <v>35.63333333</v>
      </c>
      <c r="H282" s="51">
        <v>44621.0</v>
      </c>
      <c r="I282" s="50">
        <f t="shared" si="4"/>
        <v>1.627777778</v>
      </c>
      <c r="J282" s="55">
        <v>81.0</v>
      </c>
      <c r="K282" s="56">
        <v>6.9</v>
      </c>
      <c r="L282" s="55">
        <v>6.0</v>
      </c>
      <c r="M282" s="58" t="s">
        <v>29</v>
      </c>
      <c r="N282" s="59"/>
      <c r="O282" s="60" t="s">
        <v>149</v>
      </c>
      <c r="P282" s="61"/>
    </row>
    <row r="283">
      <c r="A283" s="29" t="s">
        <v>370</v>
      </c>
      <c r="B283" s="30" t="s">
        <v>25</v>
      </c>
      <c r="C283" s="31" t="s">
        <v>41</v>
      </c>
      <c r="D283" s="32" t="str">
        <f t="shared" si="1"/>
        <v>Active</v>
      </c>
      <c r="E283" s="33">
        <v>45216.0</v>
      </c>
      <c r="F283" s="34"/>
      <c r="G283" s="36">
        <f t="shared" si="2"/>
        <v>35.63333333</v>
      </c>
      <c r="H283" s="37">
        <v>38734.0</v>
      </c>
      <c r="I283" s="36">
        <f t="shared" si="4"/>
        <v>17.75</v>
      </c>
      <c r="J283" s="38">
        <v>51.0</v>
      </c>
      <c r="K283" s="39">
        <v>5.7</v>
      </c>
      <c r="L283" s="38">
        <v>3.0</v>
      </c>
      <c r="M283" s="40" t="s">
        <v>51</v>
      </c>
      <c r="N283" s="41" t="s">
        <v>115</v>
      </c>
      <c r="O283" s="42" t="s">
        <v>149</v>
      </c>
      <c r="P283" s="67"/>
    </row>
    <row r="284">
      <c r="A284" s="44" t="s">
        <v>371</v>
      </c>
      <c r="B284" s="45" t="s">
        <v>25</v>
      </c>
      <c r="C284" s="46" t="s">
        <v>41</v>
      </c>
      <c r="D284" s="47" t="str">
        <f t="shared" si="1"/>
        <v>Active</v>
      </c>
      <c r="E284" s="48">
        <v>45216.0</v>
      </c>
      <c r="F284" s="49"/>
      <c r="G284" s="50">
        <f t="shared" si="2"/>
        <v>35.63333333</v>
      </c>
      <c r="H284" s="51">
        <v>36152.0</v>
      </c>
      <c r="I284" s="50">
        <f t="shared" si="4"/>
        <v>24.81666667</v>
      </c>
      <c r="J284" s="78"/>
      <c r="K284" s="77"/>
      <c r="L284" s="55">
        <v>2.0</v>
      </c>
      <c r="M284" s="58" t="s">
        <v>136</v>
      </c>
      <c r="N284" s="59" t="s">
        <v>115</v>
      </c>
      <c r="O284" s="60" t="s">
        <v>34</v>
      </c>
      <c r="P284" s="66"/>
    </row>
    <row r="285">
      <c r="A285" s="29" t="s">
        <v>372</v>
      </c>
      <c r="B285" s="30" t="s">
        <v>25</v>
      </c>
      <c r="C285" s="31" t="s">
        <v>41</v>
      </c>
      <c r="D285" s="32" t="str">
        <f t="shared" si="1"/>
        <v>Active</v>
      </c>
      <c r="E285" s="33">
        <v>45216.0</v>
      </c>
      <c r="F285" s="34"/>
      <c r="G285" s="36">
        <f t="shared" si="2"/>
        <v>35.63333333</v>
      </c>
      <c r="H285" s="37">
        <v>40057.0</v>
      </c>
      <c r="I285" s="36">
        <f t="shared" si="4"/>
        <v>14.12777778</v>
      </c>
      <c r="J285" s="38">
        <v>80.0</v>
      </c>
      <c r="K285" s="39">
        <v>7.0</v>
      </c>
      <c r="L285" s="38">
        <v>4.0</v>
      </c>
      <c r="M285" s="40" t="s">
        <v>114</v>
      </c>
      <c r="N285" s="41" t="s">
        <v>115</v>
      </c>
      <c r="O285" s="42" t="s">
        <v>149</v>
      </c>
      <c r="P285" s="67"/>
    </row>
    <row r="286">
      <c r="A286" s="44" t="s">
        <v>373</v>
      </c>
      <c r="B286" s="45" t="s">
        <v>25</v>
      </c>
      <c r="C286" s="46" t="s">
        <v>41</v>
      </c>
      <c r="D286" s="47" t="str">
        <f t="shared" si="1"/>
        <v>Active</v>
      </c>
      <c r="E286" s="48">
        <v>45216.0</v>
      </c>
      <c r="F286" s="49"/>
      <c r="G286" s="50">
        <f t="shared" si="2"/>
        <v>35.63333333</v>
      </c>
      <c r="H286" s="51">
        <v>40113.0</v>
      </c>
      <c r="I286" s="50">
        <f t="shared" si="4"/>
        <v>13.97222222</v>
      </c>
      <c r="J286" s="55">
        <v>82.0</v>
      </c>
      <c r="K286" s="56">
        <v>7.5</v>
      </c>
      <c r="L286" s="55">
        <v>8.0</v>
      </c>
      <c r="M286" s="58" t="s">
        <v>114</v>
      </c>
      <c r="N286" s="59" t="s">
        <v>115</v>
      </c>
      <c r="O286" s="60" t="s">
        <v>149</v>
      </c>
      <c r="P286" s="66"/>
    </row>
    <row r="287">
      <c r="A287" s="29" t="s">
        <v>374</v>
      </c>
      <c r="B287" s="30" t="s">
        <v>33</v>
      </c>
      <c r="C287" s="31" t="s">
        <v>26</v>
      </c>
      <c r="D287" s="32" t="str">
        <f t="shared" si="1"/>
        <v>Active</v>
      </c>
      <c r="E287" s="33">
        <v>45188.0</v>
      </c>
      <c r="F287" s="34"/>
      <c r="G287" s="36">
        <f t="shared" si="2"/>
        <v>36.56666667</v>
      </c>
      <c r="H287" s="37">
        <v>44691.0</v>
      </c>
      <c r="I287" s="36">
        <f t="shared" si="4"/>
        <v>1.358333333</v>
      </c>
      <c r="J287" s="38">
        <v>82.0</v>
      </c>
      <c r="K287" s="39">
        <v>6.3</v>
      </c>
      <c r="L287" s="38">
        <v>11.0</v>
      </c>
      <c r="M287" s="40" t="s">
        <v>36</v>
      </c>
      <c r="N287" s="41"/>
      <c r="O287" s="42" t="s">
        <v>272</v>
      </c>
      <c r="P287" s="43"/>
    </row>
    <row r="288">
      <c r="A288" s="44" t="s">
        <v>375</v>
      </c>
      <c r="B288" s="45" t="s">
        <v>45</v>
      </c>
      <c r="C288" s="46" t="s">
        <v>26</v>
      </c>
      <c r="D288" s="47" t="str">
        <f t="shared" si="1"/>
        <v>Active</v>
      </c>
      <c r="E288" s="48">
        <v>45188.0</v>
      </c>
      <c r="F288" s="49"/>
      <c r="G288" s="50">
        <f t="shared" si="2"/>
        <v>36.56666667</v>
      </c>
      <c r="H288" s="51">
        <v>43732.0</v>
      </c>
      <c r="I288" s="50">
        <f t="shared" si="4"/>
        <v>3.986111111</v>
      </c>
      <c r="J288" s="55">
        <v>52.0</v>
      </c>
      <c r="K288" s="56">
        <v>4.0</v>
      </c>
      <c r="L288" s="55">
        <v>16.0</v>
      </c>
      <c r="M288" s="58" t="s">
        <v>29</v>
      </c>
      <c r="N288" s="59"/>
      <c r="O288" s="60" t="s">
        <v>149</v>
      </c>
      <c r="P288" s="61"/>
    </row>
    <row r="289">
      <c r="A289" s="29" t="s">
        <v>376</v>
      </c>
      <c r="B289" s="30" t="s">
        <v>45</v>
      </c>
      <c r="C289" s="31" t="s">
        <v>26</v>
      </c>
      <c r="D289" s="32" t="str">
        <f t="shared" si="1"/>
        <v>Active</v>
      </c>
      <c r="E289" s="33">
        <v>45188.0</v>
      </c>
      <c r="F289" s="34"/>
      <c r="G289" s="36">
        <f t="shared" si="2"/>
        <v>36.56666667</v>
      </c>
      <c r="H289" s="37">
        <v>44000.0</v>
      </c>
      <c r="I289" s="36">
        <f t="shared" si="4"/>
        <v>3.252777778</v>
      </c>
      <c r="J289" s="38">
        <v>63.0</v>
      </c>
      <c r="K289" s="39">
        <v>6.1</v>
      </c>
      <c r="L289" s="38">
        <v>9.0</v>
      </c>
      <c r="M289" s="40" t="s">
        <v>29</v>
      </c>
      <c r="N289" s="41"/>
      <c r="O289" s="42" t="s">
        <v>149</v>
      </c>
      <c r="P289" s="43"/>
    </row>
    <row r="290">
      <c r="A290" s="44" t="s">
        <v>377</v>
      </c>
      <c r="B290" s="45" t="s">
        <v>25</v>
      </c>
      <c r="C290" s="46" t="s">
        <v>26</v>
      </c>
      <c r="D290" s="47" t="str">
        <f t="shared" si="1"/>
        <v>Active</v>
      </c>
      <c r="E290" s="48">
        <v>45188.0</v>
      </c>
      <c r="F290" s="49"/>
      <c r="G290" s="50">
        <f t="shared" si="2"/>
        <v>36.56666667</v>
      </c>
      <c r="H290" s="51">
        <v>44173.0</v>
      </c>
      <c r="I290" s="50">
        <f t="shared" si="4"/>
        <v>2.780555556</v>
      </c>
      <c r="J290" s="55">
        <v>73.0</v>
      </c>
      <c r="K290" s="56">
        <v>7.3</v>
      </c>
      <c r="L290" s="55">
        <v>6.0</v>
      </c>
      <c r="M290" s="58" t="s">
        <v>29</v>
      </c>
      <c r="N290" s="59"/>
      <c r="O290" s="60" t="s">
        <v>149</v>
      </c>
      <c r="P290" s="61"/>
    </row>
    <row r="291">
      <c r="A291" s="29" t="s">
        <v>378</v>
      </c>
      <c r="B291" s="30" t="s">
        <v>25</v>
      </c>
      <c r="C291" s="31" t="s">
        <v>26</v>
      </c>
      <c r="D291" s="32" t="str">
        <f t="shared" si="1"/>
        <v>Active</v>
      </c>
      <c r="E291" s="33">
        <v>45188.0</v>
      </c>
      <c r="F291" s="34"/>
      <c r="G291" s="36">
        <f t="shared" si="2"/>
        <v>36.56666667</v>
      </c>
      <c r="H291" s="37">
        <v>44421.0</v>
      </c>
      <c r="I291" s="36">
        <f t="shared" si="4"/>
        <v>2.1</v>
      </c>
      <c r="J291" s="38">
        <v>65.0</v>
      </c>
      <c r="K291" s="39">
        <v>4.0</v>
      </c>
      <c r="L291" s="38">
        <v>2.0</v>
      </c>
      <c r="M291" s="40" t="s">
        <v>29</v>
      </c>
      <c r="N291" s="41"/>
      <c r="O291" s="42" t="s">
        <v>149</v>
      </c>
      <c r="P291" s="43"/>
    </row>
    <row r="292">
      <c r="A292" s="44" t="s">
        <v>379</v>
      </c>
      <c r="B292" s="45" t="s">
        <v>25</v>
      </c>
      <c r="C292" s="46" t="s">
        <v>26</v>
      </c>
      <c r="D292" s="47" t="str">
        <f t="shared" si="1"/>
        <v>Active</v>
      </c>
      <c r="E292" s="48">
        <v>45188.0</v>
      </c>
      <c r="F292" s="49"/>
      <c r="G292" s="50">
        <f t="shared" si="2"/>
        <v>36.56666667</v>
      </c>
      <c r="H292" s="51">
        <v>44263.0</v>
      </c>
      <c r="I292" s="50">
        <f t="shared" si="4"/>
        <v>2.530555556</v>
      </c>
      <c r="J292" s="55">
        <v>70.0</v>
      </c>
      <c r="K292" s="56">
        <v>7.0</v>
      </c>
      <c r="L292" s="55">
        <v>6.0</v>
      </c>
      <c r="M292" s="58" t="s">
        <v>112</v>
      </c>
      <c r="N292" s="59"/>
      <c r="O292" s="60" t="s">
        <v>149</v>
      </c>
      <c r="P292" s="61"/>
    </row>
    <row r="293">
      <c r="A293" s="29" t="s">
        <v>380</v>
      </c>
      <c r="B293" s="30" t="s">
        <v>25</v>
      </c>
      <c r="C293" s="31" t="s">
        <v>26</v>
      </c>
      <c r="D293" s="32" t="str">
        <f t="shared" si="1"/>
        <v>Active</v>
      </c>
      <c r="E293" s="33">
        <v>45153.0</v>
      </c>
      <c r="F293" s="34"/>
      <c r="G293" s="36">
        <f t="shared" si="2"/>
        <v>37.7</v>
      </c>
      <c r="H293" s="37">
        <v>44614.0</v>
      </c>
      <c r="I293" s="36">
        <f t="shared" si="4"/>
        <v>1.480555556</v>
      </c>
      <c r="J293" s="38">
        <v>87.0</v>
      </c>
      <c r="K293" s="39">
        <v>7.9</v>
      </c>
      <c r="L293" s="38">
        <v>12.0</v>
      </c>
      <c r="M293" s="40" t="s">
        <v>31</v>
      </c>
      <c r="N293" s="41"/>
      <c r="O293" s="42" t="s">
        <v>34</v>
      </c>
      <c r="P293" s="43"/>
    </row>
    <row r="294">
      <c r="A294" s="44" t="s">
        <v>381</v>
      </c>
      <c r="B294" s="45" t="s">
        <v>25</v>
      </c>
      <c r="C294" s="46" t="s">
        <v>26</v>
      </c>
      <c r="D294" s="47" t="str">
        <f t="shared" si="1"/>
        <v>Active</v>
      </c>
      <c r="E294" s="48">
        <v>45153.0</v>
      </c>
      <c r="F294" s="49"/>
      <c r="G294" s="50">
        <f t="shared" si="2"/>
        <v>37.7</v>
      </c>
      <c r="H294" s="51">
        <v>44631.0</v>
      </c>
      <c r="I294" s="50">
        <f t="shared" si="4"/>
        <v>1.427777778</v>
      </c>
      <c r="J294" s="55">
        <v>63.0</v>
      </c>
      <c r="K294" s="56">
        <v>1.0</v>
      </c>
      <c r="L294" s="55">
        <v>5.0</v>
      </c>
      <c r="M294" s="58" t="s">
        <v>27</v>
      </c>
      <c r="N294" s="59"/>
      <c r="O294" s="60" t="s">
        <v>149</v>
      </c>
      <c r="P294" s="61"/>
    </row>
    <row r="295">
      <c r="A295" s="29" t="s">
        <v>382</v>
      </c>
      <c r="B295" s="30" t="s">
        <v>25</v>
      </c>
      <c r="C295" s="31" t="s">
        <v>26</v>
      </c>
      <c r="D295" s="32" t="str">
        <f t="shared" si="1"/>
        <v>Active</v>
      </c>
      <c r="E295" s="33">
        <v>45153.0</v>
      </c>
      <c r="F295" s="34"/>
      <c r="G295" s="36">
        <f t="shared" si="2"/>
        <v>37.7</v>
      </c>
      <c r="H295" s="37">
        <v>44498.0</v>
      </c>
      <c r="I295" s="36">
        <f t="shared" si="4"/>
        <v>1.794444444</v>
      </c>
      <c r="J295" s="38">
        <v>60.0</v>
      </c>
      <c r="K295" s="39">
        <v>5.0</v>
      </c>
      <c r="L295" s="38">
        <v>3.0</v>
      </c>
      <c r="M295" s="40" t="s">
        <v>27</v>
      </c>
      <c r="N295" s="41"/>
      <c r="O295" s="42" t="s">
        <v>149</v>
      </c>
      <c r="P295" s="43"/>
    </row>
    <row r="296">
      <c r="A296" s="44" t="s">
        <v>383</v>
      </c>
      <c r="B296" s="45" t="s">
        <v>384</v>
      </c>
      <c r="C296" s="46" t="s">
        <v>26</v>
      </c>
      <c r="D296" s="47" t="str">
        <f t="shared" si="1"/>
        <v>Active</v>
      </c>
      <c r="E296" s="48">
        <v>45153.0</v>
      </c>
      <c r="F296" s="49"/>
      <c r="G296" s="50">
        <f t="shared" si="2"/>
        <v>37.7</v>
      </c>
      <c r="H296" s="51">
        <v>43875.0</v>
      </c>
      <c r="I296" s="50">
        <f t="shared" si="4"/>
        <v>3.502777778</v>
      </c>
      <c r="J296" s="55">
        <v>89.0</v>
      </c>
      <c r="K296" s="56">
        <v>8.7</v>
      </c>
      <c r="L296" s="55">
        <v>3.0</v>
      </c>
      <c r="M296" s="58" t="s">
        <v>29</v>
      </c>
      <c r="N296" s="59"/>
      <c r="O296" s="60" t="s">
        <v>149</v>
      </c>
      <c r="P296" s="61"/>
    </row>
    <row r="297">
      <c r="A297" s="29" t="s">
        <v>385</v>
      </c>
      <c r="B297" s="30" t="s">
        <v>45</v>
      </c>
      <c r="C297" s="31" t="s">
        <v>26</v>
      </c>
      <c r="D297" s="32" t="str">
        <f t="shared" si="1"/>
        <v>Active</v>
      </c>
      <c r="E297" s="33">
        <v>45153.0</v>
      </c>
      <c r="F297" s="34"/>
      <c r="G297" s="36">
        <f t="shared" si="2"/>
        <v>37.7</v>
      </c>
      <c r="H297" s="37">
        <v>43886.0</v>
      </c>
      <c r="I297" s="36">
        <f t="shared" si="4"/>
        <v>3.472222222</v>
      </c>
      <c r="J297" s="38">
        <v>82.0</v>
      </c>
      <c r="K297" s="39">
        <v>7.3</v>
      </c>
      <c r="L297" s="38">
        <v>39.0</v>
      </c>
      <c r="M297" s="40" t="s">
        <v>70</v>
      </c>
      <c r="N297" s="41"/>
      <c r="O297" s="42" t="s">
        <v>149</v>
      </c>
      <c r="P297" s="43"/>
    </row>
    <row r="298">
      <c r="A298" s="44" t="s">
        <v>386</v>
      </c>
      <c r="B298" s="45" t="s">
        <v>25</v>
      </c>
      <c r="C298" s="46" t="s">
        <v>41</v>
      </c>
      <c r="D298" s="47" t="str">
        <f t="shared" si="1"/>
        <v>Active</v>
      </c>
      <c r="E298" s="48">
        <v>45153.0</v>
      </c>
      <c r="F298" s="49"/>
      <c r="G298" s="50">
        <f t="shared" si="2"/>
        <v>37.7</v>
      </c>
      <c r="H298" s="51">
        <v>38433.0</v>
      </c>
      <c r="I298" s="50">
        <f t="shared" si="4"/>
        <v>18.39722222</v>
      </c>
      <c r="J298" s="55">
        <v>66.0</v>
      </c>
      <c r="K298" s="56">
        <v>7.0</v>
      </c>
      <c r="L298" s="55">
        <v>7.0</v>
      </c>
      <c r="M298" s="58" t="s">
        <v>27</v>
      </c>
      <c r="N298" s="59" t="s">
        <v>115</v>
      </c>
      <c r="O298" s="60" t="s">
        <v>149</v>
      </c>
      <c r="P298" s="66"/>
    </row>
    <row r="299">
      <c r="A299" s="29" t="s">
        <v>387</v>
      </c>
      <c r="B299" s="30" t="s">
        <v>25</v>
      </c>
      <c r="C299" s="31" t="s">
        <v>41</v>
      </c>
      <c r="D299" s="32" t="str">
        <f t="shared" si="1"/>
        <v>Active</v>
      </c>
      <c r="E299" s="33">
        <v>45153.0</v>
      </c>
      <c r="F299" s="34"/>
      <c r="G299" s="36">
        <f t="shared" si="2"/>
        <v>37.7</v>
      </c>
      <c r="H299" s="37">
        <v>38608.0</v>
      </c>
      <c r="I299" s="36">
        <f t="shared" si="4"/>
        <v>17.92222222</v>
      </c>
      <c r="J299" s="38">
        <v>66.0</v>
      </c>
      <c r="K299" s="39">
        <v>8.5</v>
      </c>
      <c r="L299" s="38">
        <v>10.0</v>
      </c>
      <c r="M299" s="40" t="s">
        <v>29</v>
      </c>
      <c r="N299" s="41" t="s">
        <v>115</v>
      </c>
      <c r="O299" s="42" t="s">
        <v>149</v>
      </c>
      <c r="P299" s="67"/>
    </row>
    <row r="300">
      <c r="A300" s="44" t="s">
        <v>388</v>
      </c>
      <c r="B300" s="45" t="s">
        <v>25</v>
      </c>
      <c r="C300" s="46" t="s">
        <v>41</v>
      </c>
      <c r="D300" s="47" t="str">
        <f t="shared" si="1"/>
        <v>Active</v>
      </c>
      <c r="E300" s="48">
        <v>45153.0</v>
      </c>
      <c r="F300" s="49"/>
      <c r="G300" s="50">
        <f t="shared" si="2"/>
        <v>37.7</v>
      </c>
      <c r="H300" s="51">
        <v>39476.0</v>
      </c>
      <c r="I300" s="50">
        <f t="shared" si="4"/>
        <v>15.54444444</v>
      </c>
      <c r="J300" s="55">
        <v>73.0</v>
      </c>
      <c r="K300" s="56">
        <v>7.7</v>
      </c>
      <c r="L300" s="55">
        <v>8.0</v>
      </c>
      <c r="M300" s="58" t="s">
        <v>70</v>
      </c>
      <c r="N300" s="59" t="s">
        <v>115</v>
      </c>
      <c r="O300" s="60" t="s">
        <v>149</v>
      </c>
      <c r="P300" s="66"/>
    </row>
    <row r="301">
      <c r="A301" s="29" t="s">
        <v>389</v>
      </c>
      <c r="B301" s="30" t="s">
        <v>25</v>
      </c>
      <c r="C301" s="31" t="s">
        <v>26</v>
      </c>
      <c r="D301" s="32" t="str">
        <f t="shared" si="1"/>
        <v>Active</v>
      </c>
      <c r="E301" s="33">
        <v>45125.0</v>
      </c>
      <c r="F301" s="34"/>
      <c r="G301" s="36">
        <f t="shared" si="2"/>
        <v>38.6</v>
      </c>
      <c r="H301" s="37">
        <v>44646.0</v>
      </c>
      <c r="I301" s="36">
        <f t="shared" si="4"/>
        <v>1.311111111</v>
      </c>
      <c r="J301" s="38">
        <v>77.0</v>
      </c>
      <c r="K301" s="39">
        <v>6.1</v>
      </c>
      <c r="L301" s="38">
        <v>10.0</v>
      </c>
      <c r="M301" s="40" t="s">
        <v>31</v>
      </c>
      <c r="N301" s="41"/>
      <c r="O301" s="42" t="s">
        <v>272</v>
      </c>
      <c r="P301" s="43"/>
    </row>
    <row r="302">
      <c r="A302" s="44" t="s">
        <v>390</v>
      </c>
      <c r="B302" s="45" t="s">
        <v>25</v>
      </c>
      <c r="C302" s="46" t="s">
        <v>26</v>
      </c>
      <c r="D302" s="47" t="str">
        <f t="shared" si="1"/>
        <v>Active</v>
      </c>
      <c r="E302" s="48">
        <v>45125.0</v>
      </c>
      <c r="F302" s="49"/>
      <c r="G302" s="50">
        <f t="shared" si="2"/>
        <v>38.6</v>
      </c>
      <c r="H302" s="51">
        <v>43571.0</v>
      </c>
      <c r="I302" s="50">
        <f t="shared" si="4"/>
        <v>4.255555556</v>
      </c>
      <c r="J302" s="55">
        <v>67.0</v>
      </c>
      <c r="K302" s="56">
        <v>6.3</v>
      </c>
      <c r="L302" s="55">
        <v>8.0</v>
      </c>
      <c r="M302" s="58" t="s">
        <v>31</v>
      </c>
      <c r="N302" s="59"/>
      <c r="O302" s="60" t="s">
        <v>272</v>
      </c>
      <c r="P302" s="61"/>
    </row>
    <row r="303">
      <c r="A303" s="29" t="s">
        <v>391</v>
      </c>
      <c r="B303" s="30" t="s">
        <v>45</v>
      </c>
      <c r="C303" s="31" t="s">
        <v>26</v>
      </c>
      <c r="D303" s="32" t="str">
        <f t="shared" si="1"/>
        <v>Active</v>
      </c>
      <c r="E303" s="33">
        <v>45125.0</v>
      </c>
      <c r="F303" s="34"/>
      <c r="G303" s="36">
        <f t="shared" si="2"/>
        <v>38.6</v>
      </c>
      <c r="H303" s="37">
        <v>43144.0</v>
      </c>
      <c r="I303" s="36">
        <f t="shared" si="4"/>
        <v>5.430555556</v>
      </c>
      <c r="J303" s="38">
        <v>65.0</v>
      </c>
      <c r="K303" s="39">
        <v>8.4</v>
      </c>
      <c r="L303" s="38">
        <v>28.0</v>
      </c>
      <c r="M303" s="40" t="s">
        <v>29</v>
      </c>
      <c r="N303" s="41"/>
      <c r="O303" s="42" t="s">
        <v>149</v>
      </c>
      <c r="P303" s="43"/>
    </row>
    <row r="304">
      <c r="A304" s="44" t="s">
        <v>392</v>
      </c>
      <c r="B304" s="45" t="s">
        <v>45</v>
      </c>
      <c r="C304" s="46" t="s">
        <v>26</v>
      </c>
      <c r="D304" s="47" t="str">
        <f t="shared" si="1"/>
        <v>Active</v>
      </c>
      <c r="E304" s="48">
        <v>45125.0</v>
      </c>
      <c r="F304" s="49"/>
      <c r="G304" s="50">
        <f t="shared" si="2"/>
        <v>38.6</v>
      </c>
      <c r="H304" s="51">
        <v>44469.0</v>
      </c>
      <c r="I304" s="50">
        <f t="shared" si="4"/>
        <v>1.8</v>
      </c>
      <c r="J304" s="55">
        <v>90.0</v>
      </c>
      <c r="K304" s="56">
        <v>6.9</v>
      </c>
      <c r="L304" s="55">
        <v>6.0</v>
      </c>
      <c r="M304" s="58" t="s">
        <v>29</v>
      </c>
      <c r="N304" s="59"/>
      <c r="O304" s="60" t="s">
        <v>149</v>
      </c>
      <c r="P304" s="61"/>
    </row>
    <row r="305">
      <c r="A305" s="29" t="s">
        <v>393</v>
      </c>
      <c r="B305" s="30" t="s">
        <v>45</v>
      </c>
      <c r="C305" s="31" t="s">
        <v>26</v>
      </c>
      <c r="D305" s="32" t="str">
        <f t="shared" si="1"/>
        <v>Active</v>
      </c>
      <c r="E305" s="33">
        <v>45125.0</v>
      </c>
      <c r="F305" s="34"/>
      <c r="G305" s="36">
        <f t="shared" si="2"/>
        <v>38.6</v>
      </c>
      <c r="H305" s="37">
        <v>44404.0</v>
      </c>
      <c r="I305" s="36">
        <f t="shared" si="4"/>
        <v>1.975</v>
      </c>
      <c r="J305" s="38">
        <v>75.0</v>
      </c>
      <c r="K305" s="39">
        <v>8.0</v>
      </c>
      <c r="L305" s="38">
        <v>18.0</v>
      </c>
      <c r="M305" s="40" t="s">
        <v>29</v>
      </c>
      <c r="N305" s="41"/>
      <c r="O305" s="42" t="s">
        <v>149</v>
      </c>
      <c r="P305" s="43"/>
    </row>
    <row r="306">
      <c r="A306" s="44" t="s">
        <v>394</v>
      </c>
      <c r="B306" s="45" t="s">
        <v>45</v>
      </c>
      <c r="C306" s="46" t="s">
        <v>26</v>
      </c>
      <c r="D306" s="47" t="str">
        <f t="shared" si="1"/>
        <v>Active</v>
      </c>
      <c r="E306" s="48">
        <v>45125.0</v>
      </c>
      <c r="F306" s="49"/>
      <c r="G306" s="50">
        <f t="shared" si="2"/>
        <v>38.6</v>
      </c>
      <c r="H306" s="51">
        <v>42962.0</v>
      </c>
      <c r="I306" s="50">
        <f t="shared" si="4"/>
        <v>5.925</v>
      </c>
      <c r="J306" s="55">
        <v>92.0</v>
      </c>
      <c r="K306" s="56">
        <v>7.3</v>
      </c>
      <c r="L306" s="55">
        <v>7.0</v>
      </c>
      <c r="M306" s="58" t="s">
        <v>42</v>
      </c>
      <c r="N306" s="59"/>
      <c r="O306" s="60" t="s">
        <v>149</v>
      </c>
      <c r="P306" s="61"/>
    </row>
    <row r="307">
      <c r="A307" s="29" t="s">
        <v>395</v>
      </c>
      <c r="B307" s="30" t="s">
        <v>25</v>
      </c>
      <c r="C307" s="31" t="s">
        <v>41</v>
      </c>
      <c r="D307" s="32" t="str">
        <f t="shared" si="1"/>
        <v>Active</v>
      </c>
      <c r="E307" s="33">
        <v>45125.0</v>
      </c>
      <c r="F307" s="34"/>
      <c r="G307" s="36">
        <f t="shared" si="2"/>
        <v>38.6</v>
      </c>
      <c r="H307" s="37">
        <v>40379.0</v>
      </c>
      <c r="I307" s="36">
        <f t="shared" si="4"/>
        <v>12.99444444</v>
      </c>
      <c r="J307" s="38">
        <v>69.0</v>
      </c>
      <c r="K307" s="39">
        <v>7.0</v>
      </c>
      <c r="L307" s="38">
        <v>8.0</v>
      </c>
      <c r="M307" s="40" t="s">
        <v>29</v>
      </c>
      <c r="N307" s="41" t="s">
        <v>115</v>
      </c>
      <c r="O307" s="42" t="s">
        <v>149</v>
      </c>
      <c r="P307" s="67"/>
    </row>
    <row r="308">
      <c r="A308" s="44" t="s">
        <v>396</v>
      </c>
      <c r="B308" s="45" t="s">
        <v>25</v>
      </c>
      <c r="C308" s="46" t="s">
        <v>41</v>
      </c>
      <c r="D308" s="47" t="str">
        <f t="shared" si="1"/>
        <v>Active</v>
      </c>
      <c r="E308" s="48">
        <v>45125.0</v>
      </c>
      <c r="F308" s="49"/>
      <c r="G308" s="50">
        <f t="shared" si="2"/>
        <v>38.6</v>
      </c>
      <c r="H308" s="51">
        <v>35008.0</v>
      </c>
      <c r="I308" s="50">
        <f t="shared" si="4"/>
        <v>27.70277778</v>
      </c>
      <c r="J308" s="55">
        <v>76.0</v>
      </c>
      <c r="K308" s="56">
        <v>8.4</v>
      </c>
      <c r="L308" s="55">
        <v>5.0</v>
      </c>
      <c r="M308" s="58" t="s">
        <v>193</v>
      </c>
      <c r="N308" s="59" t="s">
        <v>61</v>
      </c>
      <c r="O308" s="60" t="s">
        <v>149</v>
      </c>
      <c r="P308" s="66"/>
    </row>
    <row r="309">
      <c r="A309" s="29" t="s">
        <v>397</v>
      </c>
      <c r="B309" s="30" t="s">
        <v>25</v>
      </c>
      <c r="C309" s="31" t="s">
        <v>41</v>
      </c>
      <c r="D309" s="32" t="str">
        <f t="shared" si="1"/>
        <v>Active</v>
      </c>
      <c r="E309" s="33">
        <v>45125.0</v>
      </c>
      <c r="F309" s="34"/>
      <c r="G309" s="36">
        <f t="shared" si="2"/>
        <v>38.6</v>
      </c>
      <c r="H309" s="37">
        <v>35369.0</v>
      </c>
      <c r="I309" s="36">
        <f t="shared" si="4"/>
        <v>26.71666667</v>
      </c>
      <c r="J309" s="38">
        <v>78.0</v>
      </c>
      <c r="K309" s="39">
        <v>8.8</v>
      </c>
      <c r="L309" s="38">
        <v>5.0</v>
      </c>
      <c r="M309" s="40" t="s">
        <v>193</v>
      </c>
      <c r="N309" s="41" t="s">
        <v>61</v>
      </c>
      <c r="O309" s="42" t="s">
        <v>149</v>
      </c>
      <c r="P309" s="67"/>
    </row>
    <row r="310">
      <c r="A310" s="44" t="s">
        <v>398</v>
      </c>
      <c r="B310" s="45" t="s">
        <v>25</v>
      </c>
      <c r="C310" s="46" t="s">
        <v>26</v>
      </c>
      <c r="D310" s="47" t="str">
        <f t="shared" si="1"/>
        <v>Active</v>
      </c>
      <c r="E310" s="48">
        <v>45097.0</v>
      </c>
      <c r="F310" s="49"/>
      <c r="G310" s="50">
        <f t="shared" si="2"/>
        <v>39.53333333</v>
      </c>
      <c r="H310" s="51">
        <v>44491.0</v>
      </c>
      <c r="I310" s="50">
        <f t="shared" si="4"/>
        <v>1.661111111</v>
      </c>
      <c r="J310" s="55">
        <v>80.0</v>
      </c>
      <c r="K310" s="56">
        <v>8.7</v>
      </c>
      <c r="L310" s="55">
        <v>1.0</v>
      </c>
      <c r="M310" s="58" t="s">
        <v>29</v>
      </c>
      <c r="N310" s="59"/>
      <c r="O310" s="60" t="s">
        <v>149</v>
      </c>
      <c r="P310" s="61"/>
    </row>
    <row r="311">
      <c r="A311" s="29" t="s">
        <v>399</v>
      </c>
      <c r="B311" s="30" t="s">
        <v>25</v>
      </c>
      <c r="C311" s="31" t="s">
        <v>26</v>
      </c>
      <c r="D311" s="32" t="str">
        <f t="shared" si="1"/>
        <v>Active</v>
      </c>
      <c r="E311" s="33">
        <v>45097.0</v>
      </c>
      <c r="F311" s="34"/>
      <c r="G311" s="36">
        <f t="shared" si="2"/>
        <v>39.53333333</v>
      </c>
      <c r="H311" s="37">
        <v>44141.0</v>
      </c>
      <c r="I311" s="36">
        <f t="shared" si="4"/>
        <v>2.622222222</v>
      </c>
      <c r="J311" s="38">
        <v>60.0</v>
      </c>
      <c r="K311" s="39">
        <v>7.0</v>
      </c>
      <c r="L311" s="38">
        <v>3.0</v>
      </c>
      <c r="M311" s="40" t="s">
        <v>29</v>
      </c>
      <c r="N311" s="41"/>
      <c r="O311" s="42" t="s">
        <v>149</v>
      </c>
      <c r="P311" s="43"/>
    </row>
    <row r="312">
      <c r="A312" s="44" t="s">
        <v>400</v>
      </c>
      <c r="B312" s="45" t="s">
        <v>45</v>
      </c>
      <c r="C312" s="46" t="s">
        <v>26</v>
      </c>
      <c r="D312" s="47" t="str">
        <f t="shared" si="1"/>
        <v>Active</v>
      </c>
      <c r="E312" s="48">
        <v>45097.0</v>
      </c>
      <c r="F312" s="49"/>
      <c r="G312" s="50">
        <f t="shared" si="2"/>
        <v>39.53333333</v>
      </c>
      <c r="H312" s="51">
        <v>43074.0</v>
      </c>
      <c r="I312" s="50">
        <f t="shared" si="4"/>
        <v>5.541666667</v>
      </c>
      <c r="J312" s="55">
        <v>79.0</v>
      </c>
      <c r="K312" s="56">
        <v>8.2</v>
      </c>
      <c r="L312" s="55">
        <v>10.0</v>
      </c>
      <c r="M312" s="58" t="s">
        <v>29</v>
      </c>
      <c r="N312" s="59"/>
      <c r="O312" s="60" t="s">
        <v>149</v>
      </c>
      <c r="P312" s="61"/>
    </row>
    <row r="313">
      <c r="A313" s="29" t="s">
        <v>401</v>
      </c>
      <c r="B313" s="30" t="s">
        <v>45</v>
      </c>
      <c r="C313" s="31" t="s">
        <v>26</v>
      </c>
      <c r="D313" s="32" t="str">
        <f t="shared" si="1"/>
        <v>Active</v>
      </c>
      <c r="E313" s="33">
        <v>45097.0</v>
      </c>
      <c r="F313" s="34"/>
      <c r="G313" s="36">
        <f t="shared" si="2"/>
        <v>39.53333333</v>
      </c>
      <c r="H313" s="37">
        <v>44131.0</v>
      </c>
      <c r="I313" s="36">
        <f t="shared" si="4"/>
        <v>2.647222222</v>
      </c>
      <c r="J313" s="38">
        <v>75.0</v>
      </c>
      <c r="K313" s="39">
        <v>6.9</v>
      </c>
      <c r="L313" s="38">
        <v>6.0</v>
      </c>
      <c r="M313" s="40" t="s">
        <v>29</v>
      </c>
      <c r="N313" s="41"/>
      <c r="O313" s="42" t="s">
        <v>149</v>
      </c>
      <c r="P313" s="43"/>
    </row>
    <row r="314">
      <c r="A314" s="44" t="s">
        <v>402</v>
      </c>
      <c r="B314" s="45" t="s">
        <v>45</v>
      </c>
      <c r="C314" s="46" t="s">
        <v>26</v>
      </c>
      <c r="D314" s="47" t="str">
        <f t="shared" si="1"/>
        <v>Active</v>
      </c>
      <c r="E314" s="48">
        <v>45097.0</v>
      </c>
      <c r="F314" s="49"/>
      <c r="G314" s="50">
        <f t="shared" si="2"/>
        <v>39.53333333</v>
      </c>
      <c r="H314" s="51">
        <v>42605.0</v>
      </c>
      <c r="I314" s="50">
        <f t="shared" si="4"/>
        <v>6.825</v>
      </c>
      <c r="J314" s="55">
        <v>84.0</v>
      </c>
      <c r="K314" s="56">
        <v>7.9</v>
      </c>
      <c r="L314" s="55">
        <v>26.0</v>
      </c>
      <c r="M314" s="58" t="s">
        <v>29</v>
      </c>
      <c r="N314" s="59"/>
      <c r="O314" s="60" t="s">
        <v>149</v>
      </c>
      <c r="P314" s="61"/>
    </row>
    <row r="315">
      <c r="A315" s="29" t="s">
        <v>403</v>
      </c>
      <c r="B315" s="30" t="s">
        <v>45</v>
      </c>
      <c r="C315" s="31" t="s">
        <v>26</v>
      </c>
      <c r="D315" s="32" t="str">
        <f t="shared" si="1"/>
        <v>Active</v>
      </c>
      <c r="E315" s="33">
        <v>45097.0</v>
      </c>
      <c r="F315" s="34"/>
      <c r="G315" s="36">
        <f t="shared" si="2"/>
        <v>39.53333333</v>
      </c>
      <c r="H315" s="37">
        <v>43676.0</v>
      </c>
      <c r="I315" s="36">
        <f t="shared" si="4"/>
        <v>3.888888889</v>
      </c>
      <c r="J315" s="38">
        <v>72.0</v>
      </c>
      <c r="K315" s="39">
        <v>5.8</v>
      </c>
      <c r="L315" s="38">
        <v>15.0</v>
      </c>
      <c r="M315" s="40" t="s">
        <v>29</v>
      </c>
      <c r="N315" s="41"/>
      <c r="O315" s="42" t="s">
        <v>149</v>
      </c>
      <c r="P315" s="43"/>
    </row>
    <row r="316">
      <c r="A316" s="44" t="s">
        <v>404</v>
      </c>
      <c r="B316" s="45" t="s">
        <v>45</v>
      </c>
      <c r="C316" s="46" t="s">
        <v>26</v>
      </c>
      <c r="D316" s="47" t="str">
        <f t="shared" si="1"/>
        <v>Active</v>
      </c>
      <c r="E316" s="48">
        <v>45097.0</v>
      </c>
      <c r="F316" s="49"/>
      <c r="G316" s="50">
        <f t="shared" si="2"/>
        <v>39.53333333</v>
      </c>
      <c r="H316" s="51">
        <v>42690.0</v>
      </c>
      <c r="I316" s="50">
        <f t="shared" si="4"/>
        <v>6.594444444</v>
      </c>
      <c r="J316" s="55">
        <v>75.0</v>
      </c>
      <c r="K316" s="56">
        <v>7.1</v>
      </c>
      <c r="L316" s="55">
        <v>14.0</v>
      </c>
      <c r="M316" s="58" t="s">
        <v>31</v>
      </c>
      <c r="N316" s="59"/>
      <c r="O316" s="60" t="s">
        <v>149</v>
      </c>
      <c r="P316" s="61"/>
    </row>
    <row r="317">
      <c r="A317" s="29" t="s">
        <v>405</v>
      </c>
      <c r="B317" s="30" t="s">
        <v>45</v>
      </c>
      <c r="C317" s="31" t="s">
        <v>26</v>
      </c>
      <c r="D317" s="32" t="str">
        <f t="shared" si="1"/>
        <v>Active</v>
      </c>
      <c r="E317" s="33">
        <v>45097.0</v>
      </c>
      <c r="F317" s="34"/>
      <c r="G317" s="36">
        <f t="shared" si="2"/>
        <v>39.53333333</v>
      </c>
      <c r="H317" s="37">
        <v>43761.0</v>
      </c>
      <c r="I317" s="36">
        <f t="shared" si="4"/>
        <v>3.658333333</v>
      </c>
      <c r="J317" s="38">
        <v>80.0</v>
      </c>
      <c r="K317" s="39">
        <v>5.5</v>
      </c>
      <c r="L317" s="38">
        <v>6.0</v>
      </c>
      <c r="M317" s="40" t="s">
        <v>125</v>
      </c>
      <c r="N317" s="41"/>
      <c r="O317" s="42" t="s">
        <v>149</v>
      </c>
      <c r="P317" s="43"/>
    </row>
    <row r="318">
      <c r="A318" s="44" t="s">
        <v>406</v>
      </c>
      <c r="B318" s="45" t="s">
        <v>45</v>
      </c>
      <c r="C318" s="46" t="s">
        <v>26</v>
      </c>
      <c r="D318" s="47" t="str">
        <f t="shared" si="1"/>
        <v>Active</v>
      </c>
      <c r="E318" s="48">
        <v>45097.0</v>
      </c>
      <c r="F318" s="49"/>
      <c r="G318" s="50">
        <f t="shared" si="2"/>
        <v>39.53333333</v>
      </c>
      <c r="H318" s="51">
        <v>41695.0</v>
      </c>
      <c r="I318" s="50">
        <f t="shared" si="4"/>
        <v>9.319444444</v>
      </c>
      <c r="J318" s="55">
        <v>67.0</v>
      </c>
      <c r="K318" s="56">
        <v>6.4</v>
      </c>
      <c r="L318" s="55">
        <v>11.0</v>
      </c>
      <c r="M318" s="58" t="s">
        <v>29</v>
      </c>
      <c r="N318" s="59"/>
      <c r="O318" s="60" t="s">
        <v>149</v>
      </c>
      <c r="P318" s="61"/>
    </row>
    <row r="319">
      <c r="A319" s="29" t="s">
        <v>407</v>
      </c>
      <c r="B319" s="30" t="s">
        <v>25</v>
      </c>
      <c r="C319" s="31" t="s">
        <v>207</v>
      </c>
      <c r="D319" s="32" t="str">
        <f t="shared" si="1"/>
        <v>Active</v>
      </c>
      <c r="E319" s="33">
        <v>45097.0</v>
      </c>
      <c r="F319" s="34"/>
      <c r="G319" s="36">
        <f t="shared" si="2"/>
        <v>39.53333333</v>
      </c>
      <c r="H319" s="37">
        <v>44476.0</v>
      </c>
      <c r="I319" s="36">
        <f t="shared" si="4"/>
        <v>1.702777778</v>
      </c>
      <c r="J319" s="38">
        <v>73.0</v>
      </c>
      <c r="K319" s="39">
        <v>4.9</v>
      </c>
      <c r="L319" s="38">
        <v>23.0</v>
      </c>
      <c r="M319" s="40" t="s">
        <v>31</v>
      </c>
      <c r="N319" s="41"/>
      <c r="O319" s="42" t="s">
        <v>149</v>
      </c>
      <c r="P319" s="43"/>
    </row>
    <row r="320">
      <c r="A320" s="44" t="s">
        <v>408</v>
      </c>
      <c r="B320" s="45" t="s">
        <v>25</v>
      </c>
      <c r="C320" s="46" t="s">
        <v>41</v>
      </c>
      <c r="D320" s="47" t="str">
        <f t="shared" si="1"/>
        <v>Active</v>
      </c>
      <c r="E320" s="48">
        <v>45097.0</v>
      </c>
      <c r="F320" s="49"/>
      <c r="G320" s="50">
        <f t="shared" si="2"/>
        <v>39.53333333</v>
      </c>
      <c r="H320" s="51">
        <v>39021.0</v>
      </c>
      <c r="I320" s="50">
        <f t="shared" si="4"/>
        <v>16.63888889</v>
      </c>
      <c r="J320" s="55">
        <v>77.0</v>
      </c>
      <c r="K320" s="56">
        <v>7.9</v>
      </c>
      <c r="L320" s="55">
        <v>8.0</v>
      </c>
      <c r="M320" s="58" t="s">
        <v>31</v>
      </c>
      <c r="N320" s="59" t="s">
        <v>115</v>
      </c>
      <c r="O320" s="60" t="s">
        <v>149</v>
      </c>
      <c r="P320" s="66"/>
    </row>
    <row r="321">
      <c r="A321" s="29" t="s">
        <v>409</v>
      </c>
      <c r="B321" s="30" t="s">
        <v>25</v>
      </c>
      <c r="C321" s="31" t="s">
        <v>41</v>
      </c>
      <c r="D321" s="32" t="str">
        <f t="shared" si="1"/>
        <v>Active</v>
      </c>
      <c r="E321" s="33">
        <v>45097.0</v>
      </c>
      <c r="F321" s="34"/>
      <c r="G321" s="36">
        <f t="shared" si="2"/>
        <v>39.53333333</v>
      </c>
      <c r="H321" s="37">
        <v>35642.0</v>
      </c>
      <c r="I321" s="36">
        <f t="shared" si="4"/>
        <v>25.88888889</v>
      </c>
      <c r="J321" s="38">
        <v>78.0</v>
      </c>
      <c r="K321" s="39">
        <v>7.8</v>
      </c>
      <c r="L321" s="38">
        <v>13.0</v>
      </c>
      <c r="M321" s="40" t="s">
        <v>29</v>
      </c>
      <c r="N321" s="41" t="s">
        <v>61</v>
      </c>
      <c r="O321" s="42" t="s">
        <v>149</v>
      </c>
      <c r="P321" s="67"/>
    </row>
    <row r="322">
      <c r="A322" s="44" t="s">
        <v>410</v>
      </c>
      <c r="B322" s="45" t="s">
        <v>25</v>
      </c>
      <c r="C322" s="46" t="s">
        <v>41</v>
      </c>
      <c r="D322" s="47" t="str">
        <f t="shared" si="1"/>
        <v>Active</v>
      </c>
      <c r="E322" s="48">
        <v>45097.0</v>
      </c>
      <c r="F322" s="49"/>
      <c r="G322" s="50">
        <f t="shared" si="2"/>
        <v>39.53333333</v>
      </c>
      <c r="H322" s="51">
        <v>35003.0</v>
      </c>
      <c r="I322" s="50">
        <f t="shared" si="4"/>
        <v>27.63888889</v>
      </c>
      <c r="J322" s="55">
        <v>76.0</v>
      </c>
      <c r="K322" s="56">
        <v>8.2</v>
      </c>
      <c r="L322" s="55">
        <v>4.0</v>
      </c>
      <c r="M322" s="58" t="s">
        <v>103</v>
      </c>
      <c r="N322" s="59" t="s">
        <v>61</v>
      </c>
      <c r="O322" s="60" t="s">
        <v>149</v>
      </c>
      <c r="P322" s="66"/>
    </row>
    <row r="323">
      <c r="A323" s="29" t="s">
        <v>411</v>
      </c>
      <c r="B323" s="30" t="s">
        <v>45</v>
      </c>
      <c r="C323" s="31" t="s">
        <v>46</v>
      </c>
      <c r="D323" s="32" t="str">
        <f t="shared" si="1"/>
        <v>Active</v>
      </c>
      <c r="E323" s="33">
        <v>45097.0</v>
      </c>
      <c r="F323" s="34"/>
      <c r="G323" s="36">
        <f t="shared" si="2"/>
        <v>39.53333333</v>
      </c>
      <c r="H323" s="37">
        <v>44075.0</v>
      </c>
      <c r="I323" s="36">
        <f t="shared" si="4"/>
        <v>2.802777778</v>
      </c>
      <c r="J323" s="38">
        <v>59.0</v>
      </c>
      <c r="K323" s="39">
        <v>7.5</v>
      </c>
      <c r="L323" s="38">
        <v>10.0</v>
      </c>
      <c r="M323" s="40" t="s">
        <v>31</v>
      </c>
      <c r="N323" s="41" t="s">
        <v>412</v>
      </c>
      <c r="O323" s="42" t="s">
        <v>149</v>
      </c>
      <c r="P323" s="67"/>
    </row>
    <row r="324">
      <c r="A324" s="44" t="s">
        <v>413</v>
      </c>
      <c r="B324" s="45" t="s">
        <v>33</v>
      </c>
      <c r="C324" s="46" t="s">
        <v>26</v>
      </c>
      <c r="D324" s="47" t="str">
        <f t="shared" si="1"/>
        <v>Active</v>
      </c>
      <c r="E324" s="48">
        <v>45062.0</v>
      </c>
      <c r="F324" s="49"/>
      <c r="G324" s="50">
        <f t="shared" si="2"/>
        <v>40.66666667</v>
      </c>
      <c r="H324" s="51">
        <v>44358.0</v>
      </c>
      <c r="I324" s="50">
        <f t="shared" si="4"/>
        <v>1.930555556</v>
      </c>
      <c r="J324" s="55">
        <v>88.0</v>
      </c>
      <c r="K324" s="56">
        <v>8.5</v>
      </c>
      <c r="L324" s="55">
        <v>11.0</v>
      </c>
      <c r="M324" s="58" t="s">
        <v>27</v>
      </c>
      <c r="N324" s="59"/>
      <c r="O324" s="60" t="s">
        <v>272</v>
      </c>
      <c r="P324" s="61"/>
    </row>
    <row r="325">
      <c r="A325" s="29" t="s">
        <v>414</v>
      </c>
      <c r="B325" s="30" t="s">
        <v>33</v>
      </c>
      <c r="C325" s="31" t="s">
        <v>26</v>
      </c>
      <c r="D325" s="32" t="str">
        <f t="shared" si="1"/>
        <v>Active</v>
      </c>
      <c r="E325" s="33">
        <v>45062.0</v>
      </c>
      <c r="F325" s="34"/>
      <c r="G325" s="36">
        <f t="shared" si="2"/>
        <v>40.66666667</v>
      </c>
      <c r="H325" s="37">
        <v>44791.0</v>
      </c>
      <c r="I325" s="36">
        <f t="shared" si="4"/>
        <v>0.7444444444</v>
      </c>
      <c r="J325" s="38">
        <v>68.0</v>
      </c>
      <c r="K325" s="39">
        <v>7.5</v>
      </c>
      <c r="L325" s="38">
        <v>7.0</v>
      </c>
      <c r="M325" s="40" t="s">
        <v>42</v>
      </c>
      <c r="N325" s="41"/>
      <c r="O325" s="42" t="s">
        <v>272</v>
      </c>
      <c r="P325" s="43"/>
    </row>
    <row r="326">
      <c r="A326" s="44" t="s">
        <v>415</v>
      </c>
      <c r="B326" s="45" t="s">
        <v>25</v>
      </c>
      <c r="C326" s="46" t="s">
        <v>26</v>
      </c>
      <c r="D326" s="47" t="str">
        <f t="shared" si="1"/>
        <v>Active</v>
      </c>
      <c r="E326" s="48">
        <v>45062.0</v>
      </c>
      <c r="F326" s="49"/>
      <c r="G326" s="50">
        <f t="shared" si="2"/>
        <v>40.66666667</v>
      </c>
      <c r="H326" s="51">
        <v>44446.0</v>
      </c>
      <c r="I326" s="50">
        <f t="shared" si="4"/>
        <v>1.691666667</v>
      </c>
      <c r="J326" s="55">
        <v>60.0</v>
      </c>
      <c r="K326" s="56">
        <v>4.5</v>
      </c>
      <c r="L326" s="55">
        <v>26.0</v>
      </c>
      <c r="M326" s="58" t="s">
        <v>70</v>
      </c>
      <c r="N326" s="59"/>
      <c r="O326" s="60" t="s">
        <v>149</v>
      </c>
      <c r="P326" s="61"/>
    </row>
    <row r="327">
      <c r="A327" s="29" t="s">
        <v>416</v>
      </c>
      <c r="B327" s="30" t="s">
        <v>25</v>
      </c>
      <c r="C327" s="31" t="s">
        <v>26</v>
      </c>
      <c r="D327" s="32" t="str">
        <f t="shared" si="1"/>
        <v>Active</v>
      </c>
      <c r="E327" s="33">
        <v>45062.0</v>
      </c>
      <c r="F327" s="34"/>
      <c r="G327" s="36">
        <f t="shared" si="2"/>
        <v>40.66666667</v>
      </c>
      <c r="H327" s="37">
        <v>45062.0</v>
      </c>
      <c r="I327" s="36">
        <f t="shared" si="4"/>
        <v>0</v>
      </c>
      <c r="J327" s="38">
        <v>86.0</v>
      </c>
      <c r="K327" s="39">
        <v>8.9</v>
      </c>
      <c r="L327" s="38">
        <v>12.0</v>
      </c>
      <c r="M327" s="40" t="s">
        <v>29</v>
      </c>
      <c r="N327" s="41"/>
      <c r="O327" s="42" t="s">
        <v>149</v>
      </c>
      <c r="P327" s="43"/>
    </row>
    <row r="328">
      <c r="A328" s="44" t="s">
        <v>417</v>
      </c>
      <c r="B328" s="45" t="s">
        <v>45</v>
      </c>
      <c r="C328" s="46" t="s">
        <v>26</v>
      </c>
      <c r="D328" s="47" t="str">
        <f t="shared" si="1"/>
        <v>Active</v>
      </c>
      <c r="E328" s="48">
        <v>45062.0</v>
      </c>
      <c r="F328" s="49"/>
      <c r="G328" s="50">
        <f t="shared" si="2"/>
        <v>40.66666667</v>
      </c>
      <c r="H328" s="51">
        <v>43228.0</v>
      </c>
      <c r="I328" s="50">
        <f t="shared" si="4"/>
        <v>5.022222222</v>
      </c>
      <c r="J328" s="55">
        <v>68.0</v>
      </c>
      <c r="K328" s="56">
        <v>5.2</v>
      </c>
      <c r="L328" s="55">
        <v>33.0</v>
      </c>
      <c r="M328" s="58" t="s">
        <v>29</v>
      </c>
      <c r="N328" s="59"/>
      <c r="O328" s="60" t="s">
        <v>149</v>
      </c>
      <c r="P328" s="61"/>
    </row>
    <row r="329">
      <c r="A329" s="29" t="s">
        <v>418</v>
      </c>
      <c r="B329" s="30" t="s">
        <v>45</v>
      </c>
      <c r="C329" s="31" t="s">
        <v>26</v>
      </c>
      <c r="D329" s="32" t="str">
        <f t="shared" si="1"/>
        <v>Active</v>
      </c>
      <c r="E329" s="33">
        <v>45062.0</v>
      </c>
      <c r="F329" s="34"/>
      <c r="G329" s="36">
        <f t="shared" si="2"/>
        <v>40.66666667</v>
      </c>
      <c r="H329" s="37">
        <v>42684.0</v>
      </c>
      <c r="I329" s="36">
        <f t="shared" si="4"/>
        <v>6.516666667</v>
      </c>
      <c r="J329" s="38">
        <v>88.0</v>
      </c>
      <c r="K329" s="39">
        <v>8.5</v>
      </c>
      <c r="L329" s="38">
        <v>13.0</v>
      </c>
      <c r="M329" s="40" t="s">
        <v>31</v>
      </c>
      <c r="N329" s="41"/>
      <c r="O329" s="42" t="s">
        <v>149</v>
      </c>
      <c r="P329" s="43"/>
    </row>
    <row r="330">
      <c r="A330" s="44" t="s">
        <v>419</v>
      </c>
      <c r="B330" s="45" t="s">
        <v>45</v>
      </c>
      <c r="C330" s="46" t="s">
        <v>26</v>
      </c>
      <c r="D330" s="47" t="str">
        <f t="shared" si="1"/>
        <v>Active</v>
      </c>
      <c r="E330" s="48">
        <v>45062.0</v>
      </c>
      <c r="F330" s="49"/>
      <c r="G330" s="50">
        <f t="shared" si="2"/>
        <v>40.66666667</v>
      </c>
      <c r="H330" s="51">
        <v>42993.0</v>
      </c>
      <c r="I330" s="50">
        <f t="shared" si="4"/>
        <v>5.669444444</v>
      </c>
      <c r="J330" s="55">
        <v>82.0</v>
      </c>
      <c r="K330" s="56">
        <v>8.0</v>
      </c>
      <c r="L330" s="55">
        <v>7.0</v>
      </c>
      <c r="M330" s="58" t="s">
        <v>31</v>
      </c>
      <c r="N330" s="59"/>
      <c r="O330" s="60" t="s">
        <v>149</v>
      </c>
      <c r="P330" s="61"/>
    </row>
    <row r="331">
      <c r="A331" s="29" t="s">
        <v>420</v>
      </c>
      <c r="B331" s="30" t="s">
        <v>45</v>
      </c>
      <c r="C331" s="31" t="s">
        <v>26</v>
      </c>
      <c r="D331" s="32" t="str">
        <f t="shared" si="1"/>
        <v>Active</v>
      </c>
      <c r="E331" s="33">
        <v>45062.0</v>
      </c>
      <c r="F331" s="34"/>
      <c r="G331" s="36">
        <f t="shared" si="2"/>
        <v>40.66666667</v>
      </c>
      <c r="H331" s="37">
        <v>42822.0</v>
      </c>
      <c r="I331" s="36">
        <f t="shared" si="4"/>
        <v>6.133333333</v>
      </c>
      <c r="J331" s="38">
        <v>59.0</v>
      </c>
      <c r="K331" s="39">
        <v>7.2</v>
      </c>
      <c r="L331" s="38">
        <v>22.0</v>
      </c>
      <c r="M331" s="40" t="s">
        <v>27</v>
      </c>
      <c r="N331" s="41"/>
      <c r="O331" s="42" t="s">
        <v>149</v>
      </c>
      <c r="P331" s="43"/>
    </row>
    <row r="332">
      <c r="A332" s="44" t="s">
        <v>421</v>
      </c>
      <c r="B332" s="45" t="s">
        <v>384</v>
      </c>
      <c r="C332" s="46" t="s">
        <v>26</v>
      </c>
      <c r="D332" s="47" t="str">
        <f t="shared" si="1"/>
        <v>Active</v>
      </c>
      <c r="E332" s="48">
        <v>45062.0</v>
      </c>
      <c r="F332" s="49"/>
      <c r="G332" s="50">
        <f t="shared" si="2"/>
        <v>40.66666667</v>
      </c>
      <c r="H332" s="51">
        <v>42654.0</v>
      </c>
      <c r="I332" s="50">
        <f t="shared" si="4"/>
        <v>6.597222222</v>
      </c>
      <c r="J332" s="55">
        <v>88.0</v>
      </c>
      <c r="K332" s="56">
        <v>8.0</v>
      </c>
      <c r="L332" s="55">
        <v>15.0</v>
      </c>
      <c r="M332" s="58" t="s">
        <v>29</v>
      </c>
      <c r="N332" s="59"/>
      <c r="O332" s="60" t="s">
        <v>149</v>
      </c>
      <c r="P332" s="61"/>
    </row>
    <row r="333">
      <c r="A333" s="29" t="s">
        <v>422</v>
      </c>
      <c r="B333" s="30" t="s">
        <v>45</v>
      </c>
      <c r="C333" s="31" t="s">
        <v>26</v>
      </c>
      <c r="D333" s="32" t="str">
        <f t="shared" si="1"/>
        <v>Active</v>
      </c>
      <c r="E333" s="33">
        <v>45062.0</v>
      </c>
      <c r="F333" s="34"/>
      <c r="G333" s="36">
        <f t="shared" si="2"/>
        <v>40.66666667</v>
      </c>
      <c r="H333" s="37">
        <v>44537.0</v>
      </c>
      <c r="I333" s="36">
        <f t="shared" si="4"/>
        <v>1.441666667</v>
      </c>
      <c r="J333" s="38">
        <v>74.0</v>
      </c>
      <c r="K333" s="39">
        <v>8.3</v>
      </c>
      <c r="L333" s="38">
        <v>39.0</v>
      </c>
      <c r="M333" s="40" t="s">
        <v>42</v>
      </c>
      <c r="N333" s="41"/>
      <c r="O333" s="42" t="s">
        <v>149</v>
      </c>
      <c r="P333" s="43"/>
    </row>
    <row r="334">
      <c r="A334" s="44" t="s">
        <v>423</v>
      </c>
      <c r="B334" s="45" t="s">
        <v>45</v>
      </c>
      <c r="C334" s="46" t="s">
        <v>26</v>
      </c>
      <c r="D334" s="47" t="str">
        <f t="shared" si="1"/>
        <v>Active</v>
      </c>
      <c r="E334" s="48">
        <v>45062.0</v>
      </c>
      <c r="F334" s="49"/>
      <c r="G334" s="50">
        <f t="shared" si="2"/>
        <v>40.66666667</v>
      </c>
      <c r="H334" s="51">
        <v>44145.0</v>
      </c>
      <c r="I334" s="50">
        <f t="shared" si="4"/>
        <v>2.516666667</v>
      </c>
      <c r="J334" s="55">
        <v>77.0</v>
      </c>
      <c r="K334" s="56">
        <v>7.7</v>
      </c>
      <c r="L334" s="55">
        <v>30.0</v>
      </c>
      <c r="M334" s="58" t="s">
        <v>42</v>
      </c>
      <c r="N334" s="59"/>
      <c r="O334" s="60" t="s">
        <v>149</v>
      </c>
      <c r="P334" s="61"/>
    </row>
    <row r="335">
      <c r="A335" s="29" t="s">
        <v>424</v>
      </c>
      <c r="B335" s="30" t="s">
        <v>45</v>
      </c>
      <c r="C335" s="31" t="s">
        <v>26</v>
      </c>
      <c r="D335" s="32" t="str">
        <f t="shared" si="1"/>
        <v>Active</v>
      </c>
      <c r="E335" s="33">
        <v>45062.0</v>
      </c>
      <c r="F335" s="34"/>
      <c r="G335" s="36">
        <f t="shared" si="2"/>
        <v>40.66666667</v>
      </c>
      <c r="H335" s="37">
        <v>42684.0</v>
      </c>
      <c r="I335" s="36">
        <f t="shared" si="4"/>
        <v>6.516666667</v>
      </c>
      <c r="J335" s="38">
        <v>75.0</v>
      </c>
      <c r="K335" s="39">
        <v>7.5</v>
      </c>
      <c r="L335" s="38">
        <v>13.0</v>
      </c>
      <c r="M335" s="40" t="s">
        <v>29</v>
      </c>
      <c r="N335" s="41"/>
      <c r="O335" s="42" t="s">
        <v>149</v>
      </c>
      <c r="P335" s="43"/>
    </row>
    <row r="336">
      <c r="A336" s="44" t="s">
        <v>425</v>
      </c>
      <c r="B336" s="45" t="s">
        <v>45</v>
      </c>
      <c r="C336" s="46" t="s">
        <v>26</v>
      </c>
      <c r="D336" s="47" t="str">
        <f t="shared" si="1"/>
        <v>Active</v>
      </c>
      <c r="E336" s="48">
        <v>45062.0</v>
      </c>
      <c r="F336" s="49"/>
      <c r="G336" s="50">
        <f t="shared" si="2"/>
        <v>40.66666667</v>
      </c>
      <c r="H336" s="51">
        <v>42993.0</v>
      </c>
      <c r="I336" s="50">
        <f t="shared" si="4"/>
        <v>5.669444444</v>
      </c>
      <c r="J336" s="55">
        <v>72.0</v>
      </c>
      <c r="K336" s="56">
        <v>7.4</v>
      </c>
      <c r="L336" s="55">
        <v>30.0</v>
      </c>
      <c r="M336" s="58" t="s">
        <v>103</v>
      </c>
      <c r="N336" s="59"/>
      <c r="O336" s="60" t="s">
        <v>149</v>
      </c>
      <c r="P336" s="61"/>
    </row>
    <row r="337">
      <c r="A337" s="29" t="s">
        <v>426</v>
      </c>
      <c r="B337" s="30" t="s">
        <v>45</v>
      </c>
      <c r="C337" s="31" t="s">
        <v>26</v>
      </c>
      <c r="D337" s="32" t="str">
        <f t="shared" si="1"/>
        <v>Active</v>
      </c>
      <c r="E337" s="33">
        <v>45062.0</v>
      </c>
      <c r="F337" s="34"/>
      <c r="G337" s="36">
        <f t="shared" si="2"/>
        <v>40.66666667</v>
      </c>
      <c r="H337" s="37">
        <v>42822.0</v>
      </c>
      <c r="I337" s="36">
        <f t="shared" si="4"/>
        <v>6.133333333</v>
      </c>
      <c r="J337" s="38">
        <v>76.0</v>
      </c>
      <c r="K337" s="39">
        <v>8.5</v>
      </c>
      <c r="L337" s="38">
        <v>14.0</v>
      </c>
      <c r="M337" s="40" t="s">
        <v>31</v>
      </c>
      <c r="N337" s="41"/>
      <c r="O337" s="42" t="s">
        <v>149</v>
      </c>
      <c r="P337" s="43"/>
    </row>
    <row r="338">
      <c r="A338" s="44" t="s">
        <v>427</v>
      </c>
      <c r="B338" s="45" t="s">
        <v>45</v>
      </c>
      <c r="C338" s="46" t="s">
        <v>26</v>
      </c>
      <c r="D338" s="47" t="str">
        <f t="shared" si="1"/>
        <v>Active</v>
      </c>
      <c r="E338" s="48">
        <v>45062.0</v>
      </c>
      <c r="F338" s="49"/>
      <c r="G338" s="50">
        <f t="shared" si="2"/>
        <v>40.66666667</v>
      </c>
      <c r="H338" s="51">
        <v>41667.0</v>
      </c>
      <c r="I338" s="50">
        <f t="shared" si="4"/>
        <v>9.3</v>
      </c>
      <c r="J338" s="55">
        <v>85.0</v>
      </c>
      <c r="K338" s="56">
        <v>8.1</v>
      </c>
      <c r="L338" s="55">
        <v>12.0</v>
      </c>
      <c r="M338" s="58" t="s">
        <v>29</v>
      </c>
      <c r="N338" s="59"/>
      <c r="O338" s="60" t="s">
        <v>149</v>
      </c>
      <c r="P338" s="61"/>
    </row>
    <row r="339">
      <c r="A339" s="29" t="s">
        <v>428</v>
      </c>
      <c r="B339" s="30" t="s">
        <v>45</v>
      </c>
      <c r="C339" s="31" t="s">
        <v>26</v>
      </c>
      <c r="D339" s="32" t="str">
        <f t="shared" si="1"/>
        <v>Active</v>
      </c>
      <c r="E339" s="33">
        <v>45062.0</v>
      </c>
      <c r="F339" s="34"/>
      <c r="G339" s="36">
        <f t="shared" si="2"/>
        <v>40.66666667</v>
      </c>
      <c r="H339" s="37">
        <v>43672.0</v>
      </c>
      <c r="I339" s="36">
        <f t="shared" si="4"/>
        <v>3.805555556</v>
      </c>
      <c r="J339" s="38">
        <v>63.0</v>
      </c>
      <c r="K339" s="39">
        <v>3.0</v>
      </c>
      <c r="L339" s="38">
        <v>9.0</v>
      </c>
      <c r="M339" s="40" t="s">
        <v>31</v>
      </c>
      <c r="N339" s="41"/>
      <c r="O339" s="42" t="s">
        <v>149</v>
      </c>
      <c r="P339" s="43"/>
    </row>
    <row r="340">
      <c r="A340" s="44" t="s">
        <v>429</v>
      </c>
      <c r="B340" s="45" t="s">
        <v>25</v>
      </c>
      <c r="C340" s="46" t="s">
        <v>207</v>
      </c>
      <c r="D340" s="47" t="str">
        <f t="shared" si="1"/>
        <v>Active</v>
      </c>
      <c r="E340" s="48">
        <v>45062.0</v>
      </c>
      <c r="F340" s="49"/>
      <c r="G340" s="50">
        <f t="shared" si="2"/>
        <v>40.66666667</v>
      </c>
      <c r="H340" s="51">
        <v>44133.0</v>
      </c>
      <c r="I340" s="50">
        <f t="shared" si="4"/>
        <v>2.547222222</v>
      </c>
      <c r="J340" s="55">
        <v>70.0</v>
      </c>
      <c r="K340" s="56">
        <v>5.5</v>
      </c>
      <c r="L340" s="55">
        <v>18.0</v>
      </c>
      <c r="M340" s="58" t="s">
        <v>29</v>
      </c>
      <c r="N340" s="59"/>
      <c r="O340" s="60" t="s">
        <v>149</v>
      </c>
      <c r="P340" s="61"/>
    </row>
    <row r="341">
      <c r="A341" s="29" t="s">
        <v>430</v>
      </c>
      <c r="B341" s="30" t="s">
        <v>25</v>
      </c>
      <c r="C341" s="31" t="s">
        <v>41</v>
      </c>
      <c r="D341" s="32" t="str">
        <f t="shared" si="1"/>
        <v>Active</v>
      </c>
      <c r="E341" s="33">
        <v>45062.0</v>
      </c>
      <c r="F341" s="34"/>
      <c r="G341" s="36">
        <f t="shared" si="2"/>
        <v>40.66666667</v>
      </c>
      <c r="H341" s="37">
        <v>38899.0</v>
      </c>
      <c r="I341" s="36">
        <f t="shared" si="4"/>
        <v>16.875</v>
      </c>
      <c r="J341" s="38">
        <v>60.0</v>
      </c>
      <c r="K341" s="39">
        <v>6.5</v>
      </c>
      <c r="L341" s="38">
        <v>28.0</v>
      </c>
      <c r="M341" s="40" t="s">
        <v>42</v>
      </c>
      <c r="N341" s="41" t="s">
        <v>115</v>
      </c>
      <c r="O341" s="42" t="s">
        <v>149</v>
      </c>
      <c r="P341" s="67"/>
    </row>
    <row r="342">
      <c r="A342" s="44" t="s">
        <v>431</v>
      </c>
      <c r="B342" s="45" t="s">
        <v>25</v>
      </c>
      <c r="C342" s="46" t="s">
        <v>41</v>
      </c>
      <c r="D342" s="47" t="str">
        <f t="shared" si="1"/>
        <v>Active</v>
      </c>
      <c r="E342" s="48">
        <v>45062.0</v>
      </c>
      <c r="F342" s="49"/>
      <c r="G342" s="50">
        <f t="shared" si="2"/>
        <v>40.66666667</v>
      </c>
      <c r="H342" s="51">
        <v>39357.0</v>
      </c>
      <c r="I342" s="50">
        <f t="shared" si="4"/>
        <v>15.62222222</v>
      </c>
      <c r="J342" s="55">
        <v>85.0</v>
      </c>
      <c r="K342" s="56">
        <v>8.0</v>
      </c>
      <c r="L342" s="55">
        <v>10.0</v>
      </c>
      <c r="M342" s="58" t="s">
        <v>31</v>
      </c>
      <c r="N342" s="59" t="s">
        <v>115</v>
      </c>
      <c r="O342" s="60" t="s">
        <v>149</v>
      </c>
      <c r="P342" s="66"/>
    </row>
    <row r="343">
      <c r="A343" s="29" t="s">
        <v>432</v>
      </c>
      <c r="B343" s="30" t="s">
        <v>25</v>
      </c>
      <c r="C343" s="31" t="s">
        <v>41</v>
      </c>
      <c r="D343" s="32" t="str">
        <f t="shared" si="1"/>
        <v>Active</v>
      </c>
      <c r="E343" s="33">
        <v>45062.0</v>
      </c>
      <c r="F343" s="34"/>
      <c r="G343" s="36">
        <f t="shared" si="2"/>
        <v>40.66666667</v>
      </c>
      <c r="H343" s="37">
        <v>38783.0</v>
      </c>
      <c r="I343" s="36">
        <f t="shared" si="4"/>
        <v>17.19166667</v>
      </c>
      <c r="J343" s="38">
        <v>75.0</v>
      </c>
      <c r="K343" s="39">
        <v>7.3</v>
      </c>
      <c r="L343" s="38">
        <v>9.0</v>
      </c>
      <c r="M343" s="40" t="s">
        <v>95</v>
      </c>
      <c r="N343" s="41" t="s">
        <v>115</v>
      </c>
      <c r="O343" s="42" t="s">
        <v>149</v>
      </c>
      <c r="P343" s="67"/>
    </row>
    <row r="344">
      <c r="A344" s="44" t="s">
        <v>433</v>
      </c>
      <c r="B344" s="45" t="s">
        <v>45</v>
      </c>
      <c r="C344" s="46" t="s">
        <v>46</v>
      </c>
      <c r="D344" s="47" t="str">
        <f t="shared" si="1"/>
        <v>Active</v>
      </c>
      <c r="E344" s="48">
        <v>45062.0</v>
      </c>
      <c r="F344" s="49"/>
      <c r="G344" s="50">
        <f t="shared" si="2"/>
        <v>40.66666667</v>
      </c>
      <c r="H344" s="51">
        <v>43742.0</v>
      </c>
      <c r="I344" s="50">
        <f t="shared" si="4"/>
        <v>3.616666667</v>
      </c>
      <c r="J344" s="55">
        <v>66.0</v>
      </c>
      <c r="K344" s="56">
        <v>7.1</v>
      </c>
      <c r="L344" s="55">
        <v>8.0</v>
      </c>
      <c r="M344" s="58" t="s">
        <v>29</v>
      </c>
      <c r="N344" s="59" t="s">
        <v>43</v>
      </c>
      <c r="O344" s="60" t="s">
        <v>149</v>
      </c>
      <c r="P344" s="66"/>
    </row>
    <row r="345">
      <c r="A345" s="29" t="s">
        <v>434</v>
      </c>
      <c r="B345" s="30" t="s">
        <v>25</v>
      </c>
      <c r="C345" s="31" t="s">
        <v>26</v>
      </c>
      <c r="D345" s="32" t="str">
        <f t="shared" si="1"/>
        <v>Active</v>
      </c>
      <c r="E345" s="33">
        <v>45034.0</v>
      </c>
      <c r="F345" s="34"/>
      <c r="G345" s="36">
        <f t="shared" si="2"/>
        <v>41.6</v>
      </c>
      <c r="H345" s="37">
        <v>35122.0</v>
      </c>
      <c r="I345" s="36">
        <f t="shared" si="4"/>
        <v>27.14166667</v>
      </c>
      <c r="J345" s="76"/>
      <c r="K345" s="39">
        <v>4.0</v>
      </c>
      <c r="L345" s="76"/>
      <c r="M345" s="40" t="s">
        <v>125</v>
      </c>
      <c r="N345" s="41"/>
      <c r="O345" s="42" t="s">
        <v>34</v>
      </c>
      <c r="P345" s="43"/>
    </row>
    <row r="346">
      <c r="A346" s="44" t="s">
        <v>435</v>
      </c>
      <c r="B346" s="45" t="s">
        <v>25</v>
      </c>
      <c r="C346" s="46" t="s">
        <v>26</v>
      </c>
      <c r="D346" s="47" t="str">
        <f t="shared" si="1"/>
        <v>Active</v>
      </c>
      <c r="E346" s="48">
        <v>45034.0</v>
      </c>
      <c r="F346" s="49"/>
      <c r="G346" s="50">
        <f t="shared" si="2"/>
        <v>41.6</v>
      </c>
      <c r="H346" s="51">
        <v>43910.0</v>
      </c>
      <c r="I346" s="50">
        <f t="shared" si="4"/>
        <v>3.077777778</v>
      </c>
      <c r="J346" s="55">
        <v>87.0</v>
      </c>
      <c r="K346" s="56">
        <v>8.9</v>
      </c>
      <c r="L346" s="55">
        <v>15.0</v>
      </c>
      <c r="M346" s="58" t="s">
        <v>31</v>
      </c>
      <c r="N346" s="59"/>
      <c r="O346" s="60" t="s">
        <v>272</v>
      </c>
      <c r="P346" s="61"/>
    </row>
    <row r="347">
      <c r="A347" s="29" t="s">
        <v>436</v>
      </c>
      <c r="B347" s="30" t="s">
        <v>25</v>
      </c>
      <c r="C347" s="31" t="s">
        <v>26</v>
      </c>
      <c r="D347" s="32" t="str">
        <f t="shared" si="1"/>
        <v>Active</v>
      </c>
      <c r="E347" s="33">
        <v>45034.0</v>
      </c>
      <c r="F347" s="34"/>
      <c r="G347" s="36">
        <f t="shared" si="2"/>
        <v>41.6</v>
      </c>
      <c r="H347" s="37">
        <v>43438.0</v>
      </c>
      <c r="I347" s="36">
        <f t="shared" si="4"/>
        <v>4.372222222</v>
      </c>
      <c r="J347" s="38">
        <v>87.0</v>
      </c>
      <c r="K347" s="39">
        <v>8.0</v>
      </c>
      <c r="L347" s="38">
        <v>19.0</v>
      </c>
      <c r="M347" s="40" t="s">
        <v>27</v>
      </c>
      <c r="N347" s="41"/>
      <c r="O347" s="42" t="s">
        <v>149</v>
      </c>
      <c r="P347" s="43"/>
    </row>
    <row r="348">
      <c r="A348" s="44" t="s">
        <v>437</v>
      </c>
      <c r="B348" s="45" t="s">
        <v>25</v>
      </c>
      <c r="C348" s="46" t="s">
        <v>26</v>
      </c>
      <c r="D348" s="47" t="str">
        <f t="shared" si="1"/>
        <v>Active</v>
      </c>
      <c r="E348" s="48">
        <v>45034.0</v>
      </c>
      <c r="F348" s="49"/>
      <c r="G348" s="50">
        <f t="shared" si="2"/>
        <v>41.6</v>
      </c>
      <c r="H348" s="51">
        <v>44147.0</v>
      </c>
      <c r="I348" s="50">
        <f t="shared" si="4"/>
        <v>2.433333333</v>
      </c>
      <c r="J348" s="55">
        <v>83.0</v>
      </c>
      <c r="K348" s="56">
        <v>7.8</v>
      </c>
      <c r="L348" s="55">
        <v>11.0</v>
      </c>
      <c r="M348" s="58" t="s">
        <v>27</v>
      </c>
      <c r="N348" s="59"/>
      <c r="O348" s="60" t="s">
        <v>149</v>
      </c>
      <c r="P348" s="61"/>
    </row>
    <row r="349">
      <c r="A349" s="29" t="s">
        <v>438</v>
      </c>
      <c r="B349" s="30" t="s">
        <v>45</v>
      </c>
      <c r="C349" s="31" t="s">
        <v>26</v>
      </c>
      <c r="D349" s="32" t="str">
        <f t="shared" si="1"/>
        <v>Active</v>
      </c>
      <c r="E349" s="33">
        <v>45034.0</v>
      </c>
      <c r="F349" s="34"/>
      <c r="G349" s="36">
        <f t="shared" si="2"/>
        <v>41.6</v>
      </c>
      <c r="H349" s="37">
        <v>43035.0</v>
      </c>
      <c r="I349" s="36">
        <f t="shared" si="4"/>
        <v>5.475</v>
      </c>
      <c r="J349" s="38">
        <v>87.0</v>
      </c>
      <c r="K349" s="39">
        <v>7.5</v>
      </c>
      <c r="L349" s="38">
        <v>11.0</v>
      </c>
      <c r="M349" s="40" t="s">
        <v>31</v>
      </c>
      <c r="N349" s="41"/>
      <c r="O349" s="42" t="s">
        <v>149</v>
      </c>
      <c r="P349" s="43"/>
    </row>
    <row r="350">
      <c r="A350" s="44" t="s">
        <v>439</v>
      </c>
      <c r="B350" s="45" t="s">
        <v>45</v>
      </c>
      <c r="C350" s="46" t="s">
        <v>26</v>
      </c>
      <c r="D350" s="47" t="str">
        <f t="shared" si="1"/>
        <v>Active</v>
      </c>
      <c r="E350" s="48">
        <v>45034.0</v>
      </c>
      <c r="F350" s="49"/>
      <c r="G350" s="50">
        <f t="shared" si="2"/>
        <v>41.6</v>
      </c>
      <c r="H350" s="51">
        <v>42129.0</v>
      </c>
      <c r="I350" s="50">
        <f t="shared" si="4"/>
        <v>7.952777778</v>
      </c>
      <c r="J350" s="55">
        <v>76.0</v>
      </c>
      <c r="K350" s="56">
        <v>8.1</v>
      </c>
      <c r="L350" s="55">
        <v>6.0</v>
      </c>
      <c r="M350" s="58" t="s">
        <v>31</v>
      </c>
      <c r="N350" s="59"/>
      <c r="O350" s="60" t="s">
        <v>149</v>
      </c>
      <c r="P350" s="61"/>
    </row>
    <row r="351">
      <c r="A351" s="29" t="s">
        <v>440</v>
      </c>
      <c r="B351" s="30" t="s">
        <v>25</v>
      </c>
      <c r="C351" s="31" t="s">
        <v>207</v>
      </c>
      <c r="D351" s="32" t="str">
        <f t="shared" si="1"/>
        <v>Active</v>
      </c>
      <c r="E351" s="33">
        <v>45034.0</v>
      </c>
      <c r="F351" s="34"/>
      <c r="G351" s="36">
        <f t="shared" si="2"/>
        <v>41.6</v>
      </c>
      <c r="H351" s="37">
        <v>44497.0</v>
      </c>
      <c r="I351" s="36">
        <f t="shared" si="4"/>
        <v>1.472222222</v>
      </c>
      <c r="J351" s="38">
        <v>76.0</v>
      </c>
      <c r="K351" s="39">
        <v>5.9</v>
      </c>
      <c r="L351" s="38">
        <v>19.0</v>
      </c>
      <c r="M351" s="40" t="s">
        <v>125</v>
      </c>
      <c r="N351" s="41"/>
      <c r="O351" s="42" t="s">
        <v>149</v>
      </c>
      <c r="P351" s="43"/>
    </row>
    <row r="352">
      <c r="A352" s="44" t="s">
        <v>441</v>
      </c>
      <c r="B352" s="45" t="s">
        <v>45</v>
      </c>
      <c r="C352" s="46" t="s">
        <v>46</v>
      </c>
      <c r="D352" s="47" t="str">
        <f t="shared" si="1"/>
        <v>Active</v>
      </c>
      <c r="E352" s="48">
        <v>45034.0</v>
      </c>
      <c r="F352" s="49"/>
      <c r="G352" s="50">
        <f t="shared" si="2"/>
        <v>41.6</v>
      </c>
      <c r="H352" s="51">
        <v>42241.0</v>
      </c>
      <c r="I352" s="50">
        <f t="shared" si="4"/>
        <v>7.647222222</v>
      </c>
      <c r="J352" s="55">
        <v>80.0</v>
      </c>
      <c r="K352" s="56">
        <v>8.3</v>
      </c>
      <c r="L352" s="55">
        <v>13.0</v>
      </c>
      <c r="M352" s="58" t="s">
        <v>31</v>
      </c>
      <c r="N352" s="59" t="s">
        <v>442</v>
      </c>
      <c r="O352" s="60" t="s">
        <v>149</v>
      </c>
      <c r="P352" s="66"/>
    </row>
    <row r="353">
      <c r="A353" s="29" t="s">
        <v>443</v>
      </c>
      <c r="B353" s="30" t="s">
        <v>45</v>
      </c>
      <c r="C353" s="31" t="s">
        <v>41</v>
      </c>
      <c r="D353" s="32" t="str">
        <f t="shared" si="1"/>
        <v>Active</v>
      </c>
      <c r="E353" s="33">
        <v>45034.0</v>
      </c>
      <c r="F353" s="34"/>
      <c r="G353" s="36">
        <f t="shared" si="2"/>
        <v>41.6</v>
      </c>
      <c r="H353" s="37">
        <v>34313.0</v>
      </c>
      <c r="I353" s="36">
        <f t="shared" si="4"/>
        <v>29.35555556</v>
      </c>
      <c r="J353" s="38">
        <v>83.0</v>
      </c>
      <c r="K353" s="39">
        <v>8.1</v>
      </c>
      <c r="L353" s="38">
        <v>5.0</v>
      </c>
      <c r="M353" s="40" t="s">
        <v>31</v>
      </c>
      <c r="N353" s="41" t="s">
        <v>61</v>
      </c>
      <c r="O353" s="42" t="s">
        <v>149</v>
      </c>
      <c r="P353" s="67"/>
    </row>
    <row r="354">
      <c r="A354" s="44" t="s">
        <v>444</v>
      </c>
      <c r="B354" s="45" t="s">
        <v>45</v>
      </c>
      <c r="C354" s="46" t="s">
        <v>41</v>
      </c>
      <c r="D354" s="47" t="str">
        <f t="shared" si="1"/>
        <v>Active</v>
      </c>
      <c r="E354" s="48">
        <v>45034.0</v>
      </c>
      <c r="F354" s="49"/>
      <c r="G354" s="50">
        <f t="shared" si="2"/>
        <v>41.6</v>
      </c>
      <c r="H354" s="51">
        <v>34607.0</v>
      </c>
      <c r="I354" s="50">
        <f t="shared" si="4"/>
        <v>28.55</v>
      </c>
      <c r="J354" s="55">
        <v>83.0</v>
      </c>
      <c r="K354" s="56">
        <v>8.9</v>
      </c>
      <c r="L354" s="55">
        <v>7.0</v>
      </c>
      <c r="M354" s="58" t="s">
        <v>31</v>
      </c>
      <c r="N354" s="59" t="s">
        <v>61</v>
      </c>
      <c r="O354" s="60" t="s">
        <v>149</v>
      </c>
      <c r="P354" s="66"/>
    </row>
    <row r="355">
      <c r="A355" s="29" t="s">
        <v>445</v>
      </c>
      <c r="B355" s="30" t="s">
        <v>45</v>
      </c>
      <c r="C355" s="31" t="s">
        <v>41</v>
      </c>
      <c r="D355" s="32" t="str">
        <f t="shared" si="1"/>
        <v>Active</v>
      </c>
      <c r="E355" s="33">
        <v>45034.0</v>
      </c>
      <c r="F355" s="34"/>
      <c r="G355" s="36">
        <f t="shared" si="2"/>
        <v>41.6</v>
      </c>
      <c r="H355" s="37">
        <v>35520.0</v>
      </c>
      <c r="I355" s="36">
        <f t="shared" si="4"/>
        <v>26.05</v>
      </c>
      <c r="J355" s="38">
        <v>75.0</v>
      </c>
      <c r="K355" s="39">
        <v>7.1</v>
      </c>
      <c r="L355" s="38">
        <v>7.0</v>
      </c>
      <c r="M355" s="40" t="s">
        <v>31</v>
      </c>
      <c r="N355" s="41" t="s">
        <v>446</v>
      </c>
      <c r="O355" s="42" t="s">
        <v>149</v>
      </c>
      <c r="P355" s="43"/>
    </row>
    <row r="356">
      <c r="A356" s="44" t="s">
        <v>447</v>
      </c>
      <c r="B356" s="45" t="s">
        <v>45</v>
      </c>
      <c r="C356" s="46" t="s">
        <v>41</v>
      </c>
      <c r="D356" s="47" t="str">
        <f t="shared" si="1"/>
        <v>Active</v>
      </c>
      <c r="E356" s="48">
        <v>45034.0</v>
      </c>
      <c r="F356" s="49"/>
      <c r="G356" s="50">
        <f t="shared" si="2"/>
        <v>41.6</v>
      </c>
      <c r="H356" s="51">
        <v>38202.0</v>
      </c>
      <c r="I356" s="50">
        <f t="shared" si="4"/>
        <v>18.70833333</v>
      </c>
      <c r="J356" s="55">
        <v>87.0</v>
      </c>
      <c r="K356" s="56">
        <v>7.7</v>
      </c>
      <c r="L356" s="55">
        <v>11.0</v>
      </c>
      <c r="M356" s="58" t="s">
        <v>31</v>
      </c>
      <c r="N356" s="59" t="s">
        <v>412</v>
      </c>
      <c r="O356" s="60" t="s">
        <v>149</v>
      </c>
      <c r="P356" s="66"/>
    </row>
    <row r="357">
      <c r="A357" s="29" t="s">
        <v>448</v>
      </c>
      <c r="B357" s="30" t="s">
        <v>45</v>
      </c>
      <c r="C357" s="31" t="s">
        <v>26</v>
      </c>
      <c r="D357" s="32" t="str">
        <f t="shared" si="1"/>
        <v>Active</v>
      </c>
      <c r="E357" s="33">
        <v>45024.0</v>
      </c>
      <c r="F357" s="34"/>
      <c r="G357" s="36">
        <f t="shared" si="2"/>
        <v>41.93333333</v>
      </c>
      <c r="H357" s="37">
        <v>41033.0</v>
      </c>
      <c r="I357" s="36">
        <f t="shared" si="4"/>
        <v>10.92777778</v>
      </c>
      <c r="J357" s="38">
        <v>66.0</v>
      </c>
      <c r="K357" s="39">
        <v>7.5</v>
      </c>
      <c r="L357" s="38">
        <v>6.0</v>
      </c>
      <c r="M357" s="40" t="s">
        <v>29</v>
      </c>
      <c r="N357" s="41"/>
      <c r="O357" s="42" t="s">
        <v>149</v>
      </c>
      <c r="P357" s="43"/>
    </row>
    <row r="358">
      <c r="A358" s="44" t="s">
        <v>449</v>
      </c>
      <c r="B358" s="45" t="s">
        <v>33</v>
      </c>
      <c r="C358" s="46" t="s">
        <v>26</v>
      </c>
      <c r="D358" s="47" t="str">
        <f t="shared" si="1"/>
        <v>Active</v>
      </c>
      <c r="E358" s="48">
        <v>45006.0</v>
      </c>
      <c r="F358" s="49"/>
      <c r="G358" s="50">
        <f t="shared" si="2"/>
        <v>42.5</v>
      </c>
      <c r="H358" s="51">
        <v>44589.0</v>
      </c>
      <c r="I358" s="50">
        <f t="shared" si="4"/>
        <v>1.147222222</v>
      </c>
      <c r="J358" s="55">
        <v>87.0</v>
      </c>
      <c r="K358" s="56">
        <v>8.7</v>
      </c>
      <c r="L358" s="55">
        <v>21.0</v>
      </c>
      <c r="M358" s="58" t="s">
        <v>29</v>
      </c>
      <c r="N358" s="59"/>
      <c r="O358" s="60" t="s">
        <v>272</v>
      </c>
      <c r="P358" s="61"/>
    </row>
    <row r="359">
      <c r="A359" s="29" t="s">
        <v>450</v>
      </c>
      <c r="B359" s="30" t="s">
        <v>25</v>
      </c>
      <c r="C359" s="31" t="s">
        <v>26</v>
      </c>
      <c r="D359" s="32" t="str">
        <f t="shared" si="1"/>
        <v>Active</v>
      </c>
      <c r="E359" s="33">
        <v>45006.0</v>
      </c>
      <c r="F359" s="34"/>
      <c r="G359" s="36">
        <f t="shared" si="2"/>
        <v>42.5</v>
      </c>
      <c r="H359" s="37">
        <v>44168.0</v>
      </c>
      <c r="I359" s="36">
        <f t="shared" si="4"/>
        <v>2.3</v>
      </c>
      <c r="J359" s="38">
        <v>77.0</v>
      </c>
      <c r="K359" s="39">
        <v>7.6</v>
      </c>
      <c r="L359" s="38">
        <v>25.0</v>
      </c>
      <c r="M359" s="40" t="s">
        <v>29</v>
      </c>
      <c r="N359" s="41"/>
      <c r="O359" s="42" t="s">
        <v>149</v>
      </c>
      <c r="P359" s="43"/>
    </row>
    <row r="360">
      <c r="A360" s="44" t="s">
        <v>451</v>
      </c>
      <c r="B360" s="45" t="s">
        <v>25</v>
      </c>
      <c r="C360" s="46" t="s">
        <v>26</v>
      </c>
      <c r="D360" s="47" t="str">
        <f t="shared" si="1"/>
        <v>Active</v>
      </c>
      <c r="E360" s="48">
        <v>45006.0</v>
      </c>
      <c r="F360" s="49"/>
      <c r="G360" s="50">
        <f t="shared" si="2"/>
        <v>42.5</v>
      </c>
      <c r="H360" s="51">
        <v>43599.0</v>
      </c>
      <c r="I360" s="50">
        <f t="shared" si="4"/>
        <v>3.852777778</v>
      </c>
      <c r="J360" s="55">
        <v>67.0</v>
      </c>
      <c r="K360" s="56">
        <v>6.1</v>
      </c>
      <c r="L360" s="55">
        <v>11.0</v>
      </c>
      <c r="M360" s="58" t="s">
        <v>31</v>
      </c>
      <c r="N360" s="59"/>
      <c r="O360" s="60" t="s">
        <v>149</v>
      </c>
      <c r="P360" s="61"/>
    </row>
    <row r="361">
      <c r="A361" s="29" t="s">
        <v>452</v>
      </c>
      <c r="B361" s="30" t="s">
        <v>25</v>
      </c>
      <c r="C361" s="31" t="s">
        <v>26</v>
      </c>
      <c r="D361" s="32" t="str">
        <f t="shared" si="1"/>
        <v>Active</v>
      </c>
      <c r="E361" s="33">
        <v>45006.0</v>
      </c>
      <c r="F361" s="34"/>
      <c r="G361" s="36">
        <f t="shared" si="2"/>
        <v>42.5</v>
      </c>
      <c r="H361" s="37">
        <v>44581.0</v>
      </c>
      <c r="I361" s="36">
        <f t="shared" si="4"/>
        <v>1.169444444</v>
      </c>
      <c r="J361" s="38">
        <v>73.0</v>
      </c>
      <c r="K361" s="39">
        <v>5.2</v>
      </c>
      <c r="L361" s="38">
        <v>10.0</v>
      </c>
      <c r="M361" s="40" t="s">
        <v>31</v>
      </c>
      <c r="N361" s="41"/>
      <c r="O361" s="42" t="s">
        <v>149</v>
      </c>
      <c r="P361" s="43"/>
    </row>
    <row r="362">
      <c r="A362" s="44" t="s">
        <v>453</v>
      </c>
      <c r="B362" s="45" t="s">
        <v>25</v>
      </c>
      <c r="C362" s="46" t="s">
        <v>26</v>
      </c>
      <c r="D362" s="47" t="str">
        <f t="shared" si="1"/>
        <v>Active</v>
      </c>
      <c r="E362" s="48">
        <v>45006.0</v>
      </c>
      <c r="F362" s="49"/>
      <c r="G362" s="50">
        <f t="shared" si="2"/>
        <v>42.5</v>
      </c>
      <c r="H362" s="51">
        <v>43709.0</v>
      </c>
      <c r="I362" s="50">
        <f t="shared" si="4"/>
        <v>3.555555556</v>
      </c>
      <c r="J362" s="55">
        <v>80.0</v>
      </c>
      <c r="K362" s="56">
        <v>7.1</v>
      </c>
      <c r="L362" s="55">
        <v>3.0</v>
      </c>
      <c r="M362" s="58" t="s">
        <v>29</v>
      </c>
      <c r="N362" s="59"/>
      <c r="O362" s="60" t="s">
        <v>149</v>
      </c>
      <c r="P362" s="61"/>
    </row>
    <row r="363">
      <c r="A363" s="29" t="s">
        <v>454</v>
      </c>
      <c r="B363" s="30" t="s">
        <v>25</v>
      </c>
      <c r="C363" s="31" t="s">
        <v>41</v>
      </c>
      <c r="D363" s="32" t="str">
        <f t="shared" si="1"/>
        <v>Active</v>
      </c>
      <c r="E363" s="33">
        <v>45006.0</v>
      </c>
      <c r="F363" s="34"/>
      <c r="G363" s="36">
        <f t="shared" si="2"/>
        <v>42.5</v>
      </c>
      <c r="H363" s="37">
        <v>36281.0</v>
      </c>
      <c r="I363" s="36">
        <f t="shared" si="4"/>
        <v>23.88888889</v>
      </c>
      <c r="J363" s="38">
        <v>88.0</v>
      </c>
      <c r="K363" s="39">
        <v>8.7</v>
      </c>
      <c r="L363" s="38">
        <v>2.0</v>
      </c>
      <c r="M363" s="40" t="s">
        <v>95</v>
      </c>
      <c r="N363" s="41" t="s">
        <v>61</v>
      </c>
      <c r="O363" s="42" t="s">
        <v>149</v>
      </c>
      <c r="P363" s="67"/>
    </row>
    <row r="364">
      <c r="A364" s="44" t="s">
        <v>455</v>
      </c>
      <c r="B364" s="45" t="s">
        <v>25</v>
      </c>
      <c r="C364" s="46" t="s">
        <v>41</v>
      </c>
      <c r="D364" s="47" t="str">
        <f t="shared" si="1"/>
        <v>Active</v>
      </c>
      <c r="E364" s="48">
        <v>45006.0</v>
      </c>
      <c r="F364" s="49"/>
      <c r="G364" s="50">
        <f t="shared" si="2"/>
        <v>42.5</v>
      </c>
      <c r="H364" s="51">
        <v>38973.0</v>
      </c>
      <c r="I364" s="50">
        <f t="shared" si="4"/>
        <v>16.52222222</v>
      </c>
      <c r="J364" s="55">
        <v>69.0</v>
      </c>
      <c r="K364" s="56">
        <v>7.7</v>
      </c>
      <c r="L364" s="55">
        <v>4.0</v>
      </c>
      <c r="M364" s="58" t="s">
        <v>51</v>
      </c>
      <c r="N364" s="59" t="s">
        <v>115</v>
      </c>
      <c r="O364" s="60" t="s">
        <v>149</v>
      </c>
      <c r="P364" s="66"/>
    </row>
    <row r="365">
      <c r="A365" s="29" t="s">
        <v>456</v>
      </c>
      <c r="B365" s="30" t="s">
        <v>25</v>
      </c>
      <c r="C365" s="31" t="s">
        <v>41</v>
      </c>
      <c r="D365" s="32" t="str">
        <f t="shared" si="1"/>
        <v>Active</v>
      </c>
      <c r="E365" s="33">
        <v>45006.0</v>
      </c>
      <c r="F365" s="34"/>
      <c r="G365" s="36">
        <f t="shared" si="2"/>
        <v>42.5</v>
      </c>
      <c r="H365" s="37">
        <v>38790.0</v>
      </c>
      <c r="I365" s="36">
        <f t="shared" si="4"/>
        <v>17.01944444</v>
      </c>
      <c r="J365" s="38">
        <v>87.0</v>
      </c>
      <c r="K365" s="39">
        <v>8.5</v>
      </c>
      <c r="L365" s="38">
        <v>7.0</v>
      </c>
      <c r="M365" s="40" t="s">
        <v>31</v>
      </c>
      <c r="N365" s="41" t="s">
        <v>115</v>
      </c>
      <c r="O365" s="42" t="s">
        <v>149</v>
      </c>
      <c r="P365" s="67"/>
    </row>
    <row r="366">
      <c r="A366" s="44" t="s">
        <v>457</v>
      </c>
      <c r="B366" s="45" t="s">
        <v>25</v>
      </c>
      <c r="C366" s="46" t="s">
        <v>26</v>
      </c>
      <c r="D366" s="47" t="str">
        <f t="shared" si="1"/>
        <v>Active</v>
      </c>
      <c r="E366" s="48">
        <v>44978.0</v>
      </c>
      <c r="F366" s="49"/>
      <c r="G366" s="50">
        <f t="shared" si="2"/>
        <v>43.5</v>
      </c>
      <c r="H366" s="51">
        <v>44405.0</v>
      </c>
      <c r="I366" s="50">
        <f t="shared" si="4"/>
        <v>1.563888889</v>
      </c>
      <c r="J366" s="55">
        <v>85.0</v>
      </c>
      <c r="K366" s="56">
        <v>8.2</v>
      </c>
      <c r="L366" s="55">
        <v>6.0</v>
      </c>
      <c r="M366" s="58" t="s">
        <v>29</v>
      </c>
      <c r="N366" s="59"/>
      <c r="O366" s="60" t="s">
        <v>149</v>
      </c>
      <c r="P366" s="61"/>
    </row>
    <row r="367">
      <c r="A367" s="29" t="s">
        <v>458</v>
      </c>
      <c r="B367" s="30" t="s">
        <v>45</v>
      </c>
      <c r="C367" s="31" t="s">
        <v>26</v>
      </c>
      <c r="D367" s="32" t="str">
        <f t="shared" si="1"/>
        <v>Active</v>
      </c>
      <c r="E367" s="33">
        <v>44978.0</v>
      </c>
      <c r="F367" s="34"/>
      <c r="G367" s="36">
        <f t="shared" si="2"/>
        <v>43.5</v>
      </c>
      <c r="H367" s="37">
        <v>43445.0</v>
      </c>
      <c r="I367" s="36">
        <f t="shared" si="4"/>
        <v>4.194444444</v>
      </c>
      <c r="J367" s="38">
        <v>72.0</v>
      </c>
      <c r="K367" s="39">
        <v>7.5</v>
      </c>
      <c r="L367" s="38">
        <v>28.0</v>
      </c>
      <c r="M367" s="40" t="s">
        <v>31</v>
      </c>
      <c r="N367" s="41"/>
      <c r="O367" s="42" t="s">
        <v>149</v>
      </c>
      <c r="P367" s="43"/>
    </row>
    <row r="368">
      <c r="A368" s="44" t="s">
        <v>459</v>
      </c>
      <c r="B368" s="45" t="s">
        <v>25</v>
      </c>
      <c r="C368" s="46" t="s">
        <v>41</v>
      </c>
      <c r="D368" s="47" t="str">
        <f t="shared" si="1"/>
        <v>Active</v>
      </c>
      <c r="E368" s="48">
        <v>44978.0</v>
      </c>
      <c r="F368" s="49"/>
      <c r="G368" s="50">
        <f t="shared" si="2"/>
        <v>43.5</v>
      </c>
      <c r="H368" s="51">
        <v>36852.0</v>
      </c>
      <c r="I368" s="50">
        <f t="shared" si="4"/>
        <v>22.24722222</v>
      </c>
      <c r="J368" s="55">
        <v>82.0</v>
      </c>
      <c r="K368" s="56">
        <v>8.8</v>
      </c>
      <c r="L368" s="55">
        <v>86.0</v>
      </c>
      <c r="M368" s="58" t="s">
        <v>103</v>
      </c>
      <c r="N368" s="59" t="s">
        <v>61</v>
      </c>
      <c r="O368" s="60" t="s">
        <v>149</v>
      </c>
      <c r="P368" s="66"/>
    </row>
    <row r="369">
      <c r="A369" s="29" t="s">
        <v>460</v>
      </c>
      <c r="B369" s="30" t="s">
        <v>25</v>
      </c>
      <c r="C369" s="31" t="s">
        <v>41</v>
      </c>
      <c r="D369" s="32" t="str">
        <f t="shared" si="1"/>
        <v>Active</v>
      </c>
      <c r="E369" s="33">
        <v>44978.0</v>
      </c>
      <c r="F369" s="34"/>
      <c r="G369" s="36">
        <f t="shared" si="2"/>
        <v>43.5</v>
      </c>
      <c r="H369" s="37">
        <v>36688.0</v>
      </c>
      <c r="I369" s="36">
        <f t="shared" si="4"/>
        <v>22.69444444</v>
      </c>
      <c r="J369" s="38">
        <v>74.0</v>
      </c>
      <c r="K369" s="39">
        <v>8.8</v>
      </c>
      <c r="L369" s="38">
        <v>49.0</v>
      </c>
      <c r="M369" s="40" t="s">
        <v>42</v>
      </c>
      <c r="N369" s="41" t="s">
        <v>61</v>
      </c>
      <c r="O369" s="42" t="s">
        <v>149</v>
      </c>
      <c r="P369" s="67"/>
    </row>
    <row r="370">
      <c r="A370" s="44" t="s">
        <v>461</v>
      </c>
      <c r="B370" s="45" t="s">
        <v>45</v>
      </c>
      <c r="C370" s="46" t="s">
        <v>26</v>
      </c>
      <c r="D370" s="47" t="str">
        <f t="shared" si="1"/>
        <v>Active</v>
      </c>
      <c r="E370" s="48">
        <v>44943.0</v>
      </c>
      <c r="F370" s="49"/>
      <c r="G370" s="50">
        <f t="shared" si="2"/>
        <v>44.63333333</v>
      </c>
      <c r="H370" s="51">
        <v>43696.0</v>
      </c>
      <c r="I370" s="50">
        <f t="shared" si="4"/>
        <v>3.411111111</v>
      </c>
      <c r="J370" s="55">
        <v>69.0</v>
      </c>
      <c r="K370" s="56">
        <v>6.8</v>
      </c>
      <c r="L370" s="55">
        <v>2.0</v>
      </c>
      <c r="M370" s="58" t="s">
        <v>29</v>
      </c>
      <c r="N370" s="59"/>
      <c r="O370" s="60" t="s">
        <v>149</v>
      </c>
      <c r="P370" s="61"/>
    </row>
    <row r="371">
      <c r="A371" s="29" t="s">
        <v>462</v>
      </c>
      <c r="B371" s="30" t="s">
        <v>25</v>
      </c>
      <c r="C371" s="31" t="s">
        <v>41</v>
      </c>
      <c r="D371" s="32" t="str">
        <f t="shared" si="1"/>
        <v>Active</v>
      </c>
      <c r="E371" s="33">
        <v>44943.0</v>
      </c>
      <c r="F371" s="34"/>
      <c r="G371" s="36">
        <f t="shared" si="2"/>
        <v>44.63333333</v>
      </c>
      <c r="H371" s="37">
        <v>36644.0</v>
      </c>
      <c r="I371" s="36">
        <f t="shared" si="4"/>
        <v>22.71944444</v>
      </c>
      <c r="J371" s="38">
        <v>81.0</v>
      </c>
      <c r="K371" s="39">
        <v>8.7</v>
      </c>
      <c r="L371" s="38">
        <v>17.0</v>
      </c>
      <c r="M371" s="40" t="s">
        <v>125</v>
      </c>
      <c r="N371" s="41" t="s">
        <v>61</v>
      </c>
      <c r="O371" s="42" t="s">
        <v>149</v>
      </c>
      <c r="P371" s="67"/>
    </row>
    <row r="372">
      <c r="A372" s="44" t="s">
        <v>463</v>
      </c>
      <c r="B372" s="45" t="s">
        <v>25</v>
      </c>
      <c r="C372" s="46" t="s">
        <v>41</v>
      </c>
      <c r="D372" s="47" t="str">
        <f t="shared" si="1"/>
        <v>Active</v>
      </c>
      <c r="E372" s="48">
        <v>44943.0</v>
      </c>
      <c r="F372" s="49"/>
      <c r="G372" s="50">
        <f t="shared" si="2"/>
        <v>44.63333333</v>
      </c>
      <c r="H372" s="51">
        <v>36842.0</v>
      </c>
      <c r="I372" s="50">
        <f t="shared" si="4"/>
        <v>22.18055556</v>
      </c>
      <c r="J372" s="55">
        <v>63.0</v>
      </c>
      <c r="K372" s="56">
        <v>7.1</v>
      </c>
      <c r="L372" s="55">
        <v>20.0</v>
      </c>
      <c r="M372" s="58" t="s">
        <v>29</v>
      </c>
      <c r="N372" s="59" t="s">
        <v>61</v>
      </c>
      <c r="O372" s="60" t="s">
        <v>149</v>
      </c>
      <c r="P372" s="66"/>
    </row>
    <row r="373">
      <c r="A373" s="29" t="s">
        <v>464</v>
      </c>
      <c r="B373" s="30" t="s">
        <v>25</v>
      </c>
      <c r="C373" s="31" t="s">
        <v>41</v>
      </c>
      <c r="D373" s="32" t="str">
        <f t="shared" si="1"/>
        <v>Active</v>
      </c>
      <c r="E373" s="33">
        <v>44943.0</v>
      </c>
      <c r="F373" s="34"/>
      <c r="G373" s="36">
        <f t="shared" si="2"/>
        <v>44.63333333</v>
      </c>
      <c r="H373" s="37">
        <v>37200.0</v>
      </c>
      <c r="I373" s="36">
        <f t="shared" si="4"/>
        <v>21.2</v>
      </c>
      <c r="J373" s="38">
        <v>73.0</v>
      </c>
      <c r="K373" s="39">
        <v>8.6</v>
      </c>
      <c r="L373" s="38">
        <v>8.0</v>
      </c>
      <c r="M373" s="40" t="s">
        <v>31</v>
      </c>
      <c r="N373" s="41" t="s">
        <v>61</v>
      </c>
      <c r="O373" s="42" t="s">
        <v>149</v>
      </c>
      <c r="P373" s="67"/>
    </row>
    <row r="374">
      <c r="A374" s="44" t="s">
        <v>465</v>
      </c>
      <c r="B374" s="45" t="s">
        <v>25</v>
      </c>
      <c r="C374" s="46" t="s">
        <v>26</v>
      </c>
      <c r="D374" s="47" t="str">
        <f t="shared" si="1"/>
        <v>Active</v>
      </c>
      <c r="E374" s="48">
        <v>44915.0</v>
      </c>
      <c r="F374" s="49"/>
      <c r="G374" s="50">
        <f t="shared" si="2"/>
        <v>45.53333333</v>
      </c>
      <c r="H374" s="51">
        <v>44113.0</v>
      </c>
      <c r="I374" s="50">
        <f t="shared" si="4"/>
        <v>2.197222222</v>
      </c>
      <c r="J374" s="55">
        <v>70.0</v>
      </c>
      <c r="K374" s="56">
        <v>5.2</v>
      </c>
      <c r="L374" s="55">
        <v>4.0</v>
      </c>
      <c r="M374" s="58" t="s">
        <v>29</v>
      </c>
      <c r="N374" s="59"/>
      <c r="O374" s="60" t="s">
        <v>149</v>
      </c>
      <c r="P374" s="61"/>
    </row>
    <row r="375">
      <c r="A375" s="29" t="s">
        <v>466</v>
      </c>
      <c r="B375" s="30" t="s">
        <v>25</v>
      </c>
      <c r="C375" s="31" t="s">
        <v>26</v>
      </c>
      <c r="D375" s="32" t="str">
        <f t="shared" si="1"/>
        <v>Active</v>
      </c>
      <c r="E375" s="33">
        <v>44915.0</v>
      </c>
      <c r="F375" s="34"/>
      <c r="G375" s="36">
        <f t="shared" si="2"/>
        <v>45.53333333</v>
      </c>
      <c r="H375" s="37">
        <v>44225.0</v>
      </c>
      <c r="I375" s="36">
        <f t="shared" si="4"/>
        <v>1.891666667</v>
      </c>
      <c r="J375" s="38">
        <v>80.0</v>
      </c>
      <c r="K375" s="39">
        <v>7.5</v>
      </c>
      <c r="L375" s="38">
        <v>4.0</v>
      </c>
      <c r="M375" s="40" t="s">
        <v>136</v>
      </c>
      <c r="N375" s="41"/>
      <c r="O375" s="42" t="s">
        <v>149</v>
      </c>
      <c r="P375" s="43"/>
    </row>
    <row r="376">
      <c r="A376" s="44" t="s">
        <v>467</v>
      </c>
      <c r="B376" s="45" t="s">
        <v>45</v>
      </c>
      <c r="C376" s="46" t="s">
        <v>26</v>
      </c>
      <c r="D376" s="47" t="str">
        <f t="shared" si="1"/>
        <v>Active</v>
      </c>
      <c r="E376" s="48">
        <v>44915.0</v>
      </c>
      <c r="F376" s="49"/>
      <c r="G376" s="50">
        <f t="shared" si="2"/>
        <v>45.53333333</v>
      </c>
      <c r="H376" s="51">
        <v>43298.0</v>
      </c>
      <c r="I376" s="50">
        <f t="shared" si="4"/>
        <v>4.425</v>
      </c>
      <c r="J376" s="55">
        <v>62.0</v>
      </c>
      <c r="K376" s="56">
        <v>6.3</v>
      </c>
      <c r="L376" s="55">
        <v>6.0</v>
      </c>
      <c r="M376" s="58" t="s">
        <v>42</v>
      </c>
      <c r="N376" s="59"/>
      <c r="O376" s="60" t="s">
        <v>149</v>
      </c>
      <c r="P376" s="61"/>
    </row>
    <row r="377">
      <c r="A377" s="29" t="s">
        <v>468</v>
      </c>
      <c r="B377" s="30" t="s">
        <v>45</v>
      </c>
      <c r="C377" s="31" t="s">
        <v>26</v>
      </c>
      <c r="D377" s="32" t="str">
        <f t="shared" si="1"/>
        <v>Active</v>
      </c>
      <c r="E377" s="33">
        <v>44915.0</v>
      </c>
      <c r="F377" s="34"/>
      <c r="G377" s="36">
        <f t="shared" si="2"/>
        <v>45.53333333</v>
      </c>
      <c r="H377" s="37">
        <v>43917.0</v>
      </c>
      <c r="I377" s="36">
        <f t="shared" si="4"/>
        <v>2.730555556</v>
      </c>
      <c r="J377" s="38">
        <v>70.0</v>
      </c>
      <c r="K377" s="39">
        <v>10.0</v>
      </c>
      <c r="L377" s="38">
        <v>6.0</v>
      </c>
      <c r="M377" s="40" t="s">
        <v>29</v>
      </c>
      <c r="N377" s="41"/>
      <c r="O377" s="42" t="s">
        <v>149</v>
      </c>
      <c r="P377" s="43"/>
    </row>
    <row r="378">
      <c r="A378" s="44" t="s">
        <v>469</v>
      </c>
      <c r="B378" s="45" t="s">
        <v>45</v>
      </c>
      <c r="C378" s="46" t="s">
        <v>26</v>
      </c>
      <c r="D378" s="47" t="str">
        <f t="shared" si="1"/>
        <v>Active</v>
      </c>
      <c r="E378" s="48">
        <v>44915.0</v>
      </c>
      <c r="F378" s="49"/>
      <c r="G378" s="50">
        <f t="shared" si="2"/>
        <v>45.53333333</v>
      </c>
      <c r="H378" s="51">
        <v>42605.0</v>
      </c>
      <c r="I378" s="50">
        <f t="shared" si="4"/>
        <v>6.325</v>
      </c>
      <c r="J378" s="55">
        <v>78.0</v>
      </c>
      <c r="K378" s="56">
        <v>7.1</v>
      </c>
      <c r="L378" s="55">
        <v>14.0</v>
      </c>
      <c r="M378" s="58" t="s">
        <v>103</v>
      </c>
      <c r="N378" s="59"/>
      <c r="O378" s="60" t="s">
        <v>149</v>
      </c>
      <c r="P378" s="61"/>
    </row>
    <row r="379">
      <c r="A379" s="29" t="s">
        <v>470</v>
      </c>
      <c r="B379" s="30" t="s">
        <v>45</v>
      </c>
      <c r="C379" s="31" t="s">
        <v>207</v>
      </c>
      <c r="D379" s="32" t="str">
        <f t="shared" si="1"/>
        <v>Active</v>
      </c>
      <c r="E379" s="33">
        <v>44915.0</v>
      </c>
      <c r="F379" s="34"/>
      <c r="G379" s="36">
        <f t="shared" si="2"/>
        <v>45.53333333</v>
      </c>
      <c r="H379" s="37">
        <v>43511.0</v>
      </c>
      <c r="I379" s="36">
        <f t="shared" si="4"/>
        <v>3.847222222</v>
      </c>
      <c r="J379" s="38">
        <v>71.0</v>
      </c>
      <c r="K379" s="39">
        <v>4.6</v>
      </c>
      <c r="L379" s="38">
        <v>11.0</v>
      </c>
      <c r="M379" s="40" t="s">
        <v>31</v>
      </c>
      <c r="N379" s="41"/>
      <c r="O379" s="42" t="s">
        <v>149</v>
      </c>
      <c r="P379" s="43"/>
    </row>
    <row r="380">
      <c r="A380" s="44" t="s">
        <v>471</v>
      </c>
      <c r="B380" s="45" t="s">
        <v>45</v>
      </c>
      <c r="C380" s="46" t="s">
        <v>207</v>
      </c>
      <c r="D380" s="47" t="str">
        <f t="shared" si="1"/>
        <v>Active</v>
      </c>
      <c r="E380" s="48">
        <v>44915.0</v>
      </c>
      <c r="F380" s="49"/>
      <c r="G380" s="50">
        <f t="shared" si="2"/>
        <v>45.53333333</v>
      </c>
      <c r="H380" s="51">
        <v>42423.0</v>
      </c>
      <c r="I380" s="50">
        <f t="shared" si="4"/>
        <v>6.825</v>
      </c>
      <c r="J380" s="55">
        <v>76.0</v>
      </c>
      <c r="K380" s="56">
        <v>6.7</v>
      </c>
      <c r="L380" s="55">
        <v>15.0</v>
      </c>
      <c r="M380" s="58" t="s">
        <v>31</v>
      </c>
      <c r="N380" s="59"/>
      <c r="O380" s="60" t="s">
        <v>149</v>
      </c>
      <c r="P380" s="61"/>
    </row>
    <row r="381">
      <c r="A381" s="29" t="s">
        <v>472</v>
      </c>
      <c r="B381" s="30" t="s">
        <v>25</v>
      </c>
      <c r="C381" s="31" t="s">
        <v>41</v>
      </c>
      <c r="D381" s="32" t="str">
        <f t="shared" si="1"/>
        <v>Active</v>
      </c>
      <c r="E381" s="33">
        <v>44915.0</v>
      </c>
      <c r="F381" s="34"/>
      <c r="G381" s="36">
        <f t="shared" si="2"/>
        <v>45.53333333</v>
      </c>
      <c r="H381" s="37">
        <v>36099.0</v>
      </c>
      <c r="I381" s="36">
        <f t="shared" si="4"/>
        <v>24.13888889</v>
      </c>
      <c r="J381" s="38">
        <v>88.0</v>
      </c>
      <c r="K381" s="39">
        <v>8.6</v>
      </c>
      <c r="L381" s="38">
        <v>15.0</v>
      </c>
      <c r="M381" s="40" t="s">
        <v>29</v>
      </c>
      <c r="N381" s="41" t="s">
        <v>61</v>
      </c>
      <c r="O381" s="42" t="s">
        <v>149</v>
      </c>
      <c r="P381" s="67"/>
    </row>
    <row r="382">
      <c r="A382" s="44" t="s">
        <v>473</v>
      </c>
      <c r="B382" s="45" t="s">
        <v>25</v>
      </c>
      <c r="C382" s="46" t="s">
        <v>41</v>
      </c>
      <c r="D382" s="47" t="str">
        <f t="shared" si="1"/>
        <v>Active</v>
      </c>
      <c r="E382" s="48">
        <v>44915.0</v>
      </c>
      <c r="F382" s="49"/>
      <c r="G382" s="50">
        <f t="shared" si="2"/>
        <v>45.53333333</v>
      </c>
      <c r="H382" s="51">
        <v>39406.0</v>
      </c>
      <c r="I382" s="50">
        <f t="shared" si="4"/>
        <v>15.08333333</v>
      </c>
      <c r="J382" s="55">
        <v>75.0</v>
      </c>
      <c r="K382" s="56">
        <v>7.8</v>
      </c>
      <c r="L382" s="55">
        <v>1.5</v>
      </c>
      <c r="M382" s="58" t="s">
        <v>125</v>
      </c>
      <c r="N382" s="59" t="s">
        <v>115</v>
      </c>
      <c r="O382" s="60" t="s">
        <v>149</v>
      </c>
      <c r="P382" s="66"/>
    </row>
    <row r="383">
      <c r="A383" s="29" t="s">
        <v>474</v>
      </c>
      <c r="B383" s="30" t="s">
        <v>25</v>
      </c>
      <c r="C383" s="31" t="s">
        <v>41</v>
      </c>
      <c r="D383" s="32" t="str">
        <f t="shared" si="1"/>
        <v>Active</v>
      </c>
      <c r="E383" s="33">
        <v>44915.0</v>
      </c>
      <c r="F383" s="34"/>
      <c r="G383" s="36">
        <f t="shared" si="2"/>
        <v>45.53333333</v>
      </c>
      <c r="H383" s="37">
        <v>38974.0</v>
      </c>
      <c r="I383" s="36">
        <f t="shared" si="4"/>
        <v>16.26666667</v>
      </c>
      <c r="J383" s="38">
        <v>81.0</v>
      </c>
      <c r="K383" s="39">
        <v>7.8</v>
      </c>
      <c r="L383" s="38">
        <v>11.0</v>
      </c>
      <c r="M383" s="40" t="s">
        <v>95</v>
      </c>
      <c r="N383" s="41" t="s">
        <v>115</v>
      </c>
      <c r="O383" s="42" t="s">
        <v>149</v>
      </c>
      <c r="P383" s="67"/>
    </row>
    <row r="384">
      <c r="A384" s="44" t="s">
        <v>475</v>
      </c>
      <c r="B384" s="45" t="s">
        <v>25</v>
      </c>
      <c r="C384" s="46" t="s">
        <v>476</v>
      </c>
      <c r="D384" s="47" t="str">
        <f t="shared" si="1"/>
        <v>Active</v>
      </c>
      <c r="E384" s="48">
        <v>44915.0</v>
      </c>
      <c r="F384" s="49"/>
      <c r="G384" s="50">
        <f t="shared" si="2"/>
        <v>45.53333333</v>
      </c>
      <c r="H384" s="51">
        <v>39337.0</v>
      </c>
      <c r="I384" s="50">
        <f t="shared" si="4"/>
        <v>15.27222222</v>
      </c>
      <c r="J384" s="55">
        <v>79.0</v>
      </c>
      <c r="K384" s="56">
        <v>8.1</v>
      </c>
      <c r="L384" s="55">
        <v>7.0</v>
      </c>
      <c r="M384" s="58" t="s">
        <v>29</v>
      </c>
      <c r="N384" s="59" t="s">
        <v>442</v>
      </c>
      <c r="O384" s="60" t="s">
        <v>149</v>
      </c>
      <c r="P384" s="66"/>
    </row>
    <row r="385">
      <c r="A385" s="29" t="s">
        <v>477</v>
      </c>
      <c r="B385" s="30" t="s">
        <v>25</v>
      </c>
      <c r="C385" s="31" t="s">
        <v>26</v>
      </c>
      <c r="D385" s="32" t="str">
        <f t="shared" si="1"/>
        <v>Active</v>
      </c>
      <c r="E385" s="33">
        <v>44880.0</v>
      </c>
      <c r="F385" s="34"/>
      <c r="G385" s="36">
        <f t="shared" si="2"/>
        <v>46.7</v>
      </c>
      <c r="H385" s="37">
        <v>42572.0</v>
      </c>
      <c r="I385" s="36">
        <f t="shared" si="4"/>
        <v>6.316666667</v>
      </c>
      <c r="J385" s="38">
        <v>85.0</v>
      </c>
      <c r="K385" s="39">
        <v>8.6</v>
      </c>
      <c r="L385" s="38">
        <v>37.0</v>
      </c>
      <c r="M385" s="40" t="s">
        <v>42</v>
      </c>
      <c r="N385" s="41"/>
      <c r="O385" s="42" t="s">
        <v>34</v>
      </c>
      <c r="P385" s="43"/>
    </row>
    <row r="386">
      <c r="A386" s="44" t="s">
        <v>478</v>
      </c>
      <c r="B386" s="45" t="s">
        <v>25</v>
      </c>
      <c r="C386" s="46" t="s">
        <v>26</v>
      </c>
      <c r="D386" s="47" t="str">
        <f t="shared" si="1"/>
        <v>Active</v>
      </c>
      <c r="E386" s="48">
        <v>44880.0</v>
      </c>
      <c r="F386" s="49"/>
      <c r="G386" s="50">
        <f t="shared" si="2"/>
        <v>46.7</v>
      </c>
      <c r="H386" s="51">
        <v>44292.0</v>
      </c>
      <c r="I386" s="50">
        <f t="shared" si="4"/>
        <v>1.608333333</v>
      </c>
      <c r="J386" s="55">
        <v>80.0</v>
      </c>
      <c r="K386" s="56">
        <v>5.5</v>
      </c>
      <c r="L386" s="55">
        <v>18.5</v>
      </c>
      <c r="M386" s="58" t="s">
        <v>27</v>
      </c>
      <c r="N386" s="59"/>
      <c r="O386" s="60" t="s">
        <v>149</v>
      </c>
      <c r="P386" s="61"/>
    </row>
    <row r="387">
      <c r="A387" s="29" t="s">
        <v>479</v>
      </c>
      <c r="B387" s="30" t="s">
        <v>25</v>
      </c>
      <c r="C387" s="31" t="s">
        <v>26</v>
      </c>
      <c r="D387" s="32" t="str">
        <f t="shared" si="1"/>
        <v>Active</v>
      </c>
      <c r="E387" s="33">
        <v>44880.0</v>
      </c>
      <c r="F387" s="34"/>
      <c r="G387" s="36">
        <f t="shared" si="2"/>
        <v>46.7</v>
      </c>
      <c r="H387" s="37">
        <v>44511.0</v>
      </c>
      <c r="I387" s="36">
        <f t="shared" si="4"/>
        <v>1.011111111</v>
      </c>
      <c r="J387" s="38">
        <v>81.0</v>
      </c>
      <c r="K387" s="39">
        <v>7.6</v>
      </c>
      <c r="L387" s="38">
        <v>25.5</v>
      </c>
      <c r="M387" s="40" t="s">
        <v>42</v>
      </c>
      <c r="N387" s="41"/>
      <c r="O387" s="42" t="s">
        <v>149</v>
      </c>
      <c r="P387" s="43"/>
    </row>
    <row r="388">
      <c r="A388" s="44" t="s">
        <v>480</v>
      </c>
      <c r="B388" s="45" t="s">
        <v>25</v>
      </c>
      <c r="C388" s="46" t="s">
        <v>26</v>
      </c>
      <c r="D388" s="47" t="str">
        <f t="shared" si="1"/>
        <v>Active</v>
      </c>
      <c r="E388" s="48">
        <v>44880.0</v>
      </c>
      <c r="F388" s="49"/>
      <c r="G388" s="50">
        <f t="shared" si="2"/>
        <v>46.7</v>
      </c>
      <c r="H388" s="51">
        <v>43363.0</v>
      </c>
      <c r="I388" s="50">
        <f t="shared" si="4"/>
        <v>4.152777778</v>
      </c>
      <c r="J388" s="55">
        <v>75.0</v>
      </c>
      <c r="K388" s="56">
        <v>6.1</v>
      </c>
      <c r="L388" s="55">
        <v>2.5</v>
      </c>
      <c r="M388" s="58" t="s">
        <v>29</v>
      </c>
      <c r="N388" s="59"/>
      <c r="O388" s="60" t="s">
        <v>149</v>
      </c>
      <c r="P388" s="61"/>
    </row>
    <row r="389">
      <c r="A389" s="29" t="s">
        <v>481</v>
      </c>
      <c r="B389" s="30" t="s">
        <v>45</v>
      </c>
      <c r="C389" s="31" t="s">
        <v>26</v>
      </c>
      <c r="D389" s="32" t="str">
        <f t="shared" si="1"/>
        <v>Active</v>
      </c>
      <c r="E389" s="33">
        <v>44880.0</v>
      </c>
      <c r="F389" s="34"/>
      <c r="G389" s="36">
        <f t="shared" si="2"/>
        <v>46.7</v>
      </c>
      <c r="H389" s="37">
        <v>43566.0</v>
      </c>
      <c r="I389" s="36">
        <f t="shared" si="4"/>
        <v>3.594444444</v>
      </c>
      <c r="J389" s="38">
        <v>69.0</v>
      </c>
      <c r="K389" s="39">
        <v>5.2</v>
      </c>
      <c r="L389" s="38">
        <v>9.5</v>
      </c>
      <c r="M389" s="40" t="s">
        <v>31</v>
      </c>
      <c r="N389" s="41"/>
      <c r="O389" s="42" t="s">
        <v>149</v>
      </c>
      <c r="P389" s="43"/>
    </row>
    <row r="390">
      <c r="A390" s="44" t="s">
        <v>482</v>
      </c>
      <c r="B390" s="45" t="s">
        <v>45</v>
      </c>
      <c r="C390" s="46" t="s">
        <v>26</v>
      </c>
      <c r="D390" s="47" t="str">
        <f t="shared" si="1"/>
        <v>Active</v>
      </c>
      <c r="E390" s="48">
        <v>44880.0</v>
      </c>
      <c r="F390" s="49"/>
      <c r="G390" s="50">
        <f t="shared" si="2"/>
        <v>46.7</v>
      </c>
      <c r="H390" s="51">
        <v>44098.0</v>
      </c>
      <c r="I390" s="50">
        <f t="shared" si="4"/>
        <v>2.141666667</v>
      </c>
      <c r="J390" s="55">
        <v>75.0</v>
      </c>
      <c r="K390" s="56">
        <v>5.0</v>
      </c>
      <c r="L390" s="55">
        <v>12.5</v>
      </c>
      <c r="M390" s="58" t="s">
        <v>31</v>
      </c>
      <c r="N390" s="59"/>
      <c r="O390" s="60" t="s">
        <v>149</v>
      </c>
      <c r="P390" s="61"/>
    </row>
    <row r="391">
      <c r="A391" s="29" t="s">
        <v>483</v>
      </c>
      <c r="B391" s="30" t="s">
        <v>25</v>
      </c>
      <c r="C391" s="31" t="s">
        <v>207</v>
      </c>
      <c r="D391" s="32" t="str">
        <f t="shared" si="1"/>
        <v>Active</v>
      </c>
      <c r="E391" s="33">
        <v>44880.0</v>
      </c>
      <c r="F391" s="34"/>
      <c r="G391" s="36">
        <f t="shared" si="2"/>
        <v>46.7</v>
      </c>
      <c r="H391" s="37">
        <v>42339.0</v>
      </c>
      <c r="I391" s="36">
        <f t="shared" si="4"/>
        <v>6.955555556</v>
      </c>
      <c r="J391" s="38">
        <v>73.0</v>
      </c>
      <c r="K391" s="39">
        <v>7.2</v>
      </c>
      <c r="L391" s="38">
        <v>10.5</v>
      </c>
      <c r="M391" s="40" t="s">
        <v>31</v>
      </c>
      <c r="N391" s="41"/>
      <c r="O391" s="42" t="s">
        <v>149</v>
      </c>
      <c r="P391" s="43"/>
    </row>
    <row r="392">
      <c r="A392" s="44" t="s">
        <v>484</v>
      </c>
      <c r="B392" s="45" t="s">
        <v>45</v>
      </c>
      <c r="C392" s="46" t="s">
        <v>207</v>
      </c>
      <c r="D392" s="47" t="str">
        <f t="shared" si="1"/>
        <v>Active</v>
      </c>
      <c r="E392" s="48">
        <v>44880.0</v>
      </c>
      <c r="F392" s="49"/>
      <c r="G392" s="50">
        <f t="shared" si="2"/>
        <v>46.7</v>
      </c>
      <c r="H392" s="51">
        <v>43539.0</v>
      </c>
      <c r="I392" s="50">
        <f t="shared" si="4"/>
        <v>3.666666667</v>
      </c>
      <c r="J392" s="55">
        <v>82.0</v>
      </c>
      <c r="K392" s="56">
        <v>6.2</v>
      </c>
      <c r="L392" s="55">
        <v>26.5</v>
      </c>
      <c r="M392" s="58" t="s">
        <v>31</v>
      </c>
      <c r="N392" s="59"/>
      <c r="O392" s="60" t="s">
        <v>149</v>
      </c>
      <c r="P392" s="61"/>
    </row>
    <row r="393">
      <c r="A393" s="29" t="s">
        <v>485</v>
      </c>
      <c r="B393" s="30" t="s">
        <v>45</v>
      </c>
      <c r="C393" s="31" t="s">
        <v>207</v>
      </c>
      <c r="D393" s="32" t="str">
        <f t="shared" si="1"/>
        <v>Active</v>
      </c>
      <c r="E393" s="33">
        <v>44880.0</v>
      </c>
      <c r="F393" s="34"/>
      <c r="G393" s="36">
        <f t="shared" si="2"/>
        <v>46.7</v>
      </c>
      <c r="H393" s="37">
        <v>43742.0</v>
      </c>
      <c r="I393" s="36">
        <f t="shared" si="4"/>
        <v>3.113888889</v>
      </c>
      <c r="J393" s="38">
        <v>56.0</v>
      </c>
      <c r="K393" s="39">
        <v>3.0</v>
      </c>
      <c r="L393" s="38">
        <v>23.5</v>
      </c>
      <c r="M393" s="40" t="s">
        <v>31</v>
      </c>
      <c r="N393" s="41"/>
      <c r="O393" s="42" t="s">
        <v>149</v>
      </c>
      <c r="P393" s="43"/>
    </row>
    <row r="394">
      <c r="A394" s="44" t="s">
        <v>486</v>
      </c>
      <c r="B394" s="45" t="s">
        <v>25</v>
      </c>
      <c r="C394" s="46" t="s">
        <v>476</v>
      </c>
      <c r="D394" s="47" t="str">
        <f t="shared" si="1"/>
        <v>Active</v>
      </c>
      <c r="E394" s="48">
        <v>44880.0</v>
      </c>
      <c r="F394" s="49"/>
      <c r="G394" s="50">
        <f t="shared" si="2"/>
        <v>46.7</v>
      </c>
      <c r="H394" s="51">
        <v>37565.0</v>
      </c>
      <c r="I394" s="50">
        <f t="shared" si="4"/>
        <v>20.02777778</v>
      </c>
      <c r="J394" s="55">
        <v>88.0</v>
      </c>
      <c r="K394" s="56">
        <v>8.8</v>
      </c>
      <c r="L394" s="55">
        <v>12.0</v>
      </c>
      <c r="M394" s="58" t="s">
        <v>27</v>
      </c>
      <c r="N394" s="59" t="s">
        <v>442</v>
      </c>
      <c r="O394" s="60" t="s">
        <v>149</v>
      </c>
      <c r="P394" s="66"/>
    </row>
    <row r="395">
      <c r="A395" s="29" t="s">
        <v>487</v>
      </c>
      <c r="B395" s="30" t="s">
        <v>25</v>
      </c>
      <c r="C395" s="31" t="s">
        <v>476</v>
      </c>
      <c r="D395" s="32" t="str">
        <f t="shared" si="1"/>
        <v>Active</v>
      </c>
      <c r="E395" s="33">
        <v>44880.0</v>
      </c>
      <c r="F395" s="34"/>
      <c r="G395" s="36">
        <f t="shared" si="2"/>
        <v>46.7</v>
      </c>
      <c r="H395" s="37">
        <v>38650.0</v>
      </c>
      <c r="I395" s="36">
        <f t="shared" si="4"/>
        <v>17.05555556</v>
      </c>
      <c r="J395" s="38">
        <v>81.0</v>
      </c>
      <c r="K395" s="39">
        <v>8.8</v>
      </c>
      <c r="L395" s="38">
        <v>7.5</v>
      </c>
      <c r="M395" s="40" t="s">
        <v>27</v>
      </c>
      <c r="N395" s="41" t="s">
        <v>442</v>
      </c>
      <c r="O395" s="42" t="s">
        <v>149</v>
      </c>
      <c r="P395" s="67"/>
    </row>
    <row r="396">
      <c r="A396" s="44" t="s">
        <v>488</v>
      </c>
      <c r="B396" s="45" t="s">
        <v>25</v>
      </c>
      <c r="C396" s="46" t="s">
        <v>476</v>
      </c>
      <c r="D396" s="47" t="str">
        <f t="shared" si="1"/>
        <v>Active</v>
      </c>
      <c r="E396" s="48">
        <v>44880.0</v>
      </c>
      <c r="F396" s="49"/>
      <c r="G396" s="50">
        <f t="shared" si="2"/>
        <v>46.7</v>
      </c>
      <c r="H396" s="51">
        <v>37936.0</v>
      </c>
      <c r="I396" s="50">
        <f t="shared" si="4"/>
        <v>19.01111111</v>
      </c>
      <c r="J396" s="55">
        <v>90.0</v>
      </c>
      <c r="K396" s="56">
        <v>9.0</v>
      </c>
      <c r="L396" s="55">
        <v>13.5</v>
      </c>
      <c r="M396" s="58" t="s">
        <v>27</v>
      </c>
      <c r="N396" s="59" t="s">
        <v>442</v>
      </c>
      <c r="O396" s="60" t="s">
        <v>149</v>
      </c>
      <c r="P396" s="66"/>
    </row>
    <row r="397">
      <c r="A397" s="29" t="s">
        <v>489</v>
      </c>
      <c r="B397" s="30" t="s">
        <v>25</v>
      </c>
      <c r="C397" s="31" t="s">
        <v>476</v>
      </c>
      <c r="D397" s="32" t="str">
        <f t="shared" si="1"/>
        <v>Active</v>
      </c>
      <c r="E397" s="33">
        <v>44880.0</v>
      </c>
      <c r="F397" s="34"/>
      <c r="G397" s="36">
        <f t="shared" si="2"/>
        <v>46.7</v>
      </c>
      <c r="H397" s="37">
        <v>39378.0</v>
      </c>
      <c r="I397" s="36">
        <f t="shared" si="4"/>
        <v>15.06111111</v>
      </c>
      <c r="J397" s="38">
        <v>89.0</v>
      </c>
      <c r="K397" s="39">
        <v>8.8</v>
      </c>
      <c r="L397" s="38">
        <v>12.5</v>
      </c>
      <c r="M397" s="40" t="s">
        <v>27</v>
      </c>
      <c r="N397" s="41" t="s">
        <v>442</v>
      </c>
      <c r="O397" s="42" t="s">
        <v>149</v>
      </c>
      <c r="P397" s="67"/>
    </row>
    <row r="398">
      <c r="A398" s="44" t="s">
        <v>490</v>
      </c>
      <c r="B398" s="45" t="s">
        <v>25</v>
      </c>
      <c r="C398" s="46" t="s">
        <v>476</v>
      </c>
      <c r="D398" s="47" t="str">
        <f t="shared" si="1"/>
        <v>Active</v>
      </c>
      <c r="E398" s="48">
        <v>44880.0</v>
      </c>
      <c r="F398" s="49"/>
      <c r="G398" s="50">
        <f t="shared" si="2"/>
        <v>46.7</v>
      </c>
      <c r="H398" s="51">
        <v>38294.0</v>
      </c>
      <c r="I398" s="50">
        <f t="shared" si="4"/>
        <v>18.03333333</v>
      </c>
      <c r="J398" s="55">
        <v>91.0</v>
      </c>
      <c r="K398" s="56">
        <v>9.0</v>
      </c>
      <c r="L398" s="55">
        <v>11.5</v>
      </c>
      <c r="M398" s="58" t="s">
        <v>27</v>
      </c>
      <c r="N398" s="59" t="s">
        <v>442</v>
      </c>
      <c r="O398" s="60" t="s">
        <v>149</v>
      </c>
      <c r="P398" s="66"/>
    </row>
    <row r="399">
      <c r="A399" s="29" t="s">
        <v>491</v>
      </c>
      <c r="B399" s="30" t="s">
        <v>45</v>
      </c>
      <c r="C399" s="31" t="s">
        <v>26</v>
      </c>
      <c r="D399" s="32" t="str">
        <f t="shared" si="1"/>
        <v>Active</v>
      </c>
      <c r="E399" s="33">
        <v>44852.0</v>
      </c>
      <c r="F399" s="34"/>
      <c r="G399" s="36">
        <f t="shared" si="2"/>
        <v>47.6</v>
      </c>
      <c r="H399" s="37">
        <v>41863.0</v>
      </c>
      <c r="I399" s="36">
        <f t="shared" si="4"/>
        <v>8.183333333</v>
      </c>
      <c r="J399" s="38">
        <v>75.0</v>
      </c>
      <c r="K399" s="39">
        <v>6.5</v>
      </c>
      <c r="L399" s="38">
        <v>4.0</v>
      </c>
      <c r="M399" s="40" t="s">
        <v>29</v>
      </c>
      <c r="N399" s="41"/>
      <c r="O399" s="42" t="s">
        <v>149</v>
      </c>
      <c r="P399" s="43"/>
    </row>
    <row r="400">
      <c r="A400" s="44" t="s">
        <v>492</v>
      </c>
      <c r="B400" s="45" t="s">
        <v>45</v>
      </c>
      <c r="C400" s="46" t="s">
        <v>207</v>
      </c>
      <c r="D400" s="47" t="str">
        <f t="shared" si="1"/>
        <v>Active</v>
      </c>
      <c r="E400" s="48">
        <v>44852.0</v>
      </c>
      <c r="F400" s="49"/>
      <c r="G400" s="50">
        <f t="shared" si="2"/>
        <v>47.6</v>
      </c>
      <c r="H400" s="51">
        <v>42115.0</v>
      </c>
      <c r="I400" s="50">
        <f t="shared" si="4"/>
        <v>7.491666667</v>
      </c>
      <c r="J400" s="55">
        <v>69.0</v>
      </c>
      <c r="K400" s="56">
        <v>6.1</v>
      </c>
      <c r="L400" s="55">
        <v>6.0</v>
      </c>
      <c r="M400" s="58" t="s">
        <v>27</v>
      </c>
      <c r="N400" s="59"/>
      <c r="O400" s="60" t="s">
        <v>149</v>
      </c>
      <c r="P400" s="61"/>
    </row>
    <row r="401">
      <c r="A401" s="29" t="s">
        <v>493</v>
      </c>
      <c r="B401" s="30" t="s">
        <v>45</v>
      </c>
      <c r="C401" s="31" t="s">
        <v>207</v>
      </c>
      <c r="D401" s="32" t="str">
        <f t="shared" si="1"/>
        <v>Active</v>
      </c>
      <c r="E401" s="33">
        <v>44852.0</v>
      </c>
      <c r="F401" s="34"/>
      <c r="G401" s="36">
        <f t="shared" si="2"/>
        <v>47.6</v>
      </c>
      <c r="H401" s="37">
        <v>42381.0</v>
      </c>
      <c r="I401" s="36">
        <f t="shared" si="4"/>
        <v>6.766666667</v>
      </c>
      <c r="J401" s="38">
        <v>63.0</v>
      </c>
      <c r="K401" s="39">
        <v>4.3</v>
      </c>
      <c r="L401" s="38">
        <v>6.0</v>
      </c>
      <c r="M401" s="40" t="s">
        <v>27</v>
      </c>
      <c r="N401" s="41"/>
      <c r="O401" s="42" t="s">
        <v>149</v>
      </c>
      <c r="P401" s="43"/>
    </row>
    <row r="402">
      <c r="A402" s="44" t="s">
        <v>494</v>
      </c>
      <c r="B402" s="45" t="s">
        <v>45</v>
      </c>
      <c r="C402" s="46" t="s">
        <v>207</v>
      </c>
      <c r="D402" s="47" t="str">
        <f t="shared" si="1"/>
        <v>Active</v>
      </c>
      <c r="E402" s="48">
        <v>44852.0</v>
      </c>
      <c r="F402" s="49"/>
      <c r="G402" s="50">
        <f t="shared" si="2"/>
        <v>47.6</v>
      </c>
      <c r="H402" s="51">
        <v>42409.0</v>
      </c>
      <c r="I402" s="50">
        <f t="shared" si="4"/>
        <v>6.691666667</v>
      </c>
      <c r="J402" s="55">
        <v>60.0</v>
      </c>
      <c r="K402" s="56">
        <v>4.6</v>
      </c>
      <c r="L402" s="55">
        <v>6.5</v>
      </c>
      <c r="M402" s="58" t="s">
        <v>27</v>
      </c>
      <c r="N402" s="59"/>
      <c r="O402" s="60" t="s">
        <v>149</v>
      </c>
      <c r="P402" s="61"/>
    </row>
    <row r="403">
      <c r="A403" s="29" t="s">
        <v>495</v>
      </c>
      <c r="B403" s="30" t="s">
        <v>45</v>
      </c>
      <c r="C403" s="31" t="s">
        <v>207</v>
      </c>
      <c r="D403" s="32" t="str">
        <f t="shared" si="1"/>
        <v>Active</v>
      </c>
      <c r="E403" s="33">
        <v>44852.0</v>
      </c>
      <c r="F403" s="34"/>
      <c r="G403" s="36">
        <f t="shared" si="2"/>
        <v>47.6</v>
      </c>
      <c r="H403" s="37">
        <v>43553.0</v>
      </c>
      <c r="I403" s="36">
        <f t="shared" si="4"/>
        <v>3.552777778</v>
      </c>
      <c r="J403" s="38">
        <v>72.0</v>
      </c>
      <c r="K403" s="39">
        <v>4.8</v>
      </c>
      <c r="L403" s="38">
        <v>14.5</v>
      </c>
      <c r="M403" s="40" t="s">
        <v>42</v>
      </c>
      <c r="N403" s="41"/>
      <c r="O403" s="42" t="s">
        <v>149</v>
      </c>
      <c r="P403" s="43"/>
    </row>
    <row r="404">
      <c r="A404" s="44" t="s">
        <v>496</v>
      </c>
      <c r="B404" s="45" t="s">
        <v>45</v>
      </c>
      <c r="C404" s="46" t="s">
        <v>207</v>
      </c>
      <c r="D404" s="47" t="str">
        <f t="shared" si="1"/>
        <v>Active</v>
      </c>
      <c r="E404" s="48">
        <v>44852.0</v>
      </c>
      <c r="F404" s="49"/>
      <c r="G404" s="50">
        <f t="shared" si="2"/>
        <v>47.6</v>
      </c>
      <c r="H404" s="51">
        <v>43375.0</v>
      </c>
      <c r="I404" s="50">
        <f t="shared" si="4"/>
        <v>4.044444444</v>
      </c>
      <c r="J404" s="55">
        <v>83.0</v>
      </c>
      <c r="K404" s="56">
        <v>6.5</v>
      </c>
      <c r="L404" s="55">
        <v>44.5</v>
      </c>
      <c r="M404" s="58" t="s">
        <v>42</v>
      </c>
      <c r="N404" s="59"/>
      <c r="O404" s="60" t="s">
        <v>149</v>
      </c>
      <c r="P404" s="61"/>
    </row>
    <row r="405">
      <c r="A405" s="29" t="s">
        <v>497</v>
      </c>
      <c r="B405" s="30" t="s">
        <v>45</v>
      </c>
      <c r="C405" s="31" t="s">
        <v>207</v>
      </c>
      <c r="D405" s="32" t="str">
        <f t="shared" si="1"/>
        <v>Active</v>
      </c>
      <c r="E405" s="33">
        <v>44852.0</v>
      </c>
      <c r="F405" s="34"/>
      <c r="G405" s="36">
        <f t="shared" si="2"/>
        <v>47.6</v>
      </c>
      <c r="H405" s="37">
        <v>42300.0</v>
      </c>
      <c r="I405" s="36">
        <f t="shared" si="4"/>
        <v>6.986111111</v>
      </c>
      <c r="J405" s="38">
        <v>76.0</v>
      </c>
      <c r="K405" s="39">
        <v>6.9</v>
      </c>
      <c r="L405" s="38">
        <v>18.5</v>
      </c>
      <c r="M405" s="40" t="s">
        <v>42</v>
      </c>
      <c r="N405" s="41"/>
      <c r="O405" s="42" t="s">
        <v>149</v>
      </c>
      <c r="P405" s="43"/>
    </row>
    <row r="406">
      <c r="A406" s="44" t="s">
        <v>498</v>
      </c>
      <c r="B406" s="45" t="s">
        <v>25</v>
      </c>
      <c r="C406" s="46" t="s">
        <v>476</v>
      </c>
      <c r="D406" s="47" t="str">
        <f t="shared" si="1"/>
        <v>Active</v>
      </c>
      <c r="E406" s="48">
        <v>44852.0</v>
      </c>
      <c r="F406" s="49"/>
      <c r="G406" s="50">
        <f t="shared" si="2"/>
        <v>47.6</v>
      </c>
      <c r="H406" s="51">
        <v>40456.0</v>
      </c>
      <c r="I406" s="50">
        <f t="shared" si="4"/>
        <v>12.03611111</v>
      </c>
      <c r="J406" s="55">
        <v>85.0</v>
      </c>
      <c r="K406" s="56">
        <v>8.0</v>
      </c>
      <c r="L406" s="55">
        <v>18.0</v>
      </c>
      <c r="M406" s="58" t="s">
        <v>29</v>
      </c>
      <c r="N406" s="59" t="s">
        <v>442</v>
      </c>
      <c r="O406" s="60" t="s">
        <v>149</v>
      </c>
      <c r="P406" s="66"/>
    </row>
    <row r="407">
      <c r="A407" s="29" t="s">
        <v>499</v>
      </c>
      <c r="B407" s="30" t="s">
        <v>25</v>
      </c>
      <c r="C407" s="31" t="s">
        <v>476</v>
      </c>
      <c r="D407" s="32" t="str">
        <f t="shared" si="1"/>
        <v>Active</v>
      </c>
      <c r="E407" s="33">
        <v>44852.0</v>
      </c>
      <c r="F407" s="34"/>
      <c r="G407" s="36">
        <f t="shared" si="2"/>
        <v>47.6</v>
      </c>
      <c r="H407" s="37">
        <v>38805.0</v>
      </c>
      <c r="I407" s="36">
        <f t="shared" si="4"/>
        <v>16.55277778</v>
      </c>
      <c r="J407" s="38">
        <v>83.0</v>
      </c>
      <c r="K407" s="39">
        <v>7.3</v>
      </c>
      <c r="L407" s="38">
        <v>7.0</v>
      </c>
      <c r="M407" s="40" t="s">
        <v>31</v>
      </c>
      <c r="N407" s="41" t="s">
        <v>442</v>
      </c>
      <c r="O407" s="42" t="s">
        <v>149</v>
      </c>
      <c r="P407" s="67"/>
    </row>
    <row r="408">
      <c r="A408" s="44" t="s">
        <v>500</v>
      </c>
      <c r="B408" s="45" t="s">
        <v>25</v>
      </c>
      <c r="C408" s="46" t="s">
        <v>26</v>
      </c>
      <c r="D408" s="47" t="str">
        <f t="shared" si="1"/>
        <v>Active</v>
      </c>
      <c r="E408" s="48">
        <v>44824.0</v>
      </c>
      <c r="F408" s="49"/>
      <c r="G408" s="50">
        <f t="shared" si="2"/>
        <v>48.53333333</v>
      </c>
      <c r="H408" s="51">
        <v>44369.0</v>
      </c>
      <c r="I408" s="50">
        <f t="shared" si="4"/>
        <v>1.244444444</v>
      </c>
      <c r="J408" s="55">
        <v>60.0</v>
      </c>
      <c r="K408" s="56">
        <v>6.5</v>
      </c>
      <c r="L408" s="55">
        <v>2.5</v>
      </c>
      <c r="M408" s="58" t="s">
        <v>27</v>
      </c>
      <c r="N408" s="59"/>
      <c r="O408" s="60" t="s">
        <v>149</v>
      </c>
      <c r="P408" s="61"/>
    </row>
    <row r="409">
      <c r="A409" s="29" t="s">
        <v>501</v>
      </c>
      <c r="B409" s="30" t="s">
        <v>45</v>
      </c>
      <c r="C409" s="31" t="s">
        <v>26</v>
      </c>
      <c r="D409" s="32" t="str">
        <f t="shared" si="1"/>
        <v>Active</v>
      </c>
      <c r="E409" s="33">
        <v>44824.0</v>
      </c>
      <c r="F409" s="34"/>
      <c r="G409" s="36">
        <f t="shared" si="2"/>
        <v>48.53333333</v>
      </c>
      <c r="H409" s="37">
        <v>41961.0</v>
      </c>
      <c r="I409" s="36">
        <f t="shared" si="4"/>
        <v>7.838888889</v>
      </c>
      <c r="J409" s="38">
        <v>53.0</v>
      </c>
      <c r="K409" s="39">
        <v>4.3</v>
      </c>
      <c r="L409" s="38">
        <v>10.0</v>
      </c>
      <c r="M409" s="40" t="s">
        <v>29</v>
      </c>
      <c r="N409" s="41"/>
      <c r="O409" s="42" t="s">
        <v>34</v>
      </c>
      <c r="P409" s="43"/>
    </row>
    <row r="410">
      <c r="A410" s="44" t="s">
        <v>502</v>
      </c>
      <c r="B410" s="45" t="s">
        <v>45</v>
      </c>
      <c r="C410" s="46" t="s">
        <v>207</v>
      </c>
      <c r="D410" s="47" t="str">
        <f t="shared" si="1"/>
        <v>Active</v>
      </c>
      <c r="E410" s="48">
        <v>44824.0</v>
      </c>
      <c r="F410" s="49"/>
      <c r="G410" s="50">
        <f t="shared" si="2"/>
        <v>48.53333333</v>
      </c>
      <c r="H410" s="51">
        <v>43035.0</v>
      </c>
      <c r="I410" s="50">
        <f t="shared" si="4"/>
        <v>4.897222222</v>
      </c>
      <c r="J410" s="55">
        <v>81.0</v>
      </c>
      <c r="K410" s="56">
        <v>7.2</v>
      </c>
      <c r="L410" s="55">
        <v>30.0</v>
      </c>
      <c r="M410" s="58" t="s">
        <v>42</v>
      </c>
      <c r="N410" s="59"/>
      <c r="O410" s="60" t="s">
        <v>149</v>
      </c>
      <c r="P410" s="61"/>
    </row>
    <row r="411">
      <c r="A411" s="29" t="s">
        <v>503</v>
      </c>
      <c r="B411" s="30" t="s">
        <v>45</v>
      </c>
      <c r="C411" s="31" t="s">
        <v>207</v>
      </c>
      <c r="D411" s="32" t="str">
        <f t="shared" si="1"/>
        <v>Active</v>
      </c>
      <c r="E411" s="33">
        <v>44824.0</v>
      </c>
      <c r="F411" s="34"/>
      <c r="G411" s="36">
        <f t="shared" si="2"/>
        <v>48.53333333</v>
      </c>
      <c r="H411" s="37">
        <v>41515.0</v>
      </c>
      <c r="I411" s="36">
        <f t="shared" si="4"/>
        <v>9.058333333</v>
      </c>
      <c r="J411" s="38">
        <v>90.0</v>
      </c>
      <c r="K411" s="39">
        <v>8.3</v>
      </c>
      <c r="L411" s="38">
        <v>10.0</v>
      </c>
      <c r="M411" s="40" t="s">
        <v>27</v>
      </c>
      <c r="N411" s="41"/>
      <c r="O411" s="42" t="s">
        <v>149</v>
      </c>
      <c r="P411" s="43"/>
    </row>
    <row r="412">
      <c r="A412" s="44" t="s">
        <v>504</v>
      </c>
      <c r="B412" s="45" t="s">
        <v>25</v>
      </c>
      <c r="C412" s="46" t="s">
        <v>41</v>
      </c>
      <c r="D412" s="47" t="str">
        <f t="shared" si="1"/>
        <v>Active</v>
      </c>
      <c r="E412" s="48">
        <v>44824.0</v>
      </c>
      <c r="F412" s="49"/>
      <c r="G412" s="50">
        <f t="shared" si="2"/>
        <v>48.53333333</v>
      </c>
      <c r="H412" s="51">
        <v>36599.0</v>
      </c>
      <c r="I412" s="50">
        <f t="shared" si="4"/>
        <v>22.51666667</v>
      </c>
      <c r="J412" s="55">
        <v>81.0</v>
      </c>
      <c r="K412" s="56">
        <v>8.7</v>
      </c>
      <c r="L412" s="55">
        <v>10.0</v>
      </c>
      <c r="M412" s="58" t="s">
        <v>31</v>
      </c>
      <c r="N412" s="59" t="s">
        <v>61</v>
      </c>
      <c r="O412" s="60" t="s">
        <v>149</v>
      </c>
      <c r="P412" s="66" t="s">
        <v>505</v>
      </c>
    </row>
    <row r="413">
      <c r="A413" s="29" t="s">
        <v>506</v>
      </c>
      <c r="B413" s="30" t="s">
        <v>25</v>
      </c>
      <c r="C413" s="31" t="s">
        <v>41</v>
      </c>
      <c r="D413" s="32" t="str">
        <f t="shared" si="1"/>
        <v>Active</v>
      </c>
      <c r="E413" s="33">
        <v>44824.0</v>
      </c>
      <c r="F413" s="34"/>
      <c r="G413" s="36">
        <f t="shared" si="2"/>
        <v>48.53333333</v>
      </c>
      <c r="H413" s="37">
        <v>38671.0</v>
      </c>
      <c r="I413" s="36">
        <f t="shared" si="4"/>
        <v>16.84722222</v>
      </c>
      <c r="J413" s="38">
        <v>72.0</v>
      </c>
      <c r="K413" s="39">
        <v>7.5</v>
      </c>
      <c r="L413" s="38">
        <v>22.0</v>
      </c>
      <c r="M413" s="40" t="s">
        <v>29</v>
      </c>
      <c r="N413" s="41" t="s">
        <v>115</v>
      </c>
      <c r="O413" s="42" t="s">
        <v>149</v>
      </c>
      <c r="P413" s="67"/>
    </row>
    <row r="414">
      <c r="A414" s="44" t="s">
        <v>507</v>
      </c>
      <c r="B414" s="45" t="s">
        <v>25</v>
      </c>
      <c r="C414" s="46" t="s">
        <v>476</v>
      </c>
      <c r="D414" s="47" t="str">
        <f t="shared" si="1"/>
        <v>Active</v>
      </c>
      <c r="E414" s="48">
        <v>44824.0</v>
      </c>
      <c r="F414" s="49"/>
      <c r="G414" s="50">
        <f t="shared" si="2"/>
        <v>48.53333333</v>
      </c>
      <c r="H414" s="51">
        <v>41310.0</v>
      </c>
      <c r="I414" s="50">
        <f t="shared" si="4"/>
        <v>9.625</v>
      </c>
      <c r="J414" s="55">
        <v>73.0</v>
      </c>
      <c r="K414" s="56">
        <v>7.8</v>
      </c>
      <c r="L414" s="55">
        <v>6.0</v>
      </c>
      <c r="M414" s="58" t="s">
        <v>279</v>
      </c>
      <c r="N414" s="59" t="s">
        <v>442</v>
      </c>
      <c r="O414" s="60" t="s">
        <v>149</v>
      </c>
      <c r="P414" s="66"/>
    </row>
    <row r="415">
      <c r="A415" s="29" t="s">
        <v>508</v>
      </c>
      <c r="B415" s="30" t="s">
        <v>25</v>
      </c>
      <c r="C415" s="31" t="s">
        <v>476</v>
      </c>
      <c r="D415" s="32" t="str">
        <f t="shared" si="1"/>
        <v>Active</v>
      </c>
      <c r="E415" s="33">
        <v>44824.0</v>
      </c>
      <c r="F415" s="34"/>
      <c r="G415" s="36">
        <f t="shared" si="2"/>
        <v>48.53333333</v>
      </c>
      <c r="H415" s="37">
        <v>40491.0</v>
      </c>
      <c r="I415" s="36">
        <f t="shared" si="4"/>
        <v>11.86388889</v>
      </c>
      <c r="J415" s="38">
        <v>85.0</v>
      </c>
      <c r="K415" s="39">
        <v>8.7</v>
      </c>
      <c r="L415" s="38">
        <v>31.5</v>
      </c>
      <c r="M415" s="40" t="s">
        <v>27</v>
      </c>
      <c r="N415" s="41" t="s">
        <v>442</v>
      </c>
      <c r="O415" s="42" t="s">
        <v>149</v>
      </c>
      <c r="P415" s="67"/>
    </row>
    <row r="416">
      <c r="A416" s="44" t="s">
        <v>509</v>
      </c>
      <c r="B416" s="45" t="s">
        <v>25</v>
      </c>
      <c r="C416" s="46" t="s">
        <v>476</v>
      </c>
      <c r="D416" s="47" t="str">
        <f t="shared" si="1"/>
        <v>Active</v>
      </c>
      <c r="E416" s="48">
        <v>44824.0</v>
      </c>
      <c r="F416" s="49"/>
      <c r="G416" s="50">
        <f t="shared" si="2"/>
        <v>48.53333333</v>
      </c>
      <c r="H416" s="51">
        <v>41310.0</v>
      </c>
      <c r="I416" s="50">
        <f t="shared" si="4"/>
        <v>9.625</v>
      </c>
      <c r="J416" s="55">
        <v>75.0</v>
      </c>
      <c r="K416" s="56">
        <v>8.2</v>
      </c>
      <c r="L416" s="55">
        <v>13.0</v>
      </c>
      <c r="M416" s="58" t="s">
        <v>27</v>
      </c>
      <c r="N416" s="59" t="s">
        <v>442</v>
      </c>
      <c r="O416" s="60" t="s">
        <v>149</v>
      </c>
      <c r="P416" s="66"/>
    </row>
    <row r="417">
      <c r="A417" s="29" t="s">
        <v>510</v>
      </c>
      <c r="B417" s="30" t="s">
        <v>25</v>
      </c>
      <c r="C417" s="31" t="s">
        <v>26</v>
      </c>
      <c r="D417" s="32" t="str">
        <f t="shared" si="1"/>
        <v>Active</v>
      </c>
      <c r="E417" s="33">
        <v>44789.0</v>
      </c>
      <c r="F417" s="34"/>
      <c r="G417" s="36">
        <f t="shared" si="2"/>
        <v>49.66666667</v>
      </c>
      <c r="H417" s="37">
        <v>42535.0</v>
      </c>
      <c r="I417" s="36">
        <f t="shared" si="4"/>
        <v>6.172222222</v>
      </c>
      <c r="J417" s="38">
        <v>64.0</v>
      </c>
      <c r="K417" s="39">
        <v>5.1</v>
      </c>
      <c r="L417" s="38">
        <v>398.0</v>
      </c>
      <c r="M417" s="40" t="s">
        <v>29</v>
      </c>
      <c r="N417" s="41"/>
      <c r="O417" s="42" t="s">
        <v>149</v>
      </c>
      <c r="P417" s="43"/>
    </row>
    <row r="418">
      <c r="A418" s="44" t="s">
        <v>511</v>
      </c>
      <c r="B418" s="45" t="s">
        <v>45</v>
      </c>
      <c r="C418" s="46" t="s">
        <v>26</v>
      </c>
      <c r="D418" s="47" t="str">
        <f t="shared" si="1"/>
        <v>Active</v>
      </c>
      <c r="E418" s="48">
        <v>44789.0</v>
      </c>
      <c r="F418" s="49"/>
      <c r="G418" s="50">
        <f t="shared" si="2"/>
        <v>49.66666667</v>
      </c>
      <c r="H418" s="51">
        <v>43046.0</v>
      </c>
      <c r="I418" s="50">
        <f t="shared" si="4"/>
        <v>4.775</v>
      </c>
      <c r="J418" s="55">
        <v>80.0</v>
      </c>
      <c r="K418" s="56">
        <v>7.0</v>
      </c>
      <c r="L418" s="55">
        <v>0.5</v>
      </c>
      <c r="M418" s="58" t="s">
        <v>136</v>
      </c>
      <c r="N418" s="59"/>
      <c r="O418" s="60" t="s">
        <v>149</v>
      </c>
      <c r="P418" s="61"/>
    </row>
    <row r="419">
      <c r="A419" s="29" t="s">
        <v>512</v>
      </c>
      <c r="B419" s="30" t="s">
        <v>25</v>
      </c>
      <c r="C419" s="31" t="s">
        <v>207</v>
      </c>
      <c r="D419" s="32" t="str">
        <f t="shared" si="1"/>
        <v>Active</v>
      </c>
      <c r="E419" s="33">
        <v>44789.0</v>
      </c>
      <c r="F419" s="34"/>
      <c r="G419" s="36">
        <f t="shared" si="2"/>
        <v>49.66666667</v>
      </c>
      <c r="H419" s="37">
        <v>42598.0</v>
      </c>
      <c r="I419" s="36">
        <f t="shared" si="4"/>
        <v>6</v>
      </c>
      <c r="J419" s="38">
        <v>71.0</v>
      </c>
      <c r="K419" s="39">
        <v>6.3</v>
      </c>
      <c r="L419" s="38">
        <v>5.0</v>
      </c>
      <c r="M419" s="40" t="s">
        <v>344</v>
      </c>
      <c r="N419" s="41"/>
      <c r="O419" s="42" t="s">
        <v>149</v>
      </c>
      <c r="P419" s="43"/>
    </row>
    <row r="420">
      <c r="A420" s="44" t="s">
        <v>513</v>
      </c>
      <c r="B420" s="45" t="s">
        <v>45</v>
      </c>
      <c r="C420" s="46" t="s">
        <v>207</v>
      </c>
      <c r="D420" s="47" t="str">
        <f t="shared" si="1"/>
        <v>Active</v>
      </c>
      <c r="E420" s="48">
        <v>44789.0</v>
      </c>
      <c r="F420" s="49"/>
      <c r="G420" s="50">
        <f t="shared" si="2"/>
        <v>49.66666667</v>
      </c>
      <c r="H420" s="51">
        <v>44539.0</v>
      </c>
      <c r="I420" s="50">
        <f t="shared" si="4"/>
        <v>0.6861111111</v>
      </c>
      <c r="J420" s="55">
        <v>65.0</v>
      </c>
      <c r="K420" s="56">
        <v>4.9</v>
      </c>
      <c r="L420" s="55">
        <v>6.0</v>
      </c>
      <c r="M420" s="58" t="s">
        <v>51</v>
      </c>
      <c r="N420" s="59"/>
      <c r="O420" s="60" t="s">
        <v>149</v>
      </c>
      <c r="P420" s="61"/>
    </row>
    <row r="421">
      <c r="A421" s="29" t="s">
        <v>514</v>
      </c>
      <c r="B421" s="30" t="s">
        <v>25</v>
      </c>
      <c r="C421" s="31" t="s">
        <v>26</v>
      </c>
      <c r="D421" s="32" t="str">
        <f t="shared" si="1"/>
        <v>Active</v>
      </c>
      <c r="E421" s="33">
        <v>44761.0</v>
      </c>
      <c r="F421" s="34"/>
      <c r="G421" s="36">
        <f t="shared" si="2"/>
        <v>50.56666667</v>
      </c>
      <c r="H421" s="37">
        <v>44357.0</v>
      </c>
      <c r="I421" s="36">
        <f t="shared" si="4"/>
        <v>1.108333333</v>
      </c>
      <c r="J421" s="38">
        <v>89.0</v>
      </c>
      <c r="K421" s="39">
        <v>8.4</v>
      </c>
      <c r="L421" s="38">
        <v>33.0</v>
      </c>
      <c r="M421" s="40" t="s">
        <v>42</v>
      </c>
      <c r="N421" s="41" t="s">
        <v>515</v>
      </c>
      <c r="O421" s="42" t="s">
        <v>149</v>
      </c>
      <c r="P421" s="43"/>
    </row>
    <row r="422">
      <c r="A422" s="44" t="s">
        <v>516</v>
      </c>
      <c r="B422" s="45" t="s">
        <v>33</v>
      </c>
      <c r="C422" s="46" t="s">
        <v>26</v>
      </c>
      <c r="D422" s="47" t="str">
        <f t="shared" si="1"/>
        <v>Active</v>
      </c>
      <c r="E422" s="48">
        <v>44761.0</v>
      </c>
      <c r="F422" s="49"/>
      <c r="G422" s="50">
        <f t="shared" si="2"/>
        <v>50.56666667</v>
      </c>
      <c r="H422" s="51">
        <v>43770.0</v>
      </c>
      <c r="I422" s="50">
        <f t="shared" si="4"/>
        <v>2.716666667</v>
      </c>
      <c r="J422" s="55">
        <v>64.0</v>
      </c>
      <c r="K422" s="56">
        <v>6.0</v>
      </c>
      <c r="L422" s="55">
        <v>5.5</v>
      </c>
      <c r="M422" s="58" t="s">
        <v>29</v>
      </c>
      <c r="N422" s="59"/>
      <c r="O422" s="60" t="s">
        <v>272</v>
      </c>
      <c r="P422" s="61"/>
    </row>
    <row r="423">
      <c r="A423" s="29" t="s">
        <v>517</v>
      </c>
      <c r="B423" s="30" t="s">
        <v>45</v>
      </c>
      <c r="C423" s="31" t="s">
        <v>26</v>
      </c>
      <c r="D423" s="32" t="str">
        <f t="shared" si="1"/>
        <v>Active</v>
      </c>
      <c r="E423" s="33">
        <v>44761.0</v>
      </c>
      <c r="F423" s="34"/>
      <c r="G423" s="36">
        <f t="shared" si="2"/>
        <v>50.56666667</v>
      </c>
      <c r="H423" s="37">
        <v>43756.0</v>
      </c>
      <c r="I423" s="36">
        <f t="shared" si="4"/>
        <v>2.752777778</v>
      </c>
      <c r="J423" s="38">
        <v>55.0</v>
      </c>
      <c r="K423" s="39">
        <v>5.2</v>
      </c>
      <c r="L423" s="38">
        <v>4.0</v>
      </c>
      <c r="M423" s="40" t="s">
        <v>29</v>
      </c>
      <c r="N423" s="41"/>
      <c r="O423" s="42" t="s">
        <v>149</v>
      </c>
      <c r="P423" s="43"/>
    </row>
    <row r="424">
      <c r="A424" s="44" t="s">
        <v>518</v>
      </c>
      <c r="B424" s="45" t="s">
        <v>45</v>
      </c>
      <c r="C424" s="46" t="s">
        <v>26</v>
      </c>
      <c r="D424" s="47" t="str">
        <f t="shared" si="1"/>
        <v>Active</v>
      </c>
      <c r="E424" s="48">
        <v>44761.0</v>
      </c>
      <c r="F424" s="49"/>
      <c r="G424" s="50">
        <f t="shared" si="2"/>
        <v>50.56666667</v>
      </c>
      <c r="H424" s="51">
        <v>43777.0</v>
      </c>
      <c r="I424" s="50">
        <f t="shared" si="4"/>
        <v>2.697222222</v>
      </c>
      <c r="J424" s="55">
        <v>25.0</v>
      </c>
      <c r="K424" s="56">
        <v>1.3</v>
      </c>
      <c r="L424" s="55">
        <v>1.5</v>
      </c>
      <c r="M424" s="58" t="s">
        <v>31</v>
      </c>
      <c r="N424" s="59"/>
      <c r="O424" s="60" t="s">
        <v>149</v>
      </c>
      <c r="P424" s="61"/>
    </row>
    <row r="425">
      <c r="A425" s="29" t="s">
        <v>519</v>
      </c>
      <c r="B425" s="30" t="s">
        <v>45</v>
      </c>
      <c r="C425" s="31" t="s">
        <v>26</v>
      </c>
      <c r="D425" s="32" t="str">
        <f t="shared" si="1"/>
        <v>Active</v>
      </c>
      <c r="E425" s="33">
        <v>44761.0</v>
      </c>
      <c r="F425" s="34"/>
      <c r="G425" s="36">
        <f t="shared" si="2"/>
        <v>50.56666667</v>
      </c>
      <c r="H425" s="37">
        <v>43369.0</v>
      </c>
      <c r="I425" s="36">
        <f t="shared" si="4"/>
        <v>3.813888889</v>
      </c>
      <c r="J425" s="38">
        <v>60.0</v>
      </c>
      <c r="K425" s="39">
        <v>5.9</v>
      </c>
      <c r="L425" s="38">
        <v>5.0</v>
      </c>
      <c r="M425" s="40" t="s">
        <v>29</v>
      </c>
      <c r="N425" s="41"/>
      <c r="O425" s="42" t="s">
        <v>149</v>
      </c>
      <c r="P425" s="43"/>
    </row>
    <row r="426">
      <c r="A426" s="44" t="s">
        <v>520</v>
      </c>
      <c r="B426" s="45" t="s">
        <v>45</v>
      </c>
      <c r="C426" s="46" t="s">
        <v>26</v>
      </c>
      <c r="D426" s="47" t="str">
        <f t="shared" si="1"/>
        <v>Active</v>
      </c>
      <c r="E426" s="48">
        <v>44761.0</v>
      </c>
      <c r="F426" s="49"/>
      <c r="G426" s="50">
        <f t="shared" si="2"/>
        <v>50.56666667</v>
      </c>
      <c r="H426" s="51">
        <v>43739.0</v>
      </c>
      <c r="I426" s="50">
        <f t="shared" si="4"/>
        <v>2.8</v>
      </c>
      <c r="J426" s="55">
        <v>57.0</v>
      </c>
      <c r="K426" s="56">
        <v>6.8</v>
      </c>
      <c r="L426" s="55">
        <v>3.0</v>
      </c>
      <c r="M426" s="58" t="s">
        <v>29</v>
      </c>
      <c r="N426" s="59"/>
      <c r="O426" s="60" t="s">
        <v>149</v>
      </c>
      <c r="P426" s="61"/>
    </row>
    <row r="427">
      <c r="A427" s="29" t="s">
        <v>521</v>
      </c>
      <c r="B427" s="30" t="s">
        <v>45</v>
      </c>
      <c r="C427" s="31" t="s">
        <v>207</v>
      </c>
      <c r="D427" s="32" t="str">
        <f t="shared" si="1"/>
        <v>Active</v>
      </c>
      <c r="E427" s="33">
        <v>44761.0</v>
      </c>
      <c r="F427" s="34"/>
      <c r="G427" s="36">
        <f t="shared" si="2"/>
        <v>50.56666667</v>
      </c>
      <c r="H427" s="37">
        <v>42689.0</v>
      </c>
      <c r="I427" s="36">
        <f t="shared" si="4"/>
        <v>5.677777778</v>
      </c>
      <c r="J427" s="38">
        <v>72.0</v>
      </c>
      <c r="K427" s="39">
        <v>8.2</v>
      </c>
      <c r="L427" s="38">
        <v>68.5</v>
      </c>
      <c r="M427" s="40" t="s">
        <v>42</v>
      </c>
      <c r="N427" s="41"/>
      <c r="O427" s="42" t="s">
        <v>149</v>
      </c>
      <c r="P427" s="43"/>
    </row>
    <row r="428">
      <c r="A428" s="44" t="s">
        <v>522</v>
      </c>
      <c r="B428" s="45" t="s">
        <v>45</v>
      </c>
      <c r="C428" s="46" t="s">
        <v>207</v>
      </c>
      <c r="D428" s="47" t="str">
        <f t="shared" si="1"/>
        <v>Active</v>
      </c>
      <c r="E428" s="48">
        <v>44761.0</v>
      </c>
      <c r="F428" s="49"/>
      <c r="G428" s="50">
        <f t="shared" si="2"/>
        <v>50.56666667</v>
      </c>
      <c r="H428" s="51">
        <v>41576.0</v>
      </c>
      <c r="I428" s="50">
        <f t="shared" si="4"/>
        <v>8.722222222</v>
      </c>
      <c r="J428" s="55">
        <v>83.0</v>
      </c>
      <c r="K428" s="56">
        <v>8.0</v>
      </c>
      <c r="L428" s="55">
        <v>23.0</v>
      </c>
      <c r="M428" s="58" t="s">
        <v>42</v>
      </c>
      <c r="N428" s="59"/>
      <c r="O428" s="60" t="s">
        <v>149</v>
      </c>
      <c r="P428" s="61"/>
    </row>
    <row r="429">
      <c r="A429" s="29" t="s">
        <v>523</v>
      </c>
      <c r="B429" s="30" t="s">
        <v>45</v>
      </c>
      <c r="C429" s="31" t="s">
        <v>207</v>
      </c>
      <c r="D429" s="32" t="str">
        <f t="shared" si="1"/>
        <v>Active</v>
      </c>
      <c r="E429" s="33">
        <v>44761.0</v>
      </c>
      <c r="F429" s="34"/>
      <c r="G429" s="36">
        <f t="shared" si="2"/>
        <v>50.56666667</v>
      </c>
      <c r="H429" s="37">
        <v>41625.0</v>
      </c>
      <c r="I429" s="36">
        <f t="shared" si="4"/>
        <v>8.588888889</v>
      </c>
      <c r="J429" s="38">
        <v>71.0</v>
      </c>
      <c r="K429" s="39">
        <v>6.3</v>
      </c>
      <c r="L429" s="38">
        <v>4.5</v>
      </c>
      <c r="M429" s="40" t="s">
        <v>42</v>
      </c>
      <c r="N429" s="41"/>
      <c r="O429" s="42" t="s">
        <v>149</v>
      </c>
      <c r="P429" s="43"/>
    </row>
    <row r="430">
      <c r="A430" s="44" t="s">
        <v>524</v>
      </c>
      <c r="B430" s="45" t="s">
        <v>45</v>
      </c>
      <c r="C430" s="46" t="s">
        <v>207</v>
      </c>
      <c r="D430" s="47" t="str">
        <f t="shared" si="1"/>
        <v>Active</v>
      </c>
      <c r="E430" s="48">
        <v>44761.0</v>
      </c>
      <c r="F430" s="49"/>
      <c r="G430" s="50">
        <f t="shared" si="2"/>
        <v>50.56666667</v>
      </c>
      <c r="H430" s="51">
        <v>41954.0</v>
      </c>
      <c r="I430" s="50">
        <f t="shared" si="4"/>
        <v>7.688888889</v>
      </c>
      <c r="J430" s="55">
        <v>70.0</v>
      </c>
      <c r="K430" s="56">
        <v>6.0</v>
      </c>
      <c r="L430" s="55">
        <v>17.0</v>
      </c>
      <c r="M430" s="58" t="s">
        <v>42</v>
      </c>
      <c r="N430" s="59"/>
      <c r="O430" s="60" t="s">
        <v>149</v>
      </c>
      <c r="P430" s="61"/>
    </row>
    <row r="431">
      <c r="A431" s="29" t="s">
        <v>525</v>
      </c>
      <c r="B431" s="30" t="s">
        <v>45</v>
      </c>
      <c r="C431" s="31" t="s">
        <v>207</v>
      </c>
      <c r="D431" s="32" t="str">
        <f t="shared" si="1"/>
        <v>Active</v>
      </c>
      <c r="E431" s="33">
        <v>44761.0</v>
      </c>
      <c r="F431" s="34"/>
      <c r="G431" s="36">
        <f t="shared" si="2"/>
        <v>50.56666667</v>
      </c>
      <c r="H431" s="37">
        <v>43179.0</v>
      </c>
      <c r="I431" s="36">
        <f t="shared" si="4"/>
        <v>4.330555556</v>
      </c>
      <c r="J431" s="38">
        <v>71.0</v>
      </c>
      <c r="K431" s="39">
        <v>6.8</v>
      </c>
      <c r="L431" s="38">
        <v>10.5</v>
      </c>
      <c r="M431" s="40" t="s">
        <v>42</v>
      </c>
      <c r="N431" s="41"/>
      <c r="O431" s="42" t="s">
        <v>149</v>
      </c>
      <c r="P431" s="43"/>
    </row>
    <row r="432">
      <c r="A432" s="44" t="s">
        <v>526</v>
      </c>
      <c r="B432" s="45" t="s">
        <v>33</v>
      </c>
      <c r="C432" s="46" t="s">
        <v>41</v>
      </c>
      <c r="D432" s="47" t="str">
        <f t="shared" si="1"/>
        <v>Active</v>
      </c>
      <c r="E432" s="48">
        <v>44761.0</v>
      </c>
      <c r="F432" s="49"/>
      <c r="G432" s="50">
        <f t="shared" si="2"/>
        <v>50.56666667</v>
      </c>
      <c r="H432" s="51">
        <v>40290.0</v>
      </c>
      <c r="I432" s="50">
        <f t="shared" si="4"/>
        <v>12.24166667</v>
      </c>
      <c r="J432" s="55">
        <v>71.0</v>
      </c>
      <c r="K432" s="56">
        <v>6.7</v>
      </c>
      <c r="L432" s="55">
        <v>6.0</v>
      </c>
      <c r="M432" s="58" t="s">
        <v>136</v>
      </c>
      <c r="N432" s="59" t="s">
        <v>115</v>
      </c>
      <c r="O432" s="60" t="s">
        <v>34</v>
      </c>
      <c r="P432" s="66"/>
    </row>
    <row r="433">
      <c r="A433" s="29" t="s">
        <v>527</v>
      </c>
      <c r="B433" s="30" t="s">
        <v>33</v>
      </c>
      <c r="C433" s="31" t="s">
        <v>41</v>
      </c>
      <c r="D433" s="32" t="str">
        <f t="shared" si="1"/>
        <v>Active</v>
      </c>
      <c r="E433" s="33">
        <v>44761.0</v>
      </c>
      <c r="F433" s="34"/>
      <c r="G433" s="36">
        <f t="shared" si="2"/>
        <v>50.56666667</v>
      </c>
      <c r="H433" s="37">
        <v>40115.0</v>
      </c>
      <c r="I433" s="36">
        <f t="shared" si="4"/>
        <v>12.72222222</v>
      </c>
      <c r="J433" s="38">
        <v>73.0</v>
      </c>
      <c r="K433" s="39">
        <v>7.7</v>
      </c>
      <c r="L433" s="38">
        <v>3.5</v>
      </c>
      <c r="M433" s="40" t="s">
        <v>136</v>
      </c>
      <c r="N433" s="41" t="s">
        <v>115</v>
      </c>
      <c r="O433" s="42" t="s">
        <v>34</v>
      </c>
      <c r="P433" s="67"/>
    </row>
    <row r="434">
      <c r="A434" s="44" t="s">
        <v>528</v>
      </c>
      <c r="B434" s="45" t="s">
        <v>33</v>
      </c>
      <c r="C434" s="46" t="s">
        <v>26</v>
      </c>
      <c r="D434" s="47" t="str">
        <f t="shared" si="1"/>
        <v>Active</v>
      </c>
      <c r="E434" s="48">
        <v>44725.0</v>
      </c>
      <c r="F434" s="49"/>
      <c r="G434" s="50">
        <f t="shared" si="2"/>
        <v>51.76666667</v>
      </c>
      <c r="H434" s="51">
        <v>44147.0</v>
      </c>
      <c r="I434" s="50">
        <f t="shared" si="4"/>
        <v>1.586111111</v>
      </c>
      <c r="J434" s="55">
        <v>92.0</v>
      </c>
      <c r="K434" s="56">
        <v>8.0</v>
      </c>
      <c r="L434" s="55">
        <v>23.5</v>
      </c>
      <c r="M434" s="58" t="s">
        <v>42</v>
      </c>
      <c r="N434" s="59"/>
      <c r="O434" s="60" t="s">
        <v>272</v>
      </c>
      <c r="P434" s="61"/>
    </row>
    <row r="435">
      <c r="A435" s="29" t="s">
        <v>529</v>
      </c>
      <c r="B435" s="30" t="s">
        <v>33</v>
      </c>
      <c r="C435" s="31" t="s">
        <v>26</v>
      </c>
      <c r="D435" s="32" t="str">
        <f t="shared" si="1"/>
        <v>Active</v>
      </c>
      <c r="E435" s="33">
        <v>44725.0</v>
      </c>
      <c r="F435" s="34"/>
      <c r="G435" s="36">
        <f t="shared" si="2"/>
        <v>51.76666667</v>
      </c>
      <c r="H435" s="37">
        <v>44316.0</v>
      </c>
      <c r="I435" s="36">
        <f t="shared" si="4"/>
        <v>1.119444444</v>
      </c>
      <c r="J435" s="38">
        <v>86.0</v>
      </c>
      <c r="K435" s="39">
        <v>7.3</v>
      </c>
      <c r="L435" s="38">
        <v>20.5</v>
      </c>
      <c r="M435" s="40" t="s">
        <v>31</v>
      </c>
      <c r="N435" s="41"/>
      <c r="O435" s="42" t="s">
        <v>34</v>
      </c>
      <c r="P435" s="43"/>
    </row>
    <row r="436">
      <c r="A436" s="44" t="s">
        <v>530</v>
      </c>
      <c r="B436" s="45" t="s">
        <v>25</v>
      </c>
      <c r="C436" s="46" t="s">
        <v>26</v>
      </c>
      <c r="D436" s="47" t="str">
        <f t="shared" si="1"/>
        <v>Active</v>
      </c>
      <c r="E436" s="48">
        <v>44725.0</v>
      </c>
      <c r="F436" s="49"/>
      <c r="G436" s="50">
        <f t="shared" si="2"/>
        <v>51.76666667</v>
      </c>
      <c r="H436" s="51">
        <v>44463.0</v>
      </c>
      <c r="I436" s="50">
        <f t="shared" si="4"/>
        <v>0.7194444444</v>
      </c>
      <c r="J436" s="55">
        <v>82.0</v>
      </c>
      <c r="K436" s="56">
        <v>8.1</v>
      </c>
      <c r="L436" s="55">
        <v>32.5</v>
      </c>
      <c r="M436" s="58" t="s">
        <v>29</v>
      </c>
      <c r="N436" s="59" t="s">
        <v>515</v>
      </c>
      <c r="O436" s="60" t="s">
        <v>149</v>
      </c>
      <c r="P436" s="61"/>
    </row>
    <row r="437">
      <c r="A437" s="29" t="s">
        <v>531</v>
      </c>
      <c r="B437" s="30" t="s">
        <v>25</v>
      </c>
      <c r="C437" s="31" t="s">
        <v>26</v>
      </c>
      <c r="D437" s="32" t="str">
        <f t="shared" si="1"/>
        <v>Active</v>
      </c>
      <c r="E437" s="33">
        <v>44725.0</v>
      </c>
      <c r="F437" s="34"/>
      <c r="G437" s="36">
        <f t="shared" si="2"/>
        <v>51.76666667</v>
      </c>
      <c r="H437" s="37">
        <v>44428.0</v>
      </c>
      <c r="I437" s="36">
        <f t="shared" si="4"/>
        <v>0.8138888889</v>
      </c>
      <c r="J437" s="38">
        <v>85.0</v>
      </c>
      <c r="K437" s="39">
        <v>8.4</v>
      </c>
      <c r="L437" s="38">
        <v>25.0</v>
      </c>
      <c r="M437" s="40" t="s">
        <v>29</v>
      </c>
      <c r="N437" s="41"/>
      <c r="O437" s="42" t="s">
        <v>149</v>
      </c>
      <c r="P437" s="43"/>
    </row>
    <row r="438">
      <c r="A438" s="44" t="s">
        <v>532</v>
      </c>
      <c r="B438" s="45" t="s">
        <v>25</v>
      </c>
      <c r="C438" s="46" t="s">
        <v>26</v>
      </c>
      <c r="D438" s="47" t="str">
        <f t="shared" si="1"/>
        <v>Active</v>
      </c>
      <c r="E438" s="48">
        <v>44725.0</v>
      </c>
      <c r="F438" s="49"/>
      <c r="G438" s="50">
        <f t="shared" si="2"/>
        <v>51.76666667</v>
      </c>
      <c r="H438" s="51">
        <v>42573.0</v>
      </c>
      <c r="I438" s="50">
        <f t="shared" si="4"/>
        <v>5.891666667</v>
      </c>
      <c r="J438" s="55">
        <v>68.0</v>
      </c>
      <c r="K438" s="56">
        <v>7.2</v>
      </c>
      <c r="L438" s="55">
        <v>6.0</v>
      </c>
      <c r="M438" s="58" t="s">
        <v>27</v>
      </c>
      <c r="N438" s="59"/>
      <c r="O438" s="60" t="s">
        <v>149</v>
      </c>
      <c r="P438" s="61" t="s">
        <v>149</v>
      </c>
    </row>
    <row r="439">
      <c r="A439" s="29" t="s">
        <v>533</v>
      </c>
      <c r="B439" s="30" t="s">
        <v>25</v>
      </c>
      <c r="C439" s="31" t="s">
        <v>26</v>
      </c>
      <c r="D439" s="32" t="str">
        <f t="shared" si="1"/>
        <v>Active</v>
      </c>
      <c r="E439" s="33">
        <v>44725.0</v>
      </c>
      <c r="F439" s="34"/>
      <c r="G439" s="36">
        <f t="shared" si="2"/>
        <v>51.76666667</v>
      </c>
      <c r="H439" s="37">
        <v>44495.0</v>
      </c>
      <c r="I439" s="36">
        <f t="shared" si="4"/>
        <v>0.6305555556</v>
      </c>
      <c r="J439" s="38">
        <v>82.0</v>
      </c>
      <c r="K439" s="39">
        <v>8.4</v>
      </c>
      <c r="L439" s="38">
        <v>17.5</v>
      </c>
      <c r="M439" s="40" t="s">
        <v>29</v>
      </c>
      <c r="N439" s="41"/>
      <c r="O439" s="42" t="s">
        <v>149</v>
      </c>
      <c r="P439" s="43"/>
    </row>
    <row r="440">
      <c r="A440" s="44" t="s">
        <v>534</v>
      </c>
      <c r="B440" s="45" t="s">
        <v>25</v>
      </c>
      <c r="C440" s="46" t="s">
        <v>26</v>
      </c>
      <c r="D440" s="47" t="str">
        <f t="shared" si="1"/>
        <v>Active</v>
      </c>
      <c r="E440" s="48">
        <v>44725.0</v>
      </c>
      <c r="F440" s="49"/>
      <c r="G440" s="50">
        <f t="shared" si="2"/>
        <v>51.76666667</v>
      </c>
      <c r="H440" s="51">
        <v>44147.0</v>
      </c>
      <c r="I440" s="50">
        <f t="shared" si="4"/>
        <v>1.586111111</v>
      </c>
      <c r="J440" s="55">
        <v>86.0</v>
      </c>
      <c r="K440" s="56">
        <v>7.6</v>
      </c>
      <c r="L440" s="55">
        <v>7.5</v>
      </c>
      <c r="M440" s="58" t="s">
        <v>29</v>
      </c>
      <c r="N440" s="59"/>
      <c r="O440" s="60" t="s">
        <v>149</v>
      </c>
      <c r="P440" s="61"/>
    </row>
    <row r="441">
      <c r="A441" s="29" t="s">
        <v>535</v>
      </c>
      <c r="B441" s="30" t="s">
        <v>25</v>
      </c>
      <c r="C441" s="31" t="s">
        <v>26</v>
      </c>
      <c r="D441" s="32" t="str">
        <f t="shared" si="1"/>
        <v>Active</v>
      </c>
      <c r="E441" s="33">
        <v>44725.0</v>
      </c>
      <c r="F441" s="34"/>
      <c r="G441" s="36">
        <f t="shared" si="2"/>
        <v>51.76666667</v>
      </c>
      <c r="H441" s="37">
        <v>44119.0</v>
      </c>
      <c r="I441" s="36">
        <f t="shared" si="4"/>
        <v>1.661111111</v>
      </c>
      <c r="J441" s="38">
        <v>70.0</v>
      </c>
      <c r="K441" s="39">
        <v>3.8</v>
      </c>
      <c r="L441" s="38">
        <v>9.0</v>
      </c>
      <c r="M441" s="40" t="s">
        <v>95</v>
      </c>
      <c r="N441" s="41"/>
      <c r="O441" s="42" t="s">
        <v>149</v>
      </c>
      <c r="P441" s="43"/>
    </row>
    <row r="442">
      <c r="A442" s="44" t="s">
        <v>536</v>
      </c>
      <c r="B442" s="45" t="s">
        <v>25</v>
      </c>
      <c r="C442" s="46" t="s">
        <v>26</v>
      </c>
      <c r="D442" s="47" t="str">
        <f t="shared" si="1"/>
        <v>Active</v>
      </c>
      <c r="E442" s="48">
        <v>44725.0</v>
      </c>
      <c r="F442" s="49"/>
      <c r="G442" s="50">
        <f t="shared" si="2"/>
        <v>51.76666667</v>
      </c>
      <c r="H442" s="51">
        <v>44145.0</v>
      </c>
      <c r="I442" s="50">
        <f t="shared" si="4"/>
        <v>1.591666667</v>
      </c>
      <c r="J442" s="55">
        <v>81.0</v>
      </c>
      <c r="K442" s="56">
        <v>7.2</v>
      </c>
      <c r="L442" s="55">
        <v>7.0</v>
      </c>
      <c r="M442" s="58" t="s">
        <v>537</v>
      </c>
      <c r="N442" s="59"/>
      <c r="O442" s="60" t="s">
        <v>149</v>
      </c>
      <c r="P442" s="61"/>
    </row>
    <row r="443">
      <c r="A443" s="29" t="s">
        <v>538</v>
      </c>
      <c r="B443" s="30" t="s">
        <v>25</v>
      </c>
      <c r="C443" s="31" t="s">
        <v>26</v>
      </c>
      <c r="D443" s="32" t="str">
        <f t="shared" si="1"/>
        <v>Active</v>
      </c>
      <c r="E443" s="33">
        <v>44725.0</v>
      </c>
      <c r="F443" s="34"/>
      <c r="G443" s="36">
        <f t="shared" si="2"/>
        <v>51.76666667</v>
      </c>
      <c r="H443" s="37">
        <v>43242.0</v>
      </c>
      <c r="I443" s="36">
        <f t="shared" si="4"/>
        <v>4.058333333</v>
      </c>
      <c r="J443" s="38">
        <v>59.0</v>
      </c>
      <c r="K443" s="39">
        <v>3.0</v>
      </c>
      <c r="L443" s="38">
        <v>10.0</v>
      </c>
      <c r="M443" s="40" t="s">
        <v>125</v>
      </c>
      <c r="N443" s="41"/>
      <c r="O443" s="42" t="s">
        <v>149</v>
      </c>
      <c r="P443" s="43" t="s">
        <v>149</v>
      </c>
    </row>
    <row r="444">
      <c r="A444" s="44" t="s">
        <v>539</v>
      </c>
      <c r="B444" s="45" t="s">
        <v>25</v>
      </c>
      <c r="C444" s="46" t="s">
        <v>26</v>
      </c>
      <c r="D444" s="47" t="str">
        <f t="shared" si="1"/>
        <v>Active</v>
      </c>
      <c r="E444" s="48">
        <v>44725.0</v>
      </c>
      <c r="F444" s="49"/>
      <c r="G444" s="50">
        <f t="shared" si="2"/>
        <v>51.76666667</v>
      </c>
      <c r="H444" s="51">
        <v>43616.0</v>
      </c>
      <c r="I444" s="50">
        <f t="shared" si="4"/>
        <v>3.036111111</v>
      </c>
      <c r="J444" s="55">
        <v>68.0</v>
      </c>
      <c r="K444" s="56">
        <v>6.4</v>
      </c>
      <c r="L444" s="55">
        <v>10.0</v>
      </c>
      <c r="M444" s="58" t="s">
        <v>42</v>
      </c>
      <c r="N444" s="59"/>
      <c r="O444" s="60" t="s">
        <v>272</v>
      </c>
      <c r="P444" s="61" t="s">
        <v>149</v>
      </c>
    </row>
    <row r="445">
      <c r="A445" s="29" t="s">
        <v>540</v>
      </c>
      <c r="B445" s="30" t="s">
        <v>384</v>
      </c>
      <c r="C445" s="31" t="s">
        <v>26</v>
      </c>
      <c r="D445" s="32" t="str">
        <f t="shared" si="1"/>
        <v>Active</v>
      </c>
      <c r="E445" s="33">
        <v>44725.0</v>
      </c>
      <c r="F445" s="34"/>
      <c r="G445" s="36">
        <f t="shared" si="2"/>
        <v>51.76666667</v>
      </c>
      <c r="H445" s="37">
        <v>42583.0</v>
      </c>
      <c r="I445" s="36">
        <f t="shared" si="4"/>
        <v>5.866666667</v>
      </c>
      <c r="J445" s="38">
        <v>72.0</v>
      </c>
      <c r="K445" s="39">
        <v>8.0</v>
      </c>
      <c r="L445" s="38">
        <v>2.0</v>
      </c>
      <c r="M445" s="40" t="s">
        <v>27</v>
      </c>
      <c r="N445" s="41"/>
      <c r="O445" s="42" t="s">
        <v>34</v>
      </c>
      <c r="P445" s="43"/>
    </row>
    <row r="446">
      <c r="A446" s="44" t="s">
        <v>541</v>
      </c>
      <c r="B446" s="45" t="s">
        <v>384</v>
      </c>
      <c r="C446" s="46" t="s">
        <v>26</v>
      </c>
      <c r="D446" s="47" t="str">
        <f t="shared" si="1"/>
        <v>Active</v>
      </c>
      <c r="E446" s="48">
        <v>44725.0</v>
      </c>
      <c r="F446" s="49"/>
      <c r="G446" s="50">
        <f t="shared" si="2"/>
        <v>51.76666667</v>
      </c>
      <c r="H446" s="51">
        <v>42887.0</v>
      </c>
      <c r="I446" s="50">
        <f t="shared" si="4"/>
        <v>5.033333333</v>
      </c>
      <c r="J446" s="55">
        <v>83.0</v>
      </c>
      <c r="K446" s="56">
        <v>7.1</v>
      </c>
      <c r="L446" s="55">
        <v>2.0</v>
      </c>
      <c r="M446" s="58" t="s">
        <v>70</v>
      </c>
      <c r="N446" s="59"/>
      <c r="O446" s="60" t="s">
        <v>149</v>
      </c>
      <c r="P446" s="61" t="s">
        <v>149</v>
      </c>
    </row>
    <row r="447">
      <c r="A447" s="29" t="s">
        <v>543</v>
      </c>
      <c r="B447" s="30" t="s">
        <v>384</v>
      </c>
      <c r="C447" s="31" t="s">
        <v>26</v>
      </c>
      <c r="D447" s="32" t="str">
        <f t="shared" si="1"/>
        <v>Active</v>
      </c>
      <c r="E447" s="33">
        <v>44725.0</v>
      </c>
      <c r="F447" s="34"/>
      <c r="G447" s="36">
        <f t="shared" si="2"/>
        <v>51.76666667</v>
      </c>
      <c r="H447" s="37">
        <v>44145.0</v>
      </c>
      <c r="I447" s="36">
        <f t="shared" si="4"/>
        <v>1.591666667</v>
      </c>
      <c r="J447" s="38">
        <v>90.0</v>
      </c>
      <c r="K447" s="39">
        <v>7.4</v>
      </c>
      <c r="L447" s="38">
        <v>3.0</v>
      </c>
      <c r="M447" s="40" t="s">
        <v>136</v>
      </c>
      <c r="N447" s="41"/>
      <c r="O447" s="42" t="s">
        <v>34</v>
      </c>
      <c r="P447" s="43" t="s">
        <v>149</v>
      </c>
    </row>
    <row r="448">
      <c r="A448" s="44" t="s">
        <v>544</v>
      </c>
      <c r="B448" s="45" t="s">
        <v>45</v>
      </c>
      <c r="C448" s="46" t="s">
        <v>26</v>
      </c>
      <c r="D448" s="47" t="str">
        <f t="shared" si="1"/>
        <v>Active</v>
      </c>
      <c r="E448" s="48">
        <v>44725.0</v>
      </c>
      <c r="F448" s="49"/>
      <c r="G448" s="50">
        <f t="shared" si="2"/>
        <v>51.76666667</v>
      </c>
      <c r="H448" s="51">
        <v>43683.0</v>
      </c>
      <c r="I448" s="50">
        <f t="shared" si="4"/>
        <v>2.852777778</v>
      </c>
      <c r="J448" s="55">
        <v>82.0</v>
      </c>
      <c r="K448" s="56">
        <v>7.4</v>
      </c>
      <c r="L448" s="55">
        <v>56.5</v>
      </c>
      <c r="M448" s="58" t="s">
        <v>103</v>
      </c>
      <c r="N448" s="59"/>
      <c r="O448" s="60" t="s">
        <v>149</v>
      </c>
      <c r="P448" s="61" t="s">
        <v>149</v>
      </c>
    </row>
    <row r="449">
      <c r="A449" s="29" t="s">
        <v>545</v>
      </c>
      <c r="B449" s="30" t="s">
        <v>45</v>
      </c>
      <c r="C449" s="31" t="s">
        <v>26</v>
      </c>
      <c r="D449" s="32" t="str">
        <f t="shared" si="1"/>
        <v>Active</v>
      </c>
      <c r="E449" s="33">
        <v>44725.0</v>
      </c>
      <c r="F449" s="34"/>
      <c r="G449" s="36">
        <f t="shared" si="2"/>
        <v>51.76666667</v>
      </c>
      <c r="H449" s="37">
        <v>43313.0</v>
      </c>
      <c r="I449" s="36">
        <f t="shared" si="4"/>
        <v>3.866666667</v>
      </c>
      <c r="J449" s="38">
        <v>73.0</v>
      </c>
      <c r="K449" s="39">
        <v>7.0</v>
      </c>
      <c r="L449" s="38">
        <v>6.0</v>
      </c>
      <c r="M449" s="40" t="s">
        <v>29</v>
      </c>
      <c r="N449" s="41"/>
      <c r="O449" s="42" t="s">
        <v>149</v>
      </c>
      <c r="P449" s="43"/>
    </row>
    <row r="450">
      <c r="A450" s="44" t="s">
        <v>546</v>
      </c>
      <c r="B450" s="45" t="s">
        <v>45</v>
      </c>
      <c r="C450" s="46" t="s">
        <v>26</v>
      </c>
      <c r="D450" s="47" t="str">
        <f t="shared" si="1"/>
        <v>Active</v>
      </c>
      <c r="E450" s="48">
        <v>44725.0</v>
      </c>
      <c r="F450" s="49"/>
      <c r="G450" s="50">
        <f t="shared" si="2"/>
        <v>51.76666667</v>
      </c>
      <c r="H450" s="51">
        <v>43781.0</v>
      </c>
      <c r="I450" s="50">
        <f t="shared" si="4"/>
        <v>2.586111111</v>
      </c>
      <c r="J450" s="55">
        <v>60.0</v>
      </c>
      <c r="K450" s="56">
        <v>5.6</v>
      </c>
      <c r="L450" s="55">
        <v>2.5</v>
      </c>
      <c r="M450" s="58" t="s">
        <v>70</v>
      </c>
      <c r="N450" s="59"/>
      <c r="O450" s="60" t="s">
        <v>149</v>
      </c>
      <c r="P450" s="61" t="s">
        <v>149</v>
      </c>
    </row>
    <row r="451">
      <c r="A451" s="29" t="s">
        <v>547</v>
      </c>
      <c r="B451" s="30" t="s">
        <v>45</v>
      </c>
      <c r="C451" s="31" t="s">
        <v>26</v>
      </c>
      <c r="D451" s="32" t="str">
        <f t="shared" si="1"/>
        <v>Active</v>
      </c>
      <c r="E451" s="33">
        <v>44725.0</v>
      </c>
      <c r="F451" s="34"/>
      <c r="G451" s="36">
        <f t="shared" si="2"/>
        <v>51.76666667</v>
      </c>
      <c r="H451" s="37">
        <v>43403.0</v>
      </c>
      <c r="I451" s="36">
        <f t="shared" si="4"/>
        <v>3.619444444</v>
      </c>
      <c r="J451" s="38">
        <v>68.0</v>
      </c>
      <c r="K451" s="39">
        <v>6.9</v>
      </c>
      <c r="L451" s="38">
        <v>13.5</v>
      </c>
      <c r="M451" s="40" t="s">
        <v>42</v>
      </c>
      <c r="N451" s="41"/>
      <c r="O451" s="42" t="s">
        <v>149</v>
      </c>
      <c r="P451" s="43"/>
    </row>
    <row r="452">
      <c r="A452" s="44" t="s">
        <v>548</v>
      </c>
      <c r="B452" s="45" t="s">
        <v>45</v>
      </c>
      <c r="C452" s="46" t="s">
        <v>26</v>
      </c>
      <c r="D452" s="47" t="str">
        <f t="shared" si="1"/>
        <v>Active</v>
      </c>
      <c r="E452" s="48">
        <v>44725.0</v>
      </c>
      <c r="F452" s="49"/>
      <c r="G452" s="50">
        <f t="shared" si="2"/>
        <v>51.76666667</v>
      </c>
      <c r="H452" s="51">
        <v>42682.0</v>
      </c>
      <c r="I452" s="50">
        <f t="shared" si="4"/>
        <v>5.597222222</v>
      </c>
      <c r="J452" s="55">
        <v>29.0</v>
      </c>
      <c r="K452" s="56">
        <v>5.5</v>
      </c>
      <c r="L452" s="55">
        <v>5.0</v>
      </c>
      <c r="M452" s="58" t="s">
        <v>217</v>
      </c>
      <c r="N452" s="59"/>
      <c r="O452" s="60" t="s">
        <v>149</v>
      </c>
      <c r="P452" s="61" t="s">
        <v>149</v>
      </c>
    </row>
    <row r="453">
      <c r="A453" s="29" t="s">
        <v>549</v>
      </c>
      <c r="B453" s="30" t="s">
        <v>45</v>
      </c>
      <c r="C453" s="31" t="s">
        <v>26</v>
      </c>
      <c r="D453" s="32" t="str">
        <f t="shared" si="1"/>
        <v>Active</v>
      </c>
      <c r="E453" s="33">
        <v>44725.0</v>
      </c>
      <c r="F453" s="34"/>
      <c r="G453" s="36">
        <f t="shared" si="2"/>
        <v>51.76666667</v>
      </c>
      <c r="H453" s="37">
        <v>43125.0</v>
      </c>
      <c r="I453" s="36">
        <f t="shared" si="4"/>
        <v>4.383333333</v>
      </c>
      <c r="J453" s="38">
        <v>93.0</v>
      </c>
      <c r="K453" s="39">
        <v>8.7</v>
      </c>
      <c r="L453" s="38">
        <v>8.0</v>
      </c>
      <c r="M453" s="40" t="s">
        <v>27</v>
      </c>
      <c r="N453" s="41"/>
      <c r="O453" s="42" t="s">
        <v>149</v>
      </c>
      <c r="P453" s="43"/>
    </row>
    <row r="454">
      <c r="A454" s="44" t="s">
        <v>550</v>
      </c>
      <c r="B454" s="45" t="s">
        <v>45</v>
      </c>
      <c r="C454" s="46" t="s">
        <v>26</v>
      </c>
      <c r="D454" s="47" t="str">
        <f t="shared" si="1"/>
        <v>Active</v>
      </c>
      <c r="E454" s="48">
        <v>44725.0</v>
      </c>
      <c r="F454" s="49"/>
      <c r="G454" s="50">
        <f t="shared" si="2"/>
        <v>51.76666667</v>
      </c>
      <c r="H454" s="51">
        <v>43711.0</v>
      </c>
      <c r="I454" s="50">
        <f t="shared" si="4"/>
        <v>2.777777778</v>
      </c>
      <c r="J454" s="55">
        <v>83.0</v>
      </c>
      <c r="K454" s="56">
        <v>7.9</v>
      </c>
      <c r="L454" s="55">
        <v>14.5</v>
      </c>
      <c r="M454" s="58" t="s">
        <v>42</v>
      </c>
      <c r="N454" s="59"/>
      <c r="O454" s="60" t="s">
        <v>149</v>
      </c>
      <c r="P454" s="61" t="s">
        <v>149</v>
      </c>
    </row>
    <row r="455">
      <c r="A455" s="29" t="s">
        <v>551</v>
      </c>
      <c r="B455" s="30" t="s">
        <v>45</v>
      </c>
      <c r="C455" s="31" t="s">
        <v>26</v>
      </c>
      <c r="D455" s="32" t="str">
        <f t="shared" si="1"/>
        <v>Active</v>
      </c>
      <c r="E455" s="33">
        <v>44725.0</v>
      </c>
      <c r="F455" s="34"/>
      <c r="G455" s="36">
        <f t="shared" si="2"/>
        <v>51.76666667</v>
      </c>
      <c r="H455" s="37">
        <v>42887.0</v>
      </c>
      <c r="I455" s="36">
        <f t="shared" si="4"/>
        <v>5.033333333</v>
      </c>
      <c r="J455" s="38">
        <v>59.0</v>
      </c>
      <c r="K455" s="39">
        <v>5.7</v>
      </c>
      <c r="L455" s="38">
        <v>33.5</v>
      </c>
      <c r="M455" s="40" t="s">
        <v>42</v>
      </c>
      <c r="N455" s="41"/>
      <c r="O455" s="42" t="s">
        <v>149</v>
      </c>
      <c r="P455" s="43"/>
    </row>
    <row r="456">
      <c r="A456" s="44" t="s">
        <v>552</v>
      </c>
      <c r="B456" s="45" t="s">
        <v>45</v>
      </c>
      <c r="C456" s="46" t="s">
        <v>26</v>
      </c>
      <c r="D456" s="47" t="str">
        <f t="shared" si="1"/>
        <v>Active</v>
      </c>
      <c r="E456" s="48">
        <v>44725.0</v>
      </c>
      <c r="F456" s="49"/>
      <c r="G456" s="50">
        <f t="shared" si="2"/>
        <v>51.76666667</v>
      </c>
      <c r="H456" s="51">
        <v>42036.0</v>
      </c>
      <c r="I456" s="50">
        <f t="shared" si="4"/>
        <v>7.366666667</v>
      </c>
      <c r="J456" s="55">
        <v>72.0</v>
      </c>
      <c r="K456" s="56">
        <v>7.4</v>
      </c>
      <c r="L456" s="55">
        <v>3.5</v>
      </c>
      <c r="M456" s="58" t="s">
        <v>114</v>
      </c>
      <c r="N456" s="59"/>
      <c r="O456" s="60" t="s">
        <v>149</v>
      </c>
      <c r="P456" s="61" t="s">
        <v>149</v>
      </c>
    </row>
    <row r="457">
      <c r="A457" s="29" t="s">
        <v>553</v>
      </c>
      <c r="B457" s="30" t="s">
        <v>45</v>
      </c>
      <c r="C457" s="31" t="s">
        <v>26</v>
      </c>
      <c r="D457" s="32" t="str">
        <f t="shared" si="1"/>
        <v>Active</v>
      </c>
      <c r="E457" s="33">
        <v>44725.0</v>
      </c>
      <c r="F457" s="34"/>
      <c r="G457" s="36">
        <f t="shared" si="2"/>
        <v>51.76666667</v>
      </c>
      <c r="H457" s="37">
        <v>43202.0</v>
      </c>
      <c r="I457" s="36">
        <f t="shared" si="4"/>
        <v>4.169444444</v>
      </c>
      <c r="J457" s="38">
        <v>71.0</v>
      </c>
      <c r="K457" s="39">
        <v>7.4</v>
      </c>
      <c r="L457" s="38">
        <v>24.5</v>
      </c>
      <c r="M457" s="40" t="s">
        <v>42</v>
      </c>
      <c r="N457" s="41"/>
      <c r="O457" s="42" t="s">
        <v>34</v>
      </c>
      <c r="P457" s="43"/>
    </row>
    <row r="458">
      <c r="A458" s="44" t="s">
        <v>554</v>
      </c>
      <c r="B458" s="45" t="s">
        <v>25</v>
      </c>
      <c r="C458" s="46" t="s">
        <v>26</v>
      </c>
      <c r="D458" s="47" t="str">
        <f t="shared" si="1"/>
        <v>Active</v>
      </c>
      <c r="E458" s="48">
        <v>44725.0</v>
      </c>
      <c r="F458" s="49"/>
      <c r="G458" s="50">
        <f t="shared" si="2"/>
        <v>51.76666667</v>
      </c>
      <c r="H458" s="51">
        <v>43748.0</v>
      </c>
      <c r="I458" s="50">
        <f t="shared" si="4"/>
        <v>2.675</v>
      </c>
      <c r="J458" s="55">
        <v>75.0</v>
      </c>
      <c r="K458" s="56">
        <v>7.3</v>
      </c>
      <c r="L458" s="55">
        <v>5.0</v>
      </c>
      <c r="M458" s="58" t="s">
        <v>555</v>
      </c>
      <c r="N458" s="59"/>
      <c r="O458" s="60" t="s">
        <v>149</v>
      </c>
      <c r="P458" s="61"/>
    </row>
    <row r="459">
      <c r="A459" s="29" t="s">
        <v>556</v>
      </c>
      <c r="B459" s="30" t="s">
        <v>45</v>
      </c>
      <c r="C459" s="31" t="s">
        <v>26</v>
      </c>
      <c r="D459" s="32" t="str">
        <f t="shared" si="1"/>
        <v>Active</v>
      </c>
      <c r="E459" s="33">
        <v>44725.0</v>
      </c>
      <c r="F459" s="34"/>
      <c r="G459" s="36">
        <f t="shared" si="2"/>
        <v>51.76666667</v>
      </c>
      <c r="H459" s="37">
        <v>43998.0</v>
      </c>
      <c r="I459" s="36">
        <f t="shared" si="4"/>
        <v>1.991666667</v>
      </c>
      <c r="J459" s="38">
        <v>86.0</v>
      </c>
      <c r="K459" s="39">
        <v>7.9</v>
      </c>
      <c r="L459" s="38">
        <v>26.5</v>
      </c>
      <c r="M459" s="40" t="s">
        <v>103</v>
      </c>
      <c r="N459" s="41"/>
      <c r="O459" s="42" t="s">
        <v>149</v>
      </c>
      <c r="P459" s="43"/>
    </row>
    <row r="460">
      <c r="A460" s="44" t="s">
        <v>557</v>
      </c>
      <c r="B460" s="45" t="s">
        <v>45</v>
      </c>
      <c r="C460" s="46" t="s">
        <v>26</v>
      </c>
      <c r="D460" s="47" t="str">
        <f t="shared" si="1"/>
        <v>Active</v>
      </c>
      <c r="E460" s="48">
        <v>44725.0</v>
      </c>
      <c r="F460" s="49"/>
      <c r="G460" s="50">
        <f t="shared" si="2"/>
        <v>51.76666667</v>
      </c>
      <c r="H460" s="51">
        <v>42278.0</v>
      </c>
      <c r="I460" s="50">
        <f t="shared" si="4"/>
        <v>6.7</v>
      </c>
      <c r="J460" s="55">
        <v>82.0</v>
      </c>
      <c r="K460" s="56">
        <v>8.2</v>
      </c>
      <c r="L460" s="55">
        <v>40.5</v>
      </c>
      <c r="M460" s="58" t="s">
        <v>42</v>
      </c>
      <c r="N460" s="59"/>
      <c r="O460" s="60" t="s">
        <v>149</v>
      </c>
      <c r="P460" s="61"/>
    </row>
    <row r="461">
      <c r="A461" s="29" t="s">
        <v>558</v>
      </c>
      <c r="B461" s="30" t="s">
        <v>45</v>
      </c>
      <c r="C461" s="31" t="s">
        <v>26</v>
      </c>
      <c r="D461" s="32" t="str">
        <f t="shared" si="1"/>
        <v>Active</v>
      </c>
      <c r="E461" s="33">
        <v>44725.0</v>
      </c>
      <c r="F461" s="34"/>
      <c r="G461" s="36">
        <f t="shared" si="2"/>
        <v>51.76666667</v>
      </c>
      <c r="H461" s="37">
        <v>42491.0</v>
      </c>
      <c r="I461" s="36">
        <f t="shared" si="4"/>
        <v>6.116666667</v>
      </c>
      <c r="J461" s="38">
        <v>86.0</v>
      </c>
      <c r="K461" s="39">
        <v>8.5</v>
      </c>
      <c r="L461" s="38">
        <v>11.5</v>
      </c>
      <c r="M461" s="40" t="s">
        <v>31</v>
      </c>
      <c r="N461" s="41"/>
      <c r="O461" s="42" t="s">
        <v>149</v>
      </c>
      <c r="P461" s="43"/>
    </row>
    <row r="462">
      <c r="A462" s="44" t="s">
        <v>559</v>
      </c>
      <c r="B462" s="45" t="s">
        <v>45</v>
      </c>
      <c r="C462" s="46" t="s">
        <v>26</v>
      </c>
      <c r="D462" s="47" t="str">
        <f t="shared" si="1"/>
        <v>Active</v>
      </c>
      <c r="E462" s="48">
        <v>44725.0</v>
      </c>
      <c r="F462" s="49"/>
      <c r="G462" s="50">
        <f t="shared" si="2"/>
        <v>51.76666667</v>
      </c>
      <c r="H462" s="51">
        <v>43384.0</v>
      </c>
      <c r="I462" s="50">
        <f t="shared" si="4"/>
        <v>3.672222222</v>
      </c>
      <c r="J462" s="55">
        <v>75.0</v>
      </c>
      <c r="K462" s="56">
        <v>7.1</v>
      </c>
      <c r="L462" s="55">
        <v>16.5</v>
      </c>
      <c r="M462" s="58" t="s">
        <v>42</v>
      </c>
      <c r="N462" s="59"/>
      <c r="O462" s="60" t="s">
        <v>34</v>
      </c>
      <c r="P462" s="61"/>
    </row>
    <row r="463">
      <c r="A463" s="29" t="s">
        <v>560</v>
      </c>
      <c r="B463" s="30" t="s">
        <v>45</v>
      </c>
      <c r="C463" s="31" t="s">
        <v>26</v>
      </c>
      <c r="D463" s="32" t="str">
        <f t="shared" si="1"/>
        <v>Active</v>
      </c>
      <c r="E463" s="33">
        <v>44725.0</v>
      </c>
      <c r="F463" s="34"/>
      <c r="G463" s="36">
        <f t="shared" si="2"/>
        <v>51.76666667</v>
      </c>
      <c r="H463" s="37">
        <v>41963.0</v>
      </c>
      <c r="I463" s="36">
        <f t="shared" si="4"/>
        <v>7.563888889</v>
      </c>
      <c r="J463" s="38">
        <v>68.0</v>
      </c>
      <c r="K463" s="39">
        <v>6.9</v>
      </c>
      <c r="L463" s="38">
        <v>12.5</v>
      </c>
      <c r="M463" s="40" t="s">
        <v>29</v>
      </c>
      <c r="N463" s="41"/>
      <c r="O463" s="42" t="s">
        <v>34</v>
      </c>
      <c r="P463" s="43" t="s">
        <v>149</v>
      </c>
    </row>
    <row r="464">
      <c r="A464" s="44" t="s">
        <v>561</v>
      </c>
      <c r="B464" s="45" t="s">
        <v>45</v>
      </c>
      <c r="C464" s="46" t="s">
        <v>26</v>
      </c>
      <c r="D464" s="47" t="str">
        <f t="shared" si="1"/>
        <v>Active</v>
      </c>
      <c r="E464" s="48">
        <v>44725.0</v>
      </c>
      <c r="F464" s="49"/>
      <c r="G464" s="50">
        <f t="shared" si="2"/>
        <v>51.76666667</v>
      </c>
      <c r="H464" s="51">
        <v>42095.0</v>
      </c>
      <c r="I464" s="50">
        <f t="shared" si="4"/>
        <v>7.2</v>
      </c>
      <c r="J464" s="55">
        <v>65.0</v>
      </c>
      <c r="K464" s="56">
        <v>8.0</v>
      </c>
      <c r="L464" s="55">
        <v>22.5</v>
      </c>
      <c r="M464" s="58" t="s">
        <v>29</v>
      </c>
      <c r="N464" s="59"/>
      <c r="O464" s="60" t="s">
        <v>149</v>
      </c>
      <c r="P464" s="61" t="s">
        <v>149</v>
      </c>
    </row>
    <row r="465">
      <c r="A465" s="29" t="s">
        <v>562</v>
      </c>
      <c r="B465" s="30" t="s">
        <v>45</v>
      </c>
      <c r="C465" s="31" t="s">
        <v>26</v>
      </c>
      <c r="D465" s="32" t="str">
        <f t="shared" si="1"/>
        <v>Active</v>
      </c>
      <c r="E465" s="33">
        <v>44725.0</v>
      </c>
      <c r="F465" s="34"/>
      <c r="G465" s="36">
        <f t="shared" si="2"/>
        <v>51.76666667</v>
      </c>
      <c r="H465" s="37">
        <v>43972.0</v>
      </c>
      <c r="I465" s="36">
        <f t="shared" si="4"/>
        <v>2.061111111</v>
      </c>
      <c r="J465" s="38">
        <v>67.0</v>
      </c>
      <c r="K465" s="39">
        <v>6.1</v>
      </c>
      <c r="L465" s="38">
        <v>7.0</v>
      </c>
      <c r="M465" s="40" t="s">
        <v>29</v>
      </c>
      <c r="N465" s="41"/>
      <c r="O465" s="42" t="s">
        <v>149</v>
      </c>
      <c r="P465" s="43" t="s">
        <v>149</v>
      </c>
    </row>
    <row r="466">
      <c r="A466" s="44" t="s">
        <v>563</v>
      </c>
      <c r="B466" s="45" t="s">
        <v>45</v>
      </c>
      <c r="C466" s="46" t="s">
        <v>26</v>
      </c>
      <c r="D466" s="47" t="str">
        <f t="shared" si="1"/>
        <v>Active</v>
      </c>
      <c r="E466" s="48">
        <v>44725.0</v>
      </c>
      <c r="F466" s="49"/>
      <c r="G466" s="50">
        <f t="shared" si="2"/>
        <v>51.76666667</v>
      </c>
      <c r="H466" s="51">
        <v>44166.0</v>
      </c>
      <c r="I466" s="50">
        <f t="shared" si="4"/>
        <v>1.533333333</v>
      </c>
      <c r="J466" s="55">
        <v>63.0</v>
      </c>
      <c r="K466" s="56">
        <v>6.2</v>
      </c>
      <c r="L466" s="55">
        <v>13.0</v>
      </c>
      <c r="M466" s="58" t="s">
        <v>103</v>
      </c>
      <c r="N466" s="59"/>
      <c r="O466" s="60" t="s">
        <v>149</v>
      </c>
      <c r="P466" s="61"/>
    </row>
    <row r="467">
      <c r="A467" s="29" t="s">
        <v>564</v>
      </c>
      <c r="B467" s="30" t="s">
        <v>45</v>
      </c>
      <c r="C467" s="31" t="s">
        <v>26</v>
      </c>
      <c r="D467" s="32" t="str">
        <f t="shared" si="1"/>
        <v>Active</v>
      </c>
      <c r="E467" s="33">
        <v>44725.0</v>
      </c>
      <c r="F467" s="34"/>
      <c r="G467" s="36">
        <f t="shared" si="2"/>
        <v>51.76666667</v>
      </c>
      <c r="H467" s="37">
        <v>41791.0</v>
      </c>
      <c r="I467" s="36">
        <f t="shared" si="4"/>
        <v>8.033333333</v>
      </c>
      <c r="J467" s="38">
        <v>68.0</v>
      </c>
      <c r="K467" s="39">
        <v>6.9</v>
      </c>
      <c r="L467" s="38">
        <v>1.5</v>
      </c>
      <c r="M467" s="40" t="s">
        <v>565</v>
      </c>
      <c r="N467" s="41"/>
      <c r="O467" s="42" t="s">
        <v>149</v>
      </c>
      <c r="P467" s="43" t="s">
        <v>149</v>
      </c>
    </row>
    <row r="468">
      <c r="A468" s="44" t="s">
        <v>566</v>
      </c>
      <c r="B468" s="45" t="s">
        <v>45</v>
      </c>
      <c r="C468" s="46" t="s">
        <v>26</v>
      </c>
      <c r="D468" s="47" t="str">
        <f t="shared" si="1"/>
        <v>Active</v>
      </c>
      <c r="E468" s="48">
        <v>44725.0</v>
      </c>
      <c r="F468" s="49"/>
      <c r="G468" s="50">
        <f t="shared" si="2"/>
        <v>51.76666667</v>
      </c>
      <c r="H468" s="51">
        <v>43083.0</v>
      </c>
      <c r="I468" s="50">
        <f t="shared" si="4"/>
        <v>4.497222222</v>
      </c>
      <c r="J468" s="55">
        <v>56.0</v>
      </c>
      <c r="K468" s="56">
        <v>5.7</v>
      </c>
      <c r="L468" s="55">
        <v>37.5</v>
      </c>
      <c r="M468" s="58" t="s">
        <v>42</v>
      </c>
      <c r="N468" s="59"/>
      <c r="O468" s="60" t="s">
        <v>149</v>
      </c>
      <c r="P468" s="61" t="s">
        <v>149</v>
      </c>
    </row>
    <row r="469">
      <c r="A469" s="29" t="s">
        <v>567</v>
      </c>
      <c r="B469" s="30" t="s">
        <v>45</v>
      </c>
      <c r="C469" s="31" t="s">
        <v>26</v>
      </c>
      <c r="D469" s="32" t="str">
        <f t="shared" si="1"/>
        <v>Active</v>
      </c>
      <c r="E469" s="33">
        <v>44725.0</v>
      </c>
      <c r="F469" s="34"/>
      <c r="G469" s="36">
        <f t="shared" si="2"/>
        <v>51.76666667</v>
      </c>
      <c r="H469" s="37">
        <v>43418.0</v>
      </c>
      <c r="I469" s="36">
        <f t="shared" si="4"/>
        <v>3.580555556</v>
      </c>
      <c r="J469" s="38">
        <v>54.0</v>
      </c>
      <c r="K469" s="39">
        <v>5.0</v>
      </c>
      <c r="L469" s="38">
        <v>30.0</v>
      </c>
      <c r="M469" s="40" t="s">
        <v>42</v>
      </c>
      <c r="N469" s="41"/>
      <c r="O469" s="42" t="s">
        <v>149</v>
      </c>
      <c r="P469" s="43"/>
    </row>
    <row r="470">
      <c r="A470" s="44" t="s">
        <v>568</v>
      </c>
      <c r="B470" s="45" t="s">
        <v>45</v>
      </c>
      <c r="C470" s="46" t="s">
        <v>26</v>
      </c>
      <c r="D470" s="47" t="str">
        <f t="shared" si="1"/>
        <v>Active</v>
      </c>
      <c r="E470" s="48">
        <v>44725.0</v>
      </c>
      <c r="F470" s="49"/>
      <c r="G470" s="50">
        <f t="shared" si="2"/>
        <v>51.76666667</v>
      </c>
      <c r="H470" s="51">
        <v>43664.0</v>
      </c>
      <c r="I470" s="50">
        <f t="shared" si="4"/>
        <v>2.902777778</v>
      </c>
      <c r="J470" s="55">
        <v>62.0</v>
      </c>
      <c r="K470" s="56">
        <v>5.7</v>
      </c>
      <c r="L470" s="55">
        <v>11.0</v>
      </c>
      <c r="M470" s="58" t="s">
        <v>95</v>
      </c>
      <c r="N470" s="59"/>
      <c r="O470" s="60" t="s">
        <v>149</v>
      </c>
      <c r="P470" s="61" t="s">
        <v>149</v>
      </c>
    </row>
    <row r="471">
      <c r="A471" s="29" t="s">
        <v>569</v>
      </c>
      <c r="B471" s="30" t="s">
        <v>45</v>
      </c>
      <c r="C471" s="31" t="s">
        <v>26</v>
      </c>
      <c r="D471" s="32" t="str">
        <f t="shared" si="1"/>
        <v>Active</v>
      </c>
      <c r="E471" s="33">
        <v>44725.0</v>
      </c>
      <c r="F471" s="34"/>
      <c r="G471" s="36">
        <f t="shared" si="2"/>
        <v>51.76666667</v>
      </c>
      <c r="H471" s="37">
        <v>43158.0</v>
      </c>
      <c r="I471" s="36">
        <f t="shared" si="4"/>
        <v>4.294444444</v>
      </c>
      <c r="J471" s="38">
        <v>75.0</v>
      </c>
      <c r="K471" s="39">
        <v>7.3</v>
      </c>
      <c r="L471" s="38">
        <v>9.5</v>
      </c>
      <c r="M471" s="40" t="s">
        <v>103</v>
      </c>
      <c r="N471" s="41"/>
      <c r="O471" s="42" t="s">
        <v>149</v>
      </c>
      <c r="P471" s="43" t="s">
        <v>149</v>
      </c>
    </row>
    <row r="472">
      <c r="A472" s="44" t="s">
        <v>570</v>
      </c>
      <c r="B472" s="45" t="s">
        <v>45</v>
      </c>
      <c r="C472" s="46" t="s">
        <v>26</v>
      </c>
      <c r="D472" s="47" t="str">
        <f t="shared" si="1"/>
        <v>Active</v>
      </c>
      <c r="E472" s="48">
        <v>44725.0</v>
      </c>
      <c r="F472" s="49"/>
      <c r="G472" s="50">
        <f t="shared" si="2"/>
        <v>51.76666667</v>
      </c>
      <c r="H472" s="51">
        <v>43191.0</v>
      </c>
      <c r="I472" s="50">
        <f t="shared" si="4"/>
        <v>4.2</v>
      </c>
      <c r="J472" s="55">
        <v>85.0</v>
      </c>
      <c r="K472" s="56">
        <v>8.0</v>
      </c>
      <c r="L472" s="55">
        <v>10.5</v>
      </c>
      <c r="M472" s="58" t="s">
        <v>103</v>
      </c>
      <c r="N472" s="59"/>
      <c r="O472" s="60" t="s">
        <v>149</v>
      </c>
      <c r="P472" s="61"/>
    </row>
    <row r="473">
      <c r="A473" s="29" t="s">
        <v>571</v>
      </c>
      <c r="B473" s="30" t="s">
        <v>45</v>
      </c>
      <c r="C473" s="31" t="s">
        <v>26</v>
      </c>
      <c r="D473" s="32" t="str">
        <f t="shared" si="1"/>
        <v>Active</v>
      </c>
      <c r="E473" s="33">
        <v>44725.0</v>
      </c>
      <c r="F473" s="34"/>
      <c r="G473" s="36">
        <f t="shared" si="2"/>
        <v>51.76666667</v>
      </c>
      <c r="H473" s="37">
        <v>42790.0</v>
      </c>
      <c r="I473" s="36">
        <f t="shared" si="4"/>
        <v>5.302777778</v>
      </c>
      <c r="J473" s="38">
        <v>77.0</v>
      </c>
      <c r="K473" s="39">
        <v>7.3</v>
      </c>
      <c r="L473" s="38">
        <v>8.5</v>
      </c>
      <c r="M473" s="40" t="s">
        <v>27</v>
      </c>
      <c r="N473" s="41"/>
      <c r="O473" s="42" t="s">
        <v>149</v>
      </c>
      <c r="P473" s="43" t="s">
        <v>149</v>
      </c>
    </row>
    <row r="474">
      <c r="A474" s="44" t="s">
        <v>572</v>
      </c>
      <c r="B474" s="45" t="s">
        <v>45</v>
      </c>
      <c r="C474" s="46" t="s">
        <v>26</v>
      </c>
      <c r="D474" s="47" t="str">
        <f t="shared" si="1"/>
        <v>Active</v>
      </c>
      <c r="E474" s="48">
        <v>44725.0</v>
      </c>
      <c r="F474" s="49"/>
      <c r="G474" s="50">
        <f t="shared" si="2"/>
        <v>51.76666667</v>
      </c>
      <c r="H474" s="51">
        <v>43970.0</v>
      </c>
      <c r="I474" s="50">
        <f t="shared" si="4"/>
        <v>2.066666667</v>
      </c>
      <c r="J474" s="55">
        <v>67.0</v>
      </c>
      <c r="K474" s="56">
        <v>7.1</v>
      </c>
      <c r="L474" s="55">
        <v>13.0</v>
      </c>
      <c r="M474" s="58" t="s">
        <v>125</v>
      </c>
      <c r="N474" s="59"/>
      <c r="O474" s="60" t="s">
        <v>149</v>
      </c>
      <c r="P474" s="61" t="s">
        <v>149</v>
      </c>
    </row>
    <row r="475">
      <c r="A475" s="29" t="s">
        <v>573</v>
      </c>
      <c r="B475" s="30" t="s">
        <v>45</v>
      </c>
      <c r="C475" s="31" t="s">
        <v>26</v>
      </c>
      <c r="D475" s="32" t="str">
        <f t="shared" si="1"/>
        <v>Active</v>
      </c>
      <c r="E475" s="33">
        <v>44725.0</v>
      </c>
      <c r="F475" s="34"/>
      <c r="G475" s="36">
        <f t="shared" si="2"/>
        <v>51.76666667</v>
      </c>
      <c r="H475" s="37">
        <v>42278.0</v>
      </c>
      <c r="I475" s="36">
        <f t="shared" si="4"/>
        <v>6.7</v>
      </c>
      <c r="J475" s="38">
        <v>67.0</v>
      </c>
      <c r="K475" s="39">
        <v>6.0</v>
      </c>
      <c r="L475" s="38">
        <v>9.0</v>
      </c>
      <c r="M475" s="40" t="s">
        <v>103</v>
      </c>
      <c r="N475" s="41"/>
      <c r="O475" s="42" t="s">
        <v>149</v>
      </c>
      <c r="P475" s="43"/>
    </row>
    <row r="476">
      <c r="A476" s="44" t="s">
        <v>574</v>
      </c>
      <c r="B476" s="45" t="s">
        <v>45</v>
      </c>
      <c r="C476" s="46" t="s">
        <v>26</v>
      </c>
      <c r="D476" s="47" t="str">
        <f t="shared" si="1"/>
        <v>Active</v>
      </c>
      <c r="E476" s="48">
        <v>44725.0</v>
      </c>
      <c r="F476" s="49"/>
      <c r="G476" s="50">
        <f t="shared" si="2"/>
        <v>51.76666667</v>
      </c>
      <c r="H476" s="51">
        <v>42736.0</v>
      </c>
      <c r="I476" s="50">
        <f t="shared" si="4"/>
        <v>5.45</v>
      </c>
      <c r="J476" s="55">
        <v>81.0</v>
      </c>
      <c r="K476" s="56">
        <v>8.0</v>
      </c>
      <c r="L476" s="55">
        <v>9.0</v>
      </c>
      <c r="M476" s="58" t="s">
        <v>29</v>
      </c>
      <c r="N476" s="59"/>
      <c r="O476" s="60" t="s">
        <v>149</v>
      </c>
      <c r="P476" s="61"/>
    </row>
    <row r="477">
      <c r="A477" s="29" t="s">
        <v>575</v>
      </c>
      <c r="B477" s="30" t="s">
        <v>45</v>
      </c>
      <c r="C477" s="31" t="s">
        <v>26</v>
      </c>
      <c r="D477" s="32" t="str">
        <f t="shared" si="1"/>
        <v>Active</v>
      </c>
      <c r="E477" s="33">
        <v>44725.0</v>
      </c>
      <c r="F477" s="34"/>
      <c r="G477" s="36">
        <f t="shared" si="2"/>
        <v>51.76666667</v>
      </c>
      <c r="H477" s="37">
        <v>43767.0</v>
      </c>
      <c r="I477" s="36">
        <f t="shared" si="4"/>
        <v>2.622222222</v>
      </c>
      <c r="J477" s="38">
        <v>37.0</v>
      </c>
      <c r="K477" s="39">
        <v>6.2</v>
      </c>
      <c r="L477" s="38">
        <v>9.0</v>
      </c>
      <c r="M477" s="40" t="s">
        <v>136</v>
      </c>
      <c r="N477" s="41"/>
      <c r="O477" s="42" t="s">
        <v>34</v>
      </c>
      <c r="P477" s="43" t="s">
        <v>149</v>
      </c>
    </row>
    <row r="478">
      <c r="A478" s="44" t="s">
        <v>576</v>
      </c>
      <c r="B478" s="45" t="s">
        <v>45</v>
      </c>
      <c r="C478" s="46" t="s">
        <v>26</v>
      </c>
      <c r="D478" s="47" t="str">
        <f t="shared" si="1"/>
        <v>Active</v>
      </c>
      <c r="E478" s="48">
        <v>44725.0</v>
      </c>
      <c r="F478" s="49"/>
      <c r="G478" s="50">
        <f t="shared" si="2"/>
        <v>51.76666667</v>
      </c>
      <c r="H478" s="51">
        <v>43070.0</v>
      </c>
      <c r="I478" s="50">
        <f t="shared" si="4"/>
        <v>4.533333333</v>
      </c>
      <c r="J478" s="55">
        <v>45.0</v>
      </c>
      <c r="K478" s="56">
        <v>4.7</v>
      </c>
      <c r="L478" s="55">
        <v>6.5</v>
      </c>
      <c r="M478" s="58" t="s">
        <v>537</v>
      </c>
      <c r="N478" s="59"/>
      <c r="O478" s="60" t="s">
        <v>149</v>
      </c>
      <c r="P478" s="61" t="s">
        <v>149</v>
      </c>
    </row>
    <row r="479">
      <c r="A479" s="29" t="s">
        <v>577</v>
      </c>
      <c r="B479" s="30" t="s">
        <v>25</v>
      </c>
      <c r="C479" s="31" t="s">
        <v>26</v>
      </c>
      <c r="D479" s="32" t="str">
        <f t="shared" si="1"/>
        <v>Active</v>
      </c>
      <c r="E479" s="33">
        <v>44725.0</v>
      </c>
      <c r="F479" s="34"/>
      <c r="G479" s="36">
        <f t="shared" si="2"/>
        <v>51.76666667</v>
      </c>
      <c r="H479" s="37">
        <v>42073.0</v>
      </c>
      <c r="I479" s="36">
        <f t="shared" si="4"/>
        <v>7.258333333</v>
      </c>
      <c r="J479" s="38">
        <v>74.0</v>
      </c>
      <c r="K479" s="39">
        <v>7.7</v>
      </c>
      <c r="L479" s="38">
        <v>8.5</v>
      </c>
      <c r="M479" s="40" t="s">
        <v>29</v>
      </c>
      <c r="N479" s="41"/>
      <c r="O479" s="42" t="s">
        <v>34</v>
      </c>
      <c r="P479" s="43"/>
    </row>
    <row r="480">
      <c r="A480" s="44" t="s">
        <v>578</v>
      </c>
      <c r="B480" s="45" t="s">
        <v>45</v>
      </c>
      <c r="C480" s="46" t="s">
        <v>26</v>
      </c>
      <c r="D480" s="47" t="str">
        <f t="shared" si="1"/>
        <v>Active</v>
      </c>
      <c r="E480" s="48">
        <v>44725.0</v>
      </c>
      <c r="F480" s="49"/>
      <c r="G480" s="50">
        <f t="shared" si="2"/>
        <v>51.76666667</v>
      </c>
      <c r="H480" s="51">
        <v>44084.0</v>
      </c>
      <c r="I480" s="50">
        <f t="shared" si="4"/>
        <v>1.758333333</v>
      </c>
      <c r="J480" s="55">
        <v>77.0</v>
      </c>
      <c r="K480" s="56">
        <v>6.8</v>
      </c>
      <c r="L480" s="55">
        <v>1.5</v>
      </c>
      <c r="M480" s="58" t="s">
        <v>95</v>
      </c>
      <c r="N480" s="59"/>
      <c r="O480" s="60" t="s">
        <v>149</v>
      </c>
      <c r="P480" s="61" t="s">
        <v>149</v>
      </c>
    </row>
    <row r="481">
      <c r="A481" s="29" t="s">
        <v>579</v>
      </c>
      <c r="B481" s="30" t="s">
        <v>45</v>
      </c>
      <c r="C481" s="31" t="s">
        <v>26</v>
      </c>
      <c r="D481" s="32" t="str">
        <f t="shared" si="1"/>
        <v>Active</v>
      </c>
      <c r="E481" s="33">
        <v>44725.0</v>
      </c>
      <c r="F481" s="34"/>
      <c r="G481" s="36">
        <f t="shared" si="2"/>
        <v>51.76666667</v>
      </c>
      <c r="H481" s="37">
        <v>42217.0</v>
      </c>
      <c r="I481" s="36">
        <f t="shared" si="4"/>
        <v>6.866666667</v>
      </c>
      <c r="J481" s="38">
        <v>61.0</v>
      </c>
      <c r="K481" s="39">
        <v>6.7</v>
      </c>
      <c r="L481" s="38">
        <v>3.0</v>
      </c>
      <c r="M481" s="40" t="s">
        <v>136</v>
      </c>
      <c r="N481" s="41"/>
      <c r="O481" s="42" t="s">
        <v>149</v>
      </c>
      <c r="P481" s="43" t="s">
        <v>149</v>
      </c>
    </row>
    <row r="482">
      <c r="A482" s="44" t="s">
        <v>580</v>
      </c>
      <c r="B482" s="45" t="s">
        <v>45</v>
      </c>
      <c r="C482" s="46" t="s">
        <v>26</v>
      </c>
      <c r="D482" s="47" t="str">
        <f t="shared" si="1"/>
        <v>Active</v>
      </c>
      <c r="E482" s="48">
        <v>44725.0</v>
      </c>
      <c r="F482" s="49"/>
      <c r="G482" s="50">
        <f t="shared" si="2"/>
        <v>51.76666667</v>
      </c>
      <c r="H482" s="51">
        <v>41852.0</v>
      </c>
      <c r="I482" s="50">
        <f t="shared" si="4"/>
        <v>7.866666667</v>
      </c>
      <c r="J482" s="55">
        <v>76.0</v>
      </c>
      <c r="K482" s="56">
        <v>7.6</v>
      </c>
      <c r="L482" s="55">
        <v>4.0</v>
      </c>
      <c r="M482" s="58" t="s">
        <v>29</v>
      </c>
      <c r="N482" s="59"/>
      <c r="O482" s="60" t="s">
        <v>149</v>
      </c>
      <c r="P482" s="61"/>
    </row>
    <row r="483">
      <c r="A483" s="29" t="s">
        <v>581</v>
      </c>
      <c r="B483" s="30" t="s">
        <v>45</v>
      </c>
      <c r="C483" s="31" t="s">
        <v>26</v>
      </c>
      <c r="D483" s="32" t="str">
        <f t="shared" si="1"/>
        <v>Active</v>
      </c>
      <c r="E483" s="33">
        <v>44725.0</v>
      </c>
      <c r="F483" s="34"/>
      <c r="G483" s="36">
        <f t="shared" si="2"/>
        <v>51.76666667</v>
      </c>
      <c r="H483" s="37">
        <v>41954.0</v>
      </c>
      <c r="I483" s="36">
        <f t="shared" si="4"/>
        <v>7.588888889</v>
      </c>
      <c r="J483" s="38">
        <v>73.0</v>
      </c>
      <c r="K483" s="39">
        <v>7.1</v>
      </c>
      <c r="L483" s="38">
        <v>10.0</v>
      </c>
      <c r="M483" s="40" t="s">
        <v>29</v>
      </c>
      <c r="N483" s="41"/>
      <c r="O483" s="42" t="s">
        <v>149</v>
      </c>
      <c r="P483" s="43" t="s">
        <v>149</v>
      </c>
    </row>
    <row r="484">
      <c r="A484" s="44" t="s">
        <v>582</v>
      </c>
      <c r="B484" s="45" t="s">
        <v>45</v>
      </c>
      <c r="C484" s="46" t="s">
        <v>26</v>
      </c>
      <c r="D484" s="47" t="str">
        <f t="shared" si="1"/>
        <v>Active</v>
      </c>
      <c r="E484" s="48">
        <v>44725.0</v>
      </c>
      <c r="F484" s="49"/>
      <c r="G484" s="50">
        <f t="shared" si="2"/>
        <v>51.76666667</v>
      </c>
      <c r="H484" s="51">
        <v>43755.0</v>
      </c>
      <c r="I484" s="50">
        <f t="shared" si="4"/>
        <v>2.655555556</v>
      </c>
      <c r="J484" s="55">
        <v>75.0</v>
      </c>
      <c r="K484" s="56">
        <v>6.5</v>
      </c>
      <c r="L484" s="55">
        <v>18.5</v>
      </c>
      <c r="M484" s="58" t="s">
        <v>103</v>
      </c>
      <c r="N484" s="59"/>
      <c r="O484" s="60" t="s">
        <v>149</v>
      </c>
      <c r="P484" s="61"/>
    </row>
    <row r="485">
      <c r="A485" s="29" t="s">
        <v>583</v>
      </c>
      <c r="B485" s="30" t="s">
        <v>45</v>
      </c>
      <c r="C485" s="31" t="s">
        <v>26</v>
      </c>
      <c r="D485" s="32" t="str">
        <f t="shared" si="1"/>
        <v>Active</v>
      </c>
      <c r="E485" s="33">
        <v>44725.0</v>
      </c>
      <c r="F485" s="34"/>
      <c r="G485" s="36">
        <f t="shared" si="2"/>
        <v>51.76666667</v>
      </c>
      <c r="H485" s="37">
        <v>42853.0</v>
      </c>
      <c r="I485" s="36">
        <f t="shared" si="4"/>
        <v>5.125</v>
      </c>
      <c r="J485" s="38">
        <v>79.0</v>
      </c>
      <c r="K485" s="39">
        <v>8.0</v>
      </c>
      <c r="L485" s="38">
        <v>3.5</v>
      </c>
      <c r="M485" s="40" t="s">
        <v>29</v>
      </c>
      <c r="N485" s="41"/>
      <c r="O485" s="42" t="s">
        <v>149</v>
      </c>
      <c r="P485" s="43"/>
    </row>
    <row r="486">
      <c r="A486" s="44" t="s">
        <v>584</v>
      </c>
      <c r="B486" s="45" t="s">
        <v>45</v>
      </c>
      <c r="C486" s="46" t="s">
        <v>26</v>
      </c>
      <c r="D486" s="47" t="str">
        <f t="shared" si="1"/>
        <v>Active</v>
      </c>
      <c r="E486" s="48">
        <v>44725.0</v>
      </c>
      <c r="F486" s="49"/>
      <c r="G486" s="50">
        <f t="shared" si="2"/>
        <v>51.76666667</v>
      </c>
      <c r="H486" s="51">
        <v>42125.0</v>
      </c>
      <c r="I486" s="50">
        <f t="shared" si="4"/>
        <v>7.116666667</v>
      </c>
      <c r="J486" s="55">
        <v>69.0</v>
      </c>
      <c r="K486" s="56">
        <v>7.2</v>
      </c>
      <c r="L486" s="55">
        <v>6.0</v>
      </c>
      <c r="M486" s="58" t="s">
        <v>42</v>
      </c>
      <c r="N486" s="59"/>
      <c r="O486" s="60" t="s">
        <v>149</v>
      </c>
      <c r="P486" s="61" t="s">
        <v>149</v>
      </c>
    </row>
    <row r="487">
      <c r="A487" s="29" t="s">
        <v>585</v>
      </c>
      <c r="B487" s="30" t="s">
        <v>45</v>
      </c>
      <c r="C487" s="31" t="s">
        <v>26</v>
      </c>
      <c r="D487" s="32" t="str">
        <f t="shared" si="1"/>
        <v>Active</v>
      </c>
      <c r="E487" s="33">
        <v>44725.0</v>
      </c>
      <c r="F487" s="34"/>
      <c r="G487" s="36">
        <f t="shared" si="2"/>
        <v>51.76666667</v>
      </c>
      <c r="H487" s="37">
        <v>42786.0</v>
      </c>
      <c r="I487" s="36">
        <f t="shared" si="4"/>
        <v>5.313888889</v>
      </c>
      <c r="J487" s="38">
        <v>85.0</v>
      </c>
      <c r="K487" s="79"/>
      <c r="L487" s="38">
        <v>6.0</v>
      </c>
      <c r="M487" s="40" t="s">
        <v>136</v>
      </c>
      <c r="N487" s="41"/>
      <c r="O487" s="42" t="s">
        <v>149</v>
      </c>
      <c r="P487" s="43"/>
    </row>
    <row r="488">
      <c r="A488" s="44" t="s">
        <v>586</v>
      </c>
      <c r="B488" s="45" t="s">
        <v>45</v>
      </c>
      <c r="C488" s="46" t="s">
        <v>26</v>
      </c>
      <c r="D488" s="47" t="str">
        <f t="shared" si="1"/>
        <v>Active</v>
      </c>
      <c r="E488" s="48">
        <v>44725.0</v>
      </c>
      <c r="F488" s="49"/>
      <c r="G488" s="50">
        <f t="shared" si="2"/>
        <v>51.76666667</v>
      </c>
      <c r="H488" s="51">
        <v>42767.0</v>
      </c>
      <c r="I488" s="50">
        <f t="shared" si="4"/>
        <v>5.366666667</v>
      </c>
      <c r="J488" s="55">
        <v>67.0</v>
      </c>
      <c r="K488" s="56">
        <v>6.2</v>
      </c>
      <c r="L488" s="55">
        <v>3.5</v>
      </c>
      <c r="M488" s="58" t="s">
        <v>29</v>
      </c>
      <c r="N488" s="59"/>
      <c r="O488" s="60" t="s">
        <v>149</v>
      </c>
      <c r="P488" s="61"/>
    </row>
    <row r="489">
      <c r="A489" s="29" t="s">
        <v>336</v>
      </c>
      <c r="B489" s="30" t="s">
        <v>45</v>
      </c>
      <c r="C489" s="31" t="s">
        <v>26</v>
      </c>
      <c r="D489" s="32" t="str">
        <f t="shared" si="1"/>
        <v>Active</v>
      </c>
      <c r="E489" s="33">
        <v>44725.0</v>
      </c>
      <c r="F489" s="34"/>
      <c r="G489" s="36">
        <f t="shared" si="2"/>
        <v>51.76666667</v>
      </c>
      <c r="H489" s="37">
        <v>43739.0</v>
      </c>
      <c r="I489" s="36">
        <f t="shared" si="4"/>
        <v>2.7</v>
      </c>
      <c r="J489" s="38">
        <v>69.0</v>
      </c>
      <c r="K489" s="39">
        <v>8.0</v>
      </c>
      <c r="L489" s="38">
        <v>9.0</v>
      </c>
      <c r="M489" s="40" t="s">
        <v>29</v>
      </c>
      <c r="N489" s="41"/>
      <c r="O489" s="42" t="s">
        <v>149</v>
      </c>
      <c r="P489" s="43"/>
    </row>
    <row r="490">
      <c r="A490" s="44" t="s">
        <v>587</v>
      </c>
      <c r="B490" s="45" t="s">
        <v>45</v>
      </c>
      <c r="C490" s="46" t="s">
        <v>26</v>
      </c>
      <c r="D490" s="47" t="str">
        <f t="shared" si="1"/>
        <v>Active</v>
      </c>
      <c r="E490" s="48">
        <v>44725.0</v>
      </c>
      <c r="F490" s="49"/>
      <c r="G490" s="50">
        <f t="shared" si="2"/>
        <v>51.76666667</v>
      </c>
      <c r="H490" s="51">
        <v>42402.0</v>
      </c>
      <c r="I490" s="50">
        <f t="shared" si="4"/>
        <v>6.363888889</v>
      </c>
      <c r="J490" s="55">
        <v>73.0</v>
      </c>
      <c r="K490" s="56">
        <v>7.9</v>
      </c>
      <c r="L490" s="55">
        <v>36.0</v>
      </c>
      <c r="M490" s="58" t="s">
        <v>42</v>
      </c>
      <c r="N490" s="59"/>
      <c r="O490" s="60" t="s">
        <v>34</v>
      </c>
      <c r="P490" s="61"/>
    </row>
    <row r="491">
      <c r="A491" s="29" t="s">
        <v>588</v>
      </c>
      <c r="B491" s="30" t="s">
        <v>45</v>
      </c>
      <c r="C491" s="31" t="s">
        <v>26</v>
      </c>
      <c r="D491" s="32" t="str">
        <f t="shared" si="1"/>
        <v>Active</v>
      </c>
      <c r="E491" s="33">
        <v>44725.0</v>
      </c>
      <c r="F491" s="34"/>
      <c r="G491" s="36">
        <f t="shared" si="2"/>
        <v>51.76666667</v>
      </c>
      <c r="H491" s="37">
        <v>43249.0</v>
      </c>
      <c r="I491" s="36">
        <f t="shared" si="4"/>
        <v>4.038888889</v>
      </c>
      <c r="J491" s="38">
        <v>74.0</v>
      </c>
      <c r="K491" s="39">
        <v>7.4</v>
      </c>
      <c r="L491" s="38">
        <v>19.0</v>
      </c>
      <c r="M491" s="40" t="s">
        <v>42</v>
      </c>
      <c r="N491" s="41"/>
      <c r="O491" s="42" t="s">
        <v>149</v>
      </c>
      <c r="P491" s="43"/>
    </row>
    <row r="492">
      <c r="A492" s="44" t="s">
        <v>589</v>
      </c>
      <c r="B492" s="45" t="s">
        <v>45</v>
      </c>
      <c r="C492" s="46" t="s">
        <v>26</v>
      </c>
      <c r="D492" s="47" t="str">
        <f t="shared" si="1"/>
        <v>Active</v>
      </c>
      <c r="E492" s="48">
        <v>44725.0</v>
      </c>
      <c r="F492" s="49"/>
      <c r="G492" s="50">
        <f t="shared" si="2"/>
        <v>51.76666667</v>
      </c>
      <c r="H492" s="51">
        <v>43039.0</v>
      </c>
      <c r="I492" s="50">
        <f t="shared" si="4"/>
        <v>4.619444444</v>
      </c>
      <c r="J492" s="55">
        <v>67.0</v>
      </c>
      <c r="K492" s="56">
        <v>7.0</v>
      </c>
      <c r="L492" s="55">
        <v>13.0</v>
      </c>
      <c r="M492" s="58" t="s">
        <v>95</v>
      </c>
      <c r="N492" s="59"/>
      <c r="O492" s="60" t="s">
        <v>149</v>
      </c>
      <c r="P492" s="61" t="s">
        <v>149</v>
      </c>
    </row>
    <row r="493">
      <c r="A493" s="29" t="s">
        <v>590</v>
      </c>
      <c r="B493" s="30" t="s">
        <v>45</v>
      </c>
      <c r="C493" s="31" t="s">
        <v>26</v>
      </c>
      <c r="D493" s="32" t="str">
        <f t="shared" si="1"/>
        <v>Active</v>
      </c>
      <c r="E493" s="33">
        <v>44725.0</v>
      </c>
      <c r="F493" s="34"/>
      <c r="G493" s="36">
        <f t="shared" si="2"/>
        <v>51.76666667</v>
      </c>
      <c r="H493" s="37">
        <v>44022.0</v>
      </c>
      <c r="I493" s="36">
        <f t="shared" si="4"/>
        <v>1.925</v>
      </c>
      <c r="J493" s="38">
        <v>69.0</v>
      </c>
      <c r="K493" s="39">
        <v>5.7</v>
      </c>
      <c r="L493" s="76"/>
      <c r="M493" s="40" t="s">
        <v>95</v>
      </c>
      <c r="N493" s="41"/>
      <c r="O493" s="42" t="s">
        <v>149</v>
      </c>
      <c r="P493" s="43" t="s">
        <v>149</v>
      </c>
    </row>
    <row r="494">
      <c r="A494" s="44" t="s">
        <v>591</v>
      </c>
      <c r="B494" s="45" t="s">
        <v>45</v>
      </c>
      <c r="C494" s="46" t="s">
        <v>26</v>
      </c>
      <c r="D494" s="47" t="str">
        <f t="shared" si="1"/>
        <v>Active</v>
      </c>
      <c r="E494" s="48">
        <v>44725.0</v>
      </c>
      <c r="F494" s="49"/>
      <c r="G494" s="50">
        <f t="shared" si="2"/>
        <v>51.76666667</v>
      </c>
      <c r="H494" s="51">
        <v>41842.0</v>
      </c>
      <c r="I494" s="50">
        <f t="shared" si="4"/>
        <v>7.891666667</v>
      </c>
      <c r="J494" s="55">
        <v>84.0</v>
      </c>
      <c r="K494" s="56">
        <v>7.7</v>
      </c>
      <c r="L494" s="55">
        <v>9.0</v>
      </c>
      <c r="M494" s="58" t="s">
        <v>27</v>
      </c>
      <c r="N494" s="59"/>
      <c r="O494" s="60" t="s">
        <v>149</v>
      </c>
      <c r="P494" s="61"/>
    </row>
    <row r="495">
      <c r="A495" s="29" t="s">
        <v>592</v>
      </c>
      <c r="B495" s="30" t="s">
        <v>45</v>
      </c>
      <c r="C495" s="31" t="s">
        <v>26</v>
      </c>
      <c r="D495" s="32" t="str">
        <f t="shared" si="1"/>
        <v>Active</v>
      </c>
      <c r="E495" s="33">
        <v>44725.0</v>
      </c>
      <c r="F495" s="34"/>
      <c r="G495" s="36">
        <f t="shared" si="2"/>
        <v>51.76666667</v>
      </c>
      <c r="H495" s="37">
        <v>42122.0</v>
      </c>
      <c r="I495" s="36">
        <f t="shared" si="4"/>
        <v>7.125</v>
      </c>
      <c r="J495" s="38">
        <v>59.0</v>
      </c>
      <c r="K495" s="39">
        <v>7.2</v>
      </c>
      <c r="L495" s="38">
        <v>35.0</v>
      </c>
      <c r="M495" s="40" t="s">
        <v>42</v>
      </c>
      <c r="N495" s="41"/>
      <c r="O495" s="42" t="s">
        <v>149</v>
      </c>
      <c r="P495" s="43"/>
    </row>
    <row r="496">
      <c r="A496" s="44" t="s">
        <v>593</v>
      </c>
      <c r="B496" s="45" t="s">
        <v>45</v>
      </c>
      <c r="C496" s="46" t="s">
        <v>26</v>
      </c>
      <c r="D496" s="47" t="str">
        <f t="shared" si="1"/>
        <v>Active</v>
      </c>
      <c r="E496" s="48">
        <v>44725.0</v>
      </c>
      <c r="F496" s="49"/>
      <c r="G496" s="50">
        <f t="shared" si="2"/>
        <v>51.76666667</v>
      </c>
      <c r="H496" s="51">
        <v>43907.0</v>
      </c>
      <c r="I496" s="50">
        <f t="shared" si="4"/>
        <v>2.238888889</v>
      </c>
      <c r="J496" s="55">
        <v>63.0</v>
      </c>
      <c r="K496" s="56">
        <v>5.9</v>
      </c>
      <c r="L496" s="55">
        <v>8.0</v>
      </c>
      <c r="M496" s="58" t="s">
        <v>95</v>
      </c>
      <c r="N496" s="59"/>
      <c r="O496" s="60" t="s">
        <v>149</v>
      </c>
      <c r="P496" s="61" t="s">
        <v>149</v>
      </c>
    </row>
    <row r="497">
      <c r="A497" s="29" t="s">
        <v>594</v>
      </c>
      <c r="B497" s="30" t="s">
        <v>45</v>
      </c>
      <c r="C497" s="31" t="s">
        <v>26</v>
      </c>
      <c r="D497" s="32" t="str">
        <f t="shared" si="1"/>
        <v>Active</v>
      </c>
      <c r="E497" s="33">
        <v>44725.0</v>
      </c>
      <c r="F497" s="34"/>
      <c r="G497" s="36">
        <f t="shared" si="2"/>
        <v>51.76666667</v>
      </c>
      <c r="H497" s="37">
        <v>44301.0</v>
      </c>
      <c r="I497" s="36">
        <f t="shared" si="4"/>
        <v>1.161111111</v>
      </c>
      <c r="J497" s="38">
        <v>70.0</v>
      </c>
      <c r="K497" s="39">
        <v>7.0</v>
      </c>
      <c r="L497" s="38">
        <v>4.0</v>
      </c>
      <c r="M497" s="40" t="s">
        <v>27</v>
      </c>
      <c r="N497" s="41"/>
      <c r="O497" s="42" t="s">
        <v>149</v>
      </c>
      <c r="P497" s="43" t="s">
        <v>149</v>
      </c>
    </row>
    <row r="498">
      <c r="A498" s="44" t="s">
        <v>595</v>
      </c>
      <c r="B498" s="45" t="s">
        <v>45</v>
      </c>
      <c r="C498" s="46" t="s">
        <v>26</v>
      </c>
      <c r="D498" s="47" t="str">
        <f t="shared" si="1"/>
        <v>Active</v>
      </c>
      <c r="E498" s="48">
        <v>44725.0</v>
      </c>
      <c r="F498" s="49"/>
      <c r="G498" s="50">
        <f t="shared" si="2"/>
        <v>51.76666667</v>
      </c>
      <c r="H498" s="51">
        <v>42860.0</v>
      </c>
      <c r="I498" s="50">
        <f t="shared" si="4"/>
        <v>5.105555556</v>
      </c>
      <c r="J498" s="55">
        <v>84.0</v>
      </c>
      <c r="K498" s="56">
        <v>8.1</v>
      </c>
      <c r="L498" s="55">
        <v>16.0</v>
      </c>
      <c r="M498" s="58" t="s">
        <v>31</v>
      </c>
      <c r="N498" s="59"/>
      <c r="O498" s="60" t="s">
        <v>149</v>
      </c>
      <c r="P498" s="61"/>
    </row>
    <row r="499">
      <c r="A499" s="29" t="s">
        <v>596</v>
      </c>
      <c r="B499" s="30" t="s">
        <v>45</v>
      </c>
      <c r="C499" s="31" t="s">
        <v>26</v>
      </c>
      <c r="D499" s="32" t="str">
        <f t="shared" si="1"/>
        <v>Active</v>
      </c>
      <c r="E499" s="33">
        <v>44725.0</v>
      </c>
      <c r="F499" s="34"/>
      <c r="G499" s="36">
        <f t="shared" si="2"/>
        <v>51.76666667</v>
      </c>
      <c r="H499" s="37">
        <v>42283.0</v>
      </c>
      <c r="I499" s="36">
        <f t="shared" si="4"/>
        <v>6.686111111</v>
      </c>
      <c r="J499" s="38">
        <v>80.0</v>
      </c>
      <c r="K499" s="39">
        <v>7.6</v>
      </c>
      <c r="L499" s="38">
        <v>17.0</v>
      </c>
      <c r="M499" s="40" t="s">
        <v>103</v>
      </c>
      <c r="N499" s="41"/>
      <c r="O499" s="42" t="s">
        <v>149</v>
      </c>
      <c r="P499" s="43"/>
    </row>
    <row r="500">
      <c r="A500" s="44" t="s">
        <v>597</v>
      </c>
      <c r="B500" s="45" t="s">
        <v>45</v>
      </c>
      <c r="C500" s="46" t="s">
        <v>26</v>
      </c>
      <c r="D500" s="47" t="str">
        <f t="shared" si="1"/>
        <v>Active</v>
      </c>
      <c r="E500" s="48">
        <v>44725.0</v>
      </c>
      <c r="F500" s="49"/>
      <c r="G500" s="50">
        <f t="shared" si="2"/>
        <v>51.76666667</v>
      </c>
      <c r="H500" s="51">
        <v>42236.0</v>
      </c>
      <c r="I500" s="50">
        <f t="shared" si="4"/>
        <v>6.813888889</v>
      </c>
      <c r="J500" s="55">
        <v>69.0</v>
      </c>
      <c r="K500" s="56">
        <v>6.7</v>
      </c>
      <c r="L500" s="78"/>
      <c r="M500" s="58" t="s">
        <v>598</v>
      </c>
      <c r="N500" s="59"/>
      <c r="O500" s="60" t="s">
        <v>149</v>
      </c>
      <c r="P500" s="61"/>
    </row>
    <row r="501">
      <c r="A501" s="29" t="s">
        <v>599</v>
      </c>
      <c r="B501" s="30" t="s">
        <v>45</v>
      </c>
      <c r="C501" s="31" t="s">
        <v>26</v>
      </c>
      <c r="D501" s="32" t="str">
        <f t="shared" si="1"/>
        <v>Active</v>
      </c>
      <c r="E501" s="33">
        <v>44725.0</v>
      </c>
      <c r="F501" s="34"/>
      <c r="G501" s="36">
        <f t="shared" si="2"/>
        <v>51.76666667</v>
      </c>
      <c r="H501" s="37">
        <v>41880.0</v>
      </c>
      <c r="I501" s="36">
        <f t="shared" si="4"/>
        <v>7.788888889</v>
      </c>
      <c r="J501" s="38">
        <v>75.0</v>
      </c>
      <c r="K501" s="39">
        <v>7.2</v>
      </c>
      <c r="L501" s="76"/>
      <c r="M501" s="40" t="s">
        <v>125</v>
      </c>
      <c r="N501" s="41"/>
      <c r="O501" s="42" t="s">
        <v>149</v>
      </c>
      <c r="P501" s="43"/>
    </row>
    <row r="502">
      <c r="A502" s="44" t="s">
        <v>600</v>
      </c>
      <c r="B502" s="45" t="s">
        <v>45</v>
      </c>
      <c r="C502" s="46" t="s">
        <v>26</v>
      </c>
      <c r="D502" s="47" t="str">
        <f t="shared" si="1"/>
        <v>Active</v>
      </c>
      <c r="E502" s="48">
        <v>44725.0</v>
      </c>
      <c r="F502" s="49"/>
      <c r="G502" s="50">
        <f t="shared" si="2"/>
        <v>51.76666667</v>
      </c>
      <c r="H502" s="51">
        <v>43032.0</v>
      </c>
      <c r="I502" s="50">
        <f t="shared" si="4"/>
        <v>4.636111111</v>
      </c>
      <c r="J502" s="55">
        <v>48.0</v>
      </c>
      <c r="K502" s="56">
        <v>5.2</v>
      </c>
      <c r="L502" s="78"/>
      <c r="M502" s="58" t="s">
        <v>125</v>
      </c>
      <c r="N502" s="59"/>
      <c r="O502" s="60" t="s">
        <v>149</v>
      </c>
      <c r="P502" s="61"/>
    </row>
    <row r="503">
      <c r="A503" s="29" t="s">
        <v>601</v>
      </c>
      <c r="B503" s="30" t="s">
        <v>45</v>
      </c>
      <c r="C503" s="31" t="s">
        <v>26</v>
      </c>
      <c r="D503" s="32" t="str">
        <f t="shared" si="1"/>
        <v>Active</v>
      </c>
      <c r="E503" s="33">
        <v>44725.0</v>
      </c>
      <c r="F503" s="34"/>
      <c r="G503" s="36">
        <f t="shared" si="2"/>
        <v>51.76666667</v>
      </c>
      <c r="H503" s="37">
        <v>44033.0</v>
      </c>
      <c r="I503" s="36">
        <f t="shared" si="4"/>
        <v>1.894444444</v>
      </c>
      <c r="J503" s="38">
        <v>71.0</v>
      </c>
      <c r="K503" s="39">
        <v>6.9</v>
      </c>
      <c r="L503" s="38">
        <v>8.0</v>
      </c>
      <c r="M503" s="40" t="s">
        <v>103</v>
      </c>
      <c r="N503" s="41"/>
      <c r="O503" s="42" t="s">
        <v>34</v>
      </c>
      <c r="P503" s="43" t="s">
        <v>149</v>
      </c>
    </row>
    <row r="504">
      <c r="A504" s="44" t="s">
        <v>602</v>
      </c>
      <c r="B504" s="45" t="s">
        <v>45</v>
      </c>
      <c r="C504" s="46" t="s">
        <v>26</v>
      </c>
      <c r="D504" s="47" t="str">
        <f t="shared" si="1"/>
        <v>Active</v>
      </c>
      <c r="E504" s="48">
        <v>44725.0</v>
      </c>
      <c r="F504" s="49"/>
      <c r="G504" s="50">
        <f t="shared" si="2"/>
        <v>51.76666667</v>
      </c>
      <c r="H504" s="51">
        <v>43762.0</v>
      </c>
      <c r="I504" s="50">
        <f t="shared" si="4"/>
        <v>2.636111111</v>
      </c>
      <c r="J504" s="55">
        <v>54.0</v>
      </c>
      <c r="K504" s="56">
        <v>5.7</v>
      </c>
      <c r="L504" s="78"/>
      <c r="M504" s="58" t="s">
        <v>537</v>
      </c>
      <c r="N504" s="59"/>
      <c r="O504" s="60" t="s">
        <v>34</v>
      </c>
      <c r="P504" s="61" t="s">
        <v>149</v>
      </c>
    </row>
    <row r="505">
      <c r="A505" s="29" t="s">
        <v>603</v>
      </c>
      <c r="B505" s="30" t="s">
        <v>45</v>
      </c>
      <c r="C505" s="31" t="s">
        <v>26</v>
      </c>
      <c r="D505" s="32" t="str">
        <f t="shared" si="1"/>
        <v>Active</v>
      </c>
      <c r="E505" s="33">
        <v>44725.0</v>
      </c>
      <c r="F505" s="34"/>
      <c r="G505" s="36">
        <f t="shared" si="2"/>
        <v>51.76666667</v>
      </c>
      <c r="H505" s="37">
        <v>43137.0</v>
      </c>
      <c r="I505" s="36">
        <f t="shared" si="4"/>
        <v>4.352777778</v>
      </c>
      <c r="J505" s="38">
        <v>91.0</v>
      </c>
      <c r="K505" s="39">
        <v>8.8</v>
      </c>
      <c r="L505" s="38">
        <v>8.0</v>
      </c>
      <c r="M505" s="40" t="s">
        <v>29</v>
      </c>
      <c r="N505" s="41"/>
      <c r="O505" s="42" t="s">
        <v>149</v>
      </c>
      <c r="P505" s="43"/>
    </row>
    <row r="506">
      <c r="A506" s="44" t="s">
        <v>604</v>
      </c>
      <c r="B506" s="45" t="s">
        <v>45</v>
      </c>
      <c r="C506" s="46" t="s">
        <v>26</v>
      </c>
      <c r="D506" s="47" t="str">
        <f t="shared" si="1"/>
        <v>Active</v>
      </c>
      <c r="E506" s="48">
        <v>44725.0</v>
      </c>
      <c r="F506" s="49"/>
      <c r="G506" s="50">
        <f t="shared" si="2"/>
        <v>51.76666667</v>
      </c>
      <c r="H506" s="51">
        <v>42656.0</v>
      </c>
      <c r="I506" s="50">
        <f t="shared" si="4"/>
        <v>5.666666667</v>
      </c>
      <c r="J506" s="55">
        <v>78.0</v>
      </c>
      <c r="K506" s="56">
        <v>7.7</v>
      </c>
      <c r="L506" s="55">
        <v>13.0</v>
      </c>
      <c r="M506" s="58" t="s">
        <v>31</v>
      </c>
      <c r="N506" s="59"/>
      <c r="O506" s="60" t="s">
        <v>149</v>
      </c>
      <c r="P506" s="61"/>
    </row>
    <row r="507">
      <c r="A507" s="29" t="s">
        <v>605</v>
      </c>
      <c r="B507" s="30" t="s">
        <v>45</v>
      </c>
      <c r="C507" s="31" t="s">
        <v>26</v>
      </c>
      <c r="D507" s="32" t="str">
        <f t="shared" si="1"/>
        <v>Active</v>
      </c>
      <c r="E507" s="33">
        <v>44725.0</v>
      </c>
      <c r="F507" s="34"/>
      <c r="G507" s="36">
        <f t="shared" si="2"/>
        <v>51.76666667</v>
      </c>
      <c r="H507" s="37">
        <v>43242.0</v>
      </c>
      <c r="I507" s="36">
        <f t="shared" si="4"/>
        <v>4.058333333</v>
      </c>
      <c r="J507" s="38">
        <v>65.0</v>
      </c>
      <c r="K507" s="39">
        <v>6.8</v>
      </c>
      <c r="L507" s="38">
        <v>10.0</v>
      </c>
      <c r="M507" s="40" t="s">
        <v>31</v>
      </c>
      <c r="N507" s="41"/>
      <c r="O507" s="42" t="s">
        <v>149</v>
      </c>
      <c r="P507" s="43"/>
    </row>
    <row r="508">
      <c r="A508" s="44" t="s">
        <v>606</v>
      </c>
      <c r="B508" s="45" t="s">
        <v>45</v>
      </c>
      <c r="C508" s="46" t="s">
        <v>26</v>
      </c>
      <c r="D508" s="47" t="str">
        <f t="shared" si="1"/>
        <v>Active</v>
      </c>
      <c r="E508" s="48">
        <v>44725.0</v>
      </c>
      <c r="F508" s="49"/>
      <c r="G508" s="50">
        <f t="shared" si="2"/>
        <v>51.76666667</v>
      </c>
      <c r="H508" s="51">
        <v>42499.0</v>
      </c>
      <c r="I508" s="50">
        <f t="shared" si="4"/>
        <v>6.094444444</v>
      </c>
      <c r="J508" s="55">
        <v>78.0</v>
      </c>
      <c r="K508" s="56">
        <v>7.8</v>
      </c>
      <c r="L508" s="78"/>
      <c r="M508" s="58" t="s">
        <v>103</v>
      </c>
      <c r="N508" s="59"/>
      <c r="O508" s="60" t="s">
        <v>149</v>
      </c>
      <c r="P508" s="61"/>
    </row>
    <row r="509">
      <c r="A509" s="29" t="s">
        <v>607</v>
      </c>
      <c r="B509" s="30" t="s">
        <v>45</v>
      </c>
      <c r="C509" s="31" t="s">
        <v>26</v>
      </c>
      <c r="D509" s="32" t="str">
        <f t="shared" si="1"/>
        <v>Active</v>
      </c>
      <c r="E509" s="33">
        <v>44725.0</v>
      </c>
      <c r="F509" s="34"/>
      <c r="G509" s="36">
        <f t="shared" si="2"/>
        <v>51.76666667</v>
      </c>
      <c r="H509" s="37">
        <v>41359.0</v>
      </c>
      <c r="I509" s="36">
        <f t="shared" si="4"/>
        <v>9.213888889</v>
      </c>
      <c r="J509" s="38">
        <v>83.0</v>
      </c>
      <c r="K509" s="39">
        <v>8.2</v>
      </c>
      <c r="L509" s="38">
        <v>50.0</v>
      </c>
      <c r="M509" s="40" t="s">
        <v>29</v>
      </c>
      <c r="N509" s="41"/>
      <c r="O509" s="42" t="s">
        <v>149</v>
      </c>
      <c r="P509" s="43" t="s">
        <v>149</v>
      </c>
    </row>
    <row r="510">
      <c r="A510" s="44" t="s">
        <v>608</v>
      </c>
      <c r="B510" s="45" t="s">
        <v>45</v>
      </c>
      <c r="C510" s="46" t="s">
        <v>26</v>
      </c>
      <c r="D510" s="47" t="str">
        <f t="shared" si="1"/>
        <v>Active</v>
      </c>
      <c r="E510" s="48">
        <v>44725.0</v>
      </c>
      <c r="F510" s="49"/>
      <c r="G510" s="50">
        <f t="shared" si="2"/>
        <v>51.76666667</v>
      </c>
      <c r="H510" s="51">
        <v>43755.0</v>
      </c>
      <c r="I510" s="50">
        <f t="shared" si="4"/>
        <v>2.655555556</v>
      </c>
      <c r="J510" s="55">
        <v>68.0</v>
      </c>
      <c r="K510" s="56">
        <v>6.1</v>
      </c>
      <c r="L510" s="78"/>
      <c r="M510" s="58" t="s">
        <v>125</v>
      </c>
      <c r="N510" s="59"/>
      <c r="O510" s="60" t="s">
        <v>149</v>
      </c>
      <c r="P510" s="61"/>
    </row>
    <row r="511">
      <c r="A511" s="29" t="s">
        <v>609</v>
      </c>
      <c r="B511" s="30" t="s">
        <v>45</v>
      </c>
      <c r="C511" s="31" t="s">
        <v>26</v>
      </c>
      <c r="D511" s="32" t="str">
        <f t="shared" si="1"/>
        <v>Active</v>
      </c>
      <c r="E511" s="33">
        <v>44725.0</v>
      </c>
      <c r="F511" s="34"/>
      <c r="G511" s="36">
        <f t="shared" si="2"/>
        <v>51.76666667</v>
      </c>
      <c r="H511" s="37">
        <v>42710.0</v>
      </c>
      <c r="I511" s="36">
        <f t="shared" si="4"/>
        <v>5.519444444</v>
      </c>
      <c r="J511" s="38">
        <v>82.0</v>
      </c>
      <c r="K511" s="39">
        <v>7.9</v>
      </c>
      <c r="L511" s="38">
        <v>12.0</v>
      </c>
      <c r="M511" s="40" t="s">
        <v>29</v>
      </c>
      <c r="N511" s="41"/>
      <c r="O511" s="42" t="s">
        <v>149</v>
      </c>
      <c r="P511" s="43"/>
    </row>
    <row r="512">
      <c r="A512" s="44" t="s">
        <v>610</v>
      </c>
      <c r="B512" s="45" t="s">
        <v>45</v>
      </c>
      <c r="C512" s="46" t="s">
        <v>26</v>
      </c>
      <c r="D512" s="47" t="str">
        <f t="shared" si="1"/>
        <v>Active</v>
      </c>
      <c r="E512" s="48">
        <v>44725.0</v>
      </c>
      <c r="F512" s="49"/>
      <c r="G512" s="50">
        <f t="shared" si="2"/>
        <v>51.76666667</v>
      </c>
      <c r="H512" s="51">
        <v>42549.0</v>
      </c>
      <c r="I512" s="50">
        <f t="shared" si="4"/>
        <v>5.958333333</v>
      </c>
      <c r="J512" s="55">
        <v>56.0</v>
      </c>
      <c r="K512" s="56">
        <v>6.5</v>
      </c>
      <c r="L512" s="55">
        <v>23.0</v>
      </c>
      <c r="M512" s="58" t="s">
        <v>42</v>
      </c>
      <c r="N512" s="59"/>
      <c r="O512" s="60" t="s">
        <v>149</v>
      </c>
      <c r="P512" s="61"/>
    </row>
    <row r="513">
      <c r="A513" s="29" t="s">
        <v>611</v>
      </c>
      <c r="B513" s="30" t="s">
        <v>45</v>
      </c>
      <c r="C513" s="31" t="s">
        <v>26</v>
      </c>
      <c r="D513" s="32" t="str">
        <f t="shared" si="1"/>
        <v>Active</v>
      </c>
      <c r="E513" s="33">
        <v>44725.0</v>
      </c>
      <c r="F513" s="34"/>
      <c r="G513" s="36">
        <f t="shared" si="2"/>
        <v>51.76666667</v>
      </c>
      <c r="H513" s="37">
        <v>43977.0</v>
      </c>
      <c r="I513" s="36">
        <f t="shared" si="4"/>
        <v>2.047222222</v>
      </c>
      <c r="J513" s="38">
        <v>66.0</v>
      </c>
      <c r="K513" s="39">
        <v>6.8</v>
      </c>
      <c r="L513" s="38">
        <v>5.0</v>
      </c>
      <c r="M513" s="40" t="s">
        <v>103</v>
      </c>
      <c r="N513" s="41"/>
      <c r="O513" s="42" t="s">
        <v>149</v>
      </c>
      <c r="P513" s="43"/>
    </row>
    <row r="514">
      <c r="A514" s="44" t="s">
        <v>612</v>
      </c>
      <c r="B514" s="45" t="s">
        <v>45</v>
      </c>
      <c r="C514" s="46" t="s">
        <v>26</v>
      </c>
      <c r="D514" s="47" t="str">
        <f t="shared" si="1"/>
        <v>Active</v>
      </c>
      <c r="E514" s="48">
        <v>44725.0</v>
      </c>
      <c r="F514" s="49"/>
      <c r="G514" s="50">
        <f t="shared" si="2"/>
        <v>51.76666667</v>
      </c>
      <c r="H514" s="51">
        <v>42584.0</v>
      </c>
      <c r="I514" s="50">
        <f t="shared" si="4"/>
        <v>5.863888889</v>
      </c>
      <c r="J514" s="55">
        <v>80.0</v>
      </c>
      <c r="K514" s="56">
        <v>7.2</v>
      </c>
      <c r="L514" s="55">
        <v>10.0</v>
      </c>
      <c r="M514" s="58" t="s">
        <v>136</v>
      </c>
      <c r="N514" s="59"/>
      <c r="O514" s="60" t="s">
        <v>149</v>
      </c>
      <c r="P514" s="61" t="s">
        <v>149</v>
      </c>
    </row>
    <row r="515">
      <c r="A515" s="29" t="s">
        <v>613</v>
      </c>
      <c r="B515" s="30" t="s">
        <v>45</v>
      </c>
      <c r="C515" s="31" t="s">
        <v>26</v>
      </c>
      <c r="D515" s="32" t="str">
        <f t="shared" si="1"/>
        <v>Active</v>
      </c>
      <c r="E515" s="33">
        <v>44725.0</v>
      </c>
      <c r="F515" s="34"/>
      <c r="G515" s="36">
        <f t="shared" si="2"/>
        <v>51.76666667</v>
      </c>
      <c r="H515" s="37">
        <v>41815.0</v>
      </c>
      <c r="I515" s="36">
        <f t="shared" si="4"/>
        <v>7.966666667</v>
      </c>
      <c r="J515" s="38">
        <v>77.0</v>
      </c>
      <c r="K515" s="39">
        <v>8.0</v>
      </c>
      <c r="L515" s="38">
        <v>7.0</v>
      </c>
      <c r="M515" s="40" t="s">
        <v>112</v>
      </c>
      <c r="N515" s="41"/>
      <c r="O515" s="42" t="s">
        <v>149</v>
      </c>
      <c r="P515" s="43"/>
    </row>
    <row r="516">
      <c r="A516" s="44" t="s">
        <v>614</v>
      </c>
      <c r="B516" s="45" t="s">
        <v>45</v>
      </c>
      <c r="C516" s="46" t="s">
        <v>26</v>
      </c>
      <c r="D516" s="47" t="str">
        <f t="shared" si="1"/>
        <v>Active</v>
      </c>
      <c r="E516" s="48">
        <v>44725.0</v>
      </c>
      <c r="F516" s="49"/>
      <c r="G516" s="50">
        <f t="shared" si="2"/>
        <v>51.76666667</v>
      </c>
      <c r="H516" s="51">
        <v>43256.0</v>
      </c>
      <c r="I516" s="50">
        <f t="shared" si="4"/>
        <v>4.022222222</v>
      </c>
      <c r="J516" s="55">
        <v>62.0</v>
      </c>
      <c r="K516" s="56">
        <v>6.7</v>
      </c>
      <c r="L516" s="55">
        <v>40.0</v>
      </c>
      <c r="M516" s="58" t="s">
        <v>42</v>
      </c>
      <c r="N516" s="59"/>
      <c r="O516" s="60" t="s">
        <v>149</v>
      </c>
      <c r="P516" s="61" t="s">
        <v>149</v>
      </c>
    </row>
    <row r="517">
      <c r="A517" s="29" t="s">
        <v>615</v>
      </c>
      <c r="B517" s="30" t="s">
        <v>45</v>
      </c>
      <c r="C517" s="31" t="s">
        <v>26</v>
      </c>
      <c r="D517" s="32" t="str">
        <f t="shared" si="1"/>
        <v>Active</v>
      </c>
      <c r="E517" s="33">
        <v>44725.0</v>
      </c>
      <c r="F517" s="34"/>
      <c r="G517" s="36">
        <f t="shared" si="2"/>
        <v>51.76666667</v>
      </c>
      <c r="H517" s="37">
        <v>44229.0</v>
      </c>
      <c r="I517" s="36">
        <f t="shared" si="4"/>
        <v>1.363888889</v>
      </c>
      <c r="J517" s="38">
        <v>75.0</v>
      </c>
      <c r="K517" s="39">
        <v>7.8</v>
      </c>
      <c r="L517" s="38">
        <v>40.0</v>
      </c>
      <c r="M517" s="40" t="s">
        <v>42</v>
      </c>
      <c r="N517" s="41"/>
      <c r="O517" s="42" t="s">
        <v>34</v>
      </c>
      <c r="P517" s="43"/>
    </row>
    <row r="518">
      <c r="A518" s="44" t="s">
        <v>477</v>
      </c>
      <c r="B518" s="45" t="s">
        <v>45</v>
      </c>
      <c r="C518" s="46" t="s">
        <v>26</v>
      </c>
      <c r="D518" s="47" t="str">
        <f t="shared" si="1"/>
        <v>Active</v>
      </c>
      <c r="E518" s="48">
        <v>44725.0</v>
      </c>
      <c r="F518" s="49"/>
      <c r="G518" s="50">
        <f t="shared" si="2"/>
        <v>51.76666667</v>
      </c>
      <c r="H518" s="51">
        <v>42990.0</v>
      </c>
      <c r="I518" s="50">
        <f t="shared" si="4"/>
        <v>4.752777778</v>
      </c>
      <c r="J518" s="55">
        <v>85.0</v>
      </c>
      <c r="K518" s="56">
        <v>8.4</v>
      </c>
      <c r="L518" s="55">
        <v>37.0</v>
      </c>
      <c r="M518" s="58" t="s">
        <v>42</v>
      </c>
      <c r="N518" s="59"/>
      <c r="O518" s="60" t="s">
        <v>34</v>
      </c>
      <c r="P518" s="61"/>
    </row>
    <row r="519">
      <c r="A519" s="29" t="s">
        <v>616</v>
      </c>
      <c r="B519" s="30" t="s">
        <v>45</v>
      </c>
      <c r="C519" s="31" t="s">
        <v>26</v>
      </c>
      <c r="D519" s="32" t="str">
        <f t="shared" si="1"/>
        <v>Active</v>
      </c>
      <c r="E519" s="33">
        <v>44725.0</v>
      </c>
      <c r="F519" s="34"/>
      <c r="G519" s="36">
        <f t="shared" si="2"/>
        <v>51.76666667</v>
      </c>
      <c r="H519" s="37">
        <v>42962.0</v>
      </c>
      <c r="I519" s="36">
        <f t="shared" si="4"/>
        <v>4.827777778</v>
      </c>
      <c r="J519" s="38">
        <v>74.0</v>
      </c>
      <c r="K519" s="39">
        <v>6.7</v>
      </c>
      <c r="L519" s="38">
        <v>4.0</v>
      </c>
      <c r="M519" s="40" t="s">
        <v>27</v>
      </c>
      <c r="N519" s="41"/>
      <c r="O519" s="42" t="s">
        <v>34</v>
      </c>
      <c r="P519" s="43"/>
    </row>
    <row r="520">
      <c r="A520" s="44" t="s">
        <v>617</v>
      </c>
      <c r="B520" s="45" t="s">
        <v>384</v>
      </c>
      <c r="C520" s="46" t="s">
        <v>207</v>
      </c>
      <c r="D520" s="47" t="str">
        <f t="shared" si="1"/>
        <v>Active</v>
      </c>
      <c r="E520" s="48">
        <v>44725.0</v>
      </c>
      <c r="F520" s="49"/>
      <c r="G520" s="50">
        <f t="shared" si="2"/>
        <v>51.76666667</v>
      </c>
      <c r="H520" s="51">
        <v>43557.0</v>
      </c>
      <c r="I520" s="50">
        <f t="shared" si="4"/>
        <v>3.197222222</v>
      </c>
      <c r="J520" s="55">
        <v>66.0</v>
      </c>
      <c r="K520" s="56">
        <v>6.5</v>
      </c>
      <c r="L520" s="55"/>
      <c r="M520" s="58" t="s">
        <v>31</v>
      </c>
      <c r="N520" s="59"/>
      <c r="O520" s="60" t="s">
        <v>34</v>
      </c>
      <c r="P520" s="61"/>
    </row>
    <row r="521">
      <c r="A521" s="29" t="s">
        <v>618</v>
      </c>
      <c r="B521" s="30" t="s">
        <v>384</v>
      </c>
      <c r="C521" s="31" t="s">
        <v>207</v>
      </c>
      <c r="D521" s="32" t="str">
        <f t="shared" si="1"/>
        <v>Active</v>
      </c>
      <c r="E521" s="33">
        <v>44725.0</v>
      </c>
      <c r="F521" s="34"/>
      <c r="G521" s="36">
        <f t="shared" si="2"/>
        <v>51.76666667</v>
      </c>
      <c r="H521" s="37">
        <v>43361.0</v>
      </c>
      <c r="I521" s="36">
        <f t="shared" si="4"/>
        <v>3.736111111</v>
      </c>
      <c r="J521" s="38">
        <v>69.0</v>
      </c>
      <c r="K521" s="39">
        <v>7.0</v>
      </c>
      <c r="L521" s="38">
        <v>4.0</v>
      </c>
      <c r="M521" s="40" t="s">
        <v>537</v>
      </c>
      <c r="N521" s="41"/>
      <c r="O521" s="42" t="s">
        <v>34</v>
      </c>
      <c r="P521" s="43"/>
    </row>
    <row r="522">
      <c r="A522" s="44" t="s">
        <v>619</v>
      </c>
      <c r="B522" s="45" t="s">
        <v>384</v>
      </c>
      <c r="C522" s="46" t="s">
        <v>207</v>
      </c>
      <c r="D522" s="47" t="str">
        <f t="shared" si="1"/>
        <v>Active</v>
      </c>
      <c r="E522" s="48">
        <v>44725.0</v>
      </c>
      <c r="F522" s="49"/>
      <c r="G522" s="50">
        <f t="shared" si="2"/>
        <v>51.76666667</v>
      </c>
      <c r="H522" s="51">
        <v>42682.0</v>
      </c>
      <c r="I522" s="50">
        <f t="shared" si="4"/>
        <v>5.597222222</v>
      </c>
      <c r="J522" s="55">
        <v>69.0</v>
      </c>
      <c r="K522" s="56">
        <v>6.6</v>
      </c>
      <c r="L522" s="55">
        <v>3.0</v>
      </c>
      <c r="M522" s="58" t="s">
        <v>70</v>
      </c>
      <c r="N522" s="59"/>
      <c r="O522" s="60" t="s">
        <v>34</v>
      </c>
      <c r="P522" s="61" t="s">
        <v>149</v>
      </c>
    </row>
    <row r="523">
      <c r="A523" s="29" t="s">
        <v>620</v>
      </c>
      <c r="B523" s="30" t="s">
        <v>384</v>
      </c>
      <c r="C523" s="31" t="s">
        <v>207</v>
      </c>
      <c r="D523" s="32" t="str">
        <f t="shared" si="1"/>
        <v>Active</v>
      </c>
      <c r="E523" s="33">
        <v>44725.0</v>
      </c>
      <c r="F523" s="34"/>
      <c r="G523" s="36">
        <f t="shared" si="2"/>
        <v>51.76666667</v>
      </c>
      <c r="H523" s="37">
        <v>42710.0</v>
      </c>
      <c r="I523" s="36">
        <f t="shared" si="4"/>
        <v>5.519444444</v>
      </c>
      <c r="J523" s="38">
        <v>66.0</v>
      </c>
      <c r="K523" s="39">
        <v>7.1</v>
      </c>
      <c r="L523" s="38">
        <v>2.0</v>
      </c>
      <c r="M523" s="40" t="s">
        <v>51</v>
      </c>
      <c r="N523" s="41"/>
      <c r="O523" s="42" t="s">
        <v>34</v>
      </c>
      <c r="P523" s="43"/>
    </row>
    <row r="524">
      <c r="A524" s="44" t="s">
        <v>621</v>
      </c>
      <c r="B524" s="45" t="s">
        <v>45</v>
      </c>
      <c r="C524" s="46" t="s">
        <v>207</v>
      </c>
      <c r="D524" s="47" t="str">
        <f t="shared" si="1"/>
        <v>Active</v>
      </c>
      <c r="E524" s="48">
        <v>44725.0</v>
      </c>
      <c r="F524" s="49"/>
      <c r="G524" s="50">
        <f t="shared" si="2"/>
        <v>51.76666667</v>
      </c>
      <c r="H524" s="51">
        <v>43998.0</v>
      </c>
      <c r="I524" s="50">
        <f t="shared" si="4"/>
        <v>1.991666667</v>
      </c>
      <c r="J524" s="55">
        <v>82.0</v>
      </c>
      <c r="K524" s="56">
        <v>8.2</v>
      </c>
      <c r="L524" s="55">
        <v>6.0</v>
      </c>
      <c r="M524" s="58" t="s">
        <v>31</v>
      </c>
      <c r="N524" s="59"/>
      <c r="O524" s="60" t="s">
        <v>149</v>
      </c>
      <c r="P524" s="61"/>
    </row>
    <row r="525">
      <c r="A525" s="29" t="s">
        <v>622</v>
      </c>
      <c r="B525" s="30" t="s">
        <v>45</v>
      </c>
      <c r="C525" s="31" t="s">
        <v>207</v>
      </c>
      <c r="D525" s="32" t="str">
        <f t="shared" si="1"/>
        <v>Active</v>
      </c>
      <c r="E525" s="33">
        <v>44725.0</v>
      </c>
      <c r="F525" s="34"/>
      <c r="G525" s="36">
        <f t="shared" si="2"/>
        <v>51.76666667</v>
      </c>
      <c r="H525" s="37">
        <v>43249.0</v>
      </c>
      <c r="I525" s="36">
        <f t="shared" si="4"/>
        <v>4.038888889</v>
      </c>
      <c r="J525" s="38">
        <v>78.0</v>
      </c>
      <c r="K525" s="39">
        <v>7.6</v>
      </c>
      <c r="L525" s="38">
        <v>15.0</v>
      </c>
      <c r="M525" s="40" t="s">
        <v>31</v>
      </c>
      <c r="N525" s="41"/>
      <c r="O525" s="42" t="s">
        <v>149</v>
      </c>
      <c r="P525" s="43"/>
    </row>
    <row r="526">
      <c r="A526" s="44" t="s">
        <v>623</v>
      </c>
      <c r="B526" s="45" t="s">
        <v>45</v>
      </c>
      <c r="C526" s="46" t="s">
        <v>207</v>
      </c>
      <c r="D526" s="47" t="str">
        <f t="shared" si="1"/>
        <v>Active</v>
      </c>
      <c r="E526" s="48">
        <v>44725.0</v>
      </c>
      <c r="F526" s="49"/>
      <c r="G526" s="50">
        <f t="shared" si="2"/>
        <v>51.76666667</v>
      </c>
      <c r="H526" s="51">
        <v>43361.0</v>
      </c>
      <c r="I526" s="50">
        <f t="shared" si="4"/>
        <v>3.736111111</v>
      </c>
      <c r="J526" s="55">
        <v>67.0</v>
      </c>
      <c r="K526" s="56">
        <v>6.6</v>
      </c>
      <c r="L526" s="55">
        <v>4.0</v>
      </c>
      <c r="M526" s="58" t="s">
        <v>125</v>
      </c>
      <c r="N526" s="59"/>
      <c r="O526" s="60" t="s">
        <v>149</v>
      </c>
      <c r="P526" s="61" t="s">
        <v>149</v>
      </c>
    </row>
    <row r="527">
      <c r="A527" s="29" t="s">
        <v>624</v>
      </c>
      <c r="B527" s="30" t="s">
        <v>45</v>
      </c>
      <c r="C527" s="31" t="s">
        <v>207</v>
      </c>
      <c r="D527" s="32" t="str">
        <f t="shared" si="1"/>
        <v>Active</v>
      </c>
      <c r="E527" s="33">
        <v>44725.0</v>
      </c>
      <c r="F527" s="34"/>
      <c r="G527" s="36">
        <f t="shared" si="2"/>
        <v>51.76666667</v>
      </c>
      <c r="H527" s="37">
        <v>42633.0</v>
      </c>
      <c r="I527" s="36">
        <f t="shared" si="4"/>
        <v>5.730555556</v>
      </c>
      <c r="J527" s="38">
        <v>63.0</v>
      </c>
      <c r="K527" s="39">
        <v>6.4</v>
      </c>
      <c r="L527" s="76"/>
      <c r="M527" s="40" t="s">
        <v>103</v>
      </c>
      <c r="N527" s="41"/>
      <c r="O527" s="42" t="s">
        <v>149</v>
      </c>
      <c r="P527" s="43" t="s">
        <v>149</v>
      </c>
    </row>
    <row r="528">
      <c r="A528" s="44" t="s">
        <v>625</v>
      </c>
      <c r="B528" s="45" t="s">
        <v>45</v>
      </c>
      <c r="C528" s="46" t="s">
        <v>207</v>
      </c>
      <c r="D528" s="47" t="str">
        <f t="shared" si="1"/>
        <v>Active</v>
      </c>
      <c r="E528" s="48">
        <v>44725.0</v>
      </c>
      <c r="F528" s="49"/>
      <c r="G528" s="50">
        <f t="shared" si="2"/>
        <v>51.76666667</v>
      </c>
      <c r="H528" s="51">
        <v>43025.0</v>
      </c>
      <c r="I528" s="50">
        <f t="shared" si="4"/>
        <v>4.655555556</v>
      </c>
      <c r="J528" s="55">
        <v>78.0</v>
      </c>
      <c r="K528" s="56">
        <v>7.7</v>
      </c>
      <c r="L528" s="55">
        <v>18.0</v>
      </c>
      <c r="M528" s="58" t="s">
        <v>42</v>
      </c>
      <c r="N528" s="59"/>
      <c r="O528" s="60" t="s">
        <v>149</v>
      </c>
      <c r="P528" s="61"/>
    </row>
    <row r="529">
      <c r="A529" s="29" t="s">
        <v>626</v>
      </c>
      <c r="B529" s="30" t="s">
        <v>45</v>
      </c>
      <c r="C529" s="31" t="s">
        <v>207</v>
      </c>
      <c r="D529" s="32" t="str">
        <f t="shared" si="1"/>
        <v>Active</v>
      </c>
      <c r="E529" s="33">
        <v>44725.0</v>
      </c>
      <c r="F529" s="34"/>
      <c r="G529" s="36">
        <f t="shared" si="2"/>
        <v>51.76666667</v>
      </c>
      <c r="H529" s="37">
        <v>41702.0</v>
      </c>
      <c r="I529" s="36">
        <f t="shared" si="4"/>
        <v>8.275</v>
      </c>
      <c r="J529" s="38">
        <v>85.0</v>
      </c>
      <c r="K529" s="39">
        <v>8.6</v>
      </c>
      <c r="L529" s="38">
        <v>11.0</v>
      </c>
      <c r="M529" s="40" t="s">
        <v>42</v>
      </c>
      <c r="N529" s="41"/>
      <c r="O529" s="42" t="s">
        <v>149</v>
      </c>
      <c r="P529" s="43"/>
    </row>
    <row r="530">
      <c r="A530" s="44" t="s">
        <v>627</v>
      </c>
      <c r="B530" s="45" t="s">
        <v>45</v>
      </c>
      <c r="C530" s="46" t="s">
        <v>207</v>
      </c>
      <c r="D530" s="47" t="str">
        <f t="shared" si="1"/>
        <v>Active</v>
      </c>
      <c r="E530" s="48">
        <v>44725.0</v>
      </c>
      <c r="F530" s="49"/>
      <c r="G530" s="50">
        <f t="shared" si="2"/>
        <v>51.76666667</v>
      </c>
      <c r="H530" s="51">
        <v>43389.0</v>
      </c>
      <c r="I530" s="50">
        <f t="shared" si="4"/>
        <v>3.658333333</v>
      </c>
      <c r="J530" s="55">
        <v>74.0</v>
      </c>
      <c r="K530" s="56">
        <v>6.9</v>
      </c>
      <c r="L530" s="55">
        <v>13.0</v>
      </c>
      <c r="M530" s="58" t="s">
        <v>29</v>
      </c>
      <c r="N530" s="59"/>
      <c r="O530" s="60" t="s">
        <v>149</v>
      </c>
      <c r="P530" s="61" t="s">
        <v>149</v>
      </c>
    </row>
    <row r="531">
      <c r="A531" s="29" t="s">
        <v>628</v>
      </c>
      <c r="B531" s="30" t="s">
        <v>45</v>
      </c>
      <c r="C531" s="31" t="s">
        <v>207</v>
      </c>
      <c r="D531" s="32" t="str">
        <f t="shared" si="1"/>
        <v>Active</v>
      </c>
      <c r="E531" s="33">
        <v>44725.0</v>
      </c>
      <c r="F531" s="34"/>
      <c r="G531" s="36">
        <f t="shared" si="2"/>
        <v>51.76666667</v>
      </c>
      <c r="H531" s="37">
        <v>42437.0</v>
      </c>
      <c r="I531" s="36">
        <f t="shared" si="4"/>
        <v>6.263888889</v>
      </c>
      <c r="J531" s="38">
        <v>80.0</v>
      </c>
      <c r="K531" s="39">
        <v>6.7</v>
      </c>
      <c r="L531" s="38">
        <v>40.0</v>
      </c>
      <c r="M531" s="40" t="s">
        <v>31</v>
      </c>
      <c r="N531" s="41"/>
      <c r="O531" s="42" t="s">
        <v>149</v>
      </c>
      <c r="P531" s="43"/>
    </row>
    <row r="532">
      <c r="A532" s="44" t="s">
        <v>629</v>
      </c>
      <c r="B532" s="45" t="s">
        <v>384</v>
      </c>
      <c r="C532" s="46" t="s">
        <v>207</v>
      </c>
      <c r="D532" s="47" t="str">
        <f t="shared" si="1"/>
        <v>Active</v>
      </c>
      <c r="E532" s="48">
        <v>44725.0</v>
      </c>
      <c r="F532" s="49"/>
      <c r="G532" s="50">
        <f t="shared" si="2"/>
        <v>51.76666667</v>
      </c>
      <c r="H532" s="51">
        <v>42451.0</v>
      </c>
      <c r="I532" s="50">
        <f t="shared" si="4"/>
        <v>6.225</v>
      </c>
      <c r="J532" s="55">
        <v>81.0</v>
      </c>
      <c r="K532" s="56">
        <v>7.5</v>
      </c>
      <c r="L532" s="55">
        <v>14.0</v>
      </c>
      <c r="M532" s="58" t="s">
        <v>95</v>
      </c>
      <c r="N532" s="59"/>
      <c r="O532" s="60" t="s">
        <v>149</v>
      </c>
      <c r="P532" s="61" t="s">
        <v>149</v>
      </c>
    </row>
    <row r="533">
      <c r="A533" s="29" t="s">
        <v>630</v>
      </c>
      <c r="B533" s="30" t="s">
        <v>45</v>
      </c>
      <c r="C533" s="31" t="s">
        <v>207</v>
      </c>
      <c r="D533" s="32" t="str">
        <f t="shared" si="1"/>
        <v>Active</v>
      </c>
      <c r="E533" s="33">
        <v>44725.0</v>
      </c>
      <c r="F533" s="34"/>
      <c r="G533" s="36">
        <f t="shared" si="2"/>
        <v>51.76666667</v>
      </c>
      <c r="H533" s="37">
        <v>42535.0</v>
      </c>
      <c r="I533" s="36">
        <f t="shared" si="4"/>
        <v>5.997222222</v>
      </c>
      <c r="J533" s="38">
        <v>66.0</v>
      </c>
      <c r="K533" s="39">
        <v>6.1</v>
      </c>
      <c r="L533" s="38">
        <v>6.0</v>
      </c>
      <c r="M533" s="40" t="s">
        <v>95</v>
      </c>
      <c r="N533" s="41"/>
      <c r="O533" s="42" t="s">
        <v>34</v>
      </c>
      <c r="P533" s="43"/>
    </row>
    <row r="534">
      <c r="A534" s="44" t="s">
        <v>631</v>
      </c>
      <c r="B534" s="45" t="s">
        <v>45</v>
      </c>
      <c r="C534" s="46" t="s">
        <v>207</v>
      </c>
      <c r="D534" s="47" t="str">
        <f t="shared" si="1"/>
        <v>Active</v>
      </c>
      <c r="E534" s="48">
        <v>44725.0</v>
      </c>
      <c r="F534" s="49"/>
      <c r="G534" s="50">
        <f t="shared" si="2"/>
        <v>51.76666667</v>
      </c>
      <c r="H534" s="51">
        <v>43522.0</v>
      </c>
      <c r="I534" s="50">
        <f t="shared" si="4"/>
        <v>3.297222222</v>
      </c>
      <c r="J534" s="55">
        <v>79.0</v>
      </c>
      <c r="K534" s="56">
        <v>6.5</v>
      </c>
      <c r="L534" s="55">
        <v>13.0</v>
      </c>
      <c r="M534" s="58" t="s">
        <v>95</v>
      </c>
      <c r="N534" s="59"/>
      <c r="O534" s="60" t="s">
        <v>149</v>
      </c>
      <c r="P534" s="61" t="s">
        <v>149</v>
      </c>
    </row>
    <row r="535">
      <c r="A535" s="29" t="s">
        <v>632</v>
      </c>
      <c r="B535" s="30" t="s">
        <v>45</v>
      </c>
      <c r="C535" s="31" t="s">
        <v>207</v>
      </c>
      <c r="D535" s="32" t="str">
        <f t="shared" si="1"/>
        <v>Active</v>
      </c>
      <c r="E535" s="33">
        <v>44725.0</v>
      </c>
      <c r="F535" s="34"/>
      <c r="G535" s="36">
        <f t="shared" si="2"/>
        <v>51.76666667</v>
      </c>
      <c r="H535" s="37">
        <v>42234.0</v>
      </c>
      <c r="I535" s="36">
        <f t="shared" si="4"/>
        <v>6.819444444</v>
      </c>
      <c r="J535" s="38">
        <v>77.0</v>
      </c>
      <c r="K535" s="39">
        <v>6.4</v>
      </c>
      <c r="L535" s="38">
        <v>9.0</v>
      </c>
      <c r="M535" s="40" t="s">
        <v>537</v>
      </c>
      <c r="N535" s="41"/>
      <c r="O535" s="42" t="s">
        <v>149</v>
      </c>
      <c r="P535" s="43"/>
    </row>
    <row r="536">
      <c r="A536" s="44" t="s">
        <v>633</v>
      </c>
      <c r="B536" s="45" t="s">
        <v>25</v>
      </c>
      <c r="C536" s="46" t="s">
        <v>41</v>
      </c>
      <c r="D536" s="47" t="str">
        <f t="shared" si="1"/>
        <v>Active</v>
      </c>
      <c r="E536" s="48">
        <v>44725.0</v>
      </c>
      <c r="F536" s="49"/>
      <c r="G536" s="50">
        <f t="shared" si="2"/>
        <v>51.76666667</v>
      </c>
      <c r="H536" s="51">
        <v>39261.0</v>
      </c>
      <c r="I536" s="50">
        <f t="shared" si="4"/>
        <v>14.95833333</v>
      </c>
      <c r="J536" s="55">
        <v>69.0</v>
      </c>
      <c r="K536" s="56">
        <v>5.6</v>
      </c>
      <c r="L536" s="55">
        <v>3.0</v>
      </c>
      <c r="M536" s="58" t="s">
        <v>31</v>
      </c>
      <c r="N536" s="59" t="s">
        <v>634</v>
      </c>
      <c r="O536" s="60" t="s">
        <v>34</v>
      </c>
      <c r="P536" s="61" t="s">
        <v>505</v>
      </c>
    </row>
    <row r="537">
      <c r="A537" s="29" t="s">
        <v>635</v>
      </c>
      <c r="B537" s="30" t="s">
        <v>25</v>
      </c>
      <c r="C537" s="31" t="s">
        <v>41</v>
      </c>
      <c r="D537" s="32" t="str">
        <f t="shared" si="1"/>
        <v>Active</v>
      </c>
      <c r="E537" s="33">
        <v>44725.0</v>
      </c>
      <c r="F537" s="34"/>
      <c r="G537" s="36">
        <f t="shared" si="2"/>
        <v>51.76666667</v>
      </c>
      <c r="H537" s="37">
        <v>36281.0</v>
      </c>
      <c r="I537" s="36">
        <f t="shared" si="4"/>
        <v>23.11666667</v>
      </c>
      <c r="J537" s="38">
        <v>90.0</v>
      </c>
      <c r="K537" s="39">
        <v>8.2</v>
      </c>
      <c r="L537" s="38">
        <v>12.0</v>
      </c>
      <c r="M537" s="40" t="s">
        <v>27</v>
      </c>
      <c r="N537" s="41" t="s">
        <v>61</v>
      </c>
      <c r="O537" s="42" t="s">
        <v>149</v>
      </c>
      <c r="P537" s="67" t="s">
        <v>505</v>
      </c>
    </row>
    <row r="538">
      <c r="A538" s="44" t="s">
        <v>636</v>
      </c>
      <c r="B538" s="45" t="s">
        <v>25</v>
      </c>
      <c r="C538" s="46" t="s">
        <v>41</v>
      </c>
      <c r="D538" s="47" t="str">
        <f t="shared" si="1"/>
        <v>Active</v>
      </c>
      <c r="E538" s="48">
        <v>44725.0</v>
      </c>
      <c r="F538" s="49"/>
      <c r="G538" s="50">
        <f t="shared" si="2"/>
        <v>51.76666667</v>
      </c>
      <c r="H538" s="51">
        <v>36007.0</v>
      </c>
      <c r="I538" s="50">
        <f t="shared" si="4"/>
        <v>23.86944444</v>
      </c>
      <c r="J538" s="55">
        <v>82.0</v>
      </c>
      <c r="K538" s="56">
        <v>8.6</v>
      </c>
      <c r="L538" s="78"/>
      <c r="M538" s="58" t="s">
        <v>125</v>
      </c>
      <c r="N538" s="59" t="s">
        <v>61</v>
      </c>
      <c r="O538" s="60" t="s">
        <v>149</v>
      </c>
      <c r="P538" s="66" t="s">
        <v>505</v>
      </c>
    </row>
    <row r="539">
      <c r="A539" s="29" t="s">
        <v>637</v>
      </c>
      <c r="B539" s="30" t="s">
        <v>25</v>
      </c>
      <c r="C539" s="31" t="s">
        <v>41</v>
      </c>
      <c r="D539" s="32" t="str">
        <f t="shared" si="1"/>
        <v>Active</v>
      </c>
      <c r="E539" s="33">
        <v>44725.0</v>
      </c>
      <c r="F539" s="34"/>
      <c r="G539" s="36">
        <f t="shared" si="2"/>
        <v>51.76666667</v>
      </c>
      <c r="H539" s="37">
        <v>35764.0</v>
      </c>
      <c r="I539" s="36">
        <f t="shared" si="4"/>
        <v>24.53611111</v>
      </c>
      <c r="J539" s="38">
        <v>84.0</v>
      </c>
      <c r="K539" s="39">
        <v>8.5</v>
      </c>
      <c r="L539" s="76"/>
      <c r="M539" s="40" t="s">
        <v>136</v>
      </c>
      <c r="N539" s="41" t="s">
        <v>61</v>
      </c>
      <c r="O539" s="42" t="s">
        <v>149</v>
      </c>
      <c r="P539" s="67" t="s">
        <v>505</v>
      </c>
    </row>
    <row r="540">
      <c r="A540" s="44" t="s">
        <v>638</v>
      </c>
      <c r="B540" s="45" t="s">
        <v>25</v>
      </c>
      <c r="C540" s="46" t="s">
        <v>41</v>
      </c>
      <c r="D540" s="47" t="str">
        <f t="shared" si="1"/>
        <v>Active</v>
      </c>
      <c r="E540" s="48">
        <v>44725.0</v>
      </c>
      <c r="F540" s="49"/>
      <c r="G540" s="50">
        <f t="shared" si="2"/>
        <v>51.76666667</v>
      </c>
      <c r="H540" s="51">
        <v>35004.0</v>
      </c>
      <c r="I540" s="50">
        <f t="shared" si="4"/>
        <v>26.61666667</v>
      </c>
      <c r="J540" s="55">
        <v>70.0</v>
      </c>
      <c r="K540" s="56">
        <v>7.9</v>
      </c>
      <c r="L540" s="55">
        <v>4.0</v>
      </c>
      <c r="M540" s="58" t="s">
        <v>27</v>
      </c>
      <c r="N540" s="59" t="s">
        <v>61</v>
      </c>
      <c r="O540" s="60" t="s">
        <v>34</v>
      </c>
      <c r="P540" s="66" t="s">
        <v>505</v>
      </c>
    </row>
    <row r="541">
      <c r="A541" s="29" t="s">
        <v>639</v>
      </c>
      <c r="B541" s="30" t="s">
        <v>25</v>
      </c>
      <c r="C541" s="31" t="s">
        <v>41</v>
      </c>
      <c r="D541" s="32" t="str">
        <f t="shared" si="1"/>
        <v>Active</v>
      </c>
      <c r="E541" s="33">
        <v>44725.0</v>
      </c>
      <c r="F541" s="34"/>
      <c r="G541" s="36">
        <f t="shared" si="2"/>
        <v>51.76666667</v>
      </c>
      <c r="H541" s="37">
        <v>36699.0</v>
      </c>
      <c r="I541" s="36">
        <f t="shared" si="4"/>
        <v>21.975</v>
      </c>
      <c r="J541" s="38">
        <v>80.0</v>
      </c>
      <c r="K541" s="39">
        <v>8.1</v>
      </c>
      <c r="L541" s="76"/>
      <c r="M541" s="40" t="s">
        <v>136</v>
      </c>
      <c r="N541" s="41" t="s">
        <v>61</v>
      </c>
      <c r="O541" s="42" t="s">
        <v>34</v>
      </c>
      <c r="P541" s="67" t="s">
        <v>505</v>
      </c>
    </row>
    <row r="542">
      <c r="A542" s="44" t="s">
        <v>640</v>
      </c>
      <c r="B542" s="45" t="s">
        <v>25</v>
      </c>
      <c r="C542" s="46" t="s">
        <v>41</v>
      </c>
      <c r="D542" s="47" t="str">
        <f t="shared" si="1"/>
        <v>Active</v>
      </c>
      <c r="E542" s="48">
        <v>44725.0</v>
      </c>
      <c r="F542" s="49"/>
      <c r="G542" s="50">
        <f t="shared" si="2"/>
        <v>51.76666667</v>
      </c>
      <c r="H542" s="51">
        <v>35674.0</v>
      </c>
      <c r="I542" s="50">
        <f t="shared" si="4"/>
        <v>24.78333333</v>
      </c>
      <c r="J542" s="55">
        <v>85.0</v>
      </c>
      <c r="K542" s="56">
        <v>8.7</v>
      </c>
      <c r="L542" s="55">
        <v>7.0</v>
      </c>
      <c r="M542" s="58" t="s">
        <v>27</v>
      </c>
      <c r="N542" s="59" t="s">
        <v>61</v>
      </c>
      <c r="O542" s="60" t="s">
        <v>34</v>
      </c>
      <c r="P542" s="66" t="s">
        <v>505</v>
      </c>
    </row>
    <row r="543">
      <c r="A543" s="29" t="s">
        <v>641</v>
      </c>
      <c r="B543" s="30" t="s">
        <v>25</v>
      </c>
      <c r="C543" s="31" t="s">
        <v>41</v>
      </c>
      <c r="D543" s="32" t="str">
        <f t="shared" si="1"/>
        <v>Active</v>
      </c>
      <c r="E543" s="33">
        <v>44725.0</v>
      </c>
      <c r="F543" s="34"/>
      <c r="G543" s="36">
        <f t="shared" si="2"/>
        <v>51.76666667</v>
      </c>
      <c r="H543" s="37">
        <v>35125.0</v>
      </c>
      <c r="I543" s="36">
        <f t="shared" si="4"/>
        <v>26.28333333</v>
      </c>
      <c r="J543" s="38">
        <v>80.0</v>
      </c>
      <c r="K543" s="39">
        <v>8.0</v>
      </c>
      <c r="L543" s="38">
        <v>10.0</v>
      </c>
      <c r="M543" s="40" t="s">
        <v>36</v>
      </c>
      <c r="N543" s="41" t="s">
        <v>61</v>
      </c>
      <c r="O543" s="42" t="s">
        <v>34</v>
      </c>
      <c r="P543" s="67" t="s">
        <v>505</v>
      </c>
    </row>
    <row r="544">
      <c r="A544" s="44" t="s">
        <v>642</v>
      </c>
      <c r="B544" s="45" t="s">
        <v>25</v>
      </c>
      <c r="C544" s="46" t="s">
        <v>41</v>
      </c>
      <c r="D544" s="47" t="str">
        <f t="shared" si="1"/>
        <v>Active</v>
      </c>
      <c r="E544" s="48">
        <v>44725.0</v>
      </c>
      <c r="F544" s="49"/>
      <c r="G544" s="50">
        <f t="shared" si="2"/>
        <v>51.76666667</v>
      </c>
      <c r="H544" s="51">
        <v>36161.0</v>
      </c>
      <c r="I544" s="50">
        <f t="shared" si="4"/>
        <v>23.45</v>
      </c>
      <c r="J544" s="55">
        <v>90.0</v>
      </c>
      <c r="K544" s="56">
        <v>8.4</v>
      </c>
      <c r="L544" s="55">
        <v>8.0</v>
      </c>
      <c r="M544" s="58" t="s">
        <v>31</v>
      </c>
      <c r="N544" s="59" t="s">
        <v>61</v>
      </c>
      <c r="O544" s="60" t="s">
        <v>149</v>
      </c>
      <c r="P544" s="66" t="s">
        <v>505</v>
      </c>
    </row>
    <row r="545">
      <c r="A545" s="29" t="s">
        <v>643</v>
      </c>
      <c r="B545" s="30" t="s">
        <v>25</v>
      </c>
      <c r="C545" s="31" t="s">
        <v>41</v>
      </c>
      <c r="D545" s="32" t="str">
        <f t="shared" si="1"/>
        <v>Active</v>
      </c>
      <c r="E545" s="33">
        <v>44725.0</v>
      </c>
      <c r="F545" s="34"/>
      <c r="G545" s="36">
        <f t="shared" si="2"/>
        <v>51.76666667</v>
      </c>
      <c r="H545" s="37">
        <v>34912.0</v>
      </c>
      <c r="I545" s="36">
        <f t="shared" si="4"/>
        <v>26.86666667</v>
      </c>
      <c r="J545" s="38">
        <v>89.0</v>
      </c>
      <c r="K545" s="39">
        <v>7.8</v>
      </c>
      <c r="L545" s="76"/>
      <c r="M545" s="40" t="s">
        <v>114</v>
      </c>
      <c r="N545" s="41" t="s">
        <v>61</v>
      </c>
      <c r="O545" s="42" t="s">
        <v>34</v>
      </c>
      <c r="P545" s="67" t="s">
        <v>505</v>
      </c>
    </row>
    <row r="546">
      <c r="A546" s="44" t="s">
        <v>644</v>
      </c>
      <c r="B546" s="45" t="s">
        <v>25</v>
      </c>
      <c r="C546" s="46" t="s">
        <v>41</v>
      </c>
      <c r="D546" s="47" t="str">
        <f t="shared" si="1"/>
        <v>Active</v>
      </c>
      <c r="E546" s="48">
        <v>44725.0</v>
      </c>
      <c r="F546" s="49"/>
      <c r="G546" s="50">
        <f t="shared" si="2"/>
        <v>51.76666667</v>
      </c>
      <c r="H546" s="51">
        <v>35550.0</v>
      </c>
      <c r="I546" s="50">
        <f t="shared" si="4"/>
        <v>25.11944444</v>
      </c>
      <c r="J546" s="55">
        <v>78.0</v>
      </c>
      <c r="K546" s="56">
        <v>8.7</v>
      </c>
      <c r="L546" s="55">
        <v>28.0</v>
      </c>
      <c r="M546" s="58" t="s">
        <v>42</v>
      </c>
      <c r="N546" s="59" t="s">
        <v>61</v>
      </c>
      <c r="O546" s="60" t="s">
        <v>34</v>
      </c>
      <c r="P546" s="66" t="s">
        <v>505</v>
      </c>
    </row>
    <row r="547">
      <c r="A547" s="29" t="s">
        <v>645</v>
      </c>
      <c r="B547" s="30" t="s">
        <v>25</v>
      </c>
      <c r="C547" s="31" t="s">
        <v>41</v>
      </c>
      <c r="D547" s="32" t="str">
        <f t="shared" si="1"/>
        <v>Active</v>
      </c>
      <c r="E547" s="33">
        <v>44725.0</v>
      </c>
      <c r="F547" s="34"/>
      <c r="G547" s="36">
        <f t="shared" si="2"/>
        <v>51.76666667</v>
      </c>
      <c r="H547" s="37">
        <v>36311.0</v>
      </c>
      <c r="I547" s="36">
        <f t="shared" si="4"/>
        <v>23.03611111</v>
      </c>
      <c r="J547" s="38">
        <v>86.0</v>
      </c>
      <c r="K547" s="39">
        <v>8.8</v>
      </c>
      <c r="L547" s="76"/>
      <c r="M547" s="40" t="s">
        <v>103</v>
      </c>
      <c r="N547" s="41" t="s">
        <v>61</v>
      </c>
      <c r="O547" s="42" t="s">
        <v>34</v>
      </c>
      <c r="P547" s="67" t="s">
        <v>505</v>
      </c>
    </row>
    <row r="548">
      <c r="A548" s="44" t="s">
        <v>646</v>
      </c>
      <c r="B548" s="45" t="s">
        <v>25</v>
      </c>
      <c r="C548" s="46" t="s">
        <v>41</v>
      </c>
      <c r="D548" s="47" t="str">
        <f t="shared" si="1"/>
        <v>Active</v>
      </c>
      <c r="E548" s="48">
        <v>44725.0</v>
      </c>
      <c r="F548" s="49"/>
      <c r="G548" s="50">
        <f t="shared" si="2"/>
        <v>51.76666667</v>
      </c>
      <c r="H548" s="51">
        <v>37134.0</v>
      </c>
      <c r="I548" s="50">
        <f t="shared" si="4"/>
        <v>20.78611111</v>
      </c>
      <c r="J548" s="55">
        <v>81.0</v>
      </c>
      <c r="K548" s="56">
        <v>8.4</v>
      </c>
      <c r="L548" s="55">
        <v>9.0</v>
      </c>
      <c r="M548" s="58" t="s">
        <v>103</v>
      </c>
      <c r="N548" s="59" t="s">
        <v>61</v>
      </c>
      <c r="O548" s="60" t="s">
        <v>34</v>
      </c>
      <c r="P548" s="66" t="s">
        <v>505</v>
      </c>
    </row>
    <row r="549">
      <c r="A549" s="29" t="s">
        <v>647</v>
      </c>
      <c r="B549" s="30" t="s">
        <v>25</v>
      </c>
      <c r="C549" s="31" t="s">
        <v>41</v>
      </c>
      <c r="D549" s="32" t="str">
        <f t="shared" si="1"/>
        <v>Active</v>
      </c>
      <c r="E549" s="33">
        <v>44725.0</v>
      </c>
      <c r="F549" s="34"/>
      <c r="G549" s="36">
        <f t="shared" si="2"/>
        <v>51.76666667</v>
      </c>
      <c r="H549" s="37">
        <v>39569.0</v>
      </c>
      <c r="I549" s="36">
        <f t="shared" si="4"/>
        <v>14.11666667</v>
      </c>
      <c r="J549" s="38">
        <v>79.0</v>
      </c>
      <c r="K549" s="39">
        <v>7.4</v>
      </c>
      <c r="L549" s="38">
        <v>4.0</v>
      </c>
      <c r="M549" s="40" t="s">
        <v>136</v>
      </c>
      <c r="N549" s="41" t="s">
        <v>115</v>
      </c>
      <c r="O549" s="42" t="s">
        <v>34</v>
      </c>
      <c r="P549" s="67" t="s">
        <v>505</v>
      </c>
    </row>
    <row r="550">
      <c r="A550" s="44" t="s">
        <v>648</v>
      </c>
      <c r="B550" s="45" t="s">
        <v>45</v>
      </c>
      <c r="C550" s="46" t="s">
        <v>41</v>
      </c>
      <c r="D550" s="47" t="str">
        <f t="shared" si="1"/>
        <v>Active</v>
      </c>
      <c r="E550" s="48">
        <v>44725.0</v>
      </c>
      <c r="F550" s="49"/>
      <c r="G550" s="50">
        <f t="shared" si="2"/>
        <v>51.76666667</v>
      </c>
      <c r="H550" s="51">
        <v>37803.0</v>
      </c>
      <c r="I550" s="50">
        <f t="shared" si="4"/>
        <v>18.95</v>
      </c>
      <c r="J550" s="55">
        <v>82.0</v>
      </c>
      <c r="K550" s="56">
        <v>8.2</v>
      </c>
      <c r="L550" s="55">
        <v>10.0</v>
      </c>
      <c r="M550" s="58" t="s">
        <v>27</v>
      </c>
      <c r="N550" s="59" t="s">
        <v>43</v>
      </c>
      <c r="O550" s="60" t="s">
        <v>149</v>
      </c>
      <c r="P550" s="66" t="s">
        <v>505</v>
      </c>
    </row>
    <row r="551">
      <c r="A551" s="29" t="s">
        <v>649</v>
      </c>
      <c r="B551" s="30" t="s">
        <v>45</v>
      </c>
      <c r="C551" s="31" t="s">
        <v>41</v>
      </c>
      <c r="D551" s="32" t="str">
        <f t="shared" si="1"/>
        <v>Active</v>
      </c>
      <c r="E551" s="33">
        <v>44725.0</v>
      </c>
      <c r="F551" s="34"/>
      <c r="G551" s="36">
        <f t="shared" si="2"/>
        <v>51.76666667</v>
      </c>
      <c r="H551" s="37">
        <v>37773.0</v>
      </c>
      <c r="I551" s="36">
        <f t="shared" si="4"/>
        <v>19.03333333</v>
      </c>
      <c r="J551" s="38">
        <v>72.0</v>
      </c>
      <c r="K551" s="39">
        <v>8.0</v>
      </c>
      <c r="L551" s="38">
        <v>60.0</v>
      </c>
      <c r="M551" s="40" t="s">
        <v>650</v>
      </c>
      <c r="N551" s="41" t="s">
        <v>43</v>
      </c>
      <c r="O551" s="42" t="s">
        <v>149</v>
      </c>
      <c r="P551" s="67" t="s">
        <v>505</v>
      </c>
    </row>
    <row r="552">
      <c r="A552" s="44" t="s">
        <v>651</v>
      </c>
      <c r="B552" s="45" t="s">
        <v>45</v>
      </c>
      <c r="C552" s="46" t="s">
        <v>41</v>
      </c>
      <c r="D552" s="47" t="str">
        <f t="shared" si="1"/>
        <v>Active</v>
      </c>
      <c r="E552" s="48">
        <v>44725.0</v>
      </c>
      <c r="F552" s="49"/>
      <c r="G552" s="50">
        <f t="shared" si="2"/>
        <v>51.76666667</v>
      </c>
      <c r="H552" s="51">
        <v>37012.0</v>
      </c>
      <c r="I552" s="50">
        <f t="shared" si="4"/>
        <v>21.11666667</v>
      </c>
      <c r="J552" s="55">
        <v>80.0</v>
      </c>
      <c r="K552" s="56">
        <v>8.6</v>
      </c>
      <c r="L552" s="55">
        <v>40.0</v>
      </c>
      <c r="M552" s="58" t="s">
        <v>42</v>
      </c>
      <c r="N552" s="59" t="s">
        <v>43</v>
      </c>
      <c r="O552" s="60" t="s">
        <v>149</v>
      </c>
      <c r="P552" s="66" t="s">
        <v>505</v>
      </c>
    </row>
    <row r="553">
      <c r="A553" s="29" t="s">
        <v>652</v>
      </c>
      <c r="B553" s="30" t="s">
        <v>45</v>
      </c>
      <c r="C553" s="31" t="s">
        <v>41</v>
      </c>
      <c r="D553" s="32" t="str">
        <f t="shared" si="1"/>
        <v>Active</v>
      </c>
      <c r="E553" s="33">
        <v>44725.0</v>
      </c>
      <c r="F553" s="34"/>
      <c r="G553" s="36">
        <f t="shared" si="2"/>
        <v>51.76666667</v>
      </c>
      <c r="H553" s="37">
        <v>37653.0</v>
      </c>
      <c r="I553" s="36">
        <f t="shared" si="4"/>
        <v>19.36666667</v>
      </c>
      <c r="J553" s="38">
        <v>87.0</v>
      </c>
      <c r="K553" s="39">
        <v>8.5</v>
      </c>
      <c r="L553" s="38">
        <v>50.0</v>
      </c>
      <c r="M553" s="40" t="s">
        <v>42</v>
      </c>
      <c r="N553" s="41" t="s">
        <v>43</v>
      </c>
      <c r="O553" s="42" t="s">
        <v>149</v>
      </c>
      <c r="P553" s="67" t="s">
        <v>505</v>
      </c>
    </row>
    <row r="554">
      <c r="A554" s="44" t="s">
        <v>653</v>
      </c>
      <c r="B554" s="45" t="s">
        <v>45</v>
      </c>
      <c r="C554" s="46" t="s">
        <v>41</v>
      </c>
      <c r="D554" s="47" t="str">
        <f t="shared" si="1"/>
        <v>Active</v>
      </c>
      <c r="E554" s="48">
        <v>44725.0</v>
      </c>
      <c r="F554" s="49"/>
      <c r="G554" s="50">
        <f t="shared" si="2"/>
        <v>51.76666667</v>
      </c>
      <c r="H554" s="51">
        <v>36800.0</v>
      </c>
      <c r="I554" s="50">
        <f t="shared" si="4"/>
        <v>21.7</v>
      </c>
      <c r="J554" s="55">
        <v>72.0</v>
      </c>
      <c r="K554" s="56">
        <v>7.3</v>
      </c>
      <c r="L554" s="55">
        <v>4.0</v>
      </c>
      <c r="M554" s="58" t="s">
        <v>136</v>
      </c>
      <c r="N554" s="59" t="s">
        <v>43</v>
      </c>
      <c r="O554" s="60" t="s">
        <v>149</v>
      </c>
      <c r="P554" s="66" t="s">
        <v>505</v>
      </c>
    </row>
    <row r="555">
      <c r="A555" s="29" t="s">
        <v>654</v>
      </c>
      <c r="B555" s="30" t="s">
        <v>45</v>
      </c>
      <c r="C555" s="31" t="s">
        <v>41</v>
      </c>
      <c r="D555" s="32" t="str">
        <f t="shared" si="1"/>
        <v>Active</v>
      </c>
      <c r="E555" s="33">
        <v>44725.0</v>
      </c>
      <c r="F555" s="34"/>
      <c r="G555" s="36">
        <f t="shared" si="2"/>
        <v>51.76666667</v>
      </c>
      <c r="H555" s="37">
        <v>39264.0</v>
      </c>
      <c r="I555" s="36">
        <f t="shared" si="4"/>
        <v>14.95</v>
      </c>
      <c r="J555" s="38">
        <v>70.0</v>
      </c>
      <c r="K555" s="39">
        <v>7.7</v>
      </c>
      <c r="L555" s="38">
        <v>6.5</v>
      </c>
      <c r="M555" s="40" t="s">
        <v>125</v>
      </c>
      <c r="N555" s="41" t="s">
        <v>43</v>
      </c>
      <c r="O555" s="42" t="s">
        <v>149</v>
      </c>
      <c r="P555" s="67" t="s">
        <v>505</v>
      </c>
    </row>
    <row r="556">
      <c r="A556" s="44" t="s">
        <v>655</v>
      </c>
      <c r="B556" s="45" t="s">
        <v>45</v>
      </c>
      <c r="C556" s="46" t="s">
        <v>41</v>
      </c>
      <c r="D556" s="47" t="str">
        <f t="shared" si="1"/>
        <v>Active</v>
      </c>
      <c r="E556" s="48">
        <v>44725.0</v>
      </c>
      <c r="F556" s="49"/>
      <c r="G556" s="50">
        <f t="shared" si="2"/>
        <v>51.76666667</v>
      </c>
      <c r="H556" s="51">
        <v>38292.0</v>
      </c>
      <c r="I556" s="50">
        <f t="shared" si="4"/>
        <v>17.61666667</v>
      </c>
      <c r="J556" s="55">
        <v>84.0</v>
      </c>
      <c r="K556" s="56">
        <v>8.5</v>
      </c>
      <c r="L556" s="55">
        <v>18.0</v>
      </c>
      <c r="M556" s="58" t="s">
        <v>27</v>
      </c>
      <c r="N556" s="59" t="s">
        <v>43</v>
      </c>
      <c r="O556" s="60" t="s">
        <v>149</v>
      </c>
      <c r="P556" s="66" t="s">
        <v>505</v>
      </c>
    </row>
    <row r="557">
      <c r="A557" s="29" t="s">
        <v>262</v>
      </c>
      <c r="B557" s="30" t="s">
        <v>45</v>
      </c>
      <c r="C557" s="31" t="s">
        <v>41</v>
      </c>
      <c r="D557" s="32" t="str">
        <f t="shared" si="1"/>
        <v>Active</v>
      </c>
      <c r="E557" s="33">
        <v>44725.0</v>
      </c>
      <c r="F557" s="34"/>
      <c r="G557" s="36">
        <f t="shared" si="2"/>
        <v>51.76666667</v>
      </c>
      <c r="H557" s="37">
        <v>37226.0</v>
      </c>
      <c r="I557" s="36">
        <f t="shared" si="4"/>
        <v>20.53333333</v>
      </c>
      <c r="J557" s="38">
        <v>90.0</v>
      </c>
      <c r="K557" s="39">
        <v>8.8</v>
      </c>
      <c r="L557" s="38">
        <v>12.0</v>
      </c>
      <c r="M557" s="40" t="s">
        <v>27</v>
      </c>
      <c r="N557" s="41" t="s">
        <v>43</v>
      </c>
      <c r="O557" s="42" t="s">
        <v>34</v>
      </c>
      <c r="P557" s="67" t="s">
        <v>505</v>
      </c>
    </row>
    <row r="558">
      <c r="A558" s="44" t="s">
        <v>656</v>
      </c>
      <c r="B558" s="45" t="s">
        <v>45</v>
      </c>
      <c r="C558" s="46" t="s">
        <v>41</v>
      </c>
      <c r="D558" s="47" t="str">
        <f t="shared" si="1"/>
        <v>Active</v>
      </c>
      <c r="E558" s="48">
        <v>44725.0</v>
      </c>
      <c r="F558" s="49"/>
      <c r="G558" s="50">
        <f t="shared" si="2"/>
        <v>51.76666667</v>
      </c>
      <c r="H558" s="51">
        <v>37895.0</v>
      </c>
      <c r="I558" s="50">
        <f t="shared" si="4"/>
        <v>18.7</v>
      </c>
      <c r="J558" s="55">
        <v>87.0</v>
      </c>
      <c r="K558" s="56">
        <v>8.3</v>
      </c>
      <c r="L558" s="55">
        <v>18.0</v>
      </c>
      <c r="M558" s="58" t="s">
        <v>27</v>
      </c>
      <c r="N558" s="59" t="s">
        <v>43</v>
      </c>
      <c r="O558" s="60" t="s">
        <v>34</v>
      </c>
      <c r="P558" s="66" t="s">
        <v>505</v>
      </c>
    </row>
    <row r="559">
      <c r="A559" s="29" t="s">
        <v>657</v>
      </c>
      <c r="B559" s="30" t="s">
        <v>45</v>
      </c>
      <c r="C559" s="31" t="s">
        <v>41</v>
      </c>
      <c r="D559" s="32" t="str">
        <f t="shared" si="1"/>
        <v>Active</v>
      </c>
      <c r="E559" s="33">
        <v>44725.0</v>
      </c>
      <c r="F559" s="34"/>
      <c r="G559" s="36">
        <f t="shared" si="2"/>
        <v>51.76666667</v>
      </c>
      <c r="H559" s="37">
        <v>38626.0</v>
      </c>
      <c r="I559" s="36">
        <f t="shared" si="4"/>
        <v>16.7</v>
      </c>
      <c r="J559" s="38">
        <v>76.0</v>
      </c>
      <c r="K559" s="39">
        <v>8.0</v>
      </c>
      <c r="L559" s="38">
        <v>12.0</v>
      </c>
      <c r="M559" s="40" t="s">
        <v>95</v>
      </c>
      <c r="N559" s="41" t="s">
        <v>43</v>
      </c>
      <c r="O559" s="42" t="s">
        <v>34</v>
      </c>
      <c r="P559" s="67" t="s">
        <v>505</v>
      </c>
    </row>
    <row r="560">
      <c r="A560" s="44" t="s">
        <v>658</v>
      </c>
      <c r="B560" s="45" t="s">
        <v>45</v>
      </c>
      <c r="C560" s="46" t="s">
        <v>41</v>
      </c>
      <c r="D560" s="47" t="str">
        <f t="shared" si="1"/>
        <v>Active</v>
      </c>
      <c r="E560" s="48">
        <v>44725.0</v>
      </c>
      <c r="F560" s="49"/>
      <c r="G560" s="50">
        <f t="shared" si="2"/>
        <v>51.76666667</v>
      </c>
      <c r="H560" s="51">
        <v>37165.0</v>
      </c>
      <c r="I560" s="50">
        <f t="shared" si="4"/>
        <v>20.7</v>
      </c>
      <c r="J560" s="55">
        <v>77.0</v>
      </c>
      <c r="K560" s="56">
        <v>7.8</v>
      </c>
      <c r="L560" s="55">
        <v>4.0</v>
      </c>
      <c r="M560" s="58" t="s">
        <v>95</v>
      </c>
      <c r="N560" s="59" t="s">
        <v>43</v>
      </c>
      <c r="O560" s="60" t="s">
        <v>149</v>
      </c>
      <c r="P560" s="66" t="s">
        <v>505</v>
      </c>
    </row>
    <row r="561">
      <c r="A561" s="29" t="s">
        <v>659</v>
      </c>
      <c r="B561" s="30" t="s">
        <v>45</v>
      </c>
      <c r="C561" s="31" t="s">
        <v>41</v>
      </c>
      <c r="D561" s="32" t="str">
        <f t="shared" si="1"/>
        <v>Active</v>
      </c>
      <c r="E561" s="33">
        <v>44725.0</v>
      </c>
      <c r="F561" s="34"/>
      <c r="G561" s="36">
        <f t="shared" si="2"/>
        <v>51.76666667</v>
      </c>
      <c r="H561" s="37">
        <v>36951.0</v>
      </c>
      <c r="I561" s="36">
        <f t="shared" si="4"/>
        <v>21.28333333</v>
      </c>
      <c r="J561" s="38">
        <v>70.0</v>
      </c>
      <c r="K561" s="39">
        <v>8.1</v>
      </c>
      <c r="L561" s="38">
        <v>30.0</v>
      </c>
      <c r="M561" s="40" t="s">
        <v>42</v>
      </c>
      <c r="N561" s="41" t="s">
        <v>43</v>
      </c>
      <c r="O561" s="42" t="s">
        <v>149</v>
      </c>
      <c r="P561" s="67" t="s">
        <v>505</v>
      </c>
    </row>
    <row r="562">
      <c r="A562" s="44" t="s">
        <v>660</v>
      </c>
      <c r="B562" s="45" t="s">
        <v>45</v>
      </c>
      <c r="C562" s="46" t="s">
        <v>41</v>
      </c>
      <c r="D562" s="47" t="str">
        <f t="shared" si="1"/>
        <v>Active</v>
      </c>
      <c r="E562" s="48">
        <v>44725.0</v>
      </c>
      <c r="F562" s="49"/>
      <c r="G562" s="50">
        <f t="shared" si="2"/>
        <v>51.76666667</v>
      </c>
      <c r="H562" s="51">
        <v>37681.0</v>
      </c>
      <c r="I562" s="50">
        <f t="shared" si="4"/>
        <v>19.28333333</v>
      </c>
      <c r="J562" s="55">
        <v>73.0</v>
      </c>
      <c r="K562" s="56">
        <v>7.5</v>
      </c>
      <c r="L562" s="55">
        <v>15.0</v>
      </c>
      <c r="M562" s="58" t="s">
        <v>29</v>
      </c>
      <c r="N562" s="59" t="s">
        <v>43</v>
      </c>
      <c r="O562" s="60" t="s">
        <v>149</v>
      </c>
      <c r="P562" s="66" t="s">
        <v>505</v>
      </c>
    </row>
    <row r="563">
      <c r="A563" s="29" t="s">
        <v>661</v>
      </c>
      <c r="B563" s="30" t="s">
        <v>45</v>
      </c>
      <c r="C563" s="31" t="s">
        <v>41</v>
      </c>
      <c r="D563" s="32" t="str">
        <f t="shared" si="1"/>
        <v>Active</v>
      </c>
      <c r="E563" s="33">
        <v>44725.0</v>
      </c>
      <c r="F563" s="34"/>
      <c r="G563" s="36">
        <f t="shared" si="2"/>
        <v>51.76666667</v>
      </c>
      <c r="H563" s="37">
        <v>38443.0</v>
      </c>
      <c r="I563" s="36">
        <f t="shared" si="4"/>
        <v>17.2</v>
      </c>
      <c r="J563" s="38">
        <v>68.0</v>
      </c>
      <c r="K563" s="39">
        <v>7.5</v>
      </c>
      <c r="L563" s="38">
        <v>12.0</v>
      </c>
      <c r="M563" s="40" t="s">
        <v>29</v>
      </c>
      <c r="N563" s="41" t="s">
        <v>43</v>
      </c>
      <c r="O563" s="42" t="s">
        <v>34</v>
      </c>
      <c r="P563" s="67" t="s">
        <v>505</v>
      </c>
    </row>
    <row r="564">
      <c r="A564" s="44" t="s">
        <v>662</v>
      </c>
      <c r="B564" s="45" t="s">
        <v>45</v>
      </c>
      <c r="C564" s="46" t="s">
        <v>41</v>
      </c>
      <c r="D564" s="47" t="str">
        <f t="shared" si="1"/>
        <v>Active</v>
      </c>
      <c r="E564" s="48">
        <v>44725.0</v>
      </c>
      <c r="F564" s="49"/>
      <c r="G564" s="50">
        <f t="shared" si="2"/>
        <v>51.76666667</v>
      </c>
      <c r="H564" s="51">
        <v>38687.0</v>
      </c>
      <c r="I564" s="50">
        <f t="shared" si="4"/>
        <v>16.53333333</v>
      </c>
      <c r="J564" s="55">
        <v>83.0</v>
      </c>
      <c r="K564" s="56">
        <v>8.2</v>
      </c>
      <c r="L564" s="55">
        <v>40.0</v>
      </c>
      <c r="M564" s="58" t="s">
        <v>42</v>
      </c>
      <c r="N564" s="59" t="s">
        <v>43</v>
      </c>
      <c r="O564" s="60" t="s">
        <v>149</v>
      </c>
      <c r="P564" s="66" t="s">
        <v>505</v>
      </c>
    </row>
    <row r="565">
      <c r="A565" s="29" t="s">
        <v>663</v>
      </c>
      <c r="B565" s="30" t="s">
        <v>25</v>
      </c>
      <c r="C565" s="31" t="s">
        <v>41</v>
      </c>
      <c r="D565" s="32" t="str">
        <f t="shared" si="1"/>
        <v>Active</v>
      </c>
      <c r="E565" s="33">
        <v>44725.0</v>
      </c>
      <c r="F565" s="34"/>
      <c r="G565" s="36">
        <f t="shared" si="2"/>
        <v>51.76666667</v>
      </c>
      <c r="H565" s="37">
        <v>38078.0</v>
      </c>
      <c r="I565" s="36">
        <f t="shared" si="4"/>
        <v>18.2</v>
      </c>
      <c r="J565" s="38">
        <v>72.0</v>
      </c>
      <c r="K565" s="39">
        <v>8.1</v>
      </c>
      <c r="L565" s="38">
        <v>20.0</v>
      </c>
      <c r="M565" s="40" t="s">
        <v>36</v>
      </c>
      <c r="N565" s="41" t="s">
        <v>43</v>
      </c>
      <c r="O565" s="42" t="s">
        <v>149</v>
      </c>
      <c r="P565" s="67" t="s">
        <v>505</v>
      </c>
    </row>
    <row r="566">
      <c r="A566" s="44" t="s">
        <v>664</v>
      </c>
      <c r="B566" s="45" t="s">
        <v>45</v>
      </c>
      <c r="C566" s="46" t="s">
        <v>41</v>
      </c>
      <c r="D566" s="47" t="str">
        <f t="shared" si="1"/>
        <v>Active</v>
      </c>
      <c r="E566" s="48">
        <v>44725.0</v>
      </c>
      <c r="F566" s="49"/>
      <c r="G566" s="50">
        <f t="shared" si="2"/>
        <v>51.76666667</v>
      </c>
      <c r="H566" s="51">
        <v>37561.0</v>
      </c>
      <c r="I566" s="50">
        <f t="shared" si="4"/>
        <v>19.61666667</v>
      </c>
      <c r="J566" s="55">
        <v>65.0</v>
      </c>
      <c r="K566" s="56">
        <v>7.6</v>
      </c>
      <c r="L566" s="55">
        <v>10.0</v>
      </c>
      <c r="M566" s="58" t="s">
        <v>29</v>
      </c>
      <c r="N566" s="59" t="s">
        <v>43</v>
      </c>
      <c r="O566" s="60" t="s">
        <v>149</v>
      </c>
      <c r="P566" s="66" t="s">
        <v>505</v>
      </c>
    </row>
    <row r="567">
      <c r="A567" s="29" t="s">
        <v>665</v>
      </c>
      <c r="B567" s="30" t="s">
        <v>45</v>
      </c>
      <c r="C567" s="31" t="s">
        <v>41</v>
      </c>
      <c r="D567" s="32" t="str">
        <f t="shared" si="1"/>
        <v>Active</v>
      </c>
      <c r="E567" s="33">
        <v>44725.0</v>
      </c>
      <c r="F567" s="34"/>
      <c r="G567" s="36">
        <f t="shared" si="2"/>
        <v>51.76666667</v>
      </c>
      <c r="H567" s="37">
        <v>37316.0</v>
      </c>
      <c r="I567" s="36">
        <f t="shared" si="4"/>
        <v>20.28333333</v>
      </c>
      <c r="J567" s="38">
        <v>81.0</v>
      </c>
      <c r="K567" s="39">
        <v>7.4</v>
      </c>
      <c r="L567" s="38">
        <v>8.0</v>
      </c>
      <c r="M567" s="40" t="s">
        <v>31</v>
      </c>
      <c r="N567" s="41" t="s">
        <v>43</v>
      </c>
      <c r="O567" s="42" t="s">
        <v>149</v>
      </c>
      <c r="P567" s="67" t="s">
        <v>505</v>
      </c>
    </row>
    <row r="568">
      <c r="A568" s="44" t="s">
        <v>666</v>
      </c>
      <c r="B568" s="45" t="s">
        <v>45</v>
      </c>
      <c r="C568" s="46" t="s">
        <v>41</v>
      </c>
      <c r="D568" s="47" t="str">
        <f t="shared" si="1"/>
        <v>Active</v>
      </c>
      <c r="E568" s="48">
        <v>44725.0</v>
      </c>
      <c r="F568" s="49"/>
      <c r="G568" s="50">
        <f t="shared" si="2"/>
        <v>51.76666667</v>
      </c>
      <c r="H568" s="51">
        <v>37288.0</v>
      </c>
      <c r="I568" s="50">
        <f t="shared" si="4"/>
        <v>20.36666667</v>
      </c>
      <c r="J568" s="55">
        <v>73.0</v>
      </c>
      <c r="K568" s="56">
        <v>6.9</v>
      </c>
      <c r="L568" s="55">
        <v>6.0</v>
      </c>
      <c r="M568" s="58" t="s">
        <v>95</v>
      </c>
      <c r="N568" s="59" t="s">
        <v>43</v>
      </c>
      <c r="O568" s="60" t="s">
        <v>149</v>
      </c>
      <c r="P568" s="66" t="s">
        <v>505</v>
      </c>
    </row>
    <row r="569">
      <c r="A569" s="29" t="s">
        <v>667</v>
      </c>
      <c r="B569" s="30" t="s">
        <v>45</v>
      </c>
      <c r="C569" s="31" t="s">
        <v>41</v>
      </c>
      <c r="D569" s="32" t="str">
        <f t="shared" si="1"/>
        <v>Active</v>
      </c>
      <c r="E569" s="33">
        <v>44725.0</v>
      </c>
      <c r="F569" s="34"/>
      <c r="G569" s="36">
        <f t="shared" si="2"/>
        <v>51.76666667</v>
      </c>
      <c r="H569" s="37">
        <v>37438.0</v>
      </c>
      <c r="I569" s="36">
        <f t="shared" si="4"/>
        <v>19.95</v>
      </c>
      <c r="J569" s="38">
        <v>80.0</v>
      </c>
      <c r="K569" s="39">
        <v>6.6</v>
      </c>
      <c r="L569" s="38">
        <v>9.0</v>
      </c>
      <c r="M569" s="40" t="s">
        <v>29</v>
      </c>
      <c r="N569" s="41" t="s">
        <v>43</v>
      </c>
      <c r="O569" s="42" t="s">
        <v>34</v>
      </c>
      <c r="P569" s="67" t="s">
        <v>505</v>
      </c>
    </row>
    <row r="570">
      <c r="A570" s="44" t="s">
        <v>219</v>
      </c>
      <c r="B570" s="45" t="s">
        <v>45</v>
      </c>
      <c r="C570" s="46" t="s">
        <v>41</v>
      </c>
      <c r="D570" s="47" t="str">
        <f t="shared" si="1"/>
        <v>Active</v>
      </c>
      <c r="E570" s="48">
        <v>44725.0</v>
      </c>
      <c r="F570" s="49"/>
      <c r="G570" s="50">
        <f t="shared" si="2"/>
        <v>51.76666667</v>
      </c>
      <c r="H570" s="51">
        <v>37622.0</v>
      </c>
      <c r="I570" s="50">
        <f t="shared" si="4"/>
        <v>19.45</v>
      </c>
      <c r="J570" s="55">
        <v>80.0</v>
      </c>
      <c r="K570" s="56">
        <v>8.2</v>
      </c>
      <c r="L570" s="55">
        <v>6.0</v>
      </c>
      <c r="M570" s="58" t="s">
        <v>114</v>
      </c>
      <c r="N570" s="59" t="s">
        <v>43</v>
      </c>
      <c r="O570" s="60" t="s">
        <v>34</v>
      </c>
      <c r="P570" s="66" t="s">
        <v>505</v>
      </c>
    </row>
    <row r="571">
      <c r="A571" s="29" t="s">
        <v>668</v>
      </c>
      <c r="B571" s="30" t="s">
        <v>45</v>
      </c>
      <c r="C571" s="31" t="s">
        <v>41</v>
      </c>
      <c r="D571" s="32" t="str">
        <f t="shared" si="1"/>
        <v>Active</v>
      </c>
      <c r="E571" s="33">
        <v>44725.0</v>
      </c>
      <c r="F571" s="34"/>
      <c r="G571" s="36">
        <f t="shared" si="2"/>
        <v>51.76666667</v>
      </c>
      <c r="H571" s="37">
        <v>37530.0</v>
      </c>
      <c r="I571" s="36">
        <f t="shared" si="4"/>
        <v>19.7</v>
      </c>
      <c r="J571" s="38">
        <v>78.0</v>
      </c>
      <c r="K571" s="39">
        <v>8.5</v>
      </c>
      <c r="L571" s="38">
        <v>45.0</v>
      </c>
      <c r="M571" s="40" t="s">
        <v>42</v>
      </c>
      <c r="N571" s="41" t="s">
        <v>43</v>
      </c>
      <c r="O571" s="42" t="s">
        <v>149</v>
      </c>
      <c r="P571" s="67" t="s">
        <v>505</v>
      </c>
    </row>
    <row r="572">
      <c r="A572" s="44" t="s">
        <v>669</v>
      </c>
      <c r="B572" s="45" t="s">
        <v>45</v>
      </c>
      <c r="C572" s="46" t="s">
        <v>46</v>
      </c>
      <c r="D572" s="47" t="str">
        <f t="shared" si="1"/>
        <v>Active</v>
      </c>
      <c r="E572" s="48">
        <v>44725.0</v>
      </c>
      <c r="F572" s="49"/>
      <c r="G572" s="50">
        <f t="shared" si="2"/>
        <v>51.76666667</v>
      </c>
      <c r="H572" s="51">
        <v>43070.0</v>
      </c>
      <c r="I572" s="50">
        <f t="shared" si="4"/>
        <v>4.533333333</v>
      </c>
      <c r="J572" s="55">
        <v>79.0</v>
      </c>
      <c r="K572" s="56">
        <v>7.5</v>
      </c>
      <c r="L572" s="55">
        <v>7.0</v>
      </c>
      <c r="M572" s="58" t="s">
        <v>27</v>
      </c>
      <c r="N572" s="59" t="s">
        <v>115</v>
      </c>
      <c r="O572" s="60" t="s">
        <v>34</v>
      </c>
      <c r="P572" s="66"/>
    </row>
    <row r="573">
      <c r="A573" s="29" t="s">
        <v>670</v>
      </c>
      <c r="B573" s="30" t="s">
        <v>45</v>
      </c>
      <c r="C573" s="31" t="s">
        <v>46</v>
      </c>
      <c r="D573" s="32" t="str">
        <f t="shared" si="1"/>
        <v>Active</v>
      </c>
      <c r="E573" s="33">
        <v>44725.0</v>
      </c>
      <c r="F573" s="34"/>
      <c r="G573" s="36">
        <f t="shared" si="2"/>
        <v>51.76666667</v>
      </c>
      <c r="H573" s="37">
        <v>43252.0</v>
      </c>
      <c r="I573" s="36">
        <f t="shared" si="4"/>
        <v>4.033333333</v>
      </c>
      <c r="J573" s="38">
        <v>80.0</v>
      </c>
      <c r="K573" s="39">
        <v>7.6</v>
      </c>
      <c r="L573" s="38">
        <v>5.0</v>
      </c>
      <c r="M573" s="40" t="s">
        <v>136</v>
      </c>
      <c r="N573" s="41" t="s">
        <v>115</v>
      </c>
      <c r="O573" s="42" t="s">
        <v>34</v>
      </c>
      <c r="P573" s="67" t="s">
        <v>149</v>
      </c>
    </row>
    <row r="574">
      <c r="A574" s="44" t="s">
        <v>671</v>
      </c>
      <c r="B574" s="45" t="s">
        <v>45</v>
      </c>
      <c r="C574" s="46" t="s">
        <v>46</v>
      </c>
      <c r="D574" s="47" t="str">
        <f t="shared" si="1"/>
        <v>Active</v>
      </c>
      <c r="E574" s="48">
        <v>44725.0</v>
      </c>
      <c r="F574" s="49"/>
      <c r="G574" s="50">
        <f t="shared" si="2"/>
        <v>51.76666667</v>
      </c>
      <c r="H574" s="51">
        <v>43040.0</v>
      </c>
      <c r="I574" s="50">
        <f t="shared" si="4"/>
        <v>4.616666667</v>
      </c>
      <c r="J574" s="55">
        <v>61.0</v>
      </c>
      <c r="K574" s="56">
        <v>6.6</v>
      </c>
      <c r="L574" s="55">
        <v>15.0</v>
      </c>
      <c r="M574" s="58" t="s">
        <v>29</v>
      </c>
      <c r="N574" s="59" t="s">
        <v>412</v>
      </c>
      <c r="O574" s="60" t="s">
        <v>149</v>
      </c>
      <c r="P574" s="66"/>
    </row>
    <row r="575">
      <c r="A575" s="29" t="s">
        <v>672</v>
      </c>
      <c r="B575" s="30" t="s">
        <v>45</v>
      </c>
      <c r="C575" s="31" t="s">
        <v>46</v>
      </c>
      <c r="D575" s="32" t="str">
        <f t="shared" si="1"/>
        <v>Active</v>
      </c>
      <c r="E575" s="33">
        <v>44725.0</v>
      </c>
      <c r="F575" s="34"/>
      <c r="G575" s="36">
        <f t="shared" si="2"/>
        <v>51.76666667</v>
      </c>
      <c r="H575" s="37">
        <v>42948.0</v>
      </c>
      <c r="I575" s="36">
        <f t="shared" si="4"/>
        <v>4.866666667</v>
      </c>
      <c r="J575" s="38">
        <v>72.0</v>
      </c>
      <c r="K575" s="39">
        <v>7.9</v>
      </c>
      <c r="L575" s="38">
        <v>7.0</v>
      </c>
      <c r="M575" s="40" t="s">
        <v>82</v>
      </c>
      <c r="N575" s="41" t="s">
        <v>115</v>
      </c>
      <c r="O575" s="42" t="s">
        <v>34</v>
      </c>
      <c r="P575" s="67"/>
    </row>
    <row r="576">
      <c r="A576" s="44" t="s">
        <v>673</v>
      </c>
      <c r="B576" s="45" t="s">
        <v>45</v>
      </c>
      <c r="C576" s="46" t="s">
        <v>46</v>
      </c>
      <c r="D576" s="47" t="str">
        <f t="shared" si="1"/>
        <v>Active</v>
      </c>
      <c r="E576" s="48">
        <v>44725.0</v>
      </c>
      <c r="F576" s="49"/>
      <c r="G576" s="50">
        <f t="shared" si="2"/>
        <v>51.76666667</v>
      </c>
      <c r="H576" s="51">
        <v>43831.0</v>
      </c>
      <c r="I576" s="50">
        <f t="shared" si="4"/>
        <v>2.45</v>
      </c>
      <c r="J576" s="55">
        <v>75.0</v>
      </c>
      <c r="K576" s="56">
        <v>8.0</v>
      </c>
      <c r="L576" s="55">
        <v>9.0</v>
      </c>
      <c r="M576" s="58" t="s">
        <v>82</v>
      </c>
      <c r="N576" s="59" t="s">
        <v>115</v>
      </c>
      <c r="O576" s="60" t="s">
        <v>149</v>
      </c>
      <c r="P576" s="66" t="s">
        <v>149</v>
      </c>
    </row>
    <row r="577">
      <c r="A577" s="29" t="s">
        <v>674</v>
      </c>
      <c r="B577" s="30" t="s">
        <v>45</v>
      </c>
      <c r="C577" s="31" t="s">
        <v>46</v>
      </c>
      <c r="D577" s="32" t="str">
        <f t="shared" si="1"/>
        <v>Active</v>
      </c>
      <c r="E577" s="33">
        <v>44725.0</v>
      </c>
      <c r="F577" s="34"/>
      <c r="G577" s="36">
        <f t="shared" si="2"/>
        <v>51.76666667</v>
      </c>
      <c r="H577" s="37">
        <v>44152.0</v>
      </c>
      <c r="I577" s="36">
        <f t="shared" si="4"/>
        <v>1.572222222</v>
      </c>
      <c r="J577" s="38">
        <v>75.0</v>
      </c>
      <c r="K577" s="39">
        <v>7.4</v>
      </c>
      <c r="L577" s="38">
        <v>14.0</v>
      </c>
      <c r="M577" s="40" t="s">
        <v>31</v>
      </c>
      <c r="N577" s="41" t="s">
        <v>412</v>
      </c>
      <c r="O577" s="42" t="s">
        <v>149</v>
      </c>
      <c r="P577" s="67" t="s">
        <v>149</v>
      </c>
    </row>
    <row r="578">
      <c r="A578" s="44" t="s">
        <v>675</v>
      </c>
      <c r="B578" s="45" t="s">
        <v>45</v>
      </c>
      <c r="C578" s="46" t="s">
        <v>46</v>
      </c>
      <c r="D578" s="47" t="str">
        <f t="shared" si="1"/>
        <v>Active</v>
      </c>
      <c r="E578" s="48">
        <v>44725.0</v>
      </c>
      <c r="F578" s="49"/>
      <c r="G578" s="50">
        <f t="shared" si="2"/>
        <v>51.76666667</v>
      </c>
      <c r="H578" s="51">
        <v>42278.0</v>
      </c>
      <c r="I578" s="50">
        <f t="shared" si="4"/>
        <v>6.7</v>
      </c>
      <c r="J578" s="55">
        <v>86.0</v>
      </c>
      <c r="K578" s="56">
        <v>8.6</v>
      </c>
      <c r="L578" s="55">
        <v>34.0</v>
      </c>
      <c r="M578" s="58" t="s">
        <v>29</v>
      </c>
      <c r="N578" s="59" t="s">
        <v>442</v>
      </c>
      <c r="O578" s="60" t="s">
        <v>34</v>
      </c>
      <c r="P578" s="66"/>
    </row>
    <row r="579">
      <c r="A579" s="29" t="s">
        <v>676</v>
      </c>
      <c r="B579" s="30" t="s">
        <v>25</v>
      </c>
      <c r="C579" s="31" t="s">
        <v>476</v>
      </c>
      <c r="D579" s="32" t="str">
        <f t="shared" si="1"/>
        <v>Active</v>
      </c>
      <c r="E579" s="33">
        <v>44725.0</v>
      </c>
      <c r="F579" s="34"/>
      <c r="G579" s="36">
        <f t="shared" si="2"/>
        <v>51.76666667</v>
      </c>
      <c r="H579" s="37">
        <v>40664.0</v>
      </c>
      <c r="I579" s="36">
        <f t="shared" si="4"/>
        <v>11.11666667</v>
      </c>
      <c r="J579" s="38">
        <v>61.0</v>
      </c>
      <c r="K579" s="39">
        <v>6.8</v>
      </c>
      <c r="L579" s="38">
        <v>10.0</v>
      </c>
      <c r="M579" s="40" t="s">
        <v>95</v>
      </c>
      <c r="N579" s="41" t="s">
        <v>442</v>
      </c>
      <c r="O579" s="42" t="s">
        <v>149</v>
      </c>
      <c r="P579" s="67" t="s">
        <v>505</v>
      </c>
    </row>
    <row r="580">
      <c r="A580" s="44" t="s">
        <v>677</v>
      </c>
      <c r="B580" s="45" t="s">
        <v>25</v>
      </c>
      <c r="C580" s="46" t="s">
        <v>476</v>
      </c>
      <c r="D580" s="47" t="str">
        <f t="shared" si="1"/>
        <v>Active</v>
      </c>
      <c r="E580" s="48">
        <v>44725.0</v>
      </c>
      <c r="F580" s="49"/>
      <c r="G580" s="50">
        <f t="shared" si="2"/>
        <v>51.76666667</v>
      </c>
      <c r="H580" s="51">
        <v>39417.0</v>
      </c>
      <c r="I580" s="50">
        <f t="shared" si="4"/>
        <v>14.53333333</v>
      </c>
      <c r="J580" s="55">
        <v>67.0</v>
      </c>
      <c r="K580" s="56">
        <v>7.3</v>
      </c>
      <c r="L580" s="55">
        <v>10.0</v>
      </c>
      <c r="M580" s="58" t="s">
        <v>95</v>
      </c>
      <c r="N580" s="59" t="s">
        <v>442</v>
      </c>
      <c r="O580" s="60" t="s">
        <v>149</v>
      </c>
      <c r="P580" s="66" t="s">
        <v>505</v>
      </c>
    </row>
    <row r="581">
      <c r="A581" s="29" t="s">
        <v>678</v>
      </c>
      <c r="B581" s="30" t="s">
        <v>25</v>
      </c>
      <c r="C581" s="31" t="s">
        <v>476</v>
      </c>
      <c r="D581" s="32" t="str">
        <f t="shared" si="1"/>
        <v>Active</v>
      </c>
      <c r="E581" s="33">
        <v>44725.0</v>
      </c>
      <c r="F581" s="34"/>
      <c r="G581" s="36">
        <f t="shared" si="2"/>
        <v>51.76666667</v>
      </c>
      <c r="H581" s="37">
        <v>41730.0</v>
      </c>
      <c r="I581" s="36">
        <f t="shared" si="4"/>
        <v>8.2</v>
      </c>
      <c r="J581" s="38">
        <v>78.0</v>
      </c>
      <c r="K581" s="39">
        <v>7.5</v>
      </c>
      <c r="L581" s="38">
        <v>4.0</v>
      </c>
      <c r="M581" s="40" t="s">
        <v>31</v>
      </c>
      <c r="N581" s="41" t="s">
        <v>442</v>
      </c>
      <c r="O581" s="42" t="s">
        <v>149</v>
      </c>
      <c r="P581" s="67" t="s">
        <v>505</v>
      </c>
    </row>
    <row r="582">
      <c r="A582" s="44" t="s">
        <v>679</v>
      </c>
      <c r="B582" s="45" t="s">
        <v>25</v>
      </c>
      <c r="C582" s="46" t="s">
        <v>476</v>
      </c>
      <c r="D582" s="47" t="str">
        <f t="shared" si="1"/>
        <v>Active</v>
      </c>
      <c r="E582" s="48">
        <v>44725.0</v>
      </c>
      <c r="F582" s="49"/>
      <c r="G582" s="50">
        <f t="shared" si="2"/>
        <v>51.76666667</v>
      </c>
      <c r="H582" s="51">
        <v>41671.0</v>
      </c>
      <c r="I582" s="50">
        <f t="shared" si="4"/>
        <v>8.366666667</v>
      </c>
      <c r="J582" s="55">
        <v>80.0</v>
      </c>
      <c r="K582" s="56">
        <v>7.4</v>
      </c>
      <c r="L582" s="55">
        <v>5.0</v>
      </c>
      <c r="M582" s="58" t="s">
        <v>29</v>
      </c>
      <c r="N582" s="59" t="s">
        <v>442</v>
      </c>
      <c r="O582" s="60" t="s">
        <v>149</v>
      </c>
      <c r="P582" s="66" t="s">
        <v>505</v>
      </c>
    </row>
    <row r="583">
      <c r="A583" s="29" t="s">
        <v>680</v>
      </c>
      <c r="B583" s="30" t="s">
        <v>25</v>
      </c>
      <c r="C583" s="31" t="s">
        <v>476</v>
      </c>
      <c r="D583" s="32" t="str">
        <f t="shared" si="1"/>
        <v>Active</v>
      </c>
      <c r="E583" s="33">
        <v>44725.0</v>
      </c>
      <c r="F583" s="34"/>
      <c r="G583" s="36">
        <f t="shared" si="2"/>
        <v>51.76666667</v>
      </c>
      <c r="H583" s="37">
        <v>40817.0</v>
      </c>
      <c r="I583" s="36">
        <f t="shared" si="4"/>
        <v>10.7</v>
      </c>
      <c r="J583" s="38">
        <v>55.0</v>
      </c>
      <c r="K583" s="39">
        <v>8.1</v>
      </c>
      <c r="L583" s="38">
        <v>35.0</v>
      </c>
      <c r="M583" s="40" t="s">
        <v>42</v>
      </c>
      <c r="N583" s="41" t="s">
        <v>442</v>
      </c>
      <c r="O583" s="42" t="s">
        <v>149</v>
      </c>
      <c r="P583" s="67" t="s">
        <v>505</v>
      </c>
    </row>
    <row r="584">
      <c r="A584" s="44" t="s">
        <v>681</v>
      </c>
      <c r="B584" s="45" t="s">
        <v>25</v>
      </c>
      <c r="C584" s="46" t="s">
        <v>476</v>
      </c>
      <c r="D584" s="47" t="str">
        <f t="shared" si="1"/>
        <v>Active</v>
      </c>
      <c r="E584" s="48">
        <v>44725.0</v>
      </c>
      <c r="F584" s="49"/>
      <c r="G584" s="50">
        <f t="shared" si="2"/>
        <v>51.76666667</v>
      </c>
      <c r="H584" s="51">
        <v>40299.0</v>
      </c>
      <c r="I584" s="50">
        <f t="shared" si="4"/>
        <v>12.11666667</v>
      </c>
      <c r="J584" s="55">
        <v>84.0</v>
      </c>
      <c r="K584" s="56">
        <v>8.0</v>
      </c>
      <c r="L584" s="55">
        <v>7.0</v>
      </c>
      <c r="M584" s="58" t="s">
        <v>95</v>
      </c>
      <c r="N584" s="59" t="s">
        <v>442</v>
      </c>
      <c r="O584" s="60" t="s">
        <v>149</v>
      </c>
      <c r="P584" s="66" t="s">
        <v>505</v>
      </c>
    </row>
    <row r="585">
      <c r="A585" s="29" t="s">
        <v>682</v>
      </c>
      <c r="B585" s="30" t="s">
        <v>25</v>
      </c>
      <c r="C585" s="31" t="s">
        <v>476</v>
      </c>
      <c r="D585" s="32" t="str">
        <f t="shared" si="1"/>
        <v>Active</v>
      </c>
      <c r="E585" s="33">
        <v>44725.0</v>
      </c>
      <c r="F585" s="34"/>
      <c r="G585" s="36">
        <f t="shared" si="2"/>
        <v>51.76666667</v>
      </c>
      <c r="H585" s="37">
        <v>40664.0</v>
      </c>
      <c r="I585" s="36">
        <f t="shared" si="4"/>
        <v>11.11666667</v>
      </c>
      <c r="J585" s="38">
        <v>35.0</v>
      </c>
      <c r="K585" s="39">
        <v>5.7</v>
      </c>
      <c r="L585" s="38">
        <v>5.0</v>
      </c>
      <c r="M585" s="40" t="s">
        <v>31</v>
      </c>
      <c r="N585" s="41" t="s">
        <v>442</v>
      </c>
      <c r="O585" s="42" t="s">
        <v>149</v>
      </c>
      <c r="P585" s="67" t="s">
        <v>505</v>
      </c>
    </row>
    <row r="586">
      <c r="A586" s="44" t="s">
        <v>683</v>
      </c>
      <c r="B586" s="45" t="s">
        <v>25</v>
      </c>
      <c r="C586" s="46" t="s">
        <v>476</v>
      </c>
      <c r="D586" s="47" t="str">
        <f t="shared" si="1"/>
        <v>Active</v>
      </c>
      <c r="E586" s="48">
        <v>44725.0</v>
      </c>
      <c r="F586" s="49"/>
      <c r="G586" s="50">
        <f t="shared" si="2"/>
        <v>51.76666667</v>
      </c>
      <c r="H586" s="51">
        <v>42036.0</v>
      </c>
      <c r="I586" s="50">
        <f t="shared" si="4"/>
        <v>7.366666667</v>
      </c>
      <c r="J586" s="55">
        <v>78.0</v>
      </c>
      <c r="K586" s="56">
        <v>7.3</v>
      </c>
      <c r="L586" s="78"/>
      <c r="M586" s="58" t="s">
        <v>51</v>
      </c>
      <c r="N586" s="59" t="s">
        <v>442</v>
      </c>
      <c r="O586" s="60" t="s">
        <v>149</v>
      </c>
      <c r="P586" s="66" t="s">
        <v>505</v>
      </c>
    </row>
    <row r="587">
      <c r="A587" s="29" t="s">
        <v>684</v>
      </c>
      <c r="B587" s="30" t="s">
        <v>25</v>
      </c>
      <c r="C587" s="31" t="s">
        <v>476</v>
      </c>
      <c r="D587" s="32" t="str">
        <f t="shared" si="1"/>
        <v>Active</v>
      </c>
      <c r="E587" s="33">
        <v>44725.0</v>
      </c>
      <c r="F587" s="34"/>
      <c r="G587" s="36">
        <f t="shared" si="2"/>
        <v>51.76666667</v>
      </c>
      <c r="H587" s="37">
        <v>42064.0</v>
      </c>
      <c r="I587" s="36">
        <f t="shared" si="4"/>
        <v>7.283333333</v>
      </c>
      <c r="J587" s="38">
        <v>65.0</v>
      </c>
      <c r="K587" s="39">
        <v>7.4</v>
      </c>
      <c r="L587" s="38">
        <v>30.0</v>
      </c>
      <c r="M587" s="40" t="s">
        <v>42</v>
      </c>
      <c r="N587" s="41" t="s">
        <v>442</v>
      </c>
      <c r="O587" s="42" t="s">
        <v>149</v>
      </c>
      <c r="P587" s="67" t="s">
        <v>505</v>
      </c>
    </row>
    <row r="588">
      <c r="A588" s="44" t="s">
        <v>685</v>
      </c>
      <c r="B588" s="45" t="s">
        <v>25</v>
      </c>
      <c r="C588" s="46" t="s">
        <v>476</v>
      </c>
      <c r="D588" s="47" t="str">
        <f t="shared" si="1"/>
        <v>Active</v>
      </c>
      <c r="E588" s="48">
        <v>44725.0</v>
      </c>
      <c r="F588" s="49"/>
      <c r="G588" s="50">
        <f t="shared" si="2"/>
        <v>51.76666667</v>
      </c>
      <c r="H588" s="51">
        <v>41306.0</v>
      </c>
      <c r="I588" s="50">
        <f t="shared" si="4"/>
        <v>9.366666667</v>
      </c>
      <c r="J588" s="55">
        <v>64.0</v>
      </c>
      <c r="K588" s="56">
        <v>6.4</v>
      </c>
      <c r="L588" s="55">
        <v>3.0</v>
      </c>
      <c r="M588" s="58" t="s">
        <v>95</v>
      </c>
      <c r="N588" s="59" t="s">
        <v>442</v>
      </c>
      <c r="O588" s="60" t="s">
        <v>149</v>
      </c>
      <c r="P588" s="66" t="s">
        <v>505</v>
      </c>
    </row>
    <row r="589">
      <c r="A589" s="29" t="s">
        <v>686</v>
      </c>
      <c r="B589" s="30" t="s">
        <v>25</v>
      </c>
      <c r="C589" s="31" t="s">
        <v>476</v>
      </c>
      <c r="D589" s="32" t="str">
        <f t="shared" si="1"/>
        <v>Active</v>
      </c>
      <c r="E589" s="33">
        <v>44725.0</v>
      </c>
      <c r="F589" s="34"/>
      <c r="G589" s="36">
        <f t="shared" si="2"/>
        <v>51.76666667</v>
      </c>
      <c r="H589" s="37">
        <v>41456.0</v>
      </c>
      <c r="I589" s="36">
        <f t="shared" si="4"/>
        <v>8.95</v>
      </c>
      <c r="J589" s="38">
        <v>87.0</v>
      </c>
      <c r="K589" s="39">
        <v>7.6</v>
      </c>
      <c r="L589" s="38">
        <v>4.0</v>
      </c>
      <c r="M589" s="40" t="s">
        <v>31</v>
      </c>
      <c r="N589" s="41" t="s">
        <v>442</v>
      </c>
      <c r="O589" s="42" t="s">
        <v>149</v>
      </c>
      <c r="P589" s="67" t="s">
        <v>505</v>
      </c>
    </row>
    <row r="590">
      <c r="A590" s="44" t="s">
        <v>687</v>
      </c>
      <c r="B590" s="45" t="s">
        <v>25</v>
      </c>
      <c r="C590" s="46" t="s">
        <v>476</v>
      </c>
      <c r="D590" s="47" t="str">
        <f t="shared" si="1"/>
        <v>Active</v>
      </c>
      <c r="E590" s="48">
        <v>44725.0</v>
      </c>
      <c r="F590" s="49"/>
      <c r="G590" s="50">
        <f t="shared" si="2"/>
        <v>51.76666667</v>
      </c>
      <c r="H590" s="51">
        <v>41122.0</v>
      </c>
      <c r="I590" s="50">
        <f t="shared" si="4"/>
        <v>9.866666667</v>
      </c>
      <c r="J590" s="55">
        <v>58.0</v>
      </c>
      <c r="K590" s="56">
        <v>6.8</v>
      </c>
      <c r="L590" s="55">
        <v>15.0</v>
      </c>
      <c r="M590" s="58" t="s">
        <v>29</v>
      </c>
      <c r="N590" s="59" t="s">
        <v>442</v>
      </c>
      <c r="O590" s="60" t="s">
        <v>149</v>
      </c>
      <c r="P590" s="66" t="s">
        <v>505</v>
      </c>
    </row>
    <row r="591">
      <c r="A591" s="29" t="s">
        <v>688</v>
      </c>
      <c r="B591" s="30" t="s">
        <v>25</v>
      </c>
      <c r="C591" s="31" t="s">
        <v>476</v>
      </c>
      <c r="D591" s="32" t="str">
        <f t="shared" si="1"/>
        <v>Active</v>
      </c>
      <c r="E591" s="33">
        <v>44725.0</v>
      </c>
      <c r="F591" s="34"/>
      <c r="G591" s="36">
        <f t="shared" si="2"/>
        <v>51.76666667</v>
      </c>
      <c r="H591" s="37">
        <v>42095.0</v>
      </c>
      <c r="I591" s="36">
        <f t="shared" si="4"/>
        <v>7.2</v>
      </c>
      <c r="J591" s="38">
        <v>63.0</v>
      </c>
      <c r="K591" s="39">
        <v>7.0</v>
      </c>
      <c r="L591" s="38">
        <v>10.0</v>
      </c>
      <c r="M591" s="40" t="s">
        <v>689</v>
      </c>
      <c r="N591" s="41" t="s">
        <v>442</v>
      </c>
      <c r="O591" s="42" t="s">
        <v>149</v>
      </c>
      <c r="P591" s="67" t="s">
        <v>505</v>
      </c>
    </row>
    <row r="592">
      <c r="A592" s="44" t="s">
        <v>690</v>
      </c>
      <c r="B592" s="45" t="s">
        <v>25</v>
      </c>
      <c r="C592" s="46" t="s">
        <v>26</v>
      </c>
      <c r="D592" s="47" t="str">
        <f t="shared" si="1"/>
        <v>Active</v>
      </c>
      <c r="E592" s="48">
        <v>44656.0</v>
      </c>
      <c r="F592" s="49"/>
      <c r="G592" s="50">
        <f t="shared" si="2"/>
        <v>54.03333333</v>
      </c>
      <c r="H592" s="51">
        <v>44231.0</v>
      </c>
      <c r="I592" s="50">
        <f t="shared" si="4"/>
        <v>1.169444444</v>
      </c>
      <c r="J592" s="55">
        <v>56.0</v>
      </c>
      <c r="K592" s="56">
        <v>5.5</v>
      </c>
      <c r="L592" s="55">
        <v>8.5</v>
      </c>
      <c r="M592" s="58" t="s">
        <v>29</v>
      </c>
      <c r="N592" s="59"/>
      <c r="O592" s="60" t="s">
        <v>272</v>
      </c>
      <c r="P592" s="61"/>
    </row>
    <row r="593">
      <c r="A593" s="29" t="s">
        <v>691</v>
      </c>
      <c r="B593" s="30" t="s">
        <v>45</v>
      </c>
      <c r="C593" s="31" t="s">
        <v>26</v>
      </c>
      <c r="D593" s="32" t="str">
        <f t="shared" si="1"/>
        <v>Active</v>
      </c>
      <c r="E593" s="33">
        <v>44502.0</v>
      </c>
      <c r="F593" s="34"/>
      <c r="G593" s="36">
        <f t="shared" si="2"/>
        <v>59.13333333</v>
      </c>
      <c r="H593" s="37">
        <v>43922.0</v>
      </c>
      <c r="I593" s="36">
        <f t="shared" si="4"/>
        <v>1.586111111</v>
      </c>
      <c r="J593" s="38">
        <v>62.0</v>
      </c>
      <c r="K593" s="39">
        <v>6.0</v>
      </c>
      <c r="L593" s="38">
        <v>4.0</v>
      </c>
      <c r="M593" s="40" t="s">
        <v>27</v>
      </c>
      <c r="N593" s="41"/>
      <c r="O593" s="42" t="s">
        <v>34</v>
      </c>
      <c r="P593" s="43" t="s">
        <v>149</v>
      </c>
    </row>
    <row r="594">
      <c r="A594" s="44" t="s">
        <v>692</v>
      </c>
      <c r="B594" s="45" t="s">
        <v>45</v>
      </c>
      <c r="C594" s="46" t="s">
        <v>26</v>
      </c>
      <c r="D594" s="47" t="str">
        <f t="shared" si="1"/>
        <v>Active</v>
      </c>
      <c r="E594" s="48">
        <v>44474.0</v>
      </c>
      <c r="F594" s="49"/>
      <c r="G594" s="50">
        <f t="shared" si="2"/>
        <v>60.03333333</v>
      </c>
      <c r="H594" s="51">
        <v>43656.0</v>
      </c>
      <c r="I594" s="50">
        <f t="shared" si="4"/>
        <v>2.236111111</v>
      </c>
      <c r="J594" s="55">
        <v>55.0</v>
      </c>
      <c r="K594" s="56">
        <v>6.2</v>
      </c>
      <c r="L594" s="55">
        <v>2.0</v>
      </c>
      <c r="M594" s="58" t="s">
        <v>31</v>
      </c>
      <c r="N594" s="59"/>
      <c r="O594" s="60" t="s">
        <v>149</v>
      </c>
      <c r="P594" s="61" t="s">
        <v>149</v>
      </c>
    </row>
    <row r="595">
      <c r="A595" s="29" t="s">
        <v>693</v>
      </c>
      <c r="B595" s="30" t="s">
        <v>25</v>
      </c>
      <c r="C595" s="31" t="s">
        <v>26</v>
      </c>
      <c r="D595" s="32" t="str">
        <f t="shared" si="1"/>
        <v>Active</v>
      </c>
      <c r="E595" s="33">
        <v>44348.0</v>
      </c>
      <c r="F595" s="34"/>
      <c r="G595" s="36">
        <f t="shared" si="2"/>
        <v>64.16666667</v>
      </c>
      <c r="H595" s="37">
        <v>43511.0</v>
      </c>
      <c r="I595" s="36">
        <f t="shared" si="4"/>
        <v>2.294444444</v>
      </c>
      <c r="J595" s="38">
        <v>55.0</v>
      </c>
      <c r="K595" s="39">
        <v>6.4</v>
      </c>
      <c r="L595" s="38">
        <v>25.0</v>
      </c>
      <c r="M595" s="40" t="s">
        <v>70</v>
      </c>
      <c r="N595" s="41"/>
      <c r="O595" s="42" t="s">
        <v>149</v>
      </c>
      <c r="P595" s="43"/>
    </row>
    <row r="596">
      <c r="A596" s="44" t="s">
        <v>694</v>
      </c>
      <c r="B596" s="45" t="s">
        <v>45</v>
      </c>
      <c r="C596" s="46" t="s">
        <v>26</v>
      </c>
      <c r="D596" s="47" t="str">
        <f t="shared" si="1"/>
        <v>Active</v>
      </c>
      <c r="E596" s="48">
        <v>44320.0</v>
      </c>
      <c r="F596" s="49"/>
      <c r="G596" s="50">
        <f t="shared" si="2"/>
        <v>65.06666667</v>
      </c>
      <c r="H596" s="51">
        <v>42773.0</v>
      </c>
      <c r="I596" s="50">
        <f t="shared" si="4"/>
        <v>4.241666667</v>
      </c>
      <c r="J596" s="55">
        <v>88.0</v>
      </c>
      <c r="K596" s="56">
        <v>8.5</v>
      </c>
      <c r="L596" s="55">
        <v>35.0</v>
      </c>
      <c r="M596" s="58" t="s">
        <v>42</v>
      </c>
      <c r="N596" s="59"/>
      <c r="O596" s="60" t="s">
        <v>149</v>
      </c>
      <c r="P596" s="61"/>
    </row>
    <row r="597">
      <c r="A597" s="29" t="s">
        <v>695</v>
      </c>
      <c r="B597" s="30" t="s">
        <v>45</v>
      </c>
      <c r="C597" s="31" t="s">
        <v>26</v>
      </c>
      <c r="D597" s="32" t="str">
        <f t="shared" si="1"/>
        <v>Active</v>
      </c>
      <c r="E597" s="33">
        <v>44292.0</v>
      </c>
      <c r="F597" s="34"/>
      <c r="G597" s="36">
        <f t="shared" si="2"/>
        <v>66</v>
      </c>
      <c r="H597" s="37">
        <v>41883.0</v>
      </c>
      <c r="I597" s="36">
        <f t="shared" si="4"/>
        <v>6.597222222</v>
      </c>
      <c r="J597" s="38">
        <v>77.0</v>
      </c>
      <c r="K597" s="39">
        <v>7.5</v>
      </c>
      <c r="L597" s="38">
        <v>20.0</v>
      </c>
      <c r="M597" s="40" t="s">
        <v>36</v>
      </c>
      <c r="N597" s="41"/>
      <c r="O597" s="42" t="s">
        <v>149</v>
      </c>
      <c r="P597" s="43"/>
    </row>
    <row r="598">
      <c r="A598" s="44" t="s">
        <v>696</v>
      </c>
      <c r="B598" s="45" t="s">
        <v>45</v>
      </c>
      <c r="C598" s="46" t="s">
        <v>26</v>
      </c>
      <c r="D598" s="47" t="str">
        <f t="shared" si="1"/>
        <v>Active</v>
      </c>
      <c r="E598" s="48">
        <v>44292.0</v>
      </c>
      <c r="F598" s="49"/>
      <c r="G598" s="50">
        <f t="shared" si="2"/>
        <v>66</v>
      </c>
      <c r="H598" s="51">
        <v>43865.0</v>
      </c>
      <c r="I598" s="50">
        <f t="shared" si="4"/>
        <v>1.172222222</v>
      </c>
      <c r="J598" s="55">
        <v>72.0</v>
      </c>
      <c r="K598" s="56">
        <v>7.4</v>
      </c>
      <c r="L598" s="55">
        <v>20.0</v>
      </c>
      <c r="M598" s="58" t="s">
        <v>31</v>
      </c>
      <c r="N598" s="59"/>
      <c r="O598" s="60" t="s">
        <v>149</v>
      </c>
      <c r="P598" s="61"/>
    </row>
    <row r="599">
      <c r="A599" s="29" t="s">
        <v>697</v>
      </c>
      <c r="B599" s="30" t="s">
        <v>33</v>
      </c>
      <c r="C599" s="31" t="s">
        <v>26</v>
      </c>
      <c r="D599" s="32" t="str">
        <f t="shared" si="1"/>
        <v>Active</v>
      </c>
      <c r="E599" s="33">
        <v>44229.0</v>
      </c>
      <c r="F599" s="34"/>
      <c r="G599" s="36">
        <f t="shared" si="2"/>
        <v>68.13333333</v>
      </c>
      <c r="H599" s="37">
        <v>44229.0</v>
      </c>
      <c r="I599" s="36">
        <f t="shared" si="4"/>
        <v>0</v>
      </c>
      <c r="J599" s="38">
        <v>62.0</v>
      </c>
      <c r="K599" s="39">
        <v>4.9</v>
      </c>
      <c r="L599" s="38">
        <v>3.5</v>
      </c>
      <c r="M599" s="40" t="s">
        <v>29</v>
      </c>
      <c r="N599" s="41"/>
      <c r="O599" s="42" t="s">
        <v>272</v>
      </c>
      <c r="P599" s="43"/>
    </row>
    <row r="600">
      <c r="A600" s="44" t="s">
        <v>698</v>
      </c>
      <c r="B600" s="45" t="s">
        <v>384</v>
      </c>
      <c r="C600" s="46" t="s">
        <v>26</v>
      </c>
      <c r="D600" s="47" t="str">
        <f t="shared" si="1"/>
        <v>Active</v>
      </c>
      <c r="E600" s="48">
        <v>44229.0</v>
      </c>
      <c r="F600" s="49"/>
      <c r="G600" s="50">
        <f t="shared" si="2"/>
        <v>68.13333333</v>
      </c>
      <c r="H600" s="51">
        <v>43746.0</v>
      </c>
      <c r="I600" s="50">
        <f t="shared" si="4"/>
        <v>1.316666667</v>
      </c>
      <c r="J600" s="55">
        <v>78.0</v>
      </c>
      <c r="K600" s="56">
        <v>7.9</v>
      </c>
      <c r="L600" s="55">
        <v>5.0</v>
      </c>
      <c r="M600" s="58" t="s">
        <v>29</v>
      </c>
      <c r="N600" s="59"/>
      <c r="O600" s="60" t="s">
        <v>149</v>
      </c>
      <c r="P600" s="61"/>
    </row>
    <row r="601">
      <c r="A601" s="29" t="s">
        <v>699</v>
      </c>
      <c r="B601" s="30" t="s">
        <v>25</v>
      </c>
      <c r="C601" s="31" t="s">
        <v>26</v>
      </c>
      <c r="D601" s="32" t="str">
        <f t="shared" si="1"/>
        <v>Active</v>
      </c>
      <c r="E601" s="33">
        <v>44201.0</v>
      </c>
      <c r="F601" s="34"/>
      <c r="G601" s="36">
        <f t="shared" si="2"/>
        <v>69.03333333</v>
      </c>
      <c r="H601" s="37">
        <v>43355.0</v>
      </c>
      <c r="I601" s="36">
        <f t="shared" si="4"/>
        <v>2.313888889</v>
      </c>
      <c r="J601" s="38">
        <v>69.0</v>
      </c>
      <c r="K601" s="39">
        <v>7.4</v>
      </c>
      <c r="L601" s="38">
        <v>12.0</v>
      </c>
      <c r="M601" s="40" t="s">
        <v>95</v>
      </c>
      <c r="N601" s="41"/>
      <c r="O601" s="42" t="s">
        <v>149</v>
      </c>
      <c r="P601" s="43"/>
    </row>
    <row r="602">
      <c r="A602" s="44" t="s">
        <v>700</v>
      </c>
      <c r="B602" s="45" t="s">
        <v>25</v>
      </c>
      <c r="C602" s="46" t="s">
        <v>26</v>
      </c>
      <c r="D602" s="47" t="str">
        <f t="shared" si="1"/>
        <v>Active</v>
      </c>
      <c r="E602" s="48">
        <v>44201.0</v>
      </c>
      <c r="F602" s="49"/>
      <c r="G602" s="50">
        <f t="shared" si="2"/>
        <v>69.03333333</v>
      </c>
      <c r="H602" s="51">
        <v>43973.0</v>
      </c>
      <c r="I602" s="50">
        <f t="shared" si="4"/>
        <v>0.6194444444</v>
      </c>
      <c r="J602" s="55">
        <v>73.0</v>
      </c>
      <c r="K602" s="56">
        <v>7.3</v>
      </c>
      <c r="L602" s="55">
        <v>8.0</v>
      </c>
      <c r="M602" s="58" t="s">
        <v>42</v>
      </c>
      <c r="N602" s="59"/>
      <c r="O602" s="60" t="s">
        <v>149</v>
      </c>
      <c r="P602" s="61"/>
    </row>
    <row r="603">
      <c r="A603" s="29" t="s">
        <v>701</v>
      </c>
      <c r="B603" s="30" t="s">
        <v>45</v>
      </c>
      <c r="C603" s="31" t="s">
        <v>26</v>
      </c>
      <c r="D603" s="32" t="str">
        <f t="shared" si="1"/>
        <v>Active</v>
      </c>
      <c r="E603" s="33">
        <v>44201.0</v>
      </c>
      <c r="F603" s="34"/>
      <c r="G603" s="36">
        <f t="shared" si="2"/>
        <v>69.03333333</v>
      </c>
      <c r="H603" s="37">
        <v>43174.0</v>
      </c>
      <c r="I603" s="36">
        <f t="shared" si="4"/>
        <v>2.805555556</v>
      </c>
      <c r="J603" s="38">
        <v>75.0</v>
      </c>
      <c r="K603" s="39">
        <v>7.3</v>
      </c>
      <c r="L603" s="38">
        <v>22.0</v>
      </c>
      <c r="M603" s="40" t="s">
        <v>103</v>
      </c>
      <c r="N603" s="41"/>
      <c r="O603" s="42" t="s">
        <v>149</v>
      </c>
      <c r="P603" s="43"/>
    </row>
    <row r="604">
      <c r="A604" s="44" t="s">
        <v>702</v>
      </c>
      <c r="B604" s="45" t="s">
        <v>45</v>
      </c>
      <c r="C604" s="46" t="s">
        <v>26</v>
      </c>
      <c r="D604" s="47" t="str">
        <f t="shared" si="1"/>
        <v>Active</v>
      </c>
      <c r="E604" s="48">
        <v>44166.0</v>
      </c>
      <c r="F604" s="49"/>
      <c r="G604" s="50">
        <f t="shared" si="2"/>
        <v>70.16666667</v>
      </c>
      <c r="H604" s="51">
        <v>43942.0</v>
      </c>
      <c r="I604" s="50">
        <f t="shared" si="4"/>
        <v>0.6111111111</v>
      </c>
      <c r="J604" s="55">
        <v>64.0</v>
      </c>
      <c r="K604" s="56">
        <v>6.3</v>
      </c>
      <c r="L604" s="55">
        <v>23.0</v>
      </c>
      <c r="M604" s="58" t="s">
        <v>36</v>
      </c>
      <c r="N604" s="59"/>
      <c r="O604" s="60" t="s">
        <v>149</v>
      </c>
      <c r="P604" s="61"/>
    </row>
    <row r="605">
      <c r="A605" s="29" t="s">
        <v>703</v>
      </c>
      <c r="B605" s="30" t="s">
        <v>45</v>
      </c>
      <c r="C605" s="31" t="s">
        <v>26</v>
      </c>
      <c r="D605" s="32" t="str">
        <f t="shared" si="1"/>
        <v>Active</v>
      </c>
      <c r="E605" s="33">
        <v>44166.0</v>
      </c>
      <c r="F605" s="34"/>
      <c r="G605" s="36">
        <f t="shared" si="2"/>
        <v>70.16666667</v>
      </c>
      <c r="H605" s="37">
        <v>43732.0</v>
      </c>
      <c r="I605" s="36">
        <f t="shared" si="4"/>
        <v>1.186111111</v>
      </c>
      <c r="J605" s="38">
        <v>77.0</v>
      </c>
      <c r="K605" s="39">
        <v>7.1</v>
      </c>
      <c r="L605" s="38">
        <v>18.0</v>
      </c>
      <c r="M605" s="40" t="s">
        <v>42</v>
      </c>
      <c r="N605" s="41"/>
      <c r="O605" s="42" t="s">
        <v>149</v>
      </c>
      <c r="P605" s="43"/>
    </row>
    <row r="606">
      <c r="A606" s="44" t="s">
        <v>704</v>
      </c>
      <c r="B606" s="45" t="s">
        <v>45</v>
      </c>
      <c r="C606" s="46" t="s">
        <v>26</v>
      </c>
      <c r="D606" s="47" t="str">
        <f t="shared" si="1"/>
        <v>Active</v>
      </c>
      <c r="E606" s="48">
        <v>44147.0</v>
      </c>
      <c r="F606" s="49"/>
      <c r="G606" s="50">
        <f t="shared" si="2"/>
        <v>70.8</v>
      </c>
      <c r="H606" s="51">
        <v>42248.0</v>
      </c>
      <c r="I606" s="50">
        <f t="shared" si="4"/>
        <v>5.197222222</v>
      </c>
      <c r="J606" s="55">
        <v>91.0</v>
      </c>
      <c r="K606" s="56">
        <v>8.9</v>
      </c>
      <c r="L606" s="55">
        <v>33.5</v>
      </c>
      <c r="M606" s="58" t="s">
        <v>42</v>
      </c>
      <c r="N606" s="59"/>
      <c r="O606" s="60" t="s">
        <v>149</v>
      </c>
      <c r="P606" s="61"/>
    </row>
    <row r="607">
      <c r="A607" s="29" t="s">
        <v>705</v>
      </c>
      <c r="B607" s="30" t="s">
        <v>45</v>
      </c>
      <c r="C607" s="31" t="s">
        <v>26</v>
      </c>
      <c r="D607" s="32" t="str">
        <f t="shared" si="1"/>
        <v>Active</v>
      </c>
      <c r="E607" s="33">
        <v>44147.0</v>
      </c>
      <c r="F607" s="34"/>
      <c r="G607" s="36">
        <f t="shared" si="2"/>
        <v>70.8</v>
      </c>
      <c r="H607" s="37">
        <v>43556.0</v>
      </c>
      <c r="I607" s="36">
        <f t="shared" si="4"/>
        <v>1.613888889</v>
      </c>
      <c r="J607" s="38">
        <v>71.0</v>
      </c>
      <c r="K607" s="39">
        <v>8.4</v>
      </c>
      <c r="L607" s="38">
        <v>36.5</v>
      </c>
      <c r="M607" s="40" t="s">
        <v>537</v>
      </c>
      <c r="N607" s="41"/>
      <c r="O607" s="42" t="s">
        <v>149</v>
      </c>
      <c r="P607" s="43"/>
    </row>
    <row r="608">
      <c r="A608" s="44" t="s">
        <v>706</v>
      </c>
      <c r="B608" s="45" t="s">
        <v>45</v>
      </c>
      <c r="C608" s="46" t="s">
        <v>26</v>
      </c>
      <c r="D608" s="47" t="str">
        <f t="shared" si="1"/>
        <v>Active</v>
      </c>
      <c r="E608" s="48">
        <v>44147.0</v>
      </c>
      <c r="F608" s="49"/>
      <c r="G608" s="50">
        <f t="shared" si="2"/>
        <v>70.8</v>
      </c>
      <c r="H608" s="51">
        <v>43221.0</v>
      </c>
      <c r="I608" s="50">
        <f t="shared" si="4"/>
        <v>2.530555556</v>
      </c>
      <c r="J608" s="55">
        <v>80.0</v>
      </c>
      <c r="K608" s="56">
        <v>8.4</v>
      </c>
      <c r="L608" s="55">
        <v>12.0</v>
      </c>
      <c r="M608" s="58" t="s">
        <v>555</v>
      </c>
      <c r="N608" s="59"/>
      <c r="O608" s="60" t="s">
        <v>149</v>
      </c>
      <c r="P608" s="61"/>
    </row>
    <row r="609">
      <c r="A609" s="29" t="s">
        <v>707</v>
      </c>
      <c r="B609" s="30" t="s">
        <v>45</v>
      </c>
      <c r="C609" s="31" t="s">
        <v>26</v>
      </c>
      <c r="D609" s="32" t="str">
        <f t="shared" si="1"/>
        <v>Active</v>
      </c>
      <c r="E609" s="33">
        <v>44147.0</v>
      </c>
      <c r="F609" s="34"/>
      <c r="G609" s="36">
        <f t="shared" si="2"/>
        <v>70.8</v>
      </c>
      <c r="H609" s="37">
        <v>42318.0</v>
      </c>
      <c r="I609" s="36">
        <f t="shared" si="4"/>
        <v>5.005555556</v>
      </c>
      <c r="J609" s="38">
        <v>87.0</v>
      </c>
      <c r="K609" s="39">
        <v>6.5</v>
      </c>
      <c r="L609" s="38">
        <v>27.0</v>
      </c>
      <c r="M609" s="40" t="s">
        <v>42</v>
      </c>
      <c r="N609" s="41"/>
      <c r="O609" s="42" t="s">
        <v>149</v>
      </c>
      <c r="P609" s="43"/>
    </row>
    <row r="610">
      <c r="A610" s="44" t="s">
        <v>708</v>
      </c>
      <c r="B610" s="45" t="s">
        <v>45</v>
      </c>
      <c r="C610" s="46" t="s">
        <v>26</v>
      </c>
      <c r="D610" s="47" t="str">
        <f t="shared" si="1"/>
        <v>Active</v>
      </c>
      <c r="E610" s="48">
        <v>44138.0</v>
      </c>
      <c r="F610" s="49"/>
      <c r="G610" s="50">
        <f t="shared" si="2"/>
        <v>71.1</v>
      </c>
      <c r="H610" s="51">
        <v>42790.0</v>
      </c>
      <c r="I610" s="50">
        <f t="shared" si="4"/>
        <v>3.691666667</v>
      </c>
      <c r="J610" s="55">
        <v>91.0</v>
      </c>
      <c r="K610" s="56">
        <v>8.7</v>
      </c>
      <c r="L610" s="55">
        <v>26.5</v>
      </c>
      <c r="M610" s="58" t="s">
        <v>27</v>
      </c>
      <c r="N610" s="59"/>
      <c r="O610" s="60" t="s">
        <v>149</v>
      </c>
      <c r="P610" s="61"/>
    </row>
    <row r="611">
      <c r="A611" s="29" t="s">
        <v>709</v>
      </c>
      <c r="B611" s="30" t="s">
        <v>45</v>
      </c>
      <c r="C611" s="31" t="s">
        <v>26</v>
      </c>
      <c r="D611" s="32" t="str">
        <f t="shared" si="1"/>
        <v>Active</v>
      </c>
      <c r="E611" s="33">
        <v>44138.0</v>
      </c>
      <c r="F611" s="34"/>
      <c r="G611" s="36">
        <f t="shared" si="2"/>
        <v>71.1</v>
      </c>
      <c r="H611" s="37">
        <v>43167.0</v>
      </c>
      <c r="I611" s="36">
        <f t="shared" si="4"/>
        <v>2.652777778</v>
      </c>
      <c r="J611" s="38">
        <v>79.0</v>
      </c>
      <c r="K611" s="39">
        <v>7.7</v>
      </c>
      <c r="L611" s="38">
        <v>24.0</v>
      </c>
      <c r="M611" s="40" t="s">
        <v>29</v>
      </c>
      <c r="N611" s="41"/>
      <c r="O611" s="42" t="s">
        <v>149</v>
      </c>
      <c r="P611" s="43"/>
    </row>
    <row r="612">
      <c r="A612" s="44" t="s">
        <v>710</v>
      </c>
      <c r="B612" s="45" t="s">
        <v>45</v>
      </c>
      <c r="C612" s="46" t="s">
        <v>26</v>
      </c>
      <c r="D612" s="47" t="str">
        <f t="shared" si="1"/>
        <v>Active</v>
      </c>
      <c r="E612" s="48">
        <v>44110.0</v>
      </c>
      <c r="F612" s="49"/>
      <c r="G612" s="50">
        <f t="shared" si="2"/>
        <v>72</v>
      </c>
      <c r="H612" s="51">
        <v>43746.0</v>
      </c>
      <c r="I612" s="50">
        <f t="shared" si="4"/>
        <v>0.9944444444</v>
      </c>
      <c r="J612" s="55">
        <v>81.0</v>
      </c>
      <c r="K612" s="56">
        <v>7.7</v>
      </c>
      <c r="L612" s="55">
        <v>10.0</v>
      </c>
      <c r="M612" s="58" t="s">
        <v>27</v>
      </c>
      <c r="N612" s="59"/>
      <c r="O612" s="60" t="s">
        <v>149</v>
      </c>
      <c r="P612" s="61" t="s">
        <v>149</v>
      </c>
    </row>
    <row r="613">
      <c r="A613" s="29" t="s">
        <v>711</v>
      </c>
      <c r="B613" s="30" t="s">
        <v>45</v>
      </c>
      <c r="C613" s="31" t="s">
        <v>26</v>
      </c>
      <c r="D613" s="32" t="str">
        <f t="shared" si="1"/>
        <v>Active</v>
      </c>
      <c r="E613" s="33">
        <v>44047.0</v>
      </c>
      <c r="F613" s="34"/>
      <c r="G613" s="36">
        <f t="shared" si="2"/>
        <v>74.06666667</v>
      </c>
      <c r="H613" s="37">
        <v>43862.0</v>
      </c>
      <c r="I613" s="36">
        <f t="shared" si="4"/>
        <v>0.5083333333</v>
      </c>
      <c r="J613" s="38">
        <v>70.0</v>
      </c>
      <c r="K613" s="39">
        <v>6.2</v>
      </c>
      <c r="L613" s="38">
        <v>20.0</v>
      </c>
      <c r="M613" s="40" t="s">
        <v>125</v>
      </c>
      <c r="N613" s="41"/>
      <c r="O613" s="42" t="s">
        <v>149</v>
      </c>
      <c r="P613" s="43" t="s">
        <v>149</v>
      </c>
    </row>
    <row r="614">
      <c r="A614" s="44" t="s">
        <v>712</v>
      </c>
      <c r="B614" s="45" t="s">
        <v>25</v>
      </c>
      <c r="C614" s="46" t="s">
        <v>26</v>
      </c>
      <c r="D614" s="47" t="str">
        <f t="shared" si="1"/>
        <v>Active</v>
      </c>
      <c r="E614" s="48">
        <v>44047.0</v>
      </c>
      <c r="F614" s="49"/>
      <c r="G614" s="50">
        <f t="shared" si="2"/>
        <v>74.06666667</v>
      </c>
      <c r="H614" s="51">
        <v>42865.0</v>
      </c>
      <c r="I614" s="50">
        <f t="shared" si="4"/>
        <v>3.233333333</v>
      </c>
      <c r="J614" s="55">
        <v>89.0</v>
      </c>
      <c r="K614" s="56">
        <v>8.5</v>
      </c>
      <c r="L614" s="55">
        <v>14.0</v>
      </c>
      <c r="M614" s="58" t="s">
        <v>27</v>
      </c>
      <c r="N614" s="59"/>
      <c r="O614" s="60" t="s">
        <v>149</v>
      </c>
      <c r="P614" s="61"/>
    </row>
    <row r="615">
      <c r="A615" s="29" t="s">
        <v>713</v>
      </c>
      <c r="B615" s="30" t="s">
        <v>45</v>
      </c>
      <c r="C615" s="31" t="s">
        <v>26</v>
      </c>
      <c r="D615" s="32" t="str">
        <f t="shared" si="1"/>
        <v>Active</v>
      </c>
      <c r="E615" s="33">
        <v>44047.0</v>
      </c>
      <c r="F615" s="34"/>
      <c r="G615" s="36">
        <f t="shared" si="2"/>
        <v>74.06666667</v>
      </c>
      <c r="H615" s="37">
        <v>43550.0</v>
      </c>
      <c r="I615" s="36">
        <f t="shared" si="4"/>
        <v>1.355555556</v>
      </c>
      <c r="J615" s="38">
        <v>61.0</v>
      </c>
      <c r="K615" s="39">
        <v>7.2</v>
      </c>
      <c r="L615" s="38">
        <v>3.0</v>
      </c>
      <c r="M615" s="40" t="s">
        <v>114</v>
      </c>
      <c r="N615" s="41"/>
      <c r="O615" s="42" t="s">
        <v>149</v>
      </c>
      <c r="P615" s="43" t="s">
        <v>149</v>
      </c>
    </row>
    <row r="616">
      <c r="A616" s="44" t="s">
        <v>714</v>
      </c>
      <c r="B616" s="45" t="s">
        <v>45</v>
      </c>
      <c r="C616" s="46" t="s">
        <v>26</v>
      </c>
      <c r="D616" s="47" t="str">
        <f t="shared" si="1"/>
        <v>Active</v>
      </c>
      <c r="E616" s="48">
        <v>43928.0</v>
      </c>
      <c r="F616" s="49"/>
      <c r="G616" s="50">
        <f t="shared" si="2"/>
        <v>77.96666667</v>
      </c>
      <c r="H616" s="51">
        <v>42500.0</v>
      </c>
      <c r="I616" s="50">
        <f t="shared" si="4"/>
        <v>3.908333333</v>
      </c>
      <c r="J616" s="55">
        <v>93.0</v>
      </c>
      <c r="K616" s="56">
        <v>8.5</v>
      </c>
      <c r="L616" s="55">
        <v>15.0</v>
      </c>
      <c r="M616" s="58" t="s">
        <v>29</v>
      </c>
      <c r="N616" s="59"/>
      <c r="O616" s="60" t="s">
        <v>149</v>
      </c>
      <c r="P616" s="61"/>
    </row>
    <row r="617">
      <c r="A617" s="29" t="s">
        <v>715</v>
      </c>
      <c r="B617" s="30" t="s">
        <v>45</v>
      </c>
      <c r="C617" s="31" t="s">
        <v>26</v>
      </c>
      <c r="D617" s="32" t="str">
        <f t="shared" si="1"/>
        <v>Active</v>
      </c>
      <c r="E617" s="33">
        <v>43928.0</v>
      </c>
      <c r="F617" s="34"/>
      <c r="G617" s="36">
        <f t="shared" si="2"/>
        <v>77.96666667</v>
      </c>
      <c r="H617" s="37">
        <v>42969.0</v>
      </c>
      <c r="I617" s="36">
        <f t="shared" si="4"/>
        <v>2.625</v>
      </c>
      <c r="J617" s="38">
        <v>84.0</v>
      </c>
      <c r="K617" s="39">
        <v>7.8</v>
      </c>
      <c r="L617" s="38">
        <v>8.0</v>
      </c>
      <c r="M617" s="40" t="s">
        <v>29</v>
      </c>
      <c r="N617" s="41"/>
      <c r="O617" s="42" t="s">
        <v>34</v>
      </c>
      <c r="P617" s="43"/>
    </row>
    <row r="618">
      <c r="A618" s="44" t="s">
        <v>716</v>
      </c>
      <c r="B618" s="45" t="s">
        <v>45</v>
      </c>
      <c r="C618" s="46" t="s">
        <v>26</v>
      </c>
      <c r="D618" s="47" t="str">
        <f t="shared" si="1"/>
        <v>Active</v>
      </c>
      <c r="E618" s="48">
        <v>43865.0</v>
      </c>
      <c r="F618" s="49"/>
      <c r="G618" s="50">
        <f t="shared" si="2"/>
        <v>80.06666667</v>
      </c>
      <c r="H618" s="51">
        <v>42073.0</v>
      </c>
      <c r="I618" s="50">
        <f t="shared" si="4"/>
        <v>4.9</v>
      </c>
      <c r="J618" s="55">
        <v>83.0</v>
      </c>
      <c r="K618" s="56">
        <v>8.6</v>
      </c>
      <c r="L618" s="55">
        <v>27.0</v>
      </c>
      <c r="M618" s="58" t="s">
        <v>70</v>
      </c>
      <c r="N618" s="59"/>
      <c r="O618" s="60" t="s">
        <v>149</v>
      </c>
      <c r="P618" s="61"/>
    </row>
    <row r="619">
      <c r="A619" s="29" t="s">
        <v>717</v>
      </c>
      <c r="B619" s="30" t="s">
        <v>45</v>
      </c>
      <c r="C619" s="31" t="s">
        <v>26</v>
      </c>
      <c r="D619" s="32" t="str">
        <f t="shared" si="1"/>
        <v>Active</v>
      </c>
      <c r="E619" s="33">
        <v>43711.0</v>
      </c>
      <c r="F619" s="34"/>
      <c r="G619" s="36">
        <f t="shared" si="2"/>
        <v>85.1</v>
      </c>
      <c r="H619" s="37">
        <v>42871.0</v>
      </c>
      <c r="I619" s="36">
        <f t="shared" si="4"/>
        <v>2.297222222</v>
      </c>
      <c r="J619" s="38">
        <v>73.0</v>
      </c>
      <c r="K619" s="39">
        <v>7.2</v>
      </c>
      <c r="L619" s="38">
        <v>19.0</v>
      </c>
      <c r="M619" s="40" t="s">
        <v>42</v>
      </c>
      <c r="N619" s="41"/>
      <c r="O619" s="42" t="s">
        <v>149</v>
      </c>
      <c r="P619" s="43"/>
    </row>
    <row r="620">
      <c r="A620" s="44" t="s">
        <v>718</v>
      </c>
      <c r="B620" s="45" t="s">
        <v>45</v>
      </c>
      <c r="C620" s="46" t="s">
        <v>26</v>
      </c>
      <c r="D620" s="47" t="str">
        <f t="shared" si="1"/>
        <v>Active</v>
      </c>
      <c r="E620" s="48">
        <v>43711.0</v>
      </c>
      <c r="F620" s="49"/>
      <c r="G620" s="50">
        <f t="shared" si="2"/>
        <v>85.1</v>
      </c>
      <c r="H620" s="51">
        <v>43256.0</v>
      </c>
      <c r="I620" s="50">
        <f t="shared" si="4"/>
        <v>1.244444444</v>
      </c>
      <c r="J620" s="55">
        <v>70.0</v>
      </c>
      <c r="K620" s="56">
        <v>7.1</v>
      </c>
      <c r="L620" s="55">
        <v>17.0</v>
      </c>
      <c r="M620" s="58" t="s">
        <v>42</v>
      </c>
      <c r="N620" s="59"/>
      <c r="O620" s="60" t="s">
        <v>149</v>
      </c>
      <c r="P620" s="61"/>
    </row>
    <row r="621">
      <c r="A621" s="29" t="s">
        <v>719</v>
      </c>
      <c r="B621" s="30" t="s">
        <v>45</v>
      </c>
      <c r="C621" s="31" t="s">
        <v>26</v>
      </c>
      <c r="D621" s="32" t="str">
        <f t="shared" si="1"/>
        <v>Active</v>
      </c>
      <c r="E621" s="33">
        <v>43683.0</v>
      </c>
      <c r="F621" s="34"/>
      <c r="G621" s="36">
        <f t="shared" si="2"/>
        <v>86</v>
      </c>
      <c r="H621" s="37">
        <v>41779.0</v>
      </c>
      <c r="I621" s="36">
        <f t="shared" si="4"/>
        <v>5.211111111</v>
      </c>
      <c r="J621" s="38">
        <v>79.0</v>
      </c>
      <c r="K621" s="39">
        <v>8.3</v>
      </c>
      <c r="L621" s="38">
        <v>11.0</v>
      </c>
      <c r="M621" s="40" t="s">
        <v>31</v>
      </c>
      <c r="N621" s="41"/>
      <c r="O621" s="42" t="s">
        <v>149</v>
      </c>
      <c r="P621" s="43"/>
    </row>
    <row r="622">
      <c r="A622" s="44" t="s">
        <v>720</v>
      </c>
      <c r="B622" s="45" t="s">
        <v>45</v>
      </c>
      <c r="C622" s="46" t="s">
        <v>46</v>
      </c>
      <c r="D622" s="47" t="str">
        <f t="shared" si="1"/>
        <v>Active</v>
      </c>
      <c r="E622" s="48">
        <v>43683.0</v>
      </c>
      <c r="F622" s="49"/>
      <c r="G622" s="50">
        <f t="shared" si="2"/>
        <v>86</v>
      </c>
      <c r="H622" s="51">
        <v>43160.0</v>
      </c>
      <c r="I622" s="50">
        <f t="shared" si="4"/>
        <v>1.430555556</v>
      </c>
      <c r="J622" s="55">
        <v>72.0</v>
      </c>
      <c r="K622" s="56">
        <v>7.3</v>
      </c>
      <c r="L622" s="55">
        <v>10.0</v>
      </c>
      <c r="M622" s="58" t="s">
        <v>91</v>
      </c>
      <c r="N622" s="59" t="s">
        <v>442</v>
      </c>
      <c r="O622" s="60" t="s">
        <v>149</v>
      </c>
      <c r="P622" s="66"/>
    </row>
    <row r="623">
      <c r="A623" s="29" t="s">
        <v>721</v>
      </c>
      <c r="B623" s="30" t="s">
        <v>384</v>
      </c>
      <c r="C623" s="31" t="s">
        <v>46</v>
      </c>
      <c r="D623" s="32" t="str">
        <f t="shared" si="1"/>
        <v>Active</v>
      </c>
      <c r="E623" s="33">
        <v>43683.0</v>
      </c>
      <c r="F623" s="34"/>
      <c r="G623" s="36">
        <f t="shared" si="2"/>
        <v>86</v>
      </c>
      <c r="H623" s="37">
        <v>41365.0</v>
      </c>
      <c r="I623" s="36">
        <f t="shared" si="4"/>
        <v>6.347222222</v>
      </c>
      <c r="J623" s="38">
        <v>85.0</v>
      </c>
      <c r="K623" s="39">
        <v>8.2</v>
      </c>
      <c r="L623" s="38">
        <v>8.0</v>
      </c>
      <c r="M623" s="40" t="s">
        <v>95</v>
      </c>
      <c r="N623" s="41" t="s">
        <v>442</v>
      </c>
      <c r="O623" s="42" t="s">
        <v>34</v>
      </c>
      <c r="P623" s="67" t="s">
        <v>149</v>
      </c>
    </row>
    <row r="624">
      <c r="A624" s="44" t="s">
        <v>722</v>
      </c>
      <c r="B624" s="45" t="s">
        <v>25</v>
      </c>
      <c r="C624" s="46" t="s">
        <v>476</v>
      </c>
      <c r="D624" s="47" t="str">
        <f t="shared" si="1"/>
        <v>Active</v>
      </c>
      <c r="E624" s="48">
        <v>43683.0</v>
      </c>
      <c r="F624" s="49"/>
      <c r="G624" s="50">
        <f t="shared" si="2"/>
        <v>86</v>
      </c>
      <c r="H624" s="51">
        <v>41548.0</v>
      </c>
      <c r="I624" s="50">
        <f t="shared" si="4"/>
        <v>5.847222222</v>
      </c>
      <c r="J624" s="55">
        <v>70.0</v>
      </c>
      <c r="K624" s="56">
        <v>7.2</v>
      </c>
      <c r="L624" s="55">
        <v>10.0</v>
      </c>
      <c r="M624" s="58" t="s">
        <v>29</v>
      </c>
      <c r="N624" s="59" t="s">
        <v>442</v>
      </c>
      <c r="O624" s="60" t="s">
        <v>149</v>
      </c>
      <c r="P624" s="66" t="s">
        <v>505</v>
      </c>
    </row>
    <row r="625">
      <c r="A625" s="29" t="s">
        <v>723</v>
      </c>
      <c r="B625" s="30" t="s">
        <v>25</v>
      </c>
      <c r="C625" s="31" t="s">
        <v>476</v>
      </c>
      <c r="D625" s="32" t="str">
        <f t="shared" si="1"/>
        <v>Active</v>
      </c>
      <c r="E625" s="33">
        <v>43683.0</v>
      </c>
      <c r="F625" s="34"/>
      <c r="G625" s="36">
        <f t="shared" si="2"/>
        <v>86</v>
      </c>
      <c r="H625" s="37">
        <v>41699.0</v>
      </c>
      <c r="I625" s="36">
        <f t="shared" si="4"/>
        <v>5.430555556</v>
      </c>
      <c r="J625" s="38">
        <v>63.0</v>
      </c>
      <c r="K625" s="39">
        <v>6.4</v>
      </c>
      <c r="L625" s="38">
        <v>16.0</v>
      </c>
      <c r="M625" s="40" t="s">
        <v>29</v>
      </c>
      <c r="N625" s="41" t="s">
        <v>442</v>
      </c>
      <c r="O625" s="42" t="s">
        <v>149</v>
      </c>
      <c r="P625" s="67" t="s">
        <v>505</v>
      </c>
    </row>
    <row r="626">
      <c r="A626" s="44" t="s">
        <v>724</v>
      </c>
      <c r="B626" s="45" t="s">
        <v>25</v>
      </c>
      <c r="C626" s="46" t="s">
        <v>26</v>
      </c>
      <c r="D626" s="47" t="str">
        <f t="shared" si="1"/>
        <v>Active</v>
      </c>
      <c r="E626" s="48">
        <v>43648.0</v>
      </c>
      <c r="F626" s="80"/>
      <c r="G626" s="50">
        <f t="shared" si="2"/>
        <v>87.13333333</v>
      </c>
      <c r="H626" s="51">
        <v>42608.0</v>
      </c>
      <c r="I626" s="50">
        <f t="shared" si="4"/>
        <v>2.85</v>
      </c>
      <c r="J626" s="55">
        <v>69.0</v>
      </c>
      <c r="K626" s="56">
        <v>8.3</v>
      </c>
      <c r="L626" s="55">
        <v>4.0</v>
      </c>
      <c r="M626" s="58" t="s">
        <v>725</v>
      </c>
      <c r="N626" s="59"/>
      <c r="O626" s="60" t="s">
        <v>34</v>
      </c>
      <c r="P626" s="61"/>
    </row>
    <row r="627">
      <c r="A627" s="29" t="s">
        <v>726</v>
      </c>
      <c r="B627" s="30" t="s">
        <v>45</v>
      </c>
      <c r="C627" s="31" t="s">
        <v>26</v>
      </c>
      <c r="D627" s="32" t="str">
        <f t="shared" si="1"/>
        <v>Active</v>
      </c>
      <c r="E627" s="33">
        <v>43620.0</v>
      </c>
      <c r="F627" s="34"/>
      <c r="G627" s="36">
        <f t="shared" si="2"/>
        <v>88.06666667</v>
      </c>
      <c r="H627" s="37">
        <v>41865.0</v>
      </c>
      <c r="I627" s="36">
        <f t="shared" si="4"/>
        <v>4.805555556</v>
      </c>
      <c r="J627" s="38">
        <v>71.0</v>
      </c>
      <c r="K627" s="39">
        <v>6.6</v>
      </c>
      <c r="L627" s="38">
        <v>5.0</v>
      </c>
      <c r="M627" s="40" t="s">
        <v>70</v>
      </c>
      <c r="N627" s="41"/>
      <c r="O627" s="42" t="s">
        <v>149</v>
      </c>
      <c r="P627" s="43" t="s">
        <v>149</v>
      </c>
    </row>
    <row r="628">
      <c r="A628" s="44" t="s">
        <v>727</v>
      </c>
      <c r="B628" s="45" t="s">
        <v>45</v>
      </c>
      <c r="C628" s="46" t="s">
        <v>26</v>
      </c>
      <c r="D628" s="47" t="str">
        <f t="shared" si="1"/>
        <v>Active</v>
      </c>
      <c r="E628" s="48">
        <v>43592.0</v>
      </c>
      <c r="F628" s="49"/>
      <c r="G628" s="50">
        <f t="shared" si="2"/>
        <v>88.96666667</v>
      </c>
      <c r="H628" s="51">
        <v>43313.0</v>
      </c>
      <c r="I628" s="50">
        <f t="shared" si="4"/>
        <v>0.7666666667</v>
      </c>
      <c r="J628" s="55">
        <v>64.0</v>
      </c>
      <c r="K628" s="56">
        <v>5.5</v>
      </c>
      <c r="L628" s="55">
        <v>1.5</v>
      </c>
      <c r="M628" s="58" t="s">
        <v>114</v>
      </c>
      <c r="N628" s="59"/>
      <c r="O628" s="60" t="s">
        <v>149</v>
      </c>
      <c r="P628" s="61" t="s">
        <v>149</v>
      </c>
    </row>
    <row r="629">
      <c r="A629" s="29" t="s">
        <v>728</v>
      </c>
      <c r="B629" s="30" t="s">
        <v>25</v>
      </c>
      <c r="C629" s="31" t="s">
        <v>476</v>
      </c>
      <c r="D629" s="32" t="str">
        <f t="shared" si="1"/>
        <v>Active</v>
      </c>
      <c r="E629" s="33">
        <v>43529.0</v>
      </c>
      <c r="F629" s="34"/>
      <c r="G629" s="36">
        <f t="shared" si="2"/>
        <v>91.03333333</v>
      </c>
      <c r="H629" s="37">
        <v>41244.0</v>
      </c>
      <c r="I629" s="36">
        <f t="shared" si="4"/>
        <v>6.261111111</v>
      </c>
      <c r="J629" s="38">
        <v>66.0</v>
      </c>
      <c r="K629" s="39">
        <v>6.8</v>
      </c>
      <c r="L629" s="38">
        <v>3.0</v>
      </c>
      <c r="M629" s="40" t="s">
        <v>27</v>
      </c>
      <c r="N629" s="41" t="s">
        <v>442</v>
      </c>
      <c r="O629" s="42" t="s">
        <v>149</v>
      </c>
      <c r="P629" s="67" t="s">
        <v>505</v>
      </c>
    </row>
    <row r="630">
      <c r="A630" s="44" t="s">
        <v>729</v>
      </c>
      <c r="B630" s="45" t="s">
        <v>45</v>
      </c>
      <c r="C630" s="46" t="s">
        <v>26</v>
      </c>
      <c r="D630" s="47" t="str">
        <f t="shared" si="1"/>
        <v>Active</v>
      </c>
      <c r="E630" s="48">
        <v>43503.0</v>
      </c>
      <c r="F630" s="49"/>
      <c r="G630" s="50">
        <f t="shared" si="2"/>
        <v>91.96666667</v>
      </c>
      <c r="H630" s="51">
        <v>42290.0</v>
      </c>
      <c r="I630" s="50">
        <f t="shared" si="4"/>
        <v>3.316666667</v>
      </c>
      <c r="J630" s="55">
        <v>76.0</v>
      </c>
      <c r="K630" s="56">
        <v>7.4</v>
      </c>
      <c r="L630" s="55">
        <v>20.0</v>
      </c>
      <c r="M630" s="58" t="s">
        <v>42</v>
      </c>
      <c r="N630" s="59"/>
      <c r="O630" s="60" t="s">
        <v>149</v>
      </c>
      <c r="P630" s="61"/>
    </row>
    <row r="631">
      <c r="A631" s="29" t="s">
        <v>730</v>
      </c>
      <c r="B631" s="30" t="s">
        <v>45</v>
      </c>
      <c r="C631" s="31" t="s">
        <v>26</v>
      </c>
      <c r="D631" s="32" t="str">
        <f t="shared" si="1"/>
        <v>Active</v>
      </c>
      <c r="E631" s="33">
        <v>43473.0</v>
      </c>
      <c r="F631" s="34"/>
      <c r="G631" s="36">
        <f t="shared" si="2"/>
        <v>92.93333333</v>
      </c>
      <c r="H631" s="37">
        <v>42856.0</v>
      </c>
      <c r="I631" s="36">
        <f t="shared" si="4"/>
        <v>1.686111111</v>
      </c>
      <c r="J631" s="38">
        <v>50.0</v>
      </c>
      <c r="K631" s="39">
        <v>7.7</v>
      </c>
      <c r="L631" s="38">
        <v>12.0</v>
      </c>
      <c r="M631" s="40" t="s">
        <v>103</v>
      </c>
      <c r="N631" s="41"/>
      <c r="O631" s="42" t="s">
        <v>149</v>
      </c>
      <c r="P631" s="43" t="s">
        <v>149</v>
      </c>
    </row>
    <row r="632">
      <c r="A632" s="44" t="s">
        <v>731</v>
      </c>
      <c r="B632" s="45" t="s">
        <v>45</v>
      </c>
      <c r="C632" s="46" t="s">
        <v>26</v>
      </c>
      <c r="D632" s="47" t="str">
        <f t="shared" si="1"/>
        <v>Active</v>
      </c>
      <c r="E632" s="48">
        <v>43438.0</v>
      </c>
      <c r="F632" s="49"/>
      <c r="G632" s="50">
        <f t="shared" si="2"/>
        <v>94.06666667</v>
      </c>
      <c r="H632" s="51">
        <v>43009.0</v>
      </c>
      <c r="I632" s="50">
        <f t="shared" si="4"/>
        <v>1.175</v>
      </c>
      <c r="J632" s="55">
        <v>39.0</v>
      </c>
      <c r="K632" s="56">
        <v>5.5</v>
      </c>
      <c r="L632" s="55">
        <v>1.5</v>
      </c>
      <c r="M632" s="58" t="s">
        <v>29</v>
      </c>
      <c r="N632" s="59"/>
      <c r="O632" s="60" t="s">
        <v>149</v>
      </c>
      <c r="P632" s="61"/>
    </row>
    <row r="633">
      <c r="A633" s="29" t="s">
        <v>732</v>
      </c>
      <c r="B633" s="30" t="s">
        <v>45</v>
      </c>
      <c r="C633" s="31" t="s">
        <v>26</v>
      </c>
      <c r="D633" s="32" t="str">
        <f t="shared" si="1"/>
        <v>Active</v>
      </c>
      <c r="E633" s="33">
        <v>43438.0</v>
      </c>
      <c r="F633" s="34"/>
      <c r="G633" s="36">
        <f t="shared" si="2"/>
        <v>94.06666667</v>
      </c>
      <c r="H633" s="37">
        <v>42278.0</v>
      </c>
      <c r="I633" s="36">
        <f t="shared" si="4"/>
        <v>3.175</v>
      </c>
      <c r="J633" s="38">
        <v>78.0</v>
      </c>
      <c r="K633" s="39">
        <v>7.5</v>
      </c>
      <c r="L633" s="38">
        <v>9.5</v>
      </c>
      <c r="M633" s="40" t="s">
        <v>27</v>
      </c>
      <c r="N633" s="41"/>
      <c r="O633" s="42" t="s">
        <v>149</v>
      </c>
      <c r="P633" s="43"/>
    </row>
    <row r="634">
      <c r="A634" s="44" t="s">
        <v>733</v>
      </c>
      <c r="B634" s="45" t="s">
        <v>45</v>
      </c>
      <c r="C634" s="46" t="s">
        <v>26</v>
      </c>
      <c r="D634" s="47" t="str">
        <f t="shared" si="1"/>
        <v>Active</v>
      </c>
      <c r="E634" s="48">
        <v>43438.0</v>
      </c>
      <c r="F634" s="49"/>
      <c r="G634" s="50">
        <f t="shared" si="2"/>
        <v>94.06666667</v>
      </c>
      <c r="H634" s="51">
        <v>42416.0</v>
      </c>
      <c r="I634" s="50">
        <f t="shared" si="4"/>
        <v>2.8</v>
      </c>
      <c r="J634" s="55">
        <v>57.0</v>
      </c>
      <c r="K634" s="56">
        <v>5.7</v>
      </c>
      <c r="L634" s="55">
        <v>5.0</v>
      </c>
      <c r="M634" s="58" t="s">
        <v>95</v>
      </c>
      <c r="N634" s="59"/>
      <c r="O634" s="60" t="s">
        <v>149</v>
      </c>
      <c r="P634" s="61"/>
    </row>
    <row r="635">
      <c r="A635" s="29" t="s">
        <v>734</v>
      </c>
      <c r="B635" s="30" t="s">
        <v>45</v>
      </c>
      <c r="C635" s="31" t="s">
        <v>207</v>
      </c>
      <c r="D635" s="32" t="str">
        <f t="shared" si="1"/>
        <v>Active</v>
      </c>
      <c r="E635" s="33">
        <v>43438.0</v>
      </c>
      <c r="F635" s="34"/>
      <c r="G635" s="36">
        <f t="shared" si="2"/>
        <v>94.06666667</v>
      </c>
      <c r="H635" s="37">
        <v>42780.0</v>
      </c>
      <c r="I635" s="36">
        <f t="shared" si="4"/>
        <v>1.805555556</v>
      </c>
      <c r="J635" s="38">
        <v>76.0</v>
      </c>
      <c r="K635" s="39">
        <v>7.0</v>
      </c>
      <c r="L635" s="38">
        <v>7.0</v>
      </c>
      <c r="M635" s="40" t="s">
        <v>114</v>
      </c>
      <c r="N635" s="41" t="s">
        <v>735</v>
      </c>
      <c r="O635" s="42" t="s">
        <v>34</v>
      </c>
      <c r="P635" s="43" t="s">
        <v>149</v>
      </c>
    </row>
    <row r="636">
      <c r="A636" s="44" t="s">
        <v>736</v>
      </c>
      <c r="B636" s="45" t="s">
        <v>45</v>
      </c>
      <c r="C636" s="46" t="s">
        <v>41</v>
      </c>
      <c r="D636" s="47" t="str">
        <f t="shared" si="1"/>
        <v>Active</v>
      </c>
      <c r="E636" s="48">
        <v>43438.0</v>
      </c>
      <c r="F636" s="49"/>
      <c r="G636" s="50">
        <f t="shared" si="2"/>
        <v>94.06666667</v>
      </c>
      <c r="H636" s="51">
        <v>36490.0</v>
      </c>
      <c r="I636" s="50">
        <f t="shared" si="4"/>
        <v>19.02222222</v>
      </c>
      <c r="J636" s="55">
        <v>79.0</v>
      </c>
      <c r="K636" s="56">
        <v>8.5</v>
      </c>
      <c r="L636" s="55">
        <v>1.0</v>
      </c>
      <c r="M636" s="58" t="s">
        <v>114</v>
      </c>
      <c r="N636" s="59" t="s">
        <v>43</v>
      </c>
      <c r="O636" s="60" t="s">
        <v>149</v>
      </c>
      <c r="P636" s="66"/>
    </row>
    <row r="637">
      <c r="A637" s="29" t="s">
        <v>737</v>
      </c>
      <c r="B637" s="30" t="s">
        <v>45</v>
      </c>
      <c r="C637" s="31" t="s">
        <v>26</v>
      </c>
      <c r="D637" s="32" t="str">
        <f t="shared" si="1"/>
        <v>Active</v>
      </c>
      <c r="E637" s="33">
        <v>43438.0</v>
      </c>
      <c r="F637" s="34"/>
      <c r="G637" s="36">
        <f t="shared" si="2"/>
        <v>94.06666667</v>
      </c>
      <c r="H637" s="37">
        <v>42614.0</v>
      </c>
      <c r="I637" s="36">
        <f t="shared" si="4"/>
        <v>2.258333333</v>
      </c>
      <c r="J637" s="38">
        <v>67.0</v>
      </c>
      <c r="K637" s="39">
        <v>8.5</v>
      </c>
      <c r="L637" s="38">
        <v>40.0</v>
      </c>
      <c r="M637" s="40" t="s">
        <v>42</v>
      </c>
      <c r="N637" s="41"/>
      <c r="O637" s="42" t="s">
        <v>149</v>
      </c>
      <c r="P637" s="43" t="s">
        <v>149</v>
      </c>
    </row>
    <row r="638">
      <c r="A638" s="44" t="s">
        <v>738</v>
      </c>
      <c r="B638" s="45" t="s">
        <v>45</v>
      </c>
      <c r="C638" s="46" t="s">
        <v>41</v>
      </c>
      <c r="D638" s="47" t="str">
        <f t="shared" si="1"/>
        <v>Active</v>
      </c>
      <c r="E638" s="48">
        <v>43438.0</v>
      </c>
      <c r="F638" s="49"/>
      <c r="G638" s="50">
        <f t="shared" si="2"/>
        <v>94.06666667</v>
      </c>
      <c r="H638" s="51">
        <v>33909.0</v>
      </c>
      <c r="I638" s="50">
        <f t="shared" si="4"/>
        <v>26.09166667</v>
      </c>
      <c r="J638" s="55">
        <v>79.0</v>
      </c>
      <c r="K638" s="56">
        <v>8.1</v>
      </c>
      <c r="L638" s="55">
        <v>6.0</v>
      </c>
      <c r="M638" s="58" t="s">
        <v>31</v>
      </c>
      <c r="N638" s="59" t="s">
        <v>739</v>
      </c>
      <c r="O638" s="60" t="s">
        <v>149</v>
      </c>
      <c r="P638" s="66"/>
    </row>
    <row r="639">
      <c r="A639" s="29" t="s">
        <v>740</v>
      </c>
      <c r="B639" s="30" t="s">
        <v>45</v>
      </c>
      <c r="C639" s="31" t="s">
        <v>26</v>
      </c>
      <c r="D639" s="32" t="str">
        <f t="shared" si="1"/>
        <v>Active</v>
      </c>
      <c r="E639" s="33">
        <v>43411.0</v>
      </c>
      <c r="F639" s="34"/>
      <c r="G639" s="36">
        <f t="shared" si="2"/>
        <v>94.96666667</v>
      </c>
      <c r="H639" s="37">
        <v>43011.0</v>
      </c>
      <c r="I639" s="36">
        <f t="shared" si="4"/>
        <v>1.094444444</v>
      </c>
      <c r="J639" s="38">
        <v>80.0</v>
      </c>
      <c r="K639" s="39">
        <v>7.0</v>
      </c>
      <c r="L639" s="38">
        <v>29.0</v>
      </c>
      <c r="M639" s="40" t="s">
        <v>42</v>
      </c>
      <c r="N639" s="41"/>
      <c r="O639" s="42" t="s">
        <v>149</v>
      </c>
      <c r="P639" s="43"/>
    </row>
    <row r="640">
      <c r="A640" s="44" t="s">
        <v>741</v>
      </c>
      <c r="B640" s="45" t="s">
        <v>45</v>
      </c>
      <c r="C640" s="46" t="s">
        <v>26</v>
      </c>
      <c r="D640" s="47" t="str">
        <f t="shared" si="1"/>
        <v>Active</v>
      </c>
      <c r="E640" s="48">
        <v>43410.0</v>
      </c>
      <c r="F640" s="49"/>
      <c r="G640" s="50">
        <f t="shared" si="2"/>
        <v>95</v>
      </c>
      <c r="H640" s="51">
        <v>42822.0</v>
      </c>
      <c r="I640" s="50">
        <f t="shared" si="4"/>
        <v>1.605555556</v>
      </c>
      <c r="J640" s="55">
        <v>64.0</v>
      </c>
      <c r="K640" s="56">
        <v>6.9</v>
      </c>
      <c r="L640" s="55">
        <v>17.0</v>
      </c>
      <c r="M640" s="58" t="s">
        <v>42</v>
      </c>
      <c r="N640" s="59"/>
      <c r="O640" s="60" t="s">
        <v>149</v>
      </c>
      <c r="P640" s="61" t="s">
        <v>149</v>
      </c>
    </row>
    <row r="641">
      <c r="A641" s="29" t="s">
        <v>300</v>
      </c>
      <c r="B641" s="30" t="s">
        <v>45</v>
      </c>
      <c r="C641" s="31" t="s">
        <v>207</v>
      </c>
      <c r="D641" s="32" t="str">
        <f t="shared" si="1"/>
        <v>Active</v>
      </c>
      <c r="E641" s="33">
        <v>43410.0</v>
      </c>
      <c r="F641" s="34"/>
      <c r="G641" s="36">
        <f t="shared" si="2"/>
        <v>95</v>
      </c>
      <c r="H641" s="37">
        <v>42706.0</v>
      </c>
      <c r="I641" s="36">
        <f t="shared" si="4"/>
        <v>1.927777778</v>
      </c>
      <c r="J641" s="38">
        <v>72.0</v>
      </c>
      <c r="K641" s="39">
        <v>7.0</v>
      </c>
      <c r="L641" s="38">
        <v>12.0</v>
      </c>
      <c r="M641" s="40" t="s">
        <v>125</v>
      </c>
      <c r="N641" s="41"/>
      <c r="O641" s="42" t="s">
        <v>149</v>
      </c>
      <c r="P641" s="43"/>
    </row>
    <row r="642">
      <c r="A642" s="44" t="s">
        <v>742</v>
      </c>
      <c r="B642" s="45" t="s">
        <v>45</v>
      </c>
      <c r="C642" s="46" t="s">
        <v>46</v>
      </c>
      <c r="D642" s="47" t="str">
        <f t="shared" si="1"/>
        <v>Active</v>
      </c>
      <c r="E642" s="48">
        <v>43410.0</v>
      </c>
      <c r="F642" s="49"/>
      <c r="G642" s="50">
        <f t="shared" si="2"/>
        <v>95</v>
      </c>
      <c r="H642" s="51">
        <v>42979.0</v>
      </c>
      <c r="I642" s="50">
        <f t="shared" si="4"/>
        <v>1.180555556</v>
      </c>
      <c r="J642" s="55">
        <v>79.0</v>
      </c>
      <c r="K642" s="56">
        <v>7.4</v>
      </c>
      <c r="L642" s="55">
        <v>6.0</v>
      </c>
      <c r="M642" s="58" t="s">
        <v>27</v>
      </c>
      <c r="N642" s="59" t="s">
        <v>115</v>
      </c>
      <c r="O642" s="60" t="s">
        <v>149</v>
      </c>
      <c r="P642" s="66"/>
    </row>
    <row r="643">
      <c r="A643" s="29" t="s">
        <v>743</v>
      </c>
      <c r="B643" s="30" t="s">
        <v>45</v>
      </c>
      <c r="C643" s="31" t="s">
        <v>26</v>
      </c>
      <c r="D643" s="32" t="str">
        <f t="shared" si="1"/>
        <v>Active</v>
      </c>
      <c r="E643" s="33">
        <v>43378.0</v>
      </c>
      <c r="F643" s="34"/>
      <c r="G643" s="36">
        <f t="shared" si="2"/>
        <v>96.03333333</v>
      </c>
      <c r="H643" s="37">
        <v>42780.0</v>
      </c>
      <c r="I643" s="36">
        <f t="shared" si="4"/>
        <v>1.641666667</v>
      </c>
      <c r="J643" s="38">
        <v>79.0</v>
      </c>
      <c r="K643" s="39">
        <v>7.7</v>
      </c>
      <c r="L643" s="38">
        <v>13.0</v>
      </c>
      <c r="M643" s="40" t="s">
        <v>31</v>
      </c>
      <c r="N643" s="41"/>
      <c r="O643" s="42" t="s">
        <v>149</v>
      </c>
      <c r="P643" s="43" t="s">
        <v>149</v>
      </c>
    </row>
    <row r="644">
      <c r="A644" s="44" t="s">
        <v>744</v>
      </c>
      <c r="B644" s="45" t="s">
        <v>45</v>
      </c>
      <c r="C644" s="46" t="s">
        <v>26</v>
      </c>
      <c r="D644" s="47" t="str">
        <f t="shared" si="1"/>
        <v>Active</v>
      </c>
      <c r="E644" s="48">
        <v>43378.0</v>
      </c>
      <c r="F644" s="49"/>
      <c r="G644" s="50">
        <f t="shared" si="2"/>
        <v>96.03333333</v>
      </c>
      <c r="H644" s="51">
        <v>42164.0</v>
      </c>
      <c r="I644" s="50">
        <f t="shared" si="4"/>
        <v>3.322222222</v>
      </c>
      <c r="J644" s="55">
        <v>74.0</v>
      </c>
      <c r="K644" s="56">
        <v>6.7</v>
      </c>
      <c r="L644" s="78"/>
      <c r="M644" s="58" t="s">
        <v>42</v>
      </c>
      <c r="N644" s="59"/>
      <c r="O644" s="60" t="s">
        <v>149</v>
      </c>
      <c r="P644" s="61"/>
    </row>
    <row r="645">
      <c r="A645" s="29" t="s">
        <v>745</v>
      </c>
      <c r="B645" s="30" t="s">
        <v>25</v>
      </c>
      <c r="C645" s="31" t="s">
        <v>476</v>
      </c>
      <c r="D645" s="32" t="str">
        <f t="shared" si="1"/>
        <v>Active</v>
      </c>
      <c r="E645" s="33">
        <v>43378.0</v>
      </c>
      <c r="F645" s="34"/>
      <c r="G645" s="36">
        <f t="shared" si="2"/>
        <v>96.03333333</v>
      </c>
      <c r="H645" s="37">
        <v>42552.0</v>
      </c>
      <c r="I645" s="36">
        <f t="shared" si="4"/>
        <v>2.261111111</v>
      </c>
      <c r="J645" s="38">
        <v>51.0</v>
      </c>
      <c r="K645" s="39">
        <v>5.3</v>
      </c>
      <c r="L645" s="76"/>
      <c r="M645" s="40" t="s">
        <v>95</v>
      </c>
      <c r="N645" s="41" t="s">
        <v>442</v>
      </c>
      <c r="O645" s="42" t="s">
        <v>149</v>
      </c>
      <c r="P645" s="67" t="s">
        <v>505</v>
      </c>
    </row>
    <row r="646">
      <c r="A646" s="44" t="s">
        <v>746</v>
      </c>
      <c r="B646" s="45" t="s">
        <v>45</v>
      </c>
      <c r="C646" s="46" t="s">
        <v>26</v>
      </c>
      <c r="D646" s="47" t="str">
        <f t="shared" si="1"/>
        <v>Active</v>
      </c>
      <c r="E646" s="48">
        <v>43256.0</v>
      </c>
      <c r="F646" s="49"/>
      <c r="G646" s="50">
        <f t="shared" si="2"/>
        <v>100.0333333</v>
      </c>
      <c r="H646" s="51">
        <v>42405.0</v>
      </c>
      <c r="I646" s="50">
        <f t="shared" si="4"/>
        <v>2.333333333</v>
      </c>
      <c r="J646" s="55">
        <v>88.0</v>
      </c>
      <c r="K646" s="56">
        <v>8.1</v>
      </c>
      <c r="L646" s="55">
        <v>32.0</v>
      </c>
      <c r="M646" s="58" t="s">
        <v>103</v>
      </c>
      <c r="N646" s="59"/>
      <c r="O646" s="60" t="s">
        <v>149</v>
      </c>
      <c r="P646" s="61"/>
    </row>
    <row r="647">
      <c r="A647" s="29" t="s">
        <v>747</v>
      </c>
      <c r="B647" s="30" t="s">
        <v>45</v>
      </c>
      <c r="C647" s="31" t="s">
        <v>207</v>
      </c>
      <c r="D647" s="32" t="str">
        <f t="shared" si="1"/>
        <v>Active</v>
      </c>
      <c r="E647" s="33">
        <v>43256.0</v>
      </c>
      <c r="F647" s="34"/>
      <c r="G647" s="36">
        <f t="shared" si="2"/>
        <v>100.0333333</v>
      </c>
      <c r="H647" s="37">
        <v>41744.0</v>
      </c>
      <c r="I647" s="36">
        <f t="shared" si="4"/>
        <v>4.138888889</v>
      </c>
      <c r="J647" s="38">
        <v>80.0</v>
      </c>
      <c r="K647" s="39">
        <v>7.3</v>
      </c>
      <c r="L647" s="38">
        <v>12.0</v>
      </c>
      <c r="M647" s="40" t="s">
        <v>95</v>
      </c>
      <c r="N647" s="41"/>
      <c r="O647" s="42" t="s">
        <v>149</v>
      </c>
      <c r="P647" s="43" t="s">
        <v>149</v>
      </c>
    </row>
    <row r="648">
      <c r="A648" s="44" t="s">
        <v>748</v>
      </c>
      <c r="B648" s="45" t="s">
        <v>45</v>
      </c>
      <c r="C648" s="46" t="s">
        <v>41</v>
      </c>
      <c r="D648" s="47" t="str">
        <f t="shared" si="1"/>
        <v>Active</v>
      </c>
      <c r="E648" s="48">
        <v>43221.0</v>
      </c>
      <c r="F648" s="49"/>
      <c r="G648" s="50">
        <f t="shared" si="2"/>
        <v>101.1666667</v>
      </c>
      <c r="H648" s="51">
        <v>36032.0</v>
      </c>
      <c r="I648" s="50">
        <f t="shared" si="4"/>
        <v>19.68333333</v>
      </c>
      <c r="J648" s="55">
        <v>76.0</v>
      </c>
      <c r="K648" s="56">
        <v>8.0</v>
      </c>
      <c r="L648" s="78"/>
      <c r="M648" s="58" t="s">
        <v>114</v>
      </c>
      <c r="N648" s="59" t="s">
        <v>217</v>
      </c>
      <c r="O648" s="60" t="s">
        <v>149</v>
      </c>
      <c r="P648" s="66"/>
    </row>
    <row r="649">
      <c r="A649" s="29" t="s">
        <v>749</v>
      </c>
      <c r="B649" s="30" t="s">
        <v>45</v>
      </c>
      <c r="C649" s="31" t="s">
        <v>46</v>
      </c>
      <c r="D649" s="32" t="str">
        <f t="shared" si="1"/>
        <v>Active</v>
      </c>
      <c r="E649" s="33">
        <v>43165.0</v>
      </c>
      <c r="F649" s="34"/>
      <c r="G649" s="36">
        <f t="shared" si="2"/>
        <v>103</v>
      </c>
      <c r="H649" s="37">
        <v>42644.0</v>
      </c>
      <c r="I649" s="36">
        <f t="shared" si="4"/>
        <v>1.430555556</v>
      </c>
      <c r="J649" s="38">
        <v>70.0</v>
      </c>
      <c r="K649" s="39">
        <v>6.8</v>
      </c>
      <c r="L649" s="76"/>
      <c r="M649" s="40" t="s">
        <v>217</v>
      </c>
      <c r="N649" s="41" t="s">
        <v>750</v>
      </c>
      <c r="O649" s="42" t="s">
        <v>149</v>
      </c>
      <c r="P649" s="67"/>
    </row>
    <row r="650">
      <c r="A650" s="44" t="s">
        <v>751</v>
      </c>
      <c r="B650" s="45" t="s">
        <v>45</v>
      </c>
      <c r="C650" s="46" t="s">
        <v>46</v>
      </c>
      <c r="D650" s="47" t="str">
        <f t="shared" si="1"/>
        <v>Active</v>
      </c>
      <c r="E650" s="48">
        <v>43165.0</v>
      </c>
      <c r="F650" s="49"/>
      <c r="G650" s="50">
        <f t="shared" si="2"/>
        <v>103</v>
      </c>
      <c r="H650" s="51">
        <v>42644.0</v>
      </c>
      <c r="I650" s="50">
        <f t="shared" si="4"/>
        <v>1.430555556</v>
      </c>
      <c r="J650" s="55">
        <v>68.0</v>
      </c>
      <c r="K650" s="56">
        <v>7.0</v>
      </c>
      <c r="L650" s="78"/>
      <c r="M650" s="58" t="s">
        <v>217</v>
      </c>
      <c r="N650" s="59" t="s">
        <v>750</v>
      </c>
      <c r="O650" s="60" t="s">
        <v>149</v>
      </c>
      <c r="P650" s="66"/>
    </row>
    <row r="651">
      <c r="A651" s="29" t="s">
        <v>752</v>
      </c>
      <c r="B651" s="30" t="s">
        <v>45</v>
      </c>
      <c r="C651" s="31" t="s">
        <v>26</v>
      </c>
      <c r="D651" s="32" t="str">
        <f t="shared" si="1"/>
        <v>Active</v>
      </c>
      <c r="E651" s="33">
        <v>43109.0</v>
      </c>
      <c r="F651" s="34"/>
      <c r="G651" s="36">
        <f t="shared" si="2"/>
        <v>104.9</v>
      </c>
      <c r="H651" s="37">
        <v>42461.0</v>
      </c>
      <c r="I651" s="36">
        <f t="shared" si="4"/>
        <v>1.772222222</v>
      </c>
      <c r="J651" s="38">
        <v>79.0</v>
      </c>
      <c r="K651" s="39">
        <v>7.7</v>
      </c>
      <c r="L651" s="38">
        <v>8.0</v>
      </c>
      <c r="M651" s="40" t="s">
        <v>31</v>
      </c>
      <c r="N651" s="41"/>
      <c r="O651" s="42" t="s">
        <v>149</v>
      </c>
      <c r="P651" s="43" t="s">
        <v>149</v>
      </c>
    </row>
    <row r="652">
      <c r="A652" s="44" t="s">
        <v>753</v>
      </c>
      <c r="B652" s="45" t="s">
        <v>45</v>
      </c>
      <c r="C652" s="46" t="s">
        <v>26</v>
      </c>
      <c r="D652" s="47" t="str">
        <f t="shared" si="1"/>
        <v>Active</v>
      </c>
      <c r="E652" s="48">
        <v>43109.0</v>
      </c>
      <c r="F652" s="49"/>
      <c r="G652" s="50">
        <f t="shared" si="2"/>
        <v>104.9</v>
      </c>
      <c r="H652" s="51">
        <v>42647.0</v>
      </c>
      <c r="I652" s="50">
        <f t="shared" si="4"/>
        <v>1.263888889</v>
      </c>
      <c r="J652" s="55">
        <v>74.0</v>
      </c>
      <c r="K652" s="56">
        <v>6.6</v>
      </c>
      <c r="L652" s="55">
        <v>7.0</v>
      </c>
      <c r="M652" s="58" t="s">
        <v>29</v>
      </c>
      <c r="N652" s="59"/>
      <c r="O652" s="60" t="s">
        <v>149</v>
      </c>
      <c r="P652" s="61"/>
    </row>
    <row r="653">
      <c r="A653" s="29" t="s">
        <v>754</v>
      </c>
      <c r="B653" s="30" t="s">
        <v>45</v>
      </c>
      <c r="C653" s="31" t="s">
        <v>26</v>
      </c>
      <c r="D653" s="32" t="str">
        <f t="shared" si="1"/>
        <v>Active</v>
      </c>
      <c r="E653" s="33">
        <v>43109.0</v>
      </c>
      <c r="F653" s="34"/>
      <c r="G653" s="36">
        <f t="shared" si="2"/>
        <v>104.9</v>
      </c>
      <c r="H653" s="37">
        <v>42976.0</v>
      </c>
      <c r="I653" s="36">
        <f t="shared" si="4"/>
        <v>0.3611111111</v>
      </c>
      <c r="J653" s="38">
        <v>79.0</v>
      </c>
      <c r="K653" s="39">
        <v>7.8</v>
      </c>
      <c r="L653" s="38">
        <v>16.0</v>
      </c>
      <c r="M653" s="40" t="s">
        <v>125</v>
      </c>
      <c r="N653" s="41"/>
      <c r="O653" s="42" t="s">
        <v>34</v>
      </c>
      <c r="P653" s="43" t="s">
        <v>149</v>
      </c>
    </row>
    <row r="654">
      <c r="A654" s="44" t="s">
        <v>755</v>
      </c>
      <c r="B654" s="45" t="s">
        <v>45</v>
      </c>
      <c r="C654" s="46" t="s">
        <v>26</v>
      </c>
      <c r="D654" s="47" t="str">
        <f t="shared" si="1"/>
        <v>Active</v>
      </c>
      <c r="E654" s="48">
        <v>43109.0</v>
      </c>
      <c r="F654" s="49"/>
      <c r="G654" s="50">
        <f t="shared" si="2"/>
        <v>104.9</v>
      </c>
      <c r="H654" s="51">
        <v>41579.0</v>
      </c>
      <c r="I654" s="50">
        <f t="shared" si="4"/>
        <v>4.188888889</v>
      </c>
      <c r="J654" s="55">
        <v>58.0</v>
      </c>
      <c r="K654" s="56">
        <v>6.8</v>
      </c>
      <c r="L654" s="55">
        <v>10.5</v>
      </c>
      <c r="M654" s="58" t="s">
        <v>27</v>
      </c>
      <c r="N654" s="59"/>
      <c r="O654" s="60" t="s">
        <v>149</v>
      </c>
      <c r="P654" s="61" t="s">
        <v>149</v>
      </c>
    </row>
    <row r="655">
      <c r="A655" s="29" t="s">
        <v>756</v>
      </c>
      <c r="B655" s="30" t="s">
        <v>45</v>
      </c>
      <c r="C655" s="31" t="s">
        <v>46</v>
      </c>
      <c r="D655" s="32" t="str">
        <f t="shared" si="1"/>
        <v>Active</v>
      </c>
      <c r="E655" s="33">
        <v>43109.0</v>
      </c>
      <c r="F655" s="34"/>
      <c r="G655" s="36">
        <f t="shared" si="2"/>
        <v>104.9</v>
      </c>
      <c r="H655" s="37">
        <v>42401.0</v>
      </c>
      <c r="I655" s="36">
        <f t="shared" si="4"/>
        <v>1.938888889</v>
      </c>
      <c r="J655" s="38">
        <v>80.0</v>
      </c>
      <c r="K655" s="39">
        <v>8.1</v>
      </c>
      <c r="L655" s="38">
        <v>20.0</v>
      </c>
      <c r="M655" s="40" t="s">
        <v>29</v>
      </c>
      <c r="N655" s="41" t="s">
        <v>757</v>
      </c>
      <c r="O655" s="42" t="s">
        <v>149</v>
      </c>
      <c r="P655" s="67"/>
    </row>
    <row r="656">
      <c r="A656" s="44" t="s">
        <v>758</v>
      </c>
      <c r="B656" s="45" t="s">
        <v>25</v>
      </c>
      <c r="C656" s="46" t="s">
        <v>476</v>
      </c>
      <c r="D656" s="47" t="str">
        <f t="shared" si="1"/>
        <v>Active</v>
      </c>
      <c r="E656" s="48">
        <v>43074.0</v>
      </c>
      <c r="F656" s="49"/>
      <c r="G656" s="50">
        <f t="shared" si="2"/>
        <v>106.0333333</v>
      </c>
      <c r="H656" s="51">
        <v>39744.0</v>
      </c>
      <c r="I656" s="50">
        <f t="shared" si="4"/>
        <v>9.116666667</v>
      </c>
      <c r="J656" s="55">
        <v>74.0</v>
      </c>
      <c r="K656" s="56">
        <v>7.1</v>
      </c>
      <c r="L656" s="78"/>
      <c r="M656" s="58" t="s">
        <v>598</v>
      </c>
      <c r="N656" s="59" t="s">
        <v>442</v>
      </c>
      <c r="O656" s="60" t="s">
        <v>149</v>
      </c>
      <c r="P656" s="66" t="s">
        <v>505</v>
      </c>
    </row>
    <row r="657">
      <c r="A657" s="29" t="s">
        <v>759</v>
      </c>
      <c r="B657" s="30" t="s">
        <v>45</v>
      </c>
      <c r="C657" s="31" t="s">
        <v>26</v>
      </c>
      <c r="D657" s="32" t="str">
        <f t="shared" si="1"/>
        <v>Active</v>
      </c>
      <c r="E657" s="33">
        <v>43011.0</v>
      </c>
      <c r="F657" s="34"/>
      <c r="G657" s="36">
        <f t="shared" si="2"/>
        <v>108.1</v>
      </c>
      <c r="H657" s="37">
        <v>42430.0</v>
      </c>
      <c r="I657" s="36">
        <f t="shared" si="4"/>
        <v>1.588888889</v>
      </c>
      <c r="J657" s="38">
        <v>62.0</v>
      </c>
      <c r="K657" s="39">
        <v>7.1</v>
      </c>
      <c r="L657" s="38">
        <v>45.0</v>
      </c>
      <c r="M657" s="40" t="s">
        <v>42</v>
      </c>
      <c r="N657" s="41"/>
      <c r="O657" s="42" t="s">
        <v>149</v>
      </c>
      <c r="P657" s="43"/>
    </row>
    <row r="658">
      <c r="A658" s="44" t="s">
        <v>760</v>
      </c>
      <c r="B658" s="45" t="s">
        <v>25</v>
      </c>
      <c r="C658" s="46" t="s">
        <v>476</v>
      </c>
      <c r="D658" s="47" t="str">
        <f t="shared" si="1"/>
        <v>Active</v>
      </c>
      <c r="E658" s="48">
        <v>42983.0</v>
      </c>
      <c r="F658" s="49"/>
      <c r="G658" s="50">
        <f t="shared" si="2"/>
        <v>109.0333333</v>
      </c>
      <c r="H658" s="51">
        <v>39722.0</v>
      </c>
      <c r="I658" s="50">
        <f t="shared" si="4"/>
        <v>8.927777778</v>
      </c>
      <c r="J658" s="55">
        <v>90.0</v>
      </c>
      <c r="K658" s="56">
        <v>8.3</v>
      </c>
      <c r="L658" s="55">
        <v>23.0</v>
      </c>
      <c r="M658" s="58" t="s">
        <v>42</v>
      </c>
      <c r="N658" s="59" t="s">
        <v>442</v>
      </c>
      <c r="O658" s="60" t="s">
        <v>149</v>
      </c>
      <c r="P658" s="66" t="s">
        <v>505</v>
      </c>
    </row>
    <row r="659">
      <c r="A659" s="29" t="s">
        <v>761</v>
      </c>
      <c r="B659" s="30" t="s">
        <v>25</v>
      </c>
      <c r="C659" s="31" t="s">
        <v>476</v>
      </c>
      <c r="D659" s="32" t="str">
        <f t="shared" si="1"/>
        <v>Active</v>
      </c>
      <c r="E659" s="33">
        <v>42983.0</v>
      </c>
      <c r="F659" s="34"/>
      <c r="G659" s="36">
        <f t="shared" si="2"/>
        <v>109.0333333</v>
      </c>
      <c r="H659" s="37">
        <v>40452.0</v>
      </c>
      <c r="I659" s="36">
        <f t="shared" si="4"/>
        <v>6.927777778</v>
      </c>
      <c r="J659" s="38">
        <v>82.0</v>
      </c>
      <c r="K659" s="39">
        <v>8.0</v>
      </c>
      <c r="L659" s="38">
        <v>27.0</v>
      </c>
      <c r="M659" s="40" t="s">
        <v>42</v>
      </c>
      <c r="N659" s="41" t="s">
        <v>442</v>
      </c>
      <c r="O659" s="42" t="s">
        <v>149</v>
      </c>
      <c r="P659" s="67" t="s">
        <v>505</v>
      </c>
    </row>
    <row r="660">
      <c r="A660" s="44" t="s">
        <v>762</v>
      </c>
      <c r="B660" s="45" t="s">
        <v>25</v>
      </c>
      <c r="C660" s="46" t="s">
        <v>476</v>
      </c>
      <c r="D660" s="47" t="str">
        <f t="shared" si="1"/>
        <v>Active</v>
      </c>
      <c r="E660" s="48">
        <v>42983.0</v>
      </c>
      <c r="F660" s="49"/>
      <c r="G660" s="50">
        <f t="shared" si="2"/>
        <v>109.0333333</v>
      </c>
      <c r="H660" s="51">
        <v>40664.0</v>
      </c>
      <c r="I660" s="50">
        <f t="shared" si="4"/>
        <v>6.344444444</v>
      </c>
      <c r="J660" s="55">
        <v>57.0</v>
      </c>
      <c r="K660" s="56">
        <v>6.4</v>
      </c>
      <c r="L660" s="55">
        <v>10.0</v>
      </c>
      <c r="M660" s="58" t="s">
        <v>29</v>
      </c>
      <c r="N660" s="59" t="s">
        <v>442</v>
      </c>
      <c r="O660" s="60" t="s">
        <v>149</v>
      </c>
      <c r="P660" s="66" t="s">
        <v>505</v>
      </c>
    </row>
    <row r="661">
      <c r="A661" s="29" t="s">
        <v>763</v>
      </c>
      <c r="B661" s="30" t="s">
        <v>45</v>
      </c>
      <c r="C661" s="31" t="s">
        <v>26</v>
      </c>
      <c r="D661" s="32" t="str">
        <f t="shared" si="1"/>
        <v>Active</v>
      </c>
      <c r="E661" s="33">
        <v>42922.0</v>
      </c>
      <c r="F661" s="34"/>
      <c r="G661" s="36">
        <f t="shared" si="2"/>
        <v>111</v>
      </c>
      <c r="H661" s="37">
        <v>41579.0</v>
      </c>
      <c r="I661" s="36">
        <f t="shared" si="4"/>
        <v>3.680555556</v>
      </c>
      <c r="J661" s="38">
        <v>73.0</v>
      </c>
      <c r="K661" s="39">
        <v>6.8</v>
      </c>
      <c r="L661" s="38">
        <v>10.0</v>
      </c>
      <c r="M661" s="40" t="s">
        <v>31</v>
      </c>
      <c r="N661" s="41"/>
      <c r="O661" s="42" t="s">
        <v>149</v>
      </c>
      <c r="P661" s="43" t="s">
        <v>149</v>
      </c>
    </row>
    <row r="662">
      <c r="A662" s="44" t="s">
        <v>764</v>
      </c>
      <c r="B662" s="45" t="s">
        <v>45</v>
      </c>
      <c r="C662" s="46" t="s">
        <v>26</v>
      </c>
      <c r="D662" s="47" t="str">
        <f t="shared" si="1"/>
        <v>Active</v>
      </c>
      <c r="E662" s="48">
        <v>42922.0</v>
      </c>
      <c r="F662" s="49"/>
      <c r="G662" s="50">
        <f t="shared" si="2"/>
        <v>111</v>
      </c>
      <c r="H662" s="51">
        <v>42507.0</v>
      </c>
      <c r="I662" s="50">
        <f t="shared" si="4"/>
        <v>1.136111111</v>
      </c>
      <c r="J662" s="55">
        <v>59.0</v>
      </c>
      <c r="K662" s="56">
        <v>6.0</v>
      </c>
      <c r="L662" s="55">
        <v>5.0</v>
      </c>
      <c r="M662" s="58" t="s">
        <v>29</v>
      </c>
      <c r="N662" s="59"/>
      <c r="O662" s="60" t="s">
        <v>149</v>
      </c>
      <c r="P662" s="61"/>
    </row>
    <row r="663">
      <c r="A663" s="29" t="s">
        <v>765</v>
      </c>
      <c r="B663" s="30" t="s">
        <v>45</v>
      </c>
      <c r="C663" s="31" t="s">
        <v>26</v>
      </c>
      <c r="D663" s="32" t="str">
        <f t="shared" si="1"/>
        <v>Active</v>
      </c>
      <c r="E663" s="33">
        <v>42922.0</v>
      </c>
      <c r="F663" s="34"/>
      <c r="G663" s="36">
        <f t="shared" si="2"/>
        <v>111</v>
      </c>
      <c r="H663" s="37">
        <v>42255.0</v>
      </c>
      <c r="I663" s="36">
        <f t="shared" si="4"/>
        <v>1.827777778</v>
      </c>
      <c r="J663" s="38">
        <v>81.0</v>
      </c>
      <c r="K663" s="39">
        <v>7.8</v>
      </c>
      <c r="L663" s="38">
        <v>8.0</v>
      </c>
      <c r="M663" s="40" t="s">
        <v>27</v>
      </c>
      <c r="N663" s="41"/>
      <c r="O663" s="42" t="s">
        <v>149</v>
      </c>
      <c r="P663" s="43"/>
    </row>
    <row r="664">
      <c r="A664" s="44" t="s">
        <v>766</v>
      </c>
      <c r="B664" s="45" t="s">
        <v>45</v>
      </c>
      <c r="C664" s="46" t="s">
        <v>26</v>
      </c>
      <c r="D664" s="47" t="str">
        <f t="shared" si="1"/>
        <v>Active</v>
      </c>
      <c r="E664" s="48">
        <v>42922.0</v>
      </c>
      <c r="F664" s="49"/>
      <c r="G664" s="50">
        <f t="shared" si="2"/>
        <v>111</v>
      </c>
      <c r="H664" s="51">
        <v>41782.0</v>
      </c>
      <c r="I664" s="50">
        <f t="shared" si="4"/>
        <v>3.119444444</v>
      </c>
      <c r="J664" s="55">
        <v>75.0</v>
      </c>
      <c r="K664" s="56">
        <v>7.3</v>
      </c>
      <c r="L664" s="55">
        <v>20.0</v>
      </c>
      <c r="M664" s="58" t="s">
        <v>103</v>
      </c>
      <c r="N664" s="59"/>
      <c r="O664" s="60" t="s">
        <v>149</v>
      </c>
      <c r="P664" s="61"/>
    </row>
    <row r="665">
      <c r="A665" s="29" t="s">
        <v>767</v>
      </c>
      <c r="B665" s="30" t="s">
        <v>45</v>
      </c>
      <c r="C665" s="31" t="s">
        <v>26</v>
      </c>
      <c r="D665" s="32" t="str">
        <f t="shared" si="1"/>
        <v>Active</v>
      </c>
      <c r="E665" s="33">
        <v>42922.0</v>
      </c>
      <c r="F665" s="34"/>
      <c r="G665" s="36">
        <f t="shared" si="2"/>
        <v>111</v>
      </c>
      <c r="H665" s="37">
        <v>41593.0</v>
      </c>
      <c r="I665" s="36">
        <f t="shared" si="4"/>
        <v>3.641666667</v>
      </c>
      <c r="J665" s="38">
        <v>84.0</v>
      </c>
      <c r="K665" s="39">
        <v>8.1</v>
      </c>
      <c r="L665" s="38">
        <v>4.0</v>
      </c>
      <c r="M665" s="40" t="s">
        <v>31</v>
      </c>
      <c r="N665" s="41"/>
      <c r="O665" s="42" t="s">
        <v>149</v>
      </c>
      <c r="P665" s="43"/>
    </row>
    <row r="666">
      <c r="A666" s="44" t="s">
        <v>768</v>
      </c>
      <c r="B666" s="45" t="s">
        <v>45</v>
      </c>
      <c r="C666" s="46" t="s">
        <v>26</v>
      </c>
      <c r="D666" s="47" t="str">
        <f t="shared" si="1"/>
        <v>Active</v>
      </c>
      <c r="E666" s="48">
        <v>42922.0</v>
      </c>
      <c r="F666" s="49"/>
      <c r="G666" s="50">
        <f t="shared" si="2"/>
        <v>111</v>
      </c>
      <c r="H666" s="51">
        <v>42309.0</v>
      </c>
      <c r="I666" s="50">
        <f t="shared" si="4"/>
        <v>1.680555556</v>
      </c>
      <c r="J666" s="55">
        <v>65.0</v>
      </c>
      <c r="K666" s="56">
        <v>6.1</v>
      </c>
      <c r="L666" s="55">
        <v>8.0</v>
      </c>
      <c r="M666" s="58" t="s">
        <v>31</v>
      </c>
      <c r="N666" s="59"/>
      <c r="O666" s="60" t="s">
        <v>149</v>
      </c>
      <c r="P666" s="61"/>
    </row>
    <row r="667">
      <c r="A667" s="29" t="s">
        <v>769</v>
      </c>
      <c r="B667" s="30" t="s">
        <v>45</v>
      </c>
      <c r="C667" s="31" t="s">
        <v>46</v>
      </c>
      <c r="D667" s="32" t="str">
        <f t="shared" si="1"/>
        <v>Active</v>
      </c>
      <c r="E667" s="33">
        <v>42922.0</v>
      </c>
      <c r="F667" s="34"/>
      <c r="G667" s="36">
        <f t="shared" si="2"/>
        <v>111</v>
      </c>
      <c r="H667" s="37">
        <v>42186.0</v>
      </c>
      <c r="I667" s="36">
        <f t="shared" si="4"/>
        <v>2.013888889</v>
      </c>
      <c r="J667" s="38">
        <v>81.0</v>
      </c>
      <c r="K667" s="39">
        <v>8.4</v>
      </c>
      <c r="L667" s="38">
        <v>9.0</v>
      </c>
      <c r="M667" s="40" t="s">
        <v>29</v>
      </c>
      <c r="N667" s="41" t="s">
        <v>442</v>
      </c>
      <c r="O667" s="42" t="s">
        <v>149</v>
      </c>
      <c r="P667" s="67"/>
    </row>
    <row r="668">
      <c r="A668" s="44" t="s">
        <v>770</v>
      </c>
      <c r="B668" s="45" t="s">
        <v>45</v>
      </c>
      <c r="C668" s="46" t="s">
        <v>46</v>
      </c>
      <c r="D668" s="47" t="str">
        <f t="shared" si="1"/>
        <v>Active</v>
      </c>
      <c r="E668" s="48">
        <v>42922.0</v>
      </c>
      <c r="F668" s="49"/>
      <c r="G668" s="50">
        <f t="shared" si="2"/>
        <v>111</v>
      </c>
      <c r="H668" s="51">
        <v>41821.0</v>
      </c>
      <c r="I668" s="50">
        <f t="shared" si="4"/>
        <v>3.013888889</v>
      </c>
      <c r="J668" s="55">
        <v>44.0</v>
      </c>
      <c r="K668" s="56">
        <v>4.7</v>
      </c>
      <c r="L668" s="78"/>
      <c r="M668" s="58" t="s">
        <v>217</v>
      </c>
      <c r="N668" s="59" t="s">
        <v>217</v>
      </c>
      <c r="O668" s="60" t="s">
        <v>149</v>
      </c>
      <c r="P668" s="66" t="s">
        <v>149</v>
      </c>
    </row>
    <row r="669">
      <c r="A669" s="29" t="s">
        <v>771</v>
      </c>
      <c r="B669" s="30" t="s">
        <v>45</v>
      </c>
      <c r="C669" s="31" t="s">
        <v>26</v>
      </c>
      <c r="D669" s="32" t="str">
        <f t="shared" si="1"/>
        <v>Active</v>
      </c>
      <c r="E669" s="33">
        <v>42920.0</v>
      </c>
      <c r="F669" s="34"/>
      <c r="G669" s="36">
        <f t="shared" si="2"/>
        <v>111.0666667</v>
      </c>
      <c r="H669" s="37">
        <v>42241.0</v>
      </c>
      <c r="I669" s="36">
        <f t="shared" si="4"/>
        <v>1.858333333</v>
      </c>
      <c r="J669" s="38">
        <v>79.0</v>
      </c>
      <c r="K669" s="39">
        <v>8.3</v>
      </c>
      <c r="L669" s="38">
        <v>9.0</v>
      </c>
      <c r="M669" s="40" t="s">
        <v>537</v>
      </c>
      <c r="N669" s="41"/>
      <c r="O669" s="42" t="s">
        <v>149</v>
      </c>
      <c r="P669" s="43"/>
    </row>
    <row r="670">
      <c r="A670" s="44" t="s">
        <v>772</v>
      </c>
      <c r="B670" s="45" t="s">
        <v>25</v>
      </c>
      <c r="C670" s="46" t="s">
        <v>476</v>
      </c>
      <c r="D670" s="47" t="str">
        <f t="shared" si="1"/>
        <v>Active</v>
      </c>
      <c r="E670" s="48">
        <v>42895.0</v>
      </c>
      <c r="F670" s="49"/>
      <c r="G670" s="50">
        <f t="shared" si="2"/>
        <v>111.9</v>
      </c>
      <c r="H670" s="51">
        <v>39753.0</v>
      </c>
      <c r="I670" s="50">
        <f t="shared" si="4"/>
        <v>8.605555556</v>
      </c>
      <c r="J670" s="55">
        <v>59.0</v>
      </c>
      <c r="K670" s="56">
        <v>6.0</v>
      </c>
      <c r="L670" s="55">
        <v>7.0</v>
      </c>
      <c r="M670" s="58" t="s">
        <v>29</v>
      </c>
      <c r="N670" s="59" t="s">
        <v>442</v>
      </c>
      <c r="O670" s="60" t="s">
        <v>149</v>
      </c>
      <c r="P670" s="66" t="s">
        <v>505</v>
      </c>
    </row>
    <row r="671">
      <c r="A671" s="29" t="s">
        <v>773</v>
      </c>
      <c r="B671" s="30" t="s">
        <v>25</v>
      </c>
      <c r="C671" s="31" t="s">
        <v>476</v>
      </c>
      <c r="D671" s="32" t="str">
        <f t="shared" si="1"/>
        <v>Active</v>
      </c>
      <c r="E671" s="33">
        <v>42895.0</v>
      </c>
      <c r="F671" s="34"/>
      <c r="G671" s="36">
        <f t="shared" si="2"/>
        <v>111.9</v>
      </c>
      <c r="H671" s="37">
        <v>39356.0</v>
      </c>
      <c r="I671" s="36">
        <f t="shared" si="4"/>
        <v>9.688888889</v>
      </c>
      <c r="J671" s="38">
        <v>63.0</v>
      </c>
      <c r="K671" s="39">
        <v>7.1</v>
      </c>
      <c r="L671" s="38">
        <v>7.0</v>
      </c>
      <c r="M671" s="40" t="s">
        <v>95</v>
      </c>
      <c r="N671" s="41" t="s">
        <v>442</v>
      </c>
      <c r="O671" s="42" t="s">
        <v>149</v>
      </c>
      <c r="P671" s="67" t="s">
        <v>505</v>
      </c>
    </row>
    <row r="672">
      <c r="A672" s="44" t="s">
        <v>774</v>
      </c>
      <c r="B672" s="45" t="s">
        <v>25</v>
      </c>
      <c r="C672" s="46" t="s">
        <v>476</v>
      </c>
      <c r="D672" s="47" t="str">
        <f t="shared" si="1"/>
        <v>Active</v>
      </c>
      <c r="E672" s="48">
        <v>42895.0</v>
      </c>
      <c r="F672" s="49"/>
      <c r="G672" s="50">
        <f t="shared" si="2"/>
        <v>111.9</v>
      </c>
      <c r="H672" s="51">
        <v>40087.0</v>
      </c>
      <c r="I672" s="50">
        <f t="shared" si="4"/>
        <v>7.688888889</v>
      </c>
      <c r="J672" s="55">
        <v>61.0</v>
      </c>
      <c r="K672" s="56">
        <v>6.8</v>
      </c>
      <c r="L672" s="55">
        <v>7.0</v>
      </c>
      <c r="M672" s="58" t="s">
        <v>95</v>
      </c>
      <c r="N672" s="59" t="s">
        <v>442</v>
      </c>
      <c r="O672" s="60" t="s">
        <v>149</v>
      </c>
      <c r="P672" s="66" t="s">
        <v>505</v>
      </c>
    </row>
    <row r="673">
      <c r="A673" s="29" t="s">
        <v>775</v>
      </c>
      <c r="B673" s="30" t="s">
        <v>25</v>
      </c>
      <c r="C673" s="31" t="s">
        <v>476</v>
      </c>
      <c r="D673" s="32" t="str">
        <f t="shared" si="1"/>
        <v>Active</v>
      </c>
      <c r="E673" s="33">
        <v>42895.0</v>
      </c>
      <c r="F673" s="34"/>
      <c r="G673" s="36">
        <f t="shared" si="2"/>
        <v>111.9</v>
      </c>
      <c r="H673" s="37">
        <v>41231.0</v>
      </c>
      <c r="I673" s="36">
        <f t="shared" si="4"/>
        <v>4.558333333</v>
      </c>
      <c r="J673" s="38">
        <v>59.0</v>
      </c>
      <c r="K673" s="39">
        <v>6.5</v>
      </c>
      <c r="L673" s="38">
        <v>9.0</v>
      </c>
      <c r="M673" s="40" t="s">
        <v>27</v>
      </c>
      <c r="N673" s="41" t="s">
        <v>442</v>
      </c>
      <c r="O673" s="42" t="s">
        <v>149</v>
      </c>
      <c r="P673" s="67"/>
    </row>
    <row r="674">
      <c r="A674" s="44" t="s">
        <v>776</v>
      </c>
      <c r="B674" s="45" t="s">
        <v>25</v>
      </c>
      <c r="C674" s="46" t="s">
        <v>476</v>
      </c>
      <c r="D674" s="47" t="str">
        <f t="shared" si="1"/>
        <v>Active</v>
      </c>
      <c r="E674" s="48">
        <v>42895.0</v>
      </c>
      <c r="F674" s="49"/>
      <c r="G674" s="50">
        <f t="shared" si="2"/>
        <v>111.9</v>
      </c>
      <c r="H674" s="51">
        <v>40817.0</v>
      </c>
      <c r="I674" s="50">
        <f t="shared" si="4"/>
        <v>5.688888889</v>
      </c>
      <c r="J674" s="55">
        <v>70.0</v>
      </c>
      <c r="K674" s="56">
        <v>7.5</v>
      </c>
      <c r="L674" s="55">
        <v>10.0</v>
      </c>
      <c r="M674" s="58" t="s">
        <v>29</v>
      </c>
      <c r="N674" s="59" t="s">
        <v>442</v>
      </c>
      <c r="O674" s="60" t="s">
        <v>149</v>
      </c>
      <c r="P674" s="66" t="s">
        <v>505</v>
      </c>
    </row>
    <row r="675">
      <c r="A675" s="29" t="s">
        <v>777</v>
      </c>
      <c r="B675" s="30" t="s">
        <v>25</v>
      </c>
      <c r="C675" s="31" t="s">
        <v>476</v>
      </c>
      <c r="D675" s="32" t="str">
        <f t="shared" si="1"/>
        <v>Active</v>
      </c>
      <c r="E675" s="33">
        <v>42895.0</v>
      </c>
      <c r="F675" s="34"/>
      <c r="G675" s="36">
        <f t="shared" si="2"/>
        <v>111.9</v>
      </c>
      <c r="H675" s="37">
        <v>41061.0</v>
      </c>
      <c r="I675" s="36">
        <f t="shared" si="4"/>
        <v>5.022222222</v>
      </c>
      <c r="J675" s="38">
        <v>71.0</v>
      </c>
      <c r="K675" s="39">
        <v>6.0</v>
      </c>
      <c r="L675" s="38">
        <v>6.0</v>
      </c>
      <c r="M675" s="40" t="s">
        <v>29</v>
      </c>
      <c r="N675" s="41" t="s">
        <v>442</v>
      </c>
      <c r="O675" s="42" t="s">
        <v>149</v>
      </c>
      <c r="P675" s="67" t="s">
        <v>505</v>
      </c>
    </row>
    <row r="676">
      <c r="A676" s="44" t="s">
        <v>778</v>
      </c>
      <c r="B676" s="45" t="s">
        <v>25</v>
      </c>
      <c r="C676" s="46" t="s">
        <v>476</v>
      </c>
      <c r="D676" s="47" t="str">
        <f t="shared" si="1"/>
        <v>Active</v>
      </c>
      <c r="E676" s="48">
        <v>42895.0</v>
      </c>
      <c r="F676" s="49"/>
      <c r="G676" s="50">
        <f t="shared" si="2"/>
        <v>111.9</v>
      </c>
      <c r="H676" s="51">
        <v>40695.0</v>
      </c>
      <c r="I676" s="50">
        <f t="shared" si="4"/>
        <v>6.022222222</v>
      </c>
      <c r="J676" s="55">
        <v>74.0</v>
      </c>
      <c r="K676" s="56">
        <v>7.2</v>
      </c>
      <c r="L676" s="55">
        <v>7.0</v>
      </c>
      <c r="M676" s="58" t="s">
        <v>95</v>
      </c>
      <c r="N676" s="59" t="s">
        <v>442</v>
      </c>
      <c r="O676" s="60" t="s">
        <v>149</v>
      </c>
      <c r="P676" s="66" t="s">
        <v>505</v>
      </c>
    </row>
    <row r="677">
      <c r="A677" s="29" t="s">
        <v>779</v>
      </c>
      <c r="B677" s="30" t="s">
        <v>25</v>
      </c>
      <c r="C677" s="31" t="s">
        <v>476</v>
      </c>
      <c r="D677" s="32" t="str">
        <f t="shared" si="1"/>
        <v>Active</v>
      </c>
      <c r="E677" s="33">
        <v>42895.0</v>
      </c>
      <c r="F677" s="34"/>
      <c r="G677" s="36">
        <f t="shared" si="2"/>
        <v>111.9</v>
      </c>
      <c r="H677" s="37">
        <v>41913.0</v>
      </c>
      <c r="I677" s="36">
        <f t="shared" si="4"/>
        <v>2.688888889</v>
      </c>
      <c r="J677" s="38">
        <v>33.0</v>
      </c>
      <c r="K677" s="39">
        <v>6.7</v>
      </c>
      <c r="L677" s="38">
        <v>3.0</v>
      </c>
      <c r="M677" s="40" t="s">
        <v>51</v>
      </c>
      <c r="N677" s="41" t="s">
        <v>442</v>
      </c>
      <c r="O677" s="42" t="s">
        <v>149</v>
      </c>
      <c r="P677" s="67" t="s">
        <v>505</v>
      </c>
    </row>
    <row r="678">
      <c r="A678" s="44" t="s">
        <v>780</v>
      </c>
      <c r="B678" s="45" t="s">
        <v>25</v>
      </c>
      <c r="C678" s="46" t="s">
        <v>476</v>
      </c>
      <c r="D678" s="47" t="str">
        <f t="shared" si="1"/>
        <v>Active</v>
      </c>
      <c r="E678" s="48">
        <v>42895.0</v>
      </c>
      <c r="F678" s="49"/>
      <c r="G678" s="50">
        <f t="shared" si="2"/>
        <v>111.9</v>
      </c>
      <c r="H678" s="51">
        <v>39995.0</v>
      </c>
      <c r="I678" s="50">
        <f t="shared" si="4"/>
        <v>7.938888889</v>
      </c>
      <c r="J678" s="55">
        <v>68.0</v>
      </c>
      <c r="K678" s="56">
        <v>6.7</v>
      </c>
      <c r="L678" s="55">
        <v>6.0</v>
      </c>
      <c r="M678" s="58" t="s">
        <v>29</v>
      </c>
      <c r="N678" s="59" t="s">
        <v>442</v>
      </c>
      <c r="O678" s="60" t="s">
        <v>149</v>
      </c>
      <c r="P678" s="66" t="s">
        <v>505</v>
      </c>
    </row>
    <row r="679">
      <c r="A679" s="29" t="s">
        <v>781</v>
      </c>
      <c r="B679" s="30" t="s">
        <v>25</v>
      </c>
      <c r="C679" s="31" t="s">
        <v>476</v>
      </c>
      <c r="D679" s="32" t="str">
        <f t="shared" si="1"/>
        <v>Active</v>
      </c>
      <c r="E679" s="33">
        <v>42895.0</v>
      </c>
      <c r="F679" s="34"/>
      <c r="G679" s="36">
        <f t="shared" si="2"/>
        <v>111.9</v>
      </c>
      <c r="H679" s="37">
        <v>40756.0</v>
      </c>
      <c r="I679" s="36">
        <f t="shared" si="4"/>
        <v>5.855555556</v>
      </c>
      <c r="J679" s="38">
        <v>63.0</v>
      </c>
      <c r="K679" s="39">
        <v>6.8</v>
      </c>
      <c r="L679" s="38">
        <v>6.0</v>
      </c>
      <c r="M679" s="40" t="s">
        <v>29</v>
      </c>
      <c r="N679" s="41" t="s">
        <v>442</v>
      </c>
      <c r="O679" s="42" t="s">
        <v>149</v>
      </c>
      <c r="P679" s="67" t="s">
        <v>505</v>
      </c>
    </row>
    <row r="680">
      <c r="A680" s="44" t="s">
        <v>782</v>
      </c>
      <c r="B680" s="45" t="s">
        <v>25</v>
      </c>
      <c r="C680" s="46" t="s">
        <v>476</v>
      </c>
      <c r="D680" s="47" t="str">
        <f t="shared" si="1"/>
        <v>Active</v>
      </c>
      <c r="E680" s="48">
        <v>42895.0</v>
      </c>
      <c r="F680" s="49"/>
      <c r="G680" s="50">
        <f t="shared" si="2"/>
        <v>111.9</v>
      </c>
      <c r="H680" s="51">
        <v>39142.0</v>
      </c>
      <c r="I680" s="50">
        <f t="shared" si="4"/>
        <v>10.27222222</v>
      </c>
      <c r="J680" s="55">
        <v>55.0</v>
      </c>
      <c r="K680" s="56">
        <v>7.0</v>
      </c>
      <c r="L680" s="55">
        <v>9.0</v>
      </c>
      <c r="M680" s="58" t="s">
        <v>29</v>
      </c>
      <c r="N680" s="59" t="s">
        <v>442</v>
      </c>
      <c r="O680" s="60" t="s">
        <v>149</v>
      </c>
      <c r="P680" s="66" t="s">
        <v>505</v>
      </c>
    </row>
    <row r="681">
      <c r="A681" s="29" t="s">
        <v>783</v>
      </c>
      <c r="B681" s="30" t="s">
        <v>25</v>
      </c>
      <c r="C681" s="31" t="s">
        <v>476</v>
      </c>
      <c r="D681" s="32" t="str">
        <f t="shared" si="1"/>
        <v>Active</v>
      </c>
      <c r="E681" s="33">
        <v>42895.0</v>
      </c>
      <c r="F681" s="34"/>
      <c r="G681" s="36">
        <f t="shared" si="2"/>
        <v>111.9</v>
      </c>
      <c r="H681" s="37">
        <v>39356.0</v>
      </c>
      <c r="I681" s="36">
        <f t="shared" si="4"/>
        <v>9.688888889</v>
      </c>
      <c r="J681" s="38">
        <v>55.0</v>
      </c>
      <c r="K681" s="39">
        <v>6.5</v>
      </c>
      <c r="L681" s="38">
        <v>7.0</v>
      </c>
      <c r="M681" s="40" t="s">
        <v>29</v>
      </c>
      <c r="N681" s="41" t="s">
        <v>442</v>
      </c>
      <c r="O681" s="42" t="s">
        <v>149</v>
      </c>
      <c r="P681" s="67" t="s">
        <v>505</v>
      </c>
    </row>
    <row r="682">
      <c r="A682" s="44" t="s">
        <v>784</v>
      </c>
      <c r="B682" s="45" t="s">
        <v>25</v>
      </c>
      <c r="C682" s="46" t="s">
        <v>476</v>
      </c>
      <c r="D682" s="47" t="str">
        <f t="shared" si="1"/>
        <v>Active</v>
      </c>
      <c r="E682" s="48">
        <v>42895.0</v>
      </c>
      <c r="F682" s="49"/>
      <c r="G682" s="50">
        <f t="shared" si="2"/>
        <v>111.9</v>
      </c>
      <c r="H682" s="51">
        <v>40513.0</v>
      </c>
      <c r="I682" s="50">
        <f t="shared" si="4"/>
        <v>6.522222222</v>
      </c>
      <c r="J682" s="55">
        <v>58.0</v>
      </c>
      <c r="K682" s="56">
        <v>5.7</v>
      </c>
      <c r="L682" s="55">
        <v>8.0</v>
      </c>
      <c r="M682" s="58" t="s">
        <v>29</v>
      </c>
      <c r="N682" s="59" t="s">
        <v>442</v>
      </c>
      <c r="O682" s="60" t="s">
        <v>149</v>
      </c>
      <c r="P682" s="66" t="s">
        <v>505</v>
      </c>
    </row>
    <row r="683">
      <c r="A683" s="29" t="s">
        <v>785</v>
      </c>
      <c r="B683" s="30" t="s">
        <v>25</v>
      </c>
      <c r="C683" s="31" t="s">
        <v>476</v>
      </c>
      <c r="D683" s="32" t="str">
        <f t="shared" si="1"/>
        <v>Active</v>
      </c>
      <c r="E683" s="33">
        <v>42857.0</v>
      </c>
      <c r="F683" s="34"/>
      <c r="G683" s="36">
        <f t="shared" si="2"/>
        <v>113.1333333</v>
      </c>
      <c r="H683" s="37">
        <v>41760.0</v>
      </c>
      <c r="I683" s="36">
        <f t="shared" si="4"/>
        <v>3.002777778</v>
      </c>
      <c r="J683" s="38">
        <v>68.0</v>
      </c>
      <c r="K683" s="39">
        <v>7.8</v>
      </c>
      <c r="L683" s="38">
        <v>25.0</v>
      </c>
      <c r="M683" s="40" t="s">
        <v>29</v>
      </c>
      <c r="N683" s="41" t="s">
        <v>442</v>
      </c>
      <c r="O683" s="42" t="s">
        <v>149</v>
      </c>
      <c r="P683" s="67" t="s">
        <v>505</v>
      </c>
    </row>
    <row r="684">
      <c r="A684" s="44" t="s">
        <v>786</v>
      </c>
      <c r="B684" s="45" t="s">
        <v>25</v>
      </c>
      <c r="C684" s="46" t="s">
        <v>476</v>
      </c>
      <c r="D684" s="47" t="str">
        <f t="shared" si="1"/>
        <v>Active</v>
      </c>
      <c r="E684" s="48">
        <v>42829.0</v>
      </c>
      <c r="F684" s="49"/>
      <c r="G684" s="50">
        <f t="shared" si="2"/>
        <v>114.0666667</v>
      </c>
      <c r="H684" s="51">
        <v>40118.0</v>
      </c>
      <c r="I684" s="50">
        <f t="shared" si="4"/>
        <v>7.425</v>
      </c>
      <c r="J684" s="55">
        <v>70.0</v>
      </c>
      <c r="K684" s="56">
        <v>7.5</v>
      </c>
      <c r="L684" s="55">
        <v>12.0</v>
      </c>
      <c r="M684" s="58" t="s">
        <v>29</v>
      </c>
      <c r="N684" s="59" t="s">
        <v>442</v>
      </c>
      <c r="O684" s="60" t="s">
        <v>149</v>
      </c>
      <c r="P684" s="66" t="s">
        <v>505</v>
      </c>
    </row>
    <row r="685">
      <c r="A685" s="29" t="s">
        <v>787</v>
      </c>
      <c r="B685" s="30" t="s">
        <v>25</v>
      </c>
      <c r="C685" s="31" t="s">
        <v>476</v>
      </c>
      <c r="D685" s="32" t="str">
        <f t="shared" si="1"/>
        <v>Active</v>
      </c>
      <c r="E685" s="33">
        <v>42829.0</v>
      </c>
      <c r="F685" s="34"/>
      <c r="G685" s="36">
        <f t="shared" si="2"/>
        <v>114.0666667</v>
      </c>
      <c r="H685" s="37">
        <v>39602.0</v>
      </c>
      <c r="I685" s="36">
        <f t="shared" si="4"/>
        <v>8.836111111</v>
      </c>
      <c r="J685" s="38">
        <v>77.0</v>
      </c>
      <c r="K685" s="39">
        <v>7.9</v>
      </c>
      <c r="L685" s="38">
        <v>10.0</v>
      </c>
      <c r="M685" s="40" t="s">
        <v>29</v>
      </c>
      <c r="N685" s="41" t="s">
        <v>442</v>
      </c>
      <c r="O685" s="42" t="s">
        <v>149</v>
      </c>
      <c r="P685" s="67"/>
    </row>
    <row r="686">
      <c r="A686" s="44" t="s">
        <v>788</v>
      </c>
      <c r="B686" s="45" t="s">
        <v>25</v>
      </c>
      <c r="C686" s="46" t="s">
        <v>476</v>
      </c>
      <c r="D686" s="47" t="str">
        <f t="shared" si="1"/>
        <v>Active</v>
      </c>
      <c r="E686" s="48">
        <v>42829.0</v>
      </c>
      <c r="F686" s="49"/>
      <c r="G686" s="50">
        <f t="shared" si="2"/>
        <v>114.0666667</v>
      </c>
      <c r="H686" s="51">
        <v>40624.0</v>
      </c>
      <c r="I686" s="50">
        <f t="shared" si="4"/>
        <v>6.033333333</v>
      </c>
      <c r="J686" s="55">
        <v>75.0</v>
      </c>
      <c r="K686" s="56">
        <v>7.5</v>
      </c>
      <c r="L686" s="55">
        <v>9.0</v>
      </c>
      <c r="M686" s="58" t="s">
        <v>29</v>
      </c>
      <c r="N686" s="59" t="s">
        <v>442</v>
      </c>
      <c r="O686" s="60" t="s">
        <v>149</v>
      </c>
      <c r="P686" s="66"/>
    </row>
    <row r="687">
      <c r="A687" s="29" t="s">
        <v>789</v>
      </c>
      <c r="B687" s="30" t="s">
        <v>25</v>
      </c>
      <c r="C687" s="31" t="s">
        <v>476</v>
      </c>
      <c r="D687" s="32" t="str">
        <f t="shared" si="1"/>
        <v>Active</v>
      </c>
      <c r="E687" s="33">
        <v>42829.0</v>
      </c>
      <c r="F687" s="34"/>
      <c r="G687" s="36">
        <f t="shared" si="2"/>
        <v>114.0666667</v>
      </c>
      <c r="H687" s="37">
        <v>39392.0</v>
      </c>
      <c r="I687" s="36">
        <f t="shared" si="4"/>
        <v>9.411111111</v>
      </c>
      <c r="J687" s="38">
        <v>80.0</v>
      </c>
      <c r="K687" s="39">
        <v>8.4</v>
      </c>
      <c r="L687" s="38">
        <v>14.0</v>
      </c>
      <c r="M687" s="40" t="s">
        <v>29</v>
      </c>
      <c r="N687" s="41" t="s">
        <v>442</v>
      </c>
      <c r="O687" s="42" t="s">
        <v>149</v>
      </c>
      <c r="P687" s="67"/>
    </row>
    <row r="688">
      <c r="A688" s="44" t="s">
        <v>790</v>
      </c>
      <c r="B688" s="45" t="s">
        <v>25</v>
      </c>
      <c r="C688" s="46" t="s">
        <v>476</v>
      </c>
      <c r="D688" s="47" t="str">
        <f t="shared" si="1"/>
        <v>Active</v>
      </c>
      <c r="E688" s="48">
        <v>42773.0</v>
      </c>
      <c r="F688" s="49"/>
      <c r="G688" s="50">
        <f t="shared" si="2"/>
        <v>115.9666667</v>
      </c>
      <c r="H688" s="51">
        <v>39965.0</v>
      </c>
      <c r="I688" s="50">
        <f t="shared" si="4"/>
        <v>7.683333333</v>
      </c>
      <c r="J688" s="55">
        <v>62.0</v>
      </c>
      <c r="K688" s="56">
        <v>7.2</v>
      </c>
      <c r="L688" s="55">
        <v>25.0</v>
      </c>
      <c r="M688" s="58" t="s">
        <v>29</v>
      </c>
      <c r="N688" s="59" t="s">
        <v>442</v>
      </c>
      <c r="O688" s="60" t="s">
        <v>149</v>
      </c>
      <c r="P688" s="66" t="s">
        <v>505</v>
      </c>
    </row>
    <row r="689">
      <c r="A689" s="29" t="s">
        <v>791</v>
      </c>
      <c r="B689" s="30" t="s">
        <v>25</v>
      </c>
      <c r="C689" s="31" t="s">
        <v>476</v>
      </c>
      <c r="D689" s="32" t="str">
        <f t="shared" si="1"/>
        <v>Active</v>
      </c>
      <c r="E689" s="33">
        <v>42773.0</v>
      </c>
      <c r="F689" s="34"/>
      <c r="G689" s="36">
        <f t="shared" si="2"/>
        <v>115.9666667</v>
      </c>
      <c r="H689" s="37">
        <v>40969.0</v>
      </c>
      <c r="I689" s="36">
        <f t="shared" si="4"/>
        <v>4.933333333</v>
      </c>
      <c r="J689" s="38">
        <v>58.0</v>
      </c>
      <c r="K689" s="39">
        <v>6.1</v>
      </c>
      <c r="L689" s="38">
        <v>11.0</v>
      </c>
      <c r="M689" s="40" t="s">
        <v>29</v>
      </c>
      <c r="N689" s="41" t="s">
        <v>442</v>
      </c>
      <c r="O689" s="42" t="s">
        <v>149</v>
      </c>
      <c r="P689" s="67" t="s">
        <v>505</v>
      </c>
    </row>
    <row r="690">
      <c r="A690" s="44" t="s">
        <v>792</v>
      </c>
      <c r="B690" s="45" t="s">
        <v>25</v>
      </c>
      <c r="C690" s="46" t="s">
        <v>476</v>
      </c>
      <c r="D690" s="47" t="str">
        <f t="shared" si="1"/>
        <v>Active</v>
      </c>
      <c r="E690" s="48">
        <v>42773.0</v>
      </c>
      <c r="F690" s="49"/>
      <c r="G690" s="50">
        <f t="shared" si="2"/>
        <v>115.9666667</v>
      </c>
      <c r="H690" s="51">
        <v>41365.0</v>
      </c>
      <c r="I690" s="50">
        <f t="shared" si="4"/>
        <v>3.85</v>
      </c>
      <c r="J690" s="55">
        <v>67.0</v>
      </c>
      <c r="K690" s="56">
        <v>6.8</v>
      </c>
      <c r="L690" s="55">
        <v>13.0</v>
      </c>
      <c r="M690" s="58" t="s">
        <v>29</v>
      </c>
      <c r="N690" s="59" t="s">
        <v>442</v>
      </c>
      <c r="O690" s="60" t="s">
        <v>149</v>
      </c>
      <c r="P690" s="66" t="s">
        <v>505</v>
      </c>
    </row>
    <row r="691">
      <c r="A691" s="29" t="s">
        <v>793</v>
      </c>
      <c r="B691" s="30" t="s">
        <v>25</v>
      </c>
      <c r="C691" s="31" t="s">
        <v>476</v>
      </c>
      <c r="D691" s="32" t="str">
        <f t="shared" si="1"/>
        <v>Active</v>
      </c>
      <c r="E691" s="33">
        <v>42773.0</v>
      </c>
      <c r="F691" s="34"/>
      <c r="G691" s="36">
        <f t="shared" si="2"/>
        <v>115.9666667</v>
      </c>
      <c r="H691" s="37">
        <v>42248.0</v>
      </c>
      <c r="I691" s="36">
        <f t="shared" si="4"/>
        <v>1.433333333</v>
      </c>
      <c r="J691" s="38">
        <v>80.0</v>
      </c>
      <c r="K691" s="39">
        <v>8.1</v>
      </c>
      <c r="L691" s="38">
        <v>50.0</v>
      </c>
      <c r="M691" s="40" t="s">
        <v>103</v>
      </c>
      <c r="N691" s="41" t="s">
        <v>442</v>
      </c>
      <c r="O691" s="42" t="s">
        <v>149</v>
      </c>
      <c r="P691" s="67" t="s">
        <v>505</v>
      </c>
    </row>
    <row r="692">
      <c r="A692" s="44" t="s">
        <v>794</v>
      </c>
      <c r="B692" s="45" t="s">
        <v>25</v>
      </c>
      <c r="C692" s="46" t="s">
        <v>476</v>
      </c>
      <c r="D692" s="47" t="str">
        <f t="shared" si="1"/>
        <v>Active</v>
      </c>
      <c r="E692" s="48">
        <v>42773.0</v>
      </c>
      <c r="F692" s="49"/>
      <c r="G692" s="50">
        <f t="shared" si="2"/>
        <v>115.9666667</v>
      </c>
      <c r="H692" s="51">
        <v>40422.0</v>
      </c>
      <c r="I692" s="50">
        <f t="shared" si="4"/>
        <v>6.433333333</v>
      </c>
      <c r="J692" s="55">
        <v>43.0</v>
      </c>
      <c r="K692" s="56">
        <v>5.5</v>
      </c>
      <c r="L692" s="55">
        <v>7.0</v>
      </c>
      <c r="M692" s="58" t="s">
        <v>31</v>
      </c>
      <c r="N692" s="59" t="s">
        <v>442</v>
      </c>
      <c r="O692" s="60" t="s">
        <v>149</v>
      </c>
      <c r="P692" s="66" t="s">
        <v>505</v>
      </c>
    </row>
    <row r="693">
      <c r="A693" s="29" t="s">
        <v>795</v>
      </c>
      <c r="B693" s="30" t="s">
        <v>25</v>
      </c>
      <c r="C693" s="31" t="s">
        <v>476</v>
      </c>
      <c r="D693" s="32" t="str">
        <f t="shared" si="1"/>
        <v>Active</v>
      </c>
      <c r="E693" s="33">
        <v>42773.0</v>
      </c>
      <c r="F693" s="34"/>
      <c r="G693" s="36">
        <f t="shared" si="2"/>
        <v>115.9666667</v>
      </c>
      <c r="H693" s="37">
        <v>42059.0</v>
      </c>
      <c r="I693" s="36">
        <f t="shared" si="4"/>
        <v>1.952777778</v>
      </c>
      <c r="J693" s="76"/>
      <c r="K693" s="79"/>
      <c r="L693" s="38">
        <v>20.0</v>
      </c>
      <c r="M693" s="40" t="s">
        <v>29</v>
      </c>
      <c r="N693" s="41" t="s">
        <v>442</v>
      </c>
      <c r="O693" s="42" t="s">
        <v>149</v>
      </c>
      <c r="P693" s="67" t="s">
        <v>505</v>
      </c>
    </row>
    <row r="694">
      <c r="A694" s="44" t="s">
        <v>796</v>
      </c>
      <c r="B694" s="45" t="s">
        <v>25</v>
      </c>
      <c r="C694" s="46" t="s">
        <v>476</v>
      </c>
      <c r="D694" s="47" t="str">
        <f t="shared" si="1"/>
        <v>Active</v>
      </c>
      <c r="E694" s="48">
        <v>42773.0</v>
      </c>
      <c r="F694" s="49"/>
      <c r="G694" s="50">
        <f t="shared" si="2"/>
        <v>115.9666667</v>
      </c>
      <c r="H694" s="51">
        <v>42045.0</v>
      </c>
      <c r="I694" s="50">
        <f t="shared" si="4"/>
        <v>1.991666667</v>
      </c>
      <c r="J694" s="78"/>
      <c r="K694" s="77"/>
      <c r="L694" s="55">
        <v>25.0</v>
      </c>
      <c r="M694" s="58" t="s">
        <v>29</v>
      </c>
      <c r="N694" s="59" t="s">
        <v>442</v>
      </c>
      <c r="O694" s="60" t="s">
        <v>149</v>
      </c>
      <c r="P694" s="66" t="s">
        <v>505</v>
      </c>
    </row>
    <row r="695">
      <c r="A695" s="29" t="s">
        <v>797</v>
      </c>
      <c r="B695" s="30" t="s">
        <v>25</v>
      </c>
      <c r="C695" s="31" t="s">
        <v>476</v>
      </c>
      <c r="D695" s="32" t="str">
        <f t="shared" si="1"/>
        <v>Active</v>
      </c>
      <c r="E695" s="33">
        <v>42773.0</v>
      </c>
      <c r="F695" s="34"/>
      <c r="G695" s="36">
        <f t="shared" si="2"/>
        <v>115.9666667</v>
      </c>
      <c r="H695" s="37">
        <v>41699.0</v>
      </c>
      <c r="I695" s="36">
        <f t="shared" si="4"/>
        <v>2.933333333</v>
      </c>
      <c r="J695" s="38">
        <v>76.0</v>
      </c>
      <c r="K695" s="39">
        <v>8.0</v>
      </c>
      <c r="L695" s="38">
        <v>25.0</v>
      </c>
      <c r="M695" s="40" t="s">
        <v>29</v>
      </c>
      <c r="N695" s="41" t="s">
        <v>442</v>
      </c>
      <c r="O695" s="42" t="s">
        <v>149</v>
      </c>
      <c r="P695" s="67" t="s">
        <v>505</v>
      </c>
    </row>
    <row r="696">
      <c r="A696" s="44" t="s">
        <v>798</v>
      </c>
      <c r="B696" s="45" t="s">
        <v>25</v>
      </c>
      <c r="C696" s="46" t="s">
        <v>476</v>
      </c>
      <c r="D696" s="47" t="str">
        <f t="shared" si="1"/>
        <v>Active</v>
      </c>
      <c r="E696" s="48">
        <v>42773.0</v>
      </c>
      <c r="F696" s="49"/>
      <c r="G696" s="50">
        <f t="shared" si="2"/>
        <v>115.9666667</v>
      </c>
      <c r="H696" s="51">
        <v>40969.0</v>
      </c>
      <c r="I696" s="50">
        <f t="shared" si="4"/>
        <v>4.933333333</v>
      </c>
      <c r="J696" s="55">
        <v>70.0</v>
      </c>
      <c r="K696" s="56">
        <v>8.1</v>
      </c>
      <c r="L696" s="55">
        <v>30.0</v>
      </c>
      <c r="M696" s="58" t="s">
        <v>29</v>
      </c>
      <c r="N696" s="59" t="s">
        <v>442</v>
      </c>
      <c r="O696" s="60" t="s">
        <v>149</v>
      </c>
      <c r="P696" s="66" t="s">
        <v>505</v>
      </c>
    </row>
    <row r="697">
      <c r="A697" s="29" t="s">
        <v>799</v>
      </c>
      <c r="B697" s="30" t="s">
        <v>25</v>
      </c>
      <c r="C697" s="31" t="s">
        <v>476</v>
      </c>
      <c r="D697" s="32" t="str">
        <f t="shared" si="1"/>
        <v>Active</v>
      </c>
      <c r="E697" s="33">
        <v>42773.0</v>
      </c>
      <c r="F697" s="34"/>
      <c r="G697" s="36">
        <f t="shared" si="2"/>
        <v>115.9666667</v>
      </c>
      <c r="H697" s="37">
        <v>40603.0</v>
      </c>
      <c r="I697" s="36">
        <f t="shared" si="4"/>
        <v>5.933333333</v>
      </c>
      <c r="J697" s="38">
        <v>44.0</v>
      </c>
      <c r="K697" s="39">
        <v>6.5</v>
      </c>
      <c r="L697" s="38">
        <v>12.0</v>
      </c>
      <c r="M697" s="40" t="s">
        <v>29</v>
      </c>
      <c r="N697" s="41" t="s">
        <v>442</v>
      </c>
      <c r="O697" s="42" t="s">
        <v>149</v>
      </c>
      <c r="P697" s="67" t="s">
        <v>505</v>
      </c>
    </row>
    <row r="698">
      <c r="A698" s="44" t="s">
        <v>800</v>
      </c>
      <c r="B698" s="45" t="s">
        <v>25</v>
      </c>
      <c r="C698" s="46" t="s">
        <v>476</v>
      </c>
      <c r="D698" s="47" t="str">
        <f t="shared" si="1"/>
        <v>Active</v>
      </c>
      <c r="E698" s="48">
        <v>42773.0</v>
      </c>
      <c r="F698" s="49"/>
      <c r="G698" s="50">
        <f t="shared" si="2"/>
        <v>115.9666667</v>
      </c>
      <c r="H698" s="51">
        <v>41699.0</v>
      </c>
      <c r="I698" s="50">
        <f t="shared" si="4"/>
        <v>2.933333333</v>
      </c>
      <c r="J698" s="55">
        <v>43.0</v>
      </c>
      <c r="K698" s="56">
        <v>6.1</v>
      </c>
      <c r="L698" s="55">
        <v>8.0</v>
      </c>
      <c r="M698" s="58" t="s">
        <v>29</v>
      </c>
      <c r="N698" s="59" t="s">
        <v>442</v>
      </c>
      <c r="O698" s="60" t="s">
        <v>149</v>
      </c>
      <c r="P698" s="66" t="s">
        <v>505</v>
      </c>
    </row>
    <row r="699">
      <c r="A699" s="29" t="s">
        <v>801</v>
      </c>
      <c r="B699" s="30" t="s">
        <v>25</v>
      </c>
      <c r="C699" s="31" t="s">
        <v>476</v>
      </c>
      <c r="D699" s="32" t="str">
        <f t="shared" si="1"/>
        <v>Active</v>
      </c>
      <c r="E699" s="33">
        <v>42682.0</v>
      </c>
      <c r="F699" s="34"/>
      <c r="G699" s="36">
        <f t="shared" si="2"/>
        <v>118.9333333</v>
      </c>
      <c r="H699" s="37">
        <v>41548.0</v>
      </c>
      <c r="I699" s="36">
        <f t="shared" si="4"/>
        <v>3.102777778</v>
      </c>
      <c r="J699" s="38">
        <v>46.0</v>
      </c>
      <c r="K699" s="39">
        <v>5.4</v>
      </c>
      <c r="L699" s="38">
        <v>5.0</v>
      </c>
      <c r="M699" s="40" t="s">
        <v>31</v>
      </c>
      <c r="N699" s="41" t="s">
        <v>442</v>
      </c>
      <c r="O699" s="42" t="s">
        <v>149</v>
      </c>
      <c r="P699" s="67" t="s">
        <v>505</v>
      </c>
    </row>
    <row r="700">
      <c r="A700" s="44" t="s">
        <v>802</v>
      </c>
      <c r="B700" s="45" t="s">
        <v>25</v>
      </c>
      <c r="C700" s="46" t="s">
        <v>476</v>
      </c>
      <c r="D700" s="47" t="str">
        <f t="shared" si="1"/>
        <v>Active</v>
      </c>
      <c r="E700" s="48">
        <v>42682.0</v>
      </c>
      <c r="F700" s="49"/>
      <c r="G700" s="50">
        <f t="shared" si="2"/>
        <v>118.9333333</v>
      </c>
      <c r="H700" s="51">
        <v>41791.0</v>
      </c>
      <c r="I700" s="50">
        <f t="shared" si="4"/>
        <v>2.436111111</v>
      </c>
      <c r="J700" s="55">
        <v>43.0</v>
      </c>
      <c r="K700" s="56">
        <v>5.7</v>
      </c>
      <c r="L700" s="55">
        <v>7.0</v>
      </c>
      <c r="M700" s="58" t="s">
        <v>31</v>
      </c>
      <c r="N700" s="59" t="s">
        <v>442</v>
      </c>
      <c r="O700" s="60" t="s">
        <v>149</v>
      </c>
      <c r="P700" s="66" t="s">
        <v>505</v>
      </c>
    </row>
    <row r="701">
      <c r="A701" s="29" t="s">
        <v>803</v>
      </c>
      <c r="B701" s="30" t="s">
        <v>25</v>
      </c>
      <c r="C701" s="31" t="s">
        <v>476</v>
      </c>
      <c r="D701" s="32" t="str">
        <f t="shared" si="1"/>
        <v>Active</v>
      </c>
      <c r="E701" s="33">
        <v>42682.0</v>
      </c>
      <c r="F701" s="34"/>
      <c r="G701" s="36">
        <f t="shared" si="2"/>
        <v>118.9333333</v>
      </c>
      <c r="H701" s="37">
        <v>39356.0</v>
      </c>
      <c r="I701" s="36">
        <f t="shared" si="4"/>
        <v>9.102777778</v>
      </c>
      <c r="J701" s="38">
        <v>25.0</v>
      </c>
      <c r="K701" s="39">
        <v>6.7</v>
      </c>
      <c r="L701" s="38">
        <v>3.0</v>
      </c>
      <c r="M701" s="40" t="s">
        <v>125</v>
      </c>
      <c r="N701" s="41" t="s">
        <v>442</v>
      </c>
      <c r="O701" s="42" t="s">
        <v>149</v>
      </c>
      <c r="P701" s="67" t="s">
        <v>505</v>
      </c>
    </row>
    <row r="702">
      <c r="A702" s="44" t="s">
        <v>804</v>
      </c>
      <c r="B702" s="45" t="s">
        <v>25</v>
      </c>
      <c r="C702" s="46" t="s">
        <v>476</v>
      </c>
      <c r="D702" s="47" t="str">
        <f t="shared" si="1"/>
        <v>Active</v>
      </c>
      <c r="E702" s="48">
        <v>42682.0</v>
      </c>
      <c r="F702" s="49"/>
      <c r="G702" s="50">
        <f t="shared" si="2"/>
        <v>118.9333333</v>
      </c>
      <c r="H702" s="51">
        <v>40695.0</v>
      </c>
      <c r="I702" s="50">
        <f t="shared" si="4"/>
        <v>5.436111111</v>
      </c>
      <c r="J702" s="55">
        <v>46.0</v>
      </c>
      <c r="K702" s="56">
        <v>6.8</v>
      </c>
      <c r="L702" s="55">
        <v>7.0</v>
      </c>
      <c r="M702" s="58" t="s">
        <v>31</v>
      </c>
      <c r="N702" s="59" t="s">
        <v>442</v>
      </c>
      <c r="O702" s="60" t="s">
        <v>149</v>
      </c>
      <c r="P702" s="66" t="s">
        <v>505</v>
      </c>
    </row>
    <row r="703">
      <c r="A703" s="29" t="s">
        <v>805</v>
      </c>
      <c r="B703" s="30" t="s">
        <v>25</v>
      </c>
      <c r="C703" s="31" t="s">
        <v>476</v>
      </c>
      <c r="D703" s="32" t="str">
        <f t="shared" si="1"/>
        <v>Active</v>
      </c>
      <c r="E703" s="33">
        <v>42647.0</v>
      </c>
      <c r="F703" s="34"/>
      <c r="G703" s="36">
        <f t="shared" si="2"/>
        <v>120.0666667</v>
      </c>
      <c r="H703" s="37">
        <v>41944.0</v>
      </c>
      <c r="I703" s="36">
        <f t="shared" si="4"/>
        <v>1.925</v>
      </c>
      <c r="J703" s="38">
        <v>57.0</v>
      </c>
      <c r="K703" s="39">
        <v>7.1</v>
      </c>
      <c r="L703" s="38">
        <v>12.0</v>
      </c>
      <c r="M703" s="40" t="s">
        <v>29</v>
      </c>
      <c r="N703" s="41" t="s">
        <v>442</v>
      </c>
      <c r="O703" s="42" t="s">
        <v>149</v>
      </c>
      <c r="P703" s="67" t="s">
        <v>505</v>
      </c>
    </row>
    <row r="704">
      <c r="A704" s="44" t="s">
        <v>806</v>
      </c>
      <c r="B704" s="45" t="s">
        <v>25</v>
      </c>
      <c r="C704" s="46" t="s">
        <v>476</v>
      </c>
      <c r="D704" s="47" t="str">
        <f t="shared" si="1"/>
        <v>Active</v>
      </c>
      <c r="E704" s="48">
        <v>42647.0</v>
      </c>
      <c r="F704" s="49"/>
      <c r="G704" s="50">
        <f t="shared" si="2"/>
        <v>120.0666667</v>
      </c>
      <c r="H704" s="51">
        <v>40878.0</v>
      </c>
      <c r="I704" s="50">
        <f t="shared" si="4"/>
        <v>4.841666667</v>
      </c>
      <c r="J704" s="55">
        <v>67.0</v>
      </c>
      <c r="K704" s="56">
        <v>6.4</v>
      </c>
      <c r="L704" s="55">
        <v>7.0</v>
      </c>
      <c r="M704" s="58" t="s">
        <v>29</v>
      </c>
      <c r="N704" s="59" t="s">
        <v>442</v>
      </c>
      <c r="O704" s="60" t="s">
        <v>149</v>
      </c>
      <c r="P704" s="66" t="s">
        <v>149</v>
      </c>
    </row>
    <row r="705">
      <c r="A705" s="29" t="s">
        <v>807</v>
      </c>
      <c r="B705" s="30" t="s">
        <v>25</v>
      </c>
      <c r="C705" s="31" t="s">
        <v>476</v>
      </c>
      <c r="D705" s="32" t="str">
        <f t="shared" si="1"/>
        <v>Active</v>
      </c>
      <c r="E705" s="33">
        <v>42647.0</v>
      </c>
      <c r="F705" s="34"/>
      <c r="G705" s="36">
        <f t="shared" si="2"/>
        <v>120.0666667</v>
      </c>
      <c r="H705" s="37">
        <v>42064.0</v>
      </c>
      <c r="I705" s="36">
        <f t="shared" si="4"/>
        <v>1.591666667</v>
      </c>
      <c r="J705" s="38">
        <v>58.0</v>
      </c>
      <c r="K705" s="39">
        <v>6.4</v>
      </c>
      <c r="L705" s="38">
        <v>25.0</v>
      </c>
      <c r="M705" s="40" t="s">
        <v>42</v>
      </c>
      <c r="N705" s="41" t="s">
        <v>442</v>
      </c>
      <c r="O705" s="42" t="s">
        <v>149</v>
      </c>
      <c r="P705" s="67" t="s">
        <v>505</v>
      </c>
    </row>
    <row r="706">
      <c r="A706" s="44" t="s">
        <v>808</v>
      </c>
      <c r="B706" s="45" t="s">
        <v>25</v>
      </c>
      <c r="C706" s="46" t="s">
        <v>476</v>
      </c>
      <c r="D706" s="47" t="str">
        <f t="shared" si="1"/>
        <v>Active</v>
      </c>
      <c r="E706" s="48">
        <v>42647.0</v>
      </c>
      <c r="F706" s="49"/>
      <c r="G706" s="50">
        <f t="shared" si="2"/>
        <v>120.0666667</v>
      </c>
      <c r="H706" s="51">
        <v>40787.0</v>
      </c>
      <c r="I706" s="50">
        <f t="shared" si="4"/>
        <v>5.091666667</v>
      </c>
      <c r="J706" s="55">
        <v>69.0</v>
      </c>
      <c r="K706" s="56">
        <v>6.4</v>
      </c>
      <c r="L706" s="55">
        <v>4.0</v>
      </c>
      <c r="M706" s="58" t="s">
        <v>27</v>
      </c>
      <c r="N706" s="59" t="s">
        <v>442</v>
      </c>
      <c r="O706" s="60" t="s">
        <v>149</v>
      </c>
      <c r="P706" s="66" t="s">
        <v>505</v>
      </c>
    </row>
    <row r="707">
      <c r="A707" s="29" t="s">
        <v>809</v>
      </c>
      <c r="B707" s="30" t="s">
        <v>25</v>
      </c>
      <c r="C707" s="31" t="s">
        <v>476</v>
      </c>
      <c r="D707" s="32" t="str">
        <f t="shared" si="1"/>
        <v>Active</v>
      </c>
      <c r="E707" s="33">
        <v>42647.0</v>
      </c>
      <c r="F707" s="34"/>
      <c r="G707" s="36">
        <f t="shared" si="2"/>
        <v>120.0666667</v>
      </c>
      <c r="H707" s="37">
        <v>39873.0</v>
      </c>
      <c r="I707" s="36">
        <f t="shared" si="4"/>
        <v>7.591666667</v>
      </c>
      <c r="J707" s="38">
        <v>76.0</v>
      </c>
      <c r="K707" s="39">
        <v>7.6</v>
      </c>
      <c r="L707" s="38">
        <v>6.0</v>
      </c>
      <c r="M707" s="40" t="s">
        <v>31</v>
      </c>
      <c r="N707" s="41" t="s">
        <v>442</v>
      </c>
      <c r="O707" s="42" t="s">
        <v>149</v>
      </c>
      <c r="P707" s="67" t="s">
        <v>149</v>
      </c>
    </row>
    <row r="708">
      <c r="A708" s="44" t="s">
        <v>810</v>
      </c>
      <c r="B708" s="45" t="s">
        <v>25</v>
      </c>
      <c r="C708" s="46" t="s">
        <v>476</v>
      </c>
      <c r="D708" s="47" t="str">
        <f t="shared" si="1"/>
        <v>Active</v>
      </c>
      <c r="E708" s="48">
        <v>42647.0</v>
      </c>
      <c r="F708" s="49"/>
      <c r="G708" s="50">
        <f t="shared" si="2"/>
        <v>120.0666667</v>
      </c>
      <c r="H708" s="51">
        <v>40787.0</v>
      </c>
      <c r="I708" s="50">
        <f t="shared" si="4"/>
        <v>5.091666667</v>
      </c>
      <c r="J708" s="55">
        <v>68.0</v>
      </c>
      <c r="K708" s="56">
        <v>7.7</v>
      </c>
      <c r="L708" s="55">
        <v>12.0</v>
      </c>
      <c r="M708" s="58" t="s">
        <v>29</v>
      </c>
      <c r="N708" s="59" t="s">
        <v>442</v>
      </c>
      <c r="O708" s="60" t="s">
        <v>149</v>
      </c>
      <c r="P708" s="66" t="s">
        <v>149</v>
      </c>
    </row>
    <row r="709">
      <c r="A709" s="29" t="s">
        <v>811</v>
      </c>
      <c r="B709" s="30" t="s">
        <v>25</v>
      </c>
      <c r="C709" s="31" t="s">
        <v>476</v>
      </c>
      <c r="D709" s="32" t="str">
        <f t="shared" si="1"/>
        <v>Active</v>
      </c>
      <c r="E709" s="33">
        <v>42647.0</v>
      </c>
      <c r="F709" s="34"/>
      <c r="G709" s="36">
        <f t="shared" si="2"/>
        <v>120.0666667</v>
      </c>
      <c r="H709" s="37">
        <v>42186.0</v>
      </c>
      <c r="I709" s="36">
        <f t="shared" si="4"/>
        <v>1.258333333</v>
      </c>
      <c r="J709" s="38">
        <v>69.0</v>
      </c>
      <c r="K709" s="39">
        <v>7.8</v>
      </c>
      <c r="L709" s="38">
        <v>25.0</v>
      </c>
      <c r="M709" s="40" t="s">
        <v>103</v>
      </c>
      <c r="N709" s="41" t="s">
        <v>442</v>
      </c>
      <c r="O709" s="42" t="s">
        <v>149</v>
      </c>
      <c r="P709" s="67" t="s">
        <v>505</v>
      </c>
    </row>
    <row r="710">
      <c r="A710" s="44" t="s">
        <v>812</v>
      </c>
      <c r="B710" s="45" t="s">
        <v>45</v>
      </c>
      <c r="C710" s="46" t="s">
        <v>207</v>
      </c>
      <c r="D710" s="47" t="str">
        <f t="shared" si="1"/>
        <v>Active</v>
      </c>
      <c r="E710" s="48">
        <v>42584.0</v>
      </c>
      <c r="F710" s="49"/>
      <c r="G710" s="50">
        <f t="shared" si="2"/>
        <v>122.1333333</v>
      </c>
      <c r="H710" s="51">
        <v>41759.0</v>
      </c>
      <c r="I710" s="50">
        <f t="shared" si="4"/>
        <v>2.255555556</v>
      </c>
      <c r="J710" s="55">
        <v>89.0</v>
      </c>
      <c r="K710" s="56">
        <v>8.0</v>
      </c>
      <c r="L710" s="55">
        <v>12.0</v>
      </c>
      <c r="M710" s="58" t="s">
        <v>42</v>
      </c>
      <c r="N710" s="59"/>
      <c r="O710" s="60" t="s">
        <v>149</v>
      </c>
      <c r="P710" s="61" t="s">
        <v>149</v>
      </c>
    </row>
    <row r="711">
      <c r="A711" s="29" t="s">
        <v>813</v>
      </c>
      <c r="B711" s="30" t="s">
        <v>25</v>
      </c>
      <c r="C711" s="31" t="s">
        <v>476</v>
      </c>
      <c r="D711" s="32" t="str">
        <f t="shared" si="1"/>
        <v>Active</v>
      </c>
      <c r="E711" s="33">
        <v>42584.0</v>
      </c>
      <c r="F711" s="34"/>
      <c r="G711" s="36">
        <f t="shared" si="2"/>
        <v>122.1333333</v>
      </c>
      <c r="H711" s="37">
        <v>41791.0</v>
      </c>
      <c r="I711" s="36">
        <f t="shared" si="4"/>
        <v>2.169444444</v>
      </c>
      <c r="J711" s="38">
        <v>69.0</v>
      </c>
      <c r="K711" s="39">
        <v>6.6</v>
      </c>
      <c r="L711" s="38">
        <v>10.0</v>
      </c>
      <c r="M711" s="40" t="s">
        <v>42</v>
      </c>
      <c r="N711" s="41" t="s">
        <v>442</v>
      </c>
      <c r="O711" s="42" t="s">
        <v>149</v>
      </c>
      <c r="P711" s="67" t="s">
        <v>505</v>
      </c>
    </row>
    <row r="712">
      <c r="A712" s="44" t="s">
        <v>814</v>
      </c>
      <c r="B712" s="45" t="s">
        <v>25</v>
      </c>
      <c r="C712" s="46" t="s">
        <v>476</v>
      </c>
      <c r="D712" s="47" t="str">
        <f t="shared" si="1"/>
        <v>Active</v>
      </c>
      <c r="E712" s="48">
        <v>42584.0</v>
      </c>
      <c r="F712" s="49"/>
      <c r="G712" s="50">
        <f t="shared" si="2"/>
        <v>122.1333333</v>
      </c>
      <c r="H712" s="51">
        <v>39661.0</v>
      </c>
      <c r="I712" s="50">
        <f t="shared" si="4"/>
        <v>8.002777778</v>
      </c>
      <c r="J712" s="55">
        <v>78.0</v>
      </c>
      <c r="K712" s="56">
        <v>8.0</v>
      </c>
      <c r="L712" s="55">
        <v>48.0</v>
      </c>
      <c r="M712" s="58" t="s">
        <v>42</v>
      </c>
      <c r="N712" s="59" t="s">
        <v>442</v>
      </c>
      <c r="O712" s="60" t="s">
        <v>149</v>
      </c>
      <c r="P712" s="66" t="s">
        <v>505</v>
      </c>
    </row>
    <row r="713">
      <c r="A713" s="29" t="s">
        <v>815</v>
      </c>
      <c r="B713" s="30" t="s">
        <v>25</v>
      </c>
      <c r="C713" s="31" t="s">
        <v>476</v>
      </c>
      <c r="D713" s="32" t="str">
        <f t="shared" si="1"/>
        <v>Active</v>
      </c>
      <c r="E713" s="33">
        <v>42584.0</v>
      </c>
      <c r="F713" s="34"/>
      <c r="G713" s="36">
        <f t="shared" si="2"/>
        <v>122.1333333</v>
      </c>
      <c r="H713" s="37">
        <v>40787.0</v>
      </c>
      <c r="I713" s="36">
        <f t="shared" si="4"/>
        <v>4.919444444</v>
      </c>
      <c r="J713" s="38">
        <v>80.0</v>
      </c>
      <c r="K713" s="39">
        <v>8.1</v>
      </c>
      <c r="L713" s="38">
        <v>50.0</v>
      </c>
      <c r="M713" s="40" t="s">
        <v>42</v>
      </c>
      <c r="N713" s="41" t="s">
        <v>442</v>
      </c>
      <c r="O713" s="42" t="s">
        <v>149</v>
      </c>
      <c r="P713" s="67" t="s">
        <v>505</v>
      </c>
    </row>
    <row r="714">
      <c r="A714" s="44" t="s">
        <v>816</v>
      </c>
      <c r="B714" s="45" t="s">
        <v>25</v>
      </c>
      <c r="C714" s="46" t="s">
        <v>476</v>
      </c>
      <c r="D714" s="47" t="str">
        <f t="shared" si="1"/>
        <v>Active</v>
      </c>
      <c r="E714" s="48">
        <v>42584.0</v>
      </c>
      <c r="F714" s="49"/>
      <c r="G714" s="50">
        <f t="shared" si="2"/>
        <v>122.1333333</v>
      </c>
      <c r="H714" s="51">
        <v>41548.0</v>
      </c>
      <c r="I714" s="50">
        <f t="shared" si="4"/>
        <v>2.836111111</v>
      </c>
      <c r="J714" s="55">
        <v>74.0</v>
      </c>
      <c r="K714" s="56">
        <v>7.9</v>
      </c>
      <c r="L714" s="55">
        <v>50.0</v>
      </c>
      <c r="M714" s="58" t="s">
        <v>42</v>
      </c>
      <c r="N714" s="59" t="s">
        <v>442</v>
      </c>
      <c r="O714" s="60" t="s">
        <v>149</v>
      </c>
      <c r="P714" s="66" t="s">
        <v>505</v>
      </c>
    </row>
    <row r="715">
      <c r="A715" s="29" t="s">
        <v>817</v>
      </c>
      <c r="B715" s="30" t="s">
        <v>25</v>
      </c>
      <c r="C715" s="31" t="s">
        <v>476</v>
      </c>
      <c r="D715" s="32" t="str">
        <f t="shared" si="1"/>
        <v>Active</v>
      </c>
      <c r="E715" s="33">
        <v>42584.0</v>
      </c>
      <c r="F715" s="34"/>
      <c r="G715" s="36">
        <f t="shared" si="2"/>
        <v>122.1333333</v>
      </c>
      <c r="H715" s="37">
        <v>42311.0</v>
      </c>
      <c r="I715" s="36">
        <f t="shared" si="4"/>
        <v>0.7472222222</v>
      </c>
      <c r="J715" s="38">
        <v>68.0</v>
      </c>
      <c r="K715" s="39">
        <v>5.9</v>
      </c>
      <c r="L715" s="38">
        <v>15.0</v>
      </c>
      <c r="M715" s="40" t="s">
        <v>42</v>
      </c>
      <c r="N715" s="41" t="s">
        <v>442</v>
      </c>
      <c r="O715" s="42" t="s">
        <v>149</v>
      </c>
      <c r="P715" s="67" t="s">
        <v>505</v>
      </c>
    </row>
    <row r="716">
      <c r="A716" s="44" t="s">
        <v>818</v>
      </c>
      <c r="B716" s="45" t="s">
        <v>45</v>
      </c>
      <c r="C716" s="46" t="s">
        <v>46</v>
      </c>
      <c r="D716" s="47" t="str">
        <f t="shared" si="1"/>
        <v>Active</v>
      </c>
      <c r="E716" s="48">
        <v>42556.0</v>
      </c>
      <c r="F716" s="49"/>
      <c r="G716" s="50">
        <f t="shared" si="2"/>
        <v>123.0333333</v>
      </c>
      <c r="H716" s="51">
        <v>42309.0</v>
      </c>
      <c r="I716" s="50">
        <f t="shared" si="4"/>
        <v>0.6777777778</v>
      </c>
      <c r="J716" s="55">
        <v>72.0</v>
      </c>
      <c r="K716" s="56">
        <v>8.0</v>
      </c>
      <c r="L716" s="55">
        <v>11.0</v>
      </c>
      <c r="M716" s="58" t="s">
        <v>29</v>
      </c>
      <c r="N716" s="59" t="s">
        <v>442</v>
      </c>
      <c r="O716" s="60" t="s">
        <v>149</v>
      </c>
      <c r="P716" s="66"/>
    </row>
    <row r="717">
      <c r="A717" s="29" t="s">
        <v>819</v>
      </c>
      <c r="B717" s="30" t="s">
        <v>45</v>
      </c>
      <c r="C717" s="31" t="s">
        <v>46</v>
      </c>
      <c r="D717" s="32" t="str">
        <f t="shared" si="1"/>
        <v>Active</v>
      </c>
      <c r="E717" s="33">
        <v>42556.0</v>
      </c>
      <c r="F717" s="34"/>
      <c r="G717" s="36">
        <f t="shared" si="2"/>
        <v>123.0333333</v>
      </c>
      <c r="H717" s="37">
        <v>42430.0</v>
      </c>
      <c r="I717" s="36">
        <f t="shared" si="4"/>
        <v>0.3444444444</v>
      </c>
      <c r="J717" s="38">
        <v>78.0</v>
      </c>
      <c r="K717" s="39">
        <v>8.4</v>
      </c>
      <c r="L717" s="38">
        <v>10.0</v>
      </c>
      <c r="M717" s="40" t="s">
        <v>29</v>
      </c>
      <c r="N717" s="41" t="s">
        <v>442</v>
      </c>
      <c r="O717" s="42" t="s">
        <v>149</v>
      </c>
      <c r="P717" s="67"/>
    </row>
    <row r="718">
      <c r="A718" s="44" t="s">
        <v>820</v>
      </c>
      <c r="B718" s="45" t="s">
        <v>45</v>
      </c>
      <c r="C718" s="46" t="s">
        <v>26</v>
      </c>
      <c r="D718" s="47" t="str">
        <f t="shared" si="1"/>
        <v>Active</v>
      </c>
      <c r="E718" s="48">
        <v>42556.0</v>
      </c>
      <c r="F718" s="49"/>
      <c r="G718" s="50">
        <f t="shared" si="2"/>
        <v>123.0333333</v>
      </c>
      <c r="H718" s="51">
        <v>41671.0</v>
      </c>
      <c r="I718" s="50">
        <f t="shared" si="4"/>
        <v>2.427777778</v>
      </c>
      <c r="J718" s="55">
        <v>88.0</v>
      </c>
      <c r="K718" s="56">
        <v>8.1</v>
      </c>
      <c r="L718" s="55">
        <v>2.5</v>
      </c>
      <c r="M718" s="58" t="s">
        <v>29</v>
      </c>
      <c r="N718" s="59"/>
      <c r="O718" s="60" t="s">
        <v>149</v>
      </c>
      <c r="P718" s="61"/>
    </row>
    <row r="719">
      <c r="A719" s="29" t="s">
        <v>821</v>
      </c>
      <c r="B719" s="30" t="s">
        <v>25</v>
      </c>
      <c r="C719" s="31" t="s">
        <v>26</v>
      </c>
      <c r="D719" s="32" t="str">
        <f t="shared" si="1"/>
        <v>Active</v>
      </c>
      <c r="E719" s="33">
        <v>42556.0</v>
      </c>
      <c r="F719" s="34"/>
      <c r="G719" s="36">
        <f t="shared" si="2"/>
        <v>123.0333333</v>
      </c>
      <c r="H719" s="37">
        <v>41883.0</v>
      </c>
      <c r="I719" s="36">
        <f t="shared" si="4"/>
        <v>1.844444444</v>
      </c>
      <c r="J719" s="38">
        <v>68.0</v>
      </c>
      <c r="K719" s="39">
        <v>7.7</v>
      </c>
      <c r="L719" s="76"/>
      <c r="M719" s="40" t="s">
        <v>114</v>
      </c>
      <c r="N719" s="41" t="s">
        <v>442</v>
      </c>
      <c r="O719" s="42" t="s">
        <v>149</v>
      </c>
      <c r="P719" s="67" t="s">
        <v>505</v>
      </c>
    </row>
    <row r="720">
      <c r="A720" s="44" t="s">
        <v>822</v>
      </c>
      <c r="B720" s="45" t="s">
        <v>25</v>
      </c>
      <c r="C720" s="46" t="s">
        <v>476</v>
      </c>
      <c r="D720" s="47" t="str">
        <f t="shared" si="1"/>
        <v>Active</v>
      </c>
      <c r="E720" s="48">
        <v>42556.0</v>
      </c>
      <c r="F720" s="49"/>
      <c r="G720" s="50">
        <f t="shared" si="2"/>
        <v>123.0333333</v>
      </c>
      <c r="H720" s="51">
        <v>41079.0</v>
      </c>
      <c r="I720" s="50">
        <f t="shared" si="4"/>
        <v>4.044444444</v>
      </c>
      <c r="J720" s="55">
        <v>44.0</v>
      </c>
      <c r="K720" s="56">
        <v>5.4</v>
      </c>
      <c r="L720" s="78"/>
      <c r="M720" s="58" t="s">
        <v>114</v>
      </c>
      <c r="N720" s="59" t="s">
        <v>442</v>
      </c>
      <c r="O720" s="60" t="s">
        <v>149</v>
      </c>
      <c r="P720" s="66" t="s">
        <v>505</v>
      </c>
    </row>
    <row r="721">
      <c r="A721" s="29" t="s">
        <v>823</v>
      </c>
      <c r="B721" s="30" t="s">
        <v>25</v>
      </c>
      <c r="C721" s="31" t="s">
        <v>476</v>
      </c>
      <c r="D721" s="32" t="str">
        <f t="shared" si="1"/>
        <v>Active</v>
      </c>
      <c r="E721" s="33">
        <v>42556.0</v>
      </c>
      <c r="F721" s="34"/>
      <c r="G721" s="36">
        <f t="shared" si="2"/>
        <v>123.0333333</v>
      </c>
      <c r="H721" s="37">
        <v>40695.0</v>
      </c>
      <c r="I721" s="36">
        <f t="shared" si="4"/>
        <v>5.094444444</v>
      </c>
      <c r="J721" s="38">
        <v>56.0</v>
      </c>
      <c r="K721" s="39">
        <v>7.3</v>
      </c>
      <c r="L721" s="76"/>
      <c r="M721" s="40" t="s">
        <v>114</v>
      </c>
      <c r="N721" s="41" t="s">
        <v>442</v>
      </c>
      <c r="O721" s="42" t="s">
        <v>149</v>
      </c>
      <c r="P721" s="67" t="s">
        <v>505</v>
      </c>
    </row>
    <row r="722">
      <c r="A722" s="44" t="s">
        <v>824</v>
      </c>
      <c r="B722" s="45" t="s">
        <v>25</v>
      </c>
      <c r="C722" s="46" t="s">
        <v>476</v>
      </c>
      <c r="D722" s="47" t="str">
        <f t="shared" si="1"/>
        <v>Active</v>
      </c>
      <c r="E722" s="48">
        <v>42556.0</v>
      </c>
      <c r="F722" s="49"/>
      <c r="G722" s="50">
        <f t="shared" si="2"/>
        <v>123.0333333</v>
      </c>
      <c r="H722" s="51">
        <v>40360.0</v>
      </c>
      <c r="I722" s="50">
        <f t="shared" si="4"/>
        <v>6.011111111</v>
      </c>
      <c r="J722" s="55">
        <v>56.0</v>
      </c>
      <c r="K722" s="56">
        <v>7.4</v>
      </c>
      <c r="L722" s="78"/>
      <c r="M722" s="58" t="s">
        <v>114</v>
      </c>
      <c r="N722" s="59" t="s">
        <v>442</v>
      </c>
      <c r="O722" s="60" t="s">
        <v>149</v>
      </c>
      <c r="P722" s="66" t="s">
        <v>505</v>
      </c>
    </row>
    <row r="723">
      <c r="A723" s="29" t="s">
        <v>825</v>
      </c>
      <c r="B723" s="30" t="s">
        <v>25</v>
      </c>
      <c r="C723" s="31" t="s">
        <v>476</v>
      </c>
      <c r="D723" s="32" t="str">
        <f t="shared" si="1"/>
        <v>Active</v>
      </c>
      <c r="E723" s="33">
        <v>42556.0</v>
      </c>
      <c r="F723" s="34"/>
      <c r="G723" s="36">
        <f t="shared" si="2"/>
        <v>123.0333333</v>
      </c>
      <c r="H723" s="37">
        <v>39022.0</v>
      </c>
      <c r="I723" s="36">
        <f t="shared" si="4"/>
        <v>9.677777778</v>
      </c>
      <c r="J723" s="38">
        <v>55.0</v>
      </c>
      <c r="K723" s="39">
        <v>6.7</v>
      </c>
      <c r="L723" s="38">
        <v>10.0</v>
      </c>
      <c r="M723" s="40" t="s">
        <v>29</v>
      </c>
      <c r="N723" s="41" t="s">
        <v>442</v>
      </c>
      <c r="O723" s="42" t="s">
        <v>149</v>
      </c>
      <c r="P723" s="67" t="s">
        <v>505</v>
      </c>
    </row>
    <row r="724">
      <c r="A724" s="44" t="s">
        <v>826</v>
      </c>
      <c r="B724" s="45" t="s">
        <v>25</v>
      </c>
      <c r="C724" s="46" t="s">
        <v>476</v>
      </c>
      <c r="D724" s="47" t="str">
        <f t="shared" si="1"/>
        <v>Active</v>
      </c>
      <c r="E724" s="48">
        <v>42556.0</v>
      </c>
      <c r="F724" s="49"/>
      <c r="G724" s="50">
        <f t="shared" si="2"/>
        <v>123.0333333</v>
      </c>
      <c r="H724" s="51">
        <v>40969.0</v>
      </c>
      <c r="I724" s="50">
        <f t="shared" si="4"/>
        <v>4.344444444</v>
      </c>
      <c r="J724" s="55">
        <v>83.0</v>
      </c>
      <c r="K724" s="56">
        <v>7.5</v>
      </c>
      <c r="L724" s="55">
        <v>5.0</v>
      </c>
      <c r="M724" s="58" t="s">
        <v>95</v>
      </c>
      <c r="N724" s="59" t="s">
        <v>442</v>
      </c>
      <c r="O724" s="60" t="s">
        <v>149</v>
      </c>
      <c r="P724" s="66" t="s">
        <v>505</v>
      </c>
    </row>
    <row r="725">
      <c r="A725" s="29" t="s">
        <v>827</v>
      </c>
      <c r="B725" s="30" t="s">
        <v>25</v>
      </c>
      <c r="C725" s="31" t="s">
        <v>476</v>
      </c>
      <c r="D725" s="32" t="str">
        <f t="shared" si="1"/>
        <v>Active</v>
      </c>
      <c r="E725" s="33">
        <v>42528.0</v>
      </c>
      <c r="F725" s="34"/>
      <c r="G725" s="36">
        <f t="shared" si="2"/>
        <v>123.9666667</v>
      </c>
      <c r="H725" s="37">
        <v>40724.0</v>
      </c>
      <c r="I725" s="36">
        <f t="shared" si="4"/>
        <v>4.936111111</v>
      </c>
      <c r="J725" s="38">
        <v>51.0</v>
      </c>
      <c r="K725" s="39">
        <v>4.8</v>
      </c>
      <c r="L725" s="38">
        <v>7.0</v>
      </c>
      <c r="M725" s="40" t="s">
        <v>31</v>
      </c>
      <c r="N725" s="41" t="s">
        <v>442</v>
      </c>
      <c r="O725" s="42" t="s">
        <v>149</v>
      </c>
      <c r="P725" s="67" t="s">
        <v>505</v>
      </c>
    </row>
    <row r="726">
      <c r="A726" s="44" t="s">
        <v>828</v>
      </c>
      <c r="B726" s="45" t="s">
        <v>25</v>
      </c>
      <c r="C726" s="46" t="s">
        <v>476</v>
      </c>
      <c r="D726" s="47" t="str">
        <f t="shared" si="1"/>
        <v>Active</v>
      </c>
      <c r="E726" s="48">
        <v>42528.0</v>
      </c>
      <c r="F726" s="49"/>
      <c r="G726" s="50">
        <f t="shared" si="2"/>
        <v>123.9666667</v>
      </c>
      <c r="H726" s="51">
        <v>41549.0</v>
      </c>
      <c r="I726" s="50">
        <f t="shared" si="4"/>
        <v>2.680555556</v>
      </c>
      <c r="J726" s="55">
        <v>30.0</v>
      </c>
      <c r="K726" s="56">
        <v>4.8</v>
      </c>
      <c r="L726" s="55">
        <v>7.0</v>
      </c>
      <c r="M726" s="58" t="s">
        <v>31</v>
      </c>
      <c r="N726" s="59" t="s">
        <v>442</v>
      </c>
      <c r="O726" s="60" t="s">
        <v>149</v>
      </c>
      <c r="P726" s="66" t="s">
        <v>505</v>
      </c>
    </row>
    <row r="727">
      <c r="A727" s="29" t="s">
        <v>829</v>
      </c>
      <c r="B727" s="30" t="s">
        <v>25</v>
      </c>
      <c r="C727" s="31" t="s">
        <v>476</v>
      </c>
      <c r="D727" s="32" t="str">
        <f t="shared" si="1"/>
        <v>Active</v>
      </c>
      <c r="E727" s="33">
        <v>42528.0</v>
      </c>
      <c r="F727" s="34"/>
      <c r="G727" s="36">
        <f t="shared" si="2"/>
        <v>123.9666667</v>
      </c>
      <c r="H727" s="37">
        <v>41486.0</v>
      </c>
      <c r="I727" s="36">
        <f t="shared" si="4"/>
        <v>2.852777778</v>
      </c>
      <c r="J727" s="76"/>
      <c r="K727" s="39">
        <v>6.7</v>
      </c>
      <c r="L727" s="76"/>
      <c r="M727" s="40" t="s">
        <v>103</v>
      </c>
      <c r="N727" s="41" t="s">
        <v>442</v>
      </c>
      <c r="O727" s="42" t="s">
        <v>149</v>
      </c>
      <c r="P727" s="67" t="s">
        <v>505</v>
      </c>
    </row>
    <row r="728">
      <c r="A728" s="44" t="s">
        <v>830</v>
      </c>
      <c r="B728" s="45" t="s">
        <v>25</v>
      </c>
      <c r="C728" s="46" t="s">
        <v>476</v>
      </c>
      <c r="D728" s="47" t="str">
        <f t="shared" si="1"/>
        <v>Active</v>
      </c>
      <c r="E728" s="48">
        <v>42528.0</v>
      </c>
      <c r="F728" s="49"/>
      <c r="G728" s="50">
        <f t="shared" si="2"/>
        <v>123.9666667</v>
      </c>
      <c r="H728" s="51">
        <v>41153.0</v>
      </c>
      <c r="I728" s="50">
        <f t="shared" si="4"/>
        <v>3.766666667</v>
      </c>
      <c r="J728" s="55">
        <v>59.0</v>
      </c>
      <c r="K728" s="56">
        <v>5.8</v>
      </c>
      <c r="L728" s="55">
        <v>4.0</v>
      </c>
      <c r="M728" s="58" t="s">
        <v>31</v>
      </c>
      <c r="N728" s="59" t="s">
        <v>442</v>
      </c>
      <c r="O728" s="60" t="s">
        <v>149</v>
      </c>
      <c r="P728" s="66" t="s">
        <v>505</v>
      </c>
    </row>
    <row r="729">
      <c r="A729" s="29" t="s">
        <v>831</v>
      </c>
      <c r="B729" s="30" t="s">
        <v>25</v>
      </c>
      <c r="C729" s="31" t="s">
        <v>476</v>
      </c>
      <c r="D729" s="32" t="str">
        <f t="shared" si="1"/>
        <v>Active</v>
      </c>
      <c r="E729" s="33">
        <v>42528.0</v>
      </c>
      <c r="F729" s="34"/>
      <c r="G729" s="36">
        <f t="shared" si="2"/>
        <v>123.9666667</v>
      </c>
      <c r="H729" s="37">
        <v>40695.0</v>
      </c>
      <c r="I729" s="36">
        <f t="shared" si="4"/>
        <v>5.016666667</v>
      </c>
      <c r="J729" s="38">
        <v>51.0</v>
      </c>
      <c r="K729" s="39">
        <v>3.2</v>
      </c>
      <c r="L729" s="38">
        <v>10.0</v>
      </c>
      <c r="M729" s="40" t="s">
        <v>31</v>
      </c>
      <c r="N729" s="41" t="s">
        <v>442</v>
      </c>
      <c r="O729" s="42" t="s">
        <v>149</v>
      </c>
      <c r="P729" s="67" t="s">
        <v>505</v>
      </c>
    </row>
    <row r="730">
      <c r="A730" s="44" t="s">
        <v>832</v>
      </c>
      <c r="B730" s="45" t="s">
        <v>25</v>
      </c>
      <c r="C730" s="46" t="s">
        <v>476</v>
      </c>
      <c r="D730" s="47" t="str">
        <f t="shared" si="1"/>
        <v>Active</v>
      </c>
      <c r="E730" s="48">
        <v>42528.0</v>
      </c>
      <c r="F730" s="49"/>
      <c r="G730" s="50">
        <f t="shared" si="2"/>
        <v>123.9666667</v>
      </c>
      <c r="H730" s="51">
        <v>40483.0</v>
      </c>
      <c r="I730" s="50">
        <f t="shared" si="4"/>
        <v>5.6</v>
      </c>
      <c r="J730" s="55">
        <v>75.0</v>
      </c>
      <c r="K730" s="56">
        <v>6.9</v>
      </c>
      <c r="L730" s="55">
        <v>4.0</v>
      </c>
      <c r="M730" s="58" t="s">
        <v>103</v>
      </c>
      <c r="N730" s="59" t="s">
        <v>442</v>
      </c>
      <c r="O730" s="60" t="s">
        <v>149</v>
      </c>
      <c r="P730" s="66" t="s">
        <v>505</v>
      </c>
    </row>
    <row r="731">
      <c r="A731" s="29" t="s">
        <v>833</v>
      </c>
      <c r="B731" s="30" t="s">
        <v>25</v>
      </c>
      <c r="C731" s="31" t="s">
        <v>476</v>
      </c>
      <c r="D731" s="32" t="str">
        <f t="shared" si="1"/>
        <v>Active</v>
      </c>
      <c r="E731" s="33">
        <v>42493.0</v>
      </c>
      <c r="F731" s="34"/>
      <c r="G731" s="36">
        <f t="shared" si="2"/>
        <v>125.1</v>
      </c>
      <c r="H731" s="37">
        <v>41030.0</v>
      </c>
      <c r="I731" s="36">
        <f t="shared" si="4"/>
        <v>4.005555556</v>
      </c>
      <c r="J731" s="38">
        <v>54.0</v>
      </c>
      <c r="K731" s="39">
        <v>6.4</v>
      </c>
      <c r="L731" s="38">
        <v>5.0</v>
      </c>
      <c r="M731" s="40" t="s">
        <v>136</v>
      </c>
      <c r="N731" s="41" t="s">
        <v>442</v>
      </c>
      <c r="O731" s="42" t="s">
        <v>149</v>
      </c>
      <c r="P731" s="67" t="s">
        <v>505</v>
      </c>
    </row>
    <row r="732">
      <c r="A732" s="44" t="s">
        <v>834</v>
      </c>
      <c r="B732" s="45" t="s">
        <v>25</v>
      </c>
      <c r="C732" s="46" t="s">
        <v>476</v>
      </c>
      <c r="D732" s="47" t="str">
        <f t="shared" si="1"/>
        <v>Active</v>
      </c>
      <c r="E732" s="48">
        <v>42493.0</v>
      </c>
      <c r="F732" s="49"/>
      <c r="G732" s="50">
        <f t="shared" si="2"/>
        <v>125.1</v>
      </c>
      <c r="H732" s="51">
        <v>40238.0</v>
      </c>
      <c r="I732" s="50">
        <f t="shared" si="4"/>
        <v>6.172222222</v>
      </c>
      <c r="J732" s="55">
        <v>61.0</v>
      </c>
      <c r="K732" s="56">
        <v>7.1</v>
      </c>
      <c r="L732" s="55">
        <v>3.0</v>
      </c>
      <c r="M732" s="58" t="s">
        <v>217</v>
      </c>
      <c r="N732" s="59" t="s">
        <v>442</v>
      </c>
      <c r="O732" s="60" t="s">
        <v>149</v>
      </c>
      <c r="P732" s="66" t="s">
        <v>505</v>
      </c>
    </row>
    <row r="733">
      <c r="A733" s="29" t="s">
        <v>835</v>
      </c>
      <c r="B733" s="30" t="s">
        <v>25</v>
      </c>
      <c r="C733" s="31" t="s">
        <v>476</v>
      </c>
      <c r="D733" s="32" t="str">
        <f t="shared" si="1"/>
        <v>Active</v>
      </c>
      <c r="E733" s="33">
        <v>42493.0</v>
      </c>
      <c r="F733" s="34"/>
      <c r="G733" s="36">
        <f t="shared" si="2"/>
        <v>125.1</v>
      </c>
      <c r="H733" s="37">
        <v>41968.0</v>
      </c>
      <c r="I733" s="36">
        <f t="shared" si="4"/>
        <v>1.438888889</v>
      </c>
      <c r="J733" s="38">
        <v>90.0</v>
      </c>
      <c r="K733" s="39">
        <v>7.3</v>
      </c>
      <c r="L733" s="38">
        <v>3.0</v>
      </c>
      <c r="M733" s="40" t="s">
        <v>29</v>
      </c>
      <c r="N733" s="41" t="s">
        <v>442</v>
      </c>
      <c r="O733" s="42" t="s">
        <v>149</v>
      </c>
      <c r="P733" s="67" t="s">
        <v>505</v>
      </c>
    </row>
    <row r="734">
      <c r="A734" s="44" t="s">
        <v>836</v>
      </c>
      <c r="B734" s="45" t="s">
        <v>25</v>
      </c>
      <c r="C734" s="46" t="s">
        <v>476</v>
      </c>
      <c r="D734" s="47" t="str">
        <f t="shared" si="1"/>
        <v>Active</v>
      </c>
      <c r="E734" s="48">
        <v>42493.0</v>
      </c>
      <c r="F734" s="49"/>
      <c r="G734" s="50">
        <f t="shared" si="2"/>
        <v>125.1</v>
      </c>
      <c r="H734" s="51">
        <v>41395.0</v>
      </c>
      <c r="I734" s="50">
        <f t="shared" si="4"/>
        <v>3.005555556</v>
      </c>
      <c r="J734" s="55">
        <v>72.0</v>
      </c>
      <c r="K734" s="56">
        <v>5.9</v>
      </c>
      <c r="L734" s="55">
        <v>3.0</v>
      </c>
      <c r="M734" s="58" t="s">
        <v>27</v>
      </c>
      <c r="N734" s="59" t="s">
        <v>442</v>
      </c>
      <c r="O734" s="60" t="s">
        <v>149</v>
      </c>
      <c r="P734" s="66" t="s">
        <v>505</v>
      </c>
    </row>
    <row r="735">
      <c r="A735" s="29" t="s">
        <v>837</v>
      </c>
      <c r="B735" s="30" t="s">
        <v>25</v>
      </c>
      <c r="C735" s="31" t="s">
        <v>476</v>
      </c>
      <c r="D735" s="32" t="str">
        <f t="shared" si="1"/>
        <v>Active</v>
      </c>
      <c r="E735" s="33">
        <v>42493.0</v>
      </c>
      <c r="F735" s="34"/>
      <c r="G735" s="36">
        <f t="shared" si="2"/>
        <v>125.1</v>
      </c>
      <c r="H735" s="37">
        <v>39714.0</v>
      </c>
      <c r="I735" s="36">
        <f t="shared" si="4"/>
        <v>7.611111111</v>
      </c>
      <c r="J735" s="38">
        <v>76.0</v>
      </c>
      <c r="K735" s="39">
        <v>7.8</v>
      </c>
      <c r="L735" s="38">
        <v>10.0</v>
      </c>
      <c r="M735" s="40" t="s">
        <v>29</v>
      </c>
      <c r="N735" s="41" t="s">
        <v>442</v>
      </c>
      <c r="O735" s="42" t="s">
        <v>149</v>
      </c>
      <c r="P735" s="67"/>
    </row>
    <row r="736">
      <c r="A736" s="44" t="s">
        <v>838</v>
      </c>
      <c r="B736" s="45" t="s">
        <v>25</v>
      </c>
      <c r="C736" s="46" t="s">
        <v>476</v>
      </c>
      <c r="D736" s="47" t="str">
        <f t="shared" si="1"/>
        <v>Active</v>
      </c>
      <c r="E736" s="48">
        <v>42493.0</v>
      </c>
      <c r="F736" s="49"/>
      <c r="G736" s="50">
        <f t="shared" si="2"/>
        <v>125.1</v>
      </c>
      <c r="H736" s="51">
        <v>39814.0</v>
      </c>
      <c r="I736" s="50">
        <f t="shared" si="4"/>
        <v>7.338888889</v>
      </c>
      <c r="J736" s="55">
        <v>66.0</v>
      </c>
      <c r="K736" s="56">
        <v>6.9</v>
      </c>
      <c r="L736" s="55">
        <v>3.0</v>
      </c>
      <c r="M736" s="58" t="s">
        <v>217</v>
      </c>
      <c r="N736" s="59" t="s">
        <v>442</v>
      </c>
      <c r="O736" s="60" t="s">
        <v>149</v>
      </c>
      <c r="P736" s="66" t="s">
        <v>505</v>
      </c>
    </row>
    <row r="737">
      <c r="A737" s="29" t="s">
        <v>839</v>
      </c>
      <c r="B737" s="30" t="s">
        <v>25</v>
      </c>
      <c r="C737" s="31" t="s">
        <v>476</v>
      </c>
      <c r="D737" s="32" t="str">
        <f t="shared" si="1"/>
        <v>Active</v>
      </c>
      <c r="E737" s="33">
        <v>42472.0</v>
      </c>
      <c r="F737" s="34"/>
      <c r="G737" s="36">
        <f t="shared" si="2"/>
        <v>125.8</v>
      </c>
      <c r="H737" s="37">
        <v>38363.0</v>
      </c>
      <c r="I737" s="36">
        <f t="shared" si="4"/>
        <v>11.25277778</v>
      </c>
      <c r="J737" s="38">
        <v>76.0</v>
      </c>
      <c r="K737" s="39">
        <v>9.0</v>
      </c>
      <c r="L737" s="38">
        <v>16.0</v>
      </c>
      <c r="M737" s="40" t="s">
        <v>31</v>
      </c>
      <c r="N737" s="41" t="s">
        <v>442</v>
      </c>
      <c r="O737" s="42" t="s">
        <v>149</v>
      </c>
      <c r="P737" s="67"/>
    </row>
    <row r="738">
      <c r="A738" s="44" t="s">
        <v>840</v>
      </c>
      <c r="B738" s="45" t="s">
        <v>25</v>
      </c>
      <c r="C738" s="46" t="s">
        <v>476</v>
      </c>
      <c r="D738" s="47" t="str">
        <f t="shared" si="1"/>
        <v>Active</v>
      </c>
      <c r="E738" s="48">
        <v>42472.0</v>
      </c>
      <c r="F738" s="49"/>
      <c r="G738" s="50">
        <f t="shared" si="2"/>
        <v>125.8</v>
      </c>
      <c r="H738" s="51">
        <v>41030.0</v>
      </c>
      <c r="I738" s="50">
        <f t="shared" si="4"/>
        <v>3.947222222</v>
      </c>
      <c r="J738" s="55">
        <v>52.0</v>
      </c>
      <c r="K738" s="56">
        <v>5.5</v>
      </c>
      <c r="L738" s="55">
        <v>6.0</v>
      </c>
      <c r="M738" s="58" t="s">
        <v>31</v>
      </c>
      <c r="N738" s="59" t="s">
        <v>442</v>
      </c>
      <c r="O738" s="60" t="s">
        <v>149</v>
      </c>
      <c r="P738" s="66" t="s">
        <v>505</v>
      </c>
    </row>
    <row r="739">
      <c r="A739" s="29" t="s">
        <v>841</v>
      </c>
      <c r="B739" s="30" t="s">
        <v>25</v>
      </c>
      <c r="C739" s="31" t="s">
        <v>476</v>
      </c>
      <c r="D739" s="32" t="str">
        <f t="shared" si="1"/>
        <v>Active</v>
      </c>
      <c r="E739" s="33">
        <v>42472.0</v>
      </c>
      <c r="F739" s="34"/>
      <c r="G739" s="36">
        <f t="shared" si="2"/>
        <v>125.8</v>
      </c>
      <c r="H739" s="37">
        <v>41395.0</v>
      </c>
      <c r="I739" s="36">
        <f t="shared" si="4"/>
        <v>2.947222222</v>
      </c>
      <c r="J739" s="38">
        <v>78.0</v>
      </c>
      <c r="K739" s="39">
        <v>8.0</v>
      </c>
      <c r="L739" s="38">
        <v>9.0</v>
      </c>
      <c r="M739" s="40" t="s">
        <v>29</v>
      </c>
      <c r="N739" s="41" t="s">
        <v>442</v>
      </c>
      <c r="O739" s="42" t="s">
        <v>149</v>
      </c>
      <c r="P739" s="67" t="s">
        <v>505</v>
      </c>
    </row>
    <row r="740">
      <c r="A740" s="44" t="s">
        <v>842</v>
      </c>
      <c r="B740" s="45" t="s">
        <v>25</v>
      </c>
      <c r="C740" s="46" t="s">
        <v>476</v>
      </c>
      <c r="D740" s="47" t="str">
        <f t="shared" si="1"/>
        <v>Active</v>
      </c>
      <c r="E740" s="48">
        <v>42472.0</v>
      </c>
      <c r="F740" s="49"/>
      <c r="G740" s="50">
        <f t="shared" si="2"/>
        <v>125.8</v>
      </c>
      <c r="H740" s="51">
        <v>41395.0</v>
      </c>
      <c r="I740" s="50">
        <f t="shared" si="4"/>
        <v>2.947222222</v>
      </c>
      <c r="J740" s="55">
        <v>75.0</v>
      </c>
      <c r="K740" s="56">
        <v>7.5</v>
      </c>
      <c r="L740" s="55">
        <v>10.0</v>
      </c>
      <c r="M740" s="58" t="s">
        <v>29</v>
      </c>
      <c r="N740" s="59" t="s">
        <v>442</v>
      </c>
      <c r="O740" s="60" t="s">
        <v>149</v>
      </c>
      <c r="P740" s="66" t="s">
        <v>505</v>
      </c>
    </row>
    <row r="741">
      <c r="A741" s="29" t="s">
        <v>843</v>
      </c>
      <c r="B741" s="30" t="s">
        <v>25</v>
      </c>
      <c r="C741" s="31" t="s">
        <v>476</v>
      </c>
      <c r="D741" s="32" t="str">
        <f t="shared" si="1"/>
        <v>Active</v>
      </c>
      <c r="E741" s="33">
        <v>42466.0</v>
      </c>
      <c r="F741" s="34"/>
      <c r="G741" s="36">
        <f t="shared" si="2"/>
        <v>126</v>
      </c>
      <c r="H741" s="37">
        <v>40193.0</v>
      </c>
      <c r="I741" s="36">
        <f t="shared" si="4"/>
        <v>6.225</v>
      </c>
      <c r="J741" s="38">
        <v>59.0</v>
      </c>
      <c r="K741" s="39">
        <v>6.0</v>
      </c>
      <c r="L741" s="38">
        <v>7.5</v>
      </c>
      <c r="M741" s="40" t="s">
        <v>31</v>
      </c>
      <c r="N741" s="41" t="s">
        <v>442</v>
      </c>
      <c r="O741" s="42" t="s">
        <v>149</v>
      </c>
      <c r="P741" s="67"/>
    </row>
    <row r="742">
      <c r="A742" s="44" t="s">
        <v>844</v>
      </c>
      <c r="B742" s="45" t="s">
        <v>25</v>
      </c>
      <c r="C742" s="46" t="s">
        <v>476</v>
      </c>
      <c r="D742" s="47" t="str">
        <f t="shared" si="1"/>
        <v>Active</v>
      </c>
      <c r="E742" s="48">
        <v>42466.0</v>
      </c>
      <c r="F742" s="49"/>
      <c r="G742" s="50">
        <f t="shared" si="2"/>
        <v>126</v>
      </c>
      <c r="H742" s="51">
        <v>41395.0</v>
      </c>
      <c r="I742" s="50">
        <f t="shared" si="4"/>
        <v>2.930555556</v>
      </c>
      <c r="J742" s="55">
        <v>80.0</v>
      </c>
      <c r="K742" s="56">
        <v>7.6</v>
      </c>
      <c r="L742" s="78"/>
      <c r="M742" s="58" t="s">
        <v>114</v>
      </c>
      <c r="N742" s="59" t="s">
        <v>442</v>
      </c>
      <c r="O742" s="60" t="s">
        <v>149</v>
      </c>
      <c r="P742" s="66" t="s">
        <v>505</v>
      </c>
    </row>
    <row r="743">
      <c r="A743" s="29" t="s">
        <v>845</v>
      </c>
      <c r="B743" s="30" t="s">
        <v>25</v>
      </c>
      <c r="C743" s="31" t="s">
        <v>476</v>
      </c>
      <c r="D743" s="32" t="str">
        <f t="shared" si="1"/>
        <v>Active</v>
      </c>
      <c r="E743" s="33">
        <v>42466.0</v>
      </c>
      <c r="F743" s="34"/>
      <c r="G743" s="36">
        <f t="shared" si="2"/>
        <v>126</v>
      </c>
      <c r="H743" s="37">
        <v>39479.0</v>
      </c>
      <c r="I743" s="36">
        <f t="shared" si="4"/>
        <v>8.180555556</v>
      </c>
      <c r="J743" s="38">
        <v>84.0</v>
      </c>
      <c r="K743" s="39">
        <v>8.1</v>
      </c>
      <c r="L743" s="38">
        <v>12.0</v>
      </c>
      <c r="M743" s="40" t="s">
        <v>29</v>
      </c>
      <c r="N743" s="41" t="s">
        <v>442</v>
      </c>
      <c r="O743" s="42" t="s">
        <v>149</v>
      </c>
      <c r="P743" s="67" t="s">
        <v>505</v>
      </c>
    </row>
    <row r="744">
      <c r="A744" s="44" t="s">
        <v>846</v>
      </c>
      <c r="B744" s="45" t="s">
        <v>25</v>
      </c>
      <c r="C744" s="46" t="s">
        <v>476</v>
      </c>
      <c r="D744" s="47" t="str">
        <f t="shared" si="1"/>
        <v>Active</v>
      </c>
      <c r="E744" s="48">
        <v>42466.0</v>
      </c>
      <c r="F744" s="49"/>
      <c r="G744" s="50">
        <f t="shared" si="2"/>
        <v>126</v>
      </c>
      <c r="H744" s="51">
        <v>40969.0</v>
      </c>
      <c r="I744" s="50">
        <f t="shared" si="4"/>
        <v>4.097222222</v>
      </c>
      <c r="J744" s="55">
        <v>74.0</v>
      </c>
      <c r="K744" s="56">
        <v>8.0</v>
      </c>
      <c r="L744" s="55">
        <v>30.0</v>
      </c>
      <c r="M744" s="58" t="s">
        <v>29</v>
      </c>
      <c r="N744" s="59" t="s">
        <v>442</v>
      </c>
      <c r="O744" s="60" t="s">
        <v>149</v>
      </c>
      <c r="P744" s="66" t="s">
        <v>505</v>
      </c>
    </row>
    <row r="745">
      <c r="A745" s="29" t="s">
        <v>847</v>
      </c>
      <c r="B745" s="30" t="s">
        <v>45</v>
      </c>
      <c r="C745" s="31" t="s">
        <v>26</v>
      </c>
      <c r="D745" s="32" t="str">
        <f t="shared" si="1"/>
        <v>Active</v>
      </c>
      <c r="E745" s="33">
        <v>42417.0</v>
      </c>
      <c r="F745" s="34"/>
      <c r="G745" s="36">
        <f t="shared" si="2"/>
        <v>127.6333333</v>
      </c>
      <c r="H745" s="37">
        <v>41677.0</v>
      </c>
      <c r="I745" s="36">
        <f t="shared" si="4"/>
        <v>2.027777778</v>
      </c>
      <c r="J745" s="38">
        <v>74.0</v>
      </c>
      <c r="K745" s="39">
        <v>7.4</v>
      </c>
      <c r="L745" s="38">
        <v>8.0</v>
      </c>
      <c r="M745" s="40" t="s">
        <v>29</v>
      </c>
      <c r="N745" s="41"/>
      <c r="O745" s="42" t="s">
        <v>149</v>
      </c>
      <c r="P745" s="43" t="s">
        <v>149</v>
      </c>
    </row>
    <row r="746">
      <c r="A746" s="44" t="s">
        <v>848</v>
      </c>
      <c r="B746" s="45" t="s">
        <v>25</v>
      </c>
      <c r="C746" s="46" t="s">
        <v>476</v>
      </c>
      <c r="D746" s="47" t="str">
        <f t="shared" si="1"/>
        <v>Active</v>
      </c>
      <c r="E746" s="48">
        <v>42417.0</v>
      </c>
      <c r="F746" s="49"/>
      <c r="G746" s="50">
        <f t="shared" si="2"/>
        <v>127.6333333</v>
      </c>
      <c r="H746" s="51">
        <v>39173.0</v>
      </c>
      <c r="I746" s="50">
        <f t="shared" si="4"/>
        <v>8.877777778</v>
      </c>
      <c r="J746" s="55">
        <v>72.0</v>
      </c>
      <c r="K746" s="56">
        <v>8.6</v>
      </c>
      <c r="L746" s="55">
        <v>8.0</v>
      </c>
      <c r="M746" s="58" t="s">
        <v>31</v>
      </c>
      <c r="N746" s="59" t="s">
        <v>442</v>
      </c>
      <c r="O746" s="60" t="s">
        <v>149</v>
      </c>
      <c r="P746" s="66" t="s">
        <v>505</v>
      </c>
    </row>
    <row r="747">
      <c r="A747" s="29" t="s">
        <v>849</v>
      </c>
      <c r="B747" s="30" t="s">
        <v>25</v>
      </c>
      <c r="C747" s="31" t="s">
        <v>476</v>
      </c>
      <c r="D747" s="32" t="str">
        <f t="shared" si="1"/>
        <v>Active</v>
      </c>
      <c r="E747" s="33">
        <v>42417.0</v>
      </c>
      <c r="F747" s="34"/>
      <c r="G747" s="36">
        <f t="shared" si="2"/>
        <v>127.6333333</v>
      </c>
      <c r="H747" s="37">
        <v>41609.0</v>
      </c>
      <c r="I747" s="36">
        <f t="shared" si="4"/>
        <v>2.211111111</v>
      </c>
      <c r="J747" s="38">
        <v>70.0</v>
      </c>
      <c r="K747" s="39">
        <v>7.7</v>
      </c>
      <c r="L747" s="38">
        <v>5.0</v>
      </c>
      <c r="M747" s="40" t="s">
        <v>114</v>
      </c>
      <c r="N747" s="41" t="s">
        <v>442</v>
      </c>
      <c r="O747" s="42" t="s">
        <v>149</v>
      </c>
      <c r="P747" s="67" t="s">
        <v>505</v>
      </c>
    </row>
    <row r="748">
      <c r="A748" s="44" t="s">
        <v>850</v>
      </c>
      <c r="B748" s="45" t="s">
        <v>25</v>
      </c>
      <c r="C748" s="46" t="s">
        <v>476</v>
      </c>
      <c r="D748" s="47" t="str">
        <f t="shared" si="1"/>
        <v>Active</v>
      </c>
      <c r="E748" s="48">
        <v>42402.0</v>
      </c>
      <c r="F748" s="49"/>
      <c r="G748" s="50">
        <f t="shared" si="2"/>
        <v>128.1333333</v>
      </c>
      <c r="H748" s="51">
        <v>41944.0</v>
      </c>
      <c r="I748" s="50">
        <f t="shared" si="4"/>
        <v>1.252777778</v>
      </c>
      <c r="J748" s="55">
        <v>40.0</v>
      </c>
      <c r="K748" s="56">
        <v>4.9</v>
      </c>
      <c r="L748" s="55">
        <v>8.0</v>
      </c>
      <c r="M748" s="58" t="s">
        <v>29</v>
      </c>
      <c r="N748" s="59" t="s">
        <v>442</v>
      </c>
      <c r="O748" s="60" t="s">
        <v>149</v>
      </c>
      <c r="P748" s="66" t="s">
        <v>505</v>
      </c>
    </row>
    <row r="749">
      <c r="A749" s="29" t="s">
        <v>851</v>
      </c>
      <c r="B749" s="30" t="s">
        <v>25</v>
      </c>
      <c r="C749" s="31" t="s">
        <v>476</v>
      </c>
      <c r="D749" s="32" t="str">
        <f t="shared" si="1"/>
        <v>Active</v>
      </c>
      <c r="E749" s="33">
        <v>42402.0</v>
      </c>
      <c r="F749" s="34"/>
      <c r="G749" s="36">
        <f t="shared" si="2"/>
        <v>128.1333333</v>
      </c>
      <c r="H749" s="37">
        <v>41456.0</v>
      </c>
      <c r="I749" s="36">
        <f t="shared" si="4"/>
        <v>2.586111111</v>
      </c>
      <c r="J749" s="38">
        <v>55.0</v>
      </c>
      <c r="K749" s="39">
        <v>6.0</v>
      </c>
      <c r="L749" s="38">
        <v>3.0</v>
      </c>
      <c r="M749" s="40" t="s">
        <v>31</v>
      </c>
      <c r="N749" s="41" t="s">
        <v>442</v>
      </c>
      <c r="O749" s="42" t="s">
        <v>149</v>
      </c>
      <c r="P749" s="67" t="s">
        <v>505</v>
      </c>
    </row>
    <row r="750">
      <c r="A750" s="44" t="s">
        <v>852</v>
      </c>
      <c r="B750" s="45" t="s">
        <v>25</v>
      </c>
      <c r="C750" s="46" t="s">
        <v>476</v>
      </c>
      <c r="D750" s="47" t="str">
        <f t="shared" si="1"/>
        <v>Active</v>
      </c>
      <c r="E750" s="48">
        <v>42402.0</v>
      </c>
      <c r="F750" s="49"/>
      <c r="G750" s="50">
        <f t="shared" si="2"/>
        <v>128.1333333</v>
      </c>
      <c r="H750" s="51">
        <v>41852.0</v>
      </c>
      <c r="I750" s="50">
        <f t="shared" si="4"/>
        <v>1.502777778</v>
      </c>
      <c r="J750" s="55">
        <v>56.0</v>
      </c>
      <c r="K750" s="56">
        <v>5.1</v>
      </c>
      <c r="L750" s="55">
        <v>10.0</v>
      </c>
      <c r="M750" s="58" t="s">
        <v>29</v>
      </c>
      <c r="N750" s="59" t="s">
        <v>442</v>
      </c>
      <c r="O750" s="60" t="s">
        <v>149</v>
      </c>
      <c r="P750" s="66" t="s">
        <v>505</v>
      </c>
    </row>
    <row r="751">
      <c r="A751" s="29" t="s">
        <v>853</v>
      </c>
      <c r="B751" s="30" t="s">
        <v>25</v>
      </c>
      <c r="C751" s="31" t="s">
        <v>476</v>
      </c>
      <c r="D751" s="32" t="str">
        <f t="shared" si="1"/>
        <v>Active</v>
      </c>
      <c r="E751" s="33">
        <v>42402.0</v>
      </c>
      <c r="F751" s="34"/>
      <c r="G751" s="36">
        <f t="shared" si="2"/>
        <v>128.1333333</v>
      </c>
      <c r="H751" s="37">
        <v>41381.0</v>
      </c>
      <c r="I751" s="36">
        <f t="shared" si="4"/>
        <v>2.791666667</v>
      </c>
      <c r="J751" s="38">
        <v>63.0</v>
      </c>
      <c r="K751" s="39">
        <v>6.3</v>
      </c>
      <c r="L751" s="38">
        <v>5.0</v>
      </c>
      <c r="M751" s="40" t="s">
        <v>29</v>
      </c>
      <c r="N751" s="41" t="s">
        <v>442</v>
      </c>
      <c r="O751" s="42" t="s">
        <v>149</v>
      </c>
      <c r="P751" s="67"/>
    </row>
    <row r="752">
      <c r="A752" s="44" t="s">
        <v>854</v>
      </c>
      <c r="B752" s="45" t="s">
        <v>25</v>
      </c>
      <c r="C752" s="46" t="s">
        <v>476</v>
      </c>
      <c r="D752" s="47" t="str">
        <f t="shared" si="1"/>
        <v>Active</v>
      </c>
      <c r="E752" s="48">
        <v>42374.0</v>
      </c>
      <c r="F752" s="49"/>
      <c r="G752" s="50">
        <f t="shared" si="2"/>
        <v>129.0333333</v>
      </c>
      <c r="H752" s="51">
        <v>40087.0</v>
      </c>
      <c r="I752" s="50">
        <f t="shared" si="4"/>
        <v>6.261111111</v>
      </c>
      <c r="J752" s="55">
        <v>46.0</v>
      </c>
      <c r="K752" s="56">
        <v>3.5</v>
      </c>
      <c r="L752" s="78"/>
      <c r="M752" s="58" t="s">
        <v>82</v>
      </c>
      <c r="N752" s="59" t="s">
        <v>442</v>
      </c>
      <c r="O752" s="60" t="s">
        <v>149</v>
      </c>
      <c r="P752" s="66" t="s">
        <v>505</v>
      </c>
    </row>
    <row r="753">
      <c r="A753" s="29" t="s">
        <v>855</v>
      </c>
      <c r="B753" s="30" t="s">
        <v>25</v>
      </c>
      <c r="C753" s="31" t="s">
        <v>476</v>
      </c>
      <c r="D753" s="32" t="str">
        <f t="shared" si="1"/>
        <v>Active</v>
      </c>
      <c r="E753" s="33">
        <v>42374.0</v>
      </c>
      <c r="F753" s="34"/>
      <c r="G753" s="36">
        <f t="shared" si="2"/>
        <v>129.0333333</v>
      </c>
      <c r="H753" s="37">
        <v>40436.0</v>
      </c>
      <c r="I753" s="36">
        <f t="shared" si="4"/>
        <v>5.305555556</v>
      </c>
      <c r="J753" s="38">
        <v>59.0</v>
      </c>
      <c r="K753" s="79"/>
      <c r="L753" s="76"/>
      <c r="M753" s="40" t="s">
        <v>95</v>
      </c>
      <c r="N753" s="41" t="s">
        <v>442</v>
      </c>
      <c r="O753" s="42" t="s">
        <v>149</v>
      </c>
      <c r="P753" s="67" t="s">
        <v>505</v>
      </c>
    </row>
    <row r="754">
      <c r="A754" s="44" t="s">
        <v>856</v>
      </c>
      <c r="B754" s="45" t="s">
        <v>25</v>
      </c>
      <c r="C754" s="46" t="s">
        <v>476</v>
      </c>
      <c r="D754" s="47" t="str">
        <f t="shared" si="1"/>
        <v>Active</v>
      </c>
      <c r="E754" s="48">
        <v>42374.0</v>
      </c>
      <c r="F754" s="49"/>
      <c r="G754" s="50">
        <f t="shared" si="2"/>
        <v>129.0333333</v>
      </c>
      <c r="H754" s="51">
        <v>40078.0</v>
      </c>
      <c r="I754" s="50">
        <f t="shared" si="4"/>
        <v>6.286111111</v>
      </c>
      <c r="J754" s="55">
        <v>62.0</v>
      </c>
      <c r="K754" s="77"/>
      <c r="L754" s="78"/>
      <c r="M754" s="58" t="s">
        <v>95</v>
      </c>
      <c r="N754" s="59" t="s">
        <v>442</v>
      </c>
      <c r="O754" s="60" t="s">
        <v>149</v>
      </c>
      <c r="P754" s="66" t="s">
        <v>149</v>
      </c>
    </row>
    <row r="755">
      <c r="A755" s="29" t="s">
        <v>857</v>
      </c>
      <c r="B755" s="30" t="s">
        <v>25</v>
      </c>
      <c r="C755" s="31" t="s">
        <v>476</v>
      </c>
      <c r="D755" s="32" t="str">
        <f t="shared" si="1"/>
        <v>Active</v>
      </c>
      <c r="E755" s="33">
        <v>42374.0</v>
      </c>
      <c r="F755" s="34"/>
      <c r="G755" s="36">
        <f t="shared" si="2"/>
        <v>129.0333333</v>
      </c>
      <c r="H755" s="37">
        <v>41244.0</v>
      </c>
      <c r="I755" s="36">
        <f t="shared" si="4"/>
        <v>3.094444444</v>
      </c>
      <c r="J755" s="38">
        <v>71.0</v>
      </c>
      <c r="K755" s="39">
        <v>7.1</v>
      </c>
      <c r="L755" s="76"/>
      <c r="M755" s="40" t="s">
        <v>31</v>
      </c>
      <c r="N755" s="41" t="s">
        <v>442</v>
      </c>
      <c r="O755" s="42" t="s">
        <v>149</v>
      </c>
      <c r="P755" s="67" t="s">
        <v>149</v>
      </c>
    </row>
    <row r="756">
      <c r="A756" s="44" t="s">
        <v>858</v>
      </c>
      <c r="B756" s="45" t="s">
        <v>25</v>
      </c>
      <c r="C756" s="46" t="s">
        <v>476</v>
      </c>
      <c r="D756" s="47" t="str">
        <f t="shared" si="1"/>
        <v>Active</v>
      </c>
      <c r="E756" s="48">
        <v>42374.0</v>
      </c>
      <c r="F756" s="49"/>
      <c r="G756" s="50">
        <f t="shared" si="2"/>
        <v>129.0333333</v>
      </c>
      <c r="H756" s="51">
        <v>41974.0</v>
      </c>
      <c r="I756" s="50">
        <f t="shared" si="4"/>
        <v>1.094444444</v>
      </c>
      <c r="J756" s="55">
        <v>40.0</v>
      </c>
      <c r="K756" s="56">
        <v>7.2</v>
      </c>
      <c r="L756" s="55">
        <v>45.0</v>
      </c>
      <c r="M756" s="58" t="s">
        <v>42</v>
      </c>
      <c r="N756" s="59" t="s">
        <v>442</v>
      </c>
      <c r="O756" s="60" t="s">
        <v>149</v>
      </c>
      <c r="P756" s="66" t="s">
        <v>149</v>
      </c>
    </row>
    <row r="757">
      <c r="A757" s="29" t="s">
        <v>859</v>
      </c>
      <c r="B757" s="30" t="s">
        <v>25</v>
      </c>
      <c r="C757" s="31" t="s">
        <v>476</v>
      </c>
      <c r="D757" s="32" t="str">
        <f t="shared" si="1"/>
        <v>Active</v>
      </c>
      <c r="E757" s="33">
        <v>42374.0</v>
      </c>
      <c r="F757" s="34"/>
      <c r="G757" s="36">
        <f t="shared" si="2"/>
        <v>129.0333333</v>
      </c>
      <c r="H757" s="37">
        <v>39783.0</v>
      </c>
      <c r="I757" s="36">
        <f t="shared" si="4"/>
        <v>7.094444444</v>
      </c>
      <c r="J757" s="38">
        <v>78.0</v>
      </c>
      <c r="K757" s="39">
        <v>7.2</v>
      </c>
      <c r="L757" s="38">
        <v>3.0</v>
      </c>
      <c r="M757" s="40" t="s">
        <v>31</v>
      </c>
      <c r="N757" s="41" t="s">
        <v>442</v>
      </c>
      <c r="O757" s="42" t="s">
        <v>149</v>
      </c>
      <c r="P757" s="67" t="s">
        <v>149</v>
      </c>
    </row>
    <row r="758">
      <c r="A758" s="44" t="s">
        <v>860</v>
      </c>
      <c r="B758" s="45" t="s">
        <v>25</v>
      </c>
      <c r="C758" s="46" t="s">
        <v>476</v>
      </c>
      <c r="D758" s="47" t="str">
        <f t="shared" si="1"/>
        <v>Active</v>
      </c>
      <c r="E758" s="48">
        <v>42374.0</v>
      </c>
      <c r="F758" s="49"/>
      <c r="G758" s="50">
        <f t="shared" si="2"/>
        <v>129.0333333</v>
      </c>
      <c r="H758" s="51">
        <v>39508.0</v>
      </c>
      <c r="I758" s="50">
        <f t="shared" si="4"/>
        <v>7.844444444</v>
      </c>
      <c r="J758" s="55">
        <v>81.0</v>
      </c>
      <c r="K758" s="56">
        <v>8.4</v>
      </c>
      <c r="L758" s="55">
        <v>15.0</v>
      </c>
      <c r="M758" s="58" t="s">
        <v>861</v>
      </c>
      <c r="N758" s="59" t="s">
        <v>442</v>
      </c>
      <c r="O758" s="60" t="s">
        <v>149</v>
      </c>
      <c r="P758" s="66" t="s">
        <v>505</v>
      </c>
    </row>
    <row r="759">
      <c r="A759" s="29" t="s">
        <v>862</v>
      </c>
      <c r="B759" s="30" t="s">
        <v>25</v>
      </c>
      <c r="C759" s="31" t="s">
        <v>476</v>
      </c>
      <c r="D759" s="32" t="str">
        <f t="shared" si="1"/>
        <v>Active</v>
      </c>
      <c r="E759" s="33">
        <v>42374.0</v>
      </c>
      <c r="F759" s="34"/>
      <c r="G759" s="36">
        <f t="shared" si="2"/>
        <v>129.0333333</v>
      </c>
      <c r="H759" s="37">
        <v>40940.0</v>
      </c>
      <c r="I759" s="36">
        <f t="shared" si="4"/>
        <v>3.927777778</v>
      </c>
      <c r="J759" s="38">
        <v>80.0</v>
      </c>
      <c r="K759" s="39">
        <v>7.7</v>
      </c>
      <c r="L759" s="38">
        <v>14.0</v>
      </c>
      <c r="M759" s="40" t="s">
        <v>861</v>
      </c>
      <c r="N759" s="41" t="s">
        <v>442</v>
      </c>
      <c r="O759" s="42" t="s">
        <v>149</v>
      </c>
      <c r="P759" s="67" t="s">
        <v>505</v>
      </c>
    </row>
    <row r="760">
      <c r="A760" s="44" t="s">
        <v>863</v>
      </c>
      <c r="B760" s="45" t="s">
        <v>25</v>
      </c>
      <c r="C760" s="46" t="s">
        <v>476</v>
      </c>
      <c r="D760" s="47" t="str">
        <f t="shared" si="1"/>
        <v>Active</v>
      </c>
      <c r="E760" s="48">
        <v>42374.0</v>
      </c>
      <c r="F760" s="49"/>
      <c r="G760" s="50">
        <f t="shared" si="2"/>
        <v>129.0333333</v>
      </c>
      <c r="H760" s="51">
        <v>41883.0</v>
      </c>
      <c r="I760" s="50">
        <f t="shared" si="4"/>
        <v>1.344444444</v>
      </c>
      <c r="J760" s="55">
        <v>50.0</v>
      </c>
      <c r="K760" s="56">
        <v>6.2</v>
      </c>
      <c r="L760" s="55">
        <v>8.0</v>
      </c>
      <c r="M760" s="58" t="s">
        <v>29</v>
      </c>
      <c r="N760" s="59" t="s">
        <v>442</v>
      </c>
      <c r="O760" s="60" t="s">
        <v>149</v>
      </c>
      <c r="P760" s="66" t="s">
        <v>505</v>
      </c>
    </row>
    <row r="761">
      <c r="A761" s="29" t="s">
        <v>864</v>
      </c>
      <c r="B761" s="30" t="s">
        <v>25</v>
      </c>
      <c r="C761" s="31" t="s">
        <v>476</v>
      </c>
      <c r="D761" s="32" t="str">
        <f t="shared" si="1"/>
        <v>Active</v>
      </c>
      <c r="E761" s="33">
        <v>42374.0</v>
      </c>
      <c r="F761" s="34"/>
      <c r="G761" s="36">
        <f t="shared" si="2"/>
        <v>129.0333333</v>
      </c>
      <c r="H761" s="37">
        <v>39722.0</v>
      </c>
      <c r="I761" s="36">
        <f t="shared" si="4"/>
        <v>7.261111111</v>
      </c>
      <c r="J761" s="38">
        <v>59.0</v>
      </c>
      <c r="K761" s="39">
        <v>6.4</v>
      </c>
      <c r="L761" s="38">
        <v>1.0</v>
      </c>
      <c r="M761" s="40" t="s">
        <v>865</v>
      </c>
      <c r="N761" s="41" t="s">
        <v>442</v>
      </c>
      <c r="O761" s="42" t="s">
        <v>149</v>
      </c>
      <c r="P761" s="67" t="s">
        <v>505</v>
      </c>
    </row>
    <row r="762">
      <c r="A762" s="44" t="s">
        <v>866</v>
      </c>
      <c r="B762" s="45" t="s">
        <v>25</v>
      </c>
      <c r="C762" s="46" t="s">
        <v>476</v>
      </c>
      <c r="D762" s="47" t="str">
        <f t="shared" si="1"/>
        <v>Active</v>
      </c>
      <c r="E762" s="48">
        <v>42374.0</v>
      </c>
      <c r="F762" s="49"/>
      <c r="G762" s="50">
        <f t="shared" si="2"/>
        <v>129.0333333</v>
      </c>
      <c r="H762" s="51">
        <v>39326.0</v>
      </c>
      <c r="I762" s="50">
        <f t="shared" si="4"/>
        <v>8.344444444</v>
      </c>
      <c r="J762" s="55">
        <v>72.0</v>
      </c>
      <c r="K762" s="56">
        <v>7.3</v>
      </c>
      <c r="L762" s="55">
        <v>2.0</v>
      </c>
      <c r="M762" s="58" t="s">
        <v>27</v>
      </c>
      <c r="N762" s="59" t="s">
        <v>442</v>
      </c>
      <c r="O762" s="60" t="s">
        <v>149</v>
      </c>
      <c r="P762" s="66" t="s">
        <v>505</v>
      </c>
    </row>
    <row r="763">
      <c r="A763" s="29" t="s">
        <v>867</v>
      </c>
      <c r="B763" s="30" t="s">
        <v>25</v>
      </c>
      <c r="C763" s="31" t="s">
        <v>476</v>
      </c>
      <c r="D763" s="32" t="str">
        <f t="shared" si="1"/>
        <v>Active</v>
      </c>
      <c r="E763" s="33">
        <v>42374.0</v>
      </c>
      <c r="F763" s="34"/>
      <c r="G763" s="36">
        <f t="shared" si="2"/>
        <v>129.0333333</v>
      </c>
      <c r="H763" s="37">
        <v>41671.0</v>
      </c>
      <c r="I763" s="36">
        <f t="shared" si="4"/>
        <v>1.927777778</v>
      </c>
      <c r="J763" s="38">
        <v>32.0</v>
      </c>
      <c r="K763" s="39">
        <v>4.0</v>
      </c>
      <c r="L763" s="38">
        <v>10.0</v>
      </c>
      <c r="M763" s="40" t="s">
        <v>42</v>
      </c>
      <c r="N763" s="41" t="s">
        <v>442</v>
      </c>
      <c r="O763" s="42" t="s">
        <v>149</v>
      </c>
      <c r="P763" s="67" t="s">
        <v>505</v>
      </c>
    </row>
    <row r="764">
      <c r="A764" s="44" t="s">
        <v>868</v>
      </c>
      <c r="B764" s="45" t="s">
        <v>25</v>
      </c>
      <c r="C764" s="46" t="s">
        <v>476</v>
      </c>
      <c r="D764" s="47" t="str">
        <f t="shared" si="1"/>
        <v>Active</v>
      </c>
      <c r="E764" s="48">
        <v>42374.0</v>
      </c>
      <c r="F764" s="49"/>
      <c r="G764" s="50">
        <f t="shared" si="2"/>
        <v>129.0333333</v>
      </c>
      <c r="H764" s="51">
        <v>41456.0</v>
      </c>
      <c r="I764" s="50">
        <f t="shared" si="4"/>
        <v>2.511111111</v>
      </c>
      <c r="J764" s="55">
        <v>71.0</v>
      </c>
      <c r="K764" s="56">
        <v>7.2</v>
      </c>
      <c r="L764" s="55">
        <v>4.0</v>
      </c>
      <c r="M764" s="58" t="s">
        <v>31</v>
      </c>
      <c r="N764" s="59" t="s">
        <v>442</v>
      </c>
      <c r="O764" s="60" t="s">
        <v>149</v>
      </c>
      <c r="P764" s="66" t="s">
        <v>505</v>
      </c>
    </row>
    <row r="765">
      <c r="A765" s="29" t="s">
        <v>869</v>
      </c>
      <c r="B765" s="30" t="s">
        <v>25</v>
      </c>
      <c r="C765" s="31" t="s">
        <v>476</v>
      </c>
      <c r="D765" s="32" t="str">
        <f t="shared" si="1"/>
        <v>Active</v>
      </c>
      <c r="E765" s="33">
        <v>42374.0</v>
      </c>
      <c r="F765" s="34"/>
      <c r="G765" s="36">
        <f t="shared" si="2"/>
        <v>129.0333333</v>
      </c>
      <c r="H765" s="37">
        <v>40664.0</v>
      </c>
      <c r="I765" s="36">
        <f t="shared" si="4"/>
        <v>4.677777778</v>
      </c>
      <c r="J765" s="38">
        <v>77.0</v>
      </c>
      <c r="K765" s="39">
        <v>7.8</v>
      </c>
      <c r="L765" s="38">
        <v>10.0</v>
      </c>
      <c r="M765" s="40" t="s">
        <v>95</v>
      </c>
      <c r="N765" s="41" t="s">
        <v>442</v>
      </c>
      <c r="O765" s="42" t="s">
        <v>149</v>
      </c>
      <c r="P765" s="67" t="s">
        <v>505</v>
      </c>
    </row>
    <row r="766">
      <c r="A766" s="44" t="s">
        <v>870</v>
      </c>
      <c r="B766" s="45" t="s">
        <v>25</v>
      </c>
      <c r="C766" s="46" t="s">
        <v>476</v>
      </c>
      <c r="D766" s="47" t="str">
        <f t="shared" si="1"/>
        <v>Active</v>
      </c>
      <c r="E766" s="48">
        <v>42374.0</v>
      </c>
      <c r="F766" s="49"/>
      <c r="G766" s="50">
        <f t="shared" si="2"/>
        <v>129.0333333</v>
      </c>
      <c r="H766" s="51">
        <v>40057.0</v>
      </c>
      <c r="I766" s="50">
        <f t="shared" si="4"/>
        <v>6.344444444</v>
      </c>
      <c r="J766" s="55">
        <v>83.0</v>
      </c>
      <c r="K766" s="56">
        <v>8.4</v>
      </c>
      <c r="L766" s="55">
        <v>15.0</v>
      </c>
      <c r="M766" s="58" t="s">
        <v>29</v>
      </c>
      <c r="N766" s="59" t="s">
        <v>442</v>
      </c>
      <c r="O766" s="60" t="s">
        <v>149</v>
      </c>
      <c r="P766" s="66" t="s">
        <v>505</v>
      </c>
    </row>
    <row r="767">
      <c r="A767" s="29" t="s">
        <v>871</v>
      </c>
      <c r="B767" s="30" t="s">
        <v>25</v>
      </c>
      <c r="C767" s="31" t="s">
        <v>476</v>
      </c>
      <c r="D767" s="32" t="str">
        <f t="shared" si="1"/>
        <v>Active</v>
      </c>
      <c r="E767" s="33">
        <v>42374.0</v>
      </c>
      <c r="F767" s="34"/>
      <c r="G767" s="36">
        <f t="shared" si="2"/>
        <v>129.0333333</v>
      </c>
      <c r="H767" s="37">
        <v>40118.0</v>
      </c>
      <c r="I767" s="36">
        <f t="shared" si="4"/>
        <v>6.177777778</v>
      </c>
      <c r="J767" s="38">
        <v>70.0</v>
      </c>
      <c r="K767" s="39">
        <v>7.1</v>
      </c>
      <c r="L767" s="38">
        <v>5.0</v>
      </c>
      <c r="M767" s="40" t="s">
        <v>136</v>
      </c>
      <c r="N767" s="41" t="s">
        <v>442</v>
      </c>
      <c r="O767" s="42" t="s">
        <v>149</v>
      </c>
      <c r="P767" s="67" t="s">
        <v>505</v>
      </c>
    </row>
    <row r="768">
      <c r="A768" s="44" t="s">
        <v>872</v>
      </c>
      <c r="B768" s="45" t="s">
        <v>25</v>
      </c>
      <c r="C768" s="46" t="s">
        <v>476</v>
      </c>
      <c r="D768" s="47" t="str">
        <f t="shared" si="1"/>
        <v>Active</v>
      </c>
      <c r="E768" s="48">
        <v>42374.0</v>
      </c>
      <c r="F768" s="49"/>
      <c r="G768" s="50">
        <f t="shared" si="2"/>
        <v>129.0333333</v>
      </c>
      <c r="H768" s="51">
        <v>40834.0</v>
      </c>
      <c r="I768" s="50">
        <f t="shared" si="4"/>
        <v>4.213888889</v>
      </c>
      <c r="J768" s="55">
        <v>59.0</v>
      </c>
      <c r="K768" s="77"/>
      <c r="L768" s="55">
        <v>3.0</v>
      </c>
      <c r="M768" s="58" t="s">
        <v>29</v>
      </c>
      <c r="N768" s="59" t="s">
        <v>442</v>
      </c>
      <c r="O768" s="60" t="s">
        <v>149</v>
      </c>
      <c r="P768" s="66" t="s">
        <v>505</v>
      </c>
    </row>
    <row r="769">
      <c r="A769" s="29" t="s">
        <v>873</v>
      </c>
      <c r="B769" s="30" t="s">
        <v>25</v>
      </c>
      <c r="C769" s="31" t="s">
        <v>476</v>
      </c>
      <c r="D769" s="32" t="str">
        <f t="shared" si="1"/>
        <v>Active</v>
      </c>
      <c r="E769" s="33">
        <v>42374.0</v>
      </c>
      <c r="F769" s="34"/>
      <c r="G769" s="36">
        <f t="shared" si="2"/>
        <v>129.0333333</v>
      </c>
      <c r="H769" s="37">
        <v>39904.0</v>
      </c>
      <c r="I769" s="36">
        <f t="shared" si="4"/>
        <v>6.761111111</v>
      </c>
      <c r="J769" s="38">
        <v>86.0</v>
      </c>
      <c r="K769" s="39">
        <v>7.3</v>
      </c>
      <c r="L769" s="38">
        <v>5.0</v>
      </c>
      <c r="M769" s="40" t="s">
        <v>27</v>
      </c>
      <c r="N769" s="41" t="s">
        <v>442</v>
      </c>
      <c r="O769" s="42" t="s">
        <v>149</v>
      </c>
      <c r="P769" s="67" t="s">
        <v>505</v>
      </c>
    </row>
    <row r="770">
      <c r="A770" s="44" t="s">
        <v>874</v>
      </c>
      <c r="B770" s="45" t="s">
        <v>25</v>
      </c>
      <c r="C770" s="46" t="s">
        <v>476</v>
      </c>
      <c r="D770" s="47" t="str">
        <f t="shared" si="1"/>
        <v>Active</v>
      </c>
      <c r="E770" s="48">
        <v>42374.0</v>
      </c>
      <c r="F770" s="49"/>
      <c r="G770" s="50">
        <f t="shared" si="2"/>
        <v>129.0333333</v>
      </c>
      <c r="H770" s="51">
        <v>39448.0</v>
      </c>
      <c r="I770" s="50">
        <f t="shared" si="4"/>
        <v>8.011111111</v>
      </c>
      <c r="J770" s="55">
        <v>83.0</v>
      </c>
      <c r="K770" s="56">
        <v>7.8</v>
      </c>
      <c r="L770" s="55">
        <v>8.0</v>
      </c>
      <c r="M770" s="58" t="s">
        <v>103</v>
      </c>
      <c r="N770" s="59" t="s">
        <v>442</v>
      </c>
      <c r="O770" s="60" t="s">
        <v>149</v>
      </c>
      <c r="P770" s="66" t="s">
        <v>505</v>
      </c>
    </row>
    <row r="771">
      <c r="A771" s="29" t="s">
        <v>875</v>
      </c>
      <c r="B771" s="30" t="s">
        <v>25</v>
      </c>
      <c r="C771" s="31" t="s">
        <v>476</v>
      </c>
      <c r="D771" s="32" t="str">
        <f t="shared" si="1"/>
        <v>Active</v>
      </c>
      <c r="E771" s="33">
        <v>42374.0</v>
      </c>
      <c r="F771" s="34"/>
      <c r="G771" s="36">
        <f t="shared" si="2"/>
        <v>129.0333333</v>
      </c>
      <c r="H771" s="37">
        <v>40391.0</v>
      </c>
      <c r="I771" s="36">
        <f t="shared" si="4"/>
        <v>5.427777778</v>
      </c>
      <c r="J771" s="38">
        <v>66.0</v>
      </c>
      <c r="K771" s="39">
        <v>6.8</v>
      </c>
      <c r="L771" s="38">
        <v>2.0</v>
      </c>
      <c r="M771" s="40" t="s">
        <v>95</v>
      </c>
      <c r="N771" s="41" t="s">
        <v>442</v>
      </c>
      <c r="O771" s="42" t="s">
        <v>149</v>
      </c>
      <c r="P771" s="67" t="s">
        <v>505</v>
      </c>
    </row>
    <row r="772">
      <c r="A772" s="44" t="s">
        <v>876</v>
      </c>
      <c r="B772" s="45" t="s">
        <v>25</v>
      </c>
      <c r="C772" s="46" t="s">
        <v>476</v>
      </c>
      <c r="D772" s="47" t="str">
        <f t="shared" si="1"/>
        <v>Active</v>
      </c>
      <c r="E772" s="48">
        <v>42374.0</v>
      </c>
      <c r="F772" s="49"/>
      <c r="G772" s="50">
        <f t="shared" si="2"/>
        <v>129.0333333</v>
      </c>
      <c r="H772" s="51">
        <v>40891.0</v>
      </c>
      <c r="I772" s="50">
        <f t="shared" si="4"/>
        <v>4.058333333</v>
      </c>
      <c r="J772" s="78"/>
      <c r="K772" s="56">
        <v>4.8</v>
      </c>
      <c r="L772" s="55">
        <v>1.0</v>
      </c>
      <c r="M772" s="58" t="s">
        <v>31</v>
      </c>
      <c r="N772" s="59" t="s">
        <v>442</v>
      </c>
      <c r="O772" s="60" t="s">
        <v>149</v>
      </c>
      <c r="P772" s="66" t="s">
        <v>505</v>
      </c>
    </row>
    <row r="773">
      <c r="A773" s="29" t="s">
        <v>877</v>
      </c>
      <c r="B773" s="30" t="s">
        <v>25</v>
      </c>
      <c r="C773" s="31" t="s">
        <v>476</v>
      </c>
      <c r="D773" s="32" t="str">
        <f t="shared" si="1"/>
        <v>Active</v>
      </c>
      <c r="E773" s="33">
        <v>42374.0</v>
      </c>
      <c r="F773" s="34"/>
      <c r="G773" s="36">
        <f t="shared" si="2"/>
        <v>129.0333333</v>
      </c>
      <c r="H773" s="37">
        <v>41518.0</v>
      </c>
      <c r="I773" s="36">
        <f t="shared" si="4"/>
        <v>2.344444444</v>
      </c>
      <c r="J773" s="38">
        <v>80.0</v>
      </c>
      <c r="K773" s="39">
        <v>8.0</v>
      </c>
      <c r="L773" s="38">
        <v>12.0</v>
      </c>
      <c r="M773" s="40" t="s">
        <v>27</v>
      </c>
      <c r="N773" s="41" t="s">
        <v>442</v>
      </c>
      <c r="O773" s="42" t="s">
        <v>149</v>
      </c>
      <c r="P773" s="67" t="s">
        <v>505</v>
      </c>
    </row>
    <row r="774">
      <c r="A774" s="44" t="s">
        <v>878</v>
      </c>
      <c r="B774" s="45" t="s">
        <v>25</v>
      </c>
      <c r="C774" s="46" t="s">
        <v>476</v>
      </c>
      <c r="D774" s="47" t="str">
        <f t="shared" si="1"/>
        <v>Active</v>
      </c>
      <c r="E774" s="48">
        <v>42374.0</v>
      </c>
      <c r="F774" s="49"/>
      <c r="G774" s="50">
        <f t="shared" si="2"/>
        <v>129.0333333</v>
      </c>
      <c r="H774" s="51">
        <v>41730.0</v>
      </c>
      <c r="I774" s="50">
        <f t="shared" si="4"/>
        <v>1.761111111</v>
      </c>
      <c r="J774" s="55">
        <v>61.0</v>
      </c>
      <c r="K774" s="56">
        <v>7.2</v>
      </c>
      <c r="L774" s="55">
        <v>30.0</v>
      </c>
      <c r="M774" s="58" t="s">
        <v>42</v>
      </c>
      <c r="N774" s="59" t="s">
        <v>442</v>
      </c>
      <c r="O774" s="60" t="s">
        <v>149</v>
      </c>
      <c r="P774" s="66" t="s">
        <v>505</v>
      </c>
    </row>
    <row r="775">
      <c r="A775" s="29" t="s">
        <v>879</v>
      </c>
      <c r="B775" s="30" t="s">
        <v>25</v>
      </c>
      <c r="C775" s="31" t="s">
        <v>476</v>
      </c>
      <c r="D775" s="32" t="str">
        <f t="shared" si="1"/>
        <v>Active</v>
      </c>
      <c r="E775" s="33">
        <v>42374.0</v>
      </c>
      <c r="F775" s="34"/>
      <c r="G775" s="36">
        <f t="shared" si="2"/>
        <v>129.0333333</v>
      </c>
      <c r="H775" s="37">
        <v>41548.0</v>
      </c>
      <c r="I775" s="36">
        <f t="shared" si="4"/>
        <v>2.261111111</v>
      </c>
      <c r="J775" s="38">
        <v>72.0</v>
      </c>
      <c r="K775" s="39">
        <v>7.1</v>
      </c>
      <c r="L775" s="38">
        <v>3.0</v>
      </c>
      <c r="M775" s="40" t="s">
        <v>29</v>
      </c>
      <c r="N775" s="41" t="s">
        <v>442</v>
      </c>
      <c r="O775" s="42" t="s">
        <v>149</v>
      </c>
      <c r="P775" s="67" t="s">
        <v>505</v>
      </c>
    </row>
    <row r="776">
      <c r="A776" s="44" t="s">
        <v>880</v>
      </c>
      <c r="B776" s="45" t="s">
        <v>25</v>
      </c>
      <c r="C776" s="46" t="s">
        <v>476</v>
      </c>
      <c r="D776" s="47" t="str">
        <f t="shared" si="1"/>
        <v>Active</v>
      </c>
      <c r="E776" s="48">
        <v>42374.0</v>
      </c>
      <c r="F776" s="49"/>
      <c r="G776" s="50">
        <f t="shared" si="2"/>
        <v>129.0333333</v>
      </c>
      <c r="H776" s="51">
        <v>40817.0</v>
      </c>
      <c r="I776" s="50">
        <f t="shared" si="4"/>
        <v>4.261111111</v>
      </c>
      <c r="J776" s="55">
        <v>70.0</v>
      </c>
      <c r="K776" s="56">
        <v>7.1</v>
      </c>
      <c r="L776" s="55">
        <v>9.0</v>
      </c>
      <c r="M776" s="58" t="s">
        <v>29</v>
      </c>
      <c r="N776" s="59" t="s">
        <v>442</v>
      </c>
      <c r="O776" s="60" t="s">
        <v>149</v>
      </c>
      <c r="P776" s="66" t="s">
        <v>505</v>
      </c>
    </row>
    <row r="777">
      <c r="A777" s="29" t="s">
        <v>881</v>
      </c>
      <c r="B777" s="30" t="s">
        <v>25</v>
      </c>
      <c r="C777" s="31" t="s">
        <v>476</v>
      </c>
      <c r="D777" s="32" t="str">
        <f t="shared" si="1"/>
        <v>Active</v>
      </c>
      <c r="E777" s="33">
        <v>42374.0</v>
      </c>
      <c r="F777" s="34"/>
      <c r="G777" s="36">
        <f t="shared" si="2"/>
        <v>129.0333333</v>
      </c>
      <c r="H777" s="37">
        <v>39661.0</v>
      </c>
      <c r="I777" s="36">
        <f t="shared" si="4"/>
        <v>7.427777778</v>
      </c>
      <c r="J777" s="38">
        <v>76.0</v>
      </c>
      <c r="K777" s="39">
        <v>7.5</v>
      </c>
      <c r="L777" s="38">
        <v>3.0</v>
      </c>
      <c r="M777" s="40" t="s">
        <v>29</v>
      </c>
      <c r="N777" s="41" t="s">
        <v>442</v>
      </c>
      <c r="O777" s="42" t="s">
        <v>149</v>
      </c>
      <c r="P777" s="67" t="s">
        <v>505</v>
      </c>
    </row>
    <row r="778">
      <c r="A778" s="44" t="s">
        <v>882</v>
      </c>
      <c r="B778" s="45" t="s">
        <v>25</v>
      </c>
      <c r="C778" s="46" t="s">
        <v>476</v>
      </c>
      <c r="D778" s="47" t="str">
        <f t="shared" si="1"/>
        <v>Active</v>
      </c>
      <c r="E778" s="48">
        <v>42374.0</v>
      </c>
      <c r="F778" s="49"/>
      <c r="G778" s="50">
        <f t="shared" si="2"/>
        <v>129.0333333</v>
      </c>
      <c r="H778" s="51">
        <v>40634.0</v>
      </c>
      <c r="I778" s="50">
        <f t="shared" si="4"/>
        <v>4.761111111</v>
      </c>
      <c r="J778" s="55">
        <v>49.0</v>
      </c>
      <c r="K778" s="56">
        <v>5.9</v>
      </c>
      <c r="L778" s="55">
        <v>3.0</v>
      </c>
      <c r="M778" s="58" t="s">
        <v>31</v>
      </c>
      <c r="N778" s="59" t="s">
        <v>442</v>
      </c>
      <c r="O778" s="60" t="s">
        <v>149</v>
      </c>
      <c r="P778" s="66" t="s">
        <v>505</v>
      </c>
    </row>
    <row r="779">
      <c r="A779" s="29" t="s">
        <v>883</v>
      </c>
      <c r="B779" s="30" t="s">
        <v>25</v>
      </c>
      <c r="C779" s="31" t="s">
        <v>476</v>
      </c>
      <c r="D779" s="32" t="str">
        <f t="shared" si="1"/>
        <v>Active</v>
      </c>
      <c r="E779" s="33">
        <v>42374.0</v>
      </c>
      <c r="F779" s="34"/>
      <c r="G779" s="36">
        <f t="shared" si="2"/>
        <v>129.0333333</v>
      </c>
      <c r="H779" s="37">
        <v>40787.0</v>
      </c>
      <c r="I779" s="36">
        <f t="shared" si="4"/>
        <v>4.344444444</v>
      </c>
      <c r="J779" s="38">
        <v>83.0</v>
      </c>
      <c r="K779" s="39">
        <v>7.9</v>
      </c>
      <c r="L779" s="38">
        <v>8.0</v>
      </c>
      <c r="M779" s="40" t="s">
        <v>31</v>
      </c>
      <c r="N779" s="41" t="s">
        <v>442</v>
      </c>
      <c r="O779" s="42" t="s">
        <v>149</v>
      </c>
      <c r="P779" s="67" t="s">
        <v>505</v>
      </c>
    </row>
    <row r="780">
      <c r="A780" s="44" t="s">
        <v>884</v>
      </c>
      <c r="B780" s="45" t="s">
        <v>25</v>
      </c>
      <c r="C780" s="46" t="s">
        <v>476</v>
      </c>
      <c r="D780" s="47" t="str">
        <f t="shared" si="1"/>
        <v>Active</v>
      </c>
      <c r="E780" s="48">
        <v>42374.0</v>
      </c>
      <c r="F780" s="49"/>
      <c r="G780" s="50">
        <f t="shared" si="2"/>
        <v>129.0333333</v>
      </c>
      <c r="H780" s="51">
        <v>40544.0</v>
      </c>
      <c r="I780" s="50">
        <f t="shared" si="4"/>
        <v>5.011111111</v>
      </c>
      <c r="J780" s="55">
        <v>45.0</v>
      </c>
      <c r="K780" s="56">
        <v>6.6</v>
      </c>
      <c r="L780" s="55">
        <v>3.0</v>
      </c>
      <c r="M780" s="58" t="s">
        <v>217</v>
      </c>
      <c r="N780" s="59" t="s">
        <v>442</v>
      </c>
      <c r="O780" s="60" t="s">
        <v>149</v>
      </c>
      <c r="P780" s="66" t="s">
        <v>505</v>
      </c>
    </row>
    <row r="781">
      <c r="A781" s="29" t="s">
        <v>885</v>
      </c>
      <c r="B781" s="30" t="s">
        <v>25</v>
      </c>
      <c r="C781" s="31" t="s">
        <v>476</v>
      </c>
      <c r="D781" s="32" t="str">
        <f t="shared" si="1"/>
        <v>Active</v>
      </c>
      <c r="E781" s="33">
        <v>42374.0</v>
      </c>
      <c r="F781" s="34"/>
      <c r="G781" s="36">
        <f t="shared" si="2"/>
        <v>129.0333333</v>
      </c>
      <c r="H781" s="37">
        <v>39814.0</v>
      </c>
      <c r="I781" s="36">
        <f t="shared" si="4"/>
        <v>7.011111111</v>
      </c>
      <c r="J781" s="38">
        <v>73.0</v>
      </c>
      <c r="K781" s="39">
        <v>7.5</v>
      </c>
      <c r="L781" s="38">
        <v>6.0</v>
      </c>
      <c r="M781" s="40" t="s">
        <v>103</v>
      </c>
      <c r="N781" s="41" t="s">
        <v>442</v>
      </c>
      <c r="O781" s="42" t="s">
        <v>149</v>
      </c>
      <c r="P781" s="67" t="s">
        <v>505</v>
      </c>
    </row>
    <row r="782">
      <c r="A782" s="44" t="s">
        <v>886</v>
      </c>
      <c r="B782" s="45" t="s">
        <v>25</v>
      </c>
      <c r="C782" s="46" t="s">
        <v>476</v>
      </c>
      <c r="D782" s="47" t="str">
        <f t="shared" si="1"/>
        <v>Active</v>
      </c>
      <c r="E782" s="48">
        <v>42374.0</v>
      </c>
      <c r="F782" s="49"/>
      <c r="G782" s="50">
        <f t="shared" si="2"/>
        <v>129.0333333</v>
      </c>
      <c r="H782" s="51">
        <v>40575.0</v>
      </c>
      <c r="I782" s="50">
        <f t="shared" si="4"/>
        <v>4.927777778</v>
      </c>
      <c r="J782" s="55">
        <v>73.0</v>
      </c>
      <c r="K782" s="77"/>
      <c r="L782" s="55">
        <v>3.0</v>
      </c>
      <c r="M782" s="58" t="s">
        <v>31</v>
      </c>
      <c r="N782" s="59" t="s">
        <v>442</v>
      </c>
      <c r="O782" s="60" t="s">
        <v>149</v>
      </c>
      <c r="P782" s="66" t="s">
        <v>505</v>
      </c>
    </row>
    <row r="783">
      <c r="A783" s="29" t="s">
        <v>887</v>
      </c>
      <c r="B783" s="30" t="s">
        <v>25</v>
      </c>
      <c r="C783" s="31" t="s">
        <v>476</v>
      </c>
      <c r="D783" s="32" t="str">
        <f t="shared" si="1"/>
        <v>Active</v>
      </c>
      <c r="E783" s="33">
        <v>42374.0</v>
      </c>
      <c r="F783" s="34"/>
      <c r="G783" s="36">
        <f t="shared" si="2"/>
        <v>129.0333333</v>
      </c>
      <c r="H783" s="37">
        <v>42064.0</v>
      </c>
      <c r="I783" s="36">
        <f t="shared" si="4"/>
        <v>0.8444444444</v>
      </c>
      <c r="J783" s="38">
        <v>48.0</v>
      </c>
      <c r="K783" s="39">
        <v>6.4</v>
      </c>
      <c r="L783" s="38">
        <v>3.0</v>
      </c>
      <c r="M783" s="40" t="s">
        <v>537</v>
      </c>
      <c r="N783" s="41" t="s">
        <v>442</v>
      </c>
      <c r="O783" s="42" t="s">
        <v>149</v>
      </c>
      <c r="P783" s="67" t="s">
        <v>505</v>
      </c>
    </row>
    <row r="784">
      <c r="A784" s="44" t="s">
        <v>888</v>
      </c>
      <c r="B784" s="45" t="s">
        <v>25</v>
      </c>
      <c r="C784" s="46" t="s">
        <v>476</v>
      </c>
      <c r="D784" s="47" t="str">
        <f t="shared" si="1"/>
        <v>Active</v>
      </c>
      <c r="E784" s="48">
        <v>42374.0</v>
      </c>
      <c r="F784" s="49"/>
      <c r="G784" s="50">
        <f t="shared" si="2"/>
        <v>129.0333333</v>
      </c>
      <c r="H784" s="51">
        <v>40026.0</v>
      </c>
      <c r="I784" s="50">
        <f t="shared" si="4"/>
        <v>6.427777778</v>
      </c>
      <c r="J784" s="55">
        <v>61.0</v>
      </c>
      <c r="K784" s="56">
        <v>6.8</v>
      </c>
      <c r="L784" s="55">
        <v>4.0</v>
      </c>
      <c r="M784" s="58" t="s">
        <v>95</v>
      </c>
      <c r="N784" s="59" t="s">
        <v>442</v>
      </c>
      <c r="O784" s="60" t="s">
        <v>149</v>
      </c>
      <c r="P784" s="66" t="s">
        <v>505</v>
      </c>
    </row>
    <row r="785">
      <c r="A785" s="29" t="s">
        <v>889</v>
      </c>
      <c r="B785" s="30" t="s">
        <v>25</v>
      </c>
      <c r="C785" s="31" t="s">
        <v>476</v>
      </c>
      <c r="D785" s="32" t="str">
        <f t="shared" si="1"/>
        <v>Active</v>
      </c>
      <c r="E785" s="33">
        <v>42374.0</v>
      </c>
      <c r="F785" s="34"/>
      <c r="G785" s="36">
        <f t="shared" si="2"/>
        <v>129.0333333</v>
      </c>
      <c r="H785" s="37">
        <v>39417.0</v>
      </c>
      <c r="I785" s="36">
        <f t="shared" si="4"/>
        <v>8.094444444</v>
      </c>
      <c r="J785" s="38">
        <v>65.0</v>
      </c>
      <c r="K785" s="39">
        <v>6.8</v>
      </c>
      <c r="L785" s="38">
        <v>3.0</v>
      </c>
      <c r="M785" s="40" t="s">
        <v>217</v>
      </c>
      <c r="N785" s="41" t="s">
        <v>442</v>
      </c>
      <c r="O785" s="42" t="s">
        <v>149</v>
      </c>
      <c r="P785" s="67" t="s">
        <v>505</v>
      </c>
    </row>
    <row r="786">
      <c r="A786" s="44" t="s">
        <v>890</v>
      </c>
      <c r="B786" s="45" t="s">
        <v>25</v>
      </c>
      <c r="C786" s="46" t="s">
        <v>476</v>
      </c>
      <c r="D786" s="47" t="str">
        <f t="shared" si="1"/>
        <v>Active</v>
      </c>
      <c r="E786" s="48">
        <v>42374.0</v>
      </c>
      <c r="F786" s="49"/>
      <c r="G786" s="50">
        <f t="shared" si="2"/>
        <v>129.0333333</v>
      </c>
      <c r="H786" s="51">
        <v>42064.0</v>
      </c>
      <c r="I786" s="50">
        <f t="shared" si="4"/>
        <v>0.8444444444</v>
      </c>
      <c r="J786" s="55">
        <v>77.0</v>
      </c>
      <c r="K786" s="56">
        <v>7.3</v>
      </c>
      <c r="L786" s="55">
        <v>6.0</v>
      </c>
      <c r="M786" s="58" t="s">
        <v>31</v>
      </c>
      <c r="N786" s="59" t="s">
        <v>442</v>
      </c>
      <c r="O786" s="60" t="s">
        <v>149</v>
      </c>
      <c r="P786" s="66" t="s">
        <v>505</v>
      </c>
    </row>
    <row r="787">
      <c r="A787" s="29" t="s">
        <v>891</v>
      </c>
      <c r="B787" s="30" t="s">
        <v>25</v>
      </c>
      <c r="C787" s="31" t="s">
        <v>476</v>
      </c>
      <c r="D787" s="32" t="str">
        <f t="shared" si="1"/>
        <v>Active</v>
      </c>
      <c r="E787" s="33">
        <v>42374.0</v>
      </c>
      <c r="F787" s="34"/>
      <c r="G787" s="36">
        <f t="shared" si="2"/>
        <v>129.0333333</v>
      </c>
      <c r="H787" s="37">
        <v>41485.0</v>
      </c>
      <c r="I787" s="36">
        <f t="shared" si="4"/>
        <v>2.430555556</v>
      </c>
      <c r="J787" s="76"/>
      <c r="K787" s="79"/>
      <c r="L787" s="38">
        <v>5.0</v>
      </c>
      <c r="M787" s="40" t="s">
        <v>27</v>
      </c>
      <c r="N787" s="41" t="s">
        <v>442</v>
      </c>
      <c r="O787" s="42" t="s">
        <v>149</v>
      </c>
      <c r="P787" s="67" t="s">
        <v>505</v>
      </c>
    </row>
    <row r="788">
      <c r="A788" s="44" t="s">
        <v>892</v>
      </c>
      <c r="B788" s="45" t="s">
        <v>25</v>
      </c>
      <c r="C788" s="46" t="s">
        <v>476</v>
      </c>
      <c r="D788" s="47" t="str">
        <f t="shared" si="1"/>
        <v>Active</v>
      </c>
      <c r="E788" s="48">
        <v>42374.0</v>
      </c>
      <c r="F788" s="49"/>
      <c r="G788" s="50">
        <f t="shared" si="2"/>
        <v>129.0333333</v>
      </c>
      <c r="H788" s="51">
        <v>40483.0</v>
      </c>
      <c r="I788" s="50">
        <f t="shared" si="4"/>
        <v>5.177777778</v>
      </c>
      <c r="J788" s="55">
        <v>56.0</v>
      </c>
      <c r="K788" s="56">
        <v>6.8</v>
      </c>
      <c r="L788" s="55">
        <v>5.0</v>
      </c>
      <c r="M788" s="58" t="s">
        <v>27</v>
      </c>
      <c r="N788" s="59" t="s">
        <v>442</v>
      </c>
      <c r="O788" s="60" t="s">
        <v>149</v>
      </c>
      <c r="P788" s="66" t="s">
        <v>505</v>
      </c>
    </row>
    <row r="789">
      <c r="A789" s="29" t="s">
        <v>893</v>
      </c>
      <c r="B789" s="30" t="s">
        <v>25</v>
      </c>
      <c r="C789" s="31" t="s">
        <v>476</v>
      </c>
      <c r="D789" s="32" t="str">
        <f t="shared" si="1"/>
        <v>Active</v>
      </c>
      <c r="E789" s="33">
        <v>42374.0</v>
      </c>
      <c r="F789" s="34"/>
      <c r="G789" s="36">
        <f t="shared" si="2"/>
        <v>129.0333333</v>
      </c>
      <c r="H789" s="37">
        <v>41791.0</v>
      </c>
      <c r="I789" s="36">
        <f t="shared" si="4"/>
        <v>1.594444444</v>
      </c>
      <c r="J789" s="38">
        <v>81.0</v>
      </c>
      <c r="K789" s="39">
        <v>7.9</v>
      </c>
      <c r="L789" s="38">
        <v>5.0</v>
      </c>
      <c r="M789" s="40" t="s">
        <v>27</v>
      </c>
      <c r="N789" s="41" t="s">
        <v>442</v>
      </c>
      <c r="O789" s="42" t="s">
        <v>149</v>
      </c>
      <c r="P789" s="67" t="s">
        <v>505</v>
      </c>
    </row>
    <row r="790">
      <c r="A790" s="44" t="s">
        <v>894</v>
      </c>
      <c r="B790" s="45" t="s">
        <v>25</v>
      </c>
      <c r="C790" s="46" t="s">
        <v>476</v>
      </c>
      <c r="D790" s="47" t="str">
        <f t="shared" si="1"/>
        <v>Active</v>
      </c>
      <c r="E790" s="48">
        <v>42374.0</v>
      </c>
      <c r="F790" s="49"/>
      <c r="G790" s="50">
        <f t="shared" si="2"/>
        <v>129.0333333</v>
      </c>
      <c r="H790" s="51">
        <v>41579.0</v>
      </c>
      <c r="I790" s="50">
        <f t="shared" si="4"/>
        <v>2.177777778</v>
      </c>
      <c r="J790" s="55">
        <v>74.0</v>
      </c>
      <c r="K790" s="56">
        <v>7.6</v>
      </c>
      <c r="L790" s="55">
        <v>35.0</v>
      </c>
      <c r="M790" s="58" t="s">
        <v>42</v>
      </c>
      <c r="N790" s="59" t="s">
        <v>442</v>
      </c>
      <c r="O790" s="60" t="s">
        <v>149</v>
      </c>
      <c r="P790" s="66" t="s">
        <v>505</v>
      </c>
    </row>
    <row r="791">
      <c r="A791" s="29" t="s">
        <v>895</v>
      </c>
      <c r="B791" s="30" t="s">
        <v>25</v>
      </c>
      <c r="C791" s="31" t="s">
        <v>476</v>
      </c>
      <c r="D791" s="32" t="str">
        <f t="shared" si="1"/>
        <v>Active</v>
      </c>
      <c r="E791" s="33">
        <v>42374.0</v>
      </c>
      <c r="F791" s="34"/>
      <c r="G791" s="36">
        <f t="shared" si="2"/>
        <v>129.0333333</v>
      </c>
      <c r="H791" s="37">
        <v>39661.0</v>
      </c>
      <c r="I791" s="36">
        <f t="shared" si="4"/>
        <v>7.427777778</v>
      </c>
      <c r="J791" s="38">
        <v>77.0</v>
      </c>
      <c r="K791" s="39">
        <v>7.6</v>
      </c>
      <c r="L791" s="38">
        <v>6.0</v>
      </c>
      <c r="M791" s="40" t="s">
        <v>136</v>
      </c>
      <c r="N791" s="41" t="s">
        <v>442</v>
      </c>
      <c r="O791" s="42" t="s">
        <v>149</v>
      </c>
      <c r="P791" s="67" t="s">
        <v>505</v>
      </c>
    </row>
    <row r="792">
      <c r="A792" s="44" t="s">
        <v>896</v>
      </c>
      <c r="B792" s="45" t="s">
        <v>25</v>
      </c>
      <c r="C792" s="46" t="s">
        <v>476</v>
      </c>
      <c r="D792" s="47" t="str">
        <f t="shared" si="1"/>
        <v>Active</v>
      </c>
      <c r="E792" s="48">
        <v>42374.0</v>
      </c>
      <c r="F792" s="49"/>
      <c r="G792" s="50">
        <f t="shared" si="2"/>
        <v>129.0333333</v>
      </c>
      <c r="H792" s="51">
        <v>41153.0</v>
      </c>
      <c r="I792" s="50">
        <f t="shared" si="4"/>
        <v>3.344444444</v>
      </c>
      <c r="J792" s="55">
        <v>74.0</v>
      </c>
      <c r="K792" s="56">
        <v>7.7</v>
      </c>
      <c r="L792" s="55">
        <v>10.0</v>
      </c>
      <c r="M792" s="58" t="s">
        <v>29</v>
      </c>
      <c r="N792" s="59" t="s">
        <v>442</v>
      </c>
      <c r="O792" s="60" t="s">
        <v>149</v>
      </c>
      <c r="P792" s="66" t="s">
        <v>505</v>
      </c>
    </row>
    <row r="793">
      <c r="A793" s="29" t="s">
        <v>897</v>
      </c>
      <c r="B793" s="30" t="s">
        <v>25</v>
      </c>
      <c r="C793" s="31" t="s">
        <v>476</v>
      </c>
      <c r="D793" s="32" t="str">
        <f t="shared" si="1"/>
        <v>Active</v>
      </c>
      <c r="E793" s="33">
        <v>42374.0</v>
      </c>
      <c r="F793" s="34"/>
      <c r="G793" s="36">
        <f t="shared" si="2"/>
        <v>129.0333333</v>
      </c>
      <c r="H793" s="37">
        <v>39417.0</v>
      </c>
      <c r="I793" s="36">
        <f t="shared" si="4"/>
        <v>8.094444444</v>
      </c>
      <c r="J793" s="38">
        <v>57.0</v>
      </c>
      <c r="K793" s="39">
        <v>6.9</v>
      </c>
      <c r="L793" s="38">
        <v>3.0</v>
      </c>
      <c r="M793" s="40" t="s">
        <v>95</v>
      </c>
      <c r="N793" s="41" t="s">
        <v>442</v>
      </c>
      <c r="O793" s="42" t="s">
        <v>149</v>
      </c>
      <c r="P793" s="67" t="s">
        <v>505</v>
      </c>
    </row>
    <row r="794">
      <c r="A794" s="44" t="s">
        <v>898</v>
      </c>
      <c r="B794" s="45" t="s">
        <v>25</v>
      </c>
      <c r="C794" s="46" t="s">
        <v>476</v>
      </c>
      <c r="D794" s="47" t="str">
        <f t="shared" si="1"/>
        <v>Active</v>
      </c>
      <c r="E794" s="48">
        <v>42374.0</v>
      </c>
      <c r="F794" s="49"/>
      <c r="G794" s="50">
        <f t="shared" si="2"/>
        <v>129.0333333</v>
      </c>
      <c r="H794" s="51">
        <v>39965.0</v>
      </c>
      <c r="I794" s="50">
        <f t="shared" si="4"/>
        <v>6.594444444</v>
      </c>
      <c r="J794" s="55">
        <v>72.0</v>
      </c>
      <c r="K794" s="56">
        <v>7.2</v>
      </c>
      <c r="L794" s="55">
        <v>3.0</v>
      </c>
      <c r="M794" s="58" t="s">
        <v>136</v>
      </c>
      <c r="N794" s="59" t="s">
        <v>442</v>
      </c>
      <c r="O794" s="60" t="s">
        <v>149</v>
      </c>
      <c r="P794" s="66" t="s">
        <v>505</v>
      </c>
    </row>
    <row r="795">
      <c r="A795" s="29" t="s">
        <v>899</v>
      </c>
      <c r="B795" s="30" t="s">
        <v>25</v>
      </c>
      <c r="C795" s="31" t="s">
        <v>476</v>
      </c>
      <c r="D795" s="32" t="str">
        <f t="shared" si="1"/>
        <v>Active</v>
      </c>
      <c r="E795" s="33">
        <v>42374.0</v>
      </c>
      <c r="F795" s="34"/>
      <c r="G795" s="36">
        <f t="shared" si="2"/>
        <v>129.0333333</v>
      </c>
      <c r="H795" s="37">
        <v>40575.0</v>
      </c>
      <c r="I795" s="36">
        <f t="shared" si="4"/>
        <v>4.927777778</v>
      </c>
      <c r="J795" s="38">
        <v>55.0</v>
      </c>
      <c r="K795" s="39">
        <v>6.5</v>
      </c>
      <c r="L795" s="38">
        <v>40.0</v>
      </c>
      <c r="M795" s="40" t="s">
        <v>42</v>
      </c>
      <c r="N795" s="41" t="s">
        <v>442</v>
      </c>
      <c r="O795" s="42" t="s">
        <v>149</v>
      </c>
      <c r="P795" s="67" t="s">
        <v>505</v>
      </c>
    </row>
    <row r="796">
      <c r="A796" s="44" t="s">
        <v>900</v>
      </c>
      <c r="B796" s="45" t="s">
        <v>25</v>
      </c>
      <c r="C796" s="46" t="s">
        <v>476</v>
      </c>
      <c r="D796" s="47" t="str">
        <f t="shared" si="1"/>
        <v>Active</v>
      </c>
      <c r="E796" s="48">
        <v>42374.0</v>
      </c>
      <c r="F796" s="49"/>
      <c r="G796" s="50">
        <f t="shared" si="2"/>
        <v>129.0333333</v>
      </c>
      <c r="H796" s="51">
        <v>41506.0</v>
      </c>
      <c r="I796" s="50">
        <f t="shared" si="4"/>
        <v>2.375</v>
      </c>
      <c r="J796" s="55">
        <v>63.0</v>
      </c>
      <c r="K796" s="77"/>
      <c r="L796" s="55">
        <v>3.0</v>
      </c>
      <c r="M796" s="58" t="s">
        <v>125</v>
      </c>
      <c r="N796" s="59" t="s">
        <v>442</v>
      </c>
      <c r="O796" s="60" t="s">
        <v>149</v>
      </c>
      <c r="P796" s="66" t="s">
        <v>505</v>
      </c>
    </row>
    <row r="797">
      <c r="A797" s="29" t="s">
        <v>901</v>
      </c>
      <c r="B797" s="30" t="s">
        <v>25</v>
      </c>
      <c r="C797" s="31" t="s">
        <v>476</v>
      </c>
      <c r="D797" s="32" t="str">
        <f t="shared" si="1"/>
        <v>Active</v>
      </c>
      <c r="E797" s="33">
        <v>42374.0</v>
      </c>
      <c r="F797" s="34"/>
      <c r="G797" s="36">
        <f t="shared" si="2"/>
        <v>129.0333333</v>
      </c>
      <c r="H797" s="37">
        <v>41214.0</v>
      </c>
      <c r="I797" s="36">
        <f t="shared" si="4"/>
        <v>3.177777778</v>
      </c>
      <c r="J797" s="38">
        <v>73.0</v>
      </c>
      <c r="K797" s="39">
        <v>7.1</v>
      </c>
      <c r="L797" s="38">
        <v>4.0</v>
      </c>
      <c r="M797" s="40" t="s">
        <v>29</v>
      </c>
      <c r="N797" s="41" t="s">
        <v>442</v>
      </c>
      <c r="O797" s="42" t="s">
        <v>149</v>
      </c>
      <c r="P797" s="67" t="s">
        <v>505</v>
      </c>
    </row>
    <row r="798">
      <c r="A798" s="44" t="s">
        <v>902</v>
      </c>
      <c r="B798" s="45" t="s">
        <v>25</v>
      </c>
      <c r="C798" s="46" t="s">
        <v>476</v>
      </c>
      <c r="D798" s="47" t="str">
        <f t="shared" si="1"/>
        <v>Active</v>
      </c>
      <c r="E798" s="48">
        <v>42374.0</v>
      </c>
      <c r="F798" s="49"/>
      <c r="G798" s="50">
        <f t="shared" si="2"/>
        <v>129.0333333</v>
      </c>
      <c r="H798" s="51">
        <v>40210.0</v>
      </c>
      <c r="I798" s="50">
        <f t="shared" si="4"/>
        <v>5.927777778</v>
      </c>
      <c r="J798" s="55">
        <v>64.0</v>
      </c>
      <c r="K798" s="56">
        <v>6.5</v>
      </c>
      <c r="L798" s="55">
        <v>45.0</v>
      </c>
      <c r="M798" s="58" t="s">
        <v>42</v>
      </c>
      <c r="N798" s="59" t="s">
        <v>442</v>
      </c>
      <c r="O798" s="60" t="s">
        <v>149</v>
      </c>
      <c r="P798" s="66" t="s">
        <v>505</v>
      </c>
    </row>
    <row r="799">
      <c r="A799" s="29" t="s">
        <v>903</v>
      </c>
      <c r="B799" s="30" t="s">
        <v>25</v>
      </c>
      <c r="C799" s="31" t="s">
        <v>476</v>
      </c>
      <c r="D799" s="32" t="str">
        <f t="shared" si="1"/>
        <v>Active</v>
      </c>
      <c r="E799" s="33">
        <v>42374.0</v>
      </c>
      <c r="F799" s="34"/>
      <c r="G799" s="36">
        <f t="shared" si="2"/>
        <v>129.0333333</v>
      </c>
      <c r="H799" s="37">
        <v>41791.0</v>
      </c>
      <c r="I799" s="36">
        <f t="shared" si="4"/>
        <v>1.594444444</v>
      </c>
      <c r="J799" s="38">
        <v>43.0</v>
      </c>
      <c r="K799" s="39">
        <v>6.7</v>
      </c>
      <c r="L799" s="38">
        <v>15.0</v>
      </c>
      <c r="M799" s="40" t="s">
        <v>689</v>
      </c>
      <c r="N799" s="41" t="s">
        <v>442</v>
      </c>
      <c r="O799" s="42" t="s">
        <v>149</v>
      </c>
      <c r="P799" s="67" t="s">
        <v>505</v>
      </c>
    </row>
    <row r="800">
      <c r="A800" s="44" t="s">
        <v>904</v>
      </c>
      <c r="B800" s="45" t="s">
        <v>25</v>
      </c>
      <c r="C800" s="46" t="s">
        <v>476</v>
      </c>
      <c r="D800" s="47" t="str">
        <f t="shared" si="1"/>
        <v>Active</v>
      </c>
      <c r="E800" s="48">
        <v>42374.0</v>
      </c>
      <c r="F800" s="49"/>
      <c r="G800" s="50">
        <f t="shared" si="2"/>
        <v>129.0333333</v>
      </c>
      <c r="H800" s="51">
        <v>41590.0</v>
      </c>
      <c r="I800" s="50">
        <f t="shared" si="4"/>
        <v>2.147222222</v>
      </c>
      <c r="J800" s="55">
        <v>88.0</v>
      </c>
      <c r="K800" s="56">
        <v>8.4</v>
      </c>
      <c r="L800" s="55">
        <v>27.5</v>
      </c>
      <c r="M800" s="58" t="s">
        <v>103</v>
      </c>
      <c r="N800" s="59" t="s">
        <v>442</v>
      </c>
      <c r="O800" s="60" t="s">
        <v>149</v>
      </c>
      <c r="P800" s="66"/>
    </row>
    <row r="801">
      <c r="A801" s="29" t="s">
        <v>905</v>
      </c>
      <c r="B801" s="30" t="s">
        <v>25</v>
      </c>
      <c r="C801" s="31" t="s">
        <v>476</v>
      </c>
      <c r="D801" s="32" t="str">
        <f t="shared" si="1"/>
        <v>Active</v>
      </c>
      <c r="E801" s="33">
        <v>42374.0</v>
      </c>
      <c r="F801" s="34"/>
      <c r="G801" s="36">
        <f t="shared" si="2"/>
        <v>129.0333333</v>
      </c>
      <c r="H801" s="37">
        <v>40909.0</v>
      </c>
      <c r="I801" s="36">
        <f t="shared" si="4"/>
        <v>4.011111111</v>
      </c>
      <c r="J801" s="38">
        <v>60.0</v>
      </c>
      <c r="K801" s="39">
        <v>6.9</v>
      </c>
      <c r="L801" s="38">
        <v>4.0</v>
      </c>
      <c r="M801" s="40" t="s">
        <v>27</v>
      </c>
      <c r="N801" s="41" t="s">
        <v>442</v>
      </c>
      <c r="O801" s="42" t="s">
        <v>149</v>
      </c>
      <c r="P801" s="67" t="s">
        <v>505</v>
      </c>
    </row>
    <row r="802">
      <c r="A802" s="44" t="s">
        <v>906</v>
      </c>
      <c r="B802" s="45" t="s">
        <v>25</v>
      </c>
      <c r="C802" s="46" t="s">
        <v>476</v>
      </c>
      <c r="D802" s="47" t="str">
        <f t="shared" si="1"/>
        <v>Active</v>
      </c>
      <c r="E802" s="48">
        <v>42374.0</v>
      </c>
      <c r="F802" s="49"/>
      <c r="G802" s="50">
        <f t="shared" si="2"/>
        <v>129.0333333</v>
      </c>
      <c r="H802" s="51">
        <v>41365.0</v>
      </c>
      <c r="I802" s="50">
        <f t="shared" si="4"/>
        <v>2.761111111</v>
      </c>
      <c r="J802" s="55">
        <v>63.0</v>
      </c>
      <c r="K802" s="56">
        <v>7.2</v>
      </c>
      <c r="L802" s="55">
        <v>5.0</v>
      </c>
      <c r="M802" s="58" t="s">
        <v>103</v>
      </c>
      <c r="N802" s="59" t="s">
        <v>442</v>
      </c>
      <c r="O802" s="60" t="s">
        <v>149</v>
      </c>
      <c r="P802" s="66" t="s">
        <v>505</v>
      </c>
    </row>
    <row r="803">
      <c r="A803" s="29" t="s">
        <v>907</v>
      </c>
      <c r="B803" s="30" t="s">
        <v>45</v>
      </c>
      <c r="C803" s="31" t="s">
        <v>46</v>
      </c>
      <c r="D803" s="32" t="str">
        <f t="shared" si="1"/>
        <v>Active</v>
      </c>
      <c r="E803" s="33">
        <v>42311.0</v>
      </c>
      <c r="F803" s="34"/>
      <c r="G803" s="36">
        <f t="shared" si="2"/>
        <v>131.1</v>
      </c>
      <c r="H803" s="37">
        <v>41671.0</v>
      </c>
      <c r="I803" s="36">
        <f t="shared" si="4"/>
        <v>1.755555556</v>
      </c>
      <c r="J803" s="38">
        <v>77.0</v>
      </c>
      <c r="K803" s="39">
        <v>7.8</v>
      </c>
      <c r="L803" s="38">
        <v>7.0</v>
      </c>
      <c r="M803" s="40" t="s">
        <v>29</v>
      </c>
      <c r="N803" s="41" t="s">
        <v>217</v>
      </c>
      <c r="O803" s="42" t="s">
        <v>149</v>
      </c>
      <c r="P803" s="67"/>
    </row>
    <row r="804">
      <c r="A804" s="44" t="s">
        <v>908</v>
      </c>
      <c r="B804" s="45" t="s">
        <v>25</v>
      </c>
      <c r="C804" s="46" t="s">
        <v>476</v>
      </c>
      <c r="D804" s="47" t="str">
        <f t="shared" si="1"/>
        <v>Active</v>
      </c>
      <c r="E804" s="48">
        <v>42311.0</v>
      </c>
      <c r="F804" s="49"/>
      <c r="G804" s="50">
        <f t="shared" si="2"/>
        <v>131.1</v>
      </c>
      <c r="H804" s="51">
        <v>41456.0</v>
      </c>
      <c r="I804" s="50">
        <f t="shared" si="4"/>
        <v>2.338888889</v>
      </c>
      <c r="J804" s="55">
        <v>55.0</v>
      </c>
      <c r="K804" s="56">
        <v>5.5</v>
      </c>
      <c r="L804" s="55">
        <v>3.0</v>
      </c>
      <c r="M804" s="58" t="s">
        <v>27</v>
      </c>
      <c r="N804" s="59" t="s">
        <v>442</v>
      </c>
      <c r="O804" s="60" t="s">
        <v>149</v>
      </c>
      <c r="P804" s="66" t="s">
        <v>505</v>
      </c>
    </row>
    <row r="805">
      <c r="A805" s="29" t="s">
        <v>909</v>
      </c>
      <c r="B805" s="30" t="s">
        <v>25</v>
      </c>
      <c r="C805" s="31" t="s">
        <v>476</v>
      </c>
      <c r="D805" s="32" t="str">
        <f t="shared" si="1"/>
        <v>Active</v>
      </c>
      <c r="E805" s="33">
        <v>42311.0</v>
      </c>
      <c r="F805" s="34"/>
      <c r="G805" s="36">
        <f t="shared" si="2"/>
        <v>131.1</v>
      </c>
      <c r="H805" s="37">
        <v>41091.0</v>
      </c>
      <c r="I805" s="36">
        <f t="shared" si="4"/>
        <v>3.338888889</v>
      </c>
      <c r="J805" s="38">
        <v>75.0</v>
      </c>
      <c r="K805" s="39">
        <v>5.6</v>
      </c>
      <c r="L805" s="38">
        <v>4.0</v>
      </c>
      <c r="M805" s="40" t="s">
        <v>537</v>
      </c>
      <c r="N805" s="41" t="s">
        <v>442</v>
      </c>
      <c r="O805" s="42" t="s">
        <v>149</v>
      </c>
      <c r="P805" s="67" t="s">
        <v>505</v>
      </c>
    </row>
    <row r="806">
      <c r="A806" s="44" t="s">
        <v>910</v>
      </c>
      <c r="B806" s="45" t="s">
        <v>25</v>
      </c>
      <c r="C806" s="46" t="s">
        <v>476</v>
      </c>
      <c r="D806" s="47" t="str">
        <f t="shared" si="1"/>
        <v>Active</v>
      </c>
      <c r="E806" s="48">
        <v>42311.0</v>
      </c>
      <c r="F806" s="49"/>
      <c r="G806" s="50">
        <f t="shared" si="2"/>
        <v>131.1</v>
      </c>
      <c r="H806" s="51">
        <v>40940.0</v>
      </c>
      <c r="I806" s="50">
        <f t="shared" si="4"/>
        <v>3.755555556</v>
      </c>
      <c r="J806" s="55">
        <v>71.0</v>
      </c>
      <c r="K806" s="56">
        <v>8.0</v>
      </c>
      <c r="L806" s="55">
        <v>10.0</v>
      </c>
      <c r="M806" s="58" t="s">
        <v>29</v>
      </c>
      <c r="N806" s="59" t="s">
        <v>442</v>
      </c>
      <c r="O806" s="60" t="s">
        <v>149</v>
      </c>
      <c r="P806" s="66" t="s">
        <v>505</v>
      </c>
    </row>
    <row r="807">
      <c r="A807" s="29" t="s">
        <v>911</v>
      </c>
      <c r="B807" s="30" t="s">
        <v>25</v>
      </c>
      <c r="C807" s="31" t="s">
        <v>476</v>
      </c>
      <c r="D807" s="32" t="str">
        <f t="shared" si="1"/>
        <v>Active</v>
      </c>
      <c r="E807" s="33">
        <v>42311.0</v>
      </c>
      <c r="F807" s="34"/>
      <c r="G807" s="36">
        <f t="shared" si="2"/>
        <v>131.1</v>
      </c>
      <c r="H807" s="37">
        <v>41821.0</v>
      </c>
      <c r="I807" s="36">
        <f t="shared" si="4"/>
        <v>1.338888889</v>
      </c>
      <c r="J807" s="38">
        <v>79.0</v>
      </c>
      <c r="K807" s="39">
        <v>7.7</v>
      </c>
      <c r="L807" s="38">
        <v>50.0</v>
      </c>
      <c r="M807" s="40" t="s">
        <v>42</v>
      </c>
      <c r="N807" s="41" t="s">
        <v>442</v>
      </c>
      <c r="O807" s="42" t="s">
        <v>149</v>
      </c>
      <c r="P807" s="67" t="s">
        <v>505</v>
      </c>
    </row>
    <row r="808">
      <c r="A808" s="44" t="s">
        <v>912</v>
      </c>
      <c r="B808" s="45" t="s">
        <v>25</v>
      </c>
      <c r="C808" s="46" t="s">
        <v>476</v>
      </c>
      <c r="D808" s="47" t="str">
        <f t="shared" si="1"/>
        <v>Active</v>
      </c>
      <c r="E808" s="48">
        <v>42311.0</v>
      </c>
      <c r="F808" s="49"/>
      <c r="G808" s="50">
        <f t="shared" si="2"/>
        <v>131.1</v>
      </c>
      <c r="H808" s="51">
        <v>39965.0</v>
      </c>
      <c r="I808" s="50">
        <f t="shared" si="4"/>
        <v>6.422222222</v>
      </c>
      <c r="J808" s="55">
        <v>80.0</v>
      </c>
      <c r="K808" s="56">
        <v>7.8</v>
      </c>
      <c r="L808" s="55">
        <v>40.0</v>
      </c>
      <c r="M808" s="58" t="s">
        <v>42</v>
      </c>
      <c r="N808" s="59" t="s">
        <v>442</v>
      </c>
      <c r="O808" s="60" t="s">
        <v>149</v>
      </c>
      <c r="P808" s="66" t="s">
        <v>505</v>
      </c>
    </row>
    <row r="809">
      <c r="A809" s="29" t="s">
        <v>913</v>
      </c>
      <c r="B809" s="30" t="s">
        <v>25</v>
      </c>
      <c r="C809" s="31" t="s">
        <v>476</v>
      </c>
      <c r="D809" s="32" t="str">
        <f t="shared" si="1"/>
        <v>Active</v>
      </c>
      <c r="E809" s="33">
        <v>42311.0</v>
      </c>
      <c r="F809" s="34"/>
      <c r="G809" s="36">
        <f t="shared" si="2"/>
        <v>131.1</v>
      </c>
      <c r="H809" s="37">
        <v>40148.0</v>
      </c>
      <c r="I809" s="36">
        <f t="shared" si="4"/>
        <v>5.922222222</v>
      </c>
      <c r="J809" s="38">
        <v>67.0</v>
      </c>
      <c r="K809" s="39">
        <v>7.3</v>
      </c>
      <c r="L809" s="76"/>
      <c r="M809" s="40" t="s">
        <v>114</v>
      </c>
      <c r="N809" s="41" t="s">
        <v>442</v>
      </c>
      <c r="O809" s="42" t="s">
        <v>149</v>
      </c>
      <c r="P809" s="67" t="s">
        <v>505</v>
      </c>
    </row>
    <row r="810">
      <c r="A810" s="44" t="s">
        <v>914</v>
      </c>
      <c r="B810" s="45" t="s">
        <v>25</v>
      </c>
      <c r="C810" s="46" t="s">
        <v>476</v>
      </c>
      <c r="D810" s="47" t="str">
        <f t="shared" si="1"/>
        <v>Active</v>
      </c>
      <c r="E810" s="48">
        <v>42311.0</v>
      </c>
      <c r="F810" s="49"/>
      <c r="G810" s="50">
        <f t="shared" si="2"/>
        <v>131.1</v>
      </c>
      <c r="H810" s="51">
        <v>40118.0</v>
      </c>
      <c r="I810" s="50">
        <f t="shared" si="4"/>
        <v>6.005555556</v>
      </c>
      <c r="J810" s="55">
        <v>75.0</v>
      </c>
      <c r="K810" s="56">
        <v>8.1</v>
      </c>
      <c r="L810" s="55">
        <v>7.0</v>
      </c>
      <c r="M810" s="58" t="s">
        <v>31</v>
      </c>
      <c r="N810" s="59" t="s">
        <v>442</v>
      </c>
      <c r="O810" s="60" t="s">
        <v>149</v>
      </c>
      <c r="P810" s="66" t="s">
        <v>505</v>
      </c>
    </row>
    <row r="811">
      <c r="A811" s="29" t="s">
        <v>915</v>
      </c>
      <c r="B811" s="30" t="s">
        <v>25</v>
      </c>
      <c r="C811" s="31" t="s">
        <v>476</v>
      </c>
      <c r="D811" s="32" t="str">
        <f t="shared" si="1"/>
        <v>Active</v>
      </c>
      <c r="E811" s="33">
        <v>42311.0</v>
      </c>
      <c r="F811" s="34"/>
      <c r="G811" s="36">
        <f t="shared" si="2"/>
        <v>131.1</v>
      </c>
      <c r="H811" s="37">
        <v>39661.0</v>
      </c>
      <c r="I811" s="36">
        <f t="shared" si="4"/>
        <v>7.255555556</v>
      </c>
      <c r="J811" s="38">
        <v>87.0</v>
      </c>
      <c r="K811" s="39">
        <v>8.3</v>
      </c>
      <c r="L811" s="38">
        <v>5.0</v>
      </c>
      <c r="M811" s="40" t="s">
        <v>27</v>
      </c>
      <c r="N811" s="41" t="s">
        <v>442</v>
      </c>
      <c r="O811" s="42" t="s">
        <v>149</v>
      </c>
      <c r="P811" s="67" t="s">
        <v>149</v>
      </c>
    </row>
    <row r="812">
      <c r="A812" s="44" t="s">
        <v>916</v>
      </c>
      <c r="B812" s="45" t="s">
        <v>25</v>
      </c>
      <c r="C812" s="46" t="s">
        <v>476</v>
      </c>
      <c r="D812" s="47" t="str">
        <f t="shared" si="1"/>
        <v>Active</v>
      </c>
      <c r="E812" s="48">
        <v>42311.0</v>
      </c>
      <c r="F812" s="49"/>
      <c r="G812" s="50">
        <f t="shared" si="2"/>
        <v>131.1</v>
      </c>
      <c r="H812" s="51">
        <v>40575.0</v>
      </c>
      <c r="I812" s="50">
        <f t="shared" si="4"/>
        <v>4.755555556</v>
      </c>
      <c r="J812" s="55">
        <v>63.0</v>
      </c>
      <c r="K812" s="56">
        <v>5.7</v>
      </c>
      <c r="L812" s="55">
        <v>5.0</v>
      </c>
      <c r="M812" s="58" t="s">
        <v>27</v>
      </c>
      <c r="N812" s="59" t="s">
        <v>442</v>
      </c>
      <c r="O812" s="60" t="s">
        <v>149</v>
      </c>
      <c r="P812" s="66" t="s">
        <v>149</v>
      </c>
    </row>
    <row r="813">
      <c r="A813" s="29" t="s">
        <v>917</v>
      </c>
      <c r="B813" s="30" t="s">
        <v>25</v>
      </c>
      <c r="C813" s="31" t="s">
        <v>476</v>
      </c>
      <c r="D813" s="32" t="str">
        <f t="shared" si="1"/>
        <v>Active</v>
      </c>
      <c r="E813" s="33">
        <v>42311.0</v>
      </c>
      <c r="F813" s="34"/>
      <c r="G813" s="36">
        <f t="shared" si="2"/>
        <v>131.1</v>
      </c>
      <c r="H813" s="37">
        <v>41324.0</v>
      </c>
      <c r="I813" s="36">
        <f t="shared" si="4"/>
        <v>2.705555556</v>
      </c>
      <c r="J813" s="76"/>
      <c r="K813" s="79"/>
      <c r="L813" s="76"/>
      <c r="M813" s="40" t="s">
        <v>279</v>
      </c>
      <c r="N813" s="41" t="s">
        <v>442</v>
      </c>
      <c r="O813" s="42" t="s">
        <v>149</v>
      </c>
      <c r="P813" s="67" t="s">
        <v>505</v>
      </c>
    </row>
    <row r="814">
      <c r="A814" s="44" t="s">
        <v>918</v>
      </c>
      <c r="B814" s="45" t="s">
        <v>25</v>
      </c>
      <c r="C814" s="46" t="s">
        <v>476</v>
      </c>
      <c r="D814" s="47" t="str">
        <f t="shared" si="1"/>
        <v>Active</v>
      </c>
      <c r="E814" s="48">
        <v>42311.0</v>
      </c>
      <c r="F814" s="49"/>
      <c r="G814" s="50">
        <f t="shared" si="2"/>
        <v>131.1</v>
      </c>
      <c r="H814" s="51">
        <v>41730.0</v>
      </c>
      <c r="I814" s="50">
        <f t="shared" si="4"/>
        <v>1.588888889</v>
      </c>
      <c r="J814" s="55">
        <v>58.0</v>
      </c>
      <c r="K814" s="56">
        <v>6.7</v>
      </c>
      <c r="L814" s="78"/>
      <c r="M814" s="58" t="s">
        <v>95</v>
      </c>
      <c r="N814" s="59" t="s">
        <v>442</v>
      </c>
      <c r="O814" s="60" t="s">
        <v>149</v>
      </c>
      <c r="P814" s="66" t="s">
        <v>505</v>
      </c>
    </row>
    <row r="815">
      <c r="A815" s="29" t="s">
        <v>919</v>
      </c>
      <c r="B815" s="30" t="s">
        <v>25</v>
      </c>
      <c r="C815" s="31" t="s">
        <v>476</v>
      </c>
      <c r="D815" s="32" t="str">
        <f t="shared" si="1"/>
        <v>Active</v>
      </c>
      <c r="E815" s="33">
        <v>42311.0</v>
      </c>
      <c r="F815" s="34"/>
      <c r="G815" s="36">
        <f t="shared" si="2"/>
        <v>131.1</v>
      </c>
      <c r="H815" s="37">
        <v>41492.0</v>
      </c>
      <c r="I815" s="36">
        <f t="shared" si="4"/>
        <v>2.241666667</v>
      </c>
      <c r="J815" s="76"/>
      <c r="K815" s="79"/>
      <c r="L815" s="76"/>
      <c r="M815" s="40" t="s">
        <v>103</v>
      </c>
      <c r="N815" s="41" t="s">
        <v>442</v>
      </c>
      <c r="O815" s="42" t="s">
        <v>149</v>
      </c>
      <c r="P815" s="67" t="s">
        <v>149</v>
      </c>
    </row>
    <row r="816">
      <c r="A816" s="44" t="s">
        <v>920</v>
      </c>
      <c r="B816" s="45" t="s">
        <v>25</v>
      </c>
      <c r="C816" s="46" t="s">
        <v>476</v>
      </c>
      <c r="D816" s="47" t="str">
        <f t="shared" si="1"/>
        <v>Active</v>
      </c>
      <c r="E816" s="48">
        <v>42311.0</v>
      </c>
      <c r="F816" s="49"/>
      <c r="G816" s="50">
        <f t="shared" si="2"/>
        <v>131.1</v>
      </c>
      <c r="H816" s="51">
        <v>39479.0</v>
      </c>
      <c r="I816" s="50">
        <f t="shared" si="4"/>
        <v>7.755555556</v>
      </c>
      <c r="J816" s="55">
        <v>53.0</v>
      </c>
      <c r="K816" s="56">
        <v>5.8</v>
      </c>
      <c r="L816" s="78"/>
      <c r="M816" s="58" t="s">
        <v>95</v>
      </c>
      <c r="N816" s="59" t="s">
        <v>442</v>
      </c>
      <c r="O816" s="60" t="s">
        <v>149</v>
      </c>
      <c r="P816" s="66" t="s">
        <v>505</v>
      </c>
    </row>
    <row r="817">
      <c r="A817" s="29" t="s">
        <v>921</v>
      </c>
      <c r="B817" s="30" t="s">
        <v>25</v>
      </c>
      <c r="C817" s="31" t="s">
        <v>476</v>
      </c>
      <c r="D817" s="32" t="str">
        <f t="shared" si="1"/>
        <v>Active</v>
      </c>
      <c r="E817" s="33">
        <v>42311.0</v>
      </c>
      <c r="F817" s="34"/>
      <c r="G817" s="36">
        <f t="shared" si="2"/>
        <v>131.1</v>
      </c>
      <c r="H817" s="37">
        <v>41487.0</v>
      </c>
      <c r="I817" s="36">
        <f t="shared" si="4"/>
        <v>2.255555556</v>
      </c>
      <c r="J817" s="38">
        <v>65.0</v>
      </c>
      <c r="K817" s="39">
        <v>7.1</v>
      </c>
      <c r="L817" s="76"/>
      <c r="M817" s="40" t="s">
        <v>114</v>
      </c>
      <c r="N817" s="41" t="s">
        <v>442</v>
      </c>
      <c r="O817" s="42" t="s">
        <v>149</v>
      </c>
      <c r="P817" s="67" t="s">
        <v>505</v>
      </c>
    </row>
    <row r="818">
      <c r="A818" s="44" t="s">
        <v>922</v>
      </c>
      <c r="B818" s="45" t="s">
        <v>25</v>
      </c>
      <c r="C818" s="46" t="s">
        <v>476</v>
      </c>
      <c r="D818" s="47" t="str">
        <f t="shared" si="1"/>
        <v>Active</v>
      </c>
      <c r="E818" s="48">
        <v>42311.0</v>
      </c>
      <c r="F818" s="49"/>
      <c r="G818" s="50">
        <f t="shared" si="2"/>
        <v>131.1</v>
      </c>
      <c r="H818" s="51">
        <v>41163.0</v>
      </c>
      <c r="I818" s="50">
        <f t="shared" si="4"/>
        <v>3.144444444</v>
      </c>
      <c r="J818" s="55">
        <v>66.0</v>
      </c>
      <c r="K818" s="56">
        <v>7.4</v>
      </c>
      <c r="L818" s="55">
        <v>3.5</v>
      </c>
      <c r="M818" s="58" t="s">
        <v>29</v>
      </c>
      <c r="N818" s="59" t="s">
        <v>442</v>
      </c>
      <c r="O818" s="60" t="s">
        <v>149</v>
      </c>
      <c r="P818" s="66"/>
    </row>
    <row r="819">
      <c r="A819" s="29" t="s">
        <v>923</v>
      </c>
      <c r="B819" s="30" t="s">
        <v>25</v>
      </c>
      <c r="C819" s="31" t="s">
        <v>476</v>
      </c>
      <c r="D819" s="32" t="str">
        <f t="shared" si="1"/>
        <v>Active</v>
      </c>
      <c r="E819" s="33">
        <v>42311.0</v>
      </c>
      <c r="F819" s="34"/>
      <c r="G819" s="36">
        <f t="shared" si="2"/>
        <v>131.1</v>
      </c>
      <c r="H819" s="37">
        <v>41030.0</v>
      </c>
      <c r="I819" s="36">
        <f t="shared" si="4"/>
        <v>3.505555556</v>
      </c>
      <c r="J819" s="38">
        <v>47.0</v>
      </c>
      <c r="K819" s="39">
        <v>6.2</v>
      </c>
      <c r="L819" s="38">
        <v>1.0</v>
      </c>
      <c r="M819" s="40" t="s">
        <v>29</v>
      </c>
      <c r="N819" s="41" t="s">
        <v>442</v>
      </c>
      <c r="O819" s="42" t="s">
        <v>149</v>
      </c>
      <c r="P819" s="67" t="s">
        <v>505</v>
      </c>
    </row>
    <row r="820">
      <c r="A820" s="44" t="s">
        <v>924</v>
      </c>
      <c r="B820" s="45" t="s">
        <v>25</v>
      </c>
      <c r="C820" s="46" t="s">
        <v>476</v>
      </c>
      <c r="D820" s="47" t="str">
        <f t="shared" si="1"/>
        <v>Active</v>
      </c>
      <c r="E820" s="48">
        <v>42311.0</v>
      </c>
      <c r="F820" s="49"/>
      <c r="G820" s="50">
        <f t="shared" si="2"/>
        <v>131.1</v>
      </c>
      <c r="H820" s="51">
        <v>40695.0</v>
      </c>
      <c r="I820" s="50">
        <f t="shared" si="4"/>
        <v>4.422222222</v>
      </c>
      <c r="J820" s="55">
        <v>69.0</v>
      </c>
      <c r="K820" s="56">
        <v>6.2</v>
      </c>
      <c r="L820" s="55">
        <v>1.0</v>
      </c>
      <c r="M820" s="58" t="s">
        <v>29</v>
      </c>
      <c r="N820" s="59" t="s">
        <v>442</v>
      </c>
      <c r="O820" s="60" t="s">
        <v>149</v>
      </c>
      <c r="P820" s="66" t="s">
        <v>505</v>
      </c>
    </row>
    <row r="821">
      <c r="A821" s="29" t="s">
        <v>925</v>
      </c>
      <c r="B821" s="30" t="s">
        <v>25</v>
      </c>
      <c r="C821" s="31" t="s">
        <v>476</v>
      </c>
      <c r="D821" s="32" t="str">
        <f t="shared" si="1"/>
        <v>Active</v>
      </c>
      <c r="E821" s="33">
        <v>42311.0</v>
      </c>
      <c r="F821" s="34"/>
      <c r="G821" s="36">
        <f t="shared" si="2"/>
        <v>131.1</v>
      </c>
      <c r="H821" s="37">
        <v>41548.0</v>
      </c>
      <c r="I821" s="36">
        <f t="shared" si="4"/>
        <v>2.088888889</v>
      </c>
      <c r="J821" s="38">
        <v>44.0</v>
      </c>
      <c r="K821" s="39">
        <v>6.6</v>
      </c>
      <c r="L821" s="38">
        <v>5.0</v>
      </c>
      <c r="M821" s="40" t="s">
        <v>27</v>
      </c>
      <c r="N821" s="41" t="s">
        <v>442</v>
      </c>
      <c r="O821" s="42" t="s">
        <v>149</v>
      </c>
      <c r="P821" s="67" t="s">
        <v>505</v>
      </c>
    </row>
    <row r="822">
      <c r="A822" s="44" t="s">
        <v>926</v>
      </c>
      <c r="B822" s="45" t="s">
        <v>25</v>
      </c>
      <c r="C822" s="46" t="s">
        <v>476</v>
      </c>
      <c r="D822" s="47" t="str">
        <f t="shared" si="1"/>
        <v>Active</v>
      </c>
      <c r="E822" s="48">
        <v>42311.0</v>
      </c>
      <c r="F822" s="49"/>
      <c r="G822" s="50">
        <f t="shared" si="2"/>
        <v>131.1</v>
      </c>
      <c r="H822" s="51">
        <v>40148.0</v>
      </c>
      <c r="I822" s="50">
        <f t="shared" si="4"/>
        <v>5.922222222</v>
      </c>
      <c r="J822" s="55">
        <v>44.0</v>
      </c>
      <c r="K822" s="56">
        <v>4.4</v>
      </c>
      <c r="L822" s="55">
        <v>2.0</v>
      </c>
      <c r="M822" s="58" t="s">
        <v>217</v>
      </c>
      <c r="N822" s="59" t="s">
        <v>442</v>
      </c>
      <c r="O822" s="60" t="s">
        <v>149</v>
      </c>
      <c r="P822" s="66" t="s">
        <v>505</v>
      </c>
    </row>
    <row r="823">
      <c r="A823" s="29" t="s">
        <v>927</v>
      </c>
      <c r="B823" s="30" t="s">
        <v>25</v>
      </c>
      <c r="C823" s="31" t="s">
        <v>476</v>
      </c>
      <c r="D823" s="32" t="str">
        <f t="shared" si="1"/>
        <v>Active</v>
      </c>
      <c r="E823" s="33">
        <v>42311.0</v>
      </c>
      <c r="F823" s="34"/>
      <c r="G823" s="36">
        <f t="shared" si="2"/>
        <v>131.1</v>
      </c>
      <c r="H823" s="37">
        <v>41334.0</v>
      </c>
      <c r="I823" s="36">
        <f t="shared" si="4"/>
        <v>2.672222222</v>
      </c>
      <c r="J823" s="38">
        <v>51.0</v>
      </c>
      <c r="K823" s="39">
        <v>5.2</v>
      </c>
      <c r="L823" s="76"/>
      <c r="M823" s="40" t="s">
        <v>95</v>
      </c>
      <c r="N823" s="41" t="s">
        <v>442</v>
      </c>
      <c r="O823" s="42" t="s">
        <v>149</v>
      </c>
      <c r="P823" s="67" t="s">
        <v>505</v>
      </c>
    </row>
    <row r="824">
      <c r="A824" s="44" t="s">
        <v>928</v>
      </c>
      <c r="B824" s="45" t="s">
        <v>25</v>
      </c>
      <c r="C824" s="46" t="s">
        <v>476</v>
      </c>
      <c r="D824" s="47" t="str">
        <f t="shared" si="1"/>
        <v>Active</v>
      </c>
      <c r="E824" s="48">
        <v>42311.0</v>
      </c>
      <c r="F824" s="49"/>
      <c r="G824" s="50">
        <f t="shared" si="2"/>
        <v>131.1</v>
      </c>
      <c r="H824" s="51">
        <v>40756.0</v>
      </c>
      <c r="I824" s="50">
        <f t="shared" si="4"/>
        <v>4.255555556</v>
      </c>
      <c r="J824" s="55">
        <v>74.0</v>
      </c>
      <c r="K824" s="56">
        <v>5.8</v>
      </c>
      <c r="L824" s="55">
        <v>5.0</v>
      </c>
      <c r="M824" s="58" t="s">
        <v>112</v>
      </c>
      <c r="N824" s="59" t="s">
        <v>442</v>
      </c>
      <c r="O824" s="60" t="s">
        <v>149</v>
      </c>
      <c r="P824" s="66" t="s">
        <v>505</v>
      </c>
    </row>
    <row r="825">
      <c r="A825" s="29" t="s">
        <v>929</v>
      </c>
      <c r="B825" s="30" t="s">
        <v>25</v>
      </c>
      <c r="C825" s="31" t="s">
        <v>476</v>
      </c>
      <c r="D825" s="32" t="str">
        <f t="shared" si="1"/>
        <v>Active</v>
      </c>
      <c r="E825" s="33">
        <v>42311.0</v>
      </c>
      <c r="F825" s="34"/>
      <c r="G825" s="36">
        <f t="shared" si="2"/>
        <v>131.1</v>
      </c>
      <c r="H825" s="37">
        <v>41487.0</v>
      </c>
      <c r="I825" s="36">
        <f t="shared" si="4"/>
        <v>2.255555556</v>
      </c>
      <c r="J825" s="38">
        <v>78.0</v>
      </c>
      <c r="K825" s="39">
        <v>7.7</v>
      </c>
      <c r="L825" s="38">
        <v>4.0</v>
      </c>
      <c r="M825" s="40" t="s">
        <v>29</v>
      </c>
      <c r="N825" s="41" t="s">
        <v>442</v>
      </c>
      <c r="O825" s="42" t="s">
        <v>149</v>
      </c>
      <c r="P825" s="67" t="s">
        <v>505</v>
      </c>
    </row>
    <row r="826">
      <c r="A826" s="44" t="s">
        <v>930</v>
      </c>
      <c r="B826" s="45" t="s">
        <v>25</v>
      </c>
      <c r="C826" s="46" t="s">
        <v>476</v>
      </c>
      <c r="D826" s="47" t="str">
        <f t="shared" si="1"/>
        <v>Active</v>
      </c>
      <c r="E826" s="48">
        <v>42311.0</v>
      </c>
      <c r="F826" s="49"/>
      <c r="G826" s="50">
        <f t="shared" si="2"/>
        <v>131.1</v>
      </c>
      <c r="H826" s="51">
        <v>41191.0</v>
      </c>
      <c r="I826" s="50">
        <f t="shared" si="4"/>
        <v>3.066666667</v>
      </c>
      <c r="J826" s="55">
        <v>82.0</v>
      </c>
      <c r="K826" s="56">
        <v>7.8</v>
      </c>
      <c r="L826" s="55">
        <v>2.0</v>
      </c>
      <c r="M826" s="58" t="s">
        <v>95</v>
      </c>
      <c r="N826" s="59" t="s">
        <v>442</v>
      </c>
      <c r="O826" s="60" t="s">
        <v>149</v>
      </c>
      <c r="P826" s="66"/>
    </row>
    <row r="827">
      <c r="A827" s="29" t="s">
        <v>931</v>
      </c>
      <c r="B827" s="30" t="s">
        <v>25</v>
      </c>
      <c r="C827" s="31" t="s">
        <v>476</v>
      </c>
      <c r="D827" s="32" t="str">
        <f t="shared" si="1"/>
        <v>Active</v>
      </c>
      <c r="E827" s="33">
        <v>42311.0</v>
      </c>
      <c r="F827" s="34"/>
      <c r="G827" s="36">
        <f t="shared" si="2"/>
        <v>131.1</v>
      </c>
      <c r="H827" s="37">
        <v>41244.0</v>
      </c>
      <c r="I827" s="36">
        <f t="shared" si="4"/>
        <v>2.922222222</v>
      </c>
      <c r="J827" s="38">
        <v>73.0</v>
      </c>
      <c r="K827" s="39">
        <v>5.8</v>
      </c>
      <c r="L827" s="38">
        <v>2.0</v>
      </c>
      <c r="M827" s="40" t="s">
        <v>29</v>
      </c>
      <c r="N827" s="41" t="s">
        <v>442</v>
      </c>
      <c r="O827" s="42" t="s">
        <v>149</v>
      </c>
      <c r="P827" s="67" t="s">
        <v>505</v>
      </c>
    </row>
    <row r="828">
      <c r="A828" s="44" t="s">
        <v>932</v>
      </c>
      <c r="B828" s="45" t="s">
        <v>25</v>
      </c>
      <c r="C828" s="46" t="s">
        <v>476</v>
      </c>
      <c r="D828" s="47" t="str">
        <f t="shared" si="1"/>
        <v>Active</v>
      </c>
      <c r="E828" s="48">
        <v>42311.0</v>
      </c>
      <c r="F828" s="49"/>
      <c r="G828" s="50">
        <f t="shared" si="2"/>
        <v>131.1</v>
      </c>
      <c r="H828" s="51">
        <v>41244.0</v>
      </c>
      <c r="I828" s="50">
        <f t="shared" si="4"/>
        <v>2.922222222</v>
      </c>
      <c r="J828" s="55">
        <v>73.0</v>
      </c>
      <c r="K828" s="56">
        <v>7.5</v>
      </c>
      <c r="L828" s="55">
        <v>12.0</v>
      </c>
      <c r="M828" s="58" t="s">
        <v>27</v>
      </c>
      <c r="N828" s="59" t="s">
        <v>442</v>
      </c>
      <c r="O828" s="60" t="s">
        <v>149</v>
      </c>
      <c r="P828" s="66" t="s">
        <v>505</v>
      </c>
    </row>
    <row r="829">
      <c r="A829" s="29" t="s">
        <v>933</v>
      </c>
      <c r="B829" s="30" t="s">
        <v>25</v>
      </c>
      <c r="C829" s="31" t="s">
        <v>476</v>
      </c>
      <c r="D829" s="32" t="str">
        <f t="shared" si="1"/>
        <v>Active</v>
      </c>
      <c r="E829" s="33">
        <v>42311.0</v>
      </c>
      <c r="F829" s="34"/>
      <c r="G829" s="36">
        <f t="shared" si="2"/>
        <v>131.1</v>
      </c>
      <c r="H829" s="37">
        <v>39479.0</v>
      </c>
      <c r="I829" s="36">
        <f t="shared" si="4"/>
        <v>7.755555556</v>
      </c>
      <c r="J829" s="38">
        <v>67.0</v>
      </c>
      <c r="K829" s="39">
        <v>7.5</v>
      </c>
      <c r="L829" s="38">
        <v>8.0</v>
      </c>
      <c r="M829" s="40" t="s">
        <v>31</v>
      </c>
      <c r="N829" s="41" t="s">
        <v>442</v>
      </c>
      <c r="O829" s="42" t="s">
        <v>149</v>
      </c>
      <c r="P829" s="67" t="s">
        <v>505</v>
      </c>
    </row>
    <row r="830">
      <c r="A830" s="44" t="s">
        <v>934</v>
      </c>
      <c r="B830" s="45" t="s">
        <v>25</v>
      </c>
      <c r="C830" s="46" t="s">
        <v>476</v>
      </c>
      <c r="D830" s="47" t="str">
        <f t="shared" si="1"/>
        <v>Active</v>
      </c>
      <c r="E830" s="48">
        <v>42311.0</v>
      </c>
      <c r="F830" s="49"/>
      <c r="G830" s="50">
        <f t="shared" si="2"/>
        <v>131.1</v>
      </c>
      <c r="H830" s="51">
        <v>40299.0</v>
      </c>
      <c r="I830" s="50">
        <f t="shared" si="4"/>
        <v>5.505555556</v>
      </c>
      <c r="J830" s="55">
        <v>68.0</v>
      </c>
      <c r="K830" s="56">
        <v>7.1</v>
      </c>
      <c r="L830" s="55">
        <v>10.0</v>
      </c>
      <c r="M830" s="58" t="s">
        <v>31</v>
      </c>
      <c r="N830" s="59" t="s">
        <v>442</v>
      </c>
      <c r="O830" s="60" t="s">
        <v>149</v>
      </c>
      <c r="P830" s="66" t="s">
        <v>505</v>
      </c>
    </row>
    <row r="831">
      <c r="A831" s="29" t="s">
        <v>935</v>
      </c>
      <c r="B831" s="30" t="s">
        <v>25</v>
      </c>
      <c r="C831" s="31" t="s">
        <v>476</v>
      </c>
      <c r="D831" s="32" t="str">
        <f t="shared" si="1"/>
        <v>Active</v>
      </c>
      <c r="E831" s="33">
        <v>42311.0</v>
      </c>
      <c r="F831" s="34"/>
      <c r="G831" s="36">
        <f t="shared" si="2"/>
        <v>131.1</v>
      </c>
      <c r="H831" s="37">
        <v>41487.0</v>
      </c>
      <c r="I831" s="36">
        <f t="shared" si="4"/>
        <v>2.255555556</v>
      </c>
      <c r="J831" s="38">
        <v>61.0</v>
      </c>
      <c r="K831" s="39">
        <v>6.5</v>
      </c>
      <c r="L831" s="38">
        <v>11.0</v>
      </c>
      <c r="M831" s="40" t="s">
        <v>31</v>
      </c>
      <c r="N831" s="41" t="s">
        <v>442</v>
      </c>
      <c r="O831" s="42" t="s">
        <v>149</v>
      </c>
      <c r="P831" s="67" t="s">
        <v>505</v>
      </c>
    </row>
    <row r="832">
      <c r="A832" s="44" t="s">
        <v>936</v>
      </c>
      <c r="B832" s="45" t="s">
        <v>25</v>
      </c>
      <c r="C832" s="46" t="s">
        <v>476</v>
      </c>
      <c r="D832" s="47" t="str">
        <f t="shared" si="1"/>
        <v>Active</v>
      </c>
      <c r="E832" s="48">
        <v>42311.0</v>
      </c>
      <c r="F832" s="49"/>
      <c r="G832" s="50">
        <f t="shared" si="2"/>
        <v>131.1</v>
      </c>
      <c r="H832" s="51">
        <v>40179.0</v>
      </c>
      <c r="I832" s="50">
        <f t="shared" si="4"/>
        <v>5.838888889</v>
      </c>
      <c r="J832" s="55">
        <v>65.0</v>
      </c>
      <c r="K832" s="56">
        <v>6.3</v>
      </c>
      <c r="L832" s="55">
        <v>4.0</v>
      </c>
      <c r="M832" s="58" t="s">
        <v>31</v>
      </c>
      <c r="N832" s="59" t="s">
        <v>442</v>
      </c>
      <c r="O832" s="60" t="s">
        <v>149</v>
      </c>
      <c r="P832" s="66" t="s">
        <v>505</v>
      </c>
    </row>
    <row r="833">
      <c r="A833" s="29" t="s">
        <v>937</v>
      </c>
      <c r="B833" s="30" t="s">
        <v>25</v>
      </c>
      <c r="C833" s="31" t="s">
        <v>476</v>
      </c>
      <c r="D833" s="32" t="str">
        <f t="shared" si="1"/>
        <v>Active</v>
      </c>
      <c r="E833" s="33">
        <v>42311.0</v>
      </c>
      <c r="F833" s="34"/>
      <c r="G833" s="36">
        <f t="shared" si="2"/>
        <v>131.1</v>
      </c>
      <c r="H833" s="37">
        <v>40238.0</v>
      </c>
      <c r="I833" s="36">
        <f t="shared" si="4"/>
        <v>5.672222222</v>
      </c>
      <c r="J833" s="38">
        <v>79.0</v>
      </c>
      <c r="K833" s="39">
        <v>7.8</v>
      </c>
      <c r="L833" s="38">
        <v>2.0</v>
      </c>
      <c r="M833" s="40" t="s">
        <v>27</v>
      </c>
      <c r="N833" s="41" t="s">
        <v>442</v>
      </c>
      <c r="O833" s="42" t="s">
        <v>149</v>
      </c>
      <c r="P833" s="67"/>
    </row>
    <row r="834">
      <c r="A834" s="44" t="s">
        <v>938</v>
      </c>
      <c r="B834" s="45" t="s">
        <v>25</v>
      </c>
      <c r="C834" s="46" t="s">
        <v>476</v>
      </c>
      <c r="D834" s="47" t="str">
        <f t="shared" si="1"/>
        <v>Active</v>
      </c>
      <c r="E834" s="48">
        <v>42311.0</v>
      </c>
      <c r="F834" s="49"/>
      <c r="G834" s="50">
        <f t="shared" si="2"/>
        <v>131.1</v>
      </c>
      <c r="H834" s="51">
        <v>39713.0</v>
      </c>
      <c r="I834" s="50">
        <f t="shared" si="4"/>
        <v>7.113888889</v>
      </c>
      <c r="J834" s="55">
        <v>82.0</v>
      </c>
      <c r="K834" s="56">
        <v>8.2</v>
      </c>
      <c r="L834" s="55">
        <v>3.5</v>
      </c>
      <c r="M834" s="58" t="s">
        <v>27</v>
      </c>
      <c r="N834" s="59" t="s">
        <v>442</v>
      </c>
      <c r="O834" s="60" t="s">
        <v>149</v>
      </c>
      <c r="P834" s="66"/>
    </row>
    <row r="835">
      <c r="A835" s="29" t="s">
        <v>939</v>
      </c>
      <c r="B835" s="30" t="s">
        <v>25</v>
      </c>
      <c r="C835" s="31" t="s">
        <v>476</v>
      </c>
      <c r="D835" s="32" t="str">
        <f t="shared" si="1"/>
        <v>Active</v>
      </c>
      <c r="E835" s="33">
        <v>42311.0</v>
      </c>
      <c r="F835" s="34"/>
      <c r="G835" s="36">
        <f t="shared" si="2"/>
        <v>131.1</v>
      </c>
      <c r="H835" s="37">
        <v>41214.0</v>
      </c>
      <c r="I835" s="36">
        <f t="shared" si="4"/>
        <v>3.005555556</v>
      </c>
      <c r="J835" s="38">
        <v>70.0</v>
      </c>
      <c r="K835" s="39">
        <v>6.2</v>
      </c>
      <c r="L835" s="38">
        <v>5.0</v>
      </c>
      <c r="M835" s="40" t="s">
        <v>27</v>
      </c>
      <c r="N835" s="41" t="s">
        <v>442</v>
      </c>
      <c r="O835" s="42" t="s">
        <v>149</v>
      </c>
      <c r="P835" s="67" t="s">
        <v>505</v>
      </c>
    </row>
    <row r="836">
      <c r="A836" s="44" t="s">
        <v>940</v>
      </c>
      <c r="B836" s="45" t="s">
        <v>25</v>
      </c>
      <c r="C836" s="46" t="s">
        <v>476</v>
      </c>
      <c r="D836" s="47" t="str">
        <f t="shared" si="1"/>
        <v>Active</v>
      </c>
      <c r="E836" s="48">
        <v>42311.0</v>
      </c>
      <c r="F836" s="49"/>
      <c r="G836" s="50">
        <f t="shared" si="2"/>
        <v>131.1</v>
      </c>
      <c r="H836" s="51">
        <v>41548.0</v>
      </c>
      <c r="I836" s="50">
        <f t="shared" si="4"/>
        <v>2.088888889</v>
      </c>
      <c r="J836" s="55">
        <v>72.0</v>
      </c>
      <c r="K836" s="56">
        <v>6.2</v>
      </c>
      <c r="L836" s="55">
        <v>1.0</v>
      </c>
      <c r="M836" s="58" t="s">
        <v>112</v>
      </c>
      <c r="N836" s="59" t="s">
        <v>442</v>
      </c>
      <c r="O836" s="60" t="s">
        <v>149</v>
      </c>
      <c r="P836" s="66" t="s">
        <v>505</v>
      </c>
    </row>
    <row r="837">
      <c r="A837" s="29" t="s">
        <v>941</v>
      </c>
      <c r="B837" s="30" t="s">
        <v>25</v>
      </c>
      <c r="C837" s="31" t="s">
        <v>476</v>
      </c>
      <c r="D837" s="32" t="str">
        <f t="shared" si="1"/>
        <v>Active</v>
      </c>
      <c r="E837" s="33">
        <v>42311.0</v>
      </c>
      <c r="F837" s="34"/>
      <c r="G837" s="36">
        <f t="shared" si="2"/>
        <v>131.1</v>
      </c>
      <c r="H837" s="37">
        <v>40299.0</v>
      </c>
      <c r="I837" s="36">
        <f t="shared" si="4"/>
        <v>5.505555556</v>
      </c>
      <c r="J837" s="38">
        <v>70.0</v>
      </c>
      <c r="K837" s="39">
        <v>7.2</v>
      </c>
      <c r="L837" s="38">
        <v>4.0</v>
      </c>
      <c r="M837" s="40" t="s">
        <v>27</v>
      </c>
      <c r="N837" s="41" t="s">
        <v>442</v>
      </c>
      <c r="O837" s="42" t="s">
        <v>149</v>
      </c>
      <c r="P837" s="67" t="s">
        <v>505</v>
      </c>
    </row>
    <row r="838">
      <c r="A838" s="44" t="s">
        <v>942</v>
      </c>
      <c r="B838" s="45" t="s">
        <v>25</v>
      </c>
      <c r="C838" s="46" t="s">
        <v>476</v>
      </c>
      <c r="D838" s="47" t="str">
        <f t="shared" si="1"/>
        <v>Active</v>
      </c>
      <c r="E838" s="48">
        <v>42311.0</v>
      </c>
      <c r="F838" s="49"/>
      <c r="G838" s="50">
        <f t="shared" si="2"/>
        <v>131.1</v>
      </c>
      <c r="H838" s="51">
        <v>40148.0</v>
      </c>
      <c r="I838" s="50">
        <f t="shared" si="4"/>
        <v>5.922222222</v>
      </c>
      <c r="J838" s="55">
        <v>27.0</v>
      </c>
      <c r="K838" s="56">
        <v>4.0</v>
      </c>
      <c r="L838" s="55">
        <v>3.0</v>
      </c>
      <c r="M838" s="58" t="s">
        <v>31</v>
      </c>
      <c r="N838" s="59" t="s">
        <v>442</v>
      </c>
      <c r="O838" s="60" t="s">
        <v>149</v>
      </c>
      <c r="P838" s="66" t="s">
        <v>505</v>
      </c>
    </row>
    <row r="839">
      <c r="A839" s="29" t="s">
        <v>943</v>
      </c>
      <c r="B839" s="30" t="s">
        <v>25</v>
      </c>
      <c r="C839" s="31" t="s">
        <v>476</v>
      </c>
      <c r="D839" s="32" t="str">
        <f t="shared" si="1"/>
        <v>Active</v>
      </c>
      <c r="E839" s="33">
        <v>42311.0</v>
      </c>
      <c r="F839" s="34"/>
      <c r="G839" s="36">
        <f t="shared" si="2"/>
        <v>131.1</v>
      </c>
      <c r="H839" s="37">
        <v>40787.0</v>
      </c>
      <c r="I839" s="36">
        <f t="shared" si="4"/>
        <v>4.172222222</v>
      </c>
      <c r="J839" s="38">
        <v>66.0</v>
      </c>
      <c r="K839" s="39">
        <v>7.0</v>
      </c>
      <c r="L839" s="38">
        <v>4.0</v>
      </c>
      <c r="M839" s="40" t="s">
        <v>29</v>
      </c>
      <c r="N839" s="41" t="s">
        <v>442</v>
      </c>
      <c r="O839" s="42" t="s">
        <v>149</v>
      </c>
      <c r="P839" s="67" t="s">
        <v>505</v>
      </c>
    </row>
    <row r="840">
      <c r="A840" s="44" t="s">
        <v>944</v>
      </c>
      <c r="B840" s="45" t="s">
        <v>25</v>
      </c>
      <c r="C840" s="46" t="s">
        <v>476</v>
      </c>
      <c r="D840" s="47" t="str">
        <f t="shared" si="1"/>
        <v>Active</v>
      </c>
      <c r="E840" s="48">
        <v>42311.0</v>
      </c>
      <c r="F840" s="49"/>
      <c r="G840" s="50">
        <f t="shared" si="2"/>
        <v>131.1</v>
      </c>
      <c r="H840" s="51">
        <v>40087.0</v>
      </c>
      <c r="I840" s="50">
        <f t="shared" si="4"/>
        <v>6.088888889</v>
      </c>
      <c r="J840" s="55">
        <v>75.0</v>
      </c>
      <c r="K840" s="56">
        <v>7.6</v>
      </c>
      <c r="L840" s="55">
        <v>2.0</v>
      </c>
      <c r="M840" s="58" t="s">
        <v>112</v>
      </c>
      <c r="N840" s="59" t="s">
        <v>442</v>
      </c>
      <c r="O840" s="60" t="s">
        <v>149</v>
      </c>
      <c r="P840" s="66" t="s">
        <v>505</v>
      </c>
    </row>
    <row r="841">
      <c r="A841" s="29" t="s">
        <v>945</v>
      </c>
      <c r="B841" s="30" t="s">
        <v>25</v>
      </c>
      <c r="C841" s="31" t="s">
        <v>476</v>
      </c>
      <c r="D841" s="32" t="str">
        <f t="shared" si="1"/>
        <v>Active</v>
      </c>
      <c r="E841" s="33">
        <v>42311.0</v>
      </c>
      <c r="F841" s="34"/>
      <c r="G841" s="36">
        <f t="shared" si="2"/>
        <v>131.1</v>
      </c>
      <c r="H841" s="37">
        <v>40087.0</v>
      </c>
      <c r="I841" s="36">
        <f t="shared" si="4"/>
        <v>6.088888889</v>
      </c>
      <c r="J841" s="38">
        <v>75.0</v>
      </c>
      <c r="K841" s="39">
        <v>7.7</v>
      </c>
      <c r="L841" s="38">
        <v>2.0</v>
      </c>
      <c r="M841" s="40" t="s">
        <v>112</v>
      </c>
      <c r="N841" s="41" t="s">
        <v>442</v>
      </c>
      <c r="O841" s="42" t="s">
        <v>149</v>
      </c>
      <c r="P841" s="67" t="s">
        <v>505</v>
      </c>
    </row>
    <row r="842">
      <c r="A842" s="44" t="s">
        <v>946</v>
      </c>
      <c r="B842" s="45" t="s">
        <v>25</v>
      </c>
      <c r="C842" s="46" t="s">
        <v>476</v>
      </c>
      <c r="D842" s="47" t="str">
        <f t="shared" si="1"/>
        <v>Active</v>
      </c>
      <c r="E842" s="48">
        <v>42311.0</v>
      </c>
      <c r="F842" s="49"/>
      <c r="G842" s="50">
        <f t="shared" si="2"/>
        <v>131.1</v>
      </c>
      <c r="H842" s="51">
        <v>40087.0</v>
      </c>
      <c r="I842" s="50">
        <f t="shared" si="4"/>
        <v>6.088888889</v>
      </c>
      <c r="J842" s="55">
        <v>75.0</v>
      </c>
      <c r="K842" s="56">
        <v>7.8</v>
      </c>
      <c r="L842" s="55">
        <v>2.0</v>
      </c>
      <c r="M842" s="58" t="s">
        <v>112</v>
      </c>
      <c r="N842" s="59" t="s">
        <v>442</v>
      </c>
      <c r="O842" s="60" t="s">
        <v>149</v>
      </c>
      <c r="P842" s="66" t="s">
        <v>505</v>
      </c>
    </row>
    <row r="843">
      <c r="A843" s="29" t="s">
        <v>947</v>
      </c>
      <c r="B843" s="30" t="s">
        <v>25</v>
      </c>
      <c r="C843" s="31" t="s">
        <v>476</v>
      </c>
      <c r="D843" s="32" t="str">
        <f t="shared" si="1"/>
        <v>Active</v>
      </c>
      <c r="E843" s="33">
        <v>42311.0</v>
      </c>
      <c r="F843" s="34"/>
      <c r="G843" s="36">
        <f t="shared" si="2"/>
        <v>131.1</v>
      </c>
      <c r="H843" s="37">
        <v>40087.0</v>
      </c>
      <c r="I843" s="36">
        <f t="shared" si="4"/>
        <v>6.088888889</v>
      </c>
      <c r="J843" s="38">
        <v>75.0</v>
      </c>
      <c r="K843" s="39">
        <v>7.9</v>
      </c>
      <c r="L843" s="38">
        <v>2.0</v>
      </c>
      <c r="M843" s="40" t="s">
        <v>112</v>
      </c>
      <c r="N843" s="41" t="s">
        <v>442</v>
      </c>
      <c r="O843" s="42" t="s">
        <v>149</v>
      </c>
      <c r="P843" s="67" t="s">
        <v>505</v>
      </c>
    </row>
    <row r="844">
      <c r="A844" s="44" t="s">
        <v>948</v>
      </c>
      <c r="B844" s="45" t="s">
        <v>25</v>
      </c>
      <c r="C844" s="46" t="s">
        <v>476</v>
      </c>
      <c r="D844" s="47" t="str">
        <f t="shared" si="1"/>
        <v>Active</v>
      </c>
      <c r="E844" s="48">
        <v>42311.0</v>
      </c>
      <c r="F844" s="49"/>
      <c r="G844" s="50">
        <f t="shared" si="2"/>
        <v>131.1</v>
      </c>
      <c r="H844" s="51">
        <v>40087.0</v>
      </c>
      <c r="I844" s="50">
        <f t="shared" si="4"/>
        <v>6.088888889</v>
      </c>
      <c r="J844" s="55">
        <v>75.0</v>
      </c>
      <c r="K844" s="56">
        <v>8.1</v>
      </c>
      <c r="L844" s="55">
        <v>2.0</v>
      </c>
      <c r="M844" s="58" t="s">
        <v>112</v>
      </c>
      <c r="N844" s="59" t="s">
        <v>442</v>
      </c>
      <c r="O844" s="60" t="s">
        <v>149</v>
      </c>
      <c r="P844" s="66" t="s">
        <v>505</v>
      </c>
    </row>
    <row r="845">
      <c r="A845" s="29" t="s">
        <v>949</v>
      </c>
      <c r="B845" s="30" t="s">
        <v>25</v>
      </c>
      <c r="C845" s="31" t="s">
        <v>476</v>
      </c>
      <c r="D845" s="32" t="str">
        <f t="shared" si="1"/>
        <v>Active</v>
      </c>
      <c r="E845" s="33">
        <v>42311.0</v>
      </c>
      <c r="F845" s="34"/>
      <c r="G845" s="36">
        <f t="shared" si="2"/>
        <v>131.1</v>
      </c>
      <c r="H845" s="37">
        <v>40391.0</v>
      </c>
      <c r="I845" s="36">
        <f t="shared" si="4"/>
        <v>5.255555556</v>
      </c>
      <c r="J845" s="38">
        <v>81.0</v>
      </c>
      <c r="K845" s="39">
        <v>7.5</v>
      </c>
      <c r="L845" s="38">
        <v>3.0</v>
      </c>
      <c r="M845" s="40" t="s">
        <v>112</v>
      </c>
      <c r="N845" s="41" t="s">
        <v>442</v>
      </c>
      <c r="O845" s="42" t="s">
        <v>149</v>
      </c>
      <c r="P845" s="67" t="s">
        <v>505</v>
      </c>
    </row>
    <row r="846">
      <c r="A846" s="44" t="s">
        <v>950</v>
      </c>
      <c r="B846" s="45" t="s">
        <v>25</v>
      </c>
      <c r="C846" s="46" t="s">
        <v>476</v>
      </c>
      <c r="D846" s="47" t="str">
        <f t="shared" si="1"/>
        <v>Active</v>
      </c>
      <c r="E846" s="48">
        <v>42311.0</v>
      </c>
      <c r="F846" s="49"/>
      <c r="G846" s="50">
        <f t="shared" si="2"/>
        <v>131.1</v>
      </c>
      <c r="H846" s="51">
        <v>40391.0</v>
      </c>
      <c r="I846" s="50">
        <f t="shared" si="4"/>
        <v>5.255555556</v>
      </c>
      <c r="J846" s="55">
        <v>85.0</v>
      </c>
      <c r="K846" s="56">
        <v>7.7</v>
      </c>
      <c r="L846" s="55">
        <v>3.0</v>
      </c>
      <c r="M846" s="58" t="s">
        <v>112</v>
      </c>
      <c r="N846" s="59" t="s">
        <v>442</v>
      </c>
      <c r="O846" s="60" t="s">
        <v>149</v>
      </c>
      <c r="P846" s="66" t="s">
        <v>505</v>
      </c>
    </row>
    <row r="847">
      <c r="A847" s="29" t="s">
        <v>951</v>
      </c>
      <c r="B847" s="30" t="s">
        <v>25</v>
      </c>
      <c r="C847" s="31" t="s">
        <v>476</v>
      </c>
      <c r="D847" s="32" t="str">
        <f t="shared" si="1"/>
        <v>Active</v>
      </c>
      <c r="E847" s="33">
        <v>42311.0</v>
      </c>
      <c r="F847" s="34"/>
      <c r="G847" s="36">
        <f t="shared" si="2"/>
        <v>131.1</v>
      </c>
      <c r="H847" s="37">
        <v>40391.0</v>
      </c>
      <c r="I847" s="36">
        <f t="shared" si="4"/>
        <v>5.255555556</v>
      </c>
      <c r="J847" s="38">
        <v>73.0</v>
      </c>
      <c r="K847" s="39">
        <v>7.9</v>
      </c>
      <c r="L847" s="38">
        <v>3.0</v>
      </c>
      <c r="M847" s="40" t="s">
        <v>112</v>
      </c>
      <c r="N847" s="41" t="s">
        <v>442</v>
      </c>
      <c r="O847" s="42" t="s">
        <v>149</v>
      </c>
      <c r="P847" s="67" t="s">
        <v>505</v>
      </c>
    </row>
    <row r="848">
      <c r="A848" s="44" t="s">
        <v>952</v>
      </c>
      <c r="B848" s="45" t="s">
        <v>25</v>
      </c>
      <c r="C848" s="46" t="s">
        <v>476</v>
      </c>
      <c r="D848" s="47" t="str">
        <f t="shared" si="1"/>
        <v>Active</v>
      </c>
      <c r="E848" s="48">
        <v>42311.0</v>
      </c>
      <c r="F848" s="49"/>
      <c r="G848" s="50">
        <f t="shared" si="2"/>
        <v>131.1</v>
      </c>
      <c r="H848" s="51">
        <v>40391.0</v>
      </c>
      <c r="I848" s="50">
        <f t="shared" si="4"/>
        <v>5.255555556</v>
      </c>
      <c r="J848" s="55">
        <v>76.0</v>
      </c>
      <c r="K848" s="56">
        <v>7.6</v>
      </c>
      <c r="L848" s="55">
        <v>3.0</v>
      </c>
      <c r="M848" s="58" t="s">
        <v>112</v>
      </c>
      <c r="N848" s="59" t="s">
        <v>442</v>
      </c>
      <c r="O848" s="60" t="s">
        <v>149</v>
      </c>
      <c r="P848" s="66" t="s">
        <v>505</v>
      </c>
    </row>
    <row r="849">
      <c r="A849" s="29" t="s">
        <v>953</v>
      </c>
      <c r="B849" s="30" t="s">
        <v>25</v>
      </c>
      <c r="C849" s="31" t="s">
        <v>476</v>
      </c>
      <c r="D849" s="32" t="str">
        <f t="shared" si="1"/>
        <v>Active</v>
      </c>
      <c r="E849" s="33">
        <v>42311.0</v>
      </c>
      <c r="F849" s="34"/>
      <c r="G849" s="36">
        <f t="shared" si="2"/>
        <v>131.1</v>
      </c>
      <c r="H849" s="37">
        <v>40391.0</v>
      </c>
      <c r="I849" s="36">
        <f t="shared" si="4"/>
        <v>5.255555556</v>
      </c>
      <c r="J849" s="38">
        <v>80.0</v>
      </c>
      <c r="K849" s="39">
        <v>7.8</v>
      </c>
      <c r="L849" s="38">
        <v>3.0</v>
      </c>
      <c r="M849" s="40" t="s">
        <v>112</v>
      </c>
      <c r="N849" s="41" t="s">
        <v>442</v>
      </c>
      <c r="O849" s="42" t="s">
        <v>149</v>
      </c>
      <c r="P849" s="67" t="s">
        <v>505</v>
      </c>
    </row>
    <row r="850">
      <c r="A850" s="44" t="s">
        <v>954</v>
      </c>
      <c r="B850" s="45" t="s">
        <v>25</v>
      </c>
      <c r="C850" s="46" t="s">
        <v>476</v>
      </c>
      <c r="D850" s="47" t="str">
        <f t="shared" si="1"/>
        <v>Active</v>
      </c>
      <c r="E850" s="48">
        <v>42311.0</v>
      </c>
      <c r="F850" s="49"/>
      <c r="G850" s="50">
        <f t="shared" si="2"/>
        <v>131.1</v>
      </c>
      <c r="H850" s="51">
        <v>41579.0</v>
      </c>
      <c r="I850" s="50">
        <f t="shared" si="4"/>
        <v>2.005555556</v>
      </c>
      <c r="J850" s="55">
        <v>33.0</v>
      </c>
      <c r="K850" s="77"/>
      <c r="L850" s="55">
        <v>1.0</v>
      </c>
      <c r="M850" s="58" t="s">
        <v>112</v>
      </c>
      <c r="N850" s="59" t="s">
        <v>442</v>
      </c>
      <c r="O850" s="60" t="s">
        <v>149</v>
      </c>
      <c r="P850" s="66" t="s">
        <v>505</v>
      </c>
    </row>
    <row r="851">
      <c r="A851" s="29" t="s">
        <v>955</v>
      </c>
      <c r="B851" s="30" t="s">
        <v>25</v>
      </c>
      <c r="C851" s="31" t="s">
        <v>476</v>
      </c>
      <c r="D851" s="32" t="str">
        <f t="shared" si="1"/>
        <v>Active</v>
      </c>
      <c r="E851" s="33">
        <v>42311.0</v>
      </c>
      <c r="F851" s="34"/>
      <c r="G851" s="36">
        <f t="shared" si="2"/>
        <v>131.1</v>
      </c>
      <c r="H851" s="37">
        <v>39539.0</v>
      </c>
      <c r="I851" s="36">
        <f t="shared" si="4"/>
        <v>7.588888889</v>
      </c>
      <c r="J851" s="38">
        <v>76.0</v>
      </c>
      <c r="K851" s="39">
        <v>7.9</v>
      </c>
      <c r="L851" s="38">
        <v>2.0</v>
      </c>
      <c r="M851" s="40" t="s">
        <v>112</v>
      </c>
      <c r="N851" s="41" t="s">
        <v>442</v>
      </c>
      <c r="O851" s="42" t="s">
        <v>149</v>
      </c>
      <c r="P851" s="67" t="s">
        <v>505</v>
      </c>
    </row>
    <row r="852">
      <c r="A852" s="44" t="s">
        <v>956</v>
      </c>
      <c r="B852" s="45" t="s">
        <v>25</v>
      </c>
      <c r="C852" s="46" t="s">
        <v>476</v>
      </c>
      <c r="D852" s="47" t="str">
        <f t="shared" si="1"/>
        <v>Active</v>
      </c>
      <c r="E852" s="48">
        <v>42311.0</v>
      </c>
      <c r="F852" s="49"/>
      <c r="G852" s="50">
        <f t="shared" si="2"/>
        <v>131.1</v>
      </c>
      <c r="H852" s="51">
        <v>39539.0</v>
      </c>
      <c r="I852" s="50">
        <f t="shared" si="4"/>
        <v>7.588888889</v>
      </c>
      <c r="J852" s="55">
        <v>82.0</v>
      </c>
      <c r="K852" s="56">
        <v>7.8</v>
      </c>
      <c r="L852" s="55">
        <v>2.0</v>
      </c>
      <c r="M852" s="58" t="s">
        <v>112</v>
      </c>
      <c r="N852" s="59" t="s">
        <v>442</v>
      </c>
      <c r="O852" s="60" t="s">
        <v>149</v>
      </c>
      <c r="P852" s="66" t="s">
        <v>505</v>
      </c>
    </row>
    <row r="853">
      <c r="A853" s="29" t="s">
        <v>957</v>
      </c>
      <c r="B853" s="30" t="s">
        <v>25</v>
      </c>
      <c r="C853" s="31" t="s">
        <v>476</v>
      </c>
      <c r="D853" s="32" t="str">
        <f t="shared" si="1"/>
        <v>Active</v>
      </c>
      <c r="E853" s="33">
        <v>42311.0</v>
      </c>
      <c r="F853" s="34"/>
      <c r="G853" s="36">
        <f t="shared" si="2"/>
        <v>131.1</v>
      </c>
      <c r="H853" s="37">
        <v>39539.0</v>
      </c>
      <c r="I853" s="36">
        <f t="shared" si="4"/>
        <v>7.588888889</v>
      </c>
      <c r="J853" s="38">
        <v>79.0</v>
      </c>
      <c r="K853" s="39">
        <v>7.7</v>
      </c>
      <c r="L853" s="38">
        <v>2.0</v>
      </c>
      <c r="M853" s="40" t="s">
        <v>112</v>
      </c>
      <c r="N853" s="41" t="s">
        <v>442</v>
      </c>
      <c r="O853" s="42" t="s">
        <v>149</v>
      </c>
      <c r="P853" s="67" t="s">
        <v>505</v>
      </c>
    </row>
    <row r="854">
      <c r="A854" s="44" t="s">
        <v>958</v>
      </c>
      <c r="B854" s="45" t="s">
        <v>25</v>
      </c>
      <c r="C854" s="46" t="s">
        <v>476</v>
      </c>
      <c r="D854" s="47" t="str">
        <f t="shared" si="1"/>
        <v>Active</v>
      </c>
      <c r="E854" s="48">
        <v>42311.0</v>
      </c>
      <c r="F854" s="49"/>
      <c r="G854" s="50">
        <f t="shared" si="2"/>
        <v>131.1</v>
      </c>
      <c r="H854" s="51">
        <v>39539.0</v>
      </c>
      <c r="I854" s="50">
        <f t="shared" si="4"/>
        <v>7.588888889</v>
      </c>
      <c r="J854" s="55">
        <v>81.0</v>
      </c>
      <c r="K854" s="56">
        <v>7.8</v>
      </c>
      <c r="L854" s="55">
        <v>2.0</v>
      </c>
      <c r="M854" s="58" t="s">
        <v>112</v>
      </c>
      <c r="N854" s="59" t="s">
        <v>442</v>
      </c>
      <c r="O854" s="60" t="s">
        <v>149</v>
      </c>
      <c r="P854" s="66" t="s">
        <v>505</v>
      </c>
    </row>
    <row r="855">
      <c r="A855" s="29" t="s">
        <v>959</v>
      </c>
      <c r="B855" s="30" t="s">
        <v>25</v>
      </c>
      <c r="C855" s="31" t="s">
        <v>476</v>
      </c>
      <c r="D855" s="32" t="str">
        <f t="shared" si="1"/>
        <v>Active</v>
      </c>
      <c r="E855" s="33">
        <v>42311.0</v>
      </c>
      <c r="F855" s="34"/>
      <c r="G855" s="36">
        <f t="shared" si="2"/>
        <v>131.1</v>
      </c>
      <c r="H855" s="37">
        <v>39539.0</v>
      </c>
      <c r="I855" s="36">
        <f t="shared" si="4"/>
        <v>7.588888889</v>
      </c>
      <c r="J855" s="38">
        <v>82.0</v>
      </c>
      <c r="K855" s="39">
        <v>7.9</v>
      </c>
      <c r="L855" s="38">
        <v>2.0</v>
      </c>
      <c r="M855" s="40" t="s">
        <v>112</v>
      </c>
      <c r="N855" s="41" t="s">
        <v>442</v>
      </c>
      <c r="O855" s="42" t="s">
        <v>149</v>
      </c>
      <c r="P855" s="67" t="s">
        <v>505</v>
      </c>
    </row>
    <row r="856">
      <c r="A856" s="44" t="s">
        <v>960</v>
      </c>
      <c r="B856" s="45" t="s">
        <v>25</v>
      </c>
      <c r="C856" s="46" t="s">
        <v>476</v>
      </c>
      <c r="D856" s="47" t="str">
        <f t="shared" si="1"/>
        <v>Active</v>
      </c>
      <c r="E856" s="48">
        <v>42311.0</v>
      </c>
      <c r="F856" s="49"/>
      <c r="G856" s="50">
        <f t="shared" si="2"/>
        <v>131.1</v>
      </c>
      <c r="H856" s="51">
        <v>41487.0</v>
      </c>
      <c r="I856" s="50">
        <f t="shared" si="4"/>
        <v>2.255555556</v>
      </c>
      <c r="J856" s="55">
        <v>62.0</v>
      </c>
      <c r="K856" s="56">
        <v>6.0</v>
      </c>
      <c r="L856" s="55">
        <v>4.0</v>
      </c>
      <c r="M856" s="58" t="s">
        <v>31</v>
      </c>
      <c r="N856" s="59" t="s">
        <v>442</v>
      </c>
      <c r="O856" s="60" t="s">
        <v>149</v>
      </c>
      <c r="P856" s="66" t="s">
        <v>505</v>
      </c>
    </row>
    <row r="857">
      <c r="A857" s="29" t="s">
        <v>961</v>
      </c>
      <c r="B857" s="30" t="s">
        <v>25</v>
      </c>
      <c r="C857" s="31" t="s">
        <v>476</v>
      </c>
      <c r="D857" s="32" t="str">
        <f t="shared" si="1"/>
        <v>Active</v>
      </c>
      <c r="E857" s="33">
        <v>42311.0</v>
      </c>
      <c r="F857" s="34"/>
      <c r="G857" s="36">
        <f t="shared" si="2"/>
        <v>131.1</v>
      </c>
      <c r="H857" s="37">
        <v>41671.0</v>
      </c>
      <c r="I857" s="36">
        <f t="shared" si="4"/>
        <v>1.755555556</v>
      </c>
      <c r="J857" s="38">
        <v>78.0</v>
      </c>
      <c r="K857" s="39">
        <v>4.2</v>
      </c>
      <c r="L857" s="38">
        <v>5.0</v>
      </c>
      <c r="M857" s="40" t="s">
        <v>95</v>
      </c>
      <c r="N857" s="41" t="s">
        <v>442</v>
      </c>
      <c r="O857" s="42" t="s">
        <v>149</v>
      </c>
      <c r="P857" s="67" t="s">
        <v>505</v>
      </c>
    </row>
    <row r="858">
      <c r="A858" s="44" t="s">
        <v>962</v>
      </c>
      <c r="B858" s="45" t="s">
        <v>25</v>
      </c>
      <c r="C858" s="46" t="s">
        <v>476</v>
      </c>
      <c r="D858" s="47" t="str">
        <f t="shared" si="1"/>
        <v>Active</v>
      </c>
      <c r="E858" s="48">
        <v>42311.0</v>
      </c>
      <c r="F858" s="49"/>
      <c r="G858" s="50">
        <f t="shared" si="2"/>
        <v>131.1</v>
      </c>
      <c r="H858" s="51">
        <v>41254.0</v>
      </c>
      <c r="I858" s="50">
        <f t="shared" si="4"/>
        <v>2.894444444</v>
      </c>
      <c r="J858" s="55">
        <v>57.0</v>
      </c>
      <c r="K858" s="77"/>
      <c r="L858" s="55">
        <v>8.0</v>
      </c>
      <c r="M858" s="58" t="s">
        <v>112</v>
      </c>
      <c r="N858" s="59" t="s">
        <v>442</v>
      </c>
      <c r="O858" s="60" t="s">
        <v>149</v>
      </c>
      <c r="P858" s="66" t="s">
        <v>505</v>
      </c>
    </row>
    <row r="859">
      <c r="A859" s="29" t="s">
        <v>963</v>
      </c>
      <c r="B859" s="30" t="s">
        <v>25</v>
      </c>
      <c r="C859" s="31" t="s">
        <v>476</v>
      </c>
      <c r="D859" s="32" t="str">
        <f t="shared" si="1"/>
        <v>Active</v>
      </c>
      <c r="E859" s="33">
        <v>42311.0</v>
      </c>
      <c r="F859" s="34"/>
      <c r="G859" s="36">
        <f t="shared" si="2"/>
        <v>131.1</v>
      </c>
      <c r="H859" s="37">
        <v>41183.0</v>
      </c>
      <c r="I859" s="36">
        <f t="shared" si="4"/>
        <v>3.088888889</v>
      </c>
      <c r="J859" s="38">
        <v>72.0</v>
      </c>
      <c r="K859" s="39">
        <v>7.0</v>
      </c>
      <c r="L859" s="76"/>
      <c r="M859" s="40" t="s">
        <v>103</v>
      </c>
      <c r="N859" s="41" t="s">
        <v>442</v>
      </c>
      <c r="O859" s="42" t="s">
        <v>149</v>
      </c>
      <c r="P859" s="67" t="s">
        <v>505</v>
      </c>
    </row>
    <row r="860">
      <c r="A860" s="44" t="s">
        <v>964</v>
      </c>
      <c r="B860" s="45" t="s">
        <v>25</v>
      </c>
      <c r="C860" s="46" t="s">
        <v>476</v>
      </c>
      <c r="D860" s="47" t="str">
        <f t="shared" si="1"/>
        <v>Active</v>
      </c>
      <c r="E860" s="48">
        <v>42190.0</v>
      </c>
      <c r="F860" s="49"/>
      <c r="G860" s="50">
        <f t="shared" si="2"/>
        <v>135.0333333</v>
      </c>
      <c r="H860" s="51">
        <v>40808.0</v>
      </c>
      <c r="I860" s="50">
        <f t="shared" si="4"/>
        <v>3.786111111</v>
      </c>
      <c r="J860" s="55">
        <v>48.0</v>
      </c>
      <c r="K860" s="77"/>
      <c r="L860" s="78"/>
      <c r="M860" s="58" t="s">
        <v>125</v>
      </c>
      <c r="N860" s="59" t="s">
        <v>442</v>
      </c>
      <c r="O860" s="60" t="s">
        <v>149</v>
      </c>
      <c r="P860" s="66" t="s">
        <v>505</v>
      </c>
    </row>
    <row r="861">
      <c r="A861" s="29" t="s">
        <v>965</v>
      </c>
      <c r="B861" s="30" t="s">
        <v>25</v>
      </c>
      <c r="C861" s="31" t="s">
        <v>476</v>
      </c>
      <c r="D861" s="32" t="str">
        <f t="shared" si="1"/>
        <v>Active</v>
      </c>
      <c r="E861" s="33">
        <v>42178.0</v>
      </c>
      <c r="F861" s="34"/>
      <c r="G861" s="36">
        <f t="shared" si="2"/>
        <v>135.4333333</v>
      </c>
      <c r="H861" s="37">
        <v>39479.0</v>
      </c>
      <c r="I861" s="36">
        <f t="shared" si="4"/>
        <v>7.394444444</v>
      </c>
      <c r="J861" s="38">
        <v>59.0</v>
      </c>
      <c r="K861" s="39">
        <v>7.2</v>
      </c>
      <c r="L861" s="38">
        <v>20.0</v>
      </c>
      <c r="M861" s="40" t="s">
        <v>29</v>
      </c>
      <c r="N861" s="41" t="s">
        <v>442</v>
      </c>
      <c r="O861" s="42" t="s">
        <v>149</v>
      </c>
      <c r="P861" s="67" t="s">
        <v>505</v>
      </c>
    </row>
    <row r="862">
      <c r="A862" s="44" t="s">
        <v>966</v>
      </c>
      <c r="B862" s="45" t="s">
        <v>25</v>
      </c>
      <c r="C862" s="46" t="s">
        <v>476</v>
      </c>
      <c r="D862" s="47" t="str">
        <f t="shared" si="1"/>
        <v>Active</v>
      </c>
      <c r="E862" s="48">
        <v>42101.0</v>
      </c>
      <c r="F862" s="49"/>
      <c r="G862" s="50">
        <f t="shared" si="2"/>
        <v>137.9666667</v>
      </c>
      <c r="H862" s="51">
        <v>39264.0</v>
      </c>
      <c r="I862" s="50">
        <f t="shared" si="4"/>
        <v>7.766666667</v>
      </c>
      <c r="J862" s="55">
        <v>88.0</v>
      </c>
      <c r="K862" s="56">
        <v>8.7</v>
      </c>
      <c r="L862" s="55">
        <v>17.0</v>
      </c>
      <c r="M862" s="58" t="s">
        <v>29</v>
      </c>
      <c r="N862" s="59" t="s">
        <v>442</v>
      </c>
      <c r="O862" s="60" t="s">
        <v>149</v>
      </c>
      <c r="P862" s="66" t="s">
        <v>505</v>
      </c>
    </row>
    <row r="863">
      <c r="A863" s="29" t="s">
        <v>967</v>
      </c>
      <c r="B863" s="30" t="s">
        <v>25</v>
      </c>
      <c r="C863" s="31" t="s">
        <v>476</v>
      </c>
      <c r="D863" s="32" t="str">
        <f t="shared" si="1"/>
        <v>Active</v>
      </c>
      <c r="E863" s="33">
        <v>42101.0</v>
      </c>
      <c r="F863" s="34"/>
      <c r="G863" s="36">
        <f t="shared" si="2"/>
        <v>137.9666667</v>
      </c>
      <c r="H863" s="37">
        <v>39234.0</v>
      </c>
      <c r="I863" s="36">
        <f t="shared" si="4"/>
        <v>7.85</v>
      </c>
      <c r="J863" s="38">
        <v>85.0</v>
      </c>
      <c r="K863" s="39">
        <v>8.0</v>
      </c>
      <c r="L863" s="38">
        <v>4.0</v>
      </c>
      <c r="M863" s="40" t="s">
        <v>31</v>
      </c>
      <c r="N863" s="41" t="s">
        <v>442</v>
      </c>
      <c r="O863" s="42" t="s">
        <v>149</v>
      </c>
      <c r="P863" s="67" t="s">
        <v>505</v>
      </c>
    </row>
    <row r="864">
      <c r="A864" s="44" t="s">
        <v>968</v>
      </c>
      <c r="B864" s="45" t="s">
        <v>25</v>
      </c>
      <c r="C864" s="46" t="s">
        <v>476</v>
      </c>
      <c r="D864" s="47" t="str">
        <f t="shared" si="1"/>
        <v>Active</v>
      </c>
      <c r="E864" s="48">
        <v>42066.0</v>
      </c>
      <c r="F864" s="49"/>
      <c r="G864" s="50">
        <f t="shared" si="2"/>
        <v>139.1</v>
      </c>
      <c r="H864" s="51">
        <v>39753.0</v>
      </c>
      <c r="I864" s="50">
        <f t="shared" si="4"/>
        <v>6.338888889</v>
      </c>
      <c r="J864" s="55">
        <v>69.0</v>
      </c>
      <c r="K864" s="56">
        <v>5.9</v>
      </c>
      <c r="L864" s="55">
        <v>12.0</v>
      </c>
      <c r="M864" s="58" t="s">
        <v>29</v>
      </c>
      <c r="N864" s="59" t="s">
        <v>442</v>
      </c>
      <c r="O864" s="60" t="s">
        <v>149</v>
      </c>
      <c r="P864" s="66" t="s">
        <v>505</v>
      </c>
    </row>
    <row r="865">
      <c r="A865" s="29" t="s">
        <v>969</v>
      </c>
      <c r="B865" s="30" t="s">
        <v>45</v>
      </c>
      <c r="C865" s="31" t="s">
        <v>26</v>
      </c>
      <c r="D865" s="32" t="str">
        <f t="shared" si="1"/>
        <v>Active</v>
      </c>
      <c r="E865" s="33">
        <v>42017.0</v>
      </c>
      <c r="F865" s="34"/>
      <c r="G865" s="36">
        <f t="shared" si="2"/>
        <v>140.7666667</v>
      </c>
      <c r="H865" s="37">
        <v>41064.0</v>
      </c>
      <c r="I865" s="36">
        <f t="shared" si="4"/>
        <v>2.608333333</v>
      </c>
      <c r="J865" s="38">
        <v>70.0</v>
      </c>
      <c r="K865" s="39">
        <v>8.0</v>
      </c>
      <c r="L865" s="38">
        <v>40.0</v>
      </c>
      <c r="M865" s="40" t="s">
        <v>42</v>
      </c>
      <c r="N865" s="41"/>
      <c r="O865" s="42" t="s">
        <v>149</v>
      </c>
      <c r="P865" s="43"/>
    </row>
    <row r="866">
      <c r="A866" s="44" t="s">
        <v>970</v>
      </c>
      <c r="B866" s="45" t="s">
        <v>25</v>
      </c>
      <c r="C866" s="46" t="s">
        <v>26</v>
      </c>
      <c r="D866" s="47" t="str">
        <f t="shared" si="1"/>
        <v>Active</v>
      </c>
      <c r="E866" s="48">
        <v>42017.0</v>
      </c>
      <c r="F866" s="49"/>
      <c r="G866" s="50">
        <f t="shared" si="2"/>
        <v>140.7666667</v>
      </c>
      <c r="H866" s="51">
        <v>41205.0</v>
      </c>
      <c r="I866" s="50">
        <f t="shared" si="4"/>
        <v>2.222222222</v>
      </c>
      <c r="J866" s="55">
        <v>87.0</v>
      </c>
      <c r="K866" s="56">
        <v>8.4</v>
      </c>
      <c r="L866" s="55">
        <v>5.0</v>
      </c>
      <c r="M866" s="58" t="s">
        <v>29</v>
      </c>
      <c r="N866" s="59"/>
      <c r="O866" s="60" t="s">
        <v>34</v>
      </c>
      <c r="P866" s="61"/>
    </row>
    <row r="867">
      <c r="A867" s="29" t="s">
        <v>971</v>
      </c>
      <c r="B867" s="30" t="s">
        <v>25</v>
      </c>
      <c r="C867" s="31" t="s">
        <v>476</v>
      </c>
      <c r="D867" s="32" t="str">
        <f t="shared" si="1"/>
        <v>Active</v>
      </c>
      <c r="E867" s="33">
        <v>42017.0</v>
      </c>
      <c r="F867" s="34"/>
      <c r="G867" s="36">
        <f t="shared" si="2"/>
        <v>140.7666667</v>
      </c>
      <c r="H867" s="37">
        <v>39661.0</v>
      </c>
      <c r="I867" s="36">
        <f t="shared" si="4"/>
        <v>6.45</v>
      </c>
      <c r="J867" s="38">
        <v>63.0</v>
      </c>
      <c r="K867" s="39">
        <v>6.2</v>
      </c>
      <c r="L867" s="38">
        <v>10.0</v>
      </c>
      <c r="M867" s="40" t="s">
        <v>70</v>
      </c>
      <c r="N867" s="41" t="s">
        <v>442</v>
      </c>
      <c r="O867" s="42" t="s">
        <v>149</v>
      </c>
      <c r="P867" s="67" t="s">
        <v>505</v>
      </c>
    </row>
    <row r="868">
      <c r="A868" s="44" t="s">
        <v>972</v>
      </c>
      <c r="B868" s="45" t="s">
        <v>25</v>
      </c>
      <c r="C868" s="46" t="s">
        <v>476</v>
      </c>
      <c r="D868" s="47" t="str">
        <f t="shared" si="1"/>
        <v>Active</v>
      </c>
      <c r="E868" s="48">
        <v>42017.0</v>
      </c>
      <c r="F868" s="49"/>
      <c r="G868" s="50">
        <f t="shared" si="2"/>
        <v>140.7666667</v>
      </c>
      <c r="H868" s="51">
        <v>41153.0</v>
      </c>
      <c r="I868" s="50">
        <f t="shared" si="4"/>
        <v>2.366666667</v>
      </c>
      <c r="J868" s="55">
        <v>78.0</v>
      </c>
      <c r="K868" s="56">
        <v>7.2</v>
      </c>
      <c r="L868" s="55">
        <v>5.0</v>
      </c>
      <c r="M868" s="58" t="s">
        <v>103</v>
      </c>
      <c r="N868" s="59" t="s">
        <v>442</v>
      </c>
      <c r="O868" s="60" t="s">
        <v>149</v>
      </c>
      <c r="P868" s="66" t="s">
        <v>149</v>
      </c>
    </row>
    <row r="869">
      <c r="A869" s="29" t="s">
        <v>973</v>
      </c>
      <c r="B869" s="30" t="s">
        <v>25</v>
      </c>
      <c r="C869" s="31" t="s">
        <v>476</v>
      </c>
      <c r="D869" s="32" t="str">
        <f t="shared" si="1"/>
        <v>Active</v>
      </c>
      <c r="E869" s="33">
        <v>42017.0</v>
      </c>
      <c r="F869" s="34"/>
      <c r="G869" s="36">
        <f t="shared" si="2"/>
        <v>140.7666667</v>
      </c>
      <c r="H869" s="37">
        <v>40452.0</v>
      </c>
      <c r="I869" s="36">
        <f t="shared" si="4"/>
        <v>4.283333333</v>
      </c>
      <c r="J869" s="38">
        <v>68.0</v>
      </c>
      <c r="K869" s="39">
        <v>6.8</v>
      </c>
      <c r="L869" s="38">
        <v>4.0</v>
      </c>
      <c r="M869" s="40" t="s">
        <v>136</v>
      </c>
      <c r="N869" s="41" t="s">
        <v>442</v>
      </c>
      <c r="O869" s="42" t="s">
        <v>149</v>
      </c>
      <c r="P869" s="67" t="s">
        <v>505</v>
      </c>
    </row>
    <row r="870">
      <c r="A870" s="44" t="s">
        <v>974</v>
      </c>
      <c r="B870" s="45" t="s">
        <v>25</v>
      </c>
      <c r="C870" s="46" t="s">
        <v>476</v>
      </c>
      <c r="D870" s="47" t="str">
        <f t="shared" si="1"/>
        <v>Active</v>
      </c>
      <c r="E870" s="48">
        <v>42017.0</v>
      </c>
      <c r="F870" s="49"/>
      <c r="G870" s="50">
        <f t="shared" si="2"/>
        <v>140.7666667</v>
      </c>
      <c r="H870" s="51">
        <v>41699.0</v>
      </c>
      <c r="I870" s="50">
        <f t="shared" si="4"/>
        <v>0.8666666667</v>
      </c>
      <c r="J870" s="55">
        <v>67.0</v>
      </c>
      <c r="K870" s="56">
        <v>7.5</v>
      </c>
      <c r="L870" s="55">
        <v>40.0</v>
      </c>
      <c r="M870" s="58" t="s">
        <v>42</v>
      </c>
      <c r="N870" s="59" t="s">
        <v>442</v>
      </c>
      <c r="O870" s="60" t="s">
        <v>149</v>
      </c>
      <c r="P870" s="66" t="s">
        <v>505</v>
      </c>
    </row>
    <row r="871">
      <c r="A871" s="29" t="s">
        <v>975</v>
      </c>
      <c r="B871" s="30" t="s">
        <v>25</v>
      </c>
      <c r="C871" s="31" t="s">
        <v>476</v>
      </c>
      <c r="D871" s="32" t="str">
        <f t="shared" si="1"/>
        <v>Active</v>
      </c>
      <c r="E871" s="33">
        <v>42017.0</v>
      </c>
      <c r="F871" s="34"/>
      <c r="G871" s="36">
        <f t="shared" si="2"/>
        <v>140.7666667</v>
      </c>
      <c r="H871" s="37">
        <v>40634.0</v>
      </c>
      <c r="I871" s="36">
        <f t="shared" si="4"/>
        <v>3.783333333</v>
      </c>
      <c r="J871" s="38">
        <v>73.0</v>
      </c>
      <c r="K871" s="39">
        <v>7.2</v>
      </c>
      <c r="L871" s="76"/>
      <c r="M871" s="40" t="s">
        <v>114</v>
      </c>
      <c r="N871" s="41" t="s">
        <v>442</v>
      </c>
      <c r="O871" s="42" t="s">
        <v>149</v>
      </c>
      <c r="P871" s="67" t="s">
        <v>505</v>
      </c>
    </row>
    <row r="872">
      <c r="A872" s="44" t="s">
        <v>976</v>
      </c>
      <c r="B872" s="45" t="s">
        <v>25</v>
      </c>
      <c r="C872" s="46" t="s">
        <v>476</v>
      </c>
      <c r="D872" s="47" t="str">
        <f t="shared" si="1"/>
        <v>Active</v>
      </c>
      <c r="E872" s="48">
        <v>42017.0</v>
      </c>
      <c r="F872" s="49"/>
      <c r="G872" s="50">
        <f t="shared" si="2"/>
        <v>140.7666667</v>
      </c>
      <c r="H872" s="51">
        <v>41061.0</v>
      </c>
      <c r="I872" s="50">
        <f t="shared" si="4"/>
        <v>2.616666667</v>
      </c>
      <c r="J872" s="55">
        <v>70.0</v>
      </c>
      <c r="K872" s="56">
        <v>7.9</v>
      </c>
      <c r="L872" s="55">
        <v>45.0</v>
      </c>
      <c r="M872" s="58" t="s">
        <v>42</v>
      </c>
      <c r="N872" s="59" t="s">
        <v>442</v>
      </c>
      <c r="O872" s="60" t="s">
        <v>149</v>
      </c>
      <c r="P872" s="66" t="s">
        <v>505</v>
      </c>
    </row>
    <row r="873">
      <c r="A873" s="29" t="s">
        <v>977</v>
      </c>
      <c r="B873" s="30" t="s">
        <v>25</v>
      </c>
      <c r="C873" s="31" t="s">
        <v>476</v>
      </c>
      <c r="D873" s="32" t="str">
        <f t="shared" si="1"/>
        <v>Active</v>
      </c>
      <c r="E873" s="33">
        <v>42017.0</v>
      </c>
      <c r="F873" s="34"/>
      <c r="G873" s="36">
        <f t="shared" si="2"/>
        <v>140.7666667</v>
      </c>
      <c r="H873" s="37">
        <v>40695.0</v>
      </c>
      <c r="I873" s="36">
        <f t="shared" si="4"/>
        <v>3.616666667</v>
      </c>
      <c r="J873" s="38">
        <v>66.0</v>
      </c>
      <c r="K873" s="39">
        <v>8.0</v>
      </c>
      <c r="L873" s="38">
        <v>45.0</v>
      </c>
      <c r="M873" s="40" t="s">
        <v>42</v>
      </c>
      <c r="N873" s="41" t="s">
        <v>442</v>
      </c>
      <c r="O873" s="42" t="s">
        <v>149</v>
      </c>
      <c r="P873" s="67" t="s">
        <v>505</v>
      </c>
    </row>
    <row r="874">
      <c r="A874" s="44" t="s">
        <v>978</v>
      </c>
      <c r="B874" s="45" t="s">
        <v>25</v>
      </c>
      <c r="C874" s="46" t="s">
        <v>476</v>
      </c>
      <c r="D874" s="47" t="str">
        <f t="shared" si="1"/>
        <v>Active</v>
      </c>
      <c r="E874" s="48">
        <v>42017.0</v>
      </c>
      <c r="F874" s="49"/>
      <c r="G874" s="50">
        <f t="shared" si="2"/>
        <v>140.7666667</v>
      </c>
      <c r="H874" s="51">
        <v>41821.0</v>
      </c>
      <c r="I874" s="50">
        <f t="shared" si="4"/>
        <v>0.5333333333</v>
      </c>
      <c r="J874" s="55">
        <v>76.0</v>
      </c>
      <c r="K874" s="56">
        <v>7.8</v>
      </c>
      <c r="L874" s="55">
        <v>45.0</v>
      </c>
      <c r="M874" s="58" t="s">
        <v>42</v>
      </c>
      <c r="N874" s="59" t="s">
        <v>442</v>
      </c>
      <c r="O874" s="60" t="s">
        <v>149</v>
      </c>
      <c r="P874" s="66" t="s">
        <v>505</v>
      </c>
    </row>
    <row r="875">
      <c r="A875" s="29" t="s">
        <v>979</v>
      </c>
      <c r="B875" s="30" t="s">
        <v>25</v>
      </c>
      <c r="C875" s="31" t="s">
        <v>476</v>
      </c>
      <c r="D875" s="32" t="str">
        <f t="shared" si="1"/>
        <v>Active</v>
      </c>
      <c r="E875" s="33">
        <v>42017.0</v>
      </c>
      <c r="F875" s="34"/>
      <c r="G875" s="36">
        <f t="shared" si="2"/>
        <v>140.7666667</v>
      </c>
      <c r="H875" s="37">
        <v>41061.0</v>
      </c>
      <c r="I875" s="36">
        <f t="shared" si="4"/>
        <v>2.616666667</v>
      </c>
      <c r="J875" s="38">
        <v>58.0</v>
      </c>
      <c r="K875" s="39">
        <v>6.5</v>
      </c>
      <c r="L875" s="76"/>
      <c r="M875" s="40" t="s">
        <v>95</v>
      </c>
      <c r="N875" s="41" t="s">
        <v>442</v>
      </c>
      <c r="O875" s="42" t="s">
        <v>149</v>
      </c>
      <c r="P875" s="67" t="s">
        <v>149</v>
      </c>
    </row>
    <row r="876">
      <c r="A876" s="44" t="s">
        <v>980</v>
      </c>
      <c r="B876" s="45" t="s">
        <v>25</v>
      </c>
      <c r="C876" s="46" t="s">
        <v>476</v>
      </c>
      <c r="D876" s="47" t="str">
        <f t="shared" si="1"/>
        <v>Active</v>
      </c>
      <c r="E876" s="48">
        <v>42017.0</v>
      </c>
      <c r="F876" s="49"/>
      <c r="G876" s="50">
        <f t="shared" si="2"/>
        <v>140.7666667</v>
      </c>
      <c r="H876" s="51">
        <v>41548.0</v>
      </c>
      <c r="I876" s="50">
        <f t="shared" si="4"/>
        <v>1.283333333</v>
      </c>
      <c r="J876" s="55">
        <v>76.0</v>
      </c>
      <c r="K876" s="56">
        <v>7.4</v>
      </c>
      <c r="L876" s="55">
        <v>12.0</v>
      </c>
      <c r="M876" s="58" t="s">
        <v>29</v>
      </c>
      <c r="N876" s="59" t="s">
        <v>442</v>
      </c>
      <c r="O876" s="60" t="s">
        <v>149</v>
      </c>
      <c r="P876" s="66" t="s">
        <v>505</v>
      </c>
    </row>
    <row r="877">
      <c r="A877" s="29" t="s">
        <v>981</v>
      </c>
      <c r="B877" s="30" t="s">
        <v>25</v>
      </c>
      <c r="C877" s="31" t="s">
        <v>476</v>
      </c>
      <c r="D877" s="32" t="str">
        <f t="shared" si="1"/>
        <v>Active</v>
      </c>
      <c r="E877" s="33">
        <v>42017.0</v>
      </c>
      <c r="F877" s="34"/>
      <c r="G877" s="36">
        <f t="shared" si="2"/>
        <v>140.7666667</v>
      </c>
      <c r="H877" s="37">
        <v>41306.0</v>
      </c>
      <c r="I877" s="36">
        <f t="shared" si="4"/>
        <v>1.95</v>
      </c>
      <c r="J877" s="38">
        <v>86.0</v>
      </c>
      <c r="K877" s="39">
        <v>7.8</v>
      </c>
      <c r="L877" s="38">
        <v>5.0</v>
      </c>
      <c r="M877" s="40" t="s">
        <v>27</v>
      </c>
      <c r="N877" s="41" t="s">
        <v>442</v>
      </c>
      <c r="O877" s="42" t="s">
        <v>149</v>
      </c>
      <c r="P877" s="67" t="s">
        <v>505</v>
      </c>
    </row>
    <row r="878">
      <c r="A878" s="44" t="s">
        <v>982</v>
      </c>
      <c r="B878" s="45" t="s">
        <v>25</v>
      </c>
      <c r="C878" s="46" t="s">
        <v>476</v>
      </c>
      <c r="D878" s="47" t="str">
        <f t="shared" si="1"/>
        <v>Active</v>
      </c>
      <c r="E878" s="48">
        <v>42017.0</v>
      </c>
      <c r="F878" s="49"/>
      <c r="G878" s="50">
        <f t="shared" si="2"/>
        <v>140.7666667</v>
      </c>
      <c r="H878" s="51">
        <v>39387.0</v>
      </c>
      <c r="I878" s="50">
        <f t="shared" si="4"/>
        <v>7.2</v>
      </c>
      <c r="J878" s="55">
        <v>58.0</v>
      </c>
      <c r="K878" s="56">
        <v>7.3</v>
      </c>
      <c r="L878" s="55">
        <v>25.0</v>
      </c>
      <c r="M878" s="58" t="s">
        <v>42</v>
      </c>
      <c r="N878" s="59" t="s">
        <v>442</v>
      </c>
      <c r="O878" s="60" t="s">
        <v>149</v>
      </c>
      <c r="P878" s="66" t="s">
        <v>505</v>
      </c>
    </row>
    <row r="879">
      <c r="A879" s="29" t="s">
        <v>983</v>
      </c>
      <c r="B879" s="30" t="s">
        <v>25</v>
      </c>
      <c r="C879" s="31" t="s">
        <v>476</v>
      </c>
      <c r="D879" s="32" t="str">
        <f t="shared" si="1"/>
        <v>Active</v>
      </c>
      <c r="E879" s="33">
        <v>42017.0</v>
      </c>
      <c r="F879" s="34"/>
      <c r="G879" s="36">
        <f t="shared" si="2"/>
        <v>140.7666667</v>
      </c>
      <c r="H879" s="37">
        <v>39965.0</v>
      </c>
      <c r="I879" s="36">
        <f t="shared" si="4"/>
        <v>5.616666667</v>
      </c>
      <c r="J879" s="38">
        <v>87.0</v>
      </c>
      <c r="K879" s="39">
        <v>8.0</v>
      </c>
      <c r="L879" s="76"/>
      <c r="M879" s="40" t="s">
        <v>114</v>
      </c>
      <c r="N879" s="41" t="s">
        <v>442</v>
      </c>
      <c r="O879" s="42" t="s">
        <v>149</v>
      </c>
      <c r="P879" s="67" t="s">
        <v>505</v>
      </c>
    </row>
    <row r="880">
      <c r="A880" s="44" t="s">
        <v>984</v>
      </c>
      <c r="B880" s="45" t="s">
        <v>25</v>
      </c>
      <c r="C880" s="46" t="s">
        <v>476</v>
      </c>
      <c r="D880" s="47" t="str">
        <f t="shared" si="1"/>
        <v>Active</v>
      </c>
      <c r="E880" s="48">
        <v>42017.0</v>
      </c>
      <c r="F880" s="49"/>
      <c r="G880" s="50">
        <f t="shared" si="2"/>
        <v>140.7666667</v>
      </c>
      <c r="H880" s="51">
        <v>41579.0</v>
      </c>
      <c r="I880" s="50">
        <f t="shared" si="4"/>
        <v>1.2</v>
      </c>
      <c r="J880" s="55">
        <v>43.0</v>
      </c>
      <c r="K880" s="56">
        <v>5.6</v>
      </c>
      <c r="L880" s="55">
        <v>5.0</v>
      </c>
      <c r="M880" s="58" t="s">
        <v>29</v>
      </c>
      <c r="N880" s="59" t="s">
        <v>442</v>
      </c>
      <c r="O880" s="60" t="s">
        <v>149</v>
      </c>
      <c r="P880" s="66" t="s">
        <v>149</v>
      </c>
    </row>
    <row r="881">
      <c r="A881" s="29" t="s">
        <v>985</v>
      </c>
      <c r="B881" s="30" t="s">
        <v>25</v>
      </c>
      <c r="C881" s="31" t="s">
        <v>476</v>
      </c>
      <c r="D881" s="32" t="str">
        <f t="shared" si="1"/>
        <v>Active</v>
      </c>
      <c r="E881" s="33">
        <v>42017.0</v>
      </c>
      <c r="F881" s="34"/>
      <c r="G881" s="36">
        <f t="shared" si="2"/>
        <v>140.7666667</v>
      </c>
      <c r="H881" s="37">
        <v>40664.0</v>
      </c>
      <c r="I881" s="36">
        <f t="shared" si="4"/>
        <v>3.7</v>
      </c>
      <c r="J881" s="38">
        <v>72.0</v>
      </c>
      <c r="K881" s="39">
        <v>6.3</v>
      </c>
      <c r="L881" s="38">
        <v>7.0</v>
      </c>
      <c r="M881" s="40" t="s">
        <v>31</v>
      </c>
      <c r="N881" s="41" t="s">
        <v>442</v>
      </c>
      <c r="O881" s="42" t="s">
        <v>149</v>
      </c>
      <c r="P881" s="67" t="s">
        <v>505</v>
      </c>
    </row>
    <row r="882">
      <c r="A882" s="44" t="s">
        <v>986</v>
      </c>
      <c r="B882" s="45" t="s">
        <v>25</v>
      </c>
      <c r="C882" s="46" t="s">
        <v>476</v>
      </c>
      <c r="D882" s="47" t="str">
        <f t="shared" si="1"/>
        <v>Active</v>
      </c>
      <c r="E882" s="48">
        <v>42017.0</v>
      </c>
      <c r="F882" s="49"/>
      <c r="G882" s="50">
        <f t="shared" si="2"/>
        <v>140.7666667</v>
      </c>
      <c r="H882" s="51">
        <v>40603.0</v>
      </c>
      <c r="I882" s="50">
        <f t="shared" si="4"/>
        <v>3.866666667</v>
      </c>
      <c r="J882" s="55">
        <v>78.0</v>
      </c>
      <c r="K882" s="56">
        <v>7.1</v>
      </c>
      <c r="L882" s="78"/>
      <c r="M882" s="58" t="s">
        <v>136</v>
      </c>
      <c r="N882" s="59" t="s">
        <v>442</v>
      </c>
      <c r="O882" s="60" t="s">
        <v>149</v>
      </c>
      <c r="P882" s="66" t="s">
        <v>149</v>
      </c>
    </row>
    <row r="883">
      <c r="A883" s="29" t="s">
        <v>987</v>
      </c>
      <c r="B883" s="30" t="s">
        <v>25</v>
      </c>
      <c r="C883" s="31" t="s">
        <v>476</v>
      </c>
      <c r="D883" s="32" t="str">
        <f t="shared" si="1"/>
        <v>Active</v>
      </c>
      <c r="E883" s="33">
        <v>42017.0</v>
      </c>
      <c r="F883" s="34"/>
      <c r="G883" s="36">
        <f t="shared" si="2"/>
        <v>140.7666667</v>
      </c>
      <c r="H883" s="37">
        <v>40087.0</v>
      </c>
      <c r="I883" s="36">
        <f t="shared" si="4"/>
        <v>5.283333333</v>
      </c>
      <c r="J883" s="38">
        <v>87.0</v>
      </c>
      <c r="K883" s="39">
        <v>7.7</v>
      </c>
      <c r="L883" s="38">
        <v>3.0</v>
      </c>
      <c r="M883" s="40" t="s">
        <v>136</v>
      </c>
      <c r="N883" s="41" t="s">
        <v>442</v>
      </c>
      <c r="O883" s="42" t="s">
        <v>149</v>
      </c>
      <c r="P883" s="67" t="s">
        <v>149</v>
      </c>
    </row>
    <row r="884">
      <c r="A884" s="44" t="s">
        <v>988</v>
      </c>
      <c r="B884" s="45" t="s">
        <v>25</v>
      </c>
      <c r="C884" s="46" t="s">
        <v>476</v>
      </c>
      <c r="D884" s="47" t="str">
        <f t="shared" si="1"/>
        <v>Active</v>
      </c>
      <c r="E884" s="48">
        <v>42017.0</v>
      </c>
      <c r="F884" s="49"/>
      <c r="G884" s="50">
        <f t="shared" si="2"/>
        <v>140.7666667</v>
      </c>
      <c r="H884" s="51">
        <v>39508.0</v>
      </c>
      <c r="I884" s="50">
        <f t="shared" si="4"/>
        <v>6.866666667</v>
      </c>
      <c r="J884" s="55">
        <v>72.0</v>
      </c>
      <c r="K884" s="56">
        <v>7.4</v>
      </c>
      <c r="L884" s="55">
        <v>10.0</v>
      </c>
      <c r="M884" s="58" t="s">
        <v>29</v>
      </c>
      <c r="N884" s="59" t="s">
        <v>442</v>
      </c>
      <c r="O884" s="60" t="s">
        <v>149</v>
      </c>
      <c r="P884" s="66" t="s">
        <v>505</v>
      </c>
    </row>
    <row r="885">
      <c r="A885" s="29" t="s">
        <v>989</v>
      </c>
      <c r="B885" s="30" t="s">
        <v>25</v>
      </c>
      <c r="C885" s="31" t="s">
        <v>476</v>
      </c>
      <c r="D885" s="32" t="str">
        <f t="shared" si="1"/>
        <v>Active</v>
      </c>
      <c r="E885" s="33">
        <v>42017.0</v>
      </c>
      <c r="F885" s="34"/>
      <c r="G885" s="36">
        <f t="shared" si="2"/>
        <v>140.7666667</v>
      </c>
      <c r="H885" s="37">
        <v>41153.0</v>
      </c>
      <c r="I885" s="36">
        <f t="shared" si="4"/>
        <v>2.366666667</v>
      </c>
      <c r="J885" s="38">
        <v>74.0</v>
      </c>
      <c r="K885" s="39">
        <v>7.7</v>
      </c>
      <c r="L885" s="76"/>
      <c r="M885" s="40" t="s">
        <v>114</v>
      </c>
      <c r="N885" s="41" t="s">
        <v>442</v>
      </c>
      <c r="O885" s="42" t="s">
        <v>149</v>
      </c>
      <c r="P885" s="67" t="s">
        <v>149</v>
      </c>
    </row>
    <row r="886">
      <c r="A886" s="44" t="s">
        <v>990</v>
      </c>
      <c r="B886" s="45" t="s">
        <v>25</v>
      </c>
      <c r="C886" s="46" t="s">
        <v>476</v>
      </c>
      <c r="D886" s="47" t="str">
        <f t="shared" si="1"/>
        <v>Active</v>
      </c>
      <c r="E886" s="48">
        <v>42017.0</v>
      </c>
      <c r="F886" s="49"/>
      <c r="G886" s="50">
        <f t="shared" si="2"/>
        <v>140.7666667</v>
      </c>
      <c r="H886" s="51">
        <v>41671.0</v>
      </c>
      <c r="I886" s="50">
        <f t="shared" si="4"/>
        <v>0.95</v>
      </c>
      <c r="J886" s="55">
        <v>70.0</v>
      </c>
      <c r="K886" s="56">
        <v>7.4</v>
      </c>
      <c r="L886" s="55">
        <v>25.0</v>
      </c>
      <c r="M886" s="58" t="s">
        <v>103</v>
      </c>
      <c r="N886" s="59" t="s">
        <v>442</v>
      </c>
      <c r="O886" s="60" t="s">
        <v>149</v>
      </c>
      <c r="P886" s="66" t="s">
        <v>505</v>
      </c>
    </row>
    <row r="887">
      <c r="A887" s="29" t="s">
        <v>991</v>
      </c>
      <c r="B887" s="30" t="s">
        <v>25</v>
      </c>
      <c r="C887" s="31" t="s">
        <v>476</v>
      </c>
      <c r="D887" s="32" t="str">
        <f t="shared" si="1"/>
        <v>Active</v>
      </c>
      <c r="E887" s="33">
        <v>42017.0</v>
      </c>
      <c r="F887" s="34"/>
      <c r="G887" s="36">
        <f t="shared" si="2"/>
        <v>140.7666667</v>
      </c>
      <c r="H887" s="37">
        <v>41183.0</v>
      </c>
      <c r="I887" s="36">
        <f t="shared" si="4"/>
        <v>2.283333333</v>
      </c>
      <c r="J887" s="38">
        <v>72.0</v>
      </c>
      <c r="K887" s="39">
        <v>6.7</v>
      </c>
      <c r="L887" s="38">
        <v>3.0</v>
      </c>
      <c r="M887" s="40" t="s">
        <v>29</v>
      </c>
      <c r="N887" s="41" t="s">
        <v>442</v>
      </c>
      <c r="O887" s="42" t="s">
        <v>149</v>
      </c>
      <c r="P887" s="67" t="s">
        <v>505</v>
      </c>
    </row>
    <row r="888">
      <c r="A888" s="44" t="s">
        <v>992</v>
      </c>
      <c r="B888" s="45" t="s">
        <v>25</v>
      </c>
      <c r="C888" s="46" t="s">
        <v>476</v>
      </c>
      <c r="D888" s="47" t="str">
        <f t="shared" si="1"/>
        <v>Active</v>
      </c>
      <c r="E888" s="48">
        <v>42017.0</v>
      </c>
      <c r="F888" s="49"/>
      <c r="G888" s="50">
        <f t="shared" si="2"/>
        <v>140.7666667</v>
      </c>
      <c r="H888" s="51">
        <v>40603.0</v>
      </c>
      <c r="I888" s="50">
        <f t="shared" si="4"/>
        <v>3.866666667</v>
      </c>
      <c r="J888" s="55">
        <v>57.0</v>
      </c>
      <c r="K888" s="56">
        <v>7.6</v>
      </c>
      <c r="L888" s="55">
        <v>20.0</v>
      </c>
      <c r="M888" s="58" t="s">
        <v>29</v>
      </c>
      <c r="N888" s="59" t="s">
        <v>442</v>
      </c>
      <c r="O888" s="60" t="s">
        <v>149</v>
      </c>
      <c r="P888" s="66" t="s">
        <v>505</v>
      </c>
    </row>
    <row r="889">
      <c r="A889" s="29" t="s">
        <v>993</v>
      </c>
      <c r="B889" s="30" t="s">
        <v>25</v>
      </c>
      <c r="C889" s="31" t="s">
        <v>476</v>
      </c>
      <c r="D889" s="32" t="str">
        <f t="shared" si="1"/>
        <v>Active</v>
      </c>
      <c r="E889" s="33">
        <v>42017.0</v>
      </c>
      <c r="F889" s="34"/>
      <c r="G889" s="36">
        <f t="shared" si="2"/>
        <v>140.7666667</v>
      </c>
      <c r="H889" s="37">
        <v>41306.0</v>
      </c>
      <c r="I889" s="36">
        <f t="shared" si="4"/>
        <v>1.95</v>
      </c>
      <c r="J889" s="38">
        <v>63.0</v>
      </c>
      <c r="K889" s="39">
        <v>7.5</v>
      </c>
      <c r="L889" s="38">
        <v>25.0</v>
      </c>
      <c r="M889" s="40" t="s">
        <v>29</v>
      </c>
      <c r="N889" s="41" t="s">
        <v>442</v>
      </c>
      <c r="O889" s="42" t="s">
        <v>149</v>
      </c>
      <c r="P889" s="67" t="s">
        <v>505</v>
      </c>
    </row>
    <row r="890">
      <c r="A890" s="44" t="s">
        <v>994</v>
      </c>
      <c r="B890" s="45" t="s">
        <v>25</v>
      </c>
      <c r="C890" s="46" t="s">
        <v>476</v>
      </c>
      <c r="D890" s="47" t="str">
        <f t="shared" si="1"/>
        <v>Active</v>
      </c>
      <c r="E890" s="48">
        <v>42017.0</v>
      </c>
      <c r="F890" s="49"/>
      <c r="G890" s="50">
        <f t="shared" si="2"/>
        <v>140.7666667</v>
      </c>
      <c r="H890" s="51">
        <v>40848.0</v>
      </c>
      <c r="I890" s="50">
        <f t="shared" si="4"/>
        <v>3.2</v>
      </c>
      <c r="J890" s="55">
        <v>68.0</v>
      </c>
      <c r="K890" s="56">
        <v>7.6</v>
      </c>
      <c r="L890" s="55">
        <v>25.0</v>
      </c>
      <c r="M890" s="58" t="s">
        <v>29</v>
      </c>
      <c r="N890" s="59" t="s">
        <v>442</v>
      </c>
      <c r="O890" s="60" t="s">
        <v>149</v>
      </c>
      <c r="P890" s="66" t="s">
        <v>505</v>
      </c>
    </row>
    <row r="891">
      <c r="A891" s="29" t="s">
        <v>995</v>
      </c>
      <c r="B891" s="30" t="s">
        <v>25</v>
      </c>
      <c r="C891" s="31" t="s">
        <v>476</v>
      </c>
      <c r="D891" s="32" t="str">
        <f t="shared" si="1"/>
        <v>Active</v>
      </c>
      <c r="E891" s="33">
        <v>42017.0</v>
      </c>
      <c r="F891" s="34"/>
      <c r="G891" s="36">
        <f t="shared" si="2"/>
        <v>140.7666667</v>
      </c>
      <c r="H891" s="37">
        <v>41456.0</v>
      </c>
      <c r="I891" s="36">
        <f t="shared" si="4"/>
        <v>1.533333333</v>
      </c>
      <c r="J891" s="38">
        <v>68.0</v>
      </c>
      <c r="K891" s="39">
        <v>8.0</v>
      </c>
      <c r="L891" s="38">
        <v>25.0</v>
      </c>
      <c r="M891" s="40" t="s">
        <v>29</v>
      </c>
      <c r="N891" s="41" t="s">
        <v>442</v>
      </c>
      <c r="O891" s="42" t="s">
        <v>149</v>
      </c>
      <c r="P891" s="67" t="s">
        <v>505</v>
      </c>
    </row>
    <row r="892">
      <c r="A892" s="44" t="s">
        <v>996</v>
      </c>
      <c r="B892" s="45" t="s">
        <v>25</v>
      </c>
      <c r="C892" s="46" t="s">
        <v>476</v>
      </c>
      <c r="D892" s="47" t="str">
        <f t="shared" si="1"/>
        <v>Active</v>
      </c>
      <c r="E892" s="48">
        <v>42017.0</v>
      </c>
      <c r="F892" s="49"/>
      <c r="G892" s="50">
        <f t="shared" si="2"/>
        <v>140.7666667</v>
      </c>
      <c r="H892" s="51">
        <v>40210.0</v>
      </c>
      <c r="I892" s="50">
        <f t="shared" si="4"/>
        <v>4.95</v>
      </c>
      <c r="J892" s="55">
        <v>64.0</v>
      </c>
      <c r="K892" s="56">
        <v>7.4</v>
      </c>
      <c r="L892" s="55">
        <v>20.0</v>
      </c>
      <c r="M892" s="58" t="s">
        <v>29</v>
      </c>
      <c r="N892" s="59" t="s">
        <v>442</v>
      </c>
      <c r="O892" s="60" t="s">
        <v>149</v>
      </c>
      <c r="P892" s="66" t="s">
        <v>505</v>
      </c>
    </row>
    <row r="893">
      <c r="A893" s="29" t="s">
        <v>997</v>
      </c>
      <c r="B893" s="30" t="s">
        <v>25</v>
      </c>
      <c r="C893" s="31" t="s">
        <v>476</v>
      </c>
      <c r="D893" s="32" t="str">
        <f t="shared" si="1"/>
        <v>Active</v>
      </c>
      <c r="E893" s="33">
        <v>42017.0</v>
      </c>
      <c r="F893" s="34"/>
      <c r="G893" s="36">
        <f t="shared" si="2"/>
        <v>140.7666667</v>
      </c>
      <c r="H893" s="37">
        <v>41671.0</v>
      </c>
      <c r="I893" s="36">
        <f t="shared" si="4"/>
        <v>0.95</v>
      </c>
      <c r="J893" s="38">
        <v>69.0</v>
      </c>
      <c r="K893" s="39">
        <v>7.8</v>
      </c>
      <c r="L893" s="38">
        <v>15.0</v>
      </c>
      <c r="M893" s="40" t="s">
        <v>31</v>
      </c>
      <c r="N893" s="41" t="s">
        <v>442</v>
      </c>
      <c r="O893" s="42" t="s">
        <v>149</v>
      </c>
      <c r="P893" s="67" t="s">
        <v>505</v>
      </c>
    </row>
    <row r="894">
      <c r="A894" s="44" t="s">
        <v>998</v>
      </c>
      <c r="B894" s="45" t="s">
        <v>25</v>
      </c>
      <c r="C894" s="46" t="s">
        <v>476</v>
      </c>
      <c r="D894" s="47" t="str">
        <f t="shared" si="1"/>
        <v>Active</v>
      </c>
      <c r="E894" s="48">
        <v>42017.0</v>
      </c>
      <c r="F894" s="49"/>
      <c r="G894" s="50">
        <f t="shared" si="2"/>
        <v>140.7666667</v>
      </c>
      <c r="H894" s="51">
        <v>40725.0</v>
      </c>
      <c r="I894" s="50">
        <f t="shared" si="4"/>
        <v>3.533333333</v>
      </c>
      <c r="J894" s="55">
        <v>63.0</v>
      </c>
      <c r="K894" s="56">
        <v>7.7</v>
      </c>
      <c r="L894" s="55">
        <v>7.0</v>
      </c>
      <c r="M894" s="58" t="s">
        <v>31</v>
      </c>
      <c r="N894" s="59" t="s">
        <v>442</v>
      </c>
      <c r="O894" s="60" t="s">
        <v>149</v>
      </c>
      <c r="P894" s="66" t="s">
        <v>505</v>
      </c>
    </row>
    <row r="895">
      <c r="A895" s="29" t="s">
        <v>999</v>
      </c>
      <c r="B895" s="30" t="s">
        <v>25</v>
      </c>
      <c r="C895" s="31" t="s">
        <v>476</v>
      </c>
      <c r="D895" s="32" t="str">
        <f t="shared" si="1"/>
        <v>Active</v>
      </c>
      <c r="E895" s="33">
        <v>42017.0</v>
      </c>
      <c r="F895" s="34"/>
      <c r="G895" s="36">
        <f t="shared" si="2"/>
        <v>140.7666667</v>
      </c>
      <c r="H895" s="37">
        <v>39845.0</v>
      </c>
      <c r="I895" s="36">
        <f t="shared" si="4"/>
        <v>5.95</v>
      </c>
      <c r="J895" s="38">
        <v>51.0</v>
      </c>
      <c r="K895" s="39">
        <v>5.6</v>
      </c>
      <c r="L895" s="38">
        <v>7.0</v>
      </c>
      <c r="M895" s="40" t="s">
        <v>31</v>
      </c>
      <c r="N895" s="41" t="s">
        <v>442</v>
      </c>
      <c r="O895" s="42" t="s">
        <v>149</v>
      </c>
      <c r="P895" s="67" t="s">
        <v>505</v>
      </c>
    </row>
    <row r="896">
      <c r="A896" s="44" t="s">
        <v>1000</v>
      </c>
      <c r="B896" s="45" t="s">
        <v>25</v>
      </c>
      <c r="C896" s="46" t="s">
        <v>476</v>
      </c>
      <c r="D896" s="47" t="str">
        <f t="shared" si="1"/>
        <v>Active</v>
      </c>
      <c r="E896" s="48">
        <v>42017.0</v>
      </c>
      <c r="F896" s="49"/>
      <c r="G896" s="50">
        <f t="shared" si="2"/>
        <v>140.7666667</v>
      </c>
      <c r="H896" s="51">
        <v>40513.0</v>
      </c>
      <c r="I896" s="50">
        <f t="shared" si="4"/>
        <v>4.116666667</v>
      </c>
      <c r="J896" s="55">
        <v>65.0</v>
      </c>
      <c r="K896" s="56">
        <v>7.2</v>
      </c>
      <c r="L896" s="55">
        <v>6.0</v>
      </c>
      <c r="M896" s="58" t="s">
        <v>29</v>
      </c>
      <c r="N896" s="59" t="s">
        <v>442</v>
      </c>
      <c r="O896" s="60" t="s">
        <v>149</v>
      </c>
      <c r="P896" s="66" t="s">
        <v>505</v>
      </c>
    </row>
    <row r="897">
      <c r="A897" s="29" t="s">
        <v>647</v>
      </c>
      <c r="B897" s="30" t="s">
        <v>25</v>
      </c>
      <c r="C897" s="31" t="s">
        <v>476</v>
      </c>
      <c r="D897" s="32" t="str">
        <f t="shared" si="1"/>
        <v>Active</v>
      </c>
      <c r="E897" s="33">
        <v>42017.0</v>
      </c>
      <c r="F897" s="34"/>
      <c r="G897" s="36">
        <f t="shared" si="2"/>
        <v>140.7666667</v>
      </c>
      <c r="H897" s="37">
        <v>39569.0</v>
      </c>
      <c r="I897" s="36">
        <f t="shared" si="4"/>
        <v>6.7</v>
      </c>
      <c r="J897" s="38">
        <v>81.0</v>
      </c>
      <c r="K897" s="39">
        <v>7.4</v>
      </c>
      <c r="L897" s="38">
        <v>4.0</v>
      </c>
      <c r="M897" s="40" t="s">
        <v>136</v>
      </c>
      <c r="N897" s="41" t="s">
        <v>442</v>
      </c>
      <c r="O897" s="42" t="s">
        <v>34</v>
      </c>
      <c r="P897" s="67" t="s">
        <v>505</v>
      </c>
    </row>
    <row r="898">
      <c r="A898" s="44" t="s">
        <v>1001</v>
      </c>
      <c r="B898" s="45" t="s">
        <v>25</v>
      </c>
      <c r="C898" s="46" t="s">
        <v>476</v>
      </c>
      <c r="D898" s="47" t="str">
        <f t="shared" si="1"/>
        <v>Active</v>
      </c>
      <c r="E898" s="48">
        <v>42017.0</v>
      </c>
      <c r="F898" s="49"/>
      <c r="G898" s="50">
        <f t="shared" si="2"/>
        <v>140.7666667</v>
      </c>
      <c r="H898" s="51">
        <v>39630.0</v>
      </c>
      <c r="I898" s="50">
        <f t="shared" si="4"/>
        <v>6.533333333</v>
      </c>
      <c r="J898" s="55">
        <v>70.0</v>
      </c>
      <c r="K898" s="56">
        <v>7.3</v>
      </c>
      <c r="L898" s="55">
        <v>4.0</v>
      </c>
      <c r="M898" s="58" t="s">
        <v>136</v>
      </c>
      <c r="N898" s="59" t="s">
        <v>442</v>
      </c>
      <c r="O898" s="60" t="s">
        <v>149</v>
      </c>
      <c r="P898" s="66" t="s">
        <v>505</v>
      </c>
    </row>
    <row r="899">
      <c r="A899" s="29" t="s">
        <v>1002</v>
      </c>
      <c r="B899" s="30" t="s">
        <v>25</v>
      </c>
      <c r="C899" s="31" t="s">
        <v>476</v>
      </c>
      <c r="D899" s="32" t="str">
        <f t="shared" si="1"/>
        <v>Active</v>
      </c>
      <c r="E899" s="33">
        <v>42017.0</v>
      </c>
      <c r="F899" s="34"/>
      <c r="G899" s="36">
        <f t="shared" si="2"/>
        <v>140.7666667</v>
      </c>
      <c r="H899" s="37">
        <v>40452.0</v>
      </c>
      <c r="I899" s="36">
        <f t="shared" si="4"/>
        <v>4.283333333</v>
      </c>
      <c r="J899" s="38">
        <v>80.0</v>
      </c>
      <c r="K899" s="39">
        <v>7.8</v>
      </c>
      <c r="L899" s="38">
        <v>9.0</v>
      </c>
      <c r="M899" s="40" t="s">
        <v>29</v>
      </c>
      <c r="N899" s="41" t="s">
        <v>442</v>
      </c>
      <c r="O899" s="42" t="s">
        <v>149</v>
      </c>
      <c r="P899" s="67" t="s">
        <v>505</v>
      </c>
    </row>
    <row r="900">
      <c r="A900" s="44" t="s">
        <v>1003</v>
      </c>
      <c r="B900" s="45" t="s">
        <v>25</v>
      </c>
      <c r="C900" s="46" t="s">
        <v>476</v>
      </c>
      <c r="D900" s="47" t="str">
        <f t="shared" si="1"/>
        <v>Active</v>
      </c>
      <c r="E900" s="48">
        <v>42017.0</v>
      </c>
      <c r="F900" s="49"/>
      <c r="G900" s="50">
        <f t="shared" si="2"/>
        <v>140.7666667</v>
      </c>
      <c r="H900" s="51">
        <v>40817.0</v>
      </c>
      <c r="I900" s="50">
        <f t="shared" si="4"/>
        <v>3.283333333</v>
      </c>
      <c r="J900" s="55">
        <v>73.0</v>
      </c>
      <c r="K900" s="56">
        <v>7.4</v>
      </c>
      <c r="L900" s="55">
        <v>7.0</v>
      </c>
      <c r="M900" s="58" t="s">
        <v>103</v>
      </c>
      <c r="N900" s="59" t="s">
        <v>442</v>
      </c>
      <c r="O900" s="60" t="s">
        <v>149</v>
      </c>
      <c r="P900" s="66" t="s">
        <v>505</v>
      </c>
    </row>
    <row r="901">
      <c r="A901" s="29" t="s">
        <v>1004</v>
      </c>
      <c r="B901" s="30" t="s">
        <v>25</v>
      </c>
      <c r="C901" s="31" t="s">
        <v>476</v>
      </c>
      <c r="D901" s="32" t="str">
        <f t="shared" si="1"/>
        <v>Active</v>
      </c>
      <c r="E901" s="33">
        <v>42017.0</v>
      </c>
      <c r="F901" s="34"/>
      <c r="G901" s="36">
        <f t="shared" si="2"/>
        <v>140.7666667</v>
      </c>
      <c r="H901" s="37">
        <v>40544.0</v>
      </c>
      <c r="I901" s="36">
        <f t="shared" si="4"/>
        <v>4.033333333</v>
      </c>
      <c r="J901" s="38">
        <v>57.0</v>
      </c>
      <c r="K901" s="39">
        <v>6.8</v>
      </c>
      <c r="L901" s="38">
        <v>10.0</v>
      </c>
      <c r="M901" s="40" t="s">
        <v>42</v>
      </c>
      <c r="N901" s="41" t="s">
        <v>442</v>
      </c>
      <c r="O901" s="42" t="s">
        <v>149</v>
      </c>
      <c r="P901" s="67" t="s">
        <v>505</v>
      </c>
    </row>
    <row r="902">
      <c r="A902" s="44" t="s">
        <v>1005</v>
      </c>
      <c r="B902" s="45" t="s">
        <v>25</v>
      </c>
      <c r="C902" s="46" t="s">
        <v>476</v>
      </c>
      <c r="D902" s="47" t="str">
        <f t="shared" si="1"/>
        <v>Active</v>
      </c>
      <c r="E902" s="48">
        <v>42017.0</v>
      </c>
      <c r="F902" s="49"/>
      <c r="G902" s="50">
        <f t="shared" si="2"/>
        <v>140.7666667</v>
      </c>
      <c r="H902" s="51">
        <v>41579.0</v>
      </c>
      <c r="I902" s="50">
        <f t="shared" si="4"/>
        <v>1.2</v>
      </c>
      <c r="J902" s="55">
        <v>60.0</v>
      </c>
      <c r="K902" s="56">
        <v>5.8</v>
      </c>
      <c r="L902" s="55">
        <v>5.0</v>
      </c>
      <c r="M902" s="58" t="s">
        <v>29</v>
      </c>
      <c r="N902" s="59" t="s">
        <v>442</v>
      </c>
      <c r="O902" s="60" t="s">
        <v>149</v>
      </c>
      <c r="P902" s="66" t="s">
        <v>505</v>
      </c>
    </row>
    <row r="903">
      <c r="A903" s="29" t="s">
        <v>1006</v>
      </c>
      <c r="B903" s="30" t="s">
        <v>25</v>
      </c>
      <c r="C903" s="31" t="s">
        <v>476</v>
      </c>
      <c r="D903" s="32" t="str">
        <f t="shared" si="1"/>
        <v>Active</v>
      </c>
      <c r="E903" s="33">
        <v>42017.0</v>
      </c>
      <c r="F903" s="34"/>
      <c r="G903" s="36">
        <f t="shared" si="2"/>
        <v>140.7666667</v>
      </c>
      <c r="H903" s="37">
        <v>40282.0</v>
      </c>
      <c r="I903" s="36">
        <f t="shared" si="4"/>
        <v>4.747222222</v>
      </c>
      <c r="J903" s="38">
        <v>77.0</v>
      </c>
      <c r="K903" s="39">
        <v>7.5</v>
      </c>
      <c r="L903" s="38">
        <v>1.0</v>
      </c>
      <c r="M903" s="40" t="s">
        <v>1007</v>
      </c>
      <c r="N903" s="41" t="s">
        <v>442</v>
      </c>
      <c r="O903" s="42" t="s">
        <v>149</v>
      </c>
      <c r="P903" s="67"/>
    </row>
    <row r="904">
      <c r="A904" s="44" t="s">
        <v>1008</v>
      </c>
      <c r="B904" s="45" t="s">
        <v>25</v>
      </c>
      <c r="C904" s="46" t="s">
        <v>476</v>
      </c>
      <c r="D904" s="47" t="str">
        <f t="shared" si="1"/>
        <v>Active</v>
      </c>
      <c r="E904" s="48">
        <v>42017.0</v>
      </c>
      <c r="F904" s="49"/>
      <c r="G904" s="50">
        <f t="shared" si="2"/>
        <v>140.7666667</v>
      </c>
      <c r="H904" s="51">
        <v>40603.0</v>
      </c>
      <c r="I904" s="50">
        <f t="shared" si="4"/>
        <v>3.866666667</v>
      </c>
      <c r="J904" s="55">
        <v>42.0</v>
      </c>
      <c r="K904" s="56">
        <v>3.6</v>
      </c>
      <c r="L904" s="55">
        <v>4.0</v>
      </c>
      <c r="M904" s="58" t="s">
        <v>29</v>
      </c>
      <c r="N904" s="59" t="s">
        <v>442</v>
      </c>
      <c r="O904" s="60" t="s">
        <v>149</v>
      </c>
      <c r="P904" s="66" t="s">
        <v>505</v>
      </c>
    </row>
    <row r="905">
      <c r="A905" s="29" t="s">
        <v>1009</v>
      </c>
      <c r="B905" s="30" t="s">
        <v>25</v>
      </c>
      <c r="C905" s="31" t="s">
        <v>476</v>
      </c>
      <c r="D905" s="32" t="str">
        <f t="shared" si="1"/>
        <v>Active</v>
      </c>
      <c r="E905" s="33">
        <v>42017.0</v>
      </c>
      <c r="F905" s="34"/>
      <c r="G905" s="36">
        <f t="shared" si="2"/>
        <v>140.7666667</v>
      </c>
      <c r="H905" s="37">
        <v>38412.0</v>
      </c>
      <c r="I905" s="36">
        <f t="shared" si="4"/>
        <v>9.866666667</v>
      </c>
      <c r="J905" s="38">
        <v>88.0</v>
      </c>
      <c r="K905" s="39">
        <v>8.9</v>
      </c>
      <c r="L905" s="38">
        <v>9.0</v>
      </c>
      <c r="M905" s="40" t="s">
        <v>29</v>
      </c>
      <c r="N905" s="41" t="s">
        <v>442</v>
      </c>
      <c r="O905" s="42" t="s">
        <v>149</v>
      </c>
      <c r="P905" s="67" t="s">
        <v>505</v>
      </c>
    </row>
    <row r="906">
      <c r="A906" s="44" t="s">
        <v>1010</v>
      </c>
      <c r="B906" s="45" t="s">
        <v>25</v>
      </c>
      <c r="C906" s="46" t="s">
        <v>476</v>
      </c>
      <c r="D906" s="47" t="str">
        <f t="shared" si="1"/>
        <v>Active</v>
      </c>
      <c r="E906" s="48">
        <v>42017.0</v>
      </c>
      <c r="F906" s="49"/>
      <c r="G906" s="50">
        <f t="shared" si="2"/>
        <v>140.7666667</v>
      </c>
      <c r="H906" s="51">
        <v>39142.0</v>
      </c>
      <c r="I906" s="50">
        <f t="shared" si="4"/>
        <v>7.866666667</v>
      </c>
      <c r="J906" s="55">
        <v>81.0</v>
      </c>
      <c r="K906" s="56">
        <v>9.1</v>
      </c>
      <c r="L906" s="55">
        <v>12.0</v>
      </c>
      <c r="M906" s="58" t="s">
        <v>29</v>
      </c>
      <c r="N906" s="59" t="s">
        <v>442</v>
      </c>
      <c r="O906" s="60" t="s">
        <v>149</v>
      </c>
      <c r="P906" s="66" t="s">
        <v>505</v>
      </c>
    </row>
    <row r="907">
      <c r="A907" s="29" t="s">
        <v>1011</v>
      </c>
      <c r="B907" s="30" t="s">
        <v>25</v>
      </c>
      <c r="C907" s="31" t="s">
        <v>476</v>
      </c>
      <c r="D907" s="32" t="str">
        <f t="shared" si="1"/>
        <v>Active</v>
      </c>
      <c r="E907" s="33">
        <v>42017.0</v>
      </c>
      <c r="F907" s="34"/>
      <c r="G907" s="36">
        <f t="shared" si="2"/>
        <v>140.7666667</v>
      </c>
      <c r="H907" s="37">
        <v>41334.0</v>
      </c>
      <c r="I907" s="36">
        <f t="shared" si="4"/>
        <v>1.866666667</v>
      </c>
      <c r="J907" s="38">
        <v>80.0</v>
      </c>
      <c r="K907" s="39">
        <v>7.8</v>
      </c>
      <c r="L907" s="38">
        <v>12.0</v>
      </c>
      <c r="M907" s="40" t="s">
        <v>29</v>
      </c>
      <c r="N907" s="41" t="s">
        <v>442</v>
      </c>
      <c r="O907" s="42" t="s">
        <v>149</v>
      </c>
      <c r="P907" s="67" t="s">
        <v>505</v>
      </c>
    </row>
    <row r="908">
      <c r="A908" s="44" t="s">
        <v>1012</v>
      </c>
      <c r="B908" s="45" t="s">
        <v>25</v>
      </c>
      <c r="C908" s="46" t="s">
        <v>476</v>
      </c>
      <c r="D908" s="47" t="str">
        <f t="shared" si="1"/>
        <v>Active</v>
      </c>
      <c r="E908" s="48">
        <v>42017.0</v>
      </c>
      <c r="F908" s="49"/>
      <c r="G908" s="50">
        <f t="shared" si="2"/>
        <v>140.7666667</v>
      </c>
      <c r="H908" s="51">
        <v>41536.0</v>
      </c>
      <c r="I908" s="50">
        <f t="shared" si="4"/>
        <v>1.316666667</v>
      </c>
      <c r="J908" s="55">
        <v>68.0</v>
      </c>
      <c r="K908" s="56">
        <v>7.4</v>
      </c>
      <c r="L908" s="55">
        <v>50.0</v>
      </c>
      <c r="M908" s="58" t="s">
        <v>112</v>
      </c>
      <c r="N908" s="59" t="s">
        <v>442</v>
      </c>
      <c r="O908" s="60" t="s">
        <v>149</v>
      </c>
      <c r="P908" s="66" t="s">
        <v>505</v>
      </c>
    </row>
    <row r="909">
      <c r="A909" s="29" t="s">
        <v>1013</v>
      </c>
      <c r="B909" s="30" t="s">
        <v>25</v>
      </c>
      <c r="C909" s="31" t="s">
        <v>476</v>
      </c>
      <c r="D909" s="32" t="str">
        <f t="shared" si="1"/>
        <v>Active</v>
      </c>
      <c r="E909" s="33">
        <v>42017.0</v>
      </c>
      <c r="F909" s="34"/>
      <c r="G909" s="36">
        <f t="shared" si="2"/>
        <v>140.7666667</v>
      </c>
      <c r="H909" s="37">
        <v>40848.0</v>
      </c>
      <c r="I909" s="36">
        <f t="shared" si="4"/>
        <v>3.2</v>
      </c>
      <c r="J909" s="38">
        <v>39.0</v>
      </c>
      <c r="K909" s="39">
        <v>3.8</v>
      </c>
      <c r="L909" s="38">
        <v>3.0</v>
      </c>
      <c r="M909" s="40" t="s">
        <v>31</v>
      </c>
      <c r="N909" s="41" t="s">
        <v>442</v>
      </c>
      <c r="O909" s="42" t="s">
        <v>149</v>
      </c>
      <c r="P909" s="67" t="s">
        <v>505</v>
      </c>
    </row>
    <row r="910">
      <c r="A910" s="44" t="s">
        <v>1014</v>
      </c>
      <c r="B910" s="45" t="s">
        <v>25</v>
      </c>
      <c r="C910" s="46" t="s">
        <v>476</v>
      </c>
      <c r="D910" s="47" t="str">
        <f t="shared" si="1"/>
        <v>Active</v>
      </c>
      <c r="E910" s="48">
        <v>42017.0</v>
      </c>
      <c r="F910" s="49"/>
      <c r="G910" s="50">
        <f t="shared" si="2"/>
        <v>140.7666667</v>
      </c>
      <c r="H910" s="51">
        <v>41303.0</v>
      </c>
      <c r="I910" s="50">
        <f t="shared" si="4"/>
        <v>1.955555556</v>
      </c>
      <c r="J910" s="55">
        <v>38.0</v>
      </c>
      <c r="K910" s="56">
        <v>4.8</v>
      </c>
      <c r="L910" s="55">
        <v>3.0</v>
      </c>
      <c r="M910" s="58" t="s">
        <v>31</v>
      </c>
      <c r="N910" s="59" t="s">
        <v>442</v>
      </c>
      <c r="O910" s="60" t="s">
        <v>149</v>
      </c>
      <c r="P910" s="66" t="s">
        <v>505</v>
      </c>
    </row>
    <row r="911">
      <c r="A911" s="29" t="s">
        <v>1015</v>
      </c>
      <c r="B911" s="30" t="s">
        <v>25</v>
      </c>
      <c r="C911" s="31" t="s">
        <v>476</v>
      </c>
      <c r="D911" s="32" t="str">
        <f t="shared" si="1"/>
        <v>Active</v>
      </c>
      <c r="E911" s="33">
        <v>42017.0</v>
      </c>
      <c r="F911" s="34"/>
      <c r="G911" s="36">
        <f t="shared" si="2"/>
        <v>140.7666667</v>
      </c>
      <c r="H911" s="37">
        <v>40179.0</v>
      </c>
      <c r="I911" s="36">
        <f t="shared" si="4"/>
        <v>5.033333333</v>
      </c>
      <c r="J911" s="38">
        <v>81.0</v>
      </c>
      <c r="K911" s="39">
        <v>7.8</v>
      </c>
      <c r="L911" s="76"/>
      <c r="M911" s="40" t="s">
        <v>1016</v>
      </c>
      <c r="N911" s="41" t="s">
        <v>442</v>
      </c>
      <c r="O911" s="42" t="s">
        <v>149</v>
      </c>
      <c r="P911" s="67" t="s">
        <v>505</v>
      </c>
    </row>
    <row r="912">
      <c r="A912" s="44" t="s">
        <v>1017</v>
      </c>
      <c r="B912" s="45" t="s">
        <v>25</v>
      </c>
      <c r="C912" s="46" t="s">
        <v>476</v>
      </c>
      <c r="D912" s="47" t="str">
        <f t="shared" si="1"/>
        <v>Active</v>
      </c>
      <c r="E912" s="48">
        <v>42017.0</v>
      </c>
      <c r="F912" s="49"/>
      <c r="G912" s="50">
        <f t="shared" si="2"/>
        <v>140.7666667</v>
      </c>
      <c r="H912" s="51">
        <v>37135.0</v>
      </c>
      <c r="I912" s="50">
        <f t="shared" si="4"/>
        <v>13.36666667</v>
      </c>
      <c r="J912" s="55">
        <v>90.0</v>
      </c>
      <c r="K912" s="56">
        <v>8.6</v>
      </c>
      <c r="L912" s="55">
        <v>8.0</v>
      </c>
      <c r="M912" s="58" t="s">
        <v>29</v>
      </c>
      <c r="N912" s="59" t="s">
        <v>442</v>
      </c>
      <c r="O912" s="60" t="s">
        <v>149</v>
      </c>
      <c r="P912" s="66" t="s">
        <v>505</v>
      </c>
    </row>
    <row r="913">
      <c r="A913" s="29" t="s">
        <v>1018</v>
      </c>
      <c r="B913" s="30" t="s">
        <v>25</v>
      </c>
      <c r="C913" s="31" t="s">
        <v>476</v>
      </c>
      <c r="D913" s="32" t="str">
        <f t="shared" si="1"/>
        <v>Active</v>
      </c>
      <c r="E913" s="33">
        <v>42017.0</v>
      </c>
      <c r="F913" s="34"/>
      <c r="G913" s="36">
        <f t="shared" si="2"/>
        <v>140.7666667</v>
      </c>
      <c r="H913" s="37">
        <v>39934.0</v>
      </c>
      <c r="I913" s="36">
        <f t="shared" si="4"/>
        <v>5.7</v>
      </c>
      <c r="J913" s="38">
        <v>85.0</v>
      </c>
      <c r="K913" s="39">
        <v>8.5</v>
      </c>
      <c r="L913" s="38">
        <v>15.0</v>
      </c>
      <c r="M913" s="40" t="s">
        <v>29</v>
      </c>
      <c r="N913" s="41" t="s">
        <v>442</v>
      </c>
      <c r="O913" s="42" t="s">
        <v>149</v>
      </c>
      <c r="P913" s="67" t="s">
        <v>505</v>
      </c>
    </row>
    <row r="914">
      <c r="A914" s="44" t="s">
        <v>1019</v>
      </c>
      <c r="B914" s="45" t="s">
        <v>25</v>
      </c>
      <c r="C914" s="46" t="s">
        <v>476</v>
      </c>
      <c r="D914" s="47" t="str">
        <f t="shared" si="1"/>
        <v>Active</v>
      </c>
      <c r="E914" s="48">
        <v>42017.0</v>
      </c>
      <c r="F914" s="49"/>
      <c r="G914" s="50">
        <f t="shared" si="2"/>
        <v>140.7666667</v>
      </c>
      <c r="H914" s="51">
        <v>40695.0</v>
      </c>
      <c r="I914" s="50">
        <f t="shared" si="4"/>
        <v>3.616666667</v>
      </c>
      <c r="J914" s="55">
        <v>83.0</v>
      </c>
      <c r="K914" s="56">
        <v>8.3</v>
      </c>
      <c r="L914" s="55">
        <v>12.0</v>
      </c>
      <c r="M914" s="58" t="s">
        <v>29</v>
      </c>
      <c r="N914" s="59" t="s">
        <v>442</v>
      </c>
      <c r="O914" s="60" t="s">
        <v>149</v>
      </c>
      <c r="P914" s="66" t="s">
        <v>505</v>
      </c>
    </row>
    <row r="915">
      <c r="A915" s="29" t="s">
        <v>1020</v>
      </c>
      <c r="B915" s="30" t="s">
        <v>25</v>
      </c>
      <c r="C915" s="31" t="s">
        <v>476</v>
      </c>
      <c r="D915" s="32" t="str">
        <f t="shared" si="1"/>
        <v>Active</v>
      </c>
      <c r="E915" s="33">
        <v>42017.0</v>
      </c>
      <c r="F915" s="34"/>
      <c r="G915" s="36">
        <f t="shared" si="2"/>
        <v>140.7666667</v>
      </c>
      <c r="H915" s="37">
        <v>40817.0</v>
      </c>
      <c r="I915" s="36">
        <f t="shared" si="4"/>
        <v>3.283333333</v>
      </c>
      <c r="J915" s="38">
        <v>78.0</v>
      </c>
      <c r="K915" s="39">
        <v>7.7</v>
      </c>
      <c r="L915" s="38">
        <v>3.0</v>
      </c>
      <c r="M915" s="40" t="s">
        <v>29</v>
      </c>
      <c r="N915" s="41" t="s">
        <v>442</v>
      </c>
      <c r="O915" s="42" t="s">
        <v>149</v>
      </c>
      <c r="P915" s="67" t="s">
        <v>505</v>
      </c>
    </row>
    <row r="916">
      <c r="A916" s="44" t="s">
        <v>1021</v>
      </c>
      <c r="B916" s="45" t="s">
        <v>25</v>
      </c>
      <c r="C916" s="46" t="s">
        <v>476</v>
      </c>
      <c r="D916" s="47" t="str">
        <f t="shared" si="1"/>
        <v>Active</v>
      </c>
      <c r="E916" s="48">
        <v>42017.0</v>
      </c>
      <c r="F916" s="49"/>
      <c r="G916" s="50">
        <f t="shared" si="2"/>
        <v>140.7666667</v>
      </c>
      <c r="H916" s="51">
        <v>39814.0</v>
      </c>
      <c r="I916" s="50">
        <f t="shared" si="4"/>
        <v>6.033333333</v>
      </c>
      <c r="J916" s="55">
        <v>48.0</v>
      </c>
      <c r="K916" s="56">
        <v>7.2</v>
      </c>
      <c r="L916" s="55">
        <v>3.0</v>
      </c>
      <c r="M916" s="58" t="s">
        <v>136</v>
      </c>
      <c r="N916" s="59" t="s">
        <v>442</v>
      </c>
      <c r="O916" s="60" t="s">
        <v>149</v>
      </c>
      <c r="P916" s="66" t="s">
        <v>505</v>
      </c>
    </row>
    <row r="917">
      <c r="A917" s="29" t="s">
        <v>1022</v>
      </c>
      <c r="B917" s="30" t="s">
        <v>25</v>
      </c>
      <c r="C917" s="31" t="s">
        <v>476</v>
      </c>
      <c r="D917" s="32" t="str">
        <f t="shared" si="1"/>
        <v>Active</v>
      </c>
      <c r="E917" s="33">
        <v>42017.0</v>
      </c>
      <c r="F917" s="34"/>
      <c r="G917" s="36">
        <f t="shared" si="2"/>
        <v>140.7666667</v>
      </c>
      <c r="H917" s="37">
        <v>40848.0</v>
      </c>
      <c r="I917" s="36">
        <f t="shared" si="4"/>
        <v>3.2</v>
      </c>
      <c r="J917" s="38">
        <v>67.0</v>
      </c>
      <c r="K917" s="39">
        <v>5.4</v>
      </c>
      <c r="L917" s="38">
        <v>4.0</v>
      </c>
      <c r="M917" s="40" t="s">
        <v>95</v>
      </c>
      <c r="N917" s="41" t="s">
        <v>442</v>
      </c>
      <c r="O917" s="42" t="s">
        <v>149</v>
      </c>
      <c r="P917" s="67" t="s">
        <v>505</v>
      </c>
    </row>
    <row r="918">
      <c r="A918" s="44" t="s">
        <v>1023</v>
      </c>
      <c r="B918" s="45" t="s">
        <v>25</v>
      </c>
      <c r="C918" s="46" t="s">
        <v>476</v>
      </c>
      <c r="D918" s="47" t="str">
        <f t="shared" si="1"/>
        <v>Active</v>
      </c>
      <c r="E918" s="48">
        <v>42017.0</v>
      </c>
      <c r="F918" s="49"/>
      <c r="G918" s="50">
        <f t="shared" si="2"/>
        <v>140.7666667</v>
      </c>
      <c r="H918" s="51">
        <v>41928.0</v>
      </c>
      <c r="I918" s="50">
        <f t="shared" si="4"/>
        <v>0.2416666667</v>
      </c>
      <c r="J918" s="55">
        <v>63.0</v>
      </c>
      <c r="K918" s="56">
        <v>6.5</v>
      </c>
      <c r="L918" s="55">
        <v>5.0</v>
      </c>
      <c r="M918" s="58" t="s">
        <v>112</v>
      </c>
      <c r="N918" s="59" t="s">
        <v>442</v>
      </c>
      <c r="O918" s="60" t="s">
        <v>149</v>
      </c>
      <c r="P918" s="66" t="s">
        <v>505</v>
      </c>
    </row>
    <row r="919">
      <c r="A919" s="29" t="s">
        <v>1024</v>
      </c>
      <c r="B919" s="30" t="s">
        <v>25</v>
      </c>
      <c r="C919" s="31" t="s">
        <v>476</v>
      </c>
      <c r="D919" s="32" t="str">
        <f t="shared" si="1"/>
        <v>Active</v>
      </c>
      <c r="E919" s="33">
        <v>42017.0</v>
      </c>
      <c r="F919" s="34"/>
      <c r="G919" s="36">
        <f t="shared" si="2"/>
        <v>140.7666667</v>
      </c>
      <c r="H919" s="37">
        <v>40179.0</v>
      </c>
      <c r="I919" s="36">
        <f t="shared" si="4"/>
        <v>5.033333333</v>
      </c>
      <c r="J919" s="38">
        <v>44.0</v>
      </c>
      <c r="K919" s="39">
        <v>5.7</v>
      </c>
      <c r="L919" s="38">
        <v>17.0</v>
      </c>
      <c r="M919" s="40" t="s">
        <v>42</v>
      </c>
      <c r="N919" s="41" t="s">
        <v>442</v>
      </c>
      <c r="O919" s="42" t="s">
        <v>149</v>
      </c>
      <c r="P919" s="67" t="s">
        <v>505</v>
      </c>
    </row>
    <row r="920">
      <c r="A920" s="44" t="s">
        <v>1025</v>
      </c>
      <c r="B920" s="45" t="s">
        <v>25</v>
      </c>
      <c r="C920" s="46" t="s">
        <v>476</v>
      </c>
      <c r="D920" s="47" t="str">
        <f t="shared" si="1"/>
        <v>Active</v>
      </c>
      <c r="E920" s="48">
        <v>42017.0</v>
      </c>
      <c r="F920" s="49"/>
      <c r="G920" s="50">
        <f t="shared" si="2"/>
        <v>140.7666667</v>
      </c>
      <c r="H920" s="51">
        <v>40299.0</v>
      </c>
      <c r="I920" s="50">
        <f t="shared" si="4"/>
        <v>4.7</v>
      </c>
      <c r="J920" s="55">
        <v>68.0</v>
      </c>
      <c r="K920" s="56">
        <v>7.0</v>
      </c>
      <c r="L920" s="78"/>
      <c r="M920" s="58" t="s">
        <v>31</v>
      </c>
      <c r="N920" s="59" t="s">
        <v>442</v>
      </c>
      <c r="O920" s="60" t="s">
        <v>149</v>
      </c>
      <c r="P920" s="66" t="s">
        <v>505</v>
      </c>
    </row>
    <row r="921">
      <c r="A921" s="29" t="s">
        <v>1026</v>
      </c>
      <c r="B921" s="30" t="s">
        <v>25</v>
      </c>
      <c r="C921" s="31" t="s">
        <v>476</v>
      </c>
      <c r="D921" s="32" t="str">
        <f t="shared" si="1"/>
        <v>Active</v>
      </c>
      <c r="E921" s="33">
        <v>42017.0</v>
      </c>
      <c r="F921" s="34"/>
      <c r="G921" s="36">
        <f t="shared" si="2"/>
        <v>140.7666667</v>
      </c>
      <c r="H921" s="37">
        <v>41122.0</v>
      </c>
      <c r="I921" s="36">
        <f t="shared" si="4"/>
        <v>2.45</v>
      </c>
      <c r="J921" s="38">
        <v>68.0</v>
      </c>
      <c r="K921" s="39">
        <v>7.0</v>
      </c>
      <c r="L921" s="38">
        <v>35.0</v>
      </c>
      <c r="M921" s="40" t="s">
        <v>42</v>
      </c>
      <c r="N921" s="41" t="s">
        <v>442</v>
      </c>
      <c r="O921" s="42" t="s">
        <v>149</v>
      </c>
      <c r="P921" s="67" t="s">
        <v>505</v>
      </c>
    </row>
    <row r="922">
      <c r="A922" s="44" t="s">
        <v>1027</v>
      </c>
      <c r="B922" s="45" t="s">
        <v>25</v>
      </c>
      <c r="C922" s="46" t="s">
        <v>476</v>
      </c>
      <c r="D922" s="47" t="str">
        <f t="shared" si="1"/>
        <v>Active</v>
      </c>
      <c r="E922" s="48">
        <v>42017.0</v>
      </c>
      <c r="F922" s="49"/>
      <c r="G922" s="50">
        <f t="shared" si="2"/>
        <v>140.7666667</v>
      </c>
      <c r="H922" s="51">
        <v>41079.0</v>
      </c>
      <c r="I922" s="50">
        <f t="shared" si="4"/>
        <v>2.566666667</v>
      </c>
      <c r="J922" s="55">
        <v>79.0</v>
      </c>
      <c r="K922" s="56">
        <v>7.9</v>
      </c>
      <c r="L922" s="55">
        <v>9.0</v>
      </c>
      <c r="M922" s="58" t="s">
        <v>29</v>
      </c>
      <c r="N922" s="59" t="s">
        <v>442</v>
      </c>
      <c r="O922" s="60" t="s">
        <v>149</v>
      </c>
      <c r="P922" s="66"/>
    </row>
    <row r="923">
      <c r="A923" s="29" t="s">
        <v>1028</v>
      </c>
      <c r="B923" s="30" t="s">
        <v>25</v>
      </c>
      <c r="C923" s="31" t="s">
        <v>476</v>
      </c>
      <c r="D923" s="32" t="str">
        <f t="shared" si="1"/>
        <v>Active</v>
      </c>
      <c r="E923" s="33">
        <v>42017.0</v>
      </c>
      <c r="F923" s="34"/>
      <c r="G923" s="36">
        <f t="shared" si="2"/>
        <v>140.7666667</v>
      </c>
      <c r="H923" s="37">
        <v>40664.0</v>
      </c>
      <c r="I923" s="36">
        <f t="shared" si="4"/>
        <v>3.7</v>
      </c>
      <c r="J923" s="38">
        <v>73.0</v>
      </c>
      <c r="K923" s="39">
        <v>7.7</v>
      </c>
      <c r="L923" s="38">
        <v>9.0</v>
      </c>
      <c r="M923" s="40" t="s">
        <v>29</v>
      </c>
      <c r="N923" s="41" t="s">
        <v>442</v>
      </c>
      <c r="O923" s="42" t="s">
        <v>149</v>
      </c>
      <c r="P923" s="67" t="s">
        <v>505</v>
      </c>
    </row>
    <row r="924">
      <c r="A924" s="44" t="s">
        <v>1029</v>
      </c>
      <c r="B924" s="45" t="s">
        <v>25</v>
      </c>
      <c r="C924" s="46" t="s">
        <v>476</v>
      </c>
      <c r="D924" s="47" t="str">
        <f t="shared" si="1"/>
        <v>Active</v>
      </c>
      <c r="E924" s="48">
        <v>42017.0</v>
      </c>
      <c r="F924" s="49"/>
      <c r="G924" s="50">
        <f t="shared" si="2"/>
        <v>140.7666667</v>
      </c>
      <c r="H924" s="51">
        <v>41183.0</v>
      </c>
      <c r="I924" s="50">
        <f t="shared" si="4"/>
        <v>2.283333333</v>
      </c>
      <c r="J924" s="55">
        <v>78.0</v>
      </c>
      <c r="K924" s="56">
        <v>8.5</v>
      </c>
      <c r="L924" s="55">
        <v>5.0</v>
      </c>
      <c r="M924" s="58" t="s">
        <v>112</v>
      </c>
      <c r="N924" s="59" t="s">
        <v>442</v>
      </c>
      <c r="O924" s="60" t="s">
        <v>149</v>
      </c>
      <c r="P924" s="66" t="s">
        <v>505</v>
      </c>
    </row>
    <row r="925">
      <c r="A925" s="29" t="s">
        <v>1030</v>
      </c>
      <c r="B925" s="30" t="s">
        <v>25</v>
      </c>
      <c r="C925" s="31" t="s">
        <v>476</v>
      </c>
      <c r="D925" s="32" t="str">
        <f t="shared" si="1"/>
        <v>Active</v>
      </c>
      <c r="E925" s="33">
        <v>42017.0</v>
      </c>
      <c r="F925" s="34"/>
      <c r="G925" s="36">
        <f t="shared" si="2"/>
        <v>140.7666667</v>
      </c>
      <c r="H925" s="37">
        <v>41456.0</v>
      </c>
      <c r="I925" s="36">
        <f t="shared" si="4"/>
        <v>1.533333333</v>
      </c>
      <c r="J925" s="38">
        <v>59.0</v>
      </c>
      <c r="K925" s="39">
        <v>6.5</v>
      </c>
      <c r="L925" s="38">
        <v>18.0</v>
      </c>
      <c r="M925" s="40" t="s">
        <v>42</v>
      </c>
      <c r="N925" s="41" t="s">
        <v>442</v>
      </c>
      <c r="O925" s="42" t="s">
        <v>149</v>
      </c>
      <c r="P925" s="67" t="s">
        <v>505</v>
      </c>
    </row>
    <row r="926">
      <c r="A926" s="44" t="s">
        <v>1031</v>
      </c>
      <c r="B926" s="45" t="s">
        <v>25</v>
      </c>
      <c r="C926" s="46" t="s">
        <v>476</v>
      </c>
      <c r="D926" s="47" t="str">
        <f t="shared" si="1"/>
        <v>Active</v>
      </c>
      <c r="E926" s="48">
        <v>42017.0</v>
      </c>
      <c r="F926" s="49"/>
      <c r="G926" s="50">
        <f t="shared" si="2"/>
        <v>140.7666667</v>
      </c>
      <c r="H926" s="51">
        <v>36678.0</v>
      </c>
      <c r="I926" s="50">
        <f t="shared" si="4"/>
        <v>14.61666667</v>
      </c>
      <c r="J926" s="55">
        <v>76.0</v>
      </c>
      <c r="K926" s="56">
        <v>8.0</v>
      </c>
      <c r="L926" s="55">
        <v>1.5</v>
      </c>
      <c r="M926" s="58" t="s">
        <v>27</v>
      </c>
      <c r="N926" s="59" t="s">
        <v>442</v>
      </c>
      <c r="O926" s="60" t="s">
        <v>149</v>
      </c>
      <c r="P926" s="66"/>
    </row>
    <row r="927">
      <c r="A927" s="29" t="s">
        <v>1032</v>
      </c>
      <c r="B927" s="30" t="s">
        <v>25</v>
      </c>
      <c r="C927" s="31" t="s">
        <v>476</v>
      </c>
      <c r="D927" s="32" t="str">
        <f t="shared" si="1"/>
        <v>Active</v>
      </c>
      <c r="E927" s="33">
        <v>42017.0</v>
      </c>
      <c r="F927" s="34"/>
      <c r="G927" s="36">
        <f t="shared" si="2"/>
        <v>140.7666667</v>
      </c>
      <c r="H927" s="37">
        <v>40330.0</v>
      </c>
      <c r="I927" s="36">
        <f t="shared" si="4"/>
        <v>4.616666667</v>
      </c>
      <c r="J927" s="38">
        <v>87.0</v>
      </c>
      <c r="K927" s="39">
        <v>8.7</v>
      </c>
      <c r="L927" s="38">
        <v>7.0</v>
      </c>
      <c r="M927" s="40" t="s">
        <v>112</v>
      </c>
      <c r="N927" s="41" t="s">
        <v>442</v>
      </c>
      <c r="O927" s="42" t="s">
        <v>149</v>
      </c>
      <c r="P927" s="67" t="s">
        <v>505</v>
      </c>
    </row>
    <row r="928">
      <c r="A928" s="44" t="s">
        <v>1033</v>
      </c>
      <c r="B928" s="45" t="s">
        <v>25</v>
      </c>
      <c r="C928" s="46" t="s">
        <v>476</v>
      </c>
      <c r="D928" s="47" t="str">
        <f t="shared" si="1"/>
        <v>Active</v>
      </c>
      <c r="E928" s="48">
        <v>42017.0</v>
      </c>
      <c r="F928" s="49"/>
      <c r="G928" s="50">
        <f t="shared" si="2"/>
        <v>140.7666667</v>
      </c>
      <c r="H928" s="51">
        <v>40148.0</v>
      </c>
      <c r="I928" s="50">
        <f t="shared" si="4"/>
        <v>5.116666667</v>
      </c>
      <c r="J928" s="55">
        <v>74.0</v>
      </c>
      <c r="K928" s="56">
        <v>7.4</v>
      </c>
      <c r="L928" s="55">
        <v>10.0</v>
      </c>
      <c r="M928" s="58" t="s">
        <v>95</v>
      </c>
      <c r="N928" s="59" t="s">
        <v>442</v>
      </c>
      <c r="O928" s="60" t="s">
        <v>149</v>
      </c>
      <c r="P928" s="66" t="s">
        <v>505</v>
      </c>
    </row>
    <row r="929">
      <c r="A929" s="29" t="s">
        <v>1034</v>
      </c>
      <c r="B929" s="30" t="s">
        <v>25</v>
      </c>
      <c r="C929" s="31" t="s">
        <v>476</v>
      </c>
      <c r="D929" s="32" t="str">
        <f t="shared" si="1"/>
        <v>Active</v>
      </c>
      <c r="E929" s="33">
        <v>42017.0</v>
      </c>
      <c r="F929" s="34"/>
      <c r="G929" s="36">
        <f t="shared" si="2"/>
        <v>140.7666667</v>
      </c>
      <c r="H929" s="37">
        <v>41122.0</v>
      </c>
      <c r="I929" s="36">
        <f t="shared" si="4"/>
        <v>2.45</v>
      </c>
      <c r="J929" s="38">
        <v>72.0</v>
      </c>
      <c r="K929" s="39">
        <v>7.4</v>
      </c>
      <c r="L929" s="38">
        <v>3.0</v>
      </c>
      <c r="M929" s="40" t="s">
        <v>29</v>
      </c>
      <c r="N929" s="41" t="s">
        <v>442</v>
      </c>
      <c r="O929" s="42" t="s">
        <v>149</v>
      </c>
      <c r="P929" s="67" t="s">
        <v>505</v>
      </c>
    </row>
    <row r="930">
      <c r="A930" s="44" t="s">
        <v>1035</v>
      </c>
      <c r="B930" s="45" t="s">
        <v>25</v>
      </c>
      <c r="C930" s="46" t="s">
        <v>476</v>
      </c>
      <c r="D930" s="47" t="str">
        <f t="shared" si="1"/>
        <v>Active</v>
      </c>
      <c r="E930" s="48">
        <v>42017.0</v>
      </c>
      <c r="F930" s="49"/>
      <c r="G930" s="50">
        <f t="shared" si="2"/>
        <v>140.7666667</v>
      </c>
      <c r="H930" s="51">
        <v>39569.0</v>
      </c>
      <c r="I930" s="50">
        <f t="shared" si="4"/>
        <v>6.7</v>
      </c>
      <c r="J930" s="55">
        <v>77.0</v>
      </c>
      <c r="K930" s="56">
        <v>7.8</v>
      </c>
      <c r="L930" s="55">
        <v>6.0</v>
      </c>
      <c r="M930" s="58" t="s">
        <v>42</v>
      </c>
      <c r="N930" s="59" t="s">
        <v>442</v>
      </c>
      <c r="O930" s="60" t="s">
        <v>149</v>
      </c>
      <c r="P930" s="66" t="s">
        <v>505</v>
      </c>
    </row>
    <row r="931">
      <c r="A931" s="29" t="s">
        <v>1036</v>
      </c>
      <c r="B931" s="30" t="s">
        <v>25</v>
      </c>
      <c r="C931" s="31" t="s">
        <v>476</v>
      </c>
      <c r="D931" s="32" t="str">
        <f t="shared" si="1"/>
        <v>Active</v>
      </c>
      <c r="E931" s="33">
        <v>42017.0</v>
      </c>
      <c r="F931" s="34"/>
      <c r="G931" s="36">
        <f t="shared" si="2"/>
        <v>140.7666667</v>
      </c>
      <c r="H931" s="37">
        <v>39569.0</v>
      </c>
      <c r="I931" s="36">
        <f t="shared" si="4"/>
        <v>6.7</v>
      </c>
      <c r="J931" s="38">
        <v>75.0</v>
      </c>
      <c r="K931" s="39">
        <v>8.0</v>
      </c>
      <c r="L931" s="38">
        <v>6.0</v>
      </c>
      <c r="M931" s="40" t="s">
        <v>42</v>
      </c>
      <c r="N931" s="41" t="s">
        <v>442</v>
      </c>
      <c r="O931" s="42" t="s">
        <v>149</v>
      </c>
      <c r="P931" s="67" t="s">
        <v>505</v>
      </c>
    </row>
    <row r="932">
      <c r="A932" s="44" t="s">
        <v>1037</v>
      </c>
      <c r="B932" s="45" t="s">
        <v>25</v>
      </c>
      <c r="C932" s="46" t="s">
        <v>476</v>
      </c>
      <c r="D932" s="47" t="str">
        <f t="shared" si="1"/>
        <v>Active</v>
      </c>
      <c r="E932" s="48">
        <v>42017.0</v>
      </c>
      <c r="F932" s="49"/>
      <c r="G932" s="50">
        <f t="shared" si="2"/>
        <v>140.7666667</v>
      </c>
      <c r="H932" s="51">
        <v>39295.0</v>
      </c>
      <c r="I932" s="50">
        <f t="shared" si="4"/>
        <v>7.45</v>
      </c>
      <c r="J932" s="55">
        <v>70.0</v>
      </c>
      <c r="K932" s="56">
        <v>7.4</v>
      </c>
      <c r="L932" s="55">
        <v>3.0</v>
      </c>
      <c r="M932" s="58" t="s">
        <v>136</v>
      </c>
      <c r="N932" s="59" t="s">
        <v>442</v>
      </c>
      <c r="O932" s="60" t="s">
        <v>149</v>
      </c>
      <c r="P932" s="66" t="s">
        <v>505</v>
      </c>
    </row>
    <row r="933">
      <c r="A933" s="29" t="s">
        <v>1038</v>
      </c>
      <c r="B933" s="30" t="s">
        <v>25</v>
      </c>
      <c r="C933" s="31" t="s">
        <v>476</v>
      </c>
      <c r="D933" s="32" t="str">
        <f t="shared" si="1"/>
        <v>Active</v>
      </c>
      <c r="E933" s="33">
        <v>42017.0</v>
      </c>
      <c r="F933" s="34"/>
      <c r="G933" s="36">
        <f t="shared" si="2"/>
        <v>140.7666667</v>
      </c>
      <c r="H933" s="37">
        <v>40330.0</v>
      </c>
      <c r="I933" s="36">
        <f t="shared" si="4"/>
        <v>4.616666667</v>
      </c>
      <c r="J933" s="38">
        <v>66.0</v>
      </c>
      <c r="K933" s="39">
        <v>6.8</v>
      </c>
      <c r="L933" s="76"/>
      <c r="M933" s="40" t="s">
        <v>125</v>
      </c>
      <c r="N933" s="41" t="s">
        <v>442</v>
      </c>
      <c r="O933" s="42" t="s">
        <v>149</v>
      </c>
      <c r="P933" s="67" t="s">
        <v>505</v>
      </c>
    </row>
    <row r="934">
      <c r="A934" s="44" t="s">
        <v>1039</v>
      </c>
      <c r="B934" s="45" t="s">
        <v>25</v>
      </c>
      <c r="C934" s="46" t="s">
        <v>476</v>
      </c>
      <c r="D934" s="47" t="str">
        <f t="shared" si="1"/>
        <v>Active</v>
      </c>
      <c r="E934" s="48">
        <v>42017.0</v>
      </c>
      <c r="F934" s="49"/>
      <c r="G934" s="50">
        <f t="shared" si="2"/>
        <v>140.7666667</v>
      </c>
      <c r="H934" s="51">
        <v>41214.0</v>
      </c>
      <c r="I934" s="50">
        <f t="shared" si="4"/>
        <v>2.2</v>
      </c>
      <c r="J934" s="55">
        <v>68.0</v>
      </c>
      <c r="K934" s="56">
        <v>6.8</v>
      </c>
      <c r="L934" s="55">
        <v>5.0</v>
      </c>
      <c r="M934" s="58" t="s">
        <v>103</v>
      </c>
      <c r="N934" s="59" t="s">
        <v>442</v>
      </c>
      <c r="O934" s="60" t="s">
        <v>149</v>
      </c>
      <c r="P934" s="66" t="s">
        <v>505</v>
      </c>
    </row>
    <row r="935">
      <c r="A935" s="29" t="s">
        <v>1040</v>
      </c>
      <c r="B935" s="30" t="s">
        <v>25</v>
      </c>
      <c r="C935" s="31" t="s">
        <v>476</v>
      </c>
      <c r="D935" s="32" t="str">
        <f t="shared" si="1"/>
        <v>Active</v>
      </c>
      <c r="E935" s="33">
        <v>42017.0</v>
      </c>
      <c r="F935" s="34"/>
      <c r="G935" s="36">
        <f t="shared" si="2"/>
        <v>140.7666667</v>
      </c>
      <c r="H935" s="37">
        <v>41426.0</v>
      </c>
      <c r="I935" s="36">
        <f t="shared" si="4"/>
        <v>1.616666667</v>
      </c>
      <c r="J935" s="38">
        <v>81.0</v>
      </c>
      <c r="K935" s="39">
        <v>7.3</v>
      </c>
      <c r="L935" s="76"/>
      <c r="M935" s="40" t="s">
        <v>1016</v>
      </c>
      <c r="N935" s="41" t="s">
        <v>442</v>
      </c>
      <c r="O935" s="42" t="s">
        <v>149</v>
      </c>
      <c r="P935" s="67" t="s">
        <v>505</v>
      </c>
    </row>
    <row r="936">
      <c r="A936" s="44" t="s">
        <v>1041</v>
      </c>
      <c r="B936" s="45" t="s">
        <v>25</v>
      </c>
      <c r="C936" s="46" t="s">
        <v>476</v>
      </c>
      <c r="D936" s="47" t="str">
        <f t="shared" si="1"/>
        <v>Active</v>
      </c>
      <c r="E936" s="48">
        <v>42017.0</v>
      </c>
      <c r="F936" s="49"/>
      <c r="G936" s="50">
        <f t="shared" si="2"/>
        <v>140.7666667</v>
      </c>
      <c r="H936" s="51">
        <v>41518.0</v>
      </c>
      <c r="I936" s="50">
        <f t="shared" si="4"/>
        <v>1.366666667</v>
      </c>
      <c r="J936" s="55">
        <v>54.0</v>
      </c>
      <c r="K936" s="56">
        <v>6.8</v>
      </c>
      <c r="L936" s="55">
        <v>30.0</v>
      </c>
      <c r="M936" s="58" t="s">
        <v>103</v>
      </c>
      <c r="N936" s="59" t="s">
        <v>442</v>
      </c>
      <c r="O936" s="60" t="s">
        <v>149</v>
      </c>
      <c r="P936" s="66" t="s">
        <v>505</v>
      </c>
    </row>
    <row r="937">
      <c r="A937" s="29" t="s">
        <v>1042</v>
      </c>
      <c r="B937" s="30" t="s">
        <v>25</v>
      </c>
      <c r="C937" s="31" t="s">
        <v>476</v>
      </c>
      <c r="D937" s="32" t="str">
        <f t="shared" si="1"/>
        <v>Active</v>
      </c>
      <c r="E937" s="33">
        <v>42017.0</v>
      </c>
      <c r="F937" s="34"/>
      <c r="G937" s="36">
        <f t="shared" si="2"/>
        <v>140.7666667</v>
      </c>
      <c r="H937" s="37">
        <v>40330.0</v>
      </c>
      <c r="I937" s="36">
        <f t="shared" si="4"/>
        <v>4.616666667</v>
      </c>
      <c r="J937" s="38">
        <v>66.0</v>
      </c>
      <c r="K937" s="39">
        <v>7.5</v>
      </c>
      <c r="L937" s="38">
        <v>3.0</v>
      </c>
      <c r="M937" s="40" t="s">
        <v>136</v>
      </c>
      <c r="N937" s="41" t="s">
        <v>442</v>
      </c>
      <c r="O937" s="42" t="s">
        <v>149</v>
      </c>
      <c r="P937" s="67" t="s">
        <v>505</v>
      </c>
    </row>
    <row r="938">
      <c r="A938" s="44" t="s">
        <v>1043</v>
      </c>
      <c r="B938" s="45" t="s">
        <v>25</v>
      </c>
      <c r="C938" s="46" t="s">
        <v>476</v>
      </c>
      <c r="D938" s="47" t="str">
        <f t="shared" si="1"/>
        <v>Active</v>
      </c>
      <c r="E938" s="48">
        <v>42017.0</v>
      </c>
      <c r="F938" s="49"/>
      <c r="G938" s="50">
        <f t="shared" si="2"/>
        <v>140.7666667</v>
      </c>
      <c r="H938" s="51">
        <v>39904.0</v>
      </c>
      <c r="I938" s="50">
        <f t="shared" si="4"/>
        <v>5.783333333</v>
      </c>
      <c r="J938" s="55">
        <v>68.0</v>
      </c>
      <c r="K938" s="56">
        <v>6.6</v>
      </c>
      <c r="L938" s="55">
        <v>3.0</v>
      </c>
      <c r="M938" s="58" t="s">
        <v>114</v>
      </c>
      <c r="N938" s="59" t="s">
        <v>442</v>
      </c>
      <c r="O938" s="60" t="s">
        <v>149</v>
      </c>
      <c r="P938" s="66" t="s">
        <v>505</v>
      </c>
    </row>
    <row r="939">
      <c r="A939" s="29" t="s">
        <v>1044</v>
      </c>
      <c r="B939" s="30" t="s">
        <v>25</v>
      </c>
      <c r="C939" s="31" t="s">
        <v>476</v>
      </c>
      <c r="D939" s="32" t="str">
        <f t="shared" si="1"/>
        <v>Active</v>
      </c>
      <c r="E939" s="33">
        <v>42017.0</v>
      </c>
      <c r="F939" s="34"/>
      <c r="G939" s="36">
        <f t="shared" si="2"/>
        <v>140.7666667</v>
      </c>
      <c r="H939" s="37">
        <v>40820.0</v>
      </c>
      <c r="I939" s="36">
        <f t="shared" si="4"/>
        <v>3.275</v>
      </c>
      <c r="J939" s="38">
        <v>81.0</v>
      </c>
      <c r="K939" s="39">
        <v>7.2</v>
      </c>
      <c r="L939" s="38">
        <v>11.0</v>
      </c>
      <c r="M939" s="40" t="s">
        <v>31</v>
      </c>
      <c r="N939" s="41" t="s">
        <v>442</v>
      </c>
      <c r="O939" s="42" t="s">
        <v>149</v>
      </c>
      <c r="P939" s="67"/>
    </row>
    <row r="940">
      <c r="A940" s="44" t="s">
        <v>1045</v>
      </c>
      <c r="B940" s="45" t="s">
        <v>25</v>
      </c>
      <c r="C940" s="46" t="s">
        <v>476</v>
      </c>
      <c r="D940" s="47" t="str">
        <f t="shared" si="1"/>
        <v>Active</v>
      </c>
      <c r="E940" s="48">
        <v>42017.0</v>
      </c>
      <c r="F940" s="49"/>
      <c r="G940" s="50">
        <f t="shared" si="2"/>
        <v>140.7666667</v>
      </c>
      <c r="H940" s="51">
        <v>40087.0</v>
      </c>
      <c r="I940" s="50">
        <f t="shared" si="4"/>
        <v>5.283333333</v>
      </c>
      <c r="J940" s="55">
        <v>87.0</v>
      </c>
      <c r="K940" s="56">
        <v>8.5</v>
      </c>
      <c r="L940" s="55">
        <v>11.0</v>
      </c>
      <c r="M940" s="58" t="s">
        <v>29</v>
      </c>
      <c r="N940" s="59" t="s">
        <v>442</v>
      </c>
      <c r="O940" s="60" t="s">
        <v>149</v>
      </c>
      <c r="P940" s="66" t="s">
        <v>505</v>
      </c>
    </row>
    <row r="941">
      <c r="A941" s="29" t="s">
        <v>1046</v>
      </c>
      <c r="B941" s="30" t="s">
        <v>25</v>
      </c>
      <c r="C941" s="31" t="s">
        <v>476</v>
      </c>
      <c r="D941" s="32" t="str">
        <f t="shared" si="1"/>
        <v>Active</v>
      </c>
      <c r="E941" s="33">
        <v>42017.0</v>
      </c>
      <c r="F941" s="34"/>
      <c r="G941" s="36">
        <f t="shared" si="2"/>
        <v>140.7666667</v>
      </c>
      <c r="H941" s="37">
        <v>41214.0</v>
      </c>
      <c r="I941" s="36">
        <f t="shared" si="4"/>
        <v>2.2</v>
      </c>
      <c r="J941" s="38">
        <v>64.0</v>
      </c>
      <c r="K941" s="39">
        <v>6.6</v>
      </c>
      <c r="L941" s="38">
        <v>4.0</v>
      </c>
      <c r="M941" s="40" t="s">
        <v>29</v>
      </c>
      <c r="N941" s="41" t="s">
        <v>442</v>
      </c>
      <c r="O941" s="42" t="s">
        <v>149</v>
      </c>
      <c r="P941" s="67" t="s">
        <v>505</v>
      </c>
    </row>
    <row r="942">
      <c r="A942" s="44" t="s">
        <v>1047</v>
      </c>
      <c r="B942" s="45" t="s">
        <v>25</v>
      </c>
      <c r="C942" s="46" t="s">
        <v>476</v>
      </c>
      <c r="D942" s="47" t="str">
        <f t="shared" si="1"/>
        <v>Active</v>
      </c>
      <c r="E942" s="48">
        <v>42017.0</v>
      </c>
      <c r="F942" s="49"/>
      <c r="G942" s="50">
        <f t="shared" si="2"/>
        <v>140.7666667</v>
      </c>
      <c r="H942" s="51">
        <v>41153.0</v>
      </c>
      <c r="I942" s="50">
        <f t="shared" si="4"/>
        <v>2.366666667</v>
      </c>
      <c r="J942" s="55">
        <v>52.0</v>
      </c>
      <c r="K942" s="56">
        <v>6.9</v>
      </c>
      <c r="L942" s="55">
        <v>15.0</v>
      </c>
      <c r="M942" s="58" t="s">
        <v>42</v>
      </c>
      <c r="N942" s="59" t="s">
        <v>442</v>
      </c>
      <c r="O942" s="60" t="s">
        <v>149</v>
      </c>
      <c r="P942" s="66" t="s">
        <v>505</v>
      </c>
    </row>
    <row r="943">
      <c r="A943" s="29" t="s">
        <v>1048</v>
      </c>
      <c r="B943" s="30" t="s">
        <v>25</v>
      </c>
      <c r="C943" s="31" t="s">
        <v>476</v>
      </c>
      <c r="D943" s="32" t="str">
        <f t="shared" si="1"/>
        <v>Active</v>
      </c>
      <c r="E943" s="33">
        <v>42017.0</v>
      </c>
      <c r="F943" s="34"/>
      <c r="G943" s="36">
        <f t="shared" si="2"/>
        <v>140.7666667</v>
      </c>
      <c r="H943" s="37">
        <v>40269.0</v>
      </c>
      <c r="I943" s="36">
        <f t="shared" si="4"/>
        <v>4.783333333</v>
      </c>
      <c r="J943" s="38">
        <v>67.0</v>
      </c>
      <c r="K943" s="39">
        <v>7.0</v>
      </c>
      <c r="L943" s="38">
        <v>55.0</v>
      </c>
      <c r="M943" s="40" t="s">
        <v>42</v>
      </c>
      <c r="N943" s="41" t="s">
        <v>442</v>
      </c>
      <c r="O943" s="42" t="s">
        <v>149</v>
      </c>
      <c r="P943" s="67" t="s">
        <v>505</v>
      </c>
    </row>
    <row r="944">
      <c r="A944" s="44" t="s">
        <v>1049</v>
      </c>
      <c r="B944" s="45" t="s">
        <v>25</v>
      </c>
      <c r="C944" s="46" t="s">
        <v>476</v>
      </c>
      <c r="D944" s="47" t="str">
        <f t="shared" si="1"/>
        <v>Active</v>
      </c>
      <c r="E944" s="48">
        <v>42017.0</v>
      </c>
      <c r="F944" s="49"/>
      <c r="G944" s="50">
        <f t="shared" si="2"/>
        <v>140.7666667</v>
      </c>
      <c r="H944" s="51">
        <v>41061.0</v>
      </c>
      <c r="I944" s="50">
        <f t="shared" si="4"/>
        <v>2.616666667</v>
      </c>
      <c r="J944" s="55">
        <v>56.0</v>
      </c>
      <c r="K944" s="56">
        <v>6.7</v>
      </c>
      <c r="L944" s="55">
        <v>55.0</v>
      </c>
      <c r="M944" s="58" t="s">
        <v>42</v>
      </c>
      <c r="N944" s="59" t="s">
        <v>442</v>
      </c>
      <c r="O944" s="60" t="s">
        <v>149</v>
      </c>
      <c r="P944" s="66" t="s">
        <v>505</v>
      </c>
    </row>
    <row r="945">
      <c r="A945" s="29" t="s">
        <v>1050</v>
      </c>
      <c r="B945" s="30" t="s">
        <v>25</v>
      </c>
      <c r="C945" s="31" t="s">
        <v>476</v>
      </c>
      <c r="D945" s="32" t="str">
        <f t="shared" si="1"/>
        <v>Active</v>
      </c>
      <c r="E945" s="33">
        <v>42017.0</v>
      </c>
      <c r="F945" s="34"/>
      <c r="G945" s="36">
        <f t="shared" si="2"/>
        <v>140.7666667</v>
      </c>
      <c r="H945" s="37">
        <v>40695.0</v>
      </c>
      <c r="I945" s="36">
        <f t="shared" si="4"/>
        <v>3.616666667</v>
      </c>
      <c r="J945" s="38">
        <v>50.0</v>
      </c>
      <c r="K945" s="39">
        <v>6.9</v>
      </c>
      <c r="L945" s="38">
        <v>55.0</v>
      </c>
      <c r="M945" s="40" t="s">
        <v>42</v>
      </c>
      <c r="N945" s="41" t="s">
        <v>442</v>
      </c>
      <c r="O945" s="42" t="s">
        <v>149</v>
      </c>
      <c r="P945" s="67" t="s">
        <v>505</v>
      </c>
    </row>
    <row r="946">
      <c r="A946" s="44" t="s">
        <v>1051</v>
      </c>
      <c r="B946" s="45" t="s">
        <v>25</v>
      </c>
      <c r="C946" s="46" t="s">
        <v>476</v>
      </c>
      <c r="D946" s="47" t="str">
        <f t="shared" si="1"/>
        <v>Active</v>
      </c>
      <c r="E946" s="48">
        <v>42017.0</v>
      </c>
      <c r="F946" s="49"/>
      <c r="G946" s="50">
        <f t="shared" si="2"/>
        <v>140.7666667</v>
      </c>
      <c r="H946" s="51">
        <v>40664.0</v>
      </c>
      <c r="I946" s="50">
        <f t="shared" si="4"/>
        <v>3.7</v>
      </c>
      <c r="J946" s="55">
        <v>67.0</v>
      </c>
      <c r="K946" s="56">
        <v>6.2</v>
      </c>
      <c r="L946" s="55">
        <v>4.0</v>
      </c>
      <c r="M946" s="58" t="s">
        <v>112</v>
      </c>
      <c r="N946" s="59" t="s">
        <v>442</v>
      </c>
      <c r="O946" s="60" t="s">
        <v>149</v>
      </c>
      <c r="P946" s="66" t="s">
        <v>505</v>
      </c>
    </row>
    <row r="947">
      <c r="A947" s="29" t="s">
        <v>1052</v>
      </c>
      <c r="B947" s="30" t="s">
        <v>25</v>
      </c>
      <c r="C947" s="31" t="s">
        <v>476</v>
      </c>
      <c r="D947" s="32" t="str">
        <f t="shared" si="1"/>
        <v>Active</v>
      </c>
      <c r="E947" s="33">
        <v>42017.0</v>
      </c>
      <c r="F947" s="34"/>
      <c r="G947" s="36">
        <f t="shared" si="2"/>
        <v>140.7666667</v>
      </c>
      <c r="H947" s="37">
        <v>41153.0</v>
      </c>
      <c r="I947" s="36">
        <f t="shared" si="4"/>
        <v>2.366666667</v>
      </c>
      <c r="J947" s="38">
        <v>56.0</v>
      </c>
      <c r="K947" s="39">
        <v>6.3</v>
      </c>
      <c r="L947" s="38">
        <v>5.0</v>
      </c>
      <c r="M947" s="40" t="s">
        <v>112</v>
      </c>
      <c r="N947" s="41" t="s">
        <v>442</v>
      </c>
      <c r="O947" s="42" t="s">
        <v>149</v>
      </c>
      <c r="P947" s="67" t="s">
        <v>505</v>
      </c>
    </row>
    <row r="948">
      <c r="A948" s="44" t="s">
        <v>1053</v>
      </c>
      <c r="B948" s="45" t="s">
        <v>25</v>
      </c>
      <c r="C948" s="46" t="s">
        <v>476</v>
      </c>
      <c r="D948" s="47" t="str">
        <f t="shared" si="1"/>
        <v>Active</v>
      </c>
      <c r="E948" s="48">
        <v>42017.0</v>
      </c>
      <c r="F948" s="49"/>
      <c r="G948" s="50">
        <f t="shared" si="2"/>
        <v>140.7666667</v>
      </c>
      <c r="H948" s="51">
        <v>39873.0</v>
      </c>
      <c r="I948" s="50">
        <f t="shared" si="4"/>
        <v>5.866666667</v>
      </c>
      <c r="J948" s="55">
        <v>84.0</v>
      </c>
      <c r="K948" s="56">
        <v>8.2</v>
      </c>
      <c r="L948" s="55">
        <v>13.0</v>
      </c>
      <c r="M948" s="58" t="s">
        <v>29</v>
      </c>
      <c r="N948" s="59" t="s">
        <v>442</v>
      </c>
      <c r="O948" s="60" t="s">
        <v>149</v>
      </c>
      <c r="P948" s="66" t="s">
        <v>505</v>
      </c>
    </row>
    <row r="949">
      <c r="A949" s="29" t="s">
        <v>1054</v>
      </c>
      <c r="B949" s="30" t="s">
        <v>25</v>
      </c>
      <c r="C949" s="31" t="s">
        <v>476</v>
      </c>
      <c r="D949" s="32" t="str">
        <f t="shared" si="1"/>
        <v>Active</v>
      </c>
      <c r="E949" s="33">
        <v>42017.0</v>
      </c>
      <c r="F949" s="34"/>
      <c r="G949" s="36">
        <f t="shared" si="2"/>
        <v>140.7666667</v>
      </c>
      <c r="H949" s="37">
        <v>41184.0</v>
      </c>
      <c r="I949" s="36">
        <f t="shared" si="4"/>
        <v>2.280555556</v>
      </c>
      <c r="J949" s="38">
        <v>63.0</v>
      </c>
      <c r="K949" s="39">
        <v>6.1</v>
      </c>
      <c r="L949" s="38">
        <v>21.5</v>
      </c>
      <c r="M949" s="40" t="s">
        <v>31</v>
      </c>
      <c r="N949" s="41" t="s">
        <v>442</v>
      </c>
      <c r="O949" s="42" t="s">
        <v>149</v>
      </c>
      <c r="P949" s="67"/>
    </row>
    <row r="950">
      <c r="A950" s="44" t="s">
        <v>1055</v>
      </c>
      <c r="B950" s="45" t="s">
        <v>25</v>
      </c>
      <c r="C950" s="46" t="s">
        <v>476</v>
      </c>
      <c r="D950" s="47" t="str">
        <f t="shared" si="1"/>
        <v>Active</v>
      </c>
      <c r="E950" s="48">
        <v>42017.0</v>
      </c>
      <c r="F950" s="49"/>
      <c r="G950" s="50">
        <f t="shared" si="2"/>
        <v>140.7666667</v>
      </c>
      <c r="H950" s="51">
        <v>40787.0</v>
      </c>
      <c r="I950" s="50">
        <f t="shared" si="4"/>
        <v>3.366666667</v>
      </c>
      <c r="J950" s="55">
        <v>65.0</v>
      </c>
      <c r="K950" s="56">
        <v>8.4</v>
      </c>
      <c r="L950" s="55">
        <v>11.0</v>
      </c>
      <c r="M950" s="58" t="s">
        <v>29</v>
      </c>
      <c r="N950" s="59" t="s">
        <v>442</v>
      </c>
      <c r="O950" s="60" t="s">
        <v>149</v>
      </c>
      <c r="P950" s="66" t="s">
        <v>505</v>
      </c>
    </row>
    <row r="951">
      <c r="A951" s="29" t="s">
        <v>1056</v>
      </c>
      <c r="B951" s="30" t="s">
        <v>25</v>
      </c>
      <c r="C951" s="31" t="s">
        <v>476</v>
      </c>
      <c r="D951" s="32" t="str">
        <f t="shared" si="1"/>
        <v>Active</v>
      </c>
      <c r="E951" s="33">
        <v>42017.0</v>
      </c>
      <c r="F951" s="34"/>
      <c r="G951" s="36">
        <f t="shared" si="2"/>
        <v>140.7666667</v>
      </c>
      <c r="H951" s="37">
        <v>39387.0</v>
      </c>
      <c r="I951" s="36">
        <f t="shared" si="4"/>
        <v>7.2</v>
      </c>
      <c r="J951" s="38">
        <v>75.0</v>
      </c>
      <c r="K951" s="39">
        <v>8.0</v>
      </c>
      <c r="L951" s="38">
        <v>8.0</v>
      </c>
      <c r="M951" s="40" t="s">
        <v>31</v>
      </c>
      <c r="N951" s="41" t="s">
        <v>442</v>
      </c>
      <c r="O951" s="42" t="s">
        <v>149</v>
      </c>
      <c r="P951" s="67" t="s">
        <v>505</v>
      </c>
    </row>
    <row r="952">
      <c r="A952" s="44" t="s">
        <v>1057</v>
      </c>
      <c r="B952" s="45" t="s">
        <v>25</v>
      </c>
      <c r="C952" s="46" t="s">
        <v>476</v>
      </c>
      <c r="D952" s="47" t="str">
        <f t="shared" si="1"/>
        <v>Active</v>
      </c>
      <c r="E952" s="48">
        <v>42017.0</v>
      </c>
      <c r="F952" s="49"/>
      <c r="G952" s="50">
        <f t="shared" si="2"/>
        <v>140.7666667</v>
      </c>
      <c r="H952" s="51">
        <v>41122.0</v>
      </c>
      <c r="I952" s="50">
        <f t="shared" si="4"/>
        <v>2.45</v>
      </c>
      <c r="J952" s="55">
        <v>78.0</v>
      </c>
      <c r="K952" s="56">
        <v>7.0</v>
      </c>
      <c r="L952" s="55">
        <v>4.0</v>
      </c>
      <c r="M952" s="58" t="s">
        <v>31</v>
      </c>
      <c r="N952" s="59" t="s">
        <v>442</v>
      </c>
      <c r="O952" s="60" t="s">
        <v>149</v>
      </c>
      <c r="P952" s="66" t="s">
        <v>505</v>
      </c>
    </row>
    <row r="953">
      <c r="A953" s="29" t="s">
        <v>1058</v>
      </c>
      <c r="B953" s="30" t="s">
        <v>25</v>
      </c>
      <c r="C953" s="31" t="s">
        <v>476</v>
      </c>
      <c r="D953" s="32" t="str">
        <f t="shared" si="1"/>
        <v>Active</v>
      </c>
      <c r="E953" s="33">
        <v>42017.0</v>
      </c>
      <c r="F953" s="34"/>
      <c r="G953" s="36">
        <f t="shared" si="2"/>
        <v>140.7666667</v>
      </c>
      <c r="H953" s="37">
        <v>40817.0</v>
      </c>
      <c r="I953" s="36">
        <f t="shared" si="4"/>
        <v>3.283333333</v>
      </c>
      <c r="J953" s="38">
        <v>74.0</v>
      </c>
      <c r="K953" s="39">
        <v>7.1</v>
      </c>
      <c r="L953" s="38">
        <v>5.0</v>
      </c>
      <c r="M953" s="40" t="s">
        <v>29</v>
      </c>
      <c r="N953" s="41" t="s">
        <v>442</v>
      </c>
      <c r="O953" s="42" t="s">
        <v>149</v>
      </c>
      <c r="P953" s="67" t="s">
        <v>505</v>
      </c>
    </row>
    <row r="954">
      <c r="A954" s="44" t="s">
        <v>1059</v>
      </c>
      <c r="B954" s="45" t="s">
        <v>25</v>
      </c>
      <c r="C954" s="46" t="s">
        <v>476</v>
      </c>
      <c r="D954" s="47" t="str">
        <f t="shared" si="1"/>
        <v>Active</v>
      </c>
      <c r="E954" s="48">
        <v>42017.0</v>
      </c>
      <c r="F954" s="49"/>
      <c r="G954" s="50">
        <f t="shared" si="2"/>
        <v>140.7666667</v>
      </c>
      <c r="H954" s="51">
        <v>39722.0</v>
      </c>
      <c r="I954" s="50">
        <f t="shared" si="4"/>
        <v>6.283333333</v>
      </c>
      <c r="J954" s="55">
        <v>82.0</v>
      </c>
      <c r="K954" s="56">
        <v>8.1</v>
      </c>
      <c r="L954" s="55">
        <v>19.0</v>
      </c>
      <c r="M954" s="58" t="s">
        <v>29</v>
      </c>
      <c r="N954" s="59" t="s">
        <v>442</v>
      </c>
      <c r="O954" s="60" t="s">
        <v>149</v>
      </c>
      <c r="P954" s="66" t="s">
        <v>505</v>
      </c>
    </row>
    <row r="955">
      <c r="A955" s="29" t="s">
        <v>1060</v>
      </c>
      <c r="B955" s="30" t="s">
        <v>25</v>
      </c>
      <c r="C955" s="31" t="s">
        <v>476</v>
      </c>
      <c r="D955" s="32" t="str">
        <f t="shared" si="1"/>
        <v>Active</v>
      </c>
      <c r="E955" s="33">
        <v>42017.0</v>
      </c>
      <c r="F955" s="34"/>
      <c r="G955" s="36">
        <f t="shared" si="2"/>
        <v>140.7666667</v>
      </c>
      <c r="H955" s="37">
        <v>41395.0</v>
      </c>
      <c r="I955" s="36">
        <f t="shared" si="4"/>
        <v>1.7</v>
      </c>
      <c r="J955" s="38">
        <v>77.0</v>
      </c>
      <c r="K955" s="39">
        <v>7.4</v>
      </c>
      <c r="L955" s="38">
        <v>8.0</v>
      </c>
      <c r="M955" s="40" t="s">
        <v>31</v>
      </c>
      <c r="N955" s="41" t="s">
        <v>442</v>
      </c>
      <c r="O955" s="42" t="s">
        <v>149</v>
      </c>
      <c r="P955" s="67" t="s">
        <v>505</v>
      </c>
    </row>
    <row r="956">
      <c r="A956" s="44" t="s">
        <v>1061</v>
      </c>
      <c r="B956" s="45" t="s">
        <v>25</v>
      </c>
      <c r="C956" s="46" t="s">
        <v>476</v>
      </c>
      <c r="D956" s="47" t="str">
        <f t="shared" si="1"/>
        <v>Active</v>
      </c>
      <c r="E956" s="48">
        <v>42017.0</v>
      </c>
      <c r="F956" s="49"/>
      <c r="G956" s="50">
        <f t="shared" si="2"/>
        <v>140.7666667</v>
      </c>
      <c r="H956" s="51">
        <v>39995.0</v>
      </c>
      <c r="I956" s="50">
        <f t="shared" si="4"/>
        <v>5.533333333</v>
      </c>
      <c r="J956" s="55">
        <v>86.0</v>
      </c>
      <c r="K956" s="56">
        <v>8.2</v>
      </c>
      <c r="L956" s="55">
        <v>5.0</v>
      </c>
      <c r="M956" s="58" t="s">
        <v>31</v>
      </c>
      <c r="N956" s="59" t="s">
        <v>442</v>
      </c>
      <c r="O956" s="60" t="s">
        <v>149</v>
      </c>
      <c r="P956" s="66" t="s">
        <v>505</v>
      </c>
    </row>
    <row r="957">
      <c r="A957" s="29" t="s">
        <v>1062</v>
      </c>
      <c r="B957" s="30" t="s">
        <v>25</v>
      </c>
      <c r="C957" s="31" t="s">
        <v>476</v>
      </c>
      <c r="D957" s="32" t="str">
        <f t="shared" si="1"/>
        <v>Active</v>
      </c>
      <c r="E957" s="33">
        <v>42017.0</v>
      </c>
      <c r="F957" s="34"/>
      <c r="G957" s="36">
        <f t="shared" si="2"/>
        <v>140.7666667</v>
      </c>
      <c r="H957" s="37">
        <v>39630.0</v>
      </c>
      <c r="I957" s="36">
        <f t="shared" si="4"/>
        <v>6.533333333</v>
      </c>
      <c r="J957" s="38">
        <v>85.0</v>
      </c>
      <c r="K957" s="39">
        <v>8.2</v>
      </c>
      <c r="L957" s="38">
        <v>15.0</v>
      </c>
      <c r="M957" s="40" t="s">
        <v>103</v>
      </c>
      <c r="N957" s="41" t="s">
        <v>442</v>
      </c>
      <c r="O957" s="42" t="s">
        <v>149</v>
      </c>
      <c r="P957" s="67" t="s">
        <v>505</v>
      </c>
    </row>
    <row r="958">
      <c r="A958" s="44" t="s">
        <v>1063</v>
      </c>
      <c r="B958" s="45" t="s">
        <v>25</v>
      </c>
      <c r="C958" s="46" t="s">
        <v>476</v>
      </c>
      <c r="D958" s="47" t="str">
        <f t="shared" si="1"/>
        <v>Active</v>
      </c>
      <c r="E958" s="48">
        <v>42017.0</v>
      </c>
      <c r="F958" s="49"/>
      <c r="G958" s="50">
        <f t="shared" si="2"/>
        <v>140.7666667</v>
      </c>
      <c r="H958" s="51">
        <v>39630.0</v>
      </c>
      <c r="I958" s="50">
        <f t="shared" si="4"/>
        <v>6.533333333</v>
      </c>
      <c r="J958" s="55">
        <v>78.0</v>
      </c>
      <c r="K958" s="56">
        <v>7.7</v>
      </c>
      <c r="L958" s="55">
        <v>16.0</v>
      </c>
      <c r="M958" s="58" t="s">
        <v>537</v>
      </c>
      <c r="N958" s="59" t="s">
        <v>442</v>
      </c>
      <c r="O958" s="60" t="s">
        <v>149</v>
      </c>
      <c r="P958" s="66" t="s">
        <v>505</v>
      </c>
    </row>
    <row r="959">
      <c r="A959" s="29" t="s">
        <v>1064</v>
      </c>
      <c r="B959" s="30" t="s">
        <v>25</v>
      </c>
      <c r="C959" s="31" t="s">
        <v>476</v>
      </c>
      <c r="D959" s="32" t="str">
        <f t="shared" si="1"/>
        <v>Active</v>
      </c>
      <c r="E959" s="33">
        <v>42017.0</v>
      </c>
      <c r="F959" s="34"/>
      <c r="G959" s="36">
        <f t="shared" si="2"/>
        <v>140.7666667</v>
      </c>
      <c r="H959" s="37">
        <v>41671.0</v>
      </c>
      <c r="I959" s="36">
        <f t="shared" si="4"/>
        <v>0.95</v>
      </c>
      <c r="J959" s="38">
        <v>80.0</v>
      </c>
      <c r="K959" s="39">
        <v>8.1</v>
      </c>
      <c r="L959" s="38">
        <v>3.0</v>
      </c>
      <c r="M959" s="40" t="s">
        <v>114</v>
      </c>
      <c r="N959" s="41" t="s">
        <v>442</v>
      </c>
      <c r="O959" s="42" t="s">
        <v>149</v>
      </c>
      <c r="P959" s="67" t="s">
        <v>505</v>
      </c>
    </row>
    <row r="960">
      <c r="A960" s="44" t="s">
        <v>1065</v>
      </c>
      <c r="B960" s="45" t="s">
        <v>25</v>
      </c>
      <c r="C960" s="46" t="s">
        <v>476</v>
      </c>
      <c r="D960" s="47" t="str">
        <f t="shared" si="1"/>
        <v>Active</v>
      </c>
      <c r="E960" s="48">
        <v>42017.0</v>
      </c>
      <c r="F960" s="49"/>
      <c r="G960" s="50">
        <f t="shared" si="2"/>
        <v>140.7666667</v>
      </c>
      <c r="H960" s="51">
        <v>41548.0</v>
      </c>
      <c r="I960" s="50">
        <f t="shared" si="4"/>
        <v>1.283333333</v>
      </c>
      <c r="J960" s="55">
        <v>62.0</v>
      </c>
      <c r="K960" s="56">
        <v>6.4</v>
      </c>
      <c r="L960" s="55">
        <v>3.0</v>
      </c>
      <c r="M960" s="58" t="s">
        <v>125</v>
      </c>
      <c r="N960" s="59" t="s">
        <v>442</v>
      </c>
      <c r="O960" s="60" t="s">
        <v>149</v>
      </c>
      <c r="P960" s="66" t="s">
        <v>505</v>
      </c>
    </row>
    <row r="961">
      <c r="A961" s="29" t="s">
        <v>1066</v>
      </c>
      <c r="B961" s="30" t="s">
        <v>25</v>
      </c>
      <c r="C961" s="31" t="s">
        <v>476</v>
      </c>
      <c r="D961" s="32" t="str">
        <f t="shared" si="1"/>
        <v>Active</v>
      </c>
      <c r="E961" s="33">
        <v>42017.0</v>
      </c>
      <c r="F961" s="34"/>
      <c r="G961" s="36">
        <f t="shared" si="2"/>
        <v>140.7666667</v>
      </c>
      <c r="H961" s="37">
        <v>40787.0</v>
      </c>
      <c r="I961" s="36">
        <f t="shared" si="4"/>
        <v>3.366666667</v>
      </c>
      <c r="J961" s="38">
        <v>76.0</v>
      </c>
      <c r="K961" s="39">
        <v>7.0</v>
      </c>
      <c r="L961" s="38">
        <v>5.0</v>
      </c>
      <c r="M961" s="40" t="s">
        <v>95</v>
      </c>
      <c r="N961" s="41" t="s">
        <v>442</v>
      </c>
      <c r="O961" s="42" t="s">
        <v>149</v>
      </c>
      <c r="P961" s="67" t="s">
        <v>505</v>
      </c>
    </row>
    <row r="962">
      <c r="A962" s="44" t="s">
        <v>1067</v>
      </c>
      <c r="B962" s="45" t="s">
        <v>25</v>
      </c>
      <c r="C962" s="46" t="s">
        <v>476</v>
      </c>
      <c r="D962" s="47" t="str">
        <f t="shared" si="1"/>
        <v>Active</v>
      </c>
      <c r="E962" s="48">
        <v>42017.0</v>
      </c>
      <c r="F962" s="49"/>
      <c r="G962" s="50">
        <f t="shared" si="2"/>
        <v>140.7666667</v>
      </c>
      <c r="H962" s="51">
        <v>41030.0</v>
      </c>
      <c r="I962" s="50">
        <f t="shared" si="4"/>
        <v>2.7</v>
      </c>
      <c r="J962" s="55">
        <v>70.0</v>
      </c>
      <c r="K962" s="56">
        <v>7.7</v>
      </c>
      <c r="L962" s="55">
        <v>10.0</v>
      </c>
      <c r="M962" s="58" t="s">
        <v>31</v>
      </c>
      <c r="N962" s="59" t="s">
        <v>442</v>
      </c>
      <c r="O962" s="60" t="s">
        <v>149</v>
      </c>
      <c r="P962" s="66" t="s">
        <v>505</v>
      </c>
    </row>
    <row r="963">
      <c r="A963" s="29" t="s">
        <v>1068</v>
      </c>
      <c r="B963" s="30" t="s">
        <v>25</v>
      </c>
      <c r="C963" s="31" t="s">
        <v>476</v>
      </c>
      <c r="D963" s="32" t="str">
        <f t="shared" si="1"/>
        <v>Active</v>
      </c>
      <c r="E963" s="33">
        <v>42017.0</v>
      </c>
      <c r="F963" s="34"/>
      <c r="G963" s="36">
        <f t="shared" si="2"/>
        <v>140.7666667</v>
      </c>
      <c r="H963" s="37">
        <v>39783.0</v>
      </c>
      <c r="I963" s="36">
        <f t="shared" si="4"/>
        <v>6.116666667</v>
      </c>
      <c r="J963" s="38">
        <v>63.0</v>
      </c>
      <c r="K963" s="39">
        <v>7.4</v>
      </c>
      <c r="L963" s="38">
        <v>5.0</v>
      </c>
      <c r="M963" s="40" t="s">
        <v>31</v>
      </c>
      <c r="N963" s="41" t="s">
        <v>442</v>
      </c>
      <c r="O963" s="42" t="s">
        <v>149</v>
      </c>
      <c r="P963" s="67" t="s">
        <v>505</v>
      </c>
    </row>
    <row r="964">
      <c r="A964" s="44" t="s">
        <v>1069</v>
      </c>
      <c r="B964" s="45" t="s">
        <v>25</v>
      </c>
      <c r="C964" s="46" t="s">
        <v>476</v>
      </c>
      <c r="D964" s="47" t="str">
        <f t="shared" si="1"/>
        <v>Active</v>
      </c>
      <c r="E964" s="48">
        <v>42017.0</v>
      </c>
      <c r="F964" s="49"/>
      <c r="G964" s="50">
        <f t="shared" si="2"/>
        <v>140.7666667</v>
      </c>
      <c r="H964" s="51">
        <v>40452.0</v>
      </c>
      <c r="I964" s="50">
        <f t="shared" si="4"/>
        <v>4.283333333</v>
      </c>
      <c r="J964" s="55">
        <v>63.0</v>
      </c>
      <c r="K964" s="56">
        <v>5.4</v>
      </c>
      <c r="L964" s="55">
        <v>5.0</v>
      </c>
      <c r="M964" s="58" t="s">
        <v>29</v>
      </c>
      <c r="N964" s="59" t="s">
        <v>442</v>
      </c>
      <c r="O964" s="60" t="s">
        <v>149</v>
      </c>
      <c r="P964" s="66" t="s">
        <v>505</v>
      </c>
    </row>
    <row r="965">
      <c r="A965" s="29" t="s">
        <v>1070</v>
      </c>
      <c r="B965" s="30" t="s">
        <v>25</v>
      </c>
      <c r="C965" s="31" t="s">
        <v>476</v>
      </c>
      <c r="D965" s="32" t="str">
        <f t="shared" si="1"/>
        <v>Active</v>
      </c>
      <c r="E965" s="33">
        <v>42017.0</v>
      </c>
      <c r="F965" s="34"/>
      <c r="G965" s="36">
        <f t="shared" si="2"/>
        <v>140.7666667</v>
      </c>
      <c r="H965" s="37">
        <v>39692.0</v>
      </c>
      <c r="I965" s="36">
        <f t="shared" si="4"/>
        <v>6.366666667</v>
      </c>
      <c r="J965" s="38">
        <v>65.0</v>
      </c>
      <c r="K965" s="39">
        <v>7.0</v>
      </c>
      <c r="L965" s="38">
        <v>8.0</v>
      </c>
      <c r="M965" s="40" t="s">
        <v>29</v>
      </c>
      <c r="N965" s="41" t="s">
        <v>442</v>
      </c>
      <c r="O965" s="42" t="s">
        <v>149</v>
      </c>
      <c r="P965" s="67" t="s">
        <v>505</v>
      </c>
    </row>
    <row r="966">
      <c r="A966" s="44" t="s">
        <v>1071</v>
      </c>
      <c r="B966" s="45" t="s">
        <v>25</v>
      </c>
      <c r="C966" s="46" t="s">
        <v>476</v>
      </c>
      <c r="D966" s="47" t="str">
        <f t="shared" si="1"/>
        <v>Active</v>
      </c>
      <c r="E966" s="48">
        <v>42017.0</v>
      </c>
      <c r="F966" s="49"/>
      <c r="G966" s="50">
        <f t="shared" si="2"/>
        <v>140.7666667</v>
      </c>
      <c r="H966" s="51">
        <v>40631.0</v>
      </c>
      <c r="I966" s="50">
        <f t="shared" si="4"/>
        <v>3.788888889</v>
      </c>
      <c r="J966" s="55">
        <v>64.0</v>
      </c>
      <c r="K966" s="56">
        <v>6.8</v>
      </c>
      <c r="L966" s="55">
        <v>6.0</v>
      </c>
      <c r="M966" s="58" t="s">
        <v>217</v>
      </c>
      <c r="N966" s="59" t="s">
        <v>442</v>
      </c>
      <c r="O966" s="60" t="s">
        <v>149</v>
      </c>
      <c r="P966" s="66" t="s">
        <v>505</v>
      </c>
    </row>
    <row r="967">
      <c r="A967" s="29" t="s">
        <v>1072</v>
      </c>
      <c r="B967" s="30" t="s">
        <v>25</v>
      </c>
      <c r="C967" s="31" t="s">
        <v>476</v>
      </c>
      <c r="D967" s="32" t="str">
        <f t="shared" si="1"/>
        <v>Active</v>
      </c>
      <c r="E967" s="33">
        <v>42017.0</v>
      </c>
      <c r="F967" s="34"/>
      <c r="G967" s="36">
        <f t="shared" si="2"/>
        <v>140.7666667</v>
      </c>
      <c r="H967" s="37">
        <v>40756.0</v>
      </c>
      <c r="I967" s="36">
        <f t="shared" si="4"/>
        <v>3.45</v>
      </c>
      <c r="J967" s="38">
        <v>86.0</v>
      </c>
      <c r="K967" s="39">
        <v>8.5</v>
      </c>
      <c r="L967" s="76"/>
      <c r="M967" s="40" t="s">
        <v>114</v>
      </c>
      <c r="N967" s="41" t="s">
        <v>442</v>
      </c>
      <c r="O967" s="42" t="s">
        <v>149</v>
      </c>
      <c r="P967" s="67" t="s">
        <v>505</v>
      </c>
    </row>
    <row r="968">
      <c r="A968" s="44" t="s">
        <v>1073</v>
      </c>
      <c r="B968" s="45" t="s">
        <v>25</v>
      </c>
      <c r="C968" s="46" t="s">
        <v>476</v>
      </c>
      <c r="D968" s="47" t="str">
        <f t="shared" si="1"/>
        <v>Active</v>
      </c>
      <c r="E968" s="48">
        <v>42017.0</v>
      </c>
      <c r="F968" s="49"/>
      <c r="G968" s="50">
        <f t="shared" si="2"/>
        <v>140.7666667</v>
      </c>
      <c r="H968" s="51">
        <v>39295.0</v>
      </c>
      <c r="I968" s="50">
        <f t="shared" si="4"/>
        <v>7.45</v>
      </c>
      <c r="J968" s="55">
        <v>82.0</v>
      </c>
      <c r="K968" s="56">
        <v>8.3</v>
      </c>
      <c r="L968" s="55">
        <v>1.0</v>
      </c>
      <c r="M968" s="58" t="s">
        <v>29</v>
      </c>
      <c r="N968" s="59" t="s">
        <v>442</v>
      </c>
      <c r="O968" s="60" t="s">
        <v>149</v>
      </c>
      <c r="P968" s="66" t="s">
        <v>505</v>
      </c>
    </row>
    <row r="969">
      <c r="A969" s="29" t="s">
        <v>1074</v>
      </c>
      <c r="B969" s="30" t="s">
        <v>25</v>
      </c>
      <c r="C969" s="31" t="s">
        <v>476</v>
      </c>
      <c r="D969" s="32" t="str">
        <f t="shared" si="1"/>
        <v>Active</v>
      </c>
      <c r="E969" s="33">
        <v>42017.0</v>
      </c>
      <c r="F969" s="34"/>
      <c r="G969" s="36">
        <f t="shared" si="2"/>
        <v>140.7666667</v>
      </c>
      <c r="H969" s="37">
        <v>39753.0</v>
      </c>
      <c r="I969" s="36">
        <f t="shared" si="4"/>
        <v>6.2</v>
      </c>
      <c r="J969" s="38">
        <v>87.0</v>
      </c>
      <c r="K969" s="39">
        <v>8.3</v>
      </c>
      <c r="L969" s="38">
        <v>1.2</v>
      </c>
      <c r="M969" s="40" t="s">
        <v>114</v>
      </c>
      <c r="N969" s="41" t="s">
        <v>442</v>
      </c>
      <c r="O969" s="42" t="s">
        <v>149</v>
      </c>
      <c r="P969" s="67" t="s">
        <v>505</v>
      </c>
    </row>
    <row r="970">
      <c r="A970" s="44" t="s">
        <v>1075</v>
      </c>
      <c r="B970" s="45" t="s">
        <v>25</v>
      </c>
      <c r="C970" s="46" t="s">
        <v>476</v>
      </c>
      <c r="D970" s="47" t="str">
        <f t="shared" si="1"/>
        <v>Active</v>
      </c>
      <c r="E970" s="48">
        <v>42017.0</v>
      </c>
      <c r="F970" s="49"/>
      <c r="G970" s="50">
        <f t="shared" si="2"/>
        <v>140.7666667</v>
      </c>
      <c r="H970" s="51">
        <v>40575.0</v>
      </c>
      <c r="I970" s="50">
        <f t="shared" si="4"/>
        <v>3.95</v>
      </c>
      <c r="J970" s="55">
        <v>76.0</v>
      </c>
      <c r="K970" s="56">
        <v>7.5</v>
      </c>
      <c r="L970" s="55">
        <v>4.0</v>
      </c>
      <c r="M970" s="58" t="s">
        <v>27</v>
      </c>
      <c r="N970" s="59" t="s">
        <v>442</v>
      </c>
      <c r="O970" s="60" t="s">
        <v>149</v>
      </c>
      <c r="P970" s="66" t="s">
        <v>505</v>
      </c>
    </row>
    <row r="971">
      <c r="A971" s="29" t="s">
        <v>1076</v>
      </c>
      <c r="B971" s="30" t="s">
        <v>25</v>
      </c>
      <c r="C971" s="31" t="s">
        <v>476</v>
      </c>
      <c r="D971" s="32" t="str">
        <f t="shared" si="1"/>
        <v>Active</v>
      </c>
      <c r="E971" s="33">
        <v>42017.0</v>
      </c>
      <c r="F971" s="34"/>
      <c r="G971" s="36">
        <f t="shared" si="2"/>
        <v>140.7666667</v>
      </c>
      <c r="H971" s="37">
        <v>39234.0</v>
      </c>
      <c r="I971" s="36">
        <f t="shared" si="4"/>
        <v>7.616666667</v>
      </c>
      <c r="J971" s="38">
        <v>80.0</v>
      </c>
      <c r="K971" s="39">
        <v>8.1</v>
      </c>
      <c r="L971" s="38">
        <v>8.0</v>
      </c>
      <c r="M971" s="40" t="s">
        <v>31</v>
      </c>
      <c r="N971" s="41" t="s">
        <v>442</v>
      </c>
      <c r="O971" s="42" t="s">
        <v>149</v>
      </c>
      <c r="P971" s="67" t="s">
        <v>505</v>
      </c>
    </row>
    <row r="972">
      <c r="A972" s="44" t="s">
        <v>1077</v>
      </c>
      <c r="B972" s="45" t="s">
        <v>25</v>
      </c>
      <c r="C972" s="46" t="s">
        <v>476</v>
      </c>
      <c r="D972" s="47" t="str">
        <f t="shared" si="1"/>
        <v>Active</v>
      </c>
      <c r="E972" s="48">
        <v>42017.0</v>
      </c>
      <c r="F972" s="49"/>
      <c r="G972" s="50">
        <f t="shared" si="2"/>
        <v>140.7666667</v>
      </c>
      <c r="H972" s="51">
        <v>40940.0</v>
      </c>
      <c r="I972" s="50">
        <f t="shared" si="4"/>
        <v>2.95</v>
      </c>
      <c r="J972" s="55">
        <v>79.0</v>
      </c>
      <c r="K972" s="56">
        <v>7.5</v>
      </c>
      <c r="L972" s="55">
        <v>6.0</v>
      </c>
      <c r="M972" s="58" t="s">
        <v>31</v>
      </c>
      <c r="N972" s="59" t="s">
        <v>442</v>
      </c>
      <c r="O972" s="60" t="s">
        <v>149</v>
      </c>
      <c r="P972" s="66" t="s">
        <v>505</v>
      </c>
    </row>
    <row r="973">
      <c r="A973" s="29" t="s">
        <v>1078</v>
      </c>
      <c r="B973" s="30" t="s">
        <v>25</v>
      </c>
      <c r="C973" s="31" t="s">
        <v>476</v>
      </c>
      <c r="D973" s="32" t="str">
        <f t="shared" si="1"/>
        <v>Active</v>
      </c>
      <c r="E973" s="33">
        <v>42017.0</v>
      </c>
      <c r="F973" s="34"/>
      <c r="G973" s="36">
        <f t="shared" si="2"/>
        <v>140.7666667</v>
      </c>
      <c r="H973" s="37">
        <v>38796.0</v>
      </c>
      <c r="I973" s="36">
        <f t="shared" si="4"/>
        <v>8.813888889</v>
      </c>
      <c r="J973" s="38">
        <v>94.0</v>
      </c>
      <c r="K973" s="39">
        <v>8.3</v>
      </c>
      <c r="L973" s="38">
        <v>27.5</v>
      </c>
      <c r="M973" s="40" t="s">
        <v>42</v>
      </c>
      <c r="N973" s="41" t="s">
        <v>442</v>
      </c>
      <c r="O973" s="42" t="s">
        <v>149</v>
      </c>
      <c r="P973" s="67"/>
    </row>
    <row r="974">
      <c r="A974" s="44" t="s">
        <v>1079</v>
      </c>
      <c r="B974" s="45" t="s">
        <v>25</v>
      </c>
      <c r="C974" s="46" t="s">
        <v>476</v>
      </c>
      <c r="D974" s="47" t="str">
        <f t="shared" si="1"/>
        <v>Active</v>
      </c>
      <c r="E974" s="48">
        <v>42017.0</v>
      </c>
      <c r="F974" s="49"/>
      <c r="G974" s="50">
        <f t="shared" si="2"/>
        <v>140.7666667</v>
      </c>
      <c r="H974" s="51">
        <v>40848.0</v>
      </c>
      <c r="I974" s="50">
        <f t="shared" si="4"/>
        <v>3.2</v>
      </c>
      <c r="J974" s="55">
        <v>77.0</v>
      </c>
      <c r="K974" s="56">
        <v>8.1</v>
      </c>
      <c r="L974" s="78"/>
      <c r="M974" s="58" t="s">
        <v>114</v>
      </c>
      <c r="N974" s="59" t="s">
        <v>442</v>
      </c>
      <c r="O974" s="60" t="s">
        <v>149</v>
      </c>
      <c r="P974" s="66" t="s">
        <v>505</v>
      </c>
    </row>
    <row r="975">
      <c r="A975" s="29" t="s">
        <v>1080</v>
      </c>
      <c r="B975" s="30" t="s">
        <v>25</v>
      </c>
      <c r="C975" s="31" t="s">
        <v>476</v>
      </c>
      <c r="D975" s="32" t="str">
        <f t="shared" si="1"/>
        <v>Active</v>
      </c>
      <c r="E975" s="33">
        <v>42017.0</v>
      </c>
      <c r="F975" s="34"/>
      <c r="G975" s="36">
        <f t="shared" si="2"/>
        <v>140.7666667</v>
      </c>
      <c r="H975" s="37">
        <v>40269.0</v>
      </c>
      <c r="I975" s="36">
        <f t="shared" si="4"/>
        <v>4.783333333</v>
      </c>
      <c r="J975" s="38">
        <v>87.0</v>
      </c>
      <c r="K975" s="39">
        <v>8.4</v>
      </c>
      <c r="L975" s="38">
        <v>7.0</v>
      </c>
      <c r="M975" s="40" t="s">
        <v>112</v>
      </c>
      <c r="N975" s="41" t="s">
        <v>442</v>
      </c>
      <c r="O975" s="42" t="s">
        <v>149</v>
      </c>
      <c r="P975" s="67" t="s">
        <v>505</v>
      </c>
    </row>
    <row r="976">
      <c r="A976" s="44" t="s">
        <v>1081</v>
      </c>
      <c r="B976" s="45" t="s">
        <v>25</v>
      </c>
      <c r="C976" s="46" t="s">
        <v>476</v>
      </c>
      <c r="D976" s="47" t="str">
        <f t="shared" si="1"/>
        <v>Active</v>
      </c>
      <c r="E976" s="48">
        <v>42017.0</v>
      </c>
      <c r="F976" s="49"/>
      <c r="G976" s="50">
        <f t="shared" si="2"/>
        <v>140.7666667</v>
      </c>
      <c r="H976" s="51">
        <v>40575.0</v>
      </c>
      <c r="I976" s="50">
        <f t="shared" si="4"/>
        <v>3.95</v>
      </c>
      <c r="J976" s="55">
        <v>63.0</v>
      </c>
      <c r="K976" s="56">
        <v>7.0</v>
      </c>
      <c r="L976" s="55">
        <v>4.0</v>
      </c>
      <c r="M976" s="58" t="s">
        <v>136</v>
      </c>
      <c r="N976" s="59" t="s">
        <v>442</v>
      </c>
      <c r="O976" s="60" t="s">
        <v>149</v>
      </c>
      <c r="P976" s="66" t="s">
        <v>505</v>
      </c>
    </row>
    <row r="977">
      <c r="A977" s="29" t="s">
        <v>1082</v>
      </c>
      <c r="B977" s="30" t="s">
        <v>25</v>
      </c>
      <c r="C977" s="31" t="s">
        <v>476</v>
      </c>
      <c r="D977" s="32" t="str">
        <f t="shared" si="1"/>
        <v>Active</v>
      </c>
      <c r="E977" s="33">
        <v>42017.0</v>
      </c>
      <c r="F977" s="34"/>
      <c r="G977" s="36">
        <f t="shared" si="2"/>
        <v>140.7666667</v>
      </c>
      <c r="H977" s="37">
        <v>40940.0</v>
      </c>
      <c r="I977" s="36">
        <f t="shared" si="4"/>
        <v>2.95</v>
      </c>
      <c r="J977" s="38">
        <v>84.0</v>
      </c>
      <c r="K977" s="39">
        <v>7.3</v>
      </c>
      <c r="L977" s="38">
        <v>5.0</v>
      </c>
      <c r="M977" s="40" t="s">
        <v>136</v>
      </c>
      <c r="N977" s="41" t="s">
        <v>442</v>
      </c>
      <c r="O977" s="42" t="s">
        <v>149</v>
      </c>
      <c r="P977" s="67" t="s">
        <v>505</v>
      </c>
    </row>
    <row r="978">
      <c r="A978" s="44" t="s">
        <v>1083</v>
      </c>
      <c r="B978" s="45" t="s">
        <v>25</v>
      </c>
      <c r="C978" s="46" t="s">
        <v>476</v>
      </c>
      <c r="D978" s="47" t="str">
        <f t="shared" si="1"/>
        <v>Active</v>
      </c>
      <c r="E978" s="48">
        <v>42017.0</v>
      </c>
      <c r="F978" s="49"/>
      <c r="G978" s="50">
        <f t="shared" si="2"/>
        <v>140.7666667</v>
      </c>
      <c r="H978" s="51">
        <v>40087.0</v>
      </c>
      <c r="I978" s="50">
        <f t="shared" si="4"/>
        <v>5.283333333</v>
      </c>
      <c r="J978" s="55">
        <v>58.0</v>
      </c>
      <c r="K978" s="56">
        <v>7.0</v>
      </c>
      <c r="L978" s="55">
        <v>15.0</v>
      </c>
      <c r="M978" s="58" t="s">
        <v>29</v>
      </c>
      <c r="N978" s="59" t="s">
        <v>442</v>
      </c>
      <c r="O978" s="60" t="s">
        <v>149</v>
      </c>
      <c r="P978" s="66" t="s">
        <v>505</v>
      </c>
    </row>
    <row r="979">
      <c r="A979" s="29" t="s">
        <v>1084</v>
      </c>
      <c r="B979" s="30" t="s">
        <v>25</v>
      </c>
      <c r="C979" s="31" t="s">
        <v>476</v>
      </c>
      <c r="D979" s="32" t="str">
        <f t="shared" si="1"/>
        <v>Active</v>
      </c>
      <c r="E979" s="33">
        <v>42017.0</v>
      </c>
      <c r="F979" s="34"/>
      <c r="G979" s="36">
        <f t="shared" si="2"/>
        <v>140.7666667</v>
      </c>
      <c r="H979" s="37">
        <v>40664.0</v>
      </c>
      <c r="I979" s="36">
        <f t="shared" si="4"/>
        <v>3.7</v>
      </c>
      <c r="J979" s="38">
        <v>57.0</v>
      </c>
      <c r="K979" s="39">
        <v>7.4</v>
      </c>
      <c r="L979" s="38">
        <v>30.0</v>
      </c>
      <c r="M979" s="40" t="s">
        <v>42</v>
      </c>
      <c r="N979" s="41" t="s">
        <v>442</v>
      </c>
      <c r="O979" s="42" t="s">
        <v>149</v>
      </c>
      <c r="P979" s="67" t="s">
        <v>505</v>
      </c>
    </row>
    <row r="980">
      <c r="A980" s="44" t="s">
        <v>1085</v>
      </c>
      <c r="B980" s="45" t="s">
        <v>25</v>
      </c>
      <c r="C980" s="46" t="s">
        <v>476</v>
      </c>
      <c r="D980" s="47" t="str">
        <f t="shared" si="1"/>
        <v>Active</v>
      </c>
      <c r="E980" s="48">
        <v>42017.0</v>
      </c>
      <c r="F980" s="49"/>
      <c r="G980" s="50">
        <f t="shared" si="2"/>
        <v>140.7666667</v>
      </c>
      <c r="H980" s="51">
        <v>41609.0</v>
      </c>
      <c r="I980" s="50">
        <f t="shared" si="4"/>
        <v>1.116666667</v>
      </c>
      <c r="J980" s="55">
        <v>86.0</v>
      </c>
      <c r="K980" s="56">
        <v>7.7</v>
      </c>
      <c r="L980" s="78"/>
      <c r="M980" s="58" t="s">
        <v>1086</v>
      </c>
      <c r="N980" s="59" t="s">
        <v>442</v>
      </c>
      <c r="O980" s="60" t="s">
        <v>149</v>
      </c>
      <c r="P980" s="66" t="s">
        <v>505</v>
      </c>
    </row>
    <row r="981">
      <c r="A981" s="29" t="s">
        <v>1087</v>
      </c>
      <c r="B981" s="30" t="s">
        <v>25</v>
      </c>
      <c r="C981" s="31" t="s">
        <v>476</v>
      </c>
      <c r="D981" s="32" t="str">
        <f t="shared" si="1"/>
        <v>Active</v>
      </c>
      <c r="E981" s="33">
        <v>41926.0</v>
      </c>
      <c r="F981" s="34"/>
      <c r="G981" s="36">
        <f t="shared" si="2"/>
        <v>143.7333333</v>
      </c>
      <c r="H981" s="37">
        <v>40817.0</v>
      </c>
      <c r="I981" s="36">
        <f t="shared" si="4"/>
        <v>3.036111111</v>
      </c>
      <c r="J981" s="38">
        <v>76.0</v>
      </c>
      <c r="K981" s="39">
        <v>7.8</v>
      </c>
      <c r="L981" s="38">
        <v>4.0</v>
      </c>
      <c r="M981" s="40" t="s">
        <v>29</v>
      </c>
      <c r="N981" s="41" t="s">
        <v>442</v>
      </c>
      <c r="O981" s="42" t="s">
        <v>149</v>
      </c>
      <c r="P981" s="67" t="s">
        <v>505</v>
      </c>
    </row>
    <row r="982">
      <c r="A982" s="44" t="s">
        <v>1088</v>
      </c>
      <c r="B982" s="45" t="s">
        <v>33</v>
      </c>
      <c r="C982" s="46" t="s">
        <v>1089</v>
      </c>
      <c r="D982" s="47" t="str">
        <f t="shared" si="1"/>
        <v>Leaving Soon</v>
      </c>
      <c r="E982" s="48">
        <v>46301.0</v>
      </c>
      <c r="F982" s="80">
        <v>46328.0</v>
      </c>
      <c r="G982" s="50">
        <f t="shared" si="2"/>
        <v>0.8666666667</v>
      </c>
      <c r="H982" s="51">
        <v>45807.0</v>
      </c>
      <c r="I982" s="50">
        <f t="shared" si="4"/>
        <v>1.35</v>
      </c>
      <c r="J982" s="55">
        <v>80.0</v>
      </c>
      <c r="K982" s="56">
        <v>7.3</v>
      </c>
      <c r="L982" s="55">
        <v>6.0</v>
      </c>
      <c r="M982" s="58" t="s">
        <v>95</v>
      </c>
      <c r="N982" s="59"/>
      <c r="O982" s="60" t="s">
        <v>34</v>
      </c>
      <c r="P982" s="61"/>
    </row>
    <row r="983">
      <c r="A983" s="29" t="s">
        <v>1090</v>
      </c>
      <c r="B983" s="30" t="s">
        <v>33</v>
      </c>
      <c r="C983" s="31" t="s">
        <v>1089</v>
      </c>
      <c r="D983" s="32" t="str">
        <f t="shared" si="1"/>
        <v>Leaving Soon</v>
      </c>
      <c r="E983" s="33">
        <v>46301.0</v>
      </c>
      <c r="F983" s="92">
        <v>46328.0</v>
      </c>
      <c r="G983" s="36">
        <f t="shared" si="2"/>
        <v>0.8666666667</v>
      </c>
      <c r="H983" s="37">
        <v>45519.0</v>
      </c>
      <c r="I983" s="36">
        <f t="shared" si="4"/>
        <v>2.141666667</v>
      </c>
      <c r="J983" s="38">
        <v>80.0</v>
      </c>
      <c r="K983" s="39">
        <v>7.6</v>
      </c>
      <c r="L983" s="38">
        <v>58.5</v>
      </c>
      <c r="M983" s="40" t="s">
        <v>31</v>
      </c>
      <c r="N983" s="41"/>
      <c r="O983" s="42" t="s">
        <v>34</v>
      </c>
      <c r="P983" s="43"/>
    </row>
    <row r="984">
      <c r="A984" s="44" t="s">
        <v>1091</v>
      </c>
      <c r="B984" s="45" t="s">
        <v>25</v>
      </c>
      <c r="C984" s="46" t="s">
        <v>1089</v>
      </c>
      <c r="D984" s="47" t="str">
        <f t="shared" si="1"/>
        <v>Leaving Soon</v>
      </c>
      <c r="E984" s="48">
        <v>46301.0</v>
      </c>
      <c r="F984" s="80">
        <v>46328.0</v>
      </c>
      <c r="G984" s="50">
        <f t="shared" si="2"/>
        <v>0.8666666667</v>
      </c>
      <c r="H984" s="51">
        <v>45561.0</v>
      </c>
      <c r="I984" s="50">
        <f t="shared" si="4"/>
        <v>2.027777778</v>
      </c>
      <c r="J984" s="55">
        <v>81.0</v>
      </c>
      <c r="K984" s="56">
        <v>7.5</v>
      </c>
      <c r="L984" s="55">
        <v>21.0</v>
      </c>
      <c r="M984" s="58" t="s">
        <v>31</v>
      </c>
      <c r="N984" s="59"/>
      <c r="O984" s="60" t="s">
        <v>34</v>
      </c>
      <c r="P984" s="61"/>
    </row>
    <row r="985">
      <c r="A985" s="29" t="s">
        <v>1092</v>
      </c>
      <c r="B985" s="30" t="s">
        <v>33</v>
      </c>
      <c r="C985" s="31" t="s">
        <v>26</v>
      </c>
      <c r="D985" s="32" t="str">
        <f t="shared" si="1"/>
        <v>Leaving Soon</v>
      </c>
      <c r="E985" s="33">
        <v>45951.0</v>
      </c>
      <c r="F985" s="92">
        <v>46314.0</v>
      </c>
      <c r="G985" s="36">
        <f t="shared" si="2"/>
        <v>11.93333333</v>
      </c>
      <c r="H985" s="37">
        <v>45573.0</v>
      </c>
      <c r="I985" s="36">
        <f t="shared" si="4"/>
        <v>1.036111111</v>
      </c>
      <c r="J985" s="38">
        <v>86.0</v>
      </c>
      <c r="K985" s="39">
        <v>9.1</v>
      </c>
      <c r="L985" s="38">
        <v>16.0</v>
      </c>
      <c r="M985" s="40" t="s">
        <v>36</v>
      </c>
      <c r="N985" s="41"/>
      <c r="O985" s="42" t="s">
        <v>34</v>
      </c>
      <c r="P985" s="43"/>
    </row>
    <row r="986">
      <c r="A986" s="44" t="s">
        <v>1093</v>
      </c>
      <c r="B986" s="45" t="s">
        <v>25</v>
      </c>
      <c r="C986" s="46" t="s">
        <v>26</v>
      </c>
      <c r="D986" s="47" t="str">
        <f t="shared" si="1"/>
        <v>Leaving Soon</v>
      </c>
      <c r="E986" s="48">
        <v>45951.0</v>
      </c>
      <c r="F986" s="80">
        <v>46314.0</v>
      </c>
      <c r="G986" s="50">
        <f t="shared" si="2"/>
        <v>11.93333333</v>
      </c>
      <c r="H986" s="51">
        <v>44145.0</v>
      </c>
      <c r="I986" s="50">
        <f t="shared" si="4"/>
        <v>4.947222222</v>
      </c>
      <c r="J986" s="55">
        <v>84.0</v>
      </c>
      <c r="K986" s="56">
        <v>8.2</v>
      </c>
      <c r="L986" s="55">
        <v>46.0</v>
      </c>
      <c r="M986" s="58" t="s">
        <v>42</v>
      </c>
      <c r="N986" s="59"/>
      <c r="O986" s="60"/>
      <c r="P986" s="61"/>
    </row>
    <row r="987">
      <c r="A987" s="29" t="s">
        <v>1094</v>
      </c>
      <c r="B987" s="30" t="s">
        <v>25</v>
      </c>
      <c r="C987" s="31" t="s">
        <v>26</v>
      </c>
      <c r="D987" s="32" t="str">
        <f t="shared" si="1"/>
        <v>Leaving Soon</v>
      </c>
      <c r="E987" s="33">
        <v>45797.0</v>
      </c>
      <c r="F987" s="92">
        <v>46314.0</v>
      </c>
      <c r="G987" s="36">
        <f t="shared" si="2"/>
        <v>16.96666667</v>
      </c>
      <c r="H987" s="37">
        <v>43663.0</v>
      </c>
      <c r="I987" s="36">
        <f t="shared" si="4"/>
        <v>5.841666667</v>
      </c>
      <c r="J987" s="38">
        <v>82.0</v>
      </c>
      <c r="K987" s="39">
        <v>6.6</v>
      </c>
      <c r="L987" s="38">
        <v>100.0</v>
      </c>
      <c r="M987" s="40" t="s">
        <v>1095</v>
      </c>
      <c r="N987" s="41"/>
      <c r="O987" s="42"/>
      <c r="P987" s="43"/>
    </row>
    <row r="988">
      <c r="A988" s="44" t="s">
        <v>1096</v>
      </c>
      <c r="B988" s="45" t="s">
        <v>25</v>
      </c>
      <c r="C988" s="46" t="s">
        <v>26</v>
      </c>
      <c r="D988" s="47" t="str">
        <f t="shared" si="1"/>
        <v>Leaving Soon</v>
      </c>
      <c r="E988" s="48">
        <v>45643.0</v>
      </c>
      <c r="F988" s="80">
        <v>46314.0</v>
      </c>
      <c r="G988" s="50">
        <f t="shared" si="2"/>
        <v>22.06666667</v>
      </c>
      <c r="H988" s="51">
        <v>44509.0</v>
      </c>
      <c r="I988" s="50">
        <f t="shared" si="4"/>
        <v>3.105555556</v>
      </c>
      <c r="J988" s="55">
        <v>78.0</v>
      </c>
      <c r="K988" s="56">
        <v>7.2</v>
      </c>
      <c r="L988" s="55">
        <v>6.0</v>
      </c>
      <c r="M988" s="58" t="s">
        <v>53</v>
      </c>
      <c r="N988" s="59"/>
      <c r="O988" s="60" t="s">
        <v>149</v>
      </c>
      <c r="P988" s="61"/>
    </row>
    <row r="989">
      <c r="A989" s="29" t="s">
        <v>1097</v>
      </c>
      <c r="B989" s="30" t="s">
        <v>45</v>
      </c>
      <c r="C989" s="31" t="s">
        <v>26</v>
      </c>
      <c r="D989" s="32" t="str">
        <f t="shared" si="1"/>
        <v>Leaving Soon</v>
      </c>
      <c r="E989" s="33">
        <v>45342.0</v>
      </c>
      <c r="F989" s="92">
        <v>46314.0</v>
      </c>
      <c r="G989" s="36">
        <f t="shared" si="2"/>
        <v>31.96666667</v>
      </c>
      <c r="H989" s="37">
        <v>44469.0</v>
      </c>
      <c r="I989" s="36">
        <f t="shared" si="4"/>
        <v>2.388888889</v>
      </c>
      <c r="J989" s="38">
        <v>72.0</v>
      </c>
      <c r="K989" s="39">
        <v>4.2</v>
      </c>
      <c r="L989" s="38">
        <v>35.0</v>
      </c>
      <c r="M989" s="40" t="s">
        <v>132</v>
      </c>
      <c r="N989" s="41"/>
      <c r="O989" s="42" t="s">
        <v>149</v>
      </c>
      <c r="P989" s="43"/>
    </row>
    <row r="990">
      <c r="A990" s="44" t="s">
        <v>1098</v>
      </c>
      <c r="B990" s="45" t="s">
        <v>25</v>
      </c>
      <c r="C990" s="46" t="s">
        <v>26</v>
      </c>
      <c r="D990" s="47" t="str">
        <f t="shared" si="1"/>
        <v>Leaving Soon</v>
      </c>
      <c r="E990" s="48">
        <v>45062.0</v>
      </c>
      <c r="F990" s="80">
        <v>46314.0</v>
      </c>
      <c r="G990" s="50">
        <f t="shared" si="2"/>
        <v>41.1</v>
      </c>
      <c r="H990" s="51">
        <v>44659.0</v>
      </c>
      <c r="I990" s="50">
        <f t="shared" si="4"/>
        <v>1.105555556</v>
      </c>
      <c r="J990" s="55">
        <v>77.0</v>
      </c>
      <c r="K990" s="56">
        <v>7.5</v>
      </c>
      <c r="L990" s="55">
        <v>6.0</v>
      </c>
      <c r="M990" s="58" t="s">
        <v>29</v>
      </c>
      <c r="N990" s="59"/>
      <c r="O990" s="60" t="s">
        <v>149</v>
      </c>
      <c r="P990" s="61"/>
    </row>
    <row r="991">
      <c r="A991" s="29" t="s">
        <v>1099</v>
      </c>
      <c r="B991" s="30" t="s">
        <v>45</v>
      </c>
      <c r="C991" s="31" t="s">
        <v>26</v>
      </c>
      <c r="D991" s="32" t="str">
        <f t="shared" si="1"/>
        <v>Leaving Soon</v>
      </c>
      <c r="E991" s="33">
        <v>44725.0</v>
      </c>
      <c r="F991" s="92">
        <v>46314.0</v>
      </c>
      <c r="G991" s="36">
        <f t="shared" si="2"/>
        <v>52.2</v>
      </c>
      <c r="H991" s="37">
        <v>42808.0</v>
      </c>
      <c r="I991" s="36">
        <f t="shared" si="4"/>
        <v>5.247222222</v>
      </c>
      <c r="J991" s="38">
        <v>75.0</v>
      </c>
      <c r="K991" s="39">
        <v>7.6</v>
      </c>
      <c r="L991" s="38">
        <v>6.0</v>
      </c>
      <c r="M991" s="40" t="s">
        <v>136</v>
      </c>
      <c r="N991" s="41"/>
      <c r="O991" s="42" t="s">
        <v>149</v>
      </c>
      <c r="P991" s="43" t="s">
        <v>149</v>
      </c>
    </row>
    <row r="992">
      <c r="A992" s="44" t="s">
        <v>1100</v>
      </c>
      <c r="B992" s="45" t="s">
        <v>45</v>
      </c>
      <c r="C992" s="46" t="s">
        <v>26</v>
      </c>
      <c r="D992" s="47" t="str">
        <f t="shared" si="1"/>
        <v>Leaving Soon</v>
      </c>
      <c r="E992" s="48">
        <v>44725.0</v>
      </c>
      <c r="F992" s="80">
        <v>46314.0</v>
      </c>
      <c r="G992" s="50">
        <f t="shared" si="2"/>
        <v>52.2</v>
      </c>
      <c r="H992" s="51">
        <v>43053.0</v>
      </c>
      <c r="I992" s="50">
        <f t="shared" si="4"/>
        <v>4.580555556</v>
      </c>
      <c r="J992" s="55">
        <v>80.0</v>
      </c>
      <c r="K992" s="56">
        <v>6.2</v>
      </c>
      <c r="L992" s="55">
        <v>18.5</v>
      </c>
      <c r="M992" s="58" t="s">
        <v>103</v>
      </c>
      <c r="N992" s="59"/>
      <c r="O992" s="60" t="s">
        <v>34</v>
      </c>
      <c r="P992" s="61"/>
    </row>
    <row r="993">
      <c r="A993" s="29" t="s">
        <v>1101</v>
      </c>
      <c r="B993" s="30" t="s">
        <v>45</v>
      </c>
      <c r="C993" s="31" t="s">
        <v>26</v>
      </c>
      <c r="D993" s="32" t="str">
        <f t="shared" si="1"/>
        <v>Leaving Soon</v>
      </c>
      <c r="E993" s="33">
        <v>44725.0</v>
      </c>
      <c r="F993" s="92">
        <v>46314.0</v>
      </c>
      <c r="G993" s="36">
        <f t="shared" si="2"/>
        <v>52.2</v>
      </c>
      <c r="H993" s="37">
        <v>44258.0</v>
      </c>
      <c r="I993" s="36">
        <f t="shared" si="4"/>
        <v>1.277777778</v>
      </c>
      <c r="J993" s="38">
        <v>51.0</v>
      </c>
      <c r="K993" s="39">
        <v>5.1</v>
      </c>
      <c r="L993" s="38">
        <v>19.5</v>
      </c>
      <c r="M993" s="40" t="s">
        <v>70</v>
      </c>
      <c r="N993" s="41"/>
      <c r="O993" s="42" t="s">
        <v>34</v>
      </c>
      <c r="P993" s="43"/>
    </row>
    <row r="994">
      <c r="A994" s="44" t="s">
        <v>30</v>
      </c>
      <c r="B994" s="45" t="s">
        <v>25</v>
      </c>
      <c r="C994" s="46" t="s">
        <v>1089</v>
      </c>
      <c r="D994" s="47" t="str">
        <f t="shared" si="1"/>
        <v>Removed</v>
      </c>
      <c r="E994" s="48">
        <v>46266.0</v>
      </c>
      <c r="F994" s="49">
        <v>46300.0</v>
      </c>
      <c r="G994" s="50">
        <f t="shared" si="2"/>
        <v>1.133333333</v>
      </c>
      <c r="H994" s="51">
        <v>45687.0</v>
      </c>
      <c r="I994" s="50">
        <f t="shared" si="4"/>
        <v>1.586111111</v>
      </c>
      <c r="J994" s="55">
        <v>75.0</v>
      </c>
      <c r="K994" s="56">
        <v>5.9</v>
      </c>
      <c r="L994" s="55">
        <v>9.0</v>
      </c>
      <c r="M994" s="58" t="s">
        <v>31</v>
      </c>
      <c r="N994" s="59"/>
      <c r="O994" s="60" t="s">
        <v>34</v>
      </c>
      <c r="P994" s="61"/>
    </row>
    <row r="995">
      <c r="A995" s="29" t="s">
        <v>1102</v>
      </c>
      <c r="B995" s="30" t="s">
        <v>33</v>
      </c>
      <c r="C995" s="31" t="s">
        <v>1089</v>
      </c>
      <c r="D995" s="32" t="str">
        <f t="shared" si="1"/>
        <v>Removed</v>
      </c>
      <c r="E995" s="33">
        <v>46266.0</v>
      </c>
      <c r="F995" s="34">
        <v>46300.0</v>
      </c>
      <c r="G995" s="36">
        <f t="shared" si="2"/>
        <v>1.133333333</v>
      </c>
      <c r="H995" s="37">
        <v>46098.0</v>
      </c>
      <c r="I995" s="36">
        <f t="shared" si="4"/>
        <v>0.4555555556</v>
      </c>
      <c r="J995" s="38">
        <v>73.0</v>
      </c>
      <c r="K995" s="39">
        <v>2.3</v>
      </c>
      <c r="L995" s="76"/>
      <c r="M995" s="40" t="s">
        <v>1103</v>
      </c>
      <c r="N995" s="41"/>
      <c r="O995" s="42" t="s">
        <v>34</v>
      </c>
      <c r="P995" s="43"/>
    </row>
    <row r="996">
      <c r="A996" s="44" t="s">
        <v>1104</v>
      </c>
      <c r="B996" s="45" t="s">
        <v>25</v>
      </c>
      <c r="C996" s="46" t="s">
        <v>1089</v>
      </c>
      <c r="D996" s="47" t="str">
        <f t="shared" si="1"/>
        <v>Removed</v>
      </c>
      <c r="E996" s="48">
        <v>46266.0</v>
      </c>
      <c r="F996" s="49">
        <v>46300.0</v>
      </c>
      <c r="G996" s="50">
        <f t="shared" si="2"/>
        <v>1.133333333</v>
      </c>
      <c r="H996" s="51">
        <v>45806.0</v>
      </c>
      <c r="I996" s="50">
        <f t="shared" si="4"/>
        <v>1.255555556</v>
      </c>
      <c r="J996" s="78"/>
      <c r="K996" s="56">
        <v>7.4</v>
      </c>
      <c r="L996" s="55">
        <v>17.0</v>
      </c>
      <c r="M996" s="58" t="s">
        <v>29</v>
      </c>
      <c r="N996" s="59"/>
      <c r="O996" s="60" t="s">
        <v>34</v>
      </c>
      <c r="P996" s="61"/>
    </row>
    <row r="997">
      <c r="A997" s="29" t="s">
        <v>1105</v>
      </c>
      <c r="B997" s="30" t="s">
        <v>45</v>
      </c>
      <c r="C997" s="31" t="s">
        <v>1089</v>
      </c>
      <c r="D997" s="32" t="str">
        <f t="shared" si="1"/>
        <v>Removed</v>
      </c>
      <c r="E997" s="33">
        <v>46266.0</v>
      </c>
      <c r="F997" s="34">
        <v>46300.0</v>
      </c>
      <c r="G997" s="36">
        <f t="shared" si="2"/>
        <v>1.133333333</v>
      </c>
      <c r="H997" s="37">
        <v>44903.0</v>
      </c>
      <c r="I997" s="36">
        <f t="shared" si="4"/>
        <v>3.730555556</v>
      </c>
      <c r="J997" s="38">
        <v>90.0</v>
      </c>
      <c r="K997" s="39">
        <v>8.4</v>
      </c>
      <c r="L997" s="38">
        <v>35.0</v>
      </c>
      <c r="M997" s="40" t="s">
        <v>42</v>
      </c>
      <c r="N997" s="41"/>
      <c r="O997" s="42" t="s">
        <v>34</v>
      </c>
      <c r="P997" s="43"/>
    </row>
    <row r="998">
      <c r="A998" s="44" t="s">
        <v>1106</v>
      </c>
      <c r="B998" s="45" t="s">
        <v>33</v>
      </c>
      <c r="C998" s="46" t="s">
        <v>26</v>
      </c>
      <c r="D998" s="47" t="str">
        <f t="shared" si="1"/>
        <v>Removed</v>
      </c>
      <c r="E998" s="48">
        <v>46098.0</v>
      </c>
      <c r="F998" s="49">
        <v>46279.0</v>
      </c>
      <c r="G998" s="50">
        <f t="shared" si="2"/>
        <v>5.9</v>
      </c>
      <c r="H998" s="51">
        <v>45884.0</v>
      </c>
      <c r="I998" s="50">
        <f t="shared" si="4"/>
        <v>0.5888888889</v>
      </c>
      <c r="J998" s="55">
        <v>77.0</v>
      </c>
      <c r="K998" s="56">
        <v>4.0</v>
      </c>
      <c r="L998" s="55">
        <v>8.0</v>
      </c>
      <c r="M998" s="58" t="s">
        <v>125</v>
      </c>
      <c r="N998" s="59"/>
      <c r="O998" s="60" t="s">
        <v>34</v>
      </c>
      <c r="P998" s="61"/>
    </row>
    <row r="999">
      <c r="A999" s="29" t="s">
        <v>1107</v>
      </c>
      <c r="B999" s="30" t="s">
        <v>25</v>
      </c>
      <c r="C999" s="31" t="s">
        <v>26</v>
      </c>
      <c r="D999" s="32" t="str">
        <f t="shared" si="1"/>
        <v>Removed</v>
      </c>
      <c r="E999" s="33">
        <v>45916.0</v>
      </c>
      <c r="F999" s="34">
        <v>46279.0</v>
      </c>
      <c r="G999" s="36">
        <f t="shared" si="2"/>
        <v>11.93333333</v>
      </c>
      <c r="H999" s="37">
        <v>45247.0</v>
      </c>
      <c r="I999" s="36">
        <f t="shared" si="4"/>
        <v>1.830555556</v>
      </c>
      <c r="J999" s="38">
        <v>74.0</v>
      </c>
      <c r="K999" s="39">
        <v>7.1</v>
      </c>
      <c r="L999" s="38">
        <v>24.0</v>
      </c>
      <c r="M999" s="40" t="s">
        <v>103</v>
      </c>
      <c r="N999" s="41"/>
      <c r="O999" s="42"/>
      <c r="P999" s="43"/>
    </row>
    <row r="1000">
      <c r="A1000" s="44" t="s">
        <v>1108</v>
      </c>
      <c r="B1000" s="45" t="s">
        <v>25</v>
      </c>
      <c r="C1000" s="46" t="s">
        <v>26</v>
      </c>
      <c r="D1000" s="47" t="str">
        <f t="shared" si="1"/>
        <v>Removed</v>
      </c>
      <c r="E1000" s="48">
        <v>45279.0</v>
      </c>
      <c r="F1000" s="49">
        <v>46279.0</v>
      </c>
      <c r="G1000" s="50">
        <f t="shared" si="2"/>
        <v>32.83333333</v>
      </c>
      <c r="H1000" s="51">
        <v>41480.0</v>
      </c>
      <c r="I1000" s="50">
        <f t="shared" si="4"/>
        <v>10.4</v>
      </c>
      <c r="J1000" s="55">
        <v>76.0</v>
      </c>
      <c r="K1000" s="56">
        <v>7.5</v>
      </c>
      <c r="L1000" s="55">
        <v>12.0</v>
      </c>
      <c r="M1000" s="58" t="s">
        <v>103</v>
      </c>
      <c r="N1000" s="59"/>
      <c r="O1000" s="60" t="s">
        <v>149</v>
      </c>
      <c r="P1000" s="61"/>
    </row>
    <row r="1001">
      <c r="A1001" s="29" t="s">
        <v>1109</v>
      </c>
      <c r="B1001" s="30" t="s">
        <v>25</v>
      </c>
      <c r="C1001" s="31" t="s">
        <v>26</v>
      </c>
      <c r="D1001" s="32" t="str">
        <f t="shared" si="1"/>
        <v>Removed</v>
      </c>
      <c r="E1001" s="33">
        <v>45279.0</v>
      </c>
      <c r="F1001" s="34">
        <v>46279.0</v>
      </c>
      <c r="G1001" s="36">
        <f t="shared" si="2"/>
        <v>32.83333333</v>
      </c>
      <c r="H1001" s="37">
        <v>41900.0</v>
      </c>
      <c r="I1001" s="36">
        <f t="shared" si="4"/>
        <v>9.252777778</v>
      </c>
      <c r="J1001" s="38">
        <v>87.0</v>
      </c>
      <c r="K1001" s="39">
        <v>8.3</v>
      </c>
      <c r="L1001" s="38">
        <v>21.0</v>
      </c>
      <c r="M1001" s="40" t="s">
        <v>103</v>
      </c>
      <c r="N1001" s="41"/>
      <c r="O1001" s="42" t="s">
        <v>149</v>
      </c>
      <c r="P1001" s="43"/>
    </row>
    <row r="1002">
      <c r="A1002" s="44" t="s">
        <v>1110</v>
      </c>
      <c r="B1002" s="45" t="s">
        <v>25</v>
      </c>
      <c r="C1002" s="46" t="s">
        <v>26</v>
      </c>
      <c r="D1002" s="47" t="str">
        <f t="shared" si="1"/>
        <v>Removed</v>
      </c>
      <c r="E1002" s="48">
        <v>45279.0</v>
      </c>
      <c r="F1002" s="49">
        <v>46279.0</v>
      </c>
      <c r="G1002" s="50">
        <f t="shared" si="2"/>
        <v>32.83333333</v>
      </c>
      <c r="H1002" s="51">
        <v>42236.0</v>
      </c>
      <c r="I1002" s="50">
        <f t="shared" si="4"/>
        <v>8.330555556</v>
      </c>
      <c r="J1002" s="55">
        <v>81.0</v>
      </c>
      <c r="K1002" s="56">
        <v>7.7</v>
      </c>
      <c r="L1002" s="55">
        <v>21.0</v>
      </c>
      <c r="M1002" s="58" t="s">
        <v>103</v>
      </c>
      <c r="N1002" s="59"/>
      <c r="O1002" s="60" t="s">
        <v>149</v>
      </c>
      <c r="P1002" s="61"/>
    </row>
    <row r="1003">
      <c r="A1003" s="29" t="s">
        <v>1111</v>
      </c>
      <c r="B1003" s="30" t="s">
        <v>25</v>
      </c>
      <c r="C1003" s="31" t="s">
        <v>41</v>
      </c>
      <c r="D1003" s="32" t="str">
        <f t="shared" si="1"/>
        <v>Removed</v>
      </c>
      <c r="E1003" s="33">
        <v>44824.0</v>
      </c>
      <c r="F1003" s="34">
        <v>46279.0</v>
      </c>
      <c r="G1003" s="36">
        <f t="shared" si="2"/>
        <v>47.8</v>
      </c>
      <c r="H1003" s="37">
        <v>40344.0</v>
      </c>
      <c r="I1003" s="36">
        <f t="shared" si="4"/>
        <v>12.26388889</v>
      </c>
      <c r="J1003" s="38">
        <v>78.0</v>
      </c>
      <c r="K1003" s="39">
        <v>8.0</v>
      </c>
      <c r="L1003" s="38">
        <v>4.5</v>
      </c>
      <c r="M1003" s="40" t="s">
        <v>27</v>
      </c>
      <c r="N1003" s="41" t="s">
        <v>115</v>
      </c>
      <c r="O1003" s="42" t="s">
        <v>149</v>
      </c>
      <c r="P1003" s="67"/>
    </row>
    <row r="1004">
      <c r="A1004" s="44" t="s">
        <v>1112</v>
      </c>
      <c r="B1004" s="45" t="s">
        <v>25</v>
      </c>
      <c r="C1004" s="46" t="s">
        <v>41</v>
      </c>
      <c r="D1004" s="47" t="str">
        <f t="shared" si="1"/>
        <v>Removed</v>
      </c>
      <c r="E1004" s="48">
        <v>44725.0</v>
      </c>
      <c r="F1004" s="49">
        <v>46279.0</v>
      </c>
      <c r="G1004" s="50">
        <f t="shared" si="2"/>
        <v>51.03333333</v>
      </c>
      <c r="H1004" s="51">
        <v>36480.0</v>
      </c>
      <c r="I1004" s="50">
        <f t="shared" si="4"/>
        <v>22.575</v>
      </c>
      <c r="J1004" s="55">
        <v>69.0</v>
      </c>
      <c r="K1004" s="56">
        <v>7.9</v>
      </c>
      <c r="L1004" s="55">
        <v>5.0</v>
      </c>
      <c r="M1004" s="58" t="s">
        <v>29</v>
      </c>
      <c r="N1004" s="59" t="s">
        <v>61</v>
      </c>
      <c r="O1004" s="60" t="s">
        <v>34</v>
      </c>
      <c r="P1004" s="66" t="s">
        <v>505</v>
      </c>
    </row>
    <row r="1005">
      <c r="A1005" s="29" t="s">
        <v>731</v>
      </c>
      <c r="B1005" s="30" t="s">
        <v>25</v>
      </c>
      <c r="C1005" s="31" t="s">
        <v>476</v>
      </c>
      <c r="D1005" s="32" t="str">
        <f t="shared" si="1"/>
        <v>Removed</v>
      </c>
      <c r="E1005" s="33">
        <v>44725.0</v>
      </c>
      <c r="F1005" s="34">
        <v>46279.0</v>
      </c>
      <c r="G1005" s="36">
        <f t="shared" si="2"/>
        <v>51.03333333</v>
      </c>
      <c r="H1005" s="37">
        <v>43009.0</v>
      </c>
      <c r="I1005" s="36">
        <f t="shared" si="4"/>
        <v>4.7</v>
      </c>
      <c r="J1005" s="38">
        <v>45.0</v>
      </c>
      <c r="K1005" s="39">
        <v>5.2</v>
      </c>
      <c r="L1005" s="38">
        <v>3.0</v>
      </c>
      <c r="M1005" s="40" t="s">
        <v>27</v>
      </c>
      <c r="N1005" s="41" t="s">
        <v>442</v>
      </c>
      <c r="O1005" s="42" t="s">
        <v>149</v>
      </c>
      <c r="P1005" s="67" t="s">
        <v>505</v>
      </c>
    </row>
    <row r="1006">
      <c r="A1006" s="44" t="s">
        <v>1113</v>
      </c>
      <c r="B1006" s="45" t="s">
        <v>45</v>
      </c>
      <c r="C1006" s="46" t="s">
        <v>26</v>
      </c>
      <c r="D1006" s="47" t="str">
        <f t="shared" si="1"/>
        <v>Removed</v>
      </c>
      <c r="E1006" s="48">
        <v>43893.0</v>
      </c>
      <c r="F1006" s="49">
        <v>46279.0</v>
      </c>
      <c r="G1006" s="50">
        <f t="shared" si="2"/>
        <v>78.36666667</v>
      </c>
      <c r="H1006" s="51">
        <v>42396.0</v>
      </c>
      <c r="I1006" s="50">
        <f t="shared" si="4"/>
        <v>4.1</v>
      </c>
      <c r="J1006" s="55">
        <v>70.0</v>
      </c>
      <c r="K1006" s="56">
        <v>6.8</v>
      </c>
      <c r="L1006" s="78"/>
      <c r="M1006" s="58" t="s">
        <v>103</v>
      </c>
      <c r="N1006" s="59"/>
      <c r="O1006" s="60" t="s">
        <v>149</v>
      </c>
      <c r="P1006" s="61"/>
    </row>
    <row r="1007">
      <c r="A1007" s="29" t="s">
        <v>1114</v>
      </c>
      <c r="B1007" s="30" t="s">
        <v>45</v>
      </c>
      <c r="C1007" s="31" t="s">
        <v>26</v>
      </c>
      <c r="D1007" s="32" t="str">
        <f t="shared" si="1"/>
        <v>Removed</v>
      </c>
      <c r="E1007" s="33">
        <v>43893.0</v>
      </c>
      <c r="F1007" s="34">
        <v>46279.0</v>
      </c>
      <c r="G1007" s="36">
        <f t="shared" si="2"/>
        <v>78.36666667</v>
      </c>
      <c r="H1007" s="37">
        <v>42552.0</v>
      </c>
      <c r="I1007" s="36">
        <f t="shared" si="4"/>
        <v>3.672222222</v>
      </c>
      <c r="J1007" s="38">
        <v>76.0</v>
      </c>
      <c r="K1007" s="39">
        <v>7.7</v>
      </c>
      <c r="L1007" s="38">
        <v>37.0</v>
      </c>
      <c r="M1007" s="40" t="s">
        <v>29</v>
      </c>
      <c r="N1007" s="41"/>
      <c r="O1007" s="42" t="s">
        <v>149</v>
      </c>
      <c r="P1007" s="43"/>
    </row>
    <row r="1008">
      <c r="A1008" s="44" t="s">
        <v>1115</v>
      </c>
      <c r="B1008" s="45" t="s">
        <v>25</v>
      </c>
      <c r="C1008" s="46" t="s">
        <v>1089</v>
      </c>
      <c r="D1008" s="47" t="str">
        <f t="shared" si="1"/>
        <v>Removed</v>
      </c>
      <c r="E1008" s="48">
        <v>46238.0</v>
      </c>
      <c r="F1008" s="49">
        <v>46265.0</v>
      </c>
      <c r="G1008" s="50">
        <f t="shared" si="2"/>
        <v>0.8666666667</v>
      </c>
      <c r="H1008" s="51">
        <v>44596.0</v>
      </c>
      <c r="I1008" s="50">
        <f t="shared" si="4"/>
        <v>4.5</v>
      </c>
      <c r="J1008" s="55">
        <v>76.0</v>
      </c>
      <c r="K1008" s="56">
        <v>7.2</v>
      </c>
      <c r="L1008" s="55">
        <v>25.0</v>
      </c>
      <c r="M1008" s="58" t="s">
        <v>36</v>
      </c>
      <c r="N1008" s="59"/>
      <c r="O1008" s="60" t="s">
        <v>34</v>
      </c>
      <c r="P1008" s="61"/>
    </row>
    <row r="1009">
      <c r="A1009" s="29" t="s">
        <v>1116</v>
      </c>
      <c r="B1009" s="30" t="s">
        <v>33</v>
      </c>
      <c r="C1009" s="31" t="s">
        <v>1089</v>
      </c>
      <c r="D1009" s="32" t="str">
        <f t="shared" si="1"/>
        <v>Removed</v>
      </c>
      <c r="E1009" s="33">
        <v>46238.0</v>
      </c>
      <c r="F1009" s="34">
        <v>46265.0</v>
      </c>
      <c r="G1009" s="36">
        <f t="shared" si="2"/>
        <v>0.8666666667</v>
      </c>
      <c r="H1009" s="37">
        <v>46238.0</v>
      </c>
      <c r="I1009" s="36">
        <f t="shared" si="4"/>
        <v>0</v>
      </c>
      <c r="J1009" s="38">
        <v>91.0</v>
      </c>
      <c r="K1009" s="39">
        <v>8.2</v>
      </c>
      <c r="L1009" s="38">
        <v>11.0</v>
      </c>
      <c r="M1009" s="40" t="s">
        <v>29</v>
      </c>
      <c r="N1009" s="41"/>
      <c r="O1009" s="42"/>
      <c r="P1009" s="43"/>
    </row>
    <row r="1010">
      <c r="A1010" s="44" t="s">
        <v>1121</v>
      </c>
      <c r="B1010" s="45" t="s">
        <v>45</v>
      </c>
      <c r="C1010" s="46" t="s">
        <v>1089</v>
      </c>
      <c r="D1010" s="47" t="str">
        <f t="shared" si="1"/>
        <v>Removed</v>
      </c>
      <c r="E1010" s="48">
        <v>46238.0</v>
      </c>
      <c r="F1010" s="49">
        <v>46265.0</v>
      </c>
      <c r="G1010" s="50">
        <f t="shared" si="2"/>
        <v>0.8666666667</v>
      </c>
      <c r="H1010" s="51">
        <v>44861.0</v>
      </c>
      <c r="I1010" s="50">
        <f t="shared" si="4"/>
        <v>3.769444444</v>
      </c>
      <c r="J1010" s="55">
        <v>81.0</v>
      </c>
      <c r="K1010" s="56">
        <v>8.4</v>
      </c>
      <c r="L1010" s="55">
        <v>9.0</v>
      </c>
      <c r="M1010" s="58" t="s">
        <v>36</v>
      </c>
      <c r="N1010" s="59"/>
      <c r="O1010" s="60"/>
      <c r="P1010" s="61"/>
    </row>
    <row r="1011">
      <c r="A1011" s="29" t="s">
        <v>1144</v>
      </c>
      <c r="B1011" s="30" t="s">
        <v>25</v>
      </c>
      <c r="C1011" s="31" t="s">
        <v>26</v>
      </c>
      <c r="D1011" s="32" t="str">
        <f t="shared" si="1"/>
        <v>Removed</v>
      </c>
      <c r="E1011" s="33">
        <v>45888.0</v>
      </c>
      <c r="F1011" s="34">
        <v>46251.0</v>
      </c>
      <c r="G1011" s="36">
        <f t="shared" si="2"/>
        <v>11.93333333</v>
      </c>
      <c r="H1011" s="37">
        <v>45498.0</v>
      </c>
      <c r="I1011" s="36">
        <f t="shared" si="4"/>
        <v>1.066666667</v>
      </c>
      <c r="J1011" s="38">
        <v>73.0</v>
      </c>
      <c r="K1011" s="39">
        <v>5.8</v>
      </c>
      <c r="L1011" s="38">
        <v>44.0</v>
      </c>
      <c r="M1011" s="40" t="s">
        <v>31</v>
      </c>
      <c r="N1011" s="41"/>
      <c r="O1011" s="42"/>
      <c r="P1011" s="43"/>
    </row>
    <row r="1012">
      <c r="A1012" s="44" t="s">
        <v>1167</v>
      </c>
      <c r="B1012" s="45" t="s">
        <v>33</v>
      </c>
      <c r="C1012" s="46" t="s">
        <v>26</v>
      </c>
      <c r="D1012" s="47" t="str">
        <f t="shared" si="1"/>
        <v>Removed</v>
      </c>
      <c r="E1012" s="48">
        <v>45888.0</v>
      </c>
      <c r="F1012" s="49">
        <v>46251.0</v>
      </c>
      <c r="G1012" s="50">
        <f t="shared" si="2"/>
        <v>11.93333333</v>
      </c>
      <c r="H1012" s="51">
        <v>45398.0</v>
      </c>
      <c r="I1012" s="50">
        <f t="shared" si="4"/>
        <v>1.341666667</v>
      </c>
      <c r="J1012" s="55">
        <v>69.0</v>
      </c>
      <c r="K1012" s="56">
        <v>6.7</v>
      </c>
      <c r="L1012" s="55">
        <v>11.0</v>
      </c>
      <c r="M1012" s="58" t="s">
        <v>29</v>
      </c>
      <c r="N1012" s="59"/>
      <c r="O1012" s="60" t="s">
        <v>34</v>
      </c>
      <c r="P1012" s="61"/>
    </row>
    <row r="1013">
      <c r="A1013" s="29" t="s">
        <v>1173</v>
      </c>
      <c r="B1013" s="30" t="s">
        <v>25</v>
      </c>
      <c r="C1013" s="31" t="s">
        <v>26</v>
      </c>
      <c r="D1013" s="32" t="str">
        <f t="shared" si="1"/>
        <v>Removed</v>
      </c>
      <c r="E1013" s="33">
        <v>45888.0</v>
      </c>
      <c r="F1013" s="34">
        <v>46251.0</v>
      </c>
      <c r="G1013" s="36">
        <f t="shared" si="2"/>
        <v>11.93333333</v>
      </c>
      <c r="H1013" s="37">
        <v>45359.0</v>
      </c>
      <c r="I1013" s="36">
        <f t="shared" si="4"/>
        <v>1.447222222</v>
      </c>
      <c r="J1013" s="38">
        <v>86.0</v>
      </c>
      <c r="K1013" s="39">
        <v>8.4</v>
      </c>
      <c r="L1013" s="38">
        <v>47.0</v>
      </c>
      <c r="M1013" s="40" t="s">
        <v>103</v>
      </c>
      <c r="N1013" s="41"/>
      <c r="O1013" s="42"/>
      <c r="P1013" s="43"/>
    </row>
    <row r="1014">
      <c r="A1014" s="44" t="s">
        <v>1191</v>
      </c>
      <c r="B1014" s="45" t="s">
        <v>25</v>
      </c>
      <c r="C1014" s="46" t="s">
        <v>26</v>
      </c>
      <c r="D1014" s="47" t="str">
        <f t="shared" si="1"/>
        <v>Removed</v>
      </c>
      <c r="E1014" s="48">
        <v>45615.0</v>
      </c>
      <c r="F1014" s="49">
        <v>46251.0</v>
      </c>
      <c r="G1014" s="50">
        <f t="shared" si="2"/>
        <v>20.93333333</v>
      </c>
      <c r="H1014" s="51">
        <v>44994.0</v>
      </c>
      <c r="I1014" s="50">
        <f t="shared" si="4"/>
        <v>1.694444444</v>
      </c>
      <c r="J1014" s="55">
        <v>69.0</v>
      </c>
      <c r="K1014" s="56">
        <v>7.1</v>
      </c>
      <c r="L1014" s="55">
        <v>12.0</v>
      </c>
      <c r="M1014" s="58" t="s">
        <v>29</v>
      </c>
      <c r="N1014" s="59"/>
      <c r="O1014" s="60" t="s">
        <v>149</v>
      </c>
      <c r="P1014" s="61"/>
    </row>
    <row r="1015">
      <c r="A1015" s="29" t="s">
        <v>1210</v>
      </c>
      <c r="B1015" s="30" t="s">
        <v>25</v>
      </c>
      <c r="C1015" s="31" t="s">
        <v>26</v>
      </c>
      <c r="D1015" s="32" t="str">
        <f t="shared" si="1"/>
        <v>Removed</v>
      </c>
      <c r="E1015" s="33">
        <v>45580.0</v>
      </c>
      <c r="F1015" s="34">
        <v>46251.0</v>
      </c>
      <c r="G1015" s="36">
        <f t="shared" si="2"/>
        <v>22.06666667</v>
      </c>
      <c r="H1015" s="37">
        <v>45037.0</v>
      </c>
      <c r="I1015" s="36">
        <f t="shared" si="4"/>
        <v>1.483333333</v>
      </c>
      <c r="J1015" s="38">
        <v>73.0</v>
      </c>
      <c r="K1015" s="39">
        <v>7.4</v>
      </c>
      <c r="L1015" s="38">
        <v>16.0</v>
      </c>
      <c r="M1015" s="40" t="s">
        <v>31</v>
      </c>
      <c r="N1015" s="41"/>
      <c r="O1015" s="42" t="s">
        <v>149</v>
      </c>
      <c r="P1015" s="43"/>
    </row>
    <row r="1016">
      <c r="A1016" s="44" t="s">
        <v>1212</v>
      </c>
      <c r="B1016" s="45" t="s">
        <v>25</v>
      </c>
      <c r="C1016" s="46" t="s">
        <v>26</v>
      </c>
      <c r="D1016" s="47" t="str">
        <f t="shared" si="1"/>
        <v>Removed</v>
      </c>
      <c r="E1016" s="48">
        <v>45216.0</v>
      </c>
      <c r="F1016" s="49">
        <v>46251.0</v>
      </c>
      <c r="G1016" s="50">
        <f t="shared" si="2"/>
        <v>34</v>
      </c>
      <c r="H1016" s="51">
        <v>44035.0</v>
      </c>
      <c r="I1016" s="50">
        <f t="shared" si="4"/>
        <v>3.233333333</v>
      </c>
      <c r="J1016" s="55">
        <v>82.0</v>
      </c>
      <c r="K1016" s="56">
        <v>8.0</v>
      </c>
      <c r="L1016" s="55">
        <v>10.0</v>
      </c>
      <c r="M1016" s="58" t="s">
        <v>29</v>
      </c>
      <c r="N1016" s="59"/>
      <c r="O1016" s="60" t="s">
        <v>149</v>
      </c>
      <c r="P1016" s="61"/>
    </row>
    <row r="1017">
      <c r="A1017" s="29" t="s">
        <v>1213</v>
      </c>
      <c r="B1017" s="30" t="s">
        <v>45</v>
      </c>
      <c r="C1017" s="31" t="s">
        <v>26</v>
      </c>
      <c r="D1017" s="32" t="str">
        <f t="shared" si="1"/>
        <v>Removed</v>
      </c>
      <c r="E1017" s="33">
        <v>44880.0</v>
      </c>
      <c r="F1017" s="34">
        <v>46251.0</v>
      </c>
      <c r="G1017" s="36">
        <f t="shared" si="2"/>
        <v>45.06666667</v>
      </c>
      <c r="H1017" s="37">
        <v>43804.0</v>
      </c>
      <c r="I1017" s="36">
        <f t="shared" si="4"/>
        <v>2.944444444</v>
      </c>
      <c r="J1017" s="38">
        <v>69.0</v>
      </c>
      <c r="K1017" s="39">
        <v>7.8</v>
      </c>
      <c r="L1017" s="38">
        <v>5.0</v>
      </c>
      <c r="M1017" s="40" t="s">
        <v>29</v>
      </c>
      <c r="N1017" s="41"/>
      <c r="O1017" s="42" t="s">
        <v>149</v>
      </c>
      <c r="P1017" s="43"/>
    </row>
    <row r="1018">
      <c r="A1018" s="44" t="s">
        <v>1214</v>
      </c>
      <c r="B1018" s="45" t="s">
        <v>45</v>
      </c>
      <c r="C1018" s="46" t="s">
        <v>26</v>
      </c>
      <c r="D1018" s="47" t="str">
        <f t="shared" si="1"/>
        <v>Removed</v>
      </c>
      <c r="E1018" s="48">
        <v>44725.0</v>
      </c>
      <c r="F1018" s="49">
        <v>46251.0</v>
      </c>
      <c r="G1018" s="50">
        <f t="shared" si="2"/>
        <v>50.13333333</v>
      </c>
      <c r="H1018" s="51">
        <v>44119.0</v>
      </c>
      <c r="I1018" s="50">
        <f t="shared" si="4"/>
        <v>1.661111111</v>
      </c>
      <c r="J1018" s="55">
        <v>68.0</v>
      </c>
      <c r="K1018" s="56">
        <v>6.8</v>
      </c>
      <c r="L1018" s="55">
        <v>12.0</v>
      </c>
      <c r="M1018" s="58" t="s">
        <v>103</v>
      </c>
      <c r="N1018" s="59"/>
      <c r="O1018" s="60" t="s">
        <v>149</v>
      </c>
      <c r="P1018" s="61"/>
    </row>
    <row r="1019">
      <c r="A1019" s="29" t="s">
        <v>1215</v>
      </c>
      <c r="B1019" s="30" t="s">
        <v>45</v>
      </c>
      <c r="C1019" s="31" t="s">
        <v>26</v>
      </c>
      <c r="D1019" s="32" t="str">
        <f t="shared" si="1"/>
        <v>Removed</v>
      </c>
      <c r="E1019" s="33">
        <v>43865.0</v>
      </c>
      <c r="F1019" s="34">
        <v>46251.0</v>
      </c>
      <c r="G1019" s="36">
        <f t="shared" si="2"/>
        <v>78.43333333</v>
      </c>
      <c r="H1019" s="37">
        <v>43027.0</v>
      </c>
      <c r="I1019" s="36">
        <f t="shared" si="4"/>
        <v>2.291666667</v>
      </c>
      <c r="J1019" s="38">
        <v>78.0</v>
      </c>
      <c r="K1019" s="39">
        <v>7.0</v>
      </c>
      <c r="L1019" s="38">
        <v>15.0</v>
      </c>
      <c r="M1019" s="40" t="s">
        <v>103</v>
      </c>
      <c r="N1019" s="41"/>
      <c r="O1019" s="42" t="s">
        <v>149</v>
      </c>
      <c r="P1019" s="43"/>
    </row>
    <row r="1020">
      <c r="A1020" s="44" t="s">
        <v>1216</v>
      </c>
      <c r="B1020" s="45" t="s">
        <v>25</v>
      </c>
      <c r="C1020" s="46" t="s">
        <v>1089</v>
      </c>
      <c r="D1020" s="47" t="str">
        <f t="shared" si="1"/>
        <v>Removed</v>
      </c>
      <c r="E1020" s="48">
        <v>46210.0</v>
      </c>
      <c r="F1020" s="49">
        <v>46237.0</v>
      </c>
      <c r="G1020" s="50">
        <f t="shared" si="2"/>
        <v>0.8666666667</v>
      </c>
      <c r="H1020" s="51">
        <v>45240.0</v>
      </c>
      <c r="I1020" s="50">
        <f t="shared" si="4"/>
        <v>2.658333333</v>
      </c>
      <c r="J1020" s="55">
        <v>56.0</v>
      </c>
      <c r="K1020" s="56">
        <v>2.5</v>
      </c>
      <c r="L1020" s="55">
        <v>5.0</v>
      </c>
      <c r="M1020" s="58" t="s">
        <v>31</v>
      </c>
      <c r="N1020" s="59"/>
      <c r="O1020" s="60" t="s">
        <v>34</v>
      </c>
      <c r="P1020" s="61"/>
    </row>
    <row r="1021">
      <c r="A1021" s="29" t="s">
        <v>1217</v>
      </c>
      <c r="B1021" s="30" t="s">
        <v>25</v>
      </c>
      <c r="C1021" s="31" t="s">
        <v>1089</v>
      </c>
      <c r="D1021" s="32" t="str">
        <f t="shared" si="1"/>
        <v>Removed</v>
      </c>
      <c r="E1021" s="33">
        <v>46210.0</v>
      </c>
      <c r="F1021" s="34">
        <v>46237.0</v>
      </c>
      <c r="G1021" s="36">
        <f t="shared" si="2"/>
        <v>0.8666666667</v>
      </c>
      <c r="H1021" s="37">
        <v>45232.0</v>
      </c>
      <c r="I1021" s="36">
        <f t="shared" si="4"/>
        <v>2.680555556</v>
      </c>
      <c r="J1021" s="38">
        <v>79.0</v>
      </c>
      <c r="K1021" s="39">
        <v>7.5</v>
      </c>
      <c r="L1021" s="38">
        <v>18.0</v>
      </c>
      <c r="M1021" s="40" t="s">
        <v>132</v>
      </c>
      <c r="N1021" s="41"/>
      <c r="O1021" s="42" t="s">
        <v>34</v>
      </c>
      <c r="P1021" s="43"/>
    </row>
    <row r="1022">
      <c r="A1022" s="44" t="s">
        <v>1218</v>
      </c>
      <c r="B1022" s="45" t="s">
        <v>25</v>
      </c>
      <c r="C1022" s="46" t="s">
        <v>1089</v>
      </c>
      <c r="D1022" s="47" t="str">
        <f t="shared" si="1"/>
        <v>Removed</v>
      </c>
      <c r="E1022" s="48">
        <v>46210.0</v>
      </c>
      <c r="F1022" s="49">
        <v>46237.0</v>
      </c>
      <c r="G1022" s="50">
        <f t="shared" si="2"/>
        <v>0.8666666667</v>
      </c>
      <c r="H1022" s="51">
        <v>44021.0</v>
      </c>
      <c r="I1022" s="50">
        <f t="shared" si="4"/>
        <v>5.994444444</v>
      </c>
      <c r="J1022" s="55">
        <v>86.0</v>
      </c>
      <c r="K1022" s="56">
        <v>8.3</v>
      </c>
      <c r="L1022" s="55">
        <v>30.0</v>
      </c>
      <c r="M1022" s="58" t="s">
        <v>42</v>
      </c>
      <c r="N1022" s="59"/>
      <c r="O1022" s="60" t="s">
        <v>34</v>
      </c>
      <c r="P1022" s="61"/>
    </row>
    <row r="1023">
      <c r="A1023" s="29" t="s">
        <v>1219</v>
      </c>
      <c r="B1023" s="30" t="s">
        <v>25</v>
      </c>
      <c r="C1023" s="31" t="s">
        <v>26</v>
      </c>
      <c r="D1023" s="32" t="str">
        <f t="shared" si="1"/>
        <v>Removed</v>
      </c>
      <c r="E1023" s="33">
        <v>45853.0</v>
      </c>
      <c r="F1023" s="34">
        <v>46223.0</v>
      </c>
      <c r="G1023" s="36">
        <f t="shared" si="2"/>
        <v>12.16666667</v>
      </c>
      <c r="H1023" s="37">
        <v>44054.0</v>
      </c>
      <c r="I1023" s="36">
        <f t="shared" si="4"/>
        <v>4.927777778</v>
      </c>
      <c r="J1023" s="38">
        <v>85.0</v>
      </c>
      <c r="K1023" s="39">
        <v>8.3</v>
      </c>
      <c r="L1023" s="38">
        <v>11.0</v>
      </c>
      <c r="M1023" s="40" t="s">
        <v>31</v>
      </c>
      <c r="N1023" s="41"/>
      <c r="O1023" s="42"/>
      <c r="P1023" s="43"/>
    </row>
    <row r="1024">
      <c r="A1024" s="44" t="s">
        <v>1220</v>
      </c>
      <c r="B1024" s="45" t="s">
        <v>25</v>
      </c>
      <c r="C1024" s="46" t="s">
        <v>26</v>
      </c>
      <c r="D1024" s="47" t="str">
        <f t="shared" si="1"/>
        <v>Removed</v>
      </c>
      <c r="E1024" s="48">
        <v>45853.0</v>
      </c>
      <c r="F1024" s="49">
        <v>46223.0</v>
      </c>
      <c r="G1024" s="50">
        <f t="shared" si="2"/>
        <v>12.16666667</v>
      </c>
      <c r="H1024" s="51">
        <v>43553.0</v>
      </c>
      <c r="I1024" s="50">
        <f t="shared" si="4"/>
        <v>6.294444444</v>
      </c>
      <c r="J1024" s="55">
        <v>78.0</v>
      </c>
      <c r="K1024" s="56">
        <v>6.8</v>
      </c>
      <c r="L1024" s="55">
        <v>36.0</v>
      </c>
      <c r="M1024" s="58" t="s">
        <v>1221</v>
      </c>
      <c r="N1024" s="59"/>
      <c r="O1024" s="60"/>
      <c r="P1024" s="61"/>
    </row>
    <row r="1025">
      <c r="A1025" s="29" t="s">
        <v>1222</v>
      </c>
      <c r="B1025" s="30" t="s">
        <v>25</v>
      </c>
      <c r="C1025" s="31" t="s">
        <v>26</v>
      </c>
      <c r="D1025" s="32" t="str">
        <f t="shared" si="1"/>
        <v>Removed</v>
      </c>
      <c r="E1025" s="33">
        <v>45489.0</v>
      </c>
      <c r="F1025" s="34">
        <v>46223.0</v>
      </c>
      <c r="G1025" s="36">
        <f t="shared" si="2"/>
        <v>24.13333333</v>
      </c>
      <c r="H1025" s="37">
        <v>44836.0</v>
      </c>
      <c r="I1025" s="36">
        <f t="shared" si="4"/>
        <v>1.788888889</v>
      </c>
      <c r="J1025" s="38">
        <v>81.0</v>
      </c>
      <c r="K1025" s="39">
        <v>9.0</v>
      </c>
      <c r="L1025" s="38">
        <v>3.0</v>
      </c>
      <c r="M1025" s="40" t="s">
        <v>51</v>
      </c>
      <c r="N1025" s="41"/>
      <c r="O1025" s="42" t="s">
        <v>272</v>
      </c>
      <c r="P1025" s="43"/>
    </row>
    <row r="1026">
      <c r="A1026" s="44" t="s">
        <v>1223</v>
      </c>
      <c r="B1026" s="45" t="s">
        <v>25</v>
      </c>
      <c r="C1026" s="46" t="s">
        <v>26</v>
      </c>
      <c r="D1026" s="47" t="str">
        <f t="shared" si="1"/>
        <v>Removed</v>
      </c>
      <c r="E1026" s="48">
        <v>45153.0</v>
      </c>
      <c r="F1026" s="49">
        <v>46223.0</v>
      </c>
      <c r="G1026" s="50">
        <f t="shared" si="2"/>
        <v>35.16666667</v>
      </c>
      <c r="H1026" s="51">
        <v>44791.0</v>
      </c>
      <c r="I1026" s="50">
        <f t="shared" si="4"/>
        <v>0.9916666667</v>
      </c>
      <c r="J1026" s="55">
        <v>74.0</v>
      </c>
      <c r="K1026" s="56">
        <v>5.3</v>
      </c>
      <c r="L1026" s="55">
        <v>8.0</v>
      </c>
      <c r="M1026" s="58" t="s">
        <v>125</v>
      </c>
      <c r="N1026" s="59"/>
      <c r="O1026" s="60" t="s">
        <v>149</v>
      </c>
      <c r="P1026" s="61"/>
    </row>
    <row r="1027">
      <c r="A1027" s="29" t="s">
        <v>1224</v>
      </c>
      <c r="B1027" s="30" t="s">
        <v>25</v>
      </c>
      <c r="C1027" s="31" t="s">
        <v>26</v>
      </c>
      <c r="D1027" s="32" t="str">
        <f t="shared" si="1"/>
        <v>Removed</v>
      </c>
      <c r="E1027" s="33">
        <v>45153.0</v>
      </c>
      <c r="F1027" s="34">
        <v>46223.0</v>
      </c>
      <c r="G1027" s="36">
        <f t="shared" si="2"/>
        <v>35.16666667</v>
      </c>
      <c r="H1027" s="37">
        <v>44692.0</v>
      </c>
      <c r="I1027" s="36">
        <f t="shared" si="4"/>
        <v>1.261111111</v>
      </c>
      <c r="J1027" s="38">
        <v>67.0</v>
      </c>
      <c r="K1027" s="39">
        <v>6.0</v>
      </c>
      <c r="L1027" s="38">
        <v>3.0</v>
      </c>
      <c r="M1027" s="40" t="s">
        <v>29</v>
      </c>
      <c r="N1027" s="41"/>
      <c r="O1027" s="42" t="s">
        <v>149</v>
      </c>
      <c r="P1027" s="43"/>
    </row>
    <row r="1028">
      <c r="A1028" s="44" t="s">
        <v>1225</v>
      </c>
      <c r="B1028" s="45" t="s">
        <v>25</v>
      </c>
      <c r="C1028" s="46" t="s">
        <v>26</v>
      </c>
      <c r="D1028" s="47" t="str">
        <f t="shared" si="1"/>
        <v>Removed</v>
      </c>
      <c r="E1028" s="48">
        <v>45097.0</v>
      </c>
      <c r="F1028" s="49">
        <v>46223.0</v>
      </c>
      <c r="G1028" s="50">
        <f t="shared" si="2"/>
        <v>37</v>
      </c>
      <c r="H1028" s="51">
        <v>44329.0</v>
      </c>
      <c r="I1028" s="50">
        <f t="shared" si="4"/>
        <v>2.102777778</v>
      </c>
      <c r="J1028" s="55">
        <v>74.0</v>
      </c>
      <c r="K1028" s="56">
        <v>6.3</v>
      </c>
      <c r="L1028" s="55">
        <v>3.0</v>
      </c>
      <c r="M1028" s="58" t="s">
        <v>103</v>
      </c>
      <c r="N1028" s="59"/>
      <c r="O1028" s="60" t="s">
        <v>149</v>
      </c>
      <c r="P1028" s="61"/>
    </row>
    <row r="1029">
      <c r="A1029" s="29" t="s">
        <v>1226</v>
      </c>
      <c r="B1029" s="30" t="s">
        <v>45</v>
      </c>
      <c r="C1029" s="31" t="s">
        <v>26</v>
      </c>
      <c r="D1029" s="32" t="str">
        <f t="shared" si="1"/>
        <v>Removed</v>
      </c>
      <c r="E1029" s="33">
        <v>44725.0</v>
      </c>
      <c r="F1029" s="34">
        <v>46223.0</v>
      </c>
      <c r="G1029" s="36">
        <f t="shared" si="2"/>
        <v>49.23333333</v>
      </c>
      <c r="H1029" s="37">
        <v>42934.0</v>
      </c>
      <c r="I1029" s="36">
        <f t="shared" si="4"/>
        <v>4.902777778</v>
      </c>
      <c r="J1029" s="38">
        <v>74.0</v>
      </c>
      <c r="K1029" s="39">
        <v>6.6</v>
      </c>
      <c r="L1029" s="38">
        <v>2.0</v>
      </c>
      <c r="M1029" s="40" t="s">
        <v>125</v>
      </c>
      <c r="N1029" s="41"/>
      <c r="O1029" s="42" t="s">
        <v>149</v>
      </c>
      <c r="P1029" s="43" t="s">
        <v>149</v>
      </c>
    </row>
    <row r="1030">
      <c r="A1030" s="44" t="s">
        <v>1227</v>
      </c>
      <c r="B1030" s="45" t="s">
        <v>45</v>
      </c>
      <c r="C1030" s="46" t="s">
        <v>26</v>
      </c>
      <c r="D1030" s="47" t="str">
        <f t="shared" si="1"/>
        <v>Removed</v>
      </c>
      <c r="E1030" s="48">
        <v>43683.0</v>
      </c>
      <c r="F1030" s="49">
        <v>46223.0</v>
      </c>
      <c r="G1030" s="50">
        <f t="shared" si="2"/>
        <v>83.46666667</v>
      </c>
      <c r="H1030" s="51">
        <v>42887.0</v>
      </c>
      <c r="I1030" s="50">
        <f t="shared" si="4"/>
        <v>2.180555556</v>
      </c>
      <c r="J1030" s="55">
        <v>72.0</v>
      </c>
      <c r="K1030" s="56">
        <v>7.0</v>
      </c>
      <c r="L1030" s="55">
        <v>7.5</v>
      </c>
      <c r="M1030" s="58" t="s">
        <v>29</v>
      </c>
      <c r="N1030" s="59"/>
      <c r="O1030" s="60" t="s">
        <v>149</v>
      </c>
      <c r="P1030" s="61"/>
    </row>
    <row r="1031">
      <c r="A1031" s="29" t="s">
        <v>1228</v>
      </c>
      <c r="B1031" s="30" t="s">
        <v>25</v>
      </c>
      <c r="C1031" s="31" t="s">
        <v>1089</v>
      </c>
      <c r="D1031" s="32" t="str">
        <f t="shared" si="1"/>
        <v>Removed</v>
      </c>
      <c r="E1031" s="33">
        <v>46175.0</v>
      </c>
      <c r="F1031" s="34">
        <v>46209.0</v>
      </c>
      <c r="G1031" s="36">
        <f t="shared" si="2"/>
        <v>1.133333333</v>
      </c>
      <c r="H1031" s="37">
        <v>45398.0</v>
      </c>
      <c r="I1031" s="36">
        <f t="shared" si="4"/>
        <v>2.127777778</v>
      </c>
      <c r="J1031" s="38">
        <v>83.0</v>
      </c>
      <c r="K1031" s="39">
        <v>7.9</v>
      </c>
      <c r="L1031" s="38">
        <v>23.0</v>
      </c>
      <c r="M1031" s="40" t="s">
        <v>29</v>
      </c>
      <c r="N1031" s="41"/>
      <c r="O1031" s="42" t="s">
        <v>34</v>
      </c>
      <c r="P1031" s="43"/>
    </row>
    <row r="1032">
      <c r="A1032" s="44" t="s">
        <v>1229</v>
      </c>
      <c r="B1032" s="45" t="s">
        <v>25</v>
      </c>
      <c r="C1032" s="46" t="s">
        <v>1089</v>
      </c>
      <c r="D1032" s="47" t="str">
        <f t="shared" si="1"/>
        <v>Removed</v>
      </c>
      <c r="E1032" s="48">
        <v>46175.0</v>
      </c>
      <c r="F1032" s="49">
        <v>46209.0</v>
      </c>
      <c r="G1032" s="50">
        <f t="shared" si="2"/>
        <v>1.133333333</v>
      </c>
      <c r="H1032" s="51">
        <v>45237.0</v>
      </c>
      <c r="I1032" s="50">
        <f t="shared" si="4"/>
        <v>2.569444444</v>
      </c>
      <c r="J1032" s="55">
        <v>77.0</v>
      </c>
      <c r="K1032" s="56">
        <v>6.8</v>
      </c>
      <c r="L1032" s="55">
        <v>8.0</v>
      </c>
      <c r="M1032" s="58" t="s">
        <v>114</v>
      </c>
      <c r="N1032" s="59"/>
      <c r="O1032" s="60" t="s">
        <v>34</v>
      </c>
      <c r="P1032" s="61"/>
    </row>
    <row r="1033">
      <c r="A1033" s="29" t="s">
        <v>1230</v>
      </c>
      <c r="B1033" s="30" t="s">
        <v>33</v>
      </c>
      <c r="C1033" s="31" t="s">
        <v>1089</v>
      </c>
      <c r="D1033" s="32" t="str">
        <f t="shared" si="1"/>
        <v>Removed</v>
      </c>
      <c r="E1033" s="33">
        <v>46175.0</v>
      </c>
      <c r="F1033" s="34">
        <v>46209.0</v>
      </c>
      <c r="G1033" s="36">
        <f t="shared" si="2"/>
        <v>1.133333333</v>
      </c>
      <c r="H1033" s="37">
        <v>44895.0</v>
      </c>
      <c r="I1033" s="36">
        <f t="shared" si="4"/>
        <v>3.505555556</v>
      </c>
      <c r="J1033" s="38">
        <v>75.0</v>
      </c>
      <c r="K1033" s="39">
        <v>4.9</v>
      </c>
      <c r="L1033" s="38">
        <v>31.0</v>
      </c>
      <c r="M1033" s="40" t="s">
        <v>31</v>
      </c>
      <c r="N1033" s="41"/>
      <c r="O1033" s="42" t="s">
        <v>34</v>
      </c>
      <c r="P1033" s="43"/>
    </row>
    <row r="1034">
      <c r="A1034" s="44" t="s">
        <v>1231</v>
      </c>
      <c r="B1034" s="45" t="s">
        <v>25</v>
      </c>
      <c r="C1034" s="46" t="s">
        <v>1089</v>
      </c>
      <c r="D1034" s="47" t="str">
        <f t="shared" si="1"/>
        <v>Removed</v>
      </c>
      <c r="E1034" s="48">
        <v>46147.0</v>
      </c>
      <c r="F1034" s="49">
        <v>46189.0</v>
      </c>
      <c r="G1034" s="50">
        <f t="shared" si="2"/>
        <v>1.366666667</v>
      </c>
      <c r="H1034" s="51">
        <v>45926.0</v>
      </c>
      <c r="I1034" s="50">
        <f t="shared" si="4"/>
        <v>0.6083333333</v>
      </c>
      <c r="J1034" s="55">
        <v>77.0</v>
      </c>
      <c r="K1034" s="56">
        <v>2.9</v>
      </c>
      <c r="L1034" s="55">
        <v>32.0</v>
      </c>
      <c r="M1034" s="58" t="s">
        <v>125</v>
      </c>
      <c r="N1034" s="59"/>
      <c r="O1034" s="60" t="s">
        <v>34</v>
      </c>
      <c r="P1034" s="61"/>
    </row>
    <row r="1035">
      <c r="A1035" s="29" t="s">
        <v>1232</v>
      </c>
      <c r="B1035" s="30" t="s">
        <v>25</v>
      </c>
      <c r="C1035" s="31" t="s">
        <v>476</v>
      </c>
      <c r="D1035" s="32" t="str">
        <f t="shared" si="1"/>
        <v>Removed</v>
      </c>
      <c r="E1035" s="33">
        <v>45993.0</v>
      </c>
      <c r="F1035" s="34">
        <v>46188.0</v>
      </c>
      <c r="G1035" s="36">
        <f t="shared" si="2"/>
        <v>6.433333333</v>
      </c>
      <c r="H1035" s="37">
        <v>40316.0</v>
      </c>
      <c r="I1035" s="36">
        <f t="shared" si="4"/>
        <v>15.53888889</v>
      </c>
      <c r="J1035" s="38">
        <v>95.0</v>
      </c>
      <c r="K1035" s="39">
        <v>8.8</v>
      </c>
      <c r="L1035" s="38">
        <v>18.0</v>
      </c>
      <c r="M1035" s="40" t="s">
        <v>29</v>
      </c>
      <c r="N1035" s="41" t="s">
        <v>442</v>
      </c>
      <c r="O1035" s="42"/>
      <c r="P1035" s="67"/>
    </row>
    <row r="1036">
      <c r="A1036" s="44" t="s">
        <v>1233</v>
      </c>
      <c r="B1036" s="45" t="s">
        <v>25</v>
      </c>
      <c r="C1036" s="46" t="s">
        <v>476</v>
      </c>
      <c r="D1036" s="47" t="str">
        <f t="shared" si="1"/>
        <v>Removed</v>
      </c>
      <c r="E1036" s="48">
        <v>45993.0</v>
      </c>
      <c r="F1036" s="49">
        <v>46188.0</v>
      </c>
      <c r="G1036" s="50">
        <f t="shared" si="2"/>
        <v>6.433333333</v>
      </c>
      <c r="H1036" s="51">
        <v>40477.0</v>
      </c>
      <c r="I1036" s="50">
        <f t="shared" si="4"/>
        <v>15.1</v>
      </c>
      <c r="J1036" s="55">
        <v>87.0</v>
      </c>
      <c r="K1036" s="56">
        <v>8.4</v>
      </c>
      <c r="L1036" s="55">
        <v>7.0</v>
      </c>
      <c r="M1036" s="58" t="s">
        <v>29</v>
      </c>
      <c r="N1036" s="59" t="s">
        <v>442</v>
      </c>
      <c r="O1036" s="60" t="s">
        <v>149</v>
      </c>
      <c r="P1036" s="66" t="s">
        <v>505</v>
      </c>
    </row>
    <row r="1037">
      <c r="A1037" s="29" t="s">
        <v>1234</v>
      </c>
      <c r="B1037" s="30" t="s">
        <v>25</v>
      </c>
      <c r="C1037" s="31" t="s">
        <v>26</v>
      </c>
      <c r="D1037" s="32" t="str">
        <f t="shared" si="1"/>
        <v>Removed</v>
      </c>
      <c r="E1037" s="33">
        <v>45825.0</v>
      </c>
      <c r="F1037" s="34">
        <v>46188.0</v>
      </c>
      <c r="G1037" s="36">
        <f t="shared" si="2"/>
        <v>11.93333333</v>
      </c>
      <c r="H1037" s="37">
        <v>45079.0</v>
      </c>
      <c r="I1037" s="36">
        <f t="shared" si="4"/>
        <v>2.041666667</v>
      </c>
      <c r="J1037" s="38">
        <v>81.0</v>
      </c>
      <c r="K1037" s="39">
        <v>7.1</v>
      </c>
      <c r="L1037" s="38">
        <v>5.0</v>
      </c>
      <c r="M1037" s="40" t="s">
        <v>29</v>
      </c>
      <c r="N1037" s="41"/>
      <c r="O1037" s="42"/>
      <c r="P1037" s="43"/>
    </row>
    <row r="1038">
      <c r="A1038" s="44" t="s">
        <v>1235</v>
      </c>
      <c r="B1038" s="45" t="s">
        <v>45</v>
      </c>
      <c r="C1038" s="46" t="s">
        <v>26</v>
      </c>
      <c r="D1038" s="47" t="str">
        <f t="shared" si="1"/>
        <v>Removed</v>
      </c>
      <c r="E1038" s="48">
        <v>45461.0</v>
      </c>
      <c r="F1038" s="49">
        <v>46188.0</v>
      </c>
      <c r="G1038" s="50">
        <f t="shared" si="2"/>
        <v>23.9</v>
      </c>
      <c r="H1038" s="51">
        <v>43266.0</v>
      </c>
      <c r="I1038" s="50">
        <f t="shared" si="4"/>
        <v>6.008333333</v>
      </c>
      <c r="J1038" s="55">
        <v>69.0</v>
      </c>
      <c r="K1038" s="56">
        <v>5.6</v>
      </c>
      <c r="L1038" s="55">
        <v>7.0</v>
      </c>
      <c r="M1038" s="58" t="s">
        <v>29</v>
      </c>
      <c r="N1038" s="59"/>
      <c r="O1038" s="60" t="s">
        <v>149</v>
      </c>
      <c r="P1038" s="61"/>
    </row>
    <row r="1039">
      <c r="A1039" s="29" t="s">
        <v>1236</v>
      </c>
      <c r="B1039" s="30" t="s">
        <v>25</v>
      </c>
      <c r="C1039" s="31" t="s">
        <v>26</v>
      </c>
      <c r="D1039" s="32" t="str">
        <f t="shared" si="1"/>
        <v>Removed</v>
      </c>
      <c r="E1039" s="33">
        <v>45166.0</v>
      </c>
      <c r="F1039" s="34">
        <v>46188.0</v>
      </c>
      <c r="G1039" s="36">
        <f t="shared" si="2"/>
        <v>33.56666667</v>
      </c>
      <c r="H1039" s="37">
        <v>44651.0</v>
      </c>
      <c r="I1039" s="36">
        <f t="shared" si="4"/>
        <v>1.411111111</v>
      </c>
      <c r="J1039" s="38">
        <v>70.0</v>
      </c>
      <c r="K1039" s="39">
        <v>3.3</v>
      </c>
      <c r="L1039" s="38">
        <v>21.0</v>
      </c>
      <c r="M1039" s="40" t="s">
        <v>70</v>
      </c>
      <c r="N1039" s="41"/>
      <c r="O1039" s="42" t="s">
        <v>149</v>
      </c>
      <c r="P1039" s="43"/>
    </row>
    <row r="1040">
      <c r="A1040" s="44" t="s">
        <v>1237</v>
      </c>
      <c r="B1040" s="45" t="s">
        <v>45</v>
      </c>
      <c r="C1040" s="46" t="s">
        <v>207</v>
      </c>
      <c r="D1040" s="47" t="str">
        <f t="shared" si="1"/>
        <v>Removed</v>
      </c>
      <c r="E1040" s="48">
        <v>44824.0</v>
      </c>
      <c r="F1040" s="49">
        <v>46188.0</v>
      </c>
      <c r="G1040" s="50">
        <f t="shared" si="2"/>
        <v>44.83333333</v>
      </c>
      <c r="H1040" s="51">
        <v>40491.0</v>
      </c>
      <c r="I1040" s="50">
        <f t="shared" si="4"/>
        <v>11.86388889</v>
      </c>
      <c r="J1040" s="55">
        <v>75.0</v>
      </c>
      <c r="K1040" s="56">
        <v>6.4</v>
      </c>
      <c r="L1040" s="55">
        <v>5.0</v>
      </c>
      <c r="M1040" s="58" t="s">
        <v>114</v>
      </c>
      <c r="N1040" s="59"/>
      <c r="O1040" s="60" t="s">
        <v>149</v>
      </c>
      <c r="P1040" s="61"/>
    </row>
    <row r="1041">
      <c r="A1041" s="29" t="s">
        <v>1238</v>
      </c>
      <c r="B1041" s="30" t="s">
        <v>25</v>
      </c>
      <c r="C1041" s="31" t="s">
        <v>26</v>
      </c>
      <c r="D1041" s="32" t="str">
        <f t="shared" si="1"/>
        <v>Removed</v>
      </c>
      <c r="E1041" s="33">
        <v>44810.0</v>
      </c>
      <c r="F1041" s="34">
        <v>46188.0</v>
      </c>
      <c r="G1041" s="36">
        <f t="shared" si="2"/>
        <v>45.3</v>
      </c>
      <c r="H1041" s="37">
        <v>44418.0</v>
      </c>
      <c r="I1041" s="36">
        <f t="shared" si="4"/>
        <v>1.072222222</v>
      </c>
      <c r="J1041" s="38">
        <v>71.0</v>
      </c>
      <c r="K1041" s="39">
        <v>6.8</v>
      </c>
      <c r="L1041" s="38">
        <v>70.0</v>
      </c>
      <c r="M1041" s="40" t="s">
        <v>70</v>
      </c>
      <c r="N1041" s="41"/>
      <c r="O1041" s="42" t="s">
        <v>34</v>
      </c>
      <c r="P1041" s="43"/>
    </row>
    <row r="1042">
      <c r="A1042" s="44" t="s">
        <v>1239</v>
      </c>
      <c r="B1042" s="45" t="s">
        <v>25</v>
      </c>
      <c r="C1042" s="46" t="s">
        <v>26</v>
      </c>
      <c r="D1042" s="47" t="str">
        <f t="shared" si="1"/>
        <v>Removed</v>
      </c>
      <c r="E1042" s="48">
        <v>45812.0</v>
      </c>
      <c r="F1042" s="49">
        <v>46181.0</v>
      </c>
      <c r="G1042" s="50">
        <f t="shared" si="2"/>
        <v>12.13333333</v>
      </c>
      <c r="H1042" s="51">
        <v>45447.0</v>
      </c>
      <c r="I1042" s="50">
        <f t="shared" si="4"/>
        <v>1</v>
      </c>
      <c r="J1042" s="55">
        <v>76.0</v>
      </c>
      <c r="K1042" s="56">
        <v>5.1</v>
      </c>
      <c r="L1042" s="55">
        <v>32.0</v>
      </c>
      <c r="M1042" s="58" t="s">
        <v>31</v>
      </c>
      <c r="N1042" s="59" t="s">
        <v>1240</v>
      </c>
      <c r="O1042" s="60"/>
      <c r="P1042" s="61"/>
    </row>
    <row r="1043">
      <c r="A1043" s="29" t="s">
        <v>1241</v>
      </c>
      <c r="B1043" s="30" t="s">
        <v>33</v>
      </c>
      <c r="C1043" s="31" t="s">
        <v>1089</v>
      </c>
      <c r="D1043" s="32" t="str">
        <f t="shared" si="1"/>
        <v>Removed</v>
      </c>
      <c r="E1043" s="33">
        <v>46147.0</v>
      </c>
      <c r="F1043" s="34">
        <v>46174.0</v>
      </c>
      <c r="G1043" s="36">
        <f t="shared" si="2"/>
        <v>0.8666666667</v>
      </c>
      <c r="H1043" s="37">
        <v>45862.0</v>
      </c>
      <c r="I1043" s="36">
        <f t="shared" si="4"/>
        <v>0.7805555556</v>
      </c>
      <c r="J1043" s="38">
        <v>74.0</v>
      </c>
      <c r="K1043" s="39">
        <v>6.8</v>
      </c>
      <c r="L1043" s="38">
        <v>31.0</v>
      </c>
      <c r="M1043" s="40" t="s">
        <v>42</v>
      </c>
      <c r="N1043" s="41"/>
      <c r="O1043" s="42" t="s">
        <v>34</v>
      </c>
      <c r="P1043" s="43"/>
    </row>
    <row r="1044">
      <c r="A1044" s="44" t="s">
        <v>1242</v>
      </c>
      <c r="B1044" s="45" t="s">
        <v>25</v>
      </c>
      <c r="C1044" s="46" t="s">
        <v>1089</v>
      </c>
      <c r="D1044" s="47" t="str">
        <f t="shared" si="1"/>
        <v>Removed</v>
      </c>
      <c r="E1044" s="48">
        <v>46147.0</v>
      </c>
      <c r="F1044" s="49">
        <v>46174.0</v>
      </c>
      <c r="G1044" s="50">
        <f t="shared" si="2"/>
        <v>0.8666666667</v>
      </c>
      <c r="H1044" s="51">
        <v>45440.0</v>
      </c>
      <c r="I1044" s="50">
        <f t="shared" si="4"/>
        <v>1.936111111</v>
      </c>
      <c r="J1044" s="55">
        <v>84.0</v>
      </c>
      <c r="K1044" s="56">
        <v>8.4</v>
      </c>
      <c r="L1044" s="55">
        <v>22.0</v>
      </c>
      <c r="M1044" s="58" t="s">
        <v>222</v>
      </c>
      <c r="N1044" s="59"/>
      <c r="O1044" s="60" t="s">
        <v>34</v>
      </c>
      <c r="P1044" s="61"/>
    </row>
    <row r="1045">
      <c r="A1045" s="29" t="s">
        <v>1243</v>
      </c>
      <c r="B1045" s="30" t="s">
        <v>25</v>
      </c>
      <c r="C1045" s="31" t="s">
        <v>26</v>
      </c>
      <c r="D1045" s="32" t="str">
        <f t="shared" si="1"/>
        <v>Removed</v>
      </c>
      <c r="E1045" s="33">
        <v>45979.0</v>
      </c>
      <c r="F1045" s="34">
        <v>46160.0</v>
      </c>
      <c r="G1045" s="36">
        <f t="shared" si="2"/>
        <v>6</v>
      </c>
      <c r="H1045" s="37">
        <v>45777.0</v>
      </c>
      <c r="I1045" s="36">
        <f t="shared" si="4"/>
        <v>0.55</v>
      </c>
      <c r="J1045" s="38">
        <v>78.0</v>
      </c>
      <c r="K1045" s="39">
        <f>average(3,10)</f>
        <v>6.5</v>
      </c>
      <c r="L1045" s="38">
        <v>27.0</v>
      </c>
      <c r="M1045" s="40" t="s">
        <v>95</v>
      </c>
      <c r="N1045" s="41"/>
      <c r="O1045" s="42"/>
      <c r="P1045" s="43"/>
    </row>
    <row r="1046">
      <c r="A1046" s="44" t="s">
        <v>1244</v>
      </c>
      <c r="B1046" s="45" t="s">
        <v>25</v>
      </c>
      <c r="C1046" s="46" t="s">
        <v>26</v>
      </c>
      <c r="D1046" s="47" t="str">
        <f t="shared" si="1"/>
        <v>Removed</v>
      </c>
      <c r="E1046" s="48">
        <v>45797.0</v>
      </c>
      <c r="F1046" s="49">
        <v>46160.0</v>
      </c>
      <c r="G1046" s="50">
        <f t="shared" si="2"/>
        <v>11.93333333</v>
      </c>
      <c r="H1046" s="51">
        <v>45408.0</v>
      </c>
      <c r="I1046" s="50">
        <f t="shared" si="4"/>
        <v>1.066666667</v>
      </c>
      <c r="J1046" s="55">
        <v>71.0</v>
      </c>
      <c r="K1046" s="56">
        <v>8.0</v>
      </c>
      <c r="L1046" s="55">
        <v>20.0</v>
      </c>
      <c r="M1046" s="58" t="s">
        <v>42</v>
      </c>
      <c r="N1046" s="59"/>
      <c r="O1046" s="60"/>
      <c r="P1046" s="61"/>
    </row>
    <row r="1047">
      <c r="A1047" s="29" t="s">
        <v>1245</v>
      </c>
      <c r="B1047" s="30" t="s">
        <v>33</v>
      </c>
      <c r="C1047" s="31" t="s">
        <v>26</v>
      </c>
      <c r="D1047" s="32" t="str">
        <f t="shared" si="1"/>
        <v>Removed</v>
      </c>
      <c r="E1047" s="33">
        <v>45797.0</v>
      </c>
      <c r="F1047" s="34">
        <v>46160.0</v>
      </c>
      <c r="G1047" s="36">
        <f t="shared" si="2"/>
        <v>11.93333333</v>
      </c>
      <c r="H1047" s="37">
        <v>44797.0</v>
      </c>
      <c r="I1047" s="36">
        <f t="shared" si="4"/>
        <v>2.738888889</v>
      </c>
      <c r="J1047" s="38">
        <v>74.0</v>
      </c>
      <c r="K1047" s="39">
        <v>6.9</v>
      </c>
      <c r="L1047" s="38">
        <v>31.0</v>
      </c>
      <c r="M1047" s="40" t="s">
        <v>42</v>
      </c>
      <c r="N1047" s="41"/>
      <c r="O1047" s="42" t="s">
        <v>34</v>
      </c>
      <c r="P1047" s="43"/>
    </row>
    <row r="1048">
      <c r="A1048" s="44" t="s">
        <v>1246</v>
      </c>
      <c r="B1048" s="45" t="s">
        <v>45</v>
      </c>
      <c r="C1048" s="46" t="s">
        <v>26</v>
      </c>
      <c r="D1048" s="47" t="str">
        <f t="shared" si="1"/>
        <v>Removed</v>
      </c>
      <c r="E1048" s="48">
        <v>44725.0</v>
      </c>
      <c r="F1048" s="49">
        <v>46160.0</v>
      </c>
      <c r="G1048" s="50">
        <f t="shared" si="2"/>
        <v>47.16666667</v>
      </c>
      <c r="H1048" s="51">
        <v>44134.0</v>
      </c>
      <c r="I1048" s="50">
        <f t="shared" si="4"/>
        <v>1.619444444</v>
      </c>
      <c r="J1048" s="55">
        <v>73.0</v>
      </c>
      <c r="K1048" s="56">
        <v>6.1</v>
      </c>
      <c r="L1048" s="55">
        <v>6.0</v>
      </c>
      <c r="M1048" s="58" t="s">
        <v>537</v>
      </c>
      <c r="N1048" s="59"/>
      <c r="O1048" s="60" t="s">
        <v>149</v>
      </c>
      <c r="P1048" s="61"/>
    </row>
    <row r="1049">
      <c r="A1049" s="29" t="s">
        <v>1247</v>
      </c>
      <c r="B1049" s="30" t="s">
        <v>45</v>
      </c>
      <c r="C1049" s="31" t="s">
        <v>26</v>
      </c>
      <c r="D1049" s="32" t="str">
        <f t="shared" si="1"/>
        <v>Removed</v>
      </c>
      <c r="E1049" s="33">
        <v>44725.0</v>
      </c>
      <c r="F1049" s="34">
        <v>46160.0</v>
      </c>
      <c r="G1049" s="36">
        <f t="shared" si="2"/>
        <v>47.16666667</v>
      </c>
      <c r="H1049" s="37">
        <v>43707.0</v>
      </c>
      <c r="I1049" s="36">
        <f t="shared" si="4"/>
        <v>2.786111111</v>
      </c>
      <c r="J1049" s="38">
        <v>69.0</v>
      </c>
      <c r="K1049" s="39">
        <v>6.6</v>
      </c>
      <c r="L1049" s="38">
        <v>4.5</v>
      </c>
      <c r="M1049" s="40" t="s">
        <v>537</v>
      </c>
      <c r="N1049" s="41"/>
      <c r="O1049" s="42" t="s">
        <v>149</v>
      </c>
      <c r="P1049" s="43"/>
    </row>
    <row r="1050">
      <c r="A1050" s="44" t="s">
        <v>1248</v>
      </c>
      <c r="B1050" s="45" t="s">
        <v>25</v>
      </c>
      <c r="C1050" s="46" t="s">
        <v>26</v>
      </c>
      <c r="D1050" s="47" t="str">
        <f t="shared" si="1"/>
        <v>Removed</v>
      </c>
      <c r="E1050" s="48">
        <v>44725.0</v>
      </c>
      <c r="F1050" s="49">
        <v>46160.0</v>
      </c>
      <c r="G1050" s="50">
        <f t="shared" si="2"/>
        <v>47.16666667</v>
      </c>
      <c r="H1050" s="51">
        <v>44070.0</v>
      </c>
      <c r="I1050" s="50">
        <f t="shared" si="4"/>
        <v>1.794444444</v>
      </c>
      <c r="J1050" s="55">
        <v>85.0</v>
      </c>
      <c r="K1050" s="56">
        <v>7.7</v>
      </c>
      <c r="L1050" s="55">
        <v>12.5</v>
      </c>
      <c r="M1050" s="58" t="s">
        <v>29</v>
      </c>
      <c r="N1050" s="59"/>
      <c r="O1050" s="60" t="s">
        <v>149</v>
      </c>
      <c r="P1050" s="61"/>
    </row>
    <row r="1051">
      <c r="A1051" s="29" t="s">
        <v>1249</v>
      </c>
      <c r="B1051" s="30" t="s">
        <v>45</v>
      </c>
      <c r="C1051" s="31" t="s">
        <v>26</v>
      </c>
      <c r="D1051" s="32" t="str">
        <f t="shared" si="1"/>
        <v>Removed</v>
      </c>
      <c r="E1051" s="33">
        <v>44537.0</v>
      </c>
      <c r="F1051" s="34">
        <v>46160.0</v>
      </c>
      <c r="G1051" s="36">
        <f t="shared" si="2"/>
        <v>53.36666667</v>
      </c>
      <c r="H1051" s="37">
        <v>44061.0</v>
      </c>
      <c r="I1051" s="36">
        <f t="shared" si="4"/>
        <v>1.302777778</v>
      </c>
      <c r="J1051" s="38">
        <v>76.0</v>
      </c>
      <c r="K1051" s="39">
        <v>6.2</v>
      </c>
      <c r="L1051" s="38">
        <v>11.0</v>
      </c>
      <c r="M1051" s="40" t="s">
        <v>29</v>
      </c>
      <c r="N1051" s="41"/>
      <c r="O1051" s="42" t="s">
        <v>149</v>
      </c>
      <c r="P1051" s="43"/>
    </row>
    <row r="1052">
      <c r="A1052" s="44" t="s">
        <v>1250</v>
      </c>
      <c r="B1052" s="45" t="s">
        <v>33</v>
      </c>
      <c r="C1052" s="46" t="s">
        <v>1089</v>
      </c>
      <c r="D1052" s="47" t="str">
        <f t="shared" si="1"/>
        <v>Removed</v>
      </c>
      <c r="E1052" s="48">
        <v>46119.0</v>
      </c>
      <c r="F1052" s="49">
        <v>46146.0</v>
      </c>
      <c r="G1052" s="50">
        <f t="shared" si="2"/>
        <v>0.9</v>
      </c>
      <c r="H1052" s="51">
        <v>45212.0</v>
      </c>
      <c r="I1052" s="50">
        <f t="shared" si="4"/>
        <v>2.483333333</v>
      </c>
      <c r="J1052" s="55">
        <v>75.0</v>
      </c>
      <c r="K1052" s="56">
        <v>6.8</v>
      </c>
      <c r="L1052" s="55">
        <v>29.0</v>
      </c>
      <c r="M1052" s="58" t="s">
        <v>42</v>
      </c>
      <c r="N1052" s="59"/>
      <c r="O1052" s="60" t="s">
        <v>34</v>
      </c>
      <c r="P1052" s="61"/>
    </row>
    <row r="1053">
      <c r="A1053" s="29" t="s">
        <v>1251</v>
      </c>
      <c r="B1053" s="30" t="s">
        <v>33</v>
      </c>
      <c r="C1053" s="31" t="s">
        <v>1089</v>
      </c>
      <c r="D1053" s="32" t="str">
        <f t="shared" si="1"/>
        <v>Removed</v>
      </c>
      <c r="E1053" s="33">
        <v>46119.0</v>
      </c>
      <c r="F1053" s="34">
        <v>46146.0</v>
      </c>
      <c r="G1053" s="36">
        <f t="shared" si="2"/>
        <v>0.9</v>
      </c>
      <c r="H1053" s="37">
        <v>45569.0</v>
      </c>
      <c r="I1053" s="36">
        <f t="shared" si="4"/>
        <v>1.508333333</v>
      </c>
      <c r="J1053" s="38">
        <v>68.0</v>
      </c>
      <c r="K1053" s="39">
        <v>7.1</v>
      </c>
      <c r="L1053" s="38">
        <v>18.0</v>
      </c>
      <c r="M1053" s="40" t="s">
        <v>42</v>
      </c>
      <c r="N1053" s="41"/>
      <c r="O1053" s="42" t="s">
        <v>34</v>
      </c>
      <c r="P1053" s="43"/>
    </row>
    <row r="1054">
      <c r="A1054" s="44" t="s">
        <v>1252</v>
      </c>
      <c r="B1054" s="45" t="s">
        <v>25</v>
      </c>
      <c r="C1054" s="46" t="s">
        <v>1089</v>
      </c>
      <c r="D1054" s="47" t="str">
        <f t="shared" si="1"/>
        <v>Removed</v>
      </c>
      <c r="E1054" s="48">
        <v>46119.0</v>
      </c>
      <c r="F1054" s="49">
        <v>46146.0</v>
      </c>
      <c r="G1054" s="50">
        <f t="shared" si="2"/>
        <v>0.9</v>
      </c>
      <c r="H1054" s="51">
        <v>45336.0</v>
      </c>
      <c r="I1054" s="50">
        <f t="shared" si="4"/>
        <v>2.147222222</v>
      </c>
      <c r="J1054" s="55">
        <v>75.0</v>
      </c>
      <c r="K1054" s="56">
        <v>7.7</v>
      </c>
      <c r="L1054" s="55">
        <v>66.0</v>
      </c>
      <c r="M1054" s="58" t="s">
        <v>29</v>
      </c>
      <c r="N1054" s="59"/>
      <c r="O1054" s="60" t="s">
        <v>34</v>
      </c>
      <c r="P1054" s="61"/>
    </row>
    <row r="1055">
      <c r="A1055" s="29" t="s">
        <v>1253</v>
      </c>
      <c r="B1055" s="30" t="s">
        <v>33</v>
      </c>
      <c r="C1055" s="31" t="s">
        <v>26</v>
      </c>
      <c r="D1055" s="32" t="str">
        <f t="shared" si="1"/>
        <v>Removed</v>
      </c>
      <c r="E1055" s="33">
        <v>45762.0</v>
      </c>
      <c r="F1055" s="34">
        <v>46132.0</v>
      </c>
      <c r="G1055" s="36">
        <f t="shared" si="2"/>
        <v>12.16666667</v>
      </c>
      <c r="H1055" s="37">
        <v>45762.0</v>
      </c>
      <c r="I1055" s="36">
        <f t="shared" si="4"/>
        <v>0</v>
      </c>
      <c r="J1055" s="38">
        <v>69.0</v>
      </c>
      <c r="K1055" s="39">
        <v>6.8</v>
      </c>
      <c r="L1055" s="38">
        <v>5.0</v>
      </c>
      <c r="M1055" s="40" t="s">
        <v>29</v>
      </c>
      <c r="N1055" s="41"/>
      <c r="O1055" s="42" t="s">
        <v>34</v>
      </c>
      <c r="P1055" s="43"/>
    </row>
    <row r="1056">
      <c r="A1056" s="44" t="s">
        <v>1254</v>
      </c>
      <c r="B1056" s="45" t="s">
        <v>33</v>
      </c>
      <c r="C1056" s="46" t="s">
        <v>26</v>
      </c>
      <c r="D1056" s="47" t="str">
        <f t="shared" si="1"/>
        <v>Removed</v>
      </c>
      <c r="E1056" s="48">
        <v>45748.0</v>
      </c>
      <c r="F1056" s="49">
        <v>46132.0</v>
      </c>
      <c r="G1056" s="50">
        <f t="shared" si="2"/>
        <v>12.63333333</v>
      </c>
      <c r="H1056" s="51">
        <v>45020.0</v>
      </c>
      <c r="I1056" s="50">
        <f t="shared" si="4"/>
        <v>1.991666667</v>
      </c>
      <c r="J1056" s="55">
        <v>76.0</v>
      </c>
      <c r="K1056" s="56">
        <v>9.2</v>
      </c>
      <c r="L1056" s="78"/>
      <c r="M1056" s="58" t="s">
        <v>125</v>
      </c>
      <c r="N1056" s="59"/>
      <c r="O1056" s="60" t="s">
        <v>34</v>
      </c>
      <c r="P1056" s="61"/>
    </row>
    <row r="1057">
      <c r="A1057" s="29" t="s">
        <v>1255</v>
      </c>
      <c r="B1057" s="30" t="s">
        <v>33</v>
      </c>
      <c r="C1057" s="31" t="s">
        <v>26</v>
      </c>
      <c r="D1057" s="32" t="str">
        <f t="shared" si="1"/>
        <v>Removed</v>
      </c>
      <c r="E1057" s="33">
        <v>45706.0</v>
      </c>
      <c r="F1057" s="34">
        <v>46132.0</v>
      </c>
      <c r="G1057" s="36">
        <f t="shared" si="2"/>
        <v>14.06666667</v>
      </c>
      <c r="H1057" s="37">
        <v>45706.0</v>
      </c>
      <c r="I1057" s="36">
        <f t="shared" si="4"/>
        <v>0</v>
      </c>
      <c r="J1057" s="38">
        <v>75.0</v>
      </c>
      <c r="K1057" s="39">
        <v>6.2</v>
      </c>
      <c r="L1057" s="38">
        <v>7.0</v>
      </c>
      <c r="M1057" s="40" t="s">
        <v>29</v>
      </c>
      <c r="N1057" s="41" t="s">
        <v>1256</v>
      </c>
      <c r="O1057" s="42" t="s">
        <v>34</v>
      </c>
      <c r="P1057" s="43"/>
    </row>
    <row r="1058">
      <c r="A1058" s="44" t="s">
        <v>1257</v>
      </c>
      <c r="B1058" s="45" t="s">
        <v>25</v>
      </c>
      <c r="C1058" s="46" t="s">
        <v>26</v>
      </c>
      <c r="D1058" s="47" t="str">
        <f t="shared" si="1"/>
        <v>Removed</v>
      </c>
      <c r="E1058" s="48">
        <v>45398.0</v>
      </c>
      <c r="F1058" s="49">
        <v>46132.0</v>
      </c>
      <c r="G1058" s="50">
        <f t="shared" si="2"/>
        <v>24.13333333</v>
      </c>
      <c r="H1058" s="51">
        <v>45105.0</v>
      </c>
      <c r="I1058" s="50">
        <f t="shared" si="4"/>
        <v>0.8</v>
      </c>
      <c r="J1058" s="55">
        <v>90.0</v>
      </c>
      <c r="K1058" s="56">
        <v>8.3</v>
      </c>
      <c r="L1058" s="55">
        <v>24.0</v>
      </c>
      <c r="M1058" s="58" t="s">
        <v>29</v>
      </c>
      <c r="N1058" s="59"/>
      <c r="O1058" s="60" t="s">
        <v>149</v>
      </c>
      <c r="P1058" s="61"/>
    </row>
    <row r="1059">
      <c r="A1059" s="29" t="s">
        <v>1258</v>
      </c>
      <c r="B1059" s="30" t="s">
        <v>384</v>
      </c>
      <c r="C1059" s="31" t="s">
        <v>26</v>
      </c>
      <c r="D1059" s="32" t="str">
        <f t="shared" si="1"/>
        <v>Removed</v>
      </c>
      <c r="E1059" s="33">
        <v>44725.0</v>
      </c>
      <c r="F1059" s="34">
        <v>46132.0</v>
      </c>
      <c r="G1059" s="36">
        <f t="shared" si="2"/>
        <v>46.23333333</v>
      </c>
      <c r="H1059" s="37">
        <v>43426.0</v>
      </c>
      <c r="I1059" s="36">
        <f t="shared" si="4"/>
        <v>3.558333333</v>
      </c>
      <c r="J1059" s="38">
        <v>56.0</v>
      </c>
      <c r="K1059" s="39">
        <v>7.1</v>
      </c>
      <c r="L1059" s="38">
        <v>11.0</v>
      </c>
      <c r="M1059" s="40" t="s">
        <v>29</v>
      </c>
      <c r="N1059" s="41"/>
      <c r="O1059" s="42" t="s">
        <v>34</v>
      </c>
      <c r="P1059" s="43"/>
    </row>
    <row r="1060">
      <c r="A1060" s="44" t="s">
        <v>1259</v>
      </c>
      <c r="B1060" s="45" t="s">
        <v>45</v>
      </c>
      <c r="C1060" s="46" t="s">
        <v>26</v>
      </c>
      <c r="D1060" s="47" t="str">
        <f t="shared" si="1"/>
        <v>Removed</v>
      </c>
      <c r="E1060" s="48">
        <v>44725.0</v>
      </c>
      <c r="F1060" s="49">
        <v>46132.0</v>
      </c>
      <c r="G1060" s="50">
        <f t="shared" si="2"/>
        <v>46.23333333</v>
      </c>
      <c r="H1060" s="51">
        <v>41450.0</v>
      </c>
      <c r="I1060" s="50">
        <f t="shared" si="4"/>
        <v>8.966666667</v>
      </c>
      <c r="J1060" s="55">
        <v>83.0</v>
      </c>
      <c r="K1060" s="56">
        <v>8.0</v>
      </c>
      <c r="L1060" s="55">
        <v>4.0</v>
      </c>
      <c r="M1060" s="58" t="s">
        <v>29</v>
      </c>
      <c r="N1060" s="59"/>
      <c r="O1060" s="60" t="s">
        <v>149</v>
      </c>
      <c r="P1060" s="61" t="s">
        <v>149</v>
      </c>
    </row>
    <row r="1061">
      <c r="A1061" s="29" t="s">
        <v>1260</v>
      </c>
      <c r="B1061" s="30" t="s">
        <v>45</v>
      </c>
      <c r="C1061" s="31" t="s">
        <v>26</v>
      </c>
      <c r="D1061" s="32" t="str">
        <f t="shared" si="1"/>
        <v>Removed</v>
      </c>
      <c r="E1061" s="33">
        <v>44537.0</v>
      </c>
      <c r="F1061" s="34">
        <v>46132.0</v>
      </c>
      <c r="G1061" s="36">
        <f t="shared" si="2"/>
        <v>52.43333333</v>
      </c>
      <c r="H1061" s="37">
        <v>43886.0</v>
      </c>
      <c r="I1061" s="36">
        <f t="shared" si="4"/>
        <v>1.783333333</v>
      </c>
      <c r="J1061" s="38">
        <v>71.0</v>
      </c>
      <c r="K1061" s="39">
        <v>6.4</v>
      </c>
      <c r="L1061" s="76"/>
      <c r="M1061" s="40" t="s">
        <v>217</v>
      </c>
      <c r="N1061" s="41"/>
      <c r="O1061" s="42" t="s">
        <v>149</v>
      </c>
      <c r="P1061" s="43" t="s">
        <v>149</v>
      </c>
    </row>
    <row r="1062">
      <c r="A1062" s="44" t="s">
        <v>1261</v>
      </c>
      <c r="B1062" s="45" t="s">
        <v>25</v>
      </c>
      <c r="C1062" s="46" t="s">
        <v>26</v>
      </c>
      <c r="D1062" s="47" t="str">
        <f t="shared" si="1"/>
        <v>Removed</v>
      </c>
      <c r="E1062" s="48">
        <v>45734.0</v>
      </c>
      <c r="F1062" s="49">
        <v>46097.0</v>
      </c>
      <c r="G1062" s="50">
        <f t="shared" si="2"/>
        <v>11.93333333</v>
      </c>
      <c r="H1062" s="51">
        <v>44505.0</v>
      </c>
      <c r="I1062" s="50">
        <f t="shared" si="4"/>
        <v>3.369444444</v>
      </c>
      <c r="J1062" s="55">
        <v>66.0</v>
      </c>
      <c r="K1062" s="56">
        <v>5.4</v>
      </c>
      <c r="L1062" s="55">
        <v>18.0</v>
      </c>
      <c r="M1062" s="58" t="s">
        <v>1262</v>
      </c>
      <c r="N1062" s="59"/>
      <c r="O1062" s="60" t="s">
        <v>34</v>
      </c>
      <c r="P1062" s="61"/>
    </row>
    <row r="1063">
      <c r="A1063" s="29" t="s">
        <v>1263</v>
      </c>
      <c r="B1063" s="30" t="s">
        <v>45</v>
      </c>
      <c r="C1063" s="31" t="s">
        <v>26</v>
      </c>
      <c r="D1063" s="32" t="str">
        <f t="shared" si="1"/>
        <v>Removed</v>
      </c>
      <c r="E1063" s="33">
        <v>45125.0</v>
      </c>
      <c r="F1063" s="34">
        <v>46097.0</v>
      </c>
      <c r="G1063" s="36">
        <f t="shared" si="2"/>
        <v>31.93333333</v>
      </c>
      <c r="H1063" s="37">
        <v>44810.0</v>
      </c>
      <c r="I1063" s="36">
        <f t="shared" si="4"/>
        <v>0.8666666667</v>
      </c>
      <c r="J1063" s="38">
        <v>71.0</v>
      </c>
      <c r="K1063" s="39">
        <v>3.0</v>
      </c>
      <c r="L1063" s="38">
        <v>11.0</v>
      </c>
      <c r="M1063" s="40" t="s">
        <v>103</v>
      </c>
      <c r="N1063" s="41"/>
      <c r="O1063" s="42" t="s">
        <v>149</v>
      </c>
      <c r="P1063" s="43"/>
    </row>
    <row r="1064">
      <c r="A1064" s="44" t="s">
        <v>1264</v>
      </c>
      <c r="B1064" s="45" t="s">
        <v>25</v>
      </c>
      <c r="C1064" s="46" t="s">
        <v>26</v>
      </c>
      <c r="D1064" s="47" t="str">
        <f t="shared" si="1"/>
        <v>Removed</v>
      </c>
      <c r="E1064" s="48">
        <v>45097.0</v>
      </c>
      <c r="F1064" s="49">
        <v>46097.0</v>
      </c>
      <c r="G1064" s="50">
        <f t="shared" si="2"/>
        <v>32.86666667</v>
      </c>
      <c r="H1064" s="51">
        <v>44728.0</v>
      </c>
      <c r="I1064" s="50">
        <f t="shared" si="4"/>
        <v>1.011111111</v>
      </c>
      <c r="J1064" s="55">
        <v>85.0</v>
      </c>
      <c r="K1064" s="56">
        <v>8.5</v>
      </c>
      <c r="L1064" s="55">
        <v>3.0</v>
      </c>
      <c r="M1064" s="58" t="s">
        <v>29</v>
      </c>
      <c r="N1064" s="59"/>
      <c r="O1064" s="60" t="s">
        <v>149</v>
      </c>
      <c r="P1064" s="61"/>
    </row>
    <row r="1065">
      <c r="A1065" s="29" t="s">
        <v>1265</v>
      </c>
      <c r="B1065" s="30" t="s">
        <v>25</v>
      </c>
      <c r="C1065" s="31" t="s">
        <v>26</v>
      </c>
      <c r="D1065" s="32" t="str">
        <f t="shared" si="1"/>
        <v>Removed</v>
      </c>
      <c r="E1065" s="33">
        <v>45097.0</v>
      </c>
      <c r="F1065" s="34">
        <v>46097.0</v>
      </c>
      <c r="G1065" s="36">
        <f t="shared" si="2"/>
        <v>32.86666667</v>
      </c>
      <c r="H1065" s="37">
        <v>44728.0</v>
      </c>
      <c r="I1065" s="36">
        <f t="shared" si="4"/>
        <v>1.011111111</v>
      </c>
      <c r="J1065" s="38">
        <v>66.0</v>
      </c>
      <c r="K1065" s="39">
        <v>5.0</v>
      </c>
      <c r="L1065" s="38">
        <v>33.0</v>
      </c>
      <c r="M1065" s="40" t="s">
        <v>95</v>
      </c>
      <c r="N1065" s="41"/>
      <c r="O1065" s="42" t="s">
        <v>149</v>
      </c>
      <c r="P1065" s="43"/>
    </row>
    <row r="1066">
      <c r="A1066" s="44" t="s">
        <v>1266</v>
      </c>
      <c r="B1066" s="45" t="s">
        <v>25</v>
      </c>
      <c r="C1066" s="46" t="s">
        <v>26</v>
      </c>
      <c r="D1066" s="47" t="str">
        <f t="shared" si="1"/>
        <v>Removed</v>
      </c>
      <c r="E1066" s="48">
        <v>45034.0</v>
      </c>
      <c r="F1066" s="49">
        <v>46097.0</v>
      </c>
      <c r="G1066" s="50">
        <f t="shared" si="2"/>
        <v>34.93333333</v>
      </c>
      <c r="H1066" s="51">
        <v>44636.0</v>
      </c>
      <c r="I1066" s="50">
        <f t="shared" si="4"/>
        <v>1.088888889</v>
      </c>
      <c r="J1066" s="55">
        <v>89.0</v>
      </c>
      <c r="K1066" s="56">
        <v>7.0</v>
      </c>
      <c r="L1066" s="55">
        <v>12.0</v>
      </c>
      <c r="M1066" s="58" t="s">
        <v>29</v>
      </c>
      <c r="N1066" s="59"/>
      <c r="O1066" s="60" t="s">
        <v>149</v>
      </c>
      <c r="P1066" s="61"/>
    </row>
    <row r="1067">
      <c r="A1067" s="29" t="s">
        <v>1267</v>
      </c>
      <c r="B1067" s="30" t="s">
        <v>25</v>
      </c>
      <c r="C1067" s="31" t="s">
        <v>26</v>
      </c>
      <c r="D1067" s="32" t="str">
        <f t="shared" si="1"/>
        <v>Removed</v>
      </c>
      <c r="E1067" s="33">
        <v>44725.0</v>
      </c>
      <c r="F1067" s="34">
        <v>46097.0</v>
      </c>
      <c r="G1067" s="36">
        <f t="shared" si="2"/>
        <v>45.1</v>
      </c>
      <c r="H1067" s="37">
        <v>44397.0</v>
      </c>
      <c r="I1067" s="36">
        <f t="shared" si="4"/>
        <v>0.8972222222</v>
      </c>
      <c r="J1067" s="38">
        <v>74.0</v>
      </c>
      <c r="K1067" s="39">
        <v>6.7</v>
      </c>
      <c r="L1067" s="38">
        <v>21.0</v>
      </c>
      <c r="M1067" s="40" t="s">
        <v>42</v>
      </c>
      <c r="N1067" s="41"/>
      <c r="O1067" s="42" t="s">
        <v>149</v>
      </c>
      <c r="P1067" s="43" t="s">
        <v>149</v>
      </c>
    </row>
    <row r="1068">
      <c r="A1068" s="44" t="s">
        <v>1268</v>
      </c>
      <c r="B1068" s="45" t="s">
        <v>33</v>
      </c>
      <c r="C1068" s="46" t="s">
        <v>1089</v>
      </c>
      <c r="D1068" s="47" t="str">
        <f t="shared" si="1"/>
        <v>Removed</v>
      </c>
      <c r="E1068" s="48">
        <v>46056.0</v>
      </c>
      <c r="F1068" s="49">
        <v>46083.0</v>
      </c>
      <c r="G1068" s="50">
        <f t="shared" si="2"/>
        <v>0.9666666667</v>
      </c>
      <c r="H1068" s="51">
        <v>45576.0</v>
      </c>
      <c r="I1068" s="50">
        <f t="shared" si="4"/>
        <v>1.311111111</v>
      </c>
      <c r="J1068" s="55">
        <v>70.0</v>
      </c>
      <c r="K1068" s="56">
        <v>4.9</v>
      </c>
      <c r="L1068" s="55">
        <v>16.0</v>
      </c>
      <c r="M1068" s="58" t="s">
        <v>125</v>
      </c>
      <c r="N1068" s="59"/>
      <c r="O1068" s="60"/>
      <c r="P1068" s="61"/>
    </row>
    <row r="1069">
      <c r="A1069" s="29" t="s">
        <v>1269</v>
      </c>
      <c r="B1069" s="30" t="s">
        <v>25</v>
      </c>
      <c r="C1069" s="31" t="s">
        <v>1089</v>
      </c>
      <c r="D1069" s="32" t="str">
        <f t="shared" si="1"/>
        <v>Removed</v>
      </c>
      <c r="E1069" s="33">
        <v>46056.0</v>
      </c>
      <c r="F1069" s="34">
        <v>46083.0</v>
      </c>
      <c r="G1069" s="36">
        <f t="shared" si="2"/>
        <v>0.9666666667</v>
      </c>
      <c r="H1069" s="37">
        <v>44330.0</v>
      </c>
      <c r="I1069" s="36">
        <f t="shared" si="4"/>
        <v>4.719444444</v>
      </c>
      <c r="J1069" s="38">
        <v>82.0</v>
      </c>
      <c r="K1069" s="39">
        <v>7.1</v>
      </c>
      <c r="L1069" s="38">
        <v>20.0</v>
      </c>
      <c r="M1069" s="40" t="s">
        <v>29</v>
      </c>
      <c r="N1069" s="41"/>
      <c r="O1069" s="42"/>
      <c r="P1069" s="43"/>
    </row>
    <row r="1070">
      <c r="A1070" s="44" t="s">
        <v>1270</v>
      </c>
      <c r="B1070" s="45" t="s">
        <v>25</v>
      </c>
      <c r="C1070" s="46" t="s">
        <v>1089</v>
      </c>
      <c r="D1070" s="47" t="str">
        <f t="shared" si="1"/>
        <v>Removed</v>
      </c>
      <c r="E1070" s="48">
        <v>46056.0</v>
      </c>
      <c r="F1070" s="49">
        <v>46083.0</v>
      </c>
      <c r="G1070" s="50">
        <f t="shared" si="2"/>
        <v>0.9666666667</v>
      </c>
      <c r="H1070" s="51">
        <v>45335.0</v>
      </c>
      <c r="I1070" s="50">
        <f t="shared" si="4"/>
        <v>1.972222222</v>
      </c>
      <c r="J1070" s="55">
        <v>79.0</v>
      </c>
      <c r="K1070" s="56">
        <v>7.9</v>
      </c>
      <c r="L1070" s="55">
        <v>12.0</v>
      </c>
      <c r="M1070" s="58" t="s">
        <v>222</v>
      </c>
      <c r="N1070" s="59"/>
      <c r="O1070" s="60"/>
      <c r="P1070" s="61"/>
    </row>
    <row r="1071">
      <c r="A1071" s="29" t="s">
        <v>1271</v>
      </c>
      <c r="B1071" s="30" t="s">
        <v>45</v>
      </c>
      <c r="C1071" s="31" t="s">
        <v>1089</v>
      </c>
      <c r="D1071" s="32" t="str">
        <f t="shared" si="1"/>
        <v>Removed</v>
      </c>
      <c r="E1071" s="33">
        <v>46056.0</v>
      </c>
      <c r="F1071" s="34">
        <v>46083.0</v>
      </c>
      <c r="G1071" s="36">
        <f t="shared" si="2"/>
        <v>0.9666666667</v>
      </c>
      <c r="H1071" s="37">
        <v>43483.0</v>
      </c>
      <c r="I1071" s="36">
        <f t="shared" si="4"/>
        <v>7.041666667</v>
      </c>
      <c r="J1071" s="38">
        <v>80.0</v>
      </c>
      <c r="K1071" s="39">
        <v>7.9</v>
      </c>
      <c r="L1071" s="38">
        <v>12.0</v>
      </c>
      <c r="M1071" s="40" t="s">
        <v>29</v>
      </c>
      <c r="N1071" s="41"/>
      <c r="O1071" s="42"/>
      <c r="P1071" s="43"/>
    </row>
    <row r="1072">
      <c r="A1072" s="44" t="s">
        <v>1272</v>
      </c>
      <c r="B1072" s="45" t="s">
        <v>33</v>
      </c>
      <c r="C1072" s="46" t="s">
        <v>1089</v>
      </c>
      <c r="D1072" s="47" t="str">
        <f t="shared" si="1"/>
        <v>Removed</v>
      </c>
      <c r="E1072" s="48">
        <v>46028.0</v>
      </c>
      <c r="F1072" s="49">
        <v>46055.0</v>
      </c>
      <c r="G1072" s="50">
        <f t="shared" si="2"/>
        <v>0.8666666667</v>
      </c>
      <c r="H1072" s="51">
        <v>44897.0</v>
      </c>
      <c r="I1072" s="50">
        <f t="shared" si="4"/>
        <v>3.094444444</v>
      </c>
      <c r="J1072" s="55">
        <v>77.0</v>
      </c>
      <c r="K1072" s="56">
        <v>5.9</v>
      </c>
      <c r="L1072" s="55">
        <v>23.0</v>
      </c>
      <c r="M1072" s="58" t="s">
        <v>95</v>
      </c>
      <c r="N1072" s="59"/>
      <c r="O1072" s="60" t="s">
        <v>34</v>
      </c>
      <c r="P1072" s="61"/>
    </row>
    <row r="1073">
      <c r="A1073" s="29" t="s">
        <v>1273</v>
      </c>
      <c r="B1073" s="30" t="s">
        <v>25</v>
      </c>
      <c r="C1073" s="31" t="s">
        <v>1089</v>
      </c>
      <c r="D1073" s="32" t="str">
        <f t="shared" si="1"/>
        <v>Removed</v>
      </c>
      <c r="E1073" s="33">
        <v>46028.0</v>
      </c>
      <c r="F1073" s="34">
        <v>46055.0</v>
      </c>
      <c r="G1073" s="36">
        <f t="shared" si="2"/>
        <v>0.8666666667</v>
      </c>
      <c r="H1073" s="37">
        <v>45531.0</v>
      </c>
      <c r="I1073" s="36">
        <f t="shared" si="4"/>
        <v>1.358333333</v>
      </c>
      <c r="J1073" s="38">
        <v>85.0</v>
      </c>
      <c r="K1073" s="39">
        <v>7.5</v>
      </c>
      <c r="L1073" s="38">
        <v>36.0</v>
      </c>
      <c r="M1073" s="40" t="s">
        <v>29</v>
      </c>
      <c r="N1073" s="41"/>
      <c r="O1073" s="42" t="s">
        <v>34</v>
      </c>
      <c r="P1073" s="43"/>
    </row>
    <row r="1074">
      <c r="A1074" s="44" t="s">
        <v>1274</v>
      </c>
      <c r="B1074" s="45" t="s">
        <v>25</v>
      </c>
      <c r="C1074" s="46" t="s">
        <v>1089</v>
      </c>
      <c r="D1074" s="47" t="str">
        <f t="shared" si="1"/>
        <v>Removed</v>
      </c>
      <c r="E1074" s="48">
        <v>46028.0</v>
      </c>
      <c r="F1074" s="49">
        <v>46055.0</v>
      </c>
      <c r="G1074" s="50">
        <f t="shared" si="2"/>
        <v>0.8666666667</v>
      </c>
      <c r="H1074" s="51">
        <v>45559.0</v>
      </c>
      <c r="I1074" s="50">
        <f t="shared" si="4"/>
        <v>1.283333333</v>
      </c>
      <c r="J1074" s="55">
        <v>76.0</v>
      </c>
      <c r="K1074" s="56">
        <v>7.6</v>
      </c>
      <c r="L1074" s="55">
        <v>9.0</v>
      </c>
      <c r="M1074" s="58" t="s">
        <v>29</v>
      </c>
      <c r="N1074" s="59"/>
      <c r="O1074" s="60" t="s">
        <v>34</v>
      </c>
      <c r="P1074" s="61"/>
    </row>
    <row r="1075">
      <c r="A1075" s="29" t="s">
        <v>1275</v>
      </c>
      <c r="B1075" s="30" t="s">
        <v>25</v>
      </c>
      <c r="C1075" s="31" t="s">
        <v>26</v>
      </c>
      <c r="D1075" s="32" t="str">
        <f t="shared" si="1"/>
        <v>Removed</v>
      </c>
      <c r="E1075" s="33">
        <v>45916.0</v>
      </c>
      <c r="F1075" s="34">
        <v>46055.0</v>
      </c>
      <c r="G1075" s="36">
        <f t="shared" si="2"/>
        <v>4.533333333</v>
      </c>
      <c r="H1075" s="37">
        <v>45730.0</v>
      </c>
      <c r="I1075" s="36">
        <f t="shared" si="4"/>
        <v>0.5055555556</v>
      </c>
      <c r="J1075" s="38">
        <v>80.0</v>
      </c>
      <c r="K1075" s="39">
        <v>6.1</v>
      </c>
      <c r="L1075" s="38">
        <v>10.0</v>
      </c>
      <c r="M1075" s="40" t="s">
        <v>114</v>
      </c>
      <c r="N1075" s="41"/>
      <c r="O1075" s="42"/>
      <c r="P1075" s="43"/>
    </row>
    <row r="1076">
      <c r="A1076" s="44" t="s">
        <v>1276</v>
      </c>
      <c r="B1076" s="45" t="s">
        <v>45</v>
      </c>
      <c r="C1076" s="46" t="s">
        <v>26</v>
      </c>
      <c r="D1076" s="47" t="str">
        <f t="shared" si="1"/>
        <v>Removed</v>
      </c>
      <c r="E1076" s="48">
        <v>45705.0</v>
      </c>
      <c r="F1076" s="49">
        <v>46055.0</v>
      </c>
      <c r="G1076" s="50">
        <f t="shared" si="2"/>
        <v>11.5</v>
      </c>
      <c r="H1076" s="51">
        <v>44301.0</v>
      </c>
      <c r="I1076" s="50">
        <f t="shared" si="4"/>
        <v>3.838888889</v>
      </c>
      <c r="J1076" s="55">
        <v>77.0</v>
      </c>
      <c r="K1076" s="56">
        <v>6.7</v>
      </c>
      <c r="L1076" s="55">
        <v>14.0</v>
      </c>
      <c r="M1076" s="58" t="s">
        <v>42</v>
      </c>
      <c r="N1076" s="59"/>
      <c r="O1076" s="60" t="s">
        <v>149</v>
      </c>
      <c r="P1076" s="61"/>
    </row>
    <row r="1077">
      <c r="A1077" s="29" t="s">
        <v>1277</v>
      </c>
      <c r="B1077" s="30" t="s">
        <v>25</v>
      </c>
      <c r="C1077" s="31" t="s">
        <v>26</v>
      </c>
      <c r="D1077" s="32" t="str">
        <f t="shared" si="1"/>
        <v>Removed</v>
      </c>
      <c r="E1077" s="33">
        <v>45524.0</v>
      </c>
      <c r="F1077" s="34">
        <v>46055.0</v>
      </c>
      <c r="G1077" s="36">
        <f t="shared" si="2"/>
        <v>17.4</v>
      </c>
      <c r="H1077" s="37">
        <v>44784.0</v>
      </c>
      <c r="I1077" s="36">
        <f t="shared" si="4"/>
        <v>2.025</v>
      </c>
      <c r="J1077" s="38">
        <v>82.0</v>
      </c>
      <c r="K1077" s="39">
        <v>7.8</v>
      </c>
      <c r="L1077" s="38">
        <v>15.0</v>
      </c>
      <c r="M1077" s="40" t="s">
        <v>29</v>
      </c>
      <c r="N1077" s="41"/>
      <c r="O1077" s="42" t="s">
        <v>149</v>
      </c>
      <c r="P1077" s="43"/>
    </row>
    <row r="1078">
      <c r="A1078" s="44" t="s">
        <v>1278</v>
      </c>
      <c r="B1078" s="45" t="s">
        <v>45</v>
      </c>
      <c r="C1078" s="46" t="s">
        <v>26</v>
      </c>
      <c r="D1078" s="47" t="str">
        <f t="shared" si="1"/>
        <v>Removed</v>
      </c>
      <c r="E1078" s="48">
        <v>45370.0</v>
      </c>
      <c r="F1078" s="49">
        <v>46055.0</v>
      </c>
      <c r="G1078" s="50">
        <f t="shared" si="2"/>
        <v>22.43333333</v>
      </c>
      <c r="H1078" s="51">
        <v>43641.0</v>
      </c>
      <c r="I1078" s="50">
        <f t="shared" si="4"/>
        <v>4.733333333</v>
      </c>
      <c r="J1078" s="55">
        <v>60.0</v>
      </c>
      <c r="K1078" s="56">
        <v>3.9</v>
      </c>
      <c r="L1078" s="55">
        <v>16.0</v>
      </c>
      <c r="M1078" s="58" t="s">
        <v>42</v>
      </c>
      <c r="N1078" s="59"/>
      <c r="O1078" s="60" t="s">
        <v>34</v>
      </c>
      <c r="P1078" s="61"/>
    </row>
    <row r="1079">
      <c r="A1079" s="29" t="s">
        <v>1279</v>
      </c>
      <c r="B1079" s="30" t="s">
        <v>25</v>
      </c>
      <c r="C1079" s="31" t="s">
        <v>26</v>
      </c>
      <c r="D1079" s="32" t="str">
        <f t="shared" si="1"/>
        <v>Removed</v>
      </c>
      <c r="E1079" s="33">
        <v>45125.0</v>
      </c>
      <c r="F1079" s="34">
        <v>46055.0</v>
      </c>
      <c r="G1079" s="36">
        <f t="shared" si="2"/>
        <v>30.46666667</v>
      </c>
      <c r="H1079" s="37">
        <v>44644.0</v>
      </c>
      <c r="I1079" s="36">
        <f t="shared" si="4"/>
        <v>1.316666667</v>
      </c>
      <c r="J1079" s="38">
        <v>77.0</v>
      </c>
      <c r="K1079" s="39">
        <v>6.3</v>
      </c>
      <c r="L1079" s="38">
        <v>12.0</v>
      </c>
      <c r="M1079" s="40" t="s">
        <v>29</v>
      </c>
      <c r="N1079" s="41"/>
      <c r="O1079" s="42" t="s">
        <v>149</v>
      </c>
      <c r="P1079" s="43"/>
    </row>
    <row r="1080">
      <c r="A1080" s="44" t="s">
        <v>1280</v>
      </c>
      <c r="B1080" s="45" t="s">
        <v>384</v>
      </c>
      <c r="C1080" s="46" t="s">
        <v>26</v>
      </c>
      <c r="D1080" s="47" t="str">
        <f t="shared" si="1"/>
        <v>Removed</v>
      </c>
      <c r="E1080" s="48">
        <v>43046.0</v>
      </c>
      <c r="F1080" s="49">
        <v>46055.0</v>
      </c>
      <c r="G1080" s="50">
        <f t="shared" si="2"/>
        <v>98.83333333</v>
      </c>
      <c r="H1080" s="51">
        <v>42656.0</v>
      </c>
      <c r="I1080" s="50">
        <f t="shared" si="4"/>
        <v>1.066666667</v>
      </c>
      <c r="J1080" s="55">
        <v>89.0</v>
      </c>
      <c r="K1080" s="56">
        <v>8.6</v>
      </c>
      <c r="L1080" s="55">
        <v>2.0</v>
      </c>
      <c r="M1080" s="58" t="s">
        <v>565</v>
      </c>
      <c r="N1080" s="59"/>
      <c r="O1080" s="60" t="s">
        <v>34</v>
      </c>
      <c r="P1080" s="61"/>
    </row>
    <row r="1081">
      <c r="A1081" s="29" t="s">
        <v>1281</v>
      </c>
      <c r="B1081" s="30" t="s">
        <v>25</v>
      </c>
      <c r="C1081" s="31" t="s">
        <v>26</v>
      </c>
      <c r="D1081" s="32" t="str">
        <f t="shared" si="1"/>
        <v>Removed</v>
      </c>
      <c r="E1081" s="33">
        <v>45678.0</v>
      </c>
      <c r="F1081" s="34">
        <v>46041.0</v>
      </c>
      <c r="G1081" s="36">
        <f t="shared" si="2"/>
        <v>11.93333333</v>
      </c>
      <c r="H1081" s="37">
        <v>45239.0</v>
      </c>
      <c r="I1081" s="36">
        <f t="shared" si="4"/>
        <v>1.2</v>
      </c>
      <c r="J1081" s="38">
        <v>78.0</v>
      </c>
      <c r="K1081" s="39">
        <v>8.4</v>
      </c>
      <c r="L1081" s="38">
        <v>13.0</v>
      </c>
      <c r="M1081" s="40" t="s">
        <v>29</v>
      </c>
      <c r="N1081" s="41"/>
      <c r="O1081" s="42" t="s">
        <v>149</v>
      </c>
      <c r="P1081" s="43"/>
    </row>
    <row r="1082">
      <c r="A1082" s="44" t="s">
        <v>1282</v>
      </c>
      <c r="B1082" s="45" t="s">
        <v>25</v>
      </c>
      <c r="C1082" s="46" t="s">
        <v>26</v>
      </c>
      <c r="D1082" s="47" t="str">
        <f t="shared" si="1"/>
        <v>Removed</v>
      </c>
      <c r="E1082" s="48">
        <v>45678.0</v>
      </c>
      <c r="F1082" s="49">
        <v>46041.0</v>
      </c>
      <c r="G1082" s="50">
        <f t="shared" si="2"/>
        <v>11.93333333</v>
      </c>
      <c r="H1082" s="51">
        <v>44798.0</v>
      </c>
      <c r="I1082" s="50">
        <f t="shared" si="4"/>
        <v>2.405555556</v>
      </c>
      <c r="J1082" s="55">
        <v>74.0</v>
      </c>
      <c r="K1082" s="56">
        <v>7.7</v>
      </c>
      <c r="L1082" s="55">
        <v>18.0</v>
      </c>
      <c r="M1082" s="58" t="s">
        <v>42</v>
      </c>
      <c r="N1082" s="59"/>
      <c r="O1082" s="60" t="s">
        <v>34</v>
      </c>
      <c r="P1082" s="61"/>
    </row>
    <row r="1083">
      <c r="A1083" s="29" t="s">
        <v>1283</v>
      </c>
      <c r="B1083" s="30" t="s">
        <v>45</v>
      </c>
      <c r="C1083" s="31" t="s">
        <v>26</v>
      </c>
      <c r="D1083" s="32" t="str">
        <f t="shared" si="1"/>
        <v>Removed</v>
      </c>
      <c r="E1083" s="33">
        <v>45678.0</v>
      </c>
      <c r="F1083" s="34">
        <v>46041.0</v>
      </c>
      <c r="G1083" s="36">
        <f t="shared" si="2"/>
        <v>11.93333333</v>
      </c>
      <c r="H1083" s="37">
        <v>43727.0</v>
      </c>
      <c r="I1083" s="36">
        <f t="shared" si="4"/>
        <v>5.338888889</v>
      </c>
      <c r="J1083" s="38">
        <v>84.0</v>
      </c>
      <c r="K1083" s="39">
        <v>8.3</v>
      </c>
      <c r="L1083" s="38">
        <v>2.0</v>
      </c>
      <c r="M1083" s="40" t="s">
        <v>1284</v>
      </c>
      <c r="N1083" s="41"/>
      <c r="O1083" s="42" t="s">
        <v>149</v>
      </c>
      <c r="P1083" s="43"/>
    </row>
    <row r="1084">
      <c r="A1084" s="44" t="s">
        <v>1285</v>
      </c>
      <c r="B1084" s="45" t="s">
        <v>45</v>
      </c>
      <c r="C1084" s="46" t="s">
        <v>207</v>
      </c>
      <c r="D1084" s="47" t="str">
        <f t="shared" si="1"/>
        <v>Removed</v>
      </c>
      <c r="E1084" s="48">
        <v>44789.0</v>
      </c>
      <c r="F1084" s="49">
        <v>46041.0</v>
      </c>
      <c r="G1084" s="50">
        <f t="shared" si="2"/>
        <v>41.1</v>
      </c>
      <c r="H1084" s="51">
        <v>41974.0</v>
      </c>
      <c r="I1084" s="50">
        <f t="shared" si="4"/>
        <v>7.708333333</v>
      </c>
      <c r="J1084" s="55">
        <v>70.0</v>
      </c>
      <c r="K1084" s="56">
        <v>6.2</v>
      </c>
      <c r="L1084" s="55">
        <v>3.0</v>
      </c>
      <c r="M1084" s="58" t="s">
        <v>1286</v>
      </c>
      <c r="N1084" s="59"/>
      <c r="O1084" s="60" t="s">
        <v>149</v>
      </c>
      <c r="P1084" s="61"/>
    </row>
    <row r="1085">
      <c r="A1085" s="29" t="s">
        <v>1287</v>
      </c>
      <c r="B1085" s="30" t="s">
        <v>33</v>
      </c>
      <c r="C1085" s="31" t="s">
        <v>26</v>
      </c>
      <c r="D1085" s="32" t="str">
        <f t="shared" si="1"/>
        <v>Removed</v>
      </c>
      <c r="E1085" s="33">
        <v>45853.0</v>
      </c>
      <c r="F1085" s="34">
        <v>46037.0</v>
      </c>
      <c r="G1085" s="36">
        <f t="shared" si="2"/>
        <v>6</v>
      </c>
      <c r="H1085" s="37">
        <v>45580.0</v>
      </c>
      <c r="I1085" s="36">
        <f t="shared" si="4"/>
        <v>0.75</v>
      </c>
      <c r="J1085" s="38">
        <v>75.0</v>
      </c>
      <c r="K1085" s="39">
        <v>6.9</v>
      </c>
      <c r="L1085" s="38">
        <v>87.0</v>
      </c>
      <c r="M1085" s="40" t="s">
        <v>42</v>
      </c>
      <c r="N1085" s="41" t="s">
        <v>1288</v>
      </c>
      <c r="O1085" s="42" t="s">
        <v>34</v>
      </c>
      <c r="P1085" s="43"/>
    </row>
    <row r="1086">
      <c r="A1086" s="44" t="s">
        <v>1289</v>
      </c>
      <c r="B1086" s="45" t="s">
        <v>33</v>
      </c>
      <c r="C1086" s="46" t="s">
        <v>1089</v>
      </c>
      <c r="D1086" s="47" t="str">
        <f t="shared" si="1"/>
        <v>Removed</v>
      </c>
      <c r="E1086" s="48">
        <v>45993.0</v>
      </c>
      <c r="F1086" s="80">
        <v>46027.0</v>
      </c>
      <c r="G1086" s="50">
        <f t="shared" si="2"/>
        <v>1.1</v>
      </c>
      <c r="H1086" s="51">
        <v>45610.0</v>
      </c>
      <c r="I1086" s="50">
        <f t="shared" si="4"/>
        <v>1.05</v>
      </c>
      <c r="J1086" s="55">
        <v>70.0</v>
      </c>
      <c r="K1086" s="56">
        <v>5.8</v>
      </c>
      <c r="L1086" s="55">
        <v>7.0</v>
      </c>
      <c r="M1086" s="58" t="s">
        <v>29</v>
      </c>
      <c r="N1086" s="59"/>
      <c r="O1086" s="60" t="s">
        <v>34</v>
      </c>
      <c r="P1086" s="61"/>
    </row>
    <row r="1087">
      <c r="A1087" s="29" t="s">
        <v>1290</v>
      </c>
      <c r="B1087" s="30" t="s">
        <v>33</v>
      </c>
      <c r="C1087" s="31" t="s">
        <v>1089</v>
      </c>
      <c r="D1087" s="32" t="str">
        <f t="shared" si="1"/>
        <v>Removed</v>
      </c>
      <c r="E1087" s="33">
        <v>45993.0</v>
      </c>
      <c r="F1087" s="92">
        <v>46027.0</v>
      </c>
      <c r="G1087" s="36">
        <f t="shared" si="2"/>
        <v>1.1</v>
      </c>
      <c r="H1087" s="37">
        <v>45862.0</v>
      </c>
      <c r="I1087" s="36">
        <f t="shared" si="4"/>
        <v>0.3555555556</v>
      </c>
      <c r="J1087" s="38">
        <v>68.0</v>
      </c>
      <c r="K1087" s="39">
        <v>6.5</v>
      </c>
      <c r="L1087" s="38">
        <v>9.0</v>
      </c>
      <c r="M1087" s="40" t="s">
        <v>31</v>
      </c>
      <c r="N1087" s="41"/>
      <c r="O1087" s="42" t="s">
        <v>34</v>
      </c>
      <c r="P1087" s="43"/>
    </row>
    <row r="1088">
      <c r="A1088" s="44" t="s">
        <v>1291</v>
      </c>
      <c r="B1088" s="45" t="s">
        <v>25</v>
      </c>
      <c r="C1088" s="46" t="s">
        <v>1089</v>
      </c>
      <c r="D1088" s="47" t="str">
        <f t="shared" si="1"/>
        <v>Removed</v>
      </c>
      <c r="E1088" s="48">
        <v>45993.0</v>
      </c>
      <c r="F1088" s="80">
        <v>46027.0</v>
      </c>
      <c r="G1088" s="50">
        <f t="shared" si="2"/>
        <v>1.1</v>
      </c>
      <c r="H1088" s="51">
        <v>45356.0</v>
      </c>
      <c r="I1088" s="50">
        <f t="shared" si="4"/>
        <v>1.741666667</v>
      </c>
      <c r="J1088" s="55">
        <v>75.0</v>
      </c>
      <c r="K1088" s="56">
        <v>7.7</v>
      </c>
      <c r="L1088" s="55">
        <v>19.0</v>
      </c>
      <c r="M1088" s="58" t="s">
        <v>1292</v>
      </c>
      <c r="N1088" s="59"/>
      <c r="O1088" s="60" t="s">
        <v>34</v>
      </c>
      <c r="P1088" s="61"/>
    </row>
    <row r="1089">
      <c r="A1089" s="29" t="s">
        <v>1293</v>
      </c>
      <c r="B1089" s="30" t="s">
        <v>33</v>
      </c>
      <c r="C1089" s="31" t="s">
        <v>1089</v>
      </c>
      <c r="D1089" s="32" t="str">
        <f t="shared" si="1"/>
        <v>Removed</v>
      </c>
      <c r="E1089" s="33">
        <v>45993.0</v>
      </c>
      <c r="F1089" s="92">
        <v>46027.0</v>
      </c>
      <c r="G1089" s="36">
        <f t="shared" si="2"/>
        <v>1.1</v>
      </c>
      <c r="H1089" s="37">
        <v>45680.0</v>
      </c>
      <c r="I1089" s="36">
        <f t="shared" si="4"/>
        <v>0.8583333333</v>
      </c>
      <c r="J1089" s="38">
        <v>65.0</v>
      </c>
      <c r="K1089" s="39">
        <v>4.0</v>
      </c>
      <c r="L1089" s="76"/>
      <c r="M1089" s="40" t="s">
        <v>31</v>
      </c>
      <c r="N1089" s="41"/>
      <c r="O1089" s="42" t="s">
        <v>34</v>
      </c>
      <c r="P1089" s="43"/>
    </row>
    <row r="1090">
      <c r="A1090" s="44" t="s">
        <v>1294</v>
      </c>
      <c r="B1090" s="45" t="s">
        <v>25</v>
      </c>
      <c r="C1090" s="46" t="s">
        <v>1089</v>
      </c>
      <c r="D1090" s="47" t="str">
        <f t="shared" si="1"/>
        <v>Removed</v>
      </c>
      <c r="E1090" s="48">
        <v>45993.0</v>
      </c>
      <c r="F1090" s="80">
        <v>46027.0</v>
      </c>
      <c r="G1090" s="50">
        <f t="shared" si="2"/>
        <v>1.1</v>
      </c>
      <c r="H1090" s="51">
        <v>44728.0</v>
      </c>
      <c r="I1090" s="50">
        <f t="shared" si="4"/>
        <v>3.461111111</v>
      </c>
      <c r="J1090" s="55">
        <v>89.0</v>
      </c>
      <c r="K1090" s="56">
        <v>8.3</v>
      </c>
      <c r="L1090" s="55">
        <v>11.0</v>
      </c>
      <c r="M1090" s="58" t="s">
        <v>31</v>
      </c>
      <c r="N1090" s="59"/>
      <c r="O1090" s="60" t="s">
        <v>34</v>
      </c>
      <c r="P1090" s="61"/>
    </row>
    <row r="1091">
      <c r="A1091" s="29" t="s">
        <v>1295</v>
      </c>
      <c r="B1091" s="30" t="s">
        <v>25</v>
      </c>
      <c r="C1091" s="31" t="s">
        <v>26</v>
      </c>
      <c r="D1091" s="32" t="str">
        <f t="shared" si="1"/>
        <v>Removed</v>
      </c>
      <c r="E1091" s="33">
        <v>45825.0</v>
      </c>
      <c r="F1091" s="34">
        <v>46006.0</v>
      </c>
      <c r="G1091" s="36">
        <f t="shared" si="2"/>
        <v>5.933333333</v>
      </c>
      <c r="H1091" s="37">
        <v>44519.0</v>
      </c>
      <c r="I1091" s="36">
        <f t="shared" si="4"/>
        <v>3.577777778</v>
      </c>
      <c r="J1091" s="38">
        <v>68.0</v>
      </c>
      <c r="K1091" s="39">
        <v>2.3</v>
      </c>
      <c r="L1091" s="38">
        <v>0.5</v>
      </c>
      <c r="M1091" s="40" t="s">
        <v>31</v>
      </c>
      <c r="N1091" s="41"/>
      <c r="O1091" s="42"/>
      <c r="P1091" s="43"/>
    </row>
    <row r="1092">
      <c r="A1092" s="44" t="s">
        <v>1296</v>
      </c>
      <c r="B1092" s="45" t="s">
        <v>25</v>
      </c>
      <c r="C1092" s="46" t="s">
        <v>26</v>
      </c>
      <c r="D1092" s="47" t="str">
        <f t="shared" si="1"/>
        <v>Removed</v>
      </c>
      <c r="E1092" s="48">
        <v>45818.0</v>
      </c>
      <c r="F1092" s="49">
        <v>46006.0</v>
      </c>
      <c r="G1092" s="50">
        <f t="shared" si="2"/>
        <v>6.166666667</v>
      </c>
      <c r="H1092" s="51">
        <v>37191.0</v>
      </c>
      <c r="I1092" s="50">
        <f t="shared" si="4"/>
        <v>23.61944444</v>
      </c>
      <c r="J1092" s="55">
        <v>97.0</v>
      </c>
      <c r="K1092" s="56">
        <v>8.0</v>
      </c>
      <c r="L1092" s="55">
        <v>15.0</v>
      </c>
      <c r="M1092" s="58" t="s">
        <v>29</v>
      </c>
      <c r="N1092" s="59" t="s">
        <v>43</v>
      </c>
      <c r="O1092" s="60"/>
      <c r="P1092" s="66"/>
    </row>
    <row r="1093">
      <c r="A1093" s="29" t="s">
        <v>1297</v>
      </c>
      <c r="B1093" s="30" t="s">
        <v>238</v>
      </c>
      <c r="C1093" s="31" t="s">
        <v>1298</v>
      </c>
      <c r="D1093" s="32" t="str">
        <f t="shared" si="1"/>
        <v>Removed</v>
      </c>
      <c r="E1093" s="33">
        <v>45734.0</v>
      </c>
      <c r="F1093" s="34">
        <v>46006.0</v>
      </c>
      <c r="G1093" s="36">
        <f t="shared" si="2"/>
        <v>8.9</v>
      </c>
      <c r="H1093" s="37">
        <v>45512.0</v>
      </c>
      <c r="I1093" s="36">
        <f t="shared" si="4"/>
        <v>0.6111111111</v>
      </c>
      <c r="J1093" s="38">
        <v>75.0</v>
      </c>
      <c r="K1093" s="39">
        <v>5.8</v>
      </c>
      <c r="L1093" s="38">
        <v>25.0</v>
      </c>
      <c r="M1093" s="40" t="s">
        <v>226</v>
      </c>
      <c r="N1093" s="41" t="s">
        <v>1299</v>
      </c>
      <c r="O1093" s="42" t="s">
        <v>34</v>
      </c>
      <c r="P1093" s="43"/>
    </row>
    <row r="1094">
      <c r="A1094" s="44" t="s">
        <v>1300</v>
      </c>
      <c r="B1094" s="45" t="s">
        <v>25</v>
      </c>
      <c r="C1094" s="46" t="s">
        <v>26</v>
      </c>
      <c r="D1094" s="47" t="str">
        <f t="shared" si="1"/>
        <v>Removed</v>
      </c>
      <c r="E1094" s="48">
        <v>45643.0</v>
      </c>
      <c r="F1094" s="49">
        <v>46006.0</v>
      </c>
      <c r="G1094" s="50">
        <f t="shared" si="2"/>
        <v>11.93333333</v>
      </c>
      <c r="H1094" s="51">
        <v>44873.0</v>
      </c>
      <c r="I1094" s="50">
        <f t="shared" si="4"/>
        <v>2.108333333</v>
      </c>
      <c r="J1094" s="55">
        <v>70.0</v>
      </c>
      <c r="K1094" s="56">
        <v>8.2</v>
      </c>
      <c r="L1094" s="55">
        <v>17.0</v>
      </c>
      <c r="M1094" s="58" t="s">
        <v>27</v>
      </c>
      <c r="N1094" s="59"/>
      <c r="O1094" s="60" t="s">
        <v>34</v>
      </c>
      <c r="P1094" s="61"/>
    </row>
    <row r="1095">
      <c r="A1095" s="29" t="s">
        <v>1301</v>
      </c>
      <c r="B1095" s="30" t="s">
        <v>33</v>
      </c>
      <c r="C1095" s="31" t="s">
        <v>26</v>
      </c>
      <c r="D1095" s="32" t="str">
        <f t="shared" si="1"/>
        <v>Removed</v>
      </c>
      <c r="E1095" s="33">
        <v>45643.0</v>
      </c>
      <c r="F1095" s="34">
        <v>46006.0</v>
      </c>
      <c r="G1095" s="36">
        <f t="shared" si="2"/>
        <v>11.93333333</v>
      </c>
      <c r="H1095" s="37">
        <v>44950.0</v>
      </c>
      <c r="I1095" s="36">
        <f t="shared" si="4"/>
        <v>1.897222222</v>
      </c>
      <c r="J1095" s="38">
        <v>64.0</v>
      </c>
      <c r="K1095" s="39">
        <v>4.1</v>
      </c>
      <c r="L1095" s="38">
        <v>14.0</v>
      </c>
      <c r="M1095" s="40" t="s">
        <v>42</v>
      </c>
      <c r="N1095" s="41"/>
      <c r="O1095" s="42" t="s">
        <v>34</v>
      </c>
      <c r="P1095" s="43"/>
    </row>
    <row r="1096">
      <c r="A1096" s="44" t="s">
        <v>1302</v>
      </c>
      <c r="B1096" s="45" t="s">
        <v>238</v>
      </c>
      <c r="C1096" s="46" t="s">
        <v>1298</v>
      </c>
      <c r="D1096" s="47" t="str">
        <f t="shared" si="1"/>
        <v>Removed</v>
      </c>
      <c r="E1096" s="48">
        <v>45643.0</v>
      </c>
      <c r="F1096" s="49">
        <v>46006.0</v>
      </c>
      <c r="G1096" s="50">
        <f t="shared" si="2"/>
        <v>11.93333333</v>
      </c>
      <c r="H1096" s="51">
        <v>45129.0</v>
      </c>
      <c r="I1096" s="50">
        <f t="shared" si="4"/>
        <v>1.402777778</v>
      </c>
      <c r="J1096" s="55">
        <v>73.0</v>
      </c>
      <c r="K1096" s="56">
        <v>6.9</v>
      </c>
      <c r="L1096" s="55">
        <v>3.0</v>
      </c>
      <c r="M1096" s="58" t="s">
        <v>29</v>
      </c>
      <c r="N1096" s="59" t="s">
        <v>1299</v>
      </c>
      <c r="O1096" s="60" t="s">
        <v>34</v>
      </c>
      <c r="P1096" s="61"/>
    </row>
    <row r="1097">
      <c r="A1097" s="29" t="s">
        <v>1303</v>
      </c>
      <c r="B1097" s="30" t="s">
        <v>25</v>
      </c>
      <c r="C1097" s="31" t="s">
        <v>26</v>
      </c>
      <c r="D1097" s="32" t="str">
        <f t="shared" si="1"/>
        <v>Removed</v>
      </c>
      <c r="E1097" s="33">
        <v>45580.0</v>
      </c>
      <c r="F1097" s="34">
        <v>46006.0</v>
      </c>
      <c r="G1097" s="36">
        <f t="shared" si="2"/>
        <v>14</v>
      </c>
      <c r="H1097" s="37">
        <v>44901.0</v>
      </c>
      <c r="I1097" s="36">
        <f t="shared" si="4"/>
        <v>1.858333333</v>
      </c>
      <c r="J1097" s="38">
        <v>60.0</v>
      </c>
      <c r="K1097" s="39">
        <v>5.9</v>
      </c>
      <c r="L1097" s="38">
        <v>11.0</v>
      </c>
      <c r="M1097" s="40" t="s">
        <v>70</v>
      </c>
      <c r="N1097" s="41"/>
      <c r="O1097" s="42" t="s">
        <v>149</v>
      </c>
      <c r="P1097" s="43"/>
    </row>
    <row r="1098">
      <c r="A1098" s="44" t="s">
        <v>1304</v>
      </c>
      <c r="B1098" s="45" t="s">
        <v>45</v>
      </c>
      <c r="C1098" s="46" t="s">
        <v>26</v>
      </c>
      <c r="D1098" s="47" t="str">
        <f t="shared" si="1"/>
        <v>Removed</v>
      </c>
      <c r="E1098" s="48">
        <v>45251.0</v>
      </c>
      <c r="F1098" s="49">
        <v>46006.0</v>
      </c>
      <c r="G1098" s="50">
        <f t="shared" si="2"/>
        <v>24.8</v>
      </c>
      <c r="H1098" s="51">
        <v>43748.0</v>
      </c>
      <c r="I1098" s="50">
        <f t="shared" si="4"/>
        <v>4.113888889</v>
      </c>
      <c r="J1098" s="55">
        <v>70.0</v>
      </c>
      <c r="K1098" s="56">
        <v>10.0</v>
      </c>
      <c r="L1098" s="78"/>
      <c r="M1098" s="58" t="s">
        <v>29</v>
      </c>
      <c r="N1098" s="59"/>
      <c r="O1098" s="60" t="s">
        <v>149</v>
      </c>
      <c r="P1098" s="61"/>
    </row>
    <row r="1099">
      <c r="A1099" s="29" t="s">
        <v>1305</v>
      </c>
      <c r="B1099" s="30" t="s">
        <v>45</v>
      </c>
      <c r="C1099" s="31" t="s">
        <v>26</v>
      </c>
      <c r="D1099" s="32" t="str">
        <f t="shared" si="1"/>
        <v>Removed</v>
      </c>
      <c r="E1099" s="33">
        <v>44725.0</v>
      </c>
      <c r="F1099" s="34">
        <v>46006.0</v>
      </c>
      <c r="G1099" s="36">
        <f t="shared" si="2"/>
        <v>42.06666667</v>
      </c>
      <c r="H1099" s="37">
        <v>42614.0</v>
      </c>
      <c r="I1099" s="36">
        <f t="shared" si="4"/>
        <v>5.783333333</v>
      </c>
      <c r="J1099" s="38">
        <v>63.0</v>
      </c>
      <c r="K1099" s="39">
        <v>6.3</v>
      </c>
      <c r="L1099" s="76"/>
      <c r="M1099" s="40" t="s">
        <v>29</v>
      </c>
      <c r="N1099" s="41"/>
      <c r="O1099" s="42" t="s">
        <v>149</v>
      </c>
      <c r="P1099" s="43" t="s">
        <v>149</v>
      </c>
    </row>
    <row r="1100">
      <c r="A1100" s="44" t="s">
        <v>1306</v>
      </c>
      <c r="B1100" s="45" t="s">
        <v>45</v>
      </c>
      <c r="C1100" s="46" t="s">
        <v>26</v>
      </c>
      <c r="D1100" s="47" t="str">
        <f t="shared" si="1"/>
        <v>Removed</v>
      </c>
      <c r="E1100" s="48">
        <v>44725.0</v>
      </c>
      <c r="F1100" s="49">
        <v>46006.0</v>
      </c>
      <c r="G1100" s="50">
        <f t="shared" si="2"/>
        <v>42.06666667</v>
      </c>
      <c r="H1100" s="51">
        <v>43405.0</v>
      </c>
      <c r="I1100" s="50">
        <f t="shared" si="4"/>
        <v>3.616666667</v>
      </c>
      <c r="J1100" s="55">
        <v>78.0</v>
      </c>
      <c r="K1100" s="56">
        <v>7.0</v>
      </c>
      <c r="L1100" s="55">
        <v>5.0</v>
      </c>
      <c r="M1100" s="58" t="s">
        <v>555</v>
      </c>
      <c r="N1100" s="59"/>
      <c r="O1100" s="60" t="s">
        <v>149</v>
      </c>
      <c r="P1100" s="61"/>
    </row>
    <row r="1101">
      <c r="A1101" s="29" t="s">
        <v>1307</v>
      </c>
      <c r="B1101" s="30" t="s">
        <v>384</v>
      </c>
      <c r="C1101" s="31" t="s">
        <v>207</v>
      </c>
      <c r="D1101" s="32" t="str">
        <f t="shared" si="1"/>
        <v>Removed</v>
      </c>
      <c r="E1101" s="33">
        <v>44725.0</v>
      </c>
      <c r="F1101" s="34">
        <v>46006.0</v>
      </c>
      <c r="G1101" s="36">
        <f t="shared" si="2"/>
        <v>42.06666667</v>
      </c>
      <c r="H1101" s="37">
        <v>42885.0</v>
      </c>
      <c r="I1101" s="36">
        <f t="shared" si="4"/>
        <v>5.036111111</v>
      </c>
      <c r="J1101" s="38">
        <v>76.0</v>
      </c>
      <c r="K1101" s="39">
        <v>6.6</v>
      </c>
      <c r="L1101" s="38">
        <v>24.0</v>
      </c>
      <c r="M1101" s="40" t="s">
        <v>70</v>
      </c>
      <c r="N1101" s="41"/>
      <c r="O1101" s="42" t="s">
        <v>34</v>
      </c>
      <c r="P1101" s="43" t="s">
        <v>149</v>
      </c>
    </row>
    <row r="1102">
      <c r="A1102" s="44" t="s">
        <v>1308</v>
      </c>
      <c r="B1102" s="45" t="s">
        <v>25</v>
      </c>
      <c r="C1102" s="46" t="s">
        <v>1089</v>
      </c>
      <c r="D1102" s="47" t="str">
        <f t="shared" si="1"/>
        <v>Removed</v>
      </c>
      <c r="E1102" s="48">
        <v>45965.0</v>
      </c>
      <c r="F1102" s="49">
        <v>45992.0</v>
      </c>
      <c r="G1102" s="50">
        <f t="shared" si="2"/>
        <v>0.9</v>
      </c>
      <c r="H1102" s="51">
        <v>44761.0</v>
      </c>
      <c r="I1102" s="50">
        <f t="shared" si="4"/>
        <v>3.291666667</v>
      </c>
      <c r="J1102" s="55">
        <v>83.0</v>
      </c>
      <c r="K1102" s="56">
        <v>8.3</v>
      </c>
      <c r="L1102" s="55">
        <v>5.0</v>
      </c>
      <c r="M1102" s="58" t="s">
        <v>29</v>
      </c>
      <c r="N1102" s="59"/>
      <c r="O1102" s="60"/>
      <c r="P1102" s="61"/>
    </row>
    <row r="1103">
      <c r="A1103" s="29" t="s">
        <v>1309</v>
      </c>
      <c r="B1103" s="30" t="s">
        <v>33</v>
      </c>
      <c r="C1103" s="31" t="s">
        <v>1089</v>
      </c>
      <c r="D1103" s="32" t="str">
        <f t="shared" si="1"/>
        <v>Removed</v>
      </c>
      <c r="E1103" s="33">
        <v>45965.0</v>
      </c>
      <c r="F1103" s="34">
        <v>45992.0</v>
      </c>
      <c r="G1103" s="36">
        <f t="shared" si="2"/>
        <v>0.9</v>
      </c>
      <c r="H1103" s="37">
        <v>45573.0</v>
      </c>
      <c r="I1103" s="36">
        <f t="shared" si="4"/>
        <v>1.072222222</v>
      </c>
      <c r="J1103" s="38">
        <v>70.0</v>
      </c>
      <c r="K1103" s="39">
        <v>6.7</v>
      </c>
      <c r="L1103" s="38">
        <v>15.0</v>
      </c>
      <c r="M1103" s="40" t="s">
        <v>95</v>
      </c>
      <c r="N1103" s="41"/>
      <c r="O1103" s="42" t="s">
        <v>34</v>
      </c>
      <c r="P1103" s="43"/>
    </row>
    <row r="1104">
      <c r="A1104" s="44" t="s">
        <v>1310</v>
      </c>
      <c r="B1104" s="45" t="s">
        <v>25</v>
      </c>
      <c r="C1104" s="46" t="s">
        <v>1089</v>
      </c>
      <c r="D1104" s="47" t="str">
        <f t="shared" si="1"/>
        <v>Removed</v>
      </c>
      <c r="E1104" s="48">
        <v>45965.0</v>
      </c>
      <c r="F1104" s="49">
        <v>45992.0</v>
      </c>
      <c r="G1104" s="50">
        <f t="shared" si="2"/>
        <v>0.9</v>
      </c>
      <c r="H1104" s="51">
        <v>43816.0</v>
      </c>
      <c r="I1104" s="50">
        <f t="shared" si="4"/>
        <v>5.880555556</v>
      </c>
      <c r="J1104" s="55">
        <v>55.0</v>
      </c>
      <c r="K1104" s="56">
        <v>7.8</v>
      </c>
      <c r="L1104" s="55">
        <v>9.0</v>
      </c>
      <c r="M1104" s="58" t="s">
        <v>103</v>
      </c>
      <c r="N1104" s="59"/>
      <c r="O1104" s="60"/>
      <c r="P1104" s="61"/>
    </row>
    <row r="1105">
      <c r="A1105" s="29" t="s">
        <v>1311</v>
      </c>
      <c r="B1105" s="30" t="s">
        <v>45</v>
      </c>
      <c r="C1105" s="31" t="s">
        <v>26</v>
      </c>
      <c r="D1105" s="32" t="str">
        <f t="shared" si="1"/>
        <v>Removed</v>
      </c>
      <c r="E1105" s="33">
        <v>45797.0</v>
      </c>
      <c r="F1105" s="34">
        <v>45978.0</v>
      </c>
      <c r="G1105" s="36">
        <f t="shared" si="2"/>
        <v>5.9</v>
      </c>
      <c r="H1105" s="37">
        <v>43424.0</v>
      </c>
      <c r="I1105" s="36">
        <f t="shared" si="4"/>
        <v>6.5</v>
      </c>
      <c r="J1105" s="38">
        <v>81.0</v>
      </c>
      <c r="K1105" s="39">
        <v>3.5</v>
      </c>
      <c r="L1105" s="38">
        <v>6.0</v>
      </c>
      <c r="M1105" s="40" t="s">
        <v>31</v>
      </c>
      <c r="N1105" s="41"/>
      <c r="O1105" s="42"/>
      <c r="P1105" s="43"/>
    </row>
    <row r="1106">
      <c r="A1106" s="44" t="s">
        <v>1312</v>
      </c>
      <c r="B1106" s="45" t="s">
        <v>25</v>
      </c>
      <c r="C1106" s="46" t="s">
        <v>26</v>
      </c>
      <c r="D1106" s="47" t="str">
        <f t="shared" si="1"/>
        <v>Removed</v>
      </c>
      <c r="E1106" s="48">
        <v>45615.0</v>
      </c>
      <c r="F1106" s="49">
        <v>45978.0</v>
      </c>
      <c r="G1106" s="50">
        <f t="shared" si="2"/>
        <v>11.93333333</v>
      </c>
      <c r="H1106" s="51">
        <v>44978.0</v>
      </c>
      <c r="I1106" s="50">
        <f t="shared" si="4"/>
        <v>1.744444444</v>
      </c>
      <c r="J1106" s="55">
        <v>81.0</v>
      </c>
      <c r="K1106" s="56">
        <v>7.5</v>
      </c>
      <c r="L1106" s="55">
        <v>24.0</v>
      </c>
      <c r="M1106" s="58" t="s">
        <v>29</v>
      </c>
      <c r="N1106" s="59"/>
      <c r="O1106" s="60" t="s">
        <v>149</v>
      </c>
      <c r="P1106" s="61"/>
    </row>
    <row r="1107">
      <c r="A1107" s="29" t="s">
        <v>1313</v>
      </c>
      <c r="B1107" s="30" t="s">
        <v>45</v>
      </c>
      <c r="C1107" s="31" t="s">
        <v>26</v>
      </c>
      <c r="D1107" s="32" t="str">
        <f t="shared" si="1"/>
        <v>Removed</v>
      </c>
      <c r="E1107" s="33">
        <v>45615.0</v>
      </c>
      <c r="F1107" s="34">
        <v>45978.0</v>
      </c>
      <c r="G1107" s="36">
        <f t="shared" si="2"/>
        <v>11.93333333</v>
      </c>
      <c r="H1107" s="37">
        <v>44771.0</v>
      </c>
      <c r="I1107" s="36">
        <f t="shared" si="4"/>
        <v>2.305555556</v>
      </c>
      <c r="J1107" s="38">
        <v>70.0</v>
      </c>
      <c r="K1107" s="39">
        <v>8.3</v>
      </c>
      <c r="L1107" s="38">
        <v>32.0</v>
      </c>
      <c r="M1107" s="40" t="s">
        <v>103</v>
      </c>
      <c r="N1107" s="41"/>
      <c r="O1107" s="42" t="s">
        <v>149</v>
      </c>
      <c r="P1107" s="43"/>
    </row>
    <row r="1108">
      <c r="A1108" s="44" t="s">
        <v>1314</v>
      </c>
      <c r="B1108" s="45" t="s">
        <v>238</v>
      </c>
      <c r="C1108" s="46" t="s">
        <v>1298</v>
      </c>
      <c r="D1108" s="47" t="str">
        <f t="shared" si="1"/>
        <v>Removed</v>
      </c>
      <c r="E1108" s="48">
        <v>45615.0</v>
      </c>
      <c r="F1108" s="49">
        <v>45978.0</v>
      </c>
      <c r="G1108" s="50">
        <f t="shared" si="2"/>
        <v>11.93333333</v>
      </c>
      <c r="H1108" s="51">
        <v>45111.0</v>
      </c>
      <c r="I1108" s="50">
        <f t="shared" si="4"/>
        <v>1.375</v>
      </c>
      <c r="J1108" s="55">
        <v>77.0</v>
      </c>
      <c r="K1108" s="56">
        <v>8.9</v>
      </c>
      <c r="L1108" s="55">
        <v>5.0</v>
      </c>
      <c r="M1108" s="58" t="s">
        <v>31</v>
      </c>
      <c r="N1108" s="59" t="s">
        <v>1299</v>
      </c>
      <c r="O1108" s="60" t="s">
        <v>34</v>
      </c>
      <c r="P1108" s="61"/>
    </row>
    <row r="1109">
      <c r="A1109" s="29" t="s">
        <v>1315</v>
      </c>
      <c r="B1109" s="30" t="s">
        <v>45</v>
      </c>
      <c r="C1109" s="31" t="s">
        <v>26</v>
      </c>
      <c r="D1109" s="32" t="str">
        <f t="shared" si="1"/>
        <v>Removed</v>
      </c>
      <c r="E1109" s="33">
        <v>45489.0</v>
      </c>
      <c r="F1109" s="34">
        <v>45978.0</v>
      </c>
      <c r="G1109" s="36">
        <f t="shared" si="2"/>
        <v>16.03333333</v>
      </c>
      <c r="H1109" s="37">
        <v>43483.0</v>
      </c>
      <c r="I1109" s="36">
        <f t="shared" si="4"/>
        <v>5.494444444</v>
      </c>
      <c r="J1109" s="38">
        <v>67.0</v>
      </c>
      <c r="K1109" s="39">
        <v>7.8</v>
      </c>
      <c r="L1109" s="38">
        <v>10.0</v>
      </c>
      <c r="M1109" s="40" t="s">
        <v>268</v>
      </c>
      <c r="N1109" s="41"/>
      <c r="O1109" s="42" t="s">
        <v>34</v>
      </c>
      <c r="P1109" s="43"/>
    </row>
    <row r="1110">
      <c r="A1110" s="44" t="s">
        <v>1316</v>
      </c>
      <c r="B1110" s="45" t="s">
        <v>33</v>
      </c>
      <c r="C1110" s="46" t="s">
        <v>26</v>
      </c>
      <c r="D1110" s="47" t="str">
        <f t="shared" si="1"/>
        <v>Removed</v>
      </c>
      <c r="E1110" s="48">
        <v>45461.0</v>
      </c>
      <c r="F1110" s="49">
        <v>45978.0</v>
      </c>
      <c r="G1110" s="50">
        <f t="shared" si="2"/>
        <v>16.96666667</v>
      </c>
      <c r="H1110" s="51">
        <v>45236.0</v>
      </c>
      <c r="I1110" s="50">
        <f t="shared" si="4"/>
        <v>0.6166666667</v>
      </c>
      <c r="J1110" s="55">
        <v>84.0</v>
      </c>
      <c r="K1110" s="56">
        <v>7.0</v>
      </c>
      <c r="L1110" s="55">
        <v>66.0</v>
      </c>
      <c r="M1110" s="58" t="s">
        <v>309</v>
      </c>
      <c r="N1110" s="59"/>
      <c r="O1110" s="60" t="s">
        <v>272</v>
      </c>
      <c r="P1110" s="61"/>
    </row>
    <row r="1111">
      <c r="A1111" s="29" t="s">
        <v>1317</v>
      </c>
      <c r="B1111" s="30" t="s">
        <v>25</v>
      </c>
      <c r="C1111" s="31" t="s">
        <v>1089</v>
      </c>
      <c r="D1111" s="32" t="str">
        <f t="shared" si="1"/>
        <v>Removed</v>
      </c>
      <c r="E1111" s="33">
        <v>45937.0</v>
      </c>
      <c r="F1111" s="34">
        <v>45964.0</v>
      </c>
      <c r="G1111" s="36">
        <f t="shared" si="2"/>
        <v>0.8666666667</v>
      </c>
      <c r="H1111" s="37">
        <v>44882.0</v>
      </c>
      <c r="I1111" s="36">
        <f t="shared" si="4"/>
        <v>2.888888889</v>
      </c>
      <c r="J1111" s="38">
        <v>68.0</v>
      </c>
      <c r="K1111" s="39">
        <v>7.3</v>
      </c>
      <c r="L1111" s="38">
        <v>8.0</v>
      </c>
      <c r="M1111" s="40" t="s">
        <v>29</v>
      </c>
      <c r="N1111" s="41"/>
      <c r="O1111" s="42" t="s">
        <v>34</v>
      </c>
      <c r="P1111" s="43"/>
    </row>
    <row r="1112">
      <c r="A1112" s="44" t="s">
        <v>1318</v>
      </c>
      <c r="B1112" s="45" t="s">
        <v>25</v>
      </c>
      <c r="C1112" s="46" t="s">
        <v>1089</v>
      </c>
      <c r="D1112" s="47" t="str">
        <f t="shared" si="1"/>
        <v>Removed</v>
      </c>
      <c r="E1112" s="48">
        <v>45937.0</v>
      </c>
      <c r="F1112" s="49">
        <v>45964.0</v>
      </c>
      <c r="G1112" s="50">
        <f t="shared" si="2"/>
        <v>0.8666666667</v>
      </c>
      <c r="H1112" s="51">
        <v>45226.0</v>
      </c>
      <c r="I1112" s="50">
        <f t="shared" si="4"/>
        <v>1.944444444</v>
      </c>
      <c r="J1112" s="55">
        <v>89.0</v>
      </c>
      <c r="K1112" s="56">
        <v>8.5</v>
      </c>
      <c r="L1112" s="55">
        <v>19.0</v>
      </c>
      <c r="M1112" s="58" t="s">
        <v>36</v>
      </c>
      <c r="N1112" s="59"/>
      <c r="O1112" s="60" t="s">
        <v>34</v>
      </c>
      <c r="P1112" s="61"/>
    </row>
    <row r="1113">
      <c r="A1113" s="29" t="s">
        <v>1319</v>
      </c>
      <c r="B1113" s="30" t="s">
        <v>25</v>
      </c>
      <c r="C1113" s="31" t="s">
        <v>1089</v>
      </c>
      <c r="D1113" s="32" t="str">
        <f t="shared" si="1"/>
        <v>Removed</v>
      </c>
      <c r="E1113" s="33">
        <v>45937.0</v>
      </c>
      <c r="F1113" s="34">
        <v>45964.0</v>
      </c>
      <c r="G1113" s="36">
        <f t="shared" si="2"/>
        <v>0.8666666667</v>
      </c>
      <c r="H1113" s="37">
        <v>45198.0</v>
      </c>
      <c r="I1113" s="36">
        <f t="shared" si="4"/>
        <v>2.022222222</v>
      </c>
      <c r="J1113" s="38">
        <v>88.0</v>
      </c>
      <c r="K1113" s="39">
        <v>8.0</v>
      </c>
      <c r="L1113" s="38">
        <v>5.0</v>
      </c>
      <c r="M1113" s="40" t="s">
        <v>29</v>
      </c>
      <c r="N1113" s="41"/>
      <c r="O1113" s="42" t="s">
        <v>34</v>
      </c>
      <c r="P1113" s="43"/>
    </row>
    <row r="1114">
      <c r="A1114" s="44" t="s">
        <v>1320</v>
      </c>
      <c r="B1114" s="45" t="s">
        <v>45</v>
      </c>
      <c r="C1114" s="46" t="s">
        <v>26</v>
      </c>
      <c r="D1114" s="47" t="str">
        <f t="shared" si="1"/>
        <v>Removed</v>
      </c>
      <c r="E1114" s="48">
        <v>45762.0</v>
      </c>
      <c r="F1114" s="49">
        <v>45950.0</v>
      </c>
      <c r="G1114" s="50">
        <f t="shared" si="2"/>
        <v>6.166666667</v>
      </c>
      <c r="H1114" s="51">
        <v>42664.0</v>
      </c>
      <c r="I1114" s="50">
        <f t="shared" si="4"/>
        <v>8.483333333</v>
      </c>
      <c r="J1114" s="55">
        <v>88.0</v>
      </c>
      <c r="K1114" s="56">
        <v>7.4</v>
      </c>
      <c r="L1114" s="55">
        <v>7.0</v>
      </c>
      <c r="M1114" s="58" t="s">
        <v>31</v>
      </c>
      <c r="N1114" s="59"/>
      <c r="O1114" s="60" t="s">
        <v>149</v>
      </c>
      <c r="P1114" s="61"/>
    </row>
    <row r="1115">
      <c r="A1115" s="29" t="s">
        <v>1321</v>
      </c>
      <c r="B1115" s="30" t="s">
        <v>25</v>
      </c>
      <c r="C1115" s="31" t="s">
        <v>26</v>
      </c>
      <c r="D1115" s="32" t="str">
        <f t="shared" si="1"/>
        <v>Removed</v>
      </c>
      <c r="E1115" s="33">
        <v>45580.0</v>
      </c>
      <c r="F1115" s="34">
        <v>45950.0</v>
      </c>
      <c r="G1115" s="36">
        <f t="shared" si="2"/>
        <v>12.16666667</v>
      </c>
      <c r="H1115" s="37">
        <v>44883.0</v>
      </c>
      <c r="I1115" s="36">
        <f t="shared" si="4"/>
        <v>1.908333333</v>
      </c>
      <c r="J1115" s="38">
        <v>69.0</v>
      </c>
      <c r="K1115" s="39">
        <v>6.2</v>
      </c>
      <c r="L1115" s="38">
        <v>7.0</v>
      </c>
      <c r="M1115" s="40" t="s">
        <v>29</v>
      </c>
      <c r="N1115" s="41"/>
      <c r="O1115" s="42" t="s">
        <v>34</v>
      </c>
      <c r="P1115" s="43"/>
    </row>
    <row r="1116">
      <c r="A1116" s="44" t="s">
        <v>1322</v>
      </c>
      <c r="B1116" s="45" t="s">
        <v>25</v>
      </c>
      <c r="C1116" s="46" t="s">
        <v>26</v>
      </c>
      <c r="D1116" s="47" t="str">
        <f t="shared" si="1"/>
        <v>Removed</v>
      </c>
      <c r="E1116" s="48">
        <v>45580.0</v>
      </c>
      <c r="F1116" s="49">
        <v>45950.0</v>
      </c>
      <c r="G1116" s="50">
        <f t="shared" si="2"/>
        <v>12.16666667</v>
      </c>
      <c r="H1116" s="51">
        <v>44852.0</v>
      </c>
      <c r="I1116" s="50">
        <f t="shared" si="4"/>
        <v>1.991666667</v>
      </c>
      <c r="J1116" s="55">
        <v>68.0</v>
      </c>
      <c r="K1116" s="56">
        <v>8.0</v>
      </c>
      <c r="L1116" s="55">
        <v>8.0</v>
      </c>
      <c r="M1116" s="58" t="s">
        <v>29</v>
      </c>
      <c r="N1116" s="59"/>
      <c r="O1116" s="60" t="s">
        <v>149</v>
      </c>
      <c r="P1116" s="61"/>
    </row>
    <row r="1117">
      <c r="A1117" s="29" t="s">
        <v>1323</v>
      </c>
      <c r="B1117" s="30" t="s">
        <v>25</v>
      </c>
      <c r="C1117" s="31" t="s">
        <v>26</v>
      </c>
      <c r="D1117" s="32" t="str">
        <f t="shared" si="1"/>
        <v>Removed</v>
      </c>
      <c r="E1117" s="33">
        <v>45580.0</v>
      </c>
      <c r="F1117" s="34">
        <v>45950.0</v>
      </c>
      <c r="G1117" s="36">
        <f t="shared" si="2"/>
        <v>12.16666667</v>
      </c>
      <c r="H1117" s="37">
        <v>45085.0</v>
      </c>
      <c r="I1117" s="36">
        <f t="shared" si="4"/>
        <v>1.352777778</v>
      </c>
      <c r="J1117" s="38">
        <v>73.0</v>
      </c>
      <c r="K1117" s="39">
        <v>3.5</v>
      </c>
      <c r="L1117" s="38">
        <v>9.0</v>
      </c>
      <c r="M1117" s="40" t="s">
        <v>95</v>
      </c>
      <c r="N1117" s="41"/>
      <c r="O1117" s="42" t="s">
        <v>272</v>
      </c>
      <c r="P1117" s="43"/>
    </row>
    <row r="1118">
      <c r="A1118" s="44" t="s">
        <v>1324</v>
      </c>
      <c r="B1118" s="45" t="s">
        <v>238</v>
      </c>
      <c r="C1118" s="46" t="s">
        <v>1298</v>
      </c>
      <c r="D1118" s="47" t="str">
        <f t="shared" si="1"/>
        <v>Removed</v>
      </c>
      <c r="E1118" s="48">
        <v>45580.0</v>
      </c>
      <c r="F1118" s="49">
        <v>45950.0</v>
      </c>
      <c r="G1118" s="50">
        <f t="shared" si="2"/>
        <v>12.16666667</v>
      </c>
      <c r="H1118" s="51">
        <v>45038.0</v>
      </c>
      <c r="I1118" s="50">
        <f t="shared" si="4"/>
        <v>1.480555556</v>
      </c>
      <c r="J1118" s="55">
        <v>83.0</v>
      </c>
      <c r="K1118" s="56">
        <v>6.9</v>
      </c>
      <c r="L1118" s="55">
        <v>5.0</v>
      </c>
      <c r="M1118" s="58" t="s">
        <v>29</v>
      </c>
      <c r="N1118" s="59" t="s">
        <v>1299</v>
      </c>
      <c r="O1118" s="60" t="s">
        <v>34</v>
      </c>
      <c r="P1118" s="61"/>
    </row>
    <row r="1119">
      <c r="A1119" s="29" t="s">
        <v>1325</v>
      </c>
      <c r="B1119" s="30" t="s">
        <v>25</v>
      </c>
      <c r="C1119" s="31" t="s">
        <v>26</v>
      </c>
      <c r="D1119" s="32" t="str">
        <f t="shared" si="1"/>
        <v>Removed</v>
      </c>
      <c r="E1119" s="33">
        <v>45216.0</v>
      </c>
      <c r="F1119" s="34">
        <v>45950.0</v>
      </c>
      <c r="G1119" s="36">
        <f t="shared" si="2"/>
        <v>24.1</v>
      </c>
      <c r="H1119" s="37">
        <v>44491.0</v>
      </c>
      <c r="I1119" s="36">
        <f t="shared" si="4"/>
        <v>1.986111111</v>
      </c>
      <c r="J1119" s="38">
        <v>72.0</v>
      </c>
      <c r="K1119" s="39">
        <v>8.0</v>
      </c>
      <c r="L1119" s="38">
        <v>6.0</v>
      </c>
      <c r="M1119" s="40" t="s">
        <v>36</v>
      </c>
      <c r="N1119" s="41"/>
      <c r="O1119" s="42" t="s">
        <v>272</v>
      </c>
      <c r="P1119" s="43"/>
    </row>
    <row r="1120">
      <c r="A1120" s="44" t="s">
        <v>1326</v>
      </c>
      <c r="B1120" s="45" t="s">
        <v>45</v>
      </c>
      <c r="C1120" s="46" t="s">
        <v>1089</v>
      </c>
      <c r="D1120" s="47" t="str">
        <f t="shared" si="1"/>
        <v>Removed</v>
      </c>
      <c r="E1120" s="48">
        <v>45902.0</v>
      </c>
      <c r="F1120" s="49">
        <v>45936.0</v>
      </c>
      <c r="G1120" s="50">
        <f t="shared" si="2"/>
        <v>1.133333333</v>
      </c>
      <c r="H1120" s="51">
        <v>44433.0</v>
      </c>
      <c r="I1120" s="50">
        <f t="shared" si="4"/>
        <v>4.019444444</v>
      </c>
      <c r="J1120" s="55">
        <v>87.0</v>
      </c>
      <c r="K1120" s="56">
        <v>8.1</v>
      </c>
      <c r="L1120" s="55">
        <v>15.0</v>
      </c>
      <c r="M1120" s="58" t="s">
        <v>27</v>
      </c>
      <c r="N1120" s="59"/>
      <c r="O1120" s="60" t="s">
        <v>34</v>
      </c>
      <c r="P1120" s="61"/>
    </row>
    <row r="1121">
      <c r="A1121" s="29" t="s">
        <v>1327</v>
      </c>
      <c r="B1121" s="30" t="s">
        <v>45</v>
      </c>
      <c r="C1121" s="31" t="s">
        <v>1089</v>
      </c>
      <c r="D1121" s="32" t="str">
        <f t="shared" si="1"/>
        <v>Removed</v>
      </c>
      <c r="E1121" s="33">
        <v>45902.0</v>
      </c>
      <c r="F1121" s="34">
        <v>45936.0</v>
      </c>
      <c r="G1121" s="36">
        <f t="shared" si="2"/>
        <v>1.133333333</v>
      </c>
      <c r="H1121" s="37">
        <v>43522.0</v>
      </c>
      <c r="I1121" s="36">
        <f t="shared" si="4"/>
        <v>6.516666667</v>
      </c>
      <c r="J1121" s="38">
        <v>89.0</v>
      </c>
      <c r="K1121" s="39">
        <v>8.8</v>
      </c>
      <c r="L1121" s="38">
        <v>54.0</v>
      </c>
      <c r="M1121" s="40" t="s">
        <v>185</v>
      </c>
      <c r="N1121" s="41"/>
      <c r="O1121" s="42" t="s">
        <v>34</v>
      </c>
      <c r="P1121" s="43"/>
    </row>
    <row r="1122">
      <c r="A1122" s="44" t="s">
        <v>1328</v>
      </c>
      <c r="B1122" s="45" t="s">
        <v>25</v>
      </c>
      <c r="C1122" s="46" t="s">
        <v>1089</v>
      </c>
      <c r="D1122" s="47" t="str">
        <f t="shared" si="1"/>
        <v>Removed</v>
      </c>
      <c r="E1122" s="48">
        <v>45902.0</v>
      </c>
      <c r="F1122" s="49">
        <v>45936.0</v>
      </c>
      <c r="G1122" s="50">
        <f t="shared" si="2"/>
        <v>1.133333333</v>
      </c>
      <c r="H1122" s="51">
        <v>45125.0</v>
      </c>
      <c r="I1122" s="50">
        <f t="shared" si="4"/>
        <v>2.122222222</v>
      </c>
      <c r="J1122" s="55">
        <v>84.0</v>
      </c>
      <c r="K1122" s="56">
        <v>7.9</v>
      </c>
      <c r="L1122" s="55">
        <v>4.0</v>
      </c>
      <c r="M1122" s="58" t="s">
        <v>29</v>
      </c>
      <c r="N1122" s="59"/>
      <c r="O1122" s="60" t="s">
        <v>34</v>
      </c>
      <c r="P1122" s="61"/>
    </row>
    <row r="1123">
      <c r="A1123" s="29" t="s">
        <v>1329</v>
      </c>
      <c r="B1123" s="30" t="s">
        <v>25</v>
      </c>
      <c r="C1123" s="31" t="s">
        <v>26</v>
      </c>
      <c r="D1123" s="32" t="str">
        <f t="shared" si="1"/>
        <v>Removed</v>
      </c>
      <c r="E1123" s="33">
        <v>45643.0</v>
      </c>
      <c r="F1123" s="34">
        <v>45915.0</v>
      </c>
      <c r="G1123" s="36">
        <f t="shared" si="2"/>
        <v>8.933333333</v>
      </c>
      <c r="H1123" s="37">
        <v>44446.0</v>
      </c>
      <c r="I1123" s="36">
        <f t="shared" si="4"/>
        <v>3.277777778</v>
      </c>
      <c r="J1123" s="38">
        <v>80.0</v>
      </c>
      <c r="K1123" s="39">
        <v>7.7</v>
      </c>
      <c r="L1123" s="38">
        <v>13.0</v>
      </c>
      <c r="M1123" s="40" t="s">
        <v>244</v>
      </c>
      <c r="N1123" s="41"/>
      <c r="O1123" s="42" t="s">
        <v>149</v>
      </c>
      <c r="P1123" s="43"/>
    </row>
    <row r="1124">
      <c r="A1124" s="44" t="s">
        <v>1330</v>
      </c>
      <c r="B1124" s="45" t="s">
        <v>33</v>
      </c>
      <c r="C1124" s="46" t="s">
        <v>26</v>
      </c>
      <c r="D1124" s="47" t="str">
        <f t="shared" si="1"/>
        <v>Removed</v>
      </c>
      <c r="E1124" s="48">
        <v>45552.0</v>
      </c>
      <c r="F1124" s="49">
        <v>45915.0</v>
      </c>
      <c r="G1124" s="50">
        <f t="shared" si="2"/>
        <v>11.93333333</v>
      </c>
      <c r="H1124" s="51">
        <v>45552.0</v>
      </c>
      <c r="I1124" s="50">
        <f t="shared" si="4"/>
        <v>0</v>
      </c>
      <c r="J1124" s="55">
        <v>83.0</v>
      </c>
      <c r="K1124" s="56">
        <v>7.5</v>
      </c>
      <c r="L1124" s="55">
        <v>9.0</v>
      </c>
      <c r="M1124" s="58" t="s">
        <v>29</v>
      </c>
      <c r="N1124" s="59"/>
      <c r="O1124" s="60" t="s">
        <v>272</v>
      </c>
      <c r="P1124" s="61"/>
    </row>
    <row r="1125">
      <c r="A1125" s="29" t="s">
        <v>1331</v>
      </c>
      <c r="B1125" s="30" t="s">
        <v>25</v>
      </c>
      <c r="C1125" s="31" t="s">
        <v>26</v>
      </c>
      <c r="D1125" s="32" t="str">
        <f t="shared" si="1"/>
        <v>Removed</v>
      </c>
      <c r="E1125" s="33">
        <v>45552.0</v>
      </c>
      <c r="F1125" s="34">
        <v>45915.0</v>
      </c>
      <c r="G1125" s="36">
        <f t="shared" si="2"/>
        <v>11.93333333</v>
      </c>
      <c r="H1125" s="37">
        <v>42787.0</v>
      </c>
      <c r="I1125" s="36">
        <f t="shared" si="4"/>
        <v>7.572222222</v>
      </c>
      <c r="J1125" s="38">
        <v>88.0</v>
      </c>
      <c r="K1125" s="39">
        <v>7.7</v>
      </c>
      <c r="L1125" s="38">
        <v>9.0</v>
      </c>
      <c r="M1125" s="40" t="s">
        <v>29</v>
      </c>
      <c r="N1125" s="41"/>
      <c r="O1125" s="42" t="s">
        <v>149</v>
      </c>
      <c r="P1125" s="43"/>
    </row>
    <row r="1126">
      <c r="A1126" s="44" t="s">
        <v>1332</v>
      </c>
      <c r="B1126" s="45" t="s">
        <v>25</v>
      </c>
      <c r="C1126" s="46" t="s">
        <v>26</v>
      </c>
      <c r="D1126" s="47" t="str">
        <f t="shared" si="1"/>
        <v>Removed</v>
      </c>
      <c r="E1126" s="48">
        <v>45552.0</v>
      </c>
      <c r="F1126" s="49">
        <v>45915.0</v>
      </c>
      <c r="G1126" s="50">
        <f t="shared" si="2"/>
        <v>11.93333333</v>
      </c>
      <c r="H1126" s="51">
        <v>44424.0</v>
      </c>
      <c r="I1126" s="50">
        <f t="shared" si="4"/>
        <v>3.086111111</v>
      </c>
      <c r="J1126" s="55">
        <v>79.0</v>
      </c>
      <c r="K1126" s="56">
        <v>7.7</v>
      </c>
      <c r="L1126" s="55">
        <v>8.0</v>
      </c>
      <c r="M1126" s="58" t="s">
        <v>29</v>
      </c>
      <c r="N1126" s="59"/>
      <c r="O1126" s="60" t="s">
        <v>34</v>
      </c>
      <c r="P1126" s="61"/>
    </row>
    <row r="1127">
      <c r="A1127" s="29" t="s">
        <v>1333</v>
      </c>
      <c r="B1127" s="30" t="s">
        <v>238</v>
      </c>
      <c r="C1127" s="31" t="s">
        <v>1298</v>
      </c>
      <c r="D1127" s="32" t="str">
        <f t="shared" si="1"/>
        <v>Removed</v>
      </c>
      <c r="E1127" s="33">
        <v>45552.0</v>
      </c>
      <c r="F1127" s="34">
        <v>45915.0</v>
      </c>
      <c r="G1127" s="36">
        <f t="shared" si="2"/>
        <v>11.93333333</v>
      </c>
      <c r="H1127" s="37">
        <v>43776.0</v>
      </c>
      <c r="I1127" s="36">
        <f t="shared" si="4"/>
        <v>4.861111111</v>
      </c>
      <c r="J1127" s="38">
        <v>83.0</v>
      </c>
      <c r="K1127" s="39">
        <v>7.6</v>
      </c>
      <c r="L1127" s="38">
        <v>2.0</v>
      </c>
      <c r="M1127" s="40" t="s">
        <v>31</v>
      </c>
      <c r="N1127" s="41" t="s">
        <v>1299</v>
      </c>
      <c r="O1127" s="42" t="s">
        <v>34</v>
      </c>
      <c r="P1127" s="43"/>
    </row>
    <row r="1128">
      <c r="A1128" s="44" t="s">
        <v>1334</v>
      </c>
      <c r="B1128" s="45" t="s">
        <v>45</v>
      </c>
      <c r="C1128" s="46" t="s">
        <v>26</v>
      </c>
      <c r="D1128" s="47" t="str">
        <f t="shared" si="1"/>
        <v>Removed</v>
      </c>
      <c r="E1128" s="48">
        <v>45188.0</v>
      </c>
      <c r="F1128" s="49">
        <v>45915.0</v>
      </c>
      <c r="G1128" s="50">
        <f t="shared" si="2"/>
        <v>23.86666667</v>
      </c>
      <c r="H1128" s="51">
        <v>42528.0</v>
      </c>
      <c r="I1128" s="50">
        <f t="shared" si="4"/>
        <v>7.283333333</v>
      </c>
      <c r="J1128" s="55">
        <v>87.0</v>
      </c>
      <c r="K1128" s="56">
        <v>8.2</v>
      </c>
      <c r="L1128" s="55">
        <v>30.0</v>
      </c>
      <c r="M1128" s="58" t="s">
        <v>42</v>
      </c>
      <c r="N1128" s="59"/>
      <c r="O1128" s="60" t="s">
        <v>149</v>
      </c>
      <c r="P1128" s="61"/>
    </row>
    <row r="1129">
      <c r="A1129" s="29" t="s">
        <v>1335</v>
      </c>
      <c r="B1129" s="30" t="s">
        <v>45</v>
      </c>
      <c r="C1129" s="31" t="s">
        <v>41</v>
      </c>
      <c r="D1129" s="32" t="str">
        <f t="shared" si="1"/>
        <v>Removed</v>
      </c>
      <c r="E1129" s="33">
        <v>45188.0</v>
      </c>
      <c r="F1129" s="34">
        <v>45915.0</v>
      </c>
      <c r="G1129" s="36">
        <f t="shared" si="2"/>
        <v>23.86666667</v>
      </c>
      <c r="H1129" s="37">
        <v>41492.0</v>
      </c>
      <c r="I1129" s="36">
        <f t="shared" si="4"/>
        <v>10.11944444</v>
      </c>
      <c r="J1129" s="38">
        <v>82.0</v>
      </c>
      <c r="K1129" s="39">
        <v>8.2</v>
      </c>
      <c r="L1129" s="38">
        <v>15.0</v>
      </c>
      <c r="M1129" s="40" t="s">
        <v>42</v>
      </c>
      <c r="N1129" s="41" t="s">
        <v>442</v>
      </c>
      <c r="O1129" s="42" t="s">
        <v>149</v>
      </c>
      <c r="P1129" s="67"/>
    </row>
    <row r="1130">
      <c r="A1130" s="44" t="s">
        <v>1336</v>
      </c>
      <c r="B1130" s="45" t="s">
        <v>25</v>
      </c>
      <c r="C1130" s="46" t="s">
        <v>1089</v>
      </c>
      <c r="D1130" s="47" t="str">
        <f t="shared" si="1"/>
        <v>Removed</v>
      </c>
      <c r="E1130" s="48">
        <v>45874.0</v>
      </c>
      <c r="F1130" s="49">
        <v>45901.0</v>
      </c>
      <c r="G1130" s="50">
        <f t="shared" si="2"/>
        <v>0.8666666667</v>
      </c>
      <c r="H1130" s="51">
        <v>45188.0</v>
      </c>
      <c r="I1130" s="50">
        <f t="shared" si="4"/>
        <v>1.877777778</v>
      </c>
      <c r="J1130" s="55">
        <v>80.0</v>
      </c>
      <c r="K1130" s="56">
        <v>8.3</v>
      </c>
      <c r="L1130" s="55">
        <v>29.0</v>
      </c>
      <c r="M1130" s="58" t="s">
        <v>42</v>
      </c>
      <c r="N1130" s="59"/>
      <c r="O1130" s="60" t="s">
        <v>34</v>
      </c>
      <c r="P1130" s="61"/>
    </row>
    <row r="1131">
      <c r="A1131" s="29" t="s">
        <v>1337</v>
      </c>
      <c r="B1131" s="30" t="s">
        <v>45</v>
      </c>
      <c r="C1131" s="31" t="s">
        <v>1089</v>
      </c>
      <c r="D1131" s="32" t="str">
        <f t="shared" si="1"/>
        <v>Removed</v>
      </c>
      <c r="E1131" s="33">
        <v>45874.0</v>
      </c>
      <c r="F1131" s="34">
        <v>45901.0</v>
      </c>
      <c r="G1131" s="36">
        <f t="shared" si="2"/>
        <v>0.8666666667</v>
      </c>
      <c r="H1131" s="37">
        <v>43447.0</v>
      </c>
      <c r="I1131" s="36">
        <f t="shared" si="4"/>
        <v>6.644444444</v>
      </c>
      <c r="J1131" s="38">
        <v>31.0</v>
      </c>
      <c r="K1131" s="39">
        <v>4.1</v>
      </c>
      <c r="L1131" s="38">
        <v>62.0</v>
      </c>
      <c r="M1131" s="40" t="s">
        <v>36</v>
      </c>
      <c r="N1131" s="41"/>
      <c r="O1131" s="42" t="s">
        <v>34</v>
      </c>
      <c r="P1131" s="43"/>
    </row>
    <row r="1132">
      <c r="A1132" s="44" t="s">
        <v>1338</v>
      </c>
      <c r="B1132" s="45" t="s">
        <v>45</v>
      </c>
      <c r="C1132" s="46" t="s">
        <v>1089</v>
      </c>
      <c r="D1132" s="47" t="str">
        <f t="shared" si="1"/>
        <v>Removed</v>
      </c>
      <c r="E1132" s="48">
        <v>45874.0</v>
      </c>
      <c r="F1132" s="49">
        <v>45901.0</v>
      </c>
      <c r="G1132" s="50">
        <f t="shared" si="2"/>
        <v>0.8666666667</v>
      </c>
      <c r="H1132" s="51">
        <v>43891.0</v>
      </c>
      <c r="I1132" s="50">
        <f t="shared" si="4"/>
        <v>5.427777778</v>
      </c>
      <c r="J1132" s="55">
        <v>68.0</v>
      </c>
      <c r="K1132" s="56">
        <v>7.5</v>
      </c>
      <c r="L1132" s="55">
        <v>8.0</v>
      </c>
      <c r="M1132" s="58" t="s">
        <v>114</v>
      </c>
      <c r="N1132" s="59"/>
      <c r="O1132" s="60" t="s">
        <v>34</v>
      </c>
      <c r="P1132" s="61"/>
    </row>
    <row r="1133">
      <c r="A1133" s="29" t="s">
        <v>1339</v>
      </c>
      <c r="B1133" s="30" t="s">
        <v>33</v>
      </c>
      <c r="C1133" s="31" t="s">
        <v>26</v>
      </c>
      <c r="D1133" s="32" t="str">
        <f t="shared" si="1"/>
        <v>Removed</v>
      </c>
      <c r="E1133" s="33">
        <v>45734.0</v>
      </c>
      <c r="F1133" s="34">
        <v>45887.0</v>
      </c>
      <c r="G1133" s="36">
        <f t="shared" si="2"/>
        <v>5</v>
      </c>
      <c r="H1133" s="37">
        <v>45226.0</v>
      </c>
      <c r="I1133" s="36">
        <f t="shared" si="4"/>
        <v>1.391666667</v>
      </c>
      <c r="J1133" s="38">
        <v>78.0</v>
      </c>
      <c r="K1133" s="39">
        <v>3.2</v>
      </c>
      <c r="L1133" s="38">
        <v>7.0</v>
      </c>
      <c r="M1133" s="40" t="s">
        <v>1340</v>
      </c>
      <c r="N1133" s="41"/>
      <c r="O1133" s="42" t="s">
        <v>34</v>
      </c>
      <c r="P1133" s="43"/>
    </row>
    <row r="1134">
      <c r="A1134" s="44" t="s">
        <v>1341</v>
      </c>
      <c r="B1134" s="45" t="s">
        <v>25</v>
      </c>
      <c r="C1134" s="46" t="s">
        <v>26</v>
      </c>
      <c r="D1134" s="47" t="str">
        <f t="shared" si="1"/>
        <v>Removed</v>
      </c>
      <c r="E1134" s="48">
        <v>45705.0</v>
      </c>
      <c r="F1134" s="49">
        <v>45887.0</v>
      </c>
      <c r="G1134" s="50">
        <f t="shared" si="2"/>
        <v>6.033333333</v>
      </c>
      <c r="H1134" s="51">
        <v>45044.0</v>
      </c>
      <c r="I1134" s="50">
        <f t="shared" si="4"/>
        <v>1.802777778</v>
      </c>
      <c r="J1134" s="55">
        <v>85.0</v>
      </c>
      <c r="K1134" s="56">
        <v>6.9</v>
      </c>
      <c r="L1134" s="55">
        <v>21.0</v>
      </c>
      <c r="M1134" s="58" t="s">
        <v>29</v>
      </c>
      <c r="N1134" s="59"/>
      <c r="O1134" s="60" t="s">
        <v>34</v>
      </c>
      <c r="P1134" s="61"/>
    </row>
    <row r="1135">
      <c r="A1135" s="29" t="s">
        <v>1342</v>
      </c>
      <c r="B1135" s="30" t="s">
        <v>25</v>
      </c>
      <c r="C1135" s="31" t="s">
        <v>26</v>
      </c>
      <c r="D1135" s="32" t="str">
        <f t="shared" si="1"/>
        <v>Removed</v>
      </c>
      <c r="E1135" s="33">
        <v>45705.0</v>
      </c>
      <c r="F1135" s="34">
        <v>45887.0</v>
      </c>
      <c r="G1135" s="36">
        <f t="shared" si="2"/>
        <v>6.033333333</v>
      </c>
      <c r="H1135" s="37">
        <v>45408.0</v>
      </c>
      <c r="I1135" s="36">
        <f t="shared" si="4"/>
        <v>0.8083333333</v>
      </c>
      <c r="J1135" s="38">
        <v>76.0</v>
      </c>
      <c r="K1135" s="39">
        <v>4.9</v>
      </c>
      <c r="L1135" s="38">
        <v>21.0</v>
      </c>
      <c r="M1135" s="40" t="s">
        <v>125</v>
      </c>
      <c r="N1135" s="41"/>
      <c r="O1135" s="42" t="s">
        <v>34</v>
      </c>
      <c r="P1135" s="43"/>
    </row>
    <row r="1136">
      <c r="A1136" s="44" t="s">
        <v>1343</v>
      </c>
      <c r="B1136" s="45" t="s">
        <v>33</v>
      </c>
      <c r="C1136" s="46" t="s">
        <v>26</v>
      </c>
      <c r="D1136" s="47" t="str">
        <f t="shared" si="1"/>
        <v>Removed</v>
      </c>
      <c r="E1136" s="48">
        <v>45524.0</v>
      </c>
      <c r="F1136" s="49">
        <v>45887.0</v>
      </c>
      <c r="G1136" s="50">
        <f t="shared" si="2"/>
        <v>11.93333333</v>
      </c>
      <c r="H1136" s="51">
        <v>45162.0</v>
      </c>
      <c r="I1136" s="50">
        <f t="shared" si="4"/>
        <v>0.9888888889</v>
      </c>
      <c r="J1136" s="55">
        <v>75.0</v>
      </c>
      <c r="K1136" s="56">
        <v>6.8</v>
      </c>
      <c r="L1136" s="78"/>
      <c r="M1136" s="58" t="s">
        <v>95</v>
      </c>
      <c r="N1136" s="59"/>
      <c r="O1136" s="60" t="s">
        <v>272</v>
      </c>
      <c r="P1136" s="61"/>
    </row>
    <row r="1137">
      <c r="A1137" s="29" t="s">
        <v>1344</v>
      </c>
      <c r="B1137" s="30" t="s">
        <v>33</v>
      </c>
      <c r="C1137" s="31" t="s">
        <v>26</v>
      </c>
      <c r="D1137" s="32" t="str">
        <f t="shared" si="1"/>
        <v>Removed</v>
      </c>
      <c r="E1137" s="33">
        <v>45524.0</v>
      </c>
      <c r="F1137" s="34">
        <v>45887.0</v>
      </c>
      <c r="G1137" s="36">
        <f t="shared" si="2"/>
        <v>11.93333333</v>
      </c>
      <c r="H1137" s="37">
        <v>44974.0</v>
      </c>
      <c r="I1137" s="36">
        <f t="shared" si="4"/>
        <v>1.508333333</v>
      </c>
      <c r="J1137" s="38">
        <v>79.0</v>
      </c>
      <c r="K1137" s="39">
        <v>8.0</v>
      </c>
      <c r="L1137" s="38">
        <v>40.0</v>
      </c>
      <c r="M1137" s="40" t="s">
        <v>42</v>
      </c>
      <c r="N1137" s="41"/>
      <c r="O1137" s="42" t="s">
        <v>272</v>
      </c>
      <c r="P1137" s="43"/>
    </row>
    <row r="1138">
      <c r="A1138" s="44" t="s">
        <v>1345</v>
      </c>
      <c r="B1138" s="45" t="s">
        <v>25</v>
      </c>
      <c r="C1138" s="46" t="s">
        <v>26</v>
      </c>
      <c r="D1138" s="47" t="str">
        <f t="shared" si="1"/>
        <v>Removed</v>
      </c>
      <c r="E1138" s="48">
        <v>45524.0</v>
      </c>
      <c r="F1138" s="49">
        <v>45887.0</v>
      </c>
      <c r="G1138" s="50">
        <f t="shared" si="2"/>
        <v>11.93333333</v>
      </c>
      <c r="H1138" s="51">
        <v>42143.0</v>
      </c>
      <c r="I1138" s="50">
        <f t="shared" si="4"/>
        <v>9.252777778</v>
      </c>
      <c r="J1138" s="55">
        <v>92.0</v>
      </c>
      <c r="K1138" s="56">
        <v>9.2</v>
      </c>
      <c r="L1138" s="55">
        <v>52.0</v>
      </c>
      <c r="M1138" s="58" t="s">
        <v>42</v>
      </c>
      <c r="N1138" s="59"/>
      <c r="O1138" s="60" t="s">
        <v>272</v>
      </c>
      <c r="P1138" s="61"/>
    </row>
    <row r="1139">
      <c r="A1139" s="29" t="s">
        <v>1346</v>
      </c>
      <c r="B1139" s="30" t="s">
        <v>25</v>
      </c>
      <c r="C1139" s="31" t="s">
        <v>26</v>
      </c>
      <c r="D1139" s="32" t="str">
        <f t="shared" si="1"/>
        <v>Removed</v>
      </c>
      <c r="E1139" s="33">
        <v>45524.0</v>
      </c>
      <c r="F1139" s="34">
        <v>45884.0</v>
      </c>
      <c r="G1139" s="36">
        <f t="shared" si="2"/>
        <v>11.83333333</v>
      </c>
      <c r="H1139" s="37">
        <v>45205.0</v>
      </c>
      <c r="I1139" s="36">
        <f t="shared" si="4"/>
        <v>0.8722222222</v>
      </c>
      <c r="J1139" s="38">
        <v>65.0</v>
      </c>
      <c r="K1139" s="39">
        <v>6.8</v>
      </c>
      <c r="L1139" s="38">
        <v>29.0</v>
      </c>
      <c r="M1139" s="40" t="s">
        <v>42</v>
      </c>
      <c r="N1139" s="41"/>
      <c r="O1139" s="42" t="s">
        <v>149</v>
      </c>
      <c r="P1139" s="43"/>
    </row>
    <row r="1140">
      <c r="A1140" s="44" t="s">
        <v>1347</v>
      </c>
      <c r="B1140" s="45" t="s">
        <v>45</v>
      </c>
      <c r="C1140" s="46" t="s">
        <v>26</v>
      </c>
      <c r="D1140" s="47" t="str">
        <f t="shared" si="1"/>
        <v>Removed</v>
      </c>
      <c r="E1140" s="48">
        <v>45524.0</v>
      </c>
      <c r="F1140" s="49">
        <v>45884.0</v>
      </c>
      <c r="G1140" s="50">
        <f t="shared" si="2"/>
        <v>11.83333333</v>
      </c>
      <c r="H1140" s="51">
        <v>44022.0</v>
      </c>
      <c r="I1140" s="50">
        <f t="shared" si="4"/>
        <v>4.111111111</v>
      </c>
      <c r="J1140" s="55">
        <v>58.0</v>
      </c>
      <c r="K1140" s="56">
        <v>5.9</v>
      </c>
      <c r="L1140" s="55">
        <v>64.0</v>
      </c>
      <c r="M1140" s="58" t="s">
        <v>42</v>
      </c>
      <c r="N1140" s="59"/>
      <c r="O1140" s="60" t="s">
        <v>34</v>
      </c>
      <c r="P1140" s="61"/>
    </row>
    <row r="1141">
      <c r="A1141" s="29" t="s">
        <v>1348</v>
      </c>
      <c r="B1141" s="30" t="s">
        <v>45</v>
      </c>
      <c r="C1141" s="31" t="s">
        <v>26</v>
      </c>
      <c r="D1141" s="32" t="str">
        <f t="shared" si="1"/>
        <v>Removed</v>
      </c>
      <c r="E1141" s="33">
        <v>45524.0</v>
      </c>
      <c r="F1141" s="34">
        <v>45884.0</v>
      </c>
      <c r="G1141" s="36">
        <f t="shared" si="2"/>
        <v>11.83333333</v>
      </c>
      <c r="H1141" s="37">
        <v>43686.0</v>
      </c>
      <c r="I1141" s="36">
        <f t="shared" si="4"/>
        <v>5.030555556</v>
      </c>
      <c r="J1141" s="38">
        <v>63.0</v>
      </c>
      <c r="K1141" s="39">
        <v>6.9</v>
      </c>
      <c r="L1141" s="38">
        <v>26.0</v>
      </c>
      <c r="M1141" s="40" t="s">
        <v>42</v>
      </c>
      <c r="N1141" s="41"/>
      <c r="O1141" s="42" t="s">
        <v>34</v>
      </c>
      <c r="P1141" s="43"/>
    </row>
    <row r="1142">
      <c r="A1142" s="44" t="s">
        <v>1349</v>
      </c>
      <c r="B1142" s="45" t="s">
        <v>45</v>
      </c>
      <c r="C1142" s="46" t="s">
        <v>26</v>
      </c>
      <c r="D1142" s="47" t="str">
        <f t="shared" si="1"/>
        <v>Removed</v>
      </c>
      <c r="E1142" s="48">
        <v>45524.0</v>
      </c>
      <c r="F1142" s="49">
        <v>45884.0</v>
      </c>
      <c r="G1142" s="50">
        <f t="shared" si="2"/>
        <v>11.83333333</v>
      </c>
      <c r="H1142" s="51">
        <v>43609.0</v>
      </c>
      <c r="I1142" s="50">
        <f t="shared" si="4"/>
        <v>5.238888889</v>
      </c>
      <c r="J1142" s="55">
        <v>68.0</v>
      </c>
      <c r="K1142" s="56">
        <v>7.2</v>
      </c>
      <c r="L1142" s="55">
        <v>34.0</v>
      </c>
      <c r="M1142" s="58" t="s">
        <v>42</v>
      </c>
      <c r="N1142" s="59"/>
      <c r="O1142" s="60" t="s">
        <v>34</v>
      </c>
      <c r="P1142" s="61"/>
    </row>
    <row r="1143">
      <c r="A1143" s="29" t="s">
        <v>1350</v>
      </c>
      <c r="B1143" s="30" t="s">
        <v>45</v>
      </c>
      <c r="C1143" s="31" t="s">
        <v>26</v>
      </c>
      <c r="D1143" s="32" t="str">
        <f t="shared" si="1"/>
        <v>Removed</v>
      </c>
      <c r="E1143" s="33">
        <v>45524.0</v>
      </c>
      <c r="F1143" s="34">
        <v>45884.0</v>
      </c>
      <c r="G1143" s="36">
        <f t="shared" si="2"/>
        <v>11.83333333</v>
      </c>
      <c r="H1143" s="37">
        <v>43342.0</v>
      </c>
      <c r="I1143" s="36">
        <f t="shared" si="4"/>
        <v>5.972222222</v>
      </c>
      <c r="J1143" s="38">
        <v>61.0</v>
      </c>
      <c r="K1143" s="39">
        <v>6.0</v>
      </c>
      <c r="L1143" s="38">
        <v>6.5</v>
      </c>
      <c r="M1143" s="40" t="s">
        <v>114</v>
      </c>
      <c r="N1143" s="41" t="s">
        <v>287</v>
      </c>
      <c r="O1143" s="42" t="s">
        <v>149</v>
      </c>
      <c r="P1143" s="43"/>
    </row>
    <row r="1144">
      <c r="A1144" s="44" t="s">
        <v>1351</v>
      </c>
      <c r="B1144" s="45" t="s">
        <v>45</v>
      </c>
      <c r="C1144" s="46" t="s">
        <v>41</v>
      </c>
      <c r="D1144" s="47" t="str">
        <f t="shared" si="1"/>
        <v>Removed</v>
      </c>
      <c r="E1144" s="48">
        <v>45524.0</v>
      </c>
      <c r="F1144" s="49">
        <v>45884.0</v>
      </c>
      <c r="G1144" s="50">
        <f t="shared" si="2"/>
        <v>11.83333333</v>
      </c>
      <c r="H1144" s="51">
        <v>42325.0</v>
      </c>
      <c r="I1144" s="50">
        <f t="shared" si="4"/>
        <v>8.758333333</v>
      </c>
      <c r="J1144" s="55">
        <v>63.0</v>
      </c>
      <c r="K1144" s="56">
        <v>6.1</v>
      </c>
      <c r="L1144" s="55">
        <v>24.0</v>
      </c>
      <c r="M1144" s="58" t="s">
        <v>42</v>
      </c>
      <c r="N1144" s="59" t="s">
        <v>1352</v>
      </c>
      <c r="O1144" s="60" t="s">
        <v>149</v>
      </c>
      <c r="P1144" s="61"/>
    </row>
    <row r="1145">
      <c r="A1145" s="29" t="s">
        <v>1353</v>
      </c>
      <c r="B1145" s="30" t="s">
        <v>238</v>
      </c>
      <c r="C1145" s="31" t="s">
        <v>1298</v>
      </c>
      <c r="D1145" s="32" t="str">
        <f t="shared" si="1"/>
        <v>Removed</v>
      </c>
      <c r="E1145" s="33">
        <v>45524.0</v>
      </c>
      <c r="F1145" s="34">
        <v>45884.0</v>
      </c>
      <c r="G1145" s="36">
        <f t="shared" si="2"/>
        <v>11.83333333</v>
      </c>
      <c r="H1145" s="37">
        <v>43564.0</v>
      </c>
      <c r="I1145" s="36">
        <f t="shared" si="4"/>
        <v>5.363888889</v>
      </c>
      <c r="J1145" s="38">
        <v>77.0</v>
      </c>
      <c r="K1145" s="39">
        <v>7.1</v>
      </c>
      <c r="L1145" s="38">
        <v>5.0</v>
      </c>
      <c r="M1145" s="40" t="s">
        <v>309</v>
      </c>
      <c r="N1145" s="41" t="s">
        <v>1299</v>
      </c>
      <c r="O1145" s="42" t="s">
        <v>34</v>
      </c>
      <c r="P1145" s="43"/>
    </row>
    <row r="1146">
      <c r="A1146" s="44" t="s">
        <v>1354</v>
      </c>
      <c r="B1146" s="45" t="s">
        <v>25</v>
      </c>
      <c r="C1146" s="46" t="s">
        <v>26</v>
      </c>
      <c r="D1146" s="47" t="str">
        <f t="shared" si="1"/>
        <v>Removed</v>
      </c>
      <c r="E1146" s="48">
        <v>44789.0</v>
      </c>
      <c r="F1146" s="49">
        <v>45884.0</v>
      </c>
      <c r="G1146" s="50">
        <f t="shared" si="2"/>
        <v>35.96666667</v>
      </c>
      <c r="H1146" s="51">
        <v>44147.0</v>
      </c>
      <c r="I1146" s="50">
        <f t="shared" si="4"/>
        <v>1.761111111</v>
      </c>
      <c r="J1146" s="55">
        <v>75.0</v>
      </c>
      <c r="K1146" s="56">
        <v>7.6</v>
      </c>
      <c r="L1146" s="55">
        <v>8.0</v>
      </c>
      <c r="M1146" s="58" t="s">
        <v>29</v>
      </c>
      <c r="N1146" s="59"/>
      <c r="O1146" s="60" t="s">
        <v>149</v>
      </c>
      <c r="P1146" s="61"/>
    </row>
    <row r="1147">
      <c r="A1147" s="29" t="s">
        <v>1355</v>
      </c>
      <c r="B1147" s="30" t="s">
        <v>33</v>
      </c>
      <c r="C1147" s="31" t="s">
        <v>1089</v>
      </c>
      <c r="D1147" s="32" t="str">
        <f t="shared" si="1"/>
        <v>Removed</v>
      </c>
      <c r="E1147" s="33">
        <v>45839.0</v>
      </c>
      <c r="F1147" s="34">
        <v>45873.0</v>
      </c>
      <c r="G1147" s="36">
        <f t="shared" si="2"/>
        <v>1.1</v>
      </c>
      <c r="H1147" s="37">
        <v>45230.0</v>
      </c>
      <c r="I1147" s="36">
        <f t="shared" si="4"/>
        <v>1.669444444</v>
      </c>
      <c r="J1147" s="38">
        <v>85.0</v>
      </c>
      <c r="K1147" s="39">
        <v>7.6</v>
      </c>
      <c r="L1147" s="38">
        <v>5.0</v>
      </c>
      <c r="M1147" s="40" t="s">
        <v>29</v>
      </c>
      <c r="N1147" s="41"/>
      <c r="O1147" s="42" t="s">
        <v>34</v>
      </c>
      <c r="P1147" s="43"/>
    </row>
    <row r="1148">
      <c r="A1148" s="44" t="s">
        <v>1356</v>
      </c>
      <c r="B1148" s="45" t="s">
        <v>25</v>
      </c>
      <c r="C1148" s="46" t="s">
        <v>1089</v>
      </c>
      <c r="D1148" s="47" t="str">
        <f t="shared" si="1"/>
        <v>Removed</v>
      </c>
      <c r="E1148" s="48">
        <v>45839.0</v>
      </c>
      <c r="F1148" s="49">
        <v>45873.0</v>
      </c>
      <c r="G1148" s="50">
        <f t="shared" si="2"/>
        <v>1.1</v>
      </c>
      <c r="H1148" s="51">
        <v>45083.0</v>
      </c>
      <c r="I1148" s="50">
        <f t="shared" si="4"/>
        <v>2.069444444</v>
      </c>
      <c r="J1148" s="55">
        <v>86.0</v>
      </c>
      <c r="K1148" s="56">
        <v>2.5</v>
      </c>
      <c r="L1148" s="55">
        <v>26.0</v>
      </c>
      <c r="M1148" s="58" t="s">
        <v>42</v>
      </c>
      <c r="N1148" s="59"/>
      <c r="O1148" s="60"/>
      <c r="P1148" s="61"/>
    </row>
    <row r="1149">
      <c r="A1149" s="29" t="s">
        <v>1357</v>
      </c>
      <c r="B1149" s="30" t="s">
        <v>25</v>
      </c>
      <c r="C1149" s="31" t="s">
        <v>1089</v>
      </c>
      <c r="D1149" s="32" t="str">
        <f t="shared" si="1"/>
        <v>Removed</v>
      </c>
      <c r="E1149" s="33">
        <v>45839.0</v>
      </c>
      <c r="F1149" s="34">
        <v>45873.0</v>
      </c>
      <c r="G1149" s="36">
        <f t="shared" si="2"/>
        <v>1.1</v>
      </c>
      <c r="H1149" s="37">
        <v>44606.0</v>
      </c>
      <c r="I1149" s="36">
        <f t="shared" si="4"/>
        <v>3.380555556</v>
      </c>
      <c r="J1149" s="38">
        <v>79.0</v>
      </c>
      <c r="K1149" s="39">
        <v>7.7</v>
      </c>
      <c r="L1149" s="38">
        <v>1.0</v>
      </c>
      <c r="M1149" s="40" t="s">
        <v>114</v>
      </c>
      <c r="N1149" s="41"/>
      <c r="O1149" s="42"/>
      <c r="P1149" s="43"/>
    </row>
    <row r="1150">
      <c r="A1150" s="44" t="s">
        <v>1358</v>
      </c>
      <c r="B1150" s="45" t="s">
        <v>25</v>
      </c>
      <c r="C1150" s="46" t="s">
        <v>26</v>
      </c>
      <c r="D1150" s="47" t="str">
        <f t="shared" si="1"/>
        <v>Removed</v>
      </c>
      <c r="E1150" s="48">
        <v>45615.0</v>
      </c>
      <c r="F1150" s="49">
        <v>45852.0</v>
      </c>
      <c r="G1150" s="50">
        <f t="shared" si="2"/>
        <v>7.833333333</v>
      </c>
      <c r="H1150" s="51">
        <v>44596.0</v>
      </c>
      <c r="I1150" s="50">
        <f t="shared" si="4"/>
        <v>2.791666667</v>
      </c>
      <c r="J1150" s="55">
        <v>76.0</v>
      </c>
      <c r="K1150" s="56">
        <v>7.2</v>
      </c>
      <c r="L1150" s="55">
        <v>25.0</v>
      </c>
      <c r="M1150" s="58" t="s">
        <v>36</v>
      </c>
      <c r="N1150" s="59"/>
      <c r="O1150" s="60" t="s">
        <v>149</v>
      </c>
      <c r="P1150" s="61"/>
    </row>
    <row r="1151">
      <c r="A1151" s="29" t="s">
        <v>1359</v>
      </c>
      <c r="B1151" s="30" t="s">
        <v>33</v>
      </c>
      <c r="C1151" s="31" t="s">
        <v>26</v>
      </c>
      <c r="D1151" s="32" t="str">
        <f t="shared" si="1"/>
        <v>Removed</v>
      </c>
      <c r="E1151" s="33">
        <v>45489.0</v>
      </c>
      <c r="F1151" s="34">
        <v>45852.0</v>
      </c>
      <c r="G1151" s="36">
        <f t="shared" si="2"/>
        <v>11.93333333</v>
      </c>
      <c r="H1151" s="37">
        <v>45244.0</v>
      </c>
      <c r="I1151" s="36">
        <f t="shared" si="4"/>
        <v>0.6722222222</v>
      </c>
      <c r="J1151" s="38">
        <v>82.0</v>
      </c>
      <c r="K1151" s="39">
        <v>6.8</v>
      </c>
      <c r="L1151" s="38">
        <v>18.0</v>
      </c>
      <c r="M1151" s="40" t="s">
        <v>31</v>
      </c>
      <c r="N1151" s="41"/>
      <c r="O1151" s="42" t="s">
        <v>272</v>
      </c>
      <c r="P1151" s="43"/>
    </row>
    <row r="1152">
      <c r="A1152" s="44" t="s">
        <v>1360</v>
      </c>
      <c r="B1152" s="45" t="s">
        <v>25</v>
      </c>
      <c r="C1152" s="46" t="s">
        <v>26</v>
      </c>
      <c r="D1152" s="47" t="str">
        <f t="shared" si="1"/>
        <v>Removed</v>
      </c>
      <c r="E1152" s="48">
        <v>45489.0</v>
      </c>
      <c r="F1152" s="49">
        <v>45852.0</v>
      </c>
      <c r="G1152" s="50">
        <f t="shared" si="2"/>
        <v>11.93333333</v>
      </c>
      <c r="H1152" s="51">
        <v>44908.0</v>
      </c>
      <c r="I1152" s="50">
        <f t="shared" si="4"/>
        <v>1.591666667</v>
      </c>
      <c r="J1152" s="55">
        <v>78.0</v>
      </c>
      <c r="K1152" s="56">
        <v>8.0</v>
      </c>
      <c r="L1152" s="55">
        <v>14.0</v>
      </c>
      <c r="M1152" s="58" t="s">
        <v>29</v>
      </c>
      <c r="N1152" s="59"/>
      <c r="O1152" s="60" t="s">
        <v>149</v>
      </c>
      <c r="P1152" s="61"/>
    </row>
    <row r="1153">
      <c r="A1153" s="29" t="s">
        <v>1361</v>
      </c>
      <c r="B1153" s="30" t="s">
        <v>25</v>
      </c>
      <c r="C1153" s="31" t="s">
        <v>26</v>
      </c>
      <c r="D1153" s="32" t="str">
        <f t="shared" si="1"/>
        <v>Removed</v>
      </c>
      <c r="E1153" s="33">
        <v>45489.0</v>
      </c>
      <c r="F1153" s="34">
        <v>45852.0</v>
      </c>
      <c r="G1153" s="36">
        <f t="shared" si="2"/>
        <v>11.93333333</v>
      </c>
      <c r="H1153" s="37">
        <v>44859.0</v>
      </c>
      <c r="I1153" s="36">
        <f t="shared" si="4"/>
        <v>1.725</v>
      </c>
      <c r="J1153" s="38">
        <v>77.0</v>
      </c>
      <c r="K1153" s="39">
        <v>8.0</v>
      </c>
      <c r="L1153" s="38">
        <v>45.0</v>
      </c>
      <c r="M1153" s="40" t="s">
        <v>42</v>
      </c>
      <c r="N1153" s="41"/>
      <c r="O1153" s="42" t="s">
        <v>149</v>
      </c>
      <c r="P1153" s="43"/>
    </row>
    <row r="1154">
      <c r="A1154" s="44" t="s">
        <v>1362</v>
      </c>
      <c r="B1154" s="45" t="s">
        <v>238</v>
      </c>
      <c r="C1154" s="46" t="s">
        <v>1298</v>
      </c>
      <c r="D1154" s="47" t="str">
        <f t="shared" si="1"/>
        <v>Removed</v>
      </c>
      <c r="E1154" s="48">
        <v>45489.0</v>
      </c>
      <c r="F1154" s="49">
        <v>45852.0</v>
      </c>
      <c r="G1154" s="50">
        <f t="shared" si="2"/>
        <v>11.93333333</v>
      </c>
      <c r="H1154" s="51">
        <v>42656.0</v>
      </c>
      <c r="I1154" s="50">
        <f t="shared" si="4"/>
        <v>7.758333333</v>
      </c>
      <c r="J1154" s="55">
        <v>71.0</v>
      </c>
      <c r="K1154" s="56">
        <v>7.7</v>
      </c>
      <c r="L1154" s="55">
        <v>3.0</v>
      </c>
      <c r="M1154" s="58" t="s">
        <v>309</v>
      </c>
      <c r="N1154" s="59" t="s">
        <v>1299</v>
      </c>
      <c r="O1154" s="60" t="s">
        <v>34</v>
      </c>
      <c r="P1154" s="61"/>
    </row>
    <row r="1155">
      <c r="A1155" s="29" t="s">
        <v>1363</v>
      </c>
      <c r="B1155" s="30" t="s">
        <v>25</v>
      </c>
      <c r="C1155" s="31" t="s">
        <v>26</v>
      </c>
      <c r="D1155" s="32" t="str">
        <f t="shared" si="1"/>
        <v>Removed</v>
      </c>
      <c r="E1155" s="33">
        <v>45307.0</v>
      </c>
      <c r="F1155" s="34">
        <v>45852.0</v>
      </c>
      <c r="G1155" s="36">
        <f t="shared" si="2"/>
        <v>17.93333333</v>
      </c>
      <c r="H1155" s="37">
        <v>44700.0</v>
      </c>
      <c r="I1155" s="36">
        <f t="shared" si="4"/>
        <v>1.658333333</v>
      </c>
      <c r="J1155" s="38">
        <v>66.0</v>
      </c>
      <c r="K1155" s="39">
        <v>3.4</v>
      </c>
      <c r="L1155" s="38">
        <v>15.0</v>
      </c>
      <c r="M1155" s="40" t="s">
        <v>42</v>
      </c>
      <c r="N1155" s="41"/>
      <c r="O1155" s="42" t="s">
        <v>149</v>
      </c>
      <c r="P1155" s="43"/>
    </row>
    <row r="1156">
      <c r="A1156" s="44" t="s">
        <v>1364</v>
      </c>
      <c r="B1156" s="45" t="s">
        <v>25</v>
      </c>
      <c r="C1156" s="46" t="s">
        <v>1089</v>
      </c>
      <c r="D1156" s="47" t="str">
        <f t="shared" si="1"/>
        <v>Removed</v>
      </c>
      <c r="E1156" s="48">
        <v>45811.0</v>
      </c>
      <c r="F1156" s="49">
        <v>45838.0</v>
      </c>
      <c r="G1156" s="50">
        <f t="shared" si="2"/>
        <v>0.9</v>
      </c>
      <c r="H1156" s="51">
        <v>45541.0</v>
      </c>
      <c r="I1156" s="50">
        <f t="shared" si="4"/>
        <v>0.7416666667</v>
      </c>
      <c r="J1156" s="55">
        <v>79.0</v>
      </c>
      <c r="K1156" s="56">
        <v>5.1</v>
      </c>
      <c r="L1156" s="55">
        <v>20.0</v>
      </c>
      <c r="M1156" s="58" t="s">
        <v>125</v>
      </c>
      <c r="N1156" s="59"/>
      <c r="O1156" s="60"/>
      <c r="P1156" s="61"/>
    </row>
    <row r="1157">
      <c r="A1157" s="29" t="s">
        <v>1365</v>
      </c>
      <c r="B1157" s="30" t="s">
        <v>33</v>
      </c>
      <c r="C1157" s="31" t="s">
        <v>1089</v>
      </c>
      <c r="D1157" s="32" t="str">
        <f t="shared" si="1"/>
        <v>Removed</v>
      </c>
      <c r="E1157" s="33">
        <v>45811.0</v>
      </c>
      <c r="F1157" s="34">
        <v>45838.0</v>
      </c>
      <c r="G1157" s="36">
        <f t="shared" si="2"/>
        <v>0.9</v>
      </c>
      <c r="H1157" s="37">
        <v>45371.0</v>
      </c>
      <c r="I1157" s="36">
        <f t="shared" si="4"/>
        <v>1.202777778</v>
      </c>
      <c r="J1157" s="38">
        <v>63.0</v>
      </c>
      <c r="K1157" s="39">
        <v>7.4</v>
      </c>
      <c r="L1157" s="38">
        <v>8.0</v>
      </c>
      <c r="M1157" s="40" t="s">
        <v>36</v>
      </c>
      <c r="N1157" s="41"/>
      <c r="O1157" s="42" t="s">
        <v>34</v>
      </c>
      <c r="P1157" s="43"/>
    </row>
    <row r="1158">
      <c r="A1158" s="44" t="s">
        <v>1366</v>
      </c>
      <c r="B1158" s="45" t="s">
        <v>25</v>
      </c>
      <c r="C1158" s="46" t="s">
        <v>1089</v>
      </c>
      <c r="D1158" s="47" t="str">
        <f t="shared" si="1"/>
        <v>Removed</v>
      </c>
      <c r="E1158" s="48">
        <v>45811.0</v>
      </c>
      <c r="F1158" s="49">
        <v>45838.0</v>
      </c>
      <c r="G1158" s="50">
        <f t="shared" si="2"/>
        <v>0.9</v>
      </c>
      <c r="H1158" s="51">
        <v>45156.0</v>
      </c>
      <c r="I1158" s="50">
        <f t="shared" si="4"/>
        <v>1.791666667</v>
      </c>
      <c r="J1158" s="55">
        <v>75.0</v>
      </c>
      <c r="K1158" s="56">
        <v>8.6</v>
      </c>
      <c r="L1158" s="55">
        <v>10.0</v>
      </c>
      <c r="M1158" s="58" t="s">
        <v>27</v>
      </c>
      <c r="N1158" s="59"/>
      <c r="O1158" s="60"/>
      <c r="P1158" s="61"/>
    </row>
    <row r="1159">
      <c r="A1159" s="29" t="s">
        <v>1367</v>
      </c>
      <c r="B1159" s="30" t="s">
        <v>25</v>
      </c>
      <c r="C1159" s="31" t="s">
        <v>1089</v>
      </c>
      <c r="D1159" s="32" t="str">
        <f t="shared" si="1"/>
        <v>Removed</v>
      </c>
      <c r="E1159" s="33">
        <v>45805.0</v>
      </c>
      <c r="F1159" s="34">
        <v>45838.0</v>
      </c>
      <c r="G1159" s="36">
        <f t="shared" si="2"/>
        <v>1.066666667</v>
      </c>
      <c r="H1159" s="37">
        <v>45447.0</v>
      </c>
      <c r="I1159" s="36">
        <f t="shared" si="4"/>
        <v>0.9833333333</v>
      </c>
      <c r="J1159" s="38">
        <v>89.0</v>
      </c>
      <c r="K1159" s="39">
        <v>7.6</v>
      </c>
      <c r="L1159" s="38">
        <v>11.0</v>
      </c>
      <c r="M1159" s="40" t="s">
        <v>31</v>
      </c>
      <c r="N1159" s="41"/>
      <c r="O1159" s="42"/>
      <c r="P1159" s="43"/>
    </row>
    <row r="1160">
      <c r="A1160" s="44" t="s">
        <v>1368</v>
      </c>
      <c r="B1160" s="45" t="s">
        <v>33</v>
      </c>
      <c r="C1160" s="46" t="s">
        <v>26</v>
      </c>
      <c r="D1160" s="47" t="str">
        <f t="shared" si="1"/>
        <v>Removed</v>
      </c>
      <c r="E1160" s="48">
        <v>45461.0</v>
      </c>
      <c r="F1160" s="49">
        <v>45824.0</v>
      </c>
      <c r="G1160" s="50">
        <f t="shared" si="2"/>
        <v>11.93333333</v>
      </c>
      <c r="H1160" s="51">
        <v>45069.0</v>
      </c>
      <c r="I1160" s="50">
        <f t="shared" si="4"/>
        <v>1.069444444</v>
      </c>
      <c r="J1160" s="55">
        <v>65.0</v>
      </c>
      <c r="K1160" s="56">
        <v>6.1</v>
      </c>
      <c r="L1160" s="55">
        <v>7.0</v>
      </c>
      <c r="M1160" s="58" t="s">
        <v>29</v>
      </c>
      <c r="N1160" s="59"/>
      <c r="O1160" s="60" t="s">
        <v>272</v>
      </c>
      <c r="P1160" s="61"/>
    </row>
    <row r="1161">
      <c r="A1161" s="29" t="s">
        <v>1369</v>
      </c>
      <c r="B1161" s="30" t="s">
        <v>25</v>
      </c>
      <c r="C1161" s="31" t="s">
        <v>26</v>
      </c>
      <c r="D1161" s="32" t="str">
        <f t="shared" si="1"/>
        <v>Removed</v>
      </c>
      <c r="E1161" s="33">
        <v>45461.0</v>
      </c>
      <c r="F1161" s="34">
        <v>45824.0</v>
      </c>
      <c r="G1161" s="36">
        <f t="shared" si="2"/>
        <v>11.93333333</v>
      </c>
      <c r="H1161" s="37">
        <v>44281.0</v>
      </c>
      <c r="I1161" s="36">
        <f t="shared" si="4"/>
        <v>3.227777778</v>
      </c>
      <c r="J1161" s="38">
        <v>88.0</v>
      </c>
      <c r="K1161" s="39">
        <v>6.9</v>
      </c>
      <c r="L1161" s="38">
        <v>22.0</v>
      </c>
      <c r="M1161" s="40" t="s">
        <v>42</v>
      </c>
      <c r="N1161" s="41"/>
      <c r="O1161" s="42" t="s">
        <v>149</v>
      </c>
      <c r="P1161" s="43"/>
    </row>
    <row r="1162">
      <c r="A1162" s="44" t="s">
        <v>1370</v>
      </c>
      <c r="B1162" s="45" t="s">
        <v>238</v>
      </c>
      <c r="C1162" s="46" t="s">
        <v>1298</v>
      </c>
      <c r="D1162" s="47" t="str">
        <f t="shared" si="1"/>
        <v>Removed</v>
      </c>
      <c r="E1162" s="48">
        <v>45461.0</v>
      </c>
      <c r="F1162" s="49">
        <v>45824.0</v>
      </c>
      <c r="G1162" s="50">
        <f t="shared" si="2"/>
        <v>11.93333333</v>
      </c>
      <c r="H1162" s="51">
        <v>44979.0</v>
      </c>
      <c r="I1162" s="50">
        <f t="shared" si="4"/>
        <v>1.322222222</v>
      </c>
      <c r="J1162" s="55">
        <v>73.0</v>
      </c>
      <c r="K1162" s="56">
        <v>5.1</v>
      </c>
      <c r="L1162" s="55">
        <v>3.0</v>
      </c>
      <c r="M1162" s="58" t="s">
        <v>125</v>
      </c>
      <c r="N1162" s="59" t="s">
        <v>1299</v>
      </c>
      <c r="O1162" s="60" t="s">
        <v>34</v>
      </c>
      <c r="P1162" s="61"/>
    </row>
    <row r="1163">
      <c r="A1163" s="29" t="s">
        <v>1371</v>
      </c>
      <c r="B1163" s="30" t="s">
        <v>25</v>
      </c>
      <c r="C1163" s="31" t="s">
        <v>26</v>
      </c>
      <c r="D1163" s="32" t="str">
        <f t="shared" si="1"/>
        <v>Removed</v>
      </c>
      <c r="E1163" s="33">
        <v>45097.0</v>
      </c>
      <c r="F1163" s="34">
        <v>45824.0</v>
      </c>
      <c r="G1163" s="36">
        <f t="shared" si="2"/>
        <v>23.86666667</v>
      </c>
      <c r="H1163" s="37">
        <v>44803.0</v>
      </c>
      <c r="I1163" s="36">
        <f t="shared" si="4"/>
        <v>0.8055555556</v>
      </c>
      <c r="J1163" s="38">
        <v>87.0</v>
      </c>
      <c r="K1163" s="39">
        <v>8.5</v>
      </c>
      <c r="L1163" s="38">
        <v>13.0</v>
      </c>
      <c r="M1163" s="40" t="s">
        <v>103</v>
      </c>
      <c r="N1163" s="41"/>
      <c r="O1163" s="42" t="s">
        <v>149</v>
      </c>
      <c r="P1163" s="43"/>
    </row>
    <row r="1164">
      <c r="A1164" s="44" t="s">
        <v>1372</v>
      </c>
      <c r="B1164" s="45" t="s">
        <v>25</v>
      </c>
      <c r="C1164" s="46" t="s">
        <v>26</v>
      </c>
      <c r="D1164" s="47" t="str">
        <f t="shared" si="1"/>
        <v>Removed</v>
      </c>
      <c r="E1164" s="48">
        <v>45097.0</v>
      </c>
      <c r="F1164" s="49">
        <v>45824.0</v>
      </c>
      <c r="G1164" s="50">
        <f t="shared" si="2"/>
        <v>23.86666667</v>
      </c>
      <c r="H1164" s="51">
        <v>44874.0</v>
      </c>
      <c r="I1164" s="50">
        <f t="shared" si="4"/>
        <v>0.6138888889</v>
      </c>
      <c r="J1164" s="55">
        <v>87.0</v>
      </c>
      <c r="K1164" s="56">
        <v>8.1</v>
      </c>
      <c r="L1164" s="55">
        <v>27.0</v>
      </c>
      <c r="M1164" s="58" t="s">
        <v>42</v>
      </c>
      <c r="N1164" s="59"/>
      <c r="O1164" s="60" t="s">
        <v>149</v>
      </c>
      <c r="P1164" s="61"/>
    </row>
    <row r="1165">
      <c r="A1165" s="29" t="s">
        <v>1373</v>
      </c>
      <c r="B1165" s="30" t="s">
        <v>33</v>
      </c>
      <c r="C1165" s="31" t="s">
        <v>1089</v>
      </c>
      <c r="D1165" s="32" t="str">
        <f t="shared" si="1"/>
        <v>Removed</v>
      </c>
      <c r="E1165" s="33">
        <v>45783.0</v>
      </c>
      <c r="F1165" s="34">
        <v>45809.0</v>
      </c>
      <c r="G1165" s="36">
        <f t="shared" si="2"/>
        <v>0.8333333333</v>
      </c>
      <c r="H1165" s="37">
        <v>42974.0</v>
      </c>
      <c r="I1165" s="36">
        <f t="shared" si="4"/>
        <v>7.691666667</v>
      </c>
      <c r="J1165" s="38">
        <v>70.0</v>
      </c>
      <c r="K1165" s="39">
        <v>6.5</v>
      </c>
      <c r="L1165" s="38">
        <v>331.0</v>
      </c>
      <c r="M1165" s="40" t="s">
        <v>168</v>
      </c>
      <c r="N1165" s="41"/>
      <c r="O1165" s="42" t="s">
        <v>34</v>
      </c>
      <c r="P1165" s="43"/>
    </row>
    <row r="1166">
      <c r="A1166" s="44" t="s">
        <v>1374</v>
      </c>
      <c r="B1166" s="45" t="s">
        <v>25</v>
      </c>
      <c r="C1166" s="46" t="s">
        <v>1089</v>
      </c>
      <c r="D1166" s="47" t="str">
        <f t="shared" si="1"/>
        <v>Removed</v>
      </c>
      <c r="E1166" s="48">
        <v>45783.0</v>
      </c>
      <c r="F1166" s="49">
        <v>45809.0</v>
      </c>
      <c r="G1166" s="50">
        <f t="shared" si="2"/>
        <v>0.8333333333</v>
      </c>
      <c r="H1166" s="51">
        <v>45342.0</v>
      </c>
      <c r="I1166" s="50">
        <f t="shared" si="4"/>
        <v>1.211111111</v>
      </c>
      <c r="J1166" s="55">
        <v>90.0</v>
      </c>
      <c r="K1166" s="56">
        <v>8.3</v>
      </c>
      <c r="L1166" s="55">
        <v>7.0</v>
      </c>
      <c r="M1166" s="58" t="s">
        <v>344</v>
      </c>
      <c r="N1166" s="59"/>
      <c r="O1166" s="60" t="s">
        <v>34</v>
      </c>
      <c r="P1166" s="61"/>
    </row>
    <row r="1167">
      <c r="A1167" s="29" t="s">
        <v>1375</v>
      </c>
      <c r="B1167" s="30" t="s">
        <v>25</v>
      </c>
      <c r="C1167" s="31" t="s">
        <v>1089</v>
      </c>
      <c r="D1167" s="32" t="str">
        <f t="shared" si="1"/>
        <v>Removed</v>
      </c>
      <c r="E1167" s="33">
        <v>45783.0</v>
      </c>
      <c r="F1167" s="34">
        <v>45809.0</v>
      </c>
      <c r="G1167" s="36">
        <f t="shared" si="2"/>
        <v>0.8333333333</v>
      </c>
      <c r="H1167" s="37">
        <v>45047.0</v>
      </c>
      <c r="I1167" s="36">
        <f t="shared" si="4"/>
        <v>2.013888889</v>
      </c>
      <c r="J1167" s="38">
        <v>75.0</v>
      </c>
      <c r="K1167" s="39">
        <v>8.0</v>
      </c>
      <c r="L1167" s="38">
        <v>10.0</v>
      </c>
      <c r="M1167" s="40" t="s">
        <v>31</v>
      </c>
      <c r="N1167" s="41"/>
      <c r="O1167" s="42" t="s">
        <v>34</v>
      </c>
      <c r="P1167" s="43"/>
    </row>
    <row r="1168">
      <c r="A1168" s="44" t="s">
        <v>1376</v>
      </c>
      <c r="B1168" s="45" t="s">
        <v>25</v>
      </c>
      <c r="C1168" s="46" t="s">
        <v>26</v>
      </c>
      <c r="D1168" s="47" t="str">
        <f t="shared" si="1"/>
        <v>Removed</v>
      </c>
      <c r="E1168" s="48">
        <v>45615.0</v>
      </c>
      <c r="F1168" s="49">
        <v>45796.0</v>
      </c>
      <c r="G1168" s="50">
        <f t="shared" si="2"/>
        <v>6</v>
      </c>
      <c r="H1168" s="51">
        <v>45414.0</v>
      </c>
      <c r="I1168" s="50">
        <f t="shared" si="4"/>
        <v>0.5472222222</v>
      </c>
      <c r="J1168" s="55">
        <v>76.0</v>
      </c>
      <c r="K1168" s="56">
        <v>5.5</v>
      </c>
      <c r="L1168" s="55">
        <v>16.0</v>
      </c>
      <c r="M1168" s="58" t="s">
        <v>95</v>
      </c>
      <c r="N1168" s="59"/>
      <c r="O1168" s="60" t="s">
        <v>149</v>
      </c>
      <c r="P1168" s="61"/>
    </row>
    <row r="1169">
      <c r="A1169" s="29" t="s">
        <v>1377</v>
      </c>
      <c r="B1169" s="30" t="s">
        <v>45</v>
      </c>
      <c r="C1169" s="31" t="s">
        <v>26</v>
      </c>
      <c r="D1169" s="32" t="str">
        <f t="shared" si="1"/>
        <v>Removed</v>
      </c>
      <c r="E1169" s="33">
        <v>45615.0</v>
      </c>
      <c r="F1169" s="34">
        <v>45796.0</v>
      </c>
      <c r="G1169" s="36">
        <f t="shared" si="2"/>
        <v>6</v>
      </c>
      <c r="H1169" s="37">
        <v>43637.0</v>
      </c>
      <c r="I1169" s="36">
        <f t="shared" si="4"/>
        <v>5.411111111</v>
      </c>
      <c r="J1169" s="38">
        <v>84.0</v>
      </c>
      <c r="K1169" s="39">
        <v>4.7</v>
      </c>
      <c r="L1169" s="76"/>
      <c r="M1169" s="40" t="s">
        <v>70</v>
      </c>
      <c r="N1169" s="41"/>
      <c r="O1169" s="42" t="s">
        <v>34</v>
      </c>
      <c r="P1169" s="43"/>
    </row>
    <row r="1170">
      <c r="A1170" s="44" t="s">
        <v>1378</v>
      </c>
      <c r="B1170" s="45" t="s">
        <v>25</v>
      </c>
      <c r="C1170" s="46" t="s">
        <v>476</v>
      </c>
      <c r="D1170" s="47" t="str">
        <f t="shared" si="1"/>
        <v>Removed</v>
      </c>
      <c r="E1170" s="48">
        <v>45615.0</v>
      </c>
      <c r="F1170" s="49">
        <v>45796.0</v>
      </c>
      <c r="G1170" s="50">
        <f t="shared" si="2"/>
        <v>6</v>
      </c>
      <c r="H1170" s="51">
        <v>39035.0</v>
      </c>
      <c r="I1170" s="50">
        <f t="shared" si="4"/>
        <v>18.01388889</v>
      </c>
      <c r="J1170" s="55">
        <v>86.0</v>
      </c>
      <c r="K1170" s="56">
        <v>7.7</v>
      </c>
      <c r="L1170" s="55">
        <v>12.0</v>
      </c>
      <c r="M1170" s="58" t="s">
        <v>31</v>
      </c>
      <c r="N1170" s="59" t="s">
        <v>442</v>
      </c>
      <c r="O1170" s="60" t="s">
        <v>149</v>
      </c>
      <c r="P1170" s="66"/>
    </row>
    <row r="1171">
      <c r="A1171" s="29" t="s">
        <v>1379</v>
      </c>
      <c r="B1171" s="30" t="s">
        <v>25</v>
      </c>
      <c r="C1171" s="31" t="s">
        <v>476</v>
      </c>
      <c r="D1171" s="32" t="str">
        <f t="shared" si="1"/>
        <v>Removed</v>
      </c>
      <c r="E1171" s="33">
        <v>45615.0</v>
      </c>
      <c r="F1171" s="34">
        <v>45796.0</v>
      </c>
      <c r="G1171" s="36">
        <f t="shared" si="2"/>
        <v>6</v>
      </c>
      <c r="H1171" s="37">
        <v>39756.0</v>
      </c>
      <c r="I1171" s="36">
        <f t="shared" si="4"/>
        <v>16.04166667</v>
      </c>
      <c r="J1171" s="38">
        <v>87.0</v>
      </c>
      <c r="K1171" s="39">
        <v>7.5</v>
      </c>
      <c r="L1171" s="38">
        <v>10.0</v>
      </c>
      <c r="M1171" s="40" t="s">
        <v>31</v>
      </c>
      <c r="N1171" s="41" t="s">
        <v>442</v>
      </c>
      <c r="O1171" s="42" t="s">
        <v>149</v>
      </c>
      <c r="P1171" s="67"/>
    </row>
    <row r="1172">
      <c r="A1172" s="44" t="s">
        <v>1380</v>
      </c>
      <c r="B1172" s="45" t="s">
        <v>238</v>
      </c>
      <c r="C1172" s="46" t="s">
        <v>1298</v>
      </c>
      <c r="D1172" s="47" t="str">
        <f t="shared" si="1"/>
        <v>Removed</v>
      </c>
      <c r="E1172" s="48">
        <v>45449.0</v>
      </c>
      <c r="F1172" s="49">
        <v>45796.0</v>
      </c>
      <c r="G1172" s="50">
        <f t="shared" si="2"/>
        <v>11.43333333</v>
      </c>
      <c r="H1172" s="51">
        <v>45225.0</v>
      </c>
      <c r="I1172" s="50">
        <f t="shared" si="4"/>
        <v>0.6111111111</v>
      </c>
      <c r="J1172" s="55">
        <v>64.0</v>
      </c>
      <c r="K1172" s="56">
        <v>4.2</v>
      </c>
      <c r="L1172" s="55">
        <v>7.0</v>
      </c>
      <c r="M1172" s="58" t="s">
        <v>31</v>
      </c>
      <c r="N1172" s="59" t="s">
        <v>1299</v>
      </c>
      <c r="O1172" s="60" t="s">
        <v>34</v>
      </c>
      <c r="P1172" s="61"/>
    </row>
    <row r="1173">
      <c r="A1173" s="29" t="s">
        <v>1381</v>
      </c>
      <c r="B1173" s="30" t="s">
        <v>238</v>
      </c>
      <c r="C1173" s="31" t="s">
        <v>1298</v>
      </c>
      <c r="D1173" s="32" t="str">
        <f t="shared" si="1"/>
        <v>Removed</v>
      </c>
      <c r="E1173" s="33">
        <v>45449.0</v>
      </c>
      <c r="F1173" s="34">
        <v>45796.0</v>
      </c>
      <c r="G1173" s="36">
        <f t="shared" si="2"/>
        <v>11.43333333</v>
      </c>
      <c r="H1173" s="37">
        <v>45057.0</v>
      </c>
      <c r="I1173" s="36">
        <f t="shared" si="4"/>
        <v>1.069444444</v>
      </c>
      <c r="J1173" s="38">
        <v>90.0</v>
      </c>
      <c r="K1173" s="39">
        <v>7.4</v>
      </c>
      <c r="L1173" s="38">
        <v>18.0</v>
      </c>
      <c r="M1173" s="40" t="s">
        <v>125</v>
      </c>
      <c r="N1173" s="41" t="s">
        <v>1299</v>
      </c>
      <c r="O1173" s="42" t="s">
        <v>34</v>
      </c>
      <c r="P1173" s="43"/>
    </row>
    <row r="1174">
      <c r="A1174" s="44" t="s">
        <v>1382</v>
      </c>
      <c r="B1174" s="45" t="s">
        <v>238</v>
      </c>
      <c r="C1174" s="46" t="s">
        <v>1298</v>
      </c>
      <c r="D1174" s="47" t="str">
        <f t="shared" si="1"/>
        <v>Removed</v>
      </c>
      <c r="E1174" s="48">
        <v>45449.0</v>
      </c>
      <c r="F1174" s="49">
        <v>45796.0</v>
      </c>
      <c r="G1174" s="50">
        <f t="shared" si="2"/>
        <v>11.43333333</v>
      </c>
      <c r="H1174" s="51">
        <v>44404.0</v>
      </c>
      <c r="I1174" s="50">
        <f t="shared" si="4"/>
        <v>2.858333333</v>
      </c>
      <c r="J1174" s="55">
        <v>89.0</v>
      </c>
      <c r="K1174" s="56">
        <v>6.3</v>
      </c>
      <c r="L1174" s="55">
        <v>6.0</v>
      </c>
      <c r="M1174" s="58" t="s">
        <v>565</v>
      </c>
      <c r="N1174" s="59" t="s">
        <v>1299</v>
      </c>
      <c r="O1174" s="60" t="s">
        <v>34</v>
      </c>
      <c r="P1174" s="61"/>
    </row>
    <row r="1175">
      <c r="A1175" s="29" t="s">
        <v>1383</v>
      </c>
      <c r="B1175" s="30" t="s">
        <v>238</v>
      </c>
      <c r="C1175" s="31" t="s">
        <v>1298</v>
      </c>
      <c r="D1175" s="32" t="str">
        <f t="shared" si="1"/>
        <v>Removed</v>
      </c>
      <c r="E1175" s="33">
        <v>45449.0</v>
      </c>
      <c r="F1175" s="34">
        <v>45796.0</v>
      </c>
      <c r="G1175" s="36">
        <f t="shared" si="2"/>
        <v>11.43333333</v>
      </c>
      <c r="H1175" s="37">
        <v>44294.0</v>
      </c>
      <c r="I1175" s="36">
        <f t="shared" si="4"/>
        <v>3.161111111</v>
      </c>
      <c r="J1175" s="38">
        <v>77.0</v>
      </c>
      <c r="K1175" s="39">
        <v>8.5</v>
      </c>
      <c r="L1175" s="38">
        <v>2.0</v>
      </c>
      <c r="M1175" s="40" t="s">
        <v>29</v>
      </c>
      <c r="N1175" s="41" t="s">
        <v>1299</v>
      </c>
      <c r="O1175" s="42" t="s">
        <v>34</v>
      </c>
      <c r="P1175" s="43"/>
    </row>
    <row r="1176">
      <c r="A1176" s="44" t="s">
        <v>1384</v>
      </c>
      <c r="B1176" s="45" t="s">
        <v>238</v>
      </c>
      <c r="C1176" s="46" t="s">
        <v>1298</v>
      </c>
      <c r="D1176" s="47" t="str">
        <f t="shared" si="1"/>
        <v>Removed</v>
      </c>
      <c r="E1176" s="48">
        <v>45449.0</v>
      </c>
      <c r="F1176" s="49">
        <v>45796.0</v>
      </c>
      <c r="G1176" s="50">
        <f t="shared" si="2"/>
        <v>11.43333333</v>
      </c>
      <c r="H1176" s="51">
        <v>43853.0</v>
      </c>
      <c r="I1176" s="50">
        <f t="shared" si="4"/>
        <v>4.369444444</v>
      </c>
      <c r="J1176" s="55">
        <v>77.0</v>
      </c>
      <c r="K1176" s="56">
        <v>8.1</v>
      </c>
      <c r="L1176" s="55">
        <f>10.5+14.5</f>
        <v>25</v>
      </c>
      <c r="M1176" s="58" t="s">
        <v>31</v>
      </c>
      <c r="N1176" s="59" t="s">
        <v>1299</v>
      </c>
      <c r="O1176" s="60" t="s">
        <v>34</v>
      </c>
      <c r="P1176" s="61"/>
    </row>
    <row r="1177">
      <c r="A1177" s="29" t="s">
        <v>1385</v>
      </c>
      <c r="B1177" s="30" t="s">
        <v>45</v>
      </c>
      <c r="C1177" s="31" t="s">
        <v>26</v>
      </c>
      <c r="D1177" s="32" t="str">
        <f t="shared" si="1"/>
        <v>Removed</v>
      </c>
      <c r="E1177" s="33">
        <v>45443.0</v>
      </c>
      <c r="F1177" s="34">
        <v>45796.0</v>
      </c>
      <c r="G1177" s="36">
        <f t="shared" si="2"/>
        <v>11.63333333</v>
      </c>
      <c r="H1177" s="37">
        <v>43053.0</v>
      </c>
      <c r="I1177" s="36">
        <f t="shared" si="4"/>
        <v>6.544444444</v>
      </c>
      <c r="J1177" s="38">
        <v>73.0</v>
      </c>
      <c r="K1177" s="39">
        <v>6.9</v>
      </c>
      <c r="L1177" s="38">
        <v>13.0</v>
      </c>
      <c r="M1177" s="40" t="s">
        <v>27</v>
      </c>
      <c r="N1177" s="41"/>
      <c r="O1177" s="42" t="s">
        <v>149</v>
      </c>
      <c r="P1177" s="43"/>
    </row>
    <row r="1178">
      <c r="A1178" s="44" t="s">
        <v>1386</v>
      </c>
      <c r="B1178" s="45" t="s">
        <v>25</v>
      </c>
      <c r="C1178" s="46" t="s">
        <v>26</v>
      </c>
      <c r="D1178" s="47" t="str">
        <f t="shared" si="1"/>
        <v>Removed</v>
      </c>
      <c r="E1178" s="48">
        <v>45433.0</v>
      </c>
      <c r="F1178" s="49">
        <v>45796.0</v>
      </c>
      <c r="G1178" s="50">
        <f t="shared" si="2"/>
        <v>11.93333333</v>
      </c>
      <c r="H1178" s="51">
        <v>45041.0</v>
      </c>
      <c r="I1178" s="50">
        <f t="shared" si="4"/>
        <v>1.072222222</v>
      </c>
      <c r="J1178" s="55">
        <v>81.0</v>
      </c>
      <c r="K1178" s="56">
        <v>6.1</v>
      </c>
      <c r="L1178" s="55">
        <v>8.0</v>
      </c>
      <c r="M1178" s="58" t="s">
        <v>103</v>
      </c>
      <c r="N1178" s="59"/>
      <c r="O1178" s="60" t="s">
        <v>149</v>
      </c>
      <c r="P1178" s="61"/>
    </row>
    <row r="1179">
      <c r="A1179" s="29" t="s">
        <v>1387</v>
      </c>
      <c r="B1179" s="30" t="s">
        <v>45</v>
      </c>
      <c r="C1179" s="31" t="s">
        <v>26</v>
      </c>
      <c r="D1179" s="32" t="str">
        <f t="shared" si="1"/>
        <v>Removed</v>
      </c>
      <c r="E1179" s="33">
        <v>45433.0</v>
      </c>
      <c r="F1179" s="34">
        <v>45796.0</v>
      </c>
      <c r="G1179" s="36">
        <f t="shared" si="2"/>
        <v>11.93333333</v>
      </c>
      <c r="H1179" s="37">
        <v>43522.0</v>
      </c>
      <c r="I1179" s="36">
        <f t="shared" si="4"/>
        <v>5.236111111</v>
      </c>
      <c r="J1179" s="38">
        <v>57.0</v>
      </c>
      <c r="K1179" s="39">
        <v>3.5</v>
      </c>
      <c r="L1179" s="38">
        <v>6.0</v>
      </c>
      <c r="M1179" s="40" t="s">
        <v>29</v>
      </c>
      <c r="N1179" s="41"/>
      <c r="O1179" s="42" t="s">
        <v>149</v>
      </c>
      <c r="P1179" s="43"/>
    </row>
    <row r="1180">
      <c r="A1180" s="44" t="s">
        <v>1388</v>
      </c>
      <c r="B1180" s="45" t="s">
        <v>45</v>
      </c>
      <c r="C1180" s="46" t="s">
        <v>26</v>
      </c>
      <c r="D1180" s="47" t="str">
        <f t="shared" si="1"/>
        <v>Removed</v>
      </c>
      <c r="E1180" s="48">
        <v>44725.0</v>
      </c>
      <c r="F1180" s="49">
        <v>45796.0</v>
      </c>
      <c r="G1180" s="50">
        <f t="shared" si="2"/>
        <v>35.2</v>
      </c>
      <c r="H1180" s="51">
        <v>42465.0</v>
      </c>
      <c r="I1180" s="50">
        <f t="shared" si="4"/>
        <v>6.188888889</v>
      </c>
      <c r="J1180" s="55">
        <v>85.0</v>
      </c>
      <c r="K1180" s="56">
        <v>8.2</v>
      </c>
      <c r="L1180" s="55">
        <v>21.5</v>
      </c>
      <c r="M1180" s="58" t="s">
        <v>29</v>
      </c>
      <c r="N1180" s="59"/>
      <c r="O1180" s="60" t="s">
        <v>149</v>
      </c>
      <c r="P1180" s="61" t="s">
        <v>149</v>
      </c>
    </row>
    <row r="1181">
      <c r="A1181" s="29" t="s">
        <v>1389</v>
      </c>
      <c r="B1181" s="30" t="s">
        <v>45</v>
      </c>
      <c r="C1181" s="31" t="s">
        <v>26</v>
      </c>
      <c r="D1181" s="32" t="str">
        <f t="shared" si="1"/>
        <v>Removed</v>
      </c>
      <c r="E1181" s="33">
        <v>44725.0</v>
      </c>
      <c r="F1181" s="34">
        <v>45796.0</v>
      </c>
      <c r="G1181" s="36">
        <f t="shared" si="2"/>
        <v>35.2</v>
      </c>
      <c r="H1181" s="37">
        <v>42425.0</v>
      </c>
      <c r="I1181" s="36">
        <f t="shared" si="4"/>
        <v>6.3</v>
      </c>
      <c r="J1181" s="38">
        <v>72.0</v>
      </c>
      <c r="K1181" s="39">
        <v>7.0</v>
      </c>
      <c r="L1181" s="38">
        <v>22.0</v>
      </c>
      <c r="M1181" s="40" t="s">
        <v>42</v>
      </c>
      <c r="N1181" s="41"/>
      <c r="O1181" s="42" t="s">
        <v>149</v>
      </c>
      <c r="P1181" s="43" t="s">
        <v>149</v>
      </c>
    </row>
    <row r="1182">
      <c r="A1182" s="44" t="s">
        <v>1390</v>
      </c>
      <c r="B1182" s="45" t="s">
        <v>45</v>
      </c>
      <c r="C1182" s="46" t="s">
        <v>26</v>
      </c>
      <c r="D1182" s="47" t="str">
        <f t="shared" si="1"/>
        <v>Removed</v>
      </c>
      <c r="E1182" s="48">
        <v>44656.0</v>
      </c>
      <c r="F1182" s="49">
        <v>45796.0</v>
      </c>
      <c r="G1182" s="50">
        <f t="shared" si="2"/>
        <v>37.46666667</v>
      </c>
      <c r="H1182" s="51">
        <v>43858.0</v>
      </c>
      <c r="I1182" s="50">
        <f t="shared" si="4"/>
        <v>2.186111111</v>
      </c>
      <c r="J1182" s="55">
        <v>77.0</v>
      </c>
      <c r="K1182" s="56">
        <v>7.5</v>
      </c>
      <c r="L1182" s="55">
        <v>7.0</v>
      </c>
      <c r="M1182" s="58" t="s">
        <v>31</v>
      </c>
      <c r="N1182" s="59"/>
      <c r="O1182" s="60" t="s">
        <v>149</v>
      </c>
      <c r="P1182" s="61"/>
    </row>
    <row r="1183">
      <c r="A1183" s="29" t="s">
        <v>1391</v>
      </c>
      <c r="B1183" s="30" t="s">
        <v>45</v>
      </c>
      <c r="C1183" s="31" t="s">
        <v>26</v>
      </c>
      <c r="D1183" s="32" t="str">
        <f t="shared" si="1"/>
        <v>Removed</v>
      </c>
      <c r="E1183" s="33">
        <v>44502.0</v>
      </c>
      <c r="F1183" s="34">
        <v>45796.0</v>
      </c>
      <c r="G1183" s="36">
        <f t="shared" si="2"/>
        <v>42.56666667</v>
      </c>
      <c r="H1183" s="37">
        <v>43634.0</v>
      </c>
      <c r="I1183" s="36">
        <f t="shared" si="4"/>
        <v>2.372222222</v>
      </c>
      <c r="J1183" s="38">
        <v>83.0</v>
      </c>
      <c r="K1183" s="39">
        <v>8.4</v>
      </c>
      <c r="L1183" s="38">
        <v>13.5</v>
      </c>
      <c r="M1183" s="40" t="s">
        <v>42</v>
      </c>
      <c r="N1183" s="41"/>
      <c r="O1183" s="42" t="s">
        <v>149</v>
      </c>
      <c r="P1183" s="43"/>
    </row>
    <row r="1184">
      <c r="A1184" s="44" t="s">
        <v>1392</v>
      </c>
      <c r="B1184" s="45" t="s">
        <v>25</v>
      </c>
      <c r="C1184" s="46" t="s">
        <v>26</v>
      </c>
      <c r="D1184" s="47" t="str">
        <f t="shared" si="1"/>
        <v>Removed</v>
      </c>
      <c r="E1184" s="48">
        <v>44411.0</v>
      </c>
      <c r="F1184" s="49">
        <v>45796.0</v>
      </c>
      <c r="G1184" s="50">
        <f t="shared" si="2"/>
        <v>45.53333333</v>
      </c>
      <c r="H1184" s="51">
        <v>44131.0</v>
      </c>
      <c r="I1184" s="50">
        <f t="shared" si="4"/>
        <v>0.7666666667</v>
      </c>
      <c r="J1184" s="55">
        <v>81.0</v>
      </c>
      <c r="K1184" s="56">
        <v>7.5</v>
      </c>
      <c r="L1184" s="55">
        <v>7.0</v>
      </c>
      <c r="M1184" s="58" t="s">
        <v>27</v>
      </c>
      <c r="N1184" s="59"/>
      <c r="O1184" s="60" t="s">
        <v>149</v>
      </c>
      <c r="P1184" s="61"/>
    </row>
    <row r="1185">
      <c r="A1185" s="29" t="s">
        <v>1393</v>
      </c>
      <c r="B1185" s="30" t="s">
        <v>45</v>
      </c>
      <c r="C1185" s="31" t="s">
        <v>26</v>
      </c>
      <c r="D1185" s="32" t="str">
        <f t="shared" si="1"/>
        <v>Removed</v>
      </c>
      <c r="E1185" s="33">
        <v>43284.0</v>
      </c>
      <c r="F1185" s="34">
        <v>45796.0</v>
      </c>
      <c r="G1185" s="36">
        <f t="shared" si="2"/>
        <v>82.53333333</v>
      </c>
      <c r="H1185" s="37">
        <v>42178.0</v>
      </c>
      <c r="I1185" s="36">
        <f t="shared" si="4"/>
        <v>3.027777778</v>
      </c>
      <c r="J1185" s="38">
        <v>86.0</v>
      </c>
      <c r="K1185" s="39">
        <v>8.2</v>
      </c>
      <c r="L1185" s="38">
        <v>16.5</v>
      </c>
      <c r="M1185" s="40" t="s">
        <v>29</v>
      </c>
      <c r="N1185" s="41"/>
      <c r="O1185" s="42" t="s">
        <v>34</v>
      </c>
      <c r="P1185" s="43"/>
    </row>
    <row r="1186">
      <c r="A1186" s="44" t="s">
        <v>1394</v>
      </c>
      <c r="B1186" s="45" t="s">
        <v>45</v>
      </c>
      <c r="C1186" s="46" t="s">
        <v>26</v>
      </c>
      <c r="D1186" s="47" t="str">
        <f t="shared" si="1"/>
        <v>Removed</v>
      </c>
      <c r="E1186" s="48">
        <v>42374.0</v>
      </c>
      <c r="F1186" s="49">
        <v>45796.0</v>
      </c>
      <c r="G1186" s="50">
        <f t="shared" si="2"/>
        <v>112.4666667</v>
      </c>
      <c r="H1186" s="51">
        <v>41499.0</v>
      </c>
      <c r="I1186" s="50">
        <f t="shared" si="4"/>
        <v>2.394444444</v>
      </c>
      <c r="J1186" s="55">
        <v>69.0</v>
      </c>
      <c r="K1186" s="56">
        <v>7.4</v>
      </c>
      <c r="L1186" s="55">
        <v>17.0</v>
      </c>
      <c r="M1186" s="58" t="s">
        <v>31</v>
      </c>
      <c r="N1186" s="59"/>
      <c r="O1186" s="60" t="s">
        <v>149</v>
      </c>
      <c r="P1186" s="61"/>
    </row>
    <row r="1187">
      <c r="A1187" s="29" t="s">
        <v>1395</v>
      </c>
      <c r="B1187" s="30" t="s">
        <v>45</v>
      </c>
      <c r="C1187" s="31" t="s">
        <v>26</v>
      </c>
      <c r="D1187" s="32" t="str">
        <f t="shared" si="1"/>
        <v>Removed</v>
      </c>
      <c r="E1187" s="33">
        <v>42017.0</v>
      </c>
      <c r="F1187" s="34">
        <v>45796.0</v>
      </c>
      <c r="G1187" s="36">
        <f t="shared" si="2"/>
        <v>124.2</v>
      </c>
      <c r="H1187" s="37">
        <v>41699.0</v>
      </c>
      <c r="I1187" s="36">
        <f t="shared" si="4"/>
        <v>0.8666666667</v>
      </c>
      <c r="J1187" s="38">
        <v>81.0</v>
      </c>
      <c r="K1187" s="39">
        <v>7.9</v>
      </c>
      <c r="L1187" s="38">
        <v>10.0</v>
      </c>
      <c r="M1187" s="40" t="s">
        <v>29</v>
      </c>
      <c r="N1187" s="41"/>
      <c r="O1187" s="42" t="s">
        <v>149</v>
      </c>
      <c r="P1187" s="43"/>
    </row>
    <row r="1188">
      <c r="A1188" s="44" t="s">
        <v>1396</v>
      </c>
      <c r="B1188" s="45" t="s">
        <v>33</v>
      </c>
      <c r="C1188" s="46" t="s">
        <v>1089</v>
      </c>
      <c r="D1188" s="47" t="str">
        <f t="shared" si="1"/>
        <v>Removed</v>
      </c>
      <c r="E1188" s="48">
        <v>45748.0</v>
      </c>
      <c r="F1188" s="49">
        <v>45782.0</v>
      </c>
      <c r="G1188" s="50">
        <f t="shared" si="2"/>
        <v>1.133333333</v>
      </c>
      <c r="H1188" s="51">
        <v>45232.0</v>
      </c>
      <c r="I1188" s="50">
        <f t="shared" si="4"/>
        <v>1.413888889</v>
      </c>
      <c r="J1188" s="55">
        <v>72.0</v>
      </c>
      <c r="K1188" s="56">
        <v>8.1</v>
      </c>
      <c r="L1188" s="55">
        <v>12.0</v>
      </c>
      <c r="M1188" s="58" t="s">
        <v>31</v>
      </c>
      <c r="N1188" s="59"/>
      <c r="O1188" s="60" t="s">
        <v>34</v>
      </c>
      <c r="P1188" s="61"/>
    </row>
    <row r="1189">
      <c r="A1189" s="29" t="s">
        <v>1397</v>
      </c>
      <c r="B1189" s="30" t="s">
        <v>25</v>
      </c>
      <c r="C1189" s="31" t="s">
        <v>1089</v>
      </c>
      <c r="D1189" s="32" t="str">
        <f t="shared" si="1"/>
        <v>Removed</v>
      </c>
      <c r="E1189" s="33">
        <v>45748.0</v>
      </c>
      <c r="F1189" s="34">
        <v>45782.0</v>
      </c>
      <c r="G1189" s="36">
        <f t="shared" si="2"/>
        <v>1.133333333</v>
      </c>
      <c r="H1189" s="37">
        <v>45156.0</v>
      </c>
      <c r="I1189" s="36">
        <f t="shared" si="4"/>
        <v>1.619444444</v>
      </c>
      <c r="J1189" s="38">
        <v>72.0</v>
      </c>
      <c r="K1189" s="39">
        <v>6.4</v>
      </c>
      <c r="L1189" s="38">
        <v>53.0</v>
      </c>
      <c r="M1189" s="40" t="s">
        <v>36</v>
      </c>
      <c r="N1189" s="41"/>
      <c r="O1189" s="42" t="s">
        <v>34</v>
      </c>
      <c r="P1189" s="43"/>
    </row>
    <row r="1190">
      <c r="A1190" s="44" t="s">
        <v>1398</v>
      </c>
      <c r="B1190" s="45" t="s">
        <v>45</v>
      </c>
      <c r="C1190" s="46" t="s">
        <v>1089</v>
      </c>
      <c r="D1190" s="47" t="str">
        <f t="shared" si="1"/>
        <v>Removed</v>
      </c>
      <c r="E1190" s="48">
        <v>45748.0</v>
      </c>
      <c r="F1190" s="49">
        <v>45782.0</v>
      </c>
      <c r="G1190" s="50">
        <f t="shared" si="2"/>
        <v>1.133333333</v>
      </c>
      <c r="H1190" s="51">
        <v>43119.0</v>
      </c>
      <c r="I1190" s="50">
        <f t="shared" si="4"/>
        <v>7.2</v>
      </c>
      <c r="J1190" s="55">
        <v>73.0</v>
      </c>
      <c r="K1190" s="56">
        <v>7.7</v>
      </c>
      <c r="L1190" s="55">
        <v>47.0</v>
      </c>
      <c r="M1190" s="58" t="s">
        <v>42</v>
      </c>
      <c r="N1190" s="59"/>
      <c r="O1190" s="60" t="s">
        <v>34</v>
      </c>
      <c r="P1190" s="61"/>
    </row>
    <row r="1191">
      <c r="A1191" s="29" t="s">
        <v>1399</v>
      </c>
      <c r="B1191" s="30" t="s">
        <v>25</v>
      </c>
      <c r="C1191" s="31" t="s">
        <v>26</v>
      </c>
      <c r="D1191" s="32" t="str">
        <f t="shared" si="1"/>
        <v>Removed</v>
      </c>
      <c r="E1191" s="33">
        <v>45216.0</v>
      </c>
      <c r="F1191" s="34">
        <v>45762.0</v>
      </c>
      <c r="G1191" s="36">
        <f t="shared" si="2"/>
        <v>17.93333333</v>
      </c>
      <c r="H1191" s="37">
        <v>44285.0</v>
      </c>
      <c r="I1191" s="36">
        <f t="shared" si="4"/>
        <v>2.547222222</v>
      </c>
      <c r="J1191" s="38">
        <v>89.0</v>
      </c>
      <c r="K1191" s="39">
        <v>8.1</v>
      </c>
      <c r="L1191" s="38">
        <v>23.0</v>
      </c>
      <c r="M1191" s="40" t="s">
        <v>42</v>
      </c>
      <c r="N1191" s="41"/>
      <c r="O1191" s="42" t="s">
        <v>149</v>
      </c>
      <c r="P1191" s="43"/>
    </row>
    <row r="1192">
      <c r="A1192" s="44" t="s">
        <v>1400</v>
      </c>
      <c r="B1192" s="45" t="s">
        <v>33</v>
      </c>
      <c r="C1192" s="46" t="s">
        <v>26</v>
      </c>
      <c r="D1192" s="47" t="str">
        <f t="shared" si="1"/>
        <v>Removed</v>
      </c>
      <c r="E1192" s="48">
        <v>45421.0</v>
      </c>
      <c r="F1192" s="49">
        <v>45761.0</v>
      </c>
      <c r="G1192" s="50">
        <f t="shared" si="2"/>
        <v>11.16666667</v>
      </c>
      <c r="H1192" s="51">
        <v>45421.0</v>
      </c>
      <c r="I1192" s="50">
        <f t="shared" si="4"/>
        <v>0</v>
      </c>
      <c r="J1192" s="55">
        <v>90.0</v>
      </c>
      <c r="K1192" s="56">
        <v>7.9</v>
      </c>
      <c r="L1192" s="55">
        <v>7.0</v>
      </c>
      <c r="M1192" s="58" t="s">
        <v>222</v>
      </c>
      <c r="N1192" s="59"/>
      <c r="O1192" s="60" t="s">
        <v>272</v>
      </c>
      <c r="P1192" s="61"/>
    </row>
    <row r="1193">
      <c r="A1193" s="29" t="s">
        <v>1401</v>
      </c>
      <c r="B1193" s="30" t="s">
        <v>25</v>
      </c>
      <c r="C1193" s="31" t="s">
        <v>26</v>
      </c>
      <c r="D1193" s="32" t="str">
        <f t="shared" si="1"/>
        <v>Removed</v>
      </c>
      <c r="E1193" s="33">
        <v>45405.0</v>
      </c>
      <c r="F1193" s="34">
        <v>45761.0</v>
      </c>
      <c r="G1193" s="36">
        <f t="shared" si="2"/>
        <v>11.7</v>
      </c>
      <c r="H1193" s="37">
        <v>45405.0</v>
      </c>
      <c r="I1193" s="36">
        <f t="shared" si="4"/>
        <v>0</v>
      </c>
      <c r="J1193" s="38">
        <v>76.0</v>
      </c>
      <c r="K1193" s="39">
        <v>8.0</v>
      </c>
      <c r="L1193" s="38">
        <v>8.0</v>
      </c>
      <c r="M1193" s="40" t="s">
        <v>27</v>
      </c>
      <c r="N1193" s="41"/>
      <c r="O1193" s="42" t="s">
        <v>272</v>
      </c>
      <c r="P1193" s="43"/>
    </row>
    <row r="1194">
      <c r="A1194" s="44" t="s">
        <v>1402</v>
      </c>
      <c r="B1194" s="45" t="s">
        <v>33</v>
      </c>
      <c r="C1194" s="46" t="s">
        <v>26</v>
      </c>
      <c r="D1194" s="47" t="str">
        <f t="shared" si="1"/>
        <v>Removed</v>
      </c>
      <c r="E1194" s="48">
        <v>45398.0</v>
      </c>
      <c r="F1194" s="49">
        <v>45761.0</v>
      </c>
      <c r="G1194" s="50">
        <f t="shared" si="2"/>
        <v>11.93333333</v>
      </c>
      <c r="H1194" s="51">
        <v>45069.0</v>
      </c>
      <c r="I1194" s="50">
        <f t="shared" si="4"/>
        <v>0.8972222222</v>
      </c>
      <c r="J1194" s="55">
        <v>69.0</v>
      </c>
      <c r="K1194" s="56">
        <v>7.8</v>
      </c>
      <c r="L1194" s="55">
        <v>23.0</v>
      </c>
      <c r="M1194" s="58" t="s">
        <v>103</v>
      </c>
      <c r="N1194" s="59"/>
      <c r="O1194" s="60" t="s">
        <v>34</v>
      </c>
      <c r="P1194" s="61"/>
    </row>
    <row r="1195">
      <c r="A1195" s="29" t="s">
        <v>1403</v>
      </c>
      <c r="B1195" s="30" t="s">
        <v>33</v>
      </c>
      <c r="C1195" s="31" t="s">
        <v>26</v>
      </c>
      <c r="D1195" s="32" t="str">
        <f t="shared" si="1"/>
        <v>Removed</v>
      </c>
      <c r="E1195" s="33">
        <v>45398.0</v>
      </c>
      <c r="F1195" s="34">
        <v>45761.0</v>
      </c>
      <c r="G1195" s="36">
        <f t="shared" si="2"/>
        <v>11.93333333</v>
      </c>
      <c r="H1195" s="37">
        <v>45036.0</v>
      </c>
      <c r="I1195" s="36">
        <f t="shared" si="4"/>
        <v>0.9888888889</v>
      </c>
      <c r="J1195" s="38">
        <v>60.0</v>
      </c>
      <c r="K1195" s="39">
        <v>6.6</v>
      </c>
      <c r="L1195" s="38">
        <v>12.0</v>
      </c>
      <c r="M1195" s="40" t="s">
        <v>42</v>
      </c>
      <c r="N1195" s="41"/>
      <c r="O1195" s="42" t="s">
        <v>272</v>
      </c>
      <c r="P1195" s="43"/>
    </row>
    <row r="1196">
      <c r="A1196" s="44" t="s">
        <v>1404</v>
      </c>
      <c r="B1196" s="45" t="s">
        <v>25</v>
      </c>
      <c r="C1196" s="46" t="s">
        <v>26</v>
      </c>
      <c r="D1196" s="47" t="str">
        <f t="shared" si="1"/>
        <v>Removed</v>
      </c>
      <c r="E1196" s="48">
        <v>45398.0</v>
      </c>
      <c r="F1196" s="49">
        <v>45761.0</v>
      </c>
      <c r="G1196" s="50">
        <f t="shared" si="2"/>
        <v>11.93333333</v>
      </c>
      <c r="H1196" s="51">
        <v>44959.0</v>
      </c>
      <c r="I1196" s="50">
        <f t="shared" si="4"/>
        <v>1.205555556</v>
      </c>
      <c r="J1196" s="55">
        <v>69.0</v>
      </c>
      <c r="K1196" s="56">
        <v>5.6</v>
      </c>
      <c r="L1196" s="55">
        <v>8.0</v>
      </c>
      <c r="M1196" s="58" t="s">
        <v>29</v>
      </c>
      <c r="N1196" s="59"/>
      <c r="O1196" s="60" t="s">
        <v>272</v>
      </c>
      <c r="P1196" s="61"/>
    </row>
    <row r="1197">
      <c r="A1197" s="29" t="s">
        <v>1405</v>
      </c>
      <c r="B1197" s="30" t="s">
        <v>25</v>
      </c>
      <c r="C1197" s="31" t="s">
        <v>26</v>
      </c>
      <c r="D1197" s="32" t="str">
        <f t="shared" si="1"/>
        <v>Removed</v>
      </c>
      <c r="E1197" s="33">
        <v>45398.0</v>
      </c>
      <c r="F1197" s="34">
        <v>45761.0</v>
      </c>
      <c r="G1197" s="36">
        <f t="shared" si="2"/>
        <v>11.93333333</v>
      </c>
      <c r="H1197" s="37">
        <v>45181.0</v>
      </c>
      <c r="I1197" s="36">
        <f t="shared" si="4"/>
        <v>0.5944444444</v>
      </c>
      <c r="J1197" s="38">
        <v>58.0</v>
      </c>
      <c r="K1197" s="39">
        <v>6.3</v>
      </c>
      <c r="L1197" s="38">
        <v>2.0</v>
      </c>
      <c r="M1197" s="40" t="s">
        <v>70</v>
      </c>
      <c r="N1197" s="41"/>
      <c r="O1197" s="42" t="s">
        <v>272</v>
      </c>
      <c r="P1197" s="43"/>
    </row>
    <row r="1198">
      <c r="A1198" s="44" t="s">
        <v>1406</v>
      </c>
      <c r="B1198" s="45" t="s">
        <v>25</v>
      </c>
      <c r="C1198" s="46" t="s">
        <v>26</v>
      </c>
      <c r="D1198" s="47" t="str">
        <f t="shared" si="1"/>
        <v>Removed</v>
      </c>
      <c r="E1198" s="48">
        <v>45034.0</v>
      </c>
      <c r="F1198" s="49">
        <v>45761.0</v>
      </c>
      <c r="G1198" s="50">
        <f t="shared" si="2"/>
        <v>23.86666667</v>
      </c>
      <c r="H1198" s="51">
        <v>44460.0</v>
      </c>
      <c r="I1198" s="50">
        <f t="shared" si="4"/>
        <v>1.575</v>
      </c>
      <c r="J1198" s="55">
        <v>76.0</v>
      </c>
      <c r="K1198" s="56">
        <v>8.0</v>
      </c>
      <c r="L1198" s="55">
        <v>10.0</v>
      </c>
      <c r="M1198" s="58" t="s">
        <v>29</v>
      </c>
      <c r="N1198" s="59"/>
      <c r="O1198" s="60" t="s">
        <v>149</v>
      </c>
      <c r="P1198" s="61"/>
    </row>
    <row r="1199">
      <c r="A1199" s="29" t="s">
        <v>1407</v>
      </c>
      <c r="B1199" s="30" t="s">
        <v>45</v>
      </c>
      <c r="C1199" s="31" t="s">
        <v>26</v>
      </c>
      <c r="D1199" s="32" t="str">
        <f t="shared" si="1"/>
        <v>Removed</v>
      </c>
      <c r="E1199" s="33">
        <v>45034.0</v>
      </c>
      <c r="F1199" s="34">
        <v>45761.0</v>
      </c>
      <c r="G1199" s="36">
        <f t="shared" si="2"/>
        <v>23.86666667</v>
      </c>
      <c r="H1199" s="37">
        <v>43606.0</v>
      </c>
      <c r="I1199" s="36">
        <f t="shared" si="4"/>
        <v>3.908333333</v>
      </c>
      <c r="J1199" s="38">
        <v>88.0</v>
      </c>
      <c r="K1199" s="39">
        <v>7.2</v>
      </c>
      <c r="L1199" s="38">
        <v>12.0</v>
      </c>
      <c r="M1199" s="40" t="s">
        <v>103</v>
      </c>
      <c r="N1199" s="41"/>
      <c r="O1199" s="42" t="s">
        <v>149</v>
      </c>
      <c r="P1199" s="43"/>
    </row>
    <row r="1200">
      <c r="A1200" s="44" t="s">
        <v>1408</v>
      </c>
      <c r="B1200" s="45" t="s">
        <v>33</v>
      </c>
      <c r="C1200" s="46" t="s">
        <v>1089</v>
      </c>
      <c r="D1200" s="47" t="str">
        <f t="shared" si="1"/>
        <v>Removed</v>
      </c>
      <c r="E1200" s="48">
        <v>45720.0</v>
      </c>
      <c r="F1200" s="49">
        <v>45747.0</v>
      </c>
      <c r="G1200" s="50">
        <f t="shared" si="2"/>
        <v>0.8666666667</v>
      </c>
      <c r="H1200" s="51">
        <v>45596.0</v>
      </c>
      <c r="I1200" s="50">
        <f t="shared" si="4"/>
        <v>0.3444444444</v>
      </c>
      <c r="J1200" s="55">
        <v>82.0</v>
      </c>
      <c r="K1200" s="56">
        <v>3.9</v>
      </c>
      <c r="L1200" s="55">
        <v>27.0</v>
      </c>
      <c r="M1200" s="58" t="s">
        <v>42</v>
      </c>
      <c r="N1200" s="59"/>
      <c r="O1200" s="60" t="s">
        <v>34</v>
      </c>
      <c r="P1200" s="61"/>
    </row>
    <row r="1201">
      <c r="A1201" s="29" t="s">
        <v>1409</v>
      </c>
      <c r="B1201" s="30" t="s">
        <v>45</v>
      </c>
      <c r="C1201" s="31" t="s">
        <v>1089</v>
      </c>
      <c r="D1201" s="32" t="str">
        <f t="shared" si="1"/>
        <v>Removed</v>
      </c>
      <c r="E1201" s="33">
        <v>45720.0</v>
      </c>
      <c r="F1201" s="34">
        <v>45747.0</v>
      </c>
      <c r="G1201" s="36">
        <f t="shared" si="2"/>
        <v>0.8666666667</v>
      </c>
      <c r="H1201" s="37">
        <v>44507.0</v>
      </c>
      <c r="I1201" s="36">
        <f t="shared" si="4"/>
        <v>3.325</v>
      </c>
      <c r="J1201" s="38">
        <v>74.0</v>
      </c>
      <c r="K1201" s="39">
        <v>6.4</v>
      </c>
      <c r="L1201" s="38">
        <v>5.0</v>
      </c>
      <c r="M1201" s="40" t="s">
        <v>27</v>
      </c>
      <c r="N1201" s="41"/>
      <c r="O1201" s="42" t="s">
        <v>34</v>
      </c>
      <c r="P1201" s="43"/>
    </row>
    <row r="1202">
      <c r="A1202" s="44" t="s">
        <v>1410</v>
      </c>
      <c r="B1202" s="45" t="s">
        <v>25</v>
      </c>
      <c r="C1202" s="46" t="s">
        <v>1089</v>
      </c>
      <c r="D1202" s="47" t="str">
        <f t="shared" si="1"/>
        <v>Removed</v>
      </c>
      <c r="E1202" s="48">
        <v>45720.0</v>
      </c>
      <c r="F1202" s="49">
        <v>45747.0</v>
      </c>
      <c r="G1202" s="50">
        <f t="shared" si="2"/>
        <v>0.8666666667</v>
      </c>
      <c r="H1202" s="51">
        <v>44895.0</v>
      </c>
      <c r="I1202" s="50">
        <f t="shared" si="4"/>
        <v>2.261111111</v>
      </c>
      <c r="J1202" s="55">
        <v>79.0</v>
      </c>
      <c r="K1202" s="56">
        <v>8.2</v>
      </c>
      <c r="L1202" s="55">
        <v>14.0</v>
      </c>
      <c r="M1202" s="58" t="s">
        <v>279</v>
      </c>
      <c r="N1202" s="59"/>
      <c r="O1202" s="60" t="s">
        <v>34</v>
      </c>
      <c r="P1202" s="61"/>
    </row>
    <row r="1203">
      <c r="A1203" s="29" t="s">
        <v>1411</v>
      </c>
      <c r="B1203" s="30" t="s">
        <v>25</v>
      </c>
      <c r="C1203" s="31" t="s">
        <v>26</v>
      </c>
      <c r="D1203" s="32" t="str">
        <f t="shared" si="1"/>
        <v>Removed</v>
      </c>
      <c r="E1203" s="33">
        <v>45461.0</v>
      </c>
      <c r="F1203" s="34">
        <v>45733.0</v>
      </c>
      <c r="G1203" s="36">
        <f t="shared" si="2"/>
        <v>8.966666667</v>
      </c>
      <c r="H1203" s="37">
        <v>44994.0</v>
      </c>
      <c r="I1203" s="36">
        <f t="shared" si="4"/>
        <v>1.275</v>
      </c>
      <c r="J1203" s="38">
        <v>68.0</v>
      </c>
      <c r="K1203" s="39">
        <v>5.6</v>
      </c>
      <c r="L1203" s="38">
        <v>6.0</v>
      </c>
      <c r="M1203" s="40" t="s">
        <v>95</v>
      </c>
      <c r="N1203" s="41"/>
      <c r="O1203" s="42" t="s">
        <v>149</v>
      </c>
      <c r="P1203" s="43"/>
    </row>
    <row r="1204">
      <c r="A1204" s="44" t="s">
        <v>1412</v>
      </c>
      <c r="B1204" s="45" t="s">
        <v>25</v>
      </c>
      <c r="C1204" s="46" t="s">
        <v>26</v>
      </c>
      <c r="D1204" s="47" t="str">
        <f t="shared" si="1"/>
        <v>Removed</v>
      </c>
      <c r="E1204" s="48">
        <v>45370.0</v>
      </c>
      <c r="F1204" s="49">
        <v>45733.0</v>
      </c>
      <c r="G1204" s="50">
        <f t="shared" si="2"/>
        <v>11.93333333</v>
      </c>
      <c r="H1204" s="51">
        <v>43924.0</v>
      </c>
      <c r="I1204" s="50">
        <f t="shared" si="4"/>
        <v>3.961111111</v>
      </c>
      <c r="J1204" s="55">
        <v>79.0</v>
      </c>
      <c r="K1204" s="56">
        <v>6.6</v>
      </c>
      <c r="L1204" s="55">
        <v>6.0</v>
      </c>
      <c r="M1204" s="58" t="s">
        <v>31</v>
      </c>
      <c r="N1204" s="59"/>
      <c r="O1204" s="60" t="s">
        <v>34</v>
      </c>
      <c r="P1204" s="61"/>
    </row>
    <row r="1205">
      <c r="A1205" s="29" t="s">
        <v>1413</v>
      </c>
      <c r="B1205" s="30" t="s">
        <v>45</v>
      </c>
      <c r="C1205" s="31" t="s">
        <v>46</v>
      </c>
      <c r="D1205" s="32" t="str">
        <f t="shared" si="1"/>
        <v>Removed</v>
      </c>
      <c r="E1205" s="33">
        <v>45370.0</v>
      </c>
      <c r="F1205" s="34">
        <v>45733.0</v>
      </c>
      <c r="G1205" s="36">
        <f t="shared" si="2"/>
        <v>11.93333333</v>
      </c>
      <c r="H1205" s="37">
        <v>44806.0</v>
      </c>
      <c r="I1205" s="36">
        <f t="shared" si="4"/>
        <v>1.547222222</v>
      </c>
      <c r="J1205" s="38">
        <v>73.0</v>
      </c>
      <c r="K1205" s="39">
        <v>7.8</v>
      </c>
      <c r="L1205" s="38">
        <v>9.0</v>
      </c>
      <c r="M1205" s="40" t="s">
        <v>114</v>
      </c>
      <c r="N1205" s="41" t="s">
        <v>442</v>
      </c>
      <c r="O1205" s="42" t="s">
        <v>149</v>
      </c>
      <c r="P1205" s="67"/>
    </row>
    <row r="1206">
      <c r="A1206" s="44" t="s">
        <v>1414</v>
      </c>
      <c r="B1206" s="45" t="s">
        <v>45</v>
      </c>
      <c r="C1206" s="46" t="s">
        <v>46</v>
      </c>
      <c r="D1206" s="47" t="str">
        <f t="shared" si="1"/>
        <v>Removed</v>
      </c>
      <c r="E1206" s="48">
        <v>45370.0</v>
      </c>
      <c r="F1206" s="49">
        <v>45733.0</v>
      </c>
      <c r="G1206" s="50">
        <f t="shared" si="2"/>
        <v>11.93333333</v>
      </c>
      <c r="H1206" s="51">
        <v>41982.0</v>
      </c>
      <c r="I1206" s="50">
        <f t="shared" si="4"/>
        <v>9.277777778</v>
      </c>
      <c r="J1206" s="55">
        <v>81.0</v>
      </c>
      <c r="K1206" s="56">
        <v>8.7</v>
      </c>
      <c r="L1206" s="55">
        <v>67.0</v>
      </c>
      <c r="M1206" s="58" t="s">
        <v>689</v>
      </c>
      <c r="N1206" s="59" t="s">
        <v>1415</v>
      </c>
      <c r="O1206" s="60" t="s">
        <v>34</v>
      </c>
      <c r="P1206" s="66"/>
    </row>
    <row r="1207">
      <c r="A1207" s="29" t="s">
        <v>1416</v>
      </c>
      <c r="B1207" s="30" t="s">
        <v>25</v>
      </c>
      <c r="C1207" s="31" t="s">
        <v>26</v>
      </c>
      <c r="D1207" s="32" t="str">
        <f t="shared" si="1"/>
        <v>Removed</v>
      </c>
      <c r="E1207" s="33">
        <v>45006.0</v>
      </c>
      <c r="F1207" s="34">
        <v>45733.0</v>
      </c>
      <c r="G1207" s="36">
        <f t="shared" si="2"/>
        <v>23.86666667</v>
      </c>
      <c r="H1207" s="37">
        <v>43846.0</v>
      </c>
      <c r="I1207" s="36">
        <f t="shared" si="4"/>
        <v>3.180555556</v>
      </c>
      <c r="J1207" s="38">
        <v>73.0</v>
      </c>
      <c r="K1207" s="39">
        <v>7.9</v>
      </c>
      <c r="L1207" s="38">
        <v>30.0</v>
      </c>
      <c r="M1207" s="40" t="s">
        <v>29</v>
      </c>
      <c r="N1207" s="41"/>
      <c r="O1207" s="42" t="s">
        <v>149</v>
      </c>
      <c r="P1207" s="43"/>
    </row>
    <row r="1208">
      <c r="A1208" s="44" t="s">
        <v>1417</v>
      </c>
      <c r="B1208" s="45" t="s">
        <v>25</v>
      </c>
      <c r="C1208" s="46" t="s">
        <v>26</v>
      </c>
      <c r="D1208" s="47" t="str">
        <f t="shared" si="1"/>
        <v>Removed</v>
      </c>
      <c r="E1208" s="48">
        <v>45006.0</v>
      </c>
      <c r="F1208" s="49">
        <v>45733.0</v>
      </c>
      <c r="G1208" s="50">
        <f t="shared" si="2"/>
        <v>23.86666667</v>
      </c>
      <c r="H1208" s="51">
        <v>40843.0</v>
      </c>
      <c r="I1208" s="50">
        <f t="shared" si="4"/>
        <v>11.4</v>
      </c>
      <c r="J1208" s="55">
        <v>72.0</v>
      </c>
      <c r="K1208" s="56">
        <v>7.5</v>
      </c>
      <c r="L1208" s="55">
        <v>24.0</v>
      </c>
      <c r="M1208" s="58" t="s">
        <v>42</v>
      </c>
      <c r="N1208" s="59"/>
      <c r="O1208" s="60" t="s">
        <v>149</v>
      </c>
      <c r="P1208" s="61"/>
    </row>
    <row r="1209">
      <c r="A1209" s="29" t="s">
        <v>1418</v>
      </c>
      <c r="B1209" s="30" t="s">
        <v>25</v>
      </c>
      <c r="C1209" s="31" t="s">
        <v>26</v>
      </c>
      <c r="D1209" s="32" t="str">
        <f t="shared" si="1"/>
        <v>Removed</v>
      </c>
      <c r="E1209" s="33">
        <v>45006.0</v>
      </c>
      <c r="F1209" s="34">
        <v>45733.0</v>
      </c>
      <c r="G1209" s="36">
        <f t="shared" si="2"/>
        <v>23.86666667</v>
      </c>
      <c r="H1209" s="37">
        <v>44440.0</v>
      </c>
      <c r="I1209" s="36">
        <f t="shared" si="4"/>
        <v>1.555555556</v>
      </c>
      <c r="J1209" s="38">
        <v>78.0</v>
      </c>
      <c r="K1209" s="39">
        <v>6.6</v>
      </c>
      <c r="L1209" s="38">
        <v>10.0</v>
      </c>
      <c r="M1209" s="40" t="s">
        <v>29</v>
      </c>
      <c r="N1209" s="41"/>
      <c r="O1209" s="42" t="s">
        <v>34</v>
      </c>
      <c r="P1209" s="43"/>
    </row>
    <row r="1210">
      <c r="A1210" s="44" t="s">
        <v>1419</v>
      </c>
      <c r="B1210" s="45" t="s">
        <v>25</v>
      </c>
      <c r="C1210" s="46" t="s">
        <v>26</v>
      </c>
      <c r="D1210" s="47" t="str">
        <f t="shared" si="1"/>
        <v>Removed</v>
      </c>
      <c r="E1210" s="48">
        <v>45006.0</v>
      </c>
      <c r="F1210" s="49">
        <v>45733.0</v>
      </c>
      <c r="G1210" s="50">
        <f t="shared" si="2"/>
        <v>23.86666667</v>
      </c>
      <c r="H1210" s="51">
        <v>43344.0</v>
      </c>
      <c r="I1210" s="50">
        <f t="shared" si="4"/>
        <v>4.555555556</v>
      </c>
      <c r="J1210" s="55">
        <v>81.0</v>
      </c>
      <c r="K1210" s="56">
        <v>6.9</v>
      </c>
      <c r="L1210" s="55">
        <v>16.0</v>
      </c>
      <c r="M1210" s="58" t="s">
        <v>29</v>
      </c>
      <c r="N1210" s="59"/>
      <c r="O1210" s="60" t="s">
        <v>149</v>
      </c>
      <c r="P1210" s="61"/>
    </row>
    <row r="1211">
      <c r="A1211" s="29" t="s">
        <v>1420</v>
      </c>
      <c r="B1211" s="30" t="s">
        <v>25</v>
      </c>
      <c r="C1211" s="31" t="s">
        <v>26</v>
      </c>
      <c r="D1211" s="32" t="str">
        <f t="shared" si="1"/>
        <v>Removed</v>
      </c>
      <c r="E1211" s="33">
        <v>45006.0</v>
      </c>
      <c r="F1211" s="34">
        <v>45733.0</v>
      </c>
      <c r="G1211" s="36">
        <f t="shared" si="2"/>
        <v>23.86666667</v>
      </c>
      <c r="H1211" s="37">
        <v>42416.0</v>
      </c>
      <c r="I1211" s="36">
        <f t="shared" si="4"/>
        <v>7.097222222</v>
      </c>
      <c r="J1211" s="38">
        <v>82.0</v>
      </c>
      <c r="K1211" s="39">
        <v>6.0</v>
      </c>
      <c r="L1211" s="38">
        <v>3.0</v>
      </c>
      <c r="M1211" s="40" t="s">
        <v>114</v>
      </c>
      <c r="N1211" s="41"/>
      <c r="O1211" s="42" t="s">
        <v>149</v>
      </c>
      <c r="P1211" s="43"/>
    </row>
    <row r="1212">
      <c r="A1212" s="44" t="s">
        <v>1421</v>
      </c>
      <c r="B1212" s="45" t="s">
        <v>25</v>
      </c>
      <c r="C1212" s="46" t="s">
        <v>26</v>
      </c>
      <c r="D1212" s="47" t="str">
        <f t="shared" si="1"/>
        <v>Removed</v>
      </c>
      <c r="E1212" s="48">
        <v>44473.0</v>
      </c>
      <c r="F1212" s="49">
        <v>45733.0</v>
      </c>
      <c r="G1212" s="50">
        <f t="shared" si="2"/>
        <v>41.43333333</v>
      </c>
      <c r="H1212" s="51">
        <v>43578.0</v>
      </c>
      <c r="I1212" s="50">
        <f t="shared" si="4"/>
        <v>2.447222222</v>
      </c>
      <c r="J1212" s="55">
        <v>83.0</v>
      </c>
      <c r="K1212" s="56">
        <v>7.8</v>
      </c>
      <c r="L1212" s="55">
        <v>6.0</v>
      </c>
      <c r="M1212" s="58" t="s">
        <v>114</v>
      </c>
      <c r="N1212" s="59"/>
      <c r="O1212" s="60" t="s">
        <v>149</v>
      </c>
      <c r="P1212" s="61" t="s">
        <v>149</v>
      </c>
    </row>
    <row r="1213">
      <c r="A1213" s="29" t="s">
        <v>1422</v>
      </c>
      <c r="B1213" s="30" t="s">
        <v>33</v>
      </c>
      <c r="C1213" s="31" t="s">
        <v>1089</v>
      </c>
      <c r="D1213" s="32" t="str">
        <f t="shared" si="1"/>
        <v>Removed</v>
      </c>
      <c r="E1213" s="33">
        <v>45692.0</v>
      </c>
      <c r="F1213" s="34">
        <v>45719.0</v>
      </c>
      <c r="G1213" s="36">
        <f t="shared" si="2"/>
        <v>0.9666666667</v>
      </c>
      <c r="H1213" s="37">
        <v>45190.0</v>
      </c>
      <c r="I1213" s="36">
        <f t="shared" si="4"/>
        <v>1.369444444</v>
      </c>
      <c r="J1213" s="38">
        <v>66.0</v>
      </c>
      <c r="K1213" s="39">
        <v>3.2</v>
      </c>
      <c r="L1213" s="38">
        <v>14.0</v>
      </c>
      <c r="M1213" s="40" t="s">
        <v>31</v>
      </c>
      <c r="N1213" s="41"/>
      <c r="O1213" s="42" t="s">
        <v>34</v>
      </c>
      <c r="P1213" s="43"/>
    </row>
    <row r="1214">
      <c r="A1214" s="44" t="s">
        <v>1423</v>
      </c>
      <c r="B1214" s="45" t="s">
        <v>25</v>
      </c>
      <c r="C1214" s="46" t="s">
        <v>1089</v>
      </c>
      <c r="D1214" s="47" t="str">
        <f t="shared" si="1"/>
        <v>Removed</v>
      </c>
      <c r="E1214" s="48">
        <v>45692.0</v>
      </c>
      <c r="F1214" s="49">
        <v>45719.0</v>
      </c>
      <c r="G1214" s="50">
        <f t="shared" si="2"/>
        <v>0.9666666667</v>
      </c>
      <c r="H1214" s="51">
        <v>44908.0</v>
      </c>
      <c r="I1214" s="50">
        <f t="shared" si="4"/>
        <v>2.141666667</v>
      </c>
      <c r="J1214" s="55">
        <v>67.0</v>
      </c>
      <c r="K1214" s="56">
        <v>7.8</v>
      </c>
      <c r="L1214" s="55">
        <v>10.0</v>
      </c>
      <c r="M1214" s="58" t="s">
        <v>29</v>
      </c>
      <c r="N1214" s="59"/>
      <c r="O1214" s="60" t="s">
        <v>34</v>
      </c>
      <c r="P1214" s="61"/>
    </row>
    <row r="1215">
      <c r="A1215" s="29" t="s">
        <v>1424</v>
      </c>
      <c r="B1215" s="30" t="s">
        <v>25</v>
      </c>
      <c r="C1215" s="31" t="s">
        <v>1089</v>
      </c>
      <c r="D1215" s="32" t="str">
        <f t="shared" si="1"/>
        <v>Removed</v>
      </c>
      <c r="E1215" s="33">
        <v>45692.0</v>
      </c>
      <c r="F1215" s="34">
        <v>45719.0</v>
      </c>
      <c r="G1215" s="36">
        <f t="shared" si="2"/>
        <v>0.9666666667</v>
      </c>
      <c r="H1215" s="37">
        <v>44799.0</v>
      </c>
      <c r="I1215" s="36">
        <f t="shared" si="4"/>
        <v>2.438888889</v>
      </c>
      <c r="J1215" s="38">
        <v>71.0</v>
      </c>
      <c r="K1215" s="39">
        <v>8.2</v>
      </c>
      <c r="L1215" s="38">
        <v>6.0</v>
      </c>
      <c r="M1215" s="40" t="s">
        <v>27</v>
      </c>
      <c r="N1215" s="41"/>
      <c r="O1215" s="42" t="s">
        <v>34</v>
      </c>
      <c r="P1215" s="43"/>
    </row>
    <row r="1216">
      <c r="A1216" s="44" t="s">
        <v>1425</v>
      </c>
      <c r="B1216" s="45" t="s">
        <v>33</v>
      </c>
      <c r="C1216" s="46" t="s">
        <v>26</v>
      </c>
      <c r="D1216" s="47" t="str">
        <f t="shared" si="1"/>
        <v>Removed</v>
      </c>
      <c r="E1216" s="48">
        <v>45342.0</v>
      </c>
      <c r="F1216" s="49">
        <v>45705.0</v>
      </c>
      <c r="G1216" s="50">
        <f t="shared" si="2"/>
        <v>11.9</v>
      </c>
      <c r="H1216" s="51">
        <v>43763.0</v>
      </c>
      <c r="I1216" s="50">
        <f t="shared" si="4"/>
        <v>4.319444444</v>
      </c>
      <c r="J1216" s="55">
        <v>72.0</v>
      </c>
      <c r="K1216" s="56">
        <v>5.6</v>
      </c>
      <c r="L1216" s="55">
        <v>16.0</v>
      </c>
      <c r="M1216" s="58" t="s">
        <v>42</v>
      </c>
      <c r="N1216" s="59"/>
      <c r="O1216" s="60" t="s">
        <v>272</v>
      </c>
      <c r="P1216" s="61"/>
    </row>
    <row r="1217">
      <c r="A1217" s="29" t="s">
        <v>1426</v>
      </c>
      <c r="B1217" s="30" t="s">
        <v>25</v>
      </c>
      <c r="C1217" s="31" t="s">
        <v>26</v>
      </c>
      <c r="D1217" s="32" t="str">
        <f t="shared" si="1"/>
        <v>Removed</v>
      </c>
      <c r="E1217" s="33">
        <v>45342.0</v>
      </c>
      <c r="F1217" s="34">
        <v>45705.0</v>
      </c>
      <c r="G1217" s="36">
        <f t="shared" si="2"/>
        <v>11.9</v>
      </c>
      <c r="H1217" s="37">
        <v>44449.0</v>
      </c>
      <c r="I1217" s="36">
        <f t="shared" si="4"/>
        <v>2.444444444</v>
      </c>
      <c r="J1217" s="38">
        <v>87.0</v>
      </c>
      <c r="K1217" s="39">
        <v>7.9</v>
      </c>
      <c r="L1217" s="38">
        <v>41.0</v>
      </c>
      <c r="M1217" s="40" t="s">
        <v>42</v>
      </c>
      <c r="N1217" s="41"/>
      <c r="O1217" s="42" t="s">
        <v>149</v>
      </c>
      <c r="P1217" s="43"/>
    </row>
    <row r="1218">
      <c r="A1218" s="44" t="s">
        <v>1427</v>
      </c>
      <c r="B1218" s="45" t="s">
        <v>45</v>
      </c>
      <c r="C1218" s="46" t="s">
        <v>26</v>
      </c>
      <c r="D1218" s="47" t="str">
        <f t="shared" si="1"/>
        <v>Removed</v>
      </c>
      <c r="E1218" s="48">
        <v>45342.0</v>
      </c>
      <c r="F1218" s="49">
        <v>45705.0</v>
      </c>
      <c r="G1218" s="50">
        <f t="shared" si="2"/>
        <v>11.9</v>
      </c>
      <c r="H1218" s="51">
        <v>42297.0</v>
      </c>
      <c r="I1218" s="50">
        <f t="shared" si="4"/>
        <v>8.333333333</v>
      </c>
      <c r="J1218" s="55">
        <v>72.0</v>
      </c>
      <c r="K1218" s="56">
        <v>7.2</v>
      </c>
      <c r="L1218" s="55">
        <v>42.0</v>
      </c>
      <c r="M1218" s="58" t="s">
        <v>42</v>
      </c>
      <c r="N1218" s="59"/>
      <c r="O1218" s="60" t="s">
        <v>149</v>
      </c>
      <c r="P1218" s="61"/>
    </row>
    <row r="1219">
      <c r="A1219" s="29" t="s">
        <v>1428</v>
      </c>
      <c r="B1219" s="30" t="s">
        <v>25</v>
      </c>
      <c r="C1219" s="31" t="s">
        <v>46</v>
      </c>
      <c r="D1219" s="32" t="str">
        <f t="shared" si="1"/>
        <v>Removed</v>
      </c>
      <c r="E1219" s="33">
        <v>45342.0</v>
      </c>
      <c r="F1219" s="34">
        <v>45705.0</v>
      </c>
      <c r="G1219" s="36">
        <f t="shared" si="2"/>
        <v>11.9</v>
      </c>
      <c r="H1219" s="37">
        <v>38181.0</v>
      </c>
      <c r="I1219" s="36">
        <f t="shared" si="4"/>
        <v>19.60277778</v>
      </c>
      <c r="J1219" s="38">
        <v>86.0</v>
      </c>
      <c r="K1219" s="39">
        <v>8.9</v>
      </c>
      <c r="L1219" s="38">
        <v>47.0</v>
      </c>
      <c r="M1219" s="40" t="s">
        <v>42</v>
      </c>
      <c r="N1219" s="41" t="s">
        <v>43</v>
      </c>
      <c r="O1219" s="42" t="s">
        <v>149</v>
      </c>
      <c r="P1219" s="67"/>
    </row>
    <row r="1220">
      <c r="A1220" s="44" t="s">
        <v>1429</v>
      </c>
      <c r="B1220" s="45" t="s">
        <v>25</v>
      </c>
      <c r="C1220" s="46" t="s">
        <v>46</v>
      </c>
      <c r="D1220" s="47" t="str">
        <f t="shared" si="1"/>
        <v>Removed</v>
      </c>
      <c r="E1220" s="48">
        <v>45342.0</v>
      </c>
      <c r="F1220" s="49">
        <v>45705.0</v>
      </c>
      <c r="G1220" s="50">
        <f t="shared" si="2"/>
        <v>11.9</v>
      </c>
      <c r="H1220" s="51">
        <v>39686.0</v>
      </c>
      <c r="I1220" s="50">
        <f t="shared" si="4"/>
        <v>15.48333333</v>
      </c>
      <c r="J1220" s="55">
        <v>81.0</v>
      </c>
      <c r="K1220" s="56">
        <v>7.6</v>
      </c>
      <c r="L1220" s="55">
        <v>46.0</v>
      </c>
      <c r="M1220" s="58" t="s">
        <v>42</v>
      </c>
      <c r="N1220" s="59" t="s">
        <v>442</v>
      </c>
      <c r="O1220" s="60" t="s">
        <v>149</v>
      </c>
      <c r="P1220" s="66"/>
    </row>
    <row r="1221">
      <c r="A1221" s="29" t="s">
        <v>1430</v>
      </c>
      <c r="B1221" s="30" t="s">
        <v>25</v>
      </c>
      <c r="C1221" s="31" t="s">
        <v>26</v>
      </c>
      <c r="D1221" s="32" t="str">
        <f t="shared" si="1"/>
        <v>Removed</v>
      </c>
      <c r="E1221" s="33">
        <v>44978.0</v>
      </c>
      <c r="F1221" s="34">
        <v>45705.0</v>
      </c>
      <c r="G1221" s="36">
        <f t="shared" si="2"/>
        <v>23.86666667</v>
      </c>
      <c r="H1221" s="37">
        <v>44287.0</v>
      </c>
      <c r="I1221" s="36">
        <f t="shared" si="4"/>
        <v>1.888888889</v>
      </c>
      <c r="J1221" s="38">
        <v>72.0</v>
      </c>
      <c r="K1221" s="39">
        <v>4.8</v>
      </c>
      <c r="L1221" s="38">
        <v>16.0</v>
      </c>
      <c r="M1221" s="40" t="s">
        <v>31</v>
      </c>
      <c r="N1221" s="41"/>
      <c r="O1221" s="42" t="s">
        <v>149</v>
      </c>
      <c r="P1221" s="43"/>
    </row>
    <row r="1222">
      <c r="A1222" s="44" t="s">
        <v>1431</v>
      </c>
      <c r="B1222" s="45" t="s">
        <v>25</v>
      </c>
      <c r="C1222" s="46" t="s">
        <v>26</v>
      </c>
      <c r="D1222" s="47" t="str">
        <f t="shared" si="1"/>
        <v>Removed</v>
      </c>
      <c r="E1222" s="48">
        <v>44978.0</v>
      </c>
      <c r="F1222" s="49">
        <v>45705.0</v>
      </c>
      <c r="G1222" s="50">
        <f t="shared" si="2"/>
        <v>23.86666667</v>
      </c>
      <c r="H1222" s="51">
        <v>44372.0</v>
      </c>
      <c r="I1222" s="50">
        <f t="shared" si="4"/>
        <v>1.655555556</v>
      </c>
      <c r="J1222" s="55">
        <v>80.0</v>
      </c>
      <c r="K1222" s="56">
        <v>8.0</v>
      </c>
      <c r="L1222" s="55">
        <v>25.0</v>
      </c>
      <c r="M1222" s="58" t="s">
        <v>29</v>
      </c>
      <c r="N1222" s="59"/>
      <c r="O1222" s="60" t="s">
        <v>149</v>
      </c>
      <c r="P1222" s="61"/>
    </row>
    <row r="1223">
      <c r="A1223" s="29" t="s">
        <v>1432</v>
      </c>
      <c r="B1223" s="30" t="s">
        <v>45</v>
      </c>
      <c r="C1223" s="31" t="s">
        <v>46</v>
      </c>
      <c r="D1223" s="32" t="str">
        <f t="shared" si="1"/>
        <v>Removed</v>
      </c>
      <c r="E1223" s="33">
        <v>43410.0</v>
      </c>
      <c r="F1223" s="34">
        <v>45705.0</v>
      </c>
      <c r="G1223" s="36">
        <f t="shared" si="2"/>
        <v>75.36666667</v>
      </c>
      <c r="H1223" s="37">
        <v>42832.0</v>
      </c>
      <c r="I1223" s="36">
        <f t="shared" si="4"/>
        <v>1.580555556</v>
      </c>
      <c r="J1223" s="38">
        <v>75.0</v>
      </c>
      <c r="K1223" s="39">
        <v>7.8</v>
      </c>
      <c r="L1223" s="38">
        <v>6.0</v>
      </c>
      <c r="M1223" s="40" t="s">
        <v>31</v>
      </c>
      <c r="N1223" s="41" t="s">
        <v>442</v>
      </c>
      <c r="O1223" s="42" t="s">
        <v>34</v>
      </c>
      <c r="P1223" s="67"/>
    </row>
    <row r="1224">
      <c r="A1224" s="44" t="s">
        <v>1433</v>
      </c>
      <c r="B1224" s="45" t="s">
        <v>33</v>
      </c>
      <c r="C1224" s="46" t="s">
        <v>1089</v>
      </c>
      <c r="D1224" s="47" t="str">
        <f t="shared" si="1"/>
        <v>Removed</v>
      </c>
      <c r="E1224" s="48">
        <v>45664.0</v>
      </c>
      <c r="F1224" s="49">
        <v>45691.0</v>
      </c>
      <c r="G1224" s="50">
        <f t="shared" si="2"/>
        <v>0.8666666667</v>
      </c>
      <c r="H1224" s="51">
        <v>45324.0</v>
      </c>
      <c r="I1224" s="50">
        <f t="shared" si="4"/>
        <v>0.9305555556</v>
      </c>
      <c r="J1224" s="55">
        <v>60.0</v>
      </c>
      <c r="K1224" s="56">
        <v>3.4</v>
      </c>
      <c r="L1224" s="55">
        <v>12.0</v>
      </c>
      <c r="M1224" s="58" t="s">
        <v>31</v>
      </c>
      <c r="N1224" s="59"/>
      <c r="O1224" s="60" t="s">
        <v>34</v>
      </c>
      <c r="P1224" s="61"/>
    </row>
    <row r="1225">
      <c r="A1225" s="29" t="s">
        <v>1434</v>
      </c>
      <c r="B1225" s="30" t="s">
        <v>45</v>
      </c>
      <c r="C1225" s="31" t="s">
        <v>1089</v>
      </c>
      <c r="D1225" s="32" t="str">
        <f t="shared" si="1"/>
        <v>Removed</v>
      </c>
      <c r="E1225" s="33">
        <v>45664.0</v>
      </c>
      <c r="F1225" s="34">
        <v>45691.0</v>
      </c>
      <c r="G1225" s="36">
        <f t="shared" si="2"/>
        <v>0.8666666667</v>
      </c>
      <c r="H1225" s="37">
        <v>44141.0</v>
      </c>
      <c r="I1225" s="36">
        <f t="shared" si="4"/>
        <v>4.169444444</v>
      </c>
      <c r="J1225" s="38">
        <v>75.0</v>
      </c>
      <c r="K1225" s="39">
        <v>5.9</v>
      </c>
      <c r="L1225" s="38">
        <v>16.0</v>
      </c>
      <c r="M1225" s="40" t="s">
        <v>95</v>
      </c>
      <c r="N1225" s="41"/>
      <c r="O1225" s="42" t="s">
        <v>34</v>
      </c>
      <c r="P1225" s="43"/>
    </row>
    <row r="1226">
      <c r="A1226" s="44" t="s">
        <v>1435</v>
      </c>
      <c r="B1226" s="45" t="s">
        <v>25</v>
      </c>
      <c r="C1226" s="46" t="s">
        <v>1089</v>
      </c>
      <c r="D1226" s="47" t="str">
        <f t="shared" si="1"/>
        <v>Removed</v>
      </c>
      <c r="E1226" s="48">
        <v>45664.0</v>
      </c>
      <c r="F1226" s="49">
        <v>45691.0</v>
      </c>
      <c r="G1226" s="50">
        <f t="shared" si="2"/>
        <v>0.8666666667</v>
      </c>
      <c r="H1226" s="51">
        <v>41548.0</v>
      </c>
      <c r="I1226" s="50">
        <f t="shared" si="4"/>
        <v>11.26666667</v>
      </c>
      <c r="J1226" s="55">
        <v>90.0</v>
      </c>
      <c r="K1226" s="56">
        <v>8.2</v>
      </c>
      <c r="L1226" s="55">
        <v>4.0</v>
      </c>
      <c r="M1226" s="58" t="s">
        <v>112</v>
      </c>
      <c r="N1226" s="59"/>
      <c r="O1226" s="60" t="s">
        <v>34</v>
      </c>
      <c r="P1226" s="61"/>
    </row>
    <row r="1227">
      <c r="A1227" s="29" t="s">
        <v>1436</v>
      </c>
      <c r="B1227" s="30" t="s">
        <v>33</v>
      </c>
      <c r="C1227" s="31" t="s">
        <v>26</v>
      </c>
      <c r="D1227" s="32" t="str">
        <f t="shared" si="1"/>
        <v>Removed</v>
      </c>
      <c r="E1227" s="33">
        <v>45307.0</v>
      </c>
      <c r="F1227" s="34">
        <v>45677.0</v>
      </c>
      <c r="G1227" s="36">
        <f t="shared" si="2"/>
        <v>12.13333333</v>
      </c>
      <c r="H1227" s="37">
        <v>43998.0</v>
      </c>
      <c r="I1227" s="36">
        <f t="shared" si="4"/>
        <v>3.583333333</v>
      </c>
      <c r="J1227" s="38">
        <v>82.0</v>
      </c>
      <c r="K1227" s="39">
        <v>7.6</v>
      </c>
      <c r="L1227" s="38">
        <v>27.0</v>
      </c>
      <c r="M1227" s="40" t="s">
        <v>70</v>
      </c>
      <c r="N1227" s="41"/>
      <c r="O1227" s="42" t="s">
        <v>272</v>
      </c>
      <c r="P1227" s="43"/>
    </row>
    <row r="1228">
      <c r="A1228" s="44" t="s">
        <v>1437</v>
      </c>
      <c r="B1228" s="45" t="s">
        <v>25</v>
      </c>
      <c r="C1228" s="46" t="s">
        <v>26</v>
      </c>
      <c r="D1228" s="47" t="str">
        <f t="shared" si="1"/>
        <v>Removed</v>
      </c>
      <c r="E1228" s="48">
        <v>45307.0</v>
      </c>
      <c r="F1228" s="49">
        <v>45677.0</v>
      </c>
      <c r="G1228" s="50">
        <f t="shared" si="2"/>
        <v>12.13333333</v>
      </c>
      <c r="H1228" s="51">
        <v>43480.0</v>
      </c>
      <c r="I1228" s="50">
        <f t="shared" si="4"/>
        <v>5.002777778</v>
      </c>
      <c r="J1228" s="55">
        <v>91.0</v>
      </c>
      <c r="K1228" s="56">
        <v>8.9</v>
      </c>
      <c r="L1228" s="55">
        <v>9.0</v>
      </c>
      <c r="M1228" s="58" t="s">
        <v>31</v>
      </c>
      <c r="N1228" s="59"/>
      <c r="O1228" s="60" t="s">
        <v>149</v>
      </c>
      <c r="P1228" s="61"/>
    </row>
    <row r="1229">
      <c r="A1229" s="29" t="s">
        <v>1438</v>
      </c>
      <c r="B1229" s="30" t="s">
        <v>45</v>
      </c>
      <c r="C1229" s="31" t="s">
        <v>26</v>
      </c>
      <c r="D1229" s="32" t="str">
        <f t="shared" si="1"/>
        <v>Removed</v>
      </c>
      <c r="E1229" s="33">
        <v>45307.0</v>
      </c>
      <c r="F1229" s="34">
        <v>45677.0</v>
      </c>
      <c r="G1229" s="36">
        <f t="shared" si="2"/>
        <v>12.13333333</v>
      </c>
      <c r="H1229" s="37">
        <v>42339.0</v>
      </c>
      <c r="I1229" s="36">
        <f t="shared" si="4"/>
        <v>8.125</v>
      </c>
      <c r="J1229" s="38">
        <v>71.0</v>
      </c>
      <c r="K1229" s="39">
        <v>7.1</v>
      </c>
      <c r="L1229" s="38">
        <v>18.0</v>
      </c>
      <c r="M1229" s="40" t="s">
        <v>29</v>
      </c>
      <c r="N1229" s="41"/>
      <c r="O1229" s="42" t="s">
        <v>149</v>
      </c>
      <c r="P1229" s="43"/>
    </row>
    <row r="1230">
      <c r="A1230" s="44" t="s">
        <v>1439</v>
      </c>
      <c r="B1230" s="45" t="s">
        <v>45</v>
      </c>
      <c r="C1230" s="46" t="s">
        <v>46</v>
      </c>
      <c r="D1230" s="47" t="str">
        <f t="shared" si="1"/>
        <v>Removed</v>
      </c>
      <c r="E1230" s="48">
        <v>45307.0</v>
      </c>
      <c r="F1230" s="49">
        <v>45677.0</v>
      </c>
      <c r="G1230" s="50">
        <f t="shared" si="2"/>
        <v>12.13333333</v>
      </c>
      <c r="H1230" s="51">
        <v>43146.0</v>
      </c>
      <c r="I1230" s="50">
        <f t="shared" si="4"/>
        <v>5.919444444</v>
      </c>
      <c r="J1230" s="55">
        <v>63.0</v>
      </c>
      <c r="K1230" s="56">
        <v>6.1</v>
      </c>
      <c r="L1230" s="55">
        <v>17.0</v>
      </c>
      <c r="M1230" s="58" t="s">
        <v>42</v>
      </c>
      <c r="N1230" s="59" t="s">
        <v>739</v>
      </c>
      <c r="O1230" s="60" t="s">
        <v>149</v>
      </c>
      <c r="P1230" s="66"/>
    </row>
    <row r="1231">
      <c r="A1231" s="29" t="s">
        <v>1440</v>
      </c>
      <c r="B1231" s="30" t="s">
        <v>45</v>
      </c>
      <c r="C1231" s="31" t="s">
        <v>41</v>
      </c>
      <c r="D1231" s="32" t="str">
        <f t="shared" si="1"/>
        <v>Removed</v>
      </c>
      <c r="E1231" s="33">
        <v>45307.0</v>
      </c>
      <c r="F1231" s="34">
        <v>45677.0</v>
      </c>
      <c r="G1231" s="36">
        <f t="shared" si="2"/>
        <v>12.13333333</v>
      </c>
      <c r="H1231" s="37">
        <v>43222.0</v>
      </c>
      <c r="I1231" s="36">
        <f t="shared" si="4"/>
        <v>5.705555556</v>
      </c>
      <c r="J1231" s="38">
        <v>81.0</v>
      </c>
      <c r="K1231" s="39">
        <v>7.6</v>
      </c>
      <c r="L1231" s="38">
        <v>8.0</v>
      </c>
      <c r="M1231" s="40" t="s">
        <v>114</v>
      </c>
      <c r="N1231" s="41" t="s">
        <v>1441</v>
      </c>
      <c r="O1231" s="42" t="s">
        <v>149</v>
      </c>
      <c r="P1231" s="43"/>
    </row>
    <row r="1232">
      <c r="A1232" s="44" t="s">
        <v>1442</v>
      </c>
      <c r="B1232" s="45" t="s">
        <v>45</v>
      </c>
      <c r="C1232" s="46" t="s">
        <v>46</v>
      </c>
      <c r="D1232" s="47" t="str">
        <f t="shared" si="1"/>
        <v>Removed</v>
      </c>
      <c r="E1232" s="48">
        <v>45307.0</v>
      </c>
      <c r="F1232" s="49">
        <v>45677.0</v>
      </c>
      <c r="G1232" s="50">
        <f t="shared" si="2"/>
        <v>12.13333333</v>
      </c>
      <c r="H1232" s="51">
        <v>44371.0</v>
      </c>
      <c r="I1232" s="50">
        <f t="shared" si="4"/>
        <v>2.561111111</v>
      </c>
      <c r="J1232" s="55">
        <v>72.0</v>
      </c>
      <c r="K1232" s="56">
        <v>7.5</v>
      </c>
      <c r="L1232" s="55">
        <v>19.0</v>
      </c>
      <c r="M1232" s="58" t="s">
        <v>42</v>
      </c>
      <c r="N1232" s="59" t="s">
        <v>61</v>
      </c>
      <c r="O1232" s="60" t="s">
        <v>149</v>
      </c>
      <c r="P1232" s="66"/>
    </row>
    <row r="1233">
      <c r="A1233" s="29" t="s">
        <v>1443</v>
      </c>
      <c r="B1233" s="30" t="s">
        <v>45</v>
      </c>
      <c r="C1233" s="31" t="s">
        <v>26</v>
      </c>
      <c r="D1233" s="32" t="str">
        <f t="shared" si="1"/>
        <v>Removed</v>
      </c>
      <c r="E1233" s="33">
        <v>44943.0</v>
      </c>
      <c r="F1233" s="34">
        <v>45677.0</v>
      </c>
      <c r="G1233" s="36">
        <f t="shared" si="2"/>
        <v>24.1</v>
      </c>
      <c r="H1233" s="37">
        <v>43126.0</v>
      </c>
      <c r="I1233" s="36">
        <f t="shared" si="4"/>
        <v>4.975</v>
      </c>
      <c r="J1233" s="38">
        <v>87.0</v>
      </c>
      <c r="K1233" s="39">
        <v>7.0</v>
      </c>
      <c r="L1233" s="38">
        <v>12.0</v>
      </c>
      <c r="M1233" s="40" t="s">
        <v>114</v>
      </c>
      <c r="N1233" s="41"/>
      <c r="O1233" s="42" t="s">
        <v>149</v>
      </c>
      <c r="P1233" s="43"/>
    </row>
    <row r="1234">
      <c r="A1234" s="44" t="s">
        <v>1444</v>
      </c>
      <c r="B1234" s="45" t="s">
        <v>45</v>
      </c>
      <c r="C1234" s="46" t="s">
        <v>26</v>
      </c>
      <c r="D1234" s="47" t="str">
        <f t="shared" si="1"/>
        <v>Removed</v>
      </c>
      <c r="E1234" s="48">
        <v>44943.0</v>
      </c>
      <c r="F1234" s="49">
        <v>45677.0</v>
      </c>
      <c r="G1234" s="50">
        <f t="shared" si="2"/>
        <v>24.1</v>
      </c>
      <c r="H1234" s="51">
        <v>42297.0</v>
      </c>
      <c r="I1234" s="50">
        <f t="shared" si="4"/>
        <v>7.241666667</v>
      </c>
      <c r="J1234" s="55">
        <v>85.0</v>
      </c>
      <c r="K1234" s="56">
        <v>8.6</v>
      </c>
      <c r="L1234" s="55">
        <v>14.0</v>
      </c>
      <c r="M1234" s="58" t="s">
        <v>29</v>
      </c>
      <c r="N1234" s="59"/>
      <c r="O1234" s="60" t="s">
        <v>149</v>
      </c>
      <c r="P1234" s="61"/>
    </row>
    <row r="1235">
      <c r="A1235" s="29" t="s">
        <v>1445</v>
      </c>
      <c r="B1235" s="30" t="s">
        <v>45</v>
      </c>
      <c r="C1235" s="31" t="s">
        <v>26</v>
      </c>
      <c r="D1235" s="32" t="str">
        <f t="shared" si="1"/>
        <v>Removed</v>
      </c>
      <c r="E1235" s="33">
        <v>44943.0</v>
      </c>
      <c r="F1235" s="34">
        <v>45677.0</v>
      </c>
      <c r="G1235" s="36">
        <f t="shared" si="2"/>
        <v>24.1</v>
      </c>
      <c r="H1235" s="37">
        <v>42978.0</v>
      </c>
      <c r="I1235" s="36">
        <f t="shared" si="4"/>
        <v>5.380555556</v>
      </c>
      <c r="J1235" s="38">
        <v>77.0</v>
      </c>
      <c r="K1235" s="39">
        <v>8.0</v>
      </c>
      <c r="L1235" s="38">
        <v>10.0</v>
      </c>
      <c r="M1235" s="40" t="s">
        <v>29</v>
      </c>
      <c r="N1235" s="41"/>
      <c r="O1235" s="42" t="s">
        <v>34</v>
      </c>
      <c r="P1235" s="43"/>
    </row>
    <row r="1236">
      <c r="A1236" s="44" t="s">
        <v>1446</v>
      </c>
      <c r="B1236" s="45" t="s">
        <v>45</v>
      </c>
      <c r="C1236" s="46" t="s">
        <v>26</v>
      </c>
      <c r="D1236" s="47" t="str">
        <f t="shared" si="1"/>
        <v>Removed</v>
      </c>
      <c r="E1236" s="48">
        <v>44943.0</v>
      </c>
      <c r="F1236" s="49">
        <v>45677.0</v>
      </c>
      <c r="G1236" s="50">
        <f t="shared" si="2"/>
        <v>24.1</v>
      </c>
      <c r="H1236" s="51">
        <v>43438.0</v>
      </c>
      <c r="I1236" s="50">
        <f t="shared" si="4"/>
        <v>4.119444444</v>
      </c>
      <c r="J1236" s="55">
        <v>65.0</v>
      </c>
      <c r="K1236" s="56">
        <v>4.7</v>
      </c>
      <c r="L1236" s="55">
        <v>16.0</v>
      </c>
      <c r="M1236" s="58" t="s">
        <v>31</v>
      </c>
      <c r="N1236" s="59" t="s">
        <v>515</v>
      </c>
      <c r="O1236" s="60" t="s">
        <v>149</v>
      </c>
      <c r="P1236" s="61"/>
    </row>
    <row r="1237">
      <c r="A1237" s="29" t="s">
        <v>1447</v>
      </c>
      <c r="B1237" s="30" t="s">
        <v>33</v>
      </c>
      <c r="C1237" s="31" t="s">
        <v>1089</v>
      </c>
      <c r="D1237" s="32" t="str">
        <f t="shared" si="1"/>
        <v>Removed</v>
      </c>
      <c r="E1237" s="33">
        <v>45629.0</v>
      </c>
      <c r="F1237" s="34">
        <v>45663.0</v>
      </c>
      <c r="G1237" s="36">
        <f t="shared" si="2"/>
        <v>1.1</v>
      </c>
      <c r="H1237" s="37">
        <v>44810.0</v>
      </c>
      <c r="I1237" s="36">
        <f t="shared" si="4"/>
        <v>2.241666667</v>
      </c>
      <c r="J1237" s="38">
        <v>73.0</v>
      </c>
      <c r="K1237" s="39">
        <v>6.4</v>
      </c>
      <c r="L1237" s="38">
        <v>57.0</v>
      </c>
      <c r="M1237" s="40" t="s">
        <v>42</v>
      </c>
      <c r="N1237" s="41"/>
      <c r="O1237" s="42" t="s">
        <v>34</v>
      </c>
      <c r="P1237" s="43"/>
    </row>
    <row r="1238">
      <c r="A1238" s="44" t="s">
        <v>1448</v>
      </c>
      <c r="B1238" s="45" t="s">
        <v>25</v>
      </c>
      <c r="C1238" s="46" t="s">
        <v>1089</v>
      </c>
      <c r="D1238" s="47" t="str">
        <f t="shared" si="1"/>
        <v>Removed</v>
      </c>
      <c r="E1238" s="48">
        <v>45629.0</v>
      </c>
      <c r="F1238" s="49">
        <v>45663.0</v>
      </c>
      <c r="G1238" s="50">
        <f t="shared" si="2"/>
        <v>1.1</v>
      </c>
      <c r="H1238" s="51">
        <v>44281.0</v>
      </c>
      <c r="I1238" s="50">
        <f t="shared" si="4"/>
        <v>3.686111111</v>
      </c>
      <c r="J1238" s="55">
        <v>88.0</v>
      </c>
      <c r="K1238" s="56">
        <v>8.9</v>
      </c>
      <c r="L1238" s="55">
        <v>14.0</v>
      </c>
      <c r="M1238" s="58" t="s">
        <v>29</v>
      </c>
      <c r="N1238" s="59"/>
      <c r="O1238" s="60" t="s">
        <v>34</v>
      </c>
      <c r="P1238" s="61"/>
    </row>
    <row r="1239">
      <c r="A1239" s="29" t="s">
        <v>1449</v>
      </c>
      <c r="B1239" s="30" t="s">
        <v>25</v>
      </c>
      <c r="C1239" s="31" t="s">
        <v>1089</v>
      </c>
      <c r="D1239" s="32" t="str">
        <f t="shared" si="1"/>
        <v>Removed</v>
      </c>
      <c r="E1239" s="33">
        <v>45629.0</v>
      </c>
      <c r="F1239" s="34">
        <v>45663.0</v>
      </c>
      <c r="G1239" s="36">
        <f t="shared" si="2"/>
        <v>1.1</v>
      </c>
      <c r="H1239" s="37">
        <v>45097.0</v>
      </c>
      <c r="I1239" s="36">
        <f t="shared" si="4"/>
        <v>1.452777778</v>
      </c>
      <c r="J1239" s="38">
        <v>75.0</v>
      </c>
      <c r="K1239" s="39">
        <v>8.0</v>
      </c>
      <c r="L1239" s="38">
        <v>24.0</v>
      </c>
      <c r="M1239" s="40" t="s">
        <v>103</v>
      </c>
      <c r="N1239" s="41"/>
      <c r="O1239" s="42" t="s">
        <v>34</v>
      </c>
      <c r="P1239" s="43"/>
    </row>
    <row r="1240">
      <c r="A1240" s="44" t="s">
        <v>1450</v>
      </c>
      <c r="B1240" s="45" t="s">
        <v>25</v>
      </c>
      <c r="C1240" s="46" t="s">
        <v>26</v>
      </c>
      <c r="D1240" s="47" t="str">
        <f t="shared" si="1"/>
        <v>Removed</v>
      </c>
      <c r="E1240" s="48">
        <v>45279.0</v>
      </c>
      <c r="F1240" s="49">
        <v>45642.0</v>
      </c>
      <c r="G1240" s="50">
        <f t="shared" si="2"/>
        <v>11.9</v>
      </c>
      <c r="H1240" s="51">
        <v>44778.0</v>
      </c>
      <c r="I1240" s="50">
        <f t="shared" si="4"/>
        <v>1.372222222</v>
      </c>
      <c r="J1240" s="55">
        <v>73.0</v>
      </c>
      <c r="K1240" s="56">
        <v>6.0</v>
      </c>
      <c r="L1240" s="55">
        <v>3.0</v>
      </c>
      <c r="M1240" s="58" t="s">
        <v>114</v>
      </c>
      <c r="N1240" s="59"/>
      <c r="O1240" s="60" t="s">
        <v>149</v>
      </c>
      <c r="P1240" s="61"/>
    </row>
    <row r="1241">
      <c r="A1241" s="29" t="s">
        <v>1451</v>
      </c>
      <c r="B1241" s="30" t="s">
        <v>25</v>
      </c>
      <c r="C1241" s="31" t="s">
        <v>26</v>
      </c>
      <c r="D1241" s="32" t="str">
        <f t="shared" si="1"/>
        <v>Removed</v>
      </c>
      <c r="E1241" s="33">
        <v>45279.0</v>
      </c>
      <c r="F1241" s="34">
        <v>45642.0</v>
      </c>
      <c r="G1241" s="36">
        <f t="shared" si="2"/>
        <v>11.9</v>
      </c>
      <c r="H1241" s="37">
        <v>44410.0</v>
      </c>
      <c r="I1241" s="36">
        <f t="shared" si="4"/>
        <v>2.380555556</v>
      </c>
      <c r="J1241" s="38">
        <v>81.0</v>
      </c>
      <c r="K1241" s="39">
        <v>7.9</v>
      </c>
      <c r="L1241" s="38">
        <v>12.0</v>
      </c>
      <c r="M1241" s="40" t="s">
        <v>222</v>
      </c>
      <c r="N1241" s="41"/>
      <c r="O1241" s="42" t="s">
        <v>149</v>
      </c>
      <c r="P1241" s="43"/>
    </row>
    <row r="1242">
      <c r="A1242" s="44" t="s">
        <v>1452</v>
      </c>
      <c r="B1242" s="45" t="s">
        <v>25</v>
      </c>
      <c r="C1242" s="46" t="s">
        <v>26</v>
      </c>
      <c r="D1242" s="47" t="str">
        <f t="shared" si="1"/>
        <v>Removed</v>
      </c>
      <c r="E1242" s="48">
        <v>45279.0</v>
      </c>
      <c r="F1242" s="49">
        <v>45642.0</v>
      </c>
      <c r="G1242" s="50">
        <f t="shared" si="2"/>
        <v>11.9</v>
      </c>
      <c r="H1242" s="51">
        <v>44819.0</v>
      </c>
      <c r="I1242" s="50">
        <f t="shared" si="4"/>
        <v>1.261111111</v>
      </c>
      <c r="J1242" s="55">
        <v>78.0</v>
      </c>
      <c r="K1242" s="56">
        <v>7.9</v>
      </c>
      <c r="L1242" s="55">
        <v>5.0</v>
      </c>
      <c r="M1242" s="58" t="s">
        <v>31</v>
      </c>
      <c r="N1242" s="59"/>
      <c r="O1242" s="60" t="s">
        <v>149</v>
      </c>
      <c r="P1242" s="61"/>
    </row>
    <row r="1243">
      <c r="A1243" s="29" t="s">
        <v>1453</v>
      </c>
      <c r="B1243" s="30" t="s">
        <v>25</v>
      </c>
      <c r="C1243" s="31" t="s">
        <v>26</v>
      </c>
      <c r="D1243" s="32" t="str">
        <f t="shared" si="1"/>
        <v>Removed</v>
      </c>
      <c r="E1243" s="33">
        <v>45279.0</v>
      </c>
      <c r="F1243" s="34">
        <v>45642.0</v>
      </c>
      <c r="G1243" s="36">
        <f t="shared" si="2"/>
        <v>11.9</v>
      </c>
      <c r="H1243" s="37">
        <v>44831.0</v>
      </c>
      <c r="I1243" s="36">
        <f t="shared" si="4"/>
        <v>1.227777778</v>
      </c>
      <c r="J1243" s="38">
        <v>71.0</v>
      </c>
      <c r="K1243" s="39">
        <v>6.3</v>
      </c>
      <c r="L1243" s="38">
        <v>9.0</v>
      </c>
      <c r="M1243" s="40" t="s">
        <v>222</v>
      </c>
      <c r="N1243" s="41"/>
      <c r="O1243" s="42" t="s">
        <v>149</v>
      </c>
      <c r="P1243" s="43"/>
    </row>
    <row r="1244">
      <c r="A1244" s="44" t="s">
        <v>1454</v>
      </c>
      <c r="B1244" s="45" t="s">
        <v>25</v>
      </c>
      <c r="C1244" s="46" t="s">
        <v>26</v>
      </c>
      <c r="D1244" s="47" t="str">
        <f t="shared" si="1"/>
        <v>Removed</v>
      </c>
      <c r="E1244" s="48">
        <v>45279.0</v>
      </c>
      <c r="F1244" s="49">
        <v>45642.0</v>
      </c>
      <c r="G1244" s="50">
        <f t="shared" si="2"/>
        <v>11.9</v>
      </c>
      <c r="H1244" s="51">
        <v>44827.0</v>
      </c>
      <c r="I1244" s="50">
        <f t="shared" si="4"/>
        <v>1.238888889</v>
      </c>
      <c r="J1244" s="55">
        <v>75.0</v>
      </c>
      <c r="K1244" s="56">
        <v>7.5</v>
      </c>
      <c r="L1244" s="55">
        <v>7.0</v>
      </c>
      <c r="M1244" s="58" t="s">
        <v>31</v>
      </c>
      <c r="N1244" s="59"/>
      <c r="O1244" s="60" t="s">
        <v>149</v>
      </c>
      <c r="P1244" s="61"/>
    </row>
    <row r="1245">
      <c r="A1245" s="29" t="s">
        <v>1455</v>
      </c>
      <c r="B1245" s="30" t="s">
        <v>25</v>
      </c>
      <c r="C1245" s="31" t="s">
        <v>26</v>
      </c>
      <c r="D1245" s="32" t="str">
        <f t="shared" si="1"/>
        <v>Removed</v>
      </c>
      <c r="E1245" s="33">
        <v>45279.0</v>
      </c>
      <c r="F1245" s="34">
        <v>45642.0</v>
      </c>
      <c r="G1245" s="36">
        <f t="shared" si="2"/>
        <v>11.9</v>
      </c>
      <c r="H1245" s="37">
        <v>44635.0</v>
      </c>
      <c r="I1245" s="36">
        <f t="shared" si="4"/>
        <v>1.761111111</v>
      </c>
      <c r="J1245" s="38">
        <v>72.0</v>
      </c>
      <c r="K1245" s="39">
        <v>7.2</v>
      </c>
      <c r="L1245" s="38">
        <v>18.0</v>
      </c>
      <c r="M1245" s="40" t="s">
        <v>42</v>
      </c>
      <c r="N1245" s="41"/>
      <c r="O1245" s="42" t="s">
        <v>149</v>
      </c>
      <c r="P1245" s="43"/>
    </row>
    <row r="1246">
      <c r="A1246" s="44" t="s">
        <v>1456</v>
      </c>
      <c r="B1246" s="45" t="s">
        <v>25</v>
      </c>
      <c r="C1246" s="46" t="s">
        <v>26</v>
      </c>
      <c r="D1246" s="47" t="str">
        <f t="shared" si="1"/>
        <v>Removed</v>
      </c>
      <c r="E1246" s="48">
        <v>45279.0</v>
      </c>
      <c r="F1246" s="49">
        <v>45642.0</v>
      </c>
      <c r="G1246" s="50">
        <f t="shared" si="2"/>
        <v>11.9</v>
      </c>
      <c r="H1246" s="51">
        <v>44803.0</v>
      </c>
      <c r="I1246" s="50">
        <f t="shared" si="4"/>
        <v>1.302777778</v>
      </c>
      <c r="J1246" s="55">
        <v>77.0</v>
      </c>
      <c r="K1246" s="56">
        <v>8.1</v>
      </c>
      <c r="L1246" s="55">
        <v>6.0</v>
      </c>
      <c r="M1246" s="58" t="s">
        <v>27</v>
      </c>
      <c r="N1246" s="59"/>
      <c r="O1246" s="60" t="s">
        <v>149</v>
      </c>
      <c r="P1246" s="61"/>
    </row>
    <row r="1247">
      <c r="A1247" s="29" t="s">
        <v>1457</v>
      </c>
      <c r="B1247" s="30" t="s">
        <v>45</v>
      </c>
      <c r="C1247" s="31" t="s">
        <v>26</v>
      </c>
      <c r="D1247" s="32" t="str">
        <f t="shared" si="1"/>
        <v>Removed</v>
      </c>
      <c r="E1247" s="33">
        <v>45279.0</v>
      </c>
      <c r="F1247" s="34">
        <v>45642.0</v>
      </c>
      <c r="G1247" s="36">
        <f t="shared" si="2"/>
        <v>11.9</v>
      </c>
      <c r="H1247" s="37">
        <v>43375.0</v>
      </c>
      <c r="I1247" s="36">
        <f t="shared" si="4"/>
        <v>5.213888889</v>
      </c>
      <c r="J1247" s="38">
        <v>82.0</v>
      </c>
      <c r="K1247" s="39">
        <v>7.5</v>
      </c>
      <c r="L1247" s="38">
        <v>5.0</v>
      </c>
      <c r="M1247" s="40" t="s">
        <v>27</v>
      </c>
      <c r="N1247" s="41"/>
      <c r="O1247" s="42" t="s">
        <v>149</v>
      </c>
      <c r="P1247" s="43"/>
    </row>
    <row r="1248">
      <c r="A1248" s="44" t="s">
        <v>1458</v>
      </c>
      <c r="B1248" s="45" t="s">
        <v>45</v>
      </c>
      <c r="C1248" s="46" t="s">
        <v>41</v>
      </c>
      <c r="D1248" s="47" t="str">
        <f t="shared" si="1"/>
        <v>Removed</v>
      </c>
      <c r="E1248" s="48">
        <v>45279.0</v>
      </c>
      <c r="F1248" s="49">
        <v>45642.0</v>
      </c>
      <c r="G1248" s="50">
        <f t="shared" si="2"/>
        <v>11.9</v>
      </c>
      <c r="H1248" s="51">
        <v>42241.0</v>
      </c>
      <c r="I1248" s="50">
        <f t="shared" si="4"/>
        <v>8.316666667</v>
      </c>
      <c r="J1248" s="55">
        <v>77.0</v>
      </c>
      <c r="K1248" s="56">
        <v>7.1</v>
      </c>
      <c r="L1248" s="55">
        <v>19.0</v>
      </c>
      <c r="M1248" s="58" t="s">
        <v>27</v>
      </c>
      <c r="N1248" s="59" t="s">
        <v>1459</v>
      </c>
      <c r="O1248" s="60" t="s">
        <v>149</v>
      </c>
      <c r="P1248" s="61"/>
    </row>
    <row r="1249">
      <c r="A1249" s="29" t="s">
        <v>1460</v>
      </c>
      <c r="B1249" s="30" t="s">
        <v>45</v>
      </c>
      <c r="C1249" s="31" t="s">
        <v>41</v>
      </c>
      <c r="D1249" s="32" t="str">
        <f t="shared" si="1"/>
        <v>Removed</v>
      </c>
      <c r="E1249" s="33">
        <v>45279.0</v>
      </c>
      <c r="F1249" s="34">
        <v>45642.0</v>
      </c>
      <c r="G1249" s="36">
        <f t="shared" si="2"/>
        <v>11.9</v>
      </c>
      <c r="H1249" s="37">
        <v>42955.0</v>
      </c>
      <c r="I1249" s="36">
        <f t="shared" si="4"/>
        <v>6.363888889</v>
      </c>
      <c r="J1249" s="38">
        <v>71.0</v>
      </c>
      <c r="K1249" s="39">
        <v>6.9</v>
      </c>
      <c r="L1249" s="38">
        <v>17.0</v>
      </c>
      <c r="M1249" s="40" t="s">
        <v>27</v>
      </c>
      <c r="N1249" s="41" t="s">
        <v>1461</v>
      </c>
      <c r="O1249" s="42" t="s">
        <v>34</v>
      </c>
      <c r="P1249" s="43"/>
    </row>
    <row r="1250">
      <c r="A1250" s="44" t="s">
        <v>1462</v>
      </c>
      <c r="B1250" s="45" t="s">
        <v>45</v>
      </c>
      <c r="C1250" s="46" t="s">
        <v>26</v>
      </c>
      <c r="D1250" s="47" t="str">
        <f t="shared" si="1"/>
        <v>Removed</v>
      </c>
      <c r="E1250" s="48">
        <v>45251.0</v>
      </c>
      <c r="F1250" s="49">
        <v>45642.0</v>
      </c>
      <c r="G1250" s="50">
        <f t="shared" si="2"/>
        <v>12.83333333</v>
      </c>
      <c r="H1250" s="51">
        <v>43608.0</v>
      </c>
      <c r="I1250" s="50">
        <f t="shared" si="4"/>
        <v>4.494444444</v>
      </c>
      <c r="J1250" s="55">
        <v>75.0</v>
      </c>
      <c r="K1250" s="56">
        <v>4.4</v>
      </c>
      <c r="L1250" s="55">
        <v>7.0</v>
      </c>
      <c r="M1250" s="58" t="s">
        <v>29</v>
      </c>
      <c r="N1250" s="59"/>
      <c r="O1250" s="60" t="s">
        <v>149</v>
      </c>
      <c r="P1250" s="61"/>
    </row>
    <row r="1251">
      <c r="A1251" s="29" t="s">
        <v>1463</v>
      </c>
      <c r="B1251" s="30" t="s">
        <v>45</v>
      </c>
      <c r="C1251" s="31" t="s">
        <v>26</v>
      </c>
      <c r="D1251" s="32" t="str">
        <f t="shared" si="1"/>
        <v>Removed</v>
      </c>
      <c r="E1251" s="33">
        <v>45251.0</v>
      </c>
      <c r="F1251" s="34">
        <v>45642.0</v>
      </c>
      <c r="G1251" s="36">
        <f t="shared" si="2"/>
        <v>12.83333333</v>
      </c>
      <c r="H1251" s="37">
        <v>42521.0</v>
      </c>
      <c r="I1251" s="36">
        <f t="shared" si="4"/>
        <v>7.475</v>
      </c>
      <c r="J1251" s="38">
        <v>50.0</v>
      </c>
      <c r="K1251" s="39">
        <v>6.9</v>
      </c>
      <c r="L1251" s="38">
        <v>9.0</v>
      </c>
      <c r="M1251" s="40" t="s">
        <v>31</v>
      </c>
      <c r="N1251" s="41"/>
      <c r="O1251" s="42" t="s">
        <v>149</v>
      </c>
      <c r="P1251" s="43"/>
    </row>
    <row r="1252">
      <c r="A1252" s="44" t="s">
        <v>1464</v>
      </c>
      <c r="B1252" s="45" t="s">
        <v>45</v>
      </c>
      <c r="C1252" s="46" t="s">
        <v>26</v>
      </c>
      <c r="D1252" s="47" t="str">
        <f t="shared" si="1"/>
        <v>Removed</v>
      </c>
      <c r="E1252" s="48">
        <v>45216.0</v>
      </c>
      <c r="F1252" s="49">
        <v>45642.0</v>
      </c>
      <c r="G1252" s="50">
        <f t="shared" si="2"/>
        <v>13.96666667</v>
      </c>
      <c r="H1252" s="51">
        <v>42521.0</v>
      </c>
      <c r="I1252" s="50">
        <f t="shared" si="4"/>
        <v>7.380555556</v>
      </c>
      <c r="J1252" s="55">
        <v>63.0</v>
      </c>
      <c r="K1252" s="56">
        <v>6.9</v>
      </c>
      <c r="L1252" s="55">
        <v>16.0</v>
      </c>
      <c r="M1252" s="58" t="s">
        <v>31</v>
      </c>
      <c r="N1252" s="59"/>
      <c r="O1252" s="60" t="s">
        <v>149</v>
      </c>
      <c r="P1252" s="61"/>
    </row>
    <row r="1253">
      <c r="A1253" s="29" t="s">
        <v>1465</v>
      </c>
      <c r="B1253" s="30" t="s">
        <v>33</v>
      </c>
      <c r="C1253" s="31" t="s">
        <v>26</v>
      </c>
      <c r="D1253" s="32" t="str">
        <f t="shared" si="1"/>
        <v>Removed</v>
      </c>
      <c r="E1253" s="33">
        <v>45097.0</v>
      </c>
      <c r="F1253" s="34">
        <v>45642.0</v>
      </c>
      <c r="G1253" s="36">
        <f t="shared" si="2"/>
        <v>17.86666667</v>
      </c>
      <c r="H1253" s="37">
        <v>44824.0</v>
      </c>
      <c r="I1253" s="36">
        <f t="shared" si="4"/>
        <v>0.75</v>
      </c>
      <c r="J1253" s="38">
        <v>72.0</v>
      </c>
      <c r="K1253" s="39">
        <v>5.1</v>
      </c>
      <c r="L1253" s="38">
        <v>18.0</v>
      </c>
      <c r="M1253" s="40" t="s">
        <v>42</v>
      </c>
      <c r="N1253" s="41"/>
      <c r="O1253" s="42" t="s">
        <v>272</v>
      </c>
      <c r="P1253" s="43"/>
    </row>
    <row r="1254">
      <c r="A1254" s="44" t="s">
        <v>1466</v>
      </c>
      <c r="B1254" s="45" t="s">
        <v>45</v>
      </c>
      <c r="C1254" s="46" t="s">
        <v>26</v>
      </c>
      <c r="D1254" s="47" t="str">
        <f t="shared" si="1"/>
        <v>Removed</v>
      </c>
      <c r="E1254" s="48">
        <v>45097.0</v>
      </c>
      <c r="F1254" s="49">
        <v>45642.0</v>
      </c>
      <c r="G1254" s="50">
        <f t="shared" si="2"/>
        <v>17.86666667</v>
      </c>
      <c r="H1254" s="51">
        <v>43915.0</v>
      </c>
      <c r="I1254" s="50">
        <f t="shared" si="4"/>
        <v>3.236111111</v>
      </c>
      <c r="J1254" s="55">
        <v>72.0</v>
      </c>
      <c r="K1254" s="56">
        <v>7.3</v>
      </c>
      <c r="L1254" s="55">
        <v>6.0</v>
      </c>
      <c r="M1254" s="58" t="s">
        <v>42</v>
      </c>
      <c r="N1254" s="59"/>
      <c r="O1254" s="60" t="s">
        <v>149</v>
      </c>
      <c r="P1254" s="61"/>
    </row>
    <row r="1255">
      <c r="A1255" s="29" t="s">
        <v>1467</v>
      </c>
      <c r="B1255" s="30" t="s">
        <v>25</v>
      </c>
      <c r="C1255" s="31" t="s">
        <v>26</v>
      </c>
      <c r="D1255" s="32" t="str">
        <f t="shared" si="1"/>
        <v>Removed</v>
      </c>
      <c r="E1255" s="33">
        <v>44915.0</v>
      </c>
      <c r="F1255" s="34">
        <v>45642.0</v>
      </c>
      <c r="G1255" s="36">
        <f t="shared" si="2"/>
        <v>23.86666667</v>
      </c>
      <c r="H1255" s="37">
        <v>44530.0</v>
      </c>
      <c r="I1255" s="36">
        <f t="shared" si="4"/>
        <v>1.055555556</v>
      </c>
      <c r="J1255" s="38">
        <v>78.0</v>
      </c>
      <c r="K1255" s="39">
        <v>5.1</v>
      </c>
      <c r="L1255" s="38">
        <v>27.0</v>
      </c>
      <c r="M1255" s="40" t="s">
        <v>103</v>
      </c>
      <c r="N1255" s="41"/>
      <c r="O1255" s="42" t="s">
        <v>149</v>
      </c>
      <c r="P1255" s="43"/>
    </row>
    <row r="1256">
      <c r="A1256" s="44" t="s">
        <v>1468</v>
      </c>
      <c r="B1256" s="45" t="s">
        <v>25</v>
      </c>
      <c r="C1256" s="46" t="s">
        <v>26</v>
      </c>
      <c r="D1256" s="47" t="str">
        <f t="shared" si="1"/>
        <v>Removed</v>
      </c>
      <c r="E1256" s="48">
        <v>44915.0</v>
      </c>
      <c r="F1256" s="49">
        <v>45642.0</v>
      </c>
      <c r="G1256" s="50">
        <f t="shared" si="2"/>
        <v>23.86666667</v>
      </c>
      <c r="H1256" s="51">
        <v>43637.0</v>
      </c>
      <c r="I1256" s="50">
        <f t="shared" si="4"/>
        <v>3.497222222</v>
      </c>
      <c r="J1256" s="55">
        <v>80.0</v>
      </c>
      <c r="K1256" s="56">
        <v>8.5</v>
      </c>
      <c r="L1256" s="55">
        <v>28.0</v>
      </c>
      <c r="M1256" s="58" t="s">
        <v>42</v>
      </c>
      <c r="N1256" s="59"/>
      <c r="O1256" s="60" t="s">
        <v>149</v>
      </c>
      <c r="P1256" s="61"/>
    </row>
    <row r="1257">
      <c r="A1257" s="29" t="s">
        <v>1469</v>
      </c>
      <c r="B1257" s="30" t="s">
        <v>33</v>
      </c>
      <c r="C1257" s="31" t="s">
        <v>1089</v>
      </c>
      <c r="D1257" s="32" t="str">
        <f t="shared" si="1"/>
        <v>Removed</v>
      </c>
      <c r="E1257" s="33">
        <v>45601.0</v>
      </c>
      <c r="F1257" s="34">
        <v>45628.0</v>
      </c>
      <c r="G1257" s="36">
        <f t="shared" si="2"/>
        <v>0.9</v>
      </c>
      <c r="H1257" s="37">
        <v>44642.0</v>
      </c>
      <c r="I1257" s="36">
        <f t="shared" si="4"/>
        <v>2.619444444</v>
      </c>
      <c r="J1257" s="38">
        <v>75.0</v>
      </c>
      <c r="K1257" s="39">
        <v>8.3</v>
      </c>
      <c r="L1257" s="38">
        <v>11.0</v>
      </c>
      <c r="M1257" s="40" t="s">
        <v>29</v>
      </c>
      <c r="N1257" s="41"/>
      <c r="O1257" s="42" t="s">
        <v>34</v>
      </c>
      <c r="P1257" s="43"/>
    </row>
    <row r="1258">
      <c r="A1258" s="44" t="s">
        <v>1470</v>
      </c>
      <c r="B1258" s="45" t="s">
        <v>25</v>
      </c>
      <c r="C1258" s="46" t="s">
        <v>1089</v>
      </c>
      <c r="D1258" s="47" t="str">
        <f t="shared" si="1"/>
        <v>Removed</v>
      </c>
      <c r="E1258" s="48">
        <v>45601.0</v>
      </c>
      <c r="F1258" s="49">
        <v>45628.0</v>
      </c>
      <c r="G1258" s="50">
        <f t="shared" si="2"/>
        <v>0.9</v>
      </c>
      <c r="H1258" s="51">
        <v>45218.0</v>
      </c>
      <c r="I1258" s="50">
        <f t="shared" si="4"/>
        <v>1.044444444</v>
      </c>
      <c r="J1258" s="55">
        <v>77.0</v>
      </c>
      <c r="K1258" s="56">
        <v>7.1</v>
      </c>
      <c r="L1258" s="55">
        <v>9.0</v>
      </c>
      <c r="M1258" s="58" t="s">
        <v>95</v>
      </c>
      <c r="N1258" s="59"/>
      <c r="O1258" s="60" t="s">
        <v>34</v>
      </c>
      <c r="P1258" s="61"/>
    </row>
    <row r="1259">
      <c r="A1259" s="29" t="s">
        <v>1471</v>
      </c>
      <c r="B1259" s="30" t="s">
        <v>25</v>
      </c>
      <c r="C1259" s="31" t="s">
        <v>1089</v>
      </c>
      <c r="D1259" s="32" t="str">
        <f t="shared" si="1"/>
        <v>Removed</v>
      </c>
      <c r="E1259" s="33">
        <v>45601.0</v>
      </c>
      <c r="F1259" s="34">
        <v>45628.0</v>
      </c>
      <c r="G1259" s="36">
        <f t="shared" si="2"/>
        <v>0.9</v>
      </c>
      <c r="H1259" s="37">
        <v>45601.0</v>
      </c>
      <c r="I1259" s="36">
        <f t="shared" si="4"/>
        <v>0</v>
      </c>
      <c r="J1259" s="38">
        <v>61.0</v>
      </c>
      <c r="K1259" s="39">
        <v>7.1</v>
      </c>
      <c r="L1259" s="76"/>
      <c r="M1259" s="40" t="s">
        <v>51</v>
      </c>
      <c r="N1259" s="41"/>
      <c r="O1259" s="42" t="s">
        <v>34</v>
      </c>
      <c r="P1259" s="43"/>
    </row>
    <row r="1260">
      <c r="A1260" s="44" t="s">
        <v>1472</v>
      </c>
      <c r="B1260" s="45" t="s">
        <v>25</v>
      </c>
      <c r="C1260" s="46" t="s">
        <v>26</v>
      </c>
      <c r="D1260" s="47" t="str">
        <f t="shared" si="1"/>
        <v>Removed</v>
      </c>
      <c r="E1260" s="48">
        <v>45450.0</v>
      </c>
      <c r="F1260" s="49">
        <v>45614.0</v>
      </c>
      <c r="G1260" s="50">
        <f t="shared" si="2"/>
        <v>5.366666667</v>
      </c>
      <c r="H1260" s="51">
        <v>44511.0</v>
      </c>
      <c r="I1260" s="50">
        <f t="shared" si="4"/>
        <v>2.572222222</v>
      </c>
      <c r="J1260" s="55">
        <v>54.0</v>
      </c>
      <c r="K1260" s="56">
        <v>1.0</v>
      </c>
      <c r="L1260" s="55">
        <v>31.0</v>
      </c>
      <c r="M1260" s="58" t="s">
        <v>29</v>
      </c>
      <c r="N1260" s="59"/>
      <c r="O1260" s="60" t="s">
        <v>34</v>
      </c>
      <c r="P1260" s="61"/>
    </row>
    <row r="1261">
      <c r="A1261" s="29" t="s">
        <v>86</v>
      </c>
      <c r="B1261" s="30" t="s">
        <v>45</v>
      </c>
      <c r="C1261" s="31" t="s">
        <v>26</v>
      </c>
      <c r="D1261" s="32" t="str">
        <f t="shared" si="1"/>
        <v>Removed</v>
      </c>
      <c r="E1261" s="33">
        <v>45433.0</v>
      </c>
      <c r="F1261" s="34">
        <v>45614.0</v>
      </c>
      <c r="G1261" s="36">
        <f t="shared" si="2"/>
        <v>5.9</v>
      </c>
      <c r="H1261" s="37">
        <v>43399.0</v>
      </c>
      <c r="I1261" s="36">
        <f t="shared" si="4"/>
        <v>5.569444444</v>
      </c>
      <c r="J1261" s="38">
        <v>97.0</v>
      </c>
      <c r="K1261" s="39">
        <v>8.8</v>
      </c>
      <c r="L1261" s="38">
        <v>51.0</v>
      </c>
      <c r="M1261" s="40" t="s">
        <v>31</v>
      </c>
      <c r="N1261" s="41"/>
      <c r="O1261" s="42" t="s">
        <v>34</v>
      </c>
      <c r="P1261" s="43"/>
    </row>
    <row r="1262">
      <c r="A1262" s="44" t="s">
        <v>1473</v>
      </c>
      <c r="B1262" s="45" t="s">
        <v>45</v>
      </c>
      <c r="C1262" s="46" t="s">
        <v>26</v>
      </c>
      <c r="D1262" s="47" t="str">
        <f t="shared" si="1"/>
        <v>Removed</v>
      </c>
      <c r="E1262" s="48">
        <v>45433.0</v>
      </c>
      <c r="F1262" s="49">
        <v>45614.0</v>
      </c>
      <c r="G1262" s="50">
        <f t="shared" si="2"/>
        <v>5.9</v>
      </c>
      <c r="H1262" s="51">
        <v>42675.0</v>
      </c>
      <c r="I1262" s="50">
        <f t="shared" si="4"/>
        <v>7.555555556</v>
      </c>
      <c r="J1262" s="55">
        <v>78.0</v>
      </c>
      <c r="K1262" s="56">
        <v>5.8</v>
      </c>
      <c r="L1262" s="55">
        <v>20.0</v>
      </c>
      <c r="M1262" s="58" t="s">
        <v>70</v>
      </c>
      <c r="N1262" s="59"/>
      <c r="O1262" s="60" t="s">
        <v>34</v>
      </c>
      <c r="P1262" s="61"/>
    </row>
    <row r="1263">
      <c r="A1263" s="29" t="s">
        <v>1474</v>
      </c>
      <c r="B1263" s="30" t="s">
        <v>25</v>
      </c>
      <c r="C1263" s="31" t="s">
        <v>26</v>
      </c>
      <c r="D1263" s="32" t="str">
        <f t="shared" si="1"/>
        <v>Removed</v>
      </c>
      <c r="E1263" s="33">
        <v>45251.0</v>
      </c>
      <c r="F1263" s="34">
        <v>45614.0</v>
      </c>
      <c r="G1263" s="36">
        <f t="shared" si="2"/>
        <v>11.9</v>
      </c>
      <c r="H1263" s="37">
        <v>44691.0</v>
      </c>
      <c r="I1263" s="36">
        <f t="shared" si="4"/>
        <v>1.530555556</v>
      </c>
      <c r="J1263" s="38">
        <v>74.0</v>
      </c>
      <c r="K1263" s="39">
        <v>6.2</v>
      </c>
      <c r="L1263" s="38">
        <v>12.0</v>
      </c>
      <c r="M1263" s="40" t="s">
        <v>42</v>
      </c>
      <c r="N1263" s="41"/>
      <c r="O1263" s="42" t="s">
        <v>149</v>
      </c>
      <c r="P1263" s="43"/>
    </row>
    <row r="1264">
      <c r="A1264" s="44" t="s">
        <v>1475</v>
      </c>
      <c r="B1264" s="45" t="s">
        <v>25</v>
      </c>
      <c r="C1264" s="46" t="s">
        <v>26</v>
      </c>
      <c r="D1264" s="47" t="str">
        <f t="shared" si="1"/>
        <v>Removed</v>
      </c>
      <c r="E1264" s="48">
        <v>45251.0</v>
      </c>
      <c r="F1264" s="49">
        <v>45614.0</v>
      </c>
      <c r="G1264" s="50">
        <f t="shared" si="2"/>
        <v>11.9</v>
      </c>
      <c r="H1264" s="51">
        <v>43781.0</v>
      </c>
      <c r="I1264" s="50">
        <f t="shared" si="4"/>
        <v>4.025</v>
      </c>
      <c r="J1264" s="55">
        <v>74.0</v>
      </c>
      <c r="K1264" s="56">
        <v>7.7</v>
      </c>
      <c r="L1264" s="55">
        <v>3.0</v>
      </c>
      <c r="M1264" s="58" t="s">
        <v>29</v>
      </c>
      <c r="N1264" s="59"/>
      <c r="O1264" s="60" t="s">
        <v>149</v>
      </c>
      <c r="P1264" s="61"/>
    </row>
    <row r="1265">
      <c r="A1265" s="29" t="s">
        <v>1476</v>
      </c>
      <c r="B1265" s="30" t="s">
        <v>45</v>
      </c>
      <c r="C1265" s="31" t="s">
        <v>26</v>
      </c>
      <c r="D1265" s="32" t="str">
        <f t="shared" si="1"/>
        <v>Removed</v>
      </c>
      <c r="E1265" s="33">
        <v>45251.0</v>
      </c>
      <c r="F1265" s="34">
        <v>45614.0</v>
      </c>
      <c r="G1265" s="36">
        <f t="shared" si="2"/>
        <v>11.9</v>
      </c>
      <c r="H1265" s="37">
        <v>42384.0</v>
      </c>
      <c r="I1265" s="36">
        <f t="shared" si="4"/>
        <v>7.85</v>
      </c>
      <c r="J1265" s="38">
        <v>78.0</v>
      </c>
      <c r="K1265" s="39">
        <v>8.1</v>
      </c>
      <c r="L1265" s="38">
        <v>33.0</v>
      </c>
      <c r="M1265" s="40" t="s">
        <v>42</v>
      </c>
      <c r="N1265" s="41"/>
      <c r="O1265" s="42" t="s">
        <v>149</v>
      </c>
      <c r="P1265" s="43"/>
    </row>
    <row r="1266">
      <c r="A1266" s="44" t="s">
        <v>1477</v>
      </c>
      <c r="B1266" s="45" t="s">
        <v>45</v>
      </c>
      <c r="C1266" s="46" t="s">
        <v>26</v>
      </c>
      <c r="D1266" s="47" t="str">
        <f t="shared" si="1"/>
        <v>Removed</v>
      </c>
      <c r="E1266" s="48">
        <v>45251.0</v>
      </c>
      <c r="F1266" s="49">
        <v>45614.0</v>
      </c>
      <c r="G1266" s="50">
        <f t="shared" si="2"/>
        <v>11.9</v>
      </c>
      <c r="H1266" s="51">
        <v>44042.0</v>
      </c>
      <c r="I1266" s="50">
        <f t="shared" si="4"/>
        <v>3.308333333</v>
      </c>
      <c r="J1266" s="55">
        <v>78.0</v>
      </c>
      <c r="K1266" s="56">
        <v>7.6</v>
      </c>
      <c r="L1266" s="55">
        <v>5.0</v>
      </c>
      <c r="M1266" s="58" t="s">
        <v>114</v>
      </c>
      <c r="N1266" s="59"/>
      <c r="O1266" s="60" t="s">
        <v>149</v>
      </c>
      <c r="P1266" s="61"/>
    </row>
    <row r="1267">
      <c r="A1267" s="29" t="s">
        <v>1478</v>
      </c>
      <c r="B1267" s="30" t="s">
        <v>25</v>
      </c>
      <c r="C1267" s="31" t="s">
        <v>41</v>
      </c>
      <c r="D1267" s="32" t="str">
        <f t="shared" si="1"/>
        <v>Removed</v>
      </c>
      <c r="E1267" s="33">
        <v>45251.0</v>
      </c>
      <c r="F1267" s="34">
        <v>45614.0</v>
      </c>
      <c r="G1267" s="36">
        <f t="shared" si="2"/>
        <v>11.9</v>
      </c>
      <c r="H1267" s="37">
        <v>44750.0</v>
      </c>
      <c r="I1267" s="36">
        <f t="shared" si="4"/>
        <v>1.369444444</v>
      </c>
      <c r="J1267" s="38">
        <v>78.0</v>
      </c>
      <c r="K1267" s="39">
        <v>6.7</v>
      </c>
      <c r="L1267" s="38">
        <v>10.0</v>
      </c>
      <c r="M1267" s="40" t="s">
        <v>27</v>
      </c>
      <c r="N1267" s="41" t="s">
        <v>1479</v>
      </c>
      <c r="O1267" s="42" t="s">
        <v>149</v>
      </c>
      <c r="P1267" s="43"/>
    </row>
    <row r="1268">
      <c r="A1268" s="44" t="s">
        <v>1480</v>
      </c>
      <c r="B1268" s="45" t="s">
        <v>33</v>
      </c>
      <c r="C1268" s="46" t="s">
        <v>26</v>
      </c>
      <c r="D1268" s="47" t="str">
        <f t="shared" si="1"/>
        <v>Removed</v>
      </c>
      <c r="E1268" s="48">
        <v>45245.0</v>
      </c>
      <c r="F1268" s="49">
        <v>45614.0</v>
      </c>
      <c r="G1268" s="50">
        <f t="shared" si="2"/>
        <v>12.1</v>
      </c>
      <c r="H1268" s="51">
        <v>44672.0</v>
      </c>
      <c r="I1268" s="50">
        <f t="shared" si="4"/>
        <v>1.566666667</v>
      </c>
      <c r="J1268" s="55">
        <v>80.0</v>
      </c>
      <c r="K1268" s="56">
        <v>8.5</v>
      </c>
      <c r="L1268" s="55">
        <v>12.0</v>
      </c>
      <c r="M1268" s="58" t="s">
        <v>70</v>
      </c>
      <c r="N1268" s="59"/>
      <c r="O1268" s="60" t="s">
        <v>34</v>
      </c>
      <c r="P1268" s="61"/>
    </row>
    <row r="1269">
      <c r="A1269" s="29" t="s">
        <v>1481</v>
      </c>
      <c r="B1269" s="30" t="s">
        <v>25</v>
      </c>
      <c r="C1269" s="31" t="s">
        <v>26</v>
      </c>
      <c r="D1269" s="32" t="str">
        <f t="shared" si="1"/>
        <v>Removed</v>
      </c>
      <c r="E1269" s="33">
        <v>44880.0</v>
      </c>
      <c r="F1269" s="34">
        <v>45614.0</v>
      </c>
      <c r="G1269" s="36">
        <f t="shared" si="2"/>
        <v>24.1</v>
      </c>
      <c r="H1269" s="37">
        <v>44533.0</v>
      </c>
      <c r="I1269" s="36">
        <f t="shared" si="4"/>
        <v>0.95</v>
      </c>
      <c r="J1269" s="38">
        <v>73.0</v>
      </c>
      <c r="K1269" s="39">
        <v>6.1</v>
      </c>
      <c r="L1269" s="38">
        <v>13.0</v>
      </c>
      <c r="M1269" s="40" t="s">
        <v>29</v>
      </c>
      <c r="N1269" s="41"/>
      <c r="O1269" s="42" t="s">
        <v>149</v>
      </c>
      <c r="P1269" s="43"/>
    </row>
    <row r="1270">
      <c r="A1270" s="44" t="s">
        <v>1482</v>
      </c>
      <c r="B1270" s="45" t="s">
        <v>45</v>
      </c>
      <c r="C1270" s="46" t="s">
        <v>26</v>
      </c>
      <c r="D1270" s="47" t="str">
        <f t="shared" si="1"/>
        <v>Removed</v>
      </c>
      <c r="E1270" s="48">
        <v>44880.0</v>
      </c>
      <c r="F1270" s="49">
        <v>45614.0</v>
      </c>
      <c r="G1270" s="50">
        <f t="shared" si="2"/>
        <v>24.1</v>
      </c>
      <c r="H1270" s="51">
        <v>42803.0</v>
      </c>
      <c r="I1270" s="50">
        <f t="shared" si="4"/>
        <v>5.683333333</v>
      </c>
      <c r="J1270" s="55">
        <v>84.0</v>
      </c>
      <c r="K1270" s="56">
        <v>8.9</v>
      </c>
      <c r="L1270" s="55">
        <v>144.0</v>
      </c>
      <c r="M1270" s="58" t="s">
        <v>42</v>
      </c>
      <c r="N1270" s="59"/>
      <c r="O1270" s="60" t="s">
        <v>149</v>
      </c>
      <c r="P1270" s="61"/>
    </row>
    <row r="1271">
      <c r="A1271" s="29" t="s">
        <v>1483</v>
      </c>
      <c r="B1271" s="30" t="s">
        <v>45</v>
      </c>
      <c r="C1271" s="31" t="s">
        <v>26</v>
      </c>
      <c r="D1271" s="32" t="str">
        <f t="shared" si="1"/>
        <v>Removed</v>
      </c>
      <c r="E1271" s="33">
        <v>44880.0</v>
      </c>
      <c r="F1271" s="34">
        <v>45614.0</v>
      </c>
      <c r="G1271" s="36">
        <f t="shared" si="2"/>
        <v>24.1</v>
      </c>
      <c r="H1271" s="37">
        <v>42990.0</v>
      </c>
      <c r="I1271" s="36">
        <f t="shared" si="4"/>
        <v>5.175</v>
      </c>
      <c r="J1271" s="38">
        <v>76.0</v>
      </c>
      <c r="K1271" s="39">
        <v>8.2</v>
      </c>
      <c r="L1271" s="38">
        <v>18.5</v>
      </c>
      <c r="M1271" s="40" t="s">
        <v>42</v>
      </c>
      <c r="N1271" s="41"/>
      <c r="O1271" s="42" t="s">
        <v>149</v>
      </c>
      <c r="P1271" s="43"/>
    </row>
    <row r="1272">
      <c r="A1272" s="44" t="s">
        <v>1484</v>
      </c>
      <c r="B1272" s="45" t="s">
        <v>45</v>
      </c>
      <c r="C1272" s="46" t="s">
        <v>26</v>
      </c>
      <c r="D1272" s="47" t="str">
        <f t="shared" si="1"/>
        <v>Removed</v>
      </c>
      <c r="E1272" s="48">
        <v>44880.0</v>
      </c>
      <c r="F1272" s="49">
        <v>45614.0</v>
      </c>
      <c r="G1272" s="50">
        <f t="shared" si="2"/>
        <v>24.1</v>
      </c>
      <c r="H1272" s="51">
        <v>43490.0</v>
      </c>
      <c r="I1272" s="50">
        <f t="shared" si="4"/>
        <v>3.805555556</v>
      </c>
      <c r="J1272" s="55">
        <v>83.0</v>
      </c>
      <c r="K1272" s="56">
        <v>8.0</v>
      </c>
      <c r="L1272" s="55">
        <v>29.0</v>
      </c>
      <c r="M1272" s="58" t="s">
        <v>42</v>
      </c>
      <c r="N1272" s="59"/>
      <c r="O1272" s="60" t="s">
        <v>149</v>
      </c>
      <c r="P1272" s="61"/>
    </row>
    <row r="1273">
      <c r="A1273" s="29" t="s">
        <v>1485</v>
      </c>
      <c r="B1273" s="30" t="s">
        <v>45</v>
      </c>
      <c r="C1273" s="31" t="s">
        <v>26</v>
      </c>
      <c r="D1273" s="32" t="str">
        <f t="shared" si="1"/>
        <v>Removed</v>
      </c>
      <c r="E1273" s="33">
        <v>44880.0</v>
      </c>
      <c r="F1273" s="34">
        <v>45614.0</v>
      </c>
      <c r="G1273" s="36">
        <f t="shared" si="2"/>
        <v>24.1</v>
      </c>
      <c r="H1273" s="37">
        <v>44146.0</v>
      </c>
      <c r="I1273" s="36">
        <f t="shared" si="4"/>
        <v>2.011111111</v>
      </c>
      <c r="J1273" s="38">
        <v>74.0</v>
      </c>
      <c r="K1273" s="39">
        <v>7.3</v>
      </c>
      <c r="L1273" s="38">
        <v>9.5</v>
      </c>
      <c r="M1273" s="40" t="s">
        <v>565</v>
      </c>
      <c r="N1273" s="41"/>
      <c r="O1273" s="42" t="s">
        <v>149</v>
      </c>
      <c r="P1273" s="43"/>
    </row>
    <row r="1274">
      <c r="A1274" s="44" t="s">
        <v>1486</v>
      </c>
      <c r="B1274" s="45" t="s">
        <v>45</v>
      </c>
      <c r="C1274" s="46" t="s">
        <v>26</v>
      </c>
      <c r="D1274" s="47" t="str">
        <f t="shared" si="1"/>
        <v>Removed</v>
      </c>
      <c r="E1274" s="48">
        <v>44880.0</v>
      </c>
      <c r="F1274" s="49">
        <v>45614.0</v>
      </c>
      <c r="G1274" s="50">
        <f t="shared" si="2"/>
        <v>24.1</v>
      </c>
      <c r="H1274" s="51">
        <v>42850.0</v>
      </c>
      <c r="I1274" s="50">
        <f t="shared" si="4"/>
        <v>5.555555556</v>
      </c>
      <c r="J1274" s="55">
        <v>88.0</v>
      </c>
      <c r="K1274" s="56">
        <v>8.3</v>
      </c>
      <c r="L1274" s="55">
        <v>2.0</v>
      </c>
      <c r="M1274" s="58" t="s">
        <v>29</v>
      </c>
      <c r="N1274" s="59"/>
      <c r="O1274" s="60" t="s">
        <v>149</v>
      </c>
      <c r="P1274" s="61"/>
    </row>
    <row r="1275">
      <c r="A1275" s="29" t="s">
        <v>1487</v>
      </c>
      <c r="B1275" s="30" t="s">
        <v>45</v>
      </c>
      <c r="C1275" s="31" t="s">
        <v>26</v>
      </c>
      <c r="D1275" s="32" t="str">
        <f t="shared" si="1"/>
        <v>Removed</v>
      </c>
      <c r="E1275" s="33">
        <v>44725.0</v>
      </c>
      <c r="F1275" s="34">
        <v>45614.0</v>
      </c>
      <c r="G1275" s="36">
        <f t="shared" si="2"/>
        <v>29.16666667</v>
      </c>
      <c r="H1275" s="37">
        <v>43941.0</v>
      </c>
      <c r="I1275" s="36">
        <f t="shared" si="4"/>
        <v>2.147222222</v>
      </c>
      <c r="J1275" s="38">
        <v>78.0</v>
      </c>
      <c r="K1275" s="39">
        <v>7.1</v>
      </c>
      <c r="L1275" s="38">
        <v>7.0</v>
      </c>
      <c r="M1275" s="40" t="s">
        <v>103</v>
      </c>
      <c r="N1275" s="41"/>
      <c r="O1275" s="42" t="s">
        <v>149</v>
      </c>
      <c r="P1275" s="43" t="s">
        <v>149</v>
      </c>
    </row>
    <row r="1276">
      <c r="A1276" s="44" t="s">
        <v>1488</v>
      </c>
      <c r="B1276" s="45" t="s">
        <v>45</v>
      </c>
      <c r="C1276" s="46" t="s">
        <v>26</v>
      </c>
      <c r="D1276" s="47" t="str">
        <f t="shared" si="1"/>
        <v>Removed</v>
      </c>
      <c r="E1276" s="48">
        <v>44446.0</v>
      </c>
      <c r="F1276" s="49">
        <v>45614.0</v>
      </c>
      <c r="G1276" s="50">
        <f t="shared" si="2"/>
        <v>38.36666667</v>
      </c>
      <c r="H1276" s="51">
        <v>43718.0</v>
      </c>
      <c r="I1276" s="50">
        <f t="shared" si="4"/>
        <v>1.991666667</v>
      </c>
      <c r="J1276" s="55">
        <v>80.0</v>
      </c>
      <c r="K1276" s="56">
        <v>8.0</v>
      </c>
      <c r="L1276" s="55">
        <v>13.0</v>
      </c>
      <c r="M1276" s="58" t="s">
        <v>27</v>
      </c>
      <c r="N1276" s="59"/>
      <c r="O1276" s="60" t="s">
        <v>149</v>
      </c>
      <c r="P1276" s="61"/>
    </row>
    <row r="1277">
      <c r="A1277" s="29" t="s">
        <v>1489</v>
      </c>
      <c r="B1277" s="30" t="s">
        <v>45</v>
      </c>
      <c r="C1277" s="31" t="s">
        <v>26</v>
      </c>
      <c r="D1277" s="32" t="str">
        <f t="shared" si="1"/>
        <v>Removed</v>
      </c>
      <c r="E1277" s="33">
        <v>43832.0</v>
      </c>
      <c r="F1277" s="34">
        <v>45614.0</v>
      </c>
      <c r="G1277" s="36">
        <f t="shared" si="2"/>
        <v>58.53333333</v>
      </c>
      <c r="H1277" s="37">
        <v>43319.0</v>
      </c>
      <c r="I1277" s="36">
        <f t="shared" si="4"/>
        <v>1.402777778</v>
      </c>
      <c r="J1277" s="38">
        <v>83.0</v>
      </c>
      <c r="K1277" s="39">
        <v>7.5</v>
      </c>
      <c r="L1277" s="38">
        <v>6.0</v>
      </c>
      <c r="M1277" s="40" t="s">
        <v>217</v>
      </c>
      <c r="N1277" s="41"/>
      <c r="O1277" s="42" t="s">
        <v>149</v>
      </c>
      <c r="P1277" s="43" t="s">
        <v>149</v>
      </c>
    </row>
    <row r="1278">
      <c r="A1278" s="44" t="s">
        <v>1490</v>
      </c>
      <c r="B1278" s="45" t="s">
        <v>33</v>
      </c>
      <c r="C1278" s="46" t="s">
        <v>1089</v>
      </c>
      <c r="D1278" s="47" t="str">
        <f t="shared" si="1"/>
        <v>Removed</v>
      </c>
      <c r="E1278" s="48">
        <v>45566.0</v>
      </c>
      <c r="F1278" s="49">
        <v>45600.0</v>
      </c>
      <c r="G1278" s="50">
        <f t="shared" si="2"/>
        <v>1.1</v>
      </c>
      <c r="H1278" s="51">
        <v>44953.0</v>
      </c>
      <c r="I1278" s="50">
        <f t="shared" si="4"/>
        <v>1.677777778</v>
      </c>
      <c r="J1278" s="55">
        <v>89.0</v>
      </c>
      <c r="K1278" s="56">
        <v>8.4</v>
      </c>
      <c r="L1278" s="55">
        <v>12.0</v>
      </c>
      <c r="M1278" s="58" t="s">
        <v>36</v>
      </c>
      <c r="N1278" s="59"/>
      <c r="O1278" s="60" t="s">
        <v>34</v>
      </c>
      <c r="P1278" s="61"/>
    </row>
    <row r="1279">
      <c r="A1279" s="29" t="s">
        <v>1491</v>
      </c>
      <c r="B1279" s="30" t="s">
        <v>25</v>
      </c>
      <c r="C1279" s="31" t="s">
        <v>1089</v>
      </c>
      <c r="D1279" s="32" t="str">
        <f t="shared" si="1"/>
        <v>Removed</v>
      </c>
      <c r="E1279" s="33">
        <v>45566.0</v>
      </c>
      <c r="F1279" s="34">
        <v>45600.0</v>
      </c>
      <c r="G1279" s="36">
        <f t="shared" si="2"/>
        <v>1.1</v>
      </c>
      <c r="H1279" s="37">
        <v>44377.0</v>
      </c>
      <c r="I1279" s="36">
        <f t="shared" si="4"/>
        <v>3.252777778</v>
      </c>
      <c r="J1279" s="38">
        <v>85.0</v>
      </c>
      <c r="K1279" s="39">
        <v>8.1</v>
      </c>
      <c r="L1279" s="38">
        <v>5.0</v>
      </c>
      <c r="M1279" s="40" t="s">
        <v>689</v>
      </c>
      <c r="N1279" s="41"/>
      <c r="O1279" s="42" t="s">
        <v>34</v>
      </c>
      <c r="P1279" s="43"/>
    </row>
    <row r="1280">
      <c r="A1280" s="44" t="s">
        <v>1492</v>
      </c>
      <c r="B1280" s="45" t="s">
        <v>33</v>
      </c>
      <c r="C1280" s="46" t="s">
        <v>1089</v>
      </c>
      <c r="D1280" s="47" t="str">
        <f t="shared" si="1"/>
        <v>Removed</v>
      </c>
      <c r="E1280" s="48">
        <v>45566.0</v>
      </c>
      <c r="F1280" s="49">
        <v>45600.0</v>
      </c>
      <c r="G1280" s="50">
        <f t="shared" si="2"/>
        <v>1.1</v>
      </c>
      <c r="H1280" s="51">
        <v>45359.0</v>
      </c>
      <c r="I1280" s="50">
        <f t="shared" si="4"/>
        <v>0.5638888889</v>
      </c>
      <c r="J1280" s="55">
        <v>81.0</v>
      </c>
      <c r="K1280" s="56">
        <v>6.8</v>
      </c>
      <c r="L1280" s="55">
        <v>8.0</v>
      </c>
      <c r="M1280" s="58" t="s">
        <v>114</v>
      </c>
      <c r="N1280" s="59"/>
      <c r="O1280" s="60" t="s">
        <v>34</v>
      </c>
      <c r="P1280" s="61"/>
    </row>
    <row r="1281">
      <c r="A1281" s="29" t="s">
        <v>1493</v>
      </c>
      <c r="B1281" s="30" t="s">
        <v>33</v>
      </c>
      <c r="C1281" s="31" t="s">
        <v>26</v>
      </c>
      <c r="D1281" s="32" t="str">
        <f t="shared" si="1"/>
        <v>Removed</v>
      </c>
      <c r="E1281" s="33">
        <v>45216.0</v>
      </c>
      <c r="F1281" s="34">
        <v>45579.0</v>
      </c>
      <c r="G1281" s="36">
        <f t="shared" si="2"/>
        <v>11.9</v>
      </c>
      <c r="H1281" s="37">
        <v>44855.0</v>
      </c>
      <c r="I1281" s="36">
        <f t="shared" si="4"/>
        <v>0.9888888889</v>
      </c>
      <c r="J1281" s="38">
        <v>67.0</v>
      </c>
      <c r="K1281" s="39">
        <v>5.0</v>
      </c>
      <c r="L1281" s="38">
        <v>17.0</v>
      </c>
      <c r="M1281" s="40" t="s">
        <v>29</v>
      </c>
      <c r="N1281" s="41"/>
      <c r="O1281" s="42" t="s">
        <v>34</v>
      </c>
      <c r="P1281" s="43"/>
    </row>
    <row r="1282">
      <c r="A1282" s="44" t="s">
        <v>1494</v>
      </c>
      <c r="B1282" s="45" t="s">
        <v>45</v>
      </c>
      <c r="C1282" s="46" t="s">
        <v>26</v>
      </c>
      <c r="D1282" s="47" t="str">
        <f t="shared" si="1"/>
        <v>Removed</v>
      </c>
      <c r="E1282" s="48">
        <v>45216.0</v>
      </c>
      <c r="F1282" s="49">
        <v>45579.0</v>
      </c>
      <c r="G1282" s="50">
        <f t="shared" si="2"/>
        <v>11.9</v>
      </c>
      <c r="H1282" s="51">
        <v>44887.0</v>
      </c>
      <c r="I1282" s="50">
        <f t="shared" si="4"/>
        <v>0.9027777778</v>
      </c>
      <c r="J1282" s="55">
        <v>57.0</v>
      </c>
      <c r="K1282" s="56">
        <v>6.6</v>
      </c>
      <c r="L1282" s="55">
        <v>9.0</v>
      </c>
      <c r="M1282" s="58" t="s">
        <v>31</v>
      </c>
      <c r="N1282" s="59"/>
      <c r="O1282" s="60" t="s">
        <v>149</v>
      </c>
      <c r="P1282" s="61"/>
    </row>
    <row r="1283">
      <c r="A1283" s="29" t="s">
        <v>1495</v>
      </c>
      <c r="B1283" s="30" t="s">
        <v>45</v>
      </c>
      <c r="C1283" s="31" t="s">
        <v>26</v>
      </c>
      <c r="D1283" s="32" t="str">
        <f t="shared" si="1"/>
        <v>Removed</v>
      </c>
      <c r="E1283" s="33">
        <v>45034.0</v>
      </c>
      <c r="F1283" s="34">
        <v>45579.0</v>
      </c>
      <c r="G1283" s="36">
        <f t="shared" si="2"/>
        <v>17.86666667</v>
      </c>
      <c r="H1283" s="37">
        <v>43021.0</v>
      </c>
      <c r="I1283" s="36">
        <f t="shared" si="4"/>
        <v>5.513888889</v>
      </c>
      <c r="J1283" s="38">
        <v>76.0</v>
      </c>
      <c r="K1283" s="39">
        <v>8.5</v>
      </c>
      <c r="L1283" s="38">
        <v>16.0</v>
      </c>
      <c r="M1283" s="40" t="s">
        <v>31</v>
      </c>
      <c r="N1283" s="41"/>
      <c r="O1283" s="42" t="s">
        <v>149</v>
      </c>
      <c r="P1283" s="43"/>
    </row>
    <row r="1284">
      <c r="A1284" s="44" t="s">
        <v>1496</v>
      </c>
      <c r="B1284" s="45" t="s">
        <v>45</v>
      </c>
      <c r="C1284" s="46" t="s">
        <v>26</v>
      </c>
      <c r="D1284" s="47" t="str">
        <f t="shared" si="1"/>
        <v>Removed</v>
      </c>
      <c r="E1284" s="48">
        <v>44852.0</v>
      </c>
      <c r="F1284" s="49">
        <v>45579.0</v>
      </c>
      <c r="G1284" s="50">
        <f t="shared" si="2"/>
        <v>23.86666667</v>
      </c>
      <c r="H1284" s="51">
        <v>42945.0</v>
      </c>
      <c r="I1284" s="50">
        <f t="shared" si="4"/>
        <v>5.219444444</v>
      </c>
      <c r="J1284" s="55">
        <v>91.0</v>
      </c>
      <c r="K1284" s="56">
        <v>8.0</v>
      </c>
      <c r="L1284" s="55">
        <v>57.5</v>
      </c>
      <c r="M1284" s="58" t="s">
        <v>42</v>
      </c>
      <c r="N1284" s="59"/>
      <c r="O1284" s="60" t="s">
        <v>149</v>
      </c>
      <c r="P1284" s="61"/>
    </row>
    <row r="1285">
      <c r="A1285" s="29" t="s">
        <v>1497</v>
      </c>
      <c r="B1285" s="30" t="s">
        <v>45</v>
      </c>
      <c r="C1285" s="31" t="s">
        <v>26</v>
      </c>
      <c r="D1285" s="32" t="str">
        <f t="shared" si="1"/>
        <v>Removed</v>
      </c>
      <c r="E1285" s="33">
        <v>44852.0</v>
      </c>
      <c r="F1285" s="34">
        <v>45579.0</v>
      </c>
      <c r="G1285" s="36">
        <f t="shared" si="2"/>
        <v>23.86666667</v>
      </c>
      <c r="H1285" s="37">
        <v>42397.0</v>
      </c>
      <c r="I1285" s="36">
        <f t="shared" si="4"/>
        <v>6.722222222</v>
      </c>
      <c r="J1285" s="38">
        <v>83.0</v>
      </c>
      <c r="K1285" s="39">
        <v>8.1</v>
      </c>
      <c r="L1285" s="38">
        <v>38.5</v>
      </c>
      <c r="M1285" s="40" t="s">
        <v>42</v>
      </c>
      <c r="N1285" s="41"/>
      <c r="O1285" s="42" t="s">
        <v>149</v>
      </c>
      <c r="P1285" s="43"/>
    </row>
    <row r="1286">
      <c r="A1286" s="44" t="s">
        <v>1498</v>
      </c>
      <c r="B1286" s="45" t="s">
        <v>45</v>
      </c>
      <c r="C1286" s="46" t="s">
        <v>26</v>
      </c>
      <c r="D1286" s="47" t="str">
        <f t="shared" si="1"/>
        <v>Removed</v>
      </c>
      <c r="E1286" s="48">
        <v>44852.0</v>
      </c>
      <c r="F1286" s="49">
        <v>45579.0</v>
      </c>
      <c r="G1286" s="50">
        <f t="shared" si="2"/>
        <v>23.86666667</v>
      </c>
      <c r="H1286" s="51">
        <v>43454.0</v>
      </c>
      <c r="I1286" s="50">
        <f t="shared" si="4"/>
        <v>3.827777778</v>
      </c>
      <c r="J1286" s="55">
        <v>86.0</v>
      </c>
      <c r="K1286" s="56">
        <v>7.6</v>
      </c>
      <c r="L1286" s="55">
        <v>55.5</v>
      </c>
      <c r="M1286" s="58" t="s">
        <v>42</v>
      </c>
      <c r="N1286" s="59"/>
      <c r="O1286" s="60" t="s">
        <v>149</v>
      </c>
      <c r="P1286" s="61"/>
    </row>
    <row r="1287">
      <c r="A1287" s="29" t="s">
        <v>1499</v>
      </c>
      <c r="B1287" s="30" t="s">
        <v>45</v>
      </c>
      <c r="C1287" s="31" t="s">
        <v>26</v>
      </c>
      <c r="D1287" s="32" t="str">
        <f t="shared" si="1"/>
        <v>Removed</v>
      </c>
      <c r="E1287" s="33">
        <v>44852.0</v>
      </c>
      <c r="F1287" s="34">
        <v>45579.0</v>
      </c>
      <c r="G1287" s="36">
        <f t="shared" si="2"/>
        <v>23.86666667</v>
      </c>
      <c r="H1287" s="37">
        <v>42030.0</v>
      </c>
      <c r="I1287" s="36">
        <f t="shared" si="4"/>
        <v>7.727777778</v>
      </c>
      <c r="J1287" s="38">
        <v>77.0</v>
      </c>
      <c r="K1287" s="39">
        <v>7.6</v>
      </c>
      <c r="L1287" s="38">
        <v>25.5</v>
      </c>
      <c r="M1287" s="40" t="s">
        <v>42</v>
      </c>
      <c r="N1287" s="41"/>
      <c r="O1287" s="42" t="s">
        <v>149</v>
      </c>
      <c r="P1287" s="43"/>
    </row>
    <row r="1288">
      <c r="A1288" s="44" t="s">
        <v>1500</v>
      </c>
      <c r="B1288" s="45" t="s">
        <v>45</v>
      </c>
      <c r="C1288" s="46" t="s">
        <v>26</v>
      </c>
      <c r="D1288" s="47" t="str">
        <f t="shared" si="1"/>
        <v>Removed</v>
      </c>
      <c r="E1288" s="48">
        <v>44852.0</v>
      </c>
      <c r="F1288" s="49">
        <v>45579.0</v>
      </c>
      <c r="G1288" s="50">
        <f t="shared" si="2"/>
        <v>23.86666667</v>
      </c>
      <c r="H1288" s="51">
        <v>42517.0</v>
      </c>
      <c r="I1288" s="50">
        <f t="shared" si="4"/>
        <v>6.391666667</v>
      </c>
      <c r="J1288" s="55">
        <v>76.0</v>
      </c>
      <c r="K1288" s="56">
        <v>7.6</v>
      </c>
      <c r="L1288" s="55">
        <v>31.5</v>
      </c>
      <c r="M1288" s="58" t="s">
        <v>42</v>
      </c>
      <c r="N1288" s="59"/>
      <c r="O1288" s="60" t="s">
        <v>149</v>
      </c>
      <c r="P1288" s="61"/>
    </row>
    <row r="1289">
      <c r="A1289" s="29" t="s">
        <v>1501</v>
      </c>
      <c r="B1289" s="30" t="s">
        <v>25</v>
      </c>
      <c r="C1289" s="31" t="s">
        <v>476</v>
      </c>
      <c r="D1289" s="32" t="str">
        <f t="shared" si="1"/>
        <v>Removed</v>
      </c>
      <c r="E1289" s="33">
        <v>44852.0</v>
      </c>
      <c r="F1289" s="34">
        <v>45579.0</v>
      </c>
      <c r="G1289" s="36">
        <f t="shared" si="2"/>
        <v>23.86666667</v>
      </c>
      <c r="H1289" s="37">
        <v>41747.0</v>
      </c>
      <c r="I1289" s="36">
        <f t="shared" si="4"/>
        <v>8.5</v>
      </c>
      <c r="J1289" s="38">
        <v>83.0</v>
      </c>
      <c r="K1289" s="39">
        <v>7.6</v>
      </c>
      <c r="L1289" s="38">
        <v>2.5</v>
      </c>
      <c r="M1289" s="40" t="s">
        <v>114</v>
      </c>
      <c r="N1289" s="41" t="s">
        <v>442</v>
      </c>
      <c r="O1289" s="42" t="s">
        <v>149</v>
      </c>
      <c r="P1289" s="67"/>
    </row>
    <row r="1290">
      <c r="A1290" s="44" t="s">
        <v>1502</v>
      </c>
      <c r="B1290" s="45" t="s">
        <v>25</v>
      </c>
      <c r="C1290" s="46" t="s">
        <v>476</v>
      </c>
      <c r="D1290" s="47" t="str">
        <f t="shared" si="1"/>
        <v>Removed</v>
      </c>
      <c r="E1290" s="48">
        <v>44725.0</v>
      </c>
      <c r="F1290" s="49">
        <v>45579.0</v>
      </c>
      <c r="G1290" s="50">
        <f t="shared" si="2"/>
        <v>28.03333333</v>
      </c>
      <c r="H1290" s="51">
        <v>39845.0</v>
      </c>
      <c r="I1290" s="50">
        <f t="shared" si="4"/>
        <v>13.36666667</v>
      </c>
      <c r="J1290" s="55">
        <v>82.0</v>
      </c>
      <c r="K1290" s="56">
        <v>6.4</v>
      </c>
      <c r="L1290" s="55">
        <v>2.0</v>
      </c>
      <c r="M1290" s="58" t="s">
        <v>31</v>
      </c>
      <c r="N1290" s="59" t="s">
        <v>442</v>
      </c>
      <c r="O1290" s="60" t="s">
        <v>149</v>
      </c>
      <c r="P1290" s="66" t="s">
        <v>505</v>
      </c>
    </row>
    <row r="1291">
      <c r="A1291" s="29" t="s">
        <v>1503</v>
      </c>
      <c r="B1291" s="30" t="s">
        <v>45</v>
      </c>
      <c r="C1291" s="31" t="s">
        <v>46</v>
      </c>
      <c r="D1291" s="32" t="str">
        <f t="shared" si="1"/>
        <v>Removed</v>
      </c>
      <c r="E1291" s="33">
        <v>43893.0</v>
      </c>
      <c r="F1291" s="34">
        <v>45579.0</v>
      </c>
      <c r="G1291" s="36">
        <f t="shared" si="2"/>
        <v>55.36666667</v>
      </c>
      <c r="H1291" s="37">
        <v>41852.0</v>
      </c>
      <c r="I1291" s="36">
        <f t="shared" si="4"/>
        <v>5.588888889</v>
      </c>
      <c r="J1291" s="38">
        <v>74.0</v>
      </c>
      <c r="K1291" s="39">
        <v>7.7</v>
      </c>
      <c r="L1291" s="38">
        <v>24.0</v>
      </c>
      <c r="M1291" s="40" t="s">
        <v>42</v>
      </c>
      <c r="N1291" s="41" t="s">
        <v>757</v>
      </c>
      <c r="O1291" s="42" t="s">
        <v>149</v>
      </c>
      <c r="P1291" s="67"/>
    </row>
    <row r="1292">
      <c r="A1292" s="44" t="s">
        <v>1504</v>
      </c>
      <c r="B1292" s="45" t="s">
        <v>45</v>
      </c>
      <c r="C1292" s="46" t="s">
        <v>26</v>
      </c>
      <c r="D1292" s="47" t="str">
        <f t="shared" si="1"/>
        <v>Removed</v>
      </c>
      <c r="E1292" s="48">
        <v>42374.0</v>
      </c>
      <c r="F1292" s="49">
        <v>45579.0</v>
      </c>
      <c r="G1292" s="50">
        <f t="shared" si="2"/>
        <v>105.3</v>
      </c>
      <c r="H1292" s="51">
        <v>41944.0</v>
      </c>
      <c r="I1292" s="50">
        <f t="shared" si="4"/>
        <v>1.177777778</v>
      </c>
      <c r="J1292" s="55">
        <v>79.0</v>
      </c>
      <c r="K1292" s="56">
        <v>7.3</v>
      </c>
      <c r="L1292" s="55">
        <v>6.0</v>
      </c>
      <c r="M1292" s="58" t="s">
        <v>27</v>
      </c>
      <c r="N1292" s="59"/>
      <c r="O1292" s="60" t="s">
        <v>149</v>
      </c>
      <c r="P1292" s="61" t="s">
        <v>149</v>
      </c>
    </row>
    <row r="1293">
      <c r="A1293" s="29" t="s">
        <v>1505</v>
      </c>
      <c r="B1293" s="30" t="s">
        <v>25</v>
      </c>
      <c r="C1293" s="31" t="s">
        <v>1089</v>
      </c>
      <c r="D1293" s="32" t="str">
        <f t="shared" si="1"/>
        <v>Removed</v>
      </c>
      <c r="E1293" s="33">
        <v>45538.0</v>
      </c>
      <c r="F1293" s="34">
        <v>45565.0</v>
      </c>
      <c r="G1293" s="36">
        <f t="shared" si="2"/>
        <v>0.9</v>
      </c>
      <c r="H1293" s="37">
        <v>45370.0</v>
      </c>
      <c r="I1293" s="36">
        <f t="shared" si="4"/>
        <v>0.4555555556</v>
      </c>
      <c r="J1293" s="38">
        <v>80.0</v>
      </c>
      <c r="K1293" s="39">
        <v>4.1</v>
      </c>
      <c r="L1293" s="38">
        <v>14.0</v>
      </c>
      <c r="M1293" s="40" t="s">
        <v>125</v>
      </c>
      <c r="N1293" s="41"/>
      <c r="O1293" s="42" t="s">
        <v>34</v>
      </c>
      <c r="P1293" s="43"/>
    </row>
    <row r="1294">
      <c r="A1294" s="44" t="s">
        <v>1506</v>
      </c>
      <c r="B1294" s="45" t="s">
        <v>25</v>
      </c>
      <c r="C1294" s="46" t="s">
        <v>1089</v>
      </c>
      <c r="D1294" s="47" t="str">
        <f t="shared" si="1"/>
        <v>Removed</v>
      </c>
      <c r="E1294" s="48">
        <v>45538.0</v>
      </c>
      <c r="F1294" s="49">
        <v>45565.0</v>
      </c>
      <c r="G1294" s="50">
        <f t="shared" si="2"/>
        <v>0.9</v>
      </c>
      <c r="H1294" s="51">
        <v>44238.0</v>
      </c>
      <c r="I1294" s="50">
        <f t="shared" si="4"/>
        <v>3.561111111</v>
      </c>
      <c r="J1294" s="55">
        <v>82.0</v>
      </c>
      <c r="K1294" s="56">
        <v>8.5</v>
      </c>
      <c r="L1294" s="55">
        <v>6.0</v>
      </c>
      <c r="M1294" s="58" t="s">
        <v>29</v>
      </c>
      <c r="N1294" s="59"/>
      <c r="O1294" s="60" t="s">
        <v>34</v>
      </c>
      <c r="P1294" s="61"/>
    </row>
    <row r="1295">
      <c r="A1295" s="29" t="s">
        <v>1507</v>
      </c>
      <c r="B1295" s="30" t="s">
        <v>25</v>
      </c>
      <c r="C1295" s="31" t="s">
        <v>1089</v>
      </c>
      <c r="D1295" s="32" t="str">
        <f t="shared" si="1"/>
        <v>Removed</v>
      </c>
      <c r="E1295" s="33">
        <v>45538.0</v>
      </c>
      <c r="F1295" s="34">
        <v>45565.0</v>
      </c>
      <c r="G1295" s="36">
        <f t="shared" si="2"/>
        <v>0.9</v>
      </c>
      <c r="H1295" s="37">
        <v>45538.0</v>
      </c>
      <c r="I1295" s="36">
        <f t="shared" si="4"/>
        <v>0</v>
      </c>
      <c r="J1295" s="38">
        <v>68.0</v>
      </c>
      <c r="K1295" s="39">
        <v>6.8</v>
      </c>
      <c r="L1295" s="76"/>
      <c r="M1295" s="40" t="s">
        <v>125</v>
      </c>
      <c r="N1295" s="41"/>
      <c r="O1295" s="42" t="s">
        <v>34</v>
      </c>
      <c r="P1295" s="43"/>
    </row>
    <row r="1296">
      <c r="A1296" s="44" t="s">
        <v>1508</v>
      </c>
      <c r="B1296" s="45" t="s">
        <v>25</v>
      </c>
      <c r="C1296" s="46" t="s">
        <v>26</v>
      </c>
      <c r="D1296" s="47" t="str">
        <f t="shared" si="1"/>
        <v>Removed</v>
      </c>
      <c r="E1296" s="48">
        <v>45370.0</v>
      </c>
      <c r="F1296" s="49">
        <v>45551.0</v>
      </c>
      <c r="G1296" s="50">
        <f t="shared" si="2"/>
        <v>5.9</v>
      </c>
      <c r="H1296" s="51">
        <v>44897.0</v>
      </c>
      <c r="I1296" s="50">
        <f t="shared" si="4"/>
        <v>1.297222222</v>
      </c>
      <c r="J1296" s="55">
        <v>83.0</v>
      </c>
      <c r="K1296" s="56">
        <v>6.9</v>
      </c>
      <c r="L1296" s="55">
        <v>39.0</v>
      </c>
      <c r="M1296" s="58" t="s">
        <v>103</v>
      </c>
      <c r="N1296" s="59"/>
      <c r="O1296" s="60" t="s">
        <v>34</v>
      </c>
      <c r="P1296" s="61"/>
    </row>
    <row r="1297">
      <c r="A1297" s="29" t="s">
        <v>1509</v>
      </c>
      <c r="B1297" s="30" t="s">
        <v>45</v>
      </c>
      <c r="C1297" s="31" t="s">
        <v>26</v>
      </c>
      <c r="D1297" s="32" t="str">
        <f t="shared" si="1"/>
        <v>Removed</v>
      </c>
      <c r="E1297" s="33">
        <v>45216.0</v>
      </c>
      <c r="F1297" s="34">
        <v>45551.0</v>
      </c>
      <c r="G1297" s="36">
        <f t="shared" si="2"/>
        <v>10.96666667</v>
      </c>
      <c r="H1297" s="37">
        <v>41919.0</v>
      </c>
      <c r="I1297" s="36">
        <f t="shared" si="4"/>
        <v>9.027777778</v>
      </c>
      <c r="J1297" s="38">
        <v>79.0</v>
      </c>
      <c r="K1297" s="39">
        <v>8.4</v>
      </c>
      <c r="L1297" s="38">
        <v>19.0</v>
      </c>
      <c r="M1297" s="40" t="s">
        <v>29</v>
      </c>
      <c r="N1297" s="41"/>
      <c r="O1297" s="42" t="s">
        <v>149</v>
      </c>
      <c r="P1297" s="43"/>
    </row>
    <row r="1298">
      <c r="A1298" s="44" t="s">
        <v>1510</v>
      </c>
      <c r="B1298" s="45" t="s">
        <v>45</v>
      </c>
      <c r="C1298" s="46" t="s">
        <v>26</v>
      </c>
      <c r="D1298" s="47" t="str">
        <f t="shared" si="1"/>
        <v>Removed</v>
      </c>
      <c r="E1298" s="48">
        <v>45188.0</v>
      </c>
      <c r="F1298" s="49">
        <v>45551.0</v>
      </c>
      <c r="G1298" s="50">
        <f t="shared" si="2"/>
        <v>11.9</v>
      </c>
      <c r="H1298" s="51">
        <v>44096.0</v>
      </c>
      <c r="I1298" s="50">
        <f t="shared" si="4"/>
        <v>2.991666667</v>
      </c>
      <c r="J1298" s="55">
        <v>85.0</v>
      </c>
      <c r="K1298" s="56">
        <v>9.0</v>
      </c>
      <c r="L1298" s="55">
        <v>31.0</v>
      </c>
      <c r="M1298" s="58" t="s">
        <v>29</v>
      </c>
      <c r="N1298" s="59"/>
      <c r="O1298" s="60" t="s">
        <v>149</v>
      </c>
      <c r="P1298" s="61"/>
    </row>
    <row r="1299">
      <c r="A1299" s="29" t="s">
        <v>1511</v>
      </c>
      <c r="B1299" s="30" t="s">
        <v>25</v>
      </c>
      <c r="C1299" s="31" t="s">
        <v>26</v>
      </c>
      <c r="D1299" s="32" t="str">
        <f t="shared" si="1"/>
        <v>Removed</v>
      </c>
      <c r="E1299" s="33">
        <v>45188.0</v>
      </c>
      <c r="F1299" s="34">
        <v>45551.0</v>
      </c>
      <c r="G1299" s="36">
        <f t="shared" si="2"/>
        <v>11.9</v>
      </c>
      <c r="H1299" s="37">
        <v>42691.0</v>
      </c>
      <c r="I1299" s="36">
        <f t="shared" si="4"/>
        <v>6.838888889</v>
      </c>
      <c r="J1299" s="38">
        <v>79.0</v>
      </c>
      <c r="K1299" s="39">
        <v>7.7</v>
      </c>
      <c r="L1299" s="38">
        <v>27.0</v>
      </c>
      <c r="M1299" s="40" t="s">
        <v>70</v>
      </c>
      <c r="N1299" s="41"/>
      <c r="O1299" s="42" t="s">
        <v>149</v>
      </c>
      <c r="P1299" s="43"/>
    </row>
    <row r="1300">
      <c r="A1300" s="44" t="s">
        <v>1512</v>
      </c>
      <c r="B1300" s="45" t="s">
        <v>25</v>
      </c>
      <c r="C1300" s="46" t="s">
        <v>26</v>
      </c>
      <c r="D1300" s="47" t="str">
        <f t="shared" si="1"/>
        <v>Removed</v>
      </c>
      <c r="E1300" s="48">
        <v>45188.0</v>
      </c>
      <c r="F1300" s="49">
        <v>45551.0</v>
      </c>
      <c r="G1300" s="50">
        <f t="shared" si="2"/>
        <v>11.9</v>
      </c>
      <c r="H1300" s="51">
        <v>44351.0</v>
      </c>
      <c r="I1300" s="50">
        <f t="shared" si="4"/>
        <v>2.291666667</v>
      </c>
      <c r="J1300" s="55">
        <v>68.0</v>
      </c>
      <c r="K1300" s="56">
        <v>7.2</v>
      </c>
      <c r="L1300" s="55">
        <v>8.0</v>
      </c>
      <c r="M1300" s="58" t="s">
        <v>31</v>
      </c>
      <c r="N1300" s="59"/>
      <c r="O1300" s="60" t="s">
        <v>149</v>
      </c>
      <c r="P1300" s="61"/>
    </row>
    <row r="1301">
      <c r="A1301" s="29" t="s">
        <v>1513</v>
      </c>
      <c r="B1301" s="30" t="s">
        <v>25</v>
      </c>
      <c r="C1301" s="31" t="s">
        <v>26</v>
      </c>
      <c r="D1301" s="32" t="str">
        <f t="shared" si="1"/>
        <v>Removed</v>
      </c>
      <c r="E1301" s="33">
        <v>45188.0</v>
      </c>
      <c r="F1301" s="34">
        <v>45551.0</v>
      </c>
      <c r="G1301" s="36">
        <f t="shared" si="2"/>
        <v>11.9</v>
      </c>
      <c r="H1301" s="37">
        <v>44502.0</v>
      </c>
      <c r="I1301" s="36">
        <f t="shared" si="4"/>
        <v>1.880555556</v>
      </c>
      <c r="J1301" s="38">
        <v>84.0</v>
      </c>
      <c r="K1301" s="39">
        <v>7.7</v>
      </c>
      <c r="L1301" s="38">
        <v>4.0</v>
      </c>
      <c r="M1301" s="40" t="s">
        <v>136</v>
      </c>
      <c r="N1301" s="41"/>
      <c r="O1301" s="42" t="s">
        <v>149</v>
      </c>
      <c r="P1301" s="43"/>
    </row>
    <row r="1302">
      <c r="A1302" s="44" t="s">
        <v>1514</v>
      </c>
      <c r="B1302" s="45" t="s">
        <v>45</v>
      </c>
      <c r="C1302" s="46" t="s">
        <v>26</v>
      </c>
      <c r="D1302" s="47" t="str">
        <f t="shared" si="1"/>
        <v>Removed</v>
      </c>
      <c r="E1302" s="48">
        <v>45188.0</v>
      </c>
      <c r="F1302" s="49">
        <v>45551.0</v>
      </c>
      <c r="G1302" s="50">
        <f t="shared" si="2"/>
        <v>11.9</v>
      </c>
      <c r="H1302" s="51">
        <v>44308.0</v>
      </c>
      <c r="I1302" s="50">
        <f t="shared" si="4"/>
        <v>2.408333333</v>
      </c>
      <c r="J1302" s="55">
        <v>83.0</v>
      </c>
      <c r="K1302" s="56">
        <v>8.6</v>
      </c>
      <c r="L1302" s="55">
        <v>20.0</v>
      </c>
      <c r="M1302" s="58" t="s">
        <v>42</v>
      </c>
      <c r="N1302" s="59"/>
      <c r="O1302" s="60" t="s">
        <v>149</v>
      </c>
      <c r="P1302" s="61"/>
    </row>
    <row r="1303">
      <c r="A1303" s="29" t="s">
        <v>1515</v>
      </c>
      <c r="B1303" s="30" t="s">
        <v>45</v>
      </c>
      <c r="C1303" s="31" t="s">
        <v>26</v>
      </c>
      <c r="D1303" s="32" t="str">
        <f t="shared" si="1"/>
        <v>Removed</v>
      </c>
      <c r="E1303" s="33">
        <v>45188.0</v>
      </c>
      <c r="F1303" s="34">
        <v>45551.0</v>
      </c>
      <c r="G1303" s="36">
        <f t="shared" si="2"/>
        <v>11.9</v>
      </c>
      <c r="H1303" s="37">
        <v>42549.0</v>
      </c>
      <c r="I1303" s="36">
        <f t="shared" si="4"/>
        <v>7.225</v>
      </c>
      <c r="J1303" s="38">
        <v>58.0</v>
      </c>
      <c r="K1303" s="39">
        <v>6.3</v>
      </c>
      <c r="L1303" s="38">
        <v>22.0</v>
      </c>
      <c r="M1303" s="40" t="s">
        <v>42</v>
      </c>
      <c r="N1303" s="41"/>
      <c r="O1303" s="42" t="s">
        <v>149</v>
      </c>
      <c r="P1303" s="43"/>
    </row>
    <row r="1304">
      <c r="A1304" s="44" t="s">
        <v>1516</v>
      </c>
      <c r="B1304" s="45" t="s">
        <v>25</v>
      </c>
      <c r="C1304" s="46" t="s">
        <v>26</v>
      </c>
      <c r="D1304" s="47" t="str">
        <f t="shared" si="1"/>
        <v>Removed</v>
      </c>
      <c r="E1304" s="48">
        <v>45188.0</v>
      </c>
      <c r="F1304" s="49">
        <v>45551.0</v>
      </c>
      <c r="G1304" s="50">
        <f t="shared" si="2"/>
        <v>11.9</v>
      </c>
      <c r="H1304" s="51">
        <v>43944.0</v>
      </c>
      <c r="I1304" s="50">
        <f t="shared" si="4"/>
        <v>3.405555556</v>
      </c>
      <c r="J1304" s="55">
        <v>64.0</v>
      </c>
      <c r="K1304" s="56">
        <v>7.9</v>
      </c>
      <c r="L1304" s="55">
        <v>9.0</v>
      </c>
      <c r="M1304" s="58" t="s">
        <v>29</v>
      </c>
      <c r="N1304" s="59"/>
      <c r="O1304" s="60" t="s">
        <v>149</v>
      </c>
      <c r="P1304" s="61"/>
    </row>
    <row r="1305">
      <c r="A1305" s="29" t="s">
        <v>1517</v>
      </c>
      <c r="B1305" s="30" t="s">
        <v>25</v>
      </c>
      <c r="C1305" s="31" t="s">
        <v>26</v>
      </c>
      <c r="D1305" s="32" t="str">
        <f t="shared" si="1"/>
        <v>Removed</v>
      </c>
      <c r="E1305" s="33">
        <v>45188.0</v>
      </c>
      <c r="F1305" s="34">
        <v>45551.0</v>
      </c>
      <c r="G1305" s="36">
        <f t="shared" si="2"/>
        <v>11.9</v>
      </c>
      <c r="H1305" s="37">
        <v>44861.0</v>
      </c>
      <c r="I1305" s="36">
        <f t="shared" si="4"/>
        <v>0.8944444444</v>
      </c>
      <c r="J1305" s="38">
        <v>69.0</v>
      </c>
      <c r="K1305" s="39">
        <v>6.5</v>
      </c>
      <c r="L1305" s="38">
        <v>32.0</v>
      </c>
      <c r="M1305" s="40" t="s">
        <v>42</v>
      </c>
      <c r="N1305" s="41"/>
      <c r="O1305" s="42" t="s">
        <v>149</v>
      </c>
      <c r="P1305" s="43"/>
    </row>
    <row r="1306">
      <c r="A1306" s="44" t="s">
        <v>1518</v>
      </c>
      <c r="B1306" s="45" t="s">
        <v>45</v>
      </c>
      <c r="C1306" s="46" t="s">
        <v>46</v>
      </c>
      <c r="D1306" s="47" t="str">
        <f t="shared" si="1"/>
        <v>Removed</v>
      </c>
      <c r="E1306" s="48">
        <v>45188.0</v>
      </c>
      <c r="F1306" s="49">
        <v>45551.0</v>
      </c>
      <c r="G1306" s="50">
        <f t="shared" si="2"/>
        <v>11.9</v>
      </c>
      <c r="H1306" s="51">
        <v>43774.0</v>
      </c>
      <c r="I1306" s="50">
        <f t="shared" si="4"/>
        <v>3.872222222</v>
      </c>
      <c r="J1306" s="55">
        <v>73.0</v>
      </c>
      <c r="K1306" s="56">
        <v>6.7</v>
      </c>
      <c r="L1306" s="55">
        <v>21.0</v>
      </c>
      <c r="M1306" s="58" t="s">
        <v>42</v>
      </c>
      <c r="N1306" s="59" t="s">
        <v>115</v>
      </c>
      <c r="O1306" s="60" t="s">
        <v>149</v>
      </c>
      <c r="P1306" s="66"/>
    </row>
    <row r="1307">
      <c r="A1307" s="29" t="s">
        <v>1519</v>
      </c>
      <c r="B1307" s="30" t="s">
        <v>45</v>
      </c>
      <c r="C1307" s="31" t="s">
        <v>41</v>
      </c>
      <c r="D1307" s="32" t="str">
        <f t="shared" si="1"/>
        <v>Removed</v>
      </c>
      <c r="E1307" s="33">
        <v>45188.0</v>
      </c>
      <c r="F1307" s="34">
        <v>45551.0</v>
      </c>
      <c r="G1307" s="36">
        <f t="shared" si="2"/>
        <v>11.9</v>
      </c>
      <c r="H1307" s="37">
        <v>38230.0</v>
      </c>
      <c r="I1307" s="36">
        <f t="shared" si="4"/>
        <v>19.05277778</v>
      </c>
      <c r="J1307" s="38">
        <v>80.0</v>
      </c>
      <c r="K1307" s="39">
        <v>8.2</v>
      </c>
      <c r="L1307" s="38">
        <v>46.0</v>
      </c>
      <c r="M1307" s="40" t="s">
        <v>42</v>
      </c>
      <c r="N1307" s="41" t="s">
        <v>43</v>
      </c>
      <c r="O1307" s="42" t="s">
        <v>149</v>
      </c>
      <c r="P1307" s="67"/>
    </row>
    <row r="1308">
      <c r="A1308" s="44" t="s">
        <v>1520</v>
      </c>
      <c r="B1308" s="45" t="s">
        <v>45</v>
      </c>
      <c r="C1308" s="46" t="s">
        <v>46</v>
      </c>
      <c r="D1308" s="47" t="str">
        <f t="shared" si="1"/>
        <v>Removed</v>
      </c>
      <c r="E1308" s="48">
        <v>45188.0</v>
      </c>
      <c r="F1308" s="49">
        <v>45551.0</v>
      </c>
      <c r="G1308" s="50">
        <f t="shared" si="2"/>
        <v>11.9</v>
      </c>
      <c r="H1308" s="51">
        <v>43067.0</v>
      </c>
      <c r="I1308" s="50">
        <f t="shared" si="4"/>
        <v>5.808333333</v>
      </c>
      <c r="J1308" s="55">
        <v>72.0</v>
      </c>
      <c r="K1308" s="56">
        <v>6.9</v>
      </c>
      <c r="L1308" s="55">
        <v>46.0</v>
      </c>
      <c r="M1308" s="58" t="s">
        <v>42</v>
      </c>
      <c r="N1308" s="59" t="s">
        <v>61</v>
      </c>
      <c r="O1308" s="60" t="s">
        <v>149</v>
      </c>
      <c r="P1308" s="66"/>
    </row>
    <row r="1309">
      <c r="A1309" s="29" t="s">
        <v>1521</v>
      </c>
      <c r="B1309" s="30" t="s">
        <v>25</v>
      </c>
      <c r="C1309" s="31" t="s">
        <v>26</v>
      </c>
      <c r="D1309" s="32" t="str">
        <f t="shared" si="1"/>
        <v>Removed</v>
      </c>
      <c r="E1309" s="33">
        <v>44978.0</v>
      </c>
      <c r="F1309" s="34">
        <v>45551.0</v>
      </c>
      <c r="G1309" s="36">
        <f t="shared" si="2"/>
        <v>18.83333333</v>
      </c>
      <c r="H1309" s="37">
        <v>44610.0</v>
      </c>
      <c r="I1309" s="36">
        <f t="shared" si="4"/>
        <v>1.008333333</v>
      </c>
      <c r="J1309" s="38">
        <v>88.0</v>
      </c>
      <c r="K1309" s="39">
        <v>8.0</v>
      </c>
      <c r="L1309" s="38">
        <v>29.0</v>
      </c>
      <c r="M1309" s="40" t="s">
        <v>29</v>
      </c>
      <c r="N1309" s="41"/>
      <c r="O1309" s="42" t="s">
        <v>149</v>
      </c>
      <c r="P1309" s="43"/>
    </row>
    <row r="1310">
      <c r="A1310" s="44" t="s">
        <v>1522</v>
      </c>
      <c r="B1310" s="45" t="s">
        <v>45</v>
      </c>
      <c r="C1310" s="46" t="s">
        <v>26</v>
      </c>
      <c r="D1310" s="47" t="str">
        <f t="shared" si="1"/>
        <v>Removed</v>
      </c>
      <c r="E1310" s="48">
        <v>44824.0</v>
      </c>
      <c r="F1310" s="49">
        <v>45551.0</v>
      </c>
      <c r="G1310" s="50">
        <f t="shared" si="2"/>
        <v>23.86666667</v>
      </c>
      <c r="H1310" s="51">
        <v>42668.0</v>
      </c>
      <c r="I1310" s="50">
        <f t="shared" si="4"/>
        <v>5.902777778</v>
      </c>
      <c r="J1310" s="55">
        <v>72.0</v>
      </c>
      <c r="K1310" s="56">
        <v>7.5</v>
      </c>
      <c r="L1310" s="55">
        <v>19.5</v>
      </c>
      <c r="M1310" s="58" t="s">
        <v>114</v>
      </c>
      <c r="N1310" s="59"/>
      <c r="O1310" s="60" t="s">
        <v>149</v>
      </c>
      <c r="P1310" s="61"/>
    </row>
    <row r="1311">
      <c r="A1311" s="29" t="s">
        <v>1523</v>
      </c>
      <c r="B1311" s="30" t="s">
        <v>45</v>
      </c>
      <c r="C1311" s="31" t="s">
        <v>26</v>
      </c>
      <c r="D1311" s="32" t="str">
        <f t="shared" si="1"/>
        <v>Removed</v>
      </c>
      <c r="E1311" s="33">
        <v>44824.0</v>
      </c>
      <c r="F1311" s="34">
        <v>45551.0</v>
      </c>
      <c r="G1311" s="36">
        <f t="shared" si="2"/>
        <v>23.86666667</v>
      </c>
      <c r="H1311" s="37">
        <v>44061.0</v>
      </c>
      <c r="I1311" s="36">
        <f t="shared" si="4"/>
        <v>2.088888889</v>
      </c>
      <c r="J1311" s="38">
        <v>83.0</v>
      </c>
      <c r="K1311" s="39">
        <v>7.8</v>
      </c>
      <c r="L1311" s="38">
        <v>25.0</v>
      </c>
      <c r="M1311" s="40" t="s">
        <v>29</v>
      </c>
      <c r="N1311" s="41"/>
      <c r="O1311" s="42" t="s">
        <v>149</v>
      </c>
      <c r="P1311" s="43"/>
    </row>
    <row r="1312">
      <c r="A1312" s="44" t="s">
        <v>1524</v>
      </c>
      <c r="B1312" s="45" t="s">
        <v>25</v>
      </c>
      <c r="C1312" s="46" t="s">
        <v>1089</v>
      </c>
      <c r="D1312" s="47" t="str">
        <f t="shared" si="1"/>
        <v>Removed</v>
      </c>
      <c r="E1312" s="48">
        <v>45510.0</v>
      </c>
      <c r="F1312" s="49">
        <v>45537.0</v>
      </c>
      <c r="G1312" s="50">
        <f t="shared" si="2"/>
        <v>0.8666666667</v>
      </c>
      <c r="H1312" s="51">
        <v>44656.0</v>
      </c>
      <c r="I1312" s="50">
        <f t="shared" si="4"/>
        <v>2.336111111</v>
      </c>
      <c r="J1312" s="55">
        <v>82.0</v>
      </c>
      <c r="K1312" s="56">
        <v>7.9</v>
      </c>
      <c r="L1312" s="55">
        <v>17.0</v>
      </c>
      <c r="M1312" s="58" t="s">
        <v>29</v>
      </c>
      <c r="N1312" s="59"/>
      <c r="O1312" s="60" t="s">
        <v>34</v>
      </c>
      <c r="P1312" s="61"/>
    </row>
    <row r="1313">
      <c r="A1313" s="29" t="s">
        <v>1525</v>
      </c>
      <c r="B1313" s="30" t="s">
        <v>25</v>
      </c>
      <c r="C1313" s="31" t="s">
        <v>1089</v>
      </c>
      <c r="D1313" s="32" t="str">
        <f t="shared" si="1"/>
        <v>Removed</v>
      </c>
      <c r="E1313" s="33">
        <v>45510.0</v>
      </c>
      <c r="F1313" s="34">
        <v>45537.0</v>
      </c>
      <c r="G1313" s="36">
        <f t="shared" si="2"/>
        <v>0.8666666667</v>
      </c>
      <c r="H1313" s="37">
        <v>44546.0</v>
      </c>
      <c r="I1313" s="36">
        <f t="shared" si="4"/>
        <v>2.638888889</v>
      </c>
      <c r="J1313" s="38">
        <v>64.0</v>
      </c>
      <c r="K1313" s="39">
        <v>5.8</v>
      </c>
      <c r="L1313" s="38">
        <v>10.0</v>
      </c>
      <c r="M1313" s="40" t="s">
        <v>36</v>
      </c>
      <c r="N1313" s="41"/>
      <c r="O1313" s="42" t="s">
        <v>34</v>
      </c>
      <c r="P1313" s="43"/>
    </row>
    <row r="1314">
      <c r="A1314" s="44" t="s">
        <v>1526</v>
      </c>
      <c r="B1314" s="45" t="s">
        <v>45</v>
      </c>
      <c r="C1314" s="46" t="s">
        <v>1089</v>
      </c>
      <c r="D1314" s="47" t="str">
        <f t="shared" si="1"/>
        <v>Removed</v>
      </c>
      <c r="E1314" s="48">
        <v>45510.0</v>
      </c>
      <c r="F1314" s="49">
        <v>45537.0</v>
      </c>
      <c r="G1314" s="50">
        <f t="shared" si="2"/>
        <v>0.8666666667</v>
      </c>
      <c r="H1314" s="51">
        <v>44369.0</v>
      </c>
      <c r="I1314" s="50">
        <f t="shared" si="4"/>
        <v>3.122222222</v>
      </c>
      <c r="J1314" s="55">
        <v>86.0</v>
      </c>
      <c r="K1314" s="56">
        <v>8.4</v>
      </c>
      <c r="L1314" s="55">
        <v>13.0</v>
      </c>
      <c r="M1314" s="58" t="s">
        <v>222</v>
      </c>
      <c r="N1314" s="59"/>
      <c r="O1314" s="60" t="s">
        <v>34</v>
      </c>
      <c r="P1314" s="61"/>
    </row>
    <row r="1315">
      <c r="A1315" s="29" t="s">
        <v>1527</v>
      </c>
      <c r="B1315" s="30" t="s">
        <v>25</v>
      </c>
      <c r="C1315" s="31" t="s">
        <v>26</v>
      </c>
      <c r="D1315" s="32" t="str">
        <f t="shared" si="1"/>
        <v>Removed</v>
      </c>
      <c r="E1315" s="33">
        <v>45370.0</v>
      </c>
      <c r="F1315" s="34">
        <v>45523.0</v>
      </c>
      <c r="G1315" s="36">
        <f t="shared" si="2"/>
        <v>5</v>
      </c>
      <c r="H1315" s="37">
        <v>45177.0</v>
      </c>
      <c r="I1315" s="36">
        <f t="shared" si="4"/>
        <v>0.5305555556</v>
      </c>
      <c r="J1315" s="38">
        <v>68.0</v>
      </c>
      <c r="K1315" s="39">
        <v>2.0</v>
      </c>
      <c r="L1315" s="38">
        <v>6.0</v>
      </c>
      <c r="M1315" s="40" t="s">
        <v>125</v>
      </c>
      <c r="N1315" s="41" t="s">
        <v>1528</v>
      </c>
      <c r="O1315" s="42" t="s">
        <v>34</v>
      </c>
      <c r="P1315" s="43"/>
    </row>
    <row r="1316">
      <c r="A1316" s="44" t="s">
        <v>1529</v>
      </c>
      <c r="B1316" s="45" t="s">
        <v>33</v>
      </c>
      <c r="C1316" s="46" t="s">
        <v>26</v>
      </c>
      <c r="D1316" s="47" t="str">
        <f t="shared" si="1"/>
        <v>Removed</v>
      </c>
      <c r="E1316" s="48">
        <v>45342.0</v>
      </c>
      <c r="F1316" s="49">
        <v>45523.0</v>
      </c>
      <c r="G1316" s="50">
        <f t="shared" si="2"/>
        <v>5.966666667</v>
      </c>
      <c r="H1316" s="51">
        <v>44894.0</v>
      </c>
      <c r="I1316" s="50">
        <f t="shared" si="4"/>
        <v>1.225</v>
      </c>
      <c r="J1316" s="55">
        <v>77.0</v>
      </c>
      <c r="K1316" s="56">
        <v>6.0</v>
      </c>
      <c r="L1316" s="55">
        <v>23.0</v>
      </c>
      <c r="M1316" s="58" t="s">
        <v>95</v>
      </c>
      <c r="N1316" s="59"/>
      <c r="O1316" s="60" t="s">
        <v>34</v>
      </c>
      <c r="P1316" s="61"/>
    </row>
    <row r="1317">
      <c r="A1317" s="29" t="s">
        <v>1530</v>
      </c>
      <c r="B1317" s="30" t="s">
        <v>25</v>
      </c>
      <c r="C1317" s="31" t="s">
        <v>26</v>
      </c>
      <c r="D1317" s="32" t="str">
        <f t="shared" si="1"/>
        <v>Removed</v>
      </c>
      <c r="E1317" s="33">
        <v>45167.0</v>
      </c>
      <c r="F1317" s="34">
        <v>45523.0</v>
      </c>
      <c r="G1317" s="36">
        <f t="shared" si="2"/>
        <v>11.66666667</v>
      </c>
      <c r="H1317" s="37">
        <v>45167.0</v>
      </c>
      <c r="I1317" s="36">
        <f t="shared" si="4"/>
        <v>0</v>
      </c>
      <c r="J1317" s="38">
        <v>90.0</v>
      </c>
      <c r="K1317" s="39">
        <v>8.6</v>
      </c>
      <c r="L1317" s="38">
        <v>20.0</v>
      </c>
      <c r="M1317" s="40" t="s">
        <v>42</v>
      </c>
      <c r="N1317" s="41"/>
      <c r="O1317" s="42" t="s">
        <v>149</v>
      </c>
      <c r="P1317" s="43"/>
    </row>
    <row r="1318">
      <c r="A1318" s="44" t="s">
        <v>1531</v>
      </c>
      <c r="B1318" s="45" t="s">
        <v>25</v>
      </c>
      <c r="C1318" s="46" t="s">
        <v>26</v>
      </c>
      <c r="D1318" s="47" t="str">
        <f t="shared" si="1"/>
        <v>Removed</v>
      </c>
      <c r="E1318" s="48">
        <v>45153.0</v>
      </c>
      <c r="F1318" s="49">
        <v>45523.0</v>
      </c>
      <c r="G1318" s="50">
        <f t="shared" si="2"/>
        <v>12.13333333</v>
      </c>
      <c r="H1318" s="51">
        <v>44803.0</v>
      </c>
      <c r="I1318" s="50">
        <f t="shared" si="4"/>
        <v>0.9583333333</v>
      </c>
      <c r="J1318" s="55">
        <v>67.0</v>
      </c>
      <c r="K1318" s="56">
        <v>7.7</v>
      </c>
      <c r="L1318" s="55">
        <v>13.0</v>
      </c>
      <c r="M1318" s="58" t="s">
        <v>29</v>
      </c>
      <c r="N1318" s="59"/>
      <c r="O1318" s="60" t="s">
        <v>149</v>
      </c>
      <c r="P1318" s="61"/>
    </row>
    <row r="1319">
      <c r="A1319" s="29" t="s">
        <v>1532</v>
      </c>
      <c r="B1319" s="30" t="s">
        <v>25</v>
      </c>
      <c r="C1319" s="31" t="s">
        <v>26</v>
      </c>
      <c r="D1319" s="32" t="str">
        <f t="shared" si="1"/>
        <v>Removed</v>
      </c>
      <c r="E1319" s="33">
        <v>45153.0</v>
      </c>
      <c r="F1319" s="34">
        <v>45523.0</v>
      </c>
      <c r="G1319" s="36">
        <f t="shared" si="2"/>
        <v>12.13333333</v>
      </c>
      <c r="H1319" s="37">
        <v>44463.0</v>
      </c>
      <c r="I1319" s="36">
        <f t="shared" si="4"/>
        <v>1.891666667</v>
      </c>
      <c r="J1319" s="38">
        <v>82.0</v>
      </c>
      <c r="K1319" s="39">
        <v>7.9</v>
      </c>
      <c r="L1319" s="38">
        <v>24.0</v>
      </c>
      <c r="M1319" s="40" t="s">
        <v>29</v>
      </c>
      <c r="N1319" s="41"/>
      <c r="O1319" s="42" t="s">
        <v>149</v>
      </c>
      <c r="P1319" s="43"/>
    </row>
    <row r="1320">
      <c r="A1320" s="44" t="s">
        <v>1533</v>
      </c>
      <c r="B1320" s="45" t="s">
        <v>45</v>
      </c>
      <c r="C1320" s="46" t="s">
        <v>26</v>
      </c>
      <c r="D1320" s="47" t="str">
        <f t="shared" si="1"/>
        <v>Removed</v>
      </c>
      <c r="E1320" s="48">
        <v>45153.0</v>
      </c>
      <c r="F1320" s="49">
        <v>45523.0</v>
      </c>
      <c r="G1320" s="50">
        <f t="shared" si="2"/>
        <v>12.13333333</v>
      </c>
      <c r="H1320" s="51">
        <v>44796.0</v>
      </c>
      <c r="I1320" s="50">
        <f t="shared" si="4"/>
        <v>0.9777777778</v>
      </c>
      <c r="J1320" s="55">
        <v>75.0</v>
      </c>
      <c r="K1320" s="56">
        <v>7.4</v>
      </c>
      <c r="L1320" s="55">
        <v>6.0</v>
      </c>
      <c r="M1320" s="58" t="s">
        <v>29</v>
      </c>
      <c r="N1320" s="59"/>
      <c r="O1320" s="60" t="s">
        <v>149</v>
      </c>
      <c r="P1320" s="61"/>
    </row>
    <row r="1321">
      <c r="A1321" s="29" t="s">
        <v>1534</v>
      </c>
      <c r="B1321" s="30" t="s">
        <v>25</v>
      </c>
      <c r="C1321" s="31" t="s">
        <v>26</v>
      </c>
      <c r="D1321" s="32" t="str">
        <f t="shared" si="1"/>
        <v>Removed</v>
      </c>
      <c r="E1321" s="33">
        <v>45153.0</v>
      </c>
      <c r="F1321" s="34">
        <v>45523.0</v>
      </c>
      <c r="G1321" s="36">
        <f t="shared" si="2"/>
        <v>12.13333333</v>
      </c>
      <c r="H1321" s="37">
        <v>45153.0</v>
      </c>
      <c r="I1321" s="36">
        <f t="shared" si="4"/>
        <v>0</v>
      </c>
      <c r="J1321" s="38">
        <v>83.0</v>
      </c>
      <c r="K1321" s="39">
        <v>6.2</v>
      </c>
      <c r="L1321" s="38">
        <v>8.0</v>
      </c>
      <c r="M1321" s="40" t="s">
        <v>70</v>
      </c>
      <c r="N1321" s="41"/>
      <c r="O1321" s="42" t="s">
        <v>149</v>
      </c>
      <c r="P1321" s="43"/>
    </row>
    <row r="1322">
      <c r="A1322" s="44" t="s">
        <v>1535</v>
      </c>
      <c r="B1322" s="45" t="s">
        <v>45</v>
      </c>
      <c r="C1322" s="46" t="s">
        <v>26</v>
      </c>
      <c r="D1322" s="47" t="str">
        <f t="shared" si="1"/>
        <v>Removed</v>
      </c>
      <c r="E1322" s="48">
        <v>45153.0</v>
      </c>
      <c r="F1322" s="49">
        <v>45523.0</v>
      </c>
      <c r="G1322" s="50">
        <f t="shared" si="2"/>
        <v>12.13333333</v>
      </c>
      <c r="H1322" s="51">
        <v>44719.0</v>
      </c>
      <c r="I1322" s="50">
        <f t="shared" si="4"/>
        <v>1.188888889</v>
      </c>
      <c r="J1322" s="55">
        <v>70.0</v>
      </c>
      <c r="K1322" s="56">
        <v>7.5</v>
      </c>
      <c r="L1322" s="55">
        <v>29.0</v>
      </c>
      <c r="M1322" s="58" t="s">
        <v>103</v>
      </c>
      <c r="N1322" s="59"/>
      <c r="O1322" s="60" t="s">
        <v>149</v>
      </c>
      <c r="P1322" s="61"/>
    </row>
    <row r="1323">
      <c r="A1323" s="29" t="s">
        <v>1536</v>
      </c>
      <c r="B1323" s="30" t="s">
        <v>25</v>
      </c>
      <c r="C1323" s="31" t="s">
        <v>41</v>
      </c>
      <c r="D1323" s="32" t="str">
        <f t="shared" si="1"/>
        <v>Removed</v>
      </c>
      <c r="E1323" s="33">
        <v>44978.0</v>
      </c>
      <c r="F1323" s="34">
        <v>45523.0</v>
      </c>
      <c r="G1323" s="36">
        <f t="shared" si="2"/>
        <v>17.93333333</v>
      </c>
      <c r="H1323" s="37">
        <v>36646.0</v>
      </c>
      <c r="I1323" s="36">
        <f t="shared" si="4"/>
        <v>22.80833333</v>
      </c>
      <c r="J1323" s="38">
        <v>78.0</v>
      </c>
      <c r="K1323" s="39">
        <v>8.8</v>
      </c>
      <c r="L1323" s="38">
        <v>40.0</v>
      </c>
      <c r="M1323" s="40" t="s">
        <v>42</v>
      </c>
      <c r="N1323" s="41" t="s">
        <v>61</v>
      </c>
      <c r="O1323" s="42" t="s">
        <v>149</v>
      </c>
      <c r="P1323" s="67"/>
    </row>
    <row r="1324">
      <c r="A1324" s="44" t="s">
        <v>1537</v>
      </c>
      <c r="B1324" s="45" t="s">
        <v>25</v>
      </c>
      <c r="C1324" s="46" t="s">
        <v>46</v>
      </c>
      <c r="D1324" s="47" t="str">
        <f t="shared" si="1"/>
        <v>Removed</v>
      </c>
      <c r="E1324" s="48">
        <v>44978.0</v>
      </c>
      <c r="F1324" s="49">
        <v>45523.0</v>
      </c>
      <c r="G1324" s="50">
        <f t="shared" si="2"/>
        <v>17.93333333</v>
      </c>
      <c r="H1324" s="51">
        <v>44040.0</v>
      </c>
      <c r="I1324" s="50">
        <f t="shared" si="4"/>
        <v>2.563888889</v>
      </c>
      <c r="J1324" s="55">
        <v>70.0</v>
      </c>
      <c r="K1324" s="56">
        <v>8.0</v>
      </c>
      <c r="L1324" s="55">
        <v>8.0</v>
      </c>
      <c r="M1324" s="58" t="s">
        <v>29</v>
      </c>
      <c r="N1324" s="59" t="s">
        <v>61</v>
      </c>
      <c r="O1324" s="60" t="s">
        <v>149</v>
      </c>
      <c r="P1324" s="66"/>
    </row>
    <row r="1325">
      <c r="A1325" s="29" t="s">
        <v>1538</v>
      </c>
      <c r="B1325" s="30" t="s">
        <v>45</v>
      </c>
      <c r="C1325" s="31" t="s">
        <v>26</v>
      </c>
      <c r="D1325" s="32" t="str">
        <f t="shared" si="1"/>
        <v>Removed</v>
      </c>
      <c r="E1325" s="33">
        <v>44789.0</v>
      </c>
      <c r="F1325" s="34">
        <v>45523.0</v>
      </c>
      <c r="G1325" s="36">
        <f t="shared" si="2"/>
        <v>24.1</v>
      </c>
      <c r="H1325" s="37">
        <v>43945.0</v>
      </c>
      <c r="I1325" s="36">
        <f t="shared" si="4"/>
        <v>2.311111111</v>
      </c>
      <c r="J1325" s="38">
        <v>76.0</v>
      </c>
      <c r="K1325" s="39">
        <v>7.5</v>
      </c>
      <c r="L1325" s="38">
        <v>21.0</v>
      </c>
      <c r="M1325" s="40" t="s">
        <v>42</v>
      </c>
      <c r="N1325" s="41"/>
      <c r="O1325" s="42" t="s">
        <v>149</v>
      </c>
      <c r="P1325" s="43"/>
    </row>
    <row r="1326">
      <c r="A1326" s="44" t="s">
        <v>1539</v>
      </c>
      <c r="B1326" s="45" t="s">
        <v>25</v>
      </c>
      <c r="C1326" s="46" t="s">
        <v>1089</v>
      </c>
      <c r="D1326" s="47" t="str">
        <f t="shared" si="1"/>
        <v>Removed</v>
      </c>
      <c r="E1326" s="48">
        <v>45475.0</v>
      </c>
      <c r="F1326" s="49">
        <v>45509.0</v>
      </c>
      <c r="G1326" s="50">
        <f t="shared" si="2"/>
        <v>1.1</v>
      </c>
      <c r="H1326" s="51">
        <v>43420.0</v>
      </c>
      <c r="I1326" s="50">
        <f t="shared" si="4"/>
        <v>5.627777778</v>
      </c>
      <c r="J1326" s="55">
        <v>85.0</v>
      </c>
      <c r="K1326" s="56">
        <v>6.8</v>
      </c>
      <c r="L1326" s="55">
        <v>19.0</v>
      </c>
      <c r="M1326" s="58" t="s">
        <v>36</v>
      </c>
      <c r="N1326" s="59"/>
      <c r="O1326" s="60" t="s">
        <v>34</v>
      </c>
      <c r="P1326" s="61"/>
    </row>
    <row r="1327">
      <c r="A1327" s="29" t="s">
        <v>1540</v>
      </c>
      <c r="B1327" s="30" t="s">
        <v>25</v>
      </c>
      <c r="C1327" s="31" t="s">
        <v>1089</v>
      </c>
      <c r="D1327" s="32" t="str">
        <f t="shared" si="1"/>
        <v>Removed</v>
      </c>
      <c r="E1327" s="33">
        <v>45475.0</v>
      </c>
      <c r="F1327" s="34">
        <v>45509.0</v>
      </c>
      <c r="G1327" s="36">
        <f t="shared" si="2"/>
        <v>1.1</v>
      </c>
      <c r="H1327" s="37">
        <v>43721.0</v>
      </c>
      <c r="I1327" s="36">
        <f t="shared" si="4"/>
        <v>4.802777778</v>
      </c>
      <c r="J1327" s="38">
        <v>81.0</v>
      </c>
      <c r="K1327" s="39">
        <v>5.6</v>
      </c>
      <c r="L1327" s="38">
        <v>23.0</v>
      </c>
      <c r="M1327" s="40" t="s">
        <v>31</v>
      </c>
      <c r="N1327" s="41"/>
      <c r="O1327" s="42" t="s">
        <v>34</v>
      </c>
      <c r="P1327" s="43"/>
    </row>
    <row r="1328">
      <c r="A1328" s="44" t="s">
        <v>1541</v>
      </c>
      <c r="B1328" s="45" t="s">
        <v>25</v>
      </c>
      <c r="C1328" s="46" t="s">
        <v>1089</v>
      </c>
      <c r="D1328" s="47" t="str">
        <f t="shared" si="1"/>
        <v>Removed</v>
      </c>
      <c r="E1328" s="48">
        <v>45475.0</v>
      </c>
      <c r="F1328" s="49">
        <v>45509.0</v>
      </c>
      <c r="G1328" s="50">
        <f t="shared" si="2"/>
        <v>1.1</v>
      </c>
      <c r="H1328" s="51">
        <v>45205.0</v>
      </c>
      <c r="I1328" s="50">
        <f t="shared" si="4"/>
        <v>0.7388888889</v>
      </c>
      <c r="J1328" s="55">
        <v>71.0</v>
      </c>
      <c r="K1328" s="56">
        <v>3.5</v>
      </c>
      <c r="L1328" s="55">
        <v>9.0</v>
      </c>
      <c r="M1328" s="58" t="s">
        <v>125</v>
      </c>
      <c r="N1328" s="59"/>
      <c r="O1328" s="60" t="s">
        <v>34</v>
      </c>
      <c r="P1328" s="61"/>
    </row>
    <row r="1329">
      <c r="A1329" s="29" t="s">
        <v>1542</v>
      </c>
      <c r="B1329" s="30" t="s">
        <v>25</v>
      </c>
      <c r="C1329" s="31" t="s">
        <v>26</v>
      </c>
      <c r="D1329" s="32" t="str">
        <f t="shared" si="1"/>
        <v>Removed</v>
      </c>
      <c r="E1329" s="33">
        <v>45307.0</v>
      </c>
      <c r="F1329" s="34">
        <v>45488.0</v>
      </c>
      <c r="G1329" s="36">
        <f t="shared" si="2"/>
        <v>5.966666667</v>
      </c>
      <c r="H1329" s="37">
        <v>44645.0</v>
      </c>
      <c r="I1329" s="36">
        <f t="shared" si="4"/>
        <v>1.808333333</v>
      </c>
      <c r="J1329" s="38">
        <v>78.0</v>
      </c>
      <c r="K1329" s="39">
        <v>5.6</v>
      </c>
      <c r="L1329" s="38">
        <v>16.0</v>
      </c>
      <c r="M1329" s="40" t="s">
        <v>31</v>
      </c>
      <c r="N1329" s="41"/>
      <c r="O1329" s="42" t="s">
        <v>149</v>
      </c>
      <c r="P1329" s="43"/>
    </row>
    <row r="1330">
      <c r="A1330" s="44" t="s">
        <v>1543</v>
      </c>
      <c r="B1330" s="45" t="s">
        <v>25</v>
      </c>
      <c r="C1330" s="46" t="s">
        <v>26</v>
      </c>
      <c r="D1330" s="47" t="str">
        <f t="shared" si="1"/>
        <v>Removed</v>
      </c>
      <c r="E1330" s="48">
        <v>45125.0</v>
      </c>
      <c r="F1330" s="49">
        <v>45488.0</v>
      </c>
      <c r="G1330" s="50">
        <f t="shared" si="2"/>
        <v>11.9</v>
      </c>
      <c r="H1330" s="51">
        <v>44580.0</v>
      </c>
      <c r="I1330" s="50">
        <f t="shared" si="4"/>
        <v>1.497222222</v>
      </c>
      <c r="J1330" s="55">
        <v>84.0</v>
      </c>
      <c r="K1330" s="56">
        <v>7.6</v>
      </c>
      <c r="L1330" s="55">
        <v>33.0</v>
      </c>
      <c r="M1330" s="58" t="s">
        <v>29</v>
      </c>
      <c r="N1330" s="59"/>
      <c r="O1330" s="60" t="s">
        <v>149</v>
      </c>
      <c r="P1330" s="61"/>
    </row>
    <row r="1331">
      <c r="A1331" s="29" t="s">
        <v>1544</v>
      </c>
      <c r="B1331" s="30" t="s">
        <v>25</v>
      </c>
      <c r="C1331" s="31" t="s">
        <v>26</v>
      </c>
      <c r="D1331" s="32" t="str">
        <f t="shared" si="1"/>
        <v>Removed</v>
      </c>
      <c r="E1331" s="33">
        <v>45125.0</v>
      </c>
      <c r="F1331" s="34">
        <v>45488.0</v>
      </c>
      <c r="G1331" s="36">
        <f t="shared" si="2"/>
        <v>11.9</v>
      </c>
      <c r="H1331" s="37">
        <v>44505.0</v>
      </c>
      <c r="I1331" s="36">
        <f t="shared" si="4"/>
        <v>1.702777778</v>
      </c>
      <c r="J1331" s="38">
        <v>52.0</v>
      </c>
      <c r="K1331" s="39">
        <v>7.0</v>
      </c>
      <c r="L1331" s="38">
        <v>2.0</v>
      </c>
      <c r="M1331" s="40" t="s">
        <v>95</v>
      </c>
      <c r="N1331" s="41"/>
      <c r="O1331" s="42" t="s">
        <v>149</v>
      </c>
      <c r="P1331" s="43"/>
    </row>
    <row r="1332">
      <c r="A1332" s="44" t="s">
        <v>1545</v>
      </c>
      <c r="B1332" s="45" t="s">
        <v>25</v>
      </c>
      <c r="C1332" s="46" t="s">
        <v>26</v>
      </c>
      <c r="D1332" s="47" t="str">
        <f t="shared" si="1"/>
        <v>Removed</v>
      </c>
      <c r="E1332" s="48">
        <v>45125.0</v>
      </c>
      <c r="F1332" s="49">
        <v>45488.0</v>
      </c>
      <c r="G1332" s="50">
        <f t="shared" si="2"/>
        <v>11.9</v>
      </c>
      <c r="H1332" s="51">
        <v>44708.0</v>
      </c>
      <c r="I1332" s="50">
        <f t="shared" si="4"/>
        <v>1.141666667</v>
      </c>
      <c r="J1332" s="55">
        <v>40.0</v>
      </c>
      <c r="K1332" s="56">
        <v>8.0</v>
      </c>
      <c r="L1332" s="55">
        <v>2.0</v>
      </c>
      <c r="M1332" s="58" t="s">
        <v>29</v>
      </c>
      <c r="N1332" s="59"/>
      <c r="O1332" s="60" t="s">
        <v>149</v>
      </c>
      <c r="P1332" s="61"/>
    </row>
    <row r="1333">
      <c r="A1333" s="29" t="s">
        <v>1546</v>
      </c>
      <c r="B1333" s="30" t="s">
        <v>45</v>
      </c>
      <c r="C1333" s="31" t="s">
        <v>26</v>
      </c>
      <c r="D1333" s="32" t="str">
        <f t="shared" si="1"/>
        <v>Removed</v>
      </c>
      <c r="E1333" s="33">
        <v>44761.0</v>
      </c>
      <c r="F1333" s="34">
        <v>45488.0</v>
      </c>
      <c r="G1333" s="36">
        <f t="shared" si="2"/>
        <v>23.86666667</v>
      </c>
      <c r="H1333" s="37">
        <v>41506.0</v>
      </c>
      <c r="I1333" s="36">
        <f t="shared" si="4"/>
        <v>8.913888889</v>
      </c>
      <c r="J1333" s="38">
        <v>75.0</v>
      </c>
      <c r="K1333" s="39">
        <v>7.4</v>
      </c>
      <c r="L1333" s="38">
        <v>15.0</v>
      </c>
      <c r="M1333" s="40" t="s">
        <v>29</v>
      </c>
      <c r="N1333" s="41"/>
      <c r="O1333" s="42" t="s">
        <v>149</v>
      </c>
      <c r="P1333" s="43"/>
    </row>
    <row r="1334">
      <c r="A1334" s="44" t="s">
        <v>1547</v>
      </c>
      <c r="B1334" s="45" t="s">
        <v>45</v>
      </c>
      <c r="C1334" s="46" t="s">
        <v>26</v>
      </c>
      <c r="D1334" s="47" t="str">
        <f t="shared" si="1"/>
        <v>Removed</v>
      </c>
      <c r="E1334" s="48">
        <v>44725.0</v>
      </c>
      <c r="F1334" s="49">
        <v>45488.0</v>
      </c>
      <c r="G1334" s="50">
        <f t="shared" si="2"/>
        <v>25.06666667</v>
      </c>
      <c r="H1334" s="51">
        <v>43445.0</v>
      </c>
      <c r="I1334" s="50">
        <f t="shared" si="4"/>
        <v>3.505555556</v>
      </c>
      <c r="J1334" s="55">
        <v>78.0</v>
      </c>
      <c r="K1334" s="56">
        <v>7.6</v>
      </c>
      <c r="L1334" s="55">
        <v>26.0</v>
      </c>
      <c r="M1334" s="58" t="s">
        <v>27</v>
      </c>
      <c r="N1334" s="59"/>
      <c r="O1334" s="60" t="s">
        <v>149</v>
      </c>
      <c r="P1334" s="61" t="s">
        <v>149</v>
      </c>
    </row>
    <row r="1335">
      <c r="A1335" s="29" t="s">
        <v>1548</v>
      </c>
      <c r="B1335" s="30" t="s">
        <v>45</v>
      </c>
      <c r="C1335" s="31" t="s">
        <v>1089</v>
      </c>
      <c r="D1335" s="32" t="str">
        <f t="shared" si="1"/>
        <v>Removed</v>
      </c>
      <c r="E1335" s="33">
        <v>45447.0</v>
      </c>
      <c r="F1335" s="34">
        <v>45474.0</v>
      </c>
      <c r="G1335" s="36">
        <f t="shared" si="2"/>
        <v>0.9</v>
      </c>
      <c r="H1335" s="37">
        <v>44957.0</v>
      </c>
      <c r="I1335" s="36">
        <f t="shared" si="4"/>
        <v>1.344444444</v>
      </c>
      <c r="J1335" s="38">
        <v>70.0</v>
      </c>
      <c r="K1335" s="39">
        <v>8.3</v>
      </c>
      <c r="L1335" s="38">
        <v>7.0</v>
      </c>
      <c r="M1335" s="40" t="s">
        <v>27</v>
      </c>
      <c r="N1335" s="41"/>
      <c r="O1335" s="42" t="s">
        <v>34</v>
      </c>
      <c r="P1335" s="43"/>
    </row>
    <row r="1336">
      <c r="A1336" s="44" t="s">
        <v>1549</v>
      </c>
      <c r="B1336" s="45" t="s">
        <v>45</v>
      </c>
      <c r="C1336" s="46" t="s">
        <v>1089</v>
      </c>
      <c r="D1336" s="47" t="str">
        <f t="shared" si="1"/>
        <v>Removed</v>
      </c>
      <c r="E1336" s="48">
        <v>45447.0</v>
      </c>
      <c r="F1336" s="49">
        <v>45474.0</v>
      </c>
      <c r="G1336" s="50">
        <f t="shared" si="2"/>
        <v>0.9</v>
      </c>
      <c r="H1336" s="51">
        <v>45106.0</v>
      </c>
      <c r="I1336" s="50">
        <f t="shared" si="4"/>
        <v>0.9305555556</v>
      </c>
      <c r="J1336" s="55">
        <v>64.0</v>
      </c>
      <c r="K1336" s="56">
        <v>5.6</v>
      </c>
      <c r="L1336" s="55">
        <v>4.0</v>
      </c>
      <c r="M1336" s="58" t="s">
        <v>114</v>
      </c>
      <c r="N1336" s="59"/>
      <c r="O1336" s="60" t="s">
        <v>34</v>
      </c>
      <c r="P1336" s="61"/>
    </row>
    <row r="1337">
      <c r="A1337" s="29" t="s">
        <v>1550</v>
      </c>
      <c r="B1337" s="30" t="s">
        <v>45</v>
      </c>
      <c r="C1337" s="31" t="s">
        <v>1089</v>
      </c>
      <c r="D1337" s="32" t="str">
        <f t="shared" si="1"/>
        <v>Removed</v>
      </c>
      <c r="E1337" s="33">
        <v>45447.0</v>
      </c>
      <c r="F1337" s="34">
        <v>45474.0</v>
      </c>
      <c r="G1337" s="36">
        <f t="shared" si="2"/>
        <v>0.9</v>
      </c>
      <c r="H1337" s="37">
        <v>43951.0</v>
      </c>
      <c r="I1337" s="36">
        <f t="shared" si="4"/>
        <v>4.094444444</v>
      </c>
      <c r="J1337" s="38">
        <v>84.0</v>
      </c>
      <c r="K1337" s="39">
        <v>8.2</v>
      </c>
      <c r="L1337" s="38">
        <v>3.0</v>
      </c>
      <c r="M1337" s="40" t="s">
        <v>29</v>
      </c>
      <c r="N1337" s="41"/>
      <c r="O1337" s="42" t="s">
        <v>34</v>
      </c>
      <c r="P1337" s="43"/>
    </row>
    <row r="1338">
      <c r="A1338" s="44" t="s">
        <v>1551</v>
      </c>
      <c r="B1338" s="45" t="s">
        <v>25</v>
      </c>
      <c r="C1338" s="46" t="s">
        <v>1089</v>
      </c>
      <c r="D1338" s="47" t="str">
        <f t="shared" si="1"/>
        <v>Removed</v>
      </c>
      <c r="E1338" s="48">
        <v>45419.0</v>
      </c>
      <c r="F1338" s="49">
        <v>45461.0</v>
      </c>
      <c r="G1338" s="50">
        <f t="shared" si="2"/>
        <v>1.366666667</v>
      </c>
      <c r="H1338" s="51">
        <v>45198.0</v>
      </c>
      <c r="I1338" s="50">
        <f t="shared" si="4"/>
        <v>0.6055555556</v>
      </c>
      <c r="J1338" s="55">
        <v>75.0</v>
      </c>
      <c r="K1338" s="56">
        <v>2.3</v>
      </c>
      <c r="L1338" s="55">
        <v>36.0</v>
      </c>
      <c r="M1338" s="58" t="s">
        <v>125</v>
      </c>
      <c r="N1338" s="59"/>
      <c r="O1338" s="60" t="s">
        <v>34</v>
      </c>
      <c r="P1338" s="61"/>
    </row>
    <row r="1339">
      <c r="A1339" s="29" t="s">
        <v>1552</v>
      </c>
      <c r="B1339" s="30" t="s">
        <v>25</v>
      </c>
      <c r="C1339" s="31" t="s">
        <v>26</v>
      </c>
      <c r="D1339" s="32" t="str">
        <f t="shared" si="1"/>
        <v>Removed</v>
      </c>
      <c r="E1339" s="33">
        <v>45279.0</v>
      </c>
      <c r="F1339" s="34">
        <v>45460.0</v>
      </c>
      <c r="G1339" s="36">
        <f t="shared" si="2"/>
        <v>5.933333333</v>
      </c>
      <c r="H1339" s="37">
        <v>45085.0</v>
      </c>
      <c r="I1339" s="36">
        <f t="shared" si="4"/>
        <v>0.5305555556</v>
      </c>
      <c r="J1339" s="38">
        <v>74.0</v>
      </c>
      <c r="K1339" s="39">
        <v>7.1</v>
      </c>
      <c r="L1339" s="38">
        <v>7.0</v>
      </c>
      <c r="M1339" s="40" t="s">
        <v>95</v>
      </c>
      <c r="N1339" s="41"/>
      <c r="O1339" s="42" t="s">
        <v>149</v>
      </c>
      <c r="P1339" s="43"/>
    </row>
    <row r="1340">
      <c r="A1340" s="44" t="s">
        <v>1553</v>
      </c>
      <c r="B1340" s="45" t="s">
        <v>45</v>
      </c>
      <c r="C1340" s="46" t="s">
        <v>26</v>
      </c>
      <c r="D1340" s="47" t="str">
        <f t="shared" si="1"/>
        <v>Removed</v>
      </c>
      <c r="E1340" s="48">
        <v>45125.0</v>
      </c>
      <c r="F1340" s="49">
        <v>45460.0</v>
      </c>
      <c r="G1340" s="50">
        <f t="shared" si="2"/>
        <v>10.96666667</v>
      </c>
      <c r="H1340" s="51">
        <v>43641.0</v>
      </c>
      <c r="I1340" s="50">
        <f t="shared" si="4"/>
        <v>4.063888889</v>
      </c>
      <c r="J1340" s="55">
        <v>53.0</v>
      </c>
      <c r="K1340" s="56">
        <v>4.3</v>
      </c>
      <c r="L1340" s="55">
        <v>8.0</v>
      </c>
      <c r="M1340" s="58" t="s">
        <v>95</v>
      </c>
      <c r="N1340" s="59"/>
      <c r="O1340" s="60" t="s">
        <v>149</v>
      </c>
      <c r="P1340" s="61"/>
    </row>
    <row r="1341">
      <c r="A1341" s="29" t="s">
        <v>1554</v>
      </c>
      <c r="B1341" s="30" t="s">
        <v>45</v>
      </c>
      <c r="C1341" s="31" t="s">
        <v>26</v>
      </c>
      <c r="D1341" s="32" t="str">
        <f t="shared" si="1"/>
        <v>Removed</v>
      </c>
      <c r="E1341" s="33">
        <v>45125.0</v>
      </c>
      <c r="F1341" s="34">
        <v>45460.0</v>
      </c>
      <c r="G1341" s="36">
        <f t="shared" si="2"/>
        <v>10.96666667</v>
      </c>
      <c r="H1341" s="37">
        <v>44005.0</v>
      </c>
      <c r="I1341" s="36">
        <f t="shared" si="4"/>
        <v>3.069444444</v>
      </c>
      <c r="J1341" s="38">
        <v>68.0</v>
      </c>
      <c r="K1341" s="39">
        <v>8.9</v>
      </c>
      <c r="L1341" s="38">
        <v>9.0</v>
      </c>
      <c r="M1341" s="40" t="s">
        <v>27</v>
      </c>
      <c r="N1341" s="41"/>
      <c r="O1341" s="42" t="s">
        <v>149</v>
      </c>
      <c r="P1341" s="43"/>
    </row>
    <row r="1342">
      <c r="A1342" s="44" t="s">
        <v>1555</v>
      </c>
      <c r="B1342" s="45" t="s">
        <v>25</v>
      </c>
      <c r="C1342" s="46" t="s">
        <v>26</v>
      </c>
      <c r="D1342" s="47" t="str">
        <f t="shared" si="1"/>
        <v>Removed</v>
      </c>
      <c r="E1342" s="48">
        <v>45097.0</v>
      </c>
      <c r="F1342" s="49">
        <v>45460.0</v>
      </c>
      <c r="G1342" s="50">
        <f t="shared" si="2"/>
        <v>11.9</v>
      </c>
      <c r="H1342" s="51">
        <v>44757.0</v>
      </c>
      <c r="I1342" s="50">
        <f t="shared" si="4"/>
        <v>0.9305555556</v>
      </c>
      <c r="J1342" s="55">
        <v>60.0</v>
      </c>
      <c r="K1342" s="56">
        <v>3.5</v>
      </c>
      <c r="L1342" s="55">
        <v>3.0</v>
      </c>
      <c r="M1342" s="58" t="s">
        <v>29</v>
      </c>
      <c r="N1342" s="59"/>
      <c r="O1342" s="60" t="s">
        <v>149</v>
      </c>
      <c r="P1342" s="61"/>
    </row>
    <row r="1343">
      <c r="A1343" s="29" t="s">
        <v>1556</v>
      </c>
      <c r="B1343" s="30" t="s">
        <v>45</v>
      </c>
      <c r="C1343" s="31" t="s">
        <v>26</v>
      </c>
      <c r="D1343" s="32" t="str">
        <f t="shared" si="1"/>
        <v>Removed</v>
      </c>
      <c r="E1343" s="33">
        <v>45097.0</v>
      </c>
      <c r="F1343" s="34">
        <v>45460.0</v>
      </c>
      <c r="G1343" s="36">
        <f t="shared" si="2"/>
        <v>11.9</v>
      </c>
      <c r="H1343" s="37">
        <v>44413.0</v>
      </c>
      <c r="I1343" s="36">
        <f t="shared" si="4"/>
        <v>1.875</v>
      </c>
      <c r="J1343" s="38">
        <v>81.0</v>
      </c>
      <c r="K1343" s="39">
        <v>8.0</v>
      </c>
      <c r="L1343" s="38">
        <v>10.0</v>
      </c>
      <c r="M1343" s="40" t="s">
        <v>125</v>
      </c>
      <c r="N1343" s="41"/>
      <c r="O1343" s="42" t="s">
        <v>149</v>
      </c>
      <c r="P1343" s="43"/>
    </row>
    <row r="1344">
      <c r="A1344" s="44" t="s">
        <v>1557</v>
      </c>
      <c r="B1344" s="45" t="s">
        <v>45</v>
      </c>
      <c r="C1344" s="46" t="s">
        <v>26</v>
      </c>
      <c r="D1344" s="47" t="str">
        <f t="shared" si="1"/>
        <v>Removed</v>
      </c>
      <c r="E1344" s="48">
        <v>45097.0</v>
      </c>
      <c r="F1344" s="49">
        <v>45460.0</v>
      </c>
      <c r="G1344" s="50">
        <f t="shared" si="2"/>
        <v>11.9</v>
      </c>
      <c r="H1344" s="51">
        <v>42290.0</v>
      </c>
      <c r="I1344" s="50">
        <f t="shared" si="4"/>
        <v>7.686111111</v>
      </c>
      <c r="J1344" s="55">
        <v>88.0</v>
      </c>
      <c r="K1344" s="56">
        <v>8.2</v>
      </c>
      <c r="L1344" s="55">
        <v>16.0</v>
      </c>
      <c r="M1344" s="58" t="s">
        <v>29</v>
      </c>
      <c r="N1344" s="59"/>
      <c r="O1344" s="60" t="s">
        <v>149</v>
      </c>
      <c r="P1344" s="61"/>
    </row>
    <row r="1345">
      <c r="A1345" s="29" t="s">
        <v>1558</v>
      </c>
      <c r="B1345" s="30" t="s">
        <v>45</v>
      </c>
      <c r="C1345" s="31" t="s">
        <v>26</v>
      </c>
      <c r="D1345" s="32" t="str">
        <f t="shared" si="1"/>
        <v>Removed</v>
      </c>
      <c r="E1345" s="33">
        <v>45097.0</v>
      </c>
      <c r="F1345" s="34">
        <v>45460.0</v>
      </c>
      <c r="G1345" s="36">
        <f t="shared" si="2"/>
        <v>11.9</v>
      </c>
      <c r="H1345" s="37">
        <v>44516.0</v>
      </c>
      <c r="I1345" s="36">
        <f t="shared" si="4"/>
        <v>1.594444444</v>
      </c>
      <c r="J1345" s="38">
        <v>75.0</v>
      </c>
      <c r="K1345" s="39">
        <v>8.0</v>
      </c>
      <c r="L1345" s="38">
        <v>11.0</v>
      </c>
      <c r="M1345" s="40" t="s">
        <v>29</v>
      </c>
      <c r="N1345" s="41"/>
      <c r="O1345" s="42" t="s">
        <v>149</v>
      </c>
      <c r="P1345" s="43"/>
    </row>
    <row r="1346">
      <c r="A1346" s="44" t="s">
        <v>1559</v>
      </c>
      <c r="B1346" s="45" t="s">
        <v>45</v>
      </c>
      <c r="C1346" s="46" t="s">
        <v>26</v>
      </c>
      <c r="D1346" s="47" t="str">
        <f t="shared" si="1"/>
        <v>Removed</v>
      </c>
      <c r="E1346" s="48">
        <v>44725.0</v>
      </c>
      <c r="F1346" s="49">
        <v>45460.0</v>
      </c>
      <c r="G1346" s="50">
        <f t="shared" si="2"/>
        <v>24.13333333</v>
      </c>
      <c r="H1346" s="51">
        <v>41493.0</v>
      </c>
      <c r="I1346" s="50">
        <f t="shared" si="4"/>
        <v>8.85</v>
      </c>
      <c r="J1346" s="55">
        <v>77.0</v>
      </c>
      <c r="K1346" s="56">
        <v>8.6</v>
      </c>
      <c r="L1346" s="55">
        <v>3.0</v>
      </c>
      <c r="M1346" s="58" t="s">
        <v>136</v>
      </c>
      <c r="N1346" s="59"/>
      <c r="O1346" s="60" t="s">
        <v>149</v>
      </c>
      <c r="P1346" s="61"/>
    </row>
    <row r="1347">
      <c r="A1347" s="29" t="s">
        <v>1560</v>
      </c>
      <c r="B1347" s="30" t="s">
        <v>45</v>
      </c>
      <c r="C1347" s="31" t="s">
        <v>26</v>
      </c>
      <c r="D1347" s="32" t="str">
        <f t="shared" si="1"/>
        <v>Removed</v>
      </c>
      <c r="E1347" s="33">
        <v>44725.0</v>
      </c>
      <c r="F1347" s="34">
        <v>45460.0</v>
      </c>
      <c r="G1347" s="36">
        <f t="shared" si="2"/>
        <v>24.13333333</v>
      </c>
      <c r="H1347" s="37">
        <v>42948.0</v>
      </c>
      <c r="I1347" s="36">
        <f t="shared" si="4"/>
        <v>4.866666667</v>
      </c>
      <c r="J1347" s="38">
        <v>80.0</v>
      </c>
      <c r="K1347" s="39">
        <v>8.0</v>
      </c>
      <c r="L1347" s="38">
        <v>17.0</v>
      </c>
      <c r="M1347" s="40" t="s">
        <v>103</v>
      </c>
      <c r="N1347" s="41"/>
      <c r="O1347" s="42" t="s">
        <v>149</v>
      </c>
      <c r="P1347" s="43"/>
    </row>
    <row r="1348">
      <c r="A1348" s="44" t="s">
        <v>1561</v>
      </c>
      <c r="B1348" s="45" t="s">
        <v>45</v>
      </c>
      <c r="C1348" s="46" t="s">
        <v>26</v>
      </c>
      <c r="D1348" s="47" t="str">
        <f t="shared" si="1"/>
        <v>Removed</v>
      </c>
      <c r="E1348" s="48">
        <v>44725.0</v>
      </c>
      <c r="F1348" s="49">
        <v>45460.0</v>
      </c>
      <c r="G1348" s="50">
        <f t="shared" si="2"/>
        <v>24.13333333</v>
      </c>
      <c r="H1348" s="51">
        <v>43700.0</v>
      </c>
      <c r="I1348" s="50">
        <f t="shared" si="4"/>
        <v>2.805555556</v>
      </c>
      <c r="J1348" s="55">
        <v>79.0</v>
      </c>
      <c r="K1348" s="56">
        <v>6.9</v>
      </c>
      <c r="L1348" s="55">
        <v>5.0</v>
      </c>
      <c r="M1348" s="58" t="s">
        <v>555</v>
      </c>
      <c r="N1348" s="59"/>
      <c r="O1348" s="60" t="s">
        <v>149</v>
      </c>
      <c r="P1348" s="61"/>
    </row>
    <row r="1349">
      <c r="A1349" s="29" t="s">
        <v>1562</v>
      </c>
      <c r="B1349" s="30" t="s">
        <v>45</v>
      </c>
      <c r="C1349" s="31" t="s">
        <v>26</v>
      </c>
      <c r="D1349" s="32" t="str">
        <f t="shared" si="1"/>
        <v>Removed</v>
      </c>
      <c r="E1349" s="33">
        <v>44725.0</v>
      </c>
      <c r="F1349" s="34">
        <v>45460.0</v>
      </c>
      <c r="G1349" s="36">
        <f t="shared" si="2"/>
        <v>24.13333333</v>
      </c>
      <c r="H1349" s="37">
        <v>41827.0</v>
      </c>
      <c r="I1349" s="36">
        <f t="shared" si="4"/>
        <v>7.933333333</v>
      </c>
      <c r="J1349" s="38">
        <v>50.0</v>
      </c>
      <c r="K1349" s="39">
        <v>5.5</v>
      </c>
      <c r="L1349" s="76"/>
      <c r="M1349" s="40" t="s">
        <v>36</v>
      </c>
      <c r="N1349" s="41"/>
      <c r="O1349" s="42" t="s">
        <v>149</v>
      </c>
      <c r="P1349" s="43"/>
    </row>
    <row r="1350">
      <c r="A1350" s="44" t="s">
        <v>1563</v>
      </c>
      <c r="B1350" s="45" t="s">
        <v>45</v>
      </c>
      <c r="C1350" s="46" t="s">
        <v>46</v>
      </c>
      <c r="D1350" s="47" t="str">
        <f t="shared" si="1"/>
        <v>Removed</v>
      </c>
      <c r="E1350" s="48">
        <v>44725.0</v>
      </c>
      <c r="F1350" s="49">
        <v>45460.0</v>
      </c>
      <c r="G1350" s="50">
        <f t="shared" si="2"/>
        <v>24.13333333</v>
      </c>
      <c r="H1350" s="51">
        <v>42979.0</v>
      </c>
      <c r="I1350" s="50">
        <f t="shared" si="4"/>
        <v>4.783333333</v>
      </c>
      <c r="J1350" s="55">
        <v>65.0</v>
      </c>
      <c r="K1350" s="56">
        <v>6.4</v>
      </c>
      <c r="L1350" s="55">
        <v>12.0</v>
      </c>
      <c r="M1350" s="58" t="s">
        <v>95</v>
      </c>
      <c r="N1350" s="59" t="s">
        <v>442</v>
      </c>
      <c r="O1350" s="60" t="s">
        <v>149</v>
      </c>
      <c r="P1350" s="66" t="s">
        <v>149</v>
      </c>
    </row>
    <row r="1351">
      <c r="A1351" s="29" t="s">
        <v>1564</v>
      </c>
      <c r="B1351" s="30" t="s">
        <v>45</v>
      </c>
      <c r="C1351" s="31" t="s">
        <v>26</v>
      </c>
      <c r="D1351" s="32" t="str">
        <f t="shared" si="1"/>
        <v>Removed</v>
      </c>
      <c r="E1351" s="33">
        <v>44446.0</v>
      </c>
      <c r="F1351" s="34">
        <v>45460.0</v>
      </c>
      <c r="G1351" s="36">
        <f t="shared" si="2"/>
        <v>33.33333333</v>
      </c>
      <c r="H1351" s="37">
        <v>43746.0</v>
      </c>
      <c r="I1351" s="36">
        <f t="shared" si="4"/>
        <v>1.913888889</v>
      </c>
      <c r="J1351" s="38">
        <v>79.0</v>
      </c>
      <c r="K1351" s="39">
        <v>7.4</v>
      </c>
      <c r="L1351" s="38">
        <v>18.5</v>
      </c>
      <c r="M1351" s="40" t="s">
        <v>27</v>
      </c>
      <c r="N1351" s="41"/>
      <c r="O1351" s="42" t="s">
        <v>149</v>
      </c>
      <c r="P1351" s="43" t="s">
        <v>149</v>
      </c>
    </row>
    <row r="1352">
      <c r="A1352" s="44" t="s">
        <v>1565</v>
      </c>
      <c r="B1352" s="45" t="s">
        <v>33</v>
      </c>
      <c r="C1352" s="46" t="s">
        <v>1089</v>
      </c>
      <c r="D1352" s="47" t="str">
        <f t="shared" si="1"/>
        <v>Removed</v>
      </c>
      <c r="E1352" s="48">
        <v>45419.0</v>
      </c>
      <c r="F1352" s="49">
        <v>45446.0</v>
      </c>
      <c r="G1352" s="50">
        <f t="shared" si="2"/>
        <v>0.8666666667</v>
      </c>
      <c r="H1352" s="51">
        <v>45225.0</v>
      </c>
      <c r="I1352" s="50">
        <f t="shared" si="4"/>
        <v>0.5305555556</v>
      </c>
      <c r="J1352" s="55">
        <v>80.0</v>
      </c>
      <c r="K1352" s="56">
        <v>7.9</v>
      </c>
      <c r="L1352" s="55">
        <v>8.0</v>
      </c>
      <c r="M1352" s="58" t="s">
        <v>27</v>
      </c>
      <c r="N1352" s="59"/>
      <c r="O1352" s="60" t="s">
        <v>34</v>
      </c>
      <c r="P1352" s="61"/>
    </row>
    <row r="1353">
      <c r="A1353" s="29" t="s">
        <v>1566</v>
      </c>
      <c r="B1353" s="30" t="s">
        <v>25</v>
      </c>
      <c r="C1353" s="31" t="s">
        <v>1089</v>
      </c>
      <c r="D1353" s="32" t="str">
        <f t="shared" si="1"/>
        <v>Removed</v>
      </c>
      <c r="E1353" s="33">
        <v>45419.0</v>
      </c>
      <c r="F1353" s="34">
        <v>45446.0</v>
      </c>
      <c r="G1353" s="36">
        <f t="shared" si="2"/>
        <v>0.8666666667</v>
      </c>
      <c r="H1353" s="37">
        <v>44985.0</v>
      </c>
      <c r="I1353" s="36">
        <f t="shared" si="4"/>
        <v>1.191666667</v>
      </c>
      <c r="J1353" s="38">
        <v>69.0</v>
      </c>
      <c r="K1353" s="39">
        <v>3.2</v>
      </c>
      <c r="L1353" s="38">
        <v>8.0</v>
      </c>
      <c r="M1353" s="40" t="s">
        <v>31</v>
      </c>
      <c r="N1353" s="41"/>
      <c r="O1353" s="42" t="s">
        <v>34</v>
      </c>
      <c r="P1353" s="43"/>
    </row>
    <row r="1354">
      <c r="A1354" s="44" t="s">
        <v>1567</v>
      </c>
      <c r="B1354" s="45" t="s">
        <v>25</v>
      </c>
      <c r="C1354" s="46" t="s">
        <v>1089</v>
      </c>
      <c r="D1354" s="47" t="str">
        <f t="shared" si="1"/>
        <v>Removed</v>
      </c>
      <c r="E1354" s="48">
        <v>45419.0</v>
      </c>
      <c r="F1354" s="49">
        <v>45446.0</v>
      </c>
      <c r="G1354" s="50">
        <f t="shared" si="2"/>
        <v>0.8666666667</v>
      </c>
      <c r="H1354" s="51">
        <v>44636.0</v>
      </c>
      <c r="I1354" s="50">
        <f t="shared" si="4"/>
        <v>2.141666667</v>
      </c>
      <c r="J1354" s="55">
        <v>85.0</v>
      </c>
      <c r="K1354" s="56">
        <v>7.8</v>
      </c>
      <c r="L1354" s="55">
        <v>12.0</v>
      </c>
      <c r="M1354" s="58" t="s">
        <v>29</v>
      </c>
      <c r="N1354" s="59"/>
      <c r="O1354" s="60" t="s">
        <v>34</v>
      </c>
      <c r="P1354" s="61"/>
    </row>
    <row r="1355">
      <c r="A1355" s="29" t="s">
        <v>1568</v>
      </c>
      <c r="B1355" s="30" t="s">
        <v>25</v>
      </c>
      <c r="C1355" s="31" t="s">
        <v>26</v>
      </c>
      <c r="D1355" s="32" t="str">
        <f t="shared" si="1"/>
        <v>Removed</v>
      </c>
      <c r="E1355" s="33">
        <v>45097.0</v>
      </c>
      <c r="F1355" s="34">
        <v>45433.0</v>
      </c>
      <c r="G1355" s="36">
        <f t="shared" si="2"/>
        <v>11.03333333</v>
      </c>
      <c r="H1355" s="37">
        <v>44621.0</v>
      </c>
      <c r="I1355" s="36">
        <f t="shared" si="4"/>
        <v>1.302777778</v>
      </c>
      <c r="J1355" s="38">
        <v>70.0</v>
      </c>
      <c r="K1355" s="39">
        <v>6.2</v>
      </c>
      <c r="L1355" s="38">
        <v>36.0</v>
      </c>
      <c r="M1355" s="40" t="s">
        <v>42</v>
      </c>
      <c r="N1355" s="41"/>
      <c r="O1355" s="42" t="s">
        <v>149</v>
      </c>
      <c r="P1355" s="43"/>
    </row>
    <row r="1356">
      <c r="A1356" s="44" t="s">
        <v>1569</v>
      </c>
      <c r="B1356" s="45" t="s">
        <v>25</v>
      </c>
      <c r="C1356" s="46" t="s">
        <v>26</v>
      </c>
      <c r="D1356" s="47" t="str">
        <f t="shared" si="1"/>
        <v>Removed</v>
      </c>
      <c r="E1356" s="48">
        <v>45097.0</v>
      </c>
      <c r="F1356" s="49">
        <v>45433.0</v>
      </c>
      <c r="G1356" s="50">
        <f t="shared" si="2"/>
        <v>11.03333333</v>
      </c>
      <c r="H1356" s="51">
        <v>44740.0</v>
      </c>
      <c r="I1356" s="50">
        <f t="shared" si="4"/>
        <v>0.9777777778</v>
      </c>
      <c r="J1356" s="55">
        <v>55.0</v>
      </c>
      <c r="K1356" s="56">
        <v>4.3</v>
      </c>
      <c r="L1356" s="55">
        <v>14.0</v>
      </c>
      <c r="M1356" s="58" t="s">
        <v>95</v>
      </c>
      <c r="N1356" s="59"/>
      <c r="O1356" s="60" t="s">
        <v>34</v>
      </c>
      <c r="P1356" s="61"/>
    </row>
    <row r="1357">
      <c r="A1357" s="29" t="s">
        <v>1570</v>
      </c>
      <c r="B1357" s="30" t="s">
        <v>45</v>
      </c>
      <c r="C1357" s="31" t="s">
        <v>26</v>
      </c>
      <c r="D1357" s="32" t="str">
        <f t="shared" si="1"/>
        <v>Removed</v>
      </c>
      <c r="E1357" s="33">
        <v>44725.0</v>
      </c>
      <c r="F1357" s="34">
        <v>45433.0</v>
      </c>
      <c r="G1357" s="36">
        <f t="shared" si="2"/>
        <v>23.26666667</v>
      </c>
      <c r="H1357" s="37">
        <v>43804.0</v>
      </c>
      <c r="I1357" s="36">
        <f t="shared" si="4"/>
        <v>2.522222222</v>
      </c>
      <c r="J1357" s="38">
        <v>79.0</v>
      </c>
      <c r="K1357" s="39">
        <v>7.4</v>
      </c>
      <c r="L1357" s="38">
        <v>14.0</v>
      </c>
      <c r="M1357" s="40" t="s">
        <v>42</v>
      </c>
      <c r="N1357" s="41"/>
      <c r="O1357" s="42" t="s">
        <v>149</v>
      </c>
      <c r="P1357" s="43" t="s">
        <v>149</v>
      </c>
    </row>
    <row r="1358">
      <c r="A1358" s="44" t="s">
        <v>1571</v>
      </c>
      <c r="B1358" s="45" t="s">
        <v>45</v>
      </c>
      <c r="C1358" s="46" t="s">
        <v>26</v>
      </c>
      <c r="D1358" s="47" t="str">
        <f t="shared" si="1"/>
        <v>Removed</v>
      </c>
      <c r="E1358" s="48">
        <v>44725.0</v>
      </c>
      <c r="F1358" s="49">
        <v>45433.0</v>
      </c>
      <c r="G1358" s="50">
        <f t="shared" si="2"/>
        <v>23.26666667</v>
      </c>
      <c r="H1358" s="51">
        <v>43431.0</v>
      </c>
      <c r="I1358" s="50">
        <f t="shared" si="4"/>
        <v>3.544444444</v>
      </c>
      <c r="J1358" s="55">
        <v>69.0</v>
      </c>
      <c r="K1358" s="56">
        <v>6.7</v>
      </c>
      <c r="L1358" s="55">
        <v>14.0</v>
      </c>
      <c r="M1358" s="58" t="s">
        <v>42</v>
      </c>
      <c r="N1358" s="59"/>
      <c r="O1358" s="60" t="s">
        <v>149</v>
      </c>
      <c r="P1358" s="61"/>
    </row>
    <row r="1359">
      <c r="A1359" s="29" t="s">
        <v>1572</v>
      </c>
      <c r="B1359" s="30" t="s">
        <v>45</v>
      </c>
      <c r="C1359" s="31" t="s">
        <v>26</v>
      </c>
      <c r="D1359" s="32" t="str">
        <f t="shared" si="1"/>
        <v>Removed</v>
      </c>
      <c r="E1359" s="33">
        <v>44725.0</v>
      </c>
      <c r="F1359" s="34">
        <v>45433.0</v>
      </c>
      <c r="G1359" s="36">
        <f t="shared" si="2"/>
        <v>23.26666667</v>
      </c>
      <c r="H1359" s="37">
        <v>43455.0</v>
      </c>
      <c r="I1359" s="36">
        <f t="shared" si="4"/>
        <v>3.477777778</v>
      </c>
      <c r="J1359" s="38">
        <v>78.0</v>
      </c>
      <c r="K1359" s="39">
        <v>7.2</v>
      </c>
      <c r="L1359" s="38">
        <v>8.0</v>
      </c>
      <c r="M1359" s="40" t="s">
        <v>27</v>
      </c>
      <c r="N1359" s="41"/>
      <c r="O1359" s="42" t="s">
        <v>149</v>
      </c>
      <c r="P1359" s="43" t="s">
        <v>149</v>
      </c>
    </row>
    <row r="1360">
      <c r="A1360" s="44" t="s">
        <v>1573</v>
      </c>
      <c r="B1360" s="45" t="s">
        <v>45</v>
      </c>
      <c r="C1360" s="46" t="s">
        <v>46</v>
      </c>
      <c r="D1360" s="47" t="str">
        <f t="shared" si="1"/>
        <v>Removed</v>
      </c>
      <c r="E1360" s="48">
        <v>44725.0</v>
      </c>
      <c r="F1360" s="49">
        <v>45433.0</v>
      </c>
      <c r="G1360" s="50">
        <f t="shared" si="2"/>
        <v>23.26666667</v>
      </c>
      <c r="H1360" s="51">
        <v>42278.0</v>
      </c>
      <c r="I1360" s="50">
        <f t="shared" si="4"/>
        <v>6.7</v>
      </c>
      <c r="J1360" s="55">
        <v>72.0</v>
      </c>
      <c r="K1360" s="56">
        <v>7.4</v>
      </c>
      <c r="L1360" s="55">
        <v>25.0</v>
      </c>
      <c r="M1360" s="58" t="s">
        <v>29</v>
      </c>
      <c r="N1360" s="59" t="s">
        <v>442</v>
      </c>
      <c r="O1360" s="60" t="s">
        <v>149</v>
      </c>
      <c r="P1360" s="66"/>
    </row>
    <row r="1361">
      <c r="A1361" s="29" t="s">
        <v>1574</v>
      </c>
      <c r="B1361" s="30" t="s">
        <v>45</v>
      </c>
      <c r="C1361" s="31" t="s">
        <v>46</v>
      </c>
      <c r="D1361" s="32" t="str">
        <f t="shared" si="1"/>
        <v>Removed</v>
      </c>
      <c r="E1361" s="33">
        <v>44725.0</v>
      </c>
      <c r="F1361" s="34">
        <v>45433.0</v>
      </c>
      <c r="G1361" s="36">
        <f t="shared" si="2"/>
        <v>23.26666667</v>
      </c>
      <c r="H1361" s="37">
        <v>42675.0</v>
      </c>
      <c r="I1361" s="36">
        <f t="shared" si="4"/>
        <v>5.616666667</v>
      </c>
      <c r="J1361" s="38">
        <v>81.0</v>
      </c>
      <c r="K1361" s="39">
        <v>7.5</v>
      </c>
      <c r="L1361" s="38">
        <v>18.0</v>
      </c>
      <c r="M1361" s="40" t="s">
        <v>29</v>
      </c>
      <c r="N1361" s="41" t="s">
        <v>442</v>
      </c>
      <c r="O1361" s="42" t="s">
        <v>149</v>
      </c>
      <c r="P1361" s="67"/>
    </row>
    <row r="1362">
      <c r="A1362" s="44" t="s">
        <v>1575</v>
      </c>
      <c r="B1362" s="45" t="s">
        <v>45</v>
      </c>
      <c r="C1362" s="46" t="s">
        <v>46</v>
      </c>
      <c r="D1362" s="47" t="str">
        <f t="shared" si="1"/>
        <v>Removed</v>
      </c>
      <c r="E1362" s="48">
        <v>44725.0</v>
      </c>
      <c r="F1362" s="49">
        <v>45433.0</v>
      </c>
      <c r="G1362" s="50">
        <f t="shared" si="2"/>
        <v>23.26666667</v>
      </c>
      <c r="H1362" s="51">
        <v>44075.0</v>
      </c>
      <c r="I1362" s="50">
        <f t="shared" si="4"/>
        <v>1.783333333</v>
      </c>
      <c r="J1362" s="55">
        <v>72.0</v>
      </c>
      <c r="K1362" s="56">
        <v>7.1</v>
      </c>
      <c r="L1362" s="55">
        <v>22.0</v>
      </c>
      <c r="M1362" s="58" t="s">
        <v>42</v>
      </c>
      <c r="N1362" s="59" t="s">
        <v>442</v>
      </c>
      <c r="O1362" s="60" t="s">
        <v>149</v>
      </c>
      <c r="P1362" s="66"/>
    </row>
    <row r="1363">
      <c r="A1363" s="29" t="s">
        <v>1576</v>
      </c>
      <c r="B1363" s="30" t="s">
        <v>25</v>
      </c>
      <c r="C1363" s="31" t="s">
        <v>26</v>
      </c>
      <c r="D1363" s="32" t="str">
        <f t="shared" si="1"/>
        <v>Removed</v>
      </c>
      <c r="E1363" s="33">
        <v>44320.0</v>
      </c>
      <c r="F1363" s="34">
        <v>45433.0</v>
      </c>
      <c r="G1363" s="36">
        <f t="shared" si="2"/>
        <v>36.56666667</v>
      </c>
      <c r="H1363" s="37">
        <v>43265.0</v>
      </c>
      <c r="I1363" s="36">
        <f t="shared" si="4"/>
        <v>2.888888889</v>
      </c>
      <c r="J1363" s="38">
        <v>81.0</v>
      </c>
      <c r="K1363" s="39">
        <v>7.7</v>
      </c>
      <c r="L1363" s="38">
        <v>18.0</v>
      </c>
      <c r="M1363" s="40" t="s">
        <v>95</v>
      </c>
      <c r="N1363" s="41"/>
      <c r="O1363" s="42" t="s">
        <v>149</v>
      </c>
      <c r="P1363" s="43"/>
    </row>
    <row r="1364">
      <c r="A1364" s="44" t="s">
        <v>1577</v>
      </c>
      <c r="B1364" s="45" t="s">
        <v>45</v>
      </c>
      <c r="C1364" s="46" t="s">
        <v>26</v>
      </c>
      <c r="D1364" s="47" t="str">
        <f t="shared" si="1"/>
        <v>Removed</v>
      </c>
      <c r="E1364" s="48">
        <v>43832.0</v>
      </c>
      <c r="F1364" s="49">
        <v>45433.0</v>
      </c>
      <c r="G1364" s="50">
        <f t="shared" si="2"/>
        <v>52.63333333</v>
      </c>
      <c r="H1364" s="51">
        <v>43074.0</v>
      </c>
      <c r="I1364" s="50">
        <f t="shared" si="4"/>
        <v>2.075</v>
      </c>
      <c r="J1364" s="55">
        <v>90.0</v>
      </c>
      <c r="K1364" s="56">
        <v>8.4</v>
      </c>
      <c r="L1364" s="55">
        <v>30.0</v>
      </c>
      <c r="M1364" s="58" t="s">
        <v>29</v>
      </c>
      <c r="N1364" s="59"/>
      <c r="O1364" s="60" t="s">
        <v>149</v>
      </c>
      <c r="P1364" s="61"/>
    </row>
    <row r="1365">
      <c r="A1365" s="29" t="s">
        <v>1578</v>
      </c>
      <c r="B1365" s="30" t="s">
        <v>25</v>
      </c>
      <c r="C1365" s="31" t="s">
        <v>26</v>
      </c>
      <c r="D1365" s="32" t="str">
        <f t="shared" si="1"/>
        <v>Removed</v>
      </c>
      <c r="E1365" s="33">
        <v>44725.0</v>
      </c>
      <c r="F1365" s="34">
        <v>45432.0</v>
      </c>
      <c r="G1365" s="36">
        <f t="shared" si="2"/>
        <v>23.23333333</v>
      </c>
      <c r="H1365" s="37">
        <v>44112.0</v>
      </c>
      <c r="I1365" s="36">
        <f t="shared" si="4"/>
        <v>1.680555556</v>
      </c>
      <c r="J1365" s="38">
        <v>81.0</v>
      </c>
      <c r="K1365" s="39">
        <v>7.0</v>
      </c>
      <c r="L1365" s="38">
        <v>3.5</v>
      </c>
      <c r="M1365" s="40" t="s">
        <v>136</v>
      </c>
      <c r="N1365" s="41"/>
      <c r="O1365" s="42" t="s">
        <v>149</v>
      </c>
      <c r="P1365" s="43"/>
    </row>
    <row r="1366">
      <c r="A1366" s="44" t="s">
        <v>1579</v>
      </c>
      <c r="B1366" s="45" t="s">
        <v>25</v>
      </c>
      <c r="C1366" s="46" t="s">
        <v>26</v>
      </c>
      <c r="D1366" s="47" t="str">
        <f t="shared" si="1"/>
        <v>Removed</v>
      </c>
      <c r="E1366" s="48">
        <v>44725.0</v>
      </c>
      <c r="F1366" s="49">
        <v>45432.0</v>
      </c>
      <c r="G1366" s="50">
        <f t="shared" si="2"/>
        <v>23.23333333</v>
      </c>
      <c r="H1366" s="51">
        <v>44399.0</v>
      </c>
      <c r="I1366" s="50">
        <f t="shared" si="4"/>
        <v>0.8916666667</v>
      </c>
      <c r="J1366" s="55">
        <v>70.0</v>
      </c>
      <c r="K1366" s="56">
        <v>6.0</v>
      </c>
      <c r="L1366" s="55">
        <v>6.0</v>
      </c>
      <c r="M1366" s="58" t="s">
        <v>555</v>
      </c>
      <c r="N1366" s="59"/>
      <c r="O1366" s="60" t="s">
        <v>149</v>
      </c>
      <c r="P1366" s="61"/>
    </row>
    <row r="1367">
      <c r="A1367" s="29" t="s">
        <v>1580</v>
      </c>
      <c r="B1367" s="30" t="s">
        <v>25</v>
      </c>
      <c r="C1367" s="31" t="s">
        <v>26</v>
      </c>
      <c r="D1367" s="32" t="str">
        <f t="shared" si="1"/>
        <v>Removed</v>
      </c>
      <c r="E1367" s="33">
        <v>44725.0</v>
      </c>
      <c r="F1367" s="34">
        <v>45432.0</v>
      </c>
      <c r="G1367" s="36">
        <f t="shared" si="2"/>
        <v>23.23333333</v>
      </c>
      <c r="H1367" s="37">
        <v>44448.0</v>
      </c>
      <c r="I1367" s="36">
        <f t="shared" si="4"/>
        <v>0.7611111111</v>
      </c>
      <c r="J1367" s="38">
        <v>77.0</v>
      </c>
      <c r="K1367" s="39">
        <v>7.0</v>
      </c>
      <c r="L1367" s="38">
        <v>4.0</v>
      </c>
      <c r="M1367" s="40" t="s">
        <v>27</v>
      </c>
      <c r="N1367" s="41"/>
      <c r="O1367" s="42" t="s">
        <v>149</v>
      </c>
      <c r="P1367" s="43"/>
    </row>
    <row r="1368">
      <c r="A1368" s="44" t="s">
        <v>1581</v>
      </c>
      <c r="B1368" s="45" t="s">
        <v>45</v>
      </c>
      <c r="C1368" s="46" t="s">
        <v>26</v>
      </c>
      <c r="D1368" s="47" t="str">
        <f t="shared" si="1"/>
        <v>Removed</v>
      </c>
      <c r="E1368" s="48">
        <v>44725.0</v>
      </c>
      <c r="F1368" s="49">
        <v>45432.0</v>
      </c>
      <c r="G1368" s="50">
        <f t="shared" si="2"/>
        <v>23.23333333</v>
      </c>
      <c r="H1368" s="51">
        <v>42976.0</v>
      </c>
      <c r="I1368" s="50">
        <f t="shared" si="4"/>
        <v>4.788888889</v>
      </c>
      <c r="J1368" s="55">
        <v>74.0</v>
      </c>
      <c r="K1368" s="56">
        <v>5.5</v>
      </c>
      <c r="L1368" s="55">
        <v>8.0</v>
      </c>
      <c r="M1368" s="58" t="s">
        <v>114</v>
      </c>
      <c r="N1368" s="59"/>
      <c r="O1368" s="60" t="s">
        <v>149</v>
      </c>
      <c r="P1368" s="61"/>
    </row>
    <row r="1369">
      <c r="A1369" s="29" t="s">
        <v>1582</v>
      </c>
      <c r="B1369" s="30" t="s">
        <v>45</v>
      </c>
      <c r="C1369" s="31" t="s">
        <v>26</v>
      </c>
      <c r="D1369" s="32" t="str">
        <f t="shared" si="1"/>
        <v>Removed</v>
      </c>
      <c r="E1369" s="33">
        <v>44725.0</v>
      </c>
      <c r="F1369" s="34">
        <v>45432.0</v>
      </c>
      <c r="G1369" s="36">
        <f t="shared" si="2"/>
        <v>23.23333333</v>
      </c>
      <c r="H1369" s="37">
        <v>42583.0</v>
      </c>
      <c r="I1369" s="36">
        <f t="shared" si="4"/>
        <v>5.866666667</v>
      </c>
      <c r="J1369" s="38">
        <v>81.0</v>
      </c>
      <c r="K1369" s="39">
        <v>7.7</v>
      </c>
      <c r="L1369" s="38">
        <v>2.0</v>
      </c>
      <c r="M1369" s="40" t="s">
        <v>29</v>
      </c>
      <c r="N1369" s="41"/>
      <c r="O1369" s="42" t="s">
        <v>149</v>
      </c>
      <c r="P1369" s="43"/>
    </row>
    <row r="1370">
      <c r="A1370" s="44" t="s">
        <v>1583</v>
      </c>
      <c r="B1370" s="45" t="s">
        <v>45</v>
      </c>
      <c r="C1370" s="46" t="s">
        <v>26</v>
      </c>
      <c r="D1370" s="47" t="str">
        <f t="shared" si="1"/>
        <v>Removed</v>
      </c>
      <c r="E1370" s="48">
        <v>44725.0</v>
      </c>
      <c r="F1370" s="49">
        <v>45432.0</v>
      </c>
      <c r="G1370" s="50">
        <f t="shared" si="2"/>
        <v>23.23333333</v>
      </c>
      <c r="H1370" s="51">
        <v>42552.0</v>
      </c>
      <c r="I1370" s="50">
        <f t="shared" si="4"/>
        <v>5.95</v>
      </c>
      <c r="J1370" s="55">
        <v>56.0</v>
      </c>
      <c r="K1370" s="56">
        <v>6.1</v>
      </c>
      <c r="L1370" s="55">
        <v>4.5</v>
      </c>
      <c r="M1370" s="58" t="s">
        <v>29</v>
      </c>
      <c r="N1370" s="59"/>
      <c r="O1370" s="60" t="s">
        <v>149</v>
      </c>
      <c r="P1370" s="61"/>
    </row>
    <row r="1371">
      <c r="A1371" s="29" t="s">
        <v>1584</v>
      </c>
      <c r="B1371" s="30" t="s">
        <v>45</v>
      </c>
      <c r="C1371" s="31" t="s">
        <v>26</v>
      </c>
      <c r="D1371" s="32" t="str">
        <f t="shared" si="1"/>
        <v>Removed</v>
      </c>
      <c r="E1371" s="33">
        <v>44725.0</v>
      </c>
      <c r="F1371" s="34">
        <v>45432.0</v>
      </c>
      <c r="G1371" s="36">
        <f t="shared" si="2"/>
        <v>23.23333333</v>
      </c>
      <c r="H1371" s="37">
        <v>43441.0</v>
      </c>
      <c r="I1371" s="36">
        <f t="shared" si="4"/>
        <v>3.516666667</v>
      </c>
      <c r="J1371" s="38">
        <v>81.0</v>
      </c>
      <c r="K1371" s="39">
        <v>7.3</v>
      </c>
      <c r="L1371" s="38">
        <v>15.5</v>
      </c>
      <c r="M1371" s="40" t="s">
        <v>42</v>
      </c>
      <c r="N1371" s="41"/>
      <c r="O1371" s="42" t="s">
        <v>149</v>
      </c>
      <c r="P1371" s="43"/>
    </row>
    <row r="1372">
      <c r="A1372" s="44" t="s">
        <v>1585</v>
      </c>
      <c r="B1372" s="45" t="s">
        <v>45</v>
      </c>
      <c r="C1372" s="46" t="s">
        <v>26</v>
      </c>
      <c r="D1372" s="47" t="str">
        <f t="shared" si="1"/>
        <v>Removed</v>
      </c>
      <c r="E1372" s="48">
        <v>44725.0</v>
      </c>
      <c r="F1372" s="49">
        <v>45432.0</v>
      </c>
      <c r="G1372" s="50">
        <f t="shared" si="2"/>
        <v>23.23333333</v>
      </c>
      <c r="H1372" s="51">
        <v>43025.0</v>
      </c>
      <c r="I1372" s="50">
        <f t="shared" si="4"/>
        <v>4.655555556</v>
      </c>
      <c r="J1372" s="55">
        <v>61.0</v>
      </c>
      <c r="K1372" s="56">
        <v>7.1</v>
      </c>
      <c r="L1372" s="55">
        <v>27.0</v>
      </c>
      <c r="M1372" s="58" t="s">
        <v>42</v>
      </c>
      <c r="N1372" s="59"/>
      <c r="O1372" s="60" t="s">
        <v>149</v>
      </c>
      <c r="P1372" s="61"/>
    </row>
    <row r="1373">
      <c r="A1373" s="29" t="s">
        <v>1586</v>
      </c>
      <c r="B1373" s="30" t="s">
        <v>45</v>
      </c>
      <c r="C1373" s="31" t="s">
        <v>26</v>
      </c>
      <c r="D1373" s="32" t="str">
        <f t="shared" si="1"/>
        <v>Removed</v>
      </c>
      <c r="E1373" s="33">
        <v>44725.0</v>
      </c>
      <c r="F1373" s="34">
        <v>45432.0</v>
      </c>
      <c r="G1373" s="36">
        <f t="shared" si="2"/>
        <v>23.23333333</v>
      </c>
      <c r="H1373" s="37">
        <v>42703.0</v>
      </c>
      <c r="I1373" s="36">
        <f t="shared" si="4"/>
        <v>5.538888889</v>
      </c>
      <c r="J1373" s="38">
        <v>77.0</v>
      </c>
      <c r="K1373" s="39">
        <v>8.7</v>
      </c>
      <c r="L1373" s="38">
        <v>27.0</v>
      </c>
      <c r="M1373" s="40" t="s">
        <v>42</v>
      </c>
      <c r="N1373" s="41"/>
      <c r="O1373" s="42" t="s">
        <v>149</v>
      </c>
      <c r="P1373" s="43"/>
    </row>
    <row r="1374">
      <c r="A1374" s="44" t="s">
        <v>1587</v>
      </c>
      <c r="B1374" s="45" t="s">
        <v>45</v>
      </c>
      <c r="C1374" s="46" t="s">
        <v>26</v>
      </c>
      <c r="D1374" s="47" t="str">
        <f t="shared" si="1"/>
        <v>Removed</v>
      </c>
      <c r="E1374" s="48">
        <v>44725.0</v>
      </c>
      <c r="F1374" s="49">
        <v>45432.0</v>
      </c>
      <c r="G1374" s="50">
        <f t="shared" si="2"/>
        <v>23.23333333</v>
      </c>
      <c r="H1374" s="51">
        <v>42773.0</v>
      </c>
      <c r="I1374" s="50">
        <f t="shared" si="4"/>
        <v>5.35</v>
      </c>
      <c r="J1374" s="55">
        <v>65.0</v>
      </c>
      <c r="K1374" s="56">
        <v>6.4</v>
      </c>
      <c r="L1374" s="55">
        <v>28.0</v>
      </c>
      <c r="M1374" s="58" t="s">
        <v>36</v>
      </c>
      <c r="N1374" s="59"/>
      <c r="O1374" s="60" t="s">
        <v>149</v>
      </c>
      <c r="P1374" s="61" t="s">
        <v>149</v>
      </c>
    </row>
    <row r="1375">
      <c r="A1375" s="29" t="s">
        <v>1588</v>
      </c>
      <c r="B1375" s="30" t="s">
        <v>45</v>
      </c>
      <c r="C1375" s="31" t="s">
        <v>26</v>
      </c>
      <c r="D1375" s="32" t="str">
        <f t="shared" si="1"/>
        <v>Removed</v>
      </c>
      <c r="E1375" s="33">
        <v>44725.0</v>
      </c>
      <c r="F1375" s="34">
        <v>45432.0</v>
      </c>
      <c r="G1375" s="36">
        <f t="shared" si="2"/>
        <v>23.23333333</v>
      </c>
      <c r="H1375" s="37">
        <v>42276.0</v>
      </c>
      <c r="I1375" s="36">
        <f t="shared" si="4"/>
        <v>6.705555556</v>
      </c>
      <c r="J1375" s="38">
        <v>78.0</v>
      </c>
      <c r="K1375" s="39">
        <v>7.2</v>
      </c>
      <c r="L1375" s="38">
        <v>5.0</v>
      </c>
      <c r="M1375" s="40" t="s">
        <v>29</v>
      </c>
      <c r="N1375" s="41"/>
      <c r="O1375" s="42" t="s">
        <v>149</v>
      </c>
      <c r="P1375" s="43"/>
    </row>
    <row r="1376">
      <c r="A1376" s="44" t="s">
        <v>1589</v>
      </c>
      <c r="B1376" s="45" t="s">
        <v>45</v>
      </c>
      <c r="C1376" s="46" t="s">
        <v>26</v>
      </c>
      <c r="D1376" s="47" t="str">
        <f t="shared" si="1"/>
        <v>Removed</v>
      </c>
      <c r="E1376" s="48">
        <v>44725.0</v>
      </c>
      <c r="F1376" s="49">
        <v>45432.0</v>
      </c>
      <c r="G1376" s="50">
        <f t="shared" si="2"/>
        <v>23.23333333</v>
      </c>
      <c r="H1376" s="51">
        <v>43193.0</v>
      </c>
      <c r="I1376" s="50">
        <f t="shared" si="4"/>
        <v>4.194444444</v>
      </c>
      <c r="J1376" s="55">
        <v>79.0</v>
      </c>
      <c r="K1376" s="56">
        <v>7.7</v>
      </c>
      <c r="L1376" s="55">
        <v>2.0</v>
      </c>
      <c r="M1376" s="58" t="s">
        <v>29</v>
      </c>
      <c r="N1376" s="59"/>
      <c r="O1376" s="60" t="s">
        <v>149</v>
      </c>
      <c r="P1376" s="61"/>
    </row>
    <row r="1377">
      <c r="A1377" s="29" t="s">
        <v>1590</v>
      </c>
      <c r="B1377" s="30" t="s">
        <v>45</v>
      </c>
      <c r="C1377" s="31" t="s">
        <v>26</v>
      </c>
      <c r="D1377" s="32" t="str">
        <f t="shared" si="1"/>
        <v>Removed</v>
      </c>
      <c r="E1377" s="33">
        <v>44725.0</v>
      </c>
      <c r="F1377" s="34">
        <v>45432.0</v>
      </c>
      <c r="G1377" s="36">
        <f t="shared" si="2"/>
        <v>23.23333333</v>
      </c>
      <c r="H1377" s="37">
        <v>44256.0</v>
      </c>
      <c r="I1377" s="36">
        <f t="shared" si="4"/>
        <v>1.283333333</v>
      </c>
      <c r="J1377" s="38">
        <v>60.0</v>
      </c>
      <c r="K1377" s="39">
        <v>5.8</v>
      </c>
      <c r="L1377" s="76"/>
      <c r="M1377" s="40" t="s">
        <v>95</v>
      </c>
      <c r="N1377" s="41"/>
      <c r="O1377" s="42" t="s">
        <v>149</v>
      </c>
      <c r="P1377" s="43" t="s">
        <v>149</v>
      </c>
    </row>
    <row r="1378">
      <c r="A1378" s="44" t="s">
        <v>1591</v>
      </c>
      <c r="B1378" s="45" t="s">
        <v>45</v>
      </c>
      <c r="C1378" s="46" t="s">
        <v>26</v>
      </c>
      <c r="D1378" s="47" t="str">
        <f t="shared" si="1"/>
        <v>Removed</v>
      </c>
      <c r="E1378" s="48">
        <v>44725.0</v>
      </c>
      <c r="F1378" s="49">
        <v>45432.0</v>
      </c>
      <c r="G1378" s="50">
        <f t="shared" si="2"/>
        <v>23.23333333</v>
      </c>
      <c r="H1378" s="51">
        <v>43636.0</v>
      </c>
      <c r="I1378" s="50">
        <f t="shared" si="4"/>
        <v>2.980555556</v>
      </c>
      <c r="J1378" s="55">
        <v>81.0</v>
      </c>
      <c r="K1378" s="56">
        <v>7.5</v>
      </c>
      <c r="L1378" s="55">
        <v>5.0</v>
      </c>
      <c r="M1378" s="58" t="s">
        <v>29</v>
      </c>
      <c r="N1378" s="59"/>
      <c r="O1378" s="60" t="s">
        <v>149</v>
      </c>
      <c r="P1378" s="61"/>
    </row>
    <row r="1379">
      <c r="A1379" s="29" t="s">
        <v>1592</v>
      </c>
      <c r="B1379" s="30" t="s">
        <v>45</v>
      </c>
      <c r="C1379" s="31" t="s">
        <v>26</v>
      </c>
      <c r="D1379" s="32" t="str">
        <f t="shared" si="1"/>
        <v>Removed</v>
      </c>
      <c r="E1379" s="33">
        <v>44725.0</v>
      </c>
      <c r="F1379" s="34">
        <v>45432.0</v>
      </c>
      <c r="G1379" s="36">
        <f t="shared" si="2"/>
        <v>23.23333333</v>
      </c>
      <c r="H1379" s="37">
        <v>43606.0</v>
      </c>
      <c r="I1379" s="36">
        <f t="shared" si="4"/>
        <v>3.061111111</v>
      </c>
      <c r="J1379" s="38">
        <v>76.0</v>
      </c>
      <c r="K1379" s="39">
        <v>6.9</v>
      </c>
      <c r="L1379" s="38">
        <v>4.0</v>
      </c>
      <c r="M1379" s="40" t="s">
        <v>537</v>
      </c>
      <c r="N1379" s="41"/>
      <c r="O1379" s="42" t="s">
        <v>149</v>
      </c>
      <c r="P1379" s="43"/>
    </row>
    <row r="1380">
      <c r="A1380" s="44" t="s">
        <v>1593</v>
      </c>
      <c r="B1380" s="45" t="s">
        <v>45</v>
      </c>
      <c r="C1380" s="46" t="s">
        <v>26</v>
      </c>
      <c r="D1380" s="47" t="str">
        <f t="shared" si="1"/>
        <v>Removed</v>
      </c>
      <c r="E1380" s="48">
        <v>44725.0</v>
      </c>
      <c r="F1380" s="49">
        <v>45432.0</v>
      </c>
      <c r="G1380" s="50">
        <f t="shared" si="2"/>
        <v>23.23333333</v>
      </c>
      <c r="H1380" s="51">
        <v>43342.0</v>
      </c>
      <c r="I1380" s="50">
        <f t="shared" si="4"/>
        <v>3.786111111</v>
      </c>
      <c r="J1380" s="55">
        <v>86.0</v>
      </c>
      <c r="K1380" s="56">
        <v>8.3</v>
      </c>
      <c r="L1380" s="55">
        <v>15.0</v>
      </c>
      <c r="M1380" s="58" t="s">
        <v>27</v>
      </c>
      <c r="N1380" s="59"/>
      <c r="O1380" s="60" t="s">
        <v>149</v>
      </c>
      <c r="P1380" s="61"/>
    </row>
    <row r="1381">
      <c r="A1381" s="29" t="s">
        <v>1594</v>
      </c>
      <c r="B1381" s="30" t="s">
        <v>45</v>
      </c>
      <c r="C1381" s="31" t="s">
        <v>26</v>
      </c>
      <c r="D1381" s="32" t="str">
        <f t="shared" si="1"/>
        <v>Removed</v>
      </c>
      <c r="E1381" s="33">
        <v>44725.0</v>
      </c>
      <c r="F1381" s="34">
        <v>45432.0</v>
      </c>
      <c r="G1381" s="36">
        <f t="shared" si="2"/>
        <v>23.23333333</v>
      </c>
      <c r="H1381" s="37">
        <v>42795.0</v>
      </c>
      <c r="I1381" s="36">
        <f t="shared" si="4"/>
        <v>5.283333333</v>
      </c>
      <c r="J1381" s="38">
        <v>66.0</v>
      </c>
      <c r="K1381" s="39">
        <v>7.0</v>
      </c>
      <c r="L1381" s="38">
        <v>8.0</v>
      </c>
      <c r="M1381" s="40" t="s">
        <v>555</v>
      </c>
      <c r="N1381" s="41"/>
      <c r="O1381" s="42" t="s">
        <v>149</v>
      </c>
      <c r="P1381" s="43"/>
    </row>
    <row r="1382">
      <c r="A1382" s="44" t="s">
        <v>1595</v>
      </c>
      <c r="B1382" s="45" t="s">
        <v>45</v>
      </c>
      <c r="C1382" s="46" t="s">
        <v>26</v>
      </c>
      <c r="D1382" s="47" t="str">
        <f t="shared" si="1"/>
        <v>Removed</v>
      </c>
      <c r="E1382" s="48">
        <v>44725.0</v>
      </c>
      <c r="F1382" s="49">
        <v>45432.0</v>
      </c>
      <c r="G1382" s="50">
        <f t="shared" si="2"/>
        <v>23.23333333</v>
      </c>
      <c r="H1382" s="51">
        <v>43312.0</v>
      </c>
      <c r="I1382" s="50">
        <f t="shared" si="4"/>
        <v>3.869444444</v>
      </c>
      <c r="J1382" s="55">
        <v>70.0</v>
      </c>
      <c r="K1382" s="56">
        <v>7.0</v>
      </c>
      <c r="L1382" s="55">
        <v>10.0</v>
      </c>
      <c r="M1382" s="58" t="s">
        <v>555</v>
      </c>
      <c r="N1382" s="59"/>
      <c r="O1382" s="60" t="s">
        <v>149</v>
      </c>
      <c r="P1382" s="61"/>
    </row>
    <row r="1383">
      <c r="A1383" s="29" t="s">
        <v>1596</v>
      </c>
      <c r="B1383" s="30" t="s">
        <v>45</v>
      </c>
      <c r="C1383" s="31" t="s">
        <v>26</v>
      </c>
      <c r="D1383" s="32" t="str">
        <f t="shared" si="1"/>
        <v>Removed</v>
      </c>
      <c r="E1383" s="33">
        <v>44725.0</v>
      </c>
      <c r="F1383" s="34">
        <v>45432.0</v>
      </c>
      <c r="G1383" s="36">
        <f t="shared" si="2"/>
        <v>23.23333333</v>
      </c>
      <c r="H1383" s="37">
        <v>42644.0</v>
      </c>
      <c r="I1383" s="36">
        <f t="shared" si="4"/>
        <v>5.7</v>
      </c>
      <c r="J1383" s="38">
        <v>78.0</v>
      </c>
      <c r="K1383" s="39">
        <v>7.9</v>
      </c>
      <c r="L1383" s="38">
        <v>36.0</v>
      </c>
      <c r="M1383" s="40" t="s">
        <v>42</v>
      </c>
      <c r="N1383" s="41"/>
      <c r="O1383" s="42" t="s">
        <v>149</v>
      </c>
      <c r="P1383" s="43"/>
    </row>
    <row r="1384">
      <c r="A1384" s="44" t="s">
        <v>1597</v>
      </c>
      <c r="B1384" s="45" t="s">
        <v>45</v>
      </c>
      <c r="C1384" s="46" t="s">
        <v>26</v>
      </c>
      <c r="D1384" s="47" t="str">
        <f t="shared" si="1"/>
        <v>Removed</v>
      </c>
      <c r="E1384" s="48">
        <v>44565.0</v>
      </c>
      <c r="F1384" s="49">
        <v>45432.0</v>
      </c>
      <c r="G1384" s="50">
        <f t="shared" si="2"/>
        <v>28.53333333</v>
      </c>
      <c r="H1384" s="51">
        <v>42927.0</v>
      </c>
      <c r="I1384" s="50">
        <f t="shared" si="4"/>
        <v>4.480555556</v>
      </c>
      <c r="J1384" s="55">
        <v>85.0</v>
      </c>
      <c r="K1384" s="56">
        <v>8.8</v>
      </c>
      <c r="L1384" s="55">
        <v>40.5</v>
      </c>
      <c r="M1384" s="58" t="s">
        <v>42</v>
      </c>
      <c r="N1384" s="59"/>
      <c r="O1384" s="60" t="s">
        <v>149</v>
      </c>
      <c r="P1384" s="61"/>
    </row>
    <row r="1385">
      <c r="A1385" s="29" t="s">
        <v>1598</v>
      </c>
      <c r="B1385" s="30" t="s">
        <v>45</v>
      </c>
      <c r="C1385" s="31" t="s">
        <v>26</v>
      </c>
      <c r="D1385" s="32" t="str">
        <f t="shared" si="1"/>
        <v>Removed</v>
      </c>
      <c r="E1385" s="33">
        <v>44537.0</v>
      </c>
      <c r="F1385" s="34">
        <v>45432.0</v>
      </c>
      <c r="G1385" s="36">
        <f t="shared" si="2"/>
        <v>29.43333333</v>
      </c>
      <c r="H1385" s="37">
        <v>41634.0</v>
      </c>
      <c r="I1385" s="36">
        <f t="shared" si="4"/>
        <v>7.947222222</v>
      </c>
      <c r="J1385" s="38">
        <v>83.0</v>
      </c>
      <c r="K1385" s="39">
        <v>8.7</v>
      </c>
      <c r="L1385" s="38">
        <v>50.5</v>
      </c>
      <c r="M1385" s="40" t="s">
        <v>42</v>
      </c>
      <c r="N1385" s="41"/>
      <c r="O1385" s="42" t="s">
        <v>149</v>
      </c>
      <c r="P1385" s="43"/>
    </row>
    <row r="1386">
      <c r="A1386" s="44" t="s">
        <v>1599</v>
      </c>
      <c r="B1386" s="45" t="s">
        <v>45</v>
      </c>
      <c r="C1386" s="46" t="s">
        <v>26</v>
      </c>
      <c r="D1386" s="47" t="str">
        <f t="shared" si="1"/>
        <v>Removed</v>
      </c>
      <c r="E1386" s="48">
        <v>44502.0</v>
      </c>
      <c r="F1386" s="49">
        <v>45432.0</v>
      </c>
      <c r="G1386" s="50">
        <f t="shared" si="2"/>
        <v>30.6</v>
      </c>
      <c r="H1386" s="51">
        <v>43711.0</v>
      </c>
      <c r="I1386" s="50">
        <f t="shared" si="4"/>
        <v>2.163888889</v>
      </c>
      <c r="J1386" s="55">
        <v>81.0</v>
      </c>
      <c r="K1386" s="56">
        <v>7.8</v>
      </c>
      <c r="L1386" s="55">
        <v>40.0</v>
      </c>
      <c r="M1386" s="58" t="s">
        <v>42</v>
      </c>
      <c r="N1386" s="59"/>
      <c r="O1386" s="60" t="s">
        <v>149</v>
      </c>
      <c r="P1386" s="61"/>
    </row>
    <row r="1387">
      <c r="A1387" s="29" t="s">
        <v>1600</v>
      </c>
      <c r="B1387" s="30" t="s">
        <v>45</v>
      </c>
      <c r="C1387" s="31" t="s">
        <v>26</v>
      </c>
      <c r="D1387" s="32" t="str">
        <f t="shared" si="1"/>
        <v>Removed</v>
      </c>
      <c r="E1387" s="33">
        <v>44474.0</v>
      </c>
      <c r="F1387" s="34">
        <v>45432.0</v>
      </c>
      <c r="G1387" s="36">
        <f t="shared" si="2"/>
        <v>31.5</v>
      </c>
      <c r="H1387" s="37">
        <v>36714.0</v>
      </c>
      <c r="I1387" s="36">
        <f t="shared" si="4"/>
        <v>21.24444444</v>
      </c>
      <c r="J1387" s="38">
        <v>83.0</v>
      </c>
      <c r="K1387" s="39">
        <v>8.8</v>
      </c>
      <c r="L1387" s="38">
        <v>39.0</v>
      </c>
      <c r="M1387" s="40" t="s">
        <v>42</v>
      </c>
      <c r="N1387" s="41"/>
      <c r="O1387" s="42" t="s">
        <v>149</v>
      </c>
      <c r="P1387" s="43"/>
    </row>
    <row r="1388">
      <c r="A1388" s="44" t="s">
        <v>1601</v>
      </c>
      <c r="B1388" s="45" t="s">
        <v>45</v>
      </c>
      <c r="C1388" s="46" t="s">
        <v>26</v>
      </c>
      <c r="D1388" s="47" t="str">
        <f t="shared" si="1"/>
        <v>Removed</v>
      </c>
      <c r="E1388" s="48">
        <v>44446.0</v>
      </c>
      <c r="F1388" s="49">
        <v>45432.0</v>
      </c>
      <c r="G1388" s="50">
        <f t="shared" si="2"/>
        <v>32.43333333</v>
      </c>
      <c r="H1388" s="51">
        <v>35461.0</v>
      </c>
      <c r="I1388" s="50">
        <f t="shared" si="4"/>
        <v>24.60277778</v>
      </c>
      <c r="J1388" s="55">
        <v>82.0</v>
      </c>
      <c r="K1388" s="56">
        <v>9.2</v>
      </c>
      <c r="L1388" s="55">
        <v>36.5</v>
      </c>
      <c r="M1388" s="58" t="s">
        <v>42</v>
      </c>
      <c r="N1388" s="59"/>
      <c r="O1388" s="60" t="s">
        <v>149</v>
      </c>
      <c r="P1388" s="61"/>
    </row>
    <row r="1389">
      <c r="A1389" s="29" t="s">
        <v>1602</v>
      </c>
      <c r="B1389" s="30" t="s">
        <v>33</v>
      </c>
      <c r="C1389" s="31" t="s">
        <v>1089</v>
      </c>
      <c r="D1389" s="32" t="str">
        <f t="shared" si="1"/>
        <v>Removed</v>
      </c>
      <c r="E1389" s="33">
        <v>45384.0</v>
      </c>
      <c r="F1389" s="34">
        <v>45418.0</v>
      </c>
      <c r="G1389" s="36">
        <f t="shared" si="2"/>
        <v>1.133333333</v>
      </c>
      <c r="H1389" s="37">
        <v>45160.0</v>
      </c>
      <c r="I1389" s="36">
        <f t="shared" si="4"/>
        <v>0.6111111111</v>
      </c>
      <c r="J1389" s="38">
        <v>69.0</v>
      </c>
      <c r="K1389" s="39">
        <v>6.1</v>
      </c>
      <c r="L1389" s="38">
        <v>16.0</v>
      </c>
      <c r="M1389" s="40" t="s">
        <v>31</v>
      </c>
      <c r="N1389" s="41"/>
      <c r="O1389" s="42" t="s">
        <v>34</v>
      </c>
      <c r="P1389" s="43"/>
    </row>
    <row r="1390">
      <c r="A1390" s="44" t="s">
        <v>1603</v>
      </c>
      <c r="B1390" s="45" t="s">
        <v>25</v>
      </c>
      <c r="C1390" s="46" t="s">
        <v>1089</v>
      </c>
      <c r="D1390" s="47" t="str">
        <f t="shared" si="1"/>
        <v>Removed</v>
      </c>
      <c r="E1390" s="48">
        <v>45384.0</v>
      </c>
      <c r="F1390" s="49">
        <v>45418.0</v>
      </c>
      <c r="G1390" s="50">
        <f t="shared" si="2"/>
        <v>1.133333333</v>
      </c>
      <c r="H1390" s="51">
        <v>45034.0</v>
      </c>
      <c r="I1390" s="50">
        <f t="shared" si="4"/>
        <v>0.9555555556</v>
      </c>
      <c r="J1390" s="55">
        <v>71.0</v>
      </c>
      <c r="K1390" s="56">
        <v>4.8</v>
      </c>
      <c r="L1390" s="55">
        <v>9.0</v>
      </c>
      <c r="M1390" s="58" t="s">
        <v>103</v>
      </c>
      <c r="N1390" s="59"/>
      <c r="O1390" s="60" t="s">
        <v>34</v>
      </c>
      <c r="P1390" s="61"/>
    </row>
    <row r="1391">
      <c r="A1391" s="29" t="s">
        <v>1604</v>
      </c>
      <c r="B1391" s="30" t="s">
        <v>45</v>
      </c>
      <c r="C1391" s="31" t="s">
        <v>1089</v>
      </c>
      <c r="D1391" s="32" t="str">
        <f t="shared" si="1"/>
        <v>Removed</v>
      </c>
      <c r="E1391" s="33">
        <v>45384.0</v>
      </c>
      <c r="F1391" s="34">
        <v>45418.0</v>
      </c>
      <c r="G1391" s="36">
        <f t="shared" si="2"/>
        <v>1.133333333</v>
      </c>
      <c r="H1391" s="37">
        <v>44217.0</v>
      </c>
      <c r="I1391" s="36">
        <f t="shared" si="4"/>
        <v>3.197222222</v>
      </c>
      <c r="J1391" s="38">
        <v>80.0</v>
      </c>
      <c r="K1391" s="39">
        <v>6.7</v>
      </c>
      <c r="L1391" s="38">
        <v>21.0</v>
      </c>
      <c r="M1391" s="40" t="s">
        <v>27</v>
      </c>
      <c r="N1391" s="41"/>
      <c r="O1391" s="42" t="s">
        <v>34</v>
      </c>
      <c r="P1391" s="43"/>
    </row>
    <row r="1392">
      <c r="A1392" s="44" t="s">
        <v>1605</v>
      </c>
      <c r="B1392" s="45" t="s">
        <v>45</v>
      </c>
      <c r="C1392" s="46" t="s">
        <v>26</v>
      </c>
      <c r="D1392" s="47" t="str">
        <f t="shared" si="1"/>
        <v>Removed</v>
      </c>
      <c r="E1392" s="48">
        <v>44725.0</v>
      </c>
      <c r="F1392" s="49">
        <v>45397.0</v>
      </c>
      <c r="G1392" s="50">
        <f t="shared" si="2"/>
        <v>22.06666667</v>
      </c>
      <c r="H1392" s="51">
        <v>44140.0</v>
      </c>
      <c r="I1392" s="50">
        <f t="shared" si="4"/>
        <v>1.605555556</v>
      </c>
      <c r="J1392" s="55">
        <v>82.0</v>
      </c>
      <c r="K1392" s="56">
        <v>7.6</v>
      </c>
      <c r="L1392" s="55">
        <v>10.0</v>
      </c>
      <c r="M1392" s="58" t="s">
        <v>136</v>
      </c>
      <c r="N1392" s="59"/>
      <c r="O1392" s="60" t="s">
        <v>149</v>
      </c>
      <c r="P1392" s="61" t="s">
        <v>505</v>
      </c>
    </row>
    <row r="1393">
      <c r="A1393" s="29" t="s">
        <v>1606</v>
      </c>
      <c r="B1393" s="30" t="s">
        <v>45</v>
      </c>
      <c r="C1393" s="31" t="s">
        <v>26</v>
      </c>
      <c r="D1393" s="32" t="str">
        <f t="shared" si="1"/>
        <v>Removed</v>
      </c>
      <c r="E1393" s="33">
        <v>44725.0</v>
      </c>
      <c r="F1393" s="34">
        <v>45397.0</v>
      </c>
      <c r="G1393" s="36">
        <f t="shared" si="2"/>
        <v>22.06666667</v>
      </c>
      <c r="H1393" s="37">
        <v>42522.0</v>
      </c>
      <c r="I1393" s="36">
        <f t="shared" si="4"/>
        <v>6.033333333</v>
      </c>
      <c r="J1393" s="38">
        <v>60.0</v>
      </c>
      <c r="K1393" s="39">
        <v>5.8</v>
      </c>
      <c r="L1393" s="38">
        <v>7.0</v>
      </c>
      <c r="M1393" s="40" t="s">
        <v>125</v>
      </c>
      <c r="N1393" s="41"/>
      <c r="O1393" s="42" t="s">
        <v>149</v>
      </c>
      <c r="P1393" s="43" t="s">
        <v>149</v>
      </c>
    </row>
    <row r="1394">
      <c r="A1394" s="44" t="s">
        <v>1607</v>
      </c>
      <c r="B1394" s="45" t="s">
        <v>45</v>
      </c>
      <c r="C1394" s="46" t="s">
        <v>26</v>
      </c>
      <c r="D1394" s="47" t="str">
        <f t="shared" si="1"/>
        <v>Removed</v>
      </c>
      <c r="E1394" s="48">
        <v>44725.0</v>
      </c>
      <c r="F1394" s="49">
        <v>45397.0</v>
      </c>
      <c r="G1394" s="50">
        <f t="shared" si="2"/>
        <v>22.06666667</v>
      </c>
      <c r="H1394" s="51">
        <v>42627.0</v>
      </c>
      <c r="I1394" s="50">
        <f t="shared" si="4"/>
        <v>5.747222222</v>
      </c>
      <c r="J1394" s="55">
        <v>83.0</v>
      </c>
      <c r="K1394" s="56">
        <v>7.6</v>
      </c>
      <c r="L1394" s="55">
        <v>18.5</v>
      </c>
      <c r="M1394" s="58" t="s">
        <v>29</v>
      </c>
      <c r="N1394" s="59"/>
      <c r="O1394" s="60" t="s">
        <v>34</v>
      </c>
      <c r="P1394" s="61"/>
    </row>
    <row r="1395">
      <c r="A1395" s="29" t="s">
        <v>1608</v>
      </c>
      <c r="B1395" s="30" t="s">
        <v>45</v>
      </c>
      <c r="C1395" s="31" t="s">
        <v>26</v>
      </c>
      <c r="D1395" s="32" t="str">
        <f t="shared" si="1"/>
        <v>Removed</v>
      </c>
      <c r="E1395" s="33">
        <v>44725.0</v>
      </c>
      <c r="F1395" s="34">
        <v>45397.0</v>
      </c>
      <c r="G1395" s="36">
        <f t="shared" si="2"/>
        <v>22.06666667</v>
      </c>
      <c r="H1395" s="37">
        <v>43279.0</v>
      </c>
      <c r="I1395" s="36">
        <f t="shared" si="4"/>
        <v>3.958333333</v>
      </c>
      <c r="J1395" s="38">
        <v>74.0</v>
      </c>
      <c r="K1395" s="39">
        <v>7.1</v>
      </c>
      <c r="L1395" s="38">
        <v>0.5</v>
      </c>
      <c r="M1395" s="40" t="s">
        <v>114</v>
      </c>
      <c r="N1395" s="41"/>
      <c r="O1395" s="42" t="s">
        <v>34</v>
      </c>
      <c r="P1395" s="43"/>
    </row>
    <row r="1396">
      <c r="A1396" s="44" t="s">
        <v>1609</v>
      </c>
      <c r="B1396" s="45" t="s">
        <v>45</v>
      </c>
      <c r="C1396" s="46" t="s">
        <v>26</v>
      </c>
      <c r="D1396" s="47" t="str">
        <f t="shared" si="1"/>
        <v>Removed</v>
      </c>
      <c r="E1396" s="48">
        <v>44725.0</v>
      </c>
      <c r="F1396" s="49">
        <v>45397.0</v>
      </c>
      <c r="G1396" s="50">
        <f t="shared" si="2"/>
        <v>22.06666667</v>
      </c>
      <c r="H1396" s="51">
        <v>43734.0</v>
      </c>
      <c r="I1396" s="50">
        <f t="shared" si="4"/>
        <v>2.713888889</v>
      </c>
      <c r="J1396" s="55">
        <v>80.0</v>
      </c>
      <c r="K1396" s="56">
        <v>7.7</v>
      </c>
      <c r="L1396" s="55">
        <v>3.0</v>
      </c>
      <c r="M1396" s="58" t="s">
        <v>27</v>
      </c>
      <c r="N1396" s="59"/>
      <c r="O1396" s="60" t="s">
        <v>34</v>
      </c>
      <c r="P1396" s="61"/>
    </row>
    <row r="1397">
      <c r="A1397" s="29" t="s">
        <v>1610</v>
      </c>
      <c r="B1397" s="30" t="s">
        <v>45</v>
      </c>
      <c r="C1397" s="31" t="s">
        <v>26</v>
      </c>
      <c r="D1397" s="32" t="str">
        <f t="shared" si="1"/>
        <v>Removed</v>
      </c>
      <c r="E1397" s="33">
        <v>44725.0</v>
      </c>
      <c r="F1397" s="34">
        <v>45397.0</v>
      </c>
      <c r="G1397" s="36">
        <f t="shared" si="2"/>
        <v>22.06666667</v>
      </c>
      <c r="H1397" s="37">
        <v>44081.0</v>
      </c>
      <c r="I1397" s="36">
        <f t="shared" si="4"/>
        <v>1.766666667</v>
      </c>
      <c r="J1397" s="38">
        <v>56.0</v>
      </c>
      <c r="K1397" s="39">
        <v>6.0</v>
      </c>
      <c r="L1397" s="38">
        <v>20.0</v>
      </c>
      <c r="M1397" s="40" t="s">
        <v>103</v>
      </c>
      <c r="N1397" s="41"/>
      <c r="O1397" s="42" t="s">
        <v>149</v>
      </c>
      <c r="P1397" s="43"/>
    </row>
    <row r="1398">
      <c r="A1398" s="44" t="s">
        <v>1611</v>
      </c>
      <c r="B1398" s="45" t="s">
        <v>45</v>
      </c>
      <c r="C1398" s="46" t="s">
        <v>26</v>
      </c>
      <c r="D1398" s="47" t="str">
        <f t="shared" si="1"/>
        <v>Removed</v>
      </c>
      <c r="E1398" s="48">
        <v>44725.0</v>
      </c>
      <c r="F1398" s="49">
        <v>45397.0</v>
      </c>
      <c r="G1398" s="50">
        <f t="shared" si="2"/>
        <v>22.06666667</v>
      </c>
      <c r="H1398" s="51">
        <v>44315.0</v>
      </c>
      <c r="I1398" s="50">
        <f t="shared" si="4"/>
        <v>1.122222222</v>
      </c>
      <c r="J1398" s="55">
        <v>74.0</v>
      </c>
      <c r="K1398" s="56">
        <v>7.4</v>
      </c>
      <c r="L1398" s="78"/>
      <c r="M1398" s="58" t="s">
        <v>29</v>
      </c>
      <c r="N1398" s="59"/>
      <c r="O1398" s="60" t="s">
        <v>34</v>
      </c>
      <c r="P1398" s="61"/>
    </row>
    <row r="1399">
      <c r="A1399" s="29" t="s">
        <v>1612</v>
      </c>
      <c r="B1399" s="30" t="s">
        <v>45</v>
      </c>
      <c r="C1399" s="31" t="s">
        <v>26</v>
      </c>
      <c r="D1399" s="32" t="str">
        <f t="shared" si="1"/>
        <v>Removed</v>
      </c>
      <c r="E1399" s="33">
        <v>44725.0</v>
      </c>
      <c r="F1399" s="34">
        <v>45397.0</v>
      </c>
      <c r="G1399" s="36">
        <f t="shared" si="2"/>
        <v>22.06666667</v>
      </c>
      <c r="H1399" s="37">
        <v>43719.0</v>
      </c>
      <c r="I1399" s="36">
        <f t="shared" si="4"/>
        <v>2.755555556</v>
      </c>
      <c r="J1399" s="38">
        <v>60.0</v>
      </c>
      <c r="K1399" s="39">
        <v>7.0</v>
      </c>
      <c r="L1399" s="76"/>
      <c r="M1399" s="40" t="s">
        <v>125</v>
      </c>
      <c r="N1399" s="41"/>
      <c r="O1399" s="42" t="s">
        <v>149</v>
      </c>
      <c r="P1399" s="43"/>
    </row>
    <row r="1400">
      <c r="A1400" s="44" t="s">
        <v>1613</v>
      </c>
      <c r="B1400" s="45" t="s">
        <v>45</v>
      </c>
      <c r="C1400" s="46" t="s">
        <v>26</v>
      </c>
      <c r="D1400" s="47" t="str">
        <f t="shared" si="1"/>
        <v>Removed</v>
      </c>
      <c r="E1400" s="48">
        <v>44725.0</v>
      </c>
      <c r="F1400" s="49">
        <v>45397.0</v>
      </c>
      <c r="G1400" s="50">
        <f t="shared" si="2"/>
        <v>22.06666667</v>
      </c>
      <c r="H1400" s="51">
        <v>43392.0</v>
      </c>
      <c r="I1400" s="50">
        <f t="shared" si="4"/>
        <v>3.65</v>
      </c>
      <c r="J1400" s="55">
        <v>84.0</v>
      </c>
      <c r="K1400" s="56">
        <v>7.9</v>
      </c>
      <c r="L1400" s="78"/>
      <c r="M1400" s="58" t="s">
        <v>114</v>
      </c>
      <c r="N1400" s="59"/>
      <c r="O1400" s="60" t="s">
        <v>149</v>
      </c>
      <c r="P1400" s="61" t="s">
        <v>149</v>
      </c>
    </row>
    <row r="1401">
      <c r="A1401" s="29" t="s">
        <v>1614</v>
      </c>
      <c r="B1401" s="30" t="s">
        <v>45</v>
      </c>
      <c r="C1401" s="31" t="s">
        <v>26</v>
      </c>
      <c r="D1401" s="32" t="str">
        <f t="shared" si="1"/>
        <v>Removed</v>
      </c>
      <c r="E1401" s="33">
        <v>43893.0</v>
      </c>
      <c r="F1401" s="34">
        <v>45397.0</v>
      </c>
      <c r="G1401" s="36">
        <f t="shared" si="2"/>
        <v>49.4</v>
      </c>
      <c r="H1401" s="37">
        <v>42430.0</v>
      </c>
      <c r="I1401" s="36">
        <f t="shared" si="4"/>
        <v>4.005555556</v>
      </c>
      <c r="J1401" s="38">
        <v>68.0</v>
      </c>
      <c r="K1401" s="39">
        <v>7.0</v>
      </c>
      <c r="L1401" s="38">
        <v>27.0</v>
      </c>
      <c r="M1401" s="40" t="s">
        <v>42</v>
      </c>
      <c r="N1401" s="41"/>
      <c r="O1401" s="42" t="s">
        <v>149</v>
      </c>
      <c r="P1401" s="43"/>
    </row>
    <row r="1402">
      <c r="A1402" s="44" t="s">
        <v>1615</v>
      </c>
      <c r="B1402" s="45" t="s">
        <v>45</v>
      </c>
      <c r="C1402" s="46" t="s">
        <v>26</v>
      </c>
      <c r="D1402" s="47" t="str">
        <f t="shared" si="1"/>
        <v>Removed</v>
      </c>
      <c r="E1402" s="48">
        <v>43893.0</v>
      </c>
      <c r="F1402" s="49">
        <v>45397.0</v>
      </c>
      <c r="G1402" s="50">
        <f t="shared" si="2"/>
        <v>49.4</v>
      </c>
      <c r="H1402" s="51">
        <v>43009.0</v>
      </c>
      <c r="I1402" s="50">
        <f t="shared" si="4"/>
        <v>2.422222222</v>
      </c>
      <c r="J1402" s="55">
        <v>65.0</v>
      </c>
      <c r="K1402" s="56">
        <v>6.7</v>
      </c>
      <c r="L1402" s="55">
        <v>27.0</v>
      </c>
      <c r="M1402" s="58" t="s">
        <v>42</v>
      </c>
      <c r="N1402" s="59"/>
      <c r="O1402" s="60" t="s">
        <v>149</v>
      </c>
      <c r="P1402" s="61"/>
    </row>
    <row r="1403">
      <c r="A1403" s="29" t="s">
        <v>1616</v>
      </c>
      <c r="B1403" s="30" t="s">
        <v>45</v>
      </c>
      <c r="C1403" s="31" t="s">
        <v>26</v>
      </c>
      <c r="D1403" s="32" t="str">
        <f t="shared" si="1"/>
        <v>Removed</v>
      </c>
      <c r="E1403" s="33">
        <v>43893.0</v>
      </c>
      <c r="F1403" s="34">
        <v>45397.0</v>
      </c>
      <c r="G1403" s="36">
        <f t="shared" si="2"/>
        <v>49.4</v>
      </c>
      <c r="H1403" s="37">
        <v>42948.0</v>
      </c>
      <c r="I1403" s="36">
        <f t="shared" si="4"/>
        <v>2.588888889</v>
      </c>
      <c r="J1403" s="38">
        <v>70.0</v>
      </c>
      <c r="K1403" s="39">
        <v>7.6</v>
      </c>
      <c r="L1403" s="38">
        <v>30.0</v>
      </c>
      <c r="M1403" s="40" t="s">
        <v>42</v>
      </c>
      <c r="N1403" s="41"/>
      <c r="O1403" s="42" t="s">
        <v>149</v>
      </c>
      <c r="P1403" s="43"/>
    </row>
    <row r="1404">
      <c r="A1404" s="44" t="s">
        <v>380</v>
      </c>
      <c r="B1404" s="45" t="s">
        <v>25</v>
      </c>
      <c r="C1404" s="46" t="s">
        <v>1089</v>
      </c>
      <c r="D1404" s="47" t="str">
        <f t="shared" si="1"/>
        <v>Removed</v>
      </c>
      <c r="E1404" s="48">
        <v>45356.0</v>
      </c>
      <c r="F1404" s="49">
        <v>45383.0</v>
      </c>
      <c r="G1404" s="50">
        <f t="shared" si="2"/>
        <v>0.8666666667</v>
      </c>
      <c r="H1404" s="51">
        <v>44614.0</v>
      </c>
      <c r="I1404" s="50">
        <f t="shared" si="4"/>
        <v>2.036111111</v>
      </c>
      <c r="J1404" s="55">
        <v>87.0</v>
      </c>
      <c r="K1404" s="56">
        <v>7.9</v>
      </c>
      <c r="L1404" s="55">
        <v>12.0</v>
      </c>
      <c r="M1404" s="58" t="s">
        <v>31</v>
      </c>
      <c r="N1404" s="59"/>
      <c r="O1404" s="60" t="s">
        <v>34</v>
      </c>
      <c r="P1404" s="61"/>
    </row>
    <row r="1405">
      <c r="A1405" s="29" t="s">
        <v>1617</v>
      </c>
      <c r="B1405" s="30" t="s">
        <v>25</v>
      </c>
      <c r="C1405" s="31" t="s">
        <v>1089</v>
      </c>
      <c r="D1405" s="32" t="str">
        <f t="shared" si="1"/>
        <v>Removed</v>
      </c>
      <c r="E1405" s="33">
        <v>45356.0</v>
      </c>
      <c r="F1405" s="34">
        <v>45383.0</v>
      </c>
      <c r="G1405" s="36">
        <f t="shared" si="2"/>
        <v>0.8666666667</v>
      </c>
      <c r="H1405" s="37">
        <v>44901.0</v>
      </c>
      <c r="I1405" s="36">
        <f t="shared" si="4"/>
        <v>1.247222222</v>
      </c>
      <c r="J1405" s="38">
        <v>59.0</v>
      </c>
      <c r="K1405" s="39">
        <v>4.7</v>
      </c>
      <c r="L1405" s="38">
        <v>4.0</v>
      </c>
      <c r="M1405" s="40" t="s">
        <v>29</v>
      </c>
      <c r="N1405" s="41"/>
      <c r="O1405" s="42" t="s">
        <v>34</v>
      </c>
      <c r="P1405" s="43"/>
    </row>
    <row r="1406">
      <c r="A1406" s="44" t="s">
        <v>1618</v>
      </c>
      <c r="B1406" s="45" t="s">
        <v>25</v>
      </c>
      <c r="C1406" s="46" t="s">
        <v>1089</v>
      </c>
      <c r="D1406" s="47" t="str">
        <f t="shared" si="1"/>
        <v>Removed</v>
      </c>
      <c r="E1406" s="48">
        <v>45356.0</v>
      </c>
      <c r="F1406" s="49">
        <v>45383.0</v>
      </c>
      <c r="G1406" s="50">
        <f t="shared" si="2"/>
        <v>0.8666666667</v>
      </c>
      <c r="H1406" s="51">
        <v>45093.0</v>
      </c>
      <c r="I1406" s="50">
        <f t="shared" si="4"/>
        <v>0.7194444444</v>
      </c>
      <c r="J1406" s="55">
        <v>82.0</v>
      </c>
      <c r="K1406" s="56">
        <v>6.2</v>
      </c>
      <c r="L1406" s="55">
        <v>8.0</v>
      </c>
      <c r="M1406" s="58" t="s">
        <v>95</v>
      </c>
      <c r="N1406" s="59"/>
      <c r="O1406" s="60" t="s">
        <v>34</v>
      </c>
      <c r="P1406" s="61"/>
    </row>
    <row r="1407">
      <c r="A1407" s="29" t="s">
        <v>1619</v>
      </c>
      <c r="B1407" s="30" t="s">
        <v>25</v>
      </c>
      <c r="C1407" s="31" t="s">
        <v>1089</v>
      </c>
      <c r="D1407" s="32" t="str">
        <f t="shared" si="1"/>
        <v>Removed</v>
      </c>
      <c r="E1407" s="33">
        <v>45356.0</v>
      </c>
      <c r="F1407" s="34">
        <v>45383.0</v>
      </c>
      <c r="G1407" s="36">
        <f t="shared" si="2"/>
        <v>0.8666666667</v>
      </c>
      <c r="H1407" s="37">
        <v>44600.0</v>
      </c>
      <c r="I1407" s="36">
        <f t="shared" si="4"/>
        <v>2.075</v>
      </c>
      <c r="J1407" s="38">
        <v>81.0</v>
      </c>
      <c r="K1407" s="39">
        <v>8.1</v>
      </c>
      <c r="L1407" s="38">
        <v>9.0</v>
      </c>
      <c r="M1407" s="40" t="s">
        <v>29</v>
      </c>
      <c r="N1407" s="41"/>
      <c r="O1407" s="42" t="s">
        <v>34</v>
      </c>
      <c r="P1407" s="43"/>
    </row>
    <row r="1408">
      <c r="A1408" s="44" t="s">
        <v>1620</v>
      </c>
      <c r="B1408" s="45" t="s">
        <v>45</v>
      </c>
      <c r="C1408" s="46" t="s">
        <v>26</v>
      </c>
      <c r="D1408" s="47" t="str">
        <f t="shared" si="1"/>
        <v>Removed</v>
      </c>
      <c r="E1408" s="48">
        <v>45188.0</v>
      </c>
      <c r="F1408" s="49">
        <v>45369.0</v>
      </c>
      <c r="G1408" s="50">
        <f t="shared" si="2"/>
        <v>5.966666667</v>
      </c>
      <c r="H1408" s="51">
        <v>42663.0</v>
      </c>
      <c r="I1408" s="50">
        <f t="shared" si="4"/>
        <v>6.913888889</v>
      </c>
      <c r="J1408" s="55">
        <v>87.0</v>
      </c>
      <c r="K1408" s="56">
        <v>7.1</v>
      </c>
      <c r="L1408" s="55">
        <v>23.0</v>
      </c>
      <c r="M1408" s="58" t="s">
        <v>103</v>
      </c>
      <c r="N1408" s="59"/>
      <c r="O1408" s="60" t="s">
        <v>149</v>
      </c>
      <c r="P1408" s="61"/>
    </row>
    <row r="1409">
      <c r="A1409" s="29" t="s">
        <v>1469</v>
      </c>
      <c r="B1409" s="30" t="s">
        <v>33</v>
      </c>
      <c r="C1409" s="31" t="s">
        <v>26</v>
      </c>
      <c r="D1409" s="32" t="str">
        <f t="shared" si="1"/>
        <v>Removed</v>
      </c>
      <c r="E1409" s="33">
        <v>45006.0</v>
      </c>
      <c r="F1409" s="34">
        <v>45369.0</v>
      </c>
      <c r="G1409" s="36">
        <f t="shared" si="2"/>
        <v>11.9</v>
      </c>
      <c r="H1409" s="37">
        <v>44642.0</v>
      </c>
      <c r="I1409" s="36">
        <f t="shared" si="4"/>
        <v>0.9972222222</v>
      </c>
      <c r="J1409" s="38">
        <v>75.0</v>
      </c>
      <c r="K1409" s="39">
        <v>8.6</v>
      </c>
      <c r="L1409" s="38">
        <v>11.0</v>
      </c>
      <c r="M1409" s="40" t="s">
        <v>29</v>
      </c>
      <c r="N1409" s="41"/>
      <c r="O1409" s="42" t="s">
        <v>34</v>
      </c>
      <c r="P1409" s="43"/>
    </row>
    <row r="1410">
      <c r="A1410" s="44" t="s">
        <v>1621</v>
      </c>
      <c r="B1410" s="45" t="s">
        <v>25</v>
      </c>
      <c r="C1410" s="46" t="s">
        <v>26</v>
      </c>
      <c r="D1410" s="47" t="str">
        <f t="shared" si="1"/>
        <v>Removed</v>
      </c>
      <c r="E1410" s="48">
        <v>45006.0</v>
      </c>
      <c r="F1410" s="49">
        <v>45369.0</v>
      </c>
      <c r="G1410" s="50">
        <f t="shared" si="2"/>
        <v>11.9</v>
      </c>
      <c r="H1410" s="51">
        <v>44168.0</v>
      </c>
      <c r="I1410" s="50">
        <f t="shared" si="4"/>
        <v>2.3</v>
      </c>
      <c r="J1410" s="55">
        <v>78.0</v>
      </c>
      <c r="K1410" s="56">
        <v>7.5</v>
      </c>
      <c r="L1410" s="55">
        <v>11.0</v>
      </c>
      <c r="M1410" s="58" t="s">
        <v>29</v>
      </c>
      <c r="N1410" s="59"/>
      <c r="O1410" s="60" t="s">
        <v>149</v>
      </c>
      <c r="P1410" s="61"/>
    </row>
    <row r="1411">
      <c r="A1411" s="29" t="s">
        <v>1622</v>
      </c>
      <c r="B1411" s="30" t="s">
        <v>25</v>
      </c>
      <c r="C1411" s="31" t="s">
        <v>26</v>
      </c>
      <c r="D1411" s="32" t="str">
        <f t="shared" si="1"/>
        <v>Removed</v>
      </c>
      <c r="E1411" s="33">
        <v>45006.0</v>
      </c>
      <c r="F1411" s="34">
        <v>45369.0</v>
      </c>
      <c r="G1411" s="36">
        <f t="shared" si="2"/>
        <v>11.9</v>
      </c>
      <c r="H1411" s="37">
        <v>43344.0</v>
      </c>
      <c r="I1411" s="36">
        <f t="shared" si="4"/>
        <v>4.555555556</v>
      </c>
      <c r="J1411" s="38">
        <v>80.0</v>
      </c>
      <c r="K1411" s="39">
        <v>8.2</v>
      </c>
      <c r="L1411" s="38">
        <v>41.0</v>
      </c>
      <c r="M1411" s="40" t="s">
        <v>42</v>
      </c>
      <c r="N1411" s="41"/>
      <c r="O1411" s="42" t="s">
        <v>149</v>
      </c>
      <c r="P1411" s="43"/>
    </row>
    <row r="1412">
      <c r="A1412" s="44" t="s">
        <v>1623</v>
      </c>
      <c r="B1412" s="45" t="s">
        <v>25</v>
      </c>
      <c r="C1412" s="46" t="s">
        <v>26</v>
      </c>
      <c r="D1412" s="47" t="str">
        <f t="shared" si="1"/>
        <v>Removed</v>
      </c>
      <c r="E1412" s="48">
        <v>45006.0</v>
      </c>
      <c r="F1412" s="49">
        <v>45369.0</v>
      </c>
      <c r="G1412" s="50">
        <f t="shared" si="2"/>
        <v>11.9</v>
      </c>
      <c r="H1412" s="51">
        <v>45006.0</v>
      </c>
      <c r="I1412" s="50">
        <f t="shared" si="4"/>
        <v>0</v>
      </c>
      <c r="J1412" s="55">
        <v>77.0</v>
      </c>
      <c r="K1412" s="56">
        <v>7.3</v>
      </c>
      <c r="L1412" s="55">
        <v>7.0</v>
      </c>
      <c r="M1412" s="58" t="s">
        <v>29</v>
      </c>
      <c r="N1412" s="59"/>
      <c r="O1412" s="60" t="s">
        <v>149</v>
      </c>
      <c r="P1412" s="61"/>
    </row>
    <row r="1413">
      <c r="A1413" s="29" t="s">
        <v>1624</v>
      </c>
      <c r="B1413" s="30" t="s">
        <v>45</v>
      </c>
      <c r="C1413" s="31" t="s">
        <v>26</v>
      </c>
      <c r="D1413" s="32" t="str">
        <f t="shared" si="1"/>
        <v>Removed</v>
      </c>
      <c r="E1413" s="33">
        <v>44992.0</v>
      </c>
      <c r="F1413" s="34">
        <v>45369.0</v>
      </c>
      <c r="G1413" s="36">
        <f t="shared" si="2"/>
        <v>12.36666667</v>
      </c>
      <c r="H1413" s="37">
        <v>43735.0</v>
      </c>
      <c r="I1413" s="36">
        <f t="shared" si="4"/>
        <v>3.444444444</v>
      </c>
      <c r="J1413" s="38">
        <v>70.0</v>
      </c>
      <c r="K1413" s="39">
        <v>7.8</v>
      </c>
      <c r="L1413" s="38">
        <v>26.0</v>
      </c>
      <c r="M1413" s="40" t="s">
        <v>42</v>
      </c>
      <c r="N1413" s="41"/>
      <c r="O1413" s="42" t="s">
        <v>34</v>
      </c>
      <c r="P1413" s="43"/>
    </row>
    <row r="1414">
      <c r="A1414" s="44" t="s">
        <v>1625</v>
      </c>
      <c r="B1414" s="45" t="s">
        <v>45</v>
      </c>
      <c r="C1414" s="46" t="s">
        <v>26</v>
      </c>
      <c r="D1414" s="47" t="str">
        <f t="shared" si="1"/>
        <v>Removed</v>
      </c>
      <c r="E1414" s="48">
        <v>44656.0</v>
      </c>
      <c r="F1414" s="49">
        <v>45369.0</v>
      </c>
      <c r="G1414" s="50">
        <f t="shared" si="2"/>
        <v>23.43333333</v>
      </c>
      <c r="H1414" s="51">
        <v>43614.0</v>
      </c>
      <c r="I1414" s="50">
        <f t="shared" si="4"/>
        <v>2.85</v>
      </c>
      <c r="J1414" s="55">
        <v>85.0</v>
      </c>
      <c r="K1414" s="56">
        <v>8.6</v>
      </c>
      <c r="L1414" s="55">
        <v>16.0</v>
      </c>
      <c r="M1414" s="58" t="s">
        <v>29</v>
      </c>
      <c r="N1414" s="59"/>
      <c r="O1414" s="60" t="s">
        <v>149</v>
      </c>
      <c r="P1414" s="61"/>
    </row>
    <row r="1415">
      <c r="A1415" s="29" t="s">
        <v>1626</v>
      </c>
      <c r="B1415" s="30" t="s">
        <v>33</v>
      </c>
      <c r="C1415" s="31" t="s">
        <v>1089</v>
      </c>
      <c r="D1415" s="32" t="str">
        <f t="shared" si="1"/>
        <v>Removed</v>
      </c>
      <c r="E1415" s="33">
        <v>45328.0</v>
      </c>
      <c r="F1415" s="34">
        <v>45355.0</v>
      </c>
      <c r="G1415" s="36">
        <f t="shared" si="2"/>
        <v>0.9333333333</v>
      </c>
      <c r="H1415" s="37">
        <v>44812.0</v>
      </c>
      <c r="I1415" s="36">
        <f t="shared" si="4"/>
        <v>1.411111111</v>
      </c>
      <c r="J1415" s="38">
        <v>72.0</v>
      </c>
      <c r="K1415" s="39">
        <v>7.5</v>
      </c>
      <c r="L1415" s="38">
        <v>15.0</v>
      </c>
      <c r="M1415" s="40" t="s">
        <v>42</v>
      </c>
      <c r="N1415" s="41"/>
      <c r="O1415" s="42" t="s">
        <v>34</v>
      </c>
      <c r="P1415" s="43"/>
    </row>
    <row r="1416">
      <c r="A1416" s="44" t="s">
        <v>1627</v>
      </c>
      <c r="B1416" s="45" t="s">
        <v>25</v>
      </c>
      <c r="C1416" s="46" t="s">
        <v>1089</v>
      </c>
      <c r="D1416" s="47" t="str">
        <f t="shared" si="1"/>
        <v>Removed</v>
      </c>
      <c r="E1416" s="48">
        <v>45328.0</v>
      </c>
      <c r="F1416" s="49">
        <v>45355.0</v>
      </c>
      <c r="G1416" s="50">
        <f t="shared" si="2"/>
        <v>0.9333333333</v>
      </c>
      <c r="H1416" s="51">
        <v>45328.0</v>
      </c>
      <c r="I1416" s="50">
        <f t="shared" si="4"/>
        <v>0</v>
      </c>
      <c r="J1416" s="55">
        <v>59.0</v>
      </c>
      <c r="K1416" s="56">
        <v>7.2</v>
      </c>
      <c r="L1416" s="78"/>
      <c r="M1416" s="58" t="s">
        <v>31</v>
      </c>
      <c r="N1416" s="59"/>
      <c r="O1416" s="60" t="s">
        <v>34</v>
      </c>
      <c r="P1416" s="61"/>
    </row>
    <row r="1417">
      <c r="A1417" s="29" t="s">
        <v>1628</v>
      </c>
      <c r="B1417" s="30" t="s">
        <v>25</v>
      </c>
      <c r="C1417" s="31" t="s">
        <v>1089</v>
      </c>
      <c r="D1417" s="32" t="str">
        <f t="shared" si="1"/>
        <v>Removed</v>
      </c>
      <c r="E1417" s="33">
        <v>45328.0</v>
      </c>
      <c r="F1417" s="34">
        <v>45355.0</v>
      </c>
      <c r="G1417" s="36">
        <f t="shared" si="2"/>
        <v>0.9333333333</v>
      </c>
      <c r="H1417" s="37">
        <v>44789.0</v>
      </c>
      <c r="I1417" s="36">
        <f t="shared" si="4"/>
        <v>1.472222222</v>
      </c>
      <c r="J1417" s="38">
        <v>79.0</v>
      </c>
      <c r="K1417" s="39">
        <v>7.3</v>
      </c>
      <c r="L1417" s="38">
        <v>5.0</v>
      </c>
      <c r="M1417" s="40" t="s">
        <v>31</v>
      </c>
      <c r="N1417" s="41"/>
      <c r="O1417" s="42" t="s">
        <v>34</v>
      </c>
      <c r="P1417" s="43"/>
    </row>
    <row r="1418">
      <c r="A1418" s="44" t="s">
        <v>1629</v>
      </c>
      <c r="B1418" s="45" t="s">
        <v>45</v>
      </c>
      <c r="C1418" s="46" t="s">
        <v>26</v>
      </c>
      <c r="D1418" s="47" t="str">
        <f t="shared" si="1"/>
        <v>Removed</v>
      </c>
      <c r="E1418" s="48">
        <v>45097.0</v>
      </c>
      <c r="F1418" s="49">
        <v>45341.0</v>
      </c>
      <c r="G1418" s="50">
        <f t="shared" si="2"/>
        <v>7.966666667</v>
      </c>
      <c r="H1418" s="51">
        <v>43228.0</v>
      </c>
      <c r="I1418" s="50">
        <f t="shared" si="4"/>
        <v>5.116666667</v>
      </c>
      <c r="J1418" s="55">
        <v>79.0</v>
      </c>
      <c r="K1418" s="56">
        <v>5.8</v>
      </c>
      <c r="L1418" s="55">
        <v>3.0</v>
      </c>
      <c r="M1418" s="58" t="s">
        <v>29</v>
      </c>
      <c r="N1418" s="59"/>
      <c r="O1418" s="60" t="s">
        <v>149</v>
      </c>
      <c r="P1418" s="61"/>
    </row>
    <row r="1419">
      <c r="A1419" s="29" t="s">
        <v>1271</v>
      </c>
      <c r="B1419" s="30" t="s">
        <v>45</v>
      </c>
      <c r="C1419" s="31" t="s">
        <v>26</v>
      </c>
      <c r="D1419" s="32" t="str">
        <f t="shared" si="1"/>
        <v>Removed</v>
      </c>
      <c r="E1419" s="33">
        <v>44978.0</v>
      </c>
      <c r="F1419" s="34">
        <v>45341.0</v>
      </c>
      <c r="G1419" s="36">
        <f t="shared" si="2"/>
        <v>11.93333333</v>
      </c>
      <c r="H1419" s="37">
        <v>43483.0</v>
      </c>
      <c r="I1419" s="36">
        <f t="shared" si="4"/>
        <v>4.091666667</v>
      </c>
      <c r="J1419" s="38">
        <v>80.0</v>
      </c>
      <c r="K1419" s="39">
        <v>8.0</v>
      </c>
      <c r="L1419" s="38">
        <v>12.0</v>
      </c>
      <c r="M1419" s="40" t="s">
        <v>70</v>
      </c>
      <c r="N1419" s="41"/>
      <c r="O1419" s="42" t="s">
        <v>149</v>
      </c>
      <c r="P1419" s="43"/>
    </row>
    <row r="1420">
      <c r="A1420" s="44" t="s">
        <v>1630</v>
      </c>
      <c r="B1420" s="45" t="s">
        <v>45</v>
      </c>
      <c r="C1420" s="46" t="s">
        <v>26</v>
      </c>
      <c r="D1420" s="47" t="str">
        <f t="shared" si="1"/>
        <v>Removed</v>
      </c>
      <c r="E1420" s="48">
        <v>44978.0</v>
      </c>
      <c r="F1420" s="49">
        <v>45341.0</v>
      </c>
      <c r="G1420" s="50">
        <f t="shared" si="2"/>
        <v>11.93333333</v>
      </c>
      <c r="H1420" s="51">
        <v>42570.0</v>
      </c>
      <c r="I1420" s="50">
        <f t="shared" si="4"/>
        <v>6.588888889</v>
      </c>
      <c r="J1420" s="55">
        <v>74.0</v>
      </c>
      <c r="K1420" s="56">
        <v>7.4</v>
      </c>
      <c r="L1420" s="55">
        <v>21.0</v>
      </c>
      <c r="M1420" s="58" t="s">
        <v>42</v>
      </c>
      <c r="N1420" s="59"/>
      <c r="O1420" s="60" t="s">
        <v>149</v>
      </c>
      <c r="P1420" s="61"/>
    </row>
    <row r="1421">
      <c r="A1421" s="29" t="s">
        <v>1631</v>
      </c>
      <c r="B1421" s="30" t="s">
        <v>45</v>
      </c>
      <c r="C1421" s="31" t="s">
        <v>26</v>
      </c>
      <c r="D1421" s="32" t="str">
        <f t="shared" si="1"/>
        <v>Removed</v>
      </c>
      <c r="E1421" s="33">
        <v>44978.0</v>
      </c>
      <c r="F1421" s="34">
        <v>45341.0</v>
      </c>
      <c r="G1421" s="36">
        <f t="shared" si="2"/>
        <v>11.93333333</v>
      </c>
      <c r="H1421" s="37">
        <v>43123.0</v>
      </c>
      <c r="I1421" s="36">
        <f t="shared" si="4"/>
        <v>5.077777778</v>
      </c>
      <c r="J1421" s="38">
        <v>68.0</v>
      </c>
      <c r="K1421" s="39">
        <v>6.9</v>
      </c>
      <c r="L1421" s="38">
        <v>26.0</v>
      </c>
      <c r="M1421" s="40" t="s">
        <v>42</v>
      </c>
      <c r="N1421" s="41"/>
      <c r="O1421" s="42" t="s">
        <v>149</v>
      </c>
      <c r="P1421" s="43"/>
    </row>
    <row r="1422">
      <c r="A1422" s="44" t="s">
        <v>1632</v>
      </c>
      <c r="B1422" s="45" t="s">
        <v>45</v>
      </c>
      <c r="C1422" s="46" t="s">
        <v>26</v>
      </c>
      <c r="D1422" s="47" t="str">
        <f t="shared" si="1"/>
        <v>Removed</v>
      </c>
      <c r="E1422" s="48">
        <v>44978.0</v>
      </c>
      <c r="F1422" s="49">
        <v>45341.0</v>
      </c>
      <c r="G1422" s="50">
        <f t="shared" si="2"/>
        <v>11.93333333</v>
      </c>
      <c r="H1422" s="51">
        <v>43699.0</v>
      </c>
      <c r="I1422" s="50">
        <f t="shared" si="4"/>
        <v>3.497222222</v>
      </c>
      <c r="J1422" s="55">
        <v>69.0</v>
      </c>
      <c r="K1422" s="56">
        <v>5.8</v>
      </c>
      <c r="L1422" s="55">
        <v>20.0</v>
      </c>
      <c r="M1422" s="58" t="s">
        <v>42</v>
      </c>
      <c r="N1422" s="59"/>
      <c r="O1422" s="60" t="s">
        <v>149</v>
      </c>
      <c r="P1422" s="61"/>
    </row>
    <row r="1423">
      <c r="A1423" s="29" t="s">
        <v>1633</v>
      </c>
      <c r="B1423" s="30" t="s">
        <v>45</v>
      </c>
      <c r="C1423" s="31" t="s">
        <v>26</v>
      </c>
      <c r="D1423" s="32" t="str">
        <f t="shared" si="1"/>
        <v>Removed</v>
      </c>
      <c r="E1423" s="33">
        <v>44978.0</v>
      </c>
      <c r="F1423" s="34">
        <v>45341.0</v>
      </c>
      <c r="G1423" s="36">
        <f t="shared" si="2"/>
        <v>11.93333333</v>
      </c>
      <c r="H1423" s="37">
        <v>42759.0</v>
      </c>
      <c r="I1423" s="36">
        <f t="shared" si="4"/>
        <v>6.075</v>
      </c>
      <c r="J1423" s="38">
        <v>86.0</v>
      </c>
      <c r="K1423" s="39">
        <v>8.1</v>
      </c>
      <c r="L1423" s="38">
        <v>10.0</v>
      </c>
      <c r="M1423" s="40" t="s">
        <v>31</v>
      </c>
      <c r="N1423" s="41"/>
      <c r="O1423" s="42" t="s">
        <v>149</v>
      </c>
      <c r="P1423" s="43"/>
    </row>
    <row r="1424">
      <c r="A1424" s="44" t="s">
        <v>1634</v>
      </c>
      <c r="B1424" s="45" t="s">
        <v>45</v>
      </c>
      <c r="C1424" s="46" t="s">
        <v>26</v>
      </c>
      <c r="D1424" s="47" t="str">
        <f t="shared" si="1"/>
        <v>Removed</v>
      </c>
      <c r="E1424" s="48">
        <v>44978.0</v>
      </c>
      <c r="F1424" s="49">
        <v>45341.0</v>
      </c>
      <c r="G1424" s="50">
        <f t="shared" si="2"/>
        <v>11.93333333</v>
      </c>
      <c r="H1424" s="51">
        <v>42888.0</v>
      </c>
      <c r="I1424" s="50">
        <f t="shared" si="4"/>
        <v>5.719444444</v>
      </c>
      <c r="J1424" s="55">
        <v>82.0</v>
      </c>
      <c r="K1424" s="56">
        <v>6.5</v>
      </c>
      <c r="L1424" s="55">
        <v>4.0</v>
      </c>
      <c r="M1424" s="58" t="s">
        <v>114</v>
      </c>
      <c r="N1424" s="59"/>
      <c r="O1424" s="60" t="s">
        <v>149</v>
      </c>
      <c r="P1424" s="61"/>
    </row>
    <row r="1425">
      <c r="A1425" s="29" t="s">
        <v>1635</v>
      </c>
      <c r="B1425" s="30" t="s">
        <v>45</v>
      </c>
      <c r="C1425" s="31" t="s">
        <v>26</v>
      </c>
      <c r="D1425" s="32" t="str">
        <f t="shared" si="1"/>
        <v>Removed</v>
      </c>
      <c r="E1425" s="33">
        <v>44725.0</v>
      </c>
      <c r="F1425" s="34">
        <v>45341.0</v>
      </c>
      <c r="G1425" s="36">
        <f t="shared" si="2"/>
        <v>20.2</v>
      </c>
      <c r="H1425" s="37">
        <v>42612.0</v>
      </c>
      <c r="I1425" s="36">
        <f t="shared" si="4"/>
        <v>5.786111111</v>
      </c>
      <c r="J1425" s="38">
        <v>79.0</v>
      </c>
      <c r="K1425" s="39">
        <v>7.3</v>
      </c>
      <c r="L1425" s="38">
        <v>4.5</v>
      </c>
      <c r="M1425" s="40" t="s">
        <v>136</v>
      </c>
      <c r="N1425" s="41"/>
      <c r="O1425" s="42" t="s">
        <v>149</v>
      </c>
      <c r="P1425" s="43"/>
    </row>
    <row r="1426">
      <c r="A1426" s="44" t="s">
        <v>1636</v>
      </c>
      <c r="B1426" s="45" t="s">
        <v>45</v>
      </c>
      <c r="C1426" s="46" t="s">
        <v>26</v>
      </c>
      <c r="D1426" s="47" t="str">
        <f t="shared" si="1"/>
        <v>Removed</v>
      </c>
      <c r="E1426" s="48">
        <v>44725.0</v>
      </c>
      <c r="F1426" s="49">
        <v>45341.0</v>
      </c>
      <c r="G1426" s="50">
        <f t="shared" si="2"/>
        <v>20.2</v>
      </c>
      <c r="H1426" s="51">
        <v>43917.0</v>
      </c>
      <c r="I1426" s="50">
        <f t="shared" si="4"/>
        <v>2.211111111</v>
      </c>
      <c r="J1426" s="55">
        <v>78.0</v>
      </c>
      <c r="K1426" s="56">
        <v>7.3</v>
      </c>
      <c r="L1426" s="55">
        <v>4.5</v>
      </c>
      <c r="M1426" s="58" t="s">
        <v>27</v>
      </c>
      <c r="N1426" s="59"/>
      <c r="O1426" s="60" t="s">
        <v>34</v>
      </c>
      <c r="P1426" s="61"/>
    </row>
    <row r="1427">
      <c r="A1427" s="29" t="s">
        <v>1637</v>
      </c>
      <c r="B1427" s="30" t="s">
        <v>45</v>
      </c>
      <c r="C1427" s="31" t="s">
        <v>26</v>
      </c>
      <c r="D1427" s="32" t="str">
        <f t="shared" si="1"/>
        <v>Removed</v>
      </c>
      <c r="E1427" s="33">
        <v>44725.0</v>
      </c>
      <c r="F1427" s="34">
        <v>45341.0</v>
      </c>
      <c r="G1427" s="36">
        <f t="shared" si="2"/>
        <v>20.2</v>
      </c>
      <c r="H1427" s="37">
        <v>41090.0</v>
      </c>
      <c r="I1427" s="36">
        <f t="shared" si="4"/>
        <v>9.952777778</v>
      </c>
      <c r="J1427" s="38">
        <v>79.0</v>
      </c>
      <c r="K1427" s="39">
        <v>7.6</v>
      </c>
      <c r="L1427" s="38">
        <v>3.0</v>
      </c>
      <c r="M1427" s="40" t="s">
        <v>27</v>
      </c>
      <c r="N1427" s="41"/>
      <c r="O1427" s="42" t="s">
        <v>149</v>
      </c>
      <c r="P1427" s="43"/>
    </row>
    <row r="1428">
      <c r="A1428" s="44" t="s">
        <v>1638</v>
      </c>
      <c r="B1428" s="45" t="s">
        <v>33</v>
      </c>
      <c r="C1428" s="46" t="s">
        <v>1089</v>
      </c>
      <c r="D1428" s="47" t="str">
        <f t="shared" si="1"/>
        <v>Removed</v>
      </c>
      <c r="E1428" s="48">
        <v>45293.0</v>
      </c>
      <c r="F1428" s="49">
        <v>45327.0</v>
      </c>
      <c r="G1428" s="50">
        <f t="shared" si="2"/>
        <v>1.1</v>
      </c>
      <c r="H1428" s="51">
        <v>44852.0</v>
      </c>
      <c r="I1428" s="50">
        <f t="shared" si="4"/>
        <v>1.205555556</v>
      </c>
      <c r="J1428" s="55">
        <v>82.0</v>
      </c>
      <c r="K1428" s="56">
        <v>8.3</v>
      </c>
      <c r="L1428" s="55">
        <v>17.0</v>
      </c>
      <c r="M1428" s="58" t="s">
        <v>29</v>
      </c>
      <c r="N1428" s="59"/>
      <c r="O1428" s="60" t="s">
        <v>34</v>
      </c>
      <c r="P1428" s="61"/>
    </row>
    <row r="1429">
      <c r="A1429" s="29" t="s">
        <v>1639</v>
      </c>
      <c r="B1429" s="30" t="s">
        <v>25</v>
      </c>
      <c r="C1429" s="31" t="s">
        <v>1089</v>
      </c>
      <c r="D1429" s="32" t="str">
        <f t="shared" si="1"/>
        <v>Removed</v>
      </c>
      <c r="E1429" s="33">
        <v>45293.0</v>
      </c>
      <c r="F1429" s="34">
        <v>45327.0</v>
      </c>
      <c r="G1429" s="36">
        <f t="shared" si="2"/>
        <v>1.1</v>
      </c>
      <c r="H1429" s="37">
        <v>44887.0</v>
      </c>
      <c r="I1429" s="36">
        <f t="shared" si="4"/>
        <v>1.111111111</v>
      </c>
      <c r="J1429" s="38">
        <v>73.0</v>
      </c>
      <c r="K1429" s="39">
        <v>7.6</v>
      </c>
      <c r="L1429" s="38">
        <v>11.0</v>
      </c>
      <c r="M1429" s="40" t="s">
        <v>31</v>
      </c>
      <c r="N1429" s="41"/>
      <c r="O1429" s="42" t="s">
        <v>34</v>
      </c>
      <c r="P1429" s="43"/>
    </row>
    <row r="1430">
      <c r="A1430" s="44" t="s">
        <v>1640</v>
      </c>
      <c r="B1430" s="45" t="s">
        <v>25</v>
      </c>
      <c r="C1430" s="46" t="s">
        <v>1089</v>
      </c>
      <c r="D1430" s="47" t="str">
        <f t="shared" si="1"/>
        <v>Removed</v>
      </c>
      <c r="E1430" s="48">
        <v>45293.0</v>
      </c>
      <c r="F1430" s="49">
        <v>45327.0</v>
      </c>
      <c r="G1430" s="50">
        <f t="shared" si="2"/>
        <v>1.1</v>
      </c>
      <c r="H1430" s="51">
        <v>44579.0</v>
      </c>
      <c r="I1430" s="50">
        <f t="shared" si="4"/>
        <v>1.955555556</v>
      </c>
      <c r="J1430" s="55">
        <v>76.0</v>
      </c>
      <c r="K1430" s="56">
        <v>7.1</v>
      </c>
      <c r="L1430" s="55">
        <v>16.0</v>
      </c>
      <c r="M1430" s="58" t="s">
        <v>42</v>
      </c>
      <c r="N1430" s="59"/>
      <c r="O1430" s="60" t="s">
        <v>34</v>
      </c>
      <c r="P1430" s="61"/>
    </row>
    <row r="1431">
      <c r="A1431" s="29" t="s">
        <v>1448</v>
      </c>
      <c r="B1431" s="30" t="s">
        <v>25</v>
      </c>
      <c r="C1431" s="31" t="s">
        <v>26</v>
      </c>
      <c r="D1431" s="32" t="str">
        <f t="shared" si="1"/>
        <v>Removed</v>
      </c>
      <c r="E1431" s="33">
        <v>45125.0</v>
      </c>
      <c r="F1431" s="34">
        <v>45306.0</v>
      </c>
      <c r="G1431" s="36">
        <f t="shared" si="2"/>
        <v>5.9</v>
      </c>
      <c r="H1431" s="37">
        <v>44281.0</v>
      </c>
      <c r="I1431" s="36">
        <f t="shared" si="4"/>
        <v>2.311111111</v>
      </c>
      <c r="J1431" s="38">
        <v>89.0</v>
      </c>
      <c r="K1431" s="39">
        <v>8.9</v>
      </c>
      <c r="L1431" s="38">
        <v>14.0</v>
      </c>
      <c r="M1431" s="40" t="s">
        <v>29</v>
      </c>
      <c r="N1431" s="41"/>
      <c r="O1431" s="42" t="s">
        <v>34</v>
      </c>
      <c r="P1431" s="43"/>
    </row>
    <row r="1432">
      <c r="A1432" s="44" t="s">
        <v>1641</v>
      </c>
      <c r="B1432" s="45" t="s">
        <v>25</v>
      </c>
      <c r="C1432" s="46" t="s">
        <v>26</v>
      </c>
      <c r="D1432" s="47" t="str">
        <f t="shared" si="1"/>
        <v>Removed</v>
      </c>
      <c r="E1432" s="48">
        <v>45125.0</v>
      </c>
      <c r="F1432" s="49">
        <v>45306.0</v>
      </c>
      <c r="G1432" s="50">
        <f t="shared" si="2"/>
        <v>5.9</v>
      </c>
      <c r="H1432" s="51">
        <v>43949.0</v>
      </c>
      <c r="I1432" s="50">
        <f t="shared" si="4"/>
        <v>3.222222222</v>
      </c>
      <c r="J1432" s="55">
        <v>81.0</v>
      </c>
      <c r="K1432" s="56">
        <v>7.1</v>
      </c>
      <c r="L1432" s="55">
        <v>93.0</v>
      </c>
      <c r="M1432" s="58" t="s">
        <v>95</v>
      </c>
      <c r="N1432" s="59"/>
      <c r="O1432" s="60" t="s">
        <v>149</v>
      </c>
      <c r="P1432" s="61"/>
    </row>
    <row r="1433">
      <c r="A1433" s="29" t="s">
        <v>1642</v>
      </c>
      <c r="B1433" s="30" t="s">
        <v>25</v>
      </c>
      <c r="C1433" s="31" t="s">
        <v>26</v>
      </c>
      <c r="D1433" s="32" t="str">
        <f t="shared" si="1"/>
        <v>Removed</v>
      </c>
      <c r="E1433" s="33">
        <v>44943.0</v>
      </c>
      <c r="F1433" s="34">
        <v>45306.0</v>
      </c>
      <c r="G1433" s="36">
        <f t="shared" si="2"/>
        <v>11.93333333</v>
      </c>
      <c r="H1433" s="37">
        <v>43532.0</v>
      </c>
      <c r="I1433" s="36">
        <f t="shared" si="4"/>
        <v>3.858333333</v>
      </c>
      <c r="J1433" s="38">
        <v>88.0</v>
      </c>
      <c r="K1433" s="39">
        <v>8.4</v>
      </c>
      <c r="L1433" s="38">
        <v>11.0</v>
      </c>
      <c r="M1433" s="40" t="s">
        <v>29</v>
      </c>
      <c r="N1433" s="41" t="s">
        <v>515</v>
      </c>
      <c r="O1433" s="42" t="s">
        <v>149</v>
      </c>
      <c r="P1433" s="43"/>
    </row>
    <row r="1434">
      <c r="A1434" s="44" t="s">
        <v>1643</v>
      </c>
      <c r="B1434" s="45" t="s">
        <v>25</v>
      </c>
      <c r="C1434" s="46" t="s">
        <v>26</v>
      </c>
      <c r="D1434" s="47" t="str">
        <f t="shared" si="1"/>
        <v>Removed</v>
      </c>
      <c r="E1434" s="48">
        <v>44943.0</v>
      </c>
      <c r="F1434" s="49">
        <v>45306.0</v>
      </c>
      <c r="G1434" s="50">
        <f t="shared" si="2"/>
        <v>11.93333333</v>
      </c>
      <c r="H1434" s="51">
        <v>44474.0</v>
      </c>
      <c r="I1434" s="50">
        <f t="shared" si="4"/>
        <v>1.283333333</v>
      </c>
      <c r="J1434" s="55">
        <v>61.0</v>
      </c>
      <c r="K1434" s="56">
        <v>3.8</v>
      </c>
      <c r="L1434" s="55">
        <v>9.0</v>
      </c>
      <c r="M1434" s="58" t="s">
        <v>29</v>
      </c>
      <c r="N1434" s="59"/>
      <c r="O1434" s="60" t="s">
        <v>149</v>
      </c>
      <c r="P1434" s="61"/>
    </row>
    <row r="1435">
      <c r="A1435" s="29" t="s">
        <v>1644</v>
      </c>
      <c r="B1435" s="30" t="s">
        <v>45</v>
      </c>
      <c r="C1435" s="31" t="s">
        <v>26</v>
      </c>
      <c r="D1435" s="32" t="str">
        <f t="shared" si="1"/>
        <v>Removed</v>
      </c>
      <c r="E1435" s="33">
        <v>44943.0</v>
      </c>
      <c r="F1435" s="34">
        <v>45306.0</v>
      </c>
      <c r="G1435" s="36">
        <f t="shared" si="2"/>
        <v>11.93333333</v>
      </c>
      <c r="H1435" s="37">
        <v>44406.0</v>
      </c>
      <c r="I1435" s="36">
        <f t="shared" si="4"/>
        <v>1.466666667</v>
      </c>
      <c r="J1435" s="38">
        <v>82.0</v>
      </c>
      <c r="K1435" s="39">
        <v>6.7</v>
      </c>
      <c r="L1435" s="38">
        <v>4.0</v>
      </c>
      <c r="M1435" s="40" t="s">
        <v>29</v>
      </c>
      <c r="N1435" s="41"/>
      <c r="O1435" s="42" t="s">
        <v>149</v>
      </c>
      <c r="P1435" s="43"/>
    </row>
    <row r="1436">
      <c r="A1436" s="44" t="s">
        <v>1645</v>
      </c>
      <c r="B1436" s="45" t="s">
        <v>45</v>
      </c>
      <c r="C1436" s="46" t="s">
        <v>26</v>
      </c>
      <c r="D1436" s="47" t="str">
        <f t="shared" si="1"/>
        <v>Removed</v>
      </c>
      <c r="E1436" s="48">
        <v>44915.0</v>
      </c>
      <c r="F1436" s="49">
        <v>45306.0</v>
      </c>
      <c r="G1436" s="50">
        <f t="shared" si="2"/>
        <v>12.83333333</v>
      </c>
      <c r="H1436" s="51">
        <v>43858.0</v>
      </c>
      <c r="I1436" s="50">
        <f t="shared" si="4"/>
        <v>2.894444444</v>
      </c>
      <c r="J1436" s="55">
        <v>76.0</v>
      </c>
      <c r="K1436" s="56">
        <v>4.5</v>
      </c>
      <c r="L1436" s="55">
        <v>70.0</v>
      </c>
      <c r="M1436" s="58" t="s">
        <v>42</v>
      </c>
      <c r="N1436" s="59"/>
      <c r="O1436" s="60" t="s">
        <v>149</v>
      </c>
      <c r="P1436" s="61"/>
    </row>
    <row r="1437">
      <c r="A1437" s="29" t="s">
        <v>1646</v>
      </c>
      <c r="B1437" s="30" t="s">
        <v>45</v>
      </c>
      <c r="C1437" s="31" t="s">
        <v>26</v>
      </c>
      <c r="D1437" s="32" t="str">
        <f t="shared" si="1"/>
        <v>Removed</v>
      </c>
      <c r="E1437" s="33">
        <v>44725.0</v>
      </c>
      <c r="F1437" s="34">
        <v>45306.0</v>
      </c>
      <c r="G1437" s="36">
        <f t="shared" si="2"/>
        <v>19.06666667</v>
      </c>
      <c r="H1437" s="37">
        <v>42401.0</v>
      </c>
      <c r="I1437" s="36">
        <f t="shared" si="4"/>
        <v>6.366666667</v>
      </c>
      <c r="J1437" s="38">
        <v>61.0</v>
      </c>
      <c r="K1437" s="39">
        <v>6.2</v>
      </c>
      <c r="L1437" s="38">
        <v>3.0</v>
      </c>
      <c r="M1437" s="40" t="s">
        <v>29</v>
      </c>
      <c r="N1437" s="41"/>
      <c r="O1437" s="42" t="s">
        <v>149</v>
      </c>
      <c r="P1437" s="43"/>
    </row>
    <row r="1438">
      <c r="A1438" s="44" t="s">
        <v>1647</v>
      </c>
      <c r="B1438" s="45" t="s">
        <v>45</v>
      </c>
      <c r="C1438" s="46" t="s">
        <v>26</v>
      </c>
      <c r="D1438" s="47" t="str">
        <f t="shared" si="1"/>
        <v>Removed</v>
      </c>
      <c r="E1438" s="48">
        <v>44725.0</v>
      </c>
      <c r="F1438" s="49">
        <v>45306.0</v>
      </c>
      <c r="G1438" s="50">
        <f t="shared" si="2"/>
        <v>19.06666667</v>
      </c>
      <c r="H1438" s="51">
        <v>43384.0</v>
      </c>
      <c r="I1438" s="50">
        <f t="shared" si="4"/>
        <v>3.672222222</v>
      </c>
      <c r="J1438" s="55">
        <v>79.0</v>
      </c>
      <c r="K1438" s="56">
        <v>7.4</v>
      </c>
      <c r="L1438" s="55">
        <v>5.0</v>
      </c>
      <c r="M1438" s="58" t="s">
        <v>29</v>
      </c>
      <c r="N1438" s="59"/>
      <c r="O1438" s="60" t="s">
        <v>34</v>
      </c>
      <c r="P1438" s="61"/>
    </row>
    <row r="1439">
      <c r="A1439" s="29" t="s">
        <v>1648</v>
      </c>
      <c r="B1439" s="30" t="s">
        <v>33</v>
      </c>
      <c r="C1439" s="31" t="s">
        <v>1089</v>
      </c>
      <c r="D1439" s="32" t="str">
        <f t="shared" si="1"/>
        <v>Removed</v>
      </c>
      <c r="E1439" s="33">
        <v>45265.0</v>
      </c>
      <c r="F1439" s="34">
        <v>45292.0</v>
      </c>
      <c r="G1439" s="36">
        <f t="shared" si="2"/>
        <v>0.8666666667</v>
      </c>
      <c r="H1439" s="37">
        <v>44462.0</v>
      </c>
      <c r="I1439" s="36">
        <f t="shared" si="4"/>
        <v>2.2</v>
      </c>
      <c r="J1439" s="38">
        <v>75.0</v>
      </c>
      <c r="K1439" s="39">
        <v>7.0</v>
      </c>
      <c r="L1439" s="38">
        <v>8.0</v>
      </c>
      <c r="M1439" s="40" t="s">
        <v>29</v>
      </c>
      <c r="N1439" s="41"/>
      <c r="O1439" s="42" t="s">
        <v>34</v>
      </c>
      <c r="P1439" s="43"/>
    </row>
    <row r="1440">
      <c r="A1440" s="44" t="s">
        <v>1649</v>
      </c>
      <c r="B1440" s="45" t="s">
        <v>25</v>
      </c>
      <c r="C1440" s="46" t="s">
        <v>1089</v>
      </c>
      <c r="D1440" s="47" t="str">
        <f t="shared" si="1"/>
        <v>Removed</v>
      </c>
      <c r="E1440" s="48">
        <v>45265.0</v>
      </c>
      <c r="F1440" s="49">
        <v>45292.0</v>
      </c>
      <c r="G1440" s="50">
        <f t="shared" si="2"/>
        <v>0.8666666667</v>
      </c>
      <c r="H1440" s="51">
        <v>45062.0</v>
      </c>
      <c r="I1440" s="50">
        <f t="shared" si="4"/>
        <v>0.5527777778</v>
      </c>
      <c r="J1440" s="55">
        <v>73.0</v>
      </c>
      <c r="K1440" s="56">
        <v>5.5</v>
      </c>
      <c r="L1440" s="55">
        <v>9.0</v>
      </c>
      <c r="M1440" s="58" t="s">
        <v>95</v>
      </c>
      <c r="N1440" s="59"/>
      <c r="O1440" s="60" t="s">
        <v>34</v>
      </c>
      <c r="P1440" s="61"/>
    </row>
    <row r="1441">
      <c r="A1441" s="29" t="s">
        <v>1650</v>
      </c>
      <c r="B1441" s="30" t="s">
        <v>25</v>
      </c>
      <c r="C1441" s="31" t="s">
        <v>1089</v>
      </c>
      <c r="D1441" s="32" t="str">
        <f t="shared" si="1"/>
        <v>Removed</v>
      </c>
      <c r="E1441" s="33">
        <v>45265.0</v>
      </c>
      <c r="F1441" s="34">
        <v>45292.0</v>
      </c>
      <c r="G1441" s="36">
        <f t="shared" si="2"/>
        <v>0.8666666667</v>
      </c>
      <c r="H1441" s="37">
        <v>44335.0</v>
      </c>
      <c r="I1441" s="36">
        <f t="shared" si="4"/>
        <v>2.544444444</v>
      </c>
      <c r="J1441" s="38">
        <v>75.0</v>
      </c>
      <c r="K1441" s="39">
        <v>6.6</v>
      </c>
      <c r="L1441" s="38">
        <v>37.0</v>
      </c>
      <c r="M1441" s="40" t="s">
        <v>70</v>
      </c>
      <c r="N1441" s="41"/>
      <c r="O1441" s="42" t="s">
        <v>34</v>
      </c>
      <c r="P1441" s="43"/>
    </row>
    <row r="1442">
      <c r="A1442" s="44" t="s">
        <v>1651</v>
      </c>
      <c r="B1442" s="45" t="s">
        <v>25</v>
      </c>
      <c r="C1442" s="46" t="s">
        <v>26</v>
      </c>
      <c r="D1442" s="47" t="str">
        <f t="shared" si="1"/>
        <v>Removed</v>
      </c>
      <c r="E1442" s="48">
        <v>44943.0</v>
      </c>
      <c r="F1442" s="49">
        <v>45278.0</v>
      </c>
      <c r="G1442" s="50">
        <f t="shared" si="2"/>
        <v>11.03333333</v>
      </c>
      <c r="H1442" s="51">
        <v>44476.0</v>
      </c>
      <c r="I1442" s="50">
        <f t="shared" si="4"/>
        <v>1.277777778</v>
      </c>
      <c r="J1442" s="55">
        <v>75.0</v>
      </c>
      <c r="K1442" s="56">
        <v>3.7</v>
      </c>
      <c r="L1442" s="55">
        <v>12.0</v>
      </c>
      <c r="M1442" s="58" t="s">
        <v>31</v>
      </c>
      <c r="N1442" s="59"/>
      <c r="O1442" s="60" t="s">
        <v>149</v>
      </c>
      <c r="P1442" s="61"/>
    </row>
    <row r="1443">
      <c r="A1443" s="29" t="s">
        <v>1652</v>
      </c>
      <c r="B1443" s="30" t="s">
        <v>45</v>
      </c>
      <c r="C1443" s="31" t="s">
        <v>26</v>
      </c>
      <c r="D1443" s="32" t="str">
        <f t="shared" si="1"/>
        <v>Removed</v>
      </c>
      <c r="E1443" s="33">
        <v>44915.0</v>
      </c>
      <c r="F1443" s="34">
        <v>45278.0</v>
      </c>
      <c r="G1443" s="36">
        <f t="shared" si="2"/>
        <v>11.93333333</v>
      </c>
      <c r="H1443" s="37">
        <v>41912.0</v>
      </c>
      <c r="I1443" s="36">
        <f t="shared" si="4"/>
        <v>8.222222222</v>
      </c>
      <c r="J1443" s="38">
        <v>84.0</v>
      </c>
      <c r="K1443" s="39">
        <v>8.0</v>
      </c>
      <c r="L1443" s="38">
        <v>16.0</v>
      </c>
      <c r="M1443" s="40" t="s">
        <v>42</v>
      </c>
      <c r="N1443" s="41"/>
      <c r="O1443" s="42" t="s">
        <v>149</v>
      </c>
      <c r="P1443" s="43"/>
    </row>
    <row r="1444">
      <c r="A1444" s="44" t="s">
        <v>1653</v>
      </c>
      <c r="B1444" s="45" t="s">
        <v>45</v>
      </c>
      <c r="C1444" s="46" t="s">
        <v>26</v>
      </c>
      <c r="D1444" s="47" t="str">
        <f t="shared" si="1"/>
        <v>Removed</v>
      </c>
      <c r="E1444" s="48">
        <v>44915.0</v>
      </c>
      <c r="F1444" s="49">
        <v>45278.0</v>
      </c>
      <c r="G1444" s="50">
        <f t="shared" si="2"/>
        <v>11.93333333</v>
      </c>
      <c r="H1444" s="51">
        <v>43018.0</v>
      </c>
      <c r="I1444" s="50">
        <f t="shared" si="4"/>
        <v>5.194444444</v>
      </c>
      <c r="J1444" s="55">
        <v>80.0</v>
      </c>
      <c r="K1444" s="56">
        <v>4.8</v>
      </c>
      <c r="L1444" s="55">
        <v>21.0</v>
      </c>
      <c r="M1444" s="58" t="s">
        <v>42</v>
      </c>
      <c r="N1444" s="59"/>
      <c r="O1444" s="60" t="s">
        <v>149</v>
      </c>
      <c r="P1444" s="61"/>
    </row>
    <row r="1445">
      <c r="A1445" s="29" t="s">
        <v>1654</v>
      </c>
      <c r="B1445" s="30" t="s">
        <v>45</v>
      </c>
      <c r="C1445" s="31" t="s">
        <v>26</v>
      </c>
      <c r="D1445" s="32" t="str">
        <f t="shared" si="1"/>
        <v>Removed</v>
      </c>
      <c r="E1445" s="33">
        <v>44915.0</v>
      </c>
      <c r="F1445" s="34">
        <v>45278.0</v>
      </c>
      <c r="G1445" s="36">
        <f t="shared" si="2"/>
        <v>11.93333333</v>
      </c>
      <c r="H1445" s="37">
        <v>42969.0</v>
      </c>
      <c r="I1445" s="36">
        <f t="shared" si="4"/>
        <v>5.327777778</v>
      </c>
      <c r="J1445" s="38">
        <v>75.0</v>
      </c>
      <c r="K1445" s="39">
        <v>6.8</v>
      </c>
      <c r="L1445" s="38">
        <v>17.0</v>
      </c>
      <c r="M1445" s="40" t="s">
        <v>29</v>
      </c>
      <c r="N1445" s="41"/>
      <c r="O1445" s="42" t="s">
        <v>149</v>
      </c>
      <c r="P1445" s="43"/>
    </row>
    <row r="1446">
      <c r="A1446" s="44" t="s">
        <v>1655</v>
      </c>
      <c r="B1446" s="45" t="s">
        <v>45</v>
      </c>
      <c r="C1446" s="46" t="s">
        <v>26</v>
      </c>
      <c r="D1446" s="47" t="str">
        <f t="shared" si="1"/>
        <v>Removed</v>
      </c>
      <c r="E1446" s="48">
        <v>44915.0</v>
      </c>
      <c r="F1446" s="49">
        <v>45278.0</v>
      </c>
      <c r="G1446" s="50">
        <f t="shared" si="2"/>
        <v>11.93333333</v>
      </c>
      <c r="H1446" s="51">
        <v>42705.0</v>
      </c>
      <c r="I1446" s="50">
        <f t="shared" si="4"/>
        <v>6.052777778</v>
      </c>
      <c r="J1446" s="55">
        <v>83.0</v>
      </c>
      <c r="K1446" s="56">
        <v>8.4</v>
      </c>
      <c r="L1446" s="55">
        <v>18.5</v>
      </c>
      <c r="M1446" s="58" t="s">
        <v>42</v>
      </c>
      <c r="N1446" s="59"/>
      <c r="O1446" s="60" t="s">
        <v>149</v>
      </c>
      <c r="P1446" s="61"/>
    </row>
    <row r="1447">
      <c r="A1447" s="29" t="s">
        <v>1093</v>
      </c>
      <c r="B1447" s="30" t="s">
        <v>25</v>
      </c>
      <c r="C1447" s="31" t="s">
        <v>26</v>
      </c>
      <c r="D1447" s="32" t="str">
        <f t="shared" si="1"/>
        <v>Removed</v>
      </c>
      <c r="E1447" s="33">
        <v>44915.0</v>
      </c>
      <c r="F1447" s="34">
        <v>45278.0</v>
      </c>
      <c r="G1447" s="36">
        <f t="shared" si="2"/>
        <v>11.93333333</v>
      </c>
      <c r="H1447" s="37">
        <v>44145.0</v>
      </c>
      <c r="I1447" s="36">
        <f t="shared" si="4"/>
        <v>2.111111111</v>
      </c>
      <c r="J1447" s="38">
        <v>84.0</v>
      </c>
      <c r="K1447" s="39">
        <v>8.1</v>
      </c>
      <c r="L1447" s="38">
        <v>46.0</v>
      </c>
      <c r="M1447" s="40" t="s">
        <v>42</v>
      </c>
      <c r="N1447" s="41"/>
      <c r="O1447" s="42" t="s">
        <v>149</v>
      </c>
      <c r="P1447" s="43"/>
    </row>
    <row r="1448">
      <c r="A1448" s="44" t="s">
        <v>1656</v>
      </c>
      <c r="B1448" s="45" t="s">
        <v>33</v>
      </c>
      <c r="C1448" s="46" t="s">
        <v>26</v>
      </c>
      <c r="D1448" s="47" t="str">
        <f t="shared" si="1"/>
        <v>Removed</v>
      </c>
      <c r="E1448" s="48">
        <v>44725.0</v>
      </c>
      <c r="F1448" s="49">
        <v>45278.0</v>
      </c>
      <c r="G1448" s="50">
        <f t="shared" si="2"/>
        <v>18.16666667</v>
      </c>
      <c r="H1448" s="51">
        <v>44420.0</v>
      </c>
      <c r="I1448" s="50">
        <f t="shared" si="4"/>
        <v>0.8361111111</v>
      </c>
      <c r="J1448" s="55">
        <v>59.0</v>
      </c>
      <c r="K1448" s="56">
        <v>5.9</v>
      </c>
      <c r="L1448" s="55">
        <v>4.5</v>
      </c>
      <c r="M1448" s="58" t="s">
        <v>29</v>
      </c>
      <c r="N1448" s="59"/>
      <c r="O1448" s="60" t="s">
        <v>34</v>
      </c>
      <c r="P1448" s="61"/>
    </row>
    <row r="1449">
      <c r="A1449" s="29" t="s">
        <v>1657</v>
      </c>
      <c r="B1449" s="30" t="s">
        <v>45</v>
      </c>
      <c r="C1449" s="31" t="s">
        <v>26</v>
      </c>
      <c r="D1449" s="32" t="str">
        <f t="shared" si="1"/>
        <v>Removed</v>
      </c>
      <c r="E1449" s="33">
        <v>44725.0</v>
      </c>
      <c r="F1449" s="34">
        <v>45278.0</v>
      </c>
      <c r="G1449" s="36">
        <f t="shared" si="2"/>
        <v>18.16666667</v>
      </c>
      <c r="H1449" s="37">
        <v>42438.0</v>
      </c>
      <c r="I1449" s="36">
        <f t="shared" si="4"/>
        <v>6.261111111</v>
      </c>
      <c r="J1449" s="38">
        <v>68.0</v>
      </c>
      <c r="K1449" s="39">
        <v>7.1</v>
      </c>
      <c r="L1449" s="38">
        <v>1.0</v>
      </c>
      <c r="M1449" s="40" t="s">
        <v>217</v>
      </c>
      <c r="N1449" s="41"/>
      <c r="O1449" s="42" t="s">
        <v>34</v>
      </c>
      <c r="P1449" s="43" t="s">
        <v>149</v>
      </c>
    </row>
    <row r="1450">
      <c r="A1450" s="44" t="s">
        <v>1658</v>
      </c>
      <c r="B1450" s="45" t="s">
        <v>45</v>
      </c>
      <c r="C1450" s="46" t="s">
        <v>26</v>
      </c>
      <c r="D1450" s="47" t="str">
        <f t="shared" si="1"/>
        <v>Removed</v>
      </c>
      <c r="E1450" s="48">
        <v>44725.0</v>
      </c>
      <c r="F1450" s="49">
        <v>45278.0</v>
      </c>
      <c r="G1450" s="50">
        <f t="shared" si="2"/>
        <v>18.16666667</v>
      </c>
      <c r="H1450" s="51">
        <v>42886.0</v>
      </c>
      <c r="I1450" s="50">
        <f t="shared" si="4"/>
        <v>5.036111111</v>
      </c>
      <c r="J1450" s="55">
        <v>70.0</v>
      </c>
      <c r="K1450" s="56">
        <v>6.3</v>
      </c>
      <c r="L1450" s="55">
        <v>14.0</v>
      </c>
      <c r="M1450" s="58" t="s">
        <v>42</v>
      </c>
      <c r="N1450" s="59"/>
      <c r="O1450" s="60" t="s">
        <v>34</v>
      </c>
      <c r="P1450" s="61"/>
    </row>
    <row r="1451">
      <c r="A1451" s="29" t="s">
        <v>1659</v>
      </c>
      <c r="B1451" s="30" t="s">
        <v>45</v>
      </c>
      <c r="C1451" s="31" t="s">
        <v>26</v>
      </c>
      <c r="D1451" s="32" t="str">
        <f t="shared" si="1"/>
        <v>Removed</v>
      </c>
      <c r="E1451" s="33">
        <v>44725.0</v>
      </c>
      <c r="F1451" s="34">
        <v>45278.0</v>
      </c>
      <c r="G1451" s="36">
        <f t="shared" si="2"/>
        <v>18.16666667</v>
      </c>
      <c r="H1451" s="37">
        <v>44168.0</v>
      </c>
      <c r="I1451" s="36">
        <f t="shared" si="4"/>
        <v>1.527777778</v>
      </c>
      <c r="J1451" s="38">
        <v>74.0</v>
      </c>
      <c r="K1451" s="39">
        <v>7.2</v>
      </c>
      <c r="L1451" s="38">
        <v>6.0</v>
      </c>
      <c r="M1451" s="40" t="s">
        <v>29</v>
      </c>
      <c r="N1451" s="41"/>
      <c r="O1451" s="42" t="s">
        <v>149</v>
      </c>
      <c r="P1451" s="43"/>
    </row>
    <row r="1452">
      <c r="A1452" s="44" t="s">
        <v>1660</v>
      </c>
      <c r="B1452" s="45" t="s">
        <v>45</v>
      </c>
      <c r="C1452" s="46" t="s">
        <v>26</v>
      </c>
      <c r="D1452" s="47" t="str">
        <f t="shared" si="1"/>
        <v>Removed</v>
      </c>
      <c r="E1452" s="48">
        <v>44725.0</v>
      </c>
      <c r="F1452" s="49">
        <v>45278.0</v>
      </c>
      <c r="G1452" s="50">
        <f t="shared" si="2"/>
        <v>18.16666667</v>
      </c>
      <c r="H1452" s="51">
        <v>42881.0</v>
      </c>
      <c r="I1452" s="50">
        <f t="shared" si="4"/>
        <v>5.047222222</v>
      </c>
      <c r="J1452" s="55">
        <v>61.0</v>
      </c>
      <c r="K1452" s="56">
        <v>6.1</v>
      </c>
      <c r="L1452" s="55">
        <v>5.0</v>
      </c>
      <c r="M1452" s="58" t="s">
        <v>537</v>
      </c>
      <c r="N1452" s="59"/>
      <c r="O1452" s="60" t="s">
        <v>149</v>
      </c>
      <c r="P1452" s="61"/>
    </row>
    <row r="1453">
      <c r="A1453" s="29" t="s">
        <v>1661</v>
      </c>
      <c r="B1453" s="30" t="s">
        <v>45</v>
      </c>
      <c r="C1453" s="31" t="s">
        <v>26</v>
      </c>
      <c r="D1453" s="32" t="str">
        <f t="shared" si="1"/>
        <v>Removed</v>
      </c>
      <c r="E1453" s="33">
        <v>44725.0</v>
      </c>
      <c r="F1453" s="34">
        <v>45278.0</v>
      </c>
      <c r="G1453" s="36">
        <f t="shared" si="2"/>
        <v>18.16666667</v>
      </c>
      <c r="H1453" s="37">
        <v>44134.0</v>
      </c>
      <c r="I1453" s="36">
        <f t="shared" si="4"/>
        <v>1.619444444</v>
      </c>
      <c r="J1453" s="38">
        <v>60.0</v>
      </c>
      <c r="K1453" s="39">
        <v>6.0</v>
      </c>
      <c r="L1453" s="38">
        <v>9.0</v>
      </c>
      <c r="M1453" s="40" t="s">
        <v>27</v>
      </c>
      <c r="N1453" s="41"/>
      <c r="O1453" s="42" t="s">
        <v>34</v>
      </c>
      <c r="P1453" s="43"/>
    </row>
    <row r="1454">
      <c r="A1454" s="44" t="s">
        <v>1662</v>
      </c>
      <c r="B1454" s="45" t="s">
        <v>25</v>
      </c>
      <c r="C1454" s="46" t="s">
        <v>1089</v>
      </c>
      <c r="D1454" s="47" t="str">
        <f t="shared" si="1"/>
        <v>Removed</v>
      </c>
      <c r="E1454" s="48">
        <v>45237.0</v>
      </c>
      <c r="F1454" s="49">
        <v>45264.0</v>
      </c>
      <c r="G1454" s="50">
        <f t="shared" si="2"/>
        <v>0.9</v>
      </c>
      <c r="H1454" s="51">
        <v>44432.0</v>
      </c>
      <c r="I1454" s="50">
        <f t="shared" si="4"/>
        <v>2.202777778</v>
      </c>
      <c r="J1454" s="55">
        <v>67.0</v>
      </c>
      <c r="K1454" s="56">
        <v>5.9</v>
      </c>
      <c r="L1454" s="55">
        <v>9.0</v>
      </c>
      <c r="M1454" s="58" t="s">
        <v>31</v>
      </c>
      <c r="N1454" s="59"/>
      <c r="O1454" s="60" t="s">
        <v>34</v>
      </c>
      <c r="P1454" s="61"/>
    </row>
    <row r="1455">
      <c r="A1455" s="29" t="s">
        <v>1663</v>
      </c>
      <c r="B1455" s="30" t="s">
        <v>45</v>
      </c>
      <c r="C1455" s="31" t="s">
        <v>1089</v>
      </c>
      <c r="D1455" s="32" t="str">
        <f t="shared" si="1"/>
        <v>Removed</v>
      </c>
      <c r="E1455" s="33">
        <v>45237.0</v>
      </c>
      <c r="F1455" s="34">
        <v>45264.0</v>
      </c>
      <c r="G1455" s="36">
        <f t="shared" si="2"/>
        <v>0.9</v>
      </c>
      <c r="H1455" s="37">
        <v>44848.0</v>
      </c>
      <c r="I1455" s="36">
        <f t="shared" si="4"/>
        <v>1.063888889</v>
      </c>
      <c r="J1455" s="38">
        <v>54.0</v>
      </c>
      <c r="K1455" s="39">
        <v>5.1</v>
      </c>
      <c r="L1455" s="38">
        <v>43.0</v>
      </c>
      <c r="M1455" s="40" t="s">
        <v>29</v>
      </c>
      <c r="N1455" s="41"/>
      <c r="O1455" s="42" t="s">
        <v>34</v>
      </c>
      <c r="P1455" s="43"/>
    </row>
    <row r="1456">
      <c r="A1456" s="44" t="s">
        <v>1664</v>
      </c>
      <c r="B1456" s="45" t="s">
        <v>45</v>
      </c>
      <c r="C1456" s="46" t="s">
        <v>1089</v>
      </c>
      <c r="D1456" s="47" t="str">
        <f t="shared" si="1"/>
        <v>Removed</v>
      </c>
      <c r="E1456" s="48">
        <v>45237.0</v>
      </c>
      <c r="F1456" s="49">
        <v>45264.0</v>
      </c>
      <c r="G1456" s="50">
        <f t="shared" si="2"/>
        <v>0.9</v>
      </c>
      <c r="H1456" s="51">
        <v>43970.0</v>
      </c>
      <c r="I1456" s="50">
        <f t="shared" si="4"/>
        <v>3.466666667</v>
      </c>
      <c r="J1456" s="55">
        <v>56.0</v>
      </c>
      <c r="K1456" s="56">
        <v>5.9</v>
      </c>
      <c r="L1456" s="55">
        <v>11.0</v>
      </c>
      <c r="M1456" s="58" t="s">
        <v>31</v>
      </c>
      <c r="N1456" s="59"/>
      <c r="O1456" s="60" t="s">
        <v>34</v>
      </c>
      <c r="P1456" s="61"/>
    </row>
    <row r="1457">
      <c r="A1457" s="29" t="s">
        <v>1665</v>
      </c>
      <c r="B1457" s="30" t="s">
        <v>45</v>
      </c>
      <c r="C1457" s="31" t="s">
        <v>26</v>
      </c>
      <c r="D1457" s="32" t="str">
        <f t="shared" si="1"/>
        <v>Removed</v>
      </c>
      <c r="E1457" s="33">
        <v>44725.0</v>
      </c>
      <c r="F1457" s="34">
        <v>45250.0</v>
      </c>
      <c r="G1457" s="36">
        <f t="shared" si="2"/>
        <v>17.23333333</v>
      </c>
      <c r="H1457" s="37">
        <v>42468.0</v>
      </c>
      <c r="I1457" s="36">
        <f t="shared" si="4"/>
        <v>6.180555556</v>
      </c>
      <c r="J1457" s="38">
        <v>52.0</v>
      </c>
      <c r="K1457" s="39">
        <v>6.8</v>
      </c>
      <c r="L1457" s="38">
        <v>4.0</v>
      </c>
      <c r="M1457" s="40" t="s">
        <v>29</v>
      </c>
      <c r="N1457" s="41"/>
      <c r="O1457" s="42" t="s">
        <v>34</v>
      </c>
      <c r="P1457" s="43" t="s">
        <v>149</v>
      </c>
    </row>
    <row r="1458">
      <c r="A1458" s="44" t="s">
        <v>1666</v>
      </c>
      <c r="B1458" s="45" t="s">
        <v>45</v>
      </c>
      <c r="C1458" s="46" t="s">
        <v>26</v>
      </c>
      <c r="D1458" s="47" t="str">
        <f t="shared" si="1"/>
        <v>Removed</v>
      </c>
      <c r="E1458" s="48">
        <v>44725.0</v>
      </c>
      <c r="F1458" s="49">
        <v>45250.0</v>
      </c>
      <c r="G1458" s="50">
        <f t="shared" si="2"/>
        <v>17.23333333</v>
      </c>
      <c r="H1458" s="51">
        <v>44283.0</v>
      </c>
      <c r="I1458" s="50">
        <f t="shared" si="4"/>
        <v>1.208333333</v>
      </c>
      <c r="J1458" s="55">
        <v>63.0</v>
      </c>
      <c r="K1458" s="56">
        <v>6.8</v>
      </c>
      <c r="L1458" s="55">
        <v>5.0</v>
      </c>
      <c r="M1458" s="58" t="s">
        <v>136</v>
      </c>
      <c r="N1458" s="59"/>
      <c r="O1458" s="60" t="s">
        <v>34</v>
      </c>
      <c r="P1458" s="61" t="s">
        <v>149</v>
      </c>
    </row>
    <row r="1459">
      <c r="A1459" s="29" t="s">
        <v>1667</v>
      </c>
      <c r="B1459" s="30" t="s">
        <v>45</v>
      </c>
      <c r="C1459" s="31" t="s">
        <v>26</v>
      </c>
      <c r="D1459" s="32" t="str">
        <f t="shared" si="1"/>
        <v>Removed</v>
      </c>
      <c r="E1459" s="33">
        <v>44725.0</v>
      </c>
      <c r="F1459" s="34">
        <v>45250.0</v>
      </c>
      <c r="G1459" s="36">
        <f t="shared" si="2"/>
        <v>17.23333333</v>
      </c>
      <c r="H1459" s="37">
        <v>43524.0</v>
      </c>
      <c r="I1459" s="36">
        <f t="shared" si="4"/>
        <v>3.291666667</v>
      </c>
      <c r="J1459" s="38">
        <v>81.0</v>
      </c>
      <c r="K1459" s="39">
        <v>7.6</v>
      </c>
      <c r="L1459" s="38">
        <v>8.0</v>
      </c>
      <c r="M1459" s="40" t="s">
        <v>27</v>
      </c>
      <c r="N1459" s="41"/>
      <c r="O1459" s="42" t="s">
        <v>149</v>
      </c>
      <c r="P1459" s="43"/>
    </row>
    <row r="1460">
      <c r="A1460" s="44" t="s">
        <v>1668</v>
      </c>
      <c r="B1460" s="45" t="s">
        <v>45</v>
      </c>
      <c r="C1460" s="46" t="s">
        <v>26</v>
      </c>
      <c r="D1460" s="47" t="str">
        <f t="shared" si="1"/>
        <v>Removed</v>
      </c>
      <c r="E1460" s="48">
        <v>44725.0</v>
      </c>
      <c r="F1460" s="49">
        <v>45250.0</v>
      </c>
      <c r="G1460" s="50">
        <f t="shared" si="2"/>
        <v>17.23333333</v>
      </c>
      <c r="H1460" s="51">
        <v>41183.0</v>
      </c>
      <c r="I1460" s="50">
        <f t="shared" si="4"/>
        <v>9.7</v>
      </c>
      <c r="J1460" s="55">
        <v>70.0</v>
      </c>
      <c r="K1460" s="56">
        <v>7.4</v>
      </c>
      <c r="L1460" s="55">
        <v>7.5</v>
      </c>
      <c r="M1460" s="58" t="s">
        <v>27</v>
      </c>
      <c r="N1460" s="59"/>
      <c r="O1460" s="60" t="s">
        <v>149</v>
      </c>
      <c r="P1460" s="61"/>
    </row>
    <row r="1461">
      <c r="A1461" s="29" t="s">
        <v>1669</v>
      </c>
      <c r="B1461" s="30" t="s">
        <v>45</v>
      </c>
      <c r="C1461" s="31" t="s">
        <v>26</v>
      </c>
      <c r="D1461" s="32" t="str">
        <f t="shared" si="1"/>
        <v>Removed</v>
      </c>
      <c r="E1461" s="33">
        <v>44725.0</v>
      </c>
      <c r="F1461" s="34">
        <v>45250.0</v>
      </c>
      <c r="G1461" s="36">
        <f t="shared" si="2"/>
        <v>17.23333333</v>
      </c>
      <c r="H1461" s="37">
        <v>42433.0</v>
      </c>
      <c r="I1461" s="36">
        <f t="shared" si="4"/>
        <v>6.275</v>
      </c>
      <c r="J1461" s="38">
        <v>79.0</v>
      </c>
      <c r="K1461" s="39">
        <v>8.0</v>
      </c>
      <c r="L1461" s="38">
        <v>4.0</v>
      </c>
      <c r="M1461" s="40" t="s">
        <v>27</v>
      </c>
      <c r="N1461" s="41"/>
      <c r="O1461" s="42" t="s">
        <v>34</v>
      </c>
      <c r="P1461" s="43"/>
    </row>
    <row r="1462">
      <c r="A1462" s="44" t="s">
        <v>1670</v>
      </c>
      <c r="B1462" s="45" t="s">
        <v>45</v>
      </c>
      <c r="C1462" s="46" t="s">
        <v>26</v>
      </c>
      <c r="D1462" s="47" t="str">
        <f t="shared" si="1"/>
        <v>Removed</v>
      </c>
      <c r="E1462" s="48">
        <v>44725.0</v>
      </c>
      <c r="F1462" s="49">
        <v>45250.0</v>
      </c>
      <c r="G1462" s="50">
        <f t="shared" si="2"/>
        <v>17.23333333</v>
      </c>
      <c r="H1462" s="51">
        <v>43571.0</v>
      </c>
      <c r="I1462" s="50">
        <f t="shared" si="4"/>
        <v>3.158333333</v>
      </c>
      <c r="J1462" s="55">
        <v>74.0</v>
      </c>
      <c r="K1462" s="56">
        <v>7.8</v>
      </c>
      <c r="L1462" s="55">
        <v>65.0</v>
      </c>
      <c r="M1462" s="58" t="s">
        <v>70</v>
      </c>
      <c r="N1462" s="59"/>
      <c r="O1462" s="60" t="s">
        <v>149</v>
      </c>
      <c r="P1462" s="61"/>
    </row>
    <row r="1463">
      <c r="A1463" s="29" t="s">
        <v>1671</v>
      </c>
      <c r="B1463" s="30" t="s">
        <v>45</v>
      </c>
      <c r="C1463" s="31" t="s">
        <v>26</v>
      </c>
      <c r="D1463" s="32" t="str">
        <f t="shared" si="1"/>
        <v>Removed</v>
      </c>
      <c r="E1463" s="33">
        <v>44725.0</v>
      </c>
      <c r="F1463" s="34">
        <v>45250.0</v>
      </c>
      <c r="G1463" s="36">
        <f t="shared" si="2"/>
        <v>17.23333333</v>
      </c>
      <c r="H1463" s="37">
        <v>42705.0</v>
      </c>
      <c r="I1463" s="36">
        <f t="shared" si="4"/>
        <v>5.533333333</v>
      </c>
      <c r="J1463" s="38">
        <v>75.0</v>
      </c>
      <c r="K1463" s="39">
        <v>7.5</v>
      </c>
      <c r="L1463" s="38">
        <v>2.0</v>
      </c>
      <c r="M1463" s="40" t="s">
        <v>217</v>
      </c>
      <c r="N1463" s="41"/>
      <c r="O1463" s="42" t="s">
        <v>149</v>
      </c>
      <c r="P1463" s="43" t="s">
        <v>149</v>
      </c>
    </row>
    <row r="1464">
      <c r="A1464" s="44" t="s">
        <v>1672</v>
      </c>
      <c r="B1464" s="45" t="s">
        <v>25</v>
      </c>
      <c r="C1464" s="46" t="s">
        <v>1089</v>
      </c>
      <c r="D1464" s="47" t="str">
        <f t="shared" si="1"/>
        <v>Removed</v>
      </c>
      <c r="E1464" s="48">
        <v>45202.0</v>
      </c>
      <c r="F1464" s="49">
        <v>45236.0</v>
      </c>
      <c r="G1464" s="50">
        <f t="shared" si="2"/>
        <v>1.1</v>
      </c>
      <c r="H1464" s="51">
        <v>44522.0</v>
      </c>
      <c r="I1464" s="50">
        <f t="shared" si="4"/>
        <v>1.863888889</v>
      </c>
      <c r="J1464" s="55">
        <v>75.0</v>
      </c>
      <c r="K1464" s="56">
        <v>6.3</v>
      </c>
      <c r="L1464" s="55">
        <v>324.0</v>
      </c>
      <c r="M1464" s="58" t="s">
        <v>70</v>
      </c>
      <c r="N1464" s="59"/>
      <c r="O1464" s="60" t="s">
        <v>34</v>
      </c>
      <c r="P1464" s="61"/>
    </row>
    <row r="1465">
      <c r="A1465" s="29" t="s">
        <v>1673</v>
      </c>
      <c r="B1465" s="30" t="s">
        <v>25</v>
      </c>
      <c r="C1465" s="31" t="s">
        <v>1089</v>
      </c>
      <c r="D1465" s="32" t="str">
        <f t="shared" si="1"/>
        <v>Removed</v>
      </c>
      <c r="E1465" s="33">
        <v>45202.0</v>
      </c>
      <c r="F1465" s="34">
        <v>45236.0</v>
      </c>
      <c r="G1465" s="36">
        <f t="shared" si="2"/>
        <v>1.1</v>
      </c>
      <c r="H1465" s="37">
        <v>44897.0</v>
      </c>
      <c r="I1465" s="36">
        <f t="shared" si="4"/>
        <v>0.8361111111</v>
      </c>
      <c r="J1465" s="38">
        <v>69.0</v>
      </c>
      <c r="K1465" s="39">
        <v>6.9</v>
      </c>
      <c r="L1465" s="38">
        <v>10.0</v>
      </c>
      <c r="M1465" s="40" t="s">
        <v>29</v>
      </c>
      <c r="N1465" s="41"/>
      <c r="O1465" s="42" t="s">
        <v>34</v>
      </c>
      <c r="P1465" s="43"/>
    </row>
    <row r="1466">
      <c r="A1466" s="44" t="s">
        <v>1674</v>
      </c>
      <c r="B1466" s="45" t="s">
        <v>25</v>
      </c>
      <c r="C1466" s="46" t="s">
        <v>1089</v>
      </c>
      <c r="D1466" s="47" t="str">
        <f t="shared" si="1"/>
        <v>Removed</v>
      </c>
      <c r="E1466" s="48">
        <v>45202.0</v>
      </c>
      <c r="F1466" s="49">
        <v>45236.0</v>
      </c>
      <c r="G1466" s="50">
        <f t="shared" si="2"/>
        <v>1.1</v>
      </c>
      <c r="H1466" s="51">
        <v>44651.0</v>
      </c>
      <c r="I1466" s="50">
        <f t="shared" si="4"/>
        <v>1.508333333</v>
      </c>
      <c r="J1466" s="55">
        <v>73.0</v>
      </c>
      <c r="K1466" s="56">
        <v>7.0</v>
      </c>
      <c r="L1466" s="55">
        <v>18.0</v>
      </c>
      <c r="M1466" s="58" t="s">
        <v>29</v>
      </c>
      <c r="N1466" s="59"/>
      <c r="O1466" s="60" t="s">
        <v>34</v>
      </c>
      <c r="P1466" s="61"/>
    </row>
    <row r="1467">
      <c r="A1467" s="29" t="s">
        <v>1675</v>
      </c>
      <c r="B1467" s="30" t="s">
        <v>25</v>
      </c>
      <c r="C1467" s="31" t="s">
        <v>26</v>
      </c>
      <c r="D1467" s="32" t="str">
        <f t="shared" si="1"/>
        <v>Removed</v>
      </c>
      <c r="E1467" s="33">
        <v>44978.0</v>
      </c>
      <c r="F1467" s="34">
        <v>45215.0</v>
      </c>
      <c r="G1467" s="36">
        <f t="shared" si="2"/>
        <v>7.833333333</v>
      </c>
      <c r="H1467" s="37">
        <v>44722.0</v>
      </c>
      <c r="I1467" s="36">
        <f t="shared" si="4"/>
        <v>0.6972222222</v>
      </c>
      <c r="J1467" s="38">
        <v>74.0</v>
      </c>
      <c r="K1467" s="39">
        <v>7.0</v>
      </c>
      <c r="L1467" s="38">
        <v>9.0</v>
      </c>
      <c r="M1467" s="40" t="s">
        <v>29</v>
      </c>
      <c r="N1467" s="41"/>
      <c r="O1467" s="42" t="s">
        <v>149</v>
      </c>
      <c r="P1467" s="43"/>
    </row>
    <row r="1468">
      <c r="A1468" s="44" t="s">
        <v>286</v>
      </c>
      <c r="B1468" s="45" t="s">
        <v>45</v>
      </c>
      <c r="C1468" s="46" t="s">
        <v>207</v>
      </c>
      <c r="D1468" s="47" t="str">
        <f t="shared" si="1"/>
        <v>Removed</v>
      </c>
      <c r="E1468" s="48">
        <v>44915.0</v>
      </c>
      <c r="F1468" s="49">
        <v>45215.0</v>
      </c>
      <c r="G1468" s="50">
        <f t="shared" si="2"/>
        <v>9.866666667</v>
      </c>
      <c r="H1468" s="51">
        <v>43186.0</v>
      </c>
      <c r="I1468" s="50">
        <f t="shared" si="4"/>
        <v>4.730555556</v>
      </c>
      <c r="J1468" s="55">
        <v>81.0</v>
      </c>
      <c r="K1468" s="56">
        <v>6.9</v>
      </c>
      <c r="L1468" s="55">
        <v>18.0</v>
      </c>
      <c r="M1468" s="58" t="s">
        <v>31</v>
      </c>
      <c r="N1468" s="59"/>
      <c r="O1468" s="60" t="s">
        <v>34</v>
      </c>
      <c r="P1468" s="61"/>
    </row>
    <row r="1469">
      <c r="A1469" s="29" t="s">
        <v>1676</v>
      </c>
      <c r="B1469" s="30" t="s">
        <v>33</v>
      </c>
      <c r="C1469" s="31" t="s">
        <v>26</v>
      </c>
      <c r="D1469" s="32" t="str">
        <f t="shared" si="1"/>
        <v>Removed</v>
      </c>
      <c r="E1469" s="33">
        <v>44852.0</v>
      </c>
      <c r="F1469" s="34">
        <v>45215.0</v>
      </c>
      <c r="G1469" s="36">
        <f t="shared" si="2"/>
        <v>11.93333333</v>
      </c>
      <c r="H1469" s="37">
        <v>44224.0</v>
      </c>
      <c r="I1469" s="36">
        <f t="shared" si="4"/>
        <v>1.722222222</v>
      </c>
      <c r="J1469" s="38">
        <v>75.0</v>
      </c>
      <c r="K1469" s="39">
        <v>6.7</v>
      </c>
      <c r="L1469" s="38">
        <v>8.0</v>
      </c>
      <c r="M1469" s="40" t="s">
        <v>29</v>
      </c>
      <c r="N1469" s="41"/>
      <c r="O1469" s="42" t="s">
        <v>34</v>
      </c>
      <c r="P1469" s="43"/>
    </row>
    <row r="1470">
      <c r="A1470" s="44" t="s">
        <v>1677</v>
      </c>
      <c r="B1470" s="45" t="s">
        <v>45</v>
      </c>
      <c r="C1470" s="46" t="s">
        <v>26</v>
      </c>
      <c r="D1470" s="47" t="str">
        <f t="shared" si="1"/>
        <v>Removed</v>
      </c>
      <c r="E1470" s="48">
        <v>44852.0</v>
      </c>
      <c r="F1470" s="49">
        <v>45215.0</v>
      </c>
      <c r="G1470" s="50">
        <f t="shared" si="2"/>
        <v>11.93333333</v>
      </c>
      <c r="H1470" s="51">
        <v>42550.0</v>
      </c>
      <c r="I1470" s="50">
        <f t="shared" si="4"/>
        <v>6.302777778</v>
      </c>
      <c r="J1470" s="55">
        <v>91.0</v>
      </c>
      <c r="K1470" s="56">
        <v>8.5</v>
      </c>
      <c r="L1470" s="55">
        <v>3.5</v>
      </c>
      <c r="M1470" s="58" t="s">
        <v>27</v>
      </c>
      <c r="N1470" s="59"/>
      <c r="O1470" s="60" t="s">
        <v>149</v>
      </c>
      <c r="P1470" s="61"/>
    </row>
    <row r="1471">
      <c r="A1471" s="29" t="s">
        <v>1350</v>
      </c>
      <c r="B1471" s="30" t="s">
        <v>45</v>
      </c>
      <c r="C1471" s="31" t="s">
        <v>26</v>
      </c>
      <c r="D1471" s="32" t="str">
        <f t="shared" si="1"/>
        <v>Removed</v>
      </c>
      <c r="E1471" s="33">
        <v>44852.0</v>
      </c>
      <c r="F1471" s="34">
        <v>45215.0</v>
      </c>
      <c r="G1471" s="36">
        <f t="shared" si="2"/>
        <v>11.93333333</v>
      </c>
      <c r="H1471" s="37">
        <v>43342.0</v>
      </c>
      <c r="I1471" s="36">
        <f t="shared" si="4"/>
        <v>4.133333333</v>
      </c>
      <c r="J1471" s="38">
        <v>61.0</v>
      </c>
      <c r="K1471" s="39">
        <v>6.0</v>
      </c>
      <c r="L1471" s="38">
        <v>6.5</v>
      </c>
      <c r="M1471" s="40" t="s">
        <v>114</v>
      </c>
      <c r="N1471" s="41"/>
      <c r="O1471" s="42" t="s">
        <v>149</v>
      </c>
      <c r="P1471" s="43"/>
    </row>
    <row r="1472">
      <c r="A1472" s="44" t="s">
        <v>1678</v>
      </c>
      <c r="B1472" s="45" t="s">
        <v>45</v>
      </c>
      <c r="C1472" s="46" t="s">
        <v>46</v>
      </c>
      <c r="D1472" s="47" t="str">
        <f t="shared" si="1"/>
        <v>Removed</v>
      </c>
      <c r="E1472" s="48">
        <v>44852.0</v>
      </c>
      <c r="F1472" s="49">
        <v>45215.0</v>
      </c>
      <c r="G1472" s="50">
        <f t="shared" si="2"/>
        <v>11.93333333</v>
      </c>
      <c r="H1472" s="51">
        <v>43862.0</v>
      </c>
      <c r="I1472" s="50">
        <f t="shared" si="4"/>
        <v>2.713888889</v>
      </c>
      <c r="J1472" s="55">
        <v>82.0</v>
      </c>
      <c r="K1472" s="56">
        <v>7.9</v>
      </c>
      <c r="L1472" s="55">
        <v>37.0</v>
      </c>
      <c r="M1472" s="58" t="s">
        <v>42</v>
      </c>
      <c r="N1472" s="59" t="s">
        <v>442</v>
      </c>
      <c r="O1472" s="60" t="s">
        <v>149</v>
      </c>
      <c r="P1472" s="66"/>
    </row>
    <row r="1473">
      <c r="A1473" s="29" t="s">
        <v>1679</v>
      </c>
      <c r="B1473" s="30" t="s">
        <v>45</v>
      </c>
      <c r="C1473" s="31" t="s">
        <v>46</v>
      </c>
      <c r="D1473" s="32" t="str">
        <f t="shared" si="1"/>
        <v>Removed</v>
      </c>
      <c r="E1473" s="33">
        <v>44852.0</v>
      </c>
      <c r="F1473" s="34">
        <v>45215.0</v>
      </c>
      <c r="G1473" s="36">
        <f t="shared" si="2"/>
        <v>11.93333333</v>
      </c>
      <c r="H1473" s="37">
        <v>43739.0</v>
      </c>
      <c r="I1473" s="36">
        <f t="shared" si="4"/>
        <v>3.047222222</v>
      </c>
      <c r="J1473" s="38">
        <v>78.0</v>
      </c>
      <c r="K1473" s="39">
        <v>7.6</v>
      </c>
      <c r="L1473" s="38">
        <v>21.0</v>
      </c>
      <c r="M1473" s="40" t="s">
        <v>42</v>
      </c>
      <c r="N1473" s="41" t="s">
        <v>442</v>
      </c>
      <c r="O1473" s="42" t="s">
        <v>149</v>
      </c>
      <c r="P1473" s="67"/>
    </row>
    <row r="1474">
      <c r="A1474" s="44" t="s">
        <v>1680</v>
      </c>
      <c r="B1474" s="45" t="s">
        <v>45</v>
      </c>
      <c r="C1474" s="46" t="s">
        <v>46</v>
      </c>
      <c r="D1474" s="47" t="str">
        <f t="shared" si="1"/>
        <v>Removed</v>
      </c>
      <c r="E1474" s="48">
        <v>44852.0</v>
      </c>
      <c r="F1474" s="49">
        <v>45215.0</v>
      </c>
      <c r="G1474" s="50">
        <f t="shared" si="2"/>
        <v>11.93333333</v>
      </c>
      <c r="H1474" s="51">
        <v>43678.0</v>
      </c>
      <c r="I1474" s="50">
        <f t="shared" si="4"/>
        <v>3.213888889</v>
      </c>
      <c r="J1474" s="55">
        <v>77.0</v>
      </c>
      <c r="K1474" s="56">
        <v>7.4</v>
      </c>
      <c r="L1474" s="55">
        <v>17.0</v>
      </c>
      <c r="M1474" s="58" t="s">
        <v>42</v>
      </c>
      <c r="N1474" s="59" t="s">
        <v>442</v>
      </c>
      <c r="O1474" s="60" t="s">
        <v>149</v>
      </c>
      <c r="P1474" s="66"/>
    </row>
    <row r="1475">
      <c r="A1475" s="29" t="s">
        <v>1681</v>
      </c>
      <c r="B1475" s="30" t="s">
        <v>25</v>
      </c>
      <c r="C1475" s="31" t="s">
        <v>476</v>
      </c>
      <c r="D1475" s="32" t="str">
        <f t="shared" si="1"/>
        <v>Removed</v>
      </c>
      <c r="E1475" s="33">
        <v>44852.0</v>
      </c>
      <c r="F1475" s="34">
        <v>45215.0</v>
      </c>
      <c r="G1475" s="36">
        <f t="shared" si="2"/>
        <v>11.93333333</v>
      </c>
      <c r="H1475" s="37">
        <v>44316.0</v>
      </c>
      <c r="I1475" s="36">
        <f t="shared" si="4"/>
        <v>1.466666667</v>
      </c>
      <c r="J1475" s="38">
        <v>90.0</v>
      </c>
      <c r="K1475" s="39">
        <v>8.0</v>
      </c>
      <c r="L1475" s="38">
        <v>3.5</v>
      </c>
      <c r="M1475" s="40" t="s">
        <v>27</v>
      </c>
      <c r="N1475" s="41" t="s">
        <v>442</v>
      </c>
      <c r="O1475" s="42" t="s">
        <v>149</v>
      </c>
      <c r="P1475" s="67"/>
    </row>
    <row r="1476">
      <c r="A1476" s="44" t="s">
        <v>1682</v>
      </c>
      <c r="B1476" s="45" t="s">
        <v>45</v>
      </c>
      <c r="C1476" s="46" t="s">
        <v>26</v>
      </c>
      <c r="D1476" s="47" t="str">
        <f t="shared" si="1"/>
        <v>Removed</v>
      </c>
      <c r="E1476" s="48">
        <v>44725.0</v>
      </c>
      <c r="F1476" s="49">
        <v>45215.0</v>
      </c>
      <c r="G1476" s="50">
        <f t="shared" si="2"/>
        <v>16.1</v>
      </c>
      <c r="H1476" s="51">
        <v>42125.0</v>
      </c>
      <c r="I1476" s="50">
        <f t="shared" si="4"/>
        <v>7.116666667</v>
      </c>
      <c r="J1476" s="55">
        <v>82.0</v>
      </c>
      <c r="K1476" s="56">
        <v>7.0</v>
      </c>
      <c r="L1476" s="55">
        <v>2.0</v>
      </c>
      <c r="M1476" s="58" t="s">
        <v>217</v>
      </c>
      <c r="N1476" s="59"/>
      <c r="O1476" s="60" t="s">
        <v>34</v>
      </c>
      <c r="P1476" s="61"/>
    </row>
    <row r="1477">
      <c r="A1477" s="29" t="s">
        <v>1683</v>
      </c>
      <c r="B1477" s="30" t="s">
        <v>45</v>
      </c>
      <c r="C1477" s="31" t="s">
        <v>26</v>
      </c>
      <c r="D1477" s="32" t="str">
        <f t="shared" si="1"/>
        <v>Removed</v>
      </c>
      <c r="E1477" s="33">
        <v>44725.0</v>
      </c>
      <c r="F1477" s="34">
        <v>45215.0</v>
      </c>
      <c r="G1477" s="36">
        <f t="shared" si="2"/>
        <v>16.1</v>
      </c>
      <c r="H1477" s="37">
        <v>42767.0</v>
      </c>
      <c r="I1477" s="36">
        <f t="shared" si="4"/>
        <v>5.366666667</v>
      </c>
      <c r="J1477" s="38">
        <v>66.0</v>
      </c>
      <c r="K1477" s="39">
        <v>6.4</v>
      </c>
      <c r="L1477" s="38">
        <v>6.0</v>
      </c>
      <c r="M1477" s="40" t="s">
        <v>70</v>
      </c>
      <c r="N1477" s="41"/>
      <c r="O1477" s="42" t="s">
        <v>149</v>
      </c>
      <c r="P1477" s="43" t="s">
        <v>149</v>
      </c>
    </row>
    <row r="1478">
      <c r="A1478" s="44" t="s">
        <v>1684</v>
      </c>
      <c r="B1478" s="45" t="s">
        <v>45</v>
      </c>
      <c r="C1478" s="46" t="s">
        <v>26</v>
      </c>
      <c r="D1478" s="47" t="str">
        <f t="shared" si="1"/>
        <v>Removed</v>
      </c>
      <c r="E1478" s="48">
        <v>44725.0</v>
      </c>
      <c r="F1478" s="49">
        <v>45215.0</v>
      </c>
      <c r="G1478" s="50">
        <f t="shared" si="2"/>
        <v>16.1</v>
      </c>
      <c r="H1478" s="51">
        <v>42901.0</v>
      </c>
      <c r="I1478" s="50">
        <f t="shared" si="4"/>
        <v>4.994444444</v>
      </c>
      <c r="J1478" s="55">
        <v>75.0</v>
      </c>
      <c r="K1478" s="56">
        <v>7.5</v>
      </c>
      <c r="L1478" s="55">
        <v>3.0</v>
      </c>
      <c r="M1478" s="58" t="s">
        <v>27</v>
      </c>
      <c r="N1478" s="59"/>
      <c r="O1478" s="60" t="s">
        <v>34</v>
      </c>
      <c r="P1478" s="61"/>
    </row>
    <row r="1479">
      <c r="A1479" s="29" t="s">
        <v>1685</v>
      </c>
      <c r="B1479" s="30" t="s">
        <v>45</v>
      </c>
      <c r="C1479" s="31" t="s">
        <v>26</v>
      </c>
      <c r="D1479" s="32" t="str">
        <f t="shared" si="1"/>
        <v>Removed</v>
      </c>
      <c r="E1479" s="33">
        <v>44725.0</v>
      </c>
      <c r="F1479" s="34">
        <v>45215.0</v>
      </c>
      <c r="G1479" s="36">
        <f t="shared" si="2"/>
        <v>16.1</v>
      </c>
      <c r="H1479" s="37">
        <v>42018.0</v>
      </c>
      <c r="I1479" s="36">
        <f t="shared" si="4"/>
        <v>7.413888889</v>
      </c>
      <c r="J1479" s="38">
        <v>58.0</v>
      </c>
      <c r="K1479" s="39">
        <v>6.5</v>
      </c>
      <c r="L1479" s="76"/>
      <c r="M1479" s="40" t="s">
        <v>136</v>
      </c>
      <c r="N1479" s="41"/>
      <c r="O1479" s="42" t="s">
        <v>34</v>
      </c>
      <c r="P1479" s="43"/>
    </row>
    <row r="1480">
      <c r="A1480" s="44" t="s">
        <v>306</v>
      </c>
      <c r="B1480" s="45" t="s">
        <v>45</v>
      </c>
      <c r="C1480" s="46" t="s">
        <v>207</v>
      </c>
      <c r="D1480" s="47" t="str">
        <f t="shared" si="1"/>
        <v>Removed</v>
      </c>
      <c r="E1480" s="48">
        <v>44725.0</v>
      </c>
      <c r="F1480" s="49">
        <v>45215.0</v>
      </c>
      <c r="G1480" s="50">
        <f t="shared" si="2"/>
        <v>16.1</v>
      </c>
      <c r="H1480" s="51">
        <v>41961.0</v>
      </c>
      <c r="I1480" s="50">
        <f t="shared" si="4"/>
        <v>7.569444444</v>
      </c>
      <c r="J1480" s="55">
        <v>85.0</v>
      </c>
      <c r="K1480" s="56">
        <v>7.9</v>
      </c>
      <c r="L1480" s="55">
        <v>17.0</v>
      </c>
      <c r="M1480" s="58" t="s">
        <v>31</v>
      </c>
      <c r="N1480" s="59"/>
      <c r="O1480" s="60" t="s">
        <v>149</v>
      </c>
      <c r="P1480" s="61"/>
    </row>
    <row r="1481">
      <c r="A1481" s="29" t="s">
        <v>1686</v>
      </c>
      <c r="B1481" s="30" t="s">
        <v>45</v>
      </c>
      <c r="C1481" s="31" t="s">
        <v>207</v>
      </c>
      <c r="D1481" s="32" t="str">
        <f t="shared" si="1"/>
        <v>Removed</v>
      </c>
      <c r="E1481" s="33">
        <v>44725.0</v>
      </c>
      <c r="F1481" s="34">
        <v>45215.0</v>
      </c>
      <c r="G1481" s="36">
        <f t="shared" si="2"/>
        <v>16.1</v>
      </c>
      <c r="H1481" s="37">
        <v>41671.0</v>
      </c>
      <c r="I1481" s="36">
        <f t="shared" si="4"/>
        <v>8.366666667</v>
      </c>
      <c r="J1481" s="38">
        <v>62.0</v>
      </c>
      <c r="K1481" s="39">
        <v>6.5</v>
      </c>
      <c r="L1481" s="76"/>
      <c r="M1481" s="40" t="s">
        <v>95</v>
      </c>
      <c r="N1481" s="41"/>
      <c r="O1481" s="42" t="s">
        <v>149</v>
      </c>
      <c r="P1481" s="43" t="s">
        <v>149</v>
      </c>
    </row>
    <row r="1482">
      <c r="A1482" s="44" t="s">
        <v>1687</v>
      </c>
      <c r="B1482" s="45" t="s">
        <v>25</v>
      </c>
      <c r="C1482" s="46" t="s">
        <v>476</v>
      </c>
      <c r="D1482" s="47" t="str">
        <f t="shared" si="1"/>
        <v>Removed</v>
      </c>
      <c r="E1482" s="48">
        <v>44725.0</v>
      </c>
      <c r="F1482" s="49">
        <v>45215.0</v>
      </c>
      <c r="G1482" s="50">
        <f t="shared" si="2"/>
        <v>16.1</v>
      </c>
      <c r="H1482" s="51">
        <v>42290.0</v>
      </c>
      <c r="I1482" s="50">
        <f t="shared" si="4"/>
        <v>6.666666667</v>
      </c>
      <c r="J1482" s="55">
        <v>60.0</v>
      </c>
      <c r="K1482" s="56">
        <v>6.8</v>
      </c>
      <c r="L1482" s="55">
        <v>4.0</v>
      </c>
      <c r="M1482" s="58" t="s">
        <v>112</v>
      </c>
      <c r="N1482" s="59" t="s">
        <v>442</v>
      </c>
      <c r="O1482" s="60" t="s">
        <v>149</v>
      </c>
      <c r="P1482" s="66" t="s">
        <v>505</v>
      </c>
    </row>
    <row r="1483">
      <c r="A1483" s="29" t="s">
        <v>1688</v>
      </c>
      <c r="B1483" s="30" t="s">
        <v>25</v>
      </c>
      <c r="C1483" s="31" t="s">
        <v>1089</v>
      </c>
      <c r="D1483" s="32" t="str">
        <f t="shared" si="1"/>
        <v>Removed</v>
      </c>
      <c r="E1483" s="33">
        <v>45174.0</v>
      </c>
      <c r="F1483" s="34">
        <v>45201.0</v>
      </c>
      <c r="G1483" s="36">
        <f t="shared" si="2"/>
        <v>0.9</v>
      </c>
      <c r="H1483" s="37">
        <v>44796.0</v>
      </c>
      <c r="I1483" s="36">
        <f t="shared" si="4"/>
        <v>1.033333333</v>
      </c>
      <c r="J1483" s="38">
        <v>61.0</v>
      </c>
      <c r="K1483" s="39">
        <v>2.9</v>
      </c>
      <c r="L1483" s="38">
        <v>13.0</v>
      </c>
      <c r="M1483" s="40" t="s">
        <v>31</v>
      </c>
      <c r="N1483" s="41"/>
      <c r="O1483" s="42" t="s">
        <v>34</v>
      </c>
      <c r="P1483" s="43"/>
    </row>
    <row r="1484">
      <c r="A1484" s="44" t="s">
        <v>1689</v>
      </c>
      <c r="B1484" s="45" t="s">
        <v>45</v>
      </c>
      <c r="C1484" s="46" t="s">
        <v>1089</v>
      </c>
      <c r="D1484" s="47" t="str">
        <f t="shared" si="1"/>
        <v>Removed</v>
      </c>
      <c r="E1484" s="48">
        <v>45174.0</v>
      </c>
      <c r="F1484" s="49">
        <v>45201.0</v>
      </c>
      <c r="G1484" s="50">
        <f t="shared" si="2"/>
        <v>0.9</v>
      </c>
      <c r="H1484" s="51">
        <v>43699.0</v>
      </c>
      <c r="I1484" s="50">
        <f t="shared" si="4"/>
        <v>4.036111111</v>
      </c>
      <c r="J1484" s="55">
        <v>61.0</v>
      </c>
      <c r="K1484" s="56">
        <v>3.8</v>
      </c>
      <c r="L1484" s="55">
        <v>69.0</v>
      </c>
      <c r="M1484" s="58" t="s">
        <v>42</v>
      </c>
      <c r="N1484" s="59"/>
      <c r="O1484" s="60" t="s">
        <v>34</v>
      </c>
      <c r="P1484" s="61"/>
    </row>
    <row r="1485">
      <c r="A1485" s="29" t="s">
        <v>1690</v>
      </c>
      <c r="B1485" s="30" t="s">
        <v>45</v>
      </c>
      <c r="C1485" s="31" t="s">
        <v>1089</v>
      </c>
      <c r="D1485" s="32" t="str">
        <f t="shared" si="1"/>
        <v>Removed</v>
      </c>
      <c r="E1485" s="33">
        <v>45174.0</v>
      </c>
      <c r="F1485" s="34">
        <v>45201.0</v>
      </c>
      <c r="G1485" s="36">
        <f t="shared" si="2"/>
        <v>0.9</v>
      </c>
      <c r="H1485" s="37">
        <v>43550.0</v>
      </c>
      <c r="I1485" s="36">
        <f t="shared" si="4"/>
        <v>4.441666667</v>
      </c>
      <c r="J1485" s="38">
        <v>45.0</v>
      </c>
      <c r="K1485" s="39">
        <v>5.9</v>
      </c>
      <c r="L1485" s="38">
        <v>19.0</v>
      </c>
      <c r="M1485" s="40" t="s">
        <v>31</v>
      </c>
      <c r="N1485" s="41"/>
      <c r="O1485" s="42" t="s">
        <v>34</v>
      </c>
      <c r="P1485" s="43"/>
    </row>
    <row r="1486">
      <c r="A1486" s="44" t="s">
        <v>1691</v>
      </c>
      <c r="B1486" s="45" t="s">
        <v>25</v>
      </c>
      <c r="C1486" s="46" t="s">
        <v>26</v>
      </c>
      <c r="D1486" s="47" t="str">
        <f t="shared" si="1"/>
        <v>Removed</v>
      </c>
      <c r="E1486" s="48">
        <v>44824.0</v>
      </c>
      <c r="F1486" s="49">
        <v>45188.0</v>
      </c>
      <c r="G1486" s="50">
        <f t="shared" si="2"/>
        <v>11.96666667</v>
      </c>
      <c r="H1486" s="51">
        <v>44357.0</v>
      </c>
      <c r="I1486" s="50">
        <f t="shared" si="4"/>
        <v>1.277777778</v>
      </c>
      <c r="J1486" s="55">
        <v>87.0</v>
      </c>
      <c r="K1486" s="56">
        <v>6.8</v>
      </c>
      <c r="L1486" s="55">
        <v>9.0</v>
      </c>
      <c r="M1486" s="58" t="s">
        <v>29</v>
      </c>
      <c r="N1486" s="59"/>
      <c r="O1486" s="60" t="s">
        <v>149</v>
      </c>
      <c r="P1486" s="61"/>
    </row>
    <row r="1487">
      <c r="A1487" s="29" t="s">
        <v>1692</v>
      </c>
      <c r="B1487" s="30" t="s">
        <v>33</v>
      </c>
      <c r="C1487" s="31" t="s">
        <v>26</v>
      </c>
      <c r="D1487" s="32" t="str">
        <f t="shared" si="1"/>
        <v>Removed</v>
      </c>
      <c r="E1487" s="33">
        <v>44824.0</v>
      </c>
      <c r="F1487" s="34">
        <v>45188.0</v>
      </c>
      <c r="G1487" s="36">
        <f t="shared" si="2"/>
        <v>11.96666667</v>
      </c>
      <c r="H1487" s="37">
        <v>44453.0</v>
      </c>
      <c r="I1487" s="36">
        <f t="shared" si="4"/>
        <v>1.016666667</v>
      </c>
      <c r="J1487" s="38">
        <v>88.0</v>
      </c>
      <c r="K1487" s="39">
        <v>6.5</v>
      </c>
      <c r="L1487" s="38">
        <v>16.0</v>
      </c>
      <c r="M1487" s="40" t="s">
        <v>31</v>
      </c>
      <c r="N1487" s="41"/>
      <c r="O1487" s="42" t="s">
        <v>34</v>
      </c>
      <c r="P1487" s="43"/>
    </row>
    <row r="1488">
      <c r="A1488" s="44" t="s">
        <v>293</v>
      </c>
      <c r="B1488" s="45" t="s">
        <v>45</v>
      </c>
      <c r="C1488" s="46" t="s">
        <v>207</v>
      </c>
      <c r="D1488" s="47" t="str">
        <f t="shared" si="1"/>
        <v>Removed</v>
      </c>
      <c r="E1488" s="48">
        <v>44824.0</v>
      </c>
      <c r="F1488" s="49">
        <v>45188.0</v>
      </c>
      <c r="G1488" s="50">
        <f t="shared" si="2"/>
        <v>11.96666667</v>
      </c>
      <c r="H1488" s="51">
        <v>42689.0</v>
      </c>
      <c r="I1488" s="50">
        <f t="shared" si="4"/>
        <v>5.847222222</v>
      </c>
      <c r="J1488" s="55">
        <v>82.0</v>
      </c>
      <c r="K1488" s="56">
        <v>7.7</v>
      </c>
      <c r="L1488" s="55">
        <v>19.0</v>
      </c>
      <c r="M1488" s="58" t="s">
        <v>31</v>
      </c>
      <c r="N1488" s="59"/>
      <c r="O1488" s="60" t="s">
        <v>149</v>
      </c>
      <c r="P1488" s="61"/>
    </row>
    <row r="1489">
      <c r="A1489" s="29" t="s">
        <v>276</v>
      </c>
      <c r="B1489" s="30" t="s">
        <v>45</v>
      </c>
      <c r="C1489" s="31" t="s">
        <v>207</v>
      </c>
      <c r="D1489" s="32" t="str">
        <f t="shared" si="1"/>
        <v>Removed</v>
      </c>
      <c r="E1489" s="33">
        <v>44789.0</v>
      </c>
      <c r="F1489" s="34">
        <v>45188.0</v>
      </c>
      <c r="G1489" s="36">
        <f t="shared" si="2"/>
        <v>13.1</v>
      </c>
      <c r="H1489" s="37">
        <v>42801.0</v>
      </c>
      <c r="I1489" s="36">
        <f t="shared" si="4"/>
        <v>5.441666667</v>
      </c>
      <c r="J1489" s="38">
        <v>70.0</v>
      </c>
      <c r="K1489" s="39">
        <v>6.4</v>
      </c>
      <c r="L1489" s="38">
        <v>26.5</v>
      </c>
      <c r="M1489" s="40" t="s">
        <v>31</v>
      </c>
      <c r="N1489" s="41"/>
      <c r="O1489" s="42" t="s">
        <v>149</v>
      </c>
      <c r="P1489" s="43"/>
    </row>
    <row r="1490">
      <c r="A1490" s="44" t="s">
        <v>1693</v>
      </c>
      <c r="B1490" s="45" t="s">
        <v>45</v>
      </c>
      <c r="C1490" s="46" t="s">
        <v>26</v>
      </c>
      <c r="D1490" s="47" t="str">
        <f t="shared" si="1"/>
        <v>Removed</v>
      </c>
      <c r="E1490" s="48">
        <v>44725.0</v>
      </c>
      <c r="F1490" s="49">
        <v>45188.0</v>
      </c>
      <c r="G1490" s="50">
        <f t="shared" si="2"/>
        <v>15.2</v>
      </c>
      <c r="H1490" s="51">
        <v>44061.0</v>
      </c>
      <c r="I1490" s="50">
        <f t="shared" si="4"/>
        <v>1.819444444</v>
      </c>
      <c r="J1490" s="55">
        <v>70.0</v>
      </c>
      <c r="K1490" s="56">
        <v>7.4</v>
      </c>
      <c r="L1490" s="55">
        <v>17.0</v>
      </c>
      <c r="M1490" s="58" t="s">
        <v>42</v>
      </c>
      <c r="N1490" s="59"/>
      <c r="O1490" s="60" t="s">
        <v>34</v>
      </c>
      <c r="P1490" s="61"/>
    </row>
    <row r="1491">
      <c r="A1491" s="29" t="s">
        <v>1694</v>
      </c>
      <c r="B1491" s="30" t="s">
        <v>45</v>
      </c>
      <c r="C1491" s="31" t="s">
        <v>26</v>
      </c>
      <c r="D1491" s="32" t="str">
        <f t="shared" si="1"/>
        <v>Removed</v>
      </c>
      <c r="E1491" s="33">
        <v>44725.0</v>
      </c>
      <c r="F1491" s="34">
        <v>45188.0</v>
      </c>
      <c r="G1491" s="36">
        <f t="shared" si="2"/>
        <v>15.2</v>
      </c>
      <c r="H1491" s="37">
        <v>42962.0</v>
      </c>
      <c r="I1491" s="36">
        <f t="shared" si="4"/>
        <v>4.827777778</v>
      </c>
      <c r="J1491" s="38">
        <v>80.0</v>
      </c>
      <c r="K1491" s="39">
        <v>6.6</v>
      </c>
      <c r="L1491" s="76"/>
      <c r="M1491" s="40" t="s">
        <v>27</v>
      </c>
      <c r="N1491" s="41"/>
      <c r="O1491" s="42" t="s">
        <v>149</v>
      </c>
      <c r="P1491" s="43" t="s">
        <v>149</v>
      </c>
    </row>
    <row r="1492">
      <c r="A1492" s="44" t="s">
        <v>1695</v>
      </c>
      <c r="B1492" s="45" t="s">
        <v>45</v>
      </c>
      <c r="C1492" s="46" t="s">
        <v>26</v>
      </c>
      <c r="D1492" s="47" t="str">
        <f t="shared" si="1"/>
        <v>Removed</v>
      </c>
      <c r="E1492" s="48">
        <v>44725.0</v>
      </c>
      <c r="F1492" s="49">
        <v>45188.0</v>
      </c>
      <c r="G1492" s="50">
        <f t="shared" si="2"/>
        <v>15.2</v>
      </c>
      <c r="H1492" s="51">
        <v>43944.0</v>
      </c>
      <c r="I1492" s="50">
        <f t="shared" si="4"/>
        <v>2.138888889</v>
      </c>
      <c r="J1492" s="55">
        <v>78.0</v>
      </c>
      <c r="K1492" s="56">
        <v>7.4</v>
      </c>
      <c r="L1492" s="55">
        <v>7.0</v>
      </c>
      <c r="M1492" s="58" t="s">
        <v>103</v>
      </c>
      <c r="N1492" s="59"/>
      <c r="O1492" s="60" t="s">
        <v>149</v>
      </c>
      <c r="P1492" s="61"/>
    </row>
    <row r="1493">
      <c r="A1493" s="29" t="s">
        <v>323</v>
      </c>
      <c r="B1493" s="30" t="s">
        <v>45</v>
      </c>
      <c r="C1493" s="31" t="s">
        <v>207</v>
      </c>
      <c r="D1493" s="32" t="str">
        <f t="shared" si="1"/>
        <v>Removed</v>
      </c>
      <c r="E1493" s="33">
        <v>44725.0</v>
      </c>
      <c r="F1493" s="34">
        <v>45188.0</v>
      </c>
      <c r="G1493" s="36">
        <f t="shared" si="2"/>
        <v>15.2</v>
      </c>
      <c r="H1493" s="37">
        <v>41760.0</v>
      </c>
      <c r="I1493" s="36">
        <f t="shared" si="4"/>
        <v>8.116666667</v>
      </c>
      <c r="J1493" s="38">
        <v>79.0</v>
      </c>
      <c r="K1493" s="39">
        <v>7.0</v>
      </c>
      <c r="L1493" s="38">
        <v>19.0</v>
      </c>
      <c r="M1493" s="40" t="s">
        <v>29</v>
      </c>
      <c r="N1493" s="41"/>
      <c r="O1493" s="42" t="s">
        <v>149</v>
      </c>
      <c r="P1493" s="43"/>
    </row>
    <row r="1494">
      <c r="A1494" s="44" t="s">
        <v>1696</v>
      </c>
      <c r="B1494" s="45" t="s">
        <v>45</v>
      </c>
      <c r="C1494" s="46" t="s">
        <v>26</v>
      </c>
      <c r="D1494" s="47" t="str">
        <f t="shared" si="1"/>
        <v>Removed</v>
      </c>
      <c r="E1494" s="48">
        <v>44725.0</v>
      </c>
      <c r="F1494" s="49">
        <v>45184.0</v>
      </c>
      <c r="G1494" s="50">
        <f t="shared" si="2"/>
        <v>15.06666667</v>
      </c>
      <c r="H1494" s="51">
        <v>42522.0</v>
      </c>
      <c r="I1494" s="50">
        <f t="shared" si="4"/>
        <v>6.033333333</v>
      </c>
      <c r="J1494" s="55">
        <v>38.0</v>
      </c>
      <c r="K1494" s="56">
        <v>4.7</v>
      </c>
      <c r="L1494" s="55">
        <v>5.0</v>
      </c>
      <c r="M1494" s="58" t="s">
        <v>31</v>
      </c>
      <c r="N1494" s="59"/>
      <c r="O1494" s="60" t="s">
        <v>149</v>
      </c>
      <c r="P1494" s="61"/>
    </row>
    <row r="1495">
      <c r="A1495" s="29" t="s">
        <v>1697</v>
      </c>
      <c r="B1495" s="30" t="s">
        <v>25</v>
      </c>
      <c r="C1495" s="31" t="s">
        <v>1089</v>
      </c>
      <c r="D1495" s="32" t="str">
        <f t="shared" si="1"/>
        <v>Removed</v>
      </c>
      <c r="E1495" s="33">
        <v>45139.0</v>
      </c>
      <c r="F1495" s="34">
        <v>45173.0</v>
      </c>
      <c r="G1495" s="36">
        <f t="shared" si="2"/>
        <v>1.1</v>
      </c>
      <c r="H1495" s="37">
        <v>44523.0</v>
      </c>
      <c r="I1495" s="36">
        <f t="shared" si="4"/>
        <v>1.688888889</v>
      </c>
      <c r="J1495" s="38">
        <v>85.0</v>
      </c>
      <c r="K1495" s="39">
        <v>6.7</v>
      </c>
      <c r="L1495" s="38">
        <v>9.0</v>
      </c>
      <c r="M1495" s="40" t="s">
        <v>29</v>
      </c>
      <c r="N1495" s="41"/>
      <c r="O1495" s="42" t="s">
        <v>34</v>
      </c>
      <c r="P1495" s="43"/>
    </row>
    <row r="1496">
      <c r="A1496" s="44" t="s">
        <v>1698</v>
      </c>
      <c r="B1496" s="45" t="s">
        <v>25</v>
      </c>
      <c r="C1496" s="46" t="s">
        <v>1089</v>
      </c>
      <c r="D1496" s="47" t="str">
        <f t="shared" si="1"/>
        <v>Removed</v>
      </c>
      <c r="E1496" s="48">
        <v>45139.0</v>
      </c>
      <c r="F1496" s="49">
        <v>45173.0</v>
      </c>
      <c r="G1496" s="50">
        <f t="shared" si="2"/>
        <v>1.1</v>
      </c>
      <c r="H1496" s="51">
        <v>44845.0</v>
      </c>
      <c r="I1496" s="50">
        <f t="shared" si="4"/>
        <v>0.8055555556</v>
      </c>
      <c r="J1496" s="55">
        <v>76.0</v>
      </c>
      <c r="K1496" s="56">
        <v>5.4</v>
      </c>
      <c r="L1496" s="55">
        <v>16.0</v>
      </c>
      <c r="M1496" s="58" t="s">
        <v>125</v>
      </c>
      <c r="N1496" s="59"/>
      <c r="O1496" s="60" t="s">
        <v>34</v>
      </c>
      <c r="P1496" s="61"/>
    </row>
    <row r="1497">
      <c r="A1497" s="29" t="s">
        <v>383</v>
      </c>
      <c r="B1497" s="30" t="s">
        <v>45</v>
      </c>
      <c r="C1497" s="31" t="s">
        <v>1089</v>
      </c>
      <c r="D1497" s="32" t="str">
        <f t="shared" si="1"/>
        <v>Removed</v>
      </c>
      <c r="E1497" s="33">
        <v>45139.0</v>
      </c>
      <c r="F1497" s="34">
        <v>45173.0</v>
      </c>
      <c r="G1497" s="36">
        <f t="shared" si="2"/>
        <v>1.1</v>
      </c>
      <c r="H1497" s="37">
        <v>43875.0</v>
      </c>
      <c r="I1497" s="36">
        <f t="shared" si="4"/>
        <v>3.463888889</v>
      </c>
      <c r="J1497" s="38">
        <v>89.0</v>
      </c>
      <c r="K1497" s="39">
        <v>8.7</v>
      </c>
      <c r="L1497" s="38">
        <v>3.0</v>
      </c>
      <c r="M1497" s="40" t="s">
        <v>29</v>
      </c>
      <c r="N1497" s="41"/>
      <c r="O1497" s="42" t="s">
        <v>34</v>
      </c>
      <c r="P1497" s="43"/>
    </row>
    <row r="1498">
      <c r="A1498" s="44" t="s">
        <v>1540</v>
      </c>
      <c r="B1498" s="45" t="s">
        <v>25</v>
      </c>
      <c r="C1498" s="46" t="s">
        <v>26</v>
      </c>
      <c r="D1498" s="47" t="str">
        <f t="shared" si="1"/>
        <v>Removed</v>
      </c>
      <c r="E1498" s="48">
        <v>44978.0</v>
      </c>
      <c r="F1498" s="49">
        <v>45152.0</v>
      </c>
      <c r="G1498" s="50">
        <f t="shared" si="2"/>
        <v>5.766666667</v>
      </c>
      <c r="H1498" s="51">
        <v>43721.0</v>
      </c>
      <c r="I1498" s="50">
        <f t="shared" si="4"/>
        <v>3.438888889</v>
      </c>
      <c r="J1498" s="55">
        <v>78.0</v>
      </c>
      <c r="K1498" s="56">
        <v>6.1</v>
      </c>
      <c r="L1498" s="55">
        <v>23.0</v>
      </c>
      <c r="M1498" s="58" t="s">
        <v>31</v>
      </c>
      <c r="N1498" s="59"/>
      <c r="O1498" s="60" t="s">
        <v>149</v>
      </c>
      <c r="P1498" s="61"/>
    </row>
    <row r="1499">
      <c r="A1499" s="29" t="s">
        <v>1699</v>
      </c>
      <c r="B1499" s="30" t="s">
        <v>45</v>
      </c>
      <c r="C1499" s="31" t="s">
        <v>26</v>
      </c>
      <c r="D1499" s="32" t="str">
        <f t="shared" si="1"/>
        <v>Removed</v>
      </c>
      <c r="E1499" s="33">
        <v>44789.0</v>
      </c>
      <c r="F1499" s="34">
        <v>45152.0</v>
      </c>
      <c r="G1499" s="36">
        <f t="shared" si="2"/>
        <v>11.93333333</v>
      </c>
      <c r="H1499" s="37">
        <v>42064.0</v>
      </c>
      <c r="I1499" s="36">
        <f t="shared" si="4"/>
        <v>7.458333333</v>
      </c>
      <c r="J1499" s="38">
        <v>85.0</v>
      </c>
      <c r="K1499" s="39">
        <v>8.6</v>
      </c>
      <c r="L1499" s="38">
        <v>31.0</v>
      </c>
      <c r="M1499" s="40" t="s">
        <v>42</v>
      </c>
      <c r="N1499" s="41"/>
      <c r="O1499" s="42" t="s">
        <v>149</v>
      </c>
      <c r="P1499" s="43"/>
    </row>
    <row r="1500">
      <c r="A1500" s="44" t="s">
        <v>1700</v>
      </c>
      <c r="B1500" s="45" t="s">
        <v>45</v>
      </c>
      <c r="C1500" s="46" t="s">
        <v>26</v>
      </c>
      <c r="D1500" s="47" t="str">
        <f t="shared" si="1"/>
        <v>Removed</v>
      </c>
      <c r="E1500" s="48">
        <v>44789.0</v>
      </c>
      <c r="F1500" s="49">
        <v>45152.0</v>
      </c>
      <c r="G1500" s="50">
        <f t="shared" si="2"/>
        <v>11.93333333</v>
      </c>
      <c r="H1500" s="51">
        <v>42370.0</v>
      </c>
      <c r="I1500" s="50">
        <f t="shared" si="4"/>
        <v>6.625</v>
      </c>
      <c r="J1500" s="55">
        <v>80.0</v>
      </c>
      <c r="K1500" s="56">
        <v>7.9</v>
      </c>
      <c r="L1500" s="55">
        <v>17.5</v>
      </c>
      <c r="M1500" s="58" t="s">
        <v>42</v>
      </c>
      <c r="N1500" s="59"/>
      <c r="O1500" s="60" t="s">
        <v>149</v>
      </c>
      <c r="P1500" s="61"/>
    </row>
    <row r="1501">
      <c r="A1501" s="29" t="s">
        <v>1701</v>
      </c>
      <c r="B1501" s="30" t="s">
        <v>45</v>
      </c>
      <c r="C1501" s="31" t="s">
        <v>26</v>
      </c>
      <c r="D1501" s="32" t="str">
        <f t="shared" si="1"/>
        <v>Removed</v>
      </c>
      <c r="E1501" s="33">
        <v>44789.0</v>
      </c>
      <c r="F1501" s="34">
        <v>45152.0</v>
      </c>
      <c r="G1501" s="36">
        <f t="shared" si="2"/>
        <v>11.93333333</v>
      </c>
      <c r="H1501" s="37">
        <v>43070.0</v>
      </c>
      <c r="I1501" s="36">
        <f t="shared" si="4"/>
        <v>4.708333333</v>
      </c>
      <c r="J1501" s="38">
        <v>85.0</v>
      </c>
      <c r="K1501" s="39">
        <v>8.4</v>
      </c>
      <c r="L1501" s="38">
        <v>18.5</v>
      </c>
      <c r="M1501" s="40" t="s">
        <v>42</v>
      </c>
      <c r="N1501" s="41"/>
      <c r="O1501" s="42" t="s">
        <v>149</v>
      </c>
      <c r="P1501" s="43"/>
    </row>
    <row r="1502">
      <c r="A1502" s="44" t="s">
        <v>1702</v>
      </c>
      <c r="B1502" s="45" t="s">
        <v>45</v>
      </c>
      <c r="C1502" s="46" t="s">
        <v>26</v>
      </c>
      <c r="D1502" s="47" t="str">
        <f t="shared" si="1"/>
        <v>Removed</v>
      </c>
      <c r="E1502" s="48">
        <v>44725.0</v>
      </c>
      <c r="F1502" s="49">
        <v>45152.0</v>
      </c>
      <c r="G1502" s="50">
        <f t="shared" si="2"/>
        <v>14.03333333</v>
      </c>
      <c r="H1502" s="51">
        <v>43738.0</v>
      </c>
      <c r="I1502" s="50">
        <f t="shared" si="4"/>
        <v>2.702777778</v>
      </c>
      <c r="J1502" s="55">
        <v>55.0</v>
      </c>
      <c r="K1502" s="56">
        <v>5.8</v>
      </c>
      <c r="L1502" s="78"/>
      <c r="M1502" s="58" t="s">
        <v>95</v>
      </c>
      <c r="N1502" s="59"/>
      <c r="O1502" s="60" t="s">
        <v>149</v>
      </c>
      <c r="P1502" s="61"/>
    </row>
    <row r="1503">
      <c r="A1503" s="29" t="s">
        <v>1703</v>
      </c>
      <c r="B1503" s="30" t="s">
        <v>45</v>
      </c>
      <c r="C1503" s="31" t="s">
        <v>26</v>
      </c>
      <c r="D1503" s="32" t="str">
        <f t="shared" si="1"/>
        <v>Removed</v>
      </c>
      <c r="E1503" s="33">
        <v>44725.0</v>
      </c>
      <c r="F1503" s="34">
        <v>45152.0</v>
      </c>
      <c r="G1503" s="36">
        <f t="shared" si="2"/>
        <v>14.03333333</v>
      </c>
      <c r="H1503" s="37">
        <v>43410.0</v>
      </c>
      <c r="I1503" s="36">
        <f t="shared" si="4"/>
        <v>3.602777778</v>
      </c>
      <c r="J1503" s="38">
        <v>71.0</v>
      </c>
      <c r="K1503" s="39">
        <v>5.4</v>
      </c>
      <c r="L1503" s="38">
        <v>14.0</v>
      </c>
      <c r="M1503" s="40" t="s">
        <v>95</v>
      </c>
      <c r="N1503" s="41"/>
      <c r="O1503" s="42" t="s">
        <v>34</v>
      </c>
      <c r="P1503" s="43" t="s">
        <v>149</v>
      </c>
    </row>
    <row r="1504">
      <c r="A1504" s="44" t="s">
        <v>333</v>
      </c>
      <c r="B1504" s="45" t="s">
        <v>45</v>
      </c>
      <c r="C1504" s="46" t="s">
        <v>207</v>
      </c>
      <c r="D1504" s="47" t="str">
        <f t="shared" si="1"/>
        <v>Removed</v>
      </c>
      <c r="E1504" s="48">
        <v>44725.0</v>
      </c>
      <c r="F1504" s="49">
        <v>45152.0</v>
      </c>
      <c r="G1504" s="50">
        <f t="shared" si="2"/>
        <v>14.03333333</v>
      </c>
      <c r="H1504" s="51">
        <v>43160.0</v>
      </c>
      <c r="I1504" s="50">
        <f t="shared" si="4"/>
        <v>4.283333333</v>
      </c>
      <c r="J1504" s="55">
        <v>67.0</v>
      </c>
      <c r="K1504" s="56">
        <v>6.4</v>
      </c>
      <c r="L1504" s="55">
        <v>22.0</v>
      </c>
      <c r="M1504" s="58" t="s">
        <v>95</v>
      </c>
      <c r="N1504" s="59"/>
      <c r="O1504" s="60" t="s">
        <v>149</v>
      </c>
      <c r="P1504" s="61" t="s">
        <v>149</v>
      </c>
    </row>
    <row r="1505">
      <c r="A1505" s="29" t="s">
        <v>1704</v>
      </c>
      <c r="B1505" s="30" t="s">
        <v>45</v>
      </c>
      <c r="C1505" s="31" t="s">
        <v>26</v>
      </c>
      <c r="D1505" s="32" t="str">
        <f t="shared" si="1"/>
        <v>Removed</v>
      </c>
      <c r="E1505" s="33">
        <v>43221.0</v>
      </c>
      <c r="F1505" s="34">
        <v>45152.0</v>
      </c>
      <c r="G1505" s="36">
        <f t="shared" si="2"/>
        <v>63.43333333</v>
      </c>
      <c r="H1505" s="37">
        <v>42482.0</v>
      </c>
      <c r="I1505" s="36">
        <f t="shared" si="4"/>
        <v>2.025</v>
      </c>
      <c r="J1505" s="38">
        <v>69.0</v>
      </c>
      <c r="K1505" s="39">
        <v>6.8</v>
      </c>
      <c r="L1505" s="38">
        <v>7.5</v>
      </c>
      <c r="M1505" s="40" t="s">
        <v>103</v>
      </c>
      <c r="N1505" s="41"/>
      <c r="O1505" s="42" t="s">
        <v>149</v>
      </c>
      <c r="P1505" s="43"/>
    </row>
    <row r="1506">
      <c r="A1506" s="44" t="s">
        <v>745</v>
      </c>
      <c r="B1506" s="45" t="s">
        <v>45</v>
      </c>
      <c r="C1506" s="46" t="s">
        <v>26</v>
      </c>
      <c r="D1506" s="47" t="str">
        <f t="shared" si="1"/>
        <v>Removed</v>
      </c>
      <c r="E1506" s="48">
        <v>43011.0</v>
      </c>
      <c r="F1506" s="49">
        <v>45152.0</v>
      </c>
      <c r="G1506" s="50">
        <f t="shared" si="2"/>
        <v>70.36666667</v>
      </c>
      <c r="H1506" s="51">
        <v>42552.0</v>
      </c>
      <c r="I1506" s="50">
        <f t="shared" si="4"/>
        <v>1.255555556</v>
      </c>
      <c r="J1506" s="55">
        <v>52.0</v>
      </c>
      <c r="K1506" s="56">
        <v>6.4</v>
      </c>
      <c r="L1506" s="55">
        <v>16.0</v>
      </c>
      <c r="M1506" s="58" t="s">
        <v>95</v>
      </c>
      <c r="N1506" s="59"/>
      <c r="O1506" s="60" t="s">
        <v>149</v>
      </c>
      <c r="P1506" s="61"/>
    </row>
    <row r="1507">
      <c r="A1507" s="29" t="s">
        <v>1705</v>
      </c>
      <c r="B1507" s="30" t="s">
        <v>45</v>
      </c>
      <c r="C1507" s="31" t="s">
        <v>26</v>
      </c>
      <c r="D1507" s="32" t="str">
        <f t="shared" si="1"/>
        <v>Removed</v>
      </c>
      <c r="E1507" s="33">
        <v>42922.0</v>
      </c>
      <c r="F1507" s="34">
        <v>45152.0</v>
      </c>
      <c r="G1507" s="36">
        <f t="shared" si="2"/>
        <v>73.26666667</v>
      </c>
      <c r="H1507" s="37">
        <v>41640.0</v>
      </c>
      <c r="I1507" s="36">
        <f t="shared" si="4"/>
        <v>3.513888889</v>
      </c>
      <c r="J1507" s="38">
        <v>81.0</v>
      </c>
      <c r="K1507" s="39">
        <v>7.4</v>
      </c>
      <c r="L1507" s="76"/>
      <c r="M1507" s="40" t="s">
        <v>29</v>
      </c>
      <c r="N1507" s="41"/>
      <c r="O1507" s="42" t="s">
        <v>149</v>
      </c>
      <c r="P1507" s="43" t="s">
        <v>149</v>
      </c>
    </row>
    <row r="1508">
      <c r="A1508" s="44" t="s">
        <v>1706</v>
      </c>
      <c r="B1508" s="45" t="s">
        <v>25</v>
      </c>
      <c r="C1508" s="46" t="s">
        <v>1089</v>
      </c>
      <c r="D1508" s="47" t="str">
        <f t="shared" si="1"/>
        <v>Removed</v>
      </c>
      <c r="E1508" s="48">
        <v>45111.0</v>
      </c>
      <c r="F1508" s="49">
        <v>45138.0</v>
      </c>
      <c r="G1508" s="50">
        <f t="shared" si="2"/>
        <v>0.8666666667</v>
      </c>
      <c r="H1508" s="51">
        <v>44474.0</v>
      </c>
      <c r="I1508" s="50">
        <f t="shared" si="4"/>
        <v>1.747222222</v>
      </c>
      <c r="J1508" s="55">
        <v>79.0</v>
      </c>
      <c r="K1508" s="56">
        <v>8.0</v>
      </c>
      <c r="L1508" s="55">
        <v>10.0</v>
      </c>
      <c r="M1508" s="58" t="s">
        <v>29</v>
      </c>
      <c r="N1508" s="59"/>
      <c r="O1508" s="60" t="s">
        <v>34</v>
      </c>
      <c r="P1508" s="61"/>
    </row>
    <row r="1509">
      <c r="A1509" s="29" t="s">
        <v>1707</v>
      </c>
      <c r="B1509" s="30" t="s">
        <v>25</v>
      </c>
      <c r="C1509" s="31" t="s">
        <v>1089</v>
      </c>
      <c r="D1509" s="32" t="str">
        <f t="shared" si="1"/>
        <v>Removed</v>
      </c>
      <c r="E1509" s="33">
        <v>45111.0</v>
      </c>
      <c r="F1509" s="34">
        <v>45138.0</v>
      </c>
      <c r="G1509" s="36">
        <f t="shared" si="2"/>
        <v>0.8666666667</v>
      </c>
      <c r="H1509" s="37">
        <v>44148.0</v>
      </c>
      <c r="I1509" s="36">
        <f t="shared" si="4"/>
        <v>2.641666667</v>
      </c>
      <c r="J1509" s="38">
        <v>76.0</v>
      </c>
      <c r="K1509" s="39">
        <v>4.1</v>
      </c>
      <c r="L1509" s="38">
        <v>6.0</v>
      </c>
      <c r="M1509" s="40" t="s">
        <v>31</v>
      </c>
      <c r="N1509" s="41"/>
      <c r="O1509" s="42" t="s">
        <v>34</v>
      </c>
      <c r="P1509" s="43"/>
    </row>
    <row r="1510">
      <c r="A1510" s="44" t="s">
        <v>1708</v>
      </c>
      <c r="B1510" s="45" t="s">
        <v>25</v>
      </c>
      <c r="C1510" s="46" t="s">
        <v>1089</v>
      </c>
      <c r="D1510" s="47" t="str">
        <f t="shared" si="1"/>
        <v>Removed</v>
      </c>
      <c r="E1510" s="48">
        <v>45111.0</v>
      </c>
      <c r="F1510" s="49">
        <v>45138.0</v>
      </c>
      <c r="G1510" s="50">
        <f t="shared" si="2"/>
        <v>0.8666666667</v>
      </c>
      <c r="H1510" s="51">
        <v>44761.0</v>
      </c>
      <c r="I1510" s="50">
        <f t="shared" si="4"/>
        <v>0.9583333333</v>
      </c>
      <c r="J1510" s="55">
        <v>82.0</v>
      </c>
      <c r="K1510" s="56">
        <v>8.3</v>
      </c>
      <c r="L1510" s="55">
        <v>4.0</v>
      </c>
      <c r="M1510" s="58" t="s">
        <v>29</v>
      </c>
      <c r="N1510" s="59"/>
      <c r="O1510" s="60" t="s">
        <v>34</v>
      </c>
      <c r="P1510" s="61"/>
    </row>
    <row r="1511">
      <c r="A1511" s="29" t="s">
        <v>1308</v>
      </c>
      <c r="B1511" s="30" t="s">
        <v>25</v>
      </c>
      <c r="C1511" s="31" t="s">
        <v>26</v>
      </c>
      <c r="D1511" s="32" t="str">
        <f t="shared" si="1"/>
        <v>Removed</v>
      </c>
      <c r="E1511" s="33">
        <v>44761.0</v>
      </c>
      <c r="F1511" s="34">
        <v>45124.0</v>
      </c>
      <c r="G1511" s="36">
        <f t="shared" si="2"/>
        <v>11.93333333</v>
      </c>
      <c r="H1511" s="37">
        <v>44761.0</v>
      </c>
      <c r="I1511" s="36">
        <f t="shared" si="4"/>
        <v>0</v>
      </c>
      <c r="J1511" s="38">
        <v>84.0</v>
      </c>
      <c r="K1511" s="39">
        <v>8.7</v>
      </c>
      <c r="L1511" s="38">
        <v>4.5</v>
      </c>
      <c r="M1511" s="40" t="s">
        <v>29</v>
      </c>
      <c r="N1511" s="41"/>
      <c r="O1511" s="42" t="s">
        <v>149</v>
      </c>
      <c r="P1511" s="43"/>
    </row>
    <row r="1512">
      <c r="A1512" s="44" t="s">
        <v>1709</v>
      </c>
      <c r="B1512" s="45" t="s">
        <v>25</v>
      </c>
      <c r="C1512" s="46" t="s">
        <v>26</v>
      </c>
      <c r="D1512" s="47" t="str">
        <f t="shared" si="1"/>
        <v>Removed</v>
      </c>
      <c r="E1512" s="48">
        <v>44761.0</v>
      </c>
      <c r="F1512" s="49">
        <v>45124.0</v>
      </c>
      <c r="G1512" s="50">
        <f t="shared" si="2"/>
        <v>11.93333333</v>
      </c>
      <c r="H1512" s="51">
        <v>44078.0</v>
      </c>
      <c r="I1512" s="50">
        <f t="shared" si="4"/>
        <v>1.875</v>
      </c>
      <c r="J1512" s="55">
        <v>67.0</v>
      </c>
      <c r="K1512" s="56">
        <v>4.9</v>
      </c>
      <c r="L1512" s="55">
        <v>12.0</v>
      </c>
      <c r="M1512" s="58" t="s">
        <v>29</v>
      </c>
      <c r="N1512" s="59"/>
      <c r="O1512" s="60" t="s">
        <v>149</v>
      </c>
      <c r="P1512" s="61"/>
    </row>
    <row r="1513">
      <c r="A1513" s="29" t="s">
        <v>1710</v>
      </c>
      <c r="B1513" s="30" t="s">
        <v>45</v>
      </c>
      <c r="C1513" s="31" t="s">
        <v>26</v>
      </c>
      <c r="D1513" s="32" t="str">
        <f t="shared" si="1"/>
        <v>Removed</v>
      </c>
      <c r="E1513" s="33">
        <v>44761.0</v>
      </c>
      <c r="F1513" s="34">
        <v>45124.0</v>
      </c>
      <c r="G1513" s="36">
        <f t="shared" si="2"/>
        <v>11.93333333</v>
      </c>
      <c r="H1513" s="37">
        <v>42024.0</v>
      </c>
      <c r="I1513" s="36">
        <f t="shared" si="4"/>
        <v>7.497222222</v>
      </c>
      <c r="J1513" s="38">
        <v>64.0</v>
      </c>
      <c r="K1513" s="39">
        <v>6.4</v>
      </c>
      <c r="L1513" s="38">
        <v>4.5</v>
      </c>
      <c r="M1513" s="40" t="s">
        <v>29</v>
      </c>
      <c r="N1513" s="41"/>
      <c r="O1513" s="42" t="s">
        <v>149</v>
      </c>
      <c r="P1513" s="43"/>
    </row>
    <row r="1514">
      <c r="A1514" s="44" t="s">
        <v>1711</v>
      </c>
      <c r="B1514" s="45" t="s">
        <v>45</v>
      </c>
      <c r="C1514" s="46" t="s">
        <v>26</v>
      </c>
      <c r="D1514" s="47" t="str">
        <f t="shared" si="1"/>
        <v>Removed</v>
      </c>
      <c r="E1514" s="48">
        <v>44725.0</v>
      </c>
      <c r="F1514" s="49">
        <v>45124.0</v>
      </c>
      <c r="G1514" s="50">
        <f t="shared" si="2"/>
        <v>13.13333333</v>
      </c>
      <c r="H1514" s="51">
        <v>42644.0</v>
      </c>
      <c r="I1514" s="50">
        <f t="shared" si="4"/>
        <v>5.7</v>
      </c>
      <c r="J1514" s="55">
        <v>64.0</v>
      </c>
      <c r="K1514" s="56">
        <v>5.9</v>
      </c>
      <c r="L1514" s="55">
        <v>4.0</v>
      </c>
      <c r="M1514" s="58" t="s">
        <v>29</v>
      </c>
      <c r="N1514" s="59"/>
      <c r="O1514" s="60" t="s">
        <v>149</v>
      </c>
      <c r="P1514" s="61" t="s">
        <v>149</v>
      </c>
    </row>
    <row r="1515">
      <c r="A1515" s="29" t="s">
        <v>1712</v>
      </c>
      <c r="B1515" s="30" t="s">
        <v>45</v>
      </c>
      <c r="C1515" s="31" t="s">
        <v>46</v>
      </c>
      <c r="D1515" s="32" t="str">
        <f t="shared" si="1"/>
        <v>Removed</v>
      </c>
      <c r="E1515" s="33">
        <v>44725.0</v>
      </c>
      <c r="F1515" s="34">
        <v>45124.0</v>
      </c>
      <c r="G1515" s="36">
        <f t="shared" si="2"/>
        <v>13.13333333</v>
      </c>
      <c r="H1515" s="37">
        <v>42087.0</v>
      </c>
      <c r="I1515" s="36">
        <f t="shared" si="4"/>
        <v>7.219444444</v>
      </c>
      <c r="J1515" s="38">
        <v>82.0</v>
      </c>
      <c r="K1515" s="39">
        <v>7.8</v>
      </c>
      <c r="L1515" s="38">
        <v>25.0</v>
      </c>
      <c r="M1515" s="40" t="s">
        <v>31</v>
      </c>
      <c r="N1515" s="41" t="s">
        <v>442</v>
      </c>
      <c r="O1515" s="42" t="s">
        <v>149</v>
      </c>
      <c r="P1515" s="67" t="s">
        <v>149</v>
      </c>
    </row>
    <row r="1516">
      <c r="A1516" s="44" t="s">
        <v>1713</v>
      </c>
      <c r="B1516" s="45" t="s">
        <v>25</v>
      </c>
      <c r="C1516" s="46" t="s">
        <v>476</v>
      </c>
      <c r="D1516" s="47" t="str">
        <f t="shared" si="1"/>
        <v>Removed</v>
      </c>
      <c r="E1516" s="48">
        <v>44725.0</v>
      </c>
      <c r="F1516" s="49">
        <v>45124.0</v>
      </c>
      <c r="G1516" s="50">
        <f t="shared" si="2"/>
        <v>13.13333333</v>
      </c>
      <c r="H1516" s="51">
        <v>42401.0</v>
      </c>
      <c r="I1516" s="50">
        <f t="shared" si="4"/>
        <v>6.366666667</v>
      </c>
      <c r="J1516" s="55">
        <v>73.0</v>
      </c>
      <c r="K1516" s="56">
        <v>7.5</v>
      </c>
      <c r="L1516" s="55">
        <v>5.0</v>
      </c>
      <c r="M1516" s="58" t="s">
        <v>31</v>
      </c>
      <c r="N1516" s="59" t="s">
        <v>442</v>
      </c>
      <c r="O1516" s="60" t="s">
        <v>149</v>
      </c>
      <c r="P1516" s="66" t="s">
        <v>505</v>
      </c>
    </row>
    <row r="1517">
      <c r="A1517" s="29" t="s">
        <v>1714</v>
      </c>
      <c r="B1517" s="30" t="s">
        <v>45</v>
      </c>
      <c r="C1517" s="31" t="s">
        <v>46</v>
      </c>
      <c r="D1517" s="32" t="str">
        <f t="shared" si="1"/>
        <v>Removed</v>
      </c>
      <c r="E1517" s="33">
        <v>43865.0</v>
      </c>
      <c r="F1517" s="34">
        <v>45124.0</v>
      </c>
      <c r="G1517" s="36">
        <f t="shared" si="2"/>
        <v>41.43333333</v>
      </c>
      <c r="H1517" s="37">
        <v>42626.0</v>
      </c>
      <c r="I1517" s="36">
        <f t="shared" si="4"/>
        <v>3.391666667</v>
      </c>
      <c r="J1517" s="38">
        <v>88.0</v>
      </c>
      <c r="K1517" s="39">
        <v>7.7</v>
      </c>
      <c r="L1517" s="38">
        <v>11.0</v>
      </c>
      <c r="M1517" s="40" t="s">
        <v>31</v>
      </c>
      <c r="N1517" s="41" t="s">
        <v>442</v>
      </c>
      <c r="O1517" s="42" t="s">
        <v>149</v>
      </c>
      <c r="P1517" s="67"/>
    </row>
    <row r="1518">
      <c r="A1518" s="44" t="s">
        <v>1715</v>
      </c>
      <c r="B1518" s="45" t="s">
        <v>45</v>
      </c>
      <c r="C1518" s="46" t="s">
        <v>46</v>
      </c>
      <c r="D1518" s="47" t="str">
        <f t="shared" si="1"/>
        <v>Removed</v>
      </c>
      <c r="E1518" s="48">
        <v>43865.0</v>
      </c>
      <c r="F1518" s="49">
        <v>45124.0</v>
      </c>
      <c r="G1518" s="50">
        <f t="shared" si="2"/>
        <v>41.43333333</v>
      </c>
      <c r="H1518" s="51">
        <v>41947.0</v>
      </c>
      <c r="I1518" s="50">
        <f t="shared" si="4"/>
        <v>5.25</v>
      </c>
      <c r="J1518" s="55">
        <v>94.0</v>
      </c>
      <c r="K1518" s="56">
        <v>8.6</v>
      </c>
      <c r="L1518" s="55">
        <v>11.0</v>
      </c>
      <c r="M1518" s="58" t="s">
        <v>31</v>
      </c>
      <c r="N1518" s="59" t="s">
        <v>442</v>
      </c>
      <c r="O1518" s="60" t="s">
        <v>149</v>
      </c>
      <c r="P1518" s="66" t="s">
        <v>505</v>
      </c>
    </row>
    <row r="1519">
      <c r="A1519" s="29" t="s">
        <v>1716</v>
      </c>
      <c r="B1519" s="30" t="s">
        <v>45</v>
      </c>
      <c r="C1519" s="31" t="s">
        <v>46</v>
      </c>
      <c r="D1519" s="32" t="str">
        <f t="shared" si="1"/>
        <v>Removed</v>
      </c>
      <c r="E1519" s="33">
        <v>43865.0</v>
      </c>
      <c r="F1519" s="34">
        <v>45124.0</v>
      </c>
      <c r="G1519" s="36">
        <f t="shared" si="2"/>
        <v>41.43333333</v>
      </c>
      <c r="H1519" s="37">
        <v>42626.0</v>
      </c>
      <c r="I1519" s="36">
        <f t="shared" si="4"/>
        <v>3.391666667</v>
      </c>
      <c r="J1519" s="38">
        <v>96.0</v>
      </c>
      <c r="K1519" s="39">
        <v>8.6</v>
      </c>
      <c r="L1519" s="38">
        <v>12.0</v>
      </c>
      <c r="M1519" s="40" t="s">
        <v>31</v>
      </c>
      <c r="N1519" s="41" t="s">
        <v>1717</v>
      </c>
      <c r="O1519" s="42" t="s">
        <v>149</v>
      </c>
      <c r="P1519" s="67"/>
    </row>
    <row r="1520">
      <c r="A1520" s="44" t="s">
        <v>1718</v>
      </c>
      <c r="B1520" s="45" t="s">
        <v>45</v>
      </c>
      <c r="C1520" s="46" t="s">
        <v>26</v>
      </c>
      <c r="D1520" s="47" t="str">
        <f t="shared" si="1"/>
        <v>Removed</v>
      </c>
      <c r="E1520" s="48">
        <v>42955.0</v>
      </c>
      <c r="F1520" s="49">
        <v>45124.0</v>
      </c>
      <c r="G1520" s="50">
        <f t="shared" si="2"/>
        <v>71.3</v>
      </c>
      <c r="H1520" s="51">
        <v>41913.0</v>
      </c>
      <c r="I1520" s="50">
        <f t="shared" si="4"/>
        <v>2.852777778</v>
      </c>
      <c r="J1520" s="55">
        <v>35.0</v>
      </c>
      <c r="K1520" s="56">
        <v>6.4</v>
      </c>
      <c r="L1520" s="55">
        <v>0.5</v>
      </c>
      <c r="M1520" s="58" t="s">
        <v>217</v>
      </c>
      <c r="N1520" s="59"/>
      <c r="O1520" s="60" t="s">
        <v>149</v>
      </c>
      <c r="P1520" s="61"/>
    </row>
    <row r="1521">
      <c r="A1521" s="29" t="s">
        <v>1096</v>
      </c>
      <c r="B1521" s="30" t="s">
        <v>25</v>
      </c>
      <c r="C1521" s="31" t="s">
        <v>1089</v>
      </c>
      <c r="D1521" s="32" t="str">
        <f t="shared" si="1"/>
        <v>Removed</v>
      </c>
      <c r="E1521" s="33">
        <v>45083.0</v>
      </c>
      <c r="F1521" s="34">
        <v>45110.0</v>
      </c>
      <c r="G1521" s="36">
        <f t="shared" si="2"/>
        <v>0.9</v>
      </c>
      <c r="H1521" s="37">
        <v>44509.0</v>
      </c>
      <c r="I1521" s="36">
        <f t="shared" si="4"/>
        <v>1.575</v>
      </c>
      <c r="J1521" s="38">
        <v>78.0</v>
      </c>
      <c r="K1521" s="39">
        <v>7.0</v>
      </c>
      <c r="L1521" s="38">
        <v>6.0</v>
      </c>
      <c r="M1521" s="40" t="s">
        <v>103</v>
      </c>
      <c r="N1521" s="41"/>
      <c r="O1521" s="42" t="s">
        <v>34</v>
      </c>
      <c r="P1521" s="43"/>
    </row>
    <row r="1522">
      <c r="A1522" s="44" t="s">
        <v>1719</v>
      </c>
      <c r="B1522" s="45" t="s">
        <v>25</v>
      </c>
      <c r="C1522" s="46" t="s">
        <v>1089</v>
      </c>
      <c r="D1522" s="47" t="str">
        <f t="shared" si="1"/>
        <v>Removed</v>
      </c>
      <c r="E1522" s="48">
        <v>45083.0</v>
      </c>
      <c r="F1522" s="49">
        <v>45110.0</v>
      </c>
      <c r="G1522" s="50">
        <f t="shared" si="2"/>
        <v>0.9</v>
      </c>
      <c r="H1522" s="51">
        <v>44813.0</v>
      </c>
      <c r="I1522" s="50">
        <f t="shared" si="4"/>
        <v>0.7416666667</v>
      </c>
      <c r="J1522" s="55">
        <v>78.0</v>
      </c>
      <c r="K1522" s="56">
        <v>4.5</v>
      </c>
      <c r="L1522" s="55">
        <v>25.0</v>
      </c>
      <c r="M1522" s="58" t="s">
        <v>125</v>
      </c>
      <c r="N1522" s="59"/>
      <c r="O1522" s="60" t="s">
        <v>34</v>
      </c>
      <c r="P1522" s="61"/>
    </row>
    <row r="1523">
      <c r="A1523" s="29" t="s">
        <v>1720</v>
      </c>
      <c r="B1523" s="30" t="s">
        <v>25</v>
      </c>
      <c r="C1523" s="31" t="s">
        <v>1089</v>
      </c>
      <c r="D1523" s="32" t="str">
        <f t="shared" si="1"/>
        <v>Removed</v>
      </c>
      <c r="E1523" s="33">
        <v>45083.0</v>
      </c>
      <c r="F1523" s="34">
        <v>45110.0</v>
      </c>
      <c r="G1523" s="36">
        <f t="shared" si="2"/>
        <v>0.9</v>
      </c>
      <c r="H1523" s="37">
        <v>44686.0</v>
      </c>
      <c r="I1523" s="36">
        <f t="shared" si="4"/>
        <v>1.086111111</v>
      </c>
      <c r="J1523" s="38">
        <v>69.0</v>
      </c>
      <c r="K1523" s="39">
        <v>6.9</v>
      </c>
      <c r="L1523" s="38">
        <v>5.0</v>
      </c>
      <c r="M1523" s="40" t="s">
        <v>29</v>
      </c>
      <c r="N1523" s="41"/>
      <c r="O1523" s="42" t="s">
        <v>34</v>
      </c>
      <c r="P1523" s="43"/>
    </row>
    <row r="1524">
      <c r="A1524" s="44" t="s">
        <v>1721</v>
      </c>
      <c r="B1524" s="45" t="s">
        <v>45</v>
      </c>
      <c r="C1524" s="46" t="s">
        <v>26</v>
      </c>
      <c r="D1524" s="47" t="str">
        <f t="shared" si="1"/>
        <v>Removed</v>
      </c>
      <c r="E1524" s="48">
        <v>45048.0</v>
      </c>
      <c r="F1524" s="49">
        <v>45096.0</v>
      </c>
      <c r="G1524" s="50">
        <f t="shared" si="2"/>
        <v>1.566666667</v>
      </c>
      <c r="H1524" s="51">
        <v>43140.0</v>
      </c>
      <c r="I1524" s="50">
        <f t="shared" si="4"/>
        <v>5.230555556</v>
      </c>
      <c r="J1524" s="55">
        <v>74.0</v>
      </c>
      <c r="K1524" s="56">
        <v>7.5</v>
      </c>
      <c r="L1524" s="55">
        <v>4.5</v>
      </c>
      <c r="M1524" s="58" t="s">
        <v>125</v>
      </c>
      <c r="N1524" s="59"/>
      <c r="O1524" s="60" t="s">
        <v>149</v>
      </c>
      <c r="P1524" s="61"/>
    </row>
    <row r="1525">
      <c r="A1525" s="29" t="s">
        <v>1722</v>
      </c>
      <c r="B1525" s="30" t="s">
        <v>25</v>
      </c>
      <c r="C1525" s="31" t="s">
        <v>26</v>
      </c>
      <c r="D1525" s="32" t="str">
        <f t="shared" si="1"/>
        <v>Removed</v>
      </c>
      <c r="E1525" s="33">
        <v>44725.0</v>
      </c>
      <c r="F1525" s="34">
        <v>45096.0</v>
      </c>
      <c r="G1525" s="36">
        <f t="shared" si="2"/>
        <v>12.2</v>
      </c>
      <c r="H1525" s="37">
        <v>44539.0</v>
      </c>
      <c r="I1525" s="36">
        <f t="shared" si="4"/>
        <v>0.5111111111</v>
      </c>
      <c r="J1525" s="38">
        <v>78.0</v>
      </c>
      <c r="K1525" s="39">
        <v>7.5</v>
      </c>
      <c r="L1525" s="38">
        <v>10.5</v>
      </c>
      <c r="M1525" s="40" t="s">
        <v>555</v>
      </c>
      <c r="N1525" s="41"/>
      <c r="O1525" s="42" t="s">
        <v>149</v>
      </c>
      <c r="P1525" s="43"/>
    </row>
    <row r="1526">
      <c r="A1526" s="44" t="s">
        <v>1723</v>
      </c>
      <c r="B1526" s="45" t="s">
        <v>45</v>
      </c>
      <c r="C1526" s="46" t="s">
        <v>26</v>
      </c>
      <c r="D1526" s="47" t="str">
        <f t="shared" si="1"/>
        <v>Removed</v>
      </c>
      <c r="E1526" s="48">
        <v>44725.0</v>
      </c>
      <c r="F1526" s="49">
        <v>45096.0</v>
      </c>
      <c r="G1526" s="50">
        <f t="shared" si="2"/>
        <v>12.2</v>
      </c>
      <c r="H1526" s="51">
        <v>44120.0</v>
      </c>
      <c r="I1526" s="50">
        <f t="shared" si="4"/>
        <v>1.658333333</v>
      </c>
      <c r="J1526" s="55">
        <v>74.0</v>
      </c>
      <c r="K1526" s="56">
        <v>7.0</v>
      </c>
      <c r="L1526" s="55">
        <v>4.0</v>
      </c>
      <c r="M1526" s="58" t="s">
        <v>114</v>
      </c>
      <c r="N1526" s="59"/>
      <c r="O1526" s="60" t="s">
        <v>149</v>
      </c>
      <c r="P1526" s="61" t="s">
        <v>149</v>
      </c>
    </row>
    <row r="1527">
      <c r="A1527" s="29" t="s">
        <v>1724</v>
      </c>
      <c r="B1527" s="30" t="s">
        <v>45</v>
      </c>
      <c r="C1527" s="31" t="s">
        <v>26</v>
      </c>
      <c r="D1527" s="32" t="str">
        <f t="shared" si="1"/>
        <v>Removed</v>
      </c>
      <c r="E1527" s="33">
        <v>44725.0</v>
      </c>
      <c r="F1527" s="34">
        <v>45096.0</v>
      </c>
      <c r="G1527" s="36">
        <f t="shared" si="2"/>
        <v>12.2</v>
      </c>
      <c r="H1527" s="37">
        <v>42962.0</v>
      </c>
      <c r="I1527" s="36">
        <f t="shared" si="4"/>
        <v>4.827777778</v>
      </c>
      <c r="J1527" s="38">
        <v>68.0</v>
      </c>
      <c r="K1527" s="39">
        <v>6.5</v>
      </c>
      <c r="L1527" s="38">
        <v>16.5</v>
      </c>
      <c r="M1527" s="40" t="s">
        <v>29</v>
      </c>
      <c r="N1527" s="41"/>
      <c r="O1527" s="42" t="s">
        <v>149</v>
      </c>
      <c r="P1527" s="43"/>
    </row>
    <row r="1528">
      <c r="A1528" s="44" t="s">
        <v>1725</v>
      </c>
      <c r="B1528" s="45" t="s">
        <v>45</v>
      </c>
      <c r="C1528" s="46" t="s">
        <v>26</v>
      </c>
      <c r="D1528" s="47" t="str">
        <f t="shared" si="1"/>
        <v>Removed</v>
      </c>
      <c r="E1528" s="48">
        <v>44725.0</v>
      </c>
      <c r="F1528" s="49">
        <v>45096.0</v>
      </c>
      <c r="G1528" s="50">
        <f t="shared" si="2"/>
        <v>12.2</v>
      </c>
      <c r="H1528" s="51">
        <v>43160.0</v>
      </c>
      <c r="I1528" s="50">
        <f t="shared" si="4"/>
        <v>4.283333333</v>
      </c>
      <c r="J1528" s="55">
        <v>62.0</v>
      </c>
      <c r="K1528" s="56">
        <v>7.2</v>
      </c>
      <c r="L1528" s="55">
        <v>22.5</v>
      </c>
      <c r="M1528" s="58" t="s">
        <v>42</v>
      </c>
      <c r="N1528" s="59"/>
      <c r="O1528" s="60" t="s">
        <v>149</v>
      </c>
      <c r="P1528" s="61"/>
    </row>
    <row r="1529">
      <c r="A1529" s="29" t="s">
        <v>1726</v>
      </c>
      <c r="B1529" s="30" t="s">
        <v>45</v>
      </c>
      <c r="C1529" s="31" t="s">
        <v>26</v>
      </c>
      <c r="D1529" s="32" t="str">
        <f t="shared" si="1"/>
        <v>Removed</v>
      </c>
      <c r="E1529" s="33">
        <v>44725.0</v>
      </c>
      <c r="F1529" s="34">
        <v>45096.0</v>
      </c>
      <c r="G1529" s="36">
        <f t="shared" si="2"/>
        <v>12.2</v>
      </c>
      <c r="H1529" s="37">
        <v>43800.0</v>
      </c>
      <c r="I1529" s="36">
        <f t="shared" si="4"/>
        <v>2.533333333</v>
      </c>
      <c r="J1529" s="38">
        <v>84.0</v>
      </c>
      <c r="K1529" s="39">
        <v>7.2</v>
      </c>
      <c r="L1529" s="38">
        <v>2.5</v>
      </c>
      <c r="M1529" s="40" t="s">
        <v>565</v>
      </c>
      <c r="N1529" s="41"/>
      <c r="O1529" s="42" t="s">
        <v>34</v>
      </c>
      <c r="P1529" s="43" t="s">
        <v>149</v>
      </c>
    </row>
    <row r="1530">
      <c r="A1530" s="44" t="s">
        <v>1727</v>
      </c>
      <c r="B1530" s="45" t="s">
        <v>45</v>
      </c>
      <c r="C1530" s="46" t="s">
        <v>26</v>
      </c>
      <c r="D1530" s="47" t="str">
        <f t="shared" si="1"/>
        <v>Removed</v>
      </c>
      <c r="E1530" s="48">
        <v>44725.0</v>
      </c>
      <c r="F1530" s="49">
        <v>45096.0</v>
      </c>
      <c r="G1530" s="50">
        <f t="shared" si="2"/>
        <v>12.2</v>
      </c>
      <c r="H1530" s="51">
        <v>44225.0</v>
      </c>
      <c r="I1530" s="50">
        <f t="shared" si="4"/>
        <v>1.372222222</v>
      </c>
      <c r="J1530" s="55">
        <v>70.0</v>
      </c>
      <c r="K1530" s="56">
        <v>6.8</v>
      </c>
      <c r="L1530" s="55">
        <v>5.0</v>
      </c>
      <c r="M1530" s="58" t="s">
        <v>29</v>
      </c>
      <c r="N1530" s="59"/>
      <c r="O1530" s="60" t="s">
        <v>149</v>
      </c>
      <c r="P1530" s="61"/>
    </row>
    <row r="1531">
      <c r="A1531" s="29" t="s">
        <v>1728</v>
      </c>
      <c r="B1531" s="30" t="s">
        <v>45</v>
      </c>
      <c r="C1531" s="31" t="s">
        <v>26</v>
      </c>
      <c r="D1531" s="32" t="str">
        <f t="shared" si="1"/>
        <v>Removed</v>
      </c>
      <c r="E1531" s="33">
        <v>44725.0</v>
      </c>
      <c r="F1531" s="34">
        <v>45096.0</v>
      </c>
      <c r="G1531" s="36">
        <f t="shared" si="2"/>
        <v>12.2</v>
      </c>
      <c r="H1531" s="37">
        <v>44439.0</v>
      </c>
      <c r="I1531" s="36">
        <f t="shared" si="4"/>
        <v>0.7861111111</v>
      </c>
      <c r="J1531" s="38">
        <v>73.0</v>
      </c>
      <c r="K1531" s="39">
        <v>7.1</v>
      </c>
      <c r="L1531" s="38">
        <v>8.0</v>
      </c>
      <c r="M1531" s="40" t="s">
        <v>51</v>
      </c>
      <c r="N1531" s="41"/>
      <c r="O1531" s="42" t="s">
        <v>34</v>
      </c>
      <c r="P1531" s="43" t="s">
        <v>149</v>
      </c>
    </row>
    <row r="1532">
      <c r="A1532" s="44" t="s">
        <v>1729</v>
      </c>
      <c r="B1532" s="45" t="s">
        <v>45</v>
      </c>
      <c r="C1532" s="46" t="s">
        <v>26</v>
      </c>
      <c r="D1532" s="47" t="str">
        <f t="shared" si="1"/>
        <v>Removed</v>
      </c>
      <c r="E1532" s="48">
        <v>44725.0</v>
      </c>
      <c r="F1532" s="49">
        <v>45096.0</v>
      </c>
      <c r="G1532" s="50">
        <f t="shared" si="2"/>
        <v>12.2</v>
      </c>
      <c r="H1532" s="51">
        <v>44012.0</v>
      </c>
      <c r="I1532" s="50">
        <f t="shared" si="4"/>
        <v>1.952777778</v>
      </c>
      <c r="J1532" s="55">
        <v>75.0</v>
      </c>
      <c r="K1532" s="56">
        <v>7.5</v>
      </c>
      <c r="L1532" s="55">
        <v>9.0</v>
      </c>
      <c r="M1532" s="58" t="s">
        <v>29</v>
      </c>
      <c r="N1532" s="59"/>
      <c r="O1532" s="60" t="s">
        <v>34</v>
      </c>
      <c r="P1532" s="61" t="s">
        <v>149</v>
      </c>
    </row>
    <row r="1533">
      <c r="A1533" s="29" t="s">
        <v>1730</v>
      </c>
      <c r="B1533" s="30" t="s">
        <v>45</v>
      </c>
      <c r="C1533" s="31" t="s">
        <v>26</v>
      </c>
      <c r="D1533" s="32" t="str">
        <f t="shared" si="1"/>
        <v>Removed</v>
      </c>
      <c r="E1533" s="33">
        <v>44725.0</v>
      </c>
      <c r="F1533" s="34">
        <v>45096.0</v>
      </c>
      <c r="G1533" s="36">
        <f t="shared" si="2"/>
        <v>12.2</v>
      </c>
      <c r="H1533" s="37">
        <v>42241.0</v>
      </c>
      <c r="I1533" s="36">
        <f t="shared" si="4"/>
        <v>6.8</v>
      </c>
      <c r="J1533" s="38">
        <v>64.0</v>
      </c>
      <c r="K1533" s="39">
        <v>7.0</v>
      </c>
      <c r="L1533" s="38">
        <v>5.0</v>
      </c>
      <c r="M1533" s="40" t="s">
        <v>103</v>
      </c>
      <c r="N1533" s="41"/>
      <c r="O1533" s="42" t="s">
        <v>149</v>
      </c>
      <c r="P1533" s="43" t="s">
        <v>149</v>
      </c>
    </row>
    <row r="1534">
      <c r="A1534" s="44" t="s">
        <v>1731</v>
      </c>
      <c r="B1534" s="45" t="s">
        <v>45</v>
      </c>
      <c r="C1534" s="46" t="s">
        <v>26</v>
      </c>
      <c r="D1534" s="47" t="str">
        <f t="shared" si="1"/>
        <v>Removed</v>
      </c>
      <c r="E1534" s="48">
        <v>44725.0</v>
      </c>
      <c r="F1534" s="49">
        <v>45096.0</v>
      </c>
      <c r="G1534" s="50">
        <f t="shared" si="2"/>
        <v>12.2</v>
      </c>
      <c r="H1534" s="51">
        <v>43671.0</v>
      </c>
      <c r="I1534" s="50">
        <f t="shared" si="4"/>
        <v>2.883333333</v>
      </c>
      <c r="J1534" s="55">
        <v>58.0</v>
      </c>
      <c r="K1534" s="56">
        <v>6.8</v>
      </c>
      <c r="L1534" s="55">
        <v>5.0</v>
      </c>
      <c r="M1534" s="58" t="s">
        <v>29</v>
      </c>
      <c r="N1534" s="59"/>
      <c r="O1534" s="60" t="s">
        <v>149</v>
      </c>
      <c r="P1534" s="61" t="s">
        <v>149</v>
      </c>
    </row>
    <row r="1535">
      <c r="A1535" s="29" t="s">
        <v>1732</v>
      </c>
      <c r="B1535" s="30" t="s">
        <v>45</v>
      </c>
      <c r="C1535" s="31" t="s">
        <v>41</v>
      </c>
      <c r="D1535" s="32" t="str">
        <f t="shared" si="1"/>
        <v>Removed</v>
      </c>
      <c r="E1535" s="33">
        <v>44725.0</v>
      </c>
      <c r="F1535" s="34">
        <v>45096.0</v>
      </c>
      <c r="G1535" s="36">
        <f t="shared" si="2"/>
        <v>12.2</v>
      </c>
      <c r="H1535" s="37">
        <v>37530.0</v>
      </c>
      <c r="I1535" s="36">
        <f t="shared" si="4"/>
        <v>19.7</v>
      </c>
      <c r="J1535" s="38">
        <v>84.0</v>
      </c>
      <c r="K1535" s="39">
        <v>6.9</v>
      </c>
      <c r="L1535" s="38">
        <v>8.0</v>
      </c>
      <c r="M1535" s="40" t="s">
        <v>31</v>
      </c>
      <c r="N1535" s="41" t="s">
        <v>43</v>
      </c>
      <c r="O1535" s="42" t="s">
        <v>149</v>
      </c>
      <c r="P1535" s="67" t="s">
        <v>505</v>
      </c>
    </row>
    <row r="1536">
      <c r="A1536" s="44" t="s">
        <v>1733</v>
      </c>
      <c r="B1536" s="45" t="s">
        <v>45</v>
      </c>
      <c r="C1536" s="46" t="s">
        <v>26</v>
      </c>
      <c r="D1536" s="47" t="str">
        <f t="shared" si="1"/>
        <v>Removed</v>
      </c>
      <c r="E1536" s="48">
        <v>44537.0</v>
      </c>
      <c r="F1536" s="49">
        <v>45096.0</v>
      </c>
      <c r="G1536" s="50">
        <f t="shared" si="2"/>
        <v>18.4</v>
      </c>
      <c r="H1536" s="51">
        <v>43746.0</v>
      </c>
      <c r="I1536" s="50">
        <f t="shared" si="4"/>
        <v>2.163888889</v>
      </c>
      <c r="J1536" s="55">
        <v>73.0</v>
      </c>
      <c r="K1536" s="56">
        <v>7.0</v>
      </c>
      <c r="L1536" s="55">
        <v>5.0</v>
      </c>
      <c r="M1536" s="58" t="s">
        <v>103</v>
      </c>
      <c r="N1536" s="59"/>
      <c r="O1536" s="60" t="s">
        <v>34</v>
      </c>
      <c r="P1536" s="61"/>
    </row>
    <row r="1537">
      <c r="A1537" s="29" t="s">
        <v>1734</v>
      </c>
      <c r="B1537" s="30" t="s">
        <v>45</v>
      </c>
      <c r="C1537" s="31" t="s">
        <v>26</v>
      </c>
      <c r="D1537" s="32" t="str">
        <f t="shared" si="1"/>
        <v>Removed</v>
      </c>
      <c r="E1537" s="33">
        <v>43529.0</v>
      </c>
      <c r="F1537" s="34">
        <v>45096.0</v>
      </c>
      <c r="G1537" s="36">
        <f t="shared" si="2"/>
        <v>51.46666667</v>
      </c>
      <c r="H1537" s="37">
        <v>43040.0</v>
      </c>
      <c r="I1537" s="36">
        <f t="shared" si="4"/>
        <v>1.344444444</v>
      </c>
      <c r="J1537" s="38">
        <v>58.0</v>
      </c>
      <c r="K1537" s="39">
        <v>6.3</v>
      </c>
      <c r="L1537" s="38">
        <v>6.0</v>
      </c>
      <c r="M1537" s="40" t="s">
        <v>537</v>
      </c>
      <c r="N1537" s="41"/>
      <c r="O1537" s="42" t="s">
        <v>149</v>
      </c>
      <c r="P1537" s="43"/>
    </row>
    <row r="1538">
      <c r="A1538" s="44" t="s">
        <v>1735</v>
      </c>
      <c r="B1538" s="45" t="s">
        <v>45</v>
      </c>
      <c r="C1538" s="46" t="s">
        <v>41</v>
      </c>
      <c r="D1538" s="47" t="str">
        <f t="shared" si="1"/>
        <v>Removed</v>
      </c>
      <c r="E1538" s="48">
        <v>43529.0</v>
      </c>
      <c r="F1538" s="49">
        <v>45096.0</v>
      </c>
      <c r="G1538" s="50">
        <f t="shared" si="2"/>
        <v>51.46666667</v>
      </c>
      <c r="H1538" s="51">
        <v>36923.0</v>
      </c>
      <c r="I1538" s="50">
        <f t="shared" si="4"/>
        <v>18.09444444</v>
      </c>
      <c r="J1538" s="55">
        <v>88.0</v>
      </c>
      <c r="K1538" s="56">
        <v>7.7</v>
      </c>
      <c r="L1538" s="55">
        <v>8.0</v>
      </c>
      <c r="M1538" s="58" t="s">
        <v>31</v>
      </c>
      <c r="N1538" s="59" t="s">
        <v>43</v>
      </c>
      <c r="O1538" s="60" t="s">
        <v>149</v>
      </c>
      <c r="P1538" s="66" t="s">
        <v>505</v>
      </c>
    </row>
    <row r="1539">
      <c r="A1539" s="29" t="s">
        <v>1736</v>
      </c>
      <c r="B1539" s="30" t="s">
        <v>45</v>
      </c>
      <c r="C1539" s="31" t="s">
        <v>26</v>
      </c>
      <c r="D1539" s="32" t="str">
        <f t="shared" si="1"/>
        <v>Removed</v>
      </c>
      <c r="E1539" s="33">
        <v>42801.0</v>
      </c>
      <c r="F1539" s="34">
        <v>45096.0</v>
      </c>
      <c r="G1539" s="36">
        <f t="shared" si="2"/>
        <v>75.4</v>
      </c>
      <c r="H1539" s="37">
        <v>41548.0</v>
      </c>
      <c r="I1539" s="36">
        <f t="shared" si="4"/>
        <v>3.433333333</v>
      </c>
      <c r="J1539" s="38">
        <v>79.0</v>
      </c>
      <c r="K1539" s="39">
        <v>7.2</v>
      </c>
      <c r="L1539" s="38">
        <v>15.0</v>
      </c>
      <c r="M1539" s="40" t="s">
        <v>29</v>
      </c>
      <c r="N1539" s="41"/>
      <c r="O1539" s="42" t="s">
        <v>149</v>
      </c>
      <c r="P1539" s="43"/>
    </row>
    <row r="1540">
      <c r="A1540" s="44" t="s">
        <v>1737</v>
      </c>
      <c r="B1540" s="45" t="s">
        <v>45</v>
      </c>
      <c r="C1540" s="46" t="s">
        <v>26</v>
      </c>
      <c r="D1540" s="47" t="str">
        <f t="shared" si="1"/>
        <v>Removed</v>
      </c>
      <c r="E1540" s="48">
        <v>42794.0</v>
      </c>
      <c r="F1540" s="49">
        <v>45096.0</v>
      </c>
      <c r="G1540" s="50">
        <f t="shared" si="2"/>
        <v>75.7</v>
      </c>
      <c r="H1540" s="51">
        <v>41905.0</v>
      </c>
      <c r="I1540" s="50">
        <f t="shared" si="4"/>
        <v>2.430555556</v>
      </c>
      <c r="J1540" s="55">
        <v>81.0</v>
      </c>
      <c r="K1540" s="56">
        <v>7.5</v>
      </c>
      <c r="L1540" s="55">
        <v>10.5</v>
      </c>
      <c r="M1540" s="58" t="s">
        <v>103</v>
      </c>
      <c r="N1540" s="59"/>
      <c r="O1540" s="60" t="s">
        <v>149</v>
      </c>
      <c r="P1540" s="61" t="s">
        <v>149</v>
      </c>
    </row>
    <row r="1541">
      <c r="A1541" s="29" t="s">
        <v>1738</v>
      </c>
      <c r="B1541" s="30" t="s">
        <v>25</v>
      </c>
      <c r="C1541" s="31" t="s">
        <v>1089</v>
      </c>
      <c r="D1541" s="32" t="str">
        <f t="shared" si="1"/>
        <v>Removed</v>
      </c>
      <c r="E1541" s="33">
        <v>45048.0</v>
      </c>
      <c r="F1541" s="34">
        <v>45082.0</v>
      </c>
      <c r="G1541" s="36">
        <f t="shared" si="2"/>
        <v>1.1</v>
      </c>
      <c r="H1541" s="37">
        <v>44355.0</v>
      </c>
      <c r="I1541" s="36">
        <f t="shared" si="4"/>
        <v>1.9</v>
      </c>
      <c r="J1541" s="38">
        <v>66.0</v>
      </c>
      <c r="K1541" s="39">
        <v>4.7</v>
      </c>
      <c r="L1541" s="38">
        <v>45.0</v>
      </c>
      <c r="M1541" s="40" t="s">
        <v>29</v>
      </c>
      <c r="N1541" s="41"/>
      <c r="O1541" s="42" t="s">
        <v>34</v>
      </c>
      <c r="P1541" s="43"/>
    </row>
    <row r="1542">
      <c r="A1542" s="44" t="s">
        <v>1739</v>
      </c>
      <c r="B1542" s="45" t="s">
        <v>25</v>
      </c>
      <c r="C1542" s="46" t="s">
        <v>1089</v>
      </c>
      <c r="D1542" s="47" t="str">
        <f t="shared" si="1"/>
        <v>Removed</v>
      </c>
      <c r="E1542" s="48">
        <v>45048.0</v>
      </c>
      <c r="F1542" s="49">
        <v>45082.0</v>
      </c>
      <c r="G1542" s="50">
        <f t="shared" si="2"/>
        <v>1.1</v>
      </c>
      <c r="H1542" s="51">
        <v>44617.0</v>
      </c>
      <c r="I1542" s="50">
        <f t="shared" si="4"/>
        <v>1.186111111</v>
      </c>
      <c r="J1542" s="55">
        <v>77.0</v>
      </c>
      <c r="K1542" s="56">
        <v>5.9</v>
      </c>
      <c r="L1542" s="55">
        <v>6.0</v>
      </c>
      <c r="M1542" s="58" t="s">
        <v>95</v>
      </c>
      <c r="N1542" s="59"/>
      <c r="O1542" s="60" t="s">
        <v>34</v>
      </c>
      <c r="P1542" s="61"/>
    </row>
    <row r="1543">
      <c r="A1543" s="29" t="s">
        <v>1721</v>
      </c>
      <c r="B1543" s="30" t="s">
        <v>45</v>
      </c>
      <c r="C1543" s="31" t="s">
        <v>1089</v>
      </c>
      <c r="D1543" s="32" t="str">
        <f t="shared" si="1"/>
        <v>Removed</v>
      </c>
      <c r="E1543" s="33">
        <v>45048.0</v>
      </c>
      <c r="F1543" s="34">
        <v>45082.0</v>
      </c>
      <c r="G1543" s="36">
        <f t="shared" si="2"/>
        <v>1.1</v>
      </c>
      <c r="H1543" s="37">
        <v>44068.0</v>
      </c>
      <c r="I1543" s="36">
        <f t="shared" si="4"/>
        <v>2.686111111</v>
      </c>
      <c r="J1543" s="38">
        <v>75.0</v>
      </c>
      <c r="K1543" s="39">
        <v>5.0</v>
      </c>
      <c r="L1543" s="38">
        <v>5.0</v>
      </c>
      <c r="M1543" s="40" t="s">
        <v>95</v>
      </c>
      <c r="N1543" s="41"/>
      <c r="O1543" s="42" t="s">
        <v>34</v>
      </c>
      <c r="P1543" s="43"/>
    </row>
    <row r="1544">
      <c r="A1544" s="44" t="s">
        <v>1740</v>
      </c>
      <c r="B1544" s="45" t="s">
        <v>25</v>
      </c>
      <c r="C1544" s="46" t="s">
        <v>26</v>
      </c>
      <c r="D1544" s="47" t="str">
        <f t="shared" si="1"/>
        <v>Removed</v>
      </c>
      <c r="E1544" s="48">
        <v>44725.0</v>
      </c>
      <c r="F1544" s="49">
        <v>45061.0</v>
      </c>
      <c r="G1544" s="50">
        <f t="shared" si="2"/>
        <v>11.06666667</v>
      </c>
      <c r="H1544" s="51">
        <v>44281.0</v>
      </c>
      <c r="I1544" s="50">
        <f t="shared" si="4"/>
        <v>1.213888889</v>
      </c>
      <c r="J1544" s="55">
        <v>48.0</v>
      </c>
      <c r="K1544" s="56">
        <v>5.1</v>
      </c>
      <c r="L1544" s="55">
        <v>11.0</v>
      </c>
      <c r="M1544" s="58" t="s">
        <v>29</v>
      </c>
      <c r="N1544" s="59"/>
      <c r="O1544" s="60" t="s">
        <v>149</v>
      </c>
      <c r="P1544" s="61"/>
    </row>
    <row r="1545">
      <c r="A1545" s="29" t="s">
        <v>1741</v>
      </c>
      <c r="B1545" s="30" t="s">
        <v>25</v>
      </c>
      <c r="C1545" s="31" t="s">
        <v>26</v>
      </c>
      <c r="D1545" s="32" t="str">
        <f t="shared" si="1"/>
        <v>Removed</v>
      </c>
      <c r="E1545" s="33">
        <v>44725.0</v>
      </c>
      <c r="F1545" s="34">
        <v>45061.0</v>
      </c>
      <c r="G1545" s="36">
        <f t="shared" si="2"/>
        <v>11.06666667</v>
      </c>
      <c r="H1545" s="37">
        <v>42439.0</v>
      </c>
      <c r="I1545" s="36">
        <f t="shared" si="4"/>
        <v>6.258333333</v>
      </c>
      <c r="J1545" s="38">
        <v>71.0</v>
      </c>
      <c r="K1545" s="39">
        <v>6.8</v>
      </c>
      <c r="L1545" s="38">
        <v>5.5</v>
      </c>
      <c r="M1545" s="40" t="s">
        <v>27</v>
      </c>
      <c r="N1545" s="41"/>
      <c r="O1545" s="42" t="s">
        <v>149</v>
      </c>
      <c r="P1545" s="43"/>
    </row>
    <row r="1546">
      <c r="A1546" s="44" t="s">
        <v>1742</v>
      </c>
      <c r="B1546" s="45" t="s">
        <v>25</v>
      </c>
      <c r="C1546" s="46" t="s">
        <v>26</v>
      </c>
      <c r="D1546" s="47" t="str">
        <f t="shared" si="1"/>
        <v>Removed</v>
      </c>
      <c r="E1546" s="48">
        <v>44725.0</v>
      </c>
      <c r="F1546" s="49">
        <v>45061.0</v>
      </c>
      <c r="G1546" s="50">
        <f t="shared" si="2"/>
        <v>11.06666667</v>
      </c>
      <c r="H1546" s="51">
        <v>43705.0</v>
      </c>
      <c r="I1546" s="50">
        <f t="shared" si="4"/>
        <v>2.791666667</v>
      </c>
      <c r="J1546" s="55">
        <v>89.0</v>
      </c>
      <c r="K1546" s="56">
        <v>8.7</v>
      </c>
      <c r="L1546" s="55">
        <v>17.5</v>
      </c>
      <c r="M1546" s="58" t="s">
        <v>29</v>
      </c>
      <c r="N1546" s="59"/>
      <c r="O1546" s="60" t="s">
        <v>34</v>
      </c>
      <c r="P1546" s="61"/>
    </row>
    <row r="1547">
      <c r="A1547" s="29" t="s">
        <v>1743</v>
      </c>
      <c r="B1547" s="30" t="s">
        <v>25</v>
      </c>
      <c r="C1547" s="31" t="s">
        <v>26</v>
      </c>
      <c r="D1547" s="32" t="str">
        <f t="shared" si="1"/>
        <v>Removed</v>
      </c>
      <c r="E1547" s="33">
        <v>44725.0</v>
      </c>
      <c r="F1547" s="34">
        <v>45061.0</v>
      </c>
      <c r="G1547" s="36">
        <f t="shared" si="2"/>
        <v>11.06666667</v>
      </c>
      <c r="H1547" s="37">
        <v>44350.0</v>
      </c>
      <c r="I1547" s="36">
        <f t="shared" si="4"/>
        <v>1.027777778</v>
      </c>
      <c r="J1547" s="38">
        <v>59.0</v>
      </c>
      <c r="K1547" s="39">
        <v>5.8</v>
      </c>
      <c r="L1547" s="38"/>
      <c r="M1547" s="40" t="s">
        <v>125</v>
      </c>
      <c r="N1547" s="41"/>
      <c r="O1547" s="42" t="s">
        <v>149</v>
      </c>
      <c r="P1547" s="43"/>
    </row>
    <row r="1548">
      <c r="A1548" s="44" t="s">
        <v>1744</v>
      </c>
      <c r="B1548" s="45" t="s">
        <v>45</v>
      </c>
      <c r="C1548" s="46" t="s">
        <v>26</v>
      </c>
      <c r="D1548" s="47" t="str">
        <f t="shared" si="1"/>
        <v>Removed</v>
      </c>
      <c r="E1548" s="48">
        <v>44725.0</v>
      </c>
      <c r="F1548" s="49">
        <v>45061.0</v>
      </c>
      <c r="G1548" s="50">
        <f t="shared" si="2"/>
        <v>11.06666667</v>
      </c>
      <c r="H1548" s="51">
        <v>43544.0</v>
      </c>
      <c r="I1548" s="50">
        <f t="shared" si="4"/>
        <v>3.230555556</v>
      </c>
      <c r="J1548" s="55">
        <v>72.0</v>
      </c>
      <c r="K1548" s="56">
        <v>7.2</v>
      </c>
      <c r="L1548" s="55">
        <v>30.0</v>
      </c>
      <c r="M1548" s="58" t="s">
        <v>42</v>
      </c>
      <c r="N1548" s="59"/>
      <c r="O1548" s="60" t="s">
        <v>149</v>
      </c>
      <c r="P1548" s="61" t="s">
        <v>149</v>
      </c>
    </row>
    <row r="1549">
      <c r="A1549" s="29" t="s">
        <v>1745</v>
      </c>
      <c r="B1549" s="30" t="s">
        <v>45</v>
      </c>
      <c r="C1549" s="31" t="s">
        <v>26</v>
      </c>
      <c r="D1549" s="32" t="str">
        <f t="shared" si="1"/>
        <v>Removed</v>
      </c>
      <c r="E1549" s="33">
        <v>44725.0</v>
      </c>
      <c r="F1549" s="34">
        <v>45061.0</v>
      </c>
      <c r="G1549" s="36">
        <f t="shared" si="2"/>
        <v>11.06666667</v>
      </c>
      <c r="H1549" s="37">
        <v>44166.0</v>
      </c>
      <c r="I1549" s="36">
        <f t="shared" si="4"/>
        <v>1.533333333</v>
      </c>
      <c r="J1549" s="38">
        <v>63.0</v>
      </c>
      <c r="K1549" s="39">
        <v>6.7</v>
      </c>
      <c r="L1549" s="38">
        <v>13.0</v>
      </c>
      <c r="M1549" s="40" t="s">
        <v>29</v>
      </c>
      <c r="N1549" s="41"/>
      <c r="O1549" s="42" t="s">
        <v>149</v>
      </c>
      <c r="P1549" s="43"/>
    </row>
    <row r="1550">
      <c r="A1550" s="44" t="s">
        <v>1746</v>
      </c>
      <c r="B1550" s="45" t="s">
        <v>45</v>
      </c>
      <c r="C1550" s="46" t="s">
        <v>26</v>
      </c>
      <c r="D1550" s="47" t="str">
        <f t="shared" si="1"/>
        <v>Removed</v>
      </c>
      <c r="E1550" s="48">
        <v>44725.0</v>
      </c>
      <c r="F1550" s="49">
        <v>45061.0</v>
      </c>
      <c r="G1550" s="50">
        <f t="shared" si="2"/>
        <v>11.06666667</v>
      </c>
      <c r="H1550" s="51">
        <v>42876.0</v>
      </c>
      <c r="I1550" s="50">
        <f t="shared" si="4"/>
        <v>5.061111111</v>
      </c>
      <c r="J1550" s="55">
        <v>71.0</v>
      </c>
      <c r="K1550" s="56">
        <v>7.2</v>
      </c>
      <c r="L1550" s="55">
        <v>20.0</v>
      </c>
      <c r="M1550" s="58" t="s">
        <v>112</v>
      </c>
      <c r="N1550" s="59"/>
      <c r="O1550" s="60" t="s">
        <v>149</v>
      </c>
      <c r="P1550" s="61"/>
    </row>
    <row r="1551">
      <c r="A1551" s="29" t="s">
        <v>1747</v>
      </c>
      <c r="B1551" s="30" t="s">
        <v>45</v>
      </c>
      <c r="C1551" s="31" t="s">
        <v>26</v>
      </c>
      <c r="D1551" s="32" t="str">
        <f t="shared" si="1"/>
        <v>Removed</v>
      </c>
      <c r="E1551" s="33">
        <v>44725.0</v>
      </c>
      <c r="F1551" s="34">
        <v>45061.0</v>
      </c>
      <c r="G1551" s="36">
        <f t="shared" si="2"/>
        <v>11.06666667</v>
      </c>
      <c r="H1551" s="37">
        <v>43327.0</v>
      </c>
      <c r="I1551" s="36">
        <f t="shared" si="4"/>
        <v>3.827777778</v>
      </c>
      <c r="J1551" s="38">
        <v>68.0</v>
      </c>
      <c r="K1551" s="39">
        <v>7.5</v>
      </c>
      <c r="L1551" s="38">
        <v>44.5</v>
      </c>
      <c r="M1551" s="40" t="s">
        <v>70</v>
      </c>
      <c r="N1551" s="41"/>
      <c r="O1551" s="42" t="s">
        <v>149</v>
      </c>
      <c r="P1551" s="43"/>
    </row>
    <row r="1552">
      <c r="A1552" s="44" t="s">
        <v>1748</v>
      </c>
      <c r="B1552" s="45" t="s">
        <v>45</v>
      </c>
      <c r="C1552" s="46" t="s">
        <v>26</v>
      </c>
      <c r="D1552" s="47" t="str">
        <f t="shared" si="1"/>
        <v>Removed</v>
      </c>
      <c r="E1552" s="48">
        <v>44725.0</v>
      </c>
      <c r="F1552" s="49">
        <v>45061.0</v>
      </c>
      <c r="G1552" s="50">
        <f t="shared" si="2"/>
        <v>11.06666667</v>
      </c>
      <c r="H1552" s="51">
        <v>42507.0</v>
      </c>
      <c r="I1552" s="50">
        <f t="shared" si="4"/>
        <v>6.072222222</v>
      </c>
      <c r="J1552" s="55">
        <v>49.0</v>
      </c>
      <c r="K1552" s="56">
        <v>5.0</v>
      </c>
      <c r="L1552" s="55">
        <v>12.0</v>
      </c>
      <c r="M1552" s="58" t="s">
        <v>31</v>
      </c>
      <c r="N1552" s="59"/>
      <c r="O1552" s="60" t="s">
        <v>149</v>
      </c>
      <c r="P1552" s="61"/>
    </row>
    <row r="1553">
      <c r="A1553" s="29" t="s">
        <v>1749</v>
      </c>
      <c r="B1553" s="30" t="s">
        <v>45</v>
      </c>
      <c r="C1553" s="31" t="s">
        <v>26</v>
      </c>
      <c r="D1553" s="32" t="str">
        <f t="shared" si="1"/>
        <v>Removed</v>
      </c>
      <c r="E1553" s="33">
        <v>44725.0</v>
      </c>
      <c r="F1553" s="34">
        <v>45061.0</v>
      </c>
      <c r="G1553" s="36">
        <f t="shared" si="2"/>
        <v>11.06666667</v>
      </c>
      <c r="H1553" s="37">
        <v>42871.0</v>
      </c>
      <c r="I1553" s="36">
        <f t="shared" si="4"/>
        <v>5.075</v>
      </c>
      <c r="J1553" s="38">
        <v>88.0</v>
      </c>
      <c r="K1553" s="39">
        <v>7.8</v>
      </c>
      <c r="L1553" s="38">
        <v>5.5</v>
      </c>
      <c r="M1553" s="40" t="s">
        <v>114</v>
      </c>
      <c r="N1553" s="41"/>
      <c r="O1553" s="42" t="s">
        <v>149</v>
      </c>
      <c r="P1553" s="43" t="s">
        <v>149</v>
      </c>
    </row>
    <row r="1554">
      <c r="A1554" s="44" t="s">
        <v>76</v>
      </c>
      <c r="B1554" s="45" t="s">
        <v>45</v>
      </c>
      <c r="C1554" s="46" t="s">
        <v>26</v>
      </c>
      <c r="D1554" s="47" t="str">
        <f t="shared" si="1"/>
        <v>Removed</v>
      </c>
      <c r="E1554" s="48">
        <v>44725.0</v>
      </c>
      <c r="F1554" s="49">
        <v>45061.0</v>
      </c>
      <c r="G1554" s="50">
        <f t="shared" si="2"/>
        <v>11.06666667</v>
      </c>
      <c r="H1554" s="51">
        <v>43144.0</v>
      </c>
      <c r="I1554" s="50">
        <f t="shared" si="4"/>
        <v>4.333333333</v>
      </c>
      <c r="J1554" s="55">
        <v>72.0</v>
      </c>
      <c r="K1554" s="56">
        <v>7.8</v>
      </c>
      <c r="L1554" s="55">
        <v>40.5</v>
      </c>
      <c r="M1554" s="58" t="s">
        <v>42</v>
      </c>
      <c r="N1554" s="59"/>
      <c r="O1554" s="60" t="s">
        <v>149</v>
      </c>
      <c r="P1554" s="61"/>
    </row>
    <row r="1555">
      <c r="A1555" s="29" t="s">
        <v>1750</v>
      </c>
      <c r="B1555" s="30" t="s">
        <v>45</v>
      </c>
      <c r="C1555" s="31" t="s">
        <v>26</v>
      </c>
      <c r="D1555" s="32" t="str">
        <f t="shared" si="1"/>
        <v>Removed</v>
      </c>
      <c r="E1555" s="33">
        <v>44725.0</v>
      </c>
      <c r="F1555" s="34">
        <v>45061.0</v>
      </c>
      <c r="G1555" s="36">
        <f t="shared" si="2"/>
        <v>11.06666667</v>
      </c>
      <c r="H1555" s="37">
        <v>42978.0</v>
      </c>
      <c r="I1555" s="36">
        <f t="shared" si="4"/>
        <v>4.786111111</v>
      </c>
      <c r="J1555" s="38">
        <v>75.0</v>
      </c>
      <c r="K1555" s="39">
        <v>7.5</v>
      </c>
      <c r="L1555" s="38">
        <v>3.0</v>
      </c>
      <c r="M1555" s="40" t="s">
        <v>112</v>
      </c>
      <c r="N1555" s="41"/>
      <c r="O1555" s="42" t="s">
        <v>149</v>
      </c>
      <c r="P1555" s="43"/>
    </row>
    <row r="1556">
      <c r="A1556" s="44" t="s">
        <v>1751</v>
      </c>
      <c r="B1556" s="45" t="s">
        <v>45</v>
      </c>
      <c r="C1556" s="46" t="s">
        <v>26</v>
      </c>
      <c r="D1556" s="47" t="str">
        <f t="shared" si="1"/>
        <v>Removed</v>
      </c>
      <c r="E1556" s="48">
        <v>44725.0</v>
      </c>
      <c r="F1556" s="49">
        <v>45061.0</v>
      </c>
      <c r="G1556" s="50">
        <f t="shared" si="2"/>
        <v>11.06666667</v>
      </c>
      <c r="H1556" s="51">
        <v>43529.0</v>
      </c>
      <c r="I1556" s="50">
        <f t="shared" si="4"/>
        <v>3.272222222</v>
      </c>
      <c r="J1556" s="55">
        <v>37.0</v>
      </c>
      <c r="K1556" s="56">
        <v>5.3</v>
      </c>
      <c r="L1556" s="55">
        <v>15.0</v>
      </c>
      <c r="M1556" s="58" t="s">
        <v>29</v>
      </c>
      <c r="N1556" s="59"/>
      <c r="O1556" s="60" t="s">
        <v>149</v>
      </c>
      <c r="P1556" s="61"/>
    </row>
    <row r="1557">
      <c r="A1557" s="29" t="s">
        <v>1752</v>
      </c>
      <c r="B1557" s="30" t="s">
        <v>45</v>
      </c>
      <c r="C1557" s="31" t="s">
        <v>26</v>
      </c>
      <c r="D1557" s="32" t="str">
        <f t="shared" si="1"/>
        <v>Removed</v>
      </c>
      <c r="E1557" s="33">
        <v>44725.0</v>
      </c>
      <c r="F1557" s="34">
        <v>45061.0</v>
      </c>
      <c r="G1557" s="36">
        <f t="shared" si="2"/>
        <v>11.06666667</v>
      </c>
      <c r="H1557" s="37">
        <v>42522.0</v>
      </c>
      <c r="I1557" s="36">
        <f t="shared" si="4"/>
        <v>6.033333333</v>
      </c>
      <c r="J1557" s="38">
        <v>53.0</v>
      </c>
      <c r="K1557" s="39">
        <v>3.4</v>
      </c>
      <c r="L1557" s="38">
        <v>4.0</v>
      </c>
      <c r="M1557" s="40" t="s">
        <v>27</v>
      </c>
      <c r="N1557" s="41"/>
      <c r="O1557" s="42" t="s">
        <v>149</v>
      </c>
      <c r="P1557" s="43"/>
    </row>
    <row r="1558">
      <c r="A1558" s="44" t="s">
        <v>1753</v>
      </c>
      <c r="B1558" s="45" t="s">
        <v>45</v>
      </c>
      <c r="C1558" s="46" t="s">
        <v>26</v>
      </c>
      <c r="D1558" s="47" t="str">
        <f t="shared" si="1"/>
        <v>Removed</v>
      </c>
      <c r="E1558" s="48">
        <v>44725.0</v>
      </c>
      <c r="F1558" s="49">
        <v>45061.0</v>
      </c>
      <c r="G1558" s="50">
        <f t="shared" si="2"/>
        <v>11.06666667</v>
      </c>
      <c r="H1558" s="51">
        <v>43186.0</v>
      </c>
      <c r="I1558" s="50">
        <f t="shared" si="4"/>
        <v>4.211111111</v>
      </c>
      <c r="J1558" s="55">
        <v>53.0</v>
      </c>
      <c r="K1558" s="56">
        <v>5.5</v>
      </c>
      <c r="L1558" s="78"/>
      <c r="M1558" s="58" t="s">
        <v>95</v>
      </c>
      <c r="N1558" s="59"/>
      <c r="O1558" s="60" t="s">
        <v>149</v>
      </c>
      <c r="P1558" s="61" t="s">
        <v>149</v>
      </c>
    </row>
    <row r="1559">
      <c r="A1559" s="29" t="s">
        <v>1754</v>
      </c>
      <c r="B1559" s="30" t="s">
        <v>45</v>
      </c>
      <c r="C1559" s="31" t="s">
        <v>26</v>
      </c>
      <c r="D1559" s="32" t="str">
        <f t="shared" si="1"/>
        <v>Removed</v>
      </c>
      <c r="E1559" s="33">
        <v>44725.0</v>
      </c>
      <c r="F1559" s="34">
        <v>45061.0</v>
      </c>
      <c r="G1559" s="36">
        <f t="shared" si="2"/>
        <v>11.06666667</v>
      </c>
      <c r="H1559" s="37">
        <v>43374.0</v>
      </c>
      <c r="I1559" s="36">
        <f t="shared" si="4"/>
        <v>3.7</v>
      </c>
      <c r="J1559" s="38">
        <v>70.0</v>
      </c>
      <c r="K1559" s="39">
        <v>6.3</v>
      </c>
      <c r="L1559" s="76"/>
      <c r="M1559" s="40" t="s">
        <v>125</v>
      </c>
      <c r="N1559" s="41"/>
      <c r="O1559" s="42" t="s">
        <v>149</v>
      </c>
      <c r="P1559" s="43" t="s">
        <v>149</v>
      </c>
    </row>
    <row r="1560">
      <c r="A1560" s="44" t="s">
        <v>1755</v>
      </c>
      <c r="B1560" s="45" t="s">
        <v>45</v>
      </c>
      <c r="C1560" s="46" t="s">
        <v>26</v>
      </c>
      <c r="D1560" s="47" t="str">
        <f t="shared" si="1"/>
        <v>Removed</v>
      </c>
      <c r="E1560" s="48">
        <v>44725.0</v>
      </c>
      <c r="F1560" s="49">
        <v>45061.0</v>
      </c>
      <c r="G1560" s="50">
        <f t="shared" si="2"/>
        <v>11.06666667</v>
      </c>
      <c r="H1560" s="51">
        <v>44061.0</v>
      </c>
      <c r="I1560" s="50">
        <f t="shared" si="4"/>
        <v>1.819444444</v>
      </c>
      <c r="J1560" s="55">
        <v>73.0</v>
      </c>
      <c r="K1560" s="56">
        <v>7.7</v>
      </c>
      <c r="L1560" s="55">
        <v>58.0</v>
      </c>
      <c r="M1560" s="58" t="s">
        <v>42</v>
      </c>
      <c r="N1560" s="59"/>
      <c r="O1560" s="60" t="s">
        <v>149</v>
      </c>
      <c r="P1560" s="61"/>
    </row>
    <row r="1561">
      <c r="A1561" s="29" t="s">
        <v>1756</v>
      </c>
      <c r="B1561" s="30" t="s">
        <v>45</v>
      </c>
      <c r="C1561" s="31" t="s">
        <v>26</v>
      </c>
      <c r="D1561" s="32" t="str">
        <f t="shared" si="1"/>
        <v>Removed</v>
      </c>
      <c r="E1561" s="33">
        <v>44725.0</v>
      </c>
      <c r="F1561" s="34">
        <v>45061.0</v>
      </c>
      <c r="G1561" s="36">
        <f t="shared" si="2"/>
        <v>11.06666667</v>
      </c>
      <c r="H1561" s="37">
        <v>43770.0</v>
      </c>
      <c r="I1561" s="36">
        <f t="shared" si="4"/>
        <v>2.616666667</v>
      </c>
      <c r="J1561" s="38">
        <v>68.0</v>
      </c>
      <c r="K1561" s="39">
        <v>7.1</v>
      </c>
      <c r="L1561" s="38">
        <v>20.0</v>
      </c>
      <c r="M1561" s="40" t="s">
        <v>29</v>
      </c>
      <c r="N1561" s="41"/>
      <c r="O1561" s="42" t="s">
        <v>149</v>
      </c>
      <c r="P1561" s="43"/>
    </row>
    <row r="1562">
      <c r="A1562" s="44" t="s">
        <v>1757</v>
      </c>
      <c r="B1562" s="45" t="s">
        <v>45</v>
      </c>
      <c r="C1562" s="46" t="s">
        <v>26</v>
      </c>
      <c r="D1562" s="47" t="str">
        <f t="shared" si="1"/>
        <v>Removed</v>
      </c>
      <c r="E1562" s="48">
        <v>44725.0</v>
      </c>
      <c r="F1562" s="49">
        <v>45061.0</v>
      </c>
      <c r="G1562" s="50">
        <f t="shared" si="2"/>
        <v>11.06666667</v>
      </c>
      <c r="H1562" s="51">
        <v>43804.0</v>
      </c>
      <c r="I1562" s="50">
        <f t="shared" si="4"/>
        <v>2.522222222</v>
      </c>
      <c r="J1562" s="55">
        <v>72.0</v>
      </c>
      <c r="K1562" s="56">
        <v>7.5</v>
      </c>
      <c r="L1562" s="55">
        <v>23.0</v>
      </c>
      <c r="M1562" s="58" t="s">
        <v>42</v>
      </c>
      <c r="N1562" s="59"/>
      <c r="O1562" s="60" t="s">
        <v>149</v>
      </c>
      <c r="P1562" s="61"/>
    </row>
    <row r="1563">
      <c r="A1563" s="29" t="s">
        <v>1758</v>
      </c>
      <c r="B1563" s="30" t="s">
        <v>45</v>
      </c>
      <c r="C1563" s="31" t="s">
        <v>26</v>
      </c>
      <c r="D1563" s="32" t="str">
        <f t="shared" si="1"/>
        <v>Removed</v>
      </c>
      <c r="E1563" s="33">
        <v>44725.0</v>
      </c>
      <c r="F1563" s="34">
        <v>45061.0</v>
      </c>
      <c r="G1563" s="36">
        <f t="shared" si="2"/>
        <v>11.06666667</v>
      </c>
      <c r="H1563" s="37">
        <v>43909.0</v>
      </c>
      <c r="I1563" s="36">
        <f t="shared" si="4"/>
        <v>2.233333333</v>
      </c>
      <c r="J1563" s="38">
        <v>60.0</v>
      </c>
      <c r="K1563" s="39">
        <v>6.2</v>
      </c>
      <c r="L1563" s="76"/>
      <c r="M1563" s="40" t="s">
        <v>95</v>
      </c>
      <c r="N1563" s="41"/>
      <c r="O1563" s="42" t="s">
        <v>149</v>
      </c>
      <c r="P1563" s="43" t="s">
        <v>149</v>
      </c>
    </row>
    <row r="1564">
      <c r="A1564" s="44" t="s">
        <v>1759</v>
      </c>
      <c r="B1564" s="45" t="s">
        <v>45</v>
      </c>
      <c r="C1564" s="46" t="s">
        <v>26</v>
      </c>
      <c r="D1564" s="47" t="str">
        <f t="shared" si="1"/>
        <v>Removed</v>
      </c>
      <c r="E1564" s="48">
        <v>44725.0</v>
      </c>
      <c r="F1564" s="49">
        <v>45061.0</v>
      </c>
      <c r="G1564" s="50">
        <f t="shared" si="2"/>
        <v>11.06666667</v>
      </c>
      <c r="H1564" s="51">
        <v>42635.0</v>
      </c>
      <c r="I1564" s="50">
        <f t="shared" si="4"/>
        <v>5.725</v>
      </c>
      <c r="J1564" s="55">
        <v>74.0</v>
      </c>
      <c r="K1564" s="56">
        <v>6.6</v>
      </c>
      <c r="L1564" s="55">
        <v>2.0</v>
      </c>
      <c r="M1564" s="58" t="s">
        <v>112</v>
      </c>
      <c r="N1564" s="59"/>
      <c r="O1564" s="60" t="s">
        <v>149</v>
      </c>
      <c r="P1564" s="61"/>
    </row>
    <row r="1565">
      <c r="A1565" s="29" t="s">
        <v>1760</v>
      </c>
      <c r="B1565" s="30" t="s">
        <v>45</v>
      </c>
      <c r="C1565" s="31" t="s">
        <v>26</v>
      </c>
      <c r="D1565" s="32" t="str">
        <f t="shared" si="1"/>
        <v>Removed</v>
      </c>
      <c r="E1565" s="33">
        <v>44725.0</v>
      </c>
      <c r="F1565" s="34">
        <v>45061.0</v>
      </c>
      <c r="G1565" s="36">
        <f t="shared" si="2"/>
        <v>11.06666667</v>
      </c>
      <c r="H1565" s="37">
        <v>44071.0</v>
      </c>
      <c r="I1565" s="36">
        <f t="shared" si="4"/>
        <v>1.791666667</v>
      </c>
      <c r="J1565" s="38">
        <v>62.0</v>
      </c>
      <c r="K1565" s="39">
        <v>6.4</v>
      </c>
      <c r="L1565" s="38">
        <v>11.0</v>
      </c>
      <c r="M1565" s="40" t="s">
        <v>29</v>
      </c>
      <c r="N1565" s="41"/>
      <c r="O1565" s="42" t="s">
        <v>149</v>
      </c>
      <c r="P1565" s="43"/>
    </row>
    <row r="1566">
      <c r="A1566" s="44" t="s">
        <v>1761</v>
      </c>
      <c r="B1566" s="45" t="s">
        <v>45</v>
      </c>
      <c r="C1566" s="46" t="s">
        <v>46</v>
      </c>
      <c r="D1566" s="47" t="str">
        <f t="shared" si="1"/>
        <v>Removed</v>
      </c>
      <c r="E1566" s="48">
        <v>44725.0</v>
      </c>
      <c r="F1566" s="49">
        <v>45061.0</v>
      </c>
      <c r="G1566" s="50">
        <f t="shared" si="2"/>
        <v>11.06666667</v>
      </c>
      <c r="H1566" s="51">
        <v>42661.0</v>
      </c>
      <c r="I1566" s="50">
        <f t="shared" si="4"/>
        <v>5.652777778</v>
      </c>
      <c r="J1566" s="55">
        <v>76.0</v>
      </c>
      <c r="K1566" s="56">
        <v>7.8</v>
      </c>
      <c r="L1566" s="55">
        <v>12.0</v>
      </c>
      <c r="M1566" s="58" t="s">
        <v>29</v>
      </c>
      <c r="N1566" s="59" t="s">
        <v>442</v>
      </c>
      <c r="O1566" s="60" t="s">
        <v>34</v>
      </c>
      <c r="P1566" s="66"/>
    </row>
    <row r="1567">
      <c r="A1567" s="29" t="s">
        <v>1762</v>
      </c>
      <c r="B1567" s="30" t="s">
        <v>45</v>
      </c>
      <c r="C1567" s="31" t="s">
        <v>46</v>
      </c>
      <c r="D1567" s="32" t="str">
        <f t="shared" si="1"/>
        <v>Removed</v>
      </c>
      <c r="E1567" s="33">
        <v>44725.0</v>
      </c>
      <c r="F1567" s="34">
        <v>45061.0</v>
      </c>
      <c r="G1567" s="36">
        <f t="shared" si="2"/>
        <v>11.06666667</v>
      </c>
      <c r="H1567" s="37">
        <v>42661.0</v>
      </c>
      <c r="I1567" s="36">
        <f t="shared" si="4"/>
        <v>5.652777778</v>
      </c>
      <c r="J1567" s="38">
        <v>85.0</v>
      </c>
      <c r="K1567" s="39">
        <v>7.8</v>
      </c>
      <c r="L1567" s="38">
        <v>12.0</v>
      </c>
      <c r="M1567" s="40" t="s">
        <v>29</v>
      </c>
      <c r="N1567" s="41" t="s">
        <v>442</v>
      </c>
      <c r="O1567" s="42" t="s">
        <v>34</v>
      </c>
      <c r="P1567" s="67"/>
    </row>
    <row r="1568">
      <c r="A1568" s="44" t="s">
        <v>1763</v>
      </c>
      <c r="B1568" s="45" t="s">
        <v>45</v>
      </c>
      <c r="C1568" s="46" t="s">
        <v>46</v>
      </c>
      <c r="D1568" s="47" t="str">
        <f t="shared" si="1"/>
        <v>Removed</v>
      </c>
      <c r="E1568" s="48">
        <v>44725.0</v>
      </c>
      <c r="F1568" s="49">
        <v>45061.0</v>
      </c>
      <c r="G1568" s="50">
        <f t="shared" si="2"/>
        <v>11.06666667</v>
      </c>
      <c r="H1568" s="51">
        <v>42542.0</v>
      </c>
      <c r="I1568" s="50">
        <f t="shared" si="4"/>
        <v>5.977777778</v>
      </c>
      <c r="J1568" s="55">
        <v>68.0</v>
      </c>
      <c r="K1568" s="56">
        <v>6.6</v>
      </c>
      <c r="L1568" s="55">
        <v>4.0</v>
      </c>
      <c r="M1568" s="58" t="s">
        <v>27</v>
      </c>
      <c r="N1568" s="59" t="s">
        <v>1717</v>
      </c>
      <c r="O1568" s="60" t="s">
        <v>149</v>
      </c>
      <c r="P1568" s="66" t="s">
        <v>149</v>
      </c>
    </row>
    <row r="1569">
      <c r="A1569" s="29" t="s">
        <v>1764</v>
      </c>
      <c r="B1569" s="30" t="s">
        <v>45</v>
      </c>
      <c r="C1569" s="31" t="s">
        <v>46</v>
      </c>
      <c r="D1569" s="32" t="str">
        <f t="shared" si="1"/>
        <v>Removed</v>
      </c>
      <c r="E1569" s="33">
        <v>44725.0</v>
      </c>
      <c r="F1569" s="34">
        <v>45061.0</v>
      </c>
      <c r="G1569" s="36">
        <f t="shared" si="2"/>
        <v>11.06666667</v>
      </c>
      <c r="H1569" s="37">
        <v>42661.0</v>
      </c>
      <c r="I1569" s="36">
        <f t="shared" si="4"/>
        <v>5.652777778</v>
      </c>
      <c r="J1569" s="38">
        <v>73.0</v>
      </c>
      <c r="K1569" s="39">
        <v>7.7</v>
      </c>
      <c r="L1569" s="38">
        <v>24.0</v>
      </c>
      <c r="M1569" s="40" t="s">
        <v>29</v>
      </c>
      <c r="N1569" s="41" t="s">
        <v>442</v>
      </c>
      <c r="O1569" s="42" t="s">
        <v>149</v>
      </c>
      <c r="P1569" s="67" t="s">
        <v>149</v>
      </c>
    </row>
    <row r="1570">
      <c r="A1570" s="44" t="s">
        <v>1765</v>
      </c>
      <c r="B1570" s="45" t="s">
        <v>45</v>
      </c>
      <c r="C1570" s="46" t="s">
        <v>46</v>
      </c>
      <c r="D1570" s="47" t="str">
        <f t="shared" si="1"/>
        <v>Removed</v>
      </c>
      <c r="E1570" s="48">
        <v>44725.0</v>
      </c>
      <c r="F1570" s="49">
        <v>45061.0</v>
      </c>
      <c r="G1570" s="50">
        <f t="shared" si="2"/>
        <v>11.06666667</v>
      </c>
      <c r="H1570" s="51">
        <v>41852.0</v>
      </c>
      <c r="I1570" s="50">
        <f t="shared" si="4"/>
        <v>7.866666667</v>
      </c>
      <c r="J1570" s="55">
        <v>90.0</v>
      </c>
      <c r="K1570" s="56">
        <v>8.4</v>
      </c>
      <c r="L1570" s="55">
        <v>10.0</v>
      </c>
      <c r="M1570" s="58" t="s">
        <v>31</v>
      </c>
      <c r="N1570" s="59" t="s">
        <v>1717</v>
      </c>
      <c r="O1570" s="60" t="s">
        <v>149</v>
      </c>
      <c r="P1570" s="66"/>
    </row>
    <row r="1571">
      <c r="A1571" s="29" t="s">
        <v>1766</v>
      </c>
      <c r="B1571" s="30" t="s">
        <v>45</v>
      </c>
      <c r="C1571" s="31" t="s">
        <v>46</v>
      </c>
      <c r="D1571" s="32" t="str">
        <f t="shared" si="1"/>
        <v>Removed</v>
      </c>
      <c r="E1571" s="33">
        <v>44725.0</v>
      </c>
      <c r="F1571" s="34">
        <v>45061.0</v>
      </c>
      <c r="G1571" s="36">
        <f t="shared" si="2"/>
        <v>11.06666667</v>
      </c>
      <c r="H1571" s="37">
        <v>41852.0</v>
      </c>
      <c r="I1571" s="36">
        <f t="shared" si="4"/>
        <v>7.866666667</v>
      </c>
      <c r="J1571" s="38">
        <v>76.0</v>
      </c>
      <c r="K1571" s="39">
        <v>8.0</v>
      </c>
      <c r="L1571" s="38">
        <v>10.0</v>
      </c>
      <c r="M1571" s="40" t="s">
        <v>31</v>
      </c>
      <c r="N1571" s="41" t="s">
        <v>442</v>
      </c>
      <c r="O1571" s="42" t="s">
        <v>149</v>
      </c>
      <c r="P1571" s="67"/>
    </row>
    <row r="1572">
      <c r="A1572" s="44" t="s">
        <v>1767</v>
      </c>
      <c r="B1572" s="45" t="s">
        <v>45</v>
      </c>
      <c r="C1572" s="46" t="s">
        <v>46</v>
      </c>
      <c r="D1572" s="47" t="str">
        <f t="shared" si="1"/>
        <v>Removed</v>
      </c>
      <c r="E1572" s="48">
        <v>44725.0</v>
      </c>
      <c r="F1572" s="49">
        <v>45061.0</v>
      </c>
      <c r="G1572" s="50">
        <f t="shared" si="2"/>
        <v>11.06666667</v>
      </c>
      <c r="H1572" s="51">
        <v>43282.0</v>
      </c>
      <c r="I1572" s="50">
        <f t="shared" si="4"/>
        <v>3.95</v>
      </c>
      <c r="J1572" s="55">
        <v>70.0</v>
      </c>
      <c r="K1572" s="56">
        <v>7.0</v>
      </c>
      <c r="L1572" s="55">
        <v>14.0</v>
      </c>
      <c r="M1572" s="58" t="s">
        <v>31</v>
      </c>
      <c r="N1572" s="59" t="s">
        <v>442</v>
      </c>
      <c r="O1572" s="60" t="s">
        <v>149</v>
      </c>
      <c r="P1572" s="66"/>
    </row>
    <row r="1573">
      <c r="A1573" s="29" t="s">
        <v>1768</v>
      </c>
      <c r="B1573" s="30" t="s">
        <v>45</v>
      </c>
      <c r="C1573" s="31" t="s">
        <v>46</v>
      </c>
      <c r="D1573" s="32" t="str">
        <f t="shared" si="1"/>
        <v>Removed</v>
      </c>
      <c r="E1573" s="33">
        <v>44725.0</v>
      </c>
      <c r="F1573" s="34">
        <v>45061.0</v>
      </c>
      <c r="G1573" s="36">
        <f t="shared" si="2"/>
        <v>11.06666667</v>
      </c>
      <c r="H1573" s="37">
        <v>42024.0</v>
      </c>
      <c r="I1573" s="36">
        <f t="shared" si="4"/>
        <v>7.397222222</v>
      </c>
      <c r="J1573" s="38">
        <v>83.0</v>
      </c>
      <c r="K1573" s="39">
        <v>8.6</v>
      </c>
      <c r="L1573" s="38">
        <v>12.0</v>
      </c>
      <c r="M1573" s="40" t="s">
        <v>537</v>
      </c>
      <c r="N1573" s="41" t="s">
        <v>61</v>
      </c>
      <c r="O1573" s="42" t="s">
        <v>34</v>
      </c>
      <c r="P1573" s="67"/>
    </row>
    <row r="1574">
      <c r="A1574" s="44" t="s">
        <v>1769</v>
      </c>
      <c r="B1574" s="45" t="s">
        <v>45</v>
      </c>
      <c r="C1574" s="46" t="s">
        <v>26</v>
      </c>
      <c r="D1574" s="47" t="str">
        <f t="shared" si="1"/>
        <v>Removed</v>
      </c>
      <c r="E1574" s="48">
        <v>44621.0</v>
      </c>
      <c r="F1574" s="49">
        <v>45061.0</v>
      </c>
      <c r="G1574" s="50">
        <f t="shared" si="2"/>
        <v>14.46666667</v>
      </c>
      <c r="H1574" s="51">
        <v>44044.0</v>
      </c>
      <c r="I1574" s="50">
        <f t="shared" si="4"/>
        <v>1.583333333</v>
      </c>
      <c r="J1574" s="55">
        <v>72.0</v>
      </c>
      <c r="K1574" s="56">
        <v>6.5</v>
      </c>
      <c r="L1574" s="55">
        <v>5.0</v>
      </c>
      <c r="M1574" s="58" t="s">
        <v>136</v>
      </c>
      <c r="N1574" s="59"/>
      <c r="O1574" s="60" t="s">
        <v>149</v>
      </c>
      <c r="P1574" s="61"/>
    </row>
    <row r="1575">
      <c r="A1575" s="29" t="s">
        <v>1770</v>
      </c>
      <c r="B1575" s="30" t="s">
        <v>45</v>
      </c>
      <c r="C1575" s="31" t="s">
        <v>26</v>
      </c>
      <c r="D1575" s="32" t="str">
        <f t="shared" si="1"/>
        <v>Removed</v>
      </c>
      <c r="E1575" s="33">
        <v>42922.0</v>
      </c>
      <c r="F1575" s="34">
        <v>45061.0</v>
      </c>
      <c r="G1575" s="36">
        <f t="shared" si="2"/>
        <v>70.3</v>
      </c>
      <c r="H1575" s="37">
        <v>41957.0</v>
      </c>
      <c r="I1575" s="36">
        <f t="shared" si="4"/>
        <v>2.644444444</v>
      </c>
      <c r="J1575" s="38">
        <v>78.0</v>
      </c>
      <c r="K1575" s="39">
        <v>6.9</v>
      </c>
      <c r="L1575" s="38">
        <v>10.0</v>
      </c>
      <c r="M1575" s="40" t="s">
        <v>36</v>
      </c>
      <c r="N1575" s="41"/>
      <c r="O1575" s="42" t="s">
        <v>149</v>
      </c>
      <c r="P1575" s="43"/>
    </row>
    <row r="1576">
      <c r="A1576" s="44" t="s">
        <v>1771</v>
      </c>
      <c r="B1576" s="45" t="s">
        <v>45</v>
      </c>
      <c r="C1576" s="46" t="s">
        <v>26</v>
      </c>
      <c r="D1576" s="47" t="str">
        <f t="shared" si="1"/>
        <v>Removed</v>
      </c>
      <c r="E1576" s="48">
        <v>42794.0</v>
      </c>
      <c r="F1576" s="49">
        <v>45061.0</v>
      </c>
      <c r="G1576" s="50">
        <f t="shared" si="2"/>
        <v>74.56666667</v>
      </c>
      <c r="H1576" s="51">
        <v>41941.0</v>
      </c>
      <c r="I1576" s="50">
        <f t="shared" si="4"/>
        <v>2.330555556</v>
      </c>
      <c r="J1576" s="55">
        <v>53.0</v>
      </c>
      <c r="K1576" s="56">
        <v>6.8</v>
      </c>
      <c r="L1576" s="55">
        <v>15.0</v>
      </c>
      <c r="M1576" s="58" t="s">
        <v>29</v>
      </c>
      <c r="N1576" s="59"/>
      <c r="O1576" s="60" t="s">
        <v>149</v>
      </c>
      <c r="P1576" s="61"/>
    </row>
    <row r="1577">
      <c r="A1577" s="29" t="s">
        <v>1772</v>
      </c>
      <c r="B1577" s="30" t="s">
        <v>45</v>
      </c>
      <c r="C1577" s="31" t="s">
        <v>26</v>
      </c>
      <c r="D1577" s="32" t="str">
        <f t="shared" si="1"/>
        <v>Removed</v>
      </c>
      <c r="E1577" s="33">
        <v>42794.0</v>
      </c>
      <c r="F1577" s="34">
        <v>45061.0</v>
      </c>
      <c r="G1577" s="36">
        <f t="shared" si="2"/>
        <v>74.56666667</v>
      </c>
      <c r="H1577" s="37">
        <v>42401.0</v>
      </c>
      <c r="I1577" s="36">
        <f t="shared" si="4"/>
        <v>1.075</v>
      </c>
      <c r="J1577" s="38">
        <v>52.0</v>
      </c>
      <c r="K1577" s="39">
        <v>5.9</v>
      </c>
      <c r="L1577" s="38">
        <v>20.0</v>
      </c>
      <c r="M1577" s="40" t="s">
        <v>70</v>
      </c>
      <c r="N1577" s="41"/>
      <c r="O1577" s="42" t="s">
        <v>149</v>
      </c>
      <c r="P1577" s="43"/>
    </row>
    <row r="1578">
      <c r="A1578" s="44" t="s">
        <v>1393</v>
      </c>
      <c r="B1578" s="45" t="s">
        <v>25</v>
      </c>
      <c r="C1578" s="46" t="s">
        <v>1773</v>
      </c>
      <c r="D1578" s="47" t="str">
        <f t="shared" si="1"/>
        <v>Removed</v>
      </c>
      <c r="E1578" s="48">
        <v>44147.0</v>
      </c>
      <c r="F1578" s="49">
        <v>45055.0</v>
      </c>
      <c r="G1578" s="50">
        <f t="shared" si="2"/>
        <v>29.9</v>
      </c>
      <c r="H1578" s="51">
        <v>42178.0</v>
      </c>
      <c r="I1578" s="50">
        <f t="shared" si="4"/>
        <v>5.386111111</v>
      </c>
      <c r="J1578" s="55">
        <v>87.0</v>
      </c>
      <c r="K1578" s="56">
        <v>8.2</v>
      </c>
      <c r="L1578" s="55">
        <v>16.5</v>
      </c>
      <c r="M1578" s="58" t="s">
        <v>29</v>
      </c>
      <c r="N1578" s="59" t="s">
        <v>1774</v>
      </c>
      <c r="O1578" s="60" t="s">
        <v>34</v>
      </c>
      <c r="P1578" s="61"/>
    </row>
    <row r="1579">
      <c r="A1579" s="29" t="s">
        <v>1320</v>
      </c>
      <c r="B1579" s="30" t="s">
        <v>25</v>
      </c>
      <c r="C1579" s="31" t="s">
        <v>1773</v>
      </c>
      <c r="D1579" s="32" t="str">
        <f t="shared" si="1"/>
        <v>Removed</v>
      </c>
      <c r="E1579" s="33">
        <v>44147.0</v>
      </c>
      <c r="F1579" s="34">
        <v>45055.0</v>
      </c>
      <c r="G1579" s="36">
        <f t="shared" si="2"/>
        <v>29.9</v>
      </c>
      <c r="H1579" s="37">
        <v>42644.0</v>
      </c>
      <c r="I1579" s="36">
        <f t="shared" si="4"/>
        <v>4.113888889</v>
      </c>
      <c r="J1579" s="38">
        <v>89.0</v>
      </c>
      <c r="K1579" s="39">
        <v>7.3</v>
      </c>
      <c r="L1579" s="38">
        <v>6.5</v>
      </c>
      <c r="M1579" s="40" t="s">
        <v>31</v>
      </c>
      <c r="N1579" s="41" t="s">
        <v>1774</v>
      </c>
      <c r="O1579" s="42" t="s">
        <v>34</v>
      </c>
      <c r="P1579" s="43"/>
    </row>
    <row r="1580">
      <c r="A1580" s="44" t="s">
        <v>704</v>
      </c>
      <c r="B1580" s="45" t="s">
        <v>25</v>
      </c>
      <c r="C1580" s="46" t="s">
        <v>1773</v>
      </c>
      <c r="D1580" s="47" t="str">
        <f t="shared" si="1"/>
        <v>Removed</v>
      </c>
      <c r="E1580" s="48">
        <v>44147.0</v>
      </c>
      <c r="F1580" s="49">
        <v>45055.0</v>
      </c>
      <c r="G1580" s="50">
        <f t="shared" si="2"/>
        <v>29.9</v>
      </c>
      <c r="H1580" s="51">
        <v>42087.0</v>
      </c>
      <c r="I1580" s="50">
        <f t="shared" si="4"/>
        <v>5.633333333</v>
      </c>
      <c r="J1580" s="55">
        <v>92.0</v>
      </c>
      <c r="K1580" s="56">
        <v>8.9</v>
      </c>
      <c r="L1580" s="55">
        <v>33.5</v>
      </c>
      <c r="M1580" s="58" t="s">
        <v>29</v>
      </c>
      <c r="N1580" s="59" t="s">
        <v>1774</v>
      </c>
      <c r="O1580" s="60" t="s">
        <v>34</v>
      </c>
      <c r="P1580" s="61"/>
    </row>
    <row r="1581">
      <c r="A1581" s="29" t="s">
        <v>1775</v>
      </c>
      <c r="B1581" s="30" t="s">
        <v>25</v>
      </c>
      <c r="C1581" s="31" t="s">
        <v>1773</v>
      </c>
      <c r="D1581" s="32" t="str">
        <f t="shared" si="1"/>
        <v>Removed</v>
      </c>
      <c r="E1581" s="33">
        <v>44147.0</v>
      </c>
      <c r="F1581" s="34">
        <v>45055.0</v>
      </c>
      <c r="G1581" s="36">
        <f t="shared" si="2"/>
        <v>29.9</v>
      </c>
      <c r="H1581" s="37">
        <v>42871.0</v>
      </c>
      <c r="I1581" s="36">
        <f t="shared" si="4"/>
        <v>3.488888889</v>
      </c>
      <c r="J1581" s="38">
        <v>78.0</v>
      </c>
      <c r="K1581" s="39">
        <v>7.2</v>
      </c>
      <c r="L1581" s="38">
        <v>9.0</v>
      </c>
      <c r="M1581" s="40" t="s">
        <v>31</v>
      </c>
      <c r="N1581" s="41" t="s">
        <v>1774</v>
      </c>
      <c r="O1581" s="42" t="s">
        <v>34</v>
      </c>
      <c r="P1581" s="43" t="s">
        <v>149</v>
      </c>
    </row>
    <row r="1582">
      <c r="A1582" s="44" t="s">
        <v>1776</v>
      </c>
      <c r="B1582" s="45" t="s">
        <v>25</v>
      </c>
      <c r="C1582" s="46" t="s">
        <v>1773</v>
      </c>
      <c r="D1582" s="47" t="str">
        <f t="shared" si="1"/>
        <v>Removed</v>
      </c>
      <c r="E1582" s="48">
        <v>44147.0</v>
      </c>
      <c r="F1582" s="49">
        <v>45055.0</v>
      </c>
      <c r="G1582" s="50">
        <f t="shared" si="2"/>
        <v>29.9</v>
      </c>
      <c r="H1582" s="51">
        <v>42916.0</v>
      </c>
      <c r="I1582" s="50">
        <f t="shared" si="4"/>
        <v>3.366666667</v>
      </c>
      <c r="J1582" s="55">
        <v>86.0</v>
      </c>
      <c r="K1582" s="56">
        <v>7.9</v>
      </c>
      <c r="L1582" s="55">
        <v>15.0</v>
      </c>
      <c r="M1582" s="58" t="s">
        <v>27</v>
      </c>
      <c r="N1582" s="59" t="s">
        <v>1774</v>
      </c>
      <c r="O1582" s="60" t="s">
        <v>34</v>
      </c>
      <c r="P1582" s="61"/>
    </row>
    <row r="1583">
      <c r="A1583" s="29" t="s">
        <v>705</v>
      </c>
      <c r="B1583" s="30" t="s">
        <v>25</v>
      </c>
      <c r="C1583" s="31" t="s">
        <v>1773</v>
      </c>
      <c r="D1583" s="32" t="str">
        <f t="shared" si="1"/>
        <v>Removed</v>
      </c>
      <c r="E1583" s="33">
        <v>44147.0</v>
      </c>
      <c r="F1583" s="34">
        <v>45055.0</v>
      </c>
      <c r="G1583" s="36">
        <f t="shared" si="2"/>
        <v>29.9</v>
      </c>
      <c r="H1583" s="37">
        <v>43581.0</v>
      </c>
      <c r="I1583" s="36">
        <f t="shared" si="4"/>
        <v>1.544444444</v>
      </c>
      <c r="J1583" s="38">
        <v>71.0</v>
      </c>
      <c r="K1583" s="39">
        <v>8.0</v>
      </c>
      <c r="L1583" s="38">
        <v>36.5</v>
      </c>
      <c r="M1583" s="40" t="s">
        <v>31</v>
      </c>
      <c r="N1583" s="41" t="s">
        <v>1774</v>
      </c>
      <c r="O1583" s="42" t="s">
        <v>34</v>
      </c>
      <c r="P1583" s="43"/>
    </row>
    <row r="1584">
      <c r="A1584" s="44" t="s">
        <v>706</v>
      </c>
      <c r="B1584" s="45" t="s">
        <v>25</v>
      </c>
      <c r="C1584" s="46" t="s">
        <v>1773</v>
      </c>
      <c r="D1584" s="47" t="str">
        <f t="shared" si="1"/>
        <v>Removed</v>
      </c>
      <c r="E1584" s="48">
        <v>44147.0</v>
      </c>
      <c r="F1584" s="49">
        <v>45055.0</v>
      </c>
      <c r="G1584" s="50">
        <f t="shared" si="2"/>
        <v>29.9</v>
      </c>
      <c r="H1584" s="51">
        <v>43248.0</v>
      </c>
      <c r="I1584" s="50">
        <f t="shared" si="4"/>
        <v>2.455555556</v>
      </c>
      <c r="J1584" s="55">
        <v>78.0</v>
      </c>
      <c r="K1584" s="56">
        <v>8.4</v>
      </c>
      <c r="L1584" s="55">
        <v>12.0</v>
      </c>
      <c r="M1584" s="58" t="s">
        <v>555</v>
      </c>
      <c r="N1584" s="59" t="s">
        <v>1774</v>
      </c>
      <c r="O1584" s="60" t="s">
        <v>34</v>
      </c>
      <c r="P1584" s="61"/>
    </row>
    <row r="1585">
      <c r="A1585" s="29" t="s">
        <v>707</v>
      </c>
      <c r="B1585" s="30" t="s">
        <v>25</v>
      </c>
      <c r="C1585" s="31" t="s">
        <v>1773</v>
      </c>
      <c r="D1585" s="32" t="str">
        <f t="shared" si="1"/>
        <v>Removed</v>
      </c>
      <c r="E1585" s="33">
        <v>44147.0</v>
      </c>
      <c r="F1585" s="34">
        <v>45055.0</v>
      </c>
      <c r="G1585" s="36">
        <f t="shared" si="2"/>
        <v>29.9</v>
      </c>
      <c r="H1585" s="37">
        <v>42318.0</v>
      </c>
      <c r="I1585" s="36">
        <f t="shared" si="4"/>
        <v>5.005555556</v>
      </c>
      <c r="J1585" s="38">
        <v>87.0</v>
      </c>
      <c r="K1585" s="39">
        <v>6.5</v>
      </c>
      <c r="L1585" s="38">
        <v>27.0</v>
      </c>
      <c r="M1585" s="40" t="s">
        <v>31</v>
      </c>
      <c r="N1585" s="41" t="s">
        <v>1774</v>
      </c>
      <c r="O1585" s="42" t="s">
        <v>34</v>
      </c>
      <c r="P1585" s="43"/>
    </row>
    <row r="1586">
      <c r="A1586" s="44" t="s">
        <v>1586</v>
      </c>
      <c r="B1586" s="45" t="s">
        <v>25</v>
      </c>
      <c r="C1586" s="46" t="s">
        <v>1773</v>
      </c>
      <c r="D1586" s="47" t="str">
        <f t="shared" si="1"/>
        <v>Removed</v>
      </c>
      <c r="E1586" s="48">
        <v>44147.0</v>
      </c>
      <c r="F1586" s="49">
        <v>45055.0</v>
      </c>
      <c r="G1586" s="50">
        <f t="shared" si="2"/>
        <v>29.9</v>
      </c>
      <c r="H1586" s="51">
        <v>43165.0</v>
      </c>
      <c r="I1586" s="50">
        <f t="shared" si="4"/>
        <v>2.683333333</v>
      </c>
      <c r="J1586" s="55">
        <v>77.0</v>
      </c>
      <c r="K1586" s="56">
        <v>7.8</v>
      </c>
      <c r="L1586" s="55">
        <v>27.0</v>
      </c>
      <c r="M1586" s="58" t="s">
        <v>42</v>
      </c>
      <c r="N1586" s="59" t="s">
        <v>1774</v>
      </c>
      <c r="O1586" s="60" t="s">
        <v>34</v>
      </c>
      <c r="P1586" s="61"/>
    </row>
    <row r="1587">
      <c r="A1587" s="29" t="s">
        <v>1777</v>
      </c>
      <c r="B1587" s="30" t="s">
        <v>25</v>
      </c>
      <c r="C1587" s="31" t="s">
        <v>1773</v>
      </c>
      <c r="D1587" s="32" t="str">
        <f t="shared" si="1"/>
        <v>Removed</v>
      </c>
      <c r="E1587" s="33">
        <v>44147.0</v>
      </c>
      <c r="F1587" s="34">
        <v>45055.0</v>
      </c>
      <c r="G1587" s="36">
        <f t="shared" si="2"/>
        <v>29.9</v>
      </c>
      <c r="H1587" s="37">
        <v>43210.0</v>
      </c>
      <c r="I1587" s="36">
        <f t="shared" si="4"/>
        <v>2.561111111</v>
      </c>
      <c r="J1587" s="38">
        <v>94.0</v>
      </c>
      <c r="K1587" s="39">
        <v>9.1</v>
      </c>
      <c r="L1587" s="38">
        <v>21.0</v>
      </c>
      <c r="M1587" s="40" t="s">
        <v>42</v>
      </c>
      <c r="N1587" s="41" t="s">
        <v>1774</v>
      </c>
      <c r="O1587" s="42" t="s">
        <v>34</v>
      </c>
      <c r="P1587" s="43"/>
    </row>
    <row r="1588">
      <c r="A1588" s="44" t="s">
        <v>1395</v>
      </c>
      <c r="B1588" s="45" t="s">
        <v>25</v>
      </c>
      <c r="C1588" s="46" t="s">
        <v>1773</v>
      </c>
      <c r="D1588" s="47" t="str">
        <f t="shared" si="1"/>
        <v>Removed</v>
      </c>
      <c r="E1588" s="48">
        <v>44147.0</v>
      </c>
      <c r="F1588" s="49">
        <v>45055.0</v>
      </c>
      <c r="G1588" s="50">
        <f t="shared" si="2"/>
        <v>29.9</v>
      </c>
      <c r="H1588" s="51">
        <v>41719.0</v>
      </c>
      <c r="I1588" s="50">
        <f t="shared" si="4"/>
        <v>6.641666667</v>
      </c>
      <c r="J1588" s="55">
        <v>80.0</v>
      </c>
      <c r="K1588" s="56">
        <v>7.9</v>
      </c>
      <c r="L1588" s="55">
        <v>10.0</v>
      </c>
      <c r="M1588" s="58" t="s">
        <v>29</v>
      </c>
      <c r="N1588" s="59" t="s">
        <v>1774</v>
      </c>
      <c r="O1588" s="60" t="s">
        <v>34</v>
      </c>
      <c r="P1588" s="61"/>
    </row>
    <row r="1589">
      <c r="A1589" s="29" t="s">
        <v>1778</v>
      </c>
      <c r="B1589" s="30" t="s">
        <v>25</v>
      </c>
      <c r="C1589" s="31" t="s">
        <v>1773</v>
      </c>
      <c r="D1589" s="32" t="str">
        <f t="shared" si="1"/>
        <v>Removed</v>
      </c>
      <c r="E1589" s="33">
        <v>44147.0</v>
      </c>
      <c r="F1589" s="34">
        <v>45055.0</v>
      </c>
      <c r="G1589" s="36">
        <f t="shared" si="2"/>
        <v>29.9</v>
      </c>
      <c r="H1589" s="37">
        <v>43126.0</v>
      </c>
      <c r="I1589" s="36">
        <f t="shared" si="4"/>
        <v>2.794444444</v>
      </c>
      <c r="J1589" s="38">
        <v>90.0</v>
      </c>
      <c r="K1589" s="39">
        <v>8.2</v>
      </c>
      <c r="L1589" s="38">
        <v>50.0</v>
      </c>
      <c r="M1589" s="40" t="s">
        <v>29</v>
      </c>
      <c r="N1589" s="41" t="s">
        <v>1774</v>
      </c>
      <c r="O1589" s="42" t="s">
        <v>34</v>
      </c>
      <c r="P1589" s="43"/>
    </row>
    <row r="1590">
      <c r="A1590" s="44" t="s">
        <v>1779</v>
      </c>
      <c r="B1590" s="45" t="s">
        <v>25</v>
      </c>
      <c r="C1590" s="46" t="s">
        <v>1773</v>
      </c>
      <c r="D1590" s="47" t="str">
        <f t="shared" si="1"/>
        <v>Removed</v>
      </c>
      <c r="E1590" s="48">
        <v>44147.0</v>
      </c>
      <c r="F1590" s="49">
        <v>45055.0</v>
      </c>
      <c r="G1590" s="50">
        <f t="shared" si="2"/>
        <v>29.9</v>
      </c>
      <c r="H1590" s="51">
        <v>42108.0</v>
      </c>
      <c r="I1590" s="50">
        <f t="shared" si="4"/>
        <v>5.577777778</v>
      </c>
      <c r="J1590" s="55">
        <v>83.0</v>
      </c>
      <c r="K1590" s="56">
        <v>7.8</v>
      </c>
      <c r="L1590" s="55">
        <v>5.5</v>
      </c>
      <c r="M1590" s="58" t="s">
        <v>114</v>
      </c>
      <c r="N1590" s="59" t="s">
        <v>1774</v>
      </c>
      <c r="O1590" s="60" t="s">
        <v>34</v>
      </c>
      <c r="P1590" s="61" t="s">
        <v>149</v>
      </c>
    </row>
    <row r="1591">
      <c r="A1591" s="29" t="s">
        <v>1780</v>
      </c>
      <c r="B1591" s="30" t="s">
        <v>25</v>
      </c>
      <c r="C1591" s="31" t="s">
        <v>1773</v>
      </c>
      <c r="D1591" s="32" t="str">
        <f t="shared" si="1"/>
        <v>Removed</v>
      </c>
      <c r="E1591" s="33">
        <v>44147.0</v>
      </c>
      <c r="F1591" s="34">
        <v>45055.0</v>
      </c>
      <c r="G1591" s="36">
        <f t="shared" si="2"/>
        <v>29.9</v>
      </c>
      <c r="H1591" s="37">
        <v>42472.0</v>
      </c>
      <c r="I1591" s="36">
        <f t="shared" si="4"/>
        <v>4.583333333</v>
      </c>
      <c r="J1591" s="38">
        <v>85.0</v>
      </c>
      <c r="K1591" s="39">
        <v>8.2</v>
      </c>
      <c r="L1591" s="38">
        <v>10.0</v>
      </c>
      <c r="M1591" s="40" t="s">
        <v>27</v>
      </c>
      <c r="N1591" s="41" t="s">
        <v>1774</v>
      </c>
      <c r="O1591" s="42" t="s">
        <v>34</v>
      </c>
      <c r="P1591" s="43"/>
    </row>
    <row r="1592">
      <c r="A1592" s="44" t="s">
        <v>1781</v>
      </c>
      <c r="B1592" s="45" t="s">
        <v>25</v>
      </c>
      <c r="C1592" s="46" t="s">
        <v>1773</v>
      </c>
      <c r="D1592" s="47" t="str">
        <f t="shared" si="1"/>
        <v>Removed</v>
      </c>
      <c r="E1592" s="48">
        <v>44147.0</v>
      </c>
      <c r="F1592" s="49">
        <v>45055.0</v>
      </c>
      <c r="G1592" s="50">
        <f t="shared" si="2"/>
        <v>29.9</v>
      </c>
      <c r="H1592" s="51">
        <v>42758.0</v>
      </c>
      <c r="I1592" s="50">
        <f t="shared" si="4"/>
        <v>3.802777778</v>
      </c>
      <c r="J1592" s="55">
        <v>86.0</v>
      </c>
      <c r="K1592" s="56">
        <v>8.2</v>
      </c>
      <c r="L1592" s="55">
        <v>11.0</v>
      </c>
      <c r="M1592" s="58" t="s">
        <v>31</v>
      </c>
      <c r="N1592" s="59" t="s">
        <v>1774</v>
      </c>
      <c r="O1592" s="60" t="s">
        <v>34</v>
      </c>
      <c r="P1592" s="61"/>
    </row>
    <row r="1593">
      <c r="A1593" s="29" t="s">
        <v>609</v>
      </c>
      <c r="B1593" s="30" t="s">
        <v>25</v>
      </c>
      <c r="C1593" s="31" t="s">
        <v>1773</v>
      </c>
      <c r="D1593" s="32" t="str">
        <f t="shared" si="1"/>
        <v>Removed</v>
      </c>
      <c r="E1593" s="33">
        <v>44147.0</v>
      </c>
      <c r="F1593" s="34">
        <v>45055.0</v>
      </c>
      <c r="G1593" s="36">
        <f t="shared" si="2"/>
        <v>29.9</v>
      </c>
      <c r="H1593" s="37">
        <v>42710.0</v>
      </c>
      <c r="I1593" s="36">
        <f t="shared" si="4"/>
        <v>3.933333333</v>
      </c>
      <c r="J1593" s="38">
        <v>82.0</v>
      </c>
      <c r="K1593" s="39">
        <v>7.9</v>
      </c>
      <c r="L1593" s="38">
        <v>12.0</v>
      </c>
      <c r="M1593" s="40" t="s">
        <v>29</v>
      </c>
      <c r="N1593" s="41" t="s">
        <v>1774</v>
      </c>
      <c r="O1593" s="42" t="s">
        <v>34</v>
      </c>
      <c r="P1593" s="43"/>
    </row>
    <row r="1594">
      <c r="A1594" s="44" t="s">
        <v>1782</v>
      </c>
      <c r="B1594" s="45" t="s">
        <v>25</v>
      </c>
      <c r="C1594" s="46" t="s">
        <v>1773</v>
      </c>
      <c r="D1594" s="47" t="str">
        <f t="shared" si="1"/>
        <v>Removed</v>
      </c>
      <c r="E1594" s="48">
        <v>44147.0</v>
      </c>
      <c r="F1594" s="49">
        <v>45055.0</v>
      </c>
      <c r="G1594" s="50">
        <f t="shared" si="2"/>
        <v>29.9</v>
      </c>
      <c r="H1594" s="51">
        <v>41849.0</v>
      </c>
      <c r="I1594" s="50">
        <f t="shared" si="4"/>
        <v>6.286111111</v>
      </c>
      <c r="J1594" s="55">
        <v>95.0</v>
      </c>
      <c r="K1594" s="56">
        <v>9.2</v>
      </c>
      <c r="L1594" s="55">
        <v>14.5</v>
      </c>
      <c r="M1594" s="58" t="s">
        <v>31</v>
      </c>
      <c r="N1594" s="59" t="s">
        <v>1774</v>
      </c>
      <c r="O1594" s="60" t="s">
        <v>34</v>
      </c>
      <c r="P1594" s="61"/>
    </row>
    <row r="1595">
      <c r="A1595" s="29" t="s">
        <v>714</v>
      </c>
      <c r="B1595" s="30" t="s">
        <v>25</v>
      </c>
      <c r="C1595" s="31" t="s">
        <v>1773</v>
      </c>
      <c r="D1595" s="32" t="str">
        <f t="shared" si="1"/>
        <v>Removed</v>
      </c>
      <c r="E1595" s="33">
        <v>44147.0</v>
      </c>
      <c r="F1595" s="34">
        <v>45055.0</v>
      </c>
      <c r="G1595" s="36">
        <f t="shared" si="2"/>
        <v>29.9</v>
      </c>
      <c r="H1595" s="37">
        <v>42500.0</v>
      </c>
      <c r="I1595" s="36">
        <f t="shared" si="4"/>
        <v>4.505555556</v>
      </c>
      <c r="J1595" s="38">
        <v>93.0</v>
      </c>
      <c r="K1595" s="39">
        <v>8.5</v>
      </c>
      <c r="L1595" s="38">
        <v>15.0</v>
      </c>
      <c r="M1595" s="40" t="s">
        <v>31</v>
      </c>
      <c r="N1595" s="41" t="s">
        <v>1774</v>
      </c>
      <c r="O1595" s="42" t="s">
        <v>34</v>
      </c>
      <c r="P1595" s="43"/>
    </row>
    <row r="1596">
      <c r="A1596" s="44" t="s">
        <v>771</v>
      </c>
      <c r="B1596" s="45" t="s">
        <v>25</v>
      </c>
      <c r="C1596" s="46" t="s">
        <v>1773</v>
      </c>
      <c r="D1596" s="47" t="str">
        <f t="shared" si="1"/>
        <v>Removed</v>
      </c>
      <c r="E1596" s="48">
        <v>44147.0</v>
      </c>
      <c r="F1596" s="49">
        <v>45055.0</v>
      </c>
      <c r="G1596" s="50">
        <f t="shared" si="2"/>
        <v>29.9</v>
      </c>
      <c r="H1596" s="51">
        <v>42241.0</v>
      </c>
      <c r="I1596" s="50">
        <f t="shared" si="4"/>
        <v>5.213888889</v>
      </c>
      <c r="J1596" s="55">
        <v>79.0</v>
      </c>
      <c r="K1596" s="56">
        <v>8.3</v>
      </c>
      <c r="L1596" s="55">
        <v>8.0</v>
      </c>
      <c r="M1596" s="58" t="s">
        <v>555</v>
      </c>
      <c r="N1596" s="59" t="s">
        <v>1774</v>
      </c>
      <c r="O1596" s="60" t="s">
        <v>34</v>
      </c>
      <c r="P1596" s="61"/>
    </row>
    <row r="1597">
      <c r="A1597" s="29" t="s">
        <v>1783</v>
      </c>
      <c r="B1597" s="30" t="s">
        <v>25</v>
      </c>
      <c r="C1597" s="31" t="s">
        <v>1089</v>
      </c>
      <c r="D1597" s="32" t="str">
        <f t="shared" si="1"/>
        <v>Removed</v>
      </c>
      <c r="E1597" s="33">
        <v>45020.0</v>
      </c>
      <c r="F1597" s="34">
        <v>45047.0</v>
      </c>
      <c r="G1597" s="36">
        <f t="shared" si="2"/>
        <v>0.9</v>
      </c>
      <c r="H1597" s="37">
        <v>45020.0</v>
      </c>
      <c r="I1597" s="36">
        <f t="shared" si="4"/>
        <v>0</v>
      </c>
      <c r="J1597" s="38">
        <v>73.0</v>
      </c>
      <c r="K1597" s="39">
        <v>5.5</v>
      </c>
      <c r="L1597" s="38">
        <v>11.0</v>
      </c>
      <c r="M1597" s="40" t="s">
        <v>31</v>
      </c>
      <c r="N1597" s="41"/>
      <c r="O1597" s="42" t="s">
        <v>34</v>
      </c>
      <c r="P1597" s="43"/>
    </row>
    <row r="1598">
      <c r="A1598" s="44" t="s">
        <v>437</v>
      </c>
      <c r="B1598" s="45" t="s">
        <v>25</v>
      </c>
      <c r="C1598" s="46" t="s">
        <v>1089</v>
      </c>
      <c r="D1598" s="47" t="str">
        <f t="shared" si="1"/>
        <v>Removed</v>
      </c>
      <c r="E1598" s="48">
        <v>45020.0</v>
      </c>
      <c r="F1598" s="49">
        <v>45047.0</v>
      </c>
      <c r="G1598" s="50">
        <f t="shared" si="2"/>
        <v>0.9</v>
      </c>
      <c r="H1598" s="51">
        <v>44147.0</v>
      </c>
      <c r="I1598" s="50">
        <f t="shared" si="4"/>
        <v>2.394444444</v>
      </c>
      <c r="J1598" s="55">
        <v>83.0</v>
      </c>
      <c r="K1598" s="56">
        <v>7.8</v>
      </c>
      <c r="L1598" s="55">
        <v>11.0</v>
      </c>
      <c r="M1598" s="58" t="s">
        <v>27</v>
      </c>
      <c r="N1598" s="59"/>
      <c r="O1598" s="60" t="s">
        <v>34</v>
      </c>
      <c r="P1598" s="61" t="s">
        <v>149</v>
      </c>
    </row>
    <row r="1599">
      <c r="A1599" s="29" t="s">
        <v>1784</v>
      </c>
      <c r="B1599" s="30" t="s">
        <v>25</v>
      </c>
      <c r="C1599" s="31" t="s">
        <v>1089</v>
      </c>
      <c r="D1599" s="32" t="str">
        <f t="shared" si="1"/>
        <v>Removed</v>
      </c>
      <c r="E1599" s="33">
        <v>45020.0</v>
      </c>
      <c r="F1599" s="34">
        <v>45047.0</v>
      </c>
      <c r="G1599" s="36">
        <f t="shared" si="2"/>
        <v>0.9</v>
      </c>
      <c r="H1599" s="37">
        <v>44517.0</v>
      </c>
      <c r="I1599" s="36">
        <f t="shared" si="4"/>
        <v>1.380555556</v>
      </c>
      <c r="J1599" s="38">
        <v>81.0</v>
      </c>
      <c r="K1599" s="39">
        <v>7.1</v>
      </c>
      <c r="L1599" s="38">
        <v>7.0</v>
      </c>
      <c r="M1599" s="40" t="s">
        <v>42</v>
      </c>
      <c r="N1599" s="41"/>
      <c r="O1599" s="42" t="s">
        <v>34</v>
      </c>
      <c r="P1599" s="43"/>
    </row>
    <row r="1600">
      <c r="A1600" s="44" t="s">
        <v>1785</v>
      </c>
      <c r="B1600" s="45" t="s">
        <v>45</v>
      </c>
      <c r="C1600" s="46" t="s">
        <v>26</v>
      </c>
      <c r="D1600" s="47" t="str">
        <f t="shared" si="1"/>
        <v>Removed</v>
      </c>
      <c r="E1600" s="48">
        <v>44725.0</v>
      </c>
      <c r="F1600" s="49">
        <v>45033.0</v>
      </c>
      <c r="G1600" s="50">
        <f t="shared" si="2"/>
        <v>10.13333333</v>
      </c>
      <c r="H1600" s="51">
        <v>42804.0</v>
      </c>
      <c r="I1600" s="50">
        <f t="shared" si="4"/>
        <v>5.258333333</v>
      </c>
      <c r="J1600" s="55">
        <v>63.0</v>
      </c>
      <c r="K1600" s="56">
        <v>6.3</v>
      </c>
      <c r="L1600" s="55">
        <v>8.0</v>
      </c>
      <c r="M1600" s="58" t="s">
        <v>537</v>
      </c>
      <c r="N1600" s="59"/>
      <c r="O1600" s="60" t="s">
        <v>149</v>
      </c>
      <c r="P1600" s="61"/>
    </row>
    <row r="1601">
      <c r="A1601" s="29" t="s">
        <v>1786</v>
      </c>
      <c r="B1601" s="30" t="s">
        <v>45</v>
      </c>
      <c r="C1601" s="31" t="s">
        <v>26</v>
      </c>
      <c r="D1601" s="32" t="str">
        <f t="shared" si="1"/>
        <v>Removed</v>
      </c>
      <c r="E1601" s="33">
        <v>44725.0</v>
      </c>
      <c r="F1601" s="34">
        <v>45033.0</v>
      </c>
      <c r="G1601" s="36">
        <f t="shared" si="2"/>
        <v>10.13333333</v>
      </c>
      <c r="H1601" s="37">
        <v>42370.0</v>
      </c>
      <c r="I1601" s="36">
        <f t="shared" si="4"/>
        <v>6.45</v>
      </c>
      <c r="J1601" s="38">
        <v>62.0</v>
      </c>
      <c r="K1601" s="39">
        <v>6.6</v>
      </c>
      <c r="L1601" s="38">
        <v>1.0</v>
      </c>
      <c r="M1601" s="40" t="s">
        <v>29</v>
      </c>
      <c r="N1601" s="41"/>
      <c r="O1601" s="42" t="s">
        <v>149</v>
      </c>
      <c r="P1601" s="43" t="s">
        <v>149</v>
      </c>
    </row>
    <row r="1602">
      <c r="A1602" s="44" t="s">
        <v>1787</v>
      </c>
      <c r="B1602" s="45" t="s">
        <v>45</v>
      </c>
      <c r="C1602" s="46" t="s">
        <v>26</v>
      </c>
      <c r="D1602" s="47" t="str">
        <f t="shared" si="1"/>
        <v>Removed</v>
      </c>
      <c r="E1602" s="48">
        <v>44725.0</v>
      </c>
      <c r="F1602" s="49">
        <v>45033.0</v>
      </c>
      <c r="G1602" s="50">
        <f t="shared" si="2"/>
        <v>10.13333333</v>
      </c>
      <c r="H1602" s="51">
        <v>43434.0</v>
      </c>
      <c r="I1602" s="50">
        <f t="shared" si="4"/>
        <v>3.536111111</v>
      </c>
      <c r="J1602" s="55">
        <v>58.0</v>
      </c>
      <c r="K1602" s="56">
        <v>6.5</v>
      </c>
      <c r="L1602" s="55">
        <v>9.0</v>
      </c>
      <c r="M1602" s="58" t="s">
        <v>136</v>
      </c>
      <c r="N1602" s="59"/>
      <c r="O1602" s="60" t="s">
        <v>34</v>
      </c>
      <c r="P1602" s="61"/>
    </row>
    <row r="1603">
      <c r="A1603" s="29" t="s">
        <v>1788</v>
      </c>
      <c r="B1603" s="30" t="s">
        <v>45</v>
      </c>
      <c r="C1603" s="31" t="s">
        <v>26</v>
      </c>
      <c r="D1603" s="32" t="str">
        <f t="shared" si="1"/>
        <v>Removed</v>
      </c>
      <c r="E1603" s="33">
        <v>44725.0</v>
      </c>
      <c r="F1603" s="34">
        <v>45033.0</v>
      </c>
      <c r="G1603" s="36">
        <f t="shared" si="2"/>
        <v>10.13333333</v>
      </c>
      <c r="H1603" s="37">
        <v>41550.0</v>
      </c>
      <c r="I1603" s="36">
        <f t="shared" si="4"/>
        <v>8.694444444</v>
      </c>
      <c r="J1603" s="38">
        <v>74.0</v>
      </c>
      <c r="K1603" s="39">
        <v>7.2</v>
      </c>
      <c r="L1603" s="38">
        <v>30.0</v>
      </c>
      <c r="M1603" s="40" t="s">
        <v>136</v>
      </c>
      <c r="N1603" s="41"/>
      <c r="O1603" s="42" t="s">
        <v>149</v>
      </c>
      <c r="P1603" s="43"/>
    </row>
    <row r="1604">
      <c r="A1604" s="44" t="s">
        <v>1789</v>
      </c>
      <c r="B1604" s="45" t="s">
        <v>45</v>
      </c>
      <c r="C1604" s="46" t="s">
        <v>26</v>
      </c>
      <c r="D1604" s="47" t="str">
        <f t="shared" si="1"/>
        <v>Removed</v>
      </c>
      <c r="E1604" s="48">
        <v>44725.0</v>
      </c>
      <c r="F1604" s="49">
        <v>45033.0</v>
      </c>
      <c r="G1604" s="50">
        <f t="shared" si="2"/>
        <v>10.13333333</v>
      </c>
      <c r="H1604" s="51">
        <v>43600.0</v>
      </c>
      <c r="I1604" s="50">
        <f t="shared" si="4"/>
        <v>3.077777778</v>
      </c>
      <c r="J1604" s="55">
        <v>65.0</v>
      </c>
      <c r="K1604" s="56">
        <v>7.1</v>
      </c>
      <c r="L1604" s="55">
        <v>55.0</v>
      </c>
      <c r="M1604" s="58" t="s">
        <v>42</v>
      </c>
      <c r="N1604" s="59"/>
      <c r="O1604" s="60" t="s">
        <v>34</v>
      </c>
      <c r="P1604" s="61"/>
    </row>
    <row r="1605">
      <c r="A1605" s="29" t="s">
        <v>1790</v>
      </c>
      <c r="B1605" s="30" t="s">
        <v>45</v>
      </c>
      <c r="C1605" s="31" t="s">
        <v>26</v>
      </c>
      <c r="D1605" s="32" t="str">
        <f t="shared" si="1"/>
        <v>Removed</v>
      </c>
      <c r="E1605" s="33">
        <v>44725.0</v>
      </c>
      <c r="F1605" s="34">
        <v>45033.0</v>
      </c>
      <c r="G1605" s="36">
        <f t="shared" si="2"/>
        <v>10.13333333</v>
      </c>
      <c r="H1605" s="37">
        <v>43970.0</v>
      </c>
      <c r="I1605" s="36">
        <f t="shared" si="4"/>
        <v>2.066666667</v>
      </c>
      <c r="J1605" s="38">
        <v>78.0</v>
      </c>
      <c r="K1605" s="39">
        <v>7.8</v>
      </c>
      <c r="L1605" s="38">
        <v>13.0</v>
      </c>
      <c r="M1605" s="40" t="s">
        <v>29</v>
      </c>
      <c r="N1605" s="41"/>
      <c r="O1605" s="42" t="s">
        <v>34</v>
      </c>
      <c r="P1605" s="43" t="s">
        <v>149</v>
      </c>
    </row>
    <row r="1606">
      <c r="A1606" s="44" t="s">
        <v>1791</v>
      </c>
      <c r="B1606" s="45" t="s">
        <v>45</v>
      </c>
      <c r="C1606" s="46" t="s">
        <v>26</v>
      </c>
      <c r="D1606" s="47" t="str">
        <f t="shared" si="1"/>
        <v>Removed</v>
      </c>
      <c r="E1606" s="48">
        <v>44684.0</v>
      </c>
      <c r="F1606" s="49">
        <v>45033.0</v>
      </c>
      <c r="G1606" s="50">
        <f t="shared" si="2"/>
        <v>11.46666667</v>
      </c>
      <c r="H1606" s="51">
        <v>42405.0</v>
      </c>
      <c r="I1606" s="50">
        <f t="shared" si="4"/>
        <v>6.244444444</v>
      </c>
      <c r="J1606" s="55">
        <v>79.0</v>
      </c>
      <c r="K1606" s="56">
        <v>8.1</v>
      </c>
      <c r="L1606" s="55">
        <v>12.0</v>
      </c>
      <c r="M1606" s="58" t="s">
        <v>114</v>
      </c>
      <c r="N1606" s="59"/>
      <c r="O1606" s="60" t="s">
        <v>149</v>
      </c>
      <c r="P1606" s="61" t="s">
        <v>149</v>
      </c>
    </row>
    <row r="1607">
      <c r="A1607" s="29" t="s">
        <v>1295</v>
      </c>
      <c r="B1607" s="30" t="s">
        <v>25</v>
      </c>
      <c r="C1607" s="31" t="s">
        <v>1089</v>
      </c>
      <c r="D1607" s="32" t="str">
        <f t="shared" si="1"/>
        <v>Removed</v>
      </c>
      <c r="E1607" s="33">
        <v>44992.0</v>
      </c>
      <c r="F1607" s="34">
        <v>45019.0</v>
      </c>
      <c r="G1607" s="36">
        <f t="shared" si="2"/>
        <v>0.8666666667</v>
      </c>
      <c r="H1607" s="37">
        <v>44512.0</v>
      </c>
      <c r="I1607" s="36">
        <f t="shared" si="4"/>
        <v>1.319444444</v>
      </c>
      <c r="J1607" s="38">
        <v>63.0</v>
      </c>
      <c r="K1607" s="39">
        <v>2.6</v>
      </c>
      <c r="L1607" s="38">
        <v>65.0</v>
      </c>
      <c r="M1607" s="40" t="s">
        <v>31</v>
      </c>
      <c r="N1607" s="41"/>
      <c r="O1607" s="42" t="s">
        <v>149</v>
      </c>
      <c r="P1607" s="43"/>
    </row>
    <row r="1608">
      <c r="A1608" s="44" t="s">
        <v>1792</v>
      </c>
      <c r="B1608" s="45" t="s">
        <v>45</v>
      </c>
      <c r="C1608" s="46" t="s">
        <v>1089</v>
      </c>
      <c r="D1608" s="47" t="str">
        <f t="shared" si="1"/>
        <v>Removed</v>
      </c>
      <c r="E1608" s="48">
        <v>44992.0</v>
      </c>
      <c r="F1608" s="49">
        <v>45019.0</v>
      </c>
      <c r="G1608" s="50">
        <f t="shared" si="2"/>
        <v>0.8666666667</v>
      </c>
      <c r="H1608" s="51">
        <v>43977.0</v>
      </c>
      <c r="I1608" s="50">
        <f t="shared" si="4"/>
        <v>2.780555556</v>
      </c>
      <c r="J1608" s="55">
        <v>78.0</v>
      </c>
      <c r="K1608" s="56">
        <v>6.2</v>
      </c>
      <c r="L1608" s="55">
        <v>6.0</v>
      </c>
      <c r="M1608" s="58" t="s">
        <v>42</v>
      </c>
      <c r="N1608" s="59"/>
      <c r="O1608" s="60" t="s">
        <v>34</v>
      </c>
      <c r="P1608" s="61"/>
    </row>
    <row r="1609">
      <c r="A1609" s="29" t="s">
        <v>1624</v>
      </c>
      <c r="B1609" s="30" t="s">
        <v>45</v>
      </c>
      <c r="C1609" s="31" t="s">
        <v>1089</v>
      </c>
      <c r="D1609" s="32" t="str">
        <f t="shared" si="1"/>
        <v>Removed</v>
      </c>
      <c r="E1609" s="33">
        <v>44992.0</v>
      </c>
      <c r="F1609" s="34">
        <v>45019.0</v>
      </c>
      <c r="G1609" s="36">
        <f t="shared" si="2"/>
        <v>0.8666666667</v>
      </c>
      <c r="H1609" s="37">
        <v>43735.0</v>
      </c>
      <c r="I1609" s="36">
        <f t="shared" si="4"/>
        <v>3.444444444</v>
      </c>
      <c r="J1609" s="38">
        <v>70.0</v>
      </c>
      <c r="K1609" s="39">
        <v>7.8</v>
      </c>
      <c r="L1609" s="38">
        <v>26.0</v>
      </c>
      <c r="M1609" s="40" t="s">
        <v>42</v>
      </c>
      <c r="N1609" s="41"/>
      <c r="O1609" s="42" t="s">
        <v>34</v>
      </c>
      <c r="P1609" s="43"/>
    </row>
    <row r="1610">
      <c r="A1610" s="44" t="s">
        <v>1793</v>
      </c>
      <c r="B1610" s="45" t="s">
        <v>25</v>
      </c>
      <c r="C1610" s="46" t="s">
        <v>26</v>
      </c>
      <c r="D1610" s="47" t="str">
        <f t="shared" si="1"/>
        <v>Removed</v>
      </c>
      <c r="E1610" s="48">
        <v>44824.0</v>
      </c>
      <c r="F1610" s="49">
        <v>45005.0</v>
      </c>
      <c r="G1610" s="50">
        <f t="shared" si="2"/>
        <v>6</v>
      </c>
      <c r="H1610" s="51">
        <v>44637.0</v>
      </c>
      <c r="I1610" s="50">
        <f t="shared" si="4"/>
        <v>0.5083333333</v>
      </c>
      <c r="J1610" s="55">
        <v>74.0</v>
      </c>
      <c r="K1610" s="56">
        <v>4.0</v>
      </c>
      <c r="L1610" s="55">
        <v>8.0</v>
      </c>
      <c r="M1610" s="58" t="s">
        <v>95</v>
      </c>
      <c r="N1610" s="59"/>
      <c r="O1610" s="60" t="s">
        <v>149</v>
      </c>
      <c r="P1610" s="61"/>
    </row>
    <row r="1611">
      <c r="A1611" s="29" t="s">
        <v>1794</v>
      </c>
      <c r="B1611" s="30" t="s">
        <v>45</v>
      </c>
      <c r="C1611" s="31" t="s">
        <v>26</v>
      </c>
      <c r="D1611" s="32" t="str">
        <f t="shared" si="1"/>
        <v>Removed</v>
      </c>
      <c r="E1611" s="33">
        <v>44725.0</v>
      </c>
      <c r="F1611" s="34">
        <v>45005.0</v>
      </c>
      <c r="G1611" s="36">
        <f t="shared" si="2"/>
        <v>9.233333333</v>
      </c>
      <c r="H1611" s="37">
        <v>42856.0</v>
      </c>
      <c r="I1611" s="36">
        <f t="shared" si="4"/>
        <v>5.116666667</v>
      </c>
      <c r="J1611" s="38">
        <v>65.0</v>
      </c>
      <c r="K1611" s="39">
        <v>5.2</v>
      </c>
      <c r="L1611" s="38">
        <v>3.0</v>
      </c>
      <c r="M1611" s="40" t="s">
        <v>29</v>
      </c>
      <c r="N1611" s="41"/>
      <c r="O1611" s="42" t="s">
        <v>149</v>
      </c>
      <c r="P1611" s="43"/>
    </row>
    <row r="1612">
      <c r="A1612" s="44" t="s">
        <v>1795</v>
      </c>
      <c r="B1612" s="45" t="s">
        <v>45</v>
      </c>
      <c r="C1612" s="46" t="s">
        <v>26</v>
      </c>
      <c r="D1612" s="47" t="str">
        <f t="shared" si="1"/>
        <v>Removed</v>
      </c>
      <c r="E1612" s="48">
        <v>44725.0</v>
      </c>
      <c r="F1612" s="49">
        <v>45005.0</v>
      </c>
      <c r="G1612" s="50">
        <f t="shared" si="2"/>
        <v>9.233333333</v>
      </c>
      <c r="H1612" s="51">
        <v>43172.0</v>
      </c>
      <c r="I1612" s="50">
        <f t="shared" si="4"/>
        <v>4.25</v>
      </c>
      <c r="J1612" s="55">
        <v>76.0</v>
      </c>
      <c r="K1612" s="56">
        <v>7.7</v>
      </c>
      <c r="L1612" s="55">
        <v>11.0</v>
      </c>
      <c r="M1612" s="58" t="s">
        <v>42</v>
      </c>
      <c r="N1612" s="59"/>
      <c r="O1612" s="60" t="s">
        <v>149</v>
      </c>
      <c r="P1612" s="61"/>
    </row>
    <row r="1613">
      <c r="A1613" s="29" t="s">
        <v>1796</v>
      </c>
      <c r="B1613" s="30" t="s">
        <v>45</v>
      </c>
      <c r="C1613" s="31" t="s">
        <v>26</v>
      </c>
      <c r="D1613" s="32" t="str">
        <f t="shared" si="1"/>
        <v>Removed</v>
      </c>
      <c r="E1613" s="33">
        <v>44725.0</v>
      </c>
      <c r="F1613" s="34">
        <v>45005.0</v>
      </c>
      <c r="G1613" s="36">
        <f t="shared" si="2"/>
        <v>9.233333333</v>
      </c>
      <c r="H1613" s="37">
        <v>44187.0</v>
      </c>
      <c r="I1613" s="36">
        <f t="shared" si="4"/>
        <v>1.475</v>
      </c>
      <c r="J1613" s="38">
        <v>60.0</v>
      </c>
      <c r="K1613" s="39">
        <v>5.7</v>
      </c>
      <c r="L1613" s="76"/>
      <c r="M1613" s="40" t="s">
        <v>114</v>
      </c>
      <c r="N1613" s="41"/>
      <c r="O1613" s="42" t="s">
        <v>149</v>
      </c>
      <c r="P1613" s="43" t="s">
        <v>149</v>
      </c>
    </row>
    <row r="1614">
      <c r="A1614" s="44" t="s">
        <v>1797</v>
      </c>
      <c r="B1614" s="45" t="s">
        <v>45</v>
      </c>
      <c r="C1614" s="46" t="s">
        <v>26</v>
      </c>
      <c r="D1614" s="47" t="str">
        <f t="shared" si="1"/>
        <v>Removed</v>
      </c>
      <c r="E1614" s="48">
        <v>44725.0</v>
      </c>
      <c r="F1614" s="49">
        <v>45005.0</v>
      </c>
      <c r="G1614" s="50">
        <f t="shared" si="2"/>
        <v>9.233333333</v>
      </c>
      <c r="H1614" s="51">
        <v>41883.0</v>
      </c>
      <c r="I1614" s="50">
        <f t="shared" si="4"/>
        <v>7.783333333</v>
      </c>
      <c r="J1614" s="55">
        <v>79.0</v>
      </c>
      <c r="K1614" s="56">
        <v>7.3</v>
      </c>
      <c r="L1614" s="55">
        <v>4.0</v>
      </c>
      <c r="M1614" s="58" t="s">
        <v>29</v>
      </c>
      <c r="N1614" s="59"/>
      <c r="O1614" s="60" t="s">
        <v>149</v>
      </c>
      <c r="P1614" s="61"/>
    </row>
    <row r="1615">
      <c r="A1615" s="29" t="s">
        <v>1798</v>
      </c>
      <c r="B1615" s="30" t="s">
        <v>45</v>
      </c>
      <c r="C1615" s="31" t="s">
        <v>26</v>
      </c>
      <c r="D1615" s="32" t="str">
        <f t="shared" si="1"/>
        <v>Removed</v>
      </c>
      <c r="E1615" s="33">
        <v>44725.0</v>
      </c>
      <c r="F1615" s="34">
        <v>45005.0</v>
      </c>
      <c r="G1615" s="36">
        <f t="shared" si="2"/>
        <v>9.233333333</v>
      </c>
      <c r="H1615" s="37">
        <v>42209.0</v>
      </c>
      <c r="I1615" s="36">
        <f t="shared" si="4"/>
        <v>6.886111111</v>
      </c>
      <c r="J1615" s="38">
        <v>76.0</v>
      </c>
      <c r="K1615" s="39">
        <v>7.0</v>
      </c>
      <c r="L1615" s="38">
        <v>13.0</v>
      </c>
      <c r="M1615" s="40" t="s">
        <v>42</v>
      </c>
      <c r="N1615" s="41"/>
      <c r="O1615" s="42" t="s">
        <v>149</v>
      </c>
      <c r="P1615" s="43" t="s">
        <v>149</v>
      </c>
    </row>
    <row r="1616">
      <c r="A1616" s="44" t="s">
        <v>1799</v>
      </c>
      <c r="B1616" s="45" t="s">
        <v>45</v>
      </c>
      <c r="C1616" s="46" t="s">
        <v>26</v>
      </c>
      <c r="D1616" s="47" t="str">
        <f t="shared" si="1"/>
        <v>Removed</v>
      </c>
      <c r="E1616" s="48">
        <v>42922.0</v>
      </c>
      <c r="F1616" s="49">
        <v>45005.0</v>
      </c>
      <c r="G1616" s="50">
        <f t="shared" si="2"/>
        <v>68.46666667</v>
      </c>
      <c r="H1616" s="51">
        <v>42491.0</v>
      </c>
      <c r="I1616" s="50">
        <f t="shared" si="4"/>
        <v>1.180555556</v>
      </c>
      <c r="J1616" s="55">
        <v>68.0</v>
      </c>
      <c r="K1616" s="56">
        <v>6.9</v>
      </c>
      <c r="L1616" s="55">
        <v>16.0</v>
      </c>
      <c r="M1616" s="58" t="s">
        <v>29</v>
      </c>
      <c r="N1616" s="59"/>
      <c r="O1616" s="60" t="s">
        <v>149</v>
      </c>
      <c r="P1616" s="61"/>
    </row>
    <row r="1617">
      <c r="A1617" s="29" t="s">
        <v>1800</v>
      </c>
      <c r="B1617" s="30" t="s">
        <v>45</v>
      </c>
      <c r="C1617" s="31" t="s">
        <v>26</v>
      </c>
      <c r="D1617" s="32" t="str">
        <f t="shared" si="1"/>
        <v>Removed</v>
      </c>
      <c r="E1617" s="33">
        <v>42922.0</v>
      </c>
      <c r="F1617" s="34">
        <v>45005.0</v>
      </c>
      <c r="G1617" s="36">
        <f t="shared" si="2"/>
        <v>68.46666667</v>
      </c>
      <c r="H1617" s="37">
        <v>42186.0</v>
      </c>
      <c r="I1617" s="36">
        <f t="shared" si="4"/>
        <v>2.013888889</v>
      </c>
      <c r="J1617" s="38">
        <v>68.0</v>
      </c>
      <c r="K1617" s="39">
        <v>6.0</v>
      </c>
      <c r="L1617" s="76"/>
      <c r="M1617" s="40" t="s">
        <v>217</v>
      </c>
      <c r="N1617" s="41"/>
      <c r="O1617" s="42" t="s">
        <v>34</v>
      </c>
      <c r="P1617" s="43"/>
    </row>
    <row r="1618">
      <c r="A1618" s="44" t="s">
        <v>1801</v>
      </c>
      <c r="B1618" s="45" t="s">
        <v>45</v>
      </c>
      <c r="C1618" s="46" t="s">
        <v>26</v>
      </c>
      <c r="D1618" s="47" t="str">
        <f t="shared" si="1"/>
        <v>Removed</v>
      </c>
      <c r="E1618" s="48">
        <v>44929.0</v>
      </c>
      <c r="F1618" s="49">
        <v>44998.0</v>
      </c>
      <c r="G1618" s="50">
        <f t="shared" si="2"/>
        <v>2.333333333</v>
      </c>
      <c r="H1618" s="51">
        <v>44628.0</v>
      </c>
      <c r="I1618" s="50">
        <f t="shared" si="4"/>
        <v>0.8194444444</v>
      </c>
      <c r="J1618" s="55">
        <v>76.0</v>
      </c>
      <c r="K1618" s="56">
        <v>6.1</v>
      </c>
      <c r="L1618" s="55">
        <v>4.0</v>
      </c>
      <c r="M1618" s="58" t="s">
        <v>114</v>
      </c>
      <c r="N1618" s="59"/>
      <c r="O1618" s="60" t="s">
        <v>149</v>
      </c>
      <c r="P1618" s="61"/>
    </row>
    <row r="1619">
      <c r="A1619" s="29" t="s">
        <v>1802</v>
      </c>
      <c r="B1619" s="30" t="s">
        <v>25</v>
      </c>
      <c r="C1619" s="31" t="s">
        <v>1089</v>
      </c>
      <c r="D1619" s="32" t="str">
        <f t="shared" si="1"/>
        <v>Removed</v>
      </c>
      <c r="E1619" s="33">
        <v>44964.0</v>
      </c>
      <c r="F1619" s="34">
        <v>44991.0</v>
      </c>
      <c r="G1619" s="36">
        <f t="shared" si="2"/>
        <v>0.9666666667</v>
      </c>
      <c r="H1619" s="37">
        <v>44145.0</v>
      </c>
      <c r="I1619" s="36">
        <f t="shared" si="4"/>
        <v>2.241666667</v>
      </c>
      <c r="J1619" s="38">
        <v>76.0</v>
      </c>
      <c r="K1619" s="39">
        <v>3.9</v>
      </c>
      <c r="L1619" s="38">
        <v>6.0</v>
      </c>
      <c r="M1619" s="40" t="s">
        <v>31</v>
      </c>
      <c r="N1619" s="41"/>
      <c r="O1619" s="42" t="s">
        <v>34</v>
      </c>
      <c r="P1619" s="43"/>
    </row>
    <row r="1620">
      <c r="A1620" s="44" t="s">
        <v>1803</v>
      </c>
      <c r="B1620" s="45" t="s">
        <v>25</v>
      </c>
      <c r="C1620" s="46" t="s">
        <v>1089</v>
      </c>
      <c r="D1620" s="47" t="str">
        <f t="shared" si="1"/>
        <v>Removed</v>
      </c>
      <c r="E1620" s="48">
        <v>44964.0</v>
      </c>
      <c r="F1620" s="49">
        <v>44991.0</v>
      </c>
      <c r="G1620" s="50">
        <f t="shared" si="2"/>
        <v>0.9666666667</v>
      </c>
      <c r="H1620" s="51">
        <v>44694.0</v>
      </c>
      <c r="I1620" s="50">
        <f t="shared" si="4"/>
        <v>0.7333333333</v>
      </c>
      <c r="J1620" s="55">
        <v>72.0</v>
      </c>
      <c r="K1620" s="56">
        <v>7.5</v>
      </c>
      <c r="L1620" s="55">
        <v>4.0</v>
      </c>
      <c r="M1620" s="58" t="s">
        <v>29</v>
      </c>
      <c r="N1620" s="59"/>
      <c r="O1620" s="60" t="s">
        <v>34</v>
      </c>
      <c r="P1620" s="61"/>
    </row>
    <row r="1621">
      <c r="A1621" s="29" t="s">
        <v>1804</v>
      </c>
      <c r="B1621" s="30" t="s">
        <v>25</v>
      </c>
      <c r="C1621" s="31" t="s">
        <v>1089</v>
      </c>
      <c r="D1621" s="32" t="str">
        <f t="shared" si="1"/>
        <v>Removed</v>
      </c>
      <c r="E1621" s="33">
        <v>44964.0</v>
      </c>
      <c r="F1621" s="34">
        <v>44991.0</v>
      </c>
      <c r="G1621" s="36">
        <f t="shared" si="2"/>
        <v>0.9666666667</v>
      </c>
      <c r="H1621" s="37">
        <v>44600.0</v>
      </c>
      <c r="I1621" s="36">
        <f t="shared" si="4"/>
        <v>0.9972222222</v>
      </c>
      <c r="J1621" s="38">
        <v>86.0</v>
      </c>
      <c r="K1621" s="39">
        <v>7.8</v>
      </c>
      <c r="L1621" s="38">
        <v>6.0</v>
      </c>
      <c r="M1621" s="40" t="s">
        <v>27</v>
      </c>
      <c r="N1621" s="41"/>
      <c r="O1621" s="42" t="s">
        <v>34</v>
      </c>
      <c r="P1621" s="43"/>
    </row>
    <row r="1622">
      <c r="A1622" s="44" t="s">
        <v>1805</v>
      </c>
      <c r="B1622" s="45" t="s">
        <v>45</v>
      </c>
      <c r="C1622" s="46" t="s">
        <v>1089</v>
      </c>
      <c r="D1622" s="47" t="str">
        <f t="shared" si="1"/>
        <v>Removed</v>
      </c>
      <c r="E1622" s="48">
        <v>44964.0</v>
      </c>
      <c r="F1622" s="49">
        <v>44991.0</v>
      </c>
      <c r="G1622" s="50">
        <f t="shared" si="2"/>
        <v>0.9666666667</v>
      </c>
      <c r="H1622" s="51">
        <v>44099.0</v>
      </c>
      <c r="I1622" s="50">
        <f t="shared" si="4"/>
        <v>2.366666667</v>
      </c>
      <c r="J1622" s="55">
        <v>76.0</v>
      </c>
      <c r="K1622" s="56">
        <v>7.0</v>
      </c>
      <c r="L1622" s="55">
        <v>11.0</v>
      </c>
      <c r="M1622" s="58" t="s">
        <v>31</v>
      </c>
      <c r="N1622" s="59"/>
      <c r="O1622" s="60" t="s">
        <v>34</v>
      </c>
      <c r="P1622" s="61"/>
    </row>
    <row r="1623">
      <c r="A1623" s="29" t="s">
        <v>1806</v>
      </c>
      <c r="B1623" s="30" t="s">
        <v>25</v>
      </c>
      <c r="C1623" s="31" t="s">
        <v>26</v>
      </c>
      <c r="D1623" s="32" t="str">
        <f t="shared" si="1"/>
        <v>Removed</v>
      </c>
      <c r="E1623" s="33">
        <v>44852.0</v>
      </c>
      <c r="F1623" s="34">
        <v>44977.0</v>
      </c>
      <c r="G1623" s="36">
        <f t="shared" si="2"/>
        <v>4.066666667</v>
      </c>
      <c r="H1623" s="37">
        <v>44511.0</v>
      </c>
      <c r="I1623" s="36">
        <f t="shared" si="4"/>
        <v>0.9361111111</v>
      </c>
      <c r="J1623" s="38">
        <v>54.0</v>
      </c>
      <c r="K1623" s="39">
        <v>2.4</v>
      </c>
      <c r="L1623" s="38">
        <v>18.0</v>
      </c>
      <c r="M1623" s="40" t="s">
        <v>31</v>
      </c>
      <c r="N1623" s="41"/>
      <c r="O1623" s="42" t="s">
        <v>149</v>
      </c>
      <c r="P1623" s="43"/>
    </row>
    <row r="1624">
      <c r="A1624" s="44" t="s">
        <v>54</v>
      </c>
      <c r="B1624" s="45" t="s">
        <v>45</v>
      </c>
      <c r="C1624" s="46" t="s">
        <v>26</v>
      </c>
      <c r="D1624" s="47" t="str">
        <f t="shared" si="1"/>
        <v>Removed</v>
      </c>
      <c r="E1624" s="48">
        <v>44789.0</v>
      </c>
      <c r="F1624" s="49">
        <v>44977.0</v>
      </c>
      <c r="G1624" s="50">
        <f t="shared" si="2"/>
        <v>6.133333333</v>
      </c>
      <c r="H1624" s="51">
        <v>43511.0</v>
      </c>
      <c r="I1624" s="50">
        <f t="shared" si="4"/>
        <v>3.502777778</v>
      </c>
      <c r="J1624" s="55">
        <v>83.0</v>
      </c>
      <c r="K1624" s="56">
        <v>7.9</v>
      </c>
      <c r="L1624" s="55">
        <v>15.0</v>
      </c>
      <c r="M1624" s="58" t="s">
        <v>31</v>
      </c>
      <c r="N1624" s="59"/>
      <c r="O1624" s="60" t="s">
        <v>149</v>
      </c>
      <c r="P1624" s="61"/>
    </row>
    <row r="1625">
      <c r="A1625" s="29" t="s">
        <v>1807</v>
      </c>
      <c r="B1625" s="30" t="s">
        <v>45</v>
      </c>
      <c r="C1625" s="31" t="s">
        <v>26</v>
      </c>
      <c r="D1625" s="32" t="str">
        <f t="shared" si="1"/>
        <v>Removed</v>
      </c>
      <c r="E1625" s="33">
        <v>44725.0</v>
      </c>
      <c r="F1625" s="34">
        <v>44977.0</v>
      </c>
      <c r="G1625" s="36">
        <f t="shared" si="2"/>
        <v>8.233333333</v>
      </c>
      <c r="H1625" s="37">
        <v>42401.0</v>
      </c>
      <c r="I1625" s="36">
        <f t="shared" si="4"/>
        <v>6.366666667</v>
      </c>
      <c r="J1625" s="38">
        <v>68.0</v>
      </c>
      <c r="K1625" s="39">
        <v>6.6</v>
      </c>
      <c r="L1625" s="38">
        <v>7.0</v>
      </c>
      <c r="M1625" s="40" t="s">
        <v>29</v>
      </c>
      <c r="N1625" s="41"/>
      <c r="O1625" s="42" t="s">
        <v>149</v>
      </c>
      <c r="P1625" s="43"/>
    </row>
    <row r="1626">
      <c r="A1626" s="44" t="s">
        <v>1808</v>
      </c>
      <c r="B1626" s="45" t="s">
        <v>45</v>
      </c>
      <c r="C1626" s="46" t="s">
        <v>26</v>
      </c>
      <c r="D1626" s="47" t="str">
        <f t="shared" si="1"/>
        <v>Removed</v>
      </c>
      <c r="E1626" s="48">
        <v>44725.0</v>
      </c>
      <c r="F1626" s="49">
        <v>44977.0</v>
      </c>
      <c r="G1626" s="50">
        <f t="shared" si="2"/>
        <v>8.233333333</v>
      </c>
      <c r="H1626" s="51">
        <v>43160.0</v>
      </c>
      <c r="I1626" s="50">
        <f t="shared" si="4"/>
        <v>4.283333333</v>
      </c>
      <c r="J1626" s="55">
        <v>68.0</v>
      </c>
      <c r="K1626" s="56">
        <v>5.8</v>
      </c>
      <c r="L1626" s="78"/>
      <c r="M1626" s="58" t="s">
        <v>70</v>
      </c>
      <c r="N1626" s="59"/>
      <c r="O1626" s="60" t="s">
        <v>149</v>
      </c>
      <c r="P1626" s="61"/>
    </row>
    <row r="1627">
      <c r="A1627" s="29" t="s">
        <v>1809</v>
      </c>
      <c r="B1627" s="30" t="s">
        <v>45</v>
      </c>
      <c r="C1627" s="31" t="s">
        <v>26</v>
      </c>
      <c r="D1627" s="32" t="str">
        <f t="shared" si="1"/>
        <v>Removed</v>
      </c>
      <c r="E1627" s="33">
        <v>44725.0</v>
      </c>
      <c r="F1627" s="34">
        <v>44977.0</v>
      </c>
      <c r="G1627" s="36">
        <f t="shared" si="2"/>
        <v>8.233333333</v>
      </c>
      <c r="H1627" s="37">
        <v>43132.0</v>
      </c>
      <c r="I1627" s="36">
        <f t="shared" si="4"/>
        <v>4.366666667</v>
      </c>
      <c r="J1627" s="38">
        <v>65.0</v>
      </c>
      <c r="K1627" s="39">
        <v>6.3</v>
      </c>
      <c r="L1627" s="38">
        <v>7.0</v>
      </c>
      <c r="M1627" s="40" t="s">
        <v>27</v>
      </c>
      <c r="N1627" s="41"/>
      <c r="O1627" s="42" t="s">
        <v>149</v>
      </c>
      <c r="P1627" s="43" t="s">
        <v>149</v>
      </c>
    </row>
    <row r="1628">
      <c r="A1628" s="44" t="s">
        <v>1810</v>
      </c>
      <c r="B1628" s="45" t="s">
        <v>45</v>
      </c>
      <c r="C1628" s="46" t="s">
        <v>26</v>
      </c>
      <c r="D1628" s="47" t="str">
        <f t="shared" si="1"/>
        <v>Removed</v>
      </c>
      <c r="E1628" s="48">
        <v>44725.0</v>
      </c>
      <c r="F1628" s="49">
        <v>44977.0</v>
      </c>
      <c r="G1628" s="50">
        <f t="shared" si="2"/>
        <v>8.233333333</v>
      </c>
      <c r="H1628" s="51">
        <v>40969.0</v>
      </c>
      <c r="I1628" s="50">
        <f t="shared" si="4"/>
        <v>10.28333333</v>
      </c>
      <c r="J1628" s="55">
        <v>78.0</v>
      </c>
      <c r="K1628" s="56">
        <v>7.4</v>
      </c>
      <c r="L1628" s="55">
        <v>4.0</v>
      </c>
      <c r="M1628" s="58" t="s">
        <v>29</v>
      </c>
      <c r="N1628" s="59"/>
      <c r="O1628" s="60" t="s">
        <v>149</v>
      </c>
      <c r="P1628" s="61" t="s">
        <v>149</v>
      </c>
    </row>
    <row r="1629">
      <c r="A1629" s="29" t="s">
        <v>1811</v>
      </c>
      <c r="B1629" s="30" t="s">
        <v>45</v>
      </c>
      <c r="C1629" s="31" t="s">
        <v>26</v>
      </c>
      <c r="D1629" s="32" t="str">
        <f t="shared" si="1"/>
        <v>Removed</v>
      </c>
      <c r="E1629" s="33">
        <v>44725.0</v>
      </c>
      <c r="F1629" s="34">
        <v>44977.0</v>
      </c>
      <c r="G1629" s="36">
        <f t="shared" si="2"/>
        <v>8.233333333</v>
      </c>
      <c r="H1629" s="37">
        <v>44406.0</v>
      </c>
      <c r="I1629" s="36">
        <f t="shared" si="4"/>
        <v>0.8722222222</v>
      </c>
      <c r="J1629" s="38">
        <v>64.0</v>
      </c>
      <c r="K1629" s="39">
        <v>6.8</v>
      </c>
      <c r="L1629" s="76"/>
      <c r="M1629" s="40" t="s">
        <v>95</v>
      </c>
      <c r="N1629" s="41"/>
      <c r="O1629" s="42" t="s">
        <v>149</v>
      </c>
      <c r="P1629" s="43" t="s">
        <v>149</v>
      </c>
    </row>
    <row r="1630">
      <c r="A1630" s="44" t="s">
        <v>1812</v>
      </c>
      <c r="B1630" s="45" t="s">
        <v>45</v>
      </c>
      <c r="C1630" s="46" t="s">
        <v>26</v>
      </c>
      <c r="D1630" s="47" t="str">
        <f t="shared" si="1"/>
        <v>Removed</v>
      </c>
      <c r="E1630" s="48">
        <v>44725.0</v>
      </c>
      <c r="F1630" s="49">
        <v>44977.0</v>
      </c>
      <c r="G1630" s="50">
        <f t="shared" si="2"/>
        <v>8.233333333</v>
      </c>
      <c r="H1630" s="51">
        <v>42186.0</v>
      </c>
      <c r="I1630" s="50">
        <f t="shared" si="4"/>
        <v>6.95</v>
      </c>
      <c r="J1630" s="55">
        <v>66.0</v>
      </c>
      <c r="K1630" s="56">
        <v>6.8</v>
      </c>
      <c r="L1630" s="78"/>
      <c r="M1630" s="58" t="s">
        <v>136</v>
      </c>
      <c r="N1630" s="59"/>
      <c r="O1630" s="60" t="s">
        <v>34</v>
      </c>
      <c r="P1630" s="61"/>
    </row>
    <row r="1631">
      <c r="A1631" s="29" t="s">
        <v>1813</v>
      </c>
      <c r="B1631" s="30" t="s">
        <v>45</v>
      </c>
      <c r="C1631" s="31" t="s">
        <v>26</v>
      </c>
      <c r="D1631" s="32" t="str">
        <f t="shared" si="1"/>
        <v>Removed</v>
      </c>
      <c r="E1631" s="33">
        <v>44725.0</v>
      </c>
      <c r="F1631" s="34">
        <v>44977.0</v>
      </c>
      <c r="G1631" s="36">
        <f t="shared" si="2"/>
        <v>8.233333333</v>
      </c>
      <c r="H1631" s="37">
        <v>42598.0</v>
      </c>
      <c r="I1631" s="36">
        <f t="shared" si="4"/>
        <v>5.825</v>
      </c>
      <c r="J1631" s="38">
        <v>79.0</v>
      </c>
      <c r="K1631" s="39">
        <v>7.4</v>
      </c>
      <c r="L1631" s="38">
        <v>5.0</v>
      </c>
      <c r="M1631" s="40" t="s">
        <v>136</v>
      </c>
      <c r="N1631" s="41"/>
      <c r="O1631" s="42" t="s">
        <v>149</v>
      </c>
      <c r="P1631" s="43"/>
    </row>
    <row r="1632">
      <c r="A1632" s="44" t="s">
        <v>1814</v>
      </c>
      <c r="B1632" s="45" t="s">
        <v>25</v>
      </c>
      <c r="C1632" s="46" t="s">
        <v>46</v>
      </c>
      <c r="D1632" s="47" t="str">
        <f t="shared" si="1"/>
        <v>Removed</v>
      </c>
      <c r="E1632" s="48">
        <v>44725.0</v>
      </c>
      <c r="F1632" s="49">
        <v>44977.0</v>
      </c>
      <c r="G1632" s="50">
        <f t="shared" si="2"/>
        <v>8.233333333</v>
      </c>
      <c r="H1632" s="51">
        <v>43973.0</v>
      </c>
      <c r="I1632" s="50">
        <f t="shared" si="4"/>
        <v>2.058333333</v>
      </c>
      <c r="J1632" s="55">
        <v>72.0</v>
      </c>
      <c r="K1632" s="56">
        <v>7.4</v>
      </c>
      <c r="L1632" s="55">
        <v>15.0</v>
      </c>
      <c r="M1632" s="58" t="s">
        <v>29</v>
      </c>
      <c r="N1632" s="59" t="s">
        <v>442</v>
      </c>
      <c r="O1632" s="60" t="s">
        <v>34</v>
      </c>
      <c r="P1632" s="66"/>
    </row>
    <row r="1633">
      <c r="A1633" s="29" t="s">
        <v>1815</v>
      </c>
      <c r="B1633" s="30" t="s">
        <v>45</v>
      </c>
      <c r="C1633" s="31" t="s">
        <v>26</v>
      </c>
      <c r="D1633" s="32" t="str">
        <f t="shared" si="1"/>
        <v>Removed</v>
      </c>
      <c r="E1633" s="33">
        <v>42955.0</v>
      </c>
      <c r="F1633" s="34">
        <v>44977.0</v>
      </c>
      <c r="G1633" s="36">
        <f t="shared" si="2"/>
        <v>66.4</v>
      </c>
      <c r="H1633" s="37">
        <v>42054.0</v>
      </c>
      <c r="I1633" s="36">
        <f t="shared" si="4"/>
        <v>2.469444444</v>
      </c>
      <c r="J1633" s="38">
        <v>72.0</v>
      </c>
      <c r="K1633" s="39">
        <v>7.6</v>
      </c>
      <c r="L1633" s="38">
        <v>13.0</v>
      </c>
      <c r="M1633" s="40" t="s">
        <v>555</v>
      </c>
      <c r="N1633" s="41"/>
      <c r="O1633" s="42" t="s">
        <v>149</v>
      </c>
      <c r="P1633" s="43"/>
    </row>
    <row r="1634">
      <c r="A1634" s="44" t="s">
        <v>1816</v>
      </c>
      <c r="B1634" s="45" t="s">
        <v>45</v>
      </c>
      <c r="C1634" s="46" t="s">
        <v>26</v>
      </c>
      <c r="D1634" s="47" t="str">
        <f t="shared" si="1"/>
        <v>Removed</v>
      </c>
      <c r="E1634" s="48">
        <v>42922.0</v>
      </c>
      <c r="F1634" s="49">
        <v>44977.0</v>
      </c>
      <c r="G1634" s="50">
        <f t="shared" si="2"/>
        <v>67.46666667</v>
      </c>
      <c r="H1634" s="51">
        <v>42156.0</v>
      </c>
      <c r="I1634" s="50">
        <f t="shared" si="4"/>
        <v>2.097222222</v>
      </c>
      <c r="J1634" s="55">
        <v>64.0</v>
      </c>
      <c r="K1634" s="56">
        <v>6.7</v>
      </c>
      <c r="L1634" s="55">
        <v>3.0</v>
      </c>
      <c r="M1634" s="58" t="s">
        <v>29</v>
      </c>
      <c r="N1634" s="59"/>
      <c r="O1634" s="60" t="s">
        <v>34</v>
      </c>
      <c r="P1634" s="61"/>
    </row>
    <row r="1635">
      <c r="A1635" s="29" t="s">
        <v>1817</v>
      </c>
      <c r="B1635" s="30" t="s">
        <v>25</v>
      </c>
      <c r="C1635" s="31" t="s">
        <v>1089</v>
      </c>
      <c r="D1635" s="32" t="str">
        <f t="shared" si="1"/>
        <v>Removed</v>
      </c>
      <c r="E1635" s="33">
        <v>44929.0</v>
      </c>
      <c r="F1635" s="34">
        <v>44963.0</v>
      </c>
      <c r="G1635" s="36">
        <f t="shared" si="2"/>
        <v>1.1</v>
      </c>
      <c r="H1635" s="37">
        <v>44419.0</v>
      </c>
      <c r="I1635" s="36">
        <f t="shared" si="4"/>
        <v>1.394444444</v>
      </c>
      <c r="J1635" s="38">
        <v>75.0</v>
      </c>
      <c r="K1635" s="39">
        <v>5.7</v>
      </c>
      <c r="L1635" s="38">
        <v>9.0</v>
      </c>
      <c r="M1635" s="40" t="s">
        <v>27</v>
      </c>
      <c r="N1635" s="41"/>
      <c r="O1635" s="42" t="s">
        <v>34</v>
      </c>
      <c r="P1635" s="43"/>
    </row>
    <row r="1636">
      <c r="A1636" s="44" t="s">
        <v>1818</v>
      </c>
      <c r="B1636" s="45" t="s">
        <v>25</v>
      </c>
      <c r="C1636" s="46" t="s">
        <v>1089</v>
      </c>
      <c r="D1636" s="47" t="str">
        <f t="shared" si="1"/>
        <v>Removed</v>
      </c>
      <c r="E1636" s="48">
        <v>44929.0</v>
      </c>
      <c r="F1636" s="49">
        <v>44963.0</v>
      </c>
      <c r="G1636" s="50">
        <f t="shared" si="2"/>
        <v>1.1</v>
      </c>
      <c r="H1636" s="51">
        <v>43784.0</v>
      </c>
      <c r="I1636" s="50">
        <f t="shared" si="4"/>
        <v>3.133333333</v>
      </c>
      <c r="J1636" s="55">
        <v>79.0</v>
      </c>
      <c r="K1636" s="56">
        <v>7.6</v>
      </c>
      <c r="L1636" s="55">
        <v>17.0</v>
      </c>
      <c r="M1636" s="58" t="s">
        <v>29</v>
      </c>
      <c r="N1636" s="59"/>
      <c r="O1636" s="60" t="s">
        <v>34</v>
      </c>
      <c r="P1636" s="61"/>
    </row>
    <row r="1637">
      <c r="A1637" s="29" t="s">
        <v>567</v>
      </c>
      <c r="B1637" s="30" t="s">
        <v>45</v>
      </c>
      <c r="C1637" s="31" t="s">
        <v>1089</v>
      </c>
      <c r="D1637" s="32" t="str">
        <f t="shared" si="1"/>
        <v>Removed</v>
      </c>
      <c r="E1637" s="33">
        <v>44929.0</v>
      </c>
      <c r="F1637" s="34">
        <v>44963.0</v>
      </c>
      <c r="G1637" s="36">
        <f t="shared" si="2"/>
        <v>1.1</v>
      </c>
      <c r="H1637" s="37">
        <v>43418.0</v>
      </c>
      <c r="I1637" s="36">
        <f t="shared" si="4"/>
        <v>4.136111111</v>
      </c>
      <c r="J1637" s="38">
        <v>53.0</v>
      </c>
      <c r="K1637" s="39">
        <v>2.8</v>
      </c>
      <c r="L1637" s="38">
        <v>33.0</v>
      </c>
      <c r="M1637" s="40" t="s">
        <v>31</v>
      </c>
      <c r="N1637" s="41"/>
      <c r="O1637" s="42" t="s">
        <v>34</v>
      </c>
      <c r="P1637" s="43"/>
    </row>
    <row r="1638">
      <c r="A1638" s="44" t="s">
        <v>1819</v>
      </c>
      <c r="B1638" s="45" t="s">
        <v>45</v>
      </c>
      <c r="C1638" s="46" t="s">
        <v>26</v>
      </c>
      <c r="D1638" s="47" t="str">
        <f t="shared" si="1"/>
        <v>Removed</v>
      </c>
      <c r="E1638" s="48">
        <v>44725.0</v>
      </c>
      <c r="F1638" s="49">
        <v>44943.0</v>
      </c>
      <c r="G1638" s="50">
        <f t="shared" si="2"/>
        <v>7.133333333</v>
      </c>
      <c r="H1638" s="51">
        <v>41509.0</v>
      </c>
      <c r="I1638" s="50">
        <f t="shared" si="4"/>
        <v>8.805555556</v>
      </c>
      <c r="J1638" s="55">
        <v>80.0</v>
      </c>
      <c r="K1638" s="56">
        <v>7.1</v>
      </c>
      <c r="L1638" s="55">
        <v>4.5</v>
      </c>
      <c r="M1638" s="58" t="s">
        <v>27</v>
      </c>
      <c r="N1638" s="59"/>
      <c r="O1638" s="60" t="s">
        <v>149</v>
      </c>
      <c r="P1638" s="61"/>
    </row>
    <row r="1639">
      <c r="A1639" s="29" t="s">
        <v>1820</v>
      </c>
      <c r="B1639" s="30" t="s">
        <v>45</v>
      </c>
      <c r="C1639" s="31" t="s">
        <v>26</v>
      </c>
      <c r="D1639" s="32" t="str">
        <f t="shared" si="1"/>
        <v>Removed</v>
      </c>
      <c r="E1639" s="33">
        <v>44725.0</v>
      </c>
      <c r="F1639" s="34">
        <v>44943.0</v>
      </c>
      <c r="G1639" s="36">
        <f t="shared" si="2"/>
        <v>7.133333333</v>
      </c>
      <c r="H1639" s="37">
        <v>42461.0</v>
      </c>
      <c r="I1639" s="36">
        <f t="shared" si="4"/>
        <v>6.2</v>
      </c>
      <c r="J1639" s="38">
        <v>74.0</v>
      </c>
      <c r="K1639" s="39">
        <v>7.3</v>
      </c>
      <c r="L1639" s="38">
        <v>4.5</v>
      </c>
      <c r="M1639" s="40" t="s">
        <v>136</v>
      </c>
      <c r="N1639" s="41"/>
      <c r="O1639" s="42" t="s">
        <v>149</v>
      </c>
      <c r="P1639" s="43"/>
    </row>
    <row r="1640">
      <c r="A1640" s="44" t="s">
        <v>1821</v>
      </c>
      <c r="B1640" s="45" t="s">
        <v>45</v>
      </c>
      <c r="C1640" s="46" t="s">
        <v>26</v>
      </c>
      <c r="D1640" s="47" t="str">
        <f t="shared" si="1"/>
        <v>Removed</v>
      </c>
      <c r="E1640" s="48">
        <v>44725.0</v>
      </c>
      <c r="F1640" s="49">
        <v>44943.0</v>
      </c>
      <c r="G1640" s="50">
        <f t="shared" si="2"/>
        <v>7.133333333</v>
      </c>
      <c r="H1640" s="51">
        <v>43200.0</v>
      </c>
      <c r="I1640" s="50">
        <f t="shared" si="4"/>
        <v>4.175</v>
      </c>
      <c r="J1640" s="55">
        <v>67.0</v>
      </c>
      <c r="K1640" s="56">
        <v>6.9</v>
      </c>
      <c r="L1640" s="55">
        <v>13.0</v>
      </c>
      <c r="M1640" s="58" t="s">
        <v>103</v>
      </c>
      <c r="N1640" s="59"/>
      <c r="O1640" s="60" t="s">
        <v>149</v>
      </c>
      <c r="P1640" s="61"/>
    </row>
    <row r="1641">
      <c r="A1641" s="29" t="s">
        <v>1822</v>
      </c>
      <c r="B1641" s="30" t="s">
        <v>45</v>
      </c>
      <c r="C1641" s="31" t="s">
        <v>26</v>
      </c>
      <c r="D1641" s="32" t="str">
        <f t="shared" si="1"/>
        <v>Removed</v>
      </c>
      <c r="E1641" s="33">
        <v>44725.0</v>
      </c>
      <c r="F1641" s="34">
        <v>44943.0</v>
      </c>
      <c r="G1641" s="36">
        <f t="shared" si="2"/>
        <v>7.133333333</v>
      </c>
      <c r="H1641" s="37">
        <v>42614.0</v>
      </c>
      <c r="I1641" s="36">
        <f t="shared" si="4"/>
        <v>5.783333333</v>
      </c>
      <c r="J1641" s="38">
        <v>77.0</v>
      </c>
      <c r="K1641" s="39">
        <v>7.1</v>
      </c>
      <c r="L1641" s="38">
        <v>6.0</v>
      </c>
      <c r="M1641" s="40" t="s">
        <v>27</v>
      </c>
      <c r="N1641" s="41"/>
      <c r="O1641" s="42" t="s">
        <v>149</v>
      </c>
      <c r="P1641" s="43"/>
    </row>
    <row r="1642">
      <c r="A1642" s="44" t="s">
        <v>1823</v>
      </c>
      <c r="B1642" s="45" t="s">
        <v>45</v>
      </c>
      <c r="C1642" s="46" t="s">
        <v>26</v>
      </c>
      <c r="D1642" s="47" t="str">
        <f t="shared" si="1"/>
        <v>Removed</v>
      </c>
      <c r="E1642" s="48">
        <v>44725.0</v>
      </c>
      <c r="F1642" s="49">
        <v>44943.0</v>
      </c>
      <c r="G1642" s="50">
        <f t="shared" si="2"/>
        <v>7.133333333</v>
      </c>
      <c r="H1642" s="51">
        <v>42826.0</v>
      </c>
      <c r="I1642" s="50">
        <f t="shared" si="4"/>
        <v>5.2</v>
      </c>
      <c r="J1642" s="55">
        <v>68.0</v>
      </c>
      <c r="K1642" s="56">
        <v>6.5</v>
      </c>
      <c r="L1642" s="55">
        <v>16.0</v>
      </c>
      <c r="M1642" s="58" t="s">
        <v>42</v>
      </c>
      <c r="N1642" s="59"/>
      <c r="O1642" s="60" t="s">
        <v>149</v>
      </c>
      <c r="P1642" s="61" t="s">
        <v>149</v>
      </c>
    </row>
    <row r="1643">
      <c r="A1643" s="29" t="s">
        <v>1824</v>
      </c>
      <c r="B1643" s="30" t="s">
        <v>45</v>
      </c>
      <c r="C1643" s="31" t="s">
        <v>26</v>
      </c>
      <c r="D1643" s="32" t="str">
        <f t="shared" si="1"/>
        <v>Removed</v>
      </c>
      <c r="E1643" s="33">
        <v>44725.0</v>
      </c>
      <c r="F1643" s="34">
        <v>44943.0</v>
      </c>
      <c r="G1643" s="36">
        <f t="shared" si="2"/>
        <v>7.133333333</v>
      </c>
      <c r="H1643" s="37">
        <v>43382.0</v>
      </c>
      <c r="I1643" s="36">
        <f t="shared" si="4"/>
        <v>3.677777778</v>
      </c>
      <c r="J1643" s="38">
        <v>70.0</v>
      </c>
      <c r="K1643" s="39">
        <v>6.1</v>
      </c>
      <c r="L1643" s="38">
        <v>10.0</v>
      </c>
      <c r="M1643" s="40" t="s">
        <v>103</v>
      </c>
      <c r="N1643" s="41"/>
      <c r="O1643" s="42" t="s">
        <v>149</v>
      </c>
      <c r="P1643" s="43" t="s">
        <v>149</v>
      </c>
    </row>
    <row r="1644">
      <c r="A1644" s="44" t="s">
        <v>1825</v>
      </c>
      <c r="B1644" s="45" t="s">
        <v>45</v>
      </c>
      <c r="C1644" s="46" t="s">
        <v>26</v>
      </c>
      <c r="D1644" s="47" t="str">
        <f t="shared" si="1"/>
        <v>Removed</v>
      </c>
      <c r="E1644" s="48">
        <v>44725.0</v>
      </c>
      <c r="F1644" s="49">
        <v>44943.0</v>
      </c>
      <c r="G1644" s="50">
        <f t="shared" si="2"/>
        <v>7.133333333</v>
      </c>
      <c r="H1644" s="51">
        <v>43172.0</v>
      </c>
      <c r="I1644" s="50">
        <f t="shared" si="4"/>
        <v>4.25</v>
      </c>
      <c r="J1644" s="55">
        <v>72.0</v>
      </c>
      <c r="K1644" s="56">
        <v>7.5</v>
      </c>
      <c r="L1644" s="55">
        <v>13.0</v>
      </c>
      <c r="M1644" s="58" t="s">
        <v>112</v>
      </c>
      <c r="N1644" s="59"/>
      <c r="O1644" s="60" t="s">
        <v>34</v>
      </c>
      <c r="P1644" s="61"/>
    </row>
    <row r="1645">
      <c r="A1645" s="29" t="s">
        <v>1826</v>
      </c>
      <c r="B1645" s="30" t="s">
        <v>45</v>
      </c>
      <c r="C1645" s="31" t="s">
        <v>26</v>
      </c>
      <c r="D1645" s="32" t="str">
        <f t="shared" si="1"/>
        <v>Removed</v>
      </c>
      <c r="E1645" s="33">
        <v>42955.0</v>
      </c>
      <c r="F1645" s="34">
        <v>44943.0</v>
      </c>
      <c r="G1645" s="36">
        <f t="shared" si="2"/>
        <v>65.3</v>
      </c>
      <c r="H1645" s="37">
        <v>42489.0</v>
      </c>
      <c r="I1645" s="36">
        <f t="shared" si="4"/>
        <v>1.275</v>
      </c>
      <c r="J1645" s="38">
        <v>77.0</v>
      </c>
      <c r="K1645" s="39">
        <v>6.6</v>
      </c>
      <c r="L1645" s="38">
        <v>3.0</v>
      </c>
      <c r="M1645" s="40" t="s">
        <v>27</v>
      </c>
      <c r="N1645" s="41"/>
      <c r="O1645" s="42" t="s">
        <v>149</v>
      </c>
      <c r="P1645" s="43" t="s">
        <v>149</v>
      </c>
    </row>
    <row r="1646">
      <c r="A1646" s="44" t="s">
        <v>1827</v>
      </c>
      <c r="B1646" s="45" t="s">
        <v>45</v>
      </c>
      <c r="C1646" s="46" t="s">
        <v>26</v>
      </c>
      <c r="D1646" s="47" t="str">
        <f t="shared" si="1"/>
        <v>Removed</v>
      </c>
      <c r="E1646" s="48">
        <v>42955.0</v>
      </c>
      <c r="F1646" s="49">
        <v>44943.0</v>
      </c>
      <c r="G1646" s="50">
        <f t="shared" si="2"/>
        <v>65.3</v>
      </c>
      <c r="H1646" s="51">
        <v>42248.0</v>
      </c>
      <c r="I1646" s="50">
        <f t="shared" si="4"/>
        <v>1.936111111</v>
      </c>
      <c r="J1646" s="55">
        <v>75.0</v>
      </c>
      <c r="K1646" s="56">
        <v>7.8</v>
      </c>
      <c r="L1646" s="55">
        <v>2.5</v>
      </c>
      <c r="M1646" s="58" t="s">
        <v>136</v>
      </c>
      <c r="N1646" s="59"/>
      <c r="O1646" s="60" t="s">
        <v>149</v>
      </c>
      <c r="P1646" s="61"/>
    </row>
    <row r="1647">
      <c r="A1647" s="29" t="s">
        <v>1828</v>
      </c>
      <c r="B1647" s="30" t="s">
        <v>45</v>
      </c>
      <c r="C1647" s="31" t="s">
        <v>26</v>
      </c>
      <c r="D1647" s="32" t="str">
        <f t="shared" si="1"/>
        <v>Removed</v>
      </c>
      <c r="E1647" s="33">
        <v>42922.0</v>
      </c>
      <c r="F1647" s="34">
        <v>44943.0</v>
      </c>
      <c r="G1647" s="36">
        <f t="shared" si="2"/>
        <v>66.36666667</v>
      </c>
      <c r="H1647" s="37">
        <v>41852.0</v>
      </c>
      <c r="I1647" s="36">
        <f t="shared" si="4"/>
        <v>2.930555556</v>
      </c>
      <c r="J1647" s="38">
        <v>69.0</v>
      </c>
      <c r="K1647" s="39">
        <v>6.9</v>
      </c>
      <c r="L1647" s="38">
        <v>6.0</v>
      </c>
      <c r="M1647" s="40" t="s">
        <v>27</v>
      </c>
      <c r="N1647" s="41"/>
      <c r="O1647" s="42" t="s">
        <v>149</v>
      </c>
      <c r="P1647" s="43"/>
    </row>
    <row r="1648">
      <c r="A1648" s="44" t="s">
        <v>1829</v>
      </c>
      <c r="B1648" s="45" t="s">
        <v>45</v>
      </c>
      <c r="C1648" s="46" t="s">
        <v>26</v>
      </c>
      <c r="D1648" s="47" t="str">
        <f t="shared" si="1"/>
        <v>Removed</v>
      </c>
      <c r="E1648" s="48">
        <v>42556.0</v>
      </c>
      <c r="F1648" s="49">
        <v>44943.0</v>
      </c>
      <c r="G1648" s="50">
        <f t="shared" si="2"/>
        <v>78.4</v>
      </c>
      <c r="H1648" s="51">
        <v>41768.0</v>
      </c>
      <c r="I1648" s="50">
        <f t="shared" si="4"/>
        <v>2.155555556</v>
      </c>
      <c r="J1648" s="55">
        <v>56.0</v>
      </c>
      <c r="K1648" s="56">
        <v>5.9</v>
      </c>
      <c r="L1648" s="55">
        <v>13.0</v>
      </c>
      <c r="M1648" s="58" t="s">
        <v>42</v>
      </c>
      <c r="N1648" s="59"/>
      <c r="O1648" s="60" t="s">
        <v>149</v>
      </c>
      <c r="P1648" s="61"/>
    </row>
    <row r="1649">
      <c r="A1649" s="29" t="s">
        <v>1830</v>
      </c>
      <c r="B1649" s="30" t="s">
        <v>25</v>
      </c>
      <c r="C1649" s="31" t="s">
        <v>1089</v>
      </c>
      <c r="D1649" s="32" t="str">
        <f t="shared" si="1"/>
        <v>Removed</v>
      </c>
      <c r="E1649" s="33">
        <v>44901.0</v>
      </c>
      <c r="F1649" s="34">
        <v>44928.0</v>
      </c>
      <c r="G1649" s="36">
        <f t="shared" si="2"/>
        <v>0.8666666667</v>
      </c>
      <c r="H1649" s="37">
        <v>44901.0</v>
      </c>
      <c r="I1649" s="36">
        <f t="shared" si="4"/>
        <v>0</v>
      </c>
      <c r="J1649" s="38">
        <v>70.0</v>
      </c>
      <c r="K1649" s="39">
        <v>3.0</v>
      </c>
      <c r="L1649" s="76"/>
      <c r="M1649" s="40" t="s">
        <v>29</v>
      </c>
      <c r="N1649" s="41"/>
      <c r="O1649" s="42" t="s">
        <v>34</v>
      </c>
      <c r="P1649" s="43"/>
    </row>
    <row r="1650">
      <c r="A1650" s="44" t="s">
        <v>1831</v>
      </c>
      <c r="B1650" s="45" t="s">
        <v>25</v>
      </c>
      <c r="C1650" s="46" t="s">
        <v>1089</v>
      </c>
      <c r="D1650" s="47" t="str">
        <f t="shared" si="1"/>
        <v>Removed</v>
      </c>
      <c r="E1650" s="48">
        <v>44901.0</v>
      </c>
      <c r="F1650" s="49">
        <v>44928.0</v>
      </c>
      <c r="G1650" s="50">
        <f t="shared" si="2"/>
        <v>0.8666666667</v>
      </c>
      <c r="H1650" s="51">
        <v>44341.0</v>
      </c>
      <c r="I1650" s="50">
        <f t="shared" si="4"/>
        <v>1.530555556</v>
      </c>
      <c r="J1650" s="55">
        <v>64.0</v>
      </c>
      <c r="K1650" s="56">
        <v>6.7</v>
      </c>
      <c r="L1650" s="55">
        <v>13.0</v>
      </c>
      <c r="M1650" s="58" t="s">
        <v>42</v>
      </c>
      <c r="N1650" s="59"/>
      <c r="O1650" s="60" t="s">
        <v>34</v>
      </c>
      <c r="P1650" s="61"/>
    </row>
    <row r="1651">
      <c r="A1651" s="29" t="s">
        <v>1832</v>
      </c>
      <c r="B1651" s="30" t="s">
        <v>45</v>
      </c>
      <c r="C1651" s="31" t="s">
        <v>1089</v>
      </c>
      <c r="D1651" s="32" t="str">
        <f t="shared" si="1"/>
        <v>Removed</v>
      </c>
      <c r="E1651" s="33">
        <v>44901.0</v>
      </c>
      <c r="F1651" s="34">
        <v>44928.0</v>
      </c>
      <c r="G1651" s="36">
        <f t="shared" si="2"/>
        <v>0.8666666667</v>
      </c>
      <c r="H1651" s="37">
        <v>44330.0</v>
      </c>
      <c r="I1651" s="36">
        <f t="shared" si="4"/>
        <v>1.561111111</v>
      </c>
      <c r="J1651" s="38">
        <v>87.0</v>
      </c>
      <c r="K1651" s="39">
        <v>6.5</v>
      </c>
      <c r="L1651" s="38">
        <v>105.0</v>
      </c>
      <c r="M1651" s="40" t="s">
        <v>31</v>
      </c>
      <c r="N1651" s="41"/>
      <c r="O1651" s="42" t="s">
        <v>34</v>
      </c>
      <c r="P1651" s="43"/>
    </row>
    <row r="1652">
      <c r="A1652" s="44" t="s">
        <v>1833</v>
      </c>
      <c r="B1652" s="45" t="s">
        <v>45</v>
      </c>
      <c r="C1652" s="46" t="s">
        <v>26</v>
      </c>
      <c r="D1652" s="47" t="str">
        <f t="shared" si="1"/>
        <v>Removed</v>
      </c>
      <c r="E1652" s="48">
        <v>44725.0</v>
      </c>
      <c r="F1652" s="49">
        <v>44916.0</v>
      </c>
      <c r="G1652" s="50">
        <f t="shared" si="2"/>
        <v>6.266666667</v>
      </c>
      <c r="H1652" s="51">
        <v>42089.0</v>
      </c>
      <c r="I1652" s="50">
        <f t="shared" si="4"/>
        <v>7.213888889</v>
      </c>
      <c r="J1652" s="55">
        <v>84.0</v>
      </c>
      <c r="K1652" s="56">
        <v>8.2</v>
      </c>
      <c r="L1652" s="55">
        <v>32.0</v>
      </c>
      <c r="M1652" s="58" t="s">
        <v>42</v>
      </c>
      <c r="N1652" s="59"/>
      <c r="O1652" s="60" t="s">
        <v>149</v>
      </c>
      <c r="P1652" s="61"/>
    </row>
    <row r="1653">
      <c r="A1653" s="29" t="s">
        <v>347</v>
      </c>
      <c r="B1653" s="30" t="s">
        <v>25</v>
      </c>
      <c r="C1653" s="31" t="s">
        <v>207</v>
      </c>
      <c r="D1653" s="32" t="str">
        <f t="shared" si="1"/>
        <v>Removed</v>
      </c>
      <c r="E1653" s="33">
        <v>44725.0</v>
      </c>
      <c r="F1653" s="34">
        <v>44915.0</v>
      </c>
      <c r="G1653" s="36">
        <f t="shared" si="2"/>
        <v>6.233333333</v>
      </c>
      <c r="H1653" s="37">
        <v>44147.0</v>
      </c>
      <c r="I1653" s="36">
        <f t="shared" si="4"/>
        <v>1.586111111</v>
      </c>
      <c r="J1653" s="38">
        <v>85.0</v>
      </c>
      <c r="K1653" s="39">
        <v>7.0</v>
      </c>
      <c r="L1653" s="38">
        <v>59.5</v>
      </c>
      <c r="M1653" s="40" t="s">
        <v>42</v>
      </c>
      <c r="N1653" s="41"/>
      <c r="O1653" s="42" t="s">
        <v>149</v>
      </c>
      <c r="P1653" s="43"/>
    </row>
    <row r="1654">
      <c r="A1654" s="44" t="s">
        <v>1834</v>
      </c>
      <c r="B1654" s="45" t="s">
        <v>25</v>
      </c>
      <c r="C1654" s="46" t="s">
        <v>1089</v>
      </c>
      <c r="D1654" s="47" t="str">
        <f t="shared" si="1"/>
        <v>Removed</v>
      </c>
      <c r="E1654" s="48">
        <v>44866.0</v>
      </c>
      <c r="F1654" s="49">
        <v>44900.0</v>
      </c>
      <c r="G1654" s="50">
        <f t="shared" si="2"/>
        <v>1.133333333</v>
      </c>
      <c r="H1654" s="51">
        <v>44537.0</v>
      </c>
      <c r="I1654" s="50">
        <f t="shared" si="4"/>
        <v>0.9</v>
      </c>
      <c r="J1654" s="55">
        <v>60.0</v>
      </c>
      <c r="K1654" s="56">
        <v>9.0</v>
      </c>
      <c r="L1654" s="55">
        <v>5.0</v>
      </c>
      <c r="M1654" s="58" t="s">
        <v>29</v>
      </c>
      <c r="N1654" s="59"/>
      <c r="O1654" s="60" t="s">
        <v>34</v>
      </c>
      <c r="P1654" s="61"/>
    </row>
    <row r="1655">
      <c r="A1655" s="29" t="s">
        <v>1835</v>
      </c>
      <c r="B1655" s="30" t="s">
        <v>25</v>
      </c>
      <c r="C1655" s="31" t="s">
        <v>1089</v>
      </c>
      <c r="D1655" s="32" t="str">
        <f t="shared" si="1"/>
        <v>Removed</v>
      </c>
      <c r="E1655" s="33">
        <v>44866.0</v>
      </c>
      <c r="F1655" s="34">
        <v>44900.0</v>
      </c>
      <c r="G1655" s="36">
        <f t="shared" si="2"/>
        <v>1.133333333</v>
      </c>
      <c r="H1655" s="37">
        <v>43903.0</v>
      </c>
      <c r="I1655" s="36">
        <f t="shared" si="4"/>
        <v>2.633333333</v>
      </c>
      <c r="J1655" s="38">
        <v>85.0</v>
      </c>
      <c r="K1655" s="39">
        <v>7.8</v>
      </c>
      <c r="L1655" s="38">
        <v>45.0</v>
      </c>
      <c r="M1655" s="40" t="s">
        <v>42</v>
      </c>
      <c r="N1655" s="41" t="s">
        <v>515</v>
      </c>
      <c r="O1655" s="42" t="s">
        <v>34</v>
      </c>
      <c r="P1655" s="43"/>
    </row>
    <row r="1656">
      <c r="A1656" s="44" t="s">
        <v>1764</v>
      </c>
      <c r="B1656" s="45" t="s">
        <v>45</v>
      </c>
      <c r="C1656" s="46" t="s">
        <v>1089</v>
      </c>
      <c r="D1656" s="47" t="str">
        <f t="shared" si="1"/>
        <v>Removed</v>
      </c>
      <c r="E1656" s="48">
        <v>44866.0</v>
      </c>
      <c r="F1656" s="49">
        <v>44900.0</v>
      </c>
      <c r="G1656" s="50">
        <f t="shared" si="2"/>
        <v>1.133333333</v>
      </c>
      <c r="H1656" s="51">
        <v>42661.0</v>
      </c>
      <c r="I1656" s="50">
        <f t="shared" si="4"/>
        <v>6.036111111</v>
      </c>
      <c r="J1656" s="55">
        <v>73.0</v>
      </c>
      <c r="K1656" s="56">
        <v>7.7</v>
      </c>
      <c r="L1656" s="55">
        <v>39.0</v>
      </c>
      <c r="M1656" s="58" t="s">
        <v>29</v>
      </c>
      <c r="N1656" s="59"/>
      <c r="O1656" s="60" t="s">
        <v>34</v>
      </c>
      <c r="P1656" s="61"/>
    </row>
    <row r="1657">
      <c r="A1657" s="29" t="s">
        <v>1836</v>
      </c>
      <c r="B1657" s="30" t="s">
        <v>25</v>
      </c>
      <c r="C1657" s="31" t="s">
        <v>26</v>
      </c>
      <c r="D1657" s="32" t="str">
        <f t="shared" si="1"/>
        <v>Removed</v>
      </c>
      <c r="E1657" s="33">
        <v>44725.0</v>
      </c>
      <c r="F1657" s="34">
        <v>44880.0</v>
      </c>
      <c r="G1657" s="36">
        <f t="shared" si="2"/>
        <v>5.066666667</v>
      </c>
      <c r="H1657" s="37">
        <v>43718.0</v>
      </c>
      <c r="I1657" s="36">
        <f t="shared" si="4"/>
        <v>2.758333333</v>
      </c>
      <c r="J1657" s="38">
        <v>74.0</v>
      </c>
      <c r="K1657" s="39">
        <v>7.6</v>
      </c>
      <c r="L1657" s="38">
        <v>23.5</v>
      </c>
      <c r="M1657" s="40" t="s">
        <v>42</v>
      </c>
      <c r="N1657" s="41"/>
      <c r="O1657" s="42" t="s">
        <v>149</v>
      </c>
      <c r="P1657" s="43"/>
    </row>
    <row r="1658">
      <c r="A1658" s="44" t="s">
        <v>1837</v>
      </c>
      <c r="B1658" s="45" t="s">
        <v>25</v>
      </c>
      <c r="C1658" s="46" t="s">
        <v>26</v>
      </c>
      <c r="D1658" s="47" t="str">
        <f t="shared" si="1"/>
        <v>Removed</v>
      </c>
      <c r="E1658" s="48">
        <v>44725.0</v>
      </c>
      <c r="F1658" s="49">
        <v>44880.0</v>
      </c>
      <c r="G1658" s="50">
        <f t="shared" si="2"/>
        <v>5.066666667</v>
      </c>
      <c r="H1658" s="51">
        <v>44530.0</v>
      </c>
      <c r="I1658" s="50">
        <f t="shared" si="4"/>
        <v>0.5361111111</v>
      </c>
      <c r="J1658" s="55">
        <v>69.0</v>
      </c>
      <c r="K1658" s="56">
        <v>6.0</v>
      </c>
      <c r="L1658" s="55">
        <v>10.0</v>
      </c>
      <c r="M1658" s="58" t="s">
        <v>95</v>
      </c>
      <c r="N1658" s="59"/>
      <c r="O1658" s="60" t="s">
        <v>149</v>
      </c>
      <c r="P1658" s="61" t="s">
        <v>149</v>
      </c>
    </row>
    <row r="1659">
      <c r="A1659" s="29" t="s">
        <v>1838</v>
      </c>
      <c r="B1659" s="30" t="s">
        <v>45</v>
      </c>
      <c r="C1659" s="31" t="s">
        <v>26</v>
      </c>
      <c r="D1659" s="32" t="str">
        <f t="shared" si="1"/>
        <v>Removed</v>
      </c>
      <c r="E1659" s="33">
        <v>44725.0</v>
      </c>
      <c r="F1659" s="34">
        <v>44880.0</v>
      </c>
      <c r="G1659" s="36">
        <f t="shared" si="2"/>
        <v>5.066666667</v>
      </c>
      <c r="H1659" s="37">
        <v>44341.0</v>
      </c>
      <c r="I1659" s="36">
        <f t="shared" si="4"/>
        <v>1.05</v>
      </c>
      <c r="J1659" s="38">
        <v>62.0</v>
      </c>
      <c r="K1659" s="39">
        <v>6.5</v>
      </c>
      <c r="L1659" s="38">
        <v>23.0</v>
      </c>
      <c r="M1659" s="40" t="s">
        <v>29</v>
      </c>
      <c r="N1659" s="41"/>
      <c r="O1659" s="42" t="s">
        <v>34</v>
      </c>
      <c r="P1659" s="43"/>
    </row>
    <row r="1660">
      <c r="A1660" s="44" t="s">
        <v>1839</v>
      </c>
      <c r="B1660" s="45" t="s">
        <v>45</v>
      </c>
      <c r="C1660" s="46" t="s">
        <v>46</v>
      </c>
      <c r="D1660" s="47" t="str">
        <f t="shared" si="1"/>
        <v>Removed</v>
      </c>
      <c r="E1660" s="48">
        <v>44725.0</v>
      </c>
      <c r="F1660" s="49">
        <v>44880.0</v>
      </c>
      <c r="G1660" s="50">
        <f t="shared" si="2"/>
        <v>5.066666667</v>
      </c>
      <c r="H1660" s="51">
        <v>41699.0</v>
      </c>
      <c r="I1660" s="50">
        <f t="shared" si="4"/>
        <v>8.283333333</v>
      </c>
      <c r="J1660" s="55">
        <v>74.0</v>
      </c>
      <c r="K1660" s="56">
        <v>7.6</v>
      </c>
      <c r="L1660" s="55">
        <v>6.0</v>
      </c>
      <c r="M1660" s="58" t="s">
        <v>31</v>
      </c>
      <c r="N1660" s="59" t="s">
        <v>442</v>
      </c>
      <c r="O1660" s="60" t="s">
        <v>149</v>
      </c>
      <c r="P1660" s="66"/>
    </row>
    <row r="1661">
      <c r="A1661" s="29" t="s">
        <v>1664</v>
      </c>
      <c r="B1661" s="30" t="s">
        <v>45</v>
      </c>
      <c r="C1661" s="31" t="s">
        <v>46</v>
      </c>
      <c r="D1661" s="32" t="str">
        <f t="shared" si="1"/>
        <v>Removed</v>
      </c>
      <c r="E1661" s="33">
        <v>44725.0</v>
      </c>
      <c r="F1661" s="34">
        <v>44880.0</v>
      </c>
      <c r="G1661" s="36">
        <f t="shared" si="2"/>
        <v>5.066666667</v>
      </c>
      <c r="H1661" s="37">
        <v>43970.0</v>
      </c>
      <c r="I1661" s="36">
        <f t="shared" si="4"/>
        <v>2.066666667</v>
      </c>
      <c r="J1661" s="38">
        <v>71.0</v>
      </c>
      <c r="K1661" s="39">
        <v>6.4</v>
      </c>
      <c r="L1661" s="38">
        <v>12.0</v>
      </c>
      <c r="M1661" s="40" t="s">
        <v>29</v>
      </c>
      <c r="N1661" s="41" t="s">
        <v>442</v>
      </c>
      <c r="O1661" s="42" t="s">
        <v>149</v>
      </c>
      <c r="P1661" s="67"/>
    </row>
    <row r="1662">
      <c r="A1662" s="44" t="s">
        <v>1805</v>
      </c>
      <c r="B1662" s="45" t="s">
        <v>45</v>
      </c>
      <c r="C1662" s="46" t="s">
        <v>46</v>
      </c>
      <c r="D1662" s="47" t="str">
        <f t="shared" si="1"/>
        <v>Removed</v>
      </c>
      <c r="E1662" s="48">
        <v>44502.0</v>
      </c>
      <c r="F1662" s="49">
        <v>44880.0</v>
      </c>
      <c r="G1662" s="50">
        <f t="shared" si="2"/>
        <v>12.43333333</v>
      </c>
      <c r="H1662" s="51">
        <v>44099.0</v>
      </c>
      <c r="I1662" s="50">
        <f t="shared" si="4"/>
        <v>1.102777778</v>
      </c>
      <c r="J1662" s="55">
        <v>78.0</v>
      </c>
      <c r="K1662" s="56">
        <v>7.9</v>
      </c>
      <c r="L1662" s="55">
        <v>11.0</v>
      </c>
      <c r="M1662" s="58" t="s">
        <v>29</v>
      </c>
      <c r="N1662" s="59" t="s">
        <v>412</v>
      </c>
      <c r="O1662" s="60" t="s">
        <v>149</v>
      </c>
      <c r="P1662" s="66"/>
    </row>
    <row r="1663">
      <c r="A1663" s="29" t="s">
        <v>1840</v>
      </c>
      <c r="B1663" s="30" t="s">
        <v>25</v>
      </c>
      <c r="C1663" s="31" t="s">
        <v>26</v>
      </c>
      <c r="D1663" s="32" t="str">
        <f t="shared" si="1"/>
        <v>Removed</v>
      </c>
      <c r="E1663" s="33">
        <v>44320.0</v>
      </c>
      <c r="F1663" s="34">
        <v>44880.0</v>
      </c>
      <c r="G1663" s="36">
        <f t="shared" si="2"/>
        <v>18.36666667</v>
      </c>
      <c r="H1663" s="37">
        <v>44112.0</v>
      </c>
      <c r="I1663" s="36">
        <f t="shared" si="4"/>
        <v>0.5722222222</v>
      </c>
      <c r="J1663" s="38">
        <v>76.0</v>
      </c>
      <c r="K1663" s="39">
        <v>7.5</v>
      </c>
      <c r="L1663" s="38">
        <v>30.0</v>
      </c>
      <c r="M1663" s="40" t="s">
        <v>95</v>
      </c>
      <c r="N1663" s="41"/>
      <c r="O1663" s="42" t="s">
        <v>149</v>
      </c>
      <c r="P1663" s="43"/>
    </row>
    <row r="1664">
      <c r="A1664" s="44" t="s">
        <v>1841</v>
      </c>
      <c r="B1664" s="45" t="s">
        <v>25</v>
      </c>
      <c r="C1664" s="46" t="s">
        <v>1089</v>
      </c>
      <c r="D1664" s="47" t="str">
        <f t="shared" si="1"/>
        <v>Removed</v>
      </c>
      <c r="E1664" s="48">
        <v>44838.0</v>
      </c>
      <c r="F1664" s="49">
        <v>44865.0</v>
      </c>
      <c r="G1664" s="50">
        <f t="shared" si="2"/>
        <v>0.8666666667</v>
      </c>
      <c r="H1664" s="51">
        <v>44469.0</v>
      </c>
      <c r="I1664" s="50">
        <f t="shared" si="4"/>
        <v>1.011111111</v>
      </c>
      <c r="J1664" s="55">
        <v>75.0</v>
      </c>
      <c r="K1664" s="56">
        <v>7.6</v>
      </c>
      <c r="L1664" s="55">
        <v>7.0</v>
      </c>
      <c r="M1664" s="58" t="s">
        <v>95</v>
      </c>
      <c r="N1664" s="59"/>
      <c r="O1664" s="60" t="s">
        <v>34</v>
      </c>
      <c r="P1664" s="61"/>
    </row>
    <row r="1665">
      <c r="A1665" s="29" t="s">
        <v>1749</v>
      </c>
      <c r="B1665" s="30" t="s">
        <v>45</v>
      </c>
      <c r="C1665" s="31" t="s">
        <v>1089</v>
      </c>
      <c r="D1665" s="32" t="str">
        <f t="shared" si="1"/>
        <v>Removed</v>
      </c>
      <c r="E1665" s="33">
        <v>44838.0</v>
      </c>
      <c r="F1665" s="34">
        <v>44865.0</v>
      </c>
      <c r="G1665" s="36">
        <f t="shared" si="2"/>
        <v>0.8666666667</v>
      </c>
      <c r="H1665" s="37">
        <v>42871.0</v>
      </c>
      <c r="I1665" s="36">
        <f t="shared" si="4"/>
        <v>5.383333333</v>
      </c>
      <c r="J1665" s="38">
        <v>87.0</v>
      </c>
      <c r="K1665" s="39">
        <v>8.0</v>
      </c>
      <c r="L1665" s="38">
        <v>5.5</v>
      </c>
      <c r="M1665" s="40" t="s">
        <v>114</v>
      </c>
      <c r="N1665" s="41"/>
      <c r="O1665" s="42" t="s">
        <v>34</v>
      </c>
      <c r="P1665" s="43"/>
    </row>
    <row r="1666">
      <c r="A1666" s="44" t="s">
        <v>1842</v>
      </c>
      <c r="B1666" s="45" t="s">
        <v>45</v>
      </c>
      <c r="C1666" s="46" t="s">
        <v>1089</v>
      </c>
      <c r="D1666" s="47" t="str">
        <f t="shared" si="1"/>
        <v>Removed</v>
      </c>
      <c r="E1666" s="48">
        <v>44838.0</v>
      </c>
      <c r="F1666" s="49">
        <v>44865.0</v>
      </c>
      <c r="G1666" s="50">
        <f t="shared" si="2"/>
        <v>0.8666666667</v>
      </c>
      <c r="H1666" s="51">
        <v>42425.0</v>
      </c>
      <c r="I1666" s="50">
        <f t="shared" si="4"/>
        <v>6.608333333</v>
      </c>
      <c r="J1666" s="55">
        <v>83.0</v>
      </c>
      <c r="K1666" s="56">
        <v>7.3</v>
      </c>
      <c r="L1666" s="55">
        <v>2.5</v>
      </c>
      <c r="M1666" s="58" t="s">
        <v>31</v>
      </c>
      <c r="N1666" s="59"/>
      <c r="O1666" s="60" t="s">
        <v>34</v>
      </c>
      <c r="P1666" s="61"/>
    </row>
    <row r="1667">
      <c r="A1667" s="29" t="s">
        <v>1843</v>
      </c>
      <c r="B1667" s="30" t="s">
        <v>45</v>
      </c>
      <c r="C1667" s="31" t="s">
        <v>26</v>
      </c>
      <c r="D1667" s="32" t="str">
        <f t="shared" si="1"/>
        <v>Removed</v>
      </c>
      <c r="E1667" s="33">
        <v>44725.0</v>
      </c>
      <c r="F1667" s="34">
        <v>44852.0</v>
      </c>
      <c r="G1667" s="36">
        <f t="shared" si="2"/>
        <v>4.166666667</v>
      </c>
      <c r="H1667" s="37">
        <v>42248.0</v>
      </c>
      <c r="I1667" s="36">
        <f t="shared" si="4"/>
        <v>6.783333333</v>
      </c>
      <c r="J1667" s="38">
        <v>83.0</v>
      </c>
      <c r="K1667" s="39">
        <v>8.7</v>
      </c>
      <c r="L1667" s="38">
        <v>9.0</v>
      </c>
      <c r="M1667" s="40" t="s">
        <v>537</v>
      </c>
      <c r="N1667" s="41"/>
      <c r="O1667" s="42" t="s">
        <v>149</v>
      </c>
      <c r="P1667" s="43"/>
    </row>
    <row r="1668">
      <c r="A1668" s="44" t="s">
        <v>1233</v>
      </c>
      <c r="B1668" s="45" t="s">
        <v>25</v>
      </c>
      <c r="C1668" s="46" t="s">
        <v>476</v>
      </c>
      <c r="D1668" s="47" t="str">
        <f t="shared" si="1"/>
        <v>Removed</v>
      </c>
      <c r="E1668" s="48">
        <v>44725.0</v>
      </c>
      <c r="F1668" s="49">
        <v>44851.0</v>
      </c>
      <c r="G1668" s="50">
        <f t="shared" si="2"/>
        <v>4.133333333</v>
      </c>
      <c r="H1668" s="51">
        <v>40477.0</v>
      </c>
      <c r="I1668" s="50">
        <f t="shared" si="4"/>
        <v>11.63055556</v>
      </c>
      <c r="J1668" s="55">
        <v>87.0</v>
      </c>
      <c r="K1668" s="56">
        <v>8.4</v>
      </c>
      <c r="L1668" s="55">
        <v>7.0</v>
      </c>
      <c r="M1668" s="58" t="s">
        <v>29</v>
      </c>
      <c r="N1668" s="59" t="s">
        <v>442</v>
      </c>
      <c r="O1668" s="60" t="s">
        <v>149</v>
      </c>
      <c r="P1668" s="66" t="s">
        <v>505</v>
      </c>
    </row>
    <row r="1669">
      <c r="A1669" s="29" t="s">
        <v>1232</v>
      </c>
      <c r="B1669" s="30" t="s">
        <v>25</v>
      </c>
      <c r="C1669" s="31" t="s">
        <v>476</v>
      </c>
      <c r="D1669" s="32" t="str">
        <f t="shared" si="1"/>
        <v>Removed</v>
      </c>
      <c r="E1669" s="33">
        <v>41905.0</v>
      </c>
      <c r="F1669" s="34">
        <v>44851.0</v>
      </c>
      <c r="G1669" s="36">
        <f t="shared" si="2"/>
        <v>96.8</v>
      </c>
      <c r="H1669" s="37">
        <v>40316.0</v>
      </c>
      <c r="I1669" s="36">
        <f t="shared" si="4"/>
        <v>4.347222222</v>
      </c>
      <c r="J1669" s="38">
        <v>95.0</v>
      </c>
      <c r="K1669" s="39">
        <v>8.8</v>
      </c>
      <c r="L1669" s="38">
        <v>18.0</v>
      </c>
      <c r="M1669" s="40" t="s">
        <v>29</v>
      </c>
      <c r="N1669" s="41" t="s">
        <v>442</v>
      </c>
      <c r="O1669" s="42" t="s">
        <v>149</v>
      </c>
      <c r="P1669" s="67" t="s">
        <v>505</v>
      </c>
    </row>
    <row r="1670">
      <c r="A1670" s="44" t="s">
        <v>1844</v>
      </c>
      <c r="B1670" s="45" t="s">
        <v>45</v>
      </c>
      <c r="C1670" s="46" t="s">
        <v>26</v>
      </c>
      <c r="D1670" s="47" t="str">
        <f t="shared" si="1"/>
        <v>Removed</v>
      </c>
      <c r="E1670" s="48">
        <v>44474.0</v>
      </c>
      <c r="F1670" s="49">
        <v>44841.0</v>
      </c>
      <c r="G1670" s="50">
        <f t="shared" si="2"/>
        <v>12.06666667</v>
      </c>
      <c r="H1670" s="51">
        <v>44044.0</v>
      </c>
      <c r="I1670" s="50">
        <f t="shared" si="4"/>
        <v>1.177777778</v>
      </c>
      <c r="J1670" s="55">
        <v>78.0</v>
      </c>
      <c r="K1670" s="56">
        <v>6.8</v>
      </c>
      <c r="L1670" s="55">
        <v>23.0</v>
      </c>
      <c r="M1670" s="58" t="s">
        <v>125</v>
      </c>
      <c r="N1670" s="59"/>
      <c r="O1670" s="60" t="s">
        <v>149</v>
      </c>
      <c r="P1670" s="61" t="s">
        <v>149</v>
      </c>
    </row>
    <row r="1671">
      <c r="A1671" s="29" t="s">
        <v>1845</v>
      </c>
      <c r="B1671" s="30" t="s">
        <v>45</v>
      </c>
      <c r="C1671" s="31" t="s">
        <v>1089</v>
      </c>
      <c r="D1671" s="32" t="str">
        <f t="shared" si="1"/>
        <v>Removed</v>
      </c>
      <c r="E1671" s="33">
        <v>44810.0</v>
      </c>
      <c r="F1671" s="34">
        <v>44837.0</v>
      </c>
      <c r="G1671" s="36">
        <f t="shared" si="2"/>
        <v>0.9</v>
      </c>
      <c r="H1671" s="37">
        <v>43777.0</v>
      </c>
      <c r="I1671" s="36">
        <f t="shared" si="4"/>
        <v>2.827777778</v>
      </c>
      <c r="J1671" s="38">
        <v>72.0</v>
      </c>
      <c r="K1671" s="39">
        <v>6.1</v>
      </c>
      <c r="L1671" s="38">
        <v>13.0</v>
      </c>
      <c r="M1671" s="40" t="s">
        <v>95</v>
      </c>
      <c r="N1671" s="41"/>
      <c r="O1671" s="42" t="s">
        <v>34</v>
      </c>
      <c r="P1671" s="43"/>
    </row>
    <row r="1672">
      <c r="A1672" s="44" t="s">
        <v>1846</v>
      </c>
      <c r="B1672" s="45" t="s">
        <v>45</v>
      </c>
      <c r="C1672" s="46" t="s">
        <v>1089</v>
      </c>
      <c r="D1672" s="47" t="str">
        <f t="shared" si="1"/>
        <v>Removed</v>
      </c>
      <c r="E1672" s="48">
        <v>44810.0</v>
      </c>
      <c r="F1672" s="49">
        <v>44837.0</v>
      </c>
      <c r="G1672" s="50">
        <f t="shared" si="2"/>
        <v>0.9</v>
      </c>
      <c r="H1672" s="51">
        <v>43903.0</v>
      </c>
      <c r="I1672" s="50">
        <f t="shared" si="4"/>
        <v>2.480555556</v>
      </c>
      <c r="J1672" s="55">
        <v>78.0</v>
      </c>
      <c r="K1672" s="56">
        <v>6.5</v>
      </c>
      <c r="L1672" s="55">
        <v>5.5</v>
      </c>
      <c r="M1672" s="58" t="s">
        <v>114</v>
      </c>
      <c r="N1672" s="59"/>
      <c r="O1672" s="60" t="s">
        <v>34</v>
      </c>
      <c r="P1672" s="61"/>
    </row>
    <row r="1673">
      <c r="A1673" s="29" t="s">
        <v>1847</v>
      </c>
      <c r="B1673" s="30" t="s">
        <v>33</v>
      </c>
      <c r="C1673" s="31" t="s">
        <v>1089</v>
      </c>
      <c r="D1673" s="32" t="str">
        <f t="shared" si="1"/>
        <v>Removed</v>
      </c>
      <c r="E1673" s="33">
        <v>44810.0</v>
      </c>
      <c r="F1673" s="34">
        <v>44837.0</v>
      </c>
      <c r="G1673" s="36">
        <f t="shared" si="2"/>
        <v>0.9</v>
      </c>
      <c r="H1673" s="37">
        <v>44456.0</v>
      </c>
      <c r="I1673" s="36">
        <f t="shared" si="4"/>
        <v>0.9694444444</v>
      </c>
      <c r="J1673" s="38">
        <v>80.0</v>
      </c>
      <c r="K1673" s="39">
        <v>4.7</v>
      </c>
      <c r="L1673" s="38">
        <v>3.0</v>
      </c>
      <c r="M1673" s="40" t="s">
        <v>29</v>
      </c>
      <c r="N1673" s="41"/>
      <c r="O1673" s="42" t="s">
        <v>34</v>
      </c>
      <c r="P1673" s="43"/>
    </row>
    <row r="1674">
      <c r="A1674" s="44" t="s">
        <v>86</v>
      </c>
      <c r="B1674" s="45" t="s">
        <v>45</v>
      </c>
      <c r="C1674" s="46" t="s">
        <v>26</v>
      </c>
      <c r="D1674" s="47" t="str">
        <f t="shared" si="1"/>
        <v>Removed</v>
      </c>
      <c r="E1674" s="48">
        <v>44383.0</v>
      </c>
      <c r="F1674" s="49">
        <v>44824.0</v>
      </c>
      <c r="G1674" s="50">
        <f t="shared" si="2"/>
        <v>14.46666667</v>
      </c>
      <c r="H1674" s="51">
        <v>43399.0</v>
      </c>
      <c r="I1674" s="50">
        <f t="shared" si="4"/>
        <v>2.694444444</v>
      </c>
      <c r="J1674" s="55">
        <v>95.0</v>
      </c>
      <c r="K1674" s="56">
        <v>8.6</v>
      </c>
      <c r="L1674" s="55">
        <v>50.0</v>
      </c>
      <c r="M1674" s="58" t="s">
        <v>29</v>
      </c>
      <c r="N1674" s="59"/>
      <c r="O1674" s="60" t="s">
        <v>149</v>
      </c>
      <c r="P1674" s="61"/>
    </row>
    <row r="1675">
      <c r="A1675" s="29" t="s">
        <v>583</v>
      </c>
      <c r="B1675" s="30" t="s">
        <v>45</v>
      </c>
      <c r="C1675" s="31" t="s">
        <v>1089</v>
      </c>
      <c r="D1675" s="32" t="str">
        <f t="shared" si="1"/>
        <v>Removed</v>
      </c>
      <c r="E1675" s="33">
        <v>44775.0</v>
      </c>
      <c r="F1675" s="34">
        <v>44809.0</v>
      </c>
      <c r="G1675" s="36">
        <f t="shared" si="2"/>
        <v>1.1</v>
      </c>
      <c r="H1675" s="37">
        <v>42853.0</v>
      </c>
      <c r="I1675" s="36">
        <f t="shared" si="4"/>
        <v>5.261111111</v>
      </c>
      <c r="J1675" s="38">
        <v>78.0</v>
      </c>
      <c r="K1675" s="39">
        <v>8.1</v>
      </c>
      <c r="L1675" s="38">
        <v>3.5</v>
      </c>
      <c r="M1675" s="40" t="s">
        <v>136</v>
      </c>
      <c r="N1675" s="41"/>
      <c r="O1675" s="42" t="s">
        <v>34</v>
      </c>
      <c r="P1675" s="43"/>
    </row>
    <row r="1676">
      <c r="A1676" s="44" t="s">
        <v>1848</v>
      </c>
      <c r="B1676" s="45" t="s">
        <v>25</v>
      </c>
      <c r="C1676" s="46" t="s">
        <v>1089</v>
      </c>
      <c r="D1676" s="47" t="str">
        <f t="shared" si="1"/>
        <v>Removed</v>
      </c>
      <c r="E1676" s="48">
        <v>44775.0</v>
      </c>
      <c r="F1676" s="49">
        <v>44809.0</v>
      </c>
      <c r="G1676" s="50">
        <f t="shared" si="2"/>
        <v>1.1</v>
      </c>
      <c r="H1676" s="51">
        <v>44078.0</v>
      </c>
      <c r="I1676" s="50">
        <f t="shared" si="4"/>
        <v>1.911111111</v>
      </c>
      <c r="J1676" s="55">
        <v>89.0</v>
      </c>
      <c r="K1676" s="56">
        <v>8.7</v>
      </c>
      <c r="L1676" s="55">
        <v>6.5</v>
      </c>
      <c r="M1676" s="58" t="s">
        <v>125</v>
      </c>
      <c r="N1676" s="59"/>
      <c r="O1676" s="60" t="s">
        <v>34</v>
      </c>
      <c r="P1676" s="61"/>
    </row>
    <row r="1677">
      <c r="A1677" s="29" t="s">
        <v>1849</v>
      </c>
      <c r="B1677" s="30" t="s">
        <v>25</v>
      </c>
      <c r="C1677" s="31" t="s">
        <v>1089</v>
      </c>
      <c r="D1677" s="32" t="str">
        <f t="shared" si="1"/>
        <v>Removed</v>
      </c>
      <c r="E1677" s="33">
        <v>44775.0</v>
      </c>
      <c r="F1677" s="34">
        <v>44809.0</v>
      </c>
      <c r="G1677" s="36">
        <f t="shared" si="2"/>
        <v>1.1</v>
      </c>
      <c r="H1677" s="37">
        <v>43846.0</v>
      </c>
      <c r="I1677" s="36">
        <f t="shared" si="4"/>
        <v>2.544444444</v>
      </c>
      <c r="J1677" s="38">
        <v>85.0</v>
      </c>
      <c r="K1677" s="39">
        <v>8.2</v>
      </c>
      <c r="L1677" s="38">
        <v>45.0</v>
      </c>
      <c r="M1677" s="40" t="s">
        <v>42</v>
      </c>
      <c r="N1677" s="41"/>
      <c r="O1677" s="42" t="s">
        <v>34</v>
      </c>
      <c r="P1677" s="43"/>
    </row>
    <row r="1678">
      <c r="A1678" s="44" t="s">
        <v>1850</v>
      </c>
      <c r="B1678" s="45" t="s">
        <v>25</v>
      </c>
      <c r="C1678" s="46" t="s">
        <v>26</v>
      </c>
      <c r="D1678" s="47" t="str">
        <f t="shared" si="1"/>
        <v>Removed</v>
      </c>
      <c r="E1678" s="48">
        <v>44725.0</v>
      </c>
      <c r="F1678" s="49">
        <v>44804.0</v>
      </c>
      <c r="G1678" s="50">
        <f t="shared" si="2"/>
        <v>2.566666667</v>
      </c>
      <c r="H1678" s="51">
        <v>44449.0</v>
      </c>
      <c r="I1678" s="50">
        <f t="shared" si="4"/>
        <v>0.7583333333</v>
      </c>
      <c r="J1678" s="55">
        <v>76.0</v>
      </c>
      <c r="K1678" s="56">
        <v>5.6</v>
      </c>
      <c r="L1678" s="55">
        <v>176.5</v>
      </c>
      <c r="M1678" s="58" t="s">
        <v>125</v>
      </c>
      <c r="N1678" s="59"/>
      <c r="O1678" s="60" t="s">
        <v>34</v>
      </c>
      <c r="P1678" s="61" t="s">
        <v>149</v>
      </c>
    </row>
    <row r="1679">
      <c r="A1679" s="29" t="s">
        <v>1851</v>
      </c>
      <c r="B1679" s="30" t="s">
        <v>25</v>
      </c>
      <c r="C1679" s="31" t="s">
        <v>26</v>
      </c>
      <c r="D1679" s="32" t="str">
        <f t="shared" si="1"/>
        <v>Removed</v>
      </c>
      <c r="E1679" s="33">
        <v>44656.0</v>
      </c>
      <c r="F1679" s="34">
        <v>44804.0</v>
      </c>
      <c r="G1679" s="36">
        <f t="shared" si="2"/>
        <v>4.833333333</v>
      </c>
      <c r="H1679" s="37">
        <v>44441.0</v>
      </c>
      <c r="I1679" s="36">
        <f t="shared" si="4"/>
        <v>0.5916666667</v>
      </c>
      <c r="J1679" s="38">
        <v>74.0</v>
      </c>
      <c r="K1679" s="39">
        <v>6.9</v>
      </c>
      <c r="L1679" s="38">
        <v>11.0</v>
      </c>
      <c r="M1679" s="40" t="s">
        <v>95</v>
      </c>
      <c r="N1679" s="41"/>
      <c r="O1679" s="42" t="s">
        <v>149</v>
      </c>
      <c r="P1679" s="43" t="s">
        <v>149</v>
      </c>
    </row>
    <row r="1680">
      <c r="A1680" s="44" t="s">
        <v>1852</v>
      </c>
      <c r="B1680" s="45" t="s">
        <v>45</v>
      </c>
      <c r="C1680" s="46" t="s">
        <v>26</v>
      </c>
      <c r="D1680" s="47" t="str">
        <f t="shared" si="1"/>
        <v>Removed</v>
      </c>
      <c r="E1680" s="48">
        <v>44725.0</v>
      </c>
      <c r="F1680" s="49">
        <v>44785.0</v>
      </c>
      <c r="G1680" s="50">
        <f t="shared" si="2"/>
        <v>1.966666667</v>
      </c>
      <c r="H1680" s="51">
        <v>41815.0</v>
      </c>
      <c r="I1680" s="50">
        <f t="shared" si="4"/>
        <v>7.966666667</v>
      </c>
      <c r="J1680" s="55">
        <v>73.0</v>
      </c>
      <c r="K1680" s="56">
        <v>7.5</v>
      </c>
      <c r="L1680" s="55">
        <v>10.0</v>
      </c>
      <c r="M1680" s="58" t="s">
        <v>31</v>
      </c>
      <c r="N1680" s="59"/>
      <c r="O1680" s="60" t="s">
        <v>34</v>
      </c>
      <c r="P1680" s="61" t="s">
        <v>149</v>
      </c>
    </row>
    <row r="1681">
      <c r="A1681" s="29" t="s">
        <v>1853</v>
      </c>
      <c r="B1681" s="30" t="s">
        <v>25</v>
      </c>
      <c r="C1681" s="31" t="s">
        <v>1089</v>
      </c>
      <c r="D1681" s="32" t="str">
        <f t="shared" si="1"/>
        <v>Removed</v>
      </c>
      <c r="E1681" s="33">
        <v>44747.0</v>
      </c>
      <c r="F1681" s="34">
        <v>44774.0</v>
      </c>
      <c r="G1681" s="36">
        <f t="shared" si="2"/>
        <v>0.8666666667</v>
      </c>
      <c r="H1681" s="37">
        <v>44106.0</v>
      </c>
      <c r="I1681" s="36">
        <f t="shared" si="4"/>
        <v>1.758333333</v>
      </c>
      <c r="J1681" s="38">
        <v>86.0</v>
      </c>
      <c r="K1681" s="39">
        <v>7.9</v>
      </c>
      <c r="L1681" s="38">
        <v>10.0</v>
      </c>
      <c r="M1681" s="40" t="s">
        <v>27</v>
      </c>
      <c r="N1681" s="41"/>
      <c r="O1681" s="42" t="s">
        <v>34</v>
      </c>
      <c r="P1681" s="43"/>
    </row>
    <row r="1682">
      <c r="A1682" s="44" t="s">
        <v>1247</v>
      </c>
      <c r="B1682" s="45" t="s">
        <v>45</v>
      </c>
      <c r="C1682" s="46" t="s">
        <v>1089</v>
      </c>
      <c r="D1682" s="47" t="str">
        <f t="shared" si="1"/>
        <v>Removed</v>
      </c>
      <c r="E1682" s="48">
        <v>44747.0</v>
      </c>
      <c r="F1682" s="49">
        <v>44774.0</v>
      </c>
      <c r="G1682" s="50">
        <f t="shared" si="2"/>
        <v>0.8666666667</v>
      </c>
      <c r="H1682" s="51">
        <v>43707.0</v>
      </c>
      <c r="I1682" s="50">
        <f t="shared" si="4"/>
        <v>2.847222222</v>
      </c>
      <c r="J1682" s="55">
        <v>69.0</v>
      </c>
      <c r="K1682" s="56">
        <v>6.6</v>
      </c>
      <c r="L1682" s="55">
        <v>4.5</v>
      </c>
      <c r="M1682" s="58" t="s">
        <v>537</v>
      </c>
      <c r="N1682" s="59"/>
      <c r="O1682" s="60" t="s">
        <v>34</v>
      </c>
      <c r="P1682" s="61"/>
    </row>
    <row r="1683">
      <c r="A1683" s="29" t="s">
        <v>1854</v>
      </c>
      <c r="B1683" s="30" t="s">
        <v>25</v>
      </c>
      <c r="C1683" s="31" t="s">
        <v>1089</v>
      </c>
      <c r="D1683" s="32" t="str">
        <f t="shared" si="1"/>
        <v>Removed</v>
      </c>
      <c r="E1683" s="33">
        <v>44747.0</v>
      </c>
      <c r="F1683" s="34">
        <v>44774.0</v>
      </c>
      <c r="G1683" s="36">
        <f t="shared" si="2"/>
        <v>0.8666666667</v>
      </c>
      <c r="H1683" s="37">
        <v>44747.0</v>
      </c>
      <c r="I1683" s="36">
        <f t="shared" si="4"/>
        <v>0</v>
      </c>
      <c r="J1683" s="38">
        <v>74.0</v>
      </c>
      <c r="K1683" s="39">
        <v>6.2</v>
      </c>
      <c r="L1683" s="38">
        <v>5.5</v>
      </c>
      <c r="M1683" s="40" t="s">
        <v>31</v>
      </c>
      <c r="N1683" s="41"/>
      <c r="O1683" s="42" t="s">
        <v>34</v>
      </c>
      <c r="P1683" s="43"/>
    </row>
    <row r="1684">
      <c r="A1684" s="44" t="s">
        <v>1855</v>
      </c>
      <c r="B1684" s="45" t="s">
        <v>25</v>
      </c>
      <c r="C1684" s="46" t="s">
        <v>476</v>
      </c>
      <c r="D1684" s="47" t="str">
        <f t="shared" si="1"/>
        <v>Removed</v>
      </c>
      <c r="E1684" s="48">
        <v>44725.0</v>
      </c>
      <c r="F1684" s="49">
        <v>44757.0</v>
      </c>
      <c r="G1684" s="50">
        <f t="shared" si="2"/>
        <v>1.066666667</v>
      </c>
      <c r="H1684" s="51">
        <v>37265.0</v>
      </c>
      <c r="I1684" s="50">
        <f t="shared" si="4"/>
        <v>20.42777778</v>
      </c>
      <c r="J1684" s="55">
        <v>50.0</v>
      </c>
      <c r="K1684" s="56">
        <v>7.7</v>
      </c>
      <c r="L1684" s="55">
        <v>9.5</v>
      </c>
      <c r="M1684" s="58" t="s">
        <v>29</v>
      </c>
      <c r="N1684" s="59" t="s">
        <v>442</v>
      </c>
      <c r="O1684" s="60" t="s">
        <v>149</v>
      </c>
      <c r="P1684" s="66" t="s">
        <v>505</v>
      </c>
    </row>
    <row r="1685">
      <c r="A1685" s="29" t="s">
        <v>1777</v>
      </c>
      <c r="B1685" s="30" t="s">
        <v>45</v>
      </c>
      <c r="C1685" s="31" t="s">
        <v>1089</v>
      </c>
      <c r="D1685" s="32" t="str">
        <f t="shared" si="1"/>
        <v>Removed</v>
      </c>
      <c r="E1685" s="33">
        <v>44719.0</v>
      </c>
      <c r="F1685" s="34">
        <v>44746.0</v>
      </c>
      <c r="G1685" s="36">
        <f t="shared" si="2"/>
        <v>0.9</v>
      </c>
      <c r="H1685" s="37">
        <v>43210.0</v>
      </c>
      <c r="I1685" s="36">
        <f t="shared" si="4"/>
        <v>4.130555556</v>
      </c>
      <c r="J1685" s="38">
        <v>94.0</v>
      </c>
      <c r="K1685" s="39">
        <v>9.1</v>
      </c>
      <c r="L1685" s="38">
        <v>20.5</v>
      </c>
      <c r="M1685" s="40" t="s">
        <v>42</v>
      </c>
      <c r="N1685" s="41"/>
      <c r="O1685" s="42" t="s">
        <v>34</v>
      </c>
      <c r="P1685" s="43"/>
    </row>
    <row r="1686">
      <c r="A1686" s="44" t="s">
        <v>1856</v>
      </c>
      <c r="B1686" s="45" t="s">
        <v>45</v>
      </c>
      <c r="C1686" s="46" t="s">
        <v>1089</v>
      </c>
      <c r="D1686" s="47" t="str">
        <f t="shared" si="1"/>
        <v>Removed</v>
      </c>
      <c r="E1686" s="48">
        <v>44719.0</v>
      </c>
      <c r="F1686" s="49">
        <v>44746.0</v>
      </c>
      <c r="G1686" s="50">
        <f t="shared" si="2"/>
        <v>0.9</v>
      </c>
      <c r="H1686" s="51">
        <v>43342.0</v>
      </c>
      <c r="I1686" s="50">
        <f t="shared" si="4"/>
        <v>3.769444444</v>
      </c>
      <c r="J1686" s="55">
        <v>61.0</v>
      </c>
      <c r="K1686" s="56">
        <v>6.7</v>
      </c>
      <c r="L1686" s="55">
        <v>6.0</v>
      </c>
      <c r="M1686" s="58" t="s">
        <v>29</v>
      </c>
      <c r="N1686" s="59"/>
      <c r="O1686" s="60" t="s">
        <v>34</v>
      </c>
      <c r="P1686" s="61"/>
    </row>
    <row r="1687">
      <c r="A1687" s="29" t="s">
        <v>1857</v>
      </c>
      <c r="B1687" s="30" t="s">
        <v>25</v>
      </c>
      <c r="C1687" s="31" t="s">
        <v>1089</v>
      </c>
      <c r="D1687" s="32" t="str">
        <f t="shared" si="1"/>
        <v>Removed</v>
      </c>
      <c r="E1687" s="33">
        <v>44719.0</v>
      </c>
      <c r="F1687" s="34">
        <v>44746.0</v>
      </c>
      <c r="G1687" s="36">
        <f t="shared" si="2"/>
        <v>0.9</v>
      </c>
      <c r="H1687" s="37">
        <v>44474.0</v>
      </c>
      <c r="I1687" s="36">
        <f t="shared" si="4"/>
        <v>0.6722222222</v>
      </c>
      <c r="J1687" s="38">
        <v>64.0</v>
      </c>
      <c r="K1687" s="39">
        <v>6.0</v>
      </c>
      <c r="L1687" s="38">
        <v>1.0</v>
      </c>
      <c r="M1687" s="40" t="s">
        <v>114</v>
      </c>
      <c r="N1687" s="41"/>
      <c r="O1687" s="42" t="s">
        <v>34</v>
      </c>
      <c r="P1687" s="43" t="s">
        <v>149</v>
      </c>
    </row>
    <row r="1688">
      <c r="A1688" s="44" t="s">
        <v>1858</v>
      </c>
      <c r="B1688" s="45" t="s">
        <v>45</v>
      </c>
      <c r="C1688" s="46" t="s">
        <v>26</v>
      </c>
      <c r="D1688" s="47" t="str">
        <f t="shared" si="1"/>
        <v>Removed</v>
      </c>
      <c r="E1688" s="48">
        <v>44621.0</v>
      </c>
      <c r="F1688" s="49">
        <v>44744.0</v>
      </c>
      <c r="G1688" s="50">
        <f t="shared" si="2"/>
        <v>4.033333333</v>
      </c>
      <c r="H1688" s="51">
        <v>44621.0</v>
      </c>
      <c r="I1688" s="50">
        <f t="shared" si="4"/>
        <v>0</v>
      </c>
      <c r="J1688" s="55">
        <v>71.0</v>
      </c>
      <c r="K1688" s="56">
        <v>6.7</v>
      </c>
      <c r="L1688" s="55">
        <v>5.0</v>
      </c>
      <c r="M1688" s="58" t="s">
        <v>31</v>
      </c>
      <c r="N1688" s="59"/>
      <c r="O1688" s="60" t="s">
        <v>149</v>
      </c>
      <c r="P1688" s="61"/>
    </row>
    <row r="1689">
      <c r="A1689" s="29" t="s">
        <v>1859</v>
      </c>
      <c r="B1689" s="30" t="s">
        <v>25</v>
      </c>
      <c r="C1689" s="31" t="s">
        <v>1860</v>
      </c>
      <c r="D1689" s="32" t="str">
        <f t="shared" si="1"/>
        <v>Removed</v>
      </c>
      <c r="E1689" s="33">
        <v>44684.0</v>
      </c>
      <c r="F1689" s="92">
        <v>44725.0</v>
      </c>
      <c r="G1689" s="36">
        <f t="shared" si="2"/>
        <v>1.333333333</v>
      </c>
      <c r="H1689" s="37">
        <v>44448.0</v>
      </c>
      <c r="I1689" s="36">
        <f t="shared" si="4"/>
        <v>0.65</v>
      </c>
      <c r="J1689" s="76"/>
      <c r="K1689" s="79"/>
      <c r="L1689" s="76"/>
      <c r="M1689" s="40" t="s">
        <v>29</v>
      </c>
      <c r="N1689" s="41"/>
      <c r="O1689" s="42" t="s">
        <v>34</v>
      </c>
      <c r="P1689" s="43"/>
    </row>
    <row r="1690">
      <c r="A1690" s="44" t="s">
        <v>1861</v>
      </c>
      <c r="B1690" s="45" t="s">
        <v>25</v>
      </c>
      <c r="C1690" s="46" t="s">
        <v>1860</v>
      </c>
      <c r="D1690" s="47" t="str">
        <f t="shared" si="1"/>
        <v>Removed</v>
      </c>
      <c r="E1690" s="48">
        <v>44565.0</v>
      </c>
      <c r="F1690" s="80">
        <v>44725.0</v>
      </c>
      <c r="G1690" s="50">
        <f t="shared" si="2"/>
        <v>5.3</v>
      </c>
      <c r="H1690" s="51">
        <v>40718.0</v>
      </c>
      <c r="I1690" s="50">
        <f t="shared" si="4"/>
        <v>10.52777778</v>
      </c>
      <c r="J1690" s="55">
        <v>88.0</v>
      </c>
      <c r="K1690" s="56">
        <v>8.3</v>
      </c>
      <c r="L1690" s="78"/>
      <c r="M1690" s="58" t="s">
        <v>70</v>
      </c>
      <c r="N1690" s="59"/>
      <c r="O1690" s="60" t="s">
        <v>34</v>
      </c>
      <c r="P1690" s="61"/>
    </row>
    <row r="1691">
      <c r="A1691" s="29" t="s">
        <v>1862</v>
      </c>
      <c r="B1691" s="30" t="s">
        <v>25</v>
      </c>
      <c r="C1691" s="31" t="s">
        <v>1860</v>
      </c>
      <c r="D1691" s="32" t="str">
        <f t="shared" si="1"/>
        <v>Removed</v>
      </c>
      <c r="E1691" s="33">
        <v>44537.0</v>
      </c>
      <c r="F1691" s="92">
        <v>44725.0</v>
      </c>
      <c r="G1691" s="36">
        <f t="shared" si="2"/>
        <v>6.2</v>
      </c>
      <c r="H1691" s="37">
        <v>44511.0</v>
      </c>
      <c r="I1691" s="36">
        <f t="shared" si="4"/>
        <v>0.07222222222</v>
      </c>
      <c r="J1691" s="38">
        <v>56.0</v>
      </c>
      <c r="K1691" s="39">
        <v>5.2</v>
      </c>
      <c r="L1691" s="38">
        <v>16.0</v>
      </c>
      <c r="M1691" s="40" t="s">
        <v>29</v>
      </c>
      <c r="N1691" s="41"/>
      <c r="O1691" s="42" t="s">
        <v>34</v>
      </c>
      <c r="P1691" s="43"/>
    </row>
    <row r="1692">
      <c r="A1692" s="44" t="s">
        <v>1863</v>
      </c>
      <c r="B1692" s="45" t="s">
        <v>25</v>
      </c>
      <c r="C1692" s="46" t="s">
        <v>1860</v>
      </c>
      <c r="D1692" s="47" t="str">
        <f t="shared" si="1"/>
        <v>Removed</v>
      </c>
      <c r="E1692" s="48">
        <v>44474.0</v>
      </c>
      <c r="F1692" s="80">
        <v>44725.0</v>
      </c>
      <c r="G1692" s="50">
        <f t="shared" si="2"/>
        <v>8.266666667</v>
      </c>
      <c r="H1692" s="51">
        <v>42696.0</v>
      </c>
      <c r="I1692" s="50">
        <f t="shared" si="4"/>
        <v>4.869444444</v>
      </c>
      <c r="J1692" s="55">
        <v>79.0</v>
      </c>
      <c r="K1692" s="56">
        <v>8.1</v>
      </c>
      <c r="L1692" s="55">
        <v>17.0</v>
      </c>
      <c r="M1692" s="58" t="s">
        <v>537</v>
      </c>
      <c r="N1692" s="59"/>
      <c r="O1692" s="60" t="s">
        <v>34</v>
      </c>
      <c r="P1692" s="61"/>
    </row>
    <row r="1693">
      <c r="A1693" s="29" t="s">
        <v>404</v>
      </c>
      <c r="B1693" s="30" t="s">
        <v>25</v>
      </c>
      <c r="C1693" s="31" t="s">
        <v>1860</v>
      </c>
      <c r="D1693" s="32" t="str">
        <f t="shared" si="1"/>
        <v>Removed</v>
      </c>
      <c r="E1693" s="33">
        <v>44446.0</v>
      </c>
      <c r="F1693" s="92">
        <v>44725.0</v>
      </c>
      <c r="G1693" s="36">
        <f t="shared" si="2"/>
        <v>9.2</v>
      </c>
      <c r="H1693" s="37">
        <v>42692.0</v>
      </c>
      <c r="I1693" s="36">
        <f t="shared" si="4"/>
        <v>4.802777778</v>
      </c>
      <c r="J1693" s="38">
        <v>75.0</v>
      </c>
      <c r="K1693" s="39">
        <v>7.9</v>
      </c>
      <c r="L1693" s="38">
        <v>16.0</v>
      </c>
      <c r="M1693" s="40" t="s">
        <v>31</v>
      </c>
      <c r="N1693" s="41"/>
      <c r="O1693" s="42" t="s">
        <v>34</v>
      </c>
      <c r="P1693" s="43"/>
    </row>
    <row r="1694">
      <c r="A1694" s="44" t="s">
        <v>1709</v>
      </c>
      <c r="B1694" s="45" t="s">
        <v>25</v>
      </c>
      <c r="C1694" s="46" t="s">
        <v>1860</v>
      </c>
      <c r="D1694" s="47" t="str">
        <f t="shared" si="1"/>
        <v>Removed</v>
      </c>
      <c r="E1694" s="48">
        <v>44292.0</v>
      </c>
      <c r="F1694" s="80">
        <v>44725.0</v>
      </c>
      <c r="G1694" s="50">
        <f t="shared" si="2"/>
        <v>14.23333333</v>
      </c>
      <c r="H1694" s="51">
        <v>44075.0</v>
      </c>
      <c r="I1694" s="50">
        <f t="shared" si="4"/>
        <v>0.5972222222</v>
      </c>
      <c r="J1694" s="55">
        <v>67.0</v>
      </c>
      <c r="K1694" s="56">
        <v>4.9</v>
      </c>
      <c r="L1694" s="55">
        <v>11.0</v>
      </c>
      <c r="M1694" s="58" t="s">
        <v>29</v>
      </c>
      <c r="N1694" s="59"/>
      <c r="O1694" s="60" t="s">
        <v>34</v>
      </c>
      <c r="P1694" s="61"/>
    </row>
    <row r="1695">
      <c r="A1695" s="29" t="s">
        <v>1864</v>
      </c>
      <c r="B1695" s="30" t="s">
        <v>25</v>
      </c>
      <c r="C1695" s="31" t="s">
        <v>1860</v>
      </c>
      <c r="D1695" s="32" t="str">
        <f t="shared" si="1"/>
        <v>Removed</v>
      </c>
      <c r="E1695" s="33">
        <v>44138.0</v>
      </c>
      <c r="F1695" s="92">
        <v>44725.0</v>
      </c>
      <c r="G1695" s="36">
        <f t="shared" si="2"/>
        <v>19.33333333</v>
      </c>
      <c r="H1695" s="37">
        <v>43641.0</v>
      </c>
      <c r="I1695" s="36">
        <f t="shared" si="4"/>
        <v>1.355555556</v>
      </c>
      <c r="J1695" s="38">
        <v>47.0</v>
      </c>
      <c r="K1695" s="39">
        <v>3.8</v>
      </c>
      <c r="L1695" s="38">
        <v>6.0</v>
      </c>
      <c r="M1695" s="40" t="s">
        <v>95</v>
      </c>
      <c r="N1695" s="41"/>
      <c r="O1695" s="42" t="s">
        <v>34</v>
      </c>
      <c r="P1695" s="43"/>
    </row>
    <row r="1696">
      <c r="A1696" s="44" t="s">
        <v>1865</v>
      </c>
      <c r="B1696" s="45" t="s">
        <v>25</v>
      </c>
      <c r="C1696" s="46" t="s">
        <v>1860</v>
      </c>
      <c r="D1696" s="47" t="str">
        <f t="shared" si="1"/>
        <v>Removed</v>
      </c>
      <c r="E1696" s="48">
        <v>44013.0</v>
      </c>
      <c r="F1696" s="80">
        <v>44725.0</v>
      </c>
      <c r="G1696" s="50">
        <f t="shared" si="2"/>
        <v>23.4</v>
      </c>
      <c r="H1696" s="51">
        <v>42409.0</v>
      </c>
      <c r="I1696" s="50">
        <f t="shared" si="4"/>
        <v>4.394444444</v>
      </c>
      <c r="J1696" s="55">
        <v>81.0</v>
      </c>
      <c r="K1696" s="56">
        <v>7.5</v>
      </c>
      <c r="L1696" s="55">
        <v>4.5</v>
      </c>
      <c r="M1696" s="58" t="s">
        <v>29</v>
      </c>
      <c r="N1696" s="59"/>
      <c r="O1696" s="60" t="s">
        <v>34</v>
      </c>
      <c r="P1696" s="61"/>
    </row>
    <row r="1697">
      <c r="A1697" s="29" t="s">
        <v>1866</v>
      </c>
      <c r="B1697" s="30" t="s">
        <v>25</v>
      </c>
      <c r="C1697" s="31" t="s">
        <v>1860</v>
      </c>
      <c r="D1697" s="32" t="str">
        <f t="shared" si="1"/>
        <v>Removed</v>
      </c>
      <c r="E1697" s="33">
        <v>43802.0</v>
      </c>
      <c r="F1697" s="92">
        <v>44725.0</v>
      </c>
      <c r="G1697" s="36">
        <f t="shared" si="2"/>
        <v>30.33333333</v>
      </c>
      <c r="H1697" s="37">
        <v>43090.0</v>
      </c>
      <c r="I1697" s="36">
        <f t="shared" si="4"/>
        <v>1.95</v>
      </c>
      <c r="J1697" s="38">
        <v>86.0</v>
      </c>
      <c r="K1697" s="39">
        <v>5.0</v>
      </c>
      <c r="L1697" s="76"/>
      <c r="M1697" s="40" t="s">
        <v>31</v>
      </c>
      <c r="N1697" s="41"/>
      <c r="O1697" s="42" t="s">
        <v>34</v>
      </c>
      <c r="P1697" s="43"/>
    </row>
    <row r="1698">
      <c r="A1698" s="44" t="s">
        <v>1867</v>
      </c>
      <c r="B1698" s="45" t="s">
        <v>25</v>
      </c>
      <c r="C1698" s="46" t="s">
        <v>1860</v>
      </c>
      <c r="D1698" s="47" t="str">
        <f t="shared" si="1"/>
        <v>Removed</v>
      </c>
      <c r="E1698" s="48">
        <v>43711.0</v>
      </c>
      <c r="F1698" s="80">
        <v>44725.0</v>
      </c>
      <c r="G1698" s="50">
        <f t="shared" si="2"/>
        <v>33.33333333</v>
      </c>
      <c r="H1698" s="51">
        <v>43423.0</v>
      </c>
      <c r="I1698" s="50">
        <f t="shared" si="4"/>
        <v>0.7888888889</v>
      </c>
      <c r="J1698" s="55">
        <v>73.0</v>
      </c>
      <c r="K1698" s="56">
        <v>6.3</v>
      </c>
      <c r="L1698" s="78"/>
      <c r="M1698" s="58" t="s">
        <v>95</v>
      </c>
      <c r="N1698" s="59"/>
      <c r="O1698" s="60" t="s">
        <v>34</v>
      </c>
      <c r="P1698" s="61"/>
    </row>
    <row r="1699">
      <c r="A1699" s="29" t="s">
        <v>1868</v>
      </c>
      <c r="B1699" s="30" t="s">
        <v>25</v>
      </c>
      <c r="C1699" s="31" t="s">
        <v>1860</v>
      </c>
      <c r="D1699" s="32" t="str">
        <f t="shared" si="1"/>
        <v>Removed</v>
      </c>
      <c r="E1699" s="33">
        <v>43711.0</v>
      </c>
      <c r="F1699" s="92">
        <v>44725.0</v>
      </c>
      <c r="G1699" s="36">
        <f t="shared" si="2"/>
        <v>33.33333333</v>
      </c>
      <c r="H1699" s="37">
        <v>43434.0</v>
      </c>
      <c r="I1699" s="36">
        <f t="shared" si="4"/>
        <v>0.7583333333</v>
      </c>
      <c r="J1699" s="38">
        <v>71.0</v>
      </c>
      <c r="K1699" s="39">
        <v>6.3</v>
      </c>
      <c r="L1699" s="76"/>
      <c r="M1699" s="40" t="s">
        <v>95</v>
      </c>
      <c r="N1699" s="41"/>
      <c r="O1699" s="42" t="s">
        <v>34</v>
      </c>
      <c r="P1699" s="43"/>
    </row>
    <row r="1700">
      <c r="A1700" s="44" t="s">
        <v>1869</v>
      </c>
      <c r="B1700" s="45" t="s">
        <v>25</v>
      </c>
      <c r="C1700" s="46" t="s">
        <v>1860</v>
      </c>
      <c r="D1700" s="47" t="str">
        <f t="shared" si="1"/>
        <v>Removed</v>
      </c>
      <c r="E1700" s="48">
        <v>43711.0</v>
      </c>
      <c r="F1700" s="80">
        <v>44725.0</v>
      </c>
      <c r="G1700" s="50">
        <f t="shared" si="2"/>
        <v>33.33333333</v>
      </c>
      <c r="H1700" s="51">
        <v>38894.0</v>
      </c>
      <c r="I1700" s="50">
        <f t="shared" si="4"/>
        <v>13.18611111</v>
      </c>
      <c r="J1700" s="55">
        <v>77.0</v>
      </c>
      <c r="K1700" s="56">
        <v>7.8</v>
      </c>
      <c r="L1700" s="55">
        <v>25.5</v>
      </c>
      <c r="M1700" s="58" t="s">
        <v>42</v>
      </c>
      <c r="N1700" s="59"/>
      <c r="O1700" s="60" t="s">
        <v>34</v>
      </c>
      <c r="P1700" s="61"/>
    </row>
    <row r="1701">
      <c r="A1701" s="29" t="s">
        <v>1870</v>
      </c>
      <c r="B1701" s="30" t="s">
        <v>25</v>
      </c>
      <c r="C1701" s="31" t="s">
        <v>1860</v>
      </c>
      <c r="D1701" s="32" t="str">
        <f t="shared" si="1"/>
        <v>Removed</v>
      </c>
      <c r="E1701" s="33">
        <v>43711.0</v>
      </c>
      <c r="F1701" s="92">
        <v>44725.0</v>
      </c>
      <c r="G1701" s="36">
        <f t="shared" si="2"/>
        <v>33.33333333</v>
      </c>
      <c r="H1701" s="37">
        <v>39713.0</v>
      </c>
      <c r="I1701" s="36">
        <f t="shared" si="4"/>
        <v>10.94722222</v>
      </c>
      <c r="J1701" s="38">
        <v>82.0</v>
      </c>
      <c r="K1701" s="39">
        <v>7.5</v>
      </c>
      <c r="L1701" s="38">
        <v>12.0</v>
      </c>
      <c r="M1701" s="40" t="s">
        <v>29</v>
      </c>
      <c r="N1701" s="41"/>
      <c r="O1701" s="42" t="s">
        <v>34</v>
      </c>
      <c r="P1701" s="43"/>
    </row>
    <row r="1702">
      <c r="A1702" s="44" t="s">
        <v>1871</v>
      </c>
      <c r="B1702" s="45" t="s">
        <v>25</v>
      </c>
      <c r="C1702" s="46" t="s">
        <v>1860</v>
      </c>
      <c r="D1702" s="47" t="str">
        <f t="shared" si="1"/>
        <v>Removed</v>
      </c>
      <c r="E1702" s="48">
        <v>43683.0</v>
      </c>
      <c r="F1702" s="80">
        <v>44725.0</v>
      </c>
      <c r="G1702" s="50">
        <f t="shared" si="2"/>
        <v>34.23333333</v>
      </c>
      <c r="H1702" s="51">
        <v>42901.0</v>
      </c>
      <c r="I1702" s="50">
        <f t="shared" si="4"/>
        <v>2.141666667</v>
      </c>
      <c r="J1702" s="55">
        <v>70.0</v>
      </c>
      <c r="K1702" s="56">
        <v>6.8</v>
      </c>
      <c r="L1702" s="78"/>
      <c r="M1702" s="58" t="s">
        <v>95</v>
      </c>
      <c r="N1702" s="59"/>
      <c r="O1702" s="60" t="s">
        <v>34</v>
      </c>
      <c r="P1702" s="61"/>
    </row>
    <row r="1703">
      <c r="A1703" s="29" t="s">
        <v>1872</v>
      </c>
      <c r="B1703" s="30" t="s">
        <v>25</v>
      </c>
      <c r="C1703" s="31" t="s">
        <v>1860</v>
      </c>
      <c r="D1703" s="32" t="str">
        <f t="shared" si="1"/>
        <v>Removed</v>
      </c>
      <c r="E1703" s="33">
        <v>43683.0</v>
      </c>
      <c r="F1703" s="92">
        <v>44725.0</v>
      </c>
      <c r="G1703" s="36">
        <f t="shared" si="2"/>
        <v>34.23333333</v>
      </c>
      <c r="H1703" s="37">
        <v>43144.0</v>
      </c>
      <c r="I1703" s="36">
        <f t="shared" si="4"/>
        <v>1.480555556</v>
      </c>
      <c r="J1703" s="38">
        <v>61.0</v>
      </c>
      <c r="K1703" s="39">
        <v>5.8</v>
      </c>
      <c r="L1703" s="76"/>
      <c r="M1703" s="40" t="s">
        <v>95</v>
      </c>
      <c r="N1703" s="41"/>
      <c r="O1703" s="42" t="s">
        <v>34</v>
      </c>
      <c r="P1703" s="43"/>
    </row>
    <row r="1704">
      <c r="A1704" s="44" t="s">
        <v>1873</v>
      </c>
      <c r="B1704" s="45" t="s">
        <v>25</v>
      </c>
      <c r="C1704" s="46" t="s">
        <v>1860</v>
      </c>
      <c r="D1704" s="47" t="str">
        <f t="shared" si="1"/>
        <v>Removed</v>
      </c>
      <c r="E1704" s="48">
        <v>43648.0</v>
      </c>
      <c r="F1704" s="80">
        <v>44725.0</v>
      </c>
      <c r="G1704" s="50">
        <f t="shared" si="2"/>
        <v>35.36666667</v>
      </c>
      <c r="H1704" s="51">
        <v>43028.0</v>
      </c>
      <c r="I1704" s="50">
        <f t="shared" si="4"/>
        <v>1.7</v>
      </c>
      <c r="J1704" s="55">
        <v>44.0</v>
      </c>
      <c r="K1704" s="56">
        <v>5.2</v>
      </c>
      <c r="L1704" s="78"/>
      <c r="M1704" s="58" t="s">
        <v>70</v>
      </c>
      <c r="N1704" s="59"/>
      <c r="O1704" s="60" t="s">
        <v>34</v>
      </c>
      <c r="P1704" s="61"/>
    </row>
    <row r="1705">
      <c r="A1705" s="29" t="s">
        <v>1874</v>
      </c>
      <c r="B1705" s="30" t="s">
        <v>25</v>
      </c>
      <c r="C1705" s="31" t="s">
        <v>1860</v>
      </c>
      <c r="D1705" s="32" t="str">
        <f t="shared" si="1"/>
        <v>Removed</v>
      </c>
      <c r="E1705" s="33">
        <v>43648.0</v>
      </c>
      <c r="F1705" s="92">
        <v>44725.0</v>
      </c>
      <c r="G1705" s="36">
        <f t="shared" si="2"/>
        <v>35.36666667</v>
      </c>
      <c r="H1705" s="37">
        <v>42811.0</v>
      </c>
      <c r="I1705" s="36">
        <f t="shared" si="4"/>
        <v>2.291666667</v>
      </c>
      <c r="J1705" s="38">
        <v>68.0</v>
      </c>
      <c r="K1705" s="39">
        <v>6.2</v>
      </c>
      <c r="L1705" s="38">
        <v>3.0</v>
      </c>
      <c r="M1705" s="40" t="s">
        <v>136</v>
      </c>
      <c r="N1705" s="41"/>
      <c r="O1705" s="42" t="s">
        <v>34</v>
      </c>
      <c r="P1705" s="43"/>
    </row>
    <row r="1706">
      <c r="A1706" s="44" t="s">
        <v>1875</v>
      </c>
      <c r="B1706" s="45" t="s">
        <v>25</v>
      </c>
      <c r="C1706" s="46" t="s">
        <v>1860</v>
      </c>
      <c r="D1706" s="47" t="str">
        <f t="shared" si="1"/>
        <v>Removed</v>
      </c>
      <c r="E1706" s="48">
        <v>43648.0</v>
      </c>
      <c r="F1706" s="80">
        <v>44725.0</v>
      </c>
      <c r="G1706" s="50">
        <f t="shared" si="2"/>
        <v>35.36666667</v>
      </c>
      <c r="H1706" s="51">
        <v>42642.0</v>
      </c>
      <c r="I1706" s="50">
        <f t="shared" si="4"/>
        <v>2.758333333</v>
      </c>
      <c r="J1706" s="55">
        <v>78.0</v>
      </c>
      <c r="K1706" s="56">
        <v>8.5</v>
      </c>
      <c r="L1706" s="55">
        <v>8.0</v>
      </c>
      <c r="M1706" s="58" t="s">
        <v>29</v>
      </c>
      <c r="N1706" s="59"/>
      <c r="O1706" s="60" t="s">
        <v>34</v>
      </c>
      <c r="P1706" s="61"/>
    </row>
    <row r="1707">
      <c r="A1707" s="29" t="s">
        <v>1876</v>
      </c>
      <c r="B1707" s="30" t="s">
        <v>25</v>
      </c>
      <c r="C1707" s="31" t="s">
        <v>1860</v>
      </c>
      <c r="D1707" s="32" t="str">
        <f t="shared" si="1"/>
        <v>Removed</v>
      </c>
      <c r="E1707" s="33">
        <v>43648.0</v>
      </c>
      <c r="F1707" s="92">
        <v>44725.0</v>
      </c>
      <c r="G1707" s="36">
        <f t="shared" si="2"/>
        <v>35.36666667</v>
      </c>
      <c r="H1707" s="37">
        <v>42200.0</v>
      </c>
      <c r="I1707" s="36">
        <f t="shared" si="4"/>
        <v>3.963888889</v>
      </c>
      <c r="J1707" s="38">
        <v>74.0</v>
      </c>
      <c r="K1707" s="39">
        <v>6.9</v>
      </c>
      <c r="L1707" s="38">
        <v>5.0</v>
      </c>
      <c r="M1707" s="40" t="s">
        <v>31</v>
      </c>
      <c r="N1707" s="41"/>
      <c r="O1707" s="42" t="s">
        <v>34</v>
      </c>
      <c r="P1707" s="43"/>
    </row>
    <row r="1708">
      <c r="A1708" s="44" t="s">
        <v>1877</v>
      </c>
      <c r="B1708" s="45" t="s">
        <v>25</v>
      </c>
      <c r="C1708" s="46" t="s">
        <v>1860</v>
      </c>
      <c r="D1708" s="47" t="str">
        <f t="shared" si="1"/>
        <v>Removed</v>
      </c>
      <c r="E1708" s="48">
        <v>43648.0</v>
      </c>
      <c r="F1708" s="80">
        <v>44725.0</v>
      </c>
      <c r="G1708" s="50">
        <f t="shared" si="2"/>
        <v>35.36666667</v>
      </c>
      <c r="H1708" s="51">
        <v>42885.0</v>
      </c>
      <c r="I1708" s="50">
        <f t="shared" si="4"/>
        <v>2.088888889</v>
      </c>
      <c r="J1708" s="55">
        <v>65.0</v>
      </c>
      <c r="K1708" s="56">
        <v>5.7</v>
      </c>
      <c r="L1708" s="78"/>
      <c r="M1708" s="58" t="s">
        <v>95</v>
      </c>
      <c r="N1708" s="59"/>
      <c r="O1708" s="60" t="s">
        <v>34</v>
      </c>
      <c r="P1708" s="61"/>
    </row>
    <row r="1709">
      <c r="A1709" s="29" t="s">
        <v>1878</v>
      </c>
      <c r="B1709" s="30" t="s">
        <v>25</v>
      </c>
      <c r="C1709" s="31" t="s">
        <v>1860</v>
      </c>
      <c r="D1709" s="32" t="str">
        <f t="shared" si="1"/>
        <v>Removed</v>
      </c>
      <c r="E1709" s="33">
        <v>43620.0</v>
      </c>
      <c r="F1709" s="92">
        <v>44725.0</v>
      </c>
      <c r="G1709" s="36">
        <f t="shared" si="2"/>
        <v>36.3</v>
      </c>
      <c r="H1709" s="37">
        <v>43445.0</v>
      </c>
      <c r="I1709" s="36">
        <f t="shared" si="4"/>
        <v>0.4805555556</v>
      </c>
      <c r="J1709" s="38">
        <v>63.0</v>
      </c>
      <c r="K1709" s="39">
        <v>6.8</v>
      </c>
      <c r="L1709" s="76"/>
      <c r="M1709" s="40" t="s">
        <v>95</v>
      </c>
      <c r="N1709" s="41"/>
      <c r="O1709" s="42" t="s">
        <v>34</v>
      </c>
      <c r="P1709" s="43"/>
    </row>
    <row r="1710">
      <c r="A1710" s="44" t="s">
        <v>448</v>
      </c>
      <c r="B1710" s="45" t="s">
        <v>25</v>
      </c>
      <c r="C1710" s="46" t="s">
        <v>1860</v>
      </c>
      <c r="D1710" s="47" t="str">
        <f t="shared" si="1"/>
        <v>Removed</v>
      </c>
      <c r="E1710" s="48">
        <v>43620.0</v>
      </c>
      <c r="F1710" s="80">
        <v>44725.0</v>
      </c>
      <c r="G1710" s="50">
        <f t="shared" si="2"/>
        <v>36.3</v>
      </c>
      <c r="H1710" s="51">
        <v>41309.0</v>
      </c>
      <c r="I1710" s="50">
        <f t="shared" si="4"/>
        <v>6.333333333</v>
      </c>
      <c r="J1710" s="55">
        <v>75.0</v>
      </c>
      <c r="K1710" s="56">
        <v>6.9</v>
      </c>
      <c r="L1710" s="55">
        <v>6.0</v>
      </c>
      <c r="M1710" s="58" t="s">
        <v>29</v>
      </c>
      <c r="N1710" s="59"/>
      <c r="O1710" s="60" t="s">
        <v>34</v>
      </c>
      <c r="P1710" s="61"/>
    </row>
    <row r="1711">
      <c r="A1711" s="29" t="s">
        <v>1879</v>
      </c>
      <c r="B1711" s="30" t="s">
        <v>25</v>
      </c>
      <c r="C1711" s="31" t="s">
        <v>1860</v>
      </c>
      <c r="D1711" s="32" t="str">
        <f t="shared" si="1"/>
        <v>Removed</v>
      </c>
      <c r="E1711" s="33">
        <v>43620.0</v>
      </c>
      <c r="F1711" s="92">
        <v>44725.0</v>
      </c>
      <c r="G1711" s="36">
        <f t="shared" si="2"/>
        <v>36.3</v>
      </c>
      <c r="H1711" s="37">
        <v>42626.0</v>
      </c>
      <c r="I1711" s="36">
        <f t="shared" si="4"/>
        <v>2.725</v>
      </c>
      <c r="J1711" s="38">
        <v>75.0</v>
      </c>
      <c r="K1711" s="39">
        <v>6.8</v>
      </c>
      <c r="L1711" s="38">
        <v>4.5</v>
      </c>
      <c r="M1711" s="40" t="s">
        <v>31</v>
      </c>
      <c r="N1711" s="41"/>
      <c r="O1711" s="42" t="s">
        <v>34</v>
      </c>
      <c r="P1711" s="43"/>
    </row>
    <row r="1712">
      <c r="A1712" s="44" t="s">
        <v>1880</v>
      </c>
      <c r="B1712" s="45" t="s">
        <v>25</v>
      </c>
      <c r="C1712" s="46" t="s">
        <v>1860</v>
      </c>
      <c r="D1712" s="47" t="str">
        <f t="shared" si="1"/>
        <v>Removed</v>
      </c>
      <c r="E1712" s="48">
        <v>43620.0</v>
      </c>
      <c r="F1712" s="80">
        <v>44725.0</v>
      </c>
      <c r="G1712" s="50">
        <f t="shared" si="2"/>
        <v>36.3</v>
      </c>
      <c r="H1712" s="51">
        <v>42584.0</v>
      </c>
      <c r="I1712" s="50">
        <f t="shared" si="4"/>
        <v>2.838888889</v>
      </c>
      <c r="J1712" s="55">
        <v>64.0</v>
      </c>
      <c r="K1712" s="56">
        <v>7.4</v>
      </c>
      <c r="L1712" s="55">
        <v>3.5</v>
      </c>
      <c r="M1712" s="58" t="s">
        <v>31</v>
      </c>
      <c r="N1712" s="59"/>
      <c r="O1712" s="60" t="s">
        <v>34</v>
      </c>
      <c r="P1712" s="61"/>
    </row>
    <row r="1713">
      <c r="A1713" s="29" t="s">
        <v>1881</v>
      </c>
      <c r="B1713" s="30" t="s">
        <v>25</v>
      </c>
      <c r="C1713" s="31" t="s">
        <v>1860</v>
      </c>
      <c r="D1713" s="32" t="str">
        <f t="shared" si="1"/>
        <v>Removed</v>
      </c>
      <c r="E1713" s="33">
        <v>43620.0</v>
      </c>
      <c r="F1713" s="92">
        <v>44725.0</v>
      </c>
      <c r="G1713" s="36">
        <f t="shared" si="2"/>
        <v>36.3</v>
      </c>
      <c r="H1713" s="37">
        <v>42135.0</v>
      </c>
      <c r="I1713" s="36">
        <f t="shared" si="4"/>
        <v>4.063888889</v>
      </c>
      <c r="J1713" s="38">
        <v>68.0</v>
      </c>
      <c r="K1713" s="39">
        <v>7.4</v>
      </c>
      <c r="L1713" s="38">
        <v>2.0</v>
      </c>
      <c r="M1713" s="40" t="s">
        <v>27</v>
      </c>
      <c r="N1713" s="41"/>
      <c r="O1713" s="42" t="s">
        <v>34</v>
      </c>
      <c r="P1713" s="43"/>
    </row>
    <row r="1714">
      <c r="A1714" s="44" t="s">
        <v>1882</v>
      </c>
      <c r="B1714" s="45" t="s">
        <v>25</v>
      </c>
      <c r="C1714" s="46" t="s">
        <v>1860</v>
      </c>
      <c r="D1714" s="47" t="str">
        <f t="shared" si="1"/>
        <v>Removed</v>
      </c>
      <c r="E1714" s="48">
        <v>43592.0</v>
      </c>
      <c r="F1714" s="80">
        <v>44725.0</v>
      </c>
      <c r="G1714" s="50">
        <f t="shared" si="2"/>
        <v>37.2</v>
      </c>
      <c r="H1714" s="51">
        <v>42520.0</v>
      </c>
      <c r="I1714" s="50">
        <f t="shared" si="4"/>
        <v>2.936111111</v>
      </c>
      <c r="J1714" s="78"/>
      <c r="K1714" s="77"/>
      <c r="L1714" s="55">
        <v>2.0</v>
      </c>
      <c r="M1714" s="58" t="s">
        <v>112</v>
      </c>
      <c r="N1714" s="59"/>
      <c r="O1714" s="60" t="s">
        <v>34</v>
      </c>
      <c r="P1714" s="61"/>
    </row>
    <row r="1715">
      <c r="A1715" s="29" t="s">
        <v>1427</v>
      </c>
      <c r="B1715" s="30" t="s">
        <v>25</v>
      </c>
      <c r="C1715" s="31" t="s">
        <v>1860</v>
      </c>
      <c r="D1715" s="32" t="str">
        <f t="shared" si="1"/>
        <v>Removed</v>
      </c>
      <c r="E1715" s="33">
        <v>43592.0</v>
      </c>
      <c r="F1715" s="92">
        <v>44725.0</v>
      </c>
      <c r="G1715" s="36">
        <f t="shared" si="2"/>
        <v>37.2</v>
      </c>
      <c r="H1715" s="37">
        <v>42297.0</v>
      </c>
      <c r="I1715" s="36">
        <f t="shared" si="4"/>
        <v>3.547222222</v>
      </c>
      <c r="J1715" s="38">
        <v>72.0</v>
      </c>
      <c r="K1715" s="39">
        <v>7.2</v>
      </c>
      <c r="L1715" s="38">
        <v>45.0</v>
      </c>
      <c r="M1715" s="40" t="s">
        <v>42</v>
      </c>
      <c r="N1715" s="41"/>
      <c r="O1715" s="42" t="s">
        <v>34</v>
      </c>
      <c r="P1715" s="43"/>
    </row>
    <row r="1716">
      <c r="A1716" s="44" t="s">
        <v>1883</v>
      </c>
      <c r="B1716" s="45" t="s">
        <v>25</v>
      </c>
      <c r="C1716" s="46" t="s">
        <v>1860</v>
      </c>
      <c r="D1716" s="47" t="str">
        <f t="shared" si="1"/>
        <v>Removed</v>
      </c>
      <c r="E1716" s="48">
        <v>43592.0</v>
      </c>
      <c r="F1716" s="80">
        <v>44725.0</v>
      </c>
      <c r="G1716" s="50">
        <f t="shared" si="2"/>
        <v>37.2</v>
      </c>
      <c r="H1716" s="51">
        <v>40483.0</v>
      </c>
      <c r="I1716" s="50">
        <f t="shared" si="4"/>
        <v>8.516666667</v>
      </c>
      <c r="J1716" s="55">
        <v>72.0</v>
      </c>
      <c r="K1716" s="56">
        <v>7.7</v>
      </c>
      <c r="L1716" s="55">
        <v>17.0</v>
      </c>
      <c r="M1716" s="58" t="s">
        <v>29</v>
      </c>
      <c r="N1716" s="59" t="s">
        <v>442</v>
      </c>
      <c r="O1716" s="60" t="s">
        <v>34</v>
      </c>
      <c r="P1716" s="66"/>
    </row>
    <row r="1717">
      <c r="A1717" s="29" t="s">
        <v>1884</v>
      </c>
      <c r="B1717" s="30" t="s">
        <v>25</v>
      </c>
      <c r="C1717" s="31" t="s">
        <v>1860</v>
      </c>
      <c r="D1717" s="32" t="str">
        <f t="shared" si="1"/>
        <v>Removed</v>
      </c>
      <c r="E1717" s="33">
        <v>43557.0</v>
      </c>
      <c r="F1717" s="92">
        <v>44725.0</v>
      </c>
      <c r="G1717" s="36">
        <f t="shared" si="2"/>
        <v>38.36666667</v>
      </c>
      <c r="H1717" s="37">
        <v>42892.0</v>
      </c>
      <c r="I1717" s="36">
        <f t="shared" si="4"/>
        <v>1.822222222</v>
      </c>
      <c r="J1717" s="38">
        <v>85.0</v>
      </c>
      <c r="K1717" s="39">
        <v>7.4</v>
      </c>
      <c r="L1717" s="38">
        <v>30.0</v>
      </c>
      <c r="M1717" s="40" t="s">
        <v>95</v>
      </c>
      <c r="N1717" s="41"/>
      <c r="O1717" s="42" t="s">
        <v>34</v>
      </c>
      <c r="P1717" s="43"/>
    </row>
    <row r="1718">
      <c r="A1718" s="44" t="s">
        <v>1885</v>
      </c>
      <c r="B1718" s="45" t="s">
        <v>25</v>
      </c>
      <c r="C1718" s="46" t="s">
        <v>1860</v>
      </c>
      <c r="D1718" s="47" t="str">
        <f t="shared" si="1"/>
        <v>Removed</v>
      </c>
      <c r="E1718" s="48">
        <v>43529.0</v>
      </c>
      <c r="F1718" s="80">
        <v>44725.0</v>
      </c>
      <c r="G1718" s="50">
        <f t="shared" si="2"/>
        <v>39.26666667</v>
      </c>
      <c r="H1718" s="51">
        <v>43021.0</v>
      </c>
      <c r="I1718" s="50">
        <f t="shared" si="4"/>
        <v>1.394444444</v>
      </c>
      <c r="J1718" s="55">
        <v>66.0</v>
      </c>
      <c r="K1718" s="56">
        <v>5.7</v>
      </c>
      <c r="L1718" s="78"/>
      <c r="M1718" s="58" t="s">
        <v>39</v>
      </c>
      <c r="N1718" s="59"/>
      <c r="O1718" s="60" t="s">
        <v>34</v>
      </c>
      <c r="P1718" s="61"/>
    </row>
    <row r="1719">
      <c r="A1719" s="29" t="s">
        <v>1886</v>
      </c>
      <c r="B1719" s="30" t="s">
        <v>25</v>
      </c>
      <c r="C1719" s="31" t="s">
        <v>1860</v>
      </c>
      <c r="D1719" s="32" t="str">
        <f t="shared" si="1"/>
        <v>Removed</v>
      </c>
      <c r="E1719" s="33">
        <v>43529.0</v>
      </c>
      <c r="F1719" s="92">
        <v>44725.0</v>
      </c>
      <c r="G1719" s="36">
        <f t="shared" si="2"/>
        <v>39.26666667</v>
      </c>
      <c r="H1719" s="37">
        <v>42647.0</v>
      </c>
      <c r="I1719" s="36">
        <f t="shared" si="4"/>
        <v>2.419444444</v>
      </c>
      <c r="J1719" s="38">
        <v>48.0</v>
      </c>
      <c r="K1719" s="39">
        <v>5.3</v>
      </c>
      <c r="L1719" s="38">
        <v>3.0</v>
      </c>
      <c r="M1719" s="40" t="s">
        <v>268</v>
      </c>
      <c r="N1719" s="41"/>
      <c r="O1719" s="42" t="s">
        <v>34</v>
      </c>
      <c r="P1719" s="43"/>
    </row>
    <row r="1720">
      <c r="A1720" s="44" t="s">
        <v>1887</v>
      </c>
      <c r="B1720" s="45" t="s">
        <v>25</v>
      </c>
      <c r="C1720" s="46" t="s">
        <v>1860</v>
      </c>
      <c r="D1720" s="47" t="str">
        <f t="shared" si="1"/>
        <v>Removed</v>
      </c>
      <c r="E1720" s="48">
        <v>43529.0</v>
      </c>
      <c r="F1720" s="80">
        <v>44725.0</v>
      </c>
      <c r="G1720" s="50">
        <f t="shared" si="2"/>
        <v>39.26666667</v>
      </c>
      <c r="H1720" s="51">
        <v>42626.0</v>
      </c>
      <c r="I1720" s="50">
        <f t="shared" si="4"/>
        <v>2.477777778</v>
      </c>
      <c r="J1720" s="55">
        <v>77.0</v>
      </c>
      <c r="K1720" s="56">
        <v>7.4</v>
      </c>
      <c r="L1720" s="55">
        <v>4.5</v>
      </c>
      <c r="M1720" s="58" t="s">
        <v>64</v>
      </c>
      <c r="N1720" s="59"/>
      <c r="O1720" s="60" t="s">
        <v>34</v>
      </c>
      <c r="P1720" s="61"/>
    </row>
    <row r="1721">
      <c r="A1721" s="29" t="s">
        <v>1888</v>
      </c>
      <c r="B1721" s="30" t="s">
        <v>25</v>
      </c>
      <c r="C1721" s="31" t="s">
        <v>1860</v>
      </c>
      <c r="D1721" s="32" t="str">
        <f t="shared" si="1"/>
        <v>Removed</v>
      </c>
      <c r="E1721" s="33">
        <v>43529.0</v>
      </c>
      <c r="F1721" s="92">
        <v>44725.0</v>
      </c>
      <c r="G1721" s="36">
        <f t="shared" si="2"/>
        <v>39.26666667</v>
      </c>
      <c r="H1721" s="37">
        <v>41579.0</v>
      </c>
      <c r="I1721" s="36">
        <f t="shared" si="4"/>
        <v>5.344444444</v>
      </c>
      <c r="J1721" s="38">
        <v>85.0</v>
      </c>
      <c r="K1721" s="39">
        <v>6.1</v>
      </c>
      <c r="L1721" s="38">
        <v>6.0</v>
      </c>
      <c r="M1721" s="40" t="s">
        <v>31</v>
      </c>
      <c r="N1721" s="41"/>
      <c r="O1721" s="42" t="s">
        <v>34</v>
      </c>
      <c r="P1721" s="43"/>
    </row>
    <row r="1722">
      <c r="A1722" s="44" t="s">
        <v>1889</v>
      </c>
      <c r="B1722" s="45" t="s">
        <v>25</v>
      </c>
      <c r="C1722" s="46" t="s">
        <v>1860</v>
      </c>
      <c r="D1722" s="47" t="str">
        <f t="shared" si="1"/>
        <v>Removed</v>
      </c>
      <c r="E1722" s="48">
        <v>43529.0</v>
      </c>
      <c r="F1722" s="80">
        <v>44725.0</v>
      </c>
      <c r="G1722" s="50">
        <f t="shared" si="2"/>
        <v>39.26666667</v>
      </c>
      <c r="H1722" s="51">
        <v>41306.0</v>
      </c>
      <c r="I1722" s="50">
        <f t="shared" si="4"/>
        <v>6.094444444</v>
      </c>
      <c r="J1722" s="55">
        <v>76.0</v>
      </c>
      <c r="K1722" s="56">
        <v>6.8</v>
      </c>
      <c r="L1722" s="55">
        <v>12.0</v>
      </c>
      <c r="M1722" s="58" t="s">
        <v>31</v>
      </c>
      <c r="N1722" s="59" t="s">
        <v>442</v>
      </c>
      <c r="O1722" s="60" t="s">
        <v>34</v>
      </c>
      <c r="P1722" s="66"/>
    </row>
    <row r="1723">
      <c r="A1723" s="29" t="s">
        <v>1890</v>
      </c>
      <c r="B1723" s="30" t="s">
        <v>25</v>
      </c>
      <c r="C1723" s="31" t="s">
        <v>1860</v>
      </c>
      <c r="D1723" s="32" t="str">
        <f t="shared" si="1"/>
        <v>Removed</v>
      </c>
      <c r="E1723" s="33">
        <v>43503.0</v>
      </c>
      <c r="F1723" s="92">
        <v>44725.0</v>
      </c>
      <c r="G1723" s="36">
        <f t="shared" si="2"/>
        <v>40.2</v>
      </c>
      <c r="H1723" s="37">
        <v>42972.0</v>
      </c>
      <c r="I1723" s="36">
        <f t="shared" si="4"/>
        <v>1.45</v>
      </c>
      <c r="J1723" s="38">
        <v>86.0</v>
      </c>
      <c r="K1723" s="39">
        <v>7.5</v>
      </c>
      <c r="L1723" s="76"/>
      <c r="M1723" s="40" t="s">
        <v>95</v>
      </c>
      <c r="N1723" s="41"/>
      <c r="O1723" s="42" t="s">
        <v>34</v>
      </c>
      <c r="P1723" s="43"/>
    </row>
    <row r="1724">
      <c r="A1724" s="44" t="s">
        <v>1891</v>
      </c>
      <c r="B1724" s="45" t="s">
        <v>25</v>
      </c>
      <c r="C1724" s="46" t="s">
        <v>1860</v>
      </c>
      <c r="D1724" s="47" t="str">
        <f t="shared" si="1"/>
        <v>Removed</v>
      </c>
      <c r="E1724" s="48">
        <v>43503.0</v>
      </c>
      <c r="F1724" s="80">
        <v>44725.0</v>
      </c>
      <c r="G1724" s="50">
        <f t="shared" si="2"/>
        <v>40.2</v>
      </c>
      <c r="H1724" s="51">
        <v>42080.0</v>
      </c>
      <c r="I1724" s="50">
        <f t="shared" si="4"/>
        <v>3.888888889</v>
      </c>
      <c r="J1724" s="55">
        <v>73.0</v>
      </c>
      <c r="K1724" s="56">
        <v>5.9</v>
      </c>
      <c r="L1724" s="55">
        <v>7.0</v>
      </c>
      <c r="M1724" s="58" t="s">
        <v>31</v>
      </c>
      <c r="N1724" s="59"/>
      <c r="O1724" s="60" t="s">
        <v>34</v>
      </c>
      <c r="P1724" s="61"/>
    </row>
    <row r="1725">
      <c r="A1725" s="29" t="s">
        <v>1892</v>
      </c>
      <c r="B1725" s="30" t="s">
        <v>25</v>
      </c>
      <c r="C1725" s="31" t="s">
        <v>1860</v>
      </c>
      <c r="D1725" s="32" t="str">
        <f t="shared" si="1"/>
        <v>Removed</v>
      </c>
      <c r="E1725" s="33">
        <v>43503.0</v>
      </c>
      <c r="F1725" s="92">
        <v>44725.0</v>
      </c>
      <c r="G1725" s="36">
        <f t="shared" si="2"/>
        <v>40.2</v>
      </c>
      <c r="H1725" s="37">
        <v>40297.0</v>
      </c>
      <c r="I1725" s="36">
        <f t="shared" si="4"/>
        <v>8.772222222</v>
      </c>
      <c r="J1725" s="38">
        <v>89.0</v>
      </c>
      <c r="K1725" s="39">
        <v>8.6</v>
      </c>
      <c r="L1725" s="38">
        <v>18.0</v>
      </c>
      <c r="M1725" s="40" t="s">
        <v>29</v>
      </c>
      <c r="N1725" s="41"/>
      <c r="O1725" s="42" t="s">
        <v>34</v>
      </c>
      <c r="P1725" s="43"/>
    </row>
    <row r="1726">
      <c r="A1726" s="44" t="s">
        <v>1893</v>
      </c>
      <c r="B1726" s="45" t="s">
        <v>25</v>
      </c>
      <c r="C1726" s="46" t="s">
        <v>1860</v>
      </c>
      <c r="D1726" s="47" t="str">
        <f t="shared" si="1"/>
        <v>Removed</v>
      </c>
      <c r="E1726" s="48">
        <v>43503.0</v>
      </c>
      <c r="F1726" s="80">
        <v>44725.0</v>
      </c>
      <c r="G1726" s="50">
        <f t="shared" si="2"/>
        <v>40.2</v>
      </c>
      <c r="H1726" s="51">
        <v>41579.0</v>
      </c>
      <c r="I1726" s="50">
        <f t="shared" si="4"/>
        <v>5.266666667</v>
      </c>
      <c r="J1726" s="55">
        <v>80.0</v>
      </c>
      <c r="K1726" s="56">
        <v>7.1</v>
      </c>
      <c r="L1726" s="55">
        <v>18.0</v>
      </c>
      <c r="M1726" s="58" t="s">
        <v>95</v>
      </c>
      <c r="N1726" s="59" t="s">
        <v>442</v>
      </c>
      <c r="O1726" s="60" t="s">
        <v>34</v>
      </c>
      <c r="P1726" s="66"/>
    </row>
    <row r="1727">
      <c r="A1727" s="29" t="s">
        <v>1894</v>
      </c>
      <c r="B1727" s="30" t="s">
        <v>25</v>
      </c>
      <c r="C1727" s="31" t="s">
        <v>1860</v>
      </c>
      <c r="D1727" s="32" t="str">
        <f t="shared" si="1"/>
        <v>Removed</v>
      </c>
      <c r="E1727" s="33">
        <v>43473.0</v>
      </c>
      <c r="F1727" s="92">
        <v>44725.0</v>
      </c>
      <c r="G1727" s="36">
        <f t="shared" si="2"/>
        <v>41.16666667</v>
      </c>
      <c r="H1727" s="37">
        <v>43000.0</v>
      </c>
      <c r="I1727" s="36">
        <f t="shared" si="4"/>
        <v>1.294444444</v>
      </c>
      <c r="J1727" s="38">
        <v>82.0</v>
      </c>
      <c r="K1727" s="39">
        <v>6.2</v>
      </c>
      <c r="L1727" s="38">
        <v>27.0</v>
      </c>
      <c r="M1727" s="40" t="s">
        <v>95</v>
      </c>
      <c r="N1727" s="41"/>
      <c r="O1727" s="42" t="s">
        <v>34</v>
      </c>
      <c r="P1727" s="43"/>
    </row>
    <row r="1728">
      <c r="A1728" s="44" t="s">
        <v>1895</v>
      </c>
      <c r="B1728" s="45" t="s">
        <v>25</v>
      </c>
      <c r="C1728" s="46" t="s">
        <v>1860</v>
      </c>
      <c r="D1728" s="47" t="str">
        <f t="shared" si="1"/>
        <v>Removed</v>
      </c>
      <c r="E1728" s="48">
        <v>43473.0</v>
      </c>
      <c r="F1728" s="80">
        <v>44725.0</v>
      </c>
      <c r="G1728" s="50">
        <f t="shared" si="2"/>
        <v>41.16666667</v>
      </c>
      <c r="H1728" s="51">
        <v>42612.0</v>
      </c>
      <c r="I1728" s="50">
        <f t="shared" si="4"/>
        <v>2.355555556</v>
      </c>
      <c r="J1728" s="55">
        <v>69.0</v>
      </c>
      <c r="K1728" s="56">
        <v>7.1</v>
      </c>
      <c r="L1728" s="55">
        <v>53.5</v>
      </c>
      <c r="M1728" s="58" t="s">
        <v>42</v>
      </c>
      <c r="N1728" s="59"/>
      <c r="O1728" s="60" t="s">
        <v>34</v>
      </c>
      <c r="P1728" s="61"/>
    </row>
    <row r="1729">
      <c r="A1729" s="29" t="s">
        <v>1896</v>
      </c>
      <c r="B1729" s="30" t="s">
        <v>25</v>
      </c>
      <c r="C1729" s="31" t="s">
        <v>1860</v>
      </c>
      <c r="D1729" s="32" t="str">
        <f t="shared" si="1"/>
        <v>Removed</v>
      </c>
      <c r="E1729" s="33">
        <v>43473.0</v>
      </c>
      <c r="F1729" s="92">
        <v>44725.0</v>
      </c>
      <c r="G1729" s="36">
        <f t="shared" si="2"/>
        <v>41.16666667</v>
      </c>
      <c r="H1729" s="37">
        <v>42262.0</v>
      </c>
      <c r="I1729" s="36">
        <f t="shared" si="4"/>
        <v>3.313888889</v>
      </c>
      <c r="J1729" s="38">
        <v>57.0</v>
      </c>
      <c r="K1729" s="39">
        <v>6.6</v>
      </c>
      <c r="L1729" s="38">
        <v>6.0</v>
      </c>
      <c r="M1729" s="40" t="s">
        <v>29</v>
      </c>
      <c r="N1729" s="41"/>
      <c r="O1729" s="42" t="s">
        <v>34</v>
      </c>
      <c r="P1729" s="43"/>
    </row>
    <row r="1730">
      <c r="A1730" s="44" t="s">
        <v>467</v>
      </c>
      <c r="B1730" s="45" t="s">
        <v>25</v>
      </c>
      <c r="C1730" s="46" t="s">
        <v>1860</v>
      </c>
      <c r="D1730" s="47" t="str">
        <f t="shared" si="1"/>
        <v>Removed</v>
      </c>
      <c r="E1730" s="48">
        <v>43438.0</v>
      </c>
      <c r="F1730" s="80">
        <v>44725.0</v>
      </c>
      <c r="G1730" s="50">
        <f t="shared" si="2"/>
        <v>42.3</v>
      </c>
      <c r="H1730" s="51">
        <v>43298.0</v>
      </c>
      <c r="I1730" s="50">
        <f t="shared" si="4"/>
        <v>0.3805555556</v>
      </c>
      <c r="J1730" s="55">
        <v>62.0</v>
      </c>
      <c r="K1730" s="56">
        <v>6.2</v>
      </c>
      <c r="L1730" s="55">
        <v>12.0</v>
      </c>
      <c r="M1730" s="58" t="s">
        <v>42</v>
      </c>
      <c r="N1730" s="59"/>
      <c r="O1730" s="60" t="s">
        <v>34</v>
      </c>
      <c r="P1730" s="61"/>
    </row>
    <row r="1731">
      <c r="A1731" s="29" t="s">
        <v>1897</v>
      </c>
      <c r="B1731" s="30" t="s">
        <v>25</v>
      </c>
      <c r="C1731" s="31" t="s">
        <v>1860</v>
      </c>
      <c r="D1731" s="32" t="str">
        <f t="shared" si="1"/>
        <v>Removed</v>
      </c>
      <c r="E1731" s="33">
        <v>43438.0</v>
      </c>
      <c r="F1731" s="92">
        <v>44725.0</v>
      </c>
      <c r="G1731" s="36">
        <f t="shared" si="2"/>
        <v>42.3</v>
      </c>
      <c r="H1731" s="37">
        <v>43291.0</v>
      </c>
      <c r="I1731" s="36">
        <f t="shared" si="4"/>
        <v>0.4</v>
      </c>
      <c r="J1731" s="38">
        <v>67.0</v>
      </c>
      <c r="K1731" s="39">
        <v>3.5</v>
      </c>
      <c r="L1731" s="38">
        <v>4.0</v>
      </c>
      <c r="M1731" s="40" t="s">
        <v>31</v>
      </c>
      <c r="N1731" s="41"/>
      <c r="O1731" s="42" t="s">
        <v>34</v>
      </c>
      <c r="P1731" s="43"/>
    </row>
    <row r="1732">
      <c r="A1732" s="44" t="s">
        <v>1898</v>
      </c>
      <c r="B1732" s="45" t="s">
        <v>25</v>
      </c>
      <c r="C1732" s="46" t="s">
        <v>1860</v>
      </c>
      <c r="D1732" s="47" t="str">
        <f t="shared" si="1"/>
        <v>Removed</v>
      </c>
      <c r="E1732" s="48">
        <v>43438.0</v>
      </c>
      <c r="F1732" s="80">
        <v>44725.0</v>
      </c>
      <c r="G1732" s="50">
        <f t="shared" si="2"/>
        <v>42.3</v>
      </c>
      <c r="H1732" s="51">
        <v>43277.0</v>
      </c>
      <c r="I1732" s="50">
        <f t="shared" si="4"/>
        <v>0.4388888889</v>
      </c>
      <c r="J1732" s="55">
        <v>81.0</v>
      </c>
      <c r="K1732" s="56">
        <v>7.1</v>
      </c>
      <c r="L1732" s="55">
        <v>4.0</v>
      </c>
      <c r="M1732" s="58" t="s">
        <v>29</v>
      </c>
      <c r="N1732" s="59"/>
      <c r="O1732" s="60" t="s">
        <v>34</v>
      </c>
      <c r="P1732" s="61"/>
    </row>
    <row r="1733">
      <c r="A1733" s="29" t="s">
        <v>1899</v>
      </c>
      <c r="B1733" s="30" t="s">
        <v>25</v>
      </c>
      <c r="C1733" s="31" t="s">
        <v>1860</v>
      </c>
      <c r="D1733" s="32" t="str">
        <f t="shared" si="1"/>
        <v>Removed</v>
      </c>
      <c r="E1733" s="33">
        <v>43438.0</v>
      </c>
      <c r="F1733" s="92">
        <v>44725.0</v>
      </c>
      <c r="G1733" s="36">
        <f t="shared" si="2"/>
        <v>42.3</v>
      </c>
      <c r="H1733" s="37">
        <v>39763.0</v>
      </c>
      <c r="I1733" s="36">
        <f t="shared" si="4"/>
        <v>10.06388889</v>
      </c>
      <c r="J1733" s="38">
        <v>47.0</v>
      </c>
      <c r="K1733" s="39">
        <v>4.7</v>
      </c>
      <c r="L1733" s="38">
        <v>3.0</v>
      </c>
      <c r="M1733" s="40" t="s">
        <v>51</v>
      </c>
      <c r="N1733" s="41"/>
      <c r="O1733" s="42" t="s">
        <v>34</v>
      </c>
      <c r="P1733" s="43"/>
    </row>
    <row r="1734">
      <c r="A1734" s="44" t="s">
        <v>281</v>
      </c>
      <c r="B1734" s="45" t="s">
        <v>25</v>
      </c>
      <c r="C1734" s="46" t="s">
        <v>1860</v>
      </c>
      <c r="D1734" s="47" t="str">
        <f t="shared" si="1"/>
        <v>Removed</v>
      </c>
      <c r="E1734" s="48">
        <v>43438.0</v>
      </c>
      <c r="F1734" s="80">
        <v>44725.0</v>
      </c>
      <c r="G1734" s="50">
        <f t="shared" si="2"/>
        <v>42.3</v>
      </c>
      <c r="H1734" s="51">
        <v>43053.0</v>
      </c>
      <c r="I1734" s="50">
        <f t="shared" si="4"/>
        <v>1.055555556</v>
      </c>
      <c r="J1734" s="55">
        <v>41.0</v>
      </c>
      <c r="K1734" s="56">
        <v>5.0</v>
      </c>
      <c r="L1734" s="55">
        <v>5.0</v>
      </c>
      <c r="M1734" s="58" t="s">
        <v>29</v>
      </c>
      <c r="N1734" s="59"/>
      <c r="O1734" s="60" t="s">
        <v>34</v>
      </c>
      <c r="P1734" s="61"/>
    </row>
    <row r="1735">
      <c r="A1735" s="29" t="s">
        <v>1900</v>
      </c>
      <c r="B1735" s="30" t="s">
        <v>25</v>
      </c>
      <c r="C1735" s="31" t="s">
        <v>1860</v>
      </c>
      <c r="D1735" s="32" t="str">
        <f t="shared" si="1"/>
        <v>Removed</v>
      </c>
      <c r="E1735" s="33">
        <v>43438.0</v>
      </c>
      <c r="F1735" s="92">
        <v>44725.0</v>
      </c>
      <c r="G1735" s="36">
        <f t="shared" si="2"/>
        <v>42.3</v>
      </c>
      <c r="H1735" s="37">
        <v>42320.0</v>
      </c>
      <c r="I1735" s="36">
        <f t="shared" si="4"/>
        <v>3.061111111</v>
      </c>
      <c r="J1735" s="76"/>
      <c r="K1735" s="79"/>
      <c r="L1735" s="38">
        <v>3.0</v>
      </c>
      <c r="M1735" s="40" t="s">
        <v>103</v>
      </c>
      <c r="N1735" s="41"/>
      <c r="O1735" s="42" t="s">
        <v>34</v>
      </c>
      <c r="P1735" s="43"/>
    </row>
    <row r="1736">
      <c r="A1736" s="44" t="s">
        <v>1901</v>
      </c>
      <c r="B1736" s="45" t="s">
        <v>25</v>
      </c>
      <c r="C1736" s="46" t="s">
        <v>1860</v>
      </c>
      <c r="D1736" s="47" t="str">
        <f t="shared" si="1"/>
        <v>Removed</v>
      </c>
      <c r="E1736" s="48">
        <v>43438.0</v>
      </c>
      <c r="F1736" s="80">
        <v>44725.0</v>
      </c>
      <c r="G1736" s="50">
        <f t="shared" si="2"/>
        <v>42.3</v>
      </c>
      <c r="H1736" s="51">
        <v>43067.0</v>
      </c>
      <c r="I1736" s="50">
        <f t="shared" si="4"/>
        <v>1.016666667</v>
      </c>
      <c r="J1736" s="55">
        <v>49.0</v>
      </c>
      <c r="K1736" s="56">
        <v>6.4</v>
      </c>
      <c r="L1736" s="55">
        <v>12.0</v>
      </c>
      <c r="M1736" s="58" t="s">
        <v>42</v>
      </c>
      <c r="N1736" s="59"/>
      <c r="O1736" s="60" t="s">
        <v>34</v>
      </c>
      <c r="P1736" s="61"/>
    </row>
    <row r="1737">
      <c r="A1737" s="29" t="s">
        <v>1902</v>
      </c>
      <c r="B1737" s="30" t="s">
        <v>25</v>
      </c>
      <c r="C1737" s="31" t="s">
        <v>1860</v>
      </c>
      <c r="D1737" s="32" t="str">
        <f t="shared" si="1"/>
        <v>Removed</v>
      </c>
      <c r="E1737" s="33">
        <v>43438.0</v>
      </c>
      <c r="F1737" s="92">
        <v>44725.0</v>
      </c>
      <c r="G1737" s="36">
        <f t="shared" si="2"/>
        <v>42.3</v>
      </c>
      <c r="H1737" s="37">
        <v>42985.0</v>
      </c>
      <c r="I1737" s="36">
        <f t="shared" si="4"/>
        <v>1.241666667</v>
      </c>
      <c r="J1737" s="38">
        <v>85.0</v>
      </c>
      <c r="K1737" s="39">
        <v>7.5</v>
      </c>
      <c r="L1737" s="38">
        <v>6.0</v>
      </c>
      <c r="M1737" s="40" t="s">
        <v>31</v>
      </c>
      <c r="N1737" s="41"/>
      <c r="O1737" s="42" t="s">
        <v>34</v>
      </c>
      <c r="P1737" s="43"/>
    </row>
    <row r="1738">
      <c r="A1738" s="44" t="s">
        <v>1903</v>
      </c>
      <c r="B1738" s="45" t="s">
        <v>25</v>
      </c>
      <c r="C1738" s="46" t="s">
        <v>1860</v>
      </c>
      <c r="D1738" s="47" t="str">
        <f t="shared" si="1"/>
        <v>Removed</v>
      </c>
      <c r="E1738" s="48">
        <v>43438.0</v>
      </c>
      <c r="F1738" s="80">
        <v>44725.0</v>
      </c>
      <c r="G1738" s="50">
        <f t="shared" si="2"/>
        <v>42.3</v>
      </c>
      <c r="H1738" s="51">
        <v>42769.0</v>
      </c>
      <c r="I1738" s="50">
        <f t="shared" si="4"/>
        <v>1.836111111</v>
      </c>
      <c r="J1738" s="55">
        <v>70.0</v>
      </c>
      <c r="K1738" s="56">
        <v>6.7</v>
      </c>
      <c r="L1738" s="55">
        <v>8.0</v>
      </c>
      <c r="M1738" s="58" t="s">
        <v>42</v>
      </c>
      <c r="N1738" s="59"/>
      <c r="O1738" s="60" t="s">
        <v>34</v>
      </c>
      <c r="P1738" s="61"/>
    </row>
    <row r="1739">
      <c r="A1739" s="29" t="s">
        <v>1904</v>
      </c>
      <c r="B1739" s="30" t="s">
        <v>25</v>
      </c>
      <c r="C1739" s="31" t="s">
        <v>1860</v>
      </c>
      <c r="D1739" s="32" t="str">
        <f t="shared" si="1"/>
        <v>Removed</v>
      </c>
      <c r="E1739" s="33">
        <v>43438.0</v>
      </c>
      <c r="F1739" s="92">
        <v>44725.0</v>
      </c>
      <c r="G1739" s="36">
        <f t="shared" si="2"/>
        <v>42.3</v>
      </c>
      <c r="H1739" s="37">
        <v>43235.0</v>
      </c>
      <c r="I1739" s="36">
        <f t="shared" si="4"/>
        <v>0.5527777778</v>
      </c>
      <c r="J1739" s="38">
        <v>35.0</v>
      </c>
      <c r="K1739" s="79"/>
      <c r="L1739" s="38">
        <v>2.0</v>
      </c>
      <c r="M1739" s="40" t="s">
        <v>31</v>
      </c>
      <c r="N1739" s="41"/>
      <c r="O1739" s="42" t="s">
        <v>34</v>
      </c>
      <c r="P1739" s="43"/>
    </row>
    <row r="1740">
      <c r="A1740" s="44" t="s">
        <v>1905</v>
      </c>
      <c r="B1740" s="45" t="s">
        <v>25</v>
      </c>
      <c r="C1740" s="46" t="s">
        <v>1860</v>
      </c>
      <c r="D1740" s="47" t="str">
        <f t="shared" si="1"/>
        <v>Removed</v>
      </c>
      <c r="E1740" s="48">
        <v>43438.0</v>
      </c>
      <c r="F1740" s="80">
        <v>44725.0</v>
      </c>
      <c r="G1740" s="50">
        <f t="shared" si="2"/>
        <v>42.3</v>
      </c>
      <c r="H1740" s="51">
        <v>42643.0</v>
      </c>
      <c r="I1740" s="50">
        <f t="shared" si="4"/>
        <v>2.177777778</v>
      </c>
      <c r="J1740" s="55">
        <v>51.0</v>
      </c>
      <c r="K1740" s="56">
        <v>6.3</v>
      </c>
      <c r="L1740" s="55">
        <v>4.0</v>
      </c>
      <c r="M1740" s="58" t="s">
        <v>70</v>
      </c>
      <c r="N1740" s="59"/>
      <c r="O1740" s="60" t="s">
        <v>34</v>
      </c>
      <c r="P1740" s="61"/>
    </row>
    <row r="1741">
      <c r="A1741" s="29" t="s">
        <v>1906</v>
      </c>
      <c r="B1741" s="30" t="s">
        <v>25</v>
      </c>
      <c r="C1741" s="31" t="s">
        <v>1860</v>
      </c>
      <c r="D1741" s="32" t="str">
        <f t="shared" si="1"/>
        <v>Removed</v>
      </c>
      <c r="E1741" s="33">
        <v>43438.0</v>
      </c>
      <c r="F1741" s="92">
        <v>44725.0</v>
      </c>
      <c r="G1741" s="36">
        <f t="shared" si="2"/>
        <v>42.3</v>
      </c>
      <c r="H1741" s="37">
        <v>43039.0</v>
      </c>
      <c r="I1741" s="36">
        <f t="shared" si="4"/>
        <v>1.094444444</v>
      </c>
      <c r="J1741" s="38">
        <v>50.0</v>
      </c>
      <c r="K1741" s="79"/>
      <c r="L1741" s="76"/>
      <c r="M1741" s="40" t="s">
        <v>103</v>
      </c>
      <c r="N1741" s="41"/>
      <c r="O1741" s="42" t="s">
        <v>34</v>
      </c>
      <c r="P1741" s="43"/>
    </row>
    <row r="1742">
      <c r="A1742" s="44" t="s">
        <v>1907</v>
      </c>
      <c r="B1742" s="45" t="s">
        <v>25</v>
      </c>
      <c r="C1742" s="46" t="s">
        <v>1860</v>
      </c>
      <c r="D1742" s="47" t="str">
        <f t="shared" si="1"/>
        <v>Removed</v>
      </c>
      <c r="E1742" s="48">
        <v>43438.0</v>
      </c>
      <c r="F1742" s="80">
        <v>44725.0</v>
      </c>
      <c r="G1742" s="50">
        <f t="shared" si="2"/>
        <v>42.3</v>
      </c>
      <c r="H1742" s="51">
        <v>42327.0</v>
      </c>
      <c r="I1742" s="50">
        <f t="shared" si="4"/>
        <v>3.041666667</v>
      </c>
      <c r="J1742" s="55">
        <v>74.0</v>
      </c>
      <c r="K1742" s="56">
        <v>6.6</v>
      </c>
      <c r="L1742" s="55">
        <v>16.0</v>
      </c>
      <c r="M1742" s="58" t="s">
        <v>650</v>
      </c>
      <c r="N1742" s="59"/>
      <c r="O1742" s="60" t="s">
        <v>34</v>
      </c>
      <c r="P1742" s="61"/>
    </row>
    <row r="1743">
      <c r="A1743" s="29" t="s">
        <v>1908</v>
      </c>
      <c r="B1743" s="30" t="s">
        <v>25</v>
      </c>
      <c r="C1743" s="31" t="s">
        <v>1860</v>
      </c>
      <c r="D1743" s="32" t="str">
        <f t="shared" si="1"/>
        <v>Removed</v>
      </c>
      <c r="E1743" s="33">
        <v>43438.0</v>
      </c>
      <c r="F1743" s="92">
        <v>44725.0</v>
      </c>
      <c r="G1743" s="36">
        <f t="shared" si="2"/>
        <v>42.3</v>
      </c>
      <c r="H1743" s="37">
        <v>42661.0</v>
      </c>
      <c r="I1743" s="36">
        <f t="shared" si="4"/>
        <v>2.127777778</v>
      </c>
      <c r="J1743" s="38">
        <v>65.0</v>
      </c>
      <c r="K1743" s="79"/>
      <c r="L1743" s="38">
        <v>4.0</v>
      </c>
      <c r="M1743" s="40" t="s">
        <v>103</v>
      </c>
      <c r="N1743" s="41"/>
      <c r="O1743" s="42" t="s">
        <v>34</v>
      </c>
      <c r="P1743" s="43"/>
    </row>
    <row r="1744">
      <c r="A1744" s="44" t="s">
        <v>1909</v>
      </c>
      <c r="B1744" s="45" t="s">
        <v>25</v>
      </c>
      <c r="C1744" s="46" t="s">
        <v>1860</v>
      </c>
      <c r="D1744" s="47" t="str">
        <f t="shared" si="1"/>
        <v>Removed</v>
      </c>
      <c r="E1744" s="48">
        <v>43438.0</v>
      </c>
      <c r="F1744" s="80">
        <v>44725.0</v>
      </c>
      <c r="G1744" s="50">
        <f t="shared" si="2"/>
        <v>42.3</v>
      </c>
      <c r="H1744" s="51">
        <v>42643.0</v>
      </c>
      <c r="I1744" s="50">
        <f t="shared" si="4"/>
        <v>2.177777778</v>
      </c>
      <c r="J1744" s="55">
        <v>74.0</v>
      </c>
      <c r="K1744" s="56">
        <v>7.1</v>
      </c>
      <c r="L1744" s="55">
        <v>6.5</v>
      </c>
      <c r="M1744" s="58" t="s">
        <v>42</v>
      </c>
      <c r="N1744" s="59"/>
      <c r="O1744" s="60" t="s">
        <v>34</v>
      </c>
      <c r="P1744" s="61"/>
    </row>
    <row r="1745">
      <c r="A1745" s="29" t="s">
        <v>1910</v>
      </c>
      <c r="B1745" s="30" t="s">
        <v>25</v>
      </c>
      <c r="C1745" s="31" t="s">
        <v>1860</v>
      </c>
      <c r="D1745" s="32" t="str">
        <f t="shared" si="1"/>
        <v>Removed</v>
      </c>
      <c r="E1745" s="33">
        <v>43438.0</v>
      </c>
      <c r="F1745" s="92">
        <v>44725.0</v>
      </c>
      <c r="G1745" s="36">
        <f t="shared" si="2"/>
        <v>42.3</v>
      </c>
      <c r="H1745" s="37">
        <v>42565.0</v>
      </c>
      <c r="I1745" s="36">
        <f t="shared" si="4"/>
        <v>2.388888889</v>
      </c>
      <c r="J1745" s="38">
        <v>67.0</v>
      </c>
      <c r="K1745" s="39">
        <v>6.9</v>
      </c>
      <c r="L1745" s="38">
        <v>2.5</v>
      </c>
      <c r="M1745" s="40" t="s">
        <v>64</v>
      </c>
      <c r="N1745" s="41"/>
      <c r="O1745" s="42" t="s">
        <v>34</v>
      </c>
      <c r="P1745" s="43"/>
    </row>
    <row r="1746">
      <c r="A1746" s="44" t="s">
        <v>1911</v>
      </c>
      <c r="B1746" s="45" t="s">
        <v>25</v>
      </c>
      <c r="C1746" s="46" t="s">
        <v>1860</v>
      </c>
      <c r="D1746" s="47" t="str">
        <f t="shared" si="1"/>
        <v>Removed</v>
      </c>
      <c r="E1746" s="48">
        <v>43438.0</v>
      </c>
      <c r="F1746" s="80">
        <v>44725.0</v>
      </c>
      <c r="G1746" s="50">
        <f t="shared" si="2"/>
        <v>42.3</v>
      </c>
      <c r="H1746" s="51">
        <v>42528.0</v>
      </c>
      <c r="I1746" s="50">
        <f t="shared" si="4"/>
        <v>2.491666667</v>
      </c>
      <c r="J1746" s="55">
        <v>57.0</v>
      </c>
      <c r="K1746" s="56">
        <v>6.0</v>
      </c>
      <c r="L1746" s="55">
        <v>8.0</v>
      </c>
      <c r="M1746" s="58" t="s">
        <v>29</v>
      </c>
      <c r="N1746" s="59"/>
      <c r="O1746" s="60" t="s">
        <v>34</v>
      </c>
      <c r="P1746" s="61"/>
    </row>
    <row r="1747">
      <c r="A1747" s="29" t="s">
        <v>1912</v>
      </c>
      <c r="B1747" s="30" t="s">
        <v>25</v>
      </c>
      <c r="C1747" s="31" t="s">
        <v>1860</v>
      </c>
      <c r="D1747" s="32" t="str">
        <f t="shared" si="1"/>
        <v>Removed</v>
      </c>
      <c r="E1747" s="33">
        <v>43438.0</v>
      </c>
      <c r="F1747" s="92">
        <v>44725.0</v>
      </c>
      <c r="G1747" s="36">
        <f t="shared" si="2"/>
        <v>42.3</v>
      </c>
      <c r="H1747" s="37">
        <v>42521.0</v>
      </c>
      <c r="I1747" s="36">
        <f t="shared" si="4"/>
        <v>2.511111111</v>
      </c>
      <c r="J1747" s="38">
        <v>67.0</v>
      </c>
      <c r="K1747" s="39">
        <v>6.9</v>
      </c>
      <c r="L1747" s="38">
        <v>5.5</v>
      </c>
      <c r="M1747" s="40" t="s">
        <v>64</v>
      </c>
      <c r="N1747" s="41"/>
      <c r="O1747" s="42" t="s">
        <v>34</v>
      </c>
      <c r="P1747" s="43"/>
    </row>
    <row r="1748">
      <c r="A1748" s="44" t="s">
        <v>1913</v>
      </c>
      <c r="B1748" s="45" t="s">
        <v>25</v>
      </c>
      <c r="C1748" s="46" t="s">
        <v>1860</v>
      </c>
      <c r="D1748" s="47" t="str">
        <f t="shared" si="1"/>
        <v>Removed</v>
      </c>
      <c r="E1748" s="48">
        <v>43438.0</v>
      </c>
      <c r="F1748" s="80">
        <v>44725.0</v>
      </c>
      <c r="G1748" s="50">
        <f t="shared" si="2"/>
        <v>42.3</v>
      </c>
      <c r="H1748" s="51">
        <v>42192.0</v>
      </c>
      <c r="I1748" s="50">
        <f t="shared" si="4"/>
        <v>3.408333333</v>
      </c>
      <c r="J1748" s="55">
        <v>51.0</v>
      </c>
      <c r="K1748" s="56">
        <v>5.9</v>
      </c>
      <c r="L1748" s="78"/>
      <c r="M1748" s="58" t="s">
        <v>31</v>
      </c>
      <c r="N1748" s="59"/>
      <c r="O1748" s="60" t="s">
        <v>34</v>
      </c>
      <c r="P1748" s="61"/>
    </row>
    <row r="1749">
      <c r="A1749" s="29" t="s">
        <v>1914</v>
      </c>
      <c r="B1749" s="30" t="s">
        <v>25</v>
      </c>
      <c r="C1749" s="31" t="s">
        <v>1860</v>
      </c>
      <c r="D1749" s="32" t="str">
        <f t="shared" si="1"/>
        <v>Removed</v>
      </c>
      <c r="E1749" s="33">
        <v>43438.0</v>
      </c>
      <c r="F1749" s="92">
        <v>44725.0</v>
      </c>
      <c r="G1749" s="36">
        <f t="shared" si="2"/>
        <v>42.3</v>
      </c>
      <c r="H1749" s="37">
        <v>42402.0</v>
      </c>
      <c r="I1749" s="36">
        <f t="shared" si="4"/>
        <v>2.838888889</v>
      </c>
      <c r="J1749" s="38">
        <v>71.0</v>
      </c>
      <c r="K1749" s="39">
        <v>6.0</v>
      </c>
      <c r="L1749" s="76"/>
      <c r="M1749" s="40" t="s">
        <v>29</v>
      </c>
      <c r="N1749" s="41"/>
      <c r="O1749" s="42" t="s">
        <v>34</v>
      </c>
      <c r="P1749" s="43"/>
    </row>
    <row r="1750">
      <c r="A1750" s="44" t="s">
        <v>1915</v>
      </c>
      <c r="B1750" s="45" t="s">
        <v>25</v>
      </c>
      <c r="C1750" s="46" t="s">
        <v>1860</v>
      </c>
      <c r="D1750" s="47" t="str">
        <f t="shared" si="1"/>
        <v>Removed</v>
      </c>
      <c r="E1750" s="48">
        <v>43438.0</v>
      </c>
      <c r="F1750" s="80">
        <v>44725.0</v>
      </c>
      <c r="G1750" s="50">
        <f t="shared" si="2"/>
        <v>42.3</v>
      </c>
      <c r="H1750" s="51">
        <v>42431.0</v>
      </c>
      <c r="I1750" s="50">
        <f t="shared" si="4"/>
        <v>2.755555556</v>
      </c>
      <c r="J1750" s="55">
        <v>78.0</v>
      </c>
      <c r="K1750" s="56">
        <v>7.6</v>
      </c>
      <c r="L1750" s="78"/>
      <c r="M1750" s="58" t="s">
        <v>95</v>
      </c>
      <c r="N1750" s="59"/>
      <c r="O1750" s="60" t="s">
        <v>34</v>
      </c>
      <c r="P1750" s="61"/>
    </row>
    <row r="1751">
      <c r="A1751" s="29" t="s">
        <v>1916</v>
      </c>
      <c r="B1751" s="30" t="s">
        <v>25</v>
      </c>
      <c r="C1751" s="31" t="s">
        <v>1860</v>
      </c>
      <c r="D1751" s="32" t="str">
        <f t="shared" si="1"/>
        <v>Removed</v>
      </c>
      <c r="E1751" s="33">
        <v>43438.0</v>
      </c>
      <c r="F1751" s="92">
        <v>44725.0</v>
      </c>
      <c r="G1751" s="36">
        <f t="shared" si="2"/>
        <v>42.3</v>
      </c>
      <c r="H1751" s="37">
        <v>40099.0</v>
      </c>
      <c r="I1751" s="36">
        <f t="shared" si="4"/>
        <v>9.141666667</v>
      </c>
      <c r="J1751" s="38">
        <v>80.0</v>
      </c>
      <c r="K1751" s="39">
        <v>7.9</v>
      </c>
      <c r="L1751" s="38">
        <v>6.0</v>
      </c>
      <c r="M1751" s="40" t="s">
        <v>27</v>
      </c>
      <c r="N1751" s="41"/>
      <c r="O1751" s="42" t="s">
        <v>34</v>
      </c>
      <c r="P1751" s="43"/>
    </row>
    <row r="1752">
      <c r="A1752" s="44" t="s">
        <v>1917</v>
      </c>
      <c r="B1752" s="45" t="s">
        <v>25</v>
      </c>
      <c r="C1752" s="46" t="s">
        <v>1860</v>
      </c>
      <c r="D1752" s="47" t="str">
        <f t="shared" si="1"/>
        <v>Removed</v>
      </c>
      <c r="E1752" s="48">
        <v>43438.0</v>
      </c>
      <c r="F1752" s="80">
        <v>44725.0</v>
      </c>
      <c r="G1752" s="50">
        <f t="shared" si="2"/>
        <v>42.3</v>
      </c>
      <c r="H1752" s="51">
        <v>42388.0</v>
      </c>
      <c r="I1752" s="50">
        <f t="shared" si="4"/>
        <v>2.875</v>
      </c>
      <c r="J1752" s="78"/>
      <c r="K1752" s="77"/>
      <c r="L1752" s="78"/>
      <c r="M1752" s="58" t="s">
        <v>51</v>
      </c>
      <c r="N1752" s="59"/>
      <c r="O1752" s="60" t="s">
        <v>34</v>
      </c>
      <c r="P1752" s="61"/>
    </row>
    <row r="1753">
      <c r="A1753" s="29" t="s">
        <v>1918</v>
      </c>
      <c r="B1753" s="30" t="s">
        <v>25</v>
      </c>
      <c r="C1753" s="31" t="s">
        <v>1860</v>
      </c>
      <c r="D1753" s="32" t="str">
        <f t="shared" si="1"/>
        <v>Removed</v>
      </c>
      <c r="E1753" s="33">
        <v>43438.0</v>
      </c>
      <c r="F1753" s="92">
        <v>44725.0</v>
      </c>
      <c r="G1753" s="36">
        <f t="shared" si="2"/>
        <v>42.3</v>
      </c>
      <c r="H1753" s="37">
        <v>42346.0</v>
      </c>
      <c r="I1753" s="36">
        <f t="shared" si="4"/>
        <v>2.988888889</v>
      </c>
      <c r="J1753" s="38">
        <v>57.0</v>
      </c>
      <c r="K1753" s="39">
        <v>3.7</v>
      </c>
      <c r="L1753" s="76"/>
      <c r="M1753" s="40" t="s">
        <v>31</v>
      </c>
      <c r="N1753" s="41"/>
      <c r="O1753" s="42" t="s">
        <v>34</v>
      </c>
      <c r="P1753" s="43"/>
    </row>
    <row r="1754">
      <c r="A1754" s="44" t="s">
        <v>1919</v>
      </c>
      <c r="B1754" s="45" t="s">
        <v>25</v>
      </c>
      <c r="C1754" s="46" t="s">
        <v>1860</v>
      </c>
      <c r="D1754" s="47" t="str">
        <f t="shared" si="1"/>
        <v>Removed</v>
      </c>
      <c r="E1754" s="48">
        <v>43438.0</v>
      </c>
      <c r="F1754" s="80">
        <v>44725.0</v>
      </c>
      <c r="G1754" s="50">
        <f t="shared" si="2"/>
        <v>42.3</v>
      </c>
      <c r="H1754" s="51">
        <v>42269.0</v>
      </c>
      <c r="I1754" s="50">
        <f t="shared" si="4"/>
        <v>3.2</v>
      </c>
      <c r="J1754" s="55">
        <v>48.0</v>
      </c>
      <c r="K1754" s="56">
        <v>4.9</v>
      </c>
      <c r="L1754" s="78"/>
      <c r="M1754" s="58" t="s">
        <v>114</v>
      </c>
      <c r="N1754" s="59"/>
      <c r="O1754" s="60" t="s">
        <v>34</v>
      </c>
      <c r="P1754" s="61"/>
    </row>
    <row r="1755">
      <c r="A1755" s="29" t="s">
        <v>1920</v>
      </c>
      <c r="B1755" s="30" t="s">
        <v>25</v>
      </c>
      <c r="C1755" s="31" t="s">
        <v>1860</v>
      </c>
      <c r="D1755" s="32" t="str">
        <f t="shared" si="1"/>
        <v>Removed</v>
      </c>
      <c r="E1755" s="33">
        <v>43438.0</v>
      </c>
      <c r="F1755" s="92">
        <v>44725.0</v>
      </c>
      <c r="G1755" s="36">
        <f t="shared" si="2"/>
        <v>42.3</v>
      </c>
      <c r="H1755" s="37">
        <v>42066.0</v>
      </c>
      <c r="I1755" s="36">
        <f t="shared" si="4"/>
        <v>3.752777778</v>
      </c>
      <c r="J1755" s="38">
        <v>49.0</v>
      </c>
      <c r="K1755" s="39">
        <v>6.0</v>
      </c>
      <c r="L1755" s="76"/>
      <c r="M1755" s="40" t="s">
        <v>95</v>
      </c>
      <c r="N1755" s="41"/>
      <c r="O1755" s="42" t="s">
        <v>34</v>
      </c>
      <c r="P1755" s="43"/>
    </row>
    <row r="1756">
      <c r="A1756" s="44" t="s">
        <v>1921</v>
      </c>
      <c r="B1756" s="45" t="s">
        <v>25</v>
      </c>
      <c r="C1756" s="46" t="s">
        <v>1860</v>
      </c>
      <c r="D1756" s="47" t="str">
        <f t="shared" si="1"/>
        <v>Removed</v>
      </c>
      <c r="E1756" s="48">
        <v>43438.0</v>
      </c>
      <c r="F1756" s="80">
        <v>44725.0</v>
      </c>
      <c r="G1756" s="50">
        <f t="shared" si="2"/>
        <v>42.3</v>
      </c>
      <c r="H1756" s="51">
        <v>42629.0</v>
      </c>
      <c r="I1756" s="50">
        <f t="shared" si="4"/>
        <v>2.216666667</v>
      </c>
      <c r="J1756" s="78"/>
      <c r="K1756" s="77"/>
      <c r="L1756" s="78"/>
      <c r="M1756" s="58" t="s">
        <v>136</v>
      </c>
      <c r="N1756" s="59"/>
      <c r="O1756" s="60" t="s">
        <v>34</v>
      </c>
      <c r="P1756" s="61"/>
    </row>
    <row r="1757">
      <c r="A1757" s="29" t="s">
        <v>1922</v>
      </c>
      <c r="B1757" s="30" t="s">
        <v>25</v>
      </c>
      <c r="C1757" s="31" t="s">
        <v>1860</v>
      </c>
      <c r="D1757" s="32" t="str">
        <f t="shared" si="1"/>
        <v>Removed</v>
      </c>
      <c r="E1757" s="33">
        <v>43438.0</v>
      </c>
      <c r="F1757" s="92">
        <v>44725.0</v>
      </c>
      <c r="G1757" s="36">
        <f t="shared" si="2"/>
        <v>42.3</v>
      </c>
      <c r="H1757" s="37">
        <v>42213.0</v>
      </c>
      <c r="I1757" s="36">
        <f t="shared" si="4"/>
        <v>3.35</v>
      </c>
      <c r="J1757" s="38">
        <v>62.0</v>
      </c>
      <c r="K1757" s="39">
        <v>5.8</v>
      </c>
      <c r="L1757" s="38">
        <v>12.0</v>
      </c>
      <c r="M1757" s="40" t="s">
        <v>29</v>
      </c>
      <c r="N1757" s="41"/>
      <c r="O1757" s="42" t="s">
        <v>34</v>
      </c>
      <c r="P1757" s="43"/>
    </row>
    <row r="1758">
      <c r="A1758" s="44" t="s">
        <v>1923</v>
      </c>
      <c r="B1758" s="45" t="s">
        <v>25</v>
      </c>
      <c r="C1758" s="46" t="s">
        <v>1860</v>
      </c>
      <c r="D1758" s="47" t="str">
        <f t="shared" si="1"/>
        <v>Removed</v>
      </c>
      <c r="E1758" s="48">
        <v>43438.0</v>
      </c>
      <c r="F1758" s="80">
        <v>44725.0</v>
      </c>
      <c r="G1758" s="50">
        <f t="shared" si="2"/>
        <v>42.3</v>
      </c>
      <c r="H1758" s="51">
        <v>42320.0</v>
      </c>
      <c r="I1758" s="50">
        <f t="shared" si="4"/>
        <v>3.061111111</v>
      </c>
      <c r="J1758" s="55">
        <v>56.0</v>
      </c>
      <c r="K1758" s="56">
        <v>6.4</v>
      </c>
      <c r="L1758" s="55">
        <v>10.0</v>
      </c>
      <c r="M1758" s="58" t="s">
        <v>29</v>
      </c>
      <c r="N1758" s="59"/>
      <c r="O1758" s="60" t="s">
        <v>34</v>
      </c>
      <c r="P1758" s="61"/>
    </row>
    <row r="1759">
      <c r="A1759" s="29" t="s">
        <v>1924</v>
      </c>
      <c r="B1759" s="30" t="s">
        <v>25</v>
      </c>
      <c r="C1759" s="31" t="s">
        <v>1860</v>
      </c>
      <c r="D1759" s="32" t="str">
        <f t="shared" si="1"/>
        <v>Removed</v>
      </c>
      <c r="E1759" s="33">
        <v>43438.0</v>
      </c>
      <c r="F1759" s="92">
        <v>44725.0</v>
      </c>
      <c r="G1759" s="36">
        <f t="shared" si="2"/>
        <v>42.3</v>
      </c>
      <c r="H1759" s="37">
        <v>41961.0</v>
      </c>
      <c r="I1759" s="36">
        <f t="shared" si="4"/>
        <v>4.044444444</v>
      </c>
      <c r="J1759" s="38">
        <v>76.0</v>
      </c>
      <c r="K1759" s="39">
        <v>7.2</v>
      </c>
      <c r="L1759" s="76"/>
      <c r="M1759" s="40" t="s">
        <v>136</v>
      </c>
      <c r="N1759" s="41"/>
      <c r="O1759" s="42" t="s">
        <v>34</v>
      </c>
      <c r="P1759" s="43"/>
    </row>
    <row r="1760">
      <c r="A1760" s="44" t="s">
        <v>1925</v>
      </c>
      <c r="B1760" s="45" t="s">
        <v>25</v>
      </c>
      <c r="C1760" s="46" t="s">
        <v>1860</v>
      </c>
      <c r="D1760" s="47" t="str">
        <f t="shared" si="1"/>
        <v>Removed</v>
      </c>
      <c r="E1760" s="48">
        <v>43438.0</v>
      </c>
      <c r="F1760" s="80">
        <v>44725.0</v>
      </c>
      <c r="G1760" s="50">
        <f t="shared" si="2"/>
        <v>42.3</v>
      </c>
      <c r="H1760" s="51">
        <v>41579.0</v>
      </c>
      <c r="I1760" s="50">
        <f t="shared" si="4"/>
        <v>5.091666667</v>
      </c>
      <c r="J1760" s="78"/>
      <c r="K1760" s="56">
        <v>7.4</v>
      </c>
      <c r="L1760" s="78"/>
      <c r="M1760" s="58" t="s">
        <v>1926</v>
      </c>
      <c r="N1760" s="59" t="s">
        <v>442</v>
      </c>
      <c r="O1760" s="60" t="s">
        <v>34</v>
      </c>
      <c r="P1760" s="66"/>
    </row>
    <row r="1761">
      <c r="A1761" s="29" t="s">
        <v>1927</v>
      </c>
      <c r="B1761" s="30" t="s">
        <v>25</v>
      </c>
      <c r="C1761" s="31" t="s">
        <v>1860</v>
      </c>
      <c r="D1761" s="32" t="str">
        <f t="shared" si="1"/>
        <v>Removed</v>
      </c>
      <c r="E1761" s="33">
        <v>43438.0</v>
      </c>
      <c r="F1761" s="92">
        <v>44725.0</v>
      </c>
      <c r="G1761" s="36">
        <f t="shared" si="2"/>
        <v>42.3</v>
      </c>
      <c r="H1761" s="37">
        <v>41926.0</v>
      </c>
      <c r="I1761" s="36">
        <f t="shared" si="4"/>
        <v>4.138888889</v>
      </c>
      <c r="J1761" s="38">
        <v>65.0</v>
      </c>
      <c r="K1761" s="39">
        <v>6.7</v>
      </c>
      <c r="L1761" s="76"/>
      <c r="M1761" s="40" t="s">
        <v>31</v>
      </c>
      <c r="N1761" s="41"/>
      <c r="O1761" s="42" t="s">
        <v>34</v>
      </c>
      <c r="P1761" s="43"/>
    </row>
    <row r="1762">
      <c r="A1762" s="44" t="s">
        <v>1928</v>
      </c>
      <c r="B1762" s="45" t="s">
        <v>25</v>
      </c>
      <c r="C1762" s="46" t="s">
        <v>1860</v>
      </c>
      <c r="D1762" s="47" t="str">
        <f t="shared" si="1"/>
        <v>Removed</v>
      </c>
      <c r="E1762" s="48">
        <v>43438.0</v>
      </c>
      <c r="F1762" s="80">
        <v>44725.0</v>
      </c>
      <c r="G1762" s="50">
        <f t="shared" si="2"/>
        <v>42.3</v>
      </c>
      <c r="H1762" s="51">
        <v>41898.0</v>
      </c>
      <c r="I1762" s="50">
        <f t="shared" si="4"/>
        <v>4.216666667</v>
      </c>
      <c r="J1762" s="55">
        <v>49.0</v>
      </c>
      <c r="K1762" s="56">
        <v>6.5</v>
      </c>
      <c r="L1762" s="55">
        <v>36.0</v>
      </c>
      <c r="M1762" s="58" t="s">
        <v>42</v>
      </c>
      <c r="N1762" s="59"/>
      <c r="O1762" s="60" t="s">
        <v>34</v>
      </c>
      <c r="P1762" s="61"/>
    </row>
    <row r="1763">
      <c r="A1763" s="29" t="s">
        <v>1929</v>
      </c>
      <c r="B1763" s="30" t="s">
        <v>25</v>
      </c>
      <c r="C1763" s="31" t="s">
        <v>1860</v>
      </c>
      <c r="D1763" s="32" t="str">
        <f t="shared" si="1"/>
        <v>Removed</v>
      </c>
      <c r="E1763" s="33">
        <v>43438.0</v>
      </c>
      <c r="F1763" s="92">
        <v>44725.0</v>
      </c>
      <c r="G1763" s="36">
        <f t="shared" si="2"/>
        <v>42.3</v>
      </c>
      <c r="H1763" s="37">
        <v>41884.0</v>
      </c>
      <c r="I1763" s="36">
        <f t="shared" si="4"/>
        <v>4.255555556</v>
      </c>
      <c r="J1763" s="38">
        <v>86.0</v>
      </c>
      <c r="K1763" s="39">
        <v>7.6</v>
      </c>
      <c r="L1763" s="38">
        <v>8.0</v>
      </c>
      <c r="M1763" s="40" t="s">
        <v>31</v>
      </c>
      <c r="N1763" s="41"/>
      <c r="O1763" s="42" t="s">
        <v>34</v>
      </c>
      <c r="P1763" s="43"/>
    </row>
    <row r="1764">
      <c r="A1764" s="44" t="s">
        <v>1930</v>
      </c>
      <c r="B1764" s="45" t="s">
        <v>25</v>
      </c>
      <c r="C1764" s="46" t="s">
        <v>1860</v>
      </c>
      <c r="D1764" s="47" t="str">
        <f t="shared" si="1"/>
        <v>Removed</v>
      </c>
      <c r="E1764" s="48">
        <v>43438.0</v>
      </c>
      <c r="F1764" s="80">
        <v>44725.0</v>
      </c>
      <c r="G1764" s="50">
        <f t="shared" si="2"/>
        <v>42.3</v>
      </c>
      <c r="H1764" s="51">
        <v>41737.0</v>
      </c>
      <c r="I1764" s="50">
        <f t="shared" si="4"/>
        <v>4.655555556</v>
      </c>
      <c r="J1764" s="55">
        <v>68.0</v>
      </c>
      <c r="K1764" s="56">
        <v>6.9</v>
      </c>
      <c r="L1764" s="55">
        <v>8.0</v>
      </c>
      <c r="M1764" s="58" t="s">
        <v>31</v>
      </c>
      <c r="N1764" s="59"/>
      <c r="O1764" s="60" t="s">
        <v>34</v>
      </c>
      <c r="P1764" s="61"/>
    </row>
    <row r="1765">
      <c r="A1765" s="29" t="s">
        <v>1931</v>
      </c>
      <c r="B1765" s="30" t="s">
        <v>25</v>
      </c>
      <c r="C1765" s="31" t="s">
        <v>1860</v>
      </c>
      <c r="D1765" s="32" t="str">
        <f t="shared" si="1"/>
        <v>Removed</v>
      </c>
      <c r="E1765" s="33">
        <v>43438.0</v>
      </c>
      <c r="F1765" s="92">
        <v>44725.0</v>
      </c>
      <c r="G1765" s="36">
        <f t="shared" si="2"/>
        <v>42.3</v>
      </c>
      <c r="H1765" s="37">
        <v>41947.0</v>
      </c>
      <c r="I1765" s="36">
        <f t="shared" si="4"/>
        <v>4.083333333</v>
      </c>
      <c r="J1765" s="38">
        <v>66.0</v>
      </c>
      <c r="K1765" s="39">
        <v>6.7</v>
      </c>
      <c r="L1765" s="38">
        <v>22.0</v>
      </c>
      <c r="M1765" s="40" t="s">
        <v>1932</v>
      </c>
      <c r="N1765" s="41"/>
      <c r="O1765" s="42" t="s">
        <v>34</v>
      </c>
      <c r="P1765" s="43"/>
    </row>
    <row r="1766">
      <c r="A1766" s="44" t="s">
        <v>1933</v>
      </c>
      <c r="B1766" s="45" t="s">
        <v>25</v>
      </c>
      <c r="C1766" s="46" t="s">
        <v>1860</v>
      </c>
      <c r="D1766" s="47" t="str">
        <f t="shared" si="1"/>
        <v>Removed</v>
      </c>
      <c r="E1766" s="48">
        <v>43438.0</v>
      </c>
      <c r="F1766" s="80">
        <v>44725.0</v>
      </c>
      <c r="G1766" s="50">
        <f t="shared" si="2"/>
        <v>42.3</v>
      </c>
      <c r="H1766" s="51">
        <v>42565.0</v>
      </c>
      <c r="I1766" s="50">
        <f t="shared" si="4"/>
        <v>2.388888889</v>
      </c>
      <c r="J1766" s="55">
        <v>71.0</v>
      </c>
      <c r="K1766" s="56">
        <v>7.5</v>
      </c>
      <c r="L1766" s="55">
        <v>45.0</v>
      </c>
      <c r="M1766" s="58" t="s">
        <v>42</v>
      </c>
      <c r="N1766" s="59"/>
      <c r="O1766" s="60" t="s">
        <v>34</v>
      </c>
      <c r="P1766" s="61"/>
    </row>
    <row r="1767">
      <c r="A1767" s="29" t="s">
        <v>1934</v>
      </c>
      <c r="B1767" s="30" t="s">
        <v>25</v>
      </c>
      <c r="C1767" s="31" t="s">
        <v>1860</v>
      </c>
      <c r="D1767" s="32" t="str">
        <f t="shared" si="1"/>
        <v>Removed</v>
      </c>
      <c r="E1767" s="33">
        <v>43438.0</v>
      </c>
      <c r="F1767" s="92">
        <v>44725.0</v>
      </c>
      <c r="G1767" s="36">
        <f t="shared" si="2"/>
        <v>42.3</v>
      </c>
      <c r="H1767" s="37">
        <v>42265.0</v>
      </c>
      <c r="I1767" s="36">
        <f t="shared" si="4"/>
        <v>3.211111111</v>
      </c>
      <c r="J1767" s="38">
        <v>65.0</v>
      </c>
      <c r="K1767" s="39">
        <v>6.7</v>
      </c>
      <c r="L1767" s="38">
        <v>4.0</v>
      </c>
      <c r="M1767" s="40" t="s">
        <v>125</v>
      </c>
      <c r="N1767" s="41"/>
      <c r="O1767" s="42" t="s">
        <v>34</v>
      </c>
      <c r="P1767" s="43"/>
    </row>
    <row r="1768">
      <c r="A1768" s="44" t="s">
        <v>1935</v>
      </c>
      <c r="B1768" s="45" t="s">
        <v>25</v>
      </c>
      <c r="C1768" s="46" t="s">
        <v>1860</v>
      </c>
      <c r="D1768" s="47" t="str">
        <f t="shared" si="1"/>
        <v>Removed</v>
      </c>
      <c r="E1768" s="48">
        <v>43438.0</v>
      </c>
      <c r="F1768" s="80">
        <v>44725.0</v>
      </c>
      <c r="G1768" s="50">
        <f t="shared" si="2"/>
        <v>42.3</v>
      </c>
      <c r="H1768" s="51">
        <v>41395.0</v>
      </c>
      <c r="I1768" s="50">
        <f t="shared" si="4"/>
        <v>5.591666667</v>
      </c>
      <c r="J1768" s="55">
        <v>75.0</v>
      </c>
      <c r="K1768" s="56">
        <v>7.9</v>
      </c>
      <c r="L1768" s="55">
        <v>14.0</v>
      </c>
      <c r="M1768" s="58" t="s">
        <v>103</v>
      </c>
      <c r="N1768" s="59"/>
      <c r="O1768" s="60" t="s">
        <v>34</v>
      </c>
      <c r="P1768" s="61"/>
    </row>
    <row r="1769">
      <c r="A1769" s="29" t="s">
        <v>1936</v>
      </c>
      <c r="B1769" s="30" t="s">
        <v>25</v>
      </c>
      <c r="C1769" s="31" t="s">
        <v>1860</v>
      </c>
      <c r="D1769" s="32" t="str">
        <f t="shared" si="1"/>
        <v>Removed</v>
      </c>
      <c r="E1769" s="33">
        <v>43410.0</v>
      </c>
      <c r="F1769" s="92">
        <v>44725.0</v>
      </c>
      <c r="G1769" s="36">
        <f t="shared" si="2"/>
        <v>43.23333333</v>
      </c>
      <c r="H1769" s="37">
        <v>42857.0</v>
      </c>
      <c r="I1769" s="36">
        <f t="shared" si="4"/>
        <v>1.511111111</v>
      </c>
      <c r="J1769" s="38">
        <v>70.0</v>
      </c>
      <c r="K1769" s="39">
        <v>7.0</v>
      </c>
      <c r="L1769" s="38">
        <v>6.0</v>
      </c>
      <c r="M1769" s="40" t="s">
        <v>29</v>
      </c>
      <c r="N1769" s="41"/>
      <c r="O1769" s="42" t="s">
        <v>34</v>
      </c>
      <c r="P1769" s="43"/>
    </row>
    <row r="1770">
      <c r="A1770" s="44" t="s">
        <v>1937</v>
      </c>
      <c r="B1770" s="45" t="s">
        <v>25</v>
      </c>
      <c r="C1770" s="46" t="s">
        <v>1860</v>
      </c>
      <c r="D1770" s="47" t="str">
        <f t="shared" si="1"/>
        <v>Removed</v>
      </c>
      <c r="E1770" s="48">
        <v>43410.0</v>
      </c>
      <c r="F1770" s="80">
        <v>44725.0</v>
      </c>
      <c r="G1770" s="50">
        <f t="shared" si="2"/>
        <v>43.23333333</v>
      </c>
      <c r="H1770" s="51">
        <v>42881.0</v>
      </c>
      <c r="I1770" s="50">
        <f t="shared" si="4"/>
        <v>1.444444444</v>
      </c>
      <c r="J1770" s="55">
        <v>86.0</v>
      </c>
      <c r="K1770" s="56">
        <v>8.2</v>
      </c>
      <c r="L1770" s="55">
        <v>2.0</v>
      </c>
      <c r="M1770" s="58" t="s">
        <v>114</v>
      </c>
      <c r="N1770" s="59"/>
      <c r="O1770" s="60" t="s">
        <v>34</v>
      </c>
      <c r="P1770" s="61"/>
    </row>
    <row r="1771">
      <c r="A1771" s="29" t="s">
        <v>1938</v>
      </c>
      <c r="B1771" s="30" t="s">
        <v>25</v>
      </c>
      <c r="C1771" s="31" t="s">
        <v>1860</v>
      </c>
      <c r="D1771" s="32" t="str">
        <f t="shared" si="1"/>
        <v>Removed</v>
      </c>
      <c r="E1771" s="33">
        <v>43410.0</v>
      </c>
      <c r="F1771" s="92">
        <v>44725.0</v>
      </c>
      <c r="G1771" s="36">
        <f t="shared" si="2"/>
        <v>43.23333333</v>
      </c>
      <c r="H1771" s="37">
        <v>37278.0</v>
      </c>
      <c r="I1771" s="36">
        <f t="shared" si="4"/>
        <v>16.78888889</v>
      </c>
      <c r="J1771" s="38">
        <v>75.0</v>
      </c>
      <c r="K1771" s="39">
        <v>8.0</v>
      </c>
      <c r="L1771" s="38">
        <v>20.0</v>
      </c>
      <c r="M1771" s="40" t="s">
        <v>42</v>
      </c>
      <c r="N1771" s="41"/>
      <c r="O1771" s="42" t="s">
        <v>34</v>
      </c>
      <c r="P1771" s="43"/>
    </row>
    <row r="1772">
      <c r="A1772" s="44" t="s">
        <v>1939</v>
      </c>
      <c r="B1772" s="45" t="s">
        <v>25</v>
      </c>
      <c r="C1772" s="46" t="s">
        <v>1860</v>
      </c>
      <c r="D1772" s="47" t="str">
        <f t="shared" si="1"/>
        <v>Removed</v>
      </c>
      <c r="E1772" s="48">
        <v>43410.0</v>
      </c>
      <c r="F1772" s="80">
        <v>44725.0</v>
      </c>
      <c r="G1772" s="50">
        <f t="shared" si="2"/>
        <v>43.23333333</v>
      </c>
      <c r="H1772" s="51">
        <v>38991.0</v>
      </c>
      <c r="I1772" s="50">
        <f t="shared" si="4"/>
        <v>12.09722222</v>
      </c>
      <c r="J1772" s="55">
        <v>74.0</v>
      </c>
      <c r="K1772" s="56">
        <v>8.0</v>
      </c>
      <c r="L1772" s="55">
        <v>12.0</v>
      </c>
      <c r="M1772" s="58" t="s">
        <v>29</v>
      </c>
      <c r="N1772" s="59" t="s">
        <v>442</v>
      </c>
      <c r="O1772" s="60" t="s">
        <v>34</v>
      </c>
      <c r="P1772" s="66"/>
    </row>
    <row r="1773">
      <c r="A1773" s="29" t="s">
        <v>1940</v>
      </c>
      <c r="B1773" s="30" t="s">
        <v>25</v>
      </c>
      <c r="C1773" s="31" t="s">
        <v>1860</v>
      </c>
      <c r="D1773" s="32" t="str">
        <f t="shared" si="1"/>
        <v>Removed</v>
      </c>
      <c r="E1773" s="33">
        <v>43378.0</v>
      </c>
      <c r="F1773" s="92">
        <v>44725.0</v>
      </c>
      <c r="G1773" s="36">
        <f t="shared" si="2"/>
        <v>44.26666667</v>
      </c>
      <c r="H1773" s="37">
        <v>42237.0</v>
      </c>
      <c r="I1773" s="36">
        <f t="shared" si="4"/>
        <v>3.122222222</v>
      </c>
      <c r="J1773" s="38">
        <v>58.0</v>
      </c>
      <c r="K1773" s="39">
        <v>6.1</v>
      </c>
      <c r="L1773" s="38">
        <v>8.0</v>
      </c>
      <c r="M1773" s="40" t="s">
        <v>70</v>
      </c>
      <c r="N1773" s="41"/>
      <c r="O1773" s="42" t="s">
        <v>34</v>
      </c>
      <c r="P1773" s="43"/>
    </row>
    <row r="1774">
      <c r="A1774" s="44" t="s">
        <v>1941</v>
      </c>
      <c r="B1774" s="45" t="s">
        <v>25</v>
      </c>
      <c r="C1774" s="46" t="s">
        <v>1860</v>
      </c>
      <c r="D1774" s="47" t="str">
        <f t="shared" si="1"/>
        <v>Removed</v>
      </c>
      <c r="E1774" s="48">
        <v>43378.0</v>
      </c>
      <c r="F1774" s="80">
        <v>44725.0</v>
      </c>
      <c r="G1774" s="50">
        <f t="shared" si="2"/>
        <v>44.26666667</v>
      </c>
      <c r="H1774" s="51">
        <v>43005.0</v>
      </c>
      <c r="I1774" s="50">
        <f t="shared" si="4"/>
        <v>1.022222222</v>
      </c>
      <c r="J1774" s="55">
        <v>56.0</v>
      </c>
      <c r="K1774" s="56">
        <v>6.1</v>
      </c>
      <c r="L1774" s="55">
        <v>6.0</v>
      </c>
      <c r="M1774" s="58" t="s">
        <v>861</v>
      </c>
      <c r="N1774" s="59"/>
      <c r="O1774" s="60" t="s">
        <v>34</v>
      </c>
      <c r="P1774" s="61"/>
    </row>
    <row r="1775">
      <c r="A1775" s="29" t="s">
        <v>1942</v>
      </c>
      <c r="B1775" s="30" t="s">
        <v>25</v>
      </c>
      <c r="C1775" s="31" t="s">
        <v>1860</v>
      </c>
      <c r="D1775" s="32" t="str">
        <f t="shared" si="1"/>
        <v>Removed</v>
      </c>
      <c r="E1775" s="33">
        <v>43378.0</v>
      </c>
      <c r="F1775" s="92">
        <v>44725.0</v>
      </c>
      <c r="G1775" s="36">
        <f t="shared" si="2"/>
        <v>44.26666667</v>
      </c>
      <c r="H1775" s="37">
        <v>42808.0</v>
      </c>
      <c r="I1775" s="36">
        <f t="shared" si="4"/>
        <v>1.558333333</v>
      </c>
      <c r="J1775" s="38">
        <v>72.0</v>
      </c>
      <c r="K1775" s="39">
        <v>7.7</v>
      </c>
      <c r="L1775" s="38">
        <v>14.0</v>
      </c>
      <c r="M1775" s="40" t="s">
        <v>29</v>
      </c>
      <c r="N1775" s="41"/>
      <c r="O1775" s="42" t="s">
        <v>34</v>
      </c>
      <c r="P1775" s="43"/>
    </row>
    <row r="1776">
      <c r="A1776" s="44" t="s">
        <v>1943</v>
      </c>
      <c r="B1776" s="45" t="s">
        <v>25</v>
      </c>
      <c r="C1776" s="46" t="s">
        <v>1860</v>
      </c>
      <c r="D1776" s="47" t="str">
        <f t="shared" si="1"/>
        <v>Removed</v>
      </c>
      <c r="E1776" s="48">
        <v>43378.0</v>
      </c>
      <c r="F1776" s="80">
        <v>44725.0</v>
      </c>
      <c r="G1776" s="50">
        <f t="shared" si="2"/>
        <v>44.26666667</v>
      </c>
      <c r="H1776" s="51">
        <v>42530.0</v>
      </c>
      <c r="I1776" s="50">
        <f t="shared" si="4"/>
        <v>2.322222222</v>
      </c>
      <c r="J1776" s="55">
        <v>48.0</v>
      </c>
      <c r="K1776" s="56">
        <v>5.5</v>
      </c>
      <c r="L1776" s="78"/>
      <c r="M1776" s="58" t="s">
        <v>95</v>
      </c>
      <c r="N1776" s="59"/>
      <c r="O1776" s="60" t="s">
        <v>34</v>
      </c>
      <c r="P1776" s="61"/>
    </row>
    <row r="1777">
      <c r="A1777" s="29" t="s">
        <v>1944</v>
      </c>
      <c r="B1777" s="30" t="s">
        <v>25</v>
      </c>
      <c r="C1777" s="31" t="s">
        <v>1860</v>
      </c>
      <c r="D1777" s="32" t="str">
        <f t="shared" si="1"/>
        <v>Removed</v>
      </c>
      <c r="E1777" s="33">
        <v>43378.0</v>
      </c>
      <c r="F1777" s="92">
        <v>44725.0</v>
      </c>
      <c r="G1777" s="36">
        <f t="shared" si="2"/>
        <v>44.26666667</v>
      </c>
      <c r="H1777" s="37">
        <v>42474.0</v>
      </c>
      <c r="I1777" s="36">
        <f t="shared" si="4"/>
        <v>2.475</v>
      </c>
      <c r="J1777" s="38">
        <v>57.0</v>
      </c>
      <c r="K1777" s="39">
        <v>6.4</v>
      </c>
      <c r="L1777" s="38">
        <v>26.5</v>
      </c>
      <c r="M1777" s="40" t="s">
        <v>42</v>
      </c>
      <c r="N1777" s="41"/>
      <c r="O1777" s="42" t="s">
        <v>34</v>
      </c>
      <c r="P1777" s="43"/>
    </row>
    <row r="1778">
      <c r="A1778" s="44" t="s">
        <v>1945</v>
      </c>
      <c r="B1778" s="45" t="s">
        <v>25</v>
      </c>
      <c r="C1778" s="46" t="s">
        <v>1860</v>
      </c>
      <c r="D1778" s="47" t="str">
        <f t="shared" si="1"/>
        <v>Removed</v>
      </c>
      <c r="E1778" s="48">
        <v>43378.0</v>
      </c>
      <c r="F1778" s="80">
        <v>44725.0</v>
      </c>
      <c r="G1778" s="50">
        <f t="shared" si="2"/>
        <v>44.26666667</v>
      </c>
      <c r="H1778" s="51">
        <v>41919.0</v>
      </c>
      <c r="I1778" s="50">
        <f t="shared" si="4"/>
        <v>3.994444444</v>
      </c>
      <c r="J1778" s="55">
        <v>70.0</v>
      </c>
      <c r="K1778" s="56">
        <v>6.8</v>
      </c>
      <c r="L1778" s="55">
        <v>7.5</v>
      </c>
      <c r="M1778" s="58" t="s">
        <v>42</v>
      </c>
      <c r="N1778" s="59"/>
      <c r="O1778" s="60" t="s">
        <v>34</v>
      </c>
      <c r="P1778" s="61"/>
    </row>
    <row r="1779">
      <c r="A1779" s="29" t="s">
        <v>1946</v>
      </c>
      <c r="B1779" s="30" t="s">
        <v>25</v>
      </c>
      <c r="C1779" s="31" t="s">
        <v>1860</v>
      </c>
      <c r="D1779" s="32" t="str">
        <f t="shared" si="1"/>
        <v>Removed</v>
      </c>
      <c r="E1779" s="33">
        <v>43378.0</v>
      </c>
      <c r="F1779" s="92">
        <v>44725.0</v>
      </c>
      <c r="G1779" s="36">
        <f t="shared" si="2"/>
        <v>44.26666667</v>
      </c>
      <c r="H1779" s="37">
        <v>42794.0</v>
      </c>
      <c r="I1779" s="36">
        <f t="shared" si="4"/>
        <v>1.602777778</v>
      </c>
      <c r="J1779" s="38">
        <v>81.0</v>
      </c>
      <c r="K1779" s="39">
        <v>6.9</v>
      </c>
      <c r="L1779" s="38">
        <v>24.0</v>
      </c>
      <c r="M1779" s="40" t="s">
        <v>42</v>
      </c>
      <c r="N1779" s="41"/>
      <c r="O1779" s="42" t="s">
        <v>34</v>
      </c>
      <c r="P1779" s="43"/>
    </row>
    <row r="1780">
      <c r="A1780" s="44" t="s">
        <v>1947</v>
      </c>
      <c r="B1780" s="45" t="s">
        <v>25</v>
      </c>
      <c r="C1780" s="46" t="s">
        <v>1860</v>
      </c>
      <c r="D1780" s="47" t="str">
        <f t="shared" si="1"/>
        <v>Removed</v>
      </c>
      <c r="E1780" s="48">
        <v>43347.0</v>
      </c>
      <c r="F1780" s="80">
        <v>44725.0</v>
      </c>
      <c r="G1780" s="50">
        <f t="shared" si="2"/>
        <v>45.3</v>
      </c>
      <c r="H1780" s="51">
        <v>42759.0</v>
      </c>
      <c r="I1780" s="50">
        <f t="shared" si="4"/>
        <v>1.611111111</v>
      </c>
      <c r="J1780" s="55">
        <v>49.0</v>
      </c>
      <c r="K1780" s="56">
        <v>5.0</v>
      </c>
      <c r="L1780" s="55">
        <v>4.0</v>
      </c>
      <c r="M1780" s="58" t="s">
        <v>95</v>
      </c>
      <c r="N1780" s="59"/>
      <c r="O1780" s="60" t="s">
        <v>34</v>
      </c>
      <c r="P1780" s="61"/>
    </row>
    <row r="1781">
      <c r="A1781" s="29" t="s">
        <v>1948</v>
      </c>
      <c r="B1781" s="30" t="s">
        <v>25</v>
      </c>
      <c r="C1781" s="31" t="s">
        <v>1860</v>
      </c>
      <c r="D1781" s="32" t="str">
        <f t="shared" si="1"/>
        <v>Removed</v>
      </c>
      <c r="E1781" s="33">
        <v>43347.0</v>
      </c>
      <c r="F1781" s="92">
        <v>44725.0</v>
      </c>
      <c r="G1781" s="36">
        <f t="shared" si="2"/>
        <v>45.3</v>
      </c>
      <c r="H1781" s="37">
        <v>42696.0</v>
      </c>
      <c r="I1781" s="36">
        <f t="shared" si="4"/>
        <v>1.783333333</v>
      </c>
      <c r="J1781" s="38">
        <v>65.0</v>
      </c>
      <c r="K1781" s="39">
        <v>6.3</v>
      </c>
      <c r="L1781" s="76"/>
      <c r="M1781" s="40" t="s">
        <v>29</v>
      </c>
      <c r="N1781" s="41"/>
      <c r="O1781" s="42" t="s">
        <v>34</v>
      </c>
      <c r="P1781" s="43"/>
    </row>
    <row r="1782">
      <c r="A1782" s="44" t="s">
        <v>1949</v>
      </c>
      <c r="B1782" s="45" t="s">
        <v>25</v>
      </c>
      <c r="C1782" s="46" t="s">
        <v>1860</v>
      </c>
      <c r="D1782" s="47" t="str">
        <f t="shared" si="1"/>
        <v>Removed</v>
      </c>
      <c r="E1782" s="48">
        <v>43347.0</v>
      </c>
      <c r="F1782" s="80">
        <v>44725.0</v>
      </c>
      <c r="G1782" s="50">
        <f t="shared" si="2"/>
        <v>45.3</v>
      </c>
      <c r="H1782" s="51">
        <v>42550.0</v>
      </c>
      <c r="I1782" s="50">
        <f t="shared" si="4"/>
        <v>2.180555556</v>
      </c>
      <c r="J1782" s="55">
        <v>70.0</v>
      </c>
      <c r="K1782" s="56">
        <v>7.0</v>
      </c>
      <c r="L1782" s="55">
        <v>32.0</v>
      </c>
      <c r="M1782" s="58" t="s">
        <v>64</v>
      </c>
      <c r="N1782" s="59"/>
      <c r="O1782" s="60" t="s">
        <v>34</v>
      </c>
      <c r="P1782" s="61"/>
    </row>
    <row r="1783">
      <c r="A1783" s="29" t="s">
        <v>1950</v>
      </c>
      <c r="B1783" s="30" t="s">
        <v>25</v>
      </c>
      <c r="C1783" s="31" t="s">
        <v>1860</v>
      </c>
      <c r="D1783" s="32" t="str">
        <f t="shared" si="1"/>
        <v>Removed</v>
      </c>
      <c r="E1783" s="33">
        <v>43347.0</v>
      </c>
      <c r="F1783" s="92">
        <v>44725.0</v>
      </c>
      <c r="G1783" s="36">
        <f t="shared" si="2"/>
        <v>45.3</v>
      </c>
      <c r="H1783" s="37">
        <v>41319.0</v>
      </c>
      <c r="I1783" s="36">
        <f t="shared" si="4"/>
        <v>5.555555556</v>
      </c>
      <c r="J1783" s="76"/>
      <c r="K1783" s="79"/>
      <c r="L1783" s="76"/>
      <c r="M1783" s="40" t="s">
        <v>31</v>
      </c>
      <c r="N1783" s="41"/>
      <c r="O1783" s="42" t="s">
        <v>34</v>
      </c>
      <c r="P1783" s="43"/>
    </row>
    <row r="1784">
      <c r="A1784" s="44" t="s">
        <v>1951</v>
      </c>
      <c r="B1784" s="45" t="s">
        <v>25</v>
      </c>
      <c r="C1784" s="46" t="s">
        <v>1860</v>
      </c>
      <c r="D1784" s="47" t="str">
        <f t="shared" si="1"/>
        <v>Removed</v>
      </c>
      <c r="E1784" s="48">
        <v>43347.0</v>
      </c>
      <c r="F1784" s="80">
        <v>44725.0</v>
      </c>
      <c r="G1784" s="50">
        <f t="shared" si="2"/>
        <v>45.3</v>
      </c>
      <c r="H1784" s="51">
        <v>42130.0</v>
      </c>
      <c r="I1784" s="50">
        <f t="shared" si="4"/>
        <v>3.327777778</v>
      </c>
      <c r="J1784" s="55">
        <v>83.0</v>
      </c>
      <c r="K1784" s="56">
        <v>7.2</v>
      </c>
      <c r="L1784" s="78"/>
      <c r="M1784" s="58" t="s">
        <v>95</v>
      </c>
      <c r="N1784" s="59"/>
      <c r="O1784" s="60" t="s">
        <v>34</v>
      </c>
      <c r="P1784" s="61"/>
    </row>
    <row r="1785">
      <c r="A1785" s="29" t="s">
        <v>1952</v>
      </c>
      <c r="B1785" s="30" t="s">
        <v>25</v>
      </c>
      <c r="C1785" s="31" t="s">
        <v>1860</v>
      </c>
      <c r="D1785" s="32" t="str">
        <f t="shared" si="1"/>
        <v>Removed</v>
      </c>
      <c r="E1785" s="33">
        <v>43347.0</v>
      </c>
      <c r="F1785" s="92">
        <v>44725.0</v>
      </c>
      <c r="G1785" s="36">
        <f t="shared" si="2"/>
        <v>45.3</v>
      </c>
      <c r="H1785" s="37">
        <v>42551.0</v>
      </c>
      <c r="I1785" s="36">
        <f t="shared" si="4"/>
        <v>2.177777778</v>
      </c>
      <c r="J1785" s="38">
        <v>64.0</v>
      </c>
      <c r="K1785" s="39">
        <v>7.0</v>
      </c>
      <c r="L1785" s="38">
        <v>5.0</v>
      </c>
      <c r="M1785" s="40" t="s">
        <v>27</v>
      </c>
      <c r="N1785" s="41"/>
      <c r="O1785" s="42" t="s">
        <v>34</v>
      </c>
      <c r="P1785" s="43"/>
    </row>
    <row r="1786">
      <c r="A1786" s="44" t="s">
        <v>1953</v>
      </c>
      <c r="B1786" s="45" t="s">
        <v>25</v>
      </c>
      <c r="C1786" s="46" t="s">
        <v>1860</v>
      </c>
      <c r="D1786" s="47" t="str">
        <f t="shared" si="1"/>
        <v>Removed</v>
      </c>
      <c r="E1786" s="48">
        <v>43347.0</v>
      </c>
      <c r="F1786" s="80">
        <v>44725.0</v>
      </c>
      <c r="G1786" s="50">
        <f t="shared" si="2"/>
        <v>45.3</v>
      </c>
      <c r="H1786" s="51">
        <v>41609.0</v>
      </c>
      <c r="I1786" s="50">
        <f t="shared" si="4"/>
        <v>4.758333333</v>
      </c>
      <c r="J1786" s="55">
        <v>71.0</v>
      </c>
      <c r="K1786" s="56">
        <v>6.7</v>
      </c>
      <c r="L1786" s="78"/>
      <c r="M1786" s="58" t="s">
        <v>29</v>
      </c>
      <c r="N1786" s="59"/>
      <c r="O1786" s="60" t="s">
        <v>34</v>
      </c>
      <c r="P1786" s="61"/>
    </row>
    <row r="1787">
      <c r="A1787" s="29" t="s">
        <v>1954</v>
      </c>
      <c r="B1787" s="30" t="s">
        <v>25</v>
      </c>
      <c r="C1787" s="31" t="s">
        <v>1860</v>
      </c>
      <c r="D1787" s="32" t="str">
        <f t="shared" si="1"/>
        <v>Removed</v>
      </c>
      <c r="E1787" s="33">
        <v>43347.0</v>
      </c>
      <c r="F1787" s="92">
        <v>44725.0</v>
      </c>
      <c r="G1787" s="36">
        <f t="shared" si="2"/>
        <v>45.3</v>
      </c>
      <c r="H1787" s="37">
        <v>41122.0</v>
      </c>
      <c r="I1787" s="36">
        <f t="shared" si="4"/>
        <v>6.091666667</v>
      </c>
      <c r="J1787" s="38">
        <v>84.0</v>
      </c>
      <c r="K1787" s="39">
        <v>7.7</v>
      </c>
      <c r="L1787" s="38">
        <v>4.0</v>
      </c>
      <c r="M1787" s="40" t="s">
        <v>27</v>
      </c>
      <c r="N1787" s="41"/>
      <c r="O1787" s="42" t="s">
        <v>34</v>
      </c>
      <c r="P1787" s="43"/>
    </row>
    <row r="1788">
      <c r="A1788" s="44" t="s">
        <v>1955</v>
      </c>
      <c r="B1788" s="45" t="s">
        <v>25</v>
      </c>
      <c r="C1788" s="46" t="s">
        <v>1860</v>
      </c>
      <c r="D1788" s="47" t="str">
        <f t="shared" si="1"/>
        <v>Removed</v>
      </c>
      <c r="E1788" s="48">
        <v>43312.0</v>
      </c>
      <c r="F1788" s="80">
        <v>44725.0</v>
      </c>
      <c r="G1788" s="50">
        <f t="shared" si="2"/>
        <v>46.43333333</v>
      </c>
      <c r="H1788" s="51">
        <v>38981.0</v>
      </c>
      <c r="I1788" s="50">
        <f t="shared" si="4"/>
        <v>11.85833333</v>
      </c>
      <c r="J1788" s="55">
        <v>70.0</v>
      </c>
      <c r="K1788" s="56">
        <v>7.0</v>
      </c>
      <c r="L1788" s="55">
        <v>3.0</v>
      </c>
      <c r="M1788" s="58" t="s">
        <v>136</v>
      </c>
      <c r="N1788" s="59"/>
      <c r="O1788" s="60" t="s">
        <v>34</v>
      </c>
      <c r="P1788" s="61"/>
    </row>
    <row r="1789">
      <c r="A1789" s="29" t="s">
        <v>1956</v>
      </c>
      <c r="B1789" s="30" t="s">
        <v>25</v>
      </c>
      <c r="C1789" s="31" t="s">
        <v>1860</v>
      </c>
      <c r="D1789" s="32" t="str">
        <f t="shared" si="1"/>
        <v>Removed</v>
      </c>
      <c r="E1789" s="33">
        <v>43312.0</v>
      </c>
      <c r="F1789" s="92">
        <v>44725.0</v>
      </c>
      <c r="G1789" s="36">
        <f t="shared" si="2"/>
        <v>46.43333333</v>
      </c>
      <c r="H1789" s="37">
        <v>42633.0</v>
      </c>
      <c r="I1789" s="36">
        <f t="shared" si="4"/>
        <v>1.861111111</v>
      </c>
      <c r="J1789" s="38">
        <v>58.0</v>
      </c>
      <c r="K1789" s="39">
        <v>7.2</v>
      </c>
      <c r="L1789" s="38">
        <v>5.0</v>
      </c>
      <c r="M1789" s="40" t="s">
        <v>29</v>
      </c>
      <c r="N1789" s="41"/>
      <c r="O1789" s="42" t="s">
        <v>34</v>
      </c>
      <c r="P1789" s="43"/>
    </row>
    <row r="1790">
      <c r="A1790" s="44" t="s">
        <v>1957</v>
      </c>
      <c r="B1790" s="45" t="s">
        <v>25</v>
      </c>
      <c r="C1790" s="46" t="s">
        <v>1860</v>
      </c>
      <c r="D1790" s="47" t="str">
        <f t="shared" si="1"/>
        <v>Removed</v>
      </c>
      <c r="E1790" s="48">
        <v>43312.0</v>
      </c>
      <c r="F1790" s="80">
        <v>44725.0</v>
      </c>
      <c r="G1790" s="50">
        <f t="shared" si="2"/>
        <v>46.43333333</v>
      </c>
      <c r="H1790" s="51">
        <v>42591.0</v>
      </c>
      <c r="I1790" s="50">
        <f t="shared" si="4"/>
        <v>1.975</v>
      </c>
      <c r="J1790" s="55">
        <v>67.0</v>
      </c>
      <c r="K1790" s="56">
        <v>6.5</v>
      </c>
      <c r="L1790" s="55">
        <v>5.0</v>
      </c>
      <c r="M1790" s="58" t="s">
        <v>29</v>
      </c>
      <c r="N1790" s="59"/>
      <c r="O1790" s="60" t="s">
        <v>34</v>
      </c>
      <c r="P1790" s="61"/>
    </row>
    <row r="1791">
      <c r="A1791" s="29" t="s">
        <v>1958</v>
      </c>
      <c r="B1791" s="30" t="s">
        <v>25</v>
      </c>
      <c r="C1791" s="31" t="s">
        <v>1860</v>
      </c>
      <c r="D1791" s="32" t="str">
        <f t="shared" si="1"/>
        <v>Removed</v>
      </c>
      <c r="E1791" s="33">
        <v>43312.0</v>
      </c>
      <c r="F1791" s="92">
        <v>44725.0</v>
      </c>
      <c r="G1791" s="36">
        <f t="shared" si="2"/>
        <v>46.43333333</v>
      </c>
      <c r="H1791" s="37">
        <v>42555.0</v>
      </c>
      <c r="I1791" s="36">
        <f t="shared" si="4"/>
        <v>2.072222222</v>
      </c>
      <c r="J1791" s="38">
        <v>59.0</v>
      </c>
      <c r="K1791" s="39">
        <v>6.8</v>
      </c>
      <c r="L1791" s="38">
        <v>7.0</v>
      </c>
      <c r="M1791" s="40" t="s">
        <v>29</v>
      </c>
      <c r="N1791" s="41"/>
      <c r="O1791" s="42" t="s">
        <v>34</v>
      </c>
      <c r="P1791" s="43"/>
    </row>
    <row r="1792">
      <c r="A1792" s="44" t="s">
        <v>1959</v>
      </c>
      <c r="B1792" s="45" t="s">
        <v>25</v>
      </c>
      <c r="C1792" s="46" t="s">
        <v>1860</v>
      </c>
      <c r="D1792" s="47" t="str">
        <f t="shared" si="1"/>
        <v>Removed</v>
      </c>
      <c r="E1792" s="48">
        <v>43312.0</v>
      </c>
      <c r="F1792" s="80">
        <v>44725.0</v>
      </c>
      <c r="G1792" s="50">
        <f t="shared" si="2"/>
        <v>46.43333333</v>
      </c>
      <c r="H1792" s="51">
        <v>41815.0</v>
      </c>
      <c r="I1792" s="50">
        <f t="shared" si="4"/>
        <v>4.097222222</v>
      </c>
      <c r="J1792" s="55">
        <v>75.0</v>
      </c>
      <c r="K1792" s="56">
        <v>6.8</v>
      </c>
      <c r="L1792" s="55">
        <v>2.0</v>
      </c>
      <c r="M1792" s="58" t="s">
        <v>29</v>
      </c>
      <c r="N1792" s="59"/>
      <c r="O1792" s="60" t="s">
        <v>34</v>
      </c>
      <c r="P1792" s="61"/>
    </row>
    <row r="1793">
      <c r="A1793" s="29" t="s">
        <v>1960</v>
      </c>
      <c r="B1793" s="30" t="s">
        <v>25</v>
      </c>
      <c r="C1793" s="31" t="s">
        <v>1860</v>
      </c>
      <c r="D1793" s="32" t="str">
        <f t="shared" si="1"/>
        <v>Removed</v>
      </c>
      <c r="E1793" s="33">
        <v>43284.0</v>
      </c>
      <c r="F1793" s="92">
        <v>44725.0</v>
      </c>
      <c r="G1793" s="36">
        <f t="shared" si="2"/>
        <v>47.33333333</v>
      </c>
      <c r="H1793" s="37">
        <v>42675.0</v>
      </c>
      <c r="I1793" s="36">
        <f t="shared" si="4"/>
        <v>1.672222222</v>
      </c>
      <c r="J1793" s="38">
        <v>84.0</v>
      </c>
      <c r="K1793" s="39">
        <v>7.8</v>
      </c>
      <c r="L1793" s="76"/>
      <c r="M1793" s="40" t="s">
        <v>114</v>
      </c>
      <c r="N1793" s="41"/>
      <c r="O1793" s="42" t="s">
        <v>34</v>
      </c>
      <c r="P1793" s="43"/>
    </row>
    <row r="1794">
      <c r="A1794" s="44" t="s">
        <v>1961</v>
      </c>
      <c r="B1794" s="45" t="s">
        <v>25</v>
      </c>
      <c r="C1794" s="46" t="s">
        <v>1860</v>
      </c>
      <c r="D1794" s="47" t="str">
        <f t="shared" si="1"/>
        <v>Removed</v>
      </c>
      <c r="E1794" s="48">
        <v>43284.0</v>
      </c>
      <c r="F1794" s="80">
        <v>44725.0</v>
      </c>
      <c r="G1794" s="50">
        <f t="shared" si="2"/>
        <v>47.33333333</v>
      </c>
      <c r="H1794" s="51">
        <v>42542.0</v>
      </c>
      <c r="I1794" s="50">
        <f t="shared" si="4"/>
        <v>2.033333333</v>
      </c>
      <c r="J1794" s="55">
        <v>65.0</v>
      </c>
      <c r="K1794" s="56">
        <v>6.5</v>
      </c>
      <c r="L1794" s="55">
        <v>12.0</v>
      </c>
      <c r="M1794" s="58" t="s">
        <v>95</v>
      </c>
      <c r="N1794" s="59"/>
      <c r="O1794" s="60" t="s">
        <v>34</v>
      </c>
      <c r="P1794" s="61"/>
    </row>
    <row r="1795">
      <c r="A1795" s="29" t="s">
        <v>1962</v>
      </c>
      <c r="B1795" s="30" t="s">
        <v>25</v>
      </c>
      <c r="C1795" s="31" t="s">
        <v>1860</v>
      </c>
      <c r="D1795" s="32" t="str">
        <f t="shared" si="1"/>
        <v>Removed</v>
      </c>
      <c r="E1795" s="33">
        <v>43284.0</v>
      </c>
      <c r="F1795" s="92">
        <v>44725.0</v>
      </c>
      <c r="G1795" s="36">
        <f t="shared" si="2"/>
        <v>47.33333333</v>
      </c>
      <c r="H1795" s="37">
        <v>38332.0</v>
      </c>
      <c r="I1795" s="36">
        <f t="shared" si="4"/>
        <v>13.56111111</v>
      </c>
      <c r="J1795" s="38">
        <v>67.0</v>
      </c>
      <c r="K1795" s="39">
        <v>7.7</v>
      </c>
      <c r="L1795" s="38">
        <v>20.0</v>
      </c>
      <c r="M1795" s="40" t="s">
        <v>42</v>
      </c>
      <c r="N1795" s="41"/>
      <c r="O1795" s="42" t="s">
        <v>34</v>
      </c>
      <c r="P1795" s="43"/>
    </row>
    <row r="1796">
      <c r="A1796" s="44" t="s">
        <v>1963</v>
      </c>
      <c r="B1796" s="45" t="s">
        <v>25</v>
      </c>
      <c r="C1796" s="46" t="s">
        <v>1860</v>
      </c>
      <c r="D1796" s="47" t="str">
        <f t="shared" si="1"/>
        <v>Removed</v>
      </c>
      <c r="E1796" s="48">
        <v>43256.0</v>
      </c>
      <c r="F1796" s="80">
        <v>44725.0</v>
      </c>
      <c r="G1796" s="50">
        <f t="shared" si="2"/>
        <v>48.26666667</v>
      </c>
      <c r="H1796" s="51">
        <v>41170.0</v>
      </c>
      <c r="I1796" s="50">
        <f t="shared" si="4"/>
        <v>5.713888889</v>
      </c>
      <c r="J1796" s="55">
        <v>33.0</v>
      </c>
      <c r="K1796" s="77"/>
      <c r="L1796" s="55">
        <v>5.0</v>
      </c>
      <c r="M1796" s="58" t="s">
        <v>70</v>
      </c>
      <c r="N1796" s="59"/>
      <c r="O1796" s="60" t="s">
        <v>34</v>
      </c>
      <c r="P1796" s="61"/>
    </row>
    <row r="1797">
      <c r="A1797" s="29" t="s">
        <v>1964</v>
      </c>
      <c r="B1797" s="30" t="s">
        <v>25</v>
      </c>
      <c r="C1797" s="31" t="s">
        <v>1860</v>
      </c>
      <c r="D1797" s="32" t="str">
        <f t="shared" si="1"/>
        <v>Removed</v>
      </c>
      <c r="E1797" s="33">
        <v>43256.0</v>
      </c>
      <c r="F1797" s="92">
        <v>44725.0</v>
      </c>
      <c r="G1797" s="36">
        <f t="shared" si="2"/>
        <v>48.26666667</v>
      </c>
      <c r="H1797" s="37">
        <v>42493.0</v>
      </c>
      <c r="I1797" s="36">
        <f t="shared" si="4"/>
        <v>2.088888889</v>
      </c>
      <c r="J1797" s="38">
        <v>65.0</v>
      </c>
      <c r="K1797" s="39">
        <v>6.6</v>
      </c>
      <c r="L1797" s="38">
        <v>5.0</v>
      </c>
      <c r="M1797" s="40" t="s">
        <v>95</v>
      </c>
      <c r="N1797" s="41"/>
      <c r="O1797" s="42" t="s">
        <v>34</v>
      </c>
      <c r="P1797" s="43"/>
    </row>
    <row r="1798">
      <c r="A1798" s="44" t="s">
        <v>1965</v>
      </c>
      <c r="B1798" s="45" t="s">
        <v>25</v>
      </c>
      <c r="C1798" s="46" t="s">
        <v>1860</v>
      </c>
      <c r="D1798" s="47" t="str">
        <f t="shared" si="1"/>
        <v>Removed</v>
      </c>
      <c r="E1798" s="48">
        <v>43256.0</v>
      </c>
      <c r="F1798" s="80">
        <v>44725.0</v>
      </c>
      <c r="G1798" s="50">
        <f t="shared" si="2"/>
        <v>48.26666667</v>
      </c>
      <c r="H1798" s="51">
        <v>42461.0</v>
      </c>
      <c r="I1798" s="50">
        <f t="shared" si="4"/>
        <v>2.177777778</v>
      </c>
      <c r="J1798" s="55">
        <v>53.0</v>
      </c>
      <c r="K1798" s="56">
        <v>5.2</v>
      </c>
      <c r="L1798" s="55">
        <v>5.0</v>
      </c>
      <c r="M1798" s="58" t="s">
        <v>29</v>
      </c>
      <c r="N1798" s="59"/>
      <c r="O1798" s="60" t="s">
        <v>34</v>
      </c>
      <c r="P1798" s="61"/>
    </row>
    <row r="1799">
      <c r="A1799" s="29" t="s">
        <v>1966</v>
      </c>
      <c r="B1799" s="30" t="s">
        <v>25</v>
      </c>
      <c r="C1799" s="31" t="s">
        <v>1860</v>
      </c>
      <c r="D1799" s="32" t="str">
        <f t="shared" si="1"/>
        <v>Removed</v>
      </c>
      <c r="E1799" s="33">
        <v>43256.0</v>
      </c>
      <c r="F1799" s="92">
        <v>44725.0</v>
      </c>
      <c r="G1799" s="36">
        <f t="shared" si="2"/>
        <v>48.26666667</v>
      </c>
      <c r="H1799" s="37">
        <v>42451.0</v>
      </c>
      <c r="I1799" s="36">
        <f t="shared" si="4"/>
        <v>2.202777778</v>
      </c>
      <c r="J1799" s="38">
        <v>58.0</v>
      </c>
      <c r="K1799" s="39">
        <v>6.5</v>
      </c>
      <c r="L1799" s="38">
        <v>20.0</v>
      </c>
      <c r="M1799" s="40" t="s">
        <v>103</v>
      </c>
      <c r="N1799" s="41"/>
      <c r="O1799" s="42" t="s">
        <v>34</v>
      </c>
      <c r="P1799" s="43"/>
    </row>
    <row r="1800">
      <c r="A1800" s="44" t="s">
        <v>1967</v>
      </c>
      <c r="B1800" s="45" t="s">
        <v>25</v>
      </c>
      <c r="C1800" s="46" t="s">
        <v>1860</v>
      </c>
      <c r="D1800" s="47" t="str">
        <f t="shared" si="1"/>
        <v>Removed</v>
      </c>
      <c r="E1800" s="48">
        <v>43256.0</v>
      </c>
      <c r="F1800" s="80">
        <v>44725.0</v>
      </c>
      <c r="G1800" s="50">
        <f t="shared" si="2"/>
        <v>48.26666667</v>
      </c>
      <c r="H1800" s="51">
        <v>42398.0</v>
      </c>
      <c r="I1800" s="50">
        <f t="shared" si="4"/>
        <v>2.35</v>
      </c>
      <c r="J1800" s="55">
        <v>66.0</v>
      </c>
      <c r="K1800" s="56">
        <v>6.6</v>
      </c>
      <c r="L1800" s="78"/>
      <c r="M1800" s="58" t="s">
        <v>95</v>
      </c>
      <c r="N1800" s="59"/>
      <c r="O1800" s="60" t="s">
        <v>34</v>
      </c>
      <c r="P1800" s="61"/>
    </row>
    <row r="1801">
      <c r="A1801" s="29" t="s">
        <v>1968</v>
      </c>
      <c r="B1801" s="30" t="s">
        <v>25</v>
      </c>
      <c r="C1801" s="31" t="s">
        <v>1860</v>
      </c>
      <c r="D1801" s="32" t="str">
        <f t="shared" si="1"/>
        <v>Removed</v>
      </c>
      <c r="E1801" s="33">
        <v>43256.0</v>
      </c>
      <c r="F1801" s="92">
        <v>44725.0</v>
      </c>
      <c r="G1801" s="36">
        <f t="shared" si="2"/>
        <v>48.26666667</v>
      </c>
      <c r="H1801" s="37">
        <v>42286.0</v>
      </c>
      <c r="I1801" s="36">
        <f t="shared" si="4"/>
        <v>2.655555556</v>
      </c>
      <c r="J1801" s="38">
        <v>69.0</v>
      </c>
      <c r="K1801" s="39">
        <v>6.8</v>
      </c>
      <c r="L1801" s="76"/>
      <c r="M1801" s="40" t="s">
        <v>95</v>
      </c>
      <c r="N1801" s="41"/>
      <c r="O1801" s="42" t="s">
        <v>34</v>
      </c>
      <c r="P1801" s="43"/>
    </row>
    <row r="1802">
      <c r="A1802" s="44" t="s">
        <v>1969</v>
      </c>
      <c r="B1802" s="45" t="s">
        <v>25</v>
      </c>
      <c r="C1802" s="46" t="s">
        <v>1860</v>
      </c>
      <c r="D1802" s="47" t="str">
        <f t="shared" si="1"/>
        <v>Removed</v>
      </c>
      <c r="E1802" s="48">
        <v>43221.0</v>
      </c>
      <c r="F1802" s="80">
        <v>44725.0</v>
      </c>
      <c r="G1802" s="50">
        <f t="shared" si="2"/>
        <v>49.4</v>
      </c>
      <c r="H1802" s="51">
        <v>42607.0</v>
      </c>
      <c r="I1802" s="50">
        <f t="shared" si="4"/>
        <v>1.683333333</v>
      </c>
      <c r="J1802" s="55">
        <v>68.0</v>
      </c>
      <c r="K1802" s="56">
        <v>6.5</v>
      </c>
      <c r="L1802" s="55">
        <v>5.0</v>
      </c>
      <c r="M1802" s="58" t="s">
        <v>42</v>
      </c>
      <c r="N1802" s="59"/>
      <c r="O1802" s="60" t="s">
        <v>34</v>
      </c>
      <c r="P1802" s="61"/>
    </row>
    <row r="1803">
      <c r="A1803" s="29" t="s">
        <v>1970</v>
      </c>
      <c r="B1803" s="30" t="s">
        <v>25</v>
      </c>
      <c r="C1803" s="31" t="s">
        <v>1860</v>
      </c>
      <c r="D1803" s="32" t="str">
        <f t="shared" si="1"/>
        <v>Removed</v>
      </c>
      <c r="E1803" s="33">
        <v>43221.0</v>
      </c>
      <c r="F1803" s="92">
        <v>44725.0</v>
      </c>
      <c r="G1803" s="36">
        <f t="shared" si="2"/>
        <v>49.4</v>
      </c>
      <c r="H1803" s="37">
        <v>42185.0</v>
      </c>
      <c r="I1803" s="36">
        <f t="shared" si="4"/>
        <v>2.836111111</v>
      </c>
      <c r="J1803" s="38">
        <v>73.0</v>
      </c>
      <c r="K1803" s="39">
        <v>7.8</v>
      </c>
      <c r="L1803" s="76"/>
      <c r="M1803" s="40" t="s">
        <v>114</v>
      </c>
      <c r="N1803" s="41"/>
      <c r="O1803" s="42" t="s">
        <v>34</v>
      </c>
      <c r="P1803" s="43"/>
    </row>
    <row r="1804">
      <c r="A1804" s="44" t="s">
        <v>1681</v>
      </c>
      <c r="B1804" s="45" t="s">
        <v>25</v>
      </c>
      <c r="C1804" s="46" t="s">
        <v>1860</v>
      </c>
      <c r="D1804" s="47" t="str">
        <f t="shared" si="1"/>
        <v>Removed</v>
      </c>
      <c r="E1804" s="48">
        <v>43221.0</v>
      </c>
      <c r="F1804" s="80">
        <v>44725.0</v>
      </c>
      <c r="G1804" s="50">
        <f t="shared" si="2"/>
        <v>49.4</v>
      </c>
      <c r="H1804" s="51">
        <v>40756.0</v>
      </c>
      <c r="I1804" s="50">
        <f t="shared" si="4"/>
        <v>6.75</v>
      </c>
      <c r="J1804" s="55">
        <v>88.0</v>
      </c>
      <c r="K1804" s="56">
        <v>8.2</v>
      </c>
      <c r="L1804" s="55">
        <v>4.0</v>
      </c>
      <c r="M1804" s="58" t="s">
        <v>27</v>
      </c>
      <c r="N1804" s="59"/>
      <c r="O1804" s="60" t="s">
        <v>34</v>
      </c>
      <c r="P1804" s="61"/>
    </row>
    <row r="1805">
      <c r="A1805" s="29" t="s">
        <v>1971</v>
      </c>
      <c r="B1805" s="30" t="s">
        <v>25</v>
      </c>
      <c r="C1805" s="31" t="s">
        <v>1860</v>
      </c>
      <c r="D1805" s="32" t="str">
        <f t="shared" si="1"/>
        <v>Removed</v>
      </c>
      <c r="E1805" s="33">
        <v>43193.0</v>
      </c>
      <c r="F1805" s="92">
        <v>44725.0</v>
      </c>
      <c r="G1805" s="36">
        <f t="shared" si="2"/>
        <v>50.33333333</v>
      </c>
      <c r="H1805" s="37">
        <v>43112.0</v>
      </c>
      <c r="I1805" s="36">
        <f t="shared" si="4"/>
        <v>0.225</v>
      </c>
      <c r="J1805" s="38">
        <v>68.0</v>
      </c>
      <c r="K1805" s="79"/>
      <c r="L1805" s="38">
        <v>3.0</v>
      </c>
      <c r="M1805" s="40" t="s">
        <v>136</v>
      </c>
      <c r="N1805" s="41"/>
      <c r="O1805" s="42" t="s">
        <v>34</v>
      </c>
      <c r="P1805" s="43"/>
    </row>
    <row r="1806">
      <c r="A1806" s="44" t="s">
        <v>1972</v>
      </c>
      <c r="B1806" s="45" t="s">
        <v>25</v>
      </c>
      <c r="C1806" s="46" t="s">
        <v>1860</v>
      </c>
      <c r="D1806" s="47" t="str">
        <f t="shared" si="1"/>
        <v>Removed</v>
      </c>
      <c r="E1806" s="48">
        <v>43193.0</v>
      </c>
      <c r="F1806" s="80">
        <v>44725.0</v>
      </c>
      <c r="G1806" s="50">
        <f t="shared" si="2"/>
        <v>50.33333333</v>
      </c>
      <c r="H1806" s="51">
        <v>43062.0</v>
      </c>
      <c r="I1806" s="50">
        <f t="shared" si="4"/>
        <v>0.3611111111</v>
      </c>
      <c r="J1806" s="55">
        <v>77.0</v>
      </c>
      <c r="K1806" s="56">
        <v>7.9</v>
      </c>
      <c r="L1806" s="78"/>
      <c r="M1806" s="58" t="s">
        <v>95</v>
      </c>
      <c r="N1806" s="59"/>
      <c r="O1806" s="60" t="s">
        <v>34</v>
      </c>
      <c r="P1806" s="61"/>
    </row>
    <row r="1807">
      <c r="A1807" s="29" t="s">
        <v>1973</v>
      </c>
      <c r="B1807" s="30" t="s">
        <v>25</v>
      </c>
      <c r="C1807" s="31" t="s">
        <v>1860</v>
      </c>
      <c r="D1807" s="32" t="str">
        <f t="shared" si="1"/>
        <v>Removed</v>
      </c>
      <c r="E1807" s="33">
        <v>43193.0</v>
      </c>
      <c r="F1807" s="92">
        <v>44725.0</v>
      </c>
      <c r="G1807" s="36">
        <f t="shared" si="2"/>
        <v>50.33333333</v>
      </c>
      <c r="H1807" s="37">
        <v>42601.0</v>
      </c>
      <c r="I1807" s="36">
        <f t="shared" si="4"/>
        <v>1.622222222</v>
      </c>
      <c r="J1807" s="38">
        <v>82.0</v>
      </c>
      <c r="K1807" s="39">
        <v>7.6</v>
      </c>
      <c r="L1807" s="38">
        <v>20.5</v>
      </c>
      <c r="M1807" s="40" t="s">
        <v>95</v>
      </c>
      <c r="N1807" s="41"/>
      <c r="O1807" s="42" t="s">
        <v>34</v>
      </c>
      <c r="P1807" s="43"/>
    </row>
    <row r="1808">
      <c r="A1808" s="44" t="s">
        <v>1974</v>
      </c>
      <c r="B1808" s="45" t="s">
        <v>25</v>
      </c>
      <c r="C1808" s="46" t="s">
        <v>1860</v>
      </c>
      <c r="D1808" s="47" t="str">
        <f t="shared" si="1"/>
        <v>Removed</v>
      </c>
      <c r="E1808" s="48">
        <v>43193.0</v>
      </c>
      <c r="F1808" s="80">
        <v>44725.0</v>
      </c>
      <c r="G1808" s="50">
        <f t="shared" si="2"/>
        <v>50.33333333</v>
      </c>
      <c r="H1808" s="51">
        <v>41942.0</v>
      </c>
      <c r="I1808" s="50">
        <f t="shared" si="4"/>
        <v>3.425</v>
      </c>
      <c r="J1808" s="55">
        <v>50.0</v>
      </c>
      <c r="K1808" s="77"/>
      <c r="L1808" s="78"/>
      <c r="M1808" s="58" t="s">
        <v>125</v>
      </c>
      <c r="N1808" s="59"/>
      <c r="O1808" s="60" t="s">
        <v>34</v>
      </c>
      <c r="P1808" s="61"/>
    </row>
    <row r="1809">
      <c r="A1809" s="29" t="s">
        <v>1975</v>
      </c>
      <c r="B1809" s="30" t="s">
        <v>25</v>
      </c>
      <c r="C1809" s="31" t="s">
        <v>1860</v>
      </c>
      <c r="D1809" s="32" t="str">
        <f t="shared" si="1"/>
        <v>Removed</v>
      </c>
      <c r="E1809" s="33">
        <v>43193.0</v>
      </c>
      <c r="F1809" s="92">
        <v>44725.0</v>
      </c>
      <c r="G1809" s="36">
        <f t="shared" si="2"/>
        <v>50.33333333</v>
      </c>
      <c r="H1809" s="37">
        <v>42583.0</v>
      </c>
      <c r="I1809" s="36">
        <f t="shared" si="4"/>
        <v>1.672222222</v>
      </c>
      <c r="J1809" s="38">
        <v>65.0</v>
      </c>
      <c r="K1809" s="39">
        <v>6.1</v>
      </c>
      <c r="L1809" s="38">
        <v>4.0</v>
      </c>
      <c r="M1809" s="40" t="s">
        <v>268</v>
      </c>
      <c r="N1809" s="41"/>
      <c r="O1809" s="42" t="s">
        <v>34</v>
      </c>
      <c r="P1809" s="43"/>
    </row>
    <row r="1810">
      <c r="A1810" s="44" t="s">
        <v>1976</v>
      </c>
      <c r="B1810" s="45" t="s">
        <v>25</v>
      </c>
      <c r="C1810" s="46" t="s">
        <v>1860</v>
      </c>
      <c r="D1810" s="47" t="str">
        <f t="shared" si="1"/>
        <v>Removed</v>
      </c>
      <c r="E1810" s="48">
        <v>43193.0</v>
      </c>
      <c r="F1810" s="80">
        <v>44725.0</v>
      </c>
      <c r="G1810" s="50">
        <f t="shared" si="2"/>
        <v>50.33333333</v>
      </c>
      <c r="H1810" s="51">
        <v>42339.0</v>
      </c>
      <c r="I1810" s="50">
        <f t="shared" si="4"/>
        <v>2.338888889</v>
      </c>
      <c r="J1810" s="55">
        <v>62.0</v>
      </c>
      <c r="K1810" s="56">
        <v>6.8</v>
      </c>
      <c r="L1810" s="55">
        <v>3.0</v>
      </c>
      <c r="M1810" s="58" t="s">
        <v>125</v>
      </c>
      <c r="N1810" s="59"/>
      <c r="O1810" s="60" t="s">
        <v>34</v>
      </c>
      <c r="P1810" s="61"/>
    </row>
    <row r="1811">
      <c r="A1811" s="29" t="s">
        <v>1977</v>
      </c>
      <c r="B1811" s="30" t="s">
        <v>25</v>
      </c>
      <c r="C1811" s="31" t="s">
        <v>1860</v>
      </c>
      <c r="D1811" s="32" t="str">
        <f t="shared" si="1"/>
        <v>Removed</v>
      </c>
      <c r="E1811" s="33">
        <v>43193.0</v>
      </c>
      <c r="F1811" s="92">
        <v>44725.0</v>
      </c>
      <c r="G1811" s="36">
        <f t="shared" si="2"/>
        <v>50.33333333</v>
      </c>
      <c r="H1811" s="37">
        <v>42237.0</v>
      </c>
      <c r="I1811" s="36">
        <f t="shared" si="4"/>
        <v>2.616666667</v>
      </c>
      <c r="J1811" s="38">
        <v>69.0</v>
      </c>
      <c r="K1811" s="39">
        <v>7.0</v>
      </c>
      <c r="L1811" s="38">
        <v>33.0</v>
      </c>
      <c r="M1811" s="40" t="s">
        <v>42</v>
      </c>
      <c r="N1811" s="41"/>
      <c r="O1811" s="42" t="s">
        <v>34</v>
      </c>
      <c r="P1811" s="43"/>
    </row>
    <row r="1812">
      <c r="A1812" s="44" t="s">
        <v>1978</v>
      </c>
      <c r="B1812" s="45" t="s">
        <v>25</v>
      </c>
      <c r="C1812" s="46" t="s">
        <v>1860</v>
      </c>
      <c r="D1812" s="47" t="str">
        <f t="shared" si="1"/>
        <v>Removed</v>
      </c>
      <c r="E1812" s="48">
        <v>43193.0</v>
      </c>
      <c r="F1812" s="80">
        <v>44725.0</v>
      </c>
      <c r="G1812" s="50">
        <f t="shared" si="2"/>
        <v>50.33333333</v>
      </c>
      <c r="H1812" s="51">
        <v>42024.0</v>
      </c>
      <c r="I1812" s="50">
        <f t="shared" si="4"/>
        <v>3.202777778</v>
      </c>
      <c r="J1812" s="55">
        <v>65.0</v>
      </c>
      <c r="K1812" s="56">
        <v>6.6</v>
      </c>
      <c r="L1812" s="55">
        <v>5.0</v>
      </c>
      <c r="M1812" s="58" t="s">
        <v>29</v>
      </c>
      <c r="N1812" s="59"/>
      <c r="O1812" s="60" t="s">
        <v>34</v>
      </c>
      <c r="P1812" s="61"/>
    </row>
    <row r="1813">
      <c r="A1813" s="29" t="s">
        <v>1979</v>
      </c>
      <c r="B1813" s="30" t="s">
        <v>25</v>
      </c>
      <c r="C1813" s="31" t="s">
        <v>1860</v>
      </c>
      <c r="D1813" s="32" t="str">
        <f t="shared" si="1"/>
        <v>Removed</v>
      </c>
      <c r="E1813" s="33">
        <v>43193.0</v>
      </c>
      <c r="F1813" s="92">
        <v>44725.0</v>
      </c>
      <c r="G1813" s="36">
        <f t="shared" si="2"/>
        <v>50.33333333</v>
      </c>
      <c r="H1813" s="37">
        <v>41183.0</v>
      </c>
      <c r="I1813" s="36">
        <f t="shared" si="4"/>
        <v>5.505555556</v>
      </c>
      <c r="J1813" s="38">
        <v>79.0</v>
      </c>
      <c r="K1813" s="39">
        <v>7.8</v>
      </c>
      <c r="L1813" s="38">
        <v>3.5</v>
      </c>
      <c r="M1813" s="40" t="s">
        <v>29</v>
      </c>
      <c r="N1813" s="41" t="s">
        <v>442</v>
      </c>
      <c r="O1813" s="42" t="s">
        <v>34</v>
      </c>
      <c r="P1813" s="67"/>
    </row>
    <row r="1814">
      <c r="A1814" s="44" t="s">
        <v>1980</v>
      </c>
      <c r="B1814" s="45" t="s">
        <v>25</v>
      </c>
      <c r="C1814" s="46" t="s">
        <v>1860</v>
      </c>
      <c r="D1814" s="47" t="str">
        <f t="shared" si="1"/>
        <v>Removed</v>
      </c>
      <c r="E1814" s="48">
        <v>43165.0</v>
      </c>
      <c r="F1814" s="80">
        <v>44725.0</v>
      </c>
      <c r="G1814" s="50">
        <f t="shared" si="2"/>
        <v>51.23333333</v>
      </c>
      <c r="H1814" s="51">
        <v>42391.0</v>
      </c>
      <c r="I1814" s="50">
        <f t="shared" si="4"/>
        <v>2.122222222</v>
      </c>
      <c r="J1814" s="55">
        <v>70.0</v>
      </c>
      <c r="K1814" s="77"/>
      <c r="L1814" s="55">
        <v>3.5</v>
      </c>
      <c r="M1814" s="58" t="s">
        <v>725</v>
      </c>
      <c r="N1814" s="59"/>
      <c r="O1814" s="60" t="s">
        <v>34</v>
      </c>
      <c r="P1814" s="61"/>
    </row>
    <row r="1815">
      <c r="A1815" s="29" t="s">
        <v>1981</v>
      </c>
      <c r="B1815" s="30" t="s">
        <v>25</v>
      </c>
      <c r="C1815" s="31" t="s">
        <v>1860</v>
      </c>
      <c r="D1815" s="32" t="str">
        <f t="shared" si="1"/>
        <v>Removed</v>
      </c>
      <c r="E1815" s="33">
        <v>43165.0</v>
      </c>
      <c r="F1815" s="92">
        <v>44725.0</v>
      </c>
      <c r="G1815" s="36">
        <f t="shared" si="2"/>
        <v>51.23333333</v>
      </c>
      <c r="H1815" s="37">
        <v>42248.0</v>
      </c>
      <c r="I1815" s="36">
        <f t="shared" si="4"/>
        <v>2.513888889</v>
      </c>
      <c r="J1815" s="38">
        <v>64.0</v>
      </c>
      <c r="K1815" s="39">
        <v>7.0</v>
      </c>
      <c r="L1815" s="38">
        <v>6.5</v>
      </c>
      <c r="M1815" s="40" t="s">
        <v>29</v>
      </c>
      <c r="N1815" s="41"/>
      <c r="O1815" s="42" t="s">
        <v>34</v>
      </c>
      <c r="P1815" s="43"/>
    </row>
    <row r="1816">
      <c r="A1816" s="44" t="s">
        <v>1982</v>
      </c>
      <c r="B1816" s="45" t="s">
        <v>25</v>
      </c>
      <c r="C1816" s="46" t="s">
        <v>1860</v>
      </c>
      <c r="D1816" s="47" t="str">
        <f t="shared" si="1"/>
        <v>Removed</v>
      </c>
      <c r="E1816" s="48">
        <v>43165.0</v>
      </c>
      <c r="F1816" s="80">
        <v>44725.0</v>
      </c>
      <c r="G1816" s="50">
        <f t="shared" si="2"/>
        <v>51.23333333</v>
      </c>
      <c r="H1816" s="51">
        <v>42608.0</v>
      </c>
      <c r="I1816" s="50">
        <f t="shared" si="4"/>
        <v>1.527777778</v>
      </c>
      <c r="J1816" s="55">
        <v>68.0</v>
      </c>
      <c r="K1816" s="56">
        <v>7.4</v>
      </c>
      <c r="L1816" s="78"/>
      <c r="M1816" s="58" t="s">
        <v>95</v>
      </c>
      <c r="N1816" s="59"/>
      <c r="O1816" s="60" t="s">
        <v>34</v>
      </c>
      <c r="P1816" s="61"/>
    </row>
    <row r="1817">
      <c r="A1817" s="29" t="s">
        <v>1983</v>
      </c>
      <c r="B1817" s="30" t="s">
        <v>25</v>
      </c>
      <c r="C1817" s="31" t="s">
        <v>1860</v>
      </c>
      <c r="D1817" s="32" t="str">
        <f t="shared" si="1"/>
        <v>Removed</v>
      </c>
      <c r="E1817" s="33">
        <v>43165.0</v>
      </c>
      <c r="F1817" s="92">
        <v>44725.0</v>
      </c>
      <c r="G1817" s="36">
        <f t="shared" si="2"/>
        <v>51.23333333</v>
      </c>
      <c r="H1817" s="37">
        <v>41940.0</v>
      </c>
      <c r="I1817" s="36">
        <f t="shared" si="4"/>
        <v>3.355555556</v>
      </c>
      <c r="J1817" s="38">
        <v>73.0</v>
      </c>
      <c r="K1817" s="39">
        <v>6.8</v>
      </c>
      <c r="L1817" s="38">
        <v>21.0</v>
      </c>
      <c r="M1817" s="40" t="s">
        <v>42</v>
      </c>
      <c r="N1817" s="41"/>
      <c r="O1817" s="42" t="s">
        <v>34</v>
      </c>
      <c r="P1817" s="43"/>
    </row>
    <row r="1818">
      <c r="A1818" s="44" t="s">
        <v>1984</v>
      </c>
      <c r="B1818" s="45" t="s">
        <v>25</v>
      </c>
      <c r="C1818" s="46" t="s">
        <v>1860</v>
      </c>
      <c r="D1818" s="47" t="str">
        <f t="shared" si="1"/>
        <v>Removed</v>
      </c>
      <c r="E1818" s="48">
        <v>43165.0</v>
      </c>
      <c r="F1818" s="80">
        <v>44725.0</v>
      </c>
      <c r="G1818" s="50">
        <f t="shared" si="2"/>
        <v>51.23333333</v>
      </c>
      <c r="H1818" s="51">
        <v>41609.0</v>
      </c>
      <c r="I1818" s="50">
        <f t="shared" si="4"/>
        <v>4.263888889</v>
      </c>
      <c r="J1818" s="55">
        <v>64.0</v>
      </c>
      <c r="K1818" s="56">
        <v>6.1</v>
      </c>
      <c r="L1818" s="55">
        <v>5.0</v>
      </c>
      <c r="M1818" s="58" t="s">
        <v>136</v>
      </c>
      <c r="N1818" s="59"/>
      <c r="O1818" s="60" t="s">
        <v>34</v>
      </c>
      <c r="P1818" s="61"/>
    </row>
    <row r="1819">
      <c r="A1819" s="29" t="s">
        <v>1985</v>
      </c>
      <c r="B1819" s="30" t="s">
        <v>25</v>
      </c>
      <c r="C1819" s="31" t="s">
        <v>1860</v>
      </c>
      <c r="D1819" s="32" t="str">
        <f t="shared" si="1"/>
        <v>Removed</v>
      </c>
      <c r="E1819" s="33">
        <v>43137.0</v>
      </c>
      <c r="F1819" s="92">
        <v>44725.0</v>
      </c>
      <c r="G1819" s="36">
        <f t="shared" si="2"/>
        <v>52.23333333</v>
      </c>
      <c r="H1819" s="37">
        <v>42531.0</v>
      </c>
      <c r="I1819" s="36">
        <f t="shared" si="4"/>
        <v>1.655555556</v>
      </c>
      <c r="J1819" s="38">
        <v>33.0</v>
      </c>
      <c r="K1819" s="39">
        <v>4.0</v>
      </c>
      <c r="L1819" s="76"/>
      <c r="M1819" s="40" t="s">
        <v>1986</v>
      </c>
      <c r="N1819" s="41"/>
      <c r="O1819" s="42" t="s">
        <v>34</v>
      </c>
      <c r="P1819" s="43"/>
    </row>
    <row r="1820">
      <c r="A1820" s="44" t="s">
        <v>1987</v>
      </c>
      <c r="B1820" s="45" t="s">
        <v>25</v>
      </c>
      <c r="C1820" s="46" t="s">
        <v>1860</v>
      </c>
      <c r="D1820" s="47" t="str">
        <f t="shared" si="1"/>
        <v>Removed</v>
      </c>
      <c r="E1820" s="48">
        <v>43137.0</v>
      </c>
      <c r="F1820" s="80">
        <v>44725.0</v>
      </c>
      <c r="G1820" s="50">
        <f t="shared" si="2"/>
        <v>52.23333333</v>
      </c>
      <c r="H1820" s="51">
        <v>42465.0</v>
      </c>
      <c r="I1820" s="50">
        <f t="shared" si="4"/>
        <v>1.836111111</v>
      </c>
      <c r="J1820" s="55">
        <v>85.0</v>
      </c>
      <c r="K1820" s="56">
        <v>7.8</v>
      </c>
      <c r="L1820" s="78"/>
      <c r="M1820" s="58" t="s">
        <v>95</v>
      </c>
      <c r="N1820" s="59"/>
      <c r="O1820" s="60" t="s">
        <v>34</v>
      </c>
      <c r="P1820" s="61"/>
    </row>
    <row r="1821">
      <c r="A1821" s="29" t="s">
        <v>1988</v>
      </c>
      <c r="B1821" s="30" t="s">
        <v>25</v>
      </c>
      <c r="C1821" s="31" t="s">
        <v>1860</v>
      </c>
      <c r="D1821" s="32" t="str">
        <f t="shared" si="1"/>
        <v>Removed</v>
      </c>
      <c r="E1821" s="33">
        <v>43137.0</v>
      </c>
      <c r="F1821" s="92">
        <v>44725.0</v>
      </c>
      <c r="G1821" s="36">
        <f t="shared" si="2"/>
        <v>52.23333333</v>
      </c>
      <c r="H1821" s="37">
        <v>42538.0</v>
      </c>
      <c r="I1821" s="36">
        <f t="shared" si="4"/>
        <v>1.636111111</v>
      </c>
      <c r="J1821" s="38">
        <v>78.0</v>
      </c>
      <c r="K1821" s="39">
        <v>7.5</v>
      </c>
      <c r="L1821" s="38">
        <v>40.0</v>
      </c>
      <c r="M1821" s="40" t="s">
        <v>42</v>
      </c>
      <c r="N1821" s="41"/>
      <c r="O1821" s="42" t="s">
        <v>34</v>
      </c>
      <c r="P1821" s="43"/>
    </row>
    <row r="1822">
      <c r="A1822" s="44" t="s">
        <v>1989</v>
      </c>
      <c r="B1822" s="45" t="s">
        <v>25</v>
      </c>
      <c r="C1822" s="46" t="s">
        <v>1860</v>
      </c>
      <c r="D1822" s="47" t="str">
        <f t="shared" si="1"/>
        <v>Removed</v>
      </c>
      <c r="E1822" s="48">
        <v>43137.0</v>
      </c>
      <c r="F1822" s="80">
        <v>44725.0</v>
      </c>
      <c r="G1822" s="50">
        <f t="shared" si="2"/>
        <v>52.23333333</v>
      </c>
      <c r="H1822" s="51">
        <v>42514.0</v>
      </c>
      <c r="I1822" s="50">
        <f t="shared" si="4"/>
        <v>1.7</v>
      </c>
      <c r="J1822" s="55">
        <v>55.0</v>
      </c>
      <c r="K1822" s="77"/>
      <c r="L1822" s="78"/>
      <c r="M1822" s="58" t="s">
        <v>136</v>
      </c>
      <c r="N1822" s="59"/>
      <c r="O1822" s="60" t="s">
        <v>34</v>
      </c>
      <c r="P1822" s="61"/>
    </row>
    <row r="1823">
      <c r="A1823" s="29" t="s">
        <v>1990</v>
      </c>
      <c r="B1823" s="30" t="s">
        <v>25</v>
      </c>
      <c r="C1823" s="31" t="s">
        <v>1860</v>
      </c>
      <c r="D1823" s="32" t="str">
        <f t="shared" si="1"/>
        <v>Removed</v>
      </c>
      <c r="E1823" s="33">
        <v>43137.0</v>
      </c>
      <c r="F1823" s="92">
        <v>44725.0</v>
      </c>
      <c r="G1823" s="36">
        <f t="shared" si="2"/>
        <v>52.23333333</v>
      </c>
      <c r="H1823" s="37">
        <v>41940.0</v>
      </c>
      <c r="I1823" s="36">
        <f t="shared" si="4"/>
        <v>3.272222222</v>
      </c>
      <c r="J1823" s="38">
        <v>39.0</v>
      </c>
      <c r="K1823" s="39">
        <v>3.6</v>
      </c>
      <c r="L1823" s="76"/>
      <c r="M1823" s="40" t="s">
        <v>95</v>
      </c>
      <c r="N1823" s="41" t="s">
        <v>442</v>
      </c>
      <c r="O1823" s="42" t="s">
        <v>34</v>
      </c>
      <c r="P1823" s="67"/>
    </row>
    <row r="1824">
      <c r="A1824" s="44" t="s">
        <v>1991</v>
      </c>
      <c r="B1824" s="45" t="s">
        <v>25</v>
      </c>
      <c r="C1824" s="46" t="s">
        <v>1860</v>
      </c>
      <c r="D1824" s="47" t="str">
        <f t="shared" si="1"/>
        <v>Removed</v>
      </c>
      <c r="E1824" s="48">
        <v>43137.0</v>
      </c>
      <c r="F1824" s="80">
        <v>44725.0</v>
      </c>
      <c r="G1824" s="50">
        <f t="shared" si="2"/>
        <v>52.23333333</v>
      </c>
      <c r="H1824" s="51">
        <v>41597.0</v>
      </c>
      <c r="I1824" s="50">
        <f t="shared" si="4"/>
        <v>4.213888889</v>
      </c>
      <c r="J1824" s="55">
        <v>68.0</v>
      </c>
      <c r="K1824" s="56">
        <v>6.7</v>
      </c>
      <c r="L1824" s="78"/>
      <c r="M1824" s="58" t="s">
        <v>598</v>
      </c>
      <c r="N1824" s="59"/>
      <c r="O1824" s="60" t="s">
        <v>34</v>
      </c>
      <c r="P1824" s="61"/>
    </row>
    <row r="1825">
      <c r="A1825" s="29" t="s">
        <v>1992</v>
      </c>
      <c r="B1825" s="30" t="s">
        <v>25</v>
      </c>
      <c r="C1825" s="31" t="s">
        <v>1860</v>
      </c>
      <c r="D1825" s="32" t="str">
        <f t="shared" si="1"/>
        <v>Removed</v>
      </c>
      <c r="E1825" s="33">
        <v>43137.0</v>
      </c>
      <c r="F1825" s="92">
        <v>44725.0</v>
      </c>
      <c r="G1825" s="36">
        <f t="shared" si="2"/>
        <v>52.23333333</v>
      </c>
      <c r="H1825" s="37">
        <v>40603.0</v>
      </c>
      <c r="I1825" s="36">
        <f t="shared" si="4"/>
        <v>6.930555556</v>
      </c>
      <c r="J1825" s="38">
        <v>78.0</v>
      </c>
      <c r="K1825" s="39">
        <v>8.5</v>
      </c>
      <c r="L1825" s="38">
        <v>19.0</v>
      </c>
      <c r="M1825" s="40" t="s">
        <v>29</v>
      </c>
      <c r="N1825" s="41" t="s">
        <v>442</v>
      </c>
      <c r="O1825" s="42" t="s">
        <v>34</v>
      </c>
      <c r="P1825" s="67"/>
    </row>
    <row r="1826">
      <c r="A1826" s="44" t="s">
        <v>1993</v>
      </c>
      <c r="B1826" s="45" t="s">
        <v>25</v>
      </c>
      <c r="C1826" s="46" t="s">
        <v>1860</v>
      </c>
      <c r="D1826" s="47" t="str">
        <f t="shared" si="1"/>
        <v>Removed</v>
      </c>
      <c r="E1826" s="48">
        <v>43109.0</v>
      </c>
      <c r="F1826" s="80">
        <v>44725.0</v>
      </c>
      <c r="G1826" s="50">
        <f t="shared" si="2"/>
        <v>53.13333333</v>
      </c>
      <c r="H1826" s="51">
        <v>42343.0</v>
      </c>
      <c r="I1826" s="50">
        <f t="shared" si="4"/>
        <v>2.094444444</v>
      </c>
      <c r="J1826" s="55">
        <v>69.0</v>
      </c>
      <c r="K1826" s="56">
        <v>6.8</v>
      </c>
      <c r="L1826" s="55">
        <v>10.0</v>
      </c>
      <c r="M1826" s="58" t="s">
        <v>29</v>
      </c>
      <c r="N1826" s="59"/>
      <c r="O1826" s="60" t="s">
        <v>34</v>
      </c>
      <c r="P1826" s="61"/>
    </row>
    <row r="1827">
      <c r="A1827" s="29" t="s">
        <v>1994</v>
      </c>
      <c r="B1827" s="30" t="s">
        <v>25</v>
      </c>
      <c r="C1827" s="31" t="s">
        <v>1860</v>
      </c>
      <c r="D1827" s="32" t="str">
        <f t="shared" si="1"/>
        <v>Removed</v>
      </c>
      <c r="E1827" s="33">
        <v>43109.0</v>
      </c>
      <c r="F1827" s="92">
        <v>44725.0</v>
      </c>
      <c r="G1827" s="36">
        <f t="shared" si="2"/>
        <v>53.13333333</v>
      </c>
      <c r="H1827" s="37">
        <v>41793.0</v>
      </c>
      <c r="I1827" s="36">
        <f t="shared" si="4"/>
        <v>3.6</v>
      </c>
      <c r="J1827" s="38">
        <v>81.0</v>
      </c>
      <c r="K1827" s="39">
        <v>7.5</v>
      </c>
      <c r="L1827" s="38">
        <v>8.0</v>
      </c>
      <c r="M1827" s="40" t="s">
        <v>31</v>
      </c>
      <c r="N1827" s="41"/>
      <c r="O1827" s="42" t="s">
        <v>34</v>
      </c>
      <c r="P1827" s="43"/>
    </row>
    <row r="1828">
      <c r="A1828" s="44" t="s">
        <v>1995</v>
      </c>
      <c r="B1828" s="45" t="s">
        <v>25</v>
      </c>
      <c r="C1828" s="46" t="s">
        <v>1860</v>
      </c>
      <c r="D1828" s="47" t="str">
        <f t="shared" si="1"/>
        <v>Removed</v>
      </c>
      <c r="E1828" s="48">
        <v>43109.0</v>
      </c>
      <c r="F1828" s="80">
        <v>44725.0</v>
      </c>
      <c r="G1828" s="50">
        <f t="shared" si="2"/>
        <v>53.13333333</v>
      </c>
      <c r="H1828" s="51">
        <v>42227.0</v>
      </c>
      <c r="I1828" s="50">
        <f t="shared" si="4"/>
        <v>2.411111111</v>
      </c>
      <c r="J1828" s="55">
        <v>78.0</v>
      </c>
      <c r="K1828" s="56">
        <v>7.4</v>
      </c>
      <c r="L1828" s="55">
        <v>5.0</v>
      </c>
      <c r="M1828" s="58" t="s">
        <v>29</v>
      </c>
      <c r="N1828" s="59"/>
      <c r="O1828" s="60" t="s">
        <v>34</v>
      </c>
      <c r="P1828" s="61"/>
    </row>
    <row r="1829">
      <c r="A1829" s="29" t="s">
        <v>1996</v>
      </c>
      <c r="B1829" s="30" t="s">
        <v>25</v>
      </c>
      <c r="C1829" s="31" t="s">
        <v>1860</v>
      </c>
      <c r="D1829" s="32" t="str">
        <f t="shared" si="1"/>
        <v>Removed</v>
      </c>
      <c r="E1829" s="33">
        <v>43109.0</v>
      </c>
      <c r="F1829" s="92">
        <v>44725.0</v>
      </c>
      <c r="G1829" s="36">
        <f t="shared" si="2"/>
        <v>53.13333333</v>
      </c>
      <c r="H1829" s="37">
        <v>41609.0</v>
      </c>
      <c r="I1829" s="36">
        <f t="shared" si="4"/>
        <v>4.105555556</v>
      </c>
      <c r="J1829" s="38">
        <v>73.0</v>
      </c>
      <c r="K1829" s="39">
        <v>7.1</v>
      </c>
      <c r="L1829" s="38">
        <v>3.5</v>
      </c>
      <c r="M1829" s="40" t="s">
        <v>136</v>
      </c>
      <c r="N1829" s="41"/>
      <c r="O1829" s="42" t="s">
        <v>34</v>
      </c>
      <c r="P1829" s="43"/>
    </row>
    <row r="1830">
      <c r="A1830" s="44" t="s">
        <v>1997</v>
      </c>
      <c r="B1830" s="45" t="s">
        <v>25</v>
      </c>
      <c r="C1830" s="46" t="s">
        <v>1860</v>
      </c>
      <c r="D1830" s="47" t="str">
        <f t="shared" si="1"/>
        <v>Removed</v>
      </c>
      <c r="E1830" s="48">
        <v>43083.0</v>
      </c>
      <c r="F1830" s="80">
        <v>44725.0</v>
      </c>
      <c r="G1830" s="50">
        <f t="shared" si="2"/>
        <v>53.96666667</v>
      </c>
      <c r="H1830" s="51">
        <v>41982.0</v>
      </c>
      <c r="I1830" s="50">
        <f t="shared" si="4"/>
        <v>3.013888889</v>
      </c>
      <c r="J1830" s="55">
        <v>68.0</v>
      </c>
      <c r="K1830" s="56">
        <v>5.6</v>
      </c>
      <c r="L1830" s="78"/>
      <c r="M1830" s="58" t="s">
        <v>136</v>
      </c>
      <c r="N1830" s="59"/>
      <c r="O1830" s="60" t="s">
        <v>34</v>
      </c>
      <c r="P1830" s="61"/>
    </row>
    <row r="1831">
      <c r="A1831" s="29" t="s">
        <v>1998</v>
      </c>
      <c r="B1831" s="30" t="s">
        <v>25</v>
      </c>
      <c r="C1831" s="31" t="s">
        <v>1860</v>
      </c>
      <c r="D1831" s="32" t="str">
        <f t="shared" si="1"/>
        <v>Removed</v>
      </c>
      <c r="E1831" s="33">
        <v>43083.0</v>
      </c>
      <c r="F1831" s="92">
        <v>44725.0</v>
      </c>
      <c r="G1831" s="36">
        <f t="shared" si="2"/>
        <v>53.96666667</v>
      </c>
      <c r="H1831" s="37">
        <v>41828.0</v>
      </c>
      <c r="I1831" s="36">
        <f t="shared" si="4"/>
        <v>3.433333333</v>
      </c>
      <c r="J1831" s="38">
        <v>68.0</v>
      </c>
      <c r="K1831" s="39">
        <v>7.0</v>
      </c>
      <c r="L1831" s="38">
        <v>7.0</v>
      </c>
      <c r="M1831" s="40" t="s">
        <v>136</v>
      </c>
      <c r="N1831" s="41"/>
      <c r="O1831" s="42" t="s">
        <v>34</v>
      </c>
      <c r="P1831" s="43"/>
    </row>
    <row r="1832">
      <c r="A1832" s="44" t="s">
        <v>1999</v>
      </c>
      <c r="B1832" s="45" t="s">
        <v>25</v>
      </c>
      <c r="C1832" s="46" t="s">
        <v>1860</v>
      </c>
      <c r="D1832" s="47" t="str">
        <f t="shared" si="1"/>
        <v>Removed</v>
      </c>
      <c r="E1832" s="48">
        <v>43083.0</v>
      </c>
      <c r="F1832" s="80">
        <v>44725.0</v>
      </c>
      <c r="G1832" s="50">
        <f t="shared" si="2"/>
        <v>53.96666667</v>
      </c>
      <c r="H1832" s="51">
        <v>41991.0</v>
      </c>
      <c r="I1832" s="50">
        <f t="shared" si="4"/>
        <v>2.988888889</v>
      </c>
      <c r="J1832" s="55">
        <v>72.0</v>
      </c>
      <c r="K1832" s="56">
        <v>7.3</v>
      </c>
      <c r="L1832" s="78"/>
      <c r="M1832" s="58" t="s">
        <v>136</v>
      </c>
      <c r="N1832" s="59"/>
      <c r="O1832" s="60" t="s">
        <v>34</v>
      </c>
      <c r="P1832" s="61"/>
    </row>
    <row r="1833">
      <c r="A1833" s="29" t="s">
        <v>2000</v>
      </c>
      <c r="B1833" s="30" t="s">
        <v>25</v>
      </c>
      <c r="C1833" s="31" t="s">
        <v>1860</v>
      </c>
      <c r="D1833" s="32" t="str">
        <f t="shared" si="1"/>
        <v>Removed</v>
      </c>
      <c r="E1833" s="33">
        <v>43074.0</v>
      </c>
      <c r="F1833" s="92">
        <v>44725.0</v>
      </c>
      <c r="G1833" s="36">
        <f t="shared" si="2"/>
        <v>54.26666667</v>
      </c>
      <c r="H1833" s="37">
        <v>42752.0</v>
      </c>
      <c r="I1833" s="36">
        <f t="shared" si="4"/>
        <v>0.8833333333</v>
      </c>
      <c r="J1833" s="38">
        <v>68.0</v>
      </c>
      <c r="K1833" s="39">
        <v>6.7</v>
      </c>
      <c r="L1833" s="38">
        <v>3.0</v>
      </c>
      <c r="M1833" s="40" t="s">
        <v>103</v>
      </c>
      <c r="N1833" s="41"/>
      <c r="O1833" s="42" t="s">
        <v>34</v>
      </c>
      <c r="P1833" s="43"/>
    </row>
    <row r="1834">
      <c r="A1834" s="44" t="s">
        <v>2001</v>
      </c>
      <c r="B1834" s="45" t="s">
        <v>25</v>
      </c>
      <c r="C1834" s="46" t="s">
        <v>1860</v>
      </c>
      <c r="D1834" s="47" t="str">
        <f t="shared" si="1"/>
        <v>Removed</v>
      </c>
      <c r="E1834" s="48">
        <v>43074.0</v>
      </c>
      <c r="F1834" s="80">
        <v>44725.0</v>
      </c>
      <c r="G1834" s="50">
        <f t="shared" si="2"/>
        <v>54.26666667</v>
      </c>
      <c r="H1834" s="51">
        <v>37501.0</v>
      </c>
      <c r="I1834" s="50">
        <f t="shared" si="4"/>
        <v>15.25833333</v>
      </c>
      <c r="J1834" s="55">
        <v>71.0</v>
      </c>
      <c r="K1834" s="56">
        <v>8.2</v>
      </c>
      <c r="L1834" s="55">
        <v>30.0</v>
      </c>
      <c r="M1834" s="58" t="s">
        <v>53</v>
      </c>
      <c r="N1834" s="59"/>
      <c r="O1834" s="60" t="s">
        <v>34</v>
      </c>
      <c r="P1834" s="61"/>
    </row>
    <row r="1835">
      <c r="A1835" s="29" t="s">
        <v>2002</v>
      </c>
      <c r="B1835" s="30" t="s">
        <v>25</v>
      </c>
      <c r="C1835" s="31" t="s">
        <v>1860</v>
      </c>
      <c r="D1835" s="32" t="str">
        <f t="shared" si="1"/>
        <v>Removed</v>
      </c>
      <c r="E1835" s="33">
        <v>43074.0</v>
      </c>
      <c r="F1835" s="92">
        <v>44725.0</v>
      </c>
      <c r="G1835" s="36">
        <f t="shared" si="2"/>
        <v>54.26666667</v>
      </c>
      <c r="H1835" s="37">
        <v>42675.0</v>
      </c>
      <c r="I1835" s="36">
        <f t="shared" si="4"/>
        <v>1.094444444</v>
      </c>
      <c r="J1835" s="38">
        <v>53.0</v>
      </c>
      <c r="K1835" s="39">
        <v>2.5</v>
      </c>
      <c r="L1835" s="38">
        <v>5.0</v>
      </c>
      <c r="M1835" s="40" t="s">
        <v>132</v>
      </c>
      <c r="N1835" s="41" t="s">
        <v>442</v>
      </c>
      <c r="O1835" s="42" t="s">
        <v>34</v>
      </c>
      <c r="P1835" s="67"/>
    </row>
    <row r="1836">
      <c r="A1836" s="44" t="s">
        <v>2003</v>
      </c>
      <c r="B1836" s="45" t="s">
        <v>25</v>
      </c>
      <c r="C1836" s="46" t="s">
        <v>1860</v>
      </c>
      <c r="D1836" s="47" t="str">
        <f t="shared" si="1"/>
        <v>Removed</v>
      </c>
      <c r="E1836" s="48">
        <v>43074.0</v>
      </c>
      <c r="F1836" s="80">
        <v>44725.0</v>
      </c>
      <c r="G1836" s="50">
        <f t="shared" si="2"/>
        <v>54.26666667</v>
      </c>
      <c r="H1836" s="51">
        <v>42780.0</v>
      </c>
      <c r="I1836" s="50">
        <f t="shared" si="4"/>
        <v>0.8083333333</v>
      </c>
      <c r="J1836" s="78"/>
      <c r="K1836" s="56">
        <v>3.2</v>
      </c>
      <c r="L1836" s="78"/>
      <c r="M1836" s="58" t="s">
        <v>136</v>
      </c>
      <c r="N1836" s="59"/>
      <c r="O1836" s="60" t="s">
        <v>34</v>
      </c>
      <c r="P1836" s="61"/>
    </row>
    <row r="1837">
      <c r="A1837" s="29" t="s">
        <v>2004</v>
      </c>
      <c r="B1837" s="30" t="s">
        <v>25</v>
      </c>
      <c r="C1837" s="31" t="s">
        <v>1860</v>
      </c>
      <c r="D1837" s="32" t="str">
        <f t="shared" si="1"/>
        <v>Removed</v>
      </c>
      <c r="E1837" s="33">
        <v>43074.0</v>
      </c>
      <c r="F1837" s="92">
        <v>44725.0</v>
      </c>
      <c r="G1837" s="36">
        <f t="shared" si="2"/>
        <v>54.26666667</v>
      </c>
      <c r="H1837" s="37">
        <v>42459.0</v>
      </c>
      <c r="I1837" s="36">
        <f t="shared" si="4"/>
        <v>1.680555556</v>
      </c>
      <c r="J1837" s="38">
        <v>53.0</v>
      </c>
      <c r="K1837" s="39">
        <v>7.2</v>
      </c>
      <c r="L1837" s="76"/>
      <c r="M1837" s="40" t="s">
        <v>125</v>
      </c>
      <c r="N1837" s="41"/>
      <c r="O1837" s="42" t="s">
        <v>34</v>
      </c>
      <c r="P1837" s="43"/>
    </row>
    <row r="1838">
      <c r="A1838" s="44" t="s">
        <v>2005</v>
      </c>
      <c r="B1838" s="45" t="s">
        <v>25</v>
      </c>
      <c r="C1838" s="46" t="s">
        <v>1860</v>
      </c>
      <c r="D1838" s="47" t="str">
        <f t="shared" si="1"/>
        <v>Removed</v>
      </c>
      <c r="E1838" s="48">
        <v>43074.0</v>
      </c>
      <c r="F1838" s="80">
        <v>44725.0</v>
      </c>
      <c r="G1838" s="50">
        <f t="shared" si="2"/>
        <v>54.26666667</v>
      </c>
      <c r="H1838" s="51">
        <v>42185.0</v>
      </c>
      <c r="I1838" s="50">
        <f t="shared" si="4"/>
        <v>2.430555556</v>
      </c>
      <c r="J1838" s="55">
        <v>60.0</v>
      </c>
      <c r="K1838" s="77"/>
      <c r="L1838" s="78"/>
      <c r="M1838" s="58" t="s">
        <v>136</v>
      </c>
      <c r="N1838" s="59"/>
      <c r="O1838" s="60" t="s">
        <v>34</v>
      </c>
      <c r="P1838" s="61"/>
    </row>
    <row r="1839">
      <c r="A1839" s="29" t="s">
        <v>2006</v>
      </c>
      <c r="B1839" s="30" t="s">
        <v>25</v>
      </c>
      <c r="C1839" s="31" t="s">
        <v>1860</v>
      </c>
      <c r="D1839" s="32" t="str">
        <f t="shared" si="1"/>
        <v>Removed</v>
      </c>
      <c r="E1839" s="33">
        <v>43074.0</v>
      </c>
      <c r="F1839" s="92">
        <v>44725.0</v>
      </c>
      <c r="G1839" s="36">
        <f t="shared" si="2"/>
        <v>54.26666667</v>
      </c>
      <c r="H1839" s="37">
        <v>42153.0</v>
      </c>
      <c r="I1839" s="36">
        <f t="shared" si="4"/>
        <v>2.516666667</v>
      </c>
      <c r="J1839" s="38">
        <v>54.0</v>
      </c>
      <c r="K1839" s="39">
        <v>6.4</v>
      </c>
      <c r="L1839" s="38">
        <v>28.0</v>
      </c>
      <c r="M1839" s="40" t="s">
        <v>42</v>
      </c>
      <c r="N1839" s="41"/>
      <c r="O1839" s="42" t="s">
        <v>34</v>
      </c>
      <c r="P1839" s="43"/>
    </row>
    <row r="1840">
      <c r="A1840" s="44" t="s">
        <v>2007</v>
      </c>
      <c r="B1840" s="45" t="s">
        <v>25</v>
      </c>
      <c r="C1840" s="46" t="s">
        <v>1860</v>
      </c>
      <c r="D1840" s="47" t="str">
        <f t="shared" si="1"/>
        <v>Removed</v>
      </c>
      <c r="E1840" s="48">
        <v>43074.0</v>
      </c>
      <c r="F1840" s="80">
        <v>44725.0</v>
      </c>
      <c r="G1840" s="50">
        <f t="shared" si="2"/>
        <v>54.26666667</v>
      </c>
      <c r="H1840" s="51">
        <v>41183.0</v>
      </c>
      <c r="I1840" s="50">
        <f t="shared" si="4"/>
        <v>5.177777778</v>
      </c>
      <c r="J1840" s="55">
        <v>89.0</v>
      </c>
      <c r="K1840" s="56">
        <v>8.1</v>
      </c>
      <c r="L1840" s="55">
        <v>12.0</v>
      </c>
      <c r="M1840" s="58" t="s">
        <v>29</v>
      </c>
      <c r="N1840" s="59" t="s">
        <v>442</v>
      </c>
      <c r="O1840" s="60" t="s">
        <v>34</v>
      </c>
      <c r="P1840" s="66"/>
    </row>
    <row r="1841">
      <c r="A1841" s="29" t="s">
        <v>2008</v>
      </c>
      <c r="B1841" s="30" t="s">
        <v>25</v>
      </c>
      <c r="C1841" s="31" t="s">
        <v>1860</v>
      </c>
      <c r="D1841" s="32" t="str">
        <f t="shared" si="1"/>
        <v>Removed</v>
      </c>
      <c r="E1841" s="33">
        <v>43074.0</v>
      </c>
      <c r="F1841" s="92">
        <v>44725.0</v>
      </c>
      <c r="G1841" s="36">
        <f t="shared" si="2"/>
        <v>54.26666667</v>
      </c>
      <c r="H1841" s="37">
        <v>40057.0</v>
      </c>
      <c r="I1841" s="36">
        <f t="shared" si="4"/>
        <v>8.261111111</v>
      </c>
      <c r="J1841" s="38">
        <v>70.0</v>
      </c>
      <c r="K1841" s="39">
        <v>7.0</v>
      </c>
      <c r="L1841" s="38">
        <v>7.0</v>
      </c>
      <c r="M1841" s="40" t="s">
        <v>31</v>
      </c>
      <c r="N1841" s="41" t="s">
        <v>442</v>
      </c>
      <c r="O1841" s="42" t="s">
        <v>34</v>
      </c>
      <c r="P1841" s="67"/>
    </row>
    <row r="1842">
      <c r="A1842" s="44" t="s">
        <v>2009</v>
      </c>
      <c r="B1842" s="45" t="s">
        <v>25</v>
      </c>
      <c r="C1842" s="46" t="s">
        <v>1860</v>
      </c>
      <c r="D1842" s="47" t="str">
        <f t="shared" si="1"/>
        <v>Removed</v>
      </c>
      <c r="E1842" s="48">
        <v>43046.0</v>
      </c>
      <c r="F1842" s="80">
        <v>44725.0</v>
      </c>
      <c r="G1842" s="50">
        <f t="shared" si="2"/>
        <v>55.2</v>
      </c>
      <c r="H1842" s="51">
        <v>42062.0</v>
      </c>
      <c r="I1842" s="50">
        <f t="shared" si="4"/>
        <v>2.694444444</v>
      </c>
      <c r="J1842" s="55">
        <v>59.0</v>
      </c>
      <c r="K1842" s="56">
        <v>6.0</v>
      </c>
      <c r="L1842" s="55">
        <v>4.0</v>
      </c>
      <c r="M1842" s="58" t="s">
        <v>29</v>
      </c>
      <c r="N1842" s="59"/>
      <c r="O1842" s="60" t="s">
        <v>34</v>
      </c>
      <c r="P1842" s="61"/>
    </row>
    <row r="1843">
      <c r="A1843" s="29" t="s">
        <v>2010</v>
      </c>
      <c r="B1843" s="30" t="s">
        <v>25</v>
      </c>
      <c r="C1843" s="31" t="s">
        <v>1860</v>
      </c>
      <c r="D1843" s="32" t="str">
        <f t="shared" si="1"/>
        <v>Removed</v>
      </c>
      <c r="E1843" s="33">
        <v>43046.0</v>
      </c>
      <c r="F1843" s="92">
        <v>44725.0</v>
      </c>
      <c r="G1843" s="36">
        <f t="shared" si="2"/>
        <v>55.2</v>
      </c>
      <c r="H1843" s="37">
        <v>42836.0</v>
      </c>
      <c r="I1843" s="36">
        <f t="shared" si="4"/>
        <v>0.5722222222</v>
      </c>
      <c r="J1843" s="76"/>
      <c r="K1843" s="79"/>
      <c r="L1843" s="76"/>
      <c r="M1843" s="40" t="s">
        <v>70</v>
      </c>
      <c r="N1843" s="41"/>
      <c r="O1843" s="42" t="s">
        <v>34</v>
      </c>
      <c r="P1843" s="43"/>
    </row>
    <row r="1844">
      <c r="A1844" s="44" t="s">
        <v>2011</v>
      </c>
      <c r="B1844" s="45" t="s">
        <v>25</v>
      </c>
      <c r="C1844" s="46" t="s">
        <v>1860</v>
      </c>
      <c r="D1844" s="47" t="str">
        <f t="shared" si="1"/>
        <v>Removed</v>
      </c>
      <c r="E1844" s="48">
        <v>43046.0</v>
      </c>
      <c r="F1844" s="80">
        <v>44725.0</v>
      </c>
      <c r="G1844" s="50">
        <f t="shared" si="2"/>
        <v>55.2</v>
      </c>
      <c r="H1844" s="51">
        <v>42115.0</v>
      </c>
      <c r="I1844" s="50">
        <f t="shared" si="4"/>
        <v>2.544444444</v>
      </c>
      <c r="J1844" s="55">
        <v>75.0</v>
      </c>
      <c r="K1844" s="56">
        <v>7.3</v>
      </c>
      <c r="L1844" s="55">
        <v>4.0</v>
      </c>
      <c r="M1844" s="58" t="s">
        <v>42</v>
      </c>
      <c r="N1844" s="59"/>
      <c r="O1844" s="60" t="s">
        <v>34</v>
      </c>
      <c r="P1844" s="61"/>
    </row>
    <row r="1845">
      <c r="A1845" s="29" t="s">
        <v>2012</v>
      </c>
      <c r="B1845" s="30" t="s">
        <v>25</v>
      </c>
      <c r="C1845" s="31" t="s">
        <v>1860</v>
      </c>
      <c r="D1845" s="32" t="str">
        <f t="shared" si="1"/>
        <v>Removed</v>
      </c>
      <c r="E1845" s="33">
        <v>43046.0</v>
      </c>
      <c r="F1845" s="92">
        <v>44725.0</v>
      </c>
      <c r="G1845" s="36">
        <f t="shared" si="2"/>
        <v>55.2</v>
      </c>
      <c r="H1845" s="37">
        <v>42461.0</v>
      </c>
      <c r="I1845" s="36">
        <f t="shared" si="4"/>
        <v>1.6</v>
      </c>
      <c r="J1845" s="38">
        <v>75.0</v>
      </c>
      <c r="K1845" s="39">
        <v>6.6</v>
      </c>
      <c r="L1845" s="38">
        <v>1.5</v>
      </c>
      <c r="M1845" s="40" t="s">
        <v>29</v>
      </c>
      <c r="N1845" s="41"/>
      <c r="O1845" s="42" t="s">
        <v>34</v>
      </c>
      <c r="P1845" s="43"/>
    </row>
    <row r="1846">
      <c r="A1846" s="44" t="s">
        <v>2013</v>
      </c>
      <c r="B1846" s="45" t="s">
        <v>25</v>
      </c>
      <c r="C1846" s="46" t="s">
        <v>1860</v>
      </c>
      <c r="D1846" s="47" t="str">
        <f t="shared" si="1"/>
        <v>Removed</v>
      </c>
      <c r="E1846" s="48">
        <v>43046.0</v>
      </c>
      <c r="F1846" s="80">
        <v>44725.0</v>
      </c>
      <c r="G1846" s="50">
        <f t="shared" si="2"/>
        <v>55.2</v>
      </c>
      <c r="H1846" s="51">
        <v>42450.0</v>
      </c>
      <c r="I1846" s="50">
        <f t="shared" si="4"/>
        <v>1.627777778</v>
      </c>
      <c r="J1846" s="55">
        <v>86.0</v>
      </c>
      <c r="K1846" s="56">
        <v>8.0</v>
      </c>
      <c r="L1846" s="55">
        <v>5.0</v>
      </c>
      <c r="M1846" s="58" t="s">
        <v>112</v>
      </c>
      <c r="N1846" s="59"/>
      <c r="O1846" s="60" t="s">
        <v>34</v>
      </c>
      <c r="P1846" s="61"/>
    </row>
    <row r="1847">
      <c r="A1847" s="29" t="s">
        <v>2014</v>
      </c>
      <c r="B1847" s="30" t="s">
        <v>25</v>
      </c>
      <c r="C1847" s="31" t="s">
        <v>1860</v>
      </c>
      <c r="D1847" s="32" t="str">
        <f t="shared" si="1"/>
        <v>Removed</v>
      </c>
      <c r="E1847" s="33">
        <v>43046.0</v>
      </c>
      <c r="F1847" s="92">
        <v>44725.0</v>
      </c>
      <c r="G1847" s="36">
        <f t="shared" si="2"/>
        <v>55.2</v>
      </c>
      <c r="H1847" s="37">
        <v>42388.0</v>
      </c>
      <c r="I1847" s="36">
        <f t="shared" si="4"/>
        <v>1.8</v>
      </c>
      <c r="J1847" s="38">
        <v>80.0</v>
      </c>
      <c r="K1847" s="39">
        <v>7.1</v>
      </c>
      <c r="L1847" s="38">
        <v>4.5</v>
      </c>
      <c r="M1847" s="40" t="s">
        <v>27</v>
      </c>
      <c r="N1847" s="41"/>
      <c r="O1847" s="42" t="s">
        <v>34</v>
      </c>
      <c r="P1847" s="43"/>
    </row>
    <row r="1848">
      <c r="A1848" s="44" t="s">
        <v>2015</v>
      </c>
      <c r="B1848" s="45" t="s">
        <v>25</v>
      </c>
      <c r="C1848" s="46" t="s">
        <v>1860</v>
      </c>
      <c r="D1848" s="47" t="str">
        <f t="shared" si="1"/>
        <v>Removed</v>
      </c>
      <c r="E1848" s="48">
        <v>43046.0</v>
      </c>
      <c r="F1848" s="80">
        <v>44725.0</v>
      </c>
      <c r="G1848" s="50">
        <f t="shared" si="2"/>
        <v>55.2</v>
      </c>
      <c r="H1848" s="51">
        <v>42311.0</v>
      </c>
      <c r="I1848" s="50">
        <f t="shared" si="4"/>
        <v>2.011111111</v>
      </c>
      <c r="J1848" s="55">
        <v>64.0</v>
      </c>
      <c r="K1848" s="56">
        <v>6.4</v>
      </c>
      <c r="L1848" s="55">
        <v>6.5</v>
      </c>
      <c r="M1848" s="58" t="s">
        <v>29</v>
      </c>
      <c r="N1848" s="59"/>
      <c r="O1848" s="60" t="s">
        <v>34</v>
      </c>
      <c r="P1848" s="61"/>
    </row>
    <row r="1849">
      <c r="A1849" s="29" t="s">
        <v>2016</v>
      </c>
      <c r="B1849" s="30" t="s">
        <v>25</v>
      </c>
      <c r="C1849" s="31" t="s">
        <v>1860</v>
      </c>
      <c r="D1849" s="32" t="str">
        <f t="shared" si="1"/>
        <v>Removed</v>
      </c>
      <c r="E1849" s="33">
        <v>43046.0</v>
      </c>
      <c r="F1849" s="92">
        <v>44725.0</v>
      </c>
      <c r="G1849" s="36">
        <f t="shared" si="2"/>
        <v>55.2</v>
      </c>
      <c r="H1849" s="37">
        <v>42290.0</v>
      </c>
      <c r="I1849" s="36">
        <f t="shared" si="4"/>
        <v>2.066666667</v>
      </c>
      <c r="J1849" s="38">
        <v>59.0</v>
      </c>
      <c r="K1849" s="79"/>
      <c r="L1849" s="38">
        <v>3.0</v>
      </c>
      <c r="M1849" s="40" t="s">
        <v>29</v>
      </c>
      <c r="N1849" s="41"/>
      <c r="O1849" s="42" t="s">
        <v>34</v>
      </c>
      <c r="P1849" s="43"/>
    </row>
    <row r="1850">
      <c r="A1850" s="44" t="s">
        <v>2017</v>
      </c>
      <c r="B1850" s="45" t="s">
        <v>25</v>
      </c>
      <c r="C1850" s="46" t="s">
        <v>1860</v>
      </c>
      <c r="D1850" s="47" t="str">
        <f t="shared" si="1"/>
        <v>Removed</v>
      </c>
      <c r="E1850" s="48">
        <v>43046.0</v>
      </c>
      <c r="F1850" s="80">
        <v>44725.0</v>
      </c>
      <c r="G1850" s="50">
        <f t="shared" si="2"/>
        <v>55.2</v>
      </c>
      <c r="H1850" s="51">
        <v>42271.0</v>
      </c>
      <c r="I1850" s="50">
        <f t="shared" si="4"/>
        <v>2.119444444</v>
      </c>
      <c r="J1850" s="55">
        <v>76.0</v>
      </c>
      <c r="K1850" s="56">
        <v>7.1</v>
      </c>
      <c r="L1850" s="55">
        <v>8.0</v>
      </c>
      <c r="M1850" s="58" t="s">
        <v>1932</v>
      </c>
      <c r="N1850" s="59"/>
      <c r="O1850" s="60" t="s">
        <v>34</v>
      </c>
      <c r="P1850" s="61"/>
    </row>
    <row r="1851">
      <c r="A1851" s="29" t="s">
        <v>2018</v>
      </c>
      <c r="B1851" s="30" t="s">
        <v>25</v>
      </c>
      <c r="C1851" s="31" t="s">
        <v>1860</v>
      </c>
      <c r="D1851" s="32" t="str">
        <f t="shared" si="1"/>
        <v>Removed</v>
      </c>
      <c r="E1851" s="33">
        <v>43046.0</v>
      </c>
      <c r="F1851" s="92">
        <v>44725.0</v>
      </c>
      <c r="G1851" s="36">
        <f t="shared" si="2"/>
        <v>55.2</v>
      </c>
      <c r="H1851" s="37">
        <v>42213.0</v>
      </c>
      <c r="I1851" s="36">
        <f t="shared" si="4"/>
        <v>2.275</v>
      </c>
      <c r="J1851" s="38">
        <v>70.0</v>
      </c>
      <c r="K1851" s="39">
        <v>7.0</v>
      </c>
      <c r="L1851" s="38">
        <v>7.0</v>
      </c>
      <c r="M1851" s="40" t="s">
        <v>29</v>
      </c>
      <c r="N1851" s="41"/>
      <c r="O1851" s="42" t="s">
        <v>34</v>
      </c>
      <c r="P1851" s="43"/>
    </row>
    <row r="1852">
      <c r="A1852" s="44" t="s">
        <v>2019</v>
      </c>
      <c r="B1852" s="45" t="s">
        <v>25</v>
      </c>
      <c r="C1852" s="46" t="s">
        <v>1860</v>
      </c>
      <c r="D1852" s="47" t="str">
        <f t="shared" si="1"/>
        <v>Removed</v>
      </c>
      <c r="E1852" s="48">
        <v>43046.0</v>
      </c>
      <c r="F1852" s="80">
        <v>44725.0</v>
      </c>
      <c r="G1852" s="50">
        <f t="shared" si="2"/>
        <v>55.2</v>
      </c>
      <c r="H1852" s="51">
        <v>42136.0</v>
      </c>
      <c r="I1852" s="50">
        <f t="shared" si="4"/>
        <v>2.486111111</v>
      </c>
      <c r="J1852" s="55">
        <v>68.0</v>
      </c>
      <c r="K1852" s="56">
        <v>7.0</v>
      </c>
      <c r="L1852" s="55">
        <v>15.0</v>
      </c>
      <c r="M1852" s="58" t="s">
        <v>29</v>
      </c>
      <c r="N1852" s="59"/>
      <c r="O1852" s="60" t="s">
        <v>34</v>
      </c>
      <c r="P1852" s="61"/>
    </row>
    <row r="1853">
      <c r="A1853" s="29" t="s">
        <v>2020</v>
      </c>
      <c r="B1853" s="30" t="s">
        <v>25</v>
      </c>
      <c r="C1853" s="31" t="s">
        <v>1860</v>
      </c>
      <c r="D1853" s="32" t="str">
        <f t="shared" si="1"/>
        <v>Removed</v>
      </c>
      <c r="E1853" s="33">
        <v>43046.0</v>
      </c>
      <c r="F1853" s="92">
        <v>44725.0</v>
      </c>
      <c r="G1853" s="36">
        <f t="shared" si="2"/>
        <v>55.2</v>
      </c>
      <c r="H1853" s="37">
        <v>42031.0</v>
      </c>
      <c r="I1853" s="36">
        <f t="shared" si="4"/>
        <v>2.777777778</v>
      </c>
      <c r="J1853" s="38">
        <v>84.0</v>
      </c>
      <c r="K1853" s="39">
        <v>8.4</v>
      </c>
      <c r="L1853" s="38">
        <v>11.0</v>
      </c>
      <c r="M1853" s="40" t="s">
        <v>112</v>
      </c>
      <c r="N1853" s="41"/>
      <c r="O1853" s="42" t="s">
        <v>34</v>
      </c>
      <c r="P1853" s="43"/>
    </row>
    <row r="1854">
      <c r="A1854" s="44" t="s">
        <v>2021</v>
      </c>
      <c r="B1854" s="45" t="s">
        <v>25</v>
      </c>
      <c r="C1854" s="46" t="s">
        <v>1860</v>
      </c>
      <c r="D1854" s="47" t="str">
        <f t="shared" si="1"/>
        <v>Removed</v>
      </c>
      <c r="E1854" s="48">
        <v>43046.0</v>
      </c>
      <c r="F1854" s="80">
        <v>44725.0</v>
      </c>
      <c r="G1854" s="50">
        <f t="shared" si="2"/>
        <v>55.2</v>
      </c>
      <c r="H1854" s="51">
        <v>42136.0</v>
      </c>
      <c r="I1854" s="50">
        <f t="shared" si="4"/>
        <v>2.486111111</v>
      </c>
      <c r="J1854" s="55">
        <v>68.0</v>
      </c>
      <c r="K1854" s="56">
        <v>7.0</v>
      </c>
      <c r="L1854" s="55">
        <v>15.0</v>
      </c>
      <c r="M1854" s="58" t="s">
        <v>29</v>
      </c>
      <c r="N1854" s="59"/>
      <c r="O1854" s="60" t="s">
        <v>34</v>
      </c>
      <c r="P1854" s="61"/>
    </row>
    <row r="1855">
      <c r="A1855" s="29" t="s">
        <v>2022</v>
      </c>
      <c r="B1855" s="30" t="s">
        <v>25</v>
      </c>
      <c r="C1855" s="31" t="s">
        <v>1860</v>
      </c>
      <c r="D1855" s="32" t="str">
        <f t="shared" si="1"/>
        <v>Removed</v>
      </c>
      <c r="E1855" s="33">
        <v>43011.0</v>
      </c>
      <c r="F1855" s="92">
        <v>44725.0</v>
      </c>
      <c r="G1855" s="36">
        <f t="shared" si="2"/>
        <v>56.33333333</v>
      </c>
      <c r="H1855" s="37">
        <v>42549.0</v>
      </c>
      <c r="I1855" s="36">
        <f t="shared" si="4"/>
        <v>1.263888889</v>
      </c>
      <c r="J1855" s="38">
        <v>56.0</v>
      </c>
      <c r="K1855" s="39">
        <v>6.4</v>
      </c>
      <c r="L1855" s="38">
        <v>18.5</v>
      </c>
      <c r="M1855" s="40" t="s">
        <v>29</v>
      </c>
      <c r="N1855" s="41"/>
      <c r="O1855" s="42" t="s">
        <v>34</v>
      </c>
      <c r="P1855" s="43"/>
    </row>
    <row r="1856">
      <c r="A1856" s="44" t="s">
        <v>2023</v>
      </c>
      <c r="B1856" s="45" t="s">
        <v>25</v>
      </c>
      <c r="C1856" s="46" t="s">
        <v>1860</v>
      </c>
      <c r="D1856" s="47" t="str">
        <f t="shared" si="1"/>
        <v>Removed</v>
      </c>
      <c r="E1856" s="48">
        <v>43011.0</v>
      </c>
      <c r="F1856" s="80">
        <v>44725.0</v>
      </c>
      <c r="G1856" s="50">
        <f t="shared" si="2"/>
        <v>56.33333333</v>
      </c>
      <c r="H1856" s="51">
        <v>42297.0</v>
      </c>
      <c r="I1856" s="50">
        <f t="shared" si="4"/>
        <v>1.952777778</v>
      </c>
      <c r="J1856" s="55">
        <v>24.0</v>
      </c>
      <c r="K1856" s="56">
        <v>4.4</v>
      </c>
      <c r="L1856" s="55">
        <v>9.0</v>
      </c>
      <c r="M1856" s="58" t="s">
        <v>29</v>
      </c>
      <c r="N1856" s="59"/>
      <c r="O1856" s="60" t="s">
        <v>34</v>
      </c>
      <c r="P1856" s="61"/>
    </row>
    <row r="1857">
      <c r="A1857" s="29" t="s">
        <v>2024</v>
      </c>
      <c r="B1857" s="30" t="s">
        <v>25</v>
      </c>
      <c r="C1857" s="31" t="s">
        <v>1860</v>
      </c>
      <c r="D1857" s="32" t="str">
        <f t="shared" si="1"/>
        <v>Removed</v>
      </c>
      <c r="E1857" s="33">
        <v>43011.0</v>
      </c>
      <c r="F1857" s="92">
        <v>44725.0</v>
      </c>
      <c r="G1857" s="36">
        <f t="shared" si="2"/>
        <v>56.33333333</v>
      </c>
      <c r="H1857" s="37">
        <v>42270.0</v>
      </c>
      <c r="I1857" s="36">
        <f t="shared" si="4"/>
        <v>2.027777778</v>
      </c>
      <c r="J1857" s="38">
        <v>79.0</v>
      </c>
      <c r="K1857" s="39">
        <v>7.1</v>
      </c>
      <c r="L1857" s="38">
        <v>3.5</v>
      </c>
      <c r="M1857" s="40" t="s">
        <v>27</v>
      </c>
      <c r="N1857" s="41"/>
      <c r="O1857" s="42" t="s">
        <v>34</v>
      </c>
      <c r="P1857" s="43"/>
    </row>
    <row r="1858">
      <c r="A1858" s="44" t="s">
        <v>1464</v>
      </c>
      <c r="B1858" s="45" t="s">
        <v>25</v>
      </c>
      <c r="C1858" s="46" t="s">
        <v>1860</v>
      </c>
      <c r="D1858" s="47" t="str">
        <f t="shared" si="1"/>
        <v>Removed</v>
      </c>
      <c r="E1858" s="48">
        <v>43011.0</v>
      </c>
      <c r="F1858" s="80">
        <v>44725.0</v>
      </c>
      <c r="G1858" s="50">
        <f t="shared" si="2"/>
        <v>56.33333333</v>
      </c>
      <c r="H1858" s="51">
        <v>42521.0</v>
      </c>
      <c r="I1858" s="50">
        <f t="shared" si="4"/>
        <v>1.341666667</v>
      </c>
      <c r="J1858" s="55">
        <v>74.0</v>
      </c>
      <c r="K1858" s="56">
        <v>6.5</v>
      </c>
      <c r="L1858" s="55">
        <v>14.0</v>
      </c>
      <c r="M1858" s="58" t="s">
        <v>29</v>
      </c>
      <c r="N1858" s="59"/>
      <c r="O1858" s="60" t="s">
        <v>34</v>
      </c>
      <c r="P1858" s="61"/>
    </row>
    <row r="1859">
      <c r="A1859" s="29" t="s">
        <v>2025</v>
      </c>
      <c r="B1859" s="30" t="s">
        <v>25</v>
      </c>
      <c r="C1859" s="31" t="s">
        <v>1860</v>
      </c>
      <c r="D1859" s="32" t="str">
        <f t="shared" si="1"/>
        <v>Removed</v>
      </c>
      <c r="E1859" s="33">
        <v>43011.0</v>
      </c>
      <c r="F1859" s="92">
        <v>44725.0</v>
      </c>
      <c r="G1859" s="36">
        <f t="shared" si="2"/>
        <v>56.33333333</v>
      </c>
      <c r="H1859" s="37">
        <v>42486.0</v>
      </c>
      <c r="I1859" s="36">
        <f t="shared" si="4"/>
        <v>1.436111111</v>
      </c>
      <c r="J1859" s="38">
        <v>63.0</v>
      </c>
      <c r="K1859" s="39">
        <v>7.0</v>
      </c>
      <c r="L1859" s="38">
        <v>18.0</v>
      </c>
      <c r="M1859" s="40" t="s">
        <v>42</v>
      </c>
      <c r="N1859" s="41"/>
      <c r="O1859" s="42" t="s">
        <v>34</v>
      </c>
      <c r="P1859" s="43"/>
    </row>
    <row r="1860">
      <c r="A1860" s="44" t="s">
        <v>2026</v>
      </c>
      <c r="B1860" s="45" t="s">
        <v>25</v>
      </c>
      <c r="C1860" s="46" t="s">
        <v>1860</v>
      </c>
      <c r="D1860" s="47" t="str">
        <f t="shared" si="1"/>
        <v>Removed</v>
      </c>
      <c r="E1860" s="48">
        <v>43011.0</v>
      </c>
      <c r="F1860" s="80">
        <v>44725.0</v>
      </c>
      <c r="G1860" s="50">
        <f t="shared" si="2"/>
        <v>56.33333333</v>
      </c>
      <c r="H1860" s="51">
        <v>41395.0</v>
      </c>
      <c r="I1860" s="50">
        <f t="shared" si="4"/>
        <v>4.422222222</v>
      </c>
      <c r="J1860" s="55">
        <v>83.0</v>
      </c>
      <c r="K1860" s="56">
        <v>8.1</v>
      </c>
      <c r="L1860" s="55">
        <v>4.5</v>
      </c>
      <c r="M1860" s="58" t="s">
        <v>136</v>
      </c>
      <c r="N1860" s="59"/>
      <c r="O1860" s="60" t="s">
        <v>34</v>
      </c>
      <c r="P1860" s="61"/>
    </row>
    <row r="1861">
      <c r="A1861" s="29" t="s">
        <v>2027</v>
      </c>
      <c r="B1861" s="30" t="s">
        <v>25</v>
      </c>
      <c r="C1861" s="31" t="s">
        <v>1860</v>
      </c>
      <c r="D1861" s="32" t="str">
        <f t="shared" si="1"/>
        <v>Removed</v>
      </c>
      <c r="E1861" s="33">
        <v>43011.0</v>
      </c>
      <c r="F1861" s="92">
        <v>44725.0</v>
      </c>
      <c r="G1861" s="36">
        <f t="shared" si="2"/>
        <v>56.33333333</v>
      </c>
      <c r="H1861" s="37">
        <v>40969.0</v>
      </c>
      <c r="I1861" s="36">
        <f t="shared" si="4"/>
        <v>5.588888889</v>
      </c>
      <c r="J1861" s="38">
        <v>81.0</v>
      </c>
      <c r="K1861" s="39">
        <v>7.8</v>
      </c>
      <c r="L1861" s="38">
        <v>4.5</v>
      </c>
      <c r="M1861" s="40" t="s">
        <v>29</v>
      </c>
      <c r="N1861" s="41"/>
      <c r="O1861" s="42" t="s">
        <v>34</v>
      </c>
      <c r="P1861" s="43"/>
    </row>
    <row r="1862">
      <c r="A1862" s="44" t="s">
        <v>2028</v>
      </c>
      <c r="B1862" s="45" t="s">
        <v>25</v>
      </c>
      <c r="C1862" s="46" t="s">
        <v>1860</v>
      </c>
      <c r="D1862" s="47" t="str">
        <f t="shared" si="1"/>
        <v>Removed</v>
      </c>
      <c r="E1862" s="48">
        <v>42983.0</v>
      </c>
      <c r="F1862" s="80">
        <v>44725.0</v>
      </c>
      <c r="G1862" s="50">
        <f t="shared" si="2"/>
        <v>57.26666667</v>
      </c>
      <c r="H1862" s="51">
        <v>42290.0</v>
      </c>
      <c r="I1862" s="50">
        <f t="shared" si="4"/>
        <v>1.894444444</v>
      </c>
      <c r="J1862" s="55">
        <v>87.0</v>
      </c>
      <c r="K1862" s="56">
        <v>7.7</v>
      </c>
      <c r="L1862" s="55">
        <v>40.0</v>
      </c>
      <c r="M1862" s="58" t="s">
        <v>42</v>
      </c>
      <c r="N1862" s="59"/>
      <c r="O1862" s="60" t="s">
        <v>34</v>
      </c>
      <c r="P1862" s="61"/>
    </row>
    <row r="1863">
      <c r="A1863" s="29" t="s">
        <v>2029</v>
      </c>
      <c r="B1863" s="30" t="s">
        <v>25</v>
      </c>
      <c r="C1863" s="31" t="s">
        <v>1860</v>
      </c>
      <c r="D1863" s="32" t="str">
        <f t="shared" si="1"/>
        <v>Removed</v>
      </c>
      <c r="E1863" s="33">
        <v>42983.0</v>
      </c>
      <c r="F1863" s="92">
        <v>44725.0</v>
      </c>
      <c r="G1863" s="36">
        <f t="shared" si="2"/>
        <v>57.26666667</v>
      </c>
      <c r="H1863" s="37">
        <v>42537.0</v>
      </c>
      <c r="I1863" s="36">
        <f t="shared" si="4"/>
        <v>1.219444444</v>
      </c>
      <c r="J1863" s="38">
        <v>61.0</v>
      </c>
      <c r="K1863" s="39">
        <v>6.9</v>
      </c>
      <c r="L1863" s="76"/>
      <c r="M1863" s="40" t="s">
        <v>95</v>
      </c>
      <c r="N1863" s="41"/>
      <c r="O1863" s="42" t="s">
        <v>34</v>
      </c>
      <c r="P1863" s="43"/>
    </row>
    <row r="1864">
      <c r="A1864" s="44" t="s">
        <v>2030</v>
      </c>
      <c r="B1864" s="45" t="s">
        <v>25</v>
      </c>
      <c r="C1864" s="46" t="s">
        <v>1860</v>
      </c>
      <c r="D1864" s="47" t="str">
        <f t="shared" si="1"/>
        <v>Removed</v>
      </c>
      <c r="E1864" s="48">
        <v>42983.0</v>
      </c>
      <c r="F1864" s="80">
        <v>44725.0</v>
      </c>
      <c r="G1864" s="50">
        <f t="shared" si="2"/>
        <v>57.26666667</v>
      </c>
      <c r="H1864" s="51">
        <v>41765.0</v>
      </c>
      <c r="I1864" s="50">
        <f t="shared" si="4"/>
        <v>3.330555556</v>
      </c>
      <c r="J1864" s="55">
        <v>67.0</v>
      </c>
      <c r="K1864" s="56">
        <v>6.9</v>
      </c>
      <c r="L1864" s="55">
        <v>4.0</v>
      </c>
      <c r="M1864" s="58" t="s">
        <v>31</v>
      </c>
      <c r="N1864" s="59"/>
      <c r="O1864" s="60" t="s">
        <v>34</v>
      </c>
      <c r="P1864" s="61"/>
    </row>
    <row r="1865">
      <c r="A1865" s="29" t="s">
        <v>2031</v>
      </c>
      <c r="B1865" s="30" t="s">
        <v>25</v>
      </c>
      <c r="C1865" s="31" t="s">
        <v>1860</v>
      </c>
      <c r="D1865" s="32" t="str">
        <f t="shared" si="1"/>
        <v>Removed</v>
      </c>
      <c r="E1865" s="33">
        <v>42955.0</v>
      </c>
      <c r="F1865" s="92">
        <v>44725.0</v>
      </c>
      <c r="G1865" s="36">
        <f t="shared" si="2"/>
        <v>58.16666667</v>
      </c>
      <c r="H1865" s="37">
        <v>42089.0</v>
      </c>
      <c r="I1865" s="36">
        <f t="shared" si="4"/>
        <v>2.366666667</v>
      </c>
      <c r="J1865" s="38">
        <v>73.0</v>
      </c>
      <c r="K1865" s="39">
        <v>7.1</v>
      </c>
      <c r="L1865" s="38">
        <v>10.0</v>
      </c>
      <c r="M1865" s="40" t="s">
        <v>42</v>
      </c>
      <c r="N1865" s="41"/>
      <c r="O1865" s="42" t="s">
        <v>34</v>
      </c>
      <c r="P1865" s="43"/>
    </row>
    <row r="1866">
      <c r="A1866" s="44" t="s">
        <v>2032</v>
      </c>
      <c r="B1866" s="45" t="s">
        <v>25</v>
      </c>
      <c r="C1866" s="46" t="s">
        <v>1860</v>
      </c>
      <c r="D1866" s="47" t="str">
        <f t="shared" si="1"/>
        <v>Removed</v>
      </c>
      <c r="E1866" s="48">
        <v>42955.0</v>
      </c>
      <c r="F1866" s="80">
        <v>44725.0</v>
      </c>
      <c r="G1866" s="50">
        <f t="shared" si="2"/>
        <v>58.16666667</v>
      </c>
      <c r="H1866" s="51">
        <v>42066.0</v>
      </c>
      <c r="I1866" s="50">
        <f t="shared" si="4"/>
        <v>2.430555556</v>
      </c>
      <c r="J1866" s="55">
        <v>83.0</v>
      </c>
      <c r="K1866" s="56">
        <v>7.7</v>
      </c>
      <c r="L1866" s="55">
        <v>4.0</v>
      </c>
      <c r="M1866" s="58" t="s">
        <v>125</v>
      </c>
      <c r="N1866" s="59"/>
      <c r="O1866" s="60" t="s">
        <v>34</v>
      </c>
      <c r="P1866" s="61"/>
    </row>
    <row r="1867">
      <c r="A1867" s="29" t="s">
        <v>2033</v>
      </c>
      <c r="B1867" s="30" t="s">
        <v>25</v>
      </c>
      <c r="C1867" s="31" t="s">
        <v>1860</v>
      </c>
      <c r="D1867" s="32" t="str">
        <f t="shared" si="1"/>
        <v>Removed</v>
      </c>
      <c r="E1867" s="33">
        <v>42922.0</v>
      </c>
      <c r="F1867" s="92">
        <v>44725.0</v>
      </c>
      <c r="G1867" s="36">
        <f t="shared" si="2"/>
        <v>59.23333333</v>
      </c>
      <c r="H1867" s="37">
        <v>42355.0</v>
      </c>
      <c r="I1867" s="36">
        <f t="shared" si="4"/>
        <v>1.552777778</v>
      </c>
      <c r="J1867" s="38">
        <v>69.0</v>
      </c>
      <c r="K1867" s="39">
        <v>6.8</v>
      </c>
      <c r="L1867" s="38">
        <v>36.5</v>
      </c>
      <c r="M1867" s="40" t="s">
        <v>42</v>
      </c>
      <c r="N1867" s="41"/>
      <c r="O1867" s="42" t="s">
        <v>34</v>
      </c>
      <c r="P1867" s="43"/>
    </row>
    <row r="1868">
      <c r="A1868" s="44" t="s">
        <v>2034</v>
      </c>
      <c r="B1868" s="45" t="s">
        <v>25</v>
      </c>
      <c r="C1868" s="46" t="s">
        <v>1860</v>
      </c>
      <c r="D1868" s="47" t="str">
        <f t="shared" si="1"/>
        <v>Removed</v>
      </c>
      <c r="E1868" s="48">
        <v>42922.0</v>
      </c>
      <c r="F1868" s="80">
        <v>44725.0</v>
      </c>
      <c r="G1868" s="50">
        <f t="shared" si="2"/>
        <v>59.23333333</v>
      </c>
      <c r="H1868" s="51">
        <v>42269.0</v>
      </c>
      <c r="I1868" s="50">
        <f t="shared" si="4"/>
        <v>1.788888889</v>
      </c>
      <c r="J1868" s="55">
        <v>76.0</v>
      </c>
      <c r="K1868" s="56">
        <v>7.0</v>
      </c>
      <c r="L1868" s="78"/>
      <c r="M1868" s="58" t="s">
        <v>42</v>
      </c>
      <c r="N1868" s="59"/>
      <c r="O1868" s="60" t="s">
        <v>34</v>
      </c>
      <c r="P1868" s="61"/>
    </row>
    <row r="1869">
      <c r="A1869" s="29" t="s">
        <v>2035</v>
      </c>
      <c r="B1869" s="30" t="s">
        <v>25</v>
      </c>
      <c r="C1869" s="31" t="s">
        <v>1860</v>
      </c>
      <c r="D1869" s="32" t="str">
        <f t="shared" si="1"/>
        <v>Removed</v>
      </c>
      <c r="E1869" s="33">
        <v>42922.0</v>
      </c>
      <c r="F1869" s="92">
        <v>44725.0</v>
      </c>
      <c r="G1869" s="36">
        <f t="shared" si="2"/>
        <v>59.23333333</v>
      </c>
      <c r="H1869" s="37">
        <v>42232.0</v>
      </c>
      <c r="I1869" s="36">
        <f t="shared" si="4"/>
        <v>1.888888889</v>
      </c>
      <c r="J1869" s="38">
        <v>61.0</v>
      </c>
      <c r="K1869" s="39">
        <v>6.2</v>
      </c>
      <c r="L1869" s="38">
        <v>2.5</v>
      </c>
      <c r="M1869" s="40" t="s">
        <v>136</v>
      </c>
      <c r="N1869" s="41"/>
      <c r="O1869" s="42" t="s">
        <v>34</v>
      </c>
      <c r="P1869" s="43"/>
    </row>
    <row r="1870">
      <c r="A1870" s="44" t="s">
        <v>2036</v>
      </c>
      <c r="B1870" s="45" t="s">
        <v>25</v>
      </c>
      <c r="C1870" s="46" t="s">
        <v>1860</v>
      </c>
      <c r="D1870" s="47" t="str">
        <f t="shared" si="1"/>
        <v>Removed</v>
      </c>
      <c r="E1870" s="48">
        <v>42922.0</v>
      </c>
      <c r="F1870" s="80">
        <v>44725.0</v>
      </c>
      <c r="G1870" s="50">
        <f t="shared" si="2"/>
        <v>59.23333333</v>
      </c>
      <c r="H1870" s="51">
        <v>42206.0</v>
      </c>
      <c r="I1870" s="50">
        <f t="shared" si="4"/>
        <v>1.958333333</v>
      </c>
      <c r="J1870" s="55">
        <v>65.0</v>
      </c>
      <c r="K1870" s="56">
        <v>6.2</v>
      </c>
      <c r="L1870" s="78"/>
      <c r="M1870" s="58" t="s">
        <v>95</v>
      </c>
      <c r="N1870" s="59"/>
      <c r="O1870" s="60" t="s">
        <v>34</v>
      </c>
      <c r="P1870" s="61"/>
    </row>
    <row r="1871">
      <c r="A1871" s="29" t="s">
        <v>2037</v>
      </c>
      <c r="B1871" s="30" t="s">
        <v>25</v>
      </c>
      <c r="C1871" s="31" t="s">
        <v>1860</v>
      </c>
      <c r="D1871" s="32" t="str">
        <f t="shared" si="1"/>
        <v>Removed</v>
      </c>
      <c r="E1871" s="33">
        <v>42922.0</v>
      </c>
      <c r="F1871" s="92">
        <v>44725.0</v>
      </c>
      <c r="G1871" s="36">
        <f t="shared" si="2"/>
        <v>59.23333333</v>
      </c>
      <c r="H1871" s="37">
        <v>42045.0</v>
      </c>
      <c r="I1871" s="36">
        <f t="shared" si="4"/>
        <v>2.405555556</v>
      </c>
      <c r="J1871" s="38">
        <v>76.0</v>
      </c>
      <c r="K1871" s="39">
        <v>7.4</v>
      </c>
      <c r="L1871" s="76"/>
      <c r="M1871" s="40" t="s">
        <v>31</v>
      </c>
      <c r="N1871" s="41"/>
      <c r="O1871" s="42" t="s">
        <v>34</v>
      </c>
      <c r="P1871" s="43"/>
    </row>
    <row r="1872">
      <c r="A1872" s="44" t="s">
        <v>2038</v>
      </c>
      <c r="B1872" s="45" t="s">
        <v>25</v>
      </c>
      <c r="C1872" s="46" t="s">
        <v>1860</v>
      </c>
      <c r="D1872" s="47" t="str">
        <f t="shared" si="1"/>
        <v>Removed</v>
      </c>
      <c r="E1872" s="48">
        <v>42922.0</v>
      </c>
      <c r="F1872" s="80">
        <v>44725.0</v>
      </c>
      <c r="G1872" s="50">
        <f t="shared" si="2"/>
        <v>59.23333333</v>
      </c>
      <c r="H1872" s="51">
        <v>41989.0</v>
      </c>
      <c r="I1872" s="50">
        <f t="shared" si="4"/>
        <v>2.555555556</v>
      </c>
      <c r="J1872" s="55">
        <v>85.0</v>
      </c>
      <c r="K1872" s="56">
        <v>8.2</v>
      </c>
      <c r="L1872" s="78"/>
      <c r="M1872" s="58" t="s">
        <v>114</v>
      </c>
      <c r="N1872" s="59"/>
      <c r="O1872" s="60" t="s">
        <v>34</v>
      </c>
      <c r="P1872" s="61"/>
    </row>
    <row r="1873">
      <c r="A1873" s="29" t="s">
        <v>2039</v>
      </c>
      <c r="B1873" s="30" t="s">
        <v>25</v>
      </c>
      <c r="C1873" s="31" t="s">
        <v>1860</v>
      </c>
      <c r="D1873" s="32" t="str">
        <f t="shared" si="1"/>
        <v>Removed</v>
      </c>
      <c r="E1873" s="33">
        <v>42922.0</v>
      </c>
      <c r="F1873" s="92">
        <v>44725.0</v>
      </c>
      <c r="G1873" s="36">
        <f t="shared" si="2"/>
        <v>59.23333333</v>
      </c>
      <c r="H1873" s="37">
        <v>42227.0</v>
      </c>
      <c r="I1873" s="36">
        <f t="shared" si="4"/>
        <v>1.902777778</v>
      </c>
      <c r="J1873" s="38">
        <v>73.0</v>
      </c>
      <c r="K1873" s="39">
        <v>7.6</v>
      </c>
      <c r="L1873" s="76"/>
      <c r="M1873" s="40" t="s">
        <v>125</v>
      </c>
      <c r="N1873" s="41"/>
      <c r="O1873" s="42" t="s">
        <v>34</v>
      </c>
      <c r="P1873" s="43"/>
    </row>
    <row r="1874">
      <c r="A1874" s="44" t="s">
        <v>2040</v>
      </c>
      <c r="B1874" s="45" t="s">
        <v>25</v>
      </c>
      <c r="C1874" s="46" t="s">
        <v>1860</v>
      </c>
      <c r="D1874" s="47" t="str">
        <f t="shared" si="1"/>
        <v>Removed</v>
      </c>
      <c r="E1874" s="48">
        <v>42922.0</v>
      </c>
      <c r="F1874" s="80">
        <v>44725.0</v>
      </c>
      <c r="G1874" s="50">
        <f t="shared" si="2"/>
        <v>59.23333333</v>
      </c>
      <c r="H1874" s="51">
        <v>41905.0</v>
      </c>
      <c r="I1874" s="50">
        <f t="shared" si="4"/>
        <v>2.786111111</v>
      </c>
      <c r="J1874" s="55">
        <v>80.0</v>
      </c>
      <c r="K1874" s="56">
        <v>7.4</v>
      </c>
      <c r="L1874" s="55">
        <v>10.0</v>
      </c>
      <c r="M1874" s="58" t="s">
        <v>103</v>
      </c>
      <c r="N1874" s="59"/>
      <c r="O1874" s="60" t="s">
        <v>34</v>
      </c>
      <c r="P1874" s="61"/>
    </row>
    <row r="1875">
      <c r="A1875" s="29" t="s">
        <v>2041</v>
      </c>
      <c r="B1875" s="30" t="s">
        <v>25</v>
      </c>
      <c r="C1875" s="31" t="s">
        <v>1860</v>
      </c>
      <c r="D1875" s="32" t="str">
        <f t="shared" si="1"/>
        <v>Removed</v>
      </c>
      <c r="E1875" s="33">
        <v>42922.0</v>
      </c>
      <c r="F1875" s="92">
        <v>44725.0</v>
      </c>
      <c r="G1875" s="36">
        <f t="shared" si="2"/>
        <v>59.23333333</v>
      </c>
      <c r="H1875" s="37">
        <v>41772.0</v>
      </c>
      <c r="I1875" s="36">
        <f t="shared" si="4"/>
        <v>3.147222222</v>
      </c>
      <c r="J1875" s="38">
        <v>71.0</v>
      </c>
      <c r="K1875" s="39">
        <v>7.4</v>
      </c>
      <c r="L1875" s="38">
        <v>5.0</v>
      </c>
      <c r="M1875" s="40" t="s">
        <v>29</v>
      </c>
      <c r="N1875" s="41"/>
      <c r="O1875" s="42" t="s">
        <v>34</v>
      </c>
      <c r="P1875" s="43"/>
    </row>
    <row r="1876">
      <c r="A1876" s="44" t="s">
        <v>2042</v>
      </c>
      <c r="B1876" s="45" t="s">
        <v>25</v>
      </c>
      <c r="C1876" s="46" t="s">
        <v>1860</v>
      </c>
      <c r="D1876" s="47" t="str">
        <f t="shared" si="1"/>
        <v>Removed</v>
      </c>
      <c r="E1876" s="48">
        <v>42922.0</v>
      </c>
      <c r="F1876" s="80">
        <v>44725.0</v>
      </c>
      <c r="G1876" s="50">
        <f t="shared" si="2"/>
        <v>59.23333333</v>
      </c>
      <c r="H1876" s="51">
        <v>42374.0</v>
      </c>
      <c r="I1876" s="50">
        <f t="shared" si="4"/>
        <v>1.502777778</v>
      </c>
      <c r="J1876" s="55">
        <v>57.0</v>
      </c>
      <c r="K1876" s="56">
        <v>5.3</v>
      </c>
      <c r="L1876" s="78"/>
      <c r="M1876" s="58" t="s">
        <v>31</v>
      </c>
      <c r="N1876" s="59"/>
      <c r="O1876" s="60" t="s">
        <v>34</v>
      </c>
      <c r="P1876" s="61"/>
    </row>
    <row r="1877">
      <c r="A1877" s="29" t="s">
        <v>2043</v>
      </c>
      <c r="B1877" s="30" t="s">
        <v>25</v>
      </c>
      <c r="C1877" s="31" t="s">
        <v>1860</v>
      </c>
      <c r="D1877" s="32" t="str">
        <f t="shared" si="1"/>
        <v>Removed</v>
      </c>
      <c r="E1877" s="33">
        <v>42922.0</v>
      </c>
      <c r="F1877" s="92">
        <v>44725.0</v>
      </c>
      <c r="G1877" s="36">
        <f t="shared" si="2"/>
        <v>59.23333333</v>
      </c>
      <c r="H1877" s="37">
        <v>41771.0</v>
      </c>
      <c r="I1877" s="36">
        <f t="shared" si="4"/>
        <v>3.15</v>
      </c>
      <c r="J1877" s="38">
        <v>57.0</v>
      </c>
      <c r="K1877" s="39">
        <v>6.6</v>
      </c>
      <c r="L1877" s="38">
        <v>8.0</v>
      </c>
      <c r="M1877" s="40" t="s">
        <v>29</v>
      </c>
      <c r="N1877" s="41"/>
      <c r="O1877" s="42" t="s">
        <v>34</v>
      </c>
      <c r="P1877" s="43"/>
    </row>
    <row r="1878">
      <c r="A1878" s="44" t="s">
        <v>1546</v>
      </c>
      <c r="B1878" s="45" t="s">
        <v>25</v>
      </c>
      <c r="C1878" s="46" t="s">
        <v>1860</v>
      </c>
      <c r="D1878" s="47" t="str">
        <f t="shared" si="1"/>
        <v>Removed</v>
      </c>
      <c r="E1878" s="48">
        <v>42922.0</v>
      </c>
      <c r="F1878" s="80">
        <v>44725.0</v>
      </c>
      <c r="G1878" s="50">
        <f t="shared" si="2"/>
        <v>59.23333333</v>
      </c>
      <c r="H1878" s="51">
        <v>42024.0</v>
      </c>
      <c r="I1878" s="50">
        <f t="shared" si="4"/>
        <v>2.461111111</v>
      </c>
      <c r="J1878" s="55">
        <v>76.0</v>
      </c>
      <c r="K1878" s="56">
        <v>7.0</v>
      </c>
      <c r="L1878" s="55">
        <v>16.0</v>
      </c>
      <c r="M1878" s="58" t="s">
        <v>29</v>
      </c>
      <c r="N1878" s="59"/>
      <c r="O1878" s="60" t="s">
        <v>34</v>
      </c>
      <c r="P1878" s="61"/>
    </row>
    <row r="1879">
      <c r="A1879" s="29" t="s">
        <v>1501</v>
      </c>
      <c r="B1879" s="30" t="s">
        <v>25</v>
      </c>
      <c r="C1879" s="31" t="s">
        <v>1860</v>
      </c>
      <c r="D1879" s="32" t="str">
        <f t="shared" si="1"/>
        <v>Removed</v>
      </c>
      <c r="E1879" s="33">
        <v>42922.0</v>
      </c>
      <c r="F1879" s="92">
        <v>44725.0</v>
      </c>
      <c r="G1879" s="36">
        <f t="shared" si="2"/>
        <v>59.23333333</v>
      </c>
      <c r="H1879" s="37">
        <v>41858.0</v>
      </c>
      <c r="I1879" s="36">
        <f t="shared" si="4"/>
        <v>2.913888889</v>
      </c>
      <c r="J1879" s="38">
        <v>85.0</v>
      </c>
      <c r="K1879" s="39">
        <v>7.5</v>
      </c>
      <c r="L1879" s="76"/>
      <c r="M1879" s="40" t="s">
        <v>114</v>
      </c>
      <c r="N1879" s="41"/>
      <c r="O1879" s="42" t="s">
        <v>34</v>
      </c>
      <c r="P1879" s="43"/>
    </row>
    <row r="1880">
      <c r="A1880" s="44" t="s">
        <v>2044</v>
      </c>
      <c r="B1880" s="45" t="s">
        <v>25</v>
      </c>
      <c r="C1880" s="46" t="s">
        <v>1860</v>
      </c>
      <c r="D1880" s="47" t="str">
        <f t="shared" si="1"/>
        <v>Removed</v>
      </c>
      <c r="E1880" s="48">
        <v>42922.0</v>
      </c>
      <c r="F1880" s="80">
        <v>44725.0</v>
      </c>
      <c r="G1880" s="50">
        <f t="shared" si="2"/>
        <v>59.23333333</v>
      </c>
      <c r="H1880" s="51">
        <v>41640.0</v>
      </c>
      <c r="I1880" s="50">
        <f t="shared" si="4"/>
        <v>3.513888889</v>
      </c>
      <c r="J1880" s="55">
        <v>81.0</v>
      </c>
      <c r="K1880" s="56">
        <v>7.8</v>
      </c>
      <c r="L1880" s="55">
        <v>12.0</v>
      </c>
      <c r="M1880" s="58" t="s">
        <v>112</v>
      </c>
      <c r="N1880" s="59"/>
      <c r="O1880" s="60" t="s">
        <v>34</v>
      </c>
      <c r="P1880" s="61"/>
    </row>
    <row r="1881">
      <c r="A1881" s="29" t="s">
        <v>2045</v>
      </c>
      <c r="B1881" s="30" t="s">
        <v>25</v>
      </c>
      <c r="C1881" s="31" t="s">
        <v>1860</v>
      </c>
      <c r="D1881" s="32" t="str">
        <f t="shared" si="1"/>
        <v>Removed</v>
      </c>
      <c r="E1881" s="33">
        <v>42922.0</v>
      </c>
      <c r="F1881" s="92">
        <v>44725.0</v>
      </c>
      <c r="G1881" s="36">
        <f t="shared" si="2"/>
        <v>59.23333333</v>
      </c>
      <c r="H1881" s="37">
        <v>41640.0</v>
      </c>
      <c r="I1881" s="36">
        <f t="shared" si="4"/>
        <v>3.513888889</v>
      </c>
      <c r="J1881" s="38">
        <v>78.0</v>
      </c>
      <c r="K1881" s="39">
        <v>7.5</v>
      </c>
      <c r="L1881" s="38">
        <v>5.0</v>
      </c>
      <c r="M1881" s="40" t="s">
        <v>125</v>
      </c>
      <c r="N1881" s="41"/>
      <c r="O1881" s="42" t="s">
        <v>34</v>
      </c>
      <c r="P1881" s="43"/>
    </row>
    <row r="1882">
      <c r="A1882" s="44" t="s">
        <v>2046</v>
      </c>
      <c r="B1882" s="45" t="s">
        <v>25</v>
      </c>
      <c r="C1882" s="46" t="s">
        <v>1860</v>
      </c>
      <c r="D1882" s="47" t="str">
        <f t="shared" si="1"/>
        <v>Removed</v>
      </c>
      <c r="E1882" s="48">
        <v>42893.0</v>
      </c>
      <c r="F1882" s="80">
        <v>44725.0</v>
      </c>
      <c r="G1882" s="50">
        <f t="shared" si="2"/>
        <v>60.2</v>
      </c>
      <c r="H1882" s="51">
        <v>40876.0</v>
      </c>
      <c r="I1882" s="50">
        <f t="shared" si="4"/>
        <v>5.522222222</v>
      </c>
      <c r="J1882" s="55">
        <v>44.0</v>
      </c>
      <c r="K1882" s="56">
        <v>5.6</v>
      </c>
      <c r="L1882" s="55">
        <v>8.0</v>
      </c>
      <c r="M1882" s="58" t="s">
        <v>29</v>
      </c>
      <c r="N1882" s="59"/>
      <c r="O1882" s="60" t="s">
        <v>34</v>
      </c>
      <c r="P1882" s="61"/>
    </row>
    <row r="1883">
      <c r="A1883" s="29" t="s">
        <v>2047</v>
      </c>
      <c r="B1883" s="30" t="s">
        <v>25</v>
      </c>
      <c r="C1883" s="31" t="s">
        <v>1860</v>
      </c>
      <c r="D1883" s="32" t="str">
        <f t="shared" si="1"/>
        <v>Removed</v>
      </c>
      <c r="E1883" s="33">
        <v>42893.0</v>
      </c>
      <c r="F1883" s="92">
        <v>44725.0</v>
      </c>
      <c r="G1883" s="36">
        <f t="shared" si="2"/>
        <v>60.2</v>
      </c>
      <c r="H1883" s="37">
        <v>39378.0</v>
      </c>
      <c r="I1883" s="36">
        <f t="shared" si="4"/>
        <v>9.622222222</v>
      </c>
      <c r="J1883" s="38">
        <v>65.0</v>
      </c>
      <c r="K1883" s="39">
        <v>7.3</v>
      </c>
      <c r="L1883" s="38">
        <v>7.0</v>
      </c>
      <c r="M1883" s="40" t="s">
        <v>29</v>
      </c>
      <c r="N1883" s="41"/>
      <c r="O1883" s="42" t="s">
        <v>34</v>
      </c>
      <c r="P1883" s="43"/>
    </row>
    <row r="1884">
      <c r="A1884" s="44" t="s">
        <v>2048</v>
      </c>
      <c r="B1884" s="45" t="s">
        <v>25</v>
      </c>
      <c r="C1884" s="46" t="s">
        <v>1860</v>
      </c>
      <c r="D1884" s="47" t="str">
        <f t="shared" si="1"/>
        <v>Removed</v>
      </c>
      <c r="E1884" s="48">
        <v>42893.0</v>
      </c>
      <c r="F1884" s="80">
        <v>44725.0</v>
      </c>
      <c r="G1884" s="50">
        <f t="shared" si="2"/>
        <v>60.2</v>
      </c>
      <c r="H1884" s="51">
        <v>40084.0</v>
      </c>
      <c r="I1884" s="50">
        <f t="shared" si="4"/>
        <v>7.691666667</v>
      </c>
      <c r="J1884" s="55">
        <v>62.0</v>
      </c>
      <c r="K1884" s="56">
        <v>6.7</v>
      </c>
      <c r="L1884" s="55">
        <v>3.0</v>
      </c>
      <c r="M1884" s="58" t="s">
        <v>51</v>
      </c>
      <c r="N1884" s="59"/>
      <c r="O1884" s="60" t="s">
        <v>34</v>
      </c>
      <c r="P1884" s="61"/>
    </row>
    <row r="1885">
      <c r="A1885" s="29" t="s">
        <v>2049</v>
      </c>
      <c r="B1885" s="30" t="s">
        <v>25</v>
      </c>
      <c r="C1885" s="31" t="s">
        <v>1860</v>
      </c>
      <c r="D1885" s="32" t="str">
        <f t="shared" si="1"/>
        <v>Removed</v>
      </c>
      <c r="E1885" s="33">
        <v>42857.0</v>
      </c>
      <c r="F1885" s="92">
        <v>44725.0</v>
      </c>
      <c r="G1885" s="36">
        <f t="shared" si="2"/>
        <v>61.36666667</v>
      </c>
      <c r="H1885" s="37">
        <v>41499.0</v>
      </c>
      <c r="I1885" s="36">
        <f t="shared" si="4"/>
        <v>3.719444444</v>
      </c>
      <c r="J1885" s="38">
        <v>79.0</v>
      </c>
      <c r="K1885" s="39">
        <v>4.2</v>
      </c>
      <c r="L1885" s="38">
        <v>17.0</v>
      </c>
      <c r="M1885" s="40" t="s">
        <v>31</v>
      </c>
      <c r="N1885" s="41"/>
      <c r="O1885" s="42" t="s">
        <v>34</v>
      </c>
      <c r="P1885" s="43"/>
    </row>
    <row r="1886">
      <c r="A1886" s="44" t="s">
        <v>2050</v>
      </c>
      <c r="B1886" s="45" t="s">
        <v>25</v>
      </c>
      <c r="C1886" s="46" t="s">
        <v>1860</v>
      </c>
      <c r="D1886" s="47" t="str">
        <f t="shared" si="1"/>
        <v>Removed</v>
      </c>
      <c r="E1886" s="48">
        <v>42801.0</v>
      </c>
      <c r="F1886" s="80">
        <v>44725.0</v>
      </c>
      <c r="G1886" s="50">
        <f t="shared" si="2"/>
        <v>63.2</v>
      </c>
      <c r="H1886" s="51">
        <v>40149.0</v>
      </c>
      <c r="I1886" s="50">
        <f t="shared" si="4"/>
        <v>7.263888889</v>
      </c>
      <c r="J1886" s="55">
        <v>77.0</v>
      </c>
      <c r="K1886" s="56">
        <v>7.9</v>
      </c>
      <c r="L1886" s="55">
        <v>4.0</v>
      </c>
      <c r="M1886" s="58" t="s">
        <v>29</v>
      </c>
      <c r="N1886" s="59"/>
      <c r="O1886" s="60" t="s">
        <v>34</v>
      </c>
      <c r="P1886" s="61"/>
    </row>
    <row r="1887">
      <c r="A1887" s="29" t="s">
        <v>2051</v>
      </c>
      <c r="B1887" s="30" t="s">
        <v>25</v>
      </c>
      <c r="C1887" s="31" t="s">
        <v>1860</v>
      </c>
      <c r="D1887" s="32" t="str">
        <f t="shared" si="1"/>
        <v>Removed</v>
      </c>
      <c r="E1887" s="33">
        <v>42801.0</v>
      </c>
      <c r="F1887" s="92">
        <v>44725.0</v>
      </c>
      <c r="G1887" s="36">
        <f t="shared" si="2"/>
        <v>63.2</v>
      </c>
      <c r="H1887" s="37">
        <v>41214.0</v>
      </c>
      <c r="I1887" s="36">
        <f t="shared" si="4"/>
        <v>4.35</v>
      </c>
      <c r="J1887" s="38">
        <v>47.0</v>
      </c>
      <c r="K1887" s="39">
        <v>7.0</v>
      </c>
      <c r="L1887" s="76"/>
      <c r="M1887" s="40" t="s">
        <v>114</v>
      </c>
      <c r="N1887" s="41" t="s">
        <v>442</v>
      </c>
      <c r="O1887" s="42" t="s">
        <v>34</v>
      </c>
      <c r="P1887" s="67"/>
    </row>
    <row r="1888">
      <c r="A1888" s="44" t="s">
        <v>2052</v>
      </c>
      <c r="B1888" s="45" t="s">
        <v>25</v>
      </c>
      <c r="C1888" s="46" t="s">
        <v>1860</v>
      </c>
      <c r="D1888" s="47" t="str">
        <f t="shared" si="1"/>
        <v>Removed</v>
      </c>
      <c r="E1888" s="48">
        <v>42801.0</v>
      </c>
      <c r="F1888" s="80">
        <v>44725.0</v>
      </c>
      <c r="G1888" s="50">
        <f t="shared" si="2"/>
        <v>63.2</v>
      </c>
      <c r="H1888" s="51">
        <v>41214.0</v>
      </c>
      <c r="I1888" s="50">
        <f t="shared" si="4"/>
        <v>4.35</v>
      </c>
      <c r="J1888" s="55">
        <v>70.0</v>
      </c>
      <c r="K1888" s="56">
        <v>7.8</v>
      </c>
      <c r="L1888" s="78"/>
      <c r="M1888" s="58" t="s">
        <v>114</v>
      </c>
      <c r="N1888" s="59" t="s">
        <v>442</v>
      </c>
      <c r="O1888" s="60" t="s">
        <v>34</v>
      </c>
      <c r="P1888" s="66"/>
    </row>
    <row r="1889">
      <c r="A1889" s="29" t="s">
        <v>2053</v>
      </c>
      <c r="B1889" s="30" t="s">
        <v>25</v>
      </c>
      <c r="C1889" s="31" t="s">
        <v>1860</v>
      </c>
      <c r="D1889" s="32" t="str">
        <f t="shared" si="1"/>
        <v>Removed</v>
      </c>
      <c r="E1889" s="33">
        <v>42801.0</v>
      </c>
      <c r="F1889" s="92">
        <v>44725.0</v>
      </c>
      <c r="G1889" s="36">
        <f t="shared" si="2"/>
        <v>63.2</v>
      </c>
      <c r="H1889" s="37">
        <v>41183.0</v>
      </c>
      <c r="I1889" s="36">
        <f t="shared" si="4"/>
        <v>4.433333333</v>
      </c>
      <c r="J1889" s="38">
        <v>65.0</v>
      </c>
      <c r="K1889" s="39">
        <v>8.3</v>
      </c>
      <c r="L1889" s="38">
        <v>15.0</v>
      </c>
      <c r="M1889" s="40" t="s">
        <v>29</v>
      </c>
      <c r="N1889" s="41" t="s">
        <v>442</v>
      </c>
      <c r="O1889" s="42" t="s">
        <v>34</v>
      </c>
      <c r="P1889" s="67"/>
    </row>
    <row r="1890">
      <c r="A1890" s="44" t="s">
        <v>2054</v>
      </c>
      <c r="B1890" s="45" t="s">
        <v>25</v>
      </c>
      <c r="C1890" s="46" t="s">
        <v>1860</v>
      </c>
      <c r="D1890" s="47" t="str">
        <f t="shared" si="1"/>
        <v>Removed</v>
      </c>
      <c r="E1890" s="48">
        <v>42801.0</v>
      </c>
      <c r="F1890" s="80">
        <v>44725.0</v>
      </c>
      <c r="G1890" s="50">
        <f t="shared" si="2"/>
        <v>63.2</v>
      </c>
      <c r="H1890" s="51">
        <v>40086.0</v>
      </c>
      <c r="I1890" s="50">
        <f t="shared" si="4"/>
        <v>7.436111111</v>
      </c>
      <c r="J1890" s="55">
        <v>75.0</v>
      </c>
      <c r="K1890" s="56">
        <v>7.7</v>
      </c>
      <c r="L1890" s="78"/>
      <c r="M1890" s="58" t="s">
        <v>95</v>
      </c>
      <c r="N1890" s="59" t="s">
        <v>442</v>
      </c>
      <c r="O1890" s="60" t="s">
        <v>34</v>
      </c>
      <c r="P1890" s="66"/>
    </row>
    <row r="1891">
      <c r="A1891" s="29" t="s">
        <v>2055</v>
      </c>
      <c r="B1891" s="30" t="s">
        <v>25</v>
      </c>
      <c r="C1891" s="31" t="s">
        <v>1860</v>
      </c>
      <c r="D1891" s="32" t="str">
        <f t="shared" si="1"/>
        <v>Removed</v>
      </c>
      <c r="E1891" s="33">
        <v>42801.0</v>
      </c>
      <c r="F1891" s="92">
        <v>44725.0</v>
      </c>
      <c r="G1891" s="36">
        <f t="shared" si="2"/>
        <v>63.2</v>
      </c>
      <c r="H1891" s="37">
        <v>40817.0</v>
      </c>
      <c r="I1891" s="36">
        <f t="shared" si="4"/>
        <v>5.433333333</v>
      </c>
      <c r="J1891" s="38">
        <v>57.0</v>
      </c>
      <c r="K1891" s="39">
        <v>7.3</v>
      </c>
      <c r="L1891" s="76"/>
      <c r="M1891" s="40" t="s">
        <v>2056</v>
      </c>
      <c r="N1891" s="41" t="s">
        <v>442</v>
      </c>
      <c r="O1891" s="42" t="s">
        <v>34</v>
      </c>
      <c r="P1891" s="67"/>
    </row>
    <row r="1892">
      <c r="A1892" s="44" t="s">
        <v>2057</v>
      </c>
      <c r="B1892" s="45" t="s">
        <v>25</v>
      </c>
      <c r="C1892" s="46" t="s">
        <v>1860</v>
      </c>
      <c r="D1892" s="47" t="str">
        <f t="shared" si="1"/>
        <v>Removed</v>
      </c>
      <c r="E1892" s="48">
        <v>42801.0</v>
      </c>
      <c r="F1892" s="80">
        <v>44725.0</v>
      </c>
      <c r="G1892" s="50">
        <f t="shared" si="2"/>
        <v>63.2</v>
      </c>
      <c r="H1892" s="51">
        <v>40422.0</v>
      </c>
      <c r="I1892" s="50">
        <f t="shared" si="4"/>
        <v>6.516666667</v>
      </c>
      <c r="J1892" s="55">
        <v>48.0</v>
      </c>
      <c r="K1892" s="56">
        <v>8.4</v>
      </c>
      <c r="L1892" s="55">
        <v>15.0</v>
      </c>
      <c r="M1892" s="58" t="s">
        <v>29</v>
      </c>
      <c r="N1892" s="59" t="s">
        <v>442</v>
      </c>
      <c r="O1892" s="60" t="s">
        <v>34</v>
      </c>
      <c r="P1892" s="66"/>
    </row>
    <row r="1893">
      <c r="A1893" s="29" t="s">
        <v>2058</v>
      </c>
      <c r="B1893" s="30" t="s">
        <v>25</v>
      </c>
      <c r="C1893" s="31" t="s">
        <v>1860</v>
      </c>
      <c r="D1893" s="32" t="str">
        <f t="shared" si="1"/>
        <v>Removed</v>
      </c>
      <c r="E1893" s="33">
        <v>42801.0</v>
      </c>
      <c r="F1893" s="92">
        <v>44725.0</v>
      </c>
      <c r="G1893" s="36">
        <f t="shared" si="2"/>
        <v>63.2</v>
      </c>
      <c r="H1893" s="37">
        <v>39783.0</v>
      </c>
      <c r="I1893" s="36">
        <f t="shared" si="4"/>
        <v>8.266666667</v>
      </c>
      <c r="J1893" s="38">
        <v>54.0</v>
      </c>
      <c r="K1893" s="39">
        <v>7.1</v>
      </c>
      <c r="L1893" s="38">
        <v>13.0</v>
      </c>
      <c r="M1893" s="40" t="s">
        <v>27</v>
      </c>
      <c r="N1893" s="41" t="s">
        <v>442</v>
      </c>
      <c r="O1893" s="42" t="s">
        <v>34</v>
      </c>
      <c r="P1893" s="67"/>
    </row>
    <row r="1894">
      <c r="A1894" s="44" t="s">
        <v>2059</v>
      </c>
      <c r="B1894" s="45" t="s">
        <v>25</v>
      </c>
      <c r="C1894" s="46" t="s">
        <v>1860</v>
      </c>
      <c r="D1894" s="47" t="str">
        <f t="shared" si="1"/>
        <v>Removed</v>
      </c>
      <c r="E1894" s="48">
        <v>42801.0</v>
      </c>
      <c r="F1894" s="80">
        <v>44725.0</v>
      </c>
      <c r="G1894" s="50">
        <f t="shared" si="2"/>
        <v>63.2</v>
      </c>
      <c r="H1894" s="51">
        <v>37561.0</v>
      </c>
      <c r="I1894" s="50">
        <f t="shared" si="4"/>
        <v>14.35</v>
      </c>
      <c r="J1894" s="55">
        <v>51.0</v>
      </c>
      <c r="K1894" s="56">
        <v>7.4</v>
      </c>
      <c r="L1894" s="55">
        <v>2.0</v>
      </c>
      <c r="M1894" s="58" t="s">
        <v>27</v>
      </c>
      <c r="N1894" s="59" t="s">
        <v>442</v>
      </c>
      <c r="O1894" s="60" t="s">
        <v>34</v>
      </c>
      <c r="P1894" s="66"/>
    </row>
    <row r="1895">
      <c r="A1895" s="29" t="s">
        <v>2060</v>
      </c>
      <c r="B1895" s="30" t="s">
        <v>25</v>
      </c>
      <c r="C1895" s="31" t="s">
        <v>1860</v>
      </c>
      <c r="D1895" s="32" t="str">
        <f t="shared" si="1"/>
        <v>Removed</v>
      </c>
      <c r="E1895" s="33">
        <v>42739.0</v>
      </c>
      <c r="F1895" s="92">
        <v>44725.0</v>
      </c>
      <c r="G1895" s="36">
        <f t="shared" si="2"/>
        <v>65.3</v>
      </c>
      <c r="H1895" s="37">
        <v>41153.0</v>
      </c>
      <c r="I1895" s="36">
        <f t="shared" si="4"/>
        <v>4.341666667</v>
      </c>
      <c r="J1895" s="38">
        <v>82.0</v>
      </c>
      <c r="K1895" s="39">
        <v>7.9</v>
      </c>
      <c r="L1895" s="76"/>
      <c r="M1895" s="40" t="s">
        <v>114</v>
      </c>
      <c r="N1895" s="41" t="s">
        <v>442</v>
      </c>
      <c r="O1895" s="42" t="s">
        <v>34</v>
      </c>
      <c r="P1895" s="67"/>
    </row>
    <row r="1896">
      <c r="A1896" s="44" t="s">
        <v>2061</v>
      </c>
      <c r="B1896" s="45" t="s">
        <v>25</v>
      </c>
      <c r="C1896" s="46" t="s">
        <v>1860</v>
      </c>
      <c r="D1896" s="47" t="str">
        <f t="shared" si="1"/>
        <v>Removed</v>
      </c>
      <c r="E1896" s="48">
        <v>42739.0</v>
      </c>
      <c r="F1896" s="80">
        <v>44725.0</v>
      </c>
      <c r="G1896" s="50">
        <f t="shared" si="2"/>
        <v>65.3</v>
      </c>
      <c r="H1896" s="51">
        <v>40269.0</v>
      </c>
      <c r="I1896" s="50">
        <f t="shared" si="4"/>
        <v>6.758333333</v>
      </c>
      <c r="J1896" s="55">
        <v>60.0</v>
      </c>
      <c r="K1896" s="56">
        <v>7.1</v>
      </c>
      <c r="L1896" s="55">
        <v>7.0</v>
      </c>
      <c r="M1896" s="58" t="s">
        <v>31</v>
      </c>
      <c r="N1896" s="59" t="s">
        <v>442</v>
      </c>
      <c r="O1896" s="60" t="s">
        <v>34</v>
      </c>
      <c r="P1896" s="66"/>
    </row>
    <row r="1897">
      <c r="A1897" s="29" t="s">
        <v>2062</v>
      </c>
      <c r="B1897" s="30" t="s">
        <v>25</v>
      </c>
      <c r="C1897" s="31" t="s">
        <v>1860</v>
      </c>
      <c r="D1897" s="32" t="str">
        <f t="shared" si="1"/>
        <v>Removed</v>
      </c>
      <c r="E1897" s="33">
        <v>42724.0</v>
      </c>
      <c r="F1897" s="92">
        <v>44725.0</v>
      </c>
      <c r="G1897" s="36">
        <f t="shared" si="2"/>
        <v>65.76666667</v>
      </c>
      <c r="H1897" s="37">
        <v>42173.0</v>
      </c>
      <c r="I1897" s="36">
        <f t="shared" si="4"/>
        <v>1.505555556</v>
      </c>
      <c r="J1897" s="38">
        <v>50.0</v>
      </c>
      <c r="K1897" s="39">
        <v>5.5</v>
      </c>
      <c r="L1897" s="76"/>
      <c r="M1897" s="40" t="s">
        <v>95</v>
      </c>
      <c r="N1897" s="41"/>
      <c r="O1897" s="42" t="s">
        <v>34</v>
      </c>
      <c r="P1897" s="43"/>
    </row>
    <row r="1898">
      <c r="A1898" s="44" t="s">
        <v>2063</v>
      </c>
      <c r="B1898" s="45" t="s">
        <v>25</v>
      </c>
      <c r="C1898" s="46" t="s">
        <v>1860</v>
      </c>
      <c r="D1898" s="47" t="str">
        <f t="shared" si="1"/>
        <v>Removed</v>
      </c>
      <c r="E1898" s="48">
        <v>42724.0</v>
      </c>
      <c r="F1898" s="80">
        <v>44725.0</v>
      </c>
      <c r="G1898" s="50">
        <f t="shared" si="2"/>
        <v>65.76666667</v>
      </c>
      <c r="H1898" s="51">
        <v>38991.0</v>
      </c>
      <c r="I1898" s="50">
        <f t="shared" si="4"/>
        <v>10.21944444</v>
      </c>
      <c r="J1898" s="55">
        <v>71.0</v>
      </c>
      <c r="K1898" s="56">
        <v>8.1</v>
      </c>
      <c r="L1898" s="55">
        <v>11.0</v>
      </c>
      <c r="M1898" s="58" t="s">
        <v>112</v>
      </c>
      <c r="N1898" s="59" t="s">
        <v>442</v>
      </c>
      <c r="O1898" s="60" t="s">
        <v>34</v>
      </c>
      <c r="P1898" s="66"/>
    </row>
    <row r="1899">
      <c r="A1899" s="29" t="s">
        <v>2064</v>
      </c>
      <c r="B1899" s="30" t="s">
        <v>25</v>
      </c>
      <c r="C1899" s="31" t="s">
        <v>1860</v>
      </c>
      <c r="D1899" s="32" t="str">
        <f t="shared" si="1"/>
        <v>Removed</v>
      </c>
      <c r="E1899" s="33">
        <v>42682.0</v>
      </c>
      <c r="F1899" s="92">
        <v>44725.0</v>
      </c>
      <c r="G1899" s="36">
        <f t="shared" si="2"/>
        <v>67.16666667</v>
      </c>
      <c r="H1899" s="37">
        <v>42619.0</v>
      </c>
      <c r="I1899" s="36">
        <f t="shared" si="4"/>
        <v>0.1722222222</v>
      </c>
      <c r="J1899" s="38">
        <v>80.0</v>
      </c>
      <c r="K1899" s="39">
        <v>8.2</v>
      </c>
      <c r="L1899" s="38">
        <v>70.0</v>
      </c>
      <c r="M1899" s="40" t="s">
        <v>42</v>
      </c>
      <c r="N1899" s="41" t="s">
        <v>442</v>
      </c>
      <c r="O1899" s="42" t="s">
        <v>34</v>
      </c>
      <c r="P1899" s="67"/>
    </row>
    <row r="1900">
      <c r="A1900" s="44" t="s">
        <v>2065</v>
      </c>
      <c r="B1900" s="45" t="s">
        <v>25</v>
      </c>
      <c r="C1900" s="46" t="s">
        <v>1860</v>
      </c>
      <c r="D1900" s="47" t="str">
        <f t="shared" si="1"/>
        <v>Removed</v>
      </c>
      <c r="E1900" s="48">
        <v>42682.0</v>
      </c>
      <c r="F1900" s="80">
        <v>44725.0</v>
      </c>
      <c r="G1900" s="50">
        <f t="shared" si="2"/>
        <v>67.16666667</v>
      </c>
      <c r="H1900" s="51">
        <v>42402.0</v>
      </c>
      <c r="I1900" s="50">
        <f t="shared" si="4"/>
        <v>0.7666666667</v>
      </c>
      <c r="J1900" s="55">
        <v>63.0</v>
      </c>
      <c r="K1900" s="56">
        <v>7.0</v>
      </c>
      <c r="L1900" s="55">
        <v>1.5</v>
      </c>
      <c r="M1900" s="58" t="s">
        <v>114</v>
      </c>
      <c r="N1900" s="59"/>
      <c r="O1900" s="60" t="s">
        <v>34</v>
      </c>
      <c r="P1900" s="61"/>
    </row>
    <row r="1901">
      <c r="A1901" s="29" t="s">
        <v>2066</v>
      </c>
      <c r="B1901" s="30" t="s">
        <v>25</v>
      </c>
      <c r="C1901" s="31" t="s">
        <v>1860</v>
      </c>
      <c r="D1901" s="32" t="str">
        <f t="shared" si="1"/>
        <v>Removed</v>
      </c>
      <c r="E1901" s="33">
        <v>42682.0</v>
      </c>
      <c r="F1901" s="92">
        <v>44725.0</v>
      </c>
      <c r="G1901" s="36">
        <f t="shared" si="2"/>
        <v>67.16666667</v>
      </c>
      <c r="H1901" s="37">
        <v>42335.0</v>
      </c>
      <c r="I1901" s="36">
        <f t="shared" si="4"/>
        <v>0.9472222222</v>
      </c>
      <c r="J1901" s="38">
        <v>49.0</v>
      </c>
      <c r="K1901" s="39">
        <v>5.5</v>
      </c>
      <c r="L1901" s="76"/>
      <c r="M1901" s="40" t="s">
        <v>125</v>
      </c>
      <c r="N1901" s="41"/>
      <c r="O1901" s="42" t="s">
        <v>34</v>
      </c>
      <c r="P1901" s="43"/>
    </row>
    <row r="1902">
      <c r="A1902" s="44" t="s">
        <v>2067</v>
      </c>
      <c r="B1902" s="45" t="s">
        <v>25</v>
      </c>
      <c r="C1902" s="46" t="s">
        <v>1860</v>
      </c>
      <c r="D1902" s="47" t="str">
        <f t="shared" si="1"/>
        <v>Removed</v>
      </c>
      <c r="E1902" s="48">
        <v>42682.0</v>
      </c>
      <c r="F1902" s="80">
        <v>44725.0</v>
      </c>
      <c r="G1902" s="50">
        <f t="shared" si="2"/>
        <v>67.16666667</v>
      </c>
      <c r="H1902" s="51">
        <v>42017.0</v>
      </c>
      <c r="I1902" s="50">
        <f t="shared" si="4"/>
        <v>1.819444444</v>
      </c>
      <c r="J1902" s="55">
        <v>20.0</v>
      </c>
      <c r="K1902" s="56">
        <v>2.7</v>
      </c>
      <c r="L1902" s="78"/>
      <c r="M1902" s="58" t="s">
        <v>125</v>
      </c>
      <c r="N1902" s="59"/>
      <c r="O1902" s="60" t="s">
        <v>34</v>
      </c>
      <c r="P1902" s="61"/>
    </row>
    <row r="1903">
      <c r="A1903" s="29" t="s">
        <v>2068</v>
      </c>
      <c r="B1903" s="30" t="s">
        <v>25</v>
      </c>
      <c r="C1903" s="31" t="s">
        <v>1860</v>
      </c>
      <c r="D1903" s="32" t="str">
        <f t="shared" si="1"/>
        <v>Removed</v>
      </c>
      <c r="E1903" s="33">
        <v>42682.0</v>
      </c>
      <c r="F1903" s="92">
        <v>44725.0</v>
      </c>
      <c r="G1903" s="36">
        <f t="shared" si="2"/>
        <v>67.16666667</v>
      </c>
      <c r="H1903" s="37">
        <v>41831.0</v>
      </c>
      <c r="I1903" s="36">
        <f t="shared" si="4"/>
        <v>2.325</v>
      </c>
      <c r="J1903" s="38">
        <v>71.0</v>
      </c>
      <c r="K1903" s="39">
        <v>7.3</v>
      </c>
      <c r="L1903" s="38">
        <v>5.0</v>
      </c>
      <c r="M1903" s="40" t="s">
        <v>31</v>
      </c>
      <c r="N1903" s="41"/>
      <c r="O1903" s="42" t="s">
        <v>34</v>
      </c>
      <c r="P1903" s="43"/>
    </row>
    <row r="1904">
      <c r="A1904" s="44" t="s">
        <v>2069</v>
      </c>
      <c r="B1904" s="45" t="s">
        <v>25</v>
      </c>
      <c r="C1904" s="46" t="s">
        <v>1860</v>
      </c>
      <c r="D1904" s="47" t="str">
        <f t="shared" si="1"/>
        <v>Removed</v>
      </c>
      <c r="E1904" s="48">
        <v>42682.0</v>
      </c>
      <c r="F1904" s="80">
        <v>44725.0</v>
      </c>
      <c r="G1904" s="50">
        <f t="shared" si="2"/>
        <v>67.16666667</v>
      </c>
      <c r="H1904" s="51">
        <v>42111.0</v>
      </c>
      <c r="I1904" s="50">
        <f t="shared" si="4"/>
        <v>1.558333333</v>
      </c>
      <c r="J1904" s="55">
        <v>75.0</v>
      </c>
      <c r="K1904" s="56">
        <v>7.4</v>
      </c>
      <c r="L1904" s="78"/>
      <c r="M1904" s="58" t="s">
        <v>125</v>
      </c>
      <c r="N1904" s="59" t="s">
        <v>442</v>
      </c>
      <c r="O1904" s="60" t="s">
        <v>34</v>
      </c>
      <c r="P1904" s="66"/>
    </row>
    <row r="1905">
      <c r="A1905" s="29" t="s">
        <v>2070</v>
      </c>
      <c r="B1905" s="30" t="s">
        <v>25</v>
      </c>
      <c r="C1905" s="31" t="s">
        <v>1860</v>
      </c>
      <c r="D1905" s="32" t="str">
        <f t="shared" si="1"/>
        <v>Removed</v>
      </c>
      <c r="E1905" s="33">
        <v>42682.0</v>
      </c>
      <c r="F1905" s="92">
        <v>44725.0</v>
      </c>
      <c r="G1905" s="36">
        <f t="shared" si="2"/>
        <v>67.16666667</v>
      </c>
      <c r="H1905" s="37">
        <v>41941.0</v>
      </c>
      <c r="I1905" s="36">
        <f t="shared" si="4"/>
        <v>2.025</v>
      </c>
      <c r="J1905" s="38">
        <v>77.0</v>
      </c>
      <c r="K1905" s="39">
        <v>7.4</v>
      </c>
      <c r="L1905" s="76"/>
      <c r="M1905" s="40" t="s">
        <v>95</v>
      </c>
      <c r="N1905" s="41"/>
      <c r="O1905" s="42" t="s">
        <v>34</v>
      </c>
      <c r="P1905" s="43"/>
    </row>
    <row r="1906">
      <c r="A1906" s="44" t="s">
        <v>2071</v>
      </c>
      <c r="B1906" s="45" t="s">
        <v>25</v>
      </c>
      <c r="C1906" s="46" t="s">
        <v>1860</v>
      </c>
      <c r="D1906" s="47" t="str">
        <f t="shared" si="1"/>
        <v>Removed</v>
      </c>
      <c r="E1906" s="48">
        <v>42682.0</v>
      </c>
      <c r="F1906" s="80">
        <v>44725.0</v>
      </c>
      <c r="G1906" s="50">
        <f t="shared" si="2"/>
        <v>67.16666667</v>
      </c>
      <c r="H1906" s="51">
        <v>41548.0</v>
      </c>
      <c r="I1906" s="50">
        <f t="shared" si="4"/>
        <v>3.102777778</v>
      </c>
      <c r="J1906" s="55">
        <v>48.0</v>
      </c>
      <c r="K1906" s="56">
        <v>6.5</v>
      </c>
      <c r="L1906" s="78"/>
      <c r="M1906" s="58" t="s">
        <v>125</v>
      </c>
      <c r="N1906" s="59"/>
      <c r="O1906" s="60" t="s">
        <v>34</v>
      </c>
      <c r="P1906" s="61"/>
    </row>
    <row r="1907">
      <c r="A1907" s="29" t="s">
        <v>2072</v>
      </c>
      <c r="B1907" s="30" t="s">
        <v>25</v>
      </c>
      <c r="C1907" s="31" t="s">
        <v>1860</v>
      </c>
      <c r="D1907" s="32" t="str">
        <f t="shared" si="1"/>
        <v>Removed</v>
      </c>
      <c r="E1907" s="33">
        <v>42682.0</v>
      </c>
      <c r="F1907" s="92">
        <v>44725.0</v>
      </c>
      <c r="G1907" s="36">
        <f t="shared" si="2"/>
        <v>67.16666667</v>
      </c>
      <c r="H1907" s="37">
        <v>42251.0</v>
      </c>
      <c r="I1907" s="36">
        <f t="shared" si="4"/>
        <v>1.177777778</v>
      </c>
      <c r="J1907" s="38">
        <v>38.0</v>
      </c>
      <c r="K1907" s="39">
        <v>3.6</v>
      </c>
      <c r="L1907" s="76"/>
      <c r="M1907" s="40" t="s">
        <v>125</v>
      </c>
      <c r="N1907" s="41"/>
      <c r="O1907" s="42" t="s">
        <v>34</v>
      </c>
      <c r="P1907" s="43"/>
    </row>
    <row r="1908">
      <c r="A1908" s="44" t="s">
        <v>2073</v>
      </c>
      <c r="B1908" s="45" t="s">
        <v>25</v>
      </c>
      <c r="C1908" s="46" t="s">
        <v>1860</v>
      </c>
      <c r="D1908" s="47" t="str">
        <f t="shared" si="1"/>
        <v>Removed</v>
      </c>
      <c r="E1908" s="48">
        <v>42682.0</v>
      </c>
      <c r="F1908" s="80">
        <v>44725.0</v>
      </c>
      <c r="G1908" s="50">
        <f t="shared" si="2"/>
        <v>67.16666667</v>
      </c>
      <c r="H1908" s="51">
        <v>40087.0</v>
      </c>
      <c r="I1908" s="50">
        <f t="shared" si="4"/>
        <v>7.102777778</v>
      </c>
      <c r="J1908" s="55">
        <v>83.0</v>
      </c>
      <c r="K1908" s="56">
        <v>7.9</v>
      </c>
      <c r="L1908" s="55">
        <v>9.0</v>
      </c>
      <c r="M1908" s="58" t="s">
        <v>27</v>
      </c>
      <c r="N1908" s="59" t="s">
        <v>442</v>
      </c>
      <c r="O1908" s="60" t="s">
        <v>34</v>
      </c>
      <c r="P1908" s="66"/>
    </row>
    <row r="1909">
      <c r="A1909" s="29" t="s">
        <v>2074</v>
      </c>
      <c r="B1909" s="30" t="s">
        <v>25</v>
      </c>
      <c r="C1909" s="31" t="s">
        <v>1860</v>
      </c>
      <c r="D1909" s="32" t="str">
        <f t="shared" si="1"/>
        <v>Removed</v>
      </c>
      <c r="E1909" s="33">
        <v>42647.0</v>
      </c>
      <c r="F1909" s="92">
        <v>44725.0</v>
      </c>
      <c r="G1909" s="36">
        <f t="shared" si="2"/>
        <v>68.3</v>
      </c>
      <c r="H1909" s="37">
        <v>41569.0</v>
      </c>
      <c r="I1909" s="36">
        <f t="shared" si="4"/>
        <v>2.95</v>
      </c>
      <c r="J1909" s="76"/>
      <c r="K1909" s="79"/>
      <c r="L1909" s="76"/>
      <c r="M1909" s="40" t="s">
        <v>31</v>
      </c>
      <c r="N1909" s="41"/>
      <c r="O1909" s="42" t="s">
        <v>34</v>
      </c>
      <c r="P1909" s="43"/>
    </row>
    <row r="1910">
      <c r="A1910" s="44" t="s">
        <v>2075</v>
      </c>
      <c r="B1910" s="45" t="s">
        <v>25</v>
      </c>
      <c r="C1910" s="46" t="s">
        <v>1860</v>
      </c>
      <c r="D1910" s="47" t="str">
        <f t="shared" si="1"/>
        <v>Removed</v>
      </c>
      <c r="E1910" s="48">
        <v>42647.0</v>
      </c>
      <c r="F1910" s="80">
        <v>44725.0</v>
      </c>
      <c r="G1910" s="50">
        <f t="shared" si="2"/>
        <v>68.3</v>
      </c>
      <c r="H1910" s="51">
        <v>41017.0</v>
      </c>
      <c r="I1910" s="50">
        <f t="shared" si="4"/>
        <v>4.461111111</v>
      </c>
      <c r="J1910" s="55">
        <v>67.0</v>
      </c>
      <c r="K1910" s="56">
        <v>7.5</v>
      </c>
      <c r="L1910" s="55">
        <v>1.0</v>
      </c>
      <c r="M1910" s="58" t="s">
        <v>31</v>
      </c>
      <c r="N1910" s="59"/>
      <c r="O1910" s="60" t="s">
        <v>34</v>
      </c>
      <c r="P1910" s="61"/>
    </row>
    <row r="1911">
      <c r="A1911" s="29" t="s">
        <v>2076</v>
      </c>
      <c r="B1911" s="30" t="s">
        <v>25</v>
      </c>
      <c r="C1911" s="31" t="s">
        <v>1860</v>
      </c>
      <c r="D1911" s="32" t="str">
        <f t="shared" si="1"/>
        <v>Removed</v>
      </c>
      <c r="E1911" s="33">
        <v>42647.0</v>
      </c>
      <c r="F1911" s="92">
        <v>44725.0</v>
      </c>
      <c r="G1911" s="36">
        <f t="shared" si="2"/>
        <v>68.3</v>
      </c>
      <c r="H1911" s="37">
        <v>40841.0</v>
      </c>
      <c r="I1911" s="36">
        <f t="shared" si="4"/>
        <v>4.941666667</v>
      </c>
      <c r="J1911" s="38">
        <v>69.0</v>
      </c>
      <c r="K1911" s="39">
        <v>7.5</v>
      </c>
      <c r="L1911" s="38">
        <v>3.0</v>
      </c>
      <c r="M1911" s="40" t="s">
        <v>31</v>
      </c>
      <c r="N1911" s="41"/>
      <c r="O1911" s="42" t="s">
        <v>34</v>
      </c>
      <c r="P1911" s="43"/>
    </row>
    <row r="1912">
      <c r="A1912" s="44" t="s">
        <v>2077</v>
      </c>
      <c r="B1912" s="45" t="s">
        <v>25</v>
      </c>
      <c r="C1912" s="46" t="s">
        <v>1860</v>
      </c>
      <c r="D1912" s="47" t="str">
        <f t="shared" si="1"/>
        <v>Removed</v>
      </c>
      <c r="E1912" s="48">
        <v>42647.0</v>
      </c>
      <c r="F1912" s="80">
        <v>44725.0</v>
      </c>
      <c r="G1912" s="50">
        <f t="shared" si="2"/>
        <v>68.3</v>
      </c>
      <c r="H1912" s="51">
        <v>40969.0</v>
      </c>
      <c r="I1912" s="50">
        <f t="shared" si="4"/>
        <v>4.591666667</v>
      </c>
      <c r="J1912" s="55">
        <v>70.0</v>
      </c>
      <c r="K1912" s="56">
        <v>6.4</v>
      </c>
      <c r="L1912" s="55">
        <v>20.0</v>
      </c>
      <c r="M1912" s="58" t="s">
        <v>537</v>
      </c>
      <c r="N1912" s="59" t="s">
        <v>442</v>
      </c>
      <c r="O1912" s="60" t="s">
        <v>34</v>
      </c>
      <c r="P1912" s="66"/>
    </row>
    <row r="1913">
      <c r="A1913" s="29" t="s">
        <v>2078</v>
      </c>
      <c r="B1913" s="30" t="s">
        <v>25</v>
      </c>
      <c r="C1913" s="31" t="s">
        <v>1860</v>
      </c>
      <c r="D1913" s="32" t="str">
        <f t="shared" si="1"/>
        <v>Removed</v>
      </c>
      <c r="E1913" s="33">
        <v>42647.0</v>
      </c>
      <c r="F1913" s="92">
        <v>44725.0</v>
      </c>
      <c r="G1913" s="36">
        <f t="shared" si="2"/>
        <v>68.3</v>
      </c>
      <c r="H1913" s="37">
        <v>37530.0</v>
      </c>
      <c r="I1913" s="36">
        <f t="shared" si="4"/>
        <v>14.00833333</v>
      </c>
      <c r="J1913" s="38">
        <v>70.0</v>
      </c>
      <c r="K1913" s="39">
        <v>7.5</v>
      </c>
      <c r="L1913" s="38">
        <v>2.0</v>
      </c>
      <c r="M1913" s="40" t="s">
        <v>31</v>
      </c>
      <c r="N1913" s="41" t="s">
        <v>442</v>
      </c>
      <c r="O1913" s="42" t="s">
        <v>34</v>
      </c>
      <c r="P1913" s="67"/>
    </row>
    <row r="1914">
      <c r="A1914" s="44" t="s">
        <v>2079</v>
      </c>
      <c r="B1914" s="45" t="s">
        <v>25</v>
      </c>
      <c r="C1914" s="46" t="s">
        <v>1860</v>
      </c>
      <c r="D1914" s="47" t="str">
        <f t="shared" si="1"/>
        <v>Removed</v>
      </c>
      <c r="E1914" s="48">
        <v>42612.0</v>
      </c>
      <c r="F1914" s="80">
        <v>44725.0</v>
      </c>
      <c r="G1914" s="50">
        <f t="shared" si="2"/>
        <v>69.43333333</v>
      </c>
      <c r="H1914" s="51">
        <v>41296.0</v>
      </c>
      <c r="I1914" s="50">
        <f t="shared" si="4"/>
        <v>3.605555556</v>
      </c>
      <c r="J1914" s="55">
        <v>85.0</v>
      </c>
      <c r="K1914" s="56">
        <v>8.6</v>
      </c>
      <c r="L1914" s="55">
        <v>44.0</v>
      </c>
      <c r="M1914" s="58" t="s">
        <v>42</v>
      </c>
      <c r="N1914" s="59"/>
      <c r="O1914" s="60" t="s">
        <v>34</v>
      </c>
      <c r="P1914" s="61"/>
    </row>
    <row r="1915">
      <c r="A1915" s="29" t="s">
        <v>2080</v>
      </c>
      <c r="B1915" s="30" t="s">
        <v>25</v>
      </c>
      <c r="C1915" s="31" t="s">
        <v>1860</v>
      </c>
      <c r="D1915" s="32" t="str">
        <f t="shared" si="1"/>
        <v>Removed</v>
      </c>
      <c r="E1915" s="33">
        <v>42592.0</v>
      </c>
      <c r="F1915" s="92">
        <v>44725.0</v>
      </c>
      <c r="G1915" s="36">
        <f t="shared" si="2"/>
        <v>70.1</v>
      </c>
      <c r="H1915" s="37">
        <v>42360.0</v>
      </c>
      <c r="I1915" s="36">
        <f t="shared" si="4"/>
        <v>0.6333333333</v>
      </c>
      <c r="J1915" s="38">
        <v>77.0</v>
      </c>
      <c r="K1915" s="39">
        <v>8.3</v>
      </c>
      <c r="L1915" s="38">
        <v>55.0</v>
      </c>
      <c r="M1915" s="40" t="s">
        <v>42</v>
      </c>
      <c r="N1915" s="41" t="s">
        <v>442</v>
      </c>
      <c r="O1915" s="42" t="s">
        <v>34</v>
      </c>
      <c r="P1915" s="67"/>
    </row>
    <row r="1916">
      <c r="A1916" s="44" t="s">
        <v>2081</v>
      </c>
      <c r="B1916" s="45" t="s">
        <v>25</v>
      </c>
      <c r="C1916" s="46" t="s">
        <v>1860</v>
      </c>
      <c r="D1916" s="47" t="str">
        <f t="shared" si="1"/>
        <v>Removed</v>
      </c>
      <c r="E1916" s="48">
        <v>42592.0</v>
      </c>
      <c r="F1916" s="80">
        <v>44725.0</v>
      </c>
      <c r="G1916" s="50">
        <f t="shared" si="2"/>
        <v>70.1</v>
      </c>
      <c r="H1916" s="51">
        <v>42080.0</v>
      </c>
      <c r="I1916" s="50">
        <f t="shared" si="4"/>
        <v>1.397222222</v>
      </c>
      <c r="J1916" s="55">
        <v>63.0</v>
      </c>
      <c r="K1916" s="56">
        <v>7.0</v>
      </c>
      <c r="L1916" s="55">
        <v>25.0</v>
      </c>
      <c r="M1916" s="58" t="s">
        <v>42</v>
      </c>
      <c r="N1916" s="59"/>
      <c r="O1916" s="60" t="s">
        <v>34</v>
      </c>
      <c r="P1916" s="61"/>
    </row>
    <row r="1917">
      <c r="A1917" s="29" t="s">
        <v>2082</v>
      </c>
      <c r="B1917" s="30" t="s">
        <v>25</v>
      </c>
      <c r="C1917" s="31" t="s">
        <v>1860</v>
      </c>
      <c r="D1917" s="32" t="str">
        <f t="shared" si="1"/>
        <v>Removed</v>
      </c>
      <c r="E1917" s="33">
        <v>42528.0</v>
      </c>
      <c r="F1917" s="92">
        <v>44725.0</v>
      </c>
      <c r="G1917" s="36">
        <f t="shared" si="2"/>
        <v>72.2</v>
      </c>
      <c r="H1917" s="37">
        <v>41870.0</v>
      </c>
      <c r="I1917" s="36">
        <f t="shared" si="4"/>
        <v>1.8</v>
      </c>
      <c r="J1917" s="38">
        <v>72.0</v>
      </c>
      <c r="K1917" s="39">
        <v>6.9</v>
      </c>
      <c r="L1917" s="38">
        <v>4.0</v>
      </c>
      <c r="M1917" s="40" t="s">
        <v>29</v>
      </c>
      <c r="N1917" s="41"/>
      <c r="O1917" s="42" t="s">
        <v>34</v>
      </c>
      <c r="P1917" s="43"/>
    </row>
    <row r="1918">
      <c r="A1918" s="44" t="s">
        <v>491</v>
      </c>
      <c r="B1918" s="45" t="s">
        <v>25</v>
      </c>
      <c r="C1918" s="46" t="s">
        <v>1860</v>
      </c>
      <c r="D1918" s="47" t="str">
        <f t="shared" si="1"/>
        <v>Removed</v>
      </c>
      <c r="E1918" s="48">
        <v>42528.0</v>
      </c>
      <c r="F1918" s="80">
        <v>44725.0</v>
      </c>
      <c r="G1918" s="50">
        <f t="shared" si="2"/>
        <v>72.2</v>
      </c>
      <c r="H1918" s="51">
        <v>41863.0</v>
      </c>
      <c r="I1918" s="50">
        <f t="shared" si="4"/>
        <v>1.819444444</v>
      </c>
      <c r="J1918" s="55">
        <v>67.0</v>
      </c>
      <c r="K1918" s="56">
        <v>6.7</v>
      </c>
      <c r="L1918" s="55">
        <v>2.5</v>
      </c>
      <c r="M1918" s="58" t="s">
        <v>29</v>
      </c>
      <c r="N1918" s="59"/>
      <c r="O1918" s="60" t="s">
        <v>34</v>
      </c>
      <c r="P1918" s="61"/>
    </row>
    <row r="1919">
      <c r="A1919" s="29" t="s">
        <v>2083</v>
      </c>
      <c r="B1919" s="30" t="s">
        <v>25</v>
      </c>
      <c r="C1919" s="31" t="s">
        <v>1860</v>
      </c>
      <c r="D1919" s="32" t="str">
        <f t="shared" si="1"/>
        <v>Removed</v>
      </c>
      <c r="E1919" s="33">
        <v>42528.0</v>
      </c>
      <c r="F1919" s="92">
        <v>44725.0</v>
      </c>
      <c r="G1919" s="36">
        <f t="shared" si="2"/>
        <v>72.2</v>
      </c>
      <c r="H1919" s="37">
        <v>41061.0</v>
      </c>
      <c r="I1919" s="36">
        <f t="shared" si="4"/>
        <v>4.016666667</v>
      </c>
      <c r="J1919" s="38">
        <v>77.0</v>
      </c>
      <c r="K1919" s="39">
        <v>8.0</v>
      </c>
      <c r="L1919" s="38">
        <v>6.5</v>
      </c>
      <c r="M1919" s="40" t="s">
        <v>31</v>
      </c>
      <c r="N1919" s="41" t="s">
        <v>442</v>
      </c>
      <c r="O1919" s="42" t="s">
        <v>34</v>
      </c>
      <c r="P1919" s="67"/>
    </row>
    <row r="1920">
      <c r="A1920" s="44" t="s">
        <v>2084</v>
      </c>
      <c r="B1920" s="45" t="s">
        <v>25</v>
      </c>
      <c r="C1920" s="46" t="s">
        <v>1860</v>
      </c>
      <c r="D1920" s="47" t="str">
        <f t="shared" si="1"/>
        <v>Removed</v>
      </c>
      <c r="E1920" s="48">
        <v>42493.0</v>
      </c>
      <c r="F1920" s="80">
        <v>44725.0</v>
      </c>
      <c r="G1920" s="50">
        <f t="shared" si="2"/>
        <v>73.33333333</v>
      </c>
      <c r="H1920" s="51">
        <v>40057.0</v>
      </c>
      <c r="I1920" s="50">
        <f t="shared" si="4"/>
        <v>6.672222222</v>
      </c>
      <c r="J1920" s="55">
        <v>74.0</v>
      </c>
      <c r="K1920" s="56">
        <v>7.5</v>
      </c>
      <c r="L1920" s="55">
        <v>8.0</v>
      </c>
      <c r="M1920" s="58" t="s">
        <v>64</v>
      </c>
      <c r="N1920" s="59" t="s">
        <v>442</v>
      </c>
      <c r="O1920" s="60" t="s">
        <v>34</v>
      </c>
      <c r="P1920" s="66"/>
    </row>
    <row r="1921">
      <c r="A1921" s="29" t="s">
        <v>2085</v>
      </c>
      <c r="B1921" s="30" t="s">
        <v>25</v>
      </c>
      <c r="C1921" s="31" t="s">
        <v>1860</v>
      </c>
      <c r="D1921" s="32" t="str">
        <f t="shared" si="1"/>
        <v>Removed</v>
      </c>
      <c r="E1921" s="33">
        <v>42430.0</v>
      </c>
      <c r="F1921" s="92">
        <v>44725.0</v>
      </c>
      <c r="G1921" s="36">
        <f t="shared" si="2"/>
        <v>75.4</v>
      </c>
      <c r="H1921" s="37">
        <v>41828.0</v>
      </c>
      <c r="I1921" s="36">
        <f t="shared" si="4"/>
        <v>1.647222222</v>
      </c>
      <c r="J1921" s="38">
        <v>85.0</v>
      </c>
      <c r="K1921" s="39">
        <v>8.5</v>
      </c>
      <c r="L1921" s="38">
        <v>10.0</v>
      </c>
      <c r="M1921" s="40" t="s">
        <v>29</v>
      </c>
      <c r="N1921" s="41"/>
      <c r="O1921" s="42" t="s">
        <v>34</v>
      </c>
      <c r="P1921" s="43"/>
    </row>
    <row r="1922">
      <c r="A1922" s="44" t="s">
        <v>2086</v>
      </c>
      <c r="B1922" s="45" t="s">
        <v>25</v>
      </c>
      <c r="C1922" s="46" t="s">
        <v>1860</v>
      </c>
      <c r="D1922" s="47" t="str">
        <f t="shared" si="1"/>
        <v>Removed</v>
      </c>
      <c r="E1922" s="48">
        <v>42374.0</v>
      </c>
      <c r="F1922" s="80">
        <v>44725.0</v>
      </c>
      <c r="G1922" s="50">
        <f t="shared" si="2"/>
        <v>77.26666667</v>
      </c>
      <c r="H1922" s="51">
        <v>42059.0</v>
      </c>
      <c r="I1922" s="50">
        <f t="shared" si="4"/>
        <v>0.8638888889</v>
      </c>
      <c r="J1922" s="55">
        <v>80.0</v>
      </c>
      <c r="K1922" s="56">
        <v>8.3</v>
      </c>
      <c r="L1922" s="55">
        <v>2.0</v>
      </c>
      <c r="M1922" s="58" t="s">
        <v>114</v>
      </c>
      <c r="N1922" s="59"/>
      <c r="O1922" s="60" t="s">
        <v>34</v>
      </c>
      <c r="P1922" s="61"/>
    </row>
    <row r="1923">
      <c r="A1923" s="29" t="s">
        <v>499</v>
      </c>
      <c r="B1923" s="30" t="s">
        <v>25</v>
      </c>
      <c r="C1923" s="31" t="s">
        <v>1860</v>
      </c>
      <c r="D1923" s="32" t="str">
        <f t="shared" si="1"/>
        <v>Removed</v>
      </c>
      <c r="E1923" s="33">
        <v>42374.0</v>
      </c>
      <c r="F1923" s="92">
        <v>44725.0</v>
      </c>
      <c r="G1923" s="36">
        <f t="shared" si="2"/>
        <v>77.26666667</v>
      </c>
      <c r="H1923" s="37">
        <v>39366.0</v>
      </c>
      <c r="I1923" s="36">
        <f t="shared" si="4"/>
        <v>8.233333333</v>
      </c>
      <c r="J1923" s="38">
        <v>79.0</v>
      </c>
      <c r="K1923" s="39">
        <v>7.5</v>
      </c>
      <c r="L1923" s="38">
        <v>3.0</v>
      </c>
      <c r="M1923" s="40" t="s">
        <v>31</v>
      </c>
      <c r="N1923" s="41"/>
      <c r="O1923" s="42" t="s">
        <v>34</v>
      </c>
      <c r="P1923" s="43"/>
    </row>
    <row r="1924">
      <c r="A1924" s="44" t="s">
        <v>2087</v>
      </c>
      <c r="B1924" s="45" t="s">
        <v>25</v>
      </c>
      <c r="C1924" s="46" t="s">
        <v>1860</v>
      </c>
      <c r="D1924" s="47" t="str">
        <f t="shared" si="1"/>
        <v>Removed</v>
      </c>
      <c r="E1924" s="48">
        <v>42374.0</v>
      </c>
      <c r="F1924" s="80">
        <v>44725.0</v>
      </c>
      <c r="G1924" s="50">
        <f t="shared" si="2"/>
        <v>77.26666667</v>
      </c>
      <c r="H1924" s="51">
        <v>41205.0</v>
      </c>
      <c r="I1924" s="50">
        <f t="shared" si="4"/>
        <v>3.2</v>
      </c>
      <c r="J1924" s="55">
        <v>70.0</v>
      </c>
      <c r="K1924" s="56">
        <v>7.6</v>
      </c>
      <c r="L1924" s="55">
        <v>6.5</v>
      </c>
      <c r="M1924" s="58" t="s">
        <v>31</v>
      </c>
      <c r="N1924" s="59"/>
      <c r="O1924" s="60" t="s">
        <v>34</v>
      </c>
      <c r="P1924" s="61"/>
    </row>
    <row r="1925">
      <c r="A1925" s="29" t="s">
        <v>2088</v>
      </c>
      <c r="B1925" s="30" t="s">
        <v>25</v>
      </c>
      <c r="C1925" s="31" t="s">
        <v>1860</v>
      </c>
      <c r="D1925" s="32" t="str">
        <f t="shared" si="1"/>
        <v>Removed</v>
      </c>
      <c r="E1925" s="33">
        <v>42374.0</v>
      </c>
      <c r="F1925" s="92">
        <v>44725.0</v>
      </c>
      <c r="G1925" s="36">
        <f t="shared" si="2"/>
        <v>77.26666667</v>
      </c>
      <c r="H1925" s="37">
        <v>40757.0</v>
      </c>
      <c r="I1925" s="36">
        <f t="shared" si="4"/>
        <v>4.425</v>
      </c>
      <c r="J1925" s="76"/>
      <c r="K1925" s="79"/>
      <c r="L1925" s="76"/>
      <c r="M1925" s="40" t="s">
        <v>136</v>
      </c>
      <c r="N1925" s="41"/>
      <c r="O1925" s="42" t="s">
        <v>34</v>
      </c>
      <c r="P1925" s="43"/>
    </row>
    <row r="1926">
      <c r="A1926" s="44" t="s">
        <v>2089</v>
      </c>
      <c r="B1926" s="45" t="s">
        <v>25</v>
      </c>
      <c r="C1926" s="46" t="s">
        <v>1860</v>
      </c>
      <c r="D1926" s="47" t="str">
        <f t="shared" si="1"/>
        <v>Removed</v>
      </c>
      <c r="E1926" s="48">
        <v>42374.0</v>
      </c>
      <c r="F1926" s="80">
        <v>44725.0</v>
      </c>
      <c r="G1926" s="50">
        <f t="shared" si="2"/>
        <v>77.26666667</v>
      </c>
      <c r="H1926" s="51">
        <v>41609.0</v>
      </c>
      <c r="I1926" s="50">
        <f t="shared" si="4"/>
        <v>2.094444444</v>
      </c>
      <c r="J1926" s="55">
        <v>71.0</v>
      </c>
      <c r="K1926" s="56">
        <v>7.4</v>
      </c>
      <c r="L1926" s="55">
        <v>1.0</v>
      </c>
      <c r="M1926" s="58" t="s">
        <v>64</v>
      </c>
      <c r="N1926" s="59" t="s">
        <v>442</v>
      </c>
      <c r="O1926" s="60" t="s">
        <v>34</v>
      </c>
      <c r="P1926" s="66"/>
    </row>
    <row r="1927">
      <c r="A1927" s="29" t="s">
        <v>507</v>
      </c>
      <c r="B1927" s="30" t="s">
        <v>25</v>
      </c>
      <c r="C1927" s="31" t="s">
        <v>1860</v>
      </c>
      <c r="D1927" s="32" t="str">
        <f t="shared" si="1"/>
        <v>Removed</v>
      </c>
      <c r="E1927" s="33">
        <v>42374.0</v>
      </c>
      <c r="F1927" s="92">
        <v>44725.0</v>
      </c>
      <c r="G1927" s="36">
        <f t="shared" si="2"/>
        <v>77.26666667</v>
      </c>
      <c r="H1927" s="37">
        <v>41618.0</v>
      </c>
      <c r="I1927" s="36">
        <f t="shared" si="4"/>
        <v>2.069444444</v>
      </c>
      <c r="J1927" s="38">
        <v>60.0</v>
      </c>
      <c r="K1927" s="39">
        <v>7.3</v>
      </c>
      <c r="L1927" s="76"/>
      <c r="M1927" s="40" t="s">
        <v>51</v>
      </c>
      <c r="N1927" s="41" t="s">
        <v>442</v>
      </c>
      <c r="O1927" s="42" t="s">
        <v>34</v>
      </c>
      <c r="P1927" s="67"/>
    </row>
    <row r="1928">
      <c r="A1928" s="44" t="s">
        <v>2090</v>
      </c>
      <c r="B1928" s="45" t="s">
        <v>25</v>
      </c>
      <c r="C1928" s="46" t="s">
        <v>1860</v>
      </c>
      <c r="D1928" s="47" t="str">
        <f t="shared" si="1"/>
        <v>Removed</v>
      </c>
      <c r="E1928" s="48">
        <v>42374.0</v>
      </c>
      <c r="F1928" s="80">
        <v>44725.0</v>
      </c>
      <c r="G1928" s="50">
        <f t="shared" si="2"/>
        <v>77.26666667</v>
      </c>
      <c r="H1928" s="51">
        <v>41091.0</v>
      </c>
      <c r="I1928" s="50">
        <f t="shared" si="4"/>
        <v>3.511111111</v>
      </c>
      <c r="J1928" s="55">
        <v>92.0</v>
      </c>
      <c r="K1928" s="56">
        <v>8.6</v>
      </c>
      <c r="L1928" s="55">
        <v>2.5</v>
      </c>
      <c r="M1928" s="58" t="s">
        <v>29</v>
      </c>
      <c r="N1928" s="59" t="s">
        <v>442</v>
      </c>
      <c r="O1928" s="60" t="s">
        <v>34</v>
      </c>
      <c r="P1928" s="66"/>
    </row>
    <row r="1929">
      <c r="A1929" s="29" t="s">
        <v>2091</v>
      </c>
      <c r="B1929" s="30" t="s">
        <v>25</v>
      </c>
      <c r="C1929" s="31" t="s">
        <v>1860</v>
      </c>
      <c r="D1929" s="32" t="str">
        <f t="shared" si="1"/>
        <v>Removed</v>
      </c>
      <c r="E1929" s="33">
        <v>42374.0</v>
      </c>
      <c r="F1929" s="92">
        <v>44725.0</v>
      </c>
      <c r="G1929" s="36">
        <f t="shared" si="2"/>
        <v>77.26666667</v>
      </c>
      <c r="H1929" s="37">
        <v>41030.0</v>
      </c>
      <c r="I1929" s="36">
        <f t="shared" si="4"/>
        <v>3.677777778</v>
      </c>
      <c r="J1929" s="38">
        <v>77.0</v>
      </c>
      <c r="K1929" s="39">
        <v>7.7</v>
      </c>
      <c r="L1929" s="38">
        <v>8.0</v>
      </c>
      <c r="M1929" s="40" t="s">
        <v>31</v>
      </c>
      <c r="N1929" s="41" t="s">
        <v>442</v>
      </c>
      <c r="O1929" s="42" t="s">
        <v>34</v>
      </c>
      <c r="P1929" s="67"/>
    </row>
    <row r="1930">
      <c r="A1930" s="44" t="s">
        <v>2092</v>
      </c>
      <c r="B1930" s="45" t="s">
        <v>25</v>
      </c>
      <c r="C1930" s="46" t="s">
        <v>1860</v>
      </c>
      <c r="D1930" s="47" t="str">
        <f t="shared" si="1"/>
        <v>Removed</v>
      </c>
      <c r="E1930" s="48">
        <v>42374.0</v>
      </c>
      <c r="F1930" s="80">
        <v>44725.0</v>
      </c>
      <c r="G1930" s="50">
        <f t="shared" si="2"/>
        <v>77.26666667</v>
      </c>
      <c r="H1930" s="51">
        <v>40452.0</v>
      </c>
      <c r="I1930" s="50">
        <f t="shared" si="4"/>
        <v>5.261111111</v>
      </c>
      <c r="J1930" s="55">
        <v>86.0</v>
      </c>
      <c r="K1930" s="56">
        <v>8.8</v>
      </c>
      <c r="L1930" s="55">
        <v>5.0</v>
      </c>
      <c r="M1930" s="58" t="s">
        <v>29</v>
      </c>
      <c r="N1930" s="59" t="s">
        <v>442</v>
      </c>
      <c r="O1930" s="60" t="s">
        <v>34</v>
      </c>
      <c r="P1930" s="66"/>
    </row>
    <row r="1931">
      <c r="A1931" s="29" t="s">
        <v>2093</v>
      </c>
      <c r="B1931" s="30" t="s">
        <v>25</v>
      </c>
      <c r="C1931" s="31" t="s">
        <v>1860</v>
      </c>
      <c r="D1931" s="32" t="str">
        <f t="shared" si="1"/>
        <v>Removed</v>
      </c>
      <c r="E1931" s="33">
        <v>42374.0</v>
      </c>
      <c r="F1931" s="92">
        <v>44725.0</v>
      </c>
      <c r="G1931" s="36">
        <f t="shared" si="2"/>
        <v>77.26666667</v>
      </c>
      <c r="H1931" s="37">
        <v>40087.0</v>
      </c>
      <c r="I1931" s="36">
        <f t="shared" si="4"/>
        <v>6.261111111</v>
      </c>
      <c r="J1931" s="38">
        <v>73.0</v>
      </c>
      <c r="K1931" s="39">
        <v>7.0</v>
      </c>
      <c r="L1931" s="38">
        <v>3.0</v>
      </c>
      <c r="M1931" s="40" t="s">
        <v>31</v>
      </c>
      <c r="N1931" s="41" t="s">
        <v>442</v>
      </c>
      <c r="O1931" s="42" t="s">
        <v>34</v>
      </c>
      <c r="P1931" s="67"/>
    </row>
    <row r="1932">
      <c r="A1932" s="44" t="s">
        <v>2094</v>
      </c>
      <c r="B1932" s="45" t="s">
        <v>25</v>
      </c>
      <c r="C1932" s="46" t="s">
        <v>1860</v>
      </c>
      <c r="D1932" s="47" t="str">
        <f t="shared" si="1"/>
        <v>Removed</v>
      </c>
      <c r="E1932" s="48">
        <v>42374.0</v>
      </c>
      <c r="F1932" s="80">
        <v>44725.0</v>
      </c>
      <c r="G1932" s="50">
        <f t="shared" si="2"/>
        <v>77.26666667</v>
      </c>
      <c r="H1932" s="51">
        <v>39845.0</v>
      </c>
      <c r="I1932" s="50">
        <f t="shared" si="4"/>
        <v>6.927777778</v>
      </c>
      <c r="J1932" s="55">
        <v>87.0</v>
      </c>
      <c r="K1932" s="56">
        <v>8.3</v>
      </c>
      <c r="L1932" s="55">
        <v>2.0</v>
      </c>
      <c r="M1932" s="58" t="s">
        <v>29</v>
      </c>
      <c r="N1932" s="59" t="s">
        <v>442</v>
      </c>
      <c r="O1932" s="60" t="s">
        <v>34</v>
      </c>
      <c r="P1932" s="66"/>
    </row>
    <row r="1933">
      <c r="A1933" s="29" t="s">
        <v>2095</v>
      </c>
      <c r="B1933" s="30" t="s">
        <v>25</v>
      </c>
      <c r="C1933" s="31" t="s">
        <v>1860</v>
      </c>
      <c r="D1933" s="32" t="str">
        <f t="shared" si="1"/>
        <v>Removed</v>
      </c>
      <c r="E1933" s="33">
        <v>42374.0</v>
      </c>
      <c r="F1933" s="92">
        <v>44725.0</v>
      </c>
      <c r="G1933" s="36">
        <f t="shared" si="2"/>
        <v>77.26666667</v>
      </c>
      <c r="H1933" s="37">
        <v>39845.0</v>
      </c>
      <c r="I1933" s="36">
        <f t="shared" si="4"/>
        <v>6.927777778</v>
      </c>
      <c r="J1933" s="38">
        <v>91.0</v>
      </c>
      <c r="K1933" s="39">
        <v>8.4</v>
      </c>
      <c r="L1933" s="38">
        <v>6.0</v>
      </c>
      <c r="M1933" s="40" t="s">
        <v>31</v>
      </c>
      <c r="N1933" s="41" t="s">
        <v>442</v>
      </c>
      <c r="O1933" s="42" t="s">
        <v>34</v>
      </c>
      <c r="P1933" s="67"/>
    </row>
    <row r="1934">
      <c r="A1934" s="44" t="s">
        <v>2096</v>
      </c>
      <c r="B1934" s="45" t="s">
        <v>25</v>
      </c>
      <c r="C1934" s="46" t="s">
        <v>1860</v>
      </c>
      <c r="D1934" s="47" t="str">
        <f t="shared" si="1"/>
        <v>Removed</v>
      </c>
      <c r="E1934" s="48">
        <v>42374.0</v>
      </c>
      <c r="F1934" s="80">
        <v>44725.0</v>
      </c>
      <c r="G1934" s="50">
        <f t="shared" si="2"/>
        <v>77.26666667</v>
      </c>
      <c r="H1934" s="51">
        <v>39508.0</v>
      </c>
      <c r="I1934" s="50">
        <f t="shared" si="4"/>
        <v>7.844444444</v>
      </c>
      <c r="J1934" s="55">
        <v>91.0</v>
      </c>
      <c r="K1934" s="56">
        <v>8.8</v>
      </c>
      <c r="L1934" s="55">
        <v>5.0</v>
      </c>
      <c r="M1934" s="58" t="s">
        <v>29</v>
      </c>
      <c r="N1934" s="59" t="s">
        <v>442</v>
      </c>
      <c r="O1934" s="60" t="s">
        <v>34</v>
      </c>
      <c r="P1934" s="66"/>
    </row>
    <row r="1935">
      <c r="A1935" s="29" t="s">
        <v>475</v>
      </c>
      <c r="B1935" s="30" t="s">
        <v>25</v>
      </c>
      <c r="C1935" s="31" t="s">
        <v>1860</v>
      </c>
      <c r="D1935" s="32" t="str">
        <f t="shared" si="1"/>
        <v>Removed</v>
      </c>
      <c r="E1935" s="33">
        <v>42374.0</v>
      </c>
      <c r="F1935" s="92">
        <v>44725.0</v>
      </c>
      <c r="G1935" s="36">
        <f t="shared" si="2"/>
        <v>77.26666667</v>
      </c>
      <c r="H1935" s="37">
        <v>39326.0</v>
      </c>
      <c r="I1935" s="36">
        <f t="shared" si="4"/>
        <v>8.344444444</v>
      </c>
      <c r="J1935" s="38">
        <v>79.0</v>
      </c>
      <c r="K1935" s="39">
        <v>8.0</v>
      </c>
      <c r="L1935" s="38">
        <v>7.0</v>
      </c>
      <c r="M1935" s="40" t="s">
        <v>29</v>
      </c>
      <c r="N1935" s="41" t="s">
        <v>442</v>
      </c>
      <c r="O1935" s="42" t="s">
        <v>34</v>
      </c>
      <c r="P1935" s="67"/>
    </row>
    <row r="1936">
      <c r="A1936" s="44" t="s">
        <v>2097</v>
      </c>
      <c r="B1936" s="45" t="s">
        <v>25</v>
      </c>
      <c r="C1936" s="46" t="s">
        <v>1860</v>
      </c>
      <c r="D1936" s="47" t="str">
        <f t="shared" si="1"/>
        <v>Removed</v>
      </c>
      <c r="E1936" s="48">
        <v>42374.0</v>
      </c>
      <c r="F1936" s="80">
        <v>44725.0</v>
      </c>
      <c r="G1936" s="50">
        <f t="shared" si="2"/>
        <v>77.26666667</v>
      </c>
      <c r="H1936" s="51">
        <v>39234.0</v>
      </c>
      <c r="I1936" s="50">
        <f t="shared" si="4"/>
        <v>8.594444444</v>
      </c>
      <c r="J1936" s="55">
        <v>62.0</v>
      </c>
      <c r="K1936" s="56">
        <v>7.1</v>
      </c>
      <c r="L1936" s="55">
        <v>4.0</v>
      </c>
      <c r="M1936" s="58" t="s">
        <v>136</v>
      </c>
      <c r="N1936" s="59" t="s">
        <v>442</v>
      </c>
      <c r="O1936" s="60" t="s">
        <v>34</v>
      </c>
      <c r="P1936" s="66"/>
    </row>
    <row r="1937">
      <c r="A1937" s="29" t="s">
        <v>2098</v>
      </c>
      <c r="B1937" s="30" t="s">
        <v>25</v>
      </c>
      <c r="C1937" s="31" t="s">
        <v>1860</v>
      </c>
      <c r="D1937" s="32" t="str">
        <f t="shared" si="1"/>
        <v>Removed</v>
      </c>
      <c r="E1937" s="33">
        <v>42374.0</v>
      </c>
      <c r="F1937" s="92">
        <v>44725.0</v>
      </c>
      <c r="G1937" s="36">
        <f t="shared" si="2"/>
        <v>77.26666667</v>
      </c>
      <c r="H1937" s="37">
        <v>39052.0</v>
      </c>
      <c r="I1937" s="36">
        <f t="shared" si="4"/>
        <v>9.094444444</v>
      </c>
      <c r="J1937" s="38">
        <v>59.0</v>
      </c>
      <c r="K1937" s="39">
        <v>7.8</v>
      </c>
      <c r="L1937" s="38">
        <v>9.0</v>
      </c>
      <c r="M1937" s="40" t="s">
        <v>136</v>
      </c>
      <c r="N1937" s="41" t="s">
        <v>442</v>
      </c>
      <c r="O1937" s="42" t="s">
        <v>34</v>
      </c>
      <c r="P1937" s="67"/>
    </row>
    <row r="1938">
      <c r="A1938" s="44" t="s">
        <v>2099</v>
      </c>
      <c r="B1938" s="45" t="s">
        <v>25</v>
      </c>
      <c r="C1938" s="46" t="s">
        <v>1860</v>
      </c>
      <c r="D1938" s="47" t="str">
        <f t="shared" si="1"/>
        <v>Removed</v>
      </c>
      <c r="E1938" s="48">
        <v>42312.0</v>
      </c>
      <c r="F1938" s="80">
        <v>44725.0</v>
      </c>
      <c r="G1938" s="50">
        <f t="shared" si="2"/>
        <v>79.3</v>
      </c>
      <c r="H1938" s="51">
        <v>41550.0</v>
      </c>
      <c r="I1938" s="50">
        <f t="shared" si="4"/>
        <v>2.086111111</v>
      </c>
      <c r="J1938" s="55">
        <v>74.0</v>
      </c>
      <c r="K1938" s="56">
        <v>7.2</v>
      </c>
      <c r="L1938" s="78"/>
      <c r="M1938" s="58" t="s">
        <v>136</v>
      </c>
      <c r="N1938" s="59"/>
      <c r="O1938" s="60" t="s">
        <v>34</v>
      </c>
      <c r="P1938" s="61"/>
    </row>
    <row r="1939">
      <c r="A1939" s="29" t="s">
        <v>2100</v>
      </c>
      <c r="B1939" s="30" t="s">
        <v>25</v>
      </c>
      <c r="C1939" s="31" t="s">
        <v>1860</v>
      </c>
      <c r="D1939" s="32" t="str">
        <f t="shared" si="1"/>
        <v>Removed</v>
      </c>
      <c r="E1939" s="33">
        <v>42312.0</v>
      </c>
      <c r="F1939" s="92">
        <v>44725.0</v>
      </c>
      <c r="G1939" s="36">
        <f t="shared" si="2"/>
        <v>79.3</v>
      </c>
      <c r="H1939" s="37">
        <v>41107.0</v>
      </c>
      <c r="I1939" s="36">
        <f t="shared" si="4"/>
        <v>3.297222222</v>
      </c>
      <c r="J1939" s="38">
        <v>53.0</v>
      </c>
      <c r="K1939" s="39">
        <v>6.1</v>
      </c>
      <c r="L1939" s="76"/>
      <c r="M1939" s="40" t="s">
        <v>95</v>
      </c>
      <c r="N1939" s="41" t="s">
        <v>442</v>
      </c>
      <c r="O1939" s="42" t="s">
        <v>34</v>
      </c>
      <c r="P1939" s="67"/>
    </row>
    <row r="1940">
      <c r="A1940" s="44" t="s">
        <v>2101</v>
      </c>
      <c r="B1940" s="45" t="s">
        <v>25</v>
      </c>
      <c r="C1940" s="46" t="s">
        <v>1860</v>
      </c>
      <c r="D1940" s="47" t="str">
        <f t="shared" si="1"/>
        <v>Removed</v>
      </c>
      <c r="E1940" s="48">
        <v>42311.0</v>
      </c>
      <c r="F1940" s="80">
        <v>44725.0</v>
      </c>
      <c r="G1940" s="50">
        <f t="shared" si="2"/>
        <v>79.33333333</v>
      </c>
      <c r="H1940" s="51">
        <v>41572.0</v>
      </c>
      <c r="I1940" s="50">
        <f t="shared" si="4"/>
        <v>2.022222222</v>
      </c>
      <c r="J1940" s="55">
        <v>68.0</v>
      </c>
      <c r="K1940" s="56">
        <v>6.9</v>
      </c>
      <c r="L1940" s="78"/>
      <c r="M1940" s="58" t="s">
        <v>95</v>
      </c>
      <c r="N1940" s="59" t="s">
        <v>442</v>
      </c>
      <c r="O1940" s="60" t="s">
        <v>34</v>
      </c>
      <c r="P1940" s="66"/>
    </row>
    <row r="1941">
      <c r="A1941" s="29" t="s">
        <v>2102</v>
      </c>
      <c r="B1941" s="30" t="s">
        <v>25</v>
      </c>
      <c r="C1941" s="31" t="s">
        <v>1860</v>
      </c>
      <c r="D1941" s="32" t="str">
        <f t="shared" si="1"/>
        <v>Removed</v>
      </c>
      <c r="E1941" s="33">
        <v>42311.0</v>
      </c>
      <c r="F1941" s="92">
        <v>44725.0</v>
      </c>
      <c r="G1941" s="36">
        <f t="shared" si="2"/>
        <v>79.33333333</v>
      </c>
      <c r="H1941" s="37">
        <v>40785.0</v>
      </c>
      <c r="I1941" s="36">
        <f t="shared" si="4"/>
        <v>4.175</v>
      </c>
      <c r="J1941" s="38">
        <v>75.0</v>
      </c>
      <c r="K1941" s="39">
        <v>7.1</v>
      </c>
      <c r="L1941" s="38">
        <v>10.0</v>
      </c>
      <c r="M1941" s="40" t="s">
        <v>42</v>
      </c>
      <c r="N1941" s="41"/>
      <c r="O1941" s="42" t="s">
        <v>34</v>
      </c>
      <c r="P1941" s="43"/>
    </row>
    <row r="1942">
      <c r="A1942" s="44" t="s">
        <v>2103</v>
      </c>
      <c r="B1942" s="45" t="s">
        <v>25</v>
      </c>
      <c r="C1942" s="46" t="s">
        <v>1860</v>
      </c>
      <c r="D1942" s="47" t="str">
        <f t="shared" si="1"/>
        <v>Removed</v>
      </c>
      <c r="E1942" s="48">
        <v>42311.0</v>
      </c>
      <c r="F1942" s="80">
        <v>44725.0</v>
      </c>
      <c r="G1942" s="50">
        <f t="shared" si="2"/>
        <v>79.33333333</v>
      </c>
      <c r="H1942" s="51">
        <v>41548.0</v>
      </c>
      <c r="I1942" s="50">
        <f t="shared" si="4"/>
        <v>2.088888889</v>
      </c>
      <c r="J1942" s="55">
        <v>48.0</v>
      </c>
      <c r="K1942" s="56">
        <v>6.5</v>
      </c>
      <c r="L1942" s="78"/>
      <c r="M1942" s="58" t="s">
        <v>125</v>
      </c>
      <c r="N1942" s="59"/>
      <c r="O1942" s="60" t="s">
        <v>34</v>
      </c>
      <c r="P1942" s="61"/>
    </row>
    <row r="1943">
      <c r="A1943" s="29" t="s">
        <v>2104</v>
      </c>
      <c r="B1943" s="30" t="s">
        <v>25</v>
      </c>
      <c r="C1943" s="31" t="s">
        <v>1860</v>
      </c>
      <c r="D1943" s="32" t="str">
        <f t="shared" si="1"/>
        <v>Removed</v>
      </c>
      <c r="E1943" s="33">
        <v>42311.0</v>
      </c>
      <c r="F1943" s="92">
        <v>44725.0</v>
      </c>
      <c r="G1943" s="36">
        <f t="shared" si="2"/>
        <v>79.33333333</v>
      </c>
      <c r="H1943" s="37">
        <v>40652.0</v>
      </c>
      <c r="I1943" s="36">
        <f t="shared" si="4"/>
        <v>4.538888889</v>
      </c>
      <c r="J1943" s="38">
        <v>86.0</v>
      </c>
      <c r="K1943" s="39">
        <v>8.2</v>
      </c>
      <c r="L1943" s="38">
        <v>6.0</v>
      </c>
      <c r="M1943" s="40" t="s">
        <v>114</v>
      </c>
      <c r="N1943" s="41"/>
      <c r="O1943" s="42" t="s">
        <v>34</v>
      </c>
      <c r="P1943" s="43"/>
    </row>
    <row r="1944">
      <c r="A1944" s="44" t="s">
        <v>2105</v>
      </c>
      <c r="B1944" s="45" t="s">
        <v>25</v>
      </c>
      <c r="C1944" s="46" t="s">
        <v>1860</v>
      </c>
      <c r="D1944" s="47" t="str">
        <f t="shared" si="1"/>
        <v>Removed</v>
      </c>
      <c r="E1944" s="48">
        <v>42311.0</v>
      </c>
      <c r="F1944" s="80">
        <v>44725.0</v>
      </c>
      <c r="G1944" s="50">
        <f t="shared" si="2"/>
        <v>79.33333333</v>
      </c>
      <c r="H1944" s="51">
        <v>41394.0</v>
      </c>
      <c r="I1944" s="50">
        <f t="shared" si="4"/>
        <v>2.508333333</v>
      </c>
      <c r="J1944" s="55">
        <v>63.0</v>
      </c>
      <c r="K1944" s="56">
        <v>6.8</v>
      </c>
      <c r="L1944" s="55">
        <v>8.0</v>
      </c>
      <c r="M1944" s="58" t="s">
        <v>29</v>
      </c>
      <c r="N1944" s="59"/>
      <c r="O1944" s="60" t="s">
        <v>34</v>
      </c>
      <c r="P1944" s="61"/>
    </row>
    <row r="1945">
      <c r="A1945" s="29" t="s">
        <v>2106</v>
      </c>
      <c r="B1945" s="30" t="s">
        <v>25</v>
      </c>
      <c r="C1945" s="31" t="s">
        <v>1860</v>
      </c>
      <c r="D1945" s="32" t="str">
        <f t="shared" si="1"/>
        <v>Removed</v>
      </c>
      <c r="E1945" s="33">
        <v>42311.0</v>
      </c>
      <c r="F1945" s="92">
        <v>44725.0</v>
      </c>
      <c r="G1945" s="36">
        <f t="shared" si="2"/>
        <v>79.33333333</v>
      </c>
      <c r="H1945" s="37">
        <v>41324.0</v>
      </c>
      <c r="I1945" s="36">
        <f t="shared" si="4"/>
        <v>2.705555556</v>
      </c>
      <c r="J1945" s="38">
        <v>69.0</v>
      </c>
      <c r="K1945" s="79"/>
      <c r="L1945" s="76"/>
      <c r="M1945" s="40" t="s">
        <v>279</v>
      </c>
      <c r="N1945" s="41" t="s">
        <v>442</v>
      </c>
      <c r="O1945" s="42" t="s">
        <v>34</v>
      </c>
      <c r="P1945" s="67"/>
    </row>
    <row r="1946">
      <c r="A1946" s="44" t="s">
        <v>2107</v>
      </c>
      <c r="B1946" s="45" t="s">
        <v>25</v>
      </c>
      <c r="C1946" s="46" t="s">
        <v>1860</v>
      </c>
      <c r="D1946" s="47" t="str">
        <f t="shared" si="1"/>
        <v>Removed</v>
      </c>
      <c r="E1946" s="48">
        <v>42311.0</v>
      </c>
      <c r="F1946" s="80">
        <v>44725.0</v>
      </c>
      <c r="G1946" s="50">
        <f t="shared" si="2"/>
        <v>79.33333333</v>
      </c>
      <c r="H1946" s="51">
        <v>40909.0</v>
      </c>
      <c r="I1946" s="50">
        <f t="shared" si="4"/>
        <v>3.838888889</v>
      </c>
      <c r="J1946" s="55">
        <v>71.0</v>
      </c>
      <c r="K1946" s="56">
        <v>6.7</v>
      </c>
      <c r="L1946" s="55">
        <v>4.0</v>
      </c>
      <c r="M1946" s="58" t="s">
        <v>31</v>
      </c>
      <c r="N1946" s="59" t="s">
        <v>442</v>
      </c>
      <c r="O1946" s="60" t="s">
        <v>34</v>
      </c>
      <c r="P1946" s="66"/>
    </row>
    <row r="1947">
      <c r="A1947" s="29" t="s">
        <v>2108</v>
      </c>
      <c r="B1947" s="30" t="s">
        <v>25</v>
      </c>
      <c r="C1947" s="31" t="s">
        <v>1860</v>
      </c>
      <c r="D1947" s="32" t="str">
        <f t="shared" si="1"/>
        <v>Removed</v>
      </c>
      <c r="E1947" s="33">
        <v>42311.0</v>
      </c>
      <c r="F1947" s="92">
        <v>44725.0</v>
      </c>
      <c r="G1947" s="36">
        <f t="shared" si="2"/>
        <v>79.33333333</v>
      </c>
      <c r="H1947" s="37">
        <v>40878.0</v>
      </c>
      <c r="I1947" s="36">
        <f t="shared" si="4"/>
        <v>3.922222222</v>
      </c>
      <c r="J1947" s="38">
        <v>82.0</v>
      </c>
      <c r="K1947" s="39">
        <v>8.3</v>
      </c>
      <c r="L1947" s="38">
        <v>9.0</v>
      </c>
      <c r="M1947" s="40" t="s">
        <v>31</v>
      </c>
      <c r="N1947" s="41" t="s">
        <v>442</v>
      </c>
      <c r="O1947" s="42" t="s">
        <v>34</v>
      </c>
      <c r="P1947" s="67"/>
    </row>
    <row r="1948">
      <c r="A1948" s="44" t="s">
        <v>2109</v>
      </c>
      <c r="B1948" s="45" t="s">
        <v>25</v>
      </c>
      <c r="C1948" s="46" t="s">
        <v>1860</v>
      </c>
      <c r="D1948" s="47" t="str">
        <f t="shared" si="1"/>
        <v>Removed</v>
      </c>
      <c r="E1948" s="48">
        <v>42311.0</v>
      </c>
      <c r="F1948" s="80">
        <v>44725.0</v>
      </c>
      <c r="G1948" s="50">
        <f t="shared" si="2"/>
        <v>79.33333333</v>
      </c>
      <c r="H1948" s="51">
        <v>40756.0</v>
      </c>
      <c r="I1948" s="50">
        <f t="shared" si="4"/>
        <v>4.255555556</v>
      </c>
      <c r="J1948" s="55">
        <v>50.0</v>
      </c>
      <c r="K1948" s="56">
        <v>5.5</v>
      </c>
      <c r="L1948" s="55">
        <v>6.0</v>
      </c>
      <c r="M1948" s="58" t="s">
        <v>31</v>
      </c>
      <c r="N1948" s="59" t="s">
        <v>442</v>
      </c>
      <c r="O1948" s="60" t="s">
        <v>34</v>
      </c>
      <c r="P1948" s="66"/>
    </row>
    <row r="1949">
      <c r="A1949" s="29" t="s">
        <v>2110</v>
      </c>
      <c r="B1949" s="30" t="s">
        <v>25</v>
      </c>
      <c r="C1949" s="31" t="s">
        <v>1860</v>
      </c>
      <c r="D1949" s="32" t="str">
        <f t="shared" si="1"/>
        <v>Removed</v>
      </c>
      <c r="E1949" s="33">
        <v>42311.0</v>
      </c>
      <c r="F1949" s="92">
        <v>44725.0</v>
      </c>
      <c r="G1949" s="36">
        <f t="shared" si="2"/>
        <v>79.33333333</v>
      </c>
      <c r="H1949" s="37">
        <v>40269.0</v>
      </c>
      <c r="I1949" s="36">
        <f t="shared" si="4"/>
        <v>5.588888889</v>
      </c>
      <c r="J1949" s="38">
        <v>55.0</v>
      </c>
      <c r="K1949" s="39">
        <v>6.3</v>
      </c>
      <c r="L1949" s="38">
        <v>7.0</v>
      </c>
      <c r="M1949" s="40" t="s">
        <v>31</v>
      </c>
      <c r="N1949" s="41" t="s">
        <v>442</v>
      </c>
      <c r="O1949" s="42" t="s">
        <v>34</v>
      </c>
      <c r="P1949" s="67"/>
    </row>
    <row r="1950">
      <c r="A1950" s="44" t="s">
        <v>2111</v>
      </c>
      <c r="B1950" s="45" t="s">
        <v>25</v>
      </c>
      <c r="C1950" s="46" t="s">
        <v>1860</v>
      </c>
      <c r="D1950" s="47" t="str">
        <f t="shared" si="1"/>
        <v>Removed</v>
      </c>
      <c r="E1950" s="48">
        <v>42311.0</v>
      </c>
      <c r="F1950" s="80">
        <v>44725.0</v>
      </c>
      <c r="G1950" s="50">
        <f t="shared" si="2"/>
        <v>79.33333333</v>
      </c>
      <c r="H1950" s="51">
        <v>40118.0</v>
      </c>
      <c r="I1950" s="50">
        <f t="shared" si="4"/>
        <v>6.005555556</v>
      </c>
      <c r="J1950" s="55">
        <v>93.0</v>
      </c>
      <c r="K1950" s="56">
        <v>8.3</v>
      </c>
      <c r="L1950" s="55">
        <v>6.0</v>
      </c>
      <c r="M1950" s="58" t="s">
        <v>27</v>
      </c>
      <c r="N1950" s="59" t="s">
        <v>442</v>
      </c>
      <c r="O1950" s="60" t="s">
        <v>34</v>
      </c>
      <c r="P1950" s="66"/>
    </row>
    <row r="1951">
      <c r="A1951" s="29" t="s">
        <v>2112</v>
      </c>
      <c r="B1951" s="30" t="s">
        <v>25</v>
      </c>
      <c r="C1951" s="31" t="s">
        <v>1860</v>
      </c>
      <c r="D1951" s="32" t="str">
        <f t="shared" si="1"/>
        <v>Removed</v>
      </c>
      <c r="E1951" s="33">
        <v>42282.0</v>
      </c>
      <c r="F1951" s="92">
        <v>44725.0</v>
      </c>
      <c r="G1951" s="36">
        <f t="shared" si="2"/>
        <v>80.26666667</v>
      </c>
      <c r="H1951" s="37">
        <v>41213.0</v>
      </c>
      <c r="I1951" s="36">
        <f t="shared" si="4"/>
        <v>2.930555556</v>
      </c>
      <c r="J1951" s="38">
        <v>66.0</v>
      </c>
      <c r="K1951" s="39">
        <v>6.6</v>
      </c>
      <c r="L1951" s="38">
        <v>7.0</v>
      </c>
      <c r="M1951" s="40" t="s">
        <v>31</v>
      </c>
      <c r="N1951" s="41"/>
      <c r="O1951" s="42" t="s">
        <v>34</v>
      </c>
      <c r="P1951" s="43"/>
    </row>
    <row r="1952">
      <c r="A1952" s="44" t="s">
        <v>2113</v>
      </c>
      <c r="B1952" s="45" t="s">
        <v>25</v>
      </c>
      <c r="C1952" s="46" t="s">
        <v>1860</v>
      </c>
      <c r="D1952" s="47" t="str">
        <f t="shared" si="1"/>
        <v>Removed</v>
      </c>
      <c r="E1952" s="48">
        <v>42247.0</v>
      </c>
      <c r="F1952" s="80">
        <v>44725.0</v>
      </c>
      <c r="G1952" s="50">
        <f t="shared" si="2"/>
        <v>81.43333333</v>
      </c>
      <c r="H1952" s="51">
        <v>40817.0</v>
      </c>
      <c r="I1952" s="50">
        <f t="shared" si="4"/>
        <v>3.913888889</v>
      </c>
      <c r="J1952" s="55">
        <v>76.0</v>
      </c>
      <c r="K1952" s="56">
        <v>7.3</v>
      </c>
      <c r="L1952" s="55">
        <v>3.0</v>
      </c>
      <c r="M1952" s="58" t="s">
        <v>31</v>
      </c>
      <c r="N1952" s="59" t="s">
        <v>442</v>
      </c>
      <c r="O1952" s="60" t="s">
        <v>34</v>
      </c>
      <c r="P1952" s="66"/>
    </row>
    <row r="1953">
      <c r="A1953" s="29" t="s">
        <v>2114</v>
      </c>
      <c r="B1953" s="30" t="s">
        <v>25</v>
      </c>
      <c r="C1953" s="31" t="s">
        <v>1860</v>
      </c>
      <c r="D1953" s="32" t="str">
        <f t="shared" si="1"/>
        <v>Removed</v>
      </c>
      <c r="E1953" s="33">
        <v>42247.0</v>
      </c>
      <c r="F1953" s="92">
        <v>44725.0</v>
      </c>
      <c r="G1953" s="36">
        <f t="shared" si="2"/>
        <v>81.43333333</v>
      </c>
      <c r="H1953" s="37">
        <v>40603.0</v>
      </c>
      <c r="I1953" s="36">
        <f t="shared" si="4"/>
        <v>4.497222222</v>
      </c>
      <c r="J1953" s="38">
        <v>82.0</v>
      </c>
      <c r="K1953" s="39">
        <v>7.7</v>
      </c>
      <c r="L1953" s="38">
        <v>4.5</v>
      </c>
      <c r="M1953" s="40" t="s">
        <v>31</v>
      </c>
      <c r="N1953" s="41" t="s">
        <v>442</v>
      </c>
      <c r="O1953" s="42" t="s">
        <v>34</v>
      </c>
      <c r="P1953" s="67"/>
    </row>
    <row r="1954">
      <c r="A1954" s="44" t="s">
        <v>2115</v>
      </c>
      <c r="B1954" s="45" t="s">
        <v>25</v>
      </c>
      <c r="C1954" s="46" t="s">
        <v>1860</v>
      </c>
      <c r="D1954" s="47" t="str">
        <f t="shared" si="1"/>
        <v>Removed</v>
      </c>
      <c r="E1954" s="48">
        <v>42247.0</v>
      </c>
      <c r="F1954" s="80">
        <v>44725.0</v>
      </c>
      <c r="G1954" s="50">
        <f t="shared" si="2"/>
        <v>81.43333333</v>
      </c>
      <c r="H1954" s="51">
        <v>40148.0</v>
      </c>
      <c r="I1954" s="50">
        <f t="shared" si="4"/>
        <v>5.747222222</v>
      </c>
      <c r="J1954" s="55">
        <v>87.0</v>
      </c>
      <c r="K1954" s="56">
        <v>7.8</v>
      </c>
      <c r="L1954" s="55">
        <v>4.0</v>
      </c>
      <c r="M1954" s="58" t="s">
        <v>31</v>
      </c>
      <c r="N1954" s="59" t="s">
        <v>442</v>
      </c>
      <c r="O1954" s="60" t="s">
        <v>34</v>
      </c>
      <c r="P1954" s="66"/>
    </row>
    <row r="1955">
      <c r="A1955" s="29" t="s">
        <v>2116</v>
      </c>
      <c r="B1955" s="30" t="s">
        <v>25</v>
      </c>
      <c r="C1955" s="31" t="s">
        <v>1860</v>
      </c>
      <c r="D1955" s="32" t="str">
        <f t="shared" si="1"/>
        <v>Removed</v>
      </c>
      <c r="E1955" s="33">
        <v>42206.0</v>
      </c>
      <c r="F1955" s="92">
        <v>44725.0</v>
      </c>
      <c r="G1955" s="36">
        <f t="shared" si="2"/>
        <v>82.73333333</v>
      </c>
      <c r="H1955" s="37">
        <v>41648.0</v>
      </c>
      <c r="I1955" s="36">
        <f t="shared" si="4"/>
        <v>1.533333333</v>
      </c>
      <c r="J1955" s="38">
        <v>70.0</v>
      </c>
      <c r="K1955" s="39">
        <v>7.1</v>
      </c>
      <c r="L1955" s="38">
        <v>3.0</v>
      </c>
      <c r="M1955" s="40" t="s">
        <v>136</v>
      </c>
      <c r="N1955" s="41"/>
      <c r="O1955" s="42" t="s">
        <v>34</v>
      </c>
      <c r="P1955" s="43"/>
    </row>
    <row r="1956">
      <c r="A1956" s="44" t="s">
        <v>2117</v>
      </c>
      <c r="B1956" s="45" t="s">
        <v>25</v>
      </c>
      <c r="C1956" s="46" t="s">
        <v>1860</v>
      </c>
      <c r="D1956" s="47" t="str">
        <f t="shared" si="1"/>
        <v>Removed</v>
      </c>
      <c r="E1956" s="48">
        <v>42157.0</v>
      </c>
      <c r="F1956" s="80">
        <v>44725.0</v>
      </c>
      <c r="G1956" s="50">
        <f t="shared" si="2"/>
        <v>84.36666667</v>
      </c>
      <c r="H1956" s="51">
        <v>40638.0</v>
      </c>
      <c r="I1956" s="50">
        <f t="shared" si="4"/>
        <v>4.158333333</v>
      </c>
      <c r="J1956" s="55">
        <v>55.0</v>
      </c>
      <c r="K1956" s="56">
        <v>6.3</v>
      </c>
      <c r="L1956" s="78"/>
      <c r="M1956" s="58" t="s">
        <v>31</v>
      </c>
      <c r="N1956" s="59"/>
      <c r="O1956" s="60" t="s">
        <v>34</v>
      </c>
      <c r="P1956" s="61"/>
    </row>
    <row r="1957">
      <c r="A1957" s="29" t="s">
        <v>2118</v>
      </c>
      <c r="B1957" s="30" t="s">
        <v>25</v>
      </c>
      <c r="C1957" s="31" t="s">
        <v>1860</v>
      </c>
      <c r="D1957" s="32" t="str">
        <f t="shared" si="1"/>
        <v>Removed</v>
      </c>
      <c r="E1957" s="33">
        <v>42157.0</v>
      </c>
      <c r="F1957" s="92">
        <v>44725.0</v>
      </c>
      <c r="G1957" s="36">
        <f t="shared" si="2"/>
        <v>84.36666667</v>
      </c>
      <c r="H1957" s="37">
        <v>41345.0</v>
      </c>
      <c r="I1957" s="36">
        <f t="shared" si="4"/>
        <v>2.222222222</v>
      </c>
      <c r="J1957" s="38">
        <v>52.0</v>
      </c>
      <c r="K1957" s="39">
        <v>6.4</v>
      </c>
      <c r="L1957" s="38">
        <v>6.0</v>
      </c>
      <c r="M1957" s="40" t="s">
        <v>31</v>
      </c>
      <c r="N1957" s="41"/>
      <c r="O1957" s="42" t="s">
        <v>34</v>
      </c>
      <c r="P1957" s="43"/>
    </row>
    <row r="1958">
      <c r="A1958" s="44" t="s">
        <v>2119</v>
      </c>
      <c r="B1958" s="45" t="s">
        <v>25</v>
      </c>
      <c r="C1958" s="46" t="s">
        <v>1860</v>
      </c>
      <c r="D1958" s="47" t="str">
        <f t="shared" si="1"/>
        <v>Removed</v>
      </c>
      <c r="E1958" s="48">
        <v>42129.0</v>
      </c>
      <c r="F1958" s="80">
        <v>44725.0</v>
      </c>
      <c r="G1958" s="50">
        <f t="shared" si="2"/>
        <v>85.26666667</v>
      </c>
      <c r="H1958" s="51">
        <v>41933.0</v>
      </c>
      <c r="I1958" s="50">
        <f t="shared" si="4"/>
        <v>0.5388888889</v>
      </c>
      <c r="J1958" s="55">
        <v>61.0</v>
      </c>
      <c r="K1958" s="56">
        <v>6.1</v>
      </c>
      <c r="L1958" s="78"/>
      <c r="M1958" s="58" t="s">
        <v>95</v>
      </c>
      <c r="N1958" s="59" t="s">
        <v>442</v>
      </c>
      <c r="O1958" s="60" t="s">
        <v>34</v>
      </c>
      <c r="P1958" s="66"/>
    </row>
    <row r="1959">
      <c r="A1959" s="29" t="s">
        <v>2120</v>
      </c>
      <c r="B1959" s="30" t="s">
        <v>25</v>
      </c>
      <c r="C1959" s="31" t="s">
        <v>1860</v>
      </c>
      <c r="D1959" s="32" t="str">
        <f t="shared" si="1"/>
        <v>Removed</v>
      </c>
      <c r="E1959" s="33">
        <v>42129.0</v>
      </c>
      <c r="F1959" s="92">
        <v>44725.0</v>
      </c>
      <c r="G1959" s="36">
        <f t="shared" si="2"/>
        <v>85.26666667</v>
      </c>
      <c r="H1959" s="37">
        <v>41572.0</v>
      </c>
      <c r="I1959" s="36">
        <f t="shared" si="4"/>
        <v>1.527777778</v>
      </c>
      <c r="J1959" s="38">
        <v>58.0</v>
      </c>
      <c r="K1959" s="39">
        <v>5.5</v>
      </c>
      <c r="L1959" s="76"/>
      <c r="M1959" s="40" t="s">
        <v>2121</v>
      </c>
      <c r="N1959" s="41"/>
      <c r="O1959" s="42" t="s">
        <v>34</v>
      </c>
      <c r="P1959" s="43"/>
    </row>
    <row r="1960">
      <c r="A1960" s="44" t="s">
        <v>2122</v>
      </c>
      <c r="B1960" s="45" t="s">
        <v>25</v>
      </c>
      <c r="C1960" s="46" t="s">
        <v>1860</v>
      </c>
      <c r="D1960" s="47" t="str">
        <f t="shared" si="1"/>
        <v>Removed</v>
      </c>
      <c r="E1960" s="48">
        <v>42066.0</v>
      </c>
      <c r="F1960" s="80">
        <v>44725.0</v>
      </c>
      <c r="G1960" s="50">
        <f t="shared" si="2"/>
        <v>87.33333333</v>
      </c>
      <c r="H1960" s="51">
        <v>40695.0</v>
      </c>
      <c r="I1960" s="50">
        <f t="shared" si="4"/>
        <v>3.755555556</v>
      </c>
      <c r="J1960" s="55">
        <v>67.0</v>
      </c>
      <c r="K1960" s="56">
        <v>5.9</v>
      </c>
      <c r="L1960" s="55">
        <v>9.0</v>
      </c>
      <c r="M1960" s="58" t="s">
        <v>31</v>
      </c>
      <c r="N1960" s="59" t="s">
        <v>442</v>
      </c>
      <c r="O1960" s="60" t="s">
        <v>34</v>
      </c>
      <c r="P1960" s="66"/>
    </row>
    <row r="1961">
      <c r="A1961" s="29" t="s">
        <v>2123</v>
      </c>
      <c r="B1961" s="30" t="s">
        <v>25</v>
      </c>
      <c r="C1961" s="31" t="s">
        <v>1860</v>
      </c>
      <c r="D1961" s="32" t="str">
        <f t="shared" si="1"/>
        <v>Removed</v>
      </c>
      <c r="E1961" s="33">
        <v>42038.0</v>
      </c>
      <c r="F1961" s="92">
        <v>44725.0</v>
      </c>
      <c r="G1961" s="36">
        <f t="shared" si="2"/>
        <v>88.33333333</v>
      </c>
      <c r="H1961" s="37">
        <v>40756.0</v>
      </c>
      <c r="I1961" s="36">
        <f t="shared" si="4"/>
        <v>3.505555556</v>
      </c>
      <c r="J1961" s="38">
        <v>72.0</v>
      </c>
      <c r="K1961" s="39">
        <v>7.7</v>
      </c>
      <c r="L1961" s="38">
        <v>3.0</v>
      </c>
      <c r="M1961" s="40" t="s">
        <v>31</v>
      </c>
      <c r="N1961" s="41" t="s">
        <v>442</v>
      </c>
      <c r="O1961" s="42" t="s">
        <v>34</v>
      </c>
      <c r="P1961" s="67"/>
    </row>
    <row r="1962">
      <c r="A1962" s="44" t="s">
        <v>2124</v>
      </c>
      <c r="B1962" s="45" t="s">
        <v>25</v>
      </c>
      <c r="C1962" s="46" t="s">
        <v>1860</v>
      </c>
      <c r="D1962" s="47" t="str">
        <f t="shared" si="1"/>
        <v>Removed</v>
      </c>
      <c r="E1962" s="48">
        <v>42017.0</v>
      </c>
      <c r="F1962" s="80">
        <v>44725.0</v>
      </c>
      <c r="G1962" s="50">
        <f t="shared" si="2"/>
        <v>89</v>
      </c>
      <c r="H1962" s="51">
        <v>41814.0</v>
      </c>
      <c r="I1962" s="50">
        <f t="shared" si="4"/>
        <v>0.5527777778</v>
      </c>
      <c r="J1962" s="55">
        <v>78.0</v>
      </c>
      <c r="K1962" s="56">
        <v>7.6</v>
      </c>
      <c r="L1962" s="55">
        <v>32.0</v>
      </c>
      <c r="M1962" s="58" t="s">
        <v>95</v>
      </c>
      <c r="N1962" s="59" t="s">
        <v>442</v>
      </c>
      <c r="O1962" s="60" t="s">
        <v>34</v>
      </c>
      <c r="P1962" s="66"/>
    </row>
    <row r="1963">
      <c r="A1963" s="29" t="s">
        <v>2125</v>
      </c>
      <c r="B1963" s="30" t="s">
        <v>25</v>
      </c>
      <c r="C1963" s="31" t="s">
        <v>1860</v>
      </c>
      <c r="D1963" s="32" t="str">
        <f t="shared" si="1"/>
        <v>Removed</v>
      </c>
      <c r="E1963" s="33">
        <v>42017.0</v>
      </c>
      <c r="F1963" s="92">
        <v>44725.0</v>
      </c>
      <c r="G1963" s="36">
        <f t="shared" si="2"/>
        <v>89</v>
      </c>
      <c r="H1963" s="37">
        <v>40876.0</v>
      </c>
      <c r="I1963" s="36">
        <f t="shared" si="4"/>
        <v>3.122222222</v>
      </c>
      <c r="J1963" s="38">
        <v>80.0</v>
      </c>
      <c r="K1963" s="39">
        <v>8.6</v>
      </c>
      <c r="L1963" s="38">
        <v>25.0</v>
      </c>
      <c r="M1963" s="40" t="s">
        <v>29</v>
      </c>
      <c r="N1963" s="41" t="s">
        <v>442</v>
      </c>
      <c r="O1963" s="42" t="s">
        <v>34</v>
      </c>
      <c r="P1963" s="67"/>
    </row>
    <row r="1964">
      <c r="A1964" s="44" t="s">
        <v>2126</v>
      </c>
      <c r="B1964" s="45" t="s">
        <v>25</v>
      </c>
      <c r="C1964" s="46" t="s">
        <v>1860</v>
      </c>
      <c r="D1964" s="47" t="str">
        <f t="shared" si="1"/>
        <v>Removed</v>
      </c>
      <c r="E1964" s="48">
        <v>42017.0</v>
      </c>
      <c r="F1964" s="80">
        <v>44725.0</v>
      </c>
      <c r="G1964" s="50">
        <f t="shared" si="2"/>
        <v>89</v>
      </c>
      <c r="H1964" s="51">
        <v>41387.0</v>
      </c>
      <c r="I1964" s="50">
        <f t="shared" si="4"/>
        <v>1.722222222</v>
      </c>
      <c r="J1964" s="55">
        <v>64.0</v>
      </c>
      <c r="K1964" s="56">
        <v>5.3</v>
      </c>
      <c r="L1964" s="55">
        <v>12.0</v>
      </c>
      <c r="M1964" s="58" t="s">
        <v>29</v>
      </c>
      <c r="N1964" s="59"/>
      <c r="O1964" s="60" t="s">
        <v>34</v>
      </c>
      <c r="P1964" s="61"/>
    </row>
    <row r="1965">
      <c r="A1965" s="29" t="s">
        <v>2127</v>
      </c>
      <c r="B1965" s="30" t="s">
        <v>25</v>
      </c>
      <c r="C1965" s="31" t="s">
        <v>1860</v>
      </c>
      <c r="D1965" s="32" t="str">
        <f t="shared" si="1"/>
        <v>Removed</v>
      </c>
      <c r="E1965" s="33">
        <v>42017.0</v>
      </c>
      <c r="F1965" s="92">
        <v>44725.0</v>
      </c>
      <c r="G1965" s="36">
        <f t="shared" si="2"/>
        <v>89</v>
      </c>
      <c r="H1965" s="37">
        <v>41697.0</v>
      </c>
      <c r="I1965" s="36">
        <f t="shared" si="4"/>
        <v>0.8777777778</v>
      </c>
      <c r="J1965" s="38">
        <v>80.0</v>
      </c>
      <c r="K1965" s="39">
        <v>7.8</v>
      </c>
      <c r="L1965" s="38">
        <v>5.5</v>
      </c>
      <c r="M1965" s="40" t="s">
        <v>29</v>
      </c>
      <c r="N1965" s="41"/>
      <c r="O1965" s="42" t="s">
        <v>34</v>
      </c>
      <c r="P1965" s="43"/>
    </row>
    <row r="1966">
      <c r="A1966" s="44" t="s">
        <v>2128</v>
      </c>
      <c r="B1966" s="45" t="s">
        <v>25</v>
      </c>
      <c r="C1966" s="46" t="s">
        <v>1860</v>
      </c>
      <c r="D1966" s="47" t="str">
        <f t="shared" si="1"/>
        <v>Removed</v>
      </c>
      <c r="E1966" s="48">
        <v>42017.0</v>
      </c>
      <c r="F1966" s="80">
        <v>44725.0</v>
      </c>
      <c r="G1966" s="50">
        <f t="shared" si="2"/>
        <v>89</v>
      </c>
      <c r="H1966" s="51">
        <v>40618.0</v>
      </c>
      <c r="I1966" s="50">
        <f t="shared" si="4"/>
        <v>3.825</v>
      </c>
      <c r="J1966" s="55">
        <v>77.0</v>
      </c>
      <c r="K1966" s="56">
        <v>8.0</v>
      </c>
      <c r="L1966" s="55">
        <v>8.0</v>
      </c>
      <c r="M1966" s="58" t="s">
        <v>95</v>
      </c>
      <c r="N1966" s="59"/>
      <c r="O1966" s="60" t="s">
        <v>34</v>
      </c>
      <c r="P1966" s="61"/>
    </row>
    <row r="1967">
      <c r="A1967" s="29" t="s">
        <v>2129</v>
      </c>
      <c r="B1967" s="30" t="s">
        <v>25</v>
      </c>
      <c r="C1967" s="31" t="s">
        <v>1860</v>
      </c>
      <c r="D1967" s="32" t="str">
        <f t="shared" si="1"/>
        <v>Removed</v>
      </c>
      <c r="E1967" s="33">
        <v>42017.0</v>
      </c>
      <c r="F1967" s="92">
        <v>44725.0</v>
      </c>
      <c r="G1967" s="36">
        <f t="shared" si="2"/>
        <v>89</v>
      </c>
      <c r="H1967" s="37">
        <v>40499.0</v>
      </c>
      <c r="I1967" s="36">
        <f t="shared" si="4"/>
        <v>4.155555556</v>
      </c>
      <c r="J1967" s="38">
        <v>93.0</v>
      </c>
      <c r="K1967" s="39">
        <v>8.6</v>
      </c>
      <c r="L1967" s="38">
        <v>2.0</v>
      </c>
      <c r="M1967" s="40" t="s">
        <v>217</v>
      </c>
      <c r="N1967" s="41"/>
      <c r="O1967" s="42" t="s">
        <v>34</v>
      </c>
      <c r="P1967" s="43"/>
    </row>
    <row r="1968">
      <c r="A1968" s="44" t="s">
        <v>2130</v>
      </c>
      <c r="B1968" s="45" t="s">
        <v>25</v>
      </c>
      <c r="C1968" s="46" t="s">
        <v>1860</v>
      </c>
      <c r="D1968" s="47" t="str">
        <f t="shared" si="1"/>
        <v>Removed</v>
      </c>
      <c r="E1968" s="48">
        <v>42017.0</v>
      </c>
      <c r="F1968" s="80">
        <v>44725.0</v>
      </c>
      <c r="G1968" s="50">
        <f t="shared" si="2"/>
        <v>89</v>
      </c>
      <c r="H1968" s="51">
        <v>41397.0</v>
      </c>
      <c r="I1968" s="50">
        <f t="shared" si="4"/>
        <v>1.694444444</v>
      </c>
      <c r="J1968" s="55">
        <v>62.0</v>
      </c>
      <c r="K1968" s="56">
        <v>6.7</v>
      </c>
      <c r="L1968" s="78"/>
      <c r="M1968" s="58" t="s">
        <v>103</v>
      </c>
      <c r="N1968" s="59"/>
      <c r="O1968" s="60" t="s">
        <v>34</v>
      </c>
      <c r="P1968" s="61"/>
    </row>
    <row r="1969">
      <c r="A1969" s="29" t="s">
        <v>2131</v>
      </c>
      <c r="B1969" s="30" t="s">
        <v>25</v>
      </c>
      <c r="C1969" s="31" t="s">
        <v>1860</v>
      </c>
      <c r="D1969" s="32" t="str">
        <f t="shared" si="1"/>
        <v>Removed</v>
      </c>
      <c r="E1969" s="33">
        <v>42017.0</v>
      </c>
      <c r="F1969" s="92">
        <v>44725.0</v>
      </c>
      <c r="G1969" s="36">
        <f t="shared" si="2"/>
        <v>89</v>
      </c>
      <c r="H1969" s="37">
        <v>41331.0</v>
      </c>
      <c r="I1969" s="36">
        <f t="shared" si="4"/>
        <v>1.880555556</v>
      </c>
      <c r="J1969" s="38">
        <v>79.0</v>
      </c>
      <c r="K1969" s="39">
        <v>7.8</v>
      </c>
      <c r="L1969" s="38">
        <v>5.0</v>
      </c>
      <c r="M1969" s="40" t="s">
        <v>27</v>
      </c>
      <c r="N1969" s="41"/>
      <c r="O1969" s="42" t="s">
        <v>34</v>
      </c>
      <c r="P1969" s="43"/>
    </row>
    <row r="1970">
      <c r="A1970" s="44" t="s">
        <v>2132</v>
      </c>
      <c r="B1970" s="45" t="s">
        <v>25</v>
      </c>
      <c r="C1970" s="46" t="s">
        <v>1860</v>
      </c>
      <c r="D1970" s="47" t="str">
        <f t="shared" si="1"/>
        <v>Removed</v>
      </c>
      <c r="E1970" s="48">
        <v>42017.0</v>
      </c>
      <c r="F1970" s="80">
        <v>44725.0</v>
      </c>
      <c r="G1970" s="50">
        <f t="shared" si="2"/>
        <v>89</v>
      </c>
      <c r="H1970" s="51">
        <v>41505.0</v>
      </c>
      <c r="I1970" s="50">
        <f t="shared" si="4"/>
        <v>1.4</v>
      </c>
      <c r="J1970" s="55">
        <v>86.0</v>
      </c>
      <c r="K1970" s="56">
        <v>7.3</v>
      </c>
      <c r="L1970" s="55">
        <v>16.0</v>
      </c>
      <c r="M1970" s="58" t="s">
        <v>29</v>
      </c>
      <c r="N1970" s="59"/>
      <c r="O1970" s="60" t="s">
        <v>34</v>
      </c>
      <c r="P1970" s="61"/>
    </row>
    <row r="1971">
      <c r="A1971" s="29" t="s">
        <v>2133</v>
      </c>
      <c r="B1971" s="30" t="s">
        <v>25</v>
      </c>
      <c r="C1971" s="31" t="s">
        <v>1860</v>
      </c>
      <c r="D1971" s="32" t="str">
        <f t="shared" si="1"/>
        <v>Removed</v>
      </c>
      <c r="E1971" s="33">
        <v>42017.0</v>
      </c>
      <c r="F1971" s="92">
        <v>44725.0</v>
      </c>
      <c r="G1971" s="36">
        <f t="shared" si="2"/>
        <v>89</v>
      </c>
      <c r="H1971" s="37">
        <v>41478.0</v>
      </c>
      <c r="I1971" s="36">
        <f t="shared" si="4"/>
        <v>1.472222222</v>
      </c>
      <c r="J1971" s="38">
        <v>70.0</v>
      </c>
      <c r="K1971" s="39">
        <v>7.2</v>
      </c>
      <c r="L1971" s="38">
        <v>5.0</v>
      </c>
      <c r="M1971" s="40" t="s">
        <v>27</v>
      </c>
      <c r="N1971" s="41"/>
      <c r="O1971" s="42" t="s">
        <v>34</v>
      </c>
      <c r="P1971" s="43"/>
    </row>
    <row r="1972">
      <c r="A1972" s="44" t="s">
        <v>508</v>
      </c>
      <c r="B1972" s="45" t="s">
        <v>25</v>
      </c>
      <c r="C1972" s="46" t="s">
        <v>1860</v>
      </c>
      <c r="D1972" s="47" t="str">
        <f t="shared" si="1"/>
        <v>Removed</v>
      </c>
      <c r="E1972" s="48">
        <v>42017.0</v>
      </c>
      <c r="F1972" s="80">
        <v>44725.0</v>
      </c>
      <c r="G1972" s="50">
        <f t="shared" si="2"/>
        <v>89</v>
      </c>
      <c r="H1972" s="51">
        <v>40876.0</v>
      </c>
      <c r="I1972" s="50">
        <f t="shared" si="4"/>
        <v>3.122222222</v>
      </c>
      <c r="J1972" s="55">
        <v>80.0</v>
      </c>
      <c r="K1972" s="56">
        <v>8.6</v>
      </c>
      <c r="L1972" s="55">
        <v>25.0</v>
      </c>
      <c r="M1972" s="58" t="s">
        <v>29</v>
      </c>
      <c r="N1972" s="59"/>
      <c r="O1972" s="60" t="s">
        <v>34</v>
      </c>
      <c r="P1972" s="61"/>
    </row>
    <row r="1973">
      <c r="A1973" s="29" t="s">
        <v>2134</v>
      </c>
      <c r="B1973" s="30" t="s">
        <v>25</v>
      </c>
      <c r="C1973" s="31" t="s">
        <v>1860</v>
      </c>
      <c r="D1973" s="32" t="str">
        <f t="shared" si="1"/>
        <v>Removed</v>
      </c>
      <c r="E1973" s="33">
        <v>42017.0</v>
      </c>
      <c r="F1973" s="92">
        <v>44725.0</v>
      </c>
      <c r="G1973" s="36">
        <f t="shared" si="2"/>
        <v>89</v>
      </c>
      <c r="H1973" s="37">
        <v>41065.0</v>
      </c>
      <c r="I1973" s="36">
        <f t="shared" si="4"/>
        <v>2.605555556</v>
      </c>
      <c r="J1973" s="38">
        <v>84.0</v>
      </c>
      <c r="K1973" s="39">
        <v>8.0</v>
      </c>
      <c r="L1973" s="76"/>
      <c r="M1973" s="40" t="s">
        <v>114</v>
      </c>
      <c r="N1973" s="41"/>
      <c r="O1973" s="42" t="s">
        <v>34</v>
      </c>
      <c r="P1973" s="43"/>
    </row>
    <row r="1974">
      <c r="A1974" s="44" t="s">
        <v>2135</v>
      </c>
      <c r="B1974" s="45" t="s">
        <v>25</v>
      </c>
      <c r="C1974" s="46" t="s">
        <v>1860</v>
      </c>
      <c r="D1974" s="47" t="str">
        <f t="shared" si="1"/>
        <v>Removed</v>
      </c>
      <c r="E1974" s="48">
        <v>42017.0</v>
      </c>
      <c r="F1974" s="80">
        <v>44725.0</v>
      </c>
      <c r="G1974" s="50">
        <f t="shared" si="2"/>
        <v>89</v>
      </c>
      <c r="H1974" s="51">
        <v>41640.0</v>
      </c>
      <c r="I1974" s="50">
        <f t="shared" si="4"/>
        <v>1.033333333</v>
      </c>
      <c r="J1974" s="55">
        <v>73.0</v>
      </c>
      <c r="K1974" s="56">
        <v>6.4</v>
      </c>
      <c r="L1974" s="78"/>
      <c r="M1974" s="58" t="s">
        <v>95</v>
      </c>
      <c r="N1974" s="59" t="s">
        <v>442</v>
      </c>
      <c r="O1974" s="60" t="s">
        <v>34</v>
      </c>
      <c r="P1974" s="66"/>
    </row>
    <row r="1975">
      <c r="A1975" s="29" t="s">
        <v>2136</v>
      </c>
      <c r="B1975" s="30" t="s">
        <v>25</v>
      </c>
      <c r="C1975" s="31" t="s">
        <v>1860</v>
      </c>
      <c r="D1975" s="32" t="str">
        <f t="shared" si="1"/>
        <v>Removed</v>
      </c>
      <c r="E1975" s="33">
        <v>42017.0</v>
      </c>
      <c r="F1975" s="92">
        <v>44725.0</v>
      </c>
      <c r="G1975" s="36">
        <f t="shared" si="2"/>
        <v>89</v>
      </c>
      <c r="H1975" s="37">
        <v>41609.0</v>
      </c>
      <c r="I1975" s="36">
        <f t="shared" si="4"/>
        <v>1.116666667</v>
      </c>
      <c r="J1975" s="38">
        <v>83.0</v>
      </c>
      <c r="K1975" s="39">
        <v>8.3</v>
      </c>
      <c r="L1975" s="38">
        <v>8.0</v>
      </c>
      <c r="M1975" s="40" t="s">
        <v>27</v>
      </c>
      <c r="N1975" s="41"/>
      <c r="O1975" s="42" t="s">
        <v>34</v>
      </c>
      <c r="P1975" s="43"/>
    </row>
    <row r="1976">
      <c r="A1976" s="44" t="s">
        <v>2137</v>
      </c>
      <c r="B1976" s="45" t="s">
        <v>25</v>
      </c>
      <c r="C1976" s="46" t="s">
        <v>1860</v>
      </c>
      <c r="D1976" s="47" t="str">
        <f t="shared" si="1"/>
        <v>Removed</v>
      </c>
      <c r="E1976" s="48">
        <v>42017.0</v>
      </c>
      <c r="F1976" s="80">
        <v>44725.0</v>
      </c>
      <c r="G1976" s="50">
        <f t="shared" si="2"/>
        <v>89</v>
      </c>
      <c r="H1976" s="51">
        <v>41426.0</v>
      </c>
      <c r="I1976" s="50">
        <f t="shared" si="4"/>
        <v>1.616666667</v>
      </c>
      <c r="J1976" s="55">
        <v>95.0</v>
      </c>
      <c r="K1976" s="56">
        <v>9.2</v>
      </c>
      <c r="L1976" s="55">
        <v>15.0</v>
      </c>
      <c r="M1976" s="58" t="s">
        <v>29</v>
      </c>
      <c r="N1976" s="59" t="s">
        <v>442</v>
      </c>
      <c r="O1976" s="60" t="s">
        <v>34</v>
      </c>
      <c r="P1976" s="66"/>
    </row>
    <row r="1977">
      <c r="A1977" s="29" t="s">
        <v>2138</v>
      </c>
      <c r="B1977" s="30" t="s">
        <v>25</v>
      </c>
      <c r="C1977" s="31" t="s">
        <v>1860</v>
      </c>
      <c r="D1977" s="32" t="str">
        <f t="shared" si="1"/>
        <v>Removed</v>
      </c>
      <c r="E1977" s="33">
        <v>42017.0</v>
      </c>
      <c r="F1977" s="92">
        <v>44725.0</v>
      </c>
      <c r="G1977" s="36">
        <f t="shared" si="2"/>
        <v>89</v>
      </c>
      <c r="H1977" s="37">
        <v>41395.0</v>
      </c>
      <c r="I1977" s="36">
        <f t="shared" si="4"/>
        <v>1.7</v>
      </c>
      <c r="J1977" s="38">
        <v>82.0</v>
      </c>
      <c r="K1977" s="39">
        <v>7.4</v>
      </c>
      <c r="L1977" s="76"/>
      <c r="M1977" s="40" t="s">
        <v>95</v>
      </c>
      <c r="N1977" s="41" t="s">
        <v>442</v>
      </c>
      <c r="O1977" s="42" t="s">
        <v>34</v>
      </c>
      <c r="P1977" s="67"/>
    </row>
    <row r="1978">
      <c r="A1978" s="44" t="s">
        <v>509</v>
      </c>
      <c r="B1978" s="45" t="s">
        <v>25</v>
      </c>
      <c r="C1978" s="46" t="s">
        <v>1860</v>
      </c>
      <c r="D1978" s="47" t="str">
        <f t="shared" si="1"/>
        <v>Removed</v>
      </c>
      <c r="E1978" s="48">
        <v>42017.0</v>
      </c>
      <c r="F1978" s="80">
        <v>44725.0</v>
      </c>
      <c r="G1978" s="50">
        <f t="shared" si="2"/>
        <v>89</v>
      </c>
      <c r="H1978" s="51">
        <v>41306.0</v>
      </c>
      <c r="I1978" s="50">
        <f t="shared" si="4"/>
        <v>1.95</v>
      </c>
      <c r="J1978" s="55">
        <v>75.0</v>
      </c>
      <c r="K1978" s="56">
        <v>8.0</v>
      </c>
      <c r="L1978" s="55">
        <v>18.0</v>
      </c>
      <c r="M1978" s="58" t="s">
        <v>29</v>
      </c>
      <c r="N1978" s="59" t="s">
        <v>442</v>
      </c>
      <c r="O1978" s="60" t="s">
        <v>34</v>
      </c>
      <c r="P1978" s="66"/>
    </row>
    <row r="1979">
      <c r="A1979" s="29" t="s">
        <v>2139</v>
      </c>
      <c r="B1979" s="30" t="s">
        <v>25</v>
      </c>
      <c r="C1979" s="31" t="s">
        <v>1860</v>
      </c>
      <c r="D1979" s="32" t="str">
        <f t="shared" si="1"/>
        <v>Removed</v>
      </c>
      <c r="E1979" s="33">
        <v>42017.0</v>
      </c>
      <c r="F1979" s="92">
        <v>44725.0</v>
      </c>
      <c r="G1979" s="36">
        <f t="shared" si="2"/>
        <v>89</v>
      </c>
      <c r="H1979" s="37">
        <v>41030.0</v>
      </c>
      <c r="I1979" s="36">
        <f t="shared" si="4"/>
        <v>2.7</v>
      </c>
      <c r="J1979" s="38">
        <v>61.0</v>
      </c>
      <c r="K1979" s="39">
        <v>6.5</v>
      </c>
      <c r="L1979" s="38">
        <v>3.0</v>
      </c>
      <c r="M1979" s="40" t="s">
        <v>27</v>
      </c>
      <c r="N1979" s="41" t="s">
        <v>442</v>
      </c>
      <c r="O1979" s="42" t="s">
        <v>34</v>
      </c>
      <c r="P1979" s="67"/>
    </row>
    <row r="1980">
      <c r="A1980" s="44" t="s">
        <v>2140</v>
      </c>
      <c r="B1980" s="45" t="s">
        <v>25</v>
      </c>
      <c r="C1980" s="46" t="s">
        <v>1860</v>
      </c>
      <c r="D1980" s="47" t="str">
        <f t="shared" si="1"/>
        <v>Removed</v>
      </c>
      <c r="E1980" s="48">
        <v>42017.0</v>
      </c>
      <c r="F1980" s="80">
        <v>44725.0</v>
      </c>
      <c r="G1980" s="50">
        <f t="shared" si="2"/>
        <v>89</v>
      </c>
      <c r="H1980" s="51">
        <v>40848.0</v>
      </c>
      <c r="I1980" s="50">
        <f t="shared" si="4"/>
        <v>3.2</v>
      </c>
      <c r="J1980" s="55">
        <v>77.0</v>
      </c>
      <c r="K1980" s="56">
        <v>8.3</v>
      </c>
      <c r="L1980" s="55">
        <v>7.0</v>
      </c>
      <c r="M1980" s="58" t="s">
        <v>27</v>
      </c>
      <c r="N1980" s="59" t="s">
        <v>442</v>
      </c>
      <c r="O1980" s="60" t="s">
        <v>34</v>
      </c>
      <c r="P1980" s="66"/>
    </row>
    <row r="1981">
      <c r="A1981" s="29" t="s">
        <v>2141</v>
      </c>
      <c r="B1981" s="30" t="s">
        <v>25</v>
      </c>
      <c r="C1981" s="31" t="s">
        <v>1860</v>
      </c>
      <c r="D1981" s="32" t="str">
        <f t="shared" si="1"/>
        <v>Removed</v>
      </c>
      <c r="E1981" s="33">
        <v>42017.0</v>
      </c>
      <c r="F1981" s="92">
        <v>44725.0</v>
      </c>
      <c r="G1981" s="36">
        <f t="shared" si="2"/>
        <v>89</v>
      </c>
      <c r="H1981" s="37">
        <v>40575.0</v>
      </c>
      <c r="I1981" s="36">
        <f t="shared" si="4"/>
        <v>3.95</v>
      </c>
      <c r="J1981" s="38">
        <v>74.0</v>
      </c>
      <c r="K1981" s="39">
        <v>7.9</v>
      </c>
      <c r="L1981" s="38">
        <v>10.0</v>
      </c>
      <c r="M1981" s="40" t="s">
        <v>29</v>
      </c>
      <c r="N1981" s="41" t="s">
        <v>442</v>
      </c>
      <c r="O1981" s="42" t="s">
        <v>34</v>
      </c>
      <c r="P1981" s="67"/>
    </row>
    <row r="1982">
      <c r="A1982" s="44" t="s">
        <v>2142</v>
      </c>
      <c r="B1982" s="45" t="s">
        <v>25</v>
      </c>
      <c r="C1982" s="46" t="s">
        <v>1860</v>
      </c>
      <c r="D1982" s="47" t="str">
        <f t="shared" si="1"/>
        <v>Removed</v>
      </c>
      <c r="E1982" s="48">
        <v>42017.0</v>
      </c>
      <c r="F1982" s="80">
        <v>44725.0</v>
      </c>
      <c r="G1982" s="50">
        <f t="shared" si="2"/>
        <v>89</v>
      </c>
      <c r="H1982" s="51">
        <v>40575.0</v>
      </c>
      <c r="I1982" s="50">
        <f t="shared" si="4"/>
        <v>3.95</v>
      </c>
      <c r="J1982" s="55">
        <v>84.0</v>
      </c>
      <c r="K1982" s="56">
        <v>7.7</v>
      </c>
      <c r="L1982" s="55">
        <v>9.0</v>
      </c>
      <c r="M1982" s="58" t="s">
        <v>31</v>
      </c>
      <c r="N1982" s="59" t="s">
        <v>442</v>
      </c>
      <c r="O1982" s="60" t="s">
        <v>34</v>
      </c>
      <c r="P1982" s="66"/>
    </row>
    <row r="1983">
      <c r="A1983" s="29" t="s">
        <v>2143</v>
      </c>
      <c r="B1983" s="30" t="s">
        <v>25</v>
      </c>
      <c r="C1983" s="31" t="s">
        <v>1860</v>
      </c>
      <c r="D1983" s="32" t="str">
        <f t="shared" si="1"/>
        <v>Removed</v>
      </c>
      <c r="E1983" s="33">
        <v>42017.0</v>
      </c>
      <c r="F1983" s="92">
        <v>44725.0</v>
      </c>
      <c r="G1983" s="36">
        <f t="shared" si="2"/>
        <v>89</v>
      </c>
      <c r="H1983" s="37">
        <v>40452.0</v>
      </c>
      <c r="I1983" s="36">
        <f t="shared" si="4"/>
        <v>4.283333333</v>
      </c>
      <c r="J1983" s="38">
        <v>72.0</v>
      </c>
      <c r="K1983" s="39">
        <v>7.6</v>
      </c>
      <c r="L1983" s="38">
        <v>3.0</v>
      </c>
      <c r="M1983" s="40" t="s">
        <v>27</v>
      </c>
      <c r="N1983" s="41" t="s">
        <v>442</v>
      </c>
      <c r="O1983" s="42" t="s">
        <v>34</v>
      </c>
      <c r="P1983" s="67"/>
    </row>
    <row r="1984">
      <c r="A1984" s="44" t="s">
        <v>2144</v>
      </c>
      <c r="B1984" s="45" t="s">
        <v>25</v>
      </c>
      <c r="C1984" s="46" t="s">
        <v>1860</v>
      </c>
      <c r="D1984" s="47" t="str">
        <f t="shared" si="1"/>
        <v>Removed</v>
      </c>
      <c r="E1984" s="48">
        <v>42017.0</v>
      </c>
      <c r="F1984" s="80">
        <v>44725.0</v>
      </c>
      <c r="G1984" s="50">
        <f t="shared" si="2"/>
        <v>89</v>
      </c>
      <c r="H1984" s="51">
        <v>39783.0</v>
      </c>
      <c r="I1984" s="50">
        <f t="shared" si="4"/>
        <v>6.116666667</v>
      </c>
      <c r="J1984" s="55">
        <v>80.0</v>
      </c>
      <c r="K1984" s="56">
        <v>7.8</v>
      </c>
      <c r="L1984" s="55">
        <v>7.0</v>
      </c>
      <c r="M1984" s="58" t="s">
        <v>136</v>
      </c>
      <c r="N1984" s="59" t="s">
        <v>442</v>
      </c>
      <c r="O1984" s="60" t="s">
        <v>34</v>
      </c>
      <c r="P1984" s="66"/>
    </row>
    <row r="1985">
      <c r="A1985" s="29" t="s">
        <v>2145</v>
      </c>
      <c r="B1985" s="30" t="s">
        <v>25</v>
      </c>
      <c r="C1985" s="31" t="s">
        <v>1860</v>
      </c>
      <c r="D1985" s="32" t="str">
        <f t="shared" si="1"/>
        <v>Removed</v>
      </c>
      <c r="E1985" s="33">
        <v>41667.0</v>
      </c>
      <c r="F1985" s="92">
        <v>44725.0</v>
      </c>
      <c r="G1985" s="36">
        <f t="shared" si="2"/>
        <v>100.5</v>
      </c>
      <c r="H1985" s="37">
        <v>39309.0</v>
      </c>
      <c r="I1985" s="36">
        <f t="shared" si="4"/>
        <v>6.452777778</v>
      </c>
      <c r="J1985" s="38">
        <v>47.0</v>
      </c>
      <c r="K1985" s="79"/>
      <c r="L1985" s="76"/>
      <c r="M1985" s="40" t="s">
        <v>136</v>
      </c>
      <c r="N1985" s="41"/>
      <c r="O1985" s="42" t="s">
        <v>34</v>
      </c>
      <c r="P1985" s="43"/>
    </row>
    <row r="1986">
      <c r="A1986" s="44" t="s">
        <v>2146</v>
      </c>
      <c r="B1986" s="45" t="s">
        <v>25</v>
      </c>
      <c r="C1986" s="46" t="s">
        <v>1860</v>
      </c>
      <c r="D1986" s="47" t="str">
        <f t="shared" si="1"/>
        <v>Removed</v>
      </c>
      <c r="E1986" s="48">
        <v>41667.0</v>
      </c>
      <c r="F1986" s="80">
        <v>44725.0</v>
      </c>
      <c r="G1986" s="50">
        <f t="shared" si="2"/>
        <v>100.5</v>
      </c>
      <c r="H1986" s="51">
        <v>39763.0</v>
      </c>
      <c r="I1986" s="50">
        <f t="shared" si="4"/>
        <v>5.213888889</v>
      </c>
      <c r="J1986" s="55">
        <v>79.0</v>
      </c>
      <c r="K1986" s="56">
        <v>7.6</v>
      </c>
      <c r="L1986" s="55">
        <v>6.0</v>
      </c>
      <c r="M1986" s="58" t="s">
        <v>29</v>
      </c>
      <c r="N1986" s="59"/>
      <c r="O1986" s="60" t="s">
        <v>34</v>
      </c>
      <c r="P1986" s="61"/>
    </row>
    <row r="1987">
      <c r="A1987" s="29" t="s">
        <v>2147</v>
      </c>
      <c r="B1987" s="30" t="s">
        <v>25</v>
      </c>
      <c r="C1987" s="31" t="s">
        <v>2148</v>
      </c>
      <c r="D1987" s="32" t="str">
        <f t="shared" si="1"/>
        <v>Removed</v>
      </c>
      <c r="E1987" s="33">
        <v>44684.0</v>
      </c>
      <c r="F1987" s="34">
        <v>44718.0</v>
      </c>
      <c r="G1987" s="36">
        <f t="shared" si="2"/>
        <v>1.1</v>
      </c>
      <c r="H1987" s="37">
        <v>44470.0</v>
      </c>
      <c r="I1987" s="36">
        <f t="shared" si="4"/>
        <v>0.5888888889</v>
      </c>
      <c r="J1987" s="38">
        <v>78.0</v>
      </c>
      <c r="K1987" s="39">
        <v>3.9</v>
      </c>
      <c r="L1987" s="38">
        <v>27.0</v>
      </c>
      <c r="M1987" s="40" t="s">
        <v>125</v>
      </c>
      <c r="N1987" s="41"/>
      <c r="O1987" s="42" t="s">
        <v>34</v>
      </c>
      <c r="P1987" s="43"/>
    </row>
    <row r="1988">
      <c r="A1988" s="44" t="s">
        <v>2149</v>
      </c>
      <c r="B1988" s="45" t="s">
        <v>25</v>
      </c>
      <c r="C1988" s="46" t="s">
        <v>2148</v>
      </c>
      <c r="D1988" s="47" t="str">
        <f t="shared" si="1"/>
        <v>Removed</v>
      </c>
      <c r="E1988" s="48">
        <v>44684.0</v>
      </c>
      <c r="F1988" s="49">
        <v>44718.0</v>
      </c>
      <c r="G1988" s="50">
        <f t="shared" si="2"/>
        <v>1.1</v>
      </c>
      <c r="H1988" s="51">
        <v>44404.0</v>
      </c>
      <c r="I1988" s="50">
        <f t="shared" si="4"/>
        <v>0.7666666667</v>
      </c>
      <c r="J1988" s="55">
        <v>71.0</v>
      </c>
      <c r="K1988" s="56">
        <v>7.0</v>
      </c>
      <c r="L1988" s="55">
        <v>18.0</v>
      </c>
      <c r="M1988" s="58" t="s">
        <v>29</v>
      </c>
      <c r="N1988" s="59"/>
      <c r="O1988" s="60" t="s">
        <v>34</v>
      </c>
      <c r="P1988" s="61"/>
    </row>
    <row r="1989">
      <c r="A1989" s="29" t="s">
        <v>2150</v>
      </c>
      <c r="B1989" s="30" t="s">
        <v>45</v>
      </c>
      <c r="C1989" s="31" t="s">
        <v>2148</v>
      </c>
      <c r="D1989" s="32" t="str">
        <f t="shared" si="1"/>
        <v>Removed</v>
      </c>
      <c r="E1989" s="33">
        <v>44684.0</v>
      </c>
      <c r="F1989" s="34">
        <v>44718.0</v>
      </c>
      <c r="G1989" s="36">
        <f t="shared" si="2"/>
        <v>1.1</v>
      </c>
      <c r="H1989" s="37">
        <v>44250.0</v>
      </c>
      <c r="I1989" s="36">
        <f t="shared" si="4"/>
        <v>1.194444444</v>
      </c>
      <c r="J1989" s="38">
        <v>79.0</v>
      </c>
      <c r="K1989" s="39">
        <v>6.9</v>
      </c>
      <c r="L1989" s="38">
        <v>12.0</v>
      </c>
      <c r="M1989" s="40" t="s">
        <v>42</v>
      </c>
      <c r="N1989" s="41"/>
      <c r="O1989" s="42" t="s">
        <v>34</v>
      </c>
      <c r="P1989" s="43"/>
    </row>
    <row r="1990">
      <c r="A1990" s="44" t="s">
        <v>2151</v>
      </c>
      <c r="B1990" s="45" t="s">
        <v>25</v>
      </c>
      <c r="C1990" s="46" t="s">
        <v>1860</v>
      </c>
      <c r="D1990" s="47" t="str">
        <f t="shared" si="1"/>
        <v>Removed</v>
      </c>
      <c r="E1990" s="48">
        <v>44348.0</v>
      </c>
      <c r="F1990" s="80">
        <v>44698.0</v>
      </c>
      <c r="G1990" s="50">
        <f t="shared" si="2"/>
        <v>11.53333333</v>
      </c>
      <c r="H1990" s="51">
        <v>43046.0</v>
      </c>
      <c r="I1990" s="50">
        <f t="shared" si="4"/>
        <v>3.566666667</v>
      </c>
      <c r="J1990" s="55">
        <v>57.0</v>
      </c>
      <c r="K1990" s="56">
        <v>6.2</v>
      </c>
      <c r="L1990" s="55">
        <v>4.0</v>
      </c>
      <c r="M1990" s="58" t="s">
        <v>27</v>
      </c>
      <c r="N1990" s="59"/>
      <c r="O1990" s="60" t="s">
        <v>34</v>
      </c>
      <c r="P1990" s="61"/>
    </row>
    <row r="1991">
      <c r="A1991" s="29" t="s">
        <v>2152</v>
      </c>
      <c r="B1991" s="30" t="s">
        <v>25</v>
      </c>
      <c r="C1991" s="31" t="s">
        <v>1860</v>
      </c>
      <c r="D1991" s="32" t="str">
        <f t="shared" si="1"/>
        <v>Removed</v>
      </c>
      <c r="E1991" s="33">
        <v>44348.0</v>
      </c>
      <c r="F1991" s="92">
        <v>44698.0</v>
      </c>
      <c r="G1991" s="36">
        <f t="shared" si="2"/>
        <v>11.53333333</v>
      </c>
      <c r="H1991" s="37">
        <v>42962.0</v>
      </c>
      <c r="I1991" s="36">
        <f t="shared" si="4"/>
        <v>3.794444444</v>
      </c>
      <c r="J1991" s="38">
        <v>86.0</v>
      </c>
      <c r="K1991" s="39">
        <v>8.5</v>
      </c>
      <c r="L1991" s="38">
        <v>5.0</v>
      </c>
      <c r="M1991" s="40" t="s">
        <v>27</v>
      </c>
      <c r="N1991" s="41"/>
      <c r="O1991" s="42" t="s">
        <v>34</v>
      </c>
      <c r="P1991" s="43"/>
    </row>
    <row r="1992">
      <c r="A1992" s="44" t="s">
        <v>2153</v>
      </c>
      <c r="B1992" s="45" t="s">
        <v>25</v>
      </c>
      <c r="C1992" s="46" t="s">
        <v>1860</v>
      </c>
      <c r="D1992" s="47" t="str">
        <f t="shared" si="1"/>
        <v>Removed</v>
      </c>
      <c r="E1992" s="48">
        <v>44348.0</v>
      </c>
      <c r="F1992" s="80">
        <v>44698.0</v>
      </c>
      <c r="G1992" s="50">
        <f t="shared" si="2"/>
        <v>11.53333333</v>
      </c>
      <c r="H1992" s="51">
        <v>43606.0</v>
      </c>
      <c r="I1992" s="50">
        <f t="shared" si="4"/>
        <v>2.027777778</v>
      </c>
      <c r="J1992" s="55">
        <v>72.0</v>
      </c>
      <c r="K1992" s="56">
        <v>7.2</v>
      </c>
      <c r="L1992" s="55">
        <v>10.0</v>
      </c>
      <c r="M1992" s="58" t="s">
        <v>95</v>
      </c>
      <c r="N1992" s="59"/>
      <c r="O1992" s="60" t="s">
        <v>34</v>
      </c>
      <c r="P1992" s="61"/>
    </row>
    <row r="1993">
      <c r="A1993" s="29" t="s">
        <v>2154</v>
      </c>
      <c r="B1993" s="30" t="s">
        <v>25</v>
      </c>
      <c r="C1993" s="31" t="s">
        <v>1860</v>
      </c>
      <c r="D1993" s="32" t="str">
        <f t="shared" si="1"/>
        <v>Removed</v>
      </c>
      <c r="E1993" s="33">
        <v>44075.0</v>
      </c>
      <c r="F1993" s="92">
        <v>44698.0</v>
      </c>
      <c r="G1993" s="36">
        <f t="shared" si="2"/>
        <v>20.53333333</v>
      </c>
      <c r="H1993" s="37">
        <v>43378.0</v>
      </c>
      <c r="I1993" s="36">
        <f t="shared" si="4"/>
        <v>1.905555556</v>
      </c>
      <c r="J1993" s="38">
        <v>76.0</v>
      </c>
      <c r="K1993" s="39">
        <v>6.6</v>
      </c>
      <c r="L1993" s="76"/>
      <c r="M1993" s="40" t="s">
        <v>39</v>
      </c>
      <c r="N1993" s="41"/>
      <c r="O1993" s="42" t="s">
        <v>34</v>
      </c>
      <c r="P1993" s="43"/>
    </row>
    <row r="1994">
      <c r="A1994" s="44" t="s">
        <v>2155</v>
      </c>
      <c r="B1994" s="45" t="s">
        <v>25</v>
      </c>
      <c r="C1994" s="46" t="s">
        <v>1860</v>
      </c>
      <c r="D1994" s="47" t="str">
        <f t="shared" si="1"/>
        <v>Removed</v>
      </c>
      <c r="E1994" s="48">
        <v>43620.0</v>
      </c>
      <c r="F1994" s="80">
        <v>44698.0</v>
      </c>
      <c r="G1994" s="50">
        <f t="shared" si="2"/>
        <v>35.43333333</v>
      </c>
      <c r="H1994" s="51">
        <v>42507.0</v>
      </c>
      <c r="I1994" s="50">
        <f t="shared" si="4"/>
        <v>3.047222222</v>
      </c>
      <c r="J1994" s="55">
        <v>84.0</v>
      </c>
      <c r="K1994" s="56">
        <v>8.3</v>
      </c>
      <c r="L1994" s="55">
        <v>30.5</v>
      </c>
      <c r="M1994" s="58" t="s">
        <v>29</v>
      </c>
      <c r="N1994" s="59"/>
      <c r="O1994" s="60" t="s">
        <v>34</v>
      </c>
      <c r="P1994" s="61"/>
    </row>
    <row r="1995">
      <c r="A1995" s="29" t="s">
        <v>2156</v>
      </c>
      <c r="B1995" s="30" t="s">
        <v>25</v>
      </c>
      <c r="C1995" s="31" t="s">
        <v>1860</v>
      </c>
      <c r="D1995" s="32" t="str">
        <f t="shared" si="1"/>
        <v>Removed</v>
      </c>
      <c r="E1995" s="33">
        <v>43592.0</v>
      </c>
      <c r="F1995" s="92">
        <v>44698.0</v>
      </c>
      <c r="G1995" s="36">
        <f t="shared" si="2"/>
        <v>36.33333333</v>
      </c>
      <c r="H1995" s="37">
        <v>41324.0</v>
      </c>
      <c r="I1995" s="36">
        <f t="shared" si="4"/>
        <v>6.216666667</v>
      </c>
      <c r="J1995" s="38">
        <v>80.0</v>
      </c>
      <c r="K1995" s="39">
        <v>8.3</v>
      </c>
      <c r="L1995" s="38">
        <v>5.0</v>
      </c>
      <c r="M1995" s="40" t="s">
        <v>29</v>
      </c>
      <c r="N1995" s="41"/>
      <c r="O1995" s="42" t="s">
        <v>34</v>
      </c>
      <c r="P1995" s="43"/>
    </row>
    <row r="1996">
      <c r="A1996" s="44" t="s">
        <v>2157</v>
      </c>
      <c r="B1996" s="45" t="s">
        <v>25</v>
      </c>
      <c r="C1996" s="46" t="s">
        <v>1860</v>
      </c>
      <c r="D1996" s="47" t="str">
        <f t="shared" si="1"/>
        <v>Removed</v>
      </c>
      <c r="E1996" s="48">
        <v>43557.0</v>
      </c>
      <c r="F1996" s="80">
        <v>44698.0</v>
      </c>
      <c r="G1996" s="50">
        <f t="shared" si="2"/>
        <v>37.5</v>
      </c>
      <c r="H1996" s="51">
        <v>42248.0</v>
      </c>
      <c r="I1996" s="50">
        <f t="shared" si="4"/>
        <v>3.586111111</v>
      </c>
      <c r="J1996" s="55">
        <v>93.0</v>
      </c>
      <c r="K1996" s="56">
        <v>8.2</v>
      </c>
      <c r="L1996" s="55">
        <v>45.0</v>
      </c>
      <c r="M1996" s="58" t="s">
        <v>29</v>
      </c>
      <c r="N1996" s="59"/>
      <c r="O1996" s="60" t="s">
        <v>34</v>
      </c>
      <c r="P1996" s="61"/>
    </row>
    <row r="1997">
      <c r="A1997" s="29" t="s">
        <v>2158</v>
      </c>
      <c r="B1997" s="30" t="s">
        <v>25</v>
      </c>
      <c r="C1997" s="31" t="s">
        <v>1860</v>
      </c>
      <c r="D1997" s="32" t="str">
        <f t="shared" si="1"/>
        <v>Removed</v>
      </c>
      <c r="E1997" s="33">
        <v>43557.0</v>
      </c>
      <c r="F1997" s="92">
        <v>44698.0</v>
      </c>
      <c r="G1997" s="36">
        <f t="shared" si="2"/>
        <v>37.5</v>
      </c>
      <c r="H1997" s="37">
        <v>41716.0</v>
      </c>
      <c r="I1997" s="36">
        <f t="shared" si="4"/>
        <v>5.038888889</v>
      </c>
      <c r="J1997" s="38">
        <v>75.0</v>
      </c>
      <c r="K1997" s="39">
        <v>6.5</v>
      </c>
      <c r="L1997" s="38">
        <v>2.0</v>
      </c>
      <c r="M1997" s="40" t="s">
        <v>29</v>
      </c>
      <c r="N1997" s="41"/>
      <c r="O1997" s="42" t="s">
        <v>34</v>
      </c>
      <c r="P1997" s="43"/>
    </row>
    <row r="1998">
      <c r="A1998" s="44" t="s">
        <v>2159</v>
      </c>
      <c r="B1998" s="45" t="s">
        <v>25</v>
      </c>
      <c r="C1998" s="46" t="s">
        <v>1860</v>
      </c>
      <c r="D1998" s="47" t="str">
        <f t="shared" si="1"/>
        <v>Removed</v>
      </c>
      <c r="E1998" s="48">
        <v>43529.0</v>
      </c>
      <c r="F1998" s="80">
        <v>44698.0</v>
      </c>
      <c r="G1998" s="50">
        <f t="shared" si="2"/>
        <v>38.4</v>
      </c>
      <c r="H1998" s="51">
        <v>39448.0</v>
      </c>
      <c r="I1998" s="50">
        <f t="shared" si="4"/>
        <v>11.17777778</v>
      </c>
      <c r="J1998" s="55">
        <v>94.0</v>
      </c>
      <c r="K1998" s="56">
        <v>9.2</v>
      </c>
      <c r="L1998" s="55">
        <v>18.0</v>
      </c>
      <c r="M1998" s="58" t="s">
        <v>29</v>
      </c>
      <c r="N1998" s="59" t="s">
        <v>442</v>
      </c>
      <c r="O1998" s="60" t="s">
        <v>34</v>
      </c>
      <c r="P1998" s="66"/>
    </row>
    <row r="1999">
      <c r="A1999" s="29" t="s">
        <v>2160</v>
      </c>
      <c r="B1999" s="30" t="s">
        <v>25</v>
      </c>
      <c r="C1999" s="31" t="s">
        <v>1860</v>
      </c>
      <c r="D1999" s="32" t="str">
        <f t="shared" si="1"/>
        <v>Removed</v>
      </c>
      <c r="E1999" s="33">
        <v>43410.0</v>
      </c>
      <c r="F1999" s="92">
        <v>44698.0</v>
      </c>
      <c r="G1999" s="36">
        <f t="shared" si="2"/>
        <v>42.36666667</v>
      </c>
      <c r="H1999" s="37">
        <v>38496.0</v>
      </c>
      <c r="I1999" s="36">
        <f t="shared" si="4"/>
        <v>13.45</v>
      </c>
      <c r="J1999" s="38">
        <v>71.0</v>
      </c>
      <c r="K1999" s="39">
        <v>7.0</v>
      </c>
      <c r="L1999" s="38">
        <v>11.0</v>
      </c>
      <c r="M1999" s="40" t="s">
        <v>29</v>
      </c>
      <c r="N1999" s="41"/>
      <c r="O1999" s="42" t="s">
        <v>34</v>
      </c>
      <c r="P1999" s="43"/>
    </row>
    <row r="2000">
      <c r="A2000" s="44" t="s">
        <v>2161</v>
      </c>
      <c r="B2000" s="45" t="s">
        <v>25</v>
      </c>
      <c r="C2000" s="46" t="s">
        <v>1860</v>
      </c>
      <c r="D2000" s="47" t="str">
        <f t="shared" si="1"/>
        <v>Removed</v>
      </c>
      <c r="E2000" s="48">
        <v>43347.0</v>
      </c>
      <c r="F2000" s="80">
        <v>44698.0</v>
      </c>
      <c r="G2000" s="50">
        <f t="shared" si="2"/>
        <v>44.43333333</v>
      </c>
      <c r="H2000" s="51">
        <v>42705.0</v>
      </c>
      <c r="I2000" s="50">
        <f t="shared" si="4"/>
        <v>1.758333333</v>
      </c>
      <c r="J2000" s="55">
        <v>61.0</v>
      </c>
      <c r="K2000" s="56">
        <v>6.1</v>
      </c>
      <c r="L2000" s="55">
        <v>8.5</v>
      </c>
      <c r="M2000" s="58" t="s">
        <v>42</v>
      </c>
      <c r="N2000" s="59"/>
      <c r="O2000" s="60" t="s">
        <v>34</v>
      </c>
      <c r="P2000" s="61"/>
    </row>
    <row r="2001">
      <c r="A2001" s="29" t="s">
        <v>2162</v>
      </c>
      <c r="B2001" s="30" t="s">
        <v>25</v>
      </c>
      <c r="C2001" s="31" t="s">
        <v>1860</v>
      </c>
      <c r="D2001" s="32" t="str">
        <f t="shared" si="1"/>
        <v>Removed</v>
      </c>
      <c r="E2001" s="33">
        <v>43137.0</v>
      </c>
      <c r="F2001" s="92">
        <v>44698.0</v>
      </c>
      <c r="G2001" s="36">
        <f t="shared" si="2"/>
        <v>51.36666667</v>
      </c>
      <c r="H2001" s="37">
        <v>42346.0</v>
      </c>
      <c r="I2001" s="36">
        <f t="shared" si="4"/>
        <v>2.161111111</v>
      </c>
      <c r="J2001" s="38">
        <v>83.0</v>
      </c>
      <c r="K2001" s="39">
        <v>8.2</v>
      </c>
      <c r="L2001" s="38">
        <v>37.0</v>
      </c>
      <c r="M2001" s="40" t="s">
        <v>29</v>
      </c>
      <c r="N2001" s="41" t="s">
        <v>442</v>
      </c>
      <c r="O2001" s="42" t="s">
        <v>34</v>
      </c>
      <c r="P2001" s="67"/>
    </row>
    <row r="2002">
      <c r="A2002" s="44" t="s">
        <v>2163</v>
      </c>
      <c r="B2002" s="45" t="s">
        <v>25</v>
      </c>
      <c r="C2002" s="46" t="s">
        <v>1860</v>
      </c>
      <c r="D2002" s="47" t="str">
        <f t="shared" si="1"/>
        <v>Removed</v>
      </c>
      <c r="E2002" s="48">
        <v>42922.0</v>
      </c>
      <c r="F2002" s="80">
        <v>44698.0</v>
      </c>
      <c r="G2002" s="50">
        <f t="shared" si="2"/>
        <v>58.36666667</v>
      </c>
      <c r="H2002" s="51">
        <v>42304.0</v>
      </c>
      <c r="I2002" s="50">
        <f t="shared" si="4"/>
        <v>1.691666667</v>
      </c>
      <c r="J2002" s="55">
        <v>42.0</v>
      </c>
      <c r="K2002" s="56">
        <v>4.3</v>
      </c>
      <c r="L2002" s="78"/>
      <c r="M2002" s="58" t="s">
        <v>95</v>
      </c>
      <c r="N2002" s="59"/>
      <c r="O2002" s="60" t="s">
        <v>34</v>
      </c>
      <c r="P2002" s="61"/>
    </row>
    <row r="2003">
      <c r="A2003" s="29" t="s">
        <v>2164</v>
      </c>
      <c r="B2003" s="30" t="s">
        <v>25</v>
      </c>
      <c r="C2003" s="31" t="s">
        <v>1860</v>
      </c>
      <c r="D2003" s="32" t="str">
        <f t="shared" si="1"/>
        <v>Removed</v>
      </c>
      <c r="E2003" s="33">
        <v>42801.0</v>
      </c>
      <c r="F2003" s="92">
        <v>44698.0</v>
      </c>
      <c r="G2003" s="36">
        <f t="shared" si="2"/>
        <v>62.33333333</v>
      </c>
      <c r="H2003" s="37">
        <v>31747.0</v>
      </c>
      <c r="I2003" s="36">
        <f t="shared" si="4"/>
        <v>30.26666667</v>
      </c>
      <c r="J2003" s="38">
        <v>68.0</v>
      </c>
      <c r="K2003" s="39">
        <v>7.4</v>
      </c>
      <c r="L2003" s="38">
        <v>2.0</v>
      </c>
      <c r="M2003" s="40" t="s">
        <v>27</v>
      </c>
      <c r="N2003" s="41"/>
      <c r="O2003" s="42" t="s">
        <v>34</v>
      </c>
      <c r="P2003" s="43"/>
    </row>
    <row r="2004">
      <c r="A2004" s="44" t="s">
        <v>2165</v>
      </c>
      <c r="B2004" s="45" t="s">
        <v>25</v>
      </c>
      <c r="C2004" s="46" t="s">
        <v>1860</v>
      </c>
      <c r="D2004" s="47" t="str">
        <f t="shared" si="1"/>
        <v>Removed</v>
      </c>
      <c r="E2004" s="48">
        <v>42801.0</v>
      </c>
      <c r="F2004" s="80">
        <v>44698.0</v>
      </c>
      <c r="G2004" s="50">
        <f t="shared" si="2"/>
        <v>62.33333333</v>
      </c>
      <c r="H2004" s="51">
        <v>41214.0</v>
      </c>
      <c r="I2004" s="50">
        <f t="shared" si="4"/>
        <v>4.35</v>
      </c>
      <c r="J2004" s="55">
        <v>71.0</v>
      </c>
      <c r="K2004" s="56">
        <v>7.5</v>
      </c>
      <c r="L2004" s="78"/>
      <c r="M2004" s="58" t="s">
        <v>114</v>
      </c>
      <c r="N2004" s="59" t="s">
        <v>442</v>
      </c>
      <c r="O2004" s="60" t="s">
        <v>34</v>
      </c>
      <c r="P2004" s="66"/>
    </row>
    <row r="2005">
      <c r="A2005" s="29" t="s">
        <v>2166</v>
      </c>
      <c r="B2005" s="30" t="s">
        <v>25</v>
      </c>
      <c r="C2005" s="31" t="s">
        <v>1860</v>
      </c>
      <c r="D2005" s="32" t="str">
        <f t="shared" si="1"/>
        <v>Removed</v>
      </c>
      <c r="E2005" s="33">
        <v>42801.0</v>
      </c>
      <c r="F2005" s="92">
        <v>44698.0</v>
      </c>
      <c r="G2005" s="36">
        <f t="shared" si="2"/>
        <v>62.33333333</v>
      </c>
      <c r="H2005" s="37">
        <v>39965.0</v>
      </c>
      <c r="I2005" s="36">
        <f t="shared" si="4"/>
        <v>7.766666667</v>
      </c>
      <c r="J2005" s="38">
        <v>40.0</v>
      </c>
      <c r="K2005" s="39">
        <v>7.1</v>
      </c>
      <c r="L2005" s="38">
        <v>1.0</v>
      </c>
      <c r="M2005" s="40" t="s">
        <v>27</v>
      </c>
      <c r="N2005" s="41"/>
      <c r="O2005" s="42" t="s">
        <v>34</v>
      </c>
      <c r="P2005" s="43"/>
    </row>
    <row r="2006">
      <c r="A2006" s="44" t="s">
        <v>2167</v>
      </c>
      <c r="B2006" s="45" t="s">
        <v>25</v>
      </c>
      <c r="C2006" s="46" t="s">
        <v>1860</v>
      </c>
      <c r="D2006" s="47" t="str">
        <f t="shared" si="1"/>
        <v>Removed</v>
      </c>
      <c r="E2006" s="48">
        <v>42801.0</v>
      </c>
      <c r="F2006" s="80">
        <v>44698.0</v>
      </c>
      <c r="G2006" s="50">
        <f t="shared" si="2"/>
        <v>62.33333333</v>
      </c>
      <c r="H2006" s="51">
        <v>34942.0</v>
      </c>
      <c r="I2006" s="50">
        <f t="shared" si="4"/>
        <v>21.51944444</v>
      </c>
      <c r="J2006" s="55">
        <v>76.0</v>
      </c>
      <c r="K2006" s="56">
        <v>8.2</v>
      </c>
      <c r="L2006" s="55">
        <v>3.0</v>
      </c>
      <c r="M2006" s="58" t="s">
        <v>29</v>
      </c>
      <c r="N2006" s="59" t="s">
        <v>442</v>
      </c>
      <c r="O2006" s="60" t="s">
        <v>34</v>
      </c>
      <c r="P2006" s="66"/>
    </row>
    <row r="2007">
      <c r="A2007" s="29" t="s">
        <v>2168</v>
      </c>
      <c r="B2007" s="30" t="s">
        <v>25</v>
      </c>
      <c r="C2007" s="31" t="s">
        <v>1860</v>
      </c>
      <c r="D2007" s="32" t="str">
        <f t="shared" si="1"/>
        <v>Removed</v>
      </c>
      <c r="E2007" s="33">
        <v>42801.0</v>
      </c>
      <c r="F2007" s="92">
        <v>44698.0</v>
      </c>
      <c r="G2007" s="36">
        <f t="shared" si="2"/>
        <v>62.33333333</v>
      </c>
      <c r="H2007" s="37">
        <v>39722.0</v>
      </c>
      <c r="I2007" s="36">
        <f t="shared" si="4"/>
        <v>8.433333333</v>
      </c>
      <c r="J2007" s="38">
        <v>44.0</v>
      </c>
      <c r="K2007" s="39">
        <v>7.0</v>
      </c>
      <c r="L2007" s="38">
        <v>2.0</v>
      </c>
      <c r="M2007" s="40" t="s">
        <v>29</v>
      </c>
      <c r="N2007" s="41" t="s">
        <v>442</v>
      </c>
      <c r="O2007" s="42" t="s">
        <v>34</v>
      </c>
      <c r="P2007" s="67"/>
    </row>
    <row r="2008">
      <c r="A2008" s="44" t="s">
        <v>2169</v>
      </c>
      <c r="B2008" s="45" t="s">
        <v>25</v>
      </c>
      <c r="C2008" s="46" t="s">
        <v>1860</v>
      </c>
      <c r="D2008" s="47" t="str">
        <f t="shared" si="1"/>
        <v>Removed</v>
      </c>
      <c r="E2008" s="48">
        <v>42682.0</v>
      </c>
      <c r="F2008" s="80">
        <v>44698.0</v>
      </c>
      <c r="G2008" s="50">
        <f t="shared" si="2"/>
        <v>66.3</v>
      </c>
      <c r="H2008" s="51">
        <v>40725.0</v>
      </c>
      <c r="I2008" s="50">
        <f t="shared" si="4"/>
        <v>5.352777778</v>
      </c>
      <c r="J2008" s="55">
        <v>79.0</v>
      </c>
      <c r="K2008" s="56">
        <v>8.3</v>
      </c>
      <c r="L2008" s="55">
        <v>13.0</v>
      </c>
      <c r="M2008" s="58" t="s">
        <v>136</v>
      </c>
      <c r="N2008" s="59" t="s">
        <v>442</v>
      </c>
      <c r="O2008" s="60" t="s">
        <v>34</v>
      </c>
      <c r="P2008" s="66"/>
    </row>
    <row r="2009">
      <c r="A2009" s="29" t="s">
        <v>2170</v>
      </c>
      <c r="B2009" s="30" t="s">
        <v>25</v>
      </c>
      <c r="C2009" s="31" t="s">
        <v>1860</v>
      </c>
      <c r="D2009" s="32" t="str">
        <f t="shared" si="1"/>
        <v>Removed</v>
      </c>
      <c r="E2009" s="33">
        <v>42493.0</v>
      </c>
      <c r="F2009" s="92">
        <v>44698.0</v>
      </c>
      <c r="G2009" s="36">
        <f t="shared" si="2"/>
        <v>72.46666667</v>
      </c>
      <c r="H2009" s="37">
        <v>41183.0</v>
      </c>
      <c r="I2009" s="36">
        <f t="shared" si="4"/>
        <v>3.588888889</v>
      </c>
      <c r="J2009" s="38">
        <v>75.0</v>
      </c>
      <c r="K2009" s="39">
        <v>7.5</v>
      </c>
      <c r="L2009" s="38">
        <v>3.0</v>
      </c>
      <c r="M2009" s="40" t="s">
        <v>29</v>
      </c>
      <c r="N2009" s="41" t="s">
        <v>442</v>
      </c>
      <c r="O2009" s="42" t="s">
        <v>34</v>
      </c>
      <c r="P2009" s="67"/>
    </row>
    <row r="2010">
      <c r="A2010" s="44" t="s">
        <v>2171</v>
      </c>
      <c r="B2010" s="45" t="s">
        <v>25</v>
      </c>
      <c r="C2010" s="46" t="s">
        <v>1860</v>
      </c>
      <c r="D2010" s="47" t="str">
        <f t="shared" si="1"/>
        <v>Removed</v>
      </c>
      <c r="E2010" s="48">
        <v>42017.0</v>
      </c>
      <c r="F2010" s="80">
        <v>44698.0</v>
      </c>
      <c r="G2010" s="50">
        <f t="shared" si="2"/>
        <v>88.13333333</v>
      </c>
      <c r="H2010" s="51">
        <v>39114.0</v>
      </c>
      <c r="I2010" s="50">
        <f t="shared" si="4"/>
        <v>7.95</v>
      </c>
      <c r="J2010" s="55">
        <v>85.0</v>
      </c>
      <c r="K2010" s="56">
        <v>7.7</v>
      </c>
      <c r="L2010" s="78"/>
      <c r="M2010" s="58" t="s">
        <v>114</v>
      </c>
      <c r="N2010" s="59"/>
      <c r="O2010" s="60" t="s">
        <v>34</v>
      </c>
      <c r="P2010" s="61"/>
    </row>
    <row r="2011">
      <c r="A2011" s="29" t="s">
        <v>2172</v>
      </c>
      <c r="B2011" s="30" t="s">
        <v>25</v>
      </c>
      <c r="C2011" s="31" t="s">
        <v>1860</v>
      </c>
      <c r="D2011" s="32" t="str">
        <f t="shared" si="1"/>
        <v>Removed</v>
      </c>
      <c r="E2011" s="33">
        <v>42017.0</v>
      </c>
      <c r="F2011" s="92">
        <v>44698.0</v>
      </c>
      <c r="G2011" s="36">
        <f t="shared" si="2"/>
        <v>88.13333333</v>
      </c>
      <c r="H2011" s="37">
        <v>40787.0</v>
      </c>
      <c r="I2011" s="36">
        <f t="shared" si="4"/>
        <v>3.366666667</v>
      </c>
      <c r="J2011" s="38">
        <v>80.0</v>
      </c>
      <c r="K2011" s="39">
        <v>7.5</v>
      </c>
      <c r="L2011" s="38">
        <v>7.0</v>
      </c>
      <c r="M2011" s="40" t="s">
        <v>31</v>
      </c>
      <c r="N2011" s="41" t="s">
        <v>442</v>
      </c>
      <c r="O2011" s="42" t="s">
        <v>34</v>
      </c>
      <c r="P2011" s="67"/>
    </row>
    <row r="2012">
      <c r="A2012" s="44" t="s">
        <v>2173</v>
      </c>
      <c r="B2012" s="45" t="s">
        <v>25</v>
      </c>
      <c r="C2012" s="46" t="s">
        <v>1860</v>
      </c>
      <c r="D2012" s="47" t="str">
        <f t="shared" si="1"/>
        <v>Removed</v>
      </c>
      <c r="E2012" s="48">
        <v>42017.0</v>
      </c>
      <c r="F2012" s="80">
        <v>44698.0</v>
      </c>
      <c r="G2012" s="50">
        <f t="shared" si="2"/>
        <v>88.13333333</v>
      </c>
      <c r="H2012" s="51">
        <v>40483.0</v>
      </c>
      <c r="I2012" s="50">
        <f t="shared" si="4"/>
        <v>4.2</v>
      </c>
      <c r="J2012" s="55">
        <v>60.0</v>
      </c>
      <c r="K2012" s="56">
        <v>8.1</v>
      </c>
      <c r="L2012" s="55">
        <v>2.0</v>
      </c>
      <c r="M2012" s="58" t="s">
        <v>95</v>
      </c>
      <c r="N2012" s="59" t="s">
        <v>442</v>
      </c>
      <c r="O2012" s="60" t="s">
        <v>34</v>
      </c>
      <c r="P2012" s="66"/>
    </row>
    <row r="2013">
      <c r="A2013" s="29" t="s">
        <v>2174</v>
      </c>
      <c r="B2013" s="30" t="s">
        <v>25</v>
      </c>
      <c r="C2013" s="31" t="s">
        <v>1860</v>
      </c>
      <c r="D2013" s="32" t="str">
        <f t="shared" si="1"/>
        <v>Removed</v>
      </c>
      <c r="E2013" s="33">
        <v>42017.0</v>
      </c>
      <c r="F2013" s="92">
        <v>44698.0</v>
      </c>
      <c r="G2013" s="36">
        <f t="shared" si="2"/>
        <v>88.13333333</v>
      </c>
      <c r="H2013" s="37">
        <v>39965.0</v>
      </c>
      <c r="I2013" s="36">
        <f t="shared" si="4"/>
        <v>5.616666667</v>
      </c>
      <c r="J2013" s="38">
        <v>81.0</v>
      </c>
      <c r="K2013" s="39">
        <v>7.7</v>
      </c>
      <c r="L2013" s="76"/>
      <c r="M2013" s="40" t="s">
        <v>114</v>
      </c>
      <c r="N2013" s="41" t="s">
        <v>442</v>
      </c>
      <c r="O2013" s="42" t="s">
        <v>34</v>
      </c>
      <c r="P2013" s="67"/>
    </row>
    <row r="2014">
      <c r="A2014" s="44" t="s">
        <v>2175</v>
      </c>
      <c r="B2014" s="45" t="s">
        <v>25</v>
      </c>
      <c r="C2014" s="46" t="s">
        <v>1773</v>
      </c>
      <c r="D2014" s="47" t="str">
        <f t="shared" si="1"/>
        <v>Removed</v>
      </c>
      <c r="E2014" s="48">
        <v>44147.0</v>
      </c>
      <c r="F2014" s="49">
        <v>44692.0</v>
      </c>
      <c r="G2014" s="50">
        <f t="shared" si="2"/>
        <v>17.96666667</v>
      </c>
      <c r="H2014" s="51">
        <v>42638.0</v>
      </c>
      <c r="I2014" s="50">
        <f t="shared" si="4"/>
        <v>4.130555556</v>
      </c>
      <c r="J2014" s="55">
        <v>93.0</v>
      </c>
      <c r="K2014" s="56">
        <v>8.7</v>
      </c>
      <c r="L2014" s="55">
        <v>97.5</v>
      </c>
      <c r="M2014" s="58" t="s">
        <v>42</v>
      </c>
      <c r="N2014" s="59"/>
      <c r="O2014" s="60" t="s">
        <v>34</v>
      </c>
      <c r="P2014" s="61"/>
    </row>
    <row r="2015">
      <c r="A2015" s="29" t="s">
        <v>1806</v>
      </c>
      <c r="B2015" s="30" t="s">
        <v>25</v>
      </c>
      <c r="C2015" s="31" t="s">
        <v>1860</v>
      </c>
      <c r="D2015" s="32" t="str">
        <f t="shared" si="1"/>
        <v>Removed</v>
      </c>
      <c r="E2015" s="33">
        <v>44537.0</v>
      </c>
      <c r="F2015" s="92">
        <v>44684.0</v>
      </c>
      <c r="G2015" s="36">
        <f t="shared" si="2"/>
        <v>4.866666667</v>
      </c>
      <c r="H2015" s="37">
        <v>44511.0</v>
      </c>
      <c r="I2015" s="36">
        <f t="shared" si="4"/>
        <v>0.07222222222</v>
      </c>
      <c r="J2015" s="38">
        <v>74.0</v>
      </c>
      <c r="K2015" s="39">
        <v>6.2</v>
      </c>
      <c r="L2015" s="38">
        <v>18.0</v>
      </c>
      <c r="M2015" s="40" t="s">
        <v>29</v>
      </c>
      <c r="N2015" s="41"/>
      <c r="O2015" s="42" t="s">
        <v>34</v>
      </c>
      <c r="P2015" s="43"/>
    </row>
    <row r="2016">
      <c r="A2016" s="44" t="s">
        <v>2176</v>
      </c>
      <c r="B2016" s="45" t="s">
        <v>25</v>
      </c>
      <c r="C2016" s="46" t="s">
        <v>1860</v>
      </c>
      <c r="D2016" s="47" t="str">
        <f t="shared" si="1"/>
        <v>Removed</v>
      </c>
      <c r="E2016" s="48">
        <v>43928.0</v>
      </c>
      <c r="F2016" s="80">
        <v>44684.0</v>
      </c>
      <c r="G2016" s="50">
        <f t="shared" si="2"/>
        <v>24.86666667</v>
      </c>
      <c r="H2016" s="51">
        <v>43340.0</v>
      </c>
      <c r="I2016" s="50">
        <f t="shared" si="4"/>
        <v>1.608333333</v>
      </c>
      <c r="J2016" s="55">
        <v>75.0</v>
      </c>
      <c r="K2016" s="56">
        <v>6.5</v>
      </c>
      <c r="L2016" s="78"/>
      <c r="M2016" s="58" t="s">
        <v>861</v>
      </c>
      <c r="N2016" s="59"/>
      <c r="O2016" s="60" t="s">
        <v>34</v>
      </c>
      <c r="P2016" s="61"/>
    </row>
    <row r="2017">
      <c r="A2017" s="29" t="s">
        <v>2177</v>
      </c>
      <c r="B2017" s="30" t="s">
        <v>25</v>
      </c>
      <c r="C2017" s="31" t="s">
        <v>1860</v>
      </c>
      <c r="D2017" s="32" t="str">
        <f t="shared" si="1"/>
        <v>Removed</v>
      </c>
      <c r="E2017" s="33">
        <v>43529.0</v>
      </c>
      <c r="F2017" s="92">
        <v>44684.0</v>
      </c>
      <c r="G2017" s="36">
        <f t="shared" si="2"/>
        <v>37.93333333</v>
      </c>
      <c r="H2017" s="37">
        <v>42993.0</v>
      </c>
      <c r="I2017" s="36">
        <f t="shared" si="4"/>
        <v>1.472222222</v>
      </c>
      <c r="J2017" s="38">
        <v>80.0</v>
      </c>
      <c r="K2017" s="39">
        <v>2.0</v>
      </c>
      <c r="L2017" s="76"/>
      <c r="M2017" s="40" t="s">
        <v>2178</v>
      </c>
      <c r="N2017" s="41"/>
      <c r="O2017" s="42" t="s">
        <v>34</v>
      </c>
      <c r="P2017" s="43"/>
    </row>
    <row r="2018">
      <c r="A2018" s="44" t="s">
        <v>2179</v>
      </c>
      <c r="B2018" s="45" t="s">
        <v>25</v>
      </c>
      <c r="C2018" s="46" t="s">
        <v>1860</v>
      </c>
      <c r="D2018" s="47" t="str">
        <f t="shared" si="1"/>
        <v>Removed</v>
      </c>
      <c r="E2018" s="48">
        <v>43438.0</v>
      </c>
      <c r="F2018" s="80">
        <v>44684.0</v>
      </c>
      <c r="G2018" s="50">
        <f t="shared" si="2"/>
        <v>40.96666667</v>
      </c>
      <c r="H2018" s="51">
        <v>43291.0</v>
      </c>
      <c r="I2018" s="50">
        <f t="shared" si="4"/>
        <v>0.4</v>
      </c>
      <c r="J2018" s="55">
        <v>55.0</v>
      </c>
      <c r="K2018" s="56">
        <v>5.6</v>
      </c>
      <c r="L2018" s="55">
        <v>5.0</v>
      </c>
      <c r="M2018" s="58" t="s">
        <v>29</v>
      </c>
      <c r="N2018" s="59"/>
      <c r="O2018" s="60" t="s">
        <v>34</v>
      </c>
      <c r="P2018" s="61"/>
    </row>
    <row r="2019">
      <c r="A2019" s="29" t="s">
        <v>2180</v>
      </c>
      <c r="B2019" s="30" t="s">
        <v>25</v>
      </c>
      <c r="C2019" s="31" t="s">
        <v>1860</v>
      </c>
      <c r="D2019" s="32" t="str">
        <f t="shared" si="1"/>
        <v>Removed</v>
      </c>
      <c r="E2019" s="33">
        <v>43438.0</v>
      </c>
      <c r="F2019" s="92">
        <v>44684.0</v>
      </c>
      <c r="G2019" s="36">
        <f t="shared" si="2"/>
        <v>40.96666667</v>
      </c>
      <c r="H2019" s="37">
        <v>42202.0</v>
      </c>
      <c r="I2019" s="36">
        <f t="shared" si="4"/>
        <v>3.380555556</v>
      </c>
      <c r="J2019" s="38">
        <v>52.0</v>
      </c>
      <c r="K2019" s="39">
        <v>5.9</v>
      </c>
      <c r="L2019" s="38">
        <v>3.5</v>
      </c>
      <c r="M2019" s="40" t="s">
        <v>29</v>
      </c>
      <c r="N2019" s="41"/>
      <c r="O2019" s="42" t="s">
        <v>34</v>
      </c>
      <c r="P2019" s="43"/>
    </row>
    <row r="2020">
      <c r="A2020" s="44" t="s">
        <v>2181</v>
      </c>
      <c r="B2020" s="45" t="s">
        <v>25</v>
      </c>
      <c r="C2020" s="46" t="s">
        <v>1860</v>
      </c>
      <c r="D2020" s="47" t="str">
        <f t="shared" si="1"/>
        <v>Removed</v>
      </c>
      <c r="E2020" s="48">
        <v>43347.0</v>
      </c>
      <c r="F2020" s="80">
        <v>44684.0</v>
      </c>
      <c r="G2020" s="50">
        <f t="shared" si="2"/>
        <v>43.96666667</v>
      </c>
      <c r="H2020" s="51">
        <v>42286.0</v>
      </c>
      <c r="I2020" s="50">
        <f t="shared" si="4"/>
        <v>2.902777778</v>
      </c>
      <c r="J2020" s="55">
        <v>59.0</v>
      </c>
      <c r="K2020" s="56">
        <v>6.4</v>
      </c>
      <c r="L2020" s="55">
        <v>5.0</v>
      </c>
      <c r="M2020" s="58" t="s">
        <v>29</v>
      </c>
      <c r="N2020" s="59"/>
      <c r="O2020" s="60" t="s">
        <v>34</v>
      </c>
      <c r="P2020" s="61"/>
    </row>
    <row r="2021">
      <c r="A2021" s="29" t="s">
        <v>2182</v>
      </c>
      <c r="B2021" s="30" t="s">
        <v>25</v>
      </c>
      <c r="C2021" s="31" t="s">
        <v>1860</v>
      </c>
      <c r="D2021" s="32" t="str">
        <f t="shared" si="1"/>
        <v>Removed</v>
      </c>
      <c r="E2021" s="33">
        <v>43137.0</v>
      </c>
      <c r="F2021" s="92">
        <v>44684.0</v>
      </c>
      <c r="G2021" s="36">
        <f t="shared" si="2"/>
        <v>50.9</v>
      </c>
      <c r="H2021" s="37">
        <v>41395.0</v>
      </c>
      <c r="I2021" s="36">
        <f t="shared" si="4"/>
        <v>4.763888889</v>
      </c>
      <c r="J2021" s="38">
        <v>74.0</v>
      </c>
      <c r="K2021" s="39">
        <v>7.3</v>
      </c>
      <c r="L2021" s="38">
        <v>6.0</v>
      </c>
      <c r="M2021" s="40" t="s">
        <v>103</v>
      </c>
      <c r="N2021" s="41"/>
      <c r="O2021" s="42" t="s">
        <v>34</v>
      </c>
      <c r="P2021" s="43"/>
    </row>
    <row r="2022">
      <c r="A2022" s="44" t="s">
        <v>2183</v>
      </c>
      <c r="B2022" s="45" t="s">
        <v>25</v>
      </c>
      <c r="C2022" s="46" t="s">
        <v>1860</v>
      </c>
      <c r="D2022" s="47" t="str">
        <f t="shared" si="1"/>
        <v>Removed</v>
      </c>
      <c r="E2022" s="48">
        <v>43046.0</v>
      </c>
      <c r="F2022" s="80">
        <v>44684.0</v>
      </c>
      <c r="G2022" s="50">
        <f t="shared" si="2"/>
        <v>53.86666667</v>
      </c>
      <c r="H2022" s="51">
        <v>42612.0</v>
      </c>
      <c r="I2022" s="50">
        <f t="shared" si="4"/>
        <v>1.186111111</v>
      </c>
      <c r="J2022" s="55">
        <v>76.0</v>
      </c>
      <c r="K2022" s="56">
        <v>7.6</v>
      </c>
      <c r="L2022" s="55">
        <v>4.5</v>
      </c>
      <c r="M2022" s="58" t="s">
        <v>29</v>
      </c>
      <c r="N2022" s="59"/>
      <c r="O2022" s="60" t="s">
        <v>34</v>
      </c>
      <c r="P2022" s="61"/>
    </row>
    <row r="2023">
      <c r="A2023" s="29" t="s">
        <v>2184</v>
      </c>
      <c r="B2023" s="30" t="s">
        <v>25</v>
      </c>
      <c r="C2023" s="31" t="s">
        <v>1860</v>
      </c>
      <c r="D2023" s="32" t="str">
        <f t="shared" si="1"/>
        <v>Removed</v>
      </c>
      <c r="E2023" s="33">
        <v>43046.0</v>
      </c>
      <c r="F2023" s="92">
        <v>44684.0</v>
      </c>
      <c r="G2023" s="36">
        <f t="shared" si="2"/>
        <v>53.86666667</v>
      </c>
      <c r="H2023" s="37">
        <v>42377.0</v>
      </c>
      <c r="I2023" s="36">
        <f t="shared" si="4"/>
        <v>1.830555556</v>
      </c>
      <c r="J2023" s="38">
        <v>65.0</v>
      </c>
      <c r="K2023" s="39">
        <v>6.8</v>
      </c>
      <c r="L2023" s="38">
        <v>3.0</v>
      </c>
      <c r="M2023" s="40" t="s">
        <v>31</v>
      </c>
      <c r="N2023" s="41"/>
      <c r="O2023" s="42" t="s">
        <v>34</v>
      </c>
      <c r="P2023" s="43"/>
    </row>
    <row r="2024">
      <c r="A2024" s="44" t="s">
        <v>2185</v>
      </c>
      <c r="B2024" s="45" t="s">
        <v>25</v>
      </c>
      <c r="C2024" s="46" t="s">
        <v>1860</v>
      </c>
      <c r="D2024" s="47" t="str">
        <f t="shared" si="1"/>
        <v>Removed</v>
      </c>
      <c r="E2024" s="48">
        <v>42922.0</v>
      </c>
      <c r="F2024" s="80">
        <v>44684.0</v>
      </c>
      <c r="G2024" s="50">
        <f t="shared" si="2"/>
        <v>57.9</v>
      </c>
      <c r="H2024" s="51">
        <v>42689.0</v>
      </c>
      <c r="I2024" s="50">
        <f t="shared" si="4"/>
        <v>0.6416666667</v>
      </c>
      <c r="J2024" s="55">
        <v>49.0</v>
      </c>
      <c r="K2024" s="56">
        <v>6.3</v>
      </c>
      <c r="L2024" s="55">
        <v>35.0</v>
      </c>
      <c r="M2024" s="58" t="s">
        <v>42</v>
      </c>
      <c r="N2024" s="59"/>
      <c r="O2024" s="60" t="s">
        <v>34</v>
      </c>
      <c r="P2024" s="61"/>
    </row>
    <row r="2025">
      <c r="A2025" s="29" t="s">
        <v>2186</v>
      </c>
      <c r="B2025" s="30" t="s">
        <v>25</v>
      </c>
      <c r="C2025" s="31" t="s">
        <v>1860</v>
      </c>
      <c r="D2025" s="32" t="str">
        <f t="shared" si="1"/>
        <v>Removed</v>
      </c>
      <c r="E2025" s="33">
        <v>42017.0</v>
      </c>
      <c r="F2025" s="92">
        <v>44684.0</v>
      </c>
      <c r="G2025" s="36">
        <f t="shared" si="2"/>
        <v>87.66666667</v>
      </c>
      <c r="H2025" s="37">
        <v>40878.0</v>
      </c>
      <c r="I2025" s="36">
        <f t="shared" si="4"/>
        <v>3.116666667</v>
      </c>
      <c r="J2025" s="38">
        <v>80.0</v>
      </c>
      <c r="K2025" s="39">
        <v>8.2</v>
      </c>
      <c r="L2025" s="38">
        <v>4.0</v>
      </c>
      <c r="M2025" s="40" t="s">
        <v>27</v>
      </c>
      <c r="N2025" s="41" t="s">
        <v>442</v>
      </c>
      <c r="O2025" s="42" t="s">
        <v>34</v>
      </c>
      <c r="P2025" s="67"/>
    </row>
    <row r="2026">
      <c r="A2026" s="44" t="s">
        <v>2187</v>
      </c>
      <c r="B2026" s="45" t="s">
        <v>25</v>
      </c>
      <c r="C2026" s="46" t="s">
        <v>2148</v>
      </c>
      <c r="D2026" s="47" t="str">
        <f t="shared" si="1"/>
        <v>Removed</v>
      </c>
      <c r="E2026" s="48">
        <v>44656.0</v>
      </c>
      <c r="F2026" s="49">
        <v>44683.0</v>
      </c>
      <c r="G2026" s="50">
        <f t="shared" si="2"/>
        <v>0.9</v>
      </c>
      <c r="H2026" s="51">
        <v>44326.0</v>
      </c>
      <c r="I2026" s="50">
        <f t="shared" si="4"/>
        <v>0.9027777778</v>
      </c>
      <c r="J2026" s="55">
        <v>63.0</v>
      </c>
      <c r="K2026" s="56">
        <v>5.8</v>
      </c>
      <c r="L2026" s="78"/>
      <c r="M2026" s="58" t="s">
        <v>31</v>
      </c>
      <c r="N2026" s="59"/>
      <c r="O2026" s="60" t="s">
        <v>34</v>
      </c>
      <c r="P2026" s="61"/>
    </row>
    <row r="2027">
      <c r="A2027" s="29" t="s">
        <v>1554</v>
      </c>
      <c r="B2027" s="30" t="s">
        <v>45</v>
      </c>
      <c r="C2027" s="31" t="s">
        <v>2148</v>
      </c>
      <c r="D2027" s="32" t="str">
        <f t="shared" si="1"/>
        <v>Removed</v>
      </c>
      <c r="E2027" s="33">
        <v>44656.0</v>
      </c>
      <c r="F2027" s="34">
        <v>44683.0</v>
      </c>
      <c r="G2027" s="36">
        <f t="shared" si="2"/>
        <v>0.9</v>
      </c>
      <c r="H2027" s="37">
        <v>44005.0</v>
      </c>
      <c r="I2027" s="36">
        <f t="shared" si="4"/>
        <v>1.783333333</v>
      </c>
      <c r="J2027" s="38">
        <v>68.0</v>
      </c>
      <c r="K2027" s="39">
        <v>7.5</v>
      </c>
      <c r="L2027" s="38">
        <v>9.0</v>
      </c>
      <c r="M2027" s="40" t="s">
        <v>29</v>
      </c>
      <c r="N2027" s="41"/>
      <c r="O2027" s="42" t="s">
        <v>34</v>
      </c>
      <c r="P2027" s="43"/>
    </row>
    <row r="2028">
      <c r="A2028" s="44" t="s">
        <v>1407</v>
      </c>
      <c r="B2028" s="45" t="s">
        <v>45</v>
      </c>
      <c r="C2028" s="46" t="s">
        <v>2148</v>
      </c>
      <c r="D2028" s="47" t="str">
        <f t="shared" si="1"/>
        <v>Removed</v>
      </c>
      <c r="E2028" s="48">
        <v>44656.0</v>
      </c>
      <c r="F2028" s="49">
        <v>44683.0</v>
      </c>
      <c r="G2028" s="50">
        <f t="shared" si="2"/>
        <v>0.9</v>
      </c>
      <c r="H2028" s="51">
        <v>43599.0</v>
      </c>
      <c r="I2028" s="50">
        <f t="shared" si="4"/>
        <v>2.891666667</v>
      </c>
      <c r="J2028" s="55">
        <v>88.0</v>
      </c>
      <c r="K2028" s="56">
        <v>8.1</v>
      </c>
      <c r="L2028" s="55">
        <v>12.0</v>
      </c>
      <c r="M2028" s="58" t="s">
        <v>103</v>
      </c>
      <c r="N2028" s="59"/>
      <c r="O2028" s="60" t="s">
        <v>34</v>
      </c>
      <c r="P2028" s="61"/>
    </row>
    <row r="2029">
      <c r="A2029" s="29" t="s">
        <v>1392</v>
      </c>
      <c r="B2029" s="30" t="s">
        <v>33</v>
      </c>
      <c r="C2029" s="31" t="s">
        <v>2148</v>
      </c>
      <c r="D2029" s="32" t="str">
        <f t="shared" si="1"/>
        <v>Removed</v>
      </c>
      <c r="E2029" s="33">
        <v>44621.0</v>
      </c>
      <c r="F2029" s="34">
        <v>44655.0</v>
      </c>
      <c r="G2029" s="36">
        <f t="shared" si="2"/>
        <v>1.1</v>
      </c>
      <c r="H2029" s="37">
        <v>44131.0</v>
      </c>
      <c r="I2029" s="36">
        <f t="shared" si="4"/>
        <v>1.344444444</v>
      </c>
      <c r="J2029" s="38">
        <v>78.0</v>
      </c>
      <c r="K2029" s="39">
        <v>8.0</v>
      </c>
      <c r="L2029" s="38">
        <v>8.0</v>
      </c>
      <c r="M2029" s="40" t="s">
        <v>29</v>
      </c>
      <c r="N2029" s="41"/>
      <c r="O2029" s="42" t="s">
        <v>34</v>
      </c>
      <c r="P2029" s="43"/>
    </row>
    <row r="2030">
      <c r="A2030" s="44" t="s">
        <v>2188</v>
      </c>
      <c r="B2030" s="45" t="s">
        <v>45</v>
      </c>
      <c r="C2030" s="46" t="s">
        <v>2148</v>
      </c>
      <c r="D2030" s="47" t="str">
        <f t="shared" si="1"/>
        <v>Removed</v>
      </c>
      <c r="E2030" s="48">
        <v>44621.0</v>
      </c>
      <c r="F2030" s="49">
        <v>44655.0</v>
      </c>
      <c r="G2030" s="50">
        <f t="shared" si="2"/>
        <v>1.1</v>
      </c>
      <c r="H2030" s="51">
        <v>42976.0</v>
      </c>
      <c r="I2030" s="50">
        <f t="shared" si="4"/>
        <v>4.505555556</v>
      </c>
      <c r="J2030" s="55">
        <v>69.0</v>
      </c>
      <c r="K2030" s="56">
        <v>6.7</v>
      </c>
      <c r="L2030" s="78"/>
      <c r="M2030" s="58" t="s">
        <v>36</v>
      </c>
      <c r="N2030" s="59"/>
      <c r="O2030" s="60" t="s">
        <v>34</v>
      </c>
      <c r="P2030" s="61"/>
    </row>
    <row r="2031">
      <c r="A2031" s="29" t="s">
        <v>2153</v>
      </c>
      <c r="B2031" s="30" t="s">
        <v>45</v>
      </c>
      <c r="C2031" s="31" t="s">
        <v>2148</v>
      </c>
      <c r="D2031" s="32" t="str">
        <f t="shared" si="1"/>
        <v>Removed</v>
      </c>
      <c r="E2031" s="33">
        <v>44621.0</v>
      </c>
      <c r="F2031" s="34">
        <v>44655.0</v>
      </c>
      <c r="G2031" s="36">
        <f t="shared" si="2"/>
        <v>1.1</v>
      </c>
      <c r="H2031" s="37">
        <v>43606.0</v>
      </c>
      <c r="I2031" s="36">
        <f t="shared" si="4"/>
        <v>2.777777778</v>
      </c>
      <c r="J2031" s="38">
        <v>72.0</v>
      </c>
      <c r="K2031" s="39">
        <v>7.0</v>
      </c>
      <c r="L2031" s="38">
        <v>10.0</v>
      </c>
      <c r="M2031" s="40" t="s">
        <v>95</v>
      </c>
      <c r="N2031" s="41"/>
      <c r="O2031" s="42" t="s">
        <v>34</v>
      </c>
      <c r="P2031" s="43"/>
    </row>
    <row r="2032">
      <c r="A2032" s="44" t="s">
        <v>2189</v>
      </c>
      <c r="B2032" s="45" t="s">
        <v>25</v>
      </c>
      <c r="C2032" s="46" t="s">
        <v>2148</v>
      </c>
      <c r="D2032" s="47" t="str">
        <f t="shared" si="1"/>
        <v>Removed</v>
      </c>
      <c r="E2032" s="48">
        <v>44621.0</v>
      </c>
      <c r="F2032" s="49">
        <v>44655.0</v>
      </c>
      <c r="G2032" s="50">
        <f t="shared" si="2"/>
        <v>1.1</v>
      </c>
      <c r="H2032" s="51">
        <v>44120.0</v>
      </c>
      <c r="I2032" s="50">
        <f t="shared" si="4"/>
        <v>1.375</v>
      </c>
      <c r="J2032" s="55">
        <v>93.0</v>
      </c>
      <c r="K2032" s="56">
        <v>8.9</v>
      </c>
      <c r="L2032" s="78"/>
      <c r="M2032" s="58" t="s">
        <v>29</v>
      </c>
      <c r="N2032" s="59"/>
      <c r="O2032" s="60" t="s">
        <v>34</v>
      </c>
      <c r="P2032" s="61"/>
    </row>
    <row r="2033">
      <c r="A2033" s="29" t="s">
        <v>2190</v>
      </c>
      <c r="B2033" s="30" t="s">
        <v>33</v>
      </c>
      <c r="C2033" s="31" t="s">
        <v>2148</v>
      </c>
      <c r="D2033" s="32" t="str">
        <f t="shared" si="1"/>
        <v>Removed</v>
      </c>
      <c r="E2033" s="33">
        <v>44593.0</v>
      </c>
      <c r="F2033" s="34">
        <v>44620.0</v>
      </c>
      <c r="G2033" s="36">
        <f t="shared" si="2"/>
        <v>0.9</v>
      </c>
      <c r="H2033" s="37">
        <v>44145.0</v>
      </c>
      <c r="I2033" s="36">
        <f t="shared" si="4"/>
        <v>1.225</v>
      </c>
      <c r="J2033" s="38">
        <v>81.0</v>
      </c>
      <c r="K2033" s="39">
        <v>7.1</v>
      </c>
      <c r="L2033" s="76"/>
      <c r="M2033" s="40" t="s">
        <v>70</v>
      </c>
      <c r="N2033" s="41"/>
      <c r="O2033" s="42" t="s">
        <v>34</v>
      </c>
      <c r="P2033" s="43"/>
    </row>
    <row r="2034">
      <c r="A2034" s="44" t="s">
        <v>2191</v>
      </c>
      <c r="B2034" s="45" t="s">
        <v>45</v>
      </c>
      <c r="C2034" s="46" t="s">
        <v>2148</v>
      </c>
      <c r="D2034" s="47" t="str">
        <f t="shared" si="1"/>
        <v>Removed</v>
      </c>
      <c r="E2034" s="48">
        <v>44593.0</v>
      </c>
      <c r="F2034" s="49">
        <v>44620.0</v>
      </c>
      <c r="G2034" s="50">
        <f t="shared" si="2"/>
        <v>0.9</v>
      </c>
      <c r="H2034" s="51">
        <v>44057.0</v>
      </c>
      <c r="I2034" s="50">
        <f t="shared" si="4"/>
        <v>1.463888889</v>
      </c>
      <c r="J2034" s="55">
        <v>78.0</v>
      </c>
      <c r="K2034" s="56">
        <v>6.8</v>
      </c>
      <c r="L2034" s="78"/>
      <c r="M2034" s="58" t="s">
        <v>125</v>
      </c>
      <c r="N2034" s="59"/>
      <c r="O2034" s="60" t="s">
        <v>34</v>
      </c>
      <c r="P2034" s="61"/>
    </row>
    <row r="2035">
      <c r="A2035" s="29" t="s">
        <v>2192</v>
      </c>
      <c r="B2035" s="30" t="s">
        <v>45</v>
      </c>
      <c r="C2035" s="31" t="s">
        <v>2148</v>
      </c>
      <c r="D2035" s="32" t="str">
        <f t="shared" si="1"/>
        <v>Removed</v>
      </c>
      <c r="E2035" s="33">
        <v>44593.0</v>
      </c>
      <c r="F2035" s="34">
        <v>44620.0</v>
      </c>
      <c r="G2035" s="36">
        <f t="shared" si="2"/>
        <v>0.9</v>
      </c>
      <c r="H2035" s="37">
        <v>44509.0</v>
      </c>
      <c r="I2035" s="36">
        <f t="shared" si="4"/>
        <v>0.2277777778</v>
      </c>
      <c r="J2035" s="38">
        <v>80.0</v>
      </c>
      <c r="K2035" s="39">
        <v>7.5</v>
      </c>
      <c r="L2035" s="38">
        <v>9.0</v>
      </c>
      <c r="M2035" s="40" t="s">
        <v>42</v>
      </c>
      <c r="N2035" s="41"/>
      <c r="O2035" s="42" t="s">
        <v>34</v>
      </c>
      <c r="P2035" s="43"/>
    </row>
    <row r="2036">
      <c r="A2036" s="44" t="s">
        <v>2193</v>
      </c>
      <c r="B2036" s="45" t="s">
        <v>25</v>
      </c>
      <c r="C2036" s="46" t="s">
        <v>1860</v>
      </c>
      <c r="D2036" s="47" t="str">
        <f t="shared" si="1"/>
        <v>Removed</v>
      </c>
      <c r="E2036" s="48">
        <v>44257.0</v>
      </c>
      <c r="F2036" s="80">
        <v>44620.0</v>
      </c>
      <c r="G2036" s="50">
        <f t="shared" si="2"/>
        <v>11.86666667</v>
      </c>
      <c r="H2036" s="51">
        <v>42425.0</v>
      </c>
      <c r="I2036" s="50">
        <f t="shared" si="4"/>
        <v>5.019444444</v>
      </c>
      <c r="J2036" s="55">
        <v>82.0</v>
      </c>
      <c r="K2036" s="56">
        <v>7.6</v>
      </c>
      <c r="L2036" s="55">
        <v>2.0</v>
      </c>
      <c r="M2036" s="58" t="s">
        <v>31</v>
      </c>
      <c r="N2036" s="59"/>
      <c r="O2036" s="60" t="s">
        <v>34</v>
      </c>
      <c r="P2036" s="61"/>
    </row>
    <row r="2037">
      <c r="A2037" s="29" t="s">
        <v>1634</v>
      </c>
      <c r="B2037" s="30" t="s">
        <v>25</v>
      </c>
      <c r="C2037" s="31" t="s">
        <v>1860</v>
      </c>
      <c r="D2037" s="32" t="str">
        <f t="shared" si="1"/>
        <v>Removed</v>
      </c>
      <c r="E2037" s="33">
        <v>43683.0</v>
      </c>
      <c r="F2037" s="92">
        <v>44620.0</v>
      </c>
      <c r="G2037" s="36">
        <f t="shared" si="2"/>
        <v>30.73333333</v>
      </c>
      <c r="H2037" s="37">
        <v>42888.0</v>
      </c>
      <c r="I2037" s="36">
        <f t="shared" si="4"/>
        <v>2.177777778</v>
      </c>
      <c r="J2037" s="38">
        <v>82.0</v>
      </c>
      <c r="K2037" s="39">
        <v>6.7</v>
      </c>
      <c r="L2037" s="38">
        <v>5.0</v>
      </c>
      <c r="M2037" s="40" t="s">
        <v>114</v>
      </c>
      <c r="N2037" s="41"/>
      <c r="O2037" s="42" t="s">
        <v>34</v>
      </c>
      <c r="P2037" s="43"/>
    </row>
    <row r="2038">
      <c r="A2038" s="44" t="s">
        <v>2194</v>
      </c>
      <c r="B2038" s="45" t="s">
        <v>45</v>
      </c>
      <c r="C2038" s="46" t="s">
        <v>2148</v>
      </c>
      <c r="D2038" s="47" t="str">
        <f t="shared" si="1"/>
        <v>Removed</v>
      </c>
      <c r="E2038" s="48">
        <v>44565.0</v>
      </c>
      <c r="F2038" s="49">
        <v>44592.0</v>
      </c>
      <c r="G2038" s="50">
        <f t="shared" si="2"/>
        <v>0.8666666667</v>
      </c>
      <c r="H2038" s="51">
        <v>44246.0</v>
      </c>
      <c r="I2038" s="50">
        <f t="shared" si="4"/>
        <v>0.875</v>
      </c>
      <c r="J2038" s="55">
        <v>83.0</v>
      </c>
      <c r="K2038" s="56">
        <v>7.8</v>
      </c>
      <c r="L2038" s="55">
        <v>36.0</v>
      </c>
      <c r="M2038" s="58" t="s">
        <v>42</v>
      </c>
      <c r="N2038" s="59"/>
      <c r="O2038" s="60" t="s">
        <v>34</v>
      </c>
      <c r="P2038" s="61"/>
    </row>
    <row r="2039">
      <c r="A2039" s="29" t="s">
        <v>2195</v>
      </c>
      <c r="B2039" s="30" t="s">
        <v>25</v>
      </c>
      <c r="C2039" s="31" t="s">
        <v>2148</v>
      </c>
      <c r="D2039" s="32" t="str">
        <f t="shared" si="1"/>
        <v>Removed</v>
      </c>
      <c r="E2039" s="33">
        <v>44565.0</v>
      </c>
      <c r="F2039" s="34">
        <v>44592.0</v>
      </c>
      <c r="G2039" s="36">
        <f t="shared" si="2"/>
        <v>0.8666666667</v>
      </c>
      <c r="H2039" s="37">
        <v>44141.0</v>
      </c>
      <c r="I2039" s="36">
        <f t="shared" si="4"/>
        <v>1.161111111</v>
      </c>
      <c r="J2039" s="38">
        <v>80.0</v>
      </c>
      <c r="K2039" s="39">
        <v>6.9</v>
      </c>
      <c r="L2039" s="38">
        <v>9.0</v>
      </c>
      <c r="M2039" s="40" t="s">
        <v>95</v>
      </c>
      <c r="N2039" s="41"/>
      <c r="O2039" s="42" t="s">
        <v>34</v>
      </c>
      <c r="P2039" s="43"/>
    </row>
    <row r="2040">
      <c r="A2040" s="44" t="s">
        <v>2196</v>
      </c>
      <c r="B2040" s="45" t="s">
        <v>25</v>
      </c>
      <c r="C2040" s="46" t="s">
        <v>2148</v>
      </c>
      <c r="D2040" s="47" t="str">
        <f t="shared" si="1"/>
        <v>Removed</v>
      </c>
      <c r="E2040" s="48">
        <v>44565.0</v>
      </c>
      <c r="F2040" s="49">
        <v>44592.0</v>
      </c>
      <c r="G2040" s="50">
        <f t="shared" si="2"/>
        <v>0.8666666667</v>
      </c>
      <c r="H2040" s="51">
        <v>44329.0</v>
      </c>
      <c r="I2040" s="50">
        <f t="shared" si="4"/>
        <v>0.6416666667</v>
      </c>
      <c r="J2040" s="55">
        <v>85.0</v>
      </c>
      <c r="K2040" s="56">
        <v>8.6</v>
      </c>
      <c r="L2040" s="78"/>
      <c r="M2040" s="58" t="s">
        <v>31</v>
      </c>
      <c r="N2040" s="59"/>
      <c r="O2040" s="60" t="s">
        <v>34</v>
      </c>
      <c r="P2040" s="61"/>
    </row>
    <row r="2041">
      <c r="A2041" s="29" t="s">
        <v>2197</v>
      </c>
      <c r="B2041" s="30" t="s">
        <v>25</v>
      </c>
      <c r="C2041" s="31" t="s">
        <v>1860</v>
      </c>
      <c r="D2041" s="32" t="str">
        <f t="shared" si="1"/>
        <v>Removed</v>
      </c>
      <c r="E2041" s="33">
        <v>44474.0</v>
      </c>
      <c r="F2041" s="92">
        <v>44565.0</v>
      </c>
      <c r="G2041" s="36">
        <f t="shared" si="2"/>
        <v>2.966666667</v>
      </c>
      <c r="H2041" s="37">
        <v>44001.0</v>
      </c>
      <c r="I2041" s="36">
        <f t="shared" si="4"/>
        <v>1.294444444</v>
      </c>
      <c r="J2041" s="38">
        <v>93.0</v>
      </c>
      <c r="K2041" s="39">
        <v>5.9</v>
      </c>
      <c r="L2041" s="38">
        <v>24.0</v>
      </c>
      <c r="M2041" s="40" t="s">
        <v>29</v>
      </c>
      <c r="N2041" s="41"/>
      <c r="O2041" s="42" t="s">
        <v>34</v>
      </c>
      <c r="P2041" s="43"/>
    </row>
    <row r="2042">
      <c r="A2042" s="44" t="s">
        <v>2198</v>
      </c>
      <c r="B2042" s="45" t="s">
        <v>25</v>
      </c>
      <c r="C2042" s="46" t="s">
        <v>2148</v>
      </c>
      <c r="D2042" s="47" t="str">
        <f t="shared" si="1"/>
        <v>Removed</v>
      </c>
      <c r="E2042" s="48">
        <v>44537.0</v>
      </c>
      <c r="F2042" s="49">
        <v>44564.0</v>
      </c>
      <c r="G2042" s="50">
        <f t="shared" si="2"/>
        <v>0.8666666667</v>
      </c>
      <c r="H2042" s="51">
        <v>44507.0</v>
      </c>
      <c r="I2042" s="50">
        <f t="shared" si="4"/>
        <v>0.08333333333</v>
      </c>
      <c r="J2042" s="55">
        <v>61.0</v>
      </c>
      <c r="K2042" s="56">
        <v>5.4</v>
      </c>
      <c r="L2042" s="55">
        <v>12.0</v>
      </c>
      <c r="M2042" s="58" t="s">
        <v>42</v>
      </c>
      <c r="N2042" s="59"/>
      <c r="O2042" s="60" t="s">
        <v>34</v>
      </c>
      <c r="P2042" s="61"/>
    </row>
    <row r="2043">
      <c r="A2043" s="29" t="s">
        <v>2199</v>
      </c>
      <c r="B2043" s="30" t="s">
        <v>45</v>
      </c>
      <c r="C2043" s="31" t="s">
        <v>2148</v>
      </c>
      <c r="D2043" s="32" t="str">
        <f t="shared" si="1"/>
        <v>Removed</v>
      </c>
      <c r="E2043" s="33">
        <v>44537.0</v>
      </c>
      <c r="F2043" s="34">
        <v>44564.0</v>
      </c>
      <c r="G2043" s="36">
        <f t="shared" si="2"/>
        <v>0.8666666667</v>
      </c>
      <c r="H2043" s="37">
        <v>43389.0</v>
      </c>
      <c r="I2043" s="36">
        <f t="shared" si="4"/>
        <v>3.141666667</v>
      </c>
      <c r="J2043" s="38">
        <v>74.0</v>
      </c>
      <c r="K2043" s="39">
        <v>7.7</v>
      </c>
      <c r="L2043" s="38">
        <v>15.0</v>
      </c>
      <c r="M2043" s="40" t="s">
        <v>29</v>
      </c>
      <c r="N2043" s="41"/>
      <c r="O2043" s="42" t="s">
        <v>34</v>
      </c>
      <c r="P2043" s="43"/>
    </row>
    <row r="2044">
      <c r="A2044" s="44" t="s">
        <v>1249</v>
      </c>
      <c r="B2044" s="45" t="s">
        <v>45</v>
      </c>
      <c r="C2044" s="46" t="s">
        <v>2148</v>
      </c>
      <c r="D2044" s="47" t="str">
        <f t="shared" si="1"/>
        <v>Removed</v>
      </c>
      <c r="E2044" s="48">
        <v>44537.0</v>
      </c>
      <c r="F2044" s="49">
        <v>44564.0</v>
      </c>
      <c r="G2044" s="50">
        <f t="shared" si="2"/>
        <v>0.8666666667</v>
      </c>
      <c r="H2044" s="51">
        <v>44061.0</v>
      </c>
      <c r="I2044" s="50">
        <f t="shared" si="4"/>
        <v>1.302777778</v>
      </c>
      <c r="J2044" s="55">
        <v>76.0</v>
      </c>
      <c r="K2044" s="56">
        <v>6.8</v>
      </c>
      <c r="L2044" s="55">
        <v>13.0</v>
      </c>
      <c r="M2044" s="58" t="s">
        <v>29</v>
      </c>
      <c r="N2044" s="59"/>
      <c r="O2044" s="60" t="s">
        <v>34</v>
      </c>
      <c r="P2044" s="61"/>
    </row>
    <row r="2045">
      <c r="A2045" s="29" t="s">
        <v>2200</v>
      </c>
      <c r="B2045" s="30" t="s">
        <v>384</v>
      </c>
      <c r="C2045" s="31" t="s">
        <v>2148</v>
      </c>
      <c r="D2045" s="32" t="str">
        <f t="shared" si="1"/>
        <v>Removed</v>
      </c>
      <c r="E2045" s="33">
        <v>44502.0</v>
      </c>
      <c r="F2045" s="34">
        <v>44564.0</v>
      </c>
      <c r="G2045" s="36">
        <f t="shared" si="2"/>
        <v>2.033333333</v>
      </c>
      <c r="H2045" s="37">
        <v>43305.0</v>
      </c>
      <c r="I2045" s="36">
        <f t="shared" si="4"/>
        <v>3.272222222</v>
      </c>
      <c r="J2045" s="38">
        <v>78.0</v>
      </c>
      <c r="K2045" s="39">
        <v>7.3</v>
      </c>
      <c r="L2045" s="38">
        <v>10.0</v>
      </c>
      <c r="M2045" s="40" t="s">
        <v>537</v>
      </c>
      <c r="N2045" s="41"/>
      <c r="O2045" s="42" t="s">
        <v>34</v>
      </c>
      <c r="P2045" s="43"/>
    </row>
    <row r="2046">
      <c r="A2046" s="44" t="s">
        <v>2201</v>
      </c>
      <c r="B2046" s="45" t="s">
        <v>384</v>
      </c>
      <c r="C2046" s="46" t="s">
        <v>2148</v>
      </c>
      <c r="D2046" s="47" t="str">
        <f t="shared" si="1"/>
        <v>Removed</v>
      </c>
      <c r="E2046" s="48">
        <v>44502.0</v>
      </c>
      <c r="F2046" s="49">
        <v>44564.0</v>
      </c>
      <c r="G2046" s="50">
        <f t="shared" si="2"/>
        <v>2.033333333</v>
      </c>
      <c r="H2046" s="51">
        <v>43853.0</v>
      </c>
      <c r="I2046" s="50">
        <f t="shared" si="4"/>
        <v>1.775</v>
      </c>
      <c r="J2046" s="55">
        <v>79.0</v>
      </c>
      <c r="K2046" s="56">
        <v>8.2</v>
      </c>
      <c r="L2046" s="55">
        <v>11.0</v>
      </c>
      <c r="M2046" s="58" t="s">
        <v>29</v>
      </c>
      <c r="N2046" s="59"/>
      <c r="O2046" s="60" t="s">
        <v>34</v>
      </c>
      <c r="P2046" s="61"/>
    </row>
    <row r="2047">
      <c r="A2047" s="29" t="s">
        <v>2202</v>
      </c>
      <c r="B2047" s="30" t="s">
        <v>384</v>
      </c>
      <c r="C2047" s="31" t="s">
        <v>2148</v>
      </c>
      <c r="D2047" s="32" t="str">
        <f t="shared" si="1"/>
        <v>Removed</v>
      </c>
      <c r="E2047" s="33">
        <v>44502.0</v>
      </c>
      <c r="F2047" s="34">
        <v>44564.0</v>
      </c>
      <c r="G2047" s="36">
        <f t="shared" si="2"/>
        <v>2.033333333</v>
      </c>
      <c r="H2047" s="37">
        <v>44103.0</v>
      </c>
      <c r="I2047" s="36">
        <f t="shared" si="4"/>
        <v>1.091666667</v>
      </c>
      <c r="J2047" s="38">
        <v>79.0</v>
      </c>
      <c r="K2047" s="39">
        <v>7.7</v>
      </c>
      <c r="L2047" s="38">
        <v>5.0</v>
      </c>
      <c r="M2047" s="40" t="s">
        <v>29</v>
      </c>
      <c r="N2047" s="41"/>
      <c r="O2047" s="42" t="s">
        <v>34</v>
      </c>
      <c r="P2047" s="43"/>
    </row>
    <row r="2048">
      <c r="A2048" s="44" t="s">
        <v>2203</v>
      </c>
      <c r="B2048" s="45" t="s">
        <v>25</v>
      </c>
      <c r="C2048" s="46" t="s">
        <v>2148</v>
      </c>
      <c r="D2048" s="47" t="str">
        <f t="shared" si="1"/>
        <v>Removed</v>
      </c>
      <c r="E2048" s="48">
        <v>44502.0</v>
      </c>
      <c r="F2048" s="49">
        <v>44536.0</v>
      </c>
      <c r="G2048" s="50">
        <f t="shared" si="2"/>
        <v>1.133333333</v>
      </c>
      <c r="H2048" s="51">
        <v>44337.0</v>
      </c>
      <c r="I2048" s="50">
        <f t="shared" si="4"/>
        <v>0.4472222222</v>
      </c>
      <c r="J2048" s="55">
        <v>80.0</v>
      </c>
      <c r="K2048" s="56">
        <v>7.1</v>
      </c>
      <c r="L2048" s="78"/>
      <c r="M2048" s="58" t="s">
        <v>31</v>
      </c>
      <c r="N2048" s="59"/>
      <c r="O2048" s="60" t="s">
        <v>34</v>
      </c>
      <c r="P2048" s="61"/>
    </row>
    <row r="2049">
      <c r="A2049" s="29" t="s">
        <v>2204</v>
      </c>
      <c r="B2049" s="30" t="s">
        <v>25</v>
      </c>
      <c r="C2049" s="31" t="s">
        <v>2148</v>
      </c>
      <c r="D2049" s="32" t="str">
        <f t="shared" si="1"/>
        <v>Removed</v>
      </c>
      <c r="E2049" s="33">
        <v>44502.0</v>
      </c>
      <c r="F2049" s="34">
        <v>44536.0</v>
      </c>
      <c r="G2049" s="36">
        <f t="shared" si="2"/>
        <v>1.133333333</v>
      </c>
      <c r="H2049" s="37">
        <v>44502.0</v>
      </c>
      <c r="I2049" s="36">
        <f t="shared" si="4"/>
        <v>0</v>
      </c>
      <c r="J2049" s="38">
        <v>66.0</v>
      </c>
      <c r="K2049" s="39">
        <v>6.5</v>
      </c>
      <c r="L2049" s="76"/>
      <c r="M2049" s="40" t="s">
        <v>51</v>
      </c>
      <c r="N2049" s="41"/>
      <c r="O2049" s="42" t="s">
        <v>34</v>
      </c>
      <c r="P2049" s="43"/>
    </row>
    <row r="2050">
      <c r="A2050" s="44" t="s">
        <v>1575</v>
      </c>
      <c r="B2050" s="45" t="s">
        <v>45</v>
      </c>
      <c r="C2050" s="46" t="s">
        <v>2148</v>
      </c>
      <c r="D2050" s="47" t="str">
        <f t="shared" si="1"/>
        <v>Removed</v>
      </c>
      <c r="E2050" s="48">
        <v>44502.0</v>
      </c>
      <c r="F2050" s="49">
        <v>44536.0</v>
      </c>
      <c r="G2050" s="50">
        <f t="shared" si="2"/>
        <v>1.133333333</v>
      </c>
      <c r="H2050" s="51">
        <v>44082.0</v>
      </c>
      <c r="I2050" s="50">
        <f t="shared" si="4"/>
        <v>1.15</v>
      </c>
      <c r="J2050" s="55">
        <v>72.0</v>
      </c>
      <c r="K2050" s="56">
        <v>7.1</v>
      </c>
      <c r="L2050" s="55">
        <v>22.0</v>
      </c>
      <c r="M2050" s="58" t="s">
        <v>42</v>
      </c>
      <c r="N2050" s="59"/>
      <c r="O2050" s="60" t="s">
        <v>34</v>
      </c>
      <c r="P2050" s="61"/>
    </row>
    <row r="2051">
      <c r="A2051" s="29" t="s">
        <v>2205</v>
      </c>
      <c r="B2051" s="30" t="s">
        <v>33</v>
      </c>
      <c r="C2051" s="31" t="s">
        <v>2148</v>
      </c>
      <c r="D2051" s="32" t="str">
        <f t="shared" si="1"/>
        <v>Removed</v>
      </c>
      <c r="E2051" s="33">
        <v>44474.0</v>
      </c>
      <c r="F2051" s="34">
        <v>44501.0</v>
      </c>
      <c r="G2051" s="36">
        <f t="shared" si="2"/>
        <v>0.8666666667</v>
      </c>
      <c r="H2051" s="37">
        <v>44404.0</v>
      </c>
      <c r="I2051" s="36">
        <f t="shared" si="4"/>
        <v>0.1888888889</v>
      </c>
      <c r="J2051" s="38">
        <v>79.0</v>
      </c>
      <c r="K2051" s="39">
        <v>7.3</v>
      </c>
      <c r="L2051" s="76"/>
      <c r="M2051" s="40" t="s">
        <v>31</v>
      </c>
      <c r="N2051" s="41"/>
      <c r="O2051" s="42" t="s">
        <v>34</v>
      </c>
      <c r="P2051" s="43"/>
    </row>
    <row r="2052">
      <c r="A2052" s="44" t="s">
        <v>1844</v>
      </c>
      <c r="B2052" s="45" t="s">
        <v>45</v>
      </c>
      <c r="C2052" s="46" t="s">
        <v>2148</v>
      </c>
      <c r="D2052" s="47" t="str">
        <f t="shared" si="1"/>
        <v>Removed</v>
      </c>
      <c r="E2052" s="48">
        <v>44474.0</v>
      </c>
      <c r="F2052" s="49">
        <v>44501.0</v>
      </c>
      <c r="G2052" s="50">
        <f t="shared" si="2"/>
        <v>0.8666666667</v>
      </c>
      <c r="H2052" s="51">
        <v>44064.0</v>
      </c>
      <c r="I2052" s="50">
        <f t="shared" si="4"/>
        <v>1.122222222</v>
      </c>
      <c r="J2052" s="55">
        <v>76.0</v>
      </c>
      <c r="K2052" s="56">
        <v>7.0</v>
      </c>
      <c r="L2052" s="78"/>
      <c r="M2052" s="58" t="s">
        <v>125</v>
      </c>
      <c r="N2052" s="59"/>
      <c r="O2052" s="60" t="s">
        <v>34</v>
      </c>
      <c r="P2052" s="61"/>
    </row>
    <row r="2053">
      <c r="A2053" s="29" t="s">
        <v>1779</v>
      </c>
      <c r="B2053" s="30" t="s">
        <v>45</v>
      </c>
      <c r="C2053" s="31" t="s">
        <v>2148</v>
      </c>
      <c r="D2053" s="32" t="str">
        <f t="shared" si="1"/>
        <v>Removed</v>
      </c>
      <c r="E2053" s="33">
        <v>44474.0</v>
      </c>
      <c r="F2053" s="34">
        <v>44501.0</v>
      </c>
      <c r="G2053" s="36">
        <f t="shared" si="2"/>
        <v>0.8666666667</v>
      </c>
      <c r="H2053" s="37">
        <v>42108.0</v>
      </c>
      <c r="I2053" s="36">
        <f t="shared" si="4"/>
        <v>6.475</v>
      </c>
      <c r="J2053" s="38">
        <v>83.0</v>
      </c>
      <c r="K2053" s="39">
        <v>7.7</v>
      </c>
      <c r="L2053" s="38">
        <v>6.0</v>
      </c>
      <c r="M2053" s="40" t="s">
        <v>114</v>
      </c>
      <c r="N2053" s="41"/>
      <c r="O2053" s="42" t="s">
        <v>34</v>
      </c>
      <c r="P2053" s="43"/>
    </row>
    <row r="2054">
      <c r="A2054" s="44" t="s">
        <v>2206</v>
      </c>
      <c r="B2054" s="45" t="s">
        <v>33</v>
      </c>
      <c r="C2054" s="46" t="s">
        <v>2148</v>
      </c>
      <c r="D2054" s="47" t="str">
        <f t="shared" si="1"/>
        <v>Removed</v>
      </c>
      <c r="E2054" s="48">
        <v>44446.0</v>
      </c>
      <c r="F2054" s="49">
        <v>44473.0</v>
      </c>
      <c r="G2054" s="50">
        <f t="shared" si="2"/>
        <v>0.9</v>
      </c>
      <c r="H2054" s="51">
        <v>44278.0</v>
      </c>
      <c r="I2054" s="50">
        <f t="shared" si="4"/>
        <v>0.4555555556</v>
      </c>
      <c r="J2054" s="55">
        <v>84.0</v>
      </c>
      <c r="K2054" s="56">
        <v>7.4</v>
      </c>
      <c r="L2054" s="55">
        <v>8.0</v>
      </c>
      <c r="M2054" s="58" t="s">
        <v>70</v>
      </c>
      <c r="N2054" s="59"/>
      <c r="O2054" s="60" t="s">
        <v>34</v>
      </c>
      <c r="P2054" s="61"/>
    </row>
    <row r="2055">
      <c r="A2055" s="29" t="s">
        <v>2207</v>
      </c>
      <c r="B2055" s="30" t="s">
        <v>45</v>
      </c>
      <c r="C2055" s="31" t="s">
        <v>2148</v>
      </c>
      <c r="D2055" s="32" t="str">
        <f t="shared" si="1"/>
        <v>Removed</v>
      </c>
      <c r="E2055" s="33">
        <v>44446.0</v>
      </c>
      <c r="F2055" s="34">
        <v>44473.0</v>
      </c>
      <c r="G2055" s="36">
        <f t="shared" si="2"/>
        <v>0.9</v>
      </c>
      <c r="H2055" s="37">
        <v>43945.0</v>
      </c>
      <c r="I2055" s="36">
        <f t="shared" si="4"/>
        <v>1.369444444</v>
      </c>
      <c r="J2055" s="38">
        <v>56.0</v>
      </c>
      <c r="K2055" s="39">
        <v>6.4</v>
      </c>
      <c r="L2055" s="76"/>
      <c r="M2055" s="40" t="s">
        <v>31</v>
      </c>
      <c r="N2055" s="41"/>
      <c r="O2055" s="42" t="s">
        <v>34</v>
      </c>
      <c r="P2055" s="43"/>
    </row>
    <row r="2056">
      <c r="A2056" s="44" t="s">
        <v>2208</v>
      </c>
      <c r="B2056" s="45" t="s">
        <v>45</v>
      </c>
      <c r="C2056" s="46" t="s">
        <v>2148</v>
      </c>
      <c r="D2056" s="47" t="str">
        <f t="shared" si="1"/>
        <v>Removed</v>
      </c>
      <c r="E2056" s="48">
        <v>44446.0</v>
      </c>
      <c r="F2056" s="49">
        <v>44473.0</v>
      </c>
      <c r="G2056" s="50">
        <f t="shared" si="2"/>
        <v>0.9</v>
      </c>
      <c r="H2056" s="51">
        <v>43417.0</v>
      </c>
      <c r="I2056" s="50">
        <f t="shared" si="4"/>
        <v>2.816666667</v>
      </c>
      <c r="J2056" s="55">
        <v>82.0</v>
      </c>
      <c r="K2056" s="56">
        <v>7.9</v>
      </c>
      <c r="L2056" s="55">
        <v>10.0</v>
      </c>
      <c r="M2056" s="58" t="s">
        <v>29</v>
      </c>
      <c r="N2056" s="59"/>
      <c r="O2056" s="60" t="s">
        <v>34</v>
      </c>
      <c r="P2056" s="61"/>
    </row>
    <row r="2057">
      <c r="A2057" s="29" t="s">
        <v>2209</v>
      </c>
      <c r="B2057" s="30" t="s">
        <v>25</v>
      </c>
      <c r="C2057" s="31" t="s">
        <v>2148</v>
      </c>
      <c r="D2057" s="32" t="str">
        <f t="shared" si="1"/>
        <v>Removed</v>
      </c>
      <c r="E2057" s="33">
        <v>44411.0</v>
      </c>
      <c r="F2057" s="34">
        <v>44445.0</v>
      </c>
      <c r="G2057" s="36">
        <f t="shared" si="2"/>
        <v>1.1</v>
      </c>
      <c r="H2057" s="37">
        <v>44411.0</v>
      </c>
      <c r="I2057" s="36">
        <f t="shared" si="4"/>
        <v>0</v>
      </c>
      <c r="J2057" s="38">
        <v>48.0</v>
      </c>
      <c r="K2057" s="39">
        <v>5.6</v>
      </c>
      <c r="L2057" s="76"/>
      <c r="M2057" s="40" t="s">
        <v>29</v>
      </c>
      <c r="N2057" s="41"/>
      <c r="O2057" s="42" t="s">
        <v>34</v>
      </c>
      <c r="P2057" s="43"/>
    </row>
    <row r="2058">
      <c r="A2058" s="44" t="s">
        <v>2210</v>
      </c>
      <c r="B2058" s="45" t="s">
        <v>45</v>
      </c>
      <c r="C2058" s="46" t="s">
        <v>2148</v>
      </c>
      <c r="D2058" s="47" t="str">
        <f t="shared" si="1"/>
        <v>Removed</v>
      </c>
      <c r="E2058" s="48">
        <v>44411.0</v>
      </c>
      <c r="F2058" s="49">
        <v>44445.0</v>
      </c>
      <c r="G2058" s="50">
        <f t="shared" si="2"/>
        <v>1.1</v>
      </c>
      <c r="H2058" s="51">
        <v>43712.0</v>
      </c>
      <c r="I2058" s="50">
        <f t="shared" si="4"/>
        <v>1.913888889</v>
      </c>
      <c r="J2058" s="55">
        <v>77.0</v>
      </c>
      <c r="K2058" s="56">
        <v>6.6</v>
      </c>
      <c r="L2058" s="55">
        <v>10.0</v>
      </c>
      <c r="M2058" s="58" t="s">
        <v>31</v>
      </c>
      <c r="N2058" s="59"/>
      <c r="O2058" s="60" t="s">
        <v>34</v>
      </c>
      <c r="P2058" s="61"/>
    </row>
    <row r="2059">
      <c r="A2059" s="29" t="s">
        <v>538</v>
      </c>
      <c r="B2059" s="30" t="s">
        <v>45</v>
      </c>
      <c r="C2059" s="31" t="s">
        <v>2148</v>
      </c>
      <c r="D2059" s="32" t="str">
        <f t="shared" si="1"/>
        <v>Removed</v>
      </c>
      <c r="E2059" s="33">
        <v>44411.0</v>
      </c>
      <c r="F2059" s="34">
        <v>44445.0</v>
      </c>
      <c r="G2059" s="36">
        <f t="shared" si="2"/>
        <v>1.1</v>
      </c>
      <c r="H2059" s="37">
        <v>44098.0</v>
      </c>
      <c r="I2059" s="36">
        <f t="shared" si="4"/>
        <v>0.8583333333</v>
      </c>
      <c r="J2059" s="38">
        <v>56.0</v>
      </c>
      <c r="K2059" s="39">
        <v>5.9</v>
      </c>
      <c r="L2059" s="76"/>
      <c r="M2059" s="40" t="s">
        <v>125</v>
      </c>
      <c r="N2059" s="41"/>
      <c r="O2059" s="42" t="s">
        <v>34</v>
      </c>
      <c r="P2059" s="43"/>
    </row>
    <row r="2060">
      <c r="A2060" s="44" t="s">
        <v>2211</v>
      </c>
      <c r="B2060" s="45" t="s">
        <v>45</v>
      </c>
      <c r="C2060" s="46" t="s">
        <v>2148</v>
      </c>
      <c r="D2060" s="47" t="str">
        <f t="shared" si="1"/>
        <v>Removed</v>
      </c>
      <c r="E2060" s="48">
        <v>44383.0</v>
      </c>
      <c r="F2060" s="49">
        <v>44445.0</v>
      </c>
      <c r="G2060" s="50">
        <f t="shared" si="2"/>
        <v>2</v>
      </c>
      <c r="H2060" s="51">
        <v>44348.0</v>
      </c>
      <c r="I2060" s="50">
        <f t="shared" si="4"/>
        <v>0.09722222222</v>
      </c>
      <c r="J2060" s="55">
        <v>78.0</v>
      </c>
      <c r="K2060" s="56">
        <v>7.8</v>
      </c>
      <c r="L2060" s="78"/>
      <c r="M2060" s="58" t="s">
        <v>114</v>
      </c>
      <c r="N2060" s="59"/>
      <c r="O2060" s="60" t="s">
        <v>34</v>
      </c>
      <c r="P2060" s="61"/>
    </row>
    <row r="2061">
      <c r="A2061" s="29" t="s">
        <v>2212</v>
      </c>
      <c r="B2061" s="30" t="s">
        <v>25</v>
      </c>
      <c r="C2061" s="31" t="s">
        <v>1860</v>
      </c>
      <c r="D2061" s="32" t="str">
        <f t="shared" si="1"/>
        <v>Removed</v>
      </c>
      <c r="E2061" s="33">
        <v>44348.0</v>
      </c>
      <c r="F2061" s="92">
        <v>44445.0</v>
      </c>
      <c r="G2061" s="36">
        <f t="shared" si="2"/>
        <v>3.166666667</v>
      </c>
      <c r="H2061" s="37">
        <v>42612.0</v>
      </c>
      <c r="I2061" s="36">
        <f t="shared" si="4"/>
        <v>4.752777778</v>
      </c>
      <c r="J2061" s="38">
        <v>92.0</v>
      </c>
      <c r="K2061" s="39">
        <v>9.2</v>
      </c>
      <c r="L2061" s="38">
        <v>51.0</v>
      </c>
      <c r="M2061" s="40" t="s">
        <v>42</v>
      </c>
      <c r="N2061" s="41"/>
      <c r="O2061" s="42" t="s">
        <v>34</v>
      </c>
      <c r="P2061" s="43"/>
    </row>
    <row r="2062">
      <c r="A2062" s="44" t="s">
        <v>2213</v>
      </c>
      <c r="B2062" s="45" t="s">
        <v>33</v>
      </c>
      <c r="C2062" s="46" t="s">
        <v>2148</v>
      </c>
      <c r="D2062" s="47" t="str">
        <f t="shared" si="1"/>
        <v>Removed</v>
      </c>
      <c r="E2062" s="48">
        <v>44383.0</v>
      </c>
      <c r="F2062" s="49">
        <v>44410.0</v>
      </c>
      <c r="G2062" s="50">
        <f t="shared" si="2"/>
        <v>0.8666666667</v>
      </c>
      <c r="H2062" s="51">
        <v>43599.0</v>
      </c>
      <c r="I2062" s="50">
        <f t="shared" si="4"/>
        <v>2.144444444</v>
      </c>
      <c r="J2062" s="55">
        <v>81.0</v>
      </c>
      <c r="K2062" s="56">
        <v>8.2</v>
      </c>
      <c r="L2062" s="55">
        <v>11.0</v>
      </c>
      <c r="M2062" s="58" t="s">
        <v>29</v>
      </c>
      <c r="N2062" s="59"/>
      <c r="O2062" s="60" t="s">
        <v>34</v>
      </c>
      <c r="P2062" s="61"/>
    </row>
    <row r="2063">
      <c r="A2063" s="29" t="s">
        <v>2214</v>
      </c>
      <c r="B2063" s="30" t="s">
        <v>45</v>
      </c>
      <c r="C2063" s="31" t="s">
        <v>2148</v>
      </c>
      <c r="D2063" s="32" t="str">
        <f t="shared" si="1"/>
        <v>Removed</v>
      </c>
      <c r="E2063" s="33">
        <v>44383.0</v>
      </c>
      <c r="F2063" s="34">
        <v>44410.0</v>
      </c>
      <c r="G2063" s="36">
        <f t="shared" si="2"/>
        <v>0.8666666667</v>
      </c>
      <c r="H2063" s="37">
        <v>43385.0</v>
      </c>
      <c r="I2063" s="36">
        <f t="shared" si="4"/>
        <v>2.733333333</v>
      </c>
      <c r="J2063" s="38">
        <v>83.0</v>
      </c>
      <c r="K2063" s="39">
        <v>6.5</v>
      </c>
      <c r="L2063" s="38">
        <v>6.0</v>
      </c>
      <c r="M2063" s="40" t="s">
        <v>31</v>
      </c>
      <c r="N2063" s="41"/>
      <c r="O2063" s="42" t="s">
        <v>34</v>
      </c>
      <c r="P2063" s="43"/>
    </row>
    <row r="2064">
      <c r="A2064" s="44" t="s">
        <v>2215</v>
      </c>
      <c r="B2064" s="45" t="s">
        <v>45</v>
      </c>
      <c r="C2064" s="46" t="s">
        <v>2148</v>
      </c>
      <c r="D2064" s="47" t="str">
        <f t="shared" si="1"/>
        <v>Removed</v>
      </c>
      <c r="E2064" s="48">
        <v>44383.0</v>
      </c>
      <c r="F2064" s="49">
        <v>44410.0</v>
      </c>
      <c r="G2064" s="50">
        <f t="shared" si="2"/>
        <v>0.8666666667</v>
      </c>
      <c r="H2064" s="51">
        <v>44092.0</v>
      </c>
      <c r="I2064" s="50">
        <f t="shared" si="4"/>
        <v>0.8</v>
      </c>
      <c r="J2064" s="55">
        <v>60.0</v>
      </c>
      <c r="K2064" s="56">
        <v>5.8</v>
      </c>
      <c r="L2064" s="55">
        <v>7.0</v>
      </c>
      <c r="M2064" s="58" t="s">
        <v>114</v>
      </c>
      <c r="N2064" s="59"/>
      <c r="O2064" s="60" t="s">
        <v>34</v>
      </c>
      <c r="P2064" s="61"/>
    </row>
    <row r="2065">
      <c r="A2065" s="29" t="s">
        <v>2211</v>
      </c>
      <c r="B2065" s="30" t="s">
        <v>45</v>
      </c>
      <c r="C2065" s="31" t="s">
        <v>2148</v>
      </c>
      <c r="D2065" s="32" t="str">
        <f t="shared" si="1"/>
        <v>Removed</v>
      </c>
      <c r="E2065" s="33">
        <v>44348.0</v>
      </c>
      <c r="F2065" s="34">
        <v>44410.0</v>
      </c>
      <c r="G2065" s="36">
        <f t="shared" si="2"/>
        <v>2.033333333</v>
      </c>
      <c r="H2065" s="37">
        <v>44348.0</v>
      </c>
      <c r="I2065" s="36">
        <f t="shared" si="4"/>
        <v>0</v>
      </c>
      <c r="J2065" s="38">
        <v>78.0</v>
      </c>
      <c r="K2065" s="39">
        <v>7.8</v>
      </c>
      <c r="L2065" s="76"/>
      <c r="M2065" s="40" t="s">
        <v>114</v>
      </c>
      <c r="N2065" s="41"/>
      <c r="O2065" s="42" t="s">
        <v>34</v>
      </c>
      <c r="P2065" s="43"/>
    </row>
    <row r="2066">
      <c r="A2066" s="44" t="s">
        <v>2216</v>
      </c>
      <c r="B2066" s="45" t="s">
        <v>33</v>
      </c>
      <c r="C2066" s="46" t="s">
        <v>2148</v>
      </c>
      <c r="D2066" s="47" t="str">
        <f t="shared" si="1"/>
        <v>Removed</v>
      </c>
      <c r="E2066" s="48">
        <v>44348.0</v>
      </c>
      <c r="F2066" s="49">
        <v>44382.0</v>
      </c>
      <c r="G2066" s="50">
        <f t="shared" si="2"/>
        <v>1.133333333</v>
      </c>
      <c r="H2066" s="51">
        <v>44348.0</v>
      </c>
      <c r="I2066" s="50">
        <f t="shared" si="4"/>
        <v>0</v>
      </c>
      <c r="J2066" s="55">
        <v>72.0</v>
      </c>
      <c r="K2066" s="56">
        <v>7.0</v>
      </c>
      <c r="L2066" s="55">
        <v>5.0</v>
      </c>
      <c r="M2066" s="58" t="s">
        <v>112</v>
      </c>
      <c r="N2066" s="59"/>
      <c r="O2066" s="60" t="s">
        <v>34</v>
      </c>
      <c r="P2066" s="61"/>
    </row>
    <row r="2067">
      <c r="A2067" s="29" t="s">
        <v>2217</v>
      </c>
      <c r="B2067" s="30" t="s">
        <v>384</v>
      </c>
      <c r="C2067" s="31" t="s">
        <v>2148</v>
      </c>
      <c r="D2067" s="32" t="str">
        <f t="shared" si="1"/>
        <v>Removed</v>
      </c>
      <c r="E2067" s="33">
        <v>44348.0</v>
      </c>
      <c r="F2067" s="34">
        <v>44382.0</v>
      </c>
      <c r="G2067" s="36">
        <f t="shared" si="2"/>
        <v>1.133333333</v>
      </c>
      <c r="H2067" s="37">
        <v>44106.0</v>
      </c>
      <c r="I2067" s="36">
        <f t="shared" si="4"/>
        <v>0.6638888889</v>
      </c>
      <c r="J2067" s="38">
        <v>79.0</v>
      </c>
      <c r="K2067" s="39">
        <v>7.5</v>
      </c>
      <c r="L2067" s="38">
        <v>8.0</v>
      </c>
      <c r="M2067" s="40" t="s">
        <v>31</v>
      </c>
      <c r="N2067" s="41"/>
      <c r="O2067" s="42" t="s">
        <v>34</v>
      </c>
      <c r="P2067" s="43"/>
    </row>
    <row r="2068">
      <c r="A2068" s="44" t="s">
        <v>1576</v>
      </c>
      <c r="B2068" s="45" t="s">
        <v>33</v>
      </c>
      <c r="C2068" s="46" t="s">
        <v>2148</v>
      </c>
      <c r="D2068" s="47" t="str">
        <f t="shared" si="1"/>
        <v>Removed</v>
      </c>
      <c r="E2068" s="48">
        <v>44320.0</v>
      </c>
      <c r="F2068" s="49">
        <v>44347.0</v>
      </c>
      <c r="G2068" s="50">
        <f t="shared" si="2"/>
        <v>0.8666666667</v>
      </c>
      <c r="H2068" s="51">
        <v>43704.0</v>
      </c>
      <c r="I2068" s="50">
        <f t="shared" si="4"/>
        <v>1.686111111</v>
      </c>
      <c r="J2068" s="55">
        <v>79.0</v>
      </c>
      <c r="K2068" s="56">
        <v>7.6</v>
      </c>
      <c r="L2068" s="55">
        <v>14.0</v>
      </c>
      <c r="M2068" s="58" t="s">
        <v>95</v>
      </c>
      <c r="N2068" s="59"/>
      <c r="O2068" s="60" t="s">
        <v>34</v>
      </c>
      <c r="P2068" s="61"/>
    </row>
    <row r="2069">
      <c r="A2069" s="29" t="s">
        <v>1311</v>
      </c>
      <c r="B2069" s="30" t="s">
        <v>45</v>
      </c>
      <c r="C2069" s="31" t="s">
        <v>2148</v>
      </c>
      <c r="D2069" s="32" t="str">
        <f t="shared" si="1"/>
        <v>Removed</v>
      </c>
      <c r="E2069" s="33">
        <v>44320.0</v>
      </c>
      <c r="F2069" s="34">
        <v>44347.0</v>
      </c>
      <c r="G2069" s="36">
        <f t="shared" si="2"/>
        <v>0.8666666667</v>
      </c>
      <c r="H2069" s="37">
        <v>43424.0</v>
      </c>
      <c r="I2069" s="36">
        <f t="shared" si="4"/>
        <v>2.455555556</v>
      </c>
      <c r="J2069" s="38">
        <v>73.0</v>
      </c>
      <c r="K2069" s="39">
        <v>7.1</v>
      </c>
      <c r="L2069" s="38">
        <v>6.0</v>
      </c>
      <c r="M2069" s="40" t="s">
        <v>31</v>
      </c>
      <c r="N2069" s="41"/>
      <c r="O2069" s="42" t="s">
        <v>34</v>
      </c>
      <c r="P2069" s="43"/>
    </row>
    <row r="2070">
      <c r="A2070" s="44" t="s">
        <v>702</v>
      </c>
      <c r="B2070" s="45" t="s">
        <v>45</v>
      </c>
      <c r="C2070" s="46" t="s">
        <v>2148</v>
      </c>
      <c r="D2070" s="47" t="str">
        <f t="shared" si="1"/>
        <v>Removed</v>
      </c>
      <c r="E2070" s="48">
        <v>44320.0</v>
      </c>
      <c r="F2070" s="49">
        <v>44347.0</v>
      </c>
      <c r="G2070" s="50">
        <f t="shared" si="2"/>
        <v>0.8666666667</v>
      </c>
      <c r="H2070" s="51">
        <v>43942.0</v>
      </c>
      <c r="I2070" s="50">
        <f t="shared" si="4"/>
        <v>1.036111111</v>
      </c>
      <c r="J2070" s="55">
        <v>64.0</v>
      </c>
      <c r="K2070" s="56">
        <v>6.0</v>
      </c>
      <c r="L2070" s="55">
        <v>23.0</v>
      </c>
      <c r="M2070" s="58" t="s">
        <v>36</v>
      </c>
      <c r="N2070" s="59"/>
      <c r="O2070" s="60" t="s">
        <v>34</v>
      </c>
      <c r="P2070" s="61"/>
    </row>
    <row r="2071">
      <c r="A2071" s="29" t="s">
        <v>426</v>
      </c>
      <c r="B2071" s="30" t="s">
        <v>25</v>
      </c>
      <c r="C2071" s="31" t="s">
        <v>1860</v>
      </c>
      <c r="D2071" s="32" t="str">
        <f t="shared" si="1"/>
        <v>Removed</v>
      </c>
      <c r="E2071" s="33">
        <v>43956.0</v>
      </c>
      <c r="F2071" s="92">
        <v>44320.0</v>
      </c>
      <c r="G2071" s="36">
        <f t="shared" si="2"/>
        <v>11.96666667</v>
      </c>
      <c r="H2071" s="37">
        <v>43021.0</v>
      </c>
      <c r="I2071" s="36">
        <f t="shared" si="4"/>
        <v>2.561111111</v>
      </c>
      <c r="J2071" s="38">
        <v>76.0</v>
      </c>
      <c r="K2071" s="39">
        <v>7.8</v>
      </c>
      <c r="L2071" s="38">
        <v>13.0</v>
      </c>
      <c r="M2071" s="40" t="s">
        <v>29</v>
      </c>
      <c r="N2071" s="41"/>
      <c r="O2071" s="42" t="s">
        <v>34</v>
      </c>
      <c r="P2071" s="43"/>
    </row>
    <row r="2072">
      <c r="A2072" s="44" t="s">
        <v>2218</v>
      </c>
      <c r="B2072" s="45" t="s">
        <v>33</v>
      </c>
      <c r="C2072" s="46" t="s">
        <v>2148</v>
      </c>
      <c r="D2072" s="47" t="str">
        <f t="shared" si="1"/>
        <v>Removed</v>
      </c>
      <c r="E2072" s="48">
        <v>44292.0</v>
      </c>
      <c r="F2072" s="49">
        <v>44319.0</v>
      </c>
      <c r="G2072" s="50">
        <f t="shared" si="2"/>
        <v>0.9</v>
      </c>
      <c r="H2072" s="51">
        <v>44292.0</v>
      </c>
      <c r="I2072" s="50">
        <f t="shared" si="4"/>
        <v>0</v>
      </c>
      <c r="J2072" s="55">
        <v>66.0</v>
      </c>
      <c r="K2072" s="56">
        <v>5.8</v>
      </c>
      <c r="L2072" s="55">
        <v>13.0</v>
      </c>
      <c r="M2072" s="58" t="s">
        <v>27</v>
      </c>
      <c r="N2072" s="59"/>
      <c r="O2072" s="60" t="s">
        <v>34</v>
      </c>
      <c r="P2072" s="61"/>
    </row>
    <row r="2073">
      <c r="A2073" s="29" t="s">
        <v>705</v>
      </c>
      <c r="B2073" s="30" t="s">
        <v>45</v>
      </c>
      <c r="C2073" s="31" t="s">
        <v>2148</v>
      </c>
      <c r="D2073" s="32" t="str">
        <f t="shared" si="1"/>
        <v>Removed</v>
      </c>
      <c r="E2073" s="33">
        <v>44292.0</v>
      </c>
      <c r="F2073" s="34">
        <v>44319.0</v>
      </c>
      <c r="G2073" s="36">
        <f t="shared" si="2"/>
        <v>0.9</v>
      </c>
      <c r="H2073" s="37">
        <v>43581.0</v>
      </c>
      <c r="I2073" s="36">
        <f t="shared" si="4"/>
        <v>1.944444444</v>
      </c>
      <c r="J2073" s="38">
        <v>71.0</v>
      </c>
      <c r="K2073" s="39">
        <v>8.2</v>
      </c>
      <c r="L2073" s="38">
        <v>36.0</v>
      </c>
      <c r="M2073" s="40" t="s">
        <v>29</v>
      </c>
      <c r="N2073" s="41"/>
      <c r="O2073" s="42" t="s">
        <v>34</v>
      </c>
      <c r="P2073" s="43"/>
    </row>
    <row r="2074">
      <c r="A2074" s="44" t="s">
        <v>696</v>
      </c>
      <c r="B2074" s="45" t="s">
        <v>45</v>
      </c>
      <c r="C2074" s="46" t="s">
        <v>2148</v>
      </c>
      <c r="D2074" s="47" t="str">
        <f t="shared" si="1"/>
        <v>Removed</v>
      </c>
      <c r="E2074" s="48">
        <v>44292.0</v>
      </c>
      <c r="F2074" s="49">
        <v>44319.0</v>
      </c>
      <c r="G2074" s="50">
        <f t="shared" si="2"/>
        <v>0.9</v>
      </c>
      <c r="H2074" s="51">
        <v>43865.0</v>
      </c>
      <c r="I2074" s="50">
        <f t="shared" si="4"/>
        <v>1.172222222</v>
      </c>
      <c r="J2074" s="55">
        <v>72.0</v>
      </c>
      <c r="K2074" s="56">
        <v>7.6</v>
      </c>
      <c r="L2074" s="55">
        <v>9.0</v>
      </c>
      <c r="M2074" s="58" t="s">
        <v>31</v>
      </c>
      <c r="N2074" s="59"/>
      <c r="O2074" s="60" t="s">
        <v>34</v>
      </c>
      <c r="P2074" s="61"/>
    </row>
    <row r="2075">
      <c r="A2075" s="29" t="s">
        <v>697</v>
      </c>
      <c r="B2075" s="30" t="s">
        <v>33</v>
      </c>
      <c r="C2075" s="31" t="s">
        <v>2148</v>
      </c>
      <c r="D2075" s="32" t="str">
        <f t="shared" si="1"/>
        <v>Removed</v>
      </c>
      <c r="E2075" s="33">
        <v>44229.0</v>
      </c>
      <c r="F2075" s="34">
        <v>44319.0</v>
      </c>
      <c r="G2075" s="36">
        <f t="shared" si="2"/>
        <v>3.033333333</v>
      </c>
      <c r="H2075" s="37">
        <v>44229.0</v>
      </c>
      <c r="I2075" s="36">
        <f t="shared" si="4"/>
        <v>0</v>
      </c>
      <c r="J2075" s="38">
        <v>62.0</v>
      </c>
      <c r="K2075" s="39">
        <v>6.3</v>
      </c>
      <c r="L2075" s="76"/>
      <c r="M2075" s="40" t="s">
        <v>193</v>
      </c>
      <c r="N2075" s="41"/>
      <c r="O2075" s="42" t="s">
        <v>34</v>
      </c>
      <c r="P2075" s="43"/>
    </row>
    <row r="2076">
      <c r="A2076" s="44" t="s">
        <v>2219</v>
      </c>
      <c r="B2076" s="45" t="s">
        <v>45</v>
      </c>
      <c r="C2076" s="46" t="s">
        <v>2148</v>
      </c>
      <c r="D2076" s="47" t="str">
        <f t="shared" si="1"/>
        <v>Removed</v>
      </c>
      <c r="E2076" s="48">
        <v>44257.0</v>
      </c>
      <c r="F2076" s="49">
        <v>44291.0</v>
      </c>
      <c r="G2076" s="50">
        <f t="shared" si="2"/>
        <v>1.1</v>
      </c>
      <c r="H2076" s="51">
        <v>43931.0</v>
      </c>
      <c r="I2076" s="50">
        <f t="shared" si="4"/>
        <v>0.8944444444</v>
      </c>
      <c r="J2076" s="55">
        <v>87.0</v>
      </c>
      <c r="K2076" s="56">
        <v>8.1</v>
      </c>
      <c r="L2076" s="55">
        <v>35.0</v>
      </c>
      <c r="M2076" s="58" t="s">
        <v>42</v>
      </c>
      <c r="N2076" s="59"/>
      <c r="O2076" s="60" t="s">
        <v>34</v>
      </c>
      <c r="P2076" s="61"/>
    </row>
    <row r="2077">
      <c r="A2077" s="29" t="s">
        <v>2220</v>
      </c>
      <c r="B2077" s="30" t="s">
        <v>45</v>
      </c>
      <c r="C2077" s="31" t="s">
        <v>2148</v>
      </c>
      <c r="D2077" s="32" t="str">
        <f t="shared" si="1"/>
        <v>Removed</v>
      </c>
      <c r="E2077" s="33">
        <v>44257.0</v>
      </c>
      <c r="F2077" s="34">
        <v>44291.0</v>
      </c>
      <c r="G2077" s="36">
        <f t="shared" si="2"/>
        <v>1.1</v>
      </c>
      <c r="H2077" s="37">
        <v>43697.0</v>
      </c>
      <c r="I2077" s="36">
        <f t="shared" si="4"/>
        <v>1.533333333</v>
      </c>
      <c r="J2077" s="38">
        <v>77.0</v>
      </c>
      <c r="K2077" s="39">
        <v>7.9</v>
      </c>
      <c r="L2077" s="38">
        <v>13.0</v>
      </c>
      <c r="M2077" s="40" t="s">
        <v>31</v>
      </c>
      <c r="N2077" s="41"/>
      <c r="O2077" s="42" t="s">
        <v>34</v>
      </c>
      <c r="P2077" s="43"/>
    </row>
    <row r="2078">
      <c r="A2078" s="44" t="s">
        <v>2221</v>
      </c>
      <c r="B2078" s="45" t="s">
        <v>33</v>
      </c>
      <c r="C2078" s="46" t="s">
        <v>2148</v>
      </c>
      <c r="D2078" s="47" t="str">
        <f t="shared" si="1"/>
        <v>Removed</v>
      </c>
      <c r="E2078" s="48">
        <v>44257.0</v>
      </c>
      <c r="F2078" s="49">
        <v>44291.0</v>
      </c>
      <c r="G2078" s="50">
        <f t="shared" si="2"/>
        <v>1.1</v>
      </c>
      <c r="H2078" s="51">
        <v>44257.0</v>
      </c>
      <c r="I2078" s="50">
        <f t="shared" si="4"/>
        <v>0</v>
      </c>
      <c r="J2078" s="55">
        <v>70.0</v>
      </c>
      <c r="K2078" s="56">
        <v>6.8</v>
      </c>
      <c r="L2078" s="55">
        <v>4.0</v>
      </c>
      <c r="M2078" s="58" t="s">
        <v>136</v>
      </c>
      <c r="N2078" s="59"/>
      <c r="O2078" s="60" t="s">
        <v>34</v>
      </c>
      <c r="P2078" s="61"/>
    </row>
    <row r="2079">
      <c r="A2079" s="29" t="s">
        <v>2222</v>
      </c>
      <c r="B2079" s="30" t="s">
        <v>384</v>
      </c>
      <c r="C2079" s="31" t="s">
        <v>2148</v>
      </c>
      <c r="D2079" s="32" t="str">
        <f t="shared" si="1"/>
        <v>Removed</v>
      </c>
      <c r="E2079" s="33">
        <v>44257.0</v>
      </c>
      <c r="F2079" s="34">
        <v>44291.0</v>
      </c>
      <c r="G2079" s="36">
        <f t="shared" si="2"/>
        <v>1.1</v>
      </c>
      <c r="H2079" s="37">
        <v>42871.0</v>
      </c>
      <c r="I2079" s="36">
        <f t="shared" si="4"/>
        <v>3.794444444</v>
      </c>
      <c r="J2079" s="38">
        <v>71.0</v>
      </c>
      <c r="K2079" s="39">
        <v>7.2</v>
      </c>
      <c r="L2079" s="38">
        <v>6.0</v>
      </c>
      <c r="M2079" s="40" t="s">
        <v>31</v>
      </c>
      <c r="N2079" s="41"/>
      <c r="O2079" s="42" t="s">
        <v>34</v>
      </c>
      <c r="P2079" s="43"/>
    </row>
    <row r="2080">
      <c r="A2080" s="44" t="s">
        <v>1248</v>
      </c>
      <c r="B2080" s="45" t="s">
        <v>25</v>
      </c>
      <c r="C2080" s="46" t="s">
        <v>2148</v>
      </c>
      <c r="D2080" s="47" t="str">
        <f t="shared" si="1"/>
        <v>Removed</v>
      </c>
      <c r="E2080" s="48">
        <v>44229.0</v>
      </c>
      <c r="F2080" s="49">
        <v>44256.0</v>
      </c>
      <c r="G2080" s="50">
        <f t="shared" si="2"/>
        <v>0.9666666667</v>
      </c>
      <c r="H2080" s="51">
        <v>44229.0</v>
      </c>
      <c r="I2080" s="50">
        <f t="shared" si="4"/>
        <v>0</v>
      </c>
      <c r="J2080" s="55">
        <v>82.0</v>
      </c>
      <c r="K2080" s="56">
        <v>7.6</v>
      </c>
      <c r="L2080" s="55">
        <v>11.0</v>
      </c>
      <c r="M2080" s="58" t="s">
        <v>31</v>
      </c>
      <c r="N2080" s="59"/>
      <c r="O2080" s="60" t="s">
        <v>34</v>
      </c>
      <c r="P2080" s="61"/>
    </row>
    <row r="2081">
      <c r="A2081" s="29" t="s">
        <v>2223</v>
      </c>
      <c r="B2081" s="30" t="s">
        <v>45</v>
      </c>
      <c r="C2081" s="31" t="s">
        <v>2148</v>
      </c>
      <c r="D2081" s="32" t="str">
        <f t="shared" si="1"/>
        <v>Removed</v>
      </c>
      <c r="E2081" s="33">
        <v>44229.0</v>
      </c>
      <c r="F2081" s="34">
        <v>44256.0</v>
      </c>
      <c r="G2081" s="36">
        <f t="shared" si="2"/>
        <v>0.9666666667</v>
      </c>
      <c r="H2081" s="37">
        <v>43746.0</v>
      </c>
      <c r="I2081" s="36">
        <f t="shared" si="4"/>
        <v>1.316666667</v>
      </c>
      <c r="J2081" s="38">
        <v>75.0</v>
      </c>
      <c r="K2081" s="39">
        <v>7.6</v>
      </c>
      <c r="L2081" s="38">
        <v>5.0</v>
      </c>
      <c r="M2081" s="40" t="s">
        <v>29</v>
      </c>
      <c r="N2081" s="41"/>
      <c r="O2081" s="42" t="s">
        <v>34</v>
      </c>
      <c r="P2081" s="43"/>
    </row>
    <row r="2082">
      <c r="A2082" s="44" t="s">
        <v>700</v>
      </c>
      <c r="B2082" s="45" t="s">
        <v>33</v>
      </c>
      <c r="C2082" s="46" t="s">
        <v>2148</v>
      </c>
      <c r="D2082" s="47" t="str">
        <f t="shared" si="1"/>
        <v>Removed</v>
      </c>
      <c r="E2082" s="48">
        <v>44201.0</v>
      </c>
      <c r="F2082" s="49">
        <v>44228.0</v>
      </c>
      <c r="G2082" s="50">
        <f t="shared" si="2"/>
        <v>0.8666666667</v>
      </c>
      <c r="H2082" s="51">
        <v>43973.0</v>
      </c>
      <c r="I2082" s="50">
        <f t="shared" si="4"/>
        <v>0.6194444444</v>
      </c>
      <c r="J2082" s="55">
        <v>68.0</v>
      </c>
      <c r="K2082" s="56">
        <v>7.3</v>
      </c>
      <c r="L2082" s="55">
        <v>9.0</v>
      </c>
      <c r="M2082" s="58" t="s">
        <v>29</v>
      </c>
      <c r="N2082" s="59"/>
      <c r="O2082" s="60" t="s">
        <v>34</v>
      </c>
      <c r="P2082" s="61"/>
    </row>
    <row r="2083">
      <c r="A2083" s="29" t="s">
        <v>424</v>
      </c>
      <c r="B2083" s="30" t="s">
        <v>45</v>
      </c>
      <c r="C2083" s="31" t="s">
        <v>2148</v>
      </c>
      <c r="D2083" s="32" t="str">
        <f t="shared" si="1"/>
        <v>Removed</v>
      </c>
      <c r="E2083" s="33">
        <v>44201.0</v>
      </c>
      <c r="F2083" s="34">
        <v>44228.0</v>
      </c>
      <c r="G2083" s="36">
        <f t="shared" si="2"/>
        <v>0.8666666667</v>
      </c>
      <c r="H2083" s="37">
        <v>43357.0</v>
      </c>
      <c r="I2083" s="36">
        <f t="shared" si="4"/>
        <v>2.308333333</v>
      </c>
      <c r="J2083" s="38">
        <v>75.0</v>
      </c>
      <c r="K2083" s="39">
        <v>7.5</v>
      </c>
      <c r="L2083" s="38">
        <v>13.0</v>
      </c>
      <c r="M2083" s="40" t="s">
        <v>29</v>
      </c>
      <c r="N2083" s="41"/>
      <c r="O2083" s="42" t="s">
        <v>34</v>
      </c>
      <c r="P2083" s="43"/>
    </row>
    <row r="2084">
      <c r="A2084" s="44" t="s">
        <v>1836</v>
      </c>
      <c r="B2084" s="45" t="s">
        <v>45</v>
      </c>
      <c r="C2084" s="46" t="s">
        <v>2148</v>
      </c>
      <c r="D2084" s="47" t="str">
        <f t="shared" si="1"/>
        <v>Removed</v>
      </c>
      <c r="E2084" s="48">
        <v>44201.0</v>
      </c>
      <c r="F2084" s="49">
        <v>44228.0</v>
      </c>
      <c r="G2084" s="50">
        <f t="shared" si="2"/>
        <v>0.8666666667</v>
      </c>
      <c r="H2084" s="51">
        <v>43718.0</v>
      </c>
      <c r="I2084" s="50">
        <f t="shared" si="4"/>
        <v>1.319444444</v>
      </c>
      <c r="J2084" s="55">
        <v>72.0</v>
      </c>
      <c r="K2084" s="56">
        <v>7.7</v>
      </c>
      <c r="L2084" s="55">
        <v>30.0</v>
      </c>
      <c r="M2084" s="58" t="s">
        <v>42</v>
      </c>
      <c r="N2084" s="59"/>
      <c r="O2084" s="60" t="s">
        <v>34</v>
      </c>
      <c r="P2084" s="61"/>
    </row>
    <row r="2085">
      <c r="A2085" s="29" t="s">
        <v>2224</v>
      </c>
      <c r="B2085" s="30" t="s">
        <v>25</v>
      </c>
      <c r="C2085" s="31" t="s">
        <v>1860</v>
      </c>
      <c r="D2085" s="32" t="str">
        <f t="shared" si="1"/>
        <v>Removed</v>
      </c>
      <c r="E2085" s="33">
        <v>44047.0</v>
      </c>
      <c r="F2085" s="92">
        <v>44228.0</v>
      </c>
      <c r="G2085" s="36">
        <f t="shared" si="2"/>
        <v>5.9</v>
      </c>
      <c r="H2085" s="37">
        <v>43413.0</v>
      </c>
      <c r="I2085" s="36">
        <f t="shared" si="4"/>
        <v>1.736111111</v>
      </c>
      <c r="J2085" s="38">
        <v>82.0</v>
      </c>
      <c r="K2085" s="39">
        <v>8.3</v>
      </c>
      <c r="L2085" s="38">
        <v>10.0</v>
      </c>
      <c r="M2085" s="40" t="s">
        <v>29</v>
      </c>
      <c r="N2085" s="41"/>
      <c r="O2085" s="42" t="s">
        <v>34</v>
      </c>
      <c r="P2085" s="43"/>
    </row>
    <row r="2086">
      <c r="A2086" s="44" t="s">
        <v>2225</v>
      </c>
      <c r="B2086" s="45" t="s">
        <v>45</v>
      </c>
      <c r="C2086" s="46" t="s">
        <v>2148</v>
      </c>
      <c r="D2086" s="47" t="str">
        <f t="shared" si="1"/>
        <v>Removed</v>
      </c>
      <c r="E2086" s="48">
        <v>44166.0</v>
      </c>
      <c r="F2086" s="49">
        <v>44200.0</v>
      </c>
      <c r="G2086" s="50">
        <f t="shared" si="2"/>
        <v>1.1</v>
      </c>
      <c r="H2086" s="51">
        <v>43438.0</v>
      </c>
      <c r="I2086" s="50">
        <f t="shared" si="4"/>
        <v>1.991666667</v>
      </c>
      <c r="J2086" s="55">
        <v>65.0</v>
      </c>
      <c r="K2086" s="56">
        <v>5.8</v>
      </c>
      <c r="L2086" s="55">
        <v>17.0</v>
      </c>
      <c r="M2086" s="58" t="s">
        <v>29</v>
      </c>
      <c r="N2086" s="59"/>
      <c r="O2086" s="60" t="s">
        <v>34</v>
      </c>
      <c r="P2086" s="61"/>
    </row>
    <row r="2087">
      <c r="A2087" s="29" t="s">
        <v>2226</v>
      </c>
      <c r="B2087" s="30" t="s">
        <v>45</v>
      </c>
      <c r="C2087" s="31" t="s">
        <v>2148</v>
      </c>
      <c r="D2087" s="32" t="str">
        <f t="shared" si="1"/>
        <v>Removed</v>
      </c>
      <c r="E2087" s="33">
        <v>44166.0</v>
      </c>
      <c r="F2087" s="34">
        <v>44200.0</v>
      </c>
      <c r="G2087" s="36">
        <f t="shared" si="2"/>
        <v>1.1</v>
      </c>
      <c r="H2087" s="37">
        <v>44026.0</v>
      </c>
      <c r="I2087" s="36">
        <f t="shared" si="4"/>
        <v>0.3805555556</v>
      </c>
      <c r="J2087" s="38">
        <v>68.0</v>
      </c>
      <c r="K2087" s="39">
        <v>5.8</v>
      </c>
      <c r="L2087" s="76"/>
      <c r="M2087" s="40" t="s">
        <v>31</v>
      </c>
      <c r="N2087" s="41"/>
      <c r="O2087" s="42" t="s">
        <v>34</v>
      </c>
      <c r="P2087" s="43"/>
    </row>
    <row r="2088">
      <c r="A2088" s="44" t="s">
        <v>2227</v>
      </c>
      <c r="B2088" s="45" t="s">
        <v>25</v>
      </c>
      <c r="C2088" s="46" t="s">
        <v>2148</v>
      </c>
      <c r="D2088" s="47" t="str">
        <f t="shared" si="1"/>
        <v>Removed</v>
      </c>
      <c r="E2088" s="48">
        <v>44166.0</v>
      </c>
      <c r="F2088" s="49">
        <v>44200.0</v>
      </c>
      <c r="G2088" s="50">
        <f t="shared" si="2"/>
        <v>1.1</v>
      </c>
      <c r="H2088" s="51">
        <v>44166.0</v>
      </c>
      <c r="I2088" s="50">
        <f t="shared" si="4"/>
        <v>0</v>
      </c>
      <c r="J2088" s="55">
        <v>68.0</v>
      </c>
      <c r="K2088" s="56">
        <v>5.9</v>
      </c>
      <c r="L2088" s="78"/>
      <c r="M2088" s="58" t="s">
        <v>31</v>
      </c>
      <c r="N2088" s="59"/>
      <c r="O2088" s="60" t="s">
        <v>34</v>
      </c>
      <c r="P2088" s="61"/>
    </row>
    <row r="2089">
      <c r="A2089" s="29" t="s">
        <v>1354</v>
      </c>
      <c r="B2089" s="30" t="s">
        <v>33</v>
      </c>
      <c r="C2089" s="31" t="s">
        <v>2148</v>
      </c>
      <c r="D2089" s="32" t="str">
        <f t="shared" si="1"/>
        <v>Removed</v>
      </c>
      <c r="E2089" s="33">
        <v>44147.0</v>
      </c>
      <c r="F2089" s="34">
        <v>44200.0</v>
      </c>
      <c r="G2089" s="36">
        <f t="shared" si="2"/>
        <v>1.733333333</v>
      </c>
      <c r="H2089" s="37">
        <v>44147.0</v>
      </c>
      <c r="I2089" s="36">
        <f t="shared" si="4"/>
        <v>0</v>
      </c>
      <c r="J2089" s="38">
        <v>74.0</v>
      </c>
      <c r="K2089" s="39">
        <v>7.7</v>
      </c>
      <c r="L2089" s="38">
        <v>5.0</v>
      </c>
      <c r="M2089" s="40" t="s">
        <v>29</v>
      </c>
      <c r="N2089" s="41"/>
      <c r="O2089" s="42" t="s">
        <v>34</v>
      </c>
      <c r="P2089" s="43"/>
    </row>
    <row r="2090">
      <c r="A2090" s="44" t="s">
        <v>439</v>
      </c>
      <c r="B2090" s="45" t="s">
        <v>25</v>
      </c>
      <c r="C2090" s="46" t="s">
        <v>1860</v>
      </c>
      <c r="D2090" s="47" t="str">
        <f t="shared" si="1"/>
        <v>Removed</v>
      </c>
      <c r="E2090" s="48">
        <v>43802.0</v>
      </c>
      <c r="F2090" s="80">
        <v>44166.0</v>
      </c>
      <c r="G2090" s="50">
        <f t="shared" si="2"/>
        <v>11.93333333</v>
      </c>
      <c r="H2090" s="51">
        <v>42129.0</v>
      </c>
      <c r="I2090" s="50">
        <f t="shared" si="4"/>
        <v>4.577777778</v>
      </c>
      <c r="J2090" s="55">
        <v>76.0</v>
      </c>
      <c r="K2090" s="56">
        <v>7.5</v>
      </c>
      <c r="L2090" s="55">
        <v>7.0</v>
      </c>
      <c r="M2090" s="58" t="s">
        <v>31</v>
      </c>
      <c r="N2090" s="59"/>
      <c r="O2090" s="60" t="s">
        <v>34</v>
      </c>
      <c r="P2090" s="61"/>
    </row>
    <row r="2091">
      <c r="A2091" s="29" t="s">
        <v>708</v>
      </c>
      <c r="B2091" s="30" t="s">
        <v>45</v>
      </c>
      <c r="C2091" s="31" t="s">
        <v>2148</v>
      </c>
      <c r="D2091" s="32" t="str">
        <f t="shared" si="1"/>
        <v>Removed</v>
      </c>
      <c r="E2091" s="33">
        <v>44138.0</v>
      </c>
      <c r="F2091" s="34">
        <v>44146.0</v>
      </c>
      <c r="G2091" s="36">
        <f t="shared" si="2"/>
        <v>0.2666666667</v>
      </c>
      <c r="H2091" s="37">
        <v>43368.0</v>
      </c>
      <c r="I2091" s="36">
        <f t="shared" si="4"/>
        <v>2.105555556</v>
      </c>
      <c r="J2091" s="38">
        <v>85.0</v>
      </c>
      <c r="K2091" s="39">
        <v>8.5</v>
      </c>
      <c r="L2091" s="38">
        <v>27.0</v>
      </c>
      <c r="M2091" s="40" t="s">
        <v>27</v>
      </c>
      <c r="N2091" s="41"/>
      <c r="O2091" s="42" t="s">
        <v>34</v>
      </c>
      <c r="P2091" s="43"/>
    </row>
    <row r="2092">
      <c r="A2092" s="44" t="s">
        <v>1653</v>
      </c>
      <c r="B2092" s="45" t="s">
        <v>45</v>
      </c>
      <c r="C2092" s="46" t="s">
        <v>2148</v>
      </c>
      <c r="D2092" s="47" t="str">
        <f t="shared" si="1"/>
        <v>Removed</v>
      </c>
      <c r="E2092" s="48">
        <v>44138.0</v>
      </c>
      <c r="F2092" s="49">
        <v>44146.0</v>
      </c>
      <c r="G2092" s="50">
        <f t="shared" si="2"/>
        <v>0.2666666667</v>
      </c>
      <c r="H2092" s="51">
        <v>43018.0</v>
      </c>
      <c r="I2092" s="50">
        <f t="shared" si="4"/>
        <v>3.063888889</v>
      </c>
      <c r="J2092" s="55">
        <v>80.0</v>
      </c>
      <c r="K2092" s="56">
        <v>7.3</v>
      </c>
      <c r="L2092" s="55">
        <v>20.0</v>
      </c>
      <c r="M2092" s="58" t="s">
        <v>29</v>
      </c>
      <c r="N2092" s="59"/>
      <c r="O2092" s="60" t="s">
        <v>34</v>
      </c>
      <c r="P2092" s="61"/>
    </row>
    <row r="2093">
      <c r="A2093" s="29" t="s">
        <v>2228</v>
      </c>
      <c r="B2093" s="30" t="s">
        <v>45</v>
      </c>
      <c r="C2093" s="31" t="s">
        <v>2148</v>
      </c>
      <c r="D2093" s="32" t="str">
        <f t="shared" si="1"/>
        <v>Removed</v>
      </c>
      <c r="E2093" s="33">
        <v>44110.0</v>
      </c>
      <c r="F2093" s="34">
        <v>44137.0</v>
      </c>
      <c r="G2093" s="36">
        <f t="shared" si="2"/>
        <v>0.8666666667</v>
      </c>
      <c r="H2093" s="37">
        <v>43049.0</v>
      </c>
      <c r="I2093" s="36">
        <f t="shared" si="4"/>
        <v>2.905555556</v>
      </c>
      <c r="J2093" s="38">
        <v>61.0</v>
      </c>
      <c r="K2093" s="39">
        <v>4.8</v>
      </c>
      <c r="L2093" s="38">
        <v>18.0</v>
      </c>
      <c r="M2093" s="40" t="s">
        <v>95</v>
      </c>
      <c r="N2093" s="41"/>
      <c r="O2093" s="42" t="s">
        <v>34</v>
      </c>
      <c r="P2093" s="43"/>
    </row>
    <row r="2094">
      <c r="A2094" s="44" t="s">
        <v>718</v>
      </c>
      <c r="B2094" s="45" t="s">
        <v>45</v>
      </c>
      <c r="C2094" s="46" t="s">
        <v>2148</v>
      </c>
      <c r="D2094" s="47" t="str">
        <f t="shared" si="1"/>
        <v>Removed</v>
      </c>
      <c r="E2094" s="48">
        <v>44110.0</v>
      </c>
      <c r="F2094" s="49">
        <v>44137.0</v>
      </c>
      <c r="G2094" s="50">
        <f t="shared" si="2"/>
        <v>0.8666666667</v>
      </c>
      <c r="H2094" s="51">
        <v>43256.0</v>
      </c>
      <c r="I2094" s="50">
        <f t="shared" si="4"/>
        <v>2.336111111</v>
      </c>
      <c r="J2094" s="55">
        <v>70.0</v>
      </c>
      <c r="K2094" s="56">
        <v>7.2</v>
      </c>
      <c r="L2094" s="55">
        <v>16.0</v>
      </c>
      <c r="M2094" s="58" t="s">
        <v>42</v>
      </c>
      <c r="N2094" s="59"/>
      <c r="O2094" s="60" t="s">
        <v>34</v>
      </c>
      <c r="P2094" s="61"/>
    </row>
    <row r="2095">
      <c r="A2095" s="29" t="s">
        <v>1866</v>
      </c>
      <c r="B2095" s="30" t="s">
        <v>45</v>
      </c>
      <c r="C2095" s="31" t="s">
        <v>2148</v>
      </c>
      <c r="D2095" s="32" t="str">
        <f t="shared" si="1"/>
        <v>Removed</v>
      </c>
      <c r="E2095" s="33">
        <v>44075.0</v>
      </c>
      <c r="F2095" s="34">
        <v>44109.0</v>
      </c>
      <c r="G2095" s="36">
        <f t="shared" si="2"/>
        <v>1.133333333</v>
      </c>
      <c r="H2095" s="37">
        <v>43076.0</v>
      </c>
      <c r="I2095" s="36">
        <f t="shared" si="4"/>
        <v>2.733333333</v>
      </c>
      <c r="J2095" s="38">
        <v>72.0</v>
      </c>
      <c r="K2095" s="39">
        <v>5.9</v>
      </c>
      <c r="L2095" s="76"/>
      <c r="M2095" s="40" t="s">
        <v>31</v>
      </c>
      <c r="N2095" s="41"/>
      <c r="O2095" s="42" t="s">
        <v>34</v>
      </c>
      <c r="P2095" s="43"/>
    </row>
    <row r="2096">
      <c r="A2096" s="44" t="s">
        <v>2229</v>
      </c>
      <c r="B2096" s="45" t="s">
        <v>45</v>
      </c>
      <c r="C2096" s="46" t="s">
        <v>2148</v>
      </c>
      <c r="D2096" s="47" t="str">
        <f t="shared" si="1"/>
        <v>Removed</v>
      </c>
      <c r="E2096" s="48">
        <v>44075.0</v>
      </c>
      <c r="F2096" s="49">
        <v>44109.0</v>
      </c>
      <c r="G2096" s="50">
        <f t="shared" si="2"/>
        <v>1.133333333</v>
      </c>
      <c r="H2096" s="51">
        <v>42416.0</v>
      </c>
      <c r="I2096" s="50">
        <f t="shared" si="4"/>
        <v>4.541666667</v>
      </c>
      <c r="J2096" s="55">
        <v>87.0</v>
      </c>
      <c r="K2096" s="56">
        <v>6.8</v>
      </c>
      <c r="L2096" s="55">
        <v>4.0</v>
      </c>
      <c r="M2096" s="58" t="s">
        <v>114</v>
      </c>
      <c r="N2096" s="59"/>
      <c r="O2096" s="60" t="s">
        <v>34</v>
      </c>
      <c r="P2096" s="61"/>
    </row>
    <row r="2097">
      <c r="A2097" s="29" t="s">
        <v>2230</v>
      </c>
      <c r="B2097" s="30" t="s">
        <v>45</v>
      </c>
      <c r="C2097" s="31" t="s">
        <v>2148</v>
      </c>
      <c r="D2097" s="32" t="str">
        <f t="shared" si="1"/>
        <v>Removed</v>
      </c>
      <c r="E2097" s="33">
        <v>44047.0</v>
      </c>
      <c r="F2097" s="34">
        <v>44074.0</v>
      </c>
      <c r="G2097" s="36">
        <f t="shared" si="2"/>
        <v>0.8666666667</v>
      </c>
      <c r="H2097" s="37">
        <v>44047.0</v>
      </c>
      <c r="I2097" s="36">
        <f t="shared" si="4"/>
        <v>0</v>
      </c>
      <c r="J2097" s="38">
        <v>79.0</v>
      </c>
      <c r="K2097" s="39">
        <v>6.8</v>
      </c>
      <c r="L2097" s="76"/>
      <c r="M2097" s="40" t="s">
        <v>51</v>
      </c>
      <c r="N2097" s="41"/>
      <c r="O2097" s="42" t="s">
        <v>34</v>
      </c>
      <c r="P2097" s="43"/>
    </row>
    <row r="2098">
      <c r="A2098" s="44" t="s">
        <v>2231</v>
      </c>
      <c r="B2098" s="45" t="s">
        <v>45</v>
      </c>
      <c r="C2098" s="46" t="s">
        <v>2148</v>
      </c>
      <c r="D2098" s="47" t="str">
        <f t="shared" si="1"/>
        <v>Removed</v>
      </c>
      <c r="E2098" s="48">
        <v>44040.0</v>
      </c>
      <c r="F2098" s="49">
        <v>44046.0</v>
      </c>
      <c r="G2098" s="50">
        <f t="shared" si="2"/>
        <v>0.1666666667</v>
      </c>
      <c r="H2098" s="51">
        <v>43921.0</v>
      </c>
      <c r="I2098" s="50">
        <f t="shared" si="4"/>
        <v>0.3277777778</v>
      </c>
      <c r="J2098" s="55">
        <v>71.0</v>
      </c>
      <c r="K2098" s="56">
        <v>7.7</v>
      </c>
      <c r="L2098" s="55">
        <v>6.0</v>
      </c>
      <c r="M2098" s="58" t="s">
        <v>31</v>
      </c>
      <c r="N2098" s="59"/>
      <c r="O2098" s="60" t="s">
        <v>34</v>
      </c>
      <c r="P2098" s="61"/>
    </row>
    <row r="2099">
      <c r="A2099" s="29" t="s">
        <v>2232</v>
      </c>
      <c r="B2099" s="30" t="s">
        <v>45</v>
      </c>
      <c r="C2099" s="31" t="s">
        <v>2148</v>
      </c>
      <c r="D2099" s="32" t="str">
        <f t="shared" si="1"/>
        <v>Removed</v>
      </c>
      <c r="E2099" s="33">
        <v>44019.0</v>
      </c>
      <c r="F2099" s="34">
        <v>44039.0</v>
      </c>
      <c r="G2099" s="36">
        <f t="shared" si="2"/>
        <v>0.6666666667</v>
      </c>
      <c r="H2099" s="37">
        <v>43714.0</v>
      </c>
      <c r="I2099" s="36">
        <f t="shared" si="4"/>
        <v>0.8361111111</v>
      </c>
      <c r="J2099" s="38">
        <v>78.0</v>
      </c>
      <c r="K2099" s="39">
        <v>3.8</v>
      </c>
      <c r="L2099" s="76"/>
      <c r="M2099" s="40" t="s">
        <v>125</v>
      </c>
      <c r="N2099" s="41"/>
      <c r="O2099" s="42" t="s">
        <v>34</v>
      </c>
      <c r="P2099" s="43"/>
    </row>
    <row r="2100">
      <c r="A2100" s="44" t="s">
        <v>421</v>
      </c>
      <c r="B2100" s="45" t="s">
        <v>45</v>
      </c>
      <c r="C2100" s="46" t="s">
        <v>2148</v>
      </c>
      <c r="D2100" s="47" t="str">
        <f t="shared" si="1"/>
        <v>Removed</v>
      </c>
      <c r="E2100" s="48">
        <v>44019.0</v>
      </c>
      <c r="F2100" s="49">
        <v>44039.0</v>
      </c>
      <c r="G2100" s="50">
        <f t="shared" si="2"/>
        <v>0.6666666667</v>
      </c>
      <c r="H2100" s="51">
        <v>42654.0</v>
      </c>
      <c r="I2100" s="50">
        <f t="shared" si="4"/>
        <v>3.738888889</v>
      </c>
      <c r="J2100" s="55">
        <v>88.0</v>
      </c>
      <c r="K2100" s="56">
        <v>8.1</v>
      </c>
      <c r="L2100" s="55">
        <v>13.0</v>
      </c>
      <c r="M2100" s="58" t="s">
        <v>29</v>
      </c>
      <c r="N2100" s="59"/>
      <c r="O2100" s="60" t="s">
        <v>34</v>
      </c>
      <c r="P2100" s="61"/>
    </row>
    <row r="2101">
      <c r="A2101" s="29" t="s">
        <v>461</v>
      </c>
      <c r="B2101" s="30" t="s">
        <v>45</v>
      </c>
      <c r="C2101" s="31" t="s">
        <v>2148</v>
      </c>
      <c r="D2101" s="32" t="str">
        <f t="shared" si="1"/>
        <v>Removed</v>
      </c>
      <c r="E2101" s="33">
        <v>44019.0</v>
      </c>
      <c r="F2101" s="34">
        <v>44039.0</v>
      </c>
      <c r="G2101" s="36">
        <f t="shared" si="2"/>
        <v>0.6666666667</v>
      </c>
      <c r="H2101" s="37">
        <v>43696.0</v>
      </c>
      <c r="I2101" s="36">
        <f t="shared" si="4"/>
        <v>0.8833333333</v>
      </c>
      <c r="J2101" s="38">
        <v>69.0</v>
      </c>
      <c r="K2101" s="39">
        <v>7.1</v>
      </c>
      <c r="L2101" s="38">
        <v>2.0</v>
      </c>
      <c r="M2101" s="40" t="s">
        <v>112</v>
      </c>
      <c r="N2101" s="41"/>
      <c r="O2101" s="42" t="s">
        <v>34</v>
      </c>
      <c r="P2101" s="43"/>
    </row>
    <row r="2102">
      <c r="A2102" s="44" t="s">
        <v>2233</v>
      </c>
      <c r="B2102" s="45" t="s">
        <v>45</v>
      </c>
      <c r="C2102" s="46" t="s">
        <v>2148</v>
      </c>
      <c r="D2102" s="47" t="str">
        <f t="shared" si="1"/>
        <v>Removed</v>
      </c>
      <c r="E2102" s="48">
        <v>43984.0</v>
      </c>
      <c r="F2102" s="49">
        <v>44018.0</v>
      </c>
      <c r="G2102" s="50">
        <f t="shared" si="2"/>
        <v>1.133333333</v>
      </c>
      <c r="H2102" s="51">
        <v>43056.0</v>
      </c>
      <c r="I2102" s="50">
        <f t="shared" si="4"/>
        <v>2.541666667</v>
      </c>
      <c r="J2102" s="55">
        <v>68.0</v>
      </c>
      <c r="K2102" s="56">
        <v>3.6</v>
      </c>
      <c r="L2102" s="55">
        <v>7.0</v>
      </c>
      <c r="M2102" s="58" t="s">
        <v>31</v>
      </c>
      <c r="N2102" s="59"/>
      <c r="O2102" s="60" t="s">
        <v>34</v>
      </c>
      <c r="P2102" s="61"/>
    </row>
    <row r="2103">
      <c r="A2103" s="29" t="s">
        <v>2234</v>
      </c>
      <c r="B2103" s="30" t="s">
        <v>45</v>
      </c>
      <c r="C2103" s="31" t="s">
        <v>2148</v>
      </c>
      <c r="D2103" s="32" t="str">
        <f t="shared" si="1"/>
        <v>Removed</v>
      </c>
      <c r="E2103" s="33">
        <v>43977.0</v>
      </c>
      <c r="F2103" s="34">
        <v>43983.0</v>
      </c>
      <c r="G2103" s="36">
        <f t="shared" si="2"/>
        <v>0.1666666667</v>
      </c>
      <c r="H2103" s="37">
        <v>43042.0</v>
      </c>
      <c r="I2103" s="36">
        <f t="shared" si="4"/>
        <v>2.563888889</v>
      </c>
      <c r="J2103" s="38">
        <v>79.0</v>
      </c>
      <c r="K2103" s="39">
        <v>5.8</v>
      </c>
      <c r="L2103" s="38">
        <v>7.0</v>
      </c>
      <c r="M2103" s="40" t="s">
        <v>31</v>
      </c>
      <c r="N2103" s="41"/>
      <c r="O2103" s="42" t="s">
        <v>34</v>
      </c>
      <c r="P2103" s="43"/>
    </row>
    <row r="2104">
      <c r="A2104" s="44" t="s">
        <v>716</v>
      </c>
      <c r="B2104" s="45" t="s">
        <v>45</v>
      </c>
      <c r="C2104" s="46" t="s">
        <v>2148</v>
      </c>
      <c r="D2104" s="47" t="str">
        <f t="shared" si="1"/>
        <v>Removed</v>
      </c>
      <c r="E2104" s="48">
        <v>43956.0</v>
      </c>
      <c r="F2104" s="49">
        <v>43976.0</v>
      </c>
      <c r="G2104" s="50">
        <f t="shared" si="2"/>
        <v>0.6666666667</v>
      </c>
      <c r="H2104" s="51">
        <v>42962.0</v>
      </c>
      <c r="I2104" s="50">
        <f t="shared" si="4"/>
        <v>2.722222222</v>
      </c>
      <c r="J2104" s="55">
        <v>81.0</v>
      </c>
      <c r="K2104" s="56">
        <v>7.7</v>
      </c>
      <c r="L2104" s="78"/>
      <c r="M2104" s="58" t="s">
        <v>70</v>
      </c>
      <c r="N2104" s="59"/>
      <c r="O2104" s="60" t="s">
        <v>34</v>
      </c>
      <c r="P2104" s="61"/>
    </row>
    <row r="2105">
      <c r="A2105" s="29" t="s">
        <v>1867</v>
      </c>
      <c r="B2105" s="30" t="s">
        <v>45</v>
      </c>
      <c r="C2105" s="31" t="s">
        <v>2148</v>
      </c>
      <c r="D2105" s="32" t="str">
        <f t="shared" si="1"/>
        <v>Removed</v>
      </c>
      <c r="E2105" s="33">
        <v>43956.0</v>
      </c>
      <c r="F2105" s="34">
        <v>43976.0</v>
      </c>
      <c r="G2105" s="36">
        <f t="shared" si="2"/>
        <v>0.6666666667</v>
      </c>
      <c r="H2105" s="37">
        <v>43424.0</v>
      </c>
      <c r="I2105" s="36">
        <f t="shared" si="4"/>
        <v>1.458333333</v>
      </c>
      <c r="J2105" s="38">
        <v>64.0</v>
      </c>
      <c r="K2105" s="39">
        <v>6.8</v>
      </c>
      <c r="L2105" s="76"/>
      <c r="M2105" s="40" t="s">
        <v>2121</v>
      </c>
      <c r="N2105" s="41"/>
      <c r="O2105" s="42" t="s">
        <v>34</v>
      </c>
      <c r="P2105" s="43"/>
    </row>
    <row r="2106">
      <c r="A2106" s="44" t="s">
        <v>2235</v>
      </c>
      <c r="B2106" s="45" t="s">
        <v>45</v>
      </c>
      <c r="C2106" s="46" t="s">
        <v>2148</v>
      </c>
      <c r="D2106" s="47" t="str">
        <f t="shared" si="1"/>
        <v>Removed</v>
      </c>
      <c r="E2106" s="48">
        <v>43928.0</v>
      </c>
      <c r="F2106" s="49">
        <v>43955.0</v>
      </c>
      <c r="G2106" s="50">
        <f t="shared" si="2"/>
        <v>0.9</v>
      </c>
      <c r="H2106" s="51">
        <v>42500.0</v>
      </c>
      <c r="I2106" s="50">
        <f t="shared" si="4"/>
        <v>3.908333333</v>
      </c>
      <c r="J2106" s="55">
        <v>93.0</v>
      </c>
      <c r="K2106" s="56">
        <v>8.6</v>
      </c>
      <c r="L2106" s="55">
        <v>15.0</v>
      </c>
      <c r="M2106" s="58" t="s">
        <v>29</v>
      </c>
      <c r="N2106" s="59"/>
      <c r="O2106" s="60" t="s">
        <v>34</v>
      </c>
      <c r="P2106" s="61"/>
    </row>
    <row r="2107">
      <c r="A2107" s="29" t="s">
        <v>2236</v>
      </c>
      <c r="B2107" s="30" t="s">
        <v>45</v>
      </c>
      <c r="C2107" s="31" t="s">
        <v>2148</v>
      </c>
      <c r="D2107" s="32" t="str">
        <f t="shared" si="1"/>
        <v>Removed</v>
      </c>
      <c r="E2107" s="33">
        <v>43928.0</v>
      </c>
      <c r="F2107" s="34">
        <v>43955.0</v>
      </c>
      <c r="G2107" s="36">
        <f t="shared" si="2"/>
        <v>0.9</v>
      </c>
      <c r="H2107" s="37">
        <v>43522.0</v>
      </c>
      <c r="I2107" s="36">
        <f t="shared" si="4"/>
        <v>1.113888889</v>
      </c>
      <c r="J2107" s="38">
        <v>84.0</v>
      </c>
      <c r="K2107" s="39">
        <v>7.7</v>
      </c>
      <c r="L2107" s="76"/>
      <c r="M2107" s="40" t="s">
        <v>95</v>
      </c>
      <c r="N2107" s="41"/>
      <c r="O2107" s="42" t="s">
        <v>34</v>
      </c>
      <c r="P2107" s="43"/>
    </row>
    <row r="2108">
      <c r="A2108" s="44" t="s">
        <v>603</v>
      </c>
      <c r="B2108" s="45" t="s">
        <v>45</v>
      </c>
      <c r="C2108" s="46" t="s">
        <v>2148</v>
      </c>
      <c r="D2108" s="47" t="str">
        <f t="shared" si="1"/>
        <v>Removed</v>
      </c>
      <c r="E2108" s="48">
        <v>43893.0</v>
      </c>
      <c r="F2108" s="49">
        <v>43927.0</v>
      </c>
      <c r="G2108" s="50">
        <f t="shared" si="2"/>
        <v>1.1</v>
      </c>
      <c r="H2108" s="51">
        <v>43137.0</v>
      </c>
      <c r="I2108" s="50">
        <f t="shared" si="4"/>
        <v>2.075</v>
      </c>
      <c r="J2108" s="55">
        <v>91.0</v>
      </c>
      <c r="K2108" s="56">
        <v>8.6</v>
      </c>
      <c r="L2108" s="55">
        <v>8.0</v>
      </c>
      <c r="M2108" s="58" t="s">
        <v>29</v>
      </c>
      <c r="N2108" s="59"/>
      <c r="O2108" s="60" t="s">
        <v>34</v>
      </c>
      <c r="P2108" s="61"/>
    </row>
    <row r="2109">
      <c r="A2109" s="29" t="s">
        <v>2151</v>
      </c>
      <c r="B2109" s="30" t="s">
        <v>45</v>
      </c>
      <c r="C2109" s="31" t="s">
        <v>2148</v>
      </c>
      <c r="D2109" s="32" t="str">
        <f t="shared" si="1"/>
        <v>Removed</v>
      </c>
      <c r="E2109" s="33">
        <v>43893.0</v>
      </c>
      <c r="F2109" s="34">
        <v>43927.0</v>
      </c>
      <c r="G2109" s="36">
        <f t="shared" si="2"/>
        <v>1.1</v>
      </c>
      <c r="H2109" s="37">
        <v>43046.0</v>
      </c>
      <c r="I2109" s="36">
        <f t="shared" si="4"/>
        <v>2.322222222</v>
      </c>
      <c r="J2109" s="38">
        <v>57.0</v>
      </c>
      <c r="K2109" s="39">
        <v>6.0</v>
      </c>
      <c r="L2109" s="38">
        <v>4.0</v>
      </c>
      <c r="M2109" s="40" t="s">
        <v>27</v>
      </c>
      <c r="N2109" s="41"/>
      <c r="O2109" s="42" t="s">
        <v>34</v>
      </c>
      <c r="P2109" s="43"/>
    </row>
    <row r="2110">
      <c r="A2110" s="44" t="s">
        <v>2237</v>
      </c>
      <c r="B2110" s="45" t="s">
        <v>45</v>
      </c>
      <c r="C2110" s="46" t="s">
        <v>2148</v>
      </c>
      <c r="D2110" s="47" t="str">
        <f t="shared" si="1"/>
        <v>Removed</v>
      </c>
      <c r="E2110" s="48">
        <v>43865.0</v>
      </c>
      <c r="F2110" s="49">
        <v>43892.0</v>
      </c>
      <c r="G2110" s="50">
        <f t="shared" si="2"/>
        <v>0.9333333333</v>
      </c>
      <c r="H2110" s="51">
        <v>42626.0</v>
      </c>
      <c r="I2110" s="50">
        <f t="shared" si="4"/>
        <v>3.391666667</v>
      </c>
      <c r="J2110" s="55">
        <v>84.0</v>
      </c>
      <c r="K2110" s="56">
        <v>7.9</v>
      </c>
      <c r="L2110" s="55">
        <v>37.0</v>
      </c>
      <c r="M2110" s="58" t="s">
        <v>31</v>
      </c>
      <c r="N2110" s="59"/>
      <c r="O2110" s="60" t="s">
        <v>34</v>
      </c>
      <c r="P2110" s="61"/>
    </row>
    <row r="2111">
      <c r="A2111" s="29" t="s">
        <v>2238</v>
      </c>
      <c r="B2111" s="30" t="s">
        <v>45</v>
      </c>
      <c r="C2111" s="31" t="s">
        <v>2148</v>
      </c>
      <c r="D2111" s="32" t="str">
        <f t="shared" si="1"/>
        <v>Removed</v>
      </c>
      <c r="E2111" s="33">
        <v>43865.0</v>
      </c>
      <c r="F2111" s="34">
        <v>43892.0</v>
      </c>
      <c r="G2111" s="36">
        <f t="shared" si="2"/>
        <v>0.9333333333</v>
      </c>
      <c r="H2111" s="37">
        <v>43056.0</v>
      </c>
      <c r="I2111" s="36">
        <f t="shared" si="4"/>
        <v>2.213888889</v>
      </c>
      <c r="J2111" s="38">
        <v>66.0</v>
      </c>
      <c r="K2111" s="39">
        <v>4.7</v>
      </c>
      <c r="L2111" s="76"/>
      <c r="M2111" s="40" t="s">
        <v>70</v>
      </c>
      <c r="N2111" s="41"/>
      <c r="O2111" s="42" t="s">
        <v>34</v>
      </c>
      <c r="P2111" s="43"/>
    </row>
    <row r="2112">
      <c r="A2112" s="44" t="s">
        <v>2239</v>
      </c>
      <c r="B2112" s="45" t="s">
        <v>384</v>
      </c>
      <c r="C2112" s="46" t="s">
        <v>2148</v>
      </c>
      <c r="D2112" s="47" t="str">
        <f t="shared" si="1"/>
        <v>Removed</v>
      </c>
      <c r="E2112" s="48">
        <v>43865.0</v>
      </c>
      <c r="F2112" s="49">
        <v>43892.0</v>
      </c>
      <c r="G2112" s="50">
        <f t="shared" si="2"/>
        <v>0.9333333333</v>
      </c>
      <c r="H2112" s="51">
        <v>43340.0</v>
      </c>
      <c r="I2112" s="50">
        <f t="shared" si="4"/>
        <v>1.433333333</v>
      </c>
      <c r="J2112" s="55">
        <v>79.0</v>
      </c>
      <c r="K2112" s="56">
        <v>8.8</v>
      </c>
      <c r="L2112" s="78"/>
      <c r="M2112" s="58" t="s">
        <v>31</v>
      </c>
      <c r="N2112" s="59"/>
      <c r="O2112" s="60" t="s">
        <v>34</v>
      </c>
      <c r="P2112" s="61"/>
    </row>
    <row r="2113">
      <c r="A2113" s="29" t="s">
        <v>2240</v>
      </c>
      <c r="B2113" s="30" t="s">
        <v>45</v>
      </c>
      <c r="C2113" s="31" t="s">
        <v>2148</v>
      </c>
      <c r="D2113" s="32" t="str">
        <f t="shared" si="1"/>
        <v>Removed</v>
      </c>
      <c r="E2113" s="33">
        <v>43837.0</v>
      </c>
      <c r="F2113" s="34">
        <v>43864.0</v>
      </c>
      <c r="G2113" s="36">
        <f t="shared" si="2"/>
        <v>0.8666666667</v>
      </c>
      <c r="H2113" s="37">
        <v>42286.0</v>
      </c>
      <c r="I2113" s="36">
        <f t="shared" si="4"/>
        <v>4.244444444</v>
      </c>
      <c r="J2113" s="38">
        <v>86.0</v>
      </c>
      <c r="K2113" s="39">
        <v>8.6</v>
      </c>
      <c r="L2113" s="38">
        <v>36.0</v>
      </c>
      <c r="M2113" s="40" t="s">
        <v>29</v>
      </c>
      <c r="N2113" s="41"/>
      <c r="O2113" s="42" t="s">
        <v>34</v>
      </c>
      <c r="P2113" s="43"/>
    </row>
    <row r="2114">
      <c r="A2114" s="44" t="s">
        <v>2241</v>
      </c>
      <c r="B2114" s="45" t="s">
        <v>45</v>
      </c>
      <c r="C2114" s="46" t="s">
        <v>2148</v>
      </c>
      <c r="D2114" s="47" t="str">
        <f t="shared" si="1"/>
        <v>Removed</v>
      </c>
      <c r="E2114" s="48">
        <v>43837.0</v>
      </c>
      <c r="F2114" s="49">
        <v>43864.0</v>
      </c>
      <c r="G2114" s="50">
        <f t="shared" si="2"/>
        <v>0.8666666667</v>
      </c>
      <c r="H2114" s="51">
        <v>42108.0</v>
      </c>
      <c r="I2114" s="50">
        <f t="shared" si="4"/>
        <v>4.730555556</v>
      </c>
      <c r="J2114" s="55">
        <v>58.0</v>
      </c>
      <c r="K2114" s="56">
        <v>7.1</v>
      </c>
      <c r="L2114" s="55">
        <v>4.0</v>
      </c>
      <c r="M2114" s="58" t="s">
        <v>70</v>
      </c>
      <c r="N2114" s="59"/>
      <c r="O2114" s="60" t="s">
        <v>34</v>
      </c>
      <c r="P2114" s="61"/>
    </row>
    <row r="2115">
      <c r="A2115" s="29" t="s">
        <v>2242</v>
      </c>
      <c r="B2115" s="30" t="s">
        <v>45</v>
      </c>
      <c r="C2115" s="31" t="s">
        <v>2148</v>
      </c>
      <c r="D2115" s="32" t="str">
        <f t="shared" si="1"/>
        <v>Removed</v>
      </c>
      <c r="E2115" s="33">
        <v>43802.0</v>
      </c>
      <c r="F2115" s="34">
        <v>43836.0</v>
      </c>
      <c r="G2115" s="36">
        <f t="shared" si="2"/>
        <v>1.1</v>
      </c>
      <c r="H2115" s="37">
        <v>42671.0</v>
      </c>
      <c r="I2115" s="36">
        <f t="shared" si="4"/>
        <v>3.097222222</v>
      </c>
      <c r="J2115" s="38">
        <v>89.0</v>
      </c>
      <c r="K2115" s="39">
        <v>8.6</v>
      </c>
      <c r="L2115" s="38">
        <v>8.0</v>
      </c>
      <c r="M2115" s="40" t="s">
        <v>31</v>
      </c>
      <c r="N2115" s="41"/>
      <c r="O2115" s="42" t="s">
        <v>34</v>
      </c>
      <c r="P2115" s="43"/>
    </row>
    <row r="2116">
      <c r="A2116" s="44" t="s">
        <v>2243</v>
      </c>
      <c r="B2116" s="45" t="s">
        <v>45</v>
      </c>
      <c r="C2116" s="46" t="s">
        <v>2148</v>
      </c>
      <c r="D2116" s="47" t="str">
        <f t="shared" si="1"/>
        <v>Removed</v>
      </c>
      <c r="E2116" s="48">
        <v>43802.0</v>
      </c>
      <c r="F2116" s="49">
        <v>43836.0</v>
      </c>
      <c r="G2116" s="50">
        <f t="shared" si="2"/>
        <v>1.1</v>
      </c>
      <c r="H2116" s="51">
        <v>43144.0</v>
      </c>
      <c r="I2116" s="50">
        <f t="shared" si="4"/>
        <v>1.805555556</v>
      </c>
      <c r="J2116" s="55">
        <v>67.0</v>
      </c>
      <c r="K2116" s="56">
        <v>5.9</v>
      </c>
      <c r="L2116" s="78"/>
      <c r="M2116" s="58" t="s">
        <v>95</v>
      </c>
      <c r="N2116" s="59"/>
      <c r="O2116" s="60" t="s">
        <v>34</v>
      </c>
      <c r="P2116" s="61"/>
    </row>
    <row r="2117">
      <c r="A2117" s="29" t="s">
        <v>694</v>
      </c>
      <c r="B2117" s="30" t="s">
        <v>45</v>
      </c>
      <c r="C2117" s="31" t="s">
        <v>2148</v>
      </c>
      <c r="D2117" s="32" t="str">
        <f t="shared" si="1"/>
        <v>Removed</v>
      </c>
      <c r="E2117" s="33">
        <v>43774.0</v>
      </c>
      <c r="F2117" s="34">
        <v>43801.0</v>
      </c>
      <c r="G2117" s="36">
        <f t="shared" si="2"/>
        <v>0.9</v>
      </c>
      <c r="H2117" s="37">
        <v>42773.0</v>
      </c>
      <c r="I2117" s="36">
        <f t="shared" si="4"/>
        <v>2.744444444</v>
      </c>
      <c r="J2117" s="38">
        <v>88.0</v>
      </c>
      <c r="K2117" s="39">
        <v>8.6</v>
      </c>
      <c r="L2117" s="38">
        <v>35.0</v>
      </c>
      <c r="M2117" s="40" t="s">
        <v>29</v>
      </c>
      <c r="N2117" s="41"/>
      <c r="O2117" s="42" t="s">
        <v>34</v>
      </c>
      <c r="P2117" s="43"/>
    </row>
    <row r="2118">
      <c r="A2118" s="44" t="s">
        <v>367</v>
      </c>
      <c r="B2118" s="45" t="s">
        <v>45</v>
      </c>
      <c r="C2118" s="46" t="s">
        <v>2148</v>
      </c>
      <c r="D2118" s="47" t="str">
        <f t="shared" si="1"/>
        <v>Removed</v>
      </c>
      <c r="E2118" s="48">
        <v>43774.0</v>
      </c>
      <c r="F2118" s="49">
        <v>43801.0</v>
      </c>
      <c r="G2118" s="50">
        <f t="shared" si="2"/>
        <v>0.9</v>
      </c>
      <c r="H2118" s="51">
        <v>42850.0</v>
      </c>
      <c r="I2118" s="50">
        <f t="shared" si="4"/>
        <v>2.527777778</v>
      </c>
      <c r="J2118" s="55">
        <v>68.0</v>
      </c>
      <c r="K2118" s="56">
        <v>6.8</v>
      </c>
      <c r="L2118" s="55">
        <v>9.0</v>
      </c>
      <c r="M2118" s="58" t="s">
        <v>537</v>
      </c>
      <c r="N2118" s="59"/>
      <c r="O2118" s="60" t="s">
        <v>34</v>
      </c>
      <c r="P2118" s="61"/>
    </row>
    <row r="2119">
      <c r="A2119" s="29" t="s">
        <v>2244</v>
      </c>
      <c r="B2119" s="30" t="s">
        <v>45</v>
      </c>
      <c r="C2119" s="31" t="s">
        <v>2148</v>
      </c>
      <c r="D2119" s="32" t="str">
        <f t="shared" si="1"/>
        <v>Removed</v>
      </c>
      <c r="E2119" s="33">
        <v>43739.0</v>
      </c>
      <c r="F2119" s="34">
        <v>43773.0</v>
      </c>
      <c r="G2119" s="36">
        <f t="shared" si="2"/>
        <v>1.1</v>
      </c>
      <c r="H2119" s="37">
        <v>41849.0</v>
      </c>
      <c r="I2119" s="36">
        <f t="shared" si="4"/>
        <v>5.172222222</v>
      </c>
      <c r="J2119" s="38">
        <v>95.0</v>
      </c>
      <c r="K2119" s="39">
        <v>9.2</v>
      </c>
      <c r="L2119" s="38">
        <v>15.0</v>
      </c>
      <c r="M2119" s="40" t="s">
        <v>29</v>
      </c>
      <c r="N2119" s="41"/>
      <c r="O2119" s="42" t="s">
        <v>34</v>
      </c>
      <c r="P2119" s="43"/>
    </row>
    <row r="2120">
      <c r="A2120" s="44" t="s">
        <v>2245</v>
      </c>
      <c r="B2120" s="45" t="s">
        <v>45</v>
      </c>
      <c r="C2120" s="46" t="s">
        <v>2148</v>
      </c>
      <c r="D2120" s="47" t="str">
        <f t="shared" si="1"/>
        <v>Removed</v>
      </c>
      <c r="E2120" s="48">
        <v>43739.0</v>
      </c>
      <c r="F2120" s="49">
        <v>43773.0</v>
      </c>
      <c r="G2120" s="50">
        <f t="shared" si="2"/>
        <v>1.1</v>
      </c>
      <c r="H2120" s="51">
        <v>43550.0</v>
      </c>
      <c r="I2120" s="50">
        <f t="shared" si="4"/>
        <v>0.5138888889</v>
      </c>
      <c r="J2120" s="55">
        <v>86.0</v>
      </c>
      <c r="K2120" s="56">
        <v>7.7</v>
      </c>
      <c r="L2120" s="78"/>
      <c r="M2120" s="58" t="s">
        <v>125</v>
      </c>
      <c r="N2120" s="59"/>
      <c r="O2120" s="60" t="s">
        <v>34</v>
      </c>
      <c r="P2120" s="61"/>
    </row>
    <row r="2121">
      <c r="A2121" s="29" t="s">
        <v>2246</v>
      </c>
      <c r="B2121" s="30" t="s">
        <v>45</v>
      </c>
      <c r="C2121" s="31" t="s">
        <v>2148</v>
      </c>
      <c r="D2121" s="32" t="str">
        <f t="shared" si="1"/>
        <v>Removed</v>
      </c>
      <c r="E2121" s="33">
        <v>43711.0</v>
      </c>
      <c r="F2121" s="34">
        <v>43738.0</v>
      </c>
      <c r="G2121" s="36">
        <f t="shared" si="2"/>
        <v>0.9</v>
      </c>
      <c r="H2121" s="37">
        <v>42178.0</v>
      </c>
      <c r="I2121" s="36">
        <f t="shared" si="4"/>
        <v>4.194444444</v>
      </c>
      <c r="J2121" s="38">
        <v>87.0</v>
      </c>
      <c r="K2121" s="39">
        <v>7.9</v>
      </c>
      <c r="L2121" s="38">
        <v>16.0</v>
      </c>
      <c r="M2121" s="40" t="s">
        <v>29</v>
      </c>
      <c r="N2121" s="41"/>
      <c r="O2121" s="42" t="s">
        <v>34</v>
      </c>
      <c r="P2121" s="43"/>
    </row>
    <row r="2122">
      <c r="A2122" s="44" t="s">
        <v>1571</v>
      </c>
      <c r="B2122" s="45" t="s">
        <v>45</v>
      </c>
      <c r="C2122" s="46" t="s">
        <v>2148</v>
      </c>
      <c r="D2122" s="47" t="str">
        <f t="shared" si="1"/>
        <v>Removed</v>
      </c>
      <c r="E2122" s="48">
        <v>43711.0</v>
      </c>
      <c r="F2122" s="49">
        <v>43738.0</v>
      </c>
      <c r="G2122" s="50">
        <f t="shared" si="2"/>
        <v>0.9</v>
      </c>
      <c r="H2122" s="51">
        <v>43431.0</v>
      </c>
      <c r="I2122" s="50">
        <f t="shared" si="4"/>
        <v>0.7666666667</v>
      </c>
      <c r="J2122" s="55">
        <v>64.0</v>
      </c>
      <c r="K2122" s="56">
        <v>6.5</v>
      </c>
      <c r="L2122" s="55">
        <v>15.0</v>
      </c>
      <c r="M2122" s="58" t="s">
        <v>29</v>
      </c>
      <c r="N2122" s="59"/>
      <c r="O2122" s="60" t="s">
        <v>34</v>
      </c>
      <c r="P2122" s="61"/>
    </row>
    <row r="2123">
      <c r="A2123" s="29" t="s">
        <v>2247</v>
      </c>
      <c r="B2123" s="30" t="s">
        <v>384</v>
      </c>
      <c r="C2123" s="31" t="s">
        <v>2148</v>
      </c>
      <c r="D2123" s="32" t="str">
        <f t="shared" si="1"/>
        <v>Removed</v>
      </c>
      <c r="E2123" s="33">
        <v>43683.0</v>
      </c>
      <c r="F2123" s="34">
        <v>43710.0</v>
      </c>
      <c r="G2123" s="36">
        <f t="shared" si="2"/>
        <v>0.8666666667</v>
      </c>
      <c r="H2123" s="37">
        <v>42892.0</v>
      </c>
      <c r="I2123" s="36">
        <f t="shared" si="4"/>
        <v>2.166666667</v>
      </c>
      <c r="J2123" s="38">
        <v>85.0</v>
      </c>
      <c r="K2123" s="39">
        <v>8.2</v>
      </c>
      <c r="L2123" s="38">
        <v>8.0</v>
      </c>
      <c r="M2123" s="40" t="s">
        <v>95</v>
      </c>
      <c r="N2123" s="41"/>
      <c r="O2123" s="42" t="s">
        <v>34</v>
      </c>
      <c r="P2123" s="43"/>
    </row>
    <row r="2124">
      <c r="A2124" s="44" t="s">
        <v>743</v>
      </c>
      <c r="B2124" s="45" t="s">
        <v>45</v>
      </c>
      <c r="C2124" s="46" t="s">
        <v>2148</v>
      </c>
      <c r="D2124" s="47" t="str">
        <f t="shared" si="1"/>
        <v>Removed</v>
      </c>
      <c r="E2124" s="48">
        <v>43683.0</v>
      </c>
      <c r="F2124" s="49">
        <v>43710.0</v>
      </c>
      <c r="G2124" s="50">
        <f t="shared" si="2"/>
        <v>0.8666666667</v>
      </c>
      <c r="H2124" s="51">
        <v>42780.0</v>
      </c>
      <c r="I2124" s="50">
        <f t="shared" si="4"/>
        <v>2.477777778</v>
      </c>
      <c r="J2124" s="55">
        <v>77.0</v>
      </c>
      <c r="K2124" s="56">
        <v>7.6</v>
      </c>
      <c r="L2124" s="55">
        <v>12.0</v>
      </c>
      <c r="M2124" s="58" t="s">
        <v>31</v>
      </c>
      <c r="N2124" s="59"/>
      <c r="O2124" s="60" t="s">
        <v>34</v>
      </c>
      <c r="P2124" s="61"/>
    </row>
    <row r="2125">
      <c r="A2125" s="29" t="s">
        <v>706</v>
      </c>
      <c r="B2125" s="30" t="s">
        <v>45</v>
      </c>
      <c r="C2125" s="31" t="s">
        <v>2148</v>
      </c>
      <c r="D2125" s="32" t="str">
        <f t="shared" si="1"/>
        <v>Removed</v>
      </c>
      <c r="E2125" s="33">
        <v>43648.0</v>
      </c>
      <c r="F2125" s="34">
        <v>43682.0</v>
      </c>
      <c r="G2125" s="36">
        <f t="shared" si="2"/>
        <v>1.1</v>
      </c>
      <c r="H2125" s="37">
        <v>43245.0</v>
      </c>
      <c r="I2125" s="36">
        <f t="shared" si="4"/>
        <v>1.102777778</v>
      </c>
      <c r="J2125" s="38">
        <v>78.0</v>
      </c>
      <c r="K2125" s="39">
        <v>8.3</v>
      </c>
      <c r="L2125" s="38">
        <v>10.0</v>
      </c>
      <c r="M2125" s="40" t="s">
        <v>29</v>
      </c>
      <c r="N2125" s="41"/>
      <c r="O2125" s="42" t="s">
        <v>34</v>
      </c>
      <c r="P2125" s="43"/>
    </row>
    <row r="2126">
      <c r="A2126" s="44" t="s">
        <v>2248</v>
      </c>
      <c r="B2126" s="45" t="s">
        <v>45</v>
      </c>
      <c r="C2126" s="46" t="s">
        <v>2148</v>
      </c>
      <c r="D2126" s="47" t="str">
        <f t="shared" si="1"/>
        <v>Removed</v>
      </c>
      <c r="E2126" s="48">
        <v>43648.0</v>
      </c>
      <c r="F2126" s="49">
        <v>43682.0</v>
      </c>
      <c r="G2126" s="50">
        <f t="shared" si="2"/>
        <v>1.1</v>
      </c>
      <c r="H2126" s="51">
        <v>40232.0</v>
      </c>
      <c r="I2126" s="50">
        <f t="shared" si="4"/>
        <v>9.358333333</v>
      </c>
      <c r="J2126" s="55">
        <v>78.0</v>
      </c>
      <c r="K2126" s="56">
        <v>8.2</v>
      </c>
      <c r="L2126" s="55">
        <v>10.0</v>
      </c>
      <c r="M2126" s="58" t="s">
        <v>29</v>
      </c>
      <c r="N2126" s="59"/>
      <c r="O2126" s="60" t="s">
        <v>34</v>
      </c>
      <c r="P2126" s="61"/>
    </row>
    <row r="2127">
      <c r="A2127" s="29" t="s">
        <v>2249</v>
      </c>
      <c r="B2127" s="30" t="s">
        <v>45</v>
      </c>
      <c r="C2127" s="31" t="s">
        <v>2148</v>
      </c>
      <c r="D2127" s="32" t="str">
        <f t="shared" si="1"/>
        <v>Removed</v>
      </c>
      <c r="E2127" s="33">
        <v>43648.0</v>
      </c>
      <c r="F2127" s="34">
        <v>43682.0</v>
      </c>
      <c r="G2127" s="36">
        <f t="shared" si="2"/>
        <v>1.1</v>
      </c>
      <c r="H2127" s="37">
        <v>43235.0</v>
      </c>
      <c r="I2127" s="36">
        <f t="shared" si="4"/>
        <v>1.130555556</v>
      </c>
      <c r="J2127" s="38">
        <v>77.0</v>
      </c>
      <c r="K2127" s="39">
        <v>7.7</v>
      </c>
      <c r="L2127" s="38">
        <v>4.0</v>
      </c>
      <c r="M2127" s="40" t="s">
        <v>95</v>
      </c>
      <c r="N2127" s="41"/>
      <c r="O2127" s="42" t="s">
        <v>34</v>
      </c>
      <c r="P2127" s="43"/>
    </row>
    <row r="2128">
      <c r="A2128" s="44" t="s">
        <v>1712</v>
      </c>
      <c r="B2128" s="45" t="s">
        <v>45</v>
      </c>
      <c r="C2128" s="46" t="s">
        <v>2148</v>
      </c>
      <c r="D2128" s="47" t="str">
        <f t="shared" si="1"/>
        <v>Removed</v>
      </c>
      <c r="E2128" s="48">
        <v>43620.0</v>
      </c>
      <c r="F2128" s="49">
        <v>43647.0</v>
      </c>
      <c r="G2128" s="50">
        <f t="shared" si="2"/>
        <v>0.9</v>
      </c>
      <c r="H2128" s="51">
        <v>42087.0</v>
      </c>
      <c r="I2128" s="50">
        <f t="shared" si="4"/>
        <v>4.194444444</v>
      </c>
      <c r="J2128" s="55">
        <v>82.0</v>
      </c>
      <c r="K2128" s="56">
        <v>7.8</v>
      </c>
      <c r="L2128" s="55">
        <v>59.0</v>
      </c>
      <c r="M2128" s="58" t="s">
        <v>31</v>
      </c>
      <c r="N2128" s="59"/>
      <c r="O2128" s="60" t="s">
        <v>34</v>
      </c>
      <c r="P2128" s="61"/>
    </row>
    <row r="2129">
      <c r="A2129" s="29" t="s">
        <v>2152</v>
      </c>
      <c r="B2129" s="30" t="s">
        <v>45</v>
      </c>
      <c r="C2129" s="31" t="s">
        <v>2148</v>
      </c>
      <c r="D2129" s="32" t="str">
        <f t="shared" si="1"/>
        <v>Removed</v>
      </c>
      <c r="E2129" s="33">
        <v>43620.0</v>
      </c>
      <c r="F2129" s="34">
        <v>43647.0</v>
      </c>
      <c r="G2129" s="36">
        <f t="shared" si="2"/>
        <v>0.9</v>
      </c>
      <c r="H2129" s="37">
        <v>42962.0</v>
      </c>
      <c r="I2129" s="36">
        <f t="shared" si="4"/>
        <v>1.802777778</v>
      </c>
      <c r="J2129" s="38">
        <v>86.0</v>
      </c>
      <c r="K2129" s="39">
        <v>8.5</v>
      </c>
      <c r="L2129" s="38">
        <v>6.0</v>
      </c>
      <c r="M2129" s="40" t="s">
        <v>27</v>
      </c>
      <c r="N2129" s="41"/>
      <c r="O2129" s="42" t="s">
        <v>34</v>
      </c>
      <c r="P2129" s="43"/>
    </row>
    <row r="2130">
      <c r="A2130" s="44" t="s">
        <v>2250</v>
      </c>
      <c r="B2130" s="45" t="s">
        <v>45</v>
      </c>
      <c r="C2130" s="46" t="s">
        <v>2148</v>
      </c>
      <c r="D2130" s="47" t="str">
        <f t="shared" si="1"/>
        <v>Removed</v>
      </c>
      <c r="E2130" s="48">
        <v>43592.0</v>
      </c>
      <c r="F2130" s="49">
        <v>43619.0</v>
      </c>
      <c r="G2130" s="50">
        <f t="shared" si="2"/>
        <v>0.8666666667</v>
      </c>
      <c r="H2130" s="51">
        <v>42585.0</v>
      </c>
      <c r="I2130" s="50">
        <f t="shared" si="4"/>
        <v>2.761111111</v>
      </c>
      <c r="J2130" s="55">
        <v>78.0</v>
      </c>
      <c r="K2130" s="56">
        <v>7.6</v>
      </c>
      <c r="L2130" s="55">
        <v>4.0</v>
      </c>
      <c r="M2130" s="58" t="s">
        <v>70</v>
      </c>
      <c r="N2130" s="59"/>
      <c r="O2130" s="60" t="s">
        <v>34</v>
      </c>
      <c r="P2130" s="61"/>
    </row>
    <row r="2131">
      <c r="A2131" s="29" t="s">
        <v>1486</v>
      </c>
      <c r="B2131" s="30" t="s">
        <v>45</v>
      </c>
      <c r="C2131" s="31" t="s">
        <v>2148</v>
      </c>
      <c r="D2131" s="32" t="str">
        <f t="shared" si="1"/>
        <v>Removed</v>
      </c>
      <c r="E2131" s="33">
        <v>43592.0</v>
      </c>
      <c r="F2131" s="34">
        <v>43619.0</v>
      </c>
      <c r="G2131" s="36">
        <f t="shared" si="2"/>
        <v>0.8666666667</v>
      </c>
      <c r="H2131" s="37">
        <v>42850.0</v>
      </c>
      <c r="I2131" s="36">
        <f t="shared" si="4"/>
        <v>2.033333333</v>
      </c>
      <c r="J2131" s="38">
        <v>88.0</v>
      </c>
      <c r="K2131" s="39">
        <v>8.3</v>
      </c>
      <c r="L2131" s="38">
        <v>2.0</v>
      </c>
      <c r="M2131" s="40" t="s">
        <v>29</v>
      </c>
      <c r="N2131" s="41"/>
      <c r="O2131" s="42" t="s">
        <v>34</v>
      </c>
      <c r="P2131" s="43"/>
    </row>
    <row r="2132">
      <c r="A2132" s="44" t="s">
        <v>717</v>
      </c>
      <c r="B2132" s="45" t="s">
        <v>45</v>
      </c>
      <c r="C2132" s="46" t="s">
        <v>2148</v>
      </c>
      <c r="D2132" s="47" t="str">
        <f t="shared" si="1"/>
        <v>Removed</v>
      </c>
      <c r="E2132" s="48">
        <v>43557.0</v>
      </c>
      <c r="F2132" s="49">
        <v>43591.0</v>
      </c>
      <c r="G2132" s="50">
        <f t="shared" si="2"/>
        <v>1.133333333</v>
      </c>
      <c r="H2132" s="51">
        <v>42871.0</v>
      </c>
      <c r="I2132" s="50">
        <f t="shared" si="4"/>
        <v>1.877777778</v>
      </c>
      <c r="J2132" s="55">
        <v>73.0</v>
      </c>
      <c r="K2132" s="56">
        <v>7.3</v>
      </c>
      <c r="L2132" s="55">
        <v>22.0</v>
      </c>
      <c r="M2132" s="58" t="s">
        <v>29</v>
      </c>
      <c r="N2132" s="59"/>
      <c r="O2132" s="60" t="s">
        <v>34</v>
      </c>
      <c r="P2132" s="61"/>
    </row>
    <row r="2133">
      <c r="A2133" s="29" t="s">
        <v>2251</v>
      </c>
      <c r="B2133" s="30" t="s">
        <v>45</v>
      </c>
      <c r="C2133" s="31" t="s">
        <v>2148</v>
      </c>
      <c r="D2133" s="32" t="str">
        <f t="shared" si="1"/>
        <v>Removed</v>
      </c>
      <c r="E2133" s="33">
        <v>43557.0</v>
      </c>
      <c r="F2133" s="34">
        <v>43591.0</v>
      </c>
      <c r="G2133" s="36">
        <f t="shared" si="2"/>
        <v>1.133333333</v>
      </c>
      <c r="H2133" s="37">
        <v>43228.0</v>
      </c>
      <c r="I2133" s="36">
        <f t="shared" si="4"/>
        <v>0.9</v>
      </c>
      <c r="J2133" s="38">
        <v>68.0</v>
      </c>
      <c r="K2133" s="39">
        <v>6.3</v>
      </c>
      <c r="L2133" s="76"/>
      <c r="M2133" s="40" t="s">
        <v>36</v>
      </c>
      <c r="N2133" s="41"/>
      <c r="O2133" s="42" t="s">
        <v>34</v>
      </c>
      <c r="P2133" s="43"/>
    </row>
    <row r="2134">
      <c r="A2134" s="44" t="s">
        <v>2252</v>
      </c>
      <c r="B2134" s="45" t="s">
        <v>45</v>
      </c>
      <c r="C2134" s="46" t="s">
        <v>2148</v>
      </c>
      <c r="D2134" s="47" t="str">
        <f t="shared" si="1"/>
        <v>Removed</v>
      </c>
      <c r="E2134" s="48">
        <v>43529.0</v>
      </c>
      <c r="F2134" s="49">
        <v>43556.0</v>
      </c>
      <c r="G2134" s="50">
        <f t="shared" si="2"/>
        <v>0.8666666667</v>
      </c>
      <c r="H2134" s="51">
        <v>42678.0</v>
      </c>
      <c r="I2134" s="50">
        <f t="shared" si="4"/>
        <v>2.336111111</v>
      </c>
      <c r="J2134" s="55">
        <v>83.0</v>
      </c>
      <c r="K2134" s="56">
        <v>7.7</v>
      </c>
      <c r="L2134" s="55">
        <v>7.0</v>
      </c>
      <c r="M2134" s="58" t="s">
        <v>31</v>
      </c>
      <c r="N2134" s="59"/>
      <c r="O2134" s="60" t="s">
        <v>34</v>
      </c>
      <c r="P2134" s="61"/>
    </row>
    <row r="2135">
      <c r="A2135" s="29" t="s">
        <v>2253</v>
      </c>
      <c r="B2135" s="30" t="s">
        <v>45</v>
      </c>
      <c r="C2135" s="31" t="s">
        <v>2148</v>
      </c>
      <c r="D2135" s="32" t="str">
        <f t="shared" si="1"/>
        <v>Removed</v>
      </c>
      <c r="E2135" s="33">
        <v>43529.0</v>
      </c>
      <c r="F2135" s="34">
        <v>43556.0</v>
      </c>
      <c r="G2135" s="36">
        <f t="shared" si="2"/>
        <v>0.8666666667</v>
      </c>
      <c r="H2135" s="37">
        <v>42395.0</v>
      </c>
      <c r="I2135" s="36">
        <f t="shared" si="4"/>
        <v>3.108333333</v>
      </c>
      <c r="J2135" s="38">
        <v>87.0</v>
      </c>
      <c r="K2135" s="39">
        <v>8.0</v>
      </c>
      <c r="L2135" s="38">
        <v>18.0</v>
      </c>
      <c r="M2135" s="40" t="s">
        <v>136</v>
      </c>
      <c r="N2135" s="41"/>
      <c r="O2135" s="42" t="s">
        <v>34</v>
      </c>
      <c r="P2135" s="43"/>
    </row>
    <row r="2136">
      <c r="A2136" s="44" t="s">
        <v>734</v>
      </c>
      <c r="B2136" s="45" t="s">
        <v>45</v>
      </c>
      <c r="C2136" s="46" t="s">
        <v>2148</v>
      </c>
      <c r="D2136" s="47" t="str">
        <f t="shared" si="1"/>
        <v>Removed</v>
      </c>
      <c r="E2136" s="48">
        <v>43501.0</v>
      </c>
      <c r="F2136" s="49">
        <v>43528.0</v>
      </c>
      <c r="G2136" s="50">
        <f t="shared" si="2"/>
        <v>0.9666666667</v>
      </c>
      <c r="H2136" s="51">
        <v>42780.0</v>
      </c>
      <c r="I2136" s="50">
        <f t="shared" si="4"/>
        <v>1.975</v>
      </c>
      <c r="J2136" s="55">
        <v>78.0</v>
      </c>
      <c r="K2136" s="56">
        <v>6.8</v>
      </c>
      <c r="L2136" s="55">
        <v>6.0</v>
      </c>
      <c r="M2136" s="58" t="s">
        <v>29</v>
      </c>
      <c r="N2136" s="59"/>
      <c r="O2136" s="60" t="s">
        <v>34</v>
      </c>
      <c r="P2136" s="61"/>
    </row>
    <row r="2137">
      <c r="A2137" s="29" t="s">
        <v>2254</v>
      </c>
      <c r="B2137" s="30" t="s">
        <v>45</v>
      </c>
      <c r="C2137" s="31" t="s">
        <v>2148</v>
      </c>
      <c r="D2137" s="32" t="str">
        <f t="shared" si="1"/>
        <v>Removed</v>
      </c>
      <c r="E2137" s="33">
        <v>43501.0</v>
      </c>
      <c r="F2137" s="34">
        <v>43528.0</v>
      </c>
      <c r="G2137" s="36">
        <f t="shared" si="2"/>
        <v>0.9666666667</v>
      </c>
      <c r="H2137" s="37">
        <v>42766.0</v>
      </c>
      <c r="I2137" s="36">
        <f t="shared" si="4"/>
        <v>2.013888889</v>
      </c>
      <c r="J2137" s="38">
        <v>84.0</v>
      </c>
      <c r="K2137" s="39">
        <v>7.8</v>
      </c>
      <c r="L2137" s="38">
        <v>10.0</v>
      </c>
      <c r="M2137" s="40" t="s">
        <v>29</v>
      </c>
      <c r="N2137" s="41"/>
      <c r="O2137" s="42" t="s">
        <v>34</v>
      </c>
      <c r="P2137" s="43"/>
    </row>
    <row r="2138">
      <c r="A2138" s="44" t="s">
        <v>2159</v>
      </c>
      <c r="B2138" s="45" t="s">
        <v>442</v>
      </c>
      <c r="C2138" s="46" t="s">
        <v>2148</v>
      </c>
      <c r="D2138" s="47" t="str">
        <f t="shared" si="1"/>
        <v>Removed</v>
      </c>
      <c r="E2138" s="48">
        <v>43501.0</v>
      </c>
      <c r="F2138" s="49">
        <v>43528.0</v>
      </c>
      <c r="G2138" s="50">
        <f t="shared" si="2"/>
        <v>0.9666666667</v>
      </c>
      <c r="H2138" s="51">
        <v>39611.0</v>
      </c>
      <c r="I2138" s="50">
        <f t="shared" si="4"/>
        <v>10.64722222</v>
      </c>
      <c r="J2138" s="55">
        <v>94.0</v>
      </c>
      <c r="K2138" s="56">
        <v>8.7</v>
      </c>
      <c r="L2138" s="55">
        <v>18.0</v>
      </c>
      <c r="M2138" s="58" t="s">
        <v>29</v>
      </c>
      <c r="N2138" s="59"/>
      <c r="O2138" s="60" t="s">
        <v>34</v>
      </c>
      <c r="P2138" s="61"/>
    </row>
    <row r="2139">
      <c r="A2139" s="29" t="s">
        <v>921</v>
      </c>
      <c r="B2139" s="30" t="s">
        <v>2255</v>
      </c>
      <c r="C2139" s="31" t="s">
        <v>2148</v>
      </c>
      <c r="D2139" s="32" t="str">
        <f t="shared" si="1"/>
        <v>Removed</v>
      </c>
      <c r="E2139" s="33">
        <v>43501.0</v>
      </c>
      <c r="F2139" s="34">
        <v>43528.0</v>
      </c>
      <c r="G2139" s="36">
        <f t="shared" si="2"/>
        <v>0.9666666667</v>
      </c>
      <c r="H2139" s="37">
        <v>41506.0</v>
      </c>
      <c r="I2139" s="36">
        <f t="shared" si="4"/>
        <v>5.458333333</v>
      </c>
      <c r="J2139" s="38">
        <v>65.0</v>
      </c>
      <c r="K2139" s="39">
        <v>7.1</v>
      </c>
      <c r="L2139" s="76"/>
      <c r="M2139" s="40" t="s">
        <v>114</v>
      </c>
      <c r="N2139" s="41"/>
      <c r="O2139" s="42" t="s">
        <v>34</v>
      </c>
      <c r="P2139" s="43"/>
    </row>
    <row r="2140">
      <c r="A2140" s="44" t="s">
        <v>2256</v>
      </c>
      <c r="B2140" s="45" t="s">
        <v>2257</v>
      </c>
      <c r="C2140" s="46" t="s">
        <v>2148</v>
      </c>
      <c r="D2140" s="47" t="str">
        <f t="shared" si="1"/>
        <v>Removed</v>
      </c>
      <c r="E2140" s="48">
        <v>43501.0</v>
      </c>
      <c r="F2140" s="49">
        <v>43528.0</v>
      </c>
      <c r="G2140" s="50">
        <f t="shared" si="2"/>
        <v>0.9666666667</v>
      </c>
      <c r="H2140" s="51">
        <v>42706.0</v>
      </c>
      <c r="I2140" s="50">
        <f t="shared" si="4"/>
        <v>2.175</v>
      </c>
      <c r="J2140" s="55">
        <v>63.0</v>
      </c>
      <c r="K2140" s="56">
        <v>6.7</v>
      </c>
      <c r="L2140" s="78"/>
      <c r="M2140" s="58" t="s">
        <v>136</v>
      </c>
      <c r="N2140" s="59"/>
      <c r="O2140" s="60" t="s">
        <v>34</v>
      </c>
      <c r="P2140" s="61"/>
    </row>
    <row r="2141">
      <c r="A2141" s="29" t="s">
        <v>2258</v>
      </c>
      <c r="B2141" s="30" t="s">
        <v>2257</v>
      </c>
      <c r="C2141" s="31" t="s">
        <v>2148</v>
      </c>
      <c r="D2141" s="32" t="str">
        <f t="shared" si="1"/>
        <v>Removed</v>
      </c>
      <c r="E2141" s="33">
        <v>43501.0</v>
      </c>
      <c r="F2141" s="34">
        <v>43528.0</v>
      </c>
      <c r="G2141" s="36">
        <f t="shared" si="2"/>
        <v>0.9666666667</v>
      </c>
      <c r="H2141" s="37">
        <v>43172.0</v>
      </c>
      <c r="I2141" s="36">
        <f t="shared" si="4"/>
        <v>0.8944444444</v>
      </c>
      <c r="J2141" s="38">
        <v>72.0</v>
      </c>
      <c r="K2141" s="39">
        <v>6.9</v>
      </c>
      <c r="L2141" s="38">
        <v>3.0</v>
      </c>
      <c r="M2141" s="40" t="s">
        <v>31</v>
      </c>
      <c r="N2141" s="41"/>
      <c r="O2141" s="42" t="s">
        <v>34</v>
      </c>
      <c r="P2141" s="43"/>
    </row>
    <row r="2142">
      <c r="A2142" s="44" t="s">
        <v>300</v>
      </c>
      <c r="B2142" s="45" t="s">
        <v>45</v>
      </c>
      <c r="C2142" s="46" t="s">
        <v>2148</v>
      </c>
      <c r="D2142" s="47" t="str">
        <f t="shared" si="1"/>
        <v>Removed</v>
      </c>
      <c r="E2142" s="48">
        <v>43466.0</v>
      </c>
      <c r="F2142" s="49">
        <v>43500.0</v>
      </c>
      <c r="G2142" s="50">
        <f t="shared" si="2"/>
        <v>1.1</v>
      </c>
      <c r="H2142" s="51">
        <v>42706.0</v>
      </c>
      <c r="I2142" s="50">
        <f t="shared" si="4"/>
        <v>2.080555556</v>
      </c>
      <c r="J2142" s="55">
        <v>71.0</v>
      </c>
      <c r="K2142" s="56">
        <v>7.0</v>
      </c>
      <c r="L2142" s="55">
        <v>12.0</v>
      </c>
      <c r="M2142" s="58" t="s">
        <v>125</v>
      </c>
      <c r="N2142" s="59"/>
      <c r="O2142" s="60" t="s">
        <v>34</v>
      </c>
      <c r="P2142" s="61"/>
    </row>
    <row r="2143">
      <c r="A2143" s="29" t="s">
        <v>1389</v>
      </c>
      <c r="B2143" s="30" t="s">
        <v>45</v>
      </c>
      <c r="C2143" s="31" t="s">
        <v>2148</v>
      </c>
      <c r="D2143" s="32" t="str">
        <f t="shared" si="1"/>
        <v>Removed</v>
      </c>
      <c r="E2143" s="33">
        <v>43466.0</v>
      </c>
      <c r="F2143" s="34">
        <v>43500.0</v>
      </c>
      <c r="G2143" s="36">
        <f t="shared" si="2"/>
        <v>1.1</v>
      </c>
      <c r="H2143" s="37">
        <v>42878.0</v>
      </c>
      <c r="I2143" s="36">
        <f t="shared" si="4"/>
        <v>1.605555556</v>
      </c>
      <c r="J2143" s="38">
        <v>71.0</v>
      </c>
      <c r="K2143" s="39">
        <v>7.3</v>
      </c>
      <c r="L2143" s="38">
        <v>19.0</v>
      </c>
      <c r="M2143" s="40" t="s">
        <v>29</v>
      </c>
      <c r="N2143" s="41"/>
      <c r="O2143" s="42" t="s">
        <v>34</v>
      </c>
      <c r="P2143" s="43"/>
    </row>
    <row r="2144">
      <c r="A2144" s="44" t="s">
        <v>2259</v>
      </c>
      <c r="B2144" s="45" t="s">
        <v>442</v>
      </c>
      <c r="C2144" s="46" t="s">
        <v>2148</v>
      </c>
      <c r="D2144" s="47" t="str">
        <f t="shared" si="1"/>
        <v>Removed</v>
      </c>
      <c r="E2144" s="48">
        <v>43466.0</v>
      </c>
      <c r="F2144" s="49">
        <v>43500.0</v>
      </c>
      <c r="G2144" s="50">
        <f t="shared" si="2"/>
        <v>1.1</v>
      </c>
      <c r="H2144" s="51">
        <v>41212.0</v>
      </c>
      <c r="I2144" s="50">
        <f t="shared" si="4"/>
        <v>6.169444444</v>
      </c>
      <c r="J2144" s="55">
        <v>73.0</v>
      </c>
      <c r="K2144" s="56">
        <v>7.8</v>
      </c>
      <c r="L2144" s="55">
        <v>17.0</v>
      </c>
      <c r="M2144" s="58" t="s">
        <v>29</v>
      </c>
      <c r="N2144" s="59"/>
      <c r="O2144" s="60" t="s">
        <v>34</v>
      </c>
      <c r="P2144" s="61"/>
    </row>
    <row r="2145">
      <c r="A2145" s="29" t="s">
        <v>2260</v>
      </c>
      <c r="B2145" s="30" t="s">
        <v>2261</v>
      </c>
      <c r="C2145" s="31" t="s">
        <v>2148</v>
      </c>
      <c r="D2145" s="32" t="str">
        <f t="shared" si="1"/>
        <v>Removed</v>
      </c>
      <c r="E2145" s="33">
        <v>43466.0</v>
      </c>
      <c r="F2145" s="34">
        <v>43500.0</v>
      </c>
      <c r="G2145" s="36">
        <f t="shared" si="2"/>
        <v>1.1</v>
      </c>
      <c r="H2145" s="37">
        <v>42374.0</v>
      </c>
      <c r="I2145" s="36">
        <f t="shared" si="4"/>
        <v>2.988888889</v>
      </c>
      <c r="J2145" s="38">
        <v>74.0</v>
      </c>
      <c r="K2145" s="39">
        <v>7.6</v>
      </c>
      <c r="L2145" s="76"/>
      <c r="M2145" s="40" t="s">
        <v>125</v>
      </c>
      <c r="N2145" s="41"/>
      <c r="O2145" s="42" t="s">
        <v>34</v>
      </c>
      <c r="P2145" s="43"/>
    </row>
    <row r="2146">
      <c r="A2146" s="44" t="s">
        <v>2262</v>
      </c>
      <c r="B2146" s="45" t="s">
        <v>2257</v>
      </c>
      <c r="C2146" s="46" t="s">
        <v>2148</v>
      </c>
      <c r="D2146" s="47" t="str">
        <f t="shared" si="1"/>
        <v>Removed</v>
      </c>
      <c r="E2146" s="48">
        <v>43466.0</v>
      </c>
      <c r="F2146" s="49">
        <v>43500.0</v>
      </c>
      <c r="G2146" s="50">
        <f t="shared" si="2"/>
        <v>1.1</v>
      </c>
      <c r="H2146" s="51">
        <v>42934.0</v>
      </c>
      <c r="I2146" s="50">
        <f t="shared" si="4"/>
        <v>1.452777778</v>
      </c>
      <c r="J2146" s="55">
        <v>63.0</v>
      </c>
      <c r="K2146" s="56">
        <v>7.4</v>
      </c>
      <c r="L2146" s="55">
        <v>20.0</v>
      </c>
      <c r="M2146" s="58" t="s">
        <v>42</v>
      </c>
      <c r="N2146" s="59"/>
      <c r="O2146" s="60" t="s">
        <v>34</v>
      </c>
      <c r="P2146" s="61"/>
    </row>
    <row r="2147">
      <c r="A2147" s="29" t="s">
        <v>2263</v>
      </c>
      <c r="B2147" s="30" t="s">
        <v>2264</v>
      </c>
      <c r="C2147" s="31" t="s">
        <v>2148</v>
      </c>
      <c r="D2147" s="32" t="str">
        <f t="shared" si="1"/>
        <v>Removed</v>
      </c>
      <c r="E2147" s="33">
        <v>43466.0</v>
      </c>
      <c r="F2147" s="34">
        <v>43500.0</v>
      </c>
      <c r="G2147" s="36">
        <f t="shared" si="2"/>
        <v>1.1</v>
      </c>
      <c r="H2147" s="37">
        <v>42228.0</v>
      </c>
      <c r="I2147" s="36">
        <f t="shared" si="4"/>
        <v>3.386111111</v>
      </c>
      <c r="J2147" s="38">
        <v>65.0</v>
      </c>
      <c r="K2147" s="39">
        <v>6.7</v>
      </c>
      <c r="L2147" s="38">
        <v>3.0</v>
      </c>
      <c r="M2147" s="40" t="s">
        <v>31</v>
      </c>
      <c r="N2147" s="41"/>
      <c r="O2147" s="42" t="s">
        <v>34</v>
      </c>
      <c r="P2147" s="43"/>
    </row>
    <row r="2148">
      <c r="A2148" s="44" t="s">
        <v>2265</v>
      </c>
      <c r="B2148" s="45" t="s">
        <v>45</v>
      </c>
      <c r="C2148" s="46" t="s">
        <v>2148</v>
      </c>
      <c r="D2148" s="47" t="str">
        <f t="shared" si="1"/>
        <v>Removed</v>
      </c>
      <c r="E2148" s="48">
        <v>43438.0</v>
      </c>
      <c r="F2148" s="49">
        <v>43465.0</v>
      </c>
      <c r="G2148" s="50">
        <f t="shared" si="2"/>
        <v>0.8666666667</v>
      </c>
      <c r="H2148" s="51">
        <v>43256.0</v>
      </c>
      <c r="I2148" s="50">
        <f t="shared" si="4"/>
        <v>0.4972222222</v>
      </c>
      <c r="J2148" s="55">
        <v>76.0</v>
      </c>
      <c r="K2148" s="56">
        <v>7.0</v>
      </c>
      <c r="L2148" s="78"/>
      <c r="M2148" s="58" t="s">
        <v>95</v>
      </c>
      <c r="N2148" s="59"/>
      <c r="O2148" s="60" t="s">
        <v>34</v>
      </c>
      <c r="P2148" s="61"/>
    </row>
    <row r="2149">
      <c r="A2149" s="29" t="s">
        <v>1843</v>
      </c>
      <c r="B2149" s="30" t="s">
        <v>45</v>
      </c>
      <c r="C2149" s="31" t="s">
        <v>2148</v>
      </c>
      <c r="D2149" s="32" t="str">
        <f t="shared" si="1"/>
        <v>Removed</v>
      </c>
      <c r="E2149" s="33">
        <v>43438.0</v>
      </c>
      <c r="F2149" s="34">
        <v>43465.0</v>
      </c>
      <c r="G2149" s="36">
        <f t="shared" si="2"/>
        <v>0.8666666667</v>
      </c>
      <c r="H2149" s="37">
        <v>42269.0</v>
      </c>
      <c r="I2149" s="36">
        <f t="shared" si="4"/>
        <v>3.2</v>
      </c>
      <c r="J2149" s="38">
        <v>79.0</v>
      </c>
      <c r="K2149" s="39">
        <v>8.0</v>
      </c>
      <c r="L2149" s="38">
        <v>10.0</v>
      </c>
      <c r="M2149" s="40" t="s">
        <v>537</v>
      </c>
      <c r="N2149" s="41"/>
      <c r="O2149" s="42" t="s">
        <v>34</v>
      </c>
      <c r="P2149" s="43"/>
    </row>
    <row r="2150">
      <c r="A2150" s="44" t="s">
        <v>2266</v>
      </c>
      <c r="B2150" s="45" t="s">
        <v>442</v>
      </c>
      <c r="C2150" s="46" t="s">
        <v>2148</v>
      </c>
      <c r="D2150" s="47" t="str">
        <f t="shared" si="1"/>
        <v>Removed</v>
      </c>
      <c r="E2150" s="48">
        <v>43438.0</v>
      </c>
      <c r="F2150" s="49">
        <v>43465.0</v>
      </c>
      <c r="G2150" s="50">
        <f t="shared" si="2"/>
        <v>0.8666666667</v>
      </c>
      <c r="H2150" s="51">
        <v>41536.0</v>
      </c>
      <c r="I2150" s="50">
        <f t="shared" si="4"/>
        <v>5.208333333</v>
      </c>
      <c r="J2150" s="55">
        <v>83.0</v>
      </c>
      <c r="K2150" s="56">
        <v>8.8</v>
      </c>
      <c r="L2150" s="55">
        <v>34.0</v>
      </c>
      <c r="M2150" s="58" t="s">
        <v>689</v>
      </c>
      <c r="N2150" s="59"/>
      <c r="O2150" s="60" t="s">
        <v>34</v>
      </c>
      <c r="P2150" s="61"/>
    </row>
    <row r="2151">
      <c r="A2151" s="29" t="s">
        <v>2267</v>
      </c>
      <c r="B2151" s="30" t="s">
        <v>442</v>
      </c>
      <c r="C2151" s="31" t="s">
        <v>2148</v>
      </c>
      <c r="D2151" s="32" t="str">
        <f t="shared" si="1"/>
        <v>Removed</v>
      </c>
      <c r="E2151" s="33">
        <v>43438.0</v>
      </c>
      <c r="F2151" s="34">
        <v>43465.0</v>
      </c>
      <c r="G2151" s="36">
        <f t="shared" si="2"/>
        <v>0.8666666667</v>
      </c>
      <c r="H2151" s="37">
        <v>42278.0</v>
      </c>
      <c r="I2151" s="36">
        <f t="shared" si="4"/>
        <v>3.175</v>
      </c>
      <c r="J2151" s="38">
        <v>79.0</v>
      </c>
      <c r="K2151" s="39">
        <v>7.5</v>
      </c>
      <c r="L2151" s="38">
        <v>5.0</v>
      </c>
      <c r="M2151" s="40" t="s">
        <v>31</v>
      </c>
      <c r="N2151" s="41"/>
      <c r="O2151" s="42" t="s">
        <v>34</v>
      </c>
      <c r="P2151" s="43"/>
    </row>
    <row r="2152">
      <c r="A2152" s="44" t="s">
        <v>2268</v>
      </c>
      <c r="B2152" s="45" t="s">
        <v>2257</v>
      </c>
      <c r="C2152" s="46" t="s">
        <v>2148</v>
      </c>
      <c r="D2152" s="47" t="str">
        <f t="shared" si="1"/>
        <v>Removed</v>
      </c>
      <c r="E2152" s="48">
        <v>43438.0</v>
      </c>
      <c r="F2152" s="49">
        <v>43465.0</v>
      </c>
      <c r="G2152" s="50">
        <f t="shared" si="2"/>
        <v>0.8666666667</v>
      </c>
      <c r="H2152" s="51">
        <v>43123.0</v>
      </c>
      <c r="I2152" s="50">
        <f t="shared" si="4"/>
        <v>0.8638888889</v>
      </c>
      <c r="J2152" s="55">
        <v>83.0</v>
      </c>
      <c r="K2152" s="56">
        <v>8.0</v>
      </c>
      <c r="L2152" s="55">
        <v>13.0</v>
      </c>
      <c r="M2152" s="58" t="s">
        <v>27</v>
      </c>
      <c r="N2152" s="59"/>
      <c r="O2152" s="60" t="s">
        <v>34</v>
      </c>
      <c r="P2152" s="61"/>
    </row>
    <row r="2153">
      <c r="A2153" s="29" t="s">
        <v>2269</v>
      </c>
      <c r="B2153" s="30" t="s">
        <v>2264</v>
      </c>
      <c r="C2153" s="31" t="s">
        <v>2148</v>
      </c>
      <c r="D2153" s="32" t="str">
        <f t="shared" si="1"/>
        <v>Removed</v>
      </c>
      <c r="E2153" s="33">
        <v>43438.0</v>
      </c>
      <c r="F2153" s="34">
        <v>43465.0</v>
      </c>
      <c r="G2153" s="36">
        <f t="shared" si="2"/>
        <v>0.8666666667</v>
      </c>
      <c r="H2153" s="37">
        <v>41494.0</v>
      </c>
      <c r="I2153" s="36">
        <f t="shared" si="4"/>
        <v>5.322222222</v>
      </c>
      <c r="J2153" s="38">
        <v>85.0</v>
      </c>
      <c r="K2153" s="39">
        <v>8.3</v>
      </c>
      <c r="L2153" s="38">
        <v>4.0</v>
      </c>
      <c r="M2153" s="40" t="s">
        <v>70</v>
      </c>
      <c r="N2153" s="41"/>
      <c r="O2153" s="42" t="s">
        <v>34</v>
      </c>
      <c r="P2153" s="43"/>
    </row>
    <row r="2154">
      <c r="A2154" s="44" t="s">
        <v>1432</v>
      </c>
      <c r="B2154" s="45" t="s">
        <v>45</v>
      </c>
      <c r="C2154" s="46" t="s">
        <v>2148</v>
      </c>
      <c r="D2154" s="47" t="str">
        <f t="shared" si="1"/>
        <v>Removed</v>
      </c>
      <c r="E2154" s="48">
        <v>43410.0</v>
      </c>
      <c r="F2154" s="49">
        <v>43437.0</v>
      </c>
      <c r="G2154" s="50">
        <f t="shared" si="2"/>
        <v>0.9</v>
      </c>
      <c r="H2154" s="51">
        <v>42832.0</v>
      </c>
      <c r="I2154" s="50">
        <f t="shared" si="4"/>
        <v>1.580555556</v>
      </c>
      <c r="J2154" s="55">
        <v>75.0</v>
      </c>
      <c r="K2154" s="56">
        <v>7.7</v>
      </c>
      <c r="L2154" s="55">
        <v>7.0</v>
      </c>
      <c r="M2154" s="58" t="s">
        <v>31</v>
      </c>
      <c r="N2154" s="59"/>
      <c r="O2154" s="60" t="s">
        <v>34</v>
      </c>
      <c r="P2154" s="61"/>
    </row>
    <row r="2155">
      <c r="A2155" s="29" t="s">
        <v>1700</v>
      </c>
      <c r="B2155" s="30" t="s">
        <v>45</v>
      </c>
      <c r="C2155" s="31" t="s">
        <v>2148</v>
      </c>
      <c r="D2155" s="32" t="str">
        <f t="shared" si="1"/>
        <v>Removed</v>
      </c>
      <c r="E2155" s="33">
        <v>43410.0</v>
      </c>
      <c r="F2155" s="34">
        <v>43437.0</v>
      </c>
      <c r="G2155" s="36">
        <f t="shared" si="2"/>
        <v>0.9</v>
      </c>
      <c r="H2155" s="37">
        <v>42976.0</v>
      </c>
      <c r="I2155" s="36">
        <f t="shared" si="4"/>
        <v>1.186111111</v>
      </c>
      <c r="J2155" s="38">
        <v>80.0</v>
      </c>
      <c r="K2155" s="39">
        <v>8.4</v>
      </c>
      <c r="L2155" s="38">
        <v>17.0</v>
      </c>
      <c r="M2155" s="40" t="s">
        <v>29</v>
      </c>
      <c r="N2155" s="41"/>
      <c r="O2155" s="42" t="s">
        <v>34</v>
      </c>
      <c r="P2155" s="43"/>
    </row>
    <row r="2156">
      <c r="A2156" s="44" t="s">
        <v>2270</v>
      </c>
      <c r="B2156" s="45" t="s">
        <v>442</v>
      </c>
      <c r="C2156" s="46" t="s">
        <v>2148</v>
      </c>
      <c r="D2156" s="47" t="str">
        <f t="shared" si="1"/>
        <v>Removed</v>
      </c>
      <c r="E2156" s="48">
        <v>43410.0</v>
      </c>
      <c r="F2156" s="49">
        <v>43437.0</v>
      </c>
      <c r="G2156" s="50">
        <f t="shared" si="2"/>
        <v>0.9</v>
      </c>
      <c r="H2156" s="51">
        <v>42290.0</v>
      </c>
      <c r="I2156" s="50">
        <f t="shared" si="4"/>
        <v>3.063888889</v>
      </c>
      <c r="J2156" s="55">
        <v>71.0</v>
      </c>
      <c r="K2156" s="56">
        <v>7.8</v>
      </c>
      <c r="L2156" s="78"/>
      <c r="M2156" s="58" t="s">
        <v>51</v>
      </c>
      <c r="N2156" s="59"/>
      <c r="O2156" s="60" t="s">
        <v>34</v>
      </c>
      <c r="P2156" s="61"/>
    </row>
    <row r="2157">
      <c r="A2157" s="29" t="s">
        <v>2271</v>
      </c>
      <c r="B2157" s="30" t="s">
        <v>442</v>
      </c>
      <c r="C2157" s="31" t="s">
        <v>2148</v>
      </c>
      <c r="D2157" s="32" t="str">
        <f t="shared" si="1"/>
        <v>Removed</v>
      </c>
      <c r="E2157" s="33">
        <v>43410.0</v>
      </c>
      <c r="F2157" s="34">
        <v>43437.0</v>
      </c>
      <c r="G2157" s="36">
        <f t="shared" si="2"/>
        <v>0.9</v>
      </c>
      <c r="H2157" s="37">
        <v>41928.0</v>
      </c>
      <c r="I2157" s="36">
        <f t="shared" si="4"/>
        <v>4.055555556</v>
      </c>
      <c r="J2157" s="76"/>
      <c r="K2157" s="79"/>
      <c r="L2157" s="38">
        <v>5.0</v>
      </c>
      <c r="M2157" s="40" t="s">
        <v>136</v>
      </c>
      <c r="N2157" s="41"/>
      <c r="O2157" s="42" t="s">
        <v>34</v>
      </c>
      <c r="P2157" s="43"/>
    </row>
    <row r="2158">
      <c r="A2158" s="44" t="s">
        <v>2272</v>
      </c>
      <c r="B2158" s="45" t="s">
        <v>2257</v>
      </c>
      <c r="C2158" s="46" t="s">
        <v>2148</v>
      </c>
      <c r="D2158" s="47" t="str">
        <f t="shared" si="1"/>
        <v>Removed</v>
      </c>
      <c r="E2158" s="48">
        <v>43410.0</v>
      </c>
      <c r="F2158" s="49">
        <v>43437.0</v>
      </c>
      <c r="G2158" s="50">
        <f t="shared" si="2"/>
        <v>0.9</v>
      </c>
      <c r="H2158" s="51">
        <v>43007.0</v>
      </c>
      <c r="I2158" s="50">
        <f t="shared" si="4"/>
        <v>1.102777778</v>
      </c>
      <c r="J2158" s="55">
        <v>75.0</v>
      </c>
      <c r="K2158" s="56">
        <v>7.3</v>
      </c>
      <c r="L2158" s="55">
        <v>2.0</v>
      </c>
      <c r="M2158" s="58" t="s">
        <v>112</v>
      </c>
      <c r="N2158" s="59"/>
      <c r="O2158" s="60" t="s">
        <v>34</v>
      </c>
      <c r="P2158" s="61"/>
    </row>
    <row r="2159">
      <c r="A2159" s="29" t="s">
        <v>2273</v>
      </c>
      <c r="B2159" s="30" t="s">
        <v>2257</v>
      </c>
      <c r="C2159" s="31" t="s">
        <v>2148</v>
      </c>
      <c r="D2159" s="32" t="str">
        <f t="shared" si="1"/>
        <v>Removed</v>
      </c>
      <c r="E2159" s="33">
        <v>43410.0</v>
      </c>
      <c r="F2159" s="34">
        <v>43437.0</v>
      </c>
      <c r="G2159" s="36">
        <f t="shared" si="2"/>
        <v>0.9</v>
      </c>
      <c r="H2159" s="37">
        <v>41900.0</v>
      </c>
      <c r="I2159" s="36">
        <f t="shared" si="4"/>
        <v>4.133333333</v>
      </c>
      <c r="J2159" s="38">
        <v>69.0</v>
      </c>
      <c r="K2159" s="39">
        <v>7.2</v>
      </c>
      <c r="L2159" s="38">
        <v>4.0</v>
      </c>
      <c r="M2159" s="40" t="s">
        <v>95</v>
      </c>
      <c r="N2159" s="41"/>
      <c r="O2159" s="42" t="s">
        <v>34</v>
      </c>
      <c r="P2159" s="43"/>
    </row>
    <row r="2160">
      <c r="A2160" s="44" t="s">
        <v>1660</v>
      </c>
      <c r="B2160" s="45" t="s">
        <v>45</v>
      </c>
      <c r="C2160" s="46" t="s">
        <v>2148</v>
      </c>
      <c r="D2160" s="47" t="str">
        <f t="shared" si="1"/>
        <v>Removed</v>
      </c>
      <c r="E2160" s="48">
        <v>43375.0</v>
      </c>
      <c r="F2160" s="49">
        <v>43409.0</v>
      </c>
      <c r="G2160" s="50">
        <f t="shared" si="2"/>
        <v>1.1</v>
      </c>
      <c r="H2160" s="51">
        <v>42881.0</v>
      </c>
      <c r="I2160" s="50">
        <f t="shared" si="4"/>
        <v>1.35</v>
      </c>
      <c r="J2160" s="55">
        <v>61.0</v>
      </c>
      <c r="K2160" s="56">
        <v>6.3</v>
      </c>
      <c r="L2160" s="78"/>
      <c r="M2160" s="58" t="s">
        <v>36</v>
      </c>
      <c r="N2160" s="59"/>
      <c r="O2160" s="60" t="s">
        <v>34</v>
      </c>
      <c r="P2160" s="61"/>
    </row>
    <row r="2161">
      <c r="A2161" s="29" t="s">
        <v>2274</v>
      </c>
      <c r="B2161" s="30" t="s">
        <v>45</v>
      </c>
      <c r="C2161" s="31" t="s">
        <v>2148</v>
      </c>
      <c r="D2161" s="32" t="str">
        <f t="shared" si="1"/>
        <v>Removed</v>
      </c>
      <c r="E2161" s="33">
        <v>43375.0</v>
      </c>
      <c r="F2161" s="34">
        <v>43409.0</v>
      </c>
      <c r="G2161" s="36">
        <f t="shared" si="2"/>
        <v>1.1</v>
      </c>
      <c r="H2161" s="37">
        <v>43230.0</v>
      </c>
      <c r="I2161" s="36">
        <f t="shared" si="4"/>
        <v>0.3944444444</v>
      </c>
      <c r="J2161" s="38">
        <v>82.0</v>
      </c>
      <c r="K2161" s="39">
        <v>6.4</v>
      </c>
      <c r="L2161" s="76"/>
      <c r="M2161" s="40" t="s">
        <v>217</v>
      </c>
      <c r="N2161" s="41"/>
      <c r="O2161" s="42" t="s">
        <v>34</v>
      </c>
      <c r="P2161" s="43"/>
    </row>
    <row r="2162">
      <c r="A2162" s="44" t="s">
        <v>2275</v>
      </c>
      <c r="B2162" s="45" t="s">
        <v>45</v>
      </c>
      <c r="C2162" s="46" t="s">
        <v>2148</v>
      </c>
      <c r="D2162" s="47" t="str">
        <f t="shared" si="1"/>
        <v>Removed</v>
      </c>
      <c r="E2162" s="48">
        <v>43375.0</v>
      </c>
      <c r="F2162" s="49">
        <v>43409.0</v>
      </c>
      <c r="G2162" s="50">
        <f t="shared" si="2"/>
        <v>1.1</v>
      </c>
      <c r="H2162" s="51">
        <v>43060.0</v>
      </c>
      <c r="I2162" s="50">
        <f t="shared" si="4"/>
        <v>0.8638888889</v>
      </c>
      <c r="J2162" s="55">
        <v>71.0</v>
      </c>
      <c r="K2162" s="56">
        <v>7.4</v>
      </c>
      <c r="L2162" s="78"/>
      <c r="M2162" s="58" t="s">
        <v>51</v>
      </c>
      <c r="N2162" s="59"/>
      <c r="O2162" s="60" t="s">
        <v>34</v>
      </c>
      <c r="P2162" s="61"/>
    </row>
    <row r="2163">
      <c r="A2163" s="29" t="s">
        <v>2276</v>
      </c>
      <c r="B2163" s="30" t="s">
        <v>442</v>
      </c>
      <c r="C2163" s="31" t="s">
        <v>2148</v>
      </c>
      <c r="D2163" s="32" t="str">
        <f t="shared" si="1"/>
        <v>Removed</v>
      </c>
      <c r="E2163" s="33">
        <v>43375.0</v>
      </c>
      <c r="F2163" s="34">
        <v>43409.0</v>
      </c>
      <c r="G2163" s="36">
        <f t="shared" si="2"/>
        <v>1.1</v>
      </c>
      <c r="H2163" s="37">
        <v>41835.0</v>
      </c>
      <c r="I2163" s="36">
        <f t="shared" si="4"/>
        <v>4.213888889</v>
      </c>
      <c r="J2163" s="38">
        <v>62.0</v>
      </c>
      <c r="K2163" s="39">
        <v>5.9</v>
      </c>
      <c r="L2163" s="38">
        <v>4.0</v>
      </c>
      <c r="M2163" s="40" t="s">
        <v>112</v>
      </c>
      <c r="N2163" s="41"/>
      <c r="O2163" s="42" t="s">
        <v>34</v>
      </c>
      <c r="P2163" s="43"/>
    </row>
    <row r="2164">
      <c r="A2164" s="44" t="s">
        <v>2277</v>
      </c>
      <c r="B2164" s="45" t="s">
        <v>2278</v>
      </c>
      <c r="C2164" s="46" t="s">
        <v>2148</v>
      </c>
      <c r="D2164" s="47" t="str">
        <f t="shared" si="1"/>
        <v>Removed</v>
      </c>
      <c r="E2164" s="48">
        <v>43375.0</v>
      </c>
      <c r="F2164" s="49">
        <v>43409.0</v>
      </c>
      <c r="G2164" s="50">
        <f t="shared" si="2"/>
        <v>1.1</v>
      </c>
      <c r="H2164" s="51">
        <v>41590.0</v>
      </c>
      <c r="I2164" s="50">
        <f t="shared" si="4"/>
        <v>4.888888889</v>
      </c>
      <c r="J2164" s="55">
        <v>77.0</v>
      </c>
      <c r="K2164" s="56">
        <v>7.5</v>
      </c>
      <c r="L2164" s="55">
        <v>4.0</v>
      </c>
      <c r="M2164" s="58" t="s">
        <v>136</v>
      </c>
      <c r="N2164" s="59"/>
      <c r="O2164" s="60" t="s">
        <v>34</v>
      </c>
      <c r="P2164" s="61"/>
    </row>
    <row r="2165">
      <c r="A2165" s="29" t="s">
        <v>2279</v>
      </c>
      <c r="B2165" s="30" t="s">
        <v>2257</v>
      </c>
      <c r="C2165" s="31" t="s">
        <v>2148</v>
      </c>
      <c r="D2165" s="32" t="str">
        <f t="shared" si="1"/>
        <v>Removed</v>
      </c>
      <c r="E2165" s="33">
        <v>43375.0</v>
      </c>
      <c r="F2165" s="34">
        <v>43409.0</v>
      </c>
      <c r="G2165" s="36">
        <f t="shared" si="2"/>
        <v>1.1</v>
      </c>
      <c r="H2165" s="37">
        <v>43025.0</v>
      </c>
      <c r="I2165" s="36">
        <f t="shared" si="4"/>
        <v>0.9583333333</v>
      </c>
      <c r="J2165" s="38">
        <v>76.0</v>
      </c>
      <c r="K2165" s="39">
        <v>7.3</v>
      </c>
      <c r="L2165" s="38">
        <v>12.0</v>
      </c>
      <c r="M2165" s="40" t="s">
        <v>112</v>
      </c>
      <c r="N2165" s="41"/>
      <c r="O2165" s="42" t="s">
        <v>34</v>
      </c>
      <c r="P2165" s="43"/>
    </row>
    <row r="2166">
      <c r="A2166" s="44" t="s">
        <v>2280</v>
      </c>
      <c r="B2166" s="45" t="s">
        <v>2257</v>
      </c>
      <c r="C2166" s="46" t="s">
        <v>2148</v>
      </c>
      <c r="D2166" s="47" t="str">
        <f t="shared" si="1"/>
        <v>Removed</v>
      </c>
      <c r="E2166" s="48">
        <v>43375.0</v>
      </c>
      <c r="F2166" s="49">
        <v>43409.0</v>
      </c>
      <c r="G2166" s="50">
        <f t="shared" si="2"/>
        <v>1.1</v>
      </c>
      <c r="H2166" s="51">
        <v>42486.0</v>
      </c>
      <c r="I2166" s="50">
        <f t="shared" si="4"/>
        <v>2.433333333</v>
      </c>
      <c r="J2166" s="55">
        <v>67.0</v>
      </c>
      <c r="K2166" s="56">
        <v>6.7</v>
      </c>
      <c r="L2166" s="55">
        <v>7.0</v>
      </c>
      <c r="M2166" s="58" t="s">
        <v>31</v>
      </c>
      <c r="N2166" s="59"/>
      <c r="O2166" s="60" t="s">
        <v>34</v>
      </c>
      <c r="P2166" s="61"/>
    </row>
    <row r="2167">
      <c r="A2167" s="29" t="s">
        <v>2281</v>
      </c>
      <c r="B2167" s="30" t="s">
        <v>45</v>
      </c>
      <c r="C2167" s="31" t="s">
        <v>2148</v>
      </c>
      <c r="D2167" s="32" t="str">
        <f t="shared" si="1"/>
        <v>Removed</v>
      </c>
      <c r="E2167" s="33">
        <v>43347.0</v>
      </c>
      <c r="F2167" s="34">
        <v>43374.0</v>
      </c>
      <c r="G2167" s="36">
        <f t="shared" si="2"/>
        <v>0.9</v>
      </c>
      <c r="H2167" s="37">
        <v>42984.0</v>
      </c>
      <c r="I2167" s="36">
        <f t="shared" si="4"/>
        <v>0.9944444444</v>
      </c>
      <c r="J2167" s="38">
        <v>85.0</v>
      </c>
      <c r="K2167" s="39">
        <v>5.4</v>
      </c>
      <c r="L2167" s="38">
        <v>12.0</v>
      </c>
      <c r="M2167" s="40" t="s">
        <v>31</v>
      </c>
      <c r="N2167" s="41"/>
      <c r="O2167" s="42" t="s">
        <v>34</v>
      </c>
      <c r="P2167" s="43"/>
    </row>
    <row r="2168">
      <c r="A2168" s="44" t="s">
        <v>769</v>
      </c>
      <c r="B2168" s="45" t="s">
        <v>45</v>
      </c>
      <c r="C2168" s="46" t="s">
        <v>2148</v>
      </c>
      <c r="D2168" s="47" t="str">
        <f t="shared" si="1"/>
        <v>Removed</v>
      </c>
      <c r="E2168" s="48">
        <v>43347.0</v>
      </c>
      <c r="F2168" s="49">
        <v>43374.0</v>
      </c>
      <c r="G2168" s="50">
        <f t="shared" si="2"/>
        <v>0.9</v>
      </c>
      <c r="H2168" s="51">
        <v>42199.0</v>
      </c>
      <c r="I2168" s="50">
        <f t="shared" si="4"/>
        <v>3.138888889</v>
      </c>
      <c r="J2168" s="55">
        <v>81.0</v>
      </c>
      <c r="K2168" s="56">
        <v>8.4</v>
      </c>
      <c r="L2168" s="55">
        <v>9.0</v>
      </c>
      <c r="M2168" s="58" t="s">
        <v>29</v>
      </c>
      <c r="N2168" s="59"/>
      <c r="O2168" s="60" t="s">
        <v>34</v>
      </c>
      <c r="P2168" s="61"/>
    </row>
    <row r="2169">
      <c r="A2169" s="29" t="s">
        <v>1959</v>
      </c>
      <c r="B2169" s="30" t="s">
        <v>2278</v>
      </c>
      <c r="C2169" s="31" t="s">
        <v>2148</v>
      </c>
      <c r="D2169" s="32" t="str">
        <f t="shared" si="1"/>
        <v>Removed</v>
      </c>
      <c r="E2169" s="33">
        <v>43347.0</v>
      </c>
      <c r="F2169" s="34">
        <v>43374.0</v>
      </c>
      <c r="G2169" s="36">
        <f t="shared" si="2"/>
        <v>0.9</v>
      </c>
      <c r="H2169" s="37">
        <v>41815.0</v>
      </c>
      <c r="I2169" s="36">
        <f t="shared" si="4"/>
        <v>4.191666667</v>
      </c>
      <c r="J2169" s="38">
        <v>53.0</v>
      </c>
      <c r="K2169" s="39">
        <v>7.0</v>
      </c>
      <c r="L2169" s="38">
        <v>2.0</v>
      </c>
      <c r="M2169" s="40" t="s">
        <v>29</v>
      </c>
      <c r="N2169" s="41"/>
      <c r="O2169" s="42" t="s">
        <v>34</v>
      </c>
      <c r="P2169" s="43"/>
    </row>
    <row r="2170">
      <c r="A2170" s="44" t="s">
        <v>2282</v>
      </c>
      <c r="B2170" s="45" t="s">
        <v>2261</v>
      </c>
      <c r="C2170" s="46" t="s">
        <v>2148</v>
      </c>
      <c r="D2170" s="47" t="str">
        <f t="shared" si="1"/>
        <v>Removed</v>
      </c>
      <c r="E2170" s="48">
        <v>43347.0</v>
      </c>
      <c r="F2170" s="49">
        <v>43374.0</v>
      </c>
      <c r="G2170" s="50">
        <f t="shared" si="2"/>
        <v>0.9</v>
      </c>
      <c r="H2170" s="51">
        <v>42206.0</v>
      </c>
      <c r="I2170" s="50">
        <f t="shared" si="4"/>
        <v>3.119444444</v>
      </c>
      <c r="J2170" s="55">
        <v>76.0</v>
      </c>
      <c r="K2170" s="56">
        <v>7.1</v>
      </c>
      <c r="L2170" s="55">
        <v>4.0</v>
      </c>
      <c r="M2170" s="58" t="s">
        <v>136</v>
      </c>
      <c r="N2170" s="59"/>
      <c r="O2170" s="60" t="s">
        <v>34</v>
      </c>
      <c r="P2170" s="61"/>
    </row>
    <row r="2171">
      <c r="A2171" s="29" t="s">
        <v>1999</v>
      </c>
      <c r="B2171" s="30" t="s">
        <v>2257</v>
      </c>
      <c r="C2171" s="31" t="s">
        <v>2148</v>
      </c>
      <c r="D2171" s="32" t="str">
        <f t="shared" si="1"/>
        <v>Removed</v>
      </c>
      <c r="E2171" s="33">
        <v>43347.0</v>
      </c>
      <c r="F2171" s="34">
        <v>43374.0</v>
      </c>
      <c r="G2171" s="36">
        <f t="shared" si="2"/>
        <v>0.9</v>
      </c>
      <c r="H2171" s="37">
        <v>41991.0</v>
      </c>
      <c r="I2171" s="36">
        <f t="shared" si="4"/>
        <v>3.711111111</v>
      </c>
      <c r="J2171" s="38">
        <v>72.0</v>
      </c>
      <c r="K2171" s="39">
        <v>7.3</v>
      </c>
      <c r="L2171" s="38">
        <v>4.0</v>
      </c>
      <c r="M2171" s="40" t="s">
        <v>136</v>
      </c>
      <c r="N2171" s="41"/>
      <c r="O2171" s="42" t="s">
        <v>34</v>
      </c>
      <c r="P2171" s="43"/>
    </row>
    <row r="2172">
      <c r="A2172" s="44" t="s">
        <v>2283</v>
      </c>
      <c r="B2172" s="45" t="s">
        <v>2257</v>
      </c>
      <c r="C2172" s="46" t="s">
        <v>2148</v>
      </c>
      <c r="D2172" s="47" t="str">
        <f t="shared" si="1"/>
        <v>Removed</v>
      </c>
      <c r="E2172" s="48">
        <v>43347.0</v>
      </c>
      <c r="F2172" s="49">
        <v>43374.0</v>
      </c>
      <c r="G2172" s="50">
        <f t="shared" si="2"/>
        <v>0.9</v>
      </c>
      <c r="H2172" s="51">
        <v>41535.0</v>
      </c>
      <c r="I2172" s="50">
        <f t="shared" si="4"/>
        <v>4.961111111</v>
      </c>
      <c r="J2172" s="55">
        <v>66.0</v>
      </c>
      <c r="K2172" s="56">
        <v>6.8</v>
      </c>
      <c r="L2172" s="55">
        <v>5.0</v>
      </c>
      <c r="M2172" s="58" t="s">
        <v>29</v>
      </c>
      <c r="N2172" s="59"/>
      <c r="O2172" s="60" t="s">
        <v>34</v>
      </c>
      <c r="P2172" s="61"/>
    </row>
    <row r="2173">
      <c r="A2173" s="29" t="s">
        <v>2284</v>
      </c>
      <c r="B2173" s="30" t="s">
        <v>45</v>
      </c>
      <c r="C2173" s="31" t="s">
        <v>2148</v>
      </c>
      <c r="D2173" s="32" t="str">
        <f t="shared" si="1"/>
        <v>Removed</v>
      </c>
      <c r="E2173" s="33">
        <v>43319.0</v>
      </c>
      <c r="F2173" s="34">
        <v>43346.0</v>
      </c>
      <c r="G2173" s="36">
        <f t="shared" si="2"/>
        <v>0.8666666667</v>
      </c>
      <c r="H2173" s="37">
        <v>42650.0</v>
      </c>
      <c r="I2173" s="36">
        <f t="shared" si="4"/>
        <v>1.833333333</v>
      </c>
      <c r="J2173" s="38">
        <v>68.0</v>
      </c>
      <c r="K2173" s="39">
        <v>5.1</v>
      </c>
      <c r="L2173" s="38">
        <v>23.0</v>
      </c>
      <c r="M2173" s="40" t="s">
        <v>29</v>
      </c>
      <c r="N2173" s="41"/>
      <c r="O2173" s="42" t="s">
        <v>34</v>
      </c>
      <c r="P2173" s="43"/>
    </row>
    <row r="2174">
      <c r="A2174" s="44" t="s">
        <v>510</v>
      </c>
      <c r="B2174" s="45" t="s">
        <v>45</v>
      </c>
      <c r="C2174" s="46" t="s">
        <v>2148</v>
      </c>
      <c r="D2174" s="47" t="str">
        <f t="shared" si="1"/>
        <v>Removed</v>
      </c>
      <c r="E2174" s="48">
        <v>43319.0</v>
      </c>
      <c r="F2174" s="49">
        <v>43346.0</v>
      </c>
      <c r="G2174" s="50">
        <f t="shared" si="2"/>
        <v>0.8666666667</v>
      </c>
      <c r="H2174" s="51">
        <v>42535.0</v>
      </c>
      <c r="I2174" s="50">
        <f t="shared" si="4"/>
        <v>2.147222222</v>
      </c>
      <c r="J2174" s="55">
        <v>64.0</v>
      </c>
      <c r="K2174" s="56">
        <v>6.8</v>
      </c>
      <c r="L2174" s="78"/>
      <c r="M2174" s="58" t="s">
        <v>537</v>
      </c>
      <c r="N2174" s="59"/>
      <c r="O2174" s="60" t="s">
        <v>34</v>
      </c>
      <c r="P2174" s="61"/>
    </row>
    <row r="2175">
      <c r="A2175" s="29" t="s">
        <v>1829</v>
      </c>
      <c r="B2175" s="30" t="s">
        <v>442</v>
      </c>
      <c r="C2175" s="31" t="s">
        <v>2148</v>
      </c>
      <c r="D2175" s="32" t="str">
        <f t="shared" si="1"/>
        <v>Removed</v>
      </c>
      <c r="E2175" s="33">
        <v>43319.0</v>
      </c>
      <c r="F2175" s="34">
        <v>43346.0</v>
      </c>
      <c r="G2175" s="36">
        <f t="shared" si="2"/>
        <v>0.8666666667</v>
      </c>
      <c r="H2175" s="37">
        <v>41768.0</v>
      </c>
      <c r="I2175" s="36">
        <f t="shared" si="4"/>
        <v>4.244444444</v>
      </c>
      <c r="J2175" s="38">
        <v>53.0</v>
      </c>
      <c r="K2175" s="39">
        <v>5.9</v>
      </c>
      <c r="L2175" s="38">
        <v>20.0</v>
      </c>
      <c r="M2175" s="40" t="s">
        <v>42</v>
      </c>
      <c r="N2175" s="41"/>
      <c r="O2175" s="42" t="s">
        <v>34</v>
      </c>
      <c r="P2175" s="43"/>
    </row>
    <row r="2176">
      <c r="A2176" s="44" t="s">
        <v>2285</v>
      </c>
      <c r="B2176" s="45" t="s">
        <v>442</v>
      </c>
      <c r="C2176" s="46" t="s">
        <v>2148</v>
      </c>
      <c r="D2176" s="47" t="str">
        <f t="shared" si="1"/>
        <v>Removed</v>
      </c>
      <c r="E2176" s="48">
        <v>43319.0</v>
      </c>
      <c r="F2176" s="49">
        <v>43346.0</v>
      </c>
      <c r="G2176" s="50">
        <f t="shared" si="2"/>
        <v>0.8666666667</v>
      </c>
      <c r="H2176" s="51">
        <v>40869.0</v>
      </c>
      <c r="I2176" s="50">
        <f t="shared" si="4"/>
        <v>6.708333333</v>
      </c>
      <c r="J2176" s="55">
        <v>72.0</v>
      </c>
      <c r="K2176" s="56">
        <v>7.6</v>
      </c>
      <c r="L2176" s="55">
        <v>8.0</v>
      </c>
      <c r="M2176" s="58" t="s">
        <v>31</v>
      </c>
      <c r="N2176" s="59"/>
      <c r="O2176" s="60" t="s">
        <v>34</v>
      </c>
      <c r="P2176" s="61"/>
    </row>
    <row r="2177">
      <c r="A2177" s="29" t="s">
        <v>2286</v>
      </c>
      <c r="B2177" s="30" t="s">
        <v>2264</v>
      </c>
      <c r="C2177" s="31" t="s">
        <v>2148</v>
      </c>
      <c r="D2177" s="32" t="str">
        <f t="shared" si="1"/>
        <v>Removed</v>
      </c>
      <c r="E2177" s="33">
        <v>43319.0</v>
      </c>
      <c r="F2177" s="34">
        <v>43346.0</v>
      </c>
      <c r="G2177" s="36">
        <f t="shared" si="2"/>
        <v>0.8666666667</v>
      </c>
      <c r="H2177" s="37">
        <v>41402.0</v>
      </c>
      <c r="I2177" s="36">
        <f t="shared" si="4"/>
        <v>5.247222222</v>
      </c>
      <c r="J2177" s="38">
        <v>69.0</v>
      </c>
      <c r="K2177" s="39">
        <v>6.4</v>
      </c>
      <c r="L2177" s="38">
        <v>3.0</v>
      </c>
      <c r="M2177" s="40" t="s">
        <v>29</v>
      </c>
      <c r="N2177" s="41"/>
      <c r="O2177" s="42" t="s">
        <v>34</v>
      </c>
      <c r="P2177" s="43"/>
    </row>
    <row r="2178">
      <c r="A2178" s="44" t="s">
        <v>2287</v>
      </c>
      <c r="B2178" s="45" t="s">
        <v>2264</v>
      </c>
      <c r="C2178" s="46" t="s">
        <v>2148</v>
      </c>
      <c r="D2178" s="47" t="str">
        <f t="shared" si="1"/>
        <v>Removed</v>
      </c>
      <c r="E2178" s="48">
        <v>43319.0</v>
      </c>
      <c r="F2178" s="49">
        <v>43346.0</v>
      </c>
      <c r="G2178" s="50">
        <f t="shared" si="2"/>
        <v>0.8666666667</v>
      </c>
      <c r="H2178" s="51">
        <v>41501.0</v>
      </c>
      <c r="I2178" s="50">
        <f t="shared" si="4"/>
        <v>4.977777778</v>
      </c>
      <c r="J2178" s="55">
        <v>51.0</v>
      </c>
      <c r="K2178" s="56">
        <v>5.3</v>
      </c>
      <c r="L2178" s="55">
        <v>18.0</v>
      </c>
      <c r="M2178" s="58" t="s">
        <v>103</v>
      </c>
      <c r="N2178" s="59"/>
      <c r="O2178" s="60" t="s">
        <v>34</v>
      </c>
      <c r="P2178" s="61"/>
    </row>
    <row r="2179">
      <c r="A2179" s="29" t="s">
        <v>2248</v>
      </c>
      <c r="B2179" s="30" t="s">
        <v>45</v>
      </c>
      <c r="C2179" s="31" t="s">
        <v>2148</v>
      </c>
      <c r="D2179" s="32" t="str">
        <f t="shared" si="1"/>
        <v>Removed</v>
      </c>
      <c r="E2179" s="33">
        <v>43284.0</v>
      </c>
      <c r="F2179" s="34">
        <v>43318.0</v>
      </c>
      <c r="G2179" s="36">
        <f t="shared" si="2"/>
        <v>1.1</v>
      </c>
      <c r="H2179" s="37">
        <v>40232.0</v>
      </c>
      <c r="I2179" s="36">
        <f t="shared" si="4"/>
        <v>8.361111111</v>
      </c>
      <c r="J2179" s="38">
        <v>78.0</v>
      </c>
      <c r="K2179" s="39">
        <v>8.2</v>
      </c>
      <c r="L2179" s="38">
        <v>10.0</v>
      </c>
      <c r="M2179" s="40" t="s">
        <v>29</v>
      </c>
      <c r="N2179" s="41"/>
      <c r="O2179" s="42" t="s">
        <v>34</v>
      </c>
      <c r="P2179" s="43"/>
    </row>
    <row r="2180">
      <c r="A2180" s="44" t="s">
        <v>2288</v>
      </c>
      <c r="B2180" s="45" t="s">
        <v>45</v>
      </c>
      <c r="C2180" s="46" t="s">
        <v>2148</v>
      </c>
      <c r="D2180" s="47" t="str">
        <f t="shared" si="1"/>
        <v>Removed</v>
      </c>
      <c r="E2180" s="48">
        <v>43284.0</v>
      </c>
      <c r="F2180" s="49">
        <v>43318.0</v>
      </c>
      <c r="G2180" s="50">
        <f t="shared" si="2"/>
        <v>1.1</v>
      </c>
      <c r="H2180" s="51">
        <v>42976.0</v>
      </c>
      <c r="I2180" s="50">
        <f t="shared" si="4"/>
        <v>0.8444444444</v>
      </c>
      <c r="J2180" s="55">
        <v>69.0</v>
      </c>
      <c r="K2180" s="56">
        <v>6.6</v>
      </c>
      <c r="L2180" s="78"/>
      <c r="M2180" s="58" t="s">
        <v>42</v>
      </c>
      <c r="N2180" s="59"/>
      <c r="O2180" s="60" t="s">
        <v>34</v>
      </c>
      <c r="P2180" s="61"/>
    </row>
    <row r="2181">
      <c r="A2181" s="29" t="s">
        <v>2289</v>
      </c>
      <c r="B2181" s="30" t="s">
        <v>442</v>
      </c>
      <c r="C2181" s="31" t="s">
        <v>2148</v>
      </c>
      <c r="D2181" s="32" t="str">
        <f t="shared" si="1"/>
        <v>Removed</v>
      </c>
      <c r="E2181" s="33">
        <v>43284.0</v>
      </c>
      <c r="F2181" s="34">
        <v>43318.0</v>
      </c>
      <c r="G2181" s="36">
        <f t="shared" si="2"/>
        <v>1.1</v>
      </c>
      <c r="H2181" s="37">
        <v>40989.0</v>
      </c>
      <c r="I2181" s="36">
        <f t="shared" si="4"/>
        <v>6.283333333</v>
      </c>
      <c r="J2181" s="38">
        <v>72.0</v>
      </c>
      <c r="K2181" s="39">
        <v>7.9</v>
      </c>
      <c r="L2181" s="38">
        <v>7.0</v>
      </c>
      <c r="M2181" s="40" t="s">
        <v>27</v>
      </c>
      <c r="N2181" s="41"/>
      <c r="O2181" s="42" t="s">
        <v>34</v>
      </c>
      <c r="P2181" s="43"/>
    </row>
    <row r="2182">
      <c r="A2182" s="44" t="s">
        <v>2024</v>
      </c>
      <c r="B2182" s="45" t="s">
        <v>2261</v>
      </c>
      <c r="C2182" s="46" t="s">
        <v>2148</v>
      </c>
      <c r="D2182" s="47" t="str">
        <f t="shared" si="1"/>
        <v>Removed</v>
      </c>
      <c r="E2182" s="48">
        <v>43284.0</v>
      </c>
      <c r="F2182" s="49">
        <v>43318.0</v>
      </c>
      <c r="G2182" s="50">
        <f t="shared" si="2"/>
        <v>1.1</v>
      </c>
      <c r="H2182" s="51">
        <v>42270.0</v>
      </c>
      <c r="I2182" s="50">
        <f t="shared" si="4"/>
        <v>2.777777778</v>
      </c>
      <c r="J2182" s="55">
        <v>74.0</v>
      </c>
      <c r="K2182" s="56">
        <v>7.1</v>
      </c>
      <c r="L2182" s="55">
        <v>4.0</v>
      </c>
      <c r="M2182" s="58" t="s">
        <v>27</v>
      </c>
      <c r="N2182" s="59"/>
      <c r="O2182" s="60" t="s">
        <v>34</v>
      </c>
      <c r="P2182" s="61"/>
    </row>
    <row r="2183">
      <c r="A2183" s="29" t="s">
        <v>2290</v>
      </c>
      <c r="B2183" s="30" t="s">
        <v>2257</v>
      </c>
      <c r="C2183" s="31" t="s">
        <v>2148</v>
      </c>
      <c r="D2183" s="32" t="str">
        <f t="shared" si="1"/>
        <v>Removed</v>
      </c>
      <c r="E2183" s="33">
        <v>43284.0</v>
      </c>
      <c r="F2183" s="34">
        <v>43318.0</v>
      </c>
      <c r="G2183" s="36">
        <f t="shared" si="2"/>
        <v>1.1</v>
      </c>
      <c r="H2183" s="37">
        <v>42444.0</v>
      </c>
      <c r="I2183" s="36">
        <f t="shared" si="4"/>
        <v>2.3</v>
      </c>
      <c r="J2183" s="38">
        <v>42.0</v>
      </c>
      <c r="K2183" s="39">
        <v>5.7</v>
      </c>
      <c r="L2183" s="38">
        <v>3.0</v>
      </c>
      <c r="M2183" s="40" t="s">
        <v>29</v>
      </c>
      <c r="N2183" s="41"/>
      <c r="O2183" s="42" t="s">
        <v>34</v>
      </c>
      <c r="P2183" s="43"/>
    </row>
    <row r="2184">
      <c r="A2184" s="44" t="s">
        <v>2291</v>
      </c>
      <c r="B2184" s="45" t="s">
        <v>2264</v>
      </c>
      <c r="C2184" s="46" t="s">
        <v>2148</v>
      </c>
      <c r="D2184" s="47" t="str">
        <f t="shared" si="1"/>
        <v>Removed</v>
      </c>
      <c r="E2184" s="48">
        <v>43284.0</v>
      </c>
      <c r="F2184" s="49">
        <v>43318.0</v>
      </c>
      <c r="G2184" s="50">
        <f t="shared" si="2"/>
        <v>1.1</v>
      </c>
      <c r="H2184" s="51">
        <v>42549.0</v>
      </c>
      <c r="I2184" s="50">
        <f t="shared" si="4"/>
        <v>2.013888889</v>
      </c>
      <c r="J2184" s="55">
        <v>83.0</v>
      </c>
      <c r="K2184" s="56">
        <v>8.0</v>
      </c>
      <c r="L2184" s="55">
        <v>20.0</v>
      </c>
      <c r="M2184" s="58" t="s">
        <v>112</v>
      </c>
      <c r="N2184" s="59"/>
      <c r="O2184" s="60" t="s">
        <v>34</v>
      </c>
      <c r="P2184" s="61"/>
    </row>
    <row r="2185">
      <c r="A2185" s="29" t="s">
        <v>2292</v>
      </c>
      <c r="B2185" s="30" t="s">
        <v>45</v>
      </c>
      <c r="C2185" s="31" t="s">
        <v>2148</v>
      </c>
      <c r="D2185" s="32" t="str">
        <f t="shared" si="1"/>
        <v>Removed</v>
      </c>
      <c r="E2185" s="33">
        <v>43262.0</v>
      </c>
      <c r="F2185" s="34">
        <v>43292.0</v>
      </c>
      <c r="G2185" s="36">
        <f t="shared" si="2"/>
        <v>1</v>
      </c>
      <c r="H2185" s="37">
        <v>42314.0</v>
      </c>
      <c r="I2185" s="36">
        <f t="shared" si="4"/>
        <v>2.597222222</v>
      </c>
      <c r="J2185" s="38">
        <v>81.0</v>
      </c>
      <c r="K2185" s="39">
        <v>6.6</v>
      </c>
      <c r="L2185" s="38">
        <v>8.0</v>
      </c>
      <c r="M2185" s="40" t="s">
        <v>31</v>
      </c>
      <c r="N2185" s="41"/>
      <c r="O2185" s="42" t="s">
        <v>34</v>
      </c>
      <c r="P2185" s="43"/>
    </row>
    <row r="2186">
      <c r="A2186" s="44" t="s">
        <v>746</v>
      </c>
      <c r="B2186" s="45" t="s">
        <v>45</v>
      </c>
      <c r="C2186" s="46" t="s">
        <v>2148</v>
      </c>
      <c r="D2186" s="47" t="str">
        <f t="shared" si="1"/>
        <v>Removed</v>
      </c>
      <c r="E2186" s="48">
        <v>43256.0</v>
      </c>
      <c r="F2186" s="49">
        <v>43261.0</v>
      </c>
      <c r="G2186" s="50">
        <f t="shared" si="2"/>
        <v>0.1666666667</v>
      </c>
      <c r="H2186" s="51">
        <v>42405.0</v>
      </c>
      <c r="I2186" s="50">
        <f t="shared" si="4"/>
        <v>2.333333333</v>
      </c>
      <c r="J2186" s="55">
        <v>87.0</v>
      </c>
      <c r="K2186" s="56">
        <v>7.9</v>
      </c>
      <c r="L2186" s="55">
        <v>33.0</v>
      </c>
      <c r="M2186" s="58" t="s">
        <v>103</v>
      </c>
      <c r="N2186" s="59"/>
      <c r="O2186" s="60" t="s">
        <v>34</v>
      </c>
      <c r="P2186" s="61"/>
    </row>
    <row r="2187">
      <c r="A2187" s="29" t="s">
        <v>747</v>
      </c>
      <c r="B2187" s="30" t="s">
        <v>45</v>
      </c>
      <c r="C2187" s="31" t="s">
        <v>2148</v>
      </c>
      <c r="D2187" s="32" t="str">
        <f t="shared" si="1"/>
        <v>Removed</v>
      </c>
      <c r="E2187" s="33">
        <v>43256.0</v>
      </c>
      <c r="F2187" s="34">
        <v>43261.0</v>
      </c>
      <c r="G2187" s="36">
        <f t="shared" si="2"/>
        <v>0.1666666667</v>
      </c>
      <c r="H2187" s="37">
        <v>41745.0</v>
      </c>
      <c r="I2187" s="36">
        <f t="shared" si="4"/>
        <v>4.136111111</v>
      </c>
      <c r="J2187" s="38">
        <v>79.0</v>
      </c>
      <c r="K2187" s="39">
        <v>7.1</v>
      </c>
      <c r="L2187" s="38">
        <v>7.0</v>
      </c>
      <c r="M2187" s="40" t="s">
        <v>95</v>
      </c>
      <c r="N2187" s="41"/>
      <c r="O2187" s="42" t="s">
        <v>34</v>
      </c>
      <c r="P2187" s="43"/>
    </row>
    <row r="2188">
      <c r="A2188" s="44" t="s">
        <v>2293</v>
      </c>
      <c r="B2188" s="45" t="s">
        <v>442</v>
      </c>
      <c r="C2188" s="46" t="s">
        <v>2148</v>
      </c>
      <c r="D2188" s="47" t="str">
        <f t="shared" si="1"/>
        <v>Removed</v>
      </c>
      <c r="E2188" s="48">
        <v>43256.0</v>
      </c>
      <c r="F2188" s="49">
        <v>43261.0</v>
      </c>
      <c r="G2188" s="50">
        <f t="shared" si="2"/>
        <v>0.1666666667</v>
      </c>
      <c r="H2188" s="51">
        <v>41199.0</v>
      </c>
      <c r="I2188" s="50">
        <f t="shared" si="4"/>
        <v>5.633333333</v>
      </c>
      <c r="J2188" s="55">
        <v>70.0</v>
      </c>
      <c r="K2188" s="56">
        <v>7.5</v>
      </c>
      <c r="L2188" s="55">
        <v>4.0</v>
      </c>
      <c r="M2188" s="58" t="s">
        <v>95</v>
      </c>
      <c r="N2188" s="59"/>
      <c r="O2188" s="60" t="s">
        <v>34</v>
      </c>
      <c r="P2188" s="61"/>
    </row>
    <row r="2189">
      <c r="A2189" s="29" t="s">
        <v>2294</v>
      </c>
      <c r="B2189" s="30" t="s">
        <v>442</v>
      </c>
      <c r="C2189" s="31" t="s">
        <v>2148</v>
      </c>
      <c r="D2189" s="32" t="str">
        <f t="shared" si="1"/>
        <v>Removed</v>
      </c>
      <c r="E2189" s="33">
        <v>43256.0</v>
      </c>
      <c r="F2189" s="34">
        <v>43261.0</v>
      </c>
      <c r="G2189" s="36">
        <f t="shared" si="2"/>
        <v>0.1666666667</v>
      </c>
      <c r="H2189" s="37">
        <v>41051.0</v>
      </c>
      <c r="I2189" s="36">
        <f t="shared" si="4"/>
        <v>6.036111111</v>
      </c>
      <c r="J2189" s="38">
        <v>79.0</v>
      </c>
      <c r="K2189" s="39">
        <v>7.6</v>
      </c>
      <c r="L2189" s="38">
        <v>10.0</v>
      </c>
      <c r="M2189" s="40" t="s">
        <v>31</v>
      </c>
      <c r="N2189" s="41"/>
      <c r="O2189" s="42" t="s">
        <v>34</v>
      </c>
      <c r="P2189" s="43"/>
    </row>
    <row r="2190">
      <c r="A2190" s="44" t="s">
        <v>2295</v>
      </c>
      <c r="B2190" s="45" t="s">
        <v>2264</v>
      </c>
      <c r="C2190" s="46" t="s">
        <v>2148</v>
      </c>
      <c r="D2190" s="47" t="str">
        <f t="shared" si="1"/>
        <v>Removed</v>
      </c>
      <c r="E2190" s="48">
        <v>43256.0</v>
      </c>
      <c r="F2190" s="49">
        <v>43261.0</v>
      </c>
      <c r="G2190" s="50">
        <f t="shared" si="2"/>
        <v>0.1666666667</v>
      </c>
      <c r="H2190" s="51">
        <v>41555.0</v>
      </c>
      <c r="I2190" s="50">
        <f t="shared" si="4"/>
        <v>4.658333333</v>
      </c>
      <c r="J2190" s="55">
        <v>58.0</v>
      </c>
      <c r="K2190" s="56">
        <v>5.7</v>
      </c>
      <c r="L2190" s="78"/>
      <c r="M2190" s="58" t="s">
        <v>27</v>
      </c>
      <c r="N2190" s="59"/>
      <c r="O2190" s="60" t="s">
        <v>34</v>
      </c>
      <c r="P2190" s="61"/>
    </row>
    <row r="2191">
      <c r="A2191" s="29" t="s">
        <v>2296</v>
      </c>
      <c r="B2191" s="30" t="s">
        <v>2264</v>
      </c>
      <c r="C2191" s="31" t="s">
        <v>2148</v>
      </c>
      <c r="D2191" s="32" t="str">
        <f t="shared" si="1"/>
        <v>Removed</v>
      </c>
      <c r="E2191" s="33">
        <v>43256.0</v>
      </c>
      <c r="F2191" s="34">
        <v>43261.0</v>
      </c>
      <c r="G2191" s="36">
        <f t="shared" si="2"/>
        <v>0.1666666667</v>
      </c>
      <c r="H2191" s="37">
        <v>41334.0</v>
      </c>
      <c r="I2191" s="36">
        <f t="shared" si="4"/>
        <v>5.261111111</v>
      </c>
      <c r="J2191" s="38">
        <v>67.0</v>
      </c>
      <c r="K2191" s="79"/>
      <c r="L2191" s="38">
        <v>2.0</v>
      </c>
      <c r="M2191" s="40" t="s">
        <v>136</v>
      </c>
      <c r="N2191" s="41"/>
      <c r="O2191" s="42" t="s">
        <v>34</v>
      </c>
      <c r="P2191" s="43"/>
    </row>
    <row r="2192">
      <c r="A2192" s="44" t="s">
        <v>2297</v>
      </c>
      <c r="B2192" s="45" t="s">
        <v>45</v>
      </c>
      <c r="C2192" s="46" t="s">
        <v>2148</v>
      </c>
      <c r="D2192" s="47" t="str">
        <f t="shared" si="1"/>
        <v>Removed</v>
      </c>
      <c r="E2192" s="48">
        <v>43221.0</v>
      </c>
      <c r="F2192" s="49">
        <v>43255.0</v>
      </c>
      <c r="G2192" s="50">
        <f t="shared" si="2"/>
        <v>1.1</v>
      </c>
      <c r="H2192" s="51">
        <v>41555.0</v>
      </c>
      <c r="I2192" s="50">
        <f t="shared" si="4"/>
        <v>4.563888889</v>
      </c>
      <c r="J2192" s="55">
        <v>72.0</v>
      </c>
      <c r="K2192" s="56">
        <v>7.2</v>
      </c>
      <c r="L2192" s="55">
        <v>10.0</v>
      </c>
      <c r="M2192" s="58" t="s">
        <v>29</v>
      </c>
      <c r="N2192" s="59"/>
      <c r="O2192" s="60" t="s">
        <v>34</v>
      </c>
      <c r="P2192" s="61"/>
    </row>
    <row r="2193">
      <c r="A2193" s="29" t="s">
        <v>503</v>
      </c>
      <c r="B2193" s="30" t="s">
        <v>45</v>
      </c>
      <c r="C2193" s="31" t="s">
        <v>2148</v>
      </c>
      <c r="D2193" s="32" t="str">
        <f t="shared" si="1"/>
        <v>Removed</v>
      </c>
      <c r="E2193" s="33">
        <v>43221.0</v>
      </c>
      <c r="F2193" s="34">
        <v>43255.0</v>
      </c>
      <c r="G2193" s="36">
        <f t="shared" si="2"/>
        <v>1.1</v>
      </c>
      <c r="H2193" s="37">
        <v>41513.0</v>
      </c>
      <c r="I2193" s="36">
        <f t="shared" si="4"/>
        <v>4.677777778</v>
      </c>
      <c r="J2193" s="38">
        <v>90.0</v>
      </c>
      <c r="K2193" s="39">
        <v>8.0</v>
      </c>
      <c r="L2193" s="38">
        <v>12.0</v>
      </c>
      <c r="M2193" s="40" t="s">
        <v>27</v>
      </c>
      <c r="N2193" s="41"/>
      <c r="O2193" s="42" t="s">
        <v>34</v>
      </c>
      <c r="P2193" s="43"/>
    </row>
    <row r="2194">
      <c r="A2194" s="44" t="s">
        <v>2298</v>
      </c>
      <c r="B2194" s="45" t="s">
        <v>442</v>
      </c>
      <c r="C2194" s="46" t="s">
        <v>2148</v>
      </c>
      <c r="D2194" s="47" t="str">
        <f t="shared" si="1"/>
        <v>Removed</v>
      </c>
      <c r="E2194" s="48">
        <v>43221.0</v>
      </c>
      <c r="F2194" s="49">
        <v>43255.0</v>
      </c>
      <c r="G2194" s="50">
        <f t="shared" si="2"/>
        <v>1.1</v>
      </c>
      <c r="H2194" s="51">
        <v>41863.0</v>
      </c>
      <c r="I2194" s="50">
        <f t="shared" si="4"/>
        <v>3.719444444</v>
      </c>
      <c r="J2194" s="55">
        <v>51.0</v>
      </c>
      <c r="K2194" s="56">
        <v>6.9</v>
      </c>
      <c r="L2194" s="55">
        <v>36.0</v>
      </c>
      <c r="M2194" s="58" t="s">
        <v>42</v>
      </c>
      <c r="N2194" s="59"/>
      <c r="O2194" s="60" t="s">
        <v>34</v>
      </c>
      <c r="P2194" s="61"/>
    </row>
    <row r="2195">
      <c r="A2195" s="29" t="s">
        <v>2299</v>
      </c>
      <c r="B2195" s="30" t="s">
        <v>442</v>
      </c>
      <c r="C2195" s="31" t="s">
        <v>2148</v>
      </c>
      <c r="D2195" s="32" t="str">
        <f t="shared" si="1"/>
        <v>Removed</v>
      </c>
      <c r="E2195" s="33">
        <v>43221.0</v>
      </c>
      <c r="F2195" s="34">
        <v>43255.0</v>
      </c>
      <c r="G2195" s="36">
        <f t="shared" si="2"/>
        <v>1.1</v>
      </c>
      <c r="H2195" s="37">
        <v>40533.0</v>
      </c>
      <c r="I2195" s="36">
        <f t="shared" si="4"/>
        <v>7.361111111</v>
      </c>
      <c r="J2195" s="38">
        <v>65.0</v>
      </c>
      <c r="K2195" s="39">
        <v>7.2</v>
      </c>
      <c r="L2195" s="38">
        <v>6.0</v>
      </c>
      <c r="M2195" s="40" t="s">
        <v>29</v>
      </c>
      <c r="N2195" s="41"/>
      <c r="O2195" s="42" t="s">
        <v>34</v>
      </c>
      <c r="P2195" s="43"/>
    </row>
    <row r="2196">
      <c r="A2196" s="44" t="s">
        <v>2116</v>
      </c>
      <c r="B2196" s="45" t="s">
        <v>2264</v>
      </c>
      <c r="C2196" s="46" t="s">
        <v>2148</v>
      </c>
      <c r="D2196" s="47" t="str">
        <f t="shared" si="1"/>
        <v>Removed</v>
      </c>
      <c r="E2196" s="48">
        <v>43221.0</v>
      </c>
      <c r="F2196" s="49">
        <v>43255.0</v>
      </c>
      <c r="G2196" s="50">
        <f t="shared" si="2"/>
        <v>1.1</v>
      </c>
      <c r="H2196" s="51">
        <v>41648.0</v>
      </c>
      <c r="I2196" s="50">
        <f t="shared" si="4"/>
        <v>4.311111111</v>
      </c>
      <c r="J2196" s="55">
        <v>66.0</v>
      </c>
      <c r="K2196" s="56">
        <v>7.1</v>
      </c>
      <c r="L2196" s="55">
        <v>3.0</v>
      </c>
      <c r="M2196" s="58" t="s">
        <v>136</v>
      </c>
      <c r="N2196" s="59"/>
      <c r="O2196" s="60" t="s">
        <v>34</v>
      </c>
      <c r="P2196" s="61"/>
    </row>
    <row r="2197">
      <c r="A2197" s="29" t="s">
        <v>2300</v>
      </c>
      <c r="B2197" s="30" t="s">
        <v>2264</v>
      </c>
      <c r="C2197" s="31" t="s">
        <v>2148</v>
      </c>
      <c r="D2197" s="32" t="str">
        <f t="shared" si="1"/>
        <v>Removed</v>
      </c>
      <c r="E2197" s="33">
        <v>43221.0</v>
      </c>
      <c r="F2197" s="34">
        <v>43255.0</v>
      </c>
      <c r="G2197" s="36">
        <f t="shared" si="2"/>
        <v>1.1</v>
      </c>
      <c r="H2197" s="37">
        <v>41569.0</v>
      </c>
      <c r="I2197" s="36">
        <f t="shared" si="4"/>
        <v>4.525</v>
      </c>
      <c r="J2197" s="38">
        <v>69.0</v>
      </c>
      <c r="K2197" s="39">
        <v>6.7</v>
      </c>
      <c r="L2197" s="38">
        <v>4.0</v>
      </c>
      <c r="M2197" s="40" t="s">
        <v>136</v>
      </c>
      <c r="N2197" s="41"/>
      <c r="O2197" s="42" t="s">
        <v>34</v>
      </c>
      <c r="P2197" s="43"/>
    </row>
    <row r="2198">
      <c r="A2198" s="44" t="s">
        <v>2301</v>
      </c>
      <c r="B2198" s="45" t="s">
        <v>45</v>
      </c>
      <c r="C2198" s="46" t="s">
        <v>2148</v>
      </c>
      <c r="D2198" s="47" t="str">
        <f t="shared" si="1"/>
        <v>Removed</v>
      </c>
      <c r="E2198" s="48">
        <v>43193.0</v>
      </c>
      <c r="F2198" s="49">
        <v>43220.0</v>
      </c>
      <c r="G2198" s="50">
        <f t="shared" si="2"/>
        <v>0.9</v>
      </c>
      <c r="H2198" s="51">
        <v>42248.0</v>
      </c>
      <c r="I2198" s="50">
        <f t="shared" si="4"/>
        <v>2.588888889</v>
      </c>
      <c r="J2198" s="55">
        <v>69.0</v>
      </c>
      <c r="K2198" s="56">
        <v>7.6</v>
      </c>
      <c r="L2198" s="55">
        <v>20.0</v>
      </c>
      <c r="M2198" s="58" t="s">
        <v>29</v>
      </c>
      <c r="N2198" s="59"/>
      <c r="O2198" s="60" t="s">
        <v>34</v>
      </c>
      <c r="P2198" s="61"/>
    </row>
    <row r="2199">
      <c r="A2199" s="29" t="s">
        <v>629</v>
      </c>
      <c r="B2199" s="30" t="s">
        <v>45</v>
      </c>
      <c r="C2199" s="31" t="s">
        <v>2148</v>
      </c>
      <c r="D2199" s="32" t="str">
        <f t="shared" si="1"/>
        <v>Removed</v>
      </c>
      <c r="E2199" s="33">
        <v>43193.0</v>
      </c>
      <c r="F2199" s="34">
        <v>43220.0</v>
      </c>
      <c r="G2199" s="36">
        <f t="shared" si="2"/>
        <v>0.9</v>
      </c>
      <c r="H2199" s="37">
        <v>42451.0</v>
      </c>
      <c r="I2199" s="36">
        <f t="shared" si="4"/>
        <v>2.030555556</v>
      </c>
      <c r="J2199" s="38">
        <v>81.0</v>
      </c>
      <c r="K2199" s="39">
        <v>7.5</v>
      </c>
      <c r="L2199" s="38">
        <v>14.0</v>
      </c>
      <c r="M2199" s="40" t="s">
        <v>95</v>
      </c>
      <c r="N2199" s="41"/>
      <c r="O2199" s="42" t="s">
        <v>34</v>
      </c>
      <c r="P2199" s="43"/>
    </row>
    <row r="2200">
      <c r="A2200" s="44" t="s">
        <v>1927</v>
      </c>
      <c r="B2200" s="45" t="s">
        <v>2261</v>
      </c>
      <c r="C2200" s="46" t="s">
        <v>2148</v>
      </c>
      <c r="D2200" s="47" t="str">
        <f t="shared" si="1"/>
        <v>Removed</v>
      </c>
      <c r="E2200" s="48">
        <v>43193.0</v>
      </c>
      <c r="F2200" s="49">
        <v>43220.0</v>
      </c>
      <c r="G2200" s="50">
        <f t="shared" si="2"/>
        <v>0.9</v>
      </c>
      <c r="H2200" s="51">
        <v>41926.0</v>
      </c>
      <c r="I2200" s="50">
        <f t="shared" si="4"/>
        <v>3.469444444</v>
      </c>
      <c r="J2200" s="55">
        <v>65.0</v>
      </c>
      <c r="K2200" s="56">
        <v>6.7</v>
      </c>
      <c r="L2200" s="78"/>
      <c r="M2200" s="58" t="s">
        <v>31</v>
      </c>
      <c r="N2200" s="59"/>
      <c r="O2200" s="60" t="s">
        <v>34</v>
      </c>
      <c r="P2200" s="61"/>
    </row>
    <row r="2201">
      <c r="A2201" s="29" t="s">
        <v>897</v>
      </c>
      <c r="B2201" s="30" t="s">
        <v>442</v>
      </c>
      <c r="C2201" s="31" t="s">
        <v>2148</v>
      </c>
      <c r="D2201" s="32" t="str">
        <f t="shared" si="1"/>
        <v>Removed</v>
      </c>
      <c r="E2201" s="33">
        <v>43193.0</v>
      </c>
      <c r="F2201" s="34">
        <v>43220.0</v>
      </c>
      <c r="G2201" s="36">
        <f t="shared" si="2"/>
        <v>0.9</v>
      </c>
      <c r="H2201" s="37">
        <v>39380.0</v>
      </c>
      <c r="I2201" s="36">
        <f t="shared" si="4"/>
        <v>10.43888889</v>
      </c>
      <c r="J2201" s="38">
        <v>57.0</v>
      </c>
      <c r="K2201" s="39">
        <v>6.9</v>
      </c>
      <c r="L2201" s="38">
        <v>3.0</v>
      </c>
      <c r="M2201" s="40" t="s">
        <v>95</v>
      </c>
      <c r="N2201" s="41"/>
      <c r="O2201" s="42" t="s">
        <v>34</v>
      </c>
      <c r="P2201" s="43"/>
    </row>
    <row r="2202">
      <c r="A2202" s="44" t="s">
        <v>2302</v>
      </c>
      <c r="B2202" s="45" t="s">
        <v>2278</v>
      </c>
      <c r="C2202" s="46" t="s">
        <v>2148</v>
      </c>
      <c r="D2202" s="47" t="str">
        <f t="shared" si="1"/>
        <v>Removed</v>
      </c>
      <c r="E2202" s="48">
        <v>43193.0</v>
      </c>
      <c r="F2202" s="49">
        <v>43220.0</v>
      </c>
      <c r="G2202" s="50">
        <f t="shared" si="2"/>
        <v>0.9</v>
      </c>
      <c r="H2202" s="51">
        <v>42717.0</v>
      </c>
      <c r="I2202" s="50">
        <f t="shared" si="4"/>
        <v>1.305555556</v>
      </c>
      <c r="J2202" s="55">
        <v>61.0</v>
      </c>
      <c r="K2202" s="56">
        <v>7.1</v>
      </c>
      <c r="L2202" s="55">
        <v>6.0</v>
      </c>
      <c r="M2202" s="58" t="s">
        <v>29</v>
      </c>
      <c r="N2202" s="59"/>
      <c r="O2202" s="60" t="s">
        <v>34</v>
      </c>
      <c r="P2202" s="61"/>
    </row>
    <row r="2203">
      <c r="A2203" s="29" t="s">
        <v>2303</v>
      </c>
      <c r="B2203" s="30" t="s">
        <v>2278</v>
      </c>
      <c r="C2203" s="31" t="s">
        <v>2148</v>
      </c>
      <c r="D2203" s="32" t="str">
        <f t="shared" si="1"/>
        <v>Removed</v>
      </c>
      <c r="E2203" s="33">
        <v>43193.0</v>
      </c>
      <c r="F2203" s="34">
        <v>43220.0</v>
      </c>
      <c r="G2203" s="36">
        <f t="shared" si="2"/>
        <v>0.9</v>
      </c>
      <c r="H2203" s="37">
        <v>42052.0</v>
      </c>
      <c r="I2203" s="36">
        <f t="shared" si="4"/>
        <v>3.127777778</v>
      </c>
      <c r="J2203" s="38">
        <v>44.0</v>
      </c>
      <c r="K2203" s="39">
        <v>4.7</v>
      </c>
      <c r="L2203" s="76"/>
      <c r="M2203" s="40" t="s">
        <v>217</v>
      </c>
      <c r="N2203" s="41"/>
      <c r="O2203" s="42" t="s">
        <v>34</v>
      </c>
      <c r="P2203" s="43"/>
    </row>
    <row r="2204">
      <c r="A2204" s="44" t="s">
        <v>704</v>
      </c>
      <c r="B2204" s="45" t="s">
        <v>45</v>
      </c>
      <c r="C2204" s="46" t="s">
        <v>2148</v>
      </c>
      <c r="D2204" s="47" t="str">
        <f t="shared" si="1"/>
        <v>Removed</v>
      </c>
      <c r="E2204" s="48">
        <v>43165.0</v>
      </c>
      <c r="F2204" s="49">
        <v>43192.0</v>
      </c>
      <c r="G2204" s="50">
        <f t="shared" si="2"/>
        <v>0.8666666667</v>
      </c>
      <c r="H2204" s="51">
        <v>42087.0</v>
      </c>
      <c r="I2204" s="50">
        <f t="shared" si="4"/>
        <v>2.95</v>
      </c>
      <c r="J2204" s="55">
        <v>92.0</v>
      </c>
      <c r="K2204" s="56">
        <v>9.1</v>
      </c>
      <c r="L2204" s="55">
        <v>34.0</v>
      </c>
      <c r="M2204" s="58" t="s">
        <v>29</v>
      </c>
      <c r="N2204" s="59"/>
      <c r="O2204" s="60" t="s">
        <v>34</v>
      </c>
      <c r="P2204" s="61"/>
    </row>
    <row r="2205">
      <c r="A2205" s="29" t="s">
        <v>486</v>
      </c>
      <c r="B2205" s="30" t="s">
        <v>45</v>
      </c>
      <c r="C2205" s="31" t="s">
        <v>2148</v>
      </c>
      <c r="D2205" s="32" t="str">
        <f t="shared" si="1"/>
        <v>Removed</v>
      </c>
      <c r="E2205" s="33">
        <v>43165.0</v>
      </c>
      <c r="F2205" s="34">
        <v>43192.0</v>
      </c>
      <c r="G2205" s="36">
        <f t="shared" si="2"/>
        <v>0.8666666667</v>
      </c>
      <c r="H2205" s="37">
        <v>42472.0</v>
      </c>
      <c r="I2205" s="36">
        <f t="shared" si="4"/>
        <v>1.9</v>
      </c>
      <c r="J2205" s="38">
        <v>85.0</v>
      </c>
      <c r="K2205" s="39">
        <v>8.3</v>
      </c>
      <c r="L2205" s="38">
        <v>11.0</v>
      </c>
      <c r="M2205" s="40" t="s">
        <v>29</v>
      </c>
      <c r="N2205" s="41"/>
      <c r="O2205" s="42" t="s">
        <v>34</v>
      </c>
      <c r="P2205" s="43"/>
    </row>
    <row r="2206">
      <c r="A2206" s="44" t="s">
        <v>1922</v>
      </c>
      <c r="B2206" s="45" t="s">
        <v>442</v>
      </c>
      <c r="C2206" s="46" t="s">
        <v>2148</v>
      </c>
      <c r="D2206" s="47" t="str">
        <f t="shared" si="1"/>
        <v>Removed</v>
      </c>
      <c r="E2206" s="48">
        <v>43165.0</v>
      </c>
      <c r="F2206" s="49">
        <v>43192.0</v>
      </c>
      <c r="G2206" s="50">
        <f t="shared" si="2"/>
        <v>0.8666666667</v>
      </c>
      <c r="H2206" s="51">
        <v>42213.0</v>
      </c>
      <c r="I2206" s="50">
        <f t="shared" si="4"/>
        <v>2.605555556</v>
      </c>
      <c r="J2206" s="55">
        <v>70.0</v>
      </c>
      <c r="K2206" s="56">
        <v>7.2</v>
      </c>
      <c r="L2206" s="55">
        <v>10.0</v>
      </c>
      <c r="M2206" s="58" t="s">
        <v>29</v>
      </c>
      <c r="N2206" s="59"/>
      <c r="O2206" s="60" t="s">
        <v>34</v>
      </c>
      <c r="P2206" s="61"/>
    </row>
    <row r="2207">
      <c r="A2207" s="29" t="s">
        <v>1752</v>
      </c>
      <c r="B2207" s="30" t="s">
        <v>2261</v>
      </c>
      <c r="C2207" s="31" t="s">
        <v>2148</v>
      </c>
      <c r="D2207" s="32" t="str">
        <f t="shared" si="1"/>
        <v>Removed</v>
      </c>
      <c r="E2207" s="33">
        <v>43165.0</v>
      </c>
      <c r="F2207" s="34">
        <v>43192.0</v>
      </c>
      <c r="G2207" s="36">
        <f t="shared" si="2"/>
        <v>0.8666666667</v>
      </c>
      <c r="H2207" s="37">
        <v>42542.0</v>
      </c>
      <c r="I2207" s="36">
        <f t="shared" si="4"/>
        <v>1.708333333</v>
      </c>
      <c r="J2207" s="38">
        <v>52.0</v>
      </c>
      <c r="K2207" s="39">
        <v>4.6</v>
      </c>
      <c r="L2207" s="38">
        <v>4.0</v>
      </c>
      <c r="M2207" s="40" t="s">
        <v>27</v>
      </c>
      <c r="N2207" s="41"/>
      <c r="O2207" s="42" t="s">
        <v>34</v>
      </c>
      <c r="P2207" s="43"/>
    </row>
    <row r="2208">
      <c r="A2208" s="44" t="s">
        <v>2304</v>
      </c>
      <c r="B2208" s="45" t="s">
        <v>2257</v>
      </c>
      <c r="C2208" s="46" t="s">
        <v>2148</v>
      </c>
      <c r="D2208" s="47" t="str">
        <f t="shared" si="1"/>
        <v>Removed</v>
      </c>
      <c r="E2208" s="48">
        <v>43165.0</v>
      </c>
      <c r="F2208" s="49">
        <v>43192.0</v>
      </c>
      <c r="G2208" s="50">
        <f t="shared" si="2"/>
        <v>0.8666666667</v>
      </c>
      <c r="H2208" s="51">
        <v>42955.0</v>
      </c>
      <c r="I2208" s="50">
        <f t="shared" si="4"/>
        <v>0.5777777778</v>
      </c>
      <c r="J2208" s="55">
        <v>58.0</v>
      </c>
      <c r="K2208" s="56">
        <v>6.8</v>
      </c>
      <c r="L2208" s="55">
        <v>5.0</v>
      </c>
      <c r="M2208" s="58" t="s">
        <v>537</v>
      </c>
      <c r="N2208" s="59"/>
      <c r="O2208" s="60" t="s">
        <v>34</v>
      </c>
      <c r="P2208" s="61"/>
    </row>
    <row r="2209">
      <c r="A2209" s="29" t="s">
        <v>1989</v>
      </c>
      <c r="B2209" s="30" t="s">
        <v>2257</v>
      </c>
      <c r="C2209" s="31" t="s">
        <v>2148</v>
      </c>
      <c r="D2209" s="32" t="str">
        <f t="shared" si="1"/>
        <v>Removed</v>
      </c>
      <c r="E2209" s="33">
        <v>43165.0</v>
      </c>
      <c r="F2209" s="34">
        <v>43192.0</v>
      </c>
      <c r="G2209" s="36">
        <f t="shared" si="2"/>
        <v>0.8666666667</v>
      </c>
      <c r="H2209" s="37">
        <v>42514.0</v>
      </c>
      <c r="I2209" s="36">
        <f t="shared" si="4"/>
        <v>1.783333333</v>
      </c>
      <c r="J2209" s="38">
        <v>55.0</v>
      </c>
      <c r="K2209" s="39">
        <v>6.2</v>
      </c>
      <c r="L2209" s="76"/>
      <c r="M2209" s="40" t="s">
        <v>136</v>
      </c>
      <c r="N2209" s="41"/>
      <c r="O2209" s="42" t="s">
        <v>34</v>
      </c>
      <c r="P2209" s="43"/>
    </row>
    <row r="2210">
      <c r="A2210" s="44" t="s">
        <v>755</v>
      </c>
      <c r="B2210" s="45" t="s">
        <v>45</v>
      </c>
      <c r="C2210" s="46" t="s">
        <v>2148</v>
      </c>
      <c r="D2210" s="47" t="str">
        <f t="shared" si="1"/>
        <v>Removed</v>
      </c>
      <c r="E2210" s="48">
        <v>43137.0</v>
      </c>
      <c r="F2210" s="49">
        <v>43164.0</v>
      </c>
      <c r="G2210" s="50">
        <f t="shared" si="2"/>
        <v>0.9666666667</v>
      </c>
      <c r="H2210" s="51">
        <v>41593.0</v>
      </c>
      <c r="I2210" s="50">
        <f t="shared" si="4"/>
        <v>4.225</v>
      </c>
      <c r="J2210" s="55">
        <v>54.0</v>
      </c>
      <c r="K2210" s="56">
        <v>6.3</v>
      </c>
      <c r="L2210" s="55">
        <v>11.0</v>
      </c>
      <c r="M2210" s="58" t="s">
        <v>29</v>
      </c>
      <c r="N2210" s="59"/>
      <c r="O2210" s="60" t="s">
        <v>34</v>
      </c>
      <c r="P2210" s="61"/>
    </row>
    <row r="2211">
      <c r="A2211" s="29" t="s">
        <v>2305</v>
      </c>
      <c r="B2211" s="30" t="s">
        <v>45</v>
      </c>
      <c r="C2211" s="31" t="s">
        <v>2148</v>
      </c>
      <c r="D2211" s="32" t="str">
        <f t="shared" si="1"/>
        <v>Removed</v>
      </c>
      <c r="E2211" s="33">
        <v>43137.0</v>
      </c>
      <c r="F2211" s="34">
        <v>43164.0</v>
      </c>
      <c r="G2211" s="36">
        <f t="shared" si="2"/>
        <v>0.9666666667</v>
      </c>
      <c r="H2211" s="37">
        <v>42881.0</v>
      </c>
      <c r="I2211" s="36">
        <f t="shared" si="4"/>
        <v>0.6944444444</v>
      </c>
      <c r="J2211" s="38">
        <v>80.0</v>
      </c>
      <c r="K2211" s="39">
        <v>7.5</v>
      </c>
      <c r="L2211" s="38">
        <v>10.0</v>
      </c>
      <c r="M2211" s="40" t="s">
        <v>29</v>
      </c>
      <c r="N2211" s="41"/>
      <c r="O2211" s="42" t="s">
        <v>34</v>
      </c>
      <c r="P2211" s="43"/>
    </row>
    <row r="2212">
      <c r="A2212" s="44" t="s">
        <v>2306</v>
      </c>
      <c r="B2212" s="45" t="s">
        <v>384</v>
      </c>
      <c r="C2212" s="46" t="s">
        <v>2148</v>
      </c>
      <c r="D2212" s="47" t="str">
        <f t="shared" si="1"/>
        <v>Removed</v>
      </c>
      <c r="E2212" s="48">
        <v>43137.0</v>
      </c>
      <c r="F2212" s="49">
        <v>43164.0</v>
      </c>
      <c r="G2212" s="50">
        <f t="shared" si="2"/>
        <v>0.9666666667</v>
      </c>
      <c r="H2212" s="51">
        <v>42836.0</v>
      </c>
      <c r="I2212" s="50">
        <f t="shared" si="4"/>
        <v>0.8194444444</v>
      </c>
      <c r="J2212" s="55">
        <v>68.0</v>
      </c>
      <c r="K2212" s="56">
        <v>7.0</v>
      </c>
      <c r="L2212" s="78"/>
      <c r="M2212" s="58" t="s">
        <v>31</v>
      </c>
      <c r="N2212" s="59"/>
      <c r="O2212" s="60" t="s">
        <v>34</v>
      </c>
      <c r="P2212" s="61"/>
    </row>
    <row r="2213">
      <c r="A2213" s="29" t="s">
        <v>892</v>
      </c>
      <c r="B2213" s="30" t="s">
        <v>442</v>
      </c>
      <c r="C2213" s="31" t="s">
        <v>2148</v>
      </c>
      <c r="D2213" s="32" t="str">
        <f t="shared" si="1"/>
        <v>Removed</v>
      </c>
      <c r="E2213" s="33">
        <v>43137.0</v>
      </c>
      <c r="F2213" s="34">
        <v>43164.0</v>
      </c>
      <c r="G2213" s="36">
        <f t="shared" si="2"/>
        <v>0.9666666667</v>
      </c>
      <c r="H2213" s="37">
        <v>40290.0</v>
      </c>
      <c r="I2213" s="36">
        <f t="shared" si="4"/>
        <v>7.788888889</v>
      </c>
      <c r="J2213" s="38">
        <v>56.0</v>
      </c>
      <c r="K2213" s="39">
        <v>6.8</v>
      </c>
      <c r="L2213" s="38">
        <v>5.0</v>
      </c>
      <c r="M2213" s="40" t="s">
        <v>27</v>
      </c>
      <c r="N2213" s="41"/>
      <c r="O2213" s="42" t="s">
        <v>34</v>
      </c>
      <c r="P2213" s="43"/>
    </row>
    <row r="2214">
      <c r="A2214" s="44" t="s">
        <v>2307</v>
      </c>
      <c r="B2214" s="45" t="s">
        <v>442</v>
      </c>
      <c r="C2214" s="46" t="s">
        <v>2148</v>
      </c>
      <c r="D2214" s="47" t="str">
        <f t="shared" si="1"/>
        <v>Removed</v>
      </c>
      <c r="E2214" s="48">
        <v>43137.0</v>
      </c>
      <c r="F2214" s="49">
        <v>43164.0</v>
      </c>
      <c r="G2214" s="50">
        <f t="shared" si="2"/>
        <v>0.9666666667</v>
      </c>
      <c r="H2214" s="51">
        <v>41779.0</v>
      </c>
      <c r="I2214" s="50">
        <f t="shared" si="4"/>
        <v>3.711111111</v>
      </c>
      <c r="J2214" s="55">
        <v>55.0</v>
      </c>
      <c r="K2214" s="56">
        <v>7.3</v>
      </c>
      <c r="L2214" s="55">
        <v>45.0</v>
      </c>
      <c r="M2214" s="58" t="s">
        <v>42</v>
      </c>
      <c r="N2214" s="59"/>
      <c r="O2214" s="60" t="s">
        <v>34</v>
      </c>
      <c r="P2214" s="61"/>
    </row>
    <row r="2215">
      <c r="A2215" s="29" t="s">
        <v>2308</v>
      </c>
      <c r="B2215" s="30" t="s">
        <v>2264</v>
      </c>
      <c r="C2215" s="31" t="s">
        <v>2148</v>
      </c>
      <c r="D2215" s="32" t="str">
        <f t="shared" si="1"/>
        <v>Removed</v>
      </c>
      <c r="E2215" s="33">
        <v>43137.0</v>
      </c>
      <c r="F2215" s="34">
        <v>43164.0</v>
      </c>
      <c r="G2215" s="36">
        <f t="shared" si="2"/>
        <v>0.9666666667</v>
      </c>
      <c r="H2215" s="37">
        <v>42325.0</v>
      </c>
      <c r="I2215" s="36">
        <f t="shared" si="4"/>
        <v>2.219444444</v>
      </c>
      <c r="J2215" s="38">
        <v>53.0</v>
      </c>
      <c r="K2215" s="39">
        <v>6.8</v>
      </c>
      <c r="L2215" s="38">
        <v>5.0</v>
      </c>
      <c r="M2215" s="40" t="s">
        <v>27</v>
      </c>
      <c r="N2215" s="41"/>
      <c r="O2215" s="42" t="s">
        <v>34</v>
      </c>
      <c r="P2215" s="43"/>
    </row>
    <row r="2216">
      <c r="A2216" s="44" t="s">
        <v>1988</v>
      </c>
      <c r="B2216" s="45" t="s">
        <v>2257</v>
      </c>
      <c r="C2216" s="46" t="s">
        <v>2148</v>
      </c>
      <c r="D2216" s="47" t="str">
        <f t="shared" si="1"/>
        <v>Removed</v>
      </c>
      <c r="E2216" s="48">
        <v>43137.0</v>
      </c>
      <c r="F2216" s="49">
        <v>43164.0</v>
      </c>
      <c r="G2216" s="50">
        <f t="shared" si="2"/>
        <v>0.9666666667</v>
      </c>
      <c r="H2216" s="51">
        <v>42542.0</v>
      </c>
      <c r="I2216" s="50">
        <f t="shared" si="4"/>
        <v>1.625</v>
      </c>
      <c r="J2216" s="55">
        <v>78.0</v>
      </c>
      <c r="K2216" s="56">
        <v>7.5</v>
      </c>
      <c r="L2216" s="55">
        <v>40.0</v>
      </c>
      <c r="M2216" s="58" t="s">
        <v>42</v>
      </c>
      <c r="N2216" s="59"/>
      <c r="O2216" s="60" t="s">
        <v>34</v>
      </c>
      <c r="P2216" s="61"/>
    </row>
    <row r="2217">
      <c r="A2217" s="29" t="s">
        <v>402</v>
      </c>
      <c r="B2217" s="30" t="s">
        <v>45</v>
      </c>
      <c r="C2217" s="31" t="s">
        <v>2148</v>
      </c>
      <c r="D2217" s="32" t="str">
        <f t="shared" si="1"/>
        <v>Removed</v>
      </c>
      <c r="E2217" s="33">
        <v>43102.0</v>
      </c>
      <c r="F2217" s="34">
        <v>43136.0</v>
      </c>
      <c r="G2217" s="36">
        <f t="shared" si="2"/>
        <v>1.1</v>
      </c>
      <c r="H2217" s="37">
        <v>42605.0</v>
      </c>
      <c r="I2217" s="36">
        <f t="shared" si="4"/>
        <v>1.358333333</v>
      </c>
      <c r="J2217" s="38">
        <v>84.0</v>
      </c>
      <c r="K2217" s="39">
        <v>7.7</v>
      </c>
      <c r="L2217" s="38">
        <v>15.0</v>
      </c>
      <c r="M2217" s="40" t="s">
        <v>29</v>
      </c>
      <c r="N2217" s="41"/>
      <c r="O2217" s="42" t="s">
        <v>34</v>
      </c>
      <c r="P2217" s="43"/>
    </row>
    <row r="2218">
      <c r="A2218" s="44" t="s">
        <v>2309</v>
      </c>
      <c r="B2218" s="45" t="s">
        <v>45</v>
      </c>
      <c r="C2218" s="46" t="s">
        <v>2148</v>
      </c>
      <c r="D2218" s="47" t="str">
        <f t="shared" si="1"/>
        <v>Removed</v>
      </c>
      <c r="E2218" s="48">
        <v>43102.0</v>
      </c>
      <c r="F2218" s="49">
        <v>43136.0</v>
      </c>
      <c r="G2218" s="50">
        <f t="shared" si="2"/>
        <v>1.1</v>
      </c>
      <c r="H2218" s="51">
        <v>42584.0</v>
      </c>
      <c r="I2218" s="50">
        <f t="shared" si="4"/>
        <v>1.416666667</v>
      </c>
      <c r="J2218" s="55">
        <v>68.0</v>
      </c>
      <c r="K2218" s="56">
        <v>6.7</v>
      </c>
      <c r="L2218" s="55">
        <v>12.0</v>
      </c>
      <c r="M2218" s="58" t="s">
        <v>112</v>
      </c>
      <c r="N2218" s="59"/>
      <c r="O2218" s="60" t="s">
        <v>34</v>
      </c>
      <c r="P2218" s="61"/>
    </row>
    <row r="2219">
      <c r="A2219" s="29" t="s">
        <v>2306</v>
      </c>
      <c r="B2219" s="30" t="s">
        <v>384</v>
      </c>
      <c r="C2219" s="31" t="s">
        <v>2148</v>
      </c>
      <c r="D2219" s="32" t="str">
        <f t="shared" si="1"/>
        <v>Removed</v>
      </c>
      <c r="E2219" s="33">
        <v>43102.0</v>
      </c>
      <c r="F2219" s="34">
        <v>43136.0</v>
      </c>
      <c r="G2219" s="36">
        <f t="shared" si="2"/>
        <v>1.1</v>
      </c>
      <c r="H2219" s="37">
        <v>42836.0</v>
      </c>
      <c r="I2219" s="36">
        <f t="shared" si="4"/>
        <v>0.725</v>
      </c>
      <c r="J2219" s="38">
        <v>68.0</v>
      </c>
      <c r="K2219" s="39">
        <v>7.0</v>
      </c>
      <c r="L2219" s="76"/>
      <c r="M2219" s="40" t="s">
        <v>31</v>
      </c>
      <c r="N2219" s="41"/>
      <c r="O2219" s="42" t="s">
        <v>34</v>
      </c>
      <c r="P2219" s="43"/>
    </row>
    <row r="2220">
      <c r="A2220" s="44" t="s">
        <v>2310</v>
      </c>
      <c r="B2220" s="45" t="s">
        <v>442</v>
      </c>
      <c r="C2220" s="46" t="s">
        <v>2148</v>
      </c>
      <c r="D2220" s="47" t="str">
        <f t="shared" si="1"/>
        <v>Removed</v>
      </c>
      <c r="E2220" s="48">
        <v>43102.0</v>
      </c>
      <c r="F2220" s="49">
        <v>43136.0</v>
      </c>
      <c r="G2220" s="50">
        <f t="shared" si="2"/>
        <v>1.1</v>
      </c>
      <c r="H2220" s="51">
        <v>41856.0</v>
      </c>
      <c r="I2220" s="50">
        <f t="shared" si="4"/>
        <v>3.408333333</v>
      </c>
      <c r="J2220" s="55">
        <v>56.0</v>
      </c>
      <c r="K2220" s="56">
        <v>5.1</v>
      </c>
      <c r="L2220" s="55">
        <v>10.0</v>
      </c>
      <c r="M2220" s="58" t="s">
        <v>29</v>
      </c>
      <c r="N2220" s="59"/>
      <c r="O2220" s="60" t="s">
        <v>34</v>
      </c>
      <c r="P2220" s="61"/>
    </row>
    <row r="2221">
      <c r="A2221" s="29" t="s">
        <v>2311</v>
      </c>
      <c r="B2221" s="30" t="s">
        <v>442</v>
      </c>
      <c r="C2221" s="31" t="s">
        <v>2148</v>
      </c>
      <c r="D2221" s="32" t="str">
        <f t="shared" si="1"/>
        <v>Removed</v>
      </c>
      <c r="E2221" s="33">
        <v>43102.0</v>
      </c>
      <c r="F2221" s="34">
        <v>43136.0</v>
      </c>
      <c r="G2221" s="36">
        <f t="shared" si="2"/>
        <v>1.1</v>
      </c>
      <c r="H2221" s="37">
        <v>42054.0</v>
      </c>
      <c r="I2221" s="36">
        <f t="shared" si="4"/>
        <v>2.869444444</v>
      </c>
      <c r="J2221" s="38">
        <v>75.0</v>
      </c>
      <c r="K2221" s="39">
        <v>7.6</v>
      </c>
      <c r="L2221" s="38">
        <v>13.0</v>
      </c>
      <c r="M2221" s="40" t="s">
        <v>112</v>
      </c>
      <c r="N2221" s="41"/>
      <c r="O2221" s="42" t="s">
        <v>34</v>
      </c>
      <c r="P2221" s="43"/>
    </row>
    <row r="2222">
      <c r="A2222" s="44" t="s">
        <v>2312</v>
      </c>
      <c r="B2222" s="45" t="s">
        <v>2257</v>
      </c>
      <c r="C2222" s="46" t="s">
        <v>2148</v>
      </c>
      <c r="D2222" s="47" t="str">
        <f t="shared" si="1"/>
        <v>Removed</v>
      </c>
      <c r="E2222" s="48">
        <v>43102.0</v>
      </c>
      <c r="F2222" s="49">
        <v>43136.0</v>
      </c>
      <c r="G2222" s="50">
        <f t="shared" si="2"/>
        <v>1.1</v>
      </c>
      <c r="H2222" s="51">
        <v>42626.0</v>
      </c>
      <c r="I2222" s="50">
        <f t="shared" si="4"/>
        <v>1.302777778</v>
      </c>
      <c r="J2222" s="55">
        <v>64.0</v>
      </c>
      <c r="K2222" s="56">
        <v>7.0</v>
      </c>
      <c r="L2222" s="55">
        <v>12.0</v>
      </c>
      <c r="M2222" s="58" t="s">
        <v>112</v>
      </c>
      <c r="N2222" s="59"/>
      <c r="O2222" s="60" t="s">
        <v>34</v>
      </c>
      <c r="P2222" s="61"/>
    </row>
    <row r="2223">
      <c r="A2223" s="29" t="s">
        <v>2313</v>
      </c>
      <c r="B2223" s="30" t="s">
        <v>2257</v>
      </c>
      <c r="C2223" s="31" t="s">
        <v>2148</v>
      </c>
      <c r="D2223" s="32" t="str">
        <f t="shared" si="1"/>
        <v>Removed</v>
      </c>
      <c r="E2223" s="33">
        <v>43102.0</v>
      </c>
      <c r="F2223" s="34">
        <v>43136.0</v>
      </c>
      <c r="G2223" s="36">
        <f t="shared" si="2"/>
        <v>1.1</v>
      </c>
      <c r="H2223" s="37">
        <v>42781.0</v>
      </c>
      <c r="I2223" s="36">
        <f t="shared" si="4"/>
        <v>0.8805555556</v>
      </c>
      <c r="J2223" s="38">
        <v>52.0</v>
      </c>
      <c r="K2223" s="39">
        <v>6.1</v>
      </c>
      <c r="L2223" s="38">
        <v>5.0</v>
      </c>
      <c r="M2223" s="40" t="s">
        <v>537</v>
      </c>
      <c r="N2223" s="41"/>
      <c r="O2223" s="42" t="s">
        <v>34</v>
      </c>
      <c r="P2223" s="43"/>
    </row>
    <row r="2224">
      <c r="A2224" s="44" t="s">
        <v>2314</v>
      </c>
      <c r="B2224" s="45" t="s">
        <v>45</v>
      </c>
      <c r="C2224" s="46" t="s">
        <v>2148</v>
      </c>
      <c r="D2224" s="47" t="str">
        <f t="shared" si="1"/>
        <v>Removed</v>
      </c>
      <c r="E2224" s="48">
        <v>43074.0</v>
      </c>
      <c r="F2224" s="49">
        <v>43101.0</v>
      </c>
      <c r="G2224" s="50">
        <f t="shared" si="2"/>
        <v>0.8666666667</v>
      </c>
      <c r="H2224" s="51">
        <v>42304.0</v>
      </c>
      <c r="I2224" s="50">
        <f t="shared" si="4"/>
        <v>2.105555556</v>
      </c>
      <c r="J2224" s="55">
        <v>72.0</v>
      </c>
      <c r="K2224" s="56">
        <v>7.4</v>
      </c>
      <c r="L2224" s="55">
        <v>25.0</v>
      </c>
      <c r="M2224" s="58" t="s">
        <v>29</v>
      </c>
      <c r="N2224" s="59"/>
      <c r="O2224" s="60" t="s">
        <v>34</v>
      </c>
      <c r="P2224" s="61"/>
    </row>
    <row r="2225">
      <c r="A2225" s="29" t="s">
        <v>2315</v>
      </c>
      <c r="B2225" s="30" t="s">
        <v>45</v>
      </c>
      <c r="C2225" s="31" t="s">
        <v>2148</v>
      </c>
      <c r="D2225" s="32" t="str">
        <f t="shared" si="1"/>
        <v>Removed</v>
      </c>
      <c r="E2225" s="33">
        <v>43074.0</v>
      </c>
      <c r="F2225" s="34">
        <v>43101.0</v>
      </c>
      <c r="G2225" s="36">
        <f t="shared" si="2"/>
        <v>0.8666666667</v>
      </c>
      <c r="H2225" s="37">
        <v>42325.0</v>
      </c>
      <c r="I2225" s="36">
        <f t="shared" si="4"/>
        <v>2.05</v>
      </c>
      <c r="J2225" s="38">
        <v>63.0</v>
      </c>
      <c r="K2225" s="39">
        <v>6.5</v>
      </c>
      <c r="L2225" s="38">
        <v>3.0</v>
      </c>
      <c r="M2225" s="40" t="s">
        <v>114</v>
      </c>
      <c r="N2225" s="41"/>
      <c r="O2225" s="42" t="s">
        <v>34</v>
      </c>
      <c r="P2225" s="43"/>
    </row>
    <row r="2226">
      <c r="A2226" s="44" t="s">
        <v>2316</v>
      </c>
      <c r="B2226" s="45" t="s">
        <v>442</v>
      </c>
      <c r="C2226" s="46" t="s">
        <v>2148</v>
      </c>
      <c r="D2226" s="47" t="str">
        <f t="shared" si="1"/>
        <v>Removed</v>
      </c>
      <c r="E2226" s="48">
        <v>43074.0</v>
      </c>
      <c r="F2226" s="49">
        <v>43101.0</v>
      </c>
      <c r="G2226" s="50">
        <f t="shared" si="2"/>
        <v>0.8666666667</v>
      </c>
      <c r="H2226" s="51">
        <v>42675.0</v>
      </c>
      <c r="I2226" s="50">
        <f t="shared" si="4"/>
        <v>1.094444444</v>
      </c>
      <c r="J2226" s="78"/>
      <c r="K2226" s="77"/>
      <c r="L2226" s="78"/>
      <c r="M2226" s="58" t="s">
        <v>112</v>
      </c>
      <c r="N2226" s="59"/>
      <c r="O2226" s="60" t="s">
        <v>34</v>
      </c>
      <c r="P2226" s="61"/>
    </row>
    <row r="2227">
      <c r="A2227" s="29" t="s">
        <v>2317</v>
      </c>
      <c r="B2227" s="30" t="s">
        <v>442</v>
      </c>
      <c r="C2227" s="31" t="s">
        <v>2148</v>
      </c>
      <c r="D2227" s="32" t="str">
        <f t="shared" si="1"/>
        <v>Removed</v>
      </c>
      <c r="E2227" s="33">
        <v>43074.0</v>
      </c>
      <c r="F2227" s="34">
        <v>43101.0</v>
      </c>
      <c r="G2227" s="36">
        <f t="shared" si="2"/>
        <v>0.8666666667</v>
      </c>
      <c r="H2227" s="37">
        <v>42115.0</v>
      </c>
      <c r="I2227" s="36">
        <f t="shared" si="4"/>
        <v>2.622222222</v>
      </c>
      <c r="J2227" s="38">
        <v>63.0</v>
      </c>
      <c r="K2227" s="39">
        <v>7.0</v>
      </c>
      <c r="L2227" s="38">
        <v>10.0</v>
      </c>
      <c r="M2227" s="40" t="s">
        <v>689</v>
      </c>
      <c r="N2227" s="41"/>
      <c r="O2227" s="42" t="s">
        <v>34</v>
      </c>
      <c r="P2227" s="43"/>
    </row>
    <row r="2228">
      <c r="A2228" s="44" t="s">
        <v>2318</v>
      </c>
      <c r="B2228" s="45" t="s">
        <v>2257</v>
      </c>
      <c r="C2228" s="46" t="s">
        <v>2148</v>
      </c>
      <c r="D2228" s="47" t="str">
        <f t="shared" si="1"/>
        <v>Removed</v>
      </c>
      <c r="E2228" s="48">
        <v>43074.0</v>
      </c>
      <c r="F2228" s="49">
        <v>43101.0</v>
      </c>
      <c r="G2228" s="50">
        <f t="shared" si="2"/>
        <v>0.8666666667</v>
      </c>
      <c r="H2228" s="51">
        <v>42789.0</v>
      </c>
      <c r="I2228" s="50">
        <f t="shared" si="4"/>
        <v>0.7833333333</v>
      </c>
      <c r="J2228" s="55">
        <v>78.0</v>
      </c>
      <c r="K2228" s="56">
        <v>6.7</v>
      </c>
      <c r="L2228" s="55">
        <v>7.0</v>
      </c>
      <c r="M2228" s="58" t="s">
        <v>29</v>
      </c>
      <c r="N2228" s="59"/>
      <c r="O2228" s="60" t="s">
        <v>34</v>
      </c>
      <c r="P2228" s="61"/>
    </row>
    <row r="2229">
      <c r="A2229" s="29" t="s">
        <v>2319</v>
      </c>
      <c r="B2229" s="30" t="s">
        <v>2264</v>
      </c>
      <c r="C2229" s="31" t="s">
        <v>2148</v>
      </c>
      <c r="D2229" s="32" t="str">
        <f t="shared" si="1"/>
        <v>Removed</v>
      </c>
      <c r="E2229" s="33">
        <v>43074.0</v>
      </c>
      <c r="F2229" s="34">
        <v>43101.0</v>
      </c>
      <c r="G2229" s="36">
        <f t="shared" si="2"/>
        <v>0.8666666667</v>
      </c>
      <c r="H2229" s="37">
        <v>42416.0</v>
      </c>
      <c r="I2229" s="36">
        <f t="shared" si="4"/>
        <v>1.802777778</v>
      </c>
      <c r="J2229" s="38">
        <v>59.0</v>
      </c>
      <c r="K2229" s="39">
        <v>5.8</v>
      </c>
      <c r="L2229" s="38">
        <v>4.0</v>
      </c>
      <c r="M2229" s="40" t="s">
        <v>31</v>
      </c>
      <c r="N2229" s="41"/>
      <c r="O2229" s="42" t="s">
        <v>34</v>
      </c>
      <c r="P2229" s="43"/>
    </row>
    <row r="2230">
      <c r="A2230" s="44" t="s">
        <v>2320</v>
      </c>
      <c r="B2230" s="45" t="s">
        <v>45</v>
      </c>
      <c r="C2230" s="46" t="s">
        <v>2148</v>
      </c>
      <c r="D2230" s="47" t="str">
        <f t="shared" si="1"/>
        <v>Removed</v>
      </c>
      <c r="E2230" s="48">
        <v>43046.0</v>
      </c>
      <c r="F2230" s="49">
        <v>43073.0</v>
      </c>
      <c r="G2230" s="50">
        <f t="shared" si="2"/>
        <v>0.9</v>
      </c>
      <c r="H2230" s="51">
        <v>41789.0</v>
      </c>
      <c r="I2230" s="50">
        <f t="shared" si="4"/>
        <v>3.436111111</v>
      </c>
      <c r="J2230" s="55">
        <v>62.0</v>
      </c>
      <c r="K2230" s="56">
        <v>7.1</v>
      </c>
      <c r="L2230" s="55">
        <v>8.0</v>
      </c>
      <c r="M2230" s="58" t="s">
        <v>103</v>
      </c>
      <c r="N2230" s="59"/>
      <c r="O2230" s="60" t="s">
        <v>34</v>
      </c>
      <c r="P2230" s="61"/>
    </row>
    <row r="2231">
      <c r="A2231" s="29" t="s">
        <v>2321</v>
      </c>
      <c r="B2231" s="30" t="s">
        <v>384</v>
      </c>
      <c r="C2231" s="31" t="s">
        <v>2148</v>
      </c>
      <c r="D2231" s="32" t="str">
        <f t="shared" si="1"/>
        <v>Removed</v>
      </c>
      <c r="E2231" s="33">
        <v>43046.0</v>
      </c>
      <c r="F2231" s="34">
        <v>43073.0</v>
      </c>
      <c r="G2231" s="36">
        <f t="shared" si="2"/>
        <v>0.9</v>
      </c>
      <c r="H2231" s="37">
        <v>42598.0</v>
      </c>
      <c r="I2231" s="36">
        <f t="shared" si="4"/>
        <v>1.225</v>
      </c>
      <c r="J2231" s="38">
        <v>71.0</v>
      </c>
      <c r="K2231" s="39">
        <v>6.8</v>
      </c>
      <c r="L2231" s="38">
        <v>2.0</v>
      </c>
      <c r="M2231" s="40" t="s">
        <v>29</v>
      </c>
      <c r="N2231" s="41"/>
      <c r="O2231" s="42" t="s">
        <v>34</v>
      </c>
      <c r="P2231" s="43"/>
    </row>
    <row r="2232">
      <c r="A2232" s="44" t="s">
        <v>2322</v>
      </c>
      <c r="B2232" s="45" t="s">
        <v>384</v>
      </c>
      <c r="C2232" s="46" t="s">
        <v>2148</v>
      </c>
      <c r="D2232" s="47" t="str">
        <f t="shared" si="1"/>
        <v>Removed</v>
      </c>
      <c r="E2232" s="48">
        <v>43046.0</v>
      </c>
      <c r="F2232" s="49">
        <v>43073.0</v>
      </c>
      <c r="G2232" s="50">
        <f t="shared" si="2"/>
        <v>0.9</v>
      </c>
      <c r="H2232" s="51">
        <v>42656.0</v>
      </c>
      <c r="I2232" s="50">
        <f t="shared" si="4"/>
        <v>1.066666667</v>
      </c>
      <c r="J2232" s="55">
        <v>72.0</v>
      </c>
      <c r="K2232" s="56">
        <v>7.7</v>
      </c>
      <c r="L2232" s="55">
        <v>2.0</v>
      </c>
      <c r="M2232" s="58" t="s">
        <v>31</v>
      </c>
      <c r="N2232" s="59"/>
      <c r="O2232" s="60" t="s">
        <v>34</v>
      </c>
      <c r="P2232" s="61"/>
    </row>
    <row r="2233">
      <c r="A2233" s="29" t="s">
        <v>1502</v>
      </c>
      <c r="B2233" s="30" t="s">
        <v>442</v>
      </c>
      <c r="C2233" s="31" t="s">
        <v>2148</v>
      </c>
      <c r="D2233" s="32" t="str">
        <f t="shared" si="1"/>
        <v>Removed</v>
      </c>
      <c r="E2233" s="33">
        <v>43046.0</v>
      </c>
      <c r="F2233" s="34">
        <v>43073.0</v>
      </c>
      <c r="G2233" s="36">
        <f t="shared" si="2"/>
        <v>0.9</v>
      </c>
      <c r="H2233" s="37">
        <v>39848.0</v>
      </c>
      <c r="I2233" s="36">
        <f t="shared" si="4"/>
        <v>8.758333333</v>
      </c>
      <c r="J2233" s="38">
        <v>82.0</v>
      </c>
      <c r="K2233" s="39">
        <v>6.4</v>
      </c>
      <c r="L2233" s="38">
        <v>2.0</v>
      </c>
      <c r="M2233" s="40" t="s">
        <v>31</v>
      </c>
      <c r="N2233" s="41"/>
      <c r="O2233" s="42" t="s">
        <v>34</v>
      </c>
      <c r="P2233" s="43"/>
    </row>
    <row r="2234">
      <c r="A2234" s="44" t="s">
        <v>1043</v>
      </c>
      <c r="B2234" s="45" t="s">
        <v>442</v>
      </c>
      <c r="C2234" s="46" t="s">
        <v>2148</v>
      </c>
      <c r="D2234" s="47" t="str">
        <f t="shared" si="1"/>
        <v>Removed</v>
      </c>
      <c r="E2234" s="48">
        <v>43046.0</v>
      </c>
      <c r="F2234" s="49">
        <v>43073.0</v>
      </c>
      <c r="G2234" s="50">
        <f t="shared" si="2"/>
        <v>0.9</v>
      </c>
      <c r="H2234" s="51">
        <v>39912.0</v>
      </c>
      <c r="I2234" s="50">
        <f t="shared" si="4"/>
        <v>8.577777778</v>
      </c>
      <c r="J2234" s="55">
        <v>68.0</v>
      </c>
      <c r="K2234" s="56">
        <v>6.6</v>
      </c>
      <c r="L2234" s="55">
        <v>3.0</v>
      </c>
      <c r="M2234" s="58" t="s">
        <v>114</v>
      </c>
      <c r="N2234" s="59"/>
      <c r="O2234" s="60" t="s">
        <v>34</v>
      </c>
      <c r="P2234" s="61"/>
    </row>
    <row r="2235">
      <c r="A2235" s="29" t="s">
        <v>2323</v>
      </c>
      <c r="B2235" s="30" t="s">
        <v>2257</v>
      </c>
      <c r="C2235" s="31" t="s">
        <v>2148</v>
      </c>
      <c r="D2235" s="32" t="str">
        <f t="shared" si="1"/>
        <v>Removed</v>
      </c>
      <c r="E2235" s="33">
        <v>43046.0</v>
      </c>
      <c r="F2235" s="34">
        <v>43073.0</v>
      </c>
      <c r="G2235" s="36">
        <f t="shared" si="2"/>
        <v>0.9</v>
      </c>
      <c r="H2235" s="37">
        <v>42577.0</v>
      </c>
      <c r="I2235" s="36">
        <f t="shared" si="4"/>
        <v>1.280555556</v>
      </c>
      <c r="J2235" s="38">
        <v>63.0</v>
      </c>
      <c r="K2235" s="39">
        <v>6.9</v>
      </c>
      <c r="L2235" s="38">
        <v>10.0</v>
      </c>
      <c r="M2235" s="40" t="s">
        <v>42</v>
      </c>
      <c r="N2235" s="41"/>
      <c r="O2235" s="42" t="s">
        <v>34</v>
      </c>
      <c r="P2235" s="43"/>
    </row>
    <row r="2236">
      <c r="A2236" s="44" t="s">
        <v>2324</v>
      </c>
      <c r="B2236" s="45" t="s">
        <v>2264</v>
      </c>
      <c r="C2236" s="46" t="s">
        <v>2148</v>
      </c>
      <c r="D2236" s="47" t="str">
        <f t="shared" si="1"/>
        <v>Removed</v>
      </c>
      <c r="E2236" s="48">
        <v>43046.0</v>
      </c>
      <c r="F2236" s="49">
        <v>43073.0</v>
      </c>
      <c r="G2236" s="50">
        <f t="shared" si="2"/>
        <v>0.9</v>
      </c>
      <c r="H2236" s="51">
        <v>42251.0</v>
      </c>
      <c r="I2236" s="50">
        <f t="shared" si="4"/>
        <v>2.175</v>
      </c>
      <c r="J2236" s="55">
        <v>67.0</v>
      </c>
      <c r="K2236" s="56">
        <v>7.5</v>
      </c>
      <c r="L2236" s="55">
        <v>11.0</v>
      </c>
      <c r="M2236" s="58" t="s">
        <v>112</v>
      </c>
      <c r="N2236" s="59"/>
      <c r="O2236" s="60" t="s">
        <v>34</v>
      </c>
      <c r="P2236" s="61"/>
    </row>
    <row r="2237">
      <c r="A2237" s="29" t="s">
        <v>2157</v>
      </c>
      <c r="B2237" s="30" t="s">
        <v>45</v>
      </c>
      <c r="C2237" s="31" t="s">
        <v>2148</v>
      </c>
      <c r="D2237" s="32" t="str">
        <f t="shared" si="1"/>
        <v>Removed</v>
      </c>
      <c r="E2237" s="33">
        <v>43011.0</v>
      </c>
      <c r="F2237" s="34">
        <v>43045.0</v>
      </c>
      <c r="G2237" s="36">
        <f t="shared" si="2"/>
        <v>1.1</v>
      </c>
      <c r="H2237" s="37">
        <v>42248.0</v>
      </c>
      <c r="I2237" s="36">
        <f t="shared" si="4"/>
        <v>2.088888889</v>
      </c>
      <c r="J2237" s="38">
        <v>93.0</v>
      </c>
      <c r="K2237" s="39">
        <v>8.2</v>
      </c>
      <c r="L2237" s="38">
        <v>45.0</v>
      </c>
      <c r="M2237" s="40" t="s">
        <v>29</v>
      </c>
      <c r="N2237" s="41"/>
      <c r="O2237" s="42" t="s">
        <v>34</v>
      </c>
      <c r="P2237" s="43"/>
    </row>
    <row r="2238">
      <c r="A2238" s="44" t="s">
        <v>1863</v>
      </c>
      <c r="B2238" s="45" t="s">
        <v>45</v>
      </c>
      <c r="C2238" s="46" t="s">
        <v>2148</v>
      </c>
      <c r="D2238" s="47" t="str">
        <f t="shared" si="1"/>
        <v>Removed</v>
      </c>
      <c r="E2238" s="48">
        <v>43011.0</v>
      </c>
      <c r="F2238" s="49">
        <v>43045.0</v>
      </c>
      <c r="G2238" s="50">
        <f t="shared" si="2"/>
        <v>1.1</v>
      </c>
      <c r="H2238" s="51">
        <v>42696.0</v>
      </c>
      <c r="I2238" s="50">
        <f t="shared" si="4"/>
        <v>0.8638888889</v>
      </c>
      <c r="J2238" s="55">
        <v>78.0</v>
      </c>
      <c r="K2238" s="56">
        <v>8.1</v>
      </c>
      <c r="L2238" s="55">
        <v>17.0</v>
      </c>
      <c r="M2238" s="58" t="s">
        <v>537</v>
      </c>
      <c r="N2238" s="59"/>
      <c r="O2238" s="60" t="s">
        <v>34</v>
      </c>
      <c r="P2238" s="61"/>
    </row>
    <row r="2239">
      <c r="A2239" s="29" t="s">
        <v>2325</v>
      </c>
      <c r="B2239" s="30" t="s">
        <v>45</v>
      </c>
      <c r="C2239" s="31" t="s">
        <v>2148</v>
      </c>
      <c r="D2239" s="32" t="str">
        <f t="shared" si="1"/>
        <v>Removed</v>
      </c>
      <c r="E2239" s="33">
        <v>43011.0</v>
      </c>
      <c r="F2239" s="34">
        <v>43045.0</v>
      </c>
      <c r="G2239" s="36">
        <f t="shared" si="2"/>
        <v>1.1</v>
      </c>
      <c r="H2239" s="37">
        <v>42920.0</v>
      </c>
      <c r="I2239" s="36">
        <f t="shared" si="4"/>
        <v>0.2472222222</v>
      </c>
      <c r="J2239" s="38">
        <v>69.0</v>
      </c>
      <c r="K2239" s="39">
        <v>7.4</v>
      </c>
      <c r="L2239" s="76"/>
      <c r="M2239" s="40" t="s">
        <v>51</v>
      </c>
      <c r="N2239" s="41"/>
      <c r="O2239" s="42" t="s">
        <v>34</v>
      </c>
      <c r="P2239" s="43"/>
    </row>
    <row r="2240">
      <c r="A2240" s="44" t="s">
        <v>2326</v>
      </c>
      <c r="B2240" s="45" t="s">
        <v>384</v>
      </c>
      <c r="C2240" s="46" t="s">
        <v>2148</v>
      </c>
      <c r="D2240" s="47" t="str">
        <f t="shared" si="1"/>
        <v>Removed</v>
      </c>
      <c r="E2240" s="48">
        <v>43011.0</v>
      </c>
      <c r="F2240" s="49">
        <v>43045.0</v>
      </c>
      <c r="G2240" s="50">
        <f t="shared" si="2"/>
        <v>1.1</v>
      </c>
      <c r="H2240" s="51">
        <v>42654.0</v>
      </c>
      <c r="I2240" s="50">
        <f t="shared" si="4"/>
        <v>0.9777777778</v>
      </c>
      <c r="J2240" s="55">
        <v>78.0</v>
      </c>
      <c r="K2240" s="56">
        <v>7.5</v>
      </c>
      <c r="L2240" s="78"/>
      <c r="M2240" s="58" t="s">
        <v>31</v>
      </c>
      <c r="N2240" s="59"/>
      <c r="O2240" s="60" t="s">
        <v>34</v>
      </c>
      <c r="P2240" s="61"/>
    </row>
    <row r="2241">
      <c r="A2241" s="29" t="s">
        <v>2327</v>
      </c>
      <c r="B2241" s="30" t="s">
        <v>442</v>
      </c>
      <c r="C2241" s="31" t="s">
        <v>2148</v>
      </c>
      <c r="D2241" s="32" t="str">
        <f t="shared" si="1"/>
        <v>Removed</v>
      </c>
      <c r="E2241" s="33">
        <v>43011.0</v>
      </c>
      <c r="F2241" s="34">
        <v>43045.0</v>
      </c>
      <c r="G2241" s="36">
        <f t="shared" si="2"/>
        <v>1.1</v>
      </c>
      <c r="H2241" s="37">
        <v>42264.0</v>
      </c>
      <c r="I2241" s="36">
        <f t="shared" si="4"/>
        <v>2.044444444</v>
      </c>
      <c r="J2241" s="38">
        <v>50.0</v>
      </c>
      <c r="K2241" s="39">
        <v>5.4</v>
      </c>
      <c r="L2241" s="76"/>
      <c r="M2241" s="40" t="s">
        <v>95</v>
      </c>
      <c r="N2241" s="41"/>
      <c r="O2241" s="42" t="s">
        <v>34</v>
      </c>
      <c r="P2241" s="43"/>
    </row>
    <row r="2242">
      <c r="A2242" s="44" t="s">
        <v>1015</v>
      </c>
      <c r="B2242" s="45" t="s">
        <v>2255</v>
      </c>
      <c r="C2242" s="46" t="s">
        <v>2148</v>
      </c>
      <c r="D2242" s="47" t="str">
        <f t="shared" si="1"/>
        <v>Removed</v>
      </c>
      <c r="E2242" s="48">
        <v>43011.0</v>
      </c>
      <c r="F2242" s="49">
        <v>43045.0</v>
      </c>
      <c r="G2242" s="50">
        <f t="shared" si="2"/>
        <v>1.1</v>
      </c>
      <c r="H2242" s="51">
        <v>40213.0</v>
      </c>
      <c r="I2242" s="50">
        <f t="shared" si="4"/>
        <v>7.663888889</v>
      </c>
      <c r="J2242" s="55">
        <v>81.0</v>
      </c>
      <c r="K2242" s="56">
        <v>7.8</v>
      </c>
      <c r="L2242" s="78"/>
      <c r="M2242" s="58" t="s">
        <v>1016</v>
      </c>
      <c r="N2242" s="59"/>
      <c r="O2242" s="60" t="s">
        <v>34</v>
      </c>
      <c r="P2242" s="61"/>
    </row>
    <row r="2243">
      <c r="A2243" s="29" t="s">
        <v>1635</v>
      </c>
      <c r="B2243" s="30" t="s">
        <v>2257</v>
      </c>
      <c r="C2243" s="31" t="s">
        <v>2148</v>
      </c>
      <c r="D2243" s="32" t="str">
        <f t="shared" si="1"/>
        <v>Removed</v>
      </c>
      <c r="E2243" s="33">
        <v>43011.0</v>
      </c>
      <c r="F2243" s="34">
        <v>43045.0</v>
      </c>
      <c r="G2243" s="36">
        <f t="shared" si="2"/>
        <v>1.1</v>
      </c>
      <c r="H2243" s="37">
        <v>42612.0</v>
      </c>
      <c r="I2243" s="36">
        <f t="shared" si="4"/>
        <v>1.091666667</v>
      </c>
      <c r="J2243" s="38">
        <v>77.0</v>
      </c>
      <c r="K2243" s="39">
        <v>7.3</v>
      </c>
      <c r="L2243" s="38">
        <v>5.0</v>
      </c>
      <c r="M2243" s="40" t="s">
        <v>136</v>
      </c>
      <c r="N2243" s="41"/>
      <c r="O2243" s="42" t="s">
        <v>34</v>
      </c>
      <c r="P2243" s="43"/>
    </row>
    <row r="2244">
      <c r="A2244" s="44" t="s">
        <v>2328</v>
      </c>
      <c r="B2244" s="45" t="s">
        <v>2257</v>
      </c>
      <c r="C2244" s="46" t="s">
        <v>2148</v>
      </c>
      <c r="D2244" s="47" t="str">
        <f t="shared" si="1"/>
        <v>Removed</v>
      </c>
      <c r="E2244" s="48">
        <v>43011.0</v>
      </c>
      <c r="F2244" s="49">
        <v>43045.0</v>
      </c>
      <c r="G2244" s="50">
        <f t="shared" si="2"/>
        <v>1.1</v>
      </c>
      <c r="H2244" s="51">
        <v>42346.0</v>
      </c>
      <c r="I2244" s="50">
        <f t="shared" si="4"/>
        <v>1.819444444</v>
      </c>
      <c r="J2244" s="55">
        <v>72.0</v>
      </c>
      <c r="K2244" s="56">
        <v>7.1</v>
      </c>
      <c r="L2244" s="55">
        <v>5.0</v>
      </c>
      <c r="M2244" s="58" t="s">
        <v>31</v>
      </c>
      <c r="N2244" s="59"/>
      <c r="O2244" s="60" t="s">
        <v>34</v>
      </c>
      <c r="P2244" s="61"/>
    </row>
    <row r="2245">
      <c r="A2245" s="29" t="s">
        <v>1395</v>
      </c>
      <c r="B2245" s="30" t="s">
        <v>45</v>
      </c>
      <c r="C2245" s="31" t="s">
        <v>2148</v>
      </c>
      <c r="D2245" s="32" t="str">
        <f t="shared" si="1"/>
        <v>Removed</v>
      </c>
      <c r="E2245" s="33">
        <v>42983.0</v>
      </c>
      <c r="F2245" s="34">
        <v>43010.0</v>
      </c>
      <c r="G2245" s="36">
        <f t="shared" si="2"/>
        <v>0.9</v>
      </c>
      <c r="H2245" s="37">
        <v>41719.0</v>
      </c>
      <c r="I2245" s="36">
        <f t="shared" si="4"/>
        <v>3.455555556</v>
      </c>
      <c r="J2245" s="38">
        <v>80.0</v>
      </c>
      <c r="K2245" s="39">
        <v>8.0</v>
      </c>
      <c r="L2245" s="38">
        <v>10.0</v>
      </c>
      <c r="M2245" s="40" t="s">
        <v>29</v>
      </c>
      <c r="N2245" s="41"/>
      <c r="O2245" s="42" t="s">
        <v>34</v>
      </c>
      <c r="P2245" s="43"/>
    </row>
    <row r="2246">
      <c r="A2246" s="44" t="s">
        <v>2329</v>
      </c>
      <c r="B2246" s="45" t="s">
        <v>45</v>
      </c>
      <c r="C2246" s="46" t="s">
        <v>2148</v>
      </c>
      <c r="D2246" s="47" t="str">
        <f t="shared" si="1"/>
        <v>Removed</v>
      </c>
      <c r="E2246" s="48">
        <v>42983.0</v>
      </c>
      <c r="F2246" s="49">
        <v>43010.0</v>
      </c>
      <c r="G2246" s="50">
        <f t="shared" si="2"/>
        <v>0.9</v>
      </c>
      <c r="H2246" s="51">
        <v>42983.0</v>
      </c>
      <c r="I2246" s="50">
        <f t="shared" si="4"/>
        <v>0</v>
      </c>
      <c r="J2246" s="55">
        <v>75.0</v>
      </c>
      <c r="K2246" s="56">
        <v>6.7</v>
      </c>
      <c r="L2246" s="78"/>
      <c r="M2246" s="58" t="s">
        <v>31</v>
      </c>
      <c r="N2246" s="59"/>
      <c r="O2246" s="60" t="s">
        <v>34</v>
      </c>
      <c r="P2246" s="61"/>
    </row>
    <row r="2247">
      <c r="A2247" s="29" t="s">
        <v>2325</v>
      </c>
      <c r="B2247" s="30" t="s">
        <v>45</v>
      </c>
      <c r="C2247" s="31" t="s">
        <v>2148</v>
      </c>
      <c r="D2247" s="32" t="str">
        <f t="shared" si="1"/>
        <v>Removed</v>
      </c>
      <c r="E2247" s="33">
        <v>42983.0</v>
      </c>
      <c r="F2247" s="34">
        <v>43010.0</v>
      </c>
      <c r="G2247" s="36">
        <f t="shared" si="2"/>
        <v>0.9</v>
      </c>
      <c r="H2247" s="37">
        <v>42920.0</v>
      </c>
      <c r="I2247" s="36">
        <f t="shared" si="4"/>
        <v>0.1694444444</v>
      </c>
      <c r="J2247" s="38">
        <v>69.0</v>
      </c>
      <c r="K2247" s="39">
        <v>7.4</v>
      </c>
      <c r="L2247" s="76"/>
      <c r="M2247" s="40" t="s">
        <v>51</v>
      </c>
      <c r="N2247" s="41"/>
      <c r="O2247" s="42" t="s">
        <v>34</v>
      </c>
      <c r="P2247" s="43"/>
    </row>
    <row r="2248">
      <c r="A2248" s="44" t="s">
        <v>2326</v>
      </c>
      <c r="B2248" s="45" t="s">
        <v>384</v>
      </c>
      <c r="C2248" s="46" t="s">
        <v>2148</v>
      </c>
      <c r="D2248" s="47" t="str">
        <f t="shared" si="1"/>
        <v>Removed</v>
      </c>
      <c r="E2248" s="48">
        <v>42983.0</v>
      </c>
      <c r="F2248" s="49">
        <v>43010.0</v>
      </c>
      <c r="G2248" s="50">
        <f t="shared" si="2"/>
        <v>0.9</v>
      </c>
      <c r="H2248" s="51">
        <v>42654.0</v>
      </c>
      <c r="I2248" s="50">
        <f t="shared" si="4"/>
        <v>0.9</v>
      </c>
      <c r="J2248" s="55">
        <v>78.0</v>
      </c>
      <c r="K2248" s="56">
        <v>7.5</v>
      </c>
      <c r="L2248" s="78"/>
      <c r="M2248" s="58" t="s">
        <v>31</v>
      </c>
      <c r="N2248" s="59"/>
      <c r="O2248" s="60" t="s">
        <v>34</v>
      </c>
      <c r="P2248" s="61"/>
    </row>
    <row r="2249">
      <c r="A2249" s="29" t="s">
        <v>961</v>
      </c>
      <c r="B2249" s="30" t="s">
        <v>442</v>
      </c>
      <c r="C2249" s="31" t="s">
        <v>2148</v>
      </c>
      <c r="D2249" s="32" t="str">
        <f t="shared" si="1"/>
        <v>Removed</v>
      </c>
      <c r="E2249" s="33">
        <v>42983.0</v>
      </c>
      <c r="F2249" s="34">
        <v>43010.0</v>
      </c>
      <c r="G2249" s="36">
        <f t="shared" si="2"/>
        <v>0.9</v>
      </c>
      <c r="H2249" s="37">
        <v>41919.0</v>
      </c>
      <c r="I2249" s="36">
        <f t="shared" si="4"/>
        <v>2.911111111</v>
      </c>
      <c r="J2249" s="38">
        <v>49.0</v>
      </c>
      <c r="K2249" s="39">
        <v>5.4</v>
      </c>
      <c r="L2249" s="38">
        <v>5.0</v>
      </c>
      <c r="M2249" s="40" t="s">
        <v>95</v>
      </c>
      <c r="N2249" s="41"/>
      <c r="O2249" s="42" t="s">
        <v>34</v>
      </c>
      <c r="P2249" s="43"/>
    </row>
    <row r="2250">
      <c r="A2250" s="44" t="s">
        <v>2330</v>
      </c>
      <c r="B2250" s="45" t="s">
        <v>442</v>
      </c>
      <c r="C2250" s="46" t="s">
        <v>2148</v>
      </c>
      <c r="D2250" s="47" t="str">
        <f t="shared" si="1"/>
        <v>Removed</v>
      </c>
      <c r="E2250" s="48">
        <v>42983.0</v>
      </c>
      <c r="F2250" s="49">
        <v>43010.0</v>
      </c>
      <c r="G2250" s="50">
        <f t="shared" si="2"/>
        <v>0.9</v>
      </c>
      <c r="H2250" s="51">
        <v>42335.0</v>
      </c>
      <c r="I2250" s="50">
        <f t="shared" si="4"/>
        <v>1.772222222</v>
      </c>
      <c r="J2250" s="55">
        <v>49.0</v>
      </c>
      <c r="K2250" s="56">
        <v>5.5</v>
      </c>
      <c r="L2250" s="78"/>
      <c r="M2250" s="58" t="s">
        <v>125</v>
      </c>
      <c r="N2250" s="59"/>
      <c r="O2250" s="60" t="s">
        <v>34</v>
      </c>
      <c r="P2250" s="61"/>
    </row>
    <row r="2251">
      <c r="A2251" s="29" t="s">
        <v>2331</v>
      </c>
      <c r="B2251" s="30" t="s">
        <v>2257</v>
      </c>
      <c r="C2251" s="31" t="s">
        <v>2148</v>
      </c>
      <c r="D2251" s="32" t="str">
        <f t="shared" si="1"/>
        <v>Removed</v>
      </c>
      <c r="E2251" s="33">
        <v>42983.0</v>
      </c>
      <c r="F2251" s="34">
        <v>43010.0</v>
      </c>
      <c r="G2251" s="36">
        <f t="shared" si="2"/>
        <v>0.9</v>
      </c>
      <c r="H2251" s="37">
        <v>42108.0</v>
      </c>
      <c r="I2251" s="36">
        <f t="shared" si="4"/>
        <v>2.391666667</v>
      </c>
      <c r="J2251" s="38">
        <v>61.0</v>
      </c>
      <c r="K2251" s="39">
        <v>6.9</v>
      </c>
      <c r="L2251" s="38">
        <v>2.0</v>
      </c>
      <c r="M2251" s="40" t="s">
        <v>31</v>
      </c>
      <c r="N2251" s="41"/>
      <c r="O2251" s="42" t="s">
        <v>34</v>
      </c>
      <c r="P2251" s="43"/>
    </row>
    <row r="2252">
      <c r="A2252" s="44" t="s">
        <v>2332</v>
      </c>
      <c r="B2252" s="45" t="s">
        <v>2257</v>
      </c>
      <c r="C2252" s="46" t="s">
        <v>2148</v>
      </c>
      <c r="D2252" s="47" t="str">
        <f t="shared" si="1"/>
        <v>Removed</v>
      </c>
      <c r="E2252" s="48">
        <v>42983.0</v>
      </c>
      <c r="F2252" s="49">
        <v>43010.0</v>
      </c>
      <c r="G2252" s="50">
        <f t="shared" si="2"/>
        <v>0.9</v>
      </c>
      <c r="H2252" s="51">
        <v>41886.0</v>
      </c>
      <c r="I2252" s="50">
        <f t="shared" si="4"/>
        <v>3.002777778</v>
      </c>
      <c r="J2252" s="55">
        <v>72.0</v>
      </c>
      <c r="K2252" s="56">
        <v>7.4</v>
      </c>
      <c r="L2252" s="55">
        <v>4.0</v>
      </c>
      <c r="M2252" s="58" t="s">
        <v>689</v>
      </c>
      <c r="N2252" s="59"/>
      <c r="O2252" s="60" t="s">
        <v>34</v>
      </c>
      <c r="P2252" s="61"/>
    </row>
    <row r="2253">
      <c r="A2253" s="29" t="s">
        <v>1438</v>
      </c>
      <c r="B2253" s="30" t="s">
        <v>45</v>
      </c>
      <c r="C2253" s="31" t="s">
        <v>2148</v>
      </c>
      <c r="D2253" s="32" t="str">
        <f t="shared" si="1"/>
        <v>Removed</v>
      </c>
      <c r="E2253" s="33">
        <v>42948.0</v>
      </c>
      <c r="F2253" s="34">
        <v>42982.0</v>
      </c>
      <c r="G2253" s="36">
        <f t="shared" si="2"/>
        <v>1.1</v>
      </c>
      <c r="H2253" s="37">
        <v>42339.0</v>
      </c>
      <c r="I2253" s="36">
        <f t="shared" si="4"/>
        <v>1.666666667</v>
      </c>
      <c r="J2253" s="38">
        <v>73.0</v>
      </c>
      <c r="K2253" s="39">
        <v>6.2</v>
      </c>
      <c r="L2253" s="38">
        <v>18.0</v>
      </c>
      <c r="M2253" s="40" t="s">
        <v>29</v>
      </c>
      <c r="N2253" s="41"/>
      <c r="O2253" s="42" t="s">
        <v>34</v>
      </c>
      <c r="P2253" s="43"/>
    </row>
    <row r="2254">
      <c r="A2254" s="44" t="s">
        <v>2333</v>
      </c>
      <c r="B2254" s="45" t="s">
        <v>45</v>
      </c>
      <c r="C2254" s="46" t="s">
        <v>2148</v>
      </c>
      <c r="D2254" s="47" t="str">
        <f t="shared" si="1"/>
        <v>Removed</v>
      </c>
      <c r="E2254" s="48">
        <v>42948.0</v>
      </c>
      <c r="F2254" s="49">
        <v>42982.0</v>
      </c>
      <c r="G2254" s="50">
        <f t="shared" si="2"/>
        <v>1.1</v>
      </c>
      <c r="H2254" s="51">
        <v>41688.0</v>
      </c>
      <c r="I2254" s="50">
        <f t="shared" si="4"/>
        <v>3.452777778</v>
      </c>
      <c r="J2254" s="55">
        <v>71.0</v>
      </c>
      <c r="K2254" s="56">
        <v>6.7</v>
      </c>
      <c r="L2254" s="55">
        <v>6.0</v>
      </c>
      <c r="M2254" s="58" t="s">
        <v>29</v>
      </c>
      <c r="N2254" s="59"/>
      <c r="O2254" s="60" t="s">
        <v>34</v>
      </c>
      <c r="P2254" s="61"/>
    </row>
    <row r="2255">
      <c r="A2255" s="29" t="s">
        <v>2325</v>
      </c>
      <c r="B2255" s="30" t="s">
        <v>45</v>
      </c>
      <c r="C2255" s="31" t="s">
        <v>2148</v>
      </c>
      <c r="D2255" s="32" t="str">
        <f t="shared" si="1"/>
        <v>Removed</v>
      </c>
      <c r="E2255" s="33">
        <v>42948.0</v>
      </c>
      <c r="F2255" s="34">
        <v>42982.0</v>
      </c>
      <c r="G2255" s="36">
        <f t="shared" si="2"/>
        <v>1.1</v>
      </c>
      <c r="H2255" s="37">
        <v>42920.0</v>
      </c>
      <c r="I2255" s="36">
        <f t="shared" si="4"/>
        <v>0.075</v>
      </c>
      <c r="J2255" s="38">
        <v>69.0</v>
      </c>
      <c r="K2255" s="39">
        <v>7.4</v>
      </c>
      <c r="L2255" s="76"/>
      <c r="M2255" s="40" t="s">
        <v>51</v>
      </c>
      <c r="N2255" s="41"/>
      <c r="O2255" s="42" t="s">
        <v>34</v>
      </c>
      <c r="P2255" s="43"/>
    </row>
    <row r="2256">
      <c r="A2256" s="44" t="s">
        <v>2334</v>
      </c>
      <c r="B2256" s="45" t="s">
        <v>2261</v>
      </c>
      <c r="C2256" s="46" t="s">
        <v>2148</v>
      </c>
      <c r="D2256" s="47" t="str">
        <f t="shared" si="1"/>
        <v>Removed</v>
      </c>
      <c r="E2256" s="48">
        <v>42948.0</v>
      </c>
      <c r="F2256" s="49">
        <v>42982.0</v>
      </c>
      <c r="G2256" s="50">
        <f t="shared" si="2"/>
        <v>1.1</v>
      </c>
      <c r="H2256" s="51">
        <v>41582.0</v>
      </c>
      <c r="I2256" s="50">
        <f t="shared" si="4"/>
        <v>3.741666667</v>
      </c>
      <c r="J2256" s="55">
        <v>65.0</v>
      </c>
      <c r="K2256" s="56">
        <v>7.1</v>
      </c>
      <c r="L2256" s="55">
        <v>6.0</v>
      </c>
      <c r="M2256" s="58" t="s">
        <v>29</v>
      </c>
      <c r="N2256" s="59"/>
      <c r="O2256" s="60" t="s">
        <v>34</v>
      </c>
      <c r="P2256" s="61"/>
    </row>
    <row r="2257">
      <c r="A2257" s="29" t="s">
        <v>2335</v>
      </c>
      <c r="B2257" s="30" t="s">
        <v>442</v>
      </c>
      <c r="C2257" s="31" t="s">
        <v>2148</v>
      </c>
      <c r="D2257" s="32" t="str">
        <f t="shared" si="1"/>
        <v>Removed</v>
      </c>
      <c r="E2257" s="33">
        <v>42948.0</v>
      </c>
      <c r="F2257" s="34">
        <v>42982.0</v>
      </c>
      <c r="G2257" s="36">
        <f t="shared" si="2"/>
        <v>1.1</v>
      </c>
      <c r="H2257" s="37">
        <v>39408.0</v>
      </c>
      <c r="I2257" s="36">
        <f t="shared" si="4"/>
        <v>9.691666667</v>
      </c>
      <c r="J2257" s="38">
        <v>65.0</v>
      </c>
      <c r="K2257" s="39">
        <v>6.8</v>
      </c>
      <c r="L2257" s="38">
        <v>3.0</v>
      </c>
      <c r="M2257" s="40" t="s">
        <v>217</v>
      </c>
      <c r="N2257" s="41"/>
      <c r="O2257" s="42" t="s">
        <v>34</v>
      </c>
      <c r="P2257" s="43"/>
    </row>
    <row r="2258">
      <c r="A2258" s="44" t="s">
        <v>2336</v>
      </c>
      <c r="B2258" s="45" t="s">
        <v>2257</v>
      </c>
      <c r="C2258" s="46" t="s">
        <v>2148</v>
      </c>
      <c r="D2258" s="47" t="str">
        <f t="shared" si="1"/>
        <v>Removed</v>
      </c>
      <c r="E2258" s="48">
        <v>42948.0</v>
      </c>
      <c r="F2258" s="49">
        <v>42982.0</v>
      </c>
      <c r="G2258" s="50">
        <f t="shared" si="2"/>
        <v>1.1</v>
      </c>
      <c r="H2258" s="51">
        <v>42514.0</v>
      </c>
      <c r="I2258" s="50">
        <f t="shared" si="4"/>
        <v>1.186111111</v>
      </c>
      <c r="J2258" s="55">
        <v>85.0</v>
      </c>
      <c r="K2258" s="56">
        <v>7.8</v>
      </c>
      <c r="L2258" s="55">
        <v>3.0</v>
      </c>
      <c r="M2258" s="58" t="s">
        <v>27</v>
      </c>
      <c r="N2258" s="59"/>
      <c r="O2258" s="60" t="s">
        <v>34</v>
      </c>
      <c r="P2258" s="61"/>
    </row>
    <row r="2259">
      <c r="A2259" s="29" t="s">
        <v>2337</v>
      </c>
      <c r="B2259" s="30" t="s">
        <v>2264</v>
      </c>
      <c r="C2259" s="31" t="s">
        <v>2148</v>
      </c>
      <c r="D2259" s="32" t="str">
        <f t="shared" si="1"/>
        <v>Removed</v>
      </c>
      <c r="E2259" s="33">
        <v>42948.0</v>
      </c>
      <c r="F2259" s="34">
        <v>42982.0</v>
      </c>
      <c r="G2259" s="36">
        <f t="shared" si="2"/>
        <v>1.1</v>
      </c>
      <c r="H2259" s="37">
        <v>42276.0</v>
      </c>
      <c r="I2259" s="36">
        <f t="shared" si="4"/>
        <v>1.838888889</v>
      </c>
      <c r="J2259" s="38">
        <v>60.0</v>
      </c>
      <c r="K2259" s="39">
        <v>6.7</v>
      </c>
      <c r="L2259" s="38">
        <v>2.0</v>
      </c>
      <c r="M2259" s="40" t="s">
        <v>103</v>
      </c>
      <c r="N2259" s="41"/>
      <c r="O2259" s="42" t="s">
        <v>34</v>
      </c>
      <c r="P2259" s="43"/>
    </row>
    <row r="2260">
      <c r="A2260" s="44" t="s">
        <v>771</v>
      </c>
      <c r="B2260" s="45" t="s">
        <v>45</v>
      </c>
      <c r="C2260" s="46" t="s">
        <v>2148</v>
      </c>
      <c r="D2260" s="47" t="str">
        <f t="shared" si="1"/>
        <v>Removed</v>
      </c>
      <c r="E2260" s="48">
        <v>42920.0</v>
      </c>
      <c r="F2260" s="49">
        <v>42947.0</v>
      </c>
      <c r="G2260" s="50">
        <f t="shared" si="2"/>
        <v>0.8666666667</v>
      </c>
      <c r="H2260" s="51">
        <v>42241.0</v>
      </c>
      <c r="I2260" s="50">
        <f t="shared" si="4"/>
        <v>1.858333333</v>
      </c>
      <c r="J2260" s="55">
        <v>79.0</v>
      </c>
      <c r="K2260" s="56">
        <v>8.3</v>
      </c>
      <c r="L2260" s="55">
        <v>9.0</v>
      </c>
      <c r="M2260" s="58" t="s">
        <v>537</v>
      </c>
      <c r="N2260" s="59"/>
      <c r="O2260" s="60" t="s">
        <v>34</v>
      </c>
      <c r="P2260" s="61"/>
    </row>
    <row r="2261">
      <c r="A2261" s="29" t="s">
        <v>2338</v>
      </c>
      <c r="B2261" s="30" t="s">
        <v>45</v>
      </c>
      <c r="C2261" s="31" t="s">
        <v>2148</v>
      </c>
      <c r="D2261" s="32" t="str">
        <f t="shared" si="1"/>
        <v>Removed</v>
      </c>
      <c r="E2261" s="33">
        <v>42920.0</v>
      </c>
      <c r="F2261" s="34">
        <v>42947.0</v>
      </c>
      <c r="G2261" s="36">
        <f t="shared" si="2"/>
        <v>0.8666666667</v>
      </c>
      <c r="H2261" s="37">
        <v>41975.0</v>
      </c>
      <c r="I2261" s="36">
        <f t="shared" si="4"/>
        <v>2.588888889</v>
      </c>
      <c r="J2261" s="38">
        <v>69.0</v>
      </c>
      <c r="K2261" s="39">
        <v>7.0</v>
      </c>
      <c r="L2261" s="38">
        <v>11.0</v>
      </c>
      <c r="M2261" s="40" t="s">
        <v>112</v>
      </c>
      <c r="N2261" s="41"/>
      <c r="O2261" s="42" t="s">
        <v>34</v>
      </c>
      <c r="P2261" s="43"/>
    </row>
    <row r="2262">
      <c r="A2262" s="44" t="s">
        <v>2325</v>
      </c>
      <c r="B2262" s="45" t="s">
        <v>45</v>
      </c>
      <c r="C2262" s="46" t="s">
        <v>2148</v>
      </c>
      <c r="D2262" s="47" t="str">
        <f t="shared" si="1"/>
        <v>Removed</v>
      </c>
      <c r="E2262" s="48">
        <v>42920.0</v>
      </c>
      <c r="F2262" s="49">
        <v>42947.0</v>
      </c>
      <c r="G2262" s="50">
        <f t="shared" si="2"/>
        <v>0.8666666667</v>
      </c>
      <c r="H2262" s="51">
        <v>42920.0</v>
      </c>
      <c r="I2262" s="50">
        <f t="shared" si="4"/>
        <v>0</v>
      </c>
      <c r="J2262" s="55">
        <v>69.0</v>
      </c>
      <c r="K2262" s="56">
        <v>7.4</v>
      </c>
      <c r="L2262" s="78"/>
      <c r="M2262" s="58" t="s">
        <v>51</v>
      </c>
      <c r="N2262" s="59"/>
      <c r="O2262" s="60" t="s">
        <v>34</v>
      </c>
      <c r="P2262" s="61"/>
    </row>
    <row r="2263">
      <c r="A2263" s="29" t="s">
        <v>2339</v>
      </c>
      <c r="B2263" s="30" t="s">
        <v>442</v>
      </c>
      <c r="C2263" s="31" t="s">
        <v>2148</v>
      </c>
      <c r="D2263" s="32" t="str">
        <f t="shared" si="1"/>
        <v>Removed</v>
      </c>
      <c r="E2263" s="33">
        <v>42920.0</v>
      </c>
      <c r="F2263" s="34">
        <v>42947.0</v>
      </c>
      <c r="G2263" s="36">
        <f t="shared" si="2"/>
        <v>0.8666666667</v>
      </c>
      <c r="H2263" s="37">
        <v>41177.0</v>
      </c>
      <c r="I2263" s="36">
        <f t="shared" si="4"/>
        <v>4.775</v>
      </c>
      <c r="J2263" s="38">
        <v>74.0</v>
      </c>
      <c r="K2263" s="39">
        <v>7.7</v>
      </c>
      <c r="L2263" s="38">
        <v>10.0</v>
      </c>
      <c r="M2263" s="40" t="s">
        <v>29</v>
      </c>
      <c r="N2263" s="41"/>
      <c r="O2263" s="42" t="s">
        <v>34</v>
      </c>
      <c r="P2263" s="43"/>
    </row>
    <row r="2264">
      <c r="A2264" s="44" t="s">
        <v>2340</v>
      </c>
      <c r="B2264" s="45" t="s">
        <v>442</v>
      </c>
      <c r="C2264" s="46" t="s">
        <v>2148</v>
      </c>
      <c r="D2264" s="47" t="str">
        <f t="shared" si="1"/>
        <v>Removed</v>
      </c>
      <c r="E2264" s="48">
        <v>42920.0</v>
      </c>
      <c r="F2264" s="49">
        <v>42947.0</v>
      </c>
      <c r="G2264" s="50">
        <f t="shared" si="2"/>
        <v>0.8666666667</v>
      </c>
      <c r="H2264" s="51">
        <v>41345.0</v>
      </c>
      <c r="I2264" s="50">
        <f t="shared" si="4"/>
        <v>4.311111111</v>
      </c>
      <c r="J2264" s="55">
        <v>80.0</v>
      </c>
      <c r="K2264" s="56">
        <v>7.6</v>
      </c>
      <c r="L2264" s="78"/>
      <c r="M2264" s="58" t="s">
        <v>114</v>
      </c>
      <c r="N2264" s="59"/>
      <c r="O2264" s="60" t="s">
        <v>34</v>
      </c>
      <c r="P2264" s="61"/>
    </row>
    <row r="2265">
      <c r="A2265" s="29" t="s">
        <v>2341</v>
      </c>
      <c r="B2265" s="30" t="s">
        <v>2257</v>
      </c>
      <c r="C2265" s="31" t="s">
        <v>2148</v>
      </c>
      <c r="D2265" s="32" t="str">
        <f t="shared" si="1"/>
        <v>Removed</v>
      </c>
      <c r="E2265" s="33">
        <v>42920.0</v>
      </c>
      <c r="F2265" s="34">
        <v>42947.0</v>
      </c>
      <c r="G2265" s="36">
        <f t="shared" si="2"/>
        <v>0.8666666667</v>
      </c>
      <c r="H2265" s="37">
        <v>42178.0</v>
      </c>
      <c r="I2265" s="36">
        <f t="shared" si="4"/>
        <v>2.030555556</v>
      </c>
      <c r="J2265" s="38">
        <v>76.0</v>
      </c>
      <c r="K2265" s="39">
        <v>6.8</v>
      </c>
      <c r="L2265" s="38">
        <v>2.0</v>
      </c>
      <c r="M2265" s="40" t="s">
        <v>217</v>
      </c>
      <c r="N2265" s="41"/>
      <c r="O2265" s="42" t="s">
        <v>34</v>
      </c>
      <c r="P2265" s="43"/>
    </row>
    <row r="2266">
      <c r="A2266" s="44" t="s">
        <v>2342</v>
      </c>
      <c r="B2266" s="45" t="s">
        <v>2264</v>
      </c>
      <c r="C2266" s="46" t="s">
        <v>2148</v>
      </c>
      <c r="D2266" s="47" t="str">
        <f t="shared" si="1"/>
        <v>Removed</v>
      </c>
      <c r="E2266" s="48">
        <v>42920.0</v>
      </c>
      <c r="F2266" s="49">
        <v>42947.0</v>
      </c>
      <c r="G2266" s="50">
        <f t="shared" si="2"/>
        <v>0.8666666667</v>
      </c>
      <c r="H2266" s="51">
        <v>42180.0</v>
      </c>
      <c r="I2266" s="50">
        <f t="shared" si="4"/>
        <v>2.025</v>
      </c>
      <c r="J2266" s="55">
        <v>62.0</v>
      </c>
      <c r="K2266" s="56">
        <v>6.2</v>
      </c>
      <c r="L2266" s="55">
        <v>3.0</v>
      </c>
      <c r="M2266" s="58" t="s">
        <v>27</v>
      </c>
      <c r="N2266" s="59"/>
      <c r="O2266" s="60" t="s">
        <v>34</v>
      </c>
      <c r="P2266" s="61"/>
    </row>
    <row r="2267">
      <c r="A2267" s="29" t="s">
        <v>404</v>
      </c>
      <c r="B2267" s="30" t="s">
        <v>45</v>
      </c>
      <c r="C2267" s="31" t="s">
        <v>2148</v>
      </c>
      <c r="D2267" s="32" t="str">
        <f t="shared" si="1"/>
        <v>Removed</v>
      </c>
      <c r="E2267" s="33">
        <v>42892.0</v>
      </c>
      <c r="F2267" s="34">
        <v>42919.0</v>
      </c>
      <c r="G2267" s="36">
        <f t="shared" si="2"/>
        <v>0.9</v>
      </c>
      <c r="H2267" s="37">
        <v>42692.0</v>
      </c>
      <c r="I2267" s="36">
        <f t="shared" si="4"/>
        <v>0.55</v>
      </c>
      <c r="J2267" s="38">
        <v>75.0</v>
      </c>
      <c r="K2267" s="39">
        <v>7.5</v>
      </c>
      <c r="L2267" s="38">
        <v>16.0</v>
      </c>
      <c r="M2267" s="40" t="s">
        <v>31</v>
      </c>
      <c r="N2267" s="41"/>
      <c r="O2267" s="42" t="s">
        <v>34</v>
      </c>
      <c r="P2267" s="43"/>
    </row>
    <row r="2268">
      <c r="A2268" s="44" t="s">
        <v>1444</v>
      </c>
      <c r="B2268" s="45" t="s">
        <v>45</v>
      </c>
      <c r="C2268" s="46" t="s">
        <v>2148</v>
      </c>
      <c r="D2268" s="47" t="str">
        <f t="shared" si="1"/>
        <v>Removed</v>
      </c>
      <c r="E2268" s="48">
        <v>42892.0</v>
      </c>
      <c r="F2268" s="49">
        <v>42919.0</v>
      </c>
      <c r="G2268" s="50">
        <f t="shared" si="2"/>
        <v>0.9</v>
      </c>
      <c r="H2268" s="51">
        <v>42034.0</v>
      </c>
      <c r="I2268" s="50">
        <f t="shared" si="4"/>
        <v>2.35</v>
      </c>
      <c r="J2268" s="55">
        <v>85.0</v>
      </c>
      <c r="K2268" s="56">
        <v>8.4</v>
      </c>
      <c r="L2268" s="55">
        <v>14.0</v>
      </c>
      <c r="M2268" s="58" t="s">
        <v>112</v>
      </c>
      <c r="N2268" s="59"/>
      <c r="O2268" s="60" t="s">
        <v>34</v>
      </c>
      <c r="P2268" s="61"/>
    </row>
    <row r="2269">
      <c r="A2269" s="29" t="s">
        <v>2343</v>
      </c>
      <c r="B2269" s="30" t="s">
        <v>442</v>
      </c>
      <c r="C2269" s="31" t="s">
        <v>2148</v>
      </c>
      <c r="D2269" s="32" t="str">
        <f t="shared" si="1"/>
        <v>Removed</v>
      </c>
      <c r="E2269" s="33">
        <v>42892.0</v>
      </c>
      <c r="F2269" s="34">
        <v>42919.0</v>
      </c>
      <c r="G2269" s="36">
        <f t="shared" si="2"/>
        <v>0.9</v>
      </c>
      <c r="H2269" s="37">
        <v>41835.0</v>
      </c>
      <c r="I2269" s="36">
        <f t="shared" si="4"/>
        <v>2.891666667</v>
      </c>
      <c r="J2269" s="38">
        <v>70.0</v>
      </c>
      <c r="K2269" s="39">
        <v>6.5</v>
      </c>
      <c r="L2269" s="38">
        <v>7.0</v>
      </c>
      <c r="M2269" s="40" t="s">
        <v>29</v>
      </c>
      <c r="N2269" s="41"/>
      <c r="O2269" s="42" t="s">
        <v>34</v>
      </c>
      <c r="P2269" s="43"/>
    </row>
    <row r="2270">
      <c r="A2270" s="44" t="s">
        <v>2344</v>
      </c>
      <c r="B2270" s="45" t="s">
        <v>442</v>
      </c>
      <c r="C2270" s="46" t="s">
        <v>2148</v>
      </c>
      <c r="D2270" s="47" t="str">
        <f t="shared" si="1"/>
        <v>Removed</v>
      </c>
      <c r="E2270" s="48">
        <v>42892.0</v>
      </c>
      <c r="F2270" s="49">
        <v>42919.0</v>
      </c>
      <c r="G2270" s="50">
        <f t="shared" si="2"/>
        <v>0.9</v>
      </c>
      <c r="H2270" s="51">
        <v>42290.0</v>
      </c>
      <c r="I2270" s="50">
        <f t="shared" si="4"/>
        <v>1.647222222</v>
      </c>
      <c r="J2270" s="55">
        <v>62.0</v>
      </c>
      <c r="K2270" s="56">
        <v>6.7</v>
      </c>
      <c r="L2270" s="78"/>
      <c r="M2270" s="58" t="s">
        <v>95</v>
      </c>
      <c r="N2270" s="59"/>
      <c r="O2270" s="60" t="s">
        <v>34</v>
      </c>
      <c r="P2270" s="61"/>
    </row>
    <row r="2271">
      <c r="A2271" s="29" t="s">
        <v>1912</v>
      </c>
      <c r="B2271" s="30" t="s">
        <v>2257</v>
      </c>
      <c r="C2271" s="31" t="s">
        <v>2148</v>
      </c>
      <c r="D2271" s="32" t="str">
        <f t="shared" si="1"/>
        <v>Removed</v>
      </c>
      <c r="E2271" s="33">
        <v>42892.0</v>
      </c>
      <c r="F2271" s="34">
        <v>42919.0</v>
      </c>
      <c r="G2271" s="36">
        <f t="shared" si="2"/>
        <v>0.9</v>
      </c>
      <c r="H2271" s="37">
        <v>42514.0</v>
      </c>
      <c r="I2271" s="36">
        <f t="shared" si="4"/>
        <v>1.033333333</v>
      </c>
      <c r="J2271" s="38">
        <v>63.0</v>
      </c>
      <c r="K2271" s="39">
        <v>6.9</v>
      </c>
      <c r="L2271" s="38">
        <v>5.0</v>
      </c>
      <c r="M2271" s="40" t="s">
        <v>31</v>
      </c>
      <c r="N2271" s="41"/>
      <c r="O2271" s="42" t="s">
        <v>34</v>
      </c>
      <c r="P2271" s="43"/>
    </row>
    <row r="2272">
      <c r="A2272" s="44" t="s">
        <v>2345</v>
      </c>
      <c r="B2272" s="45" t="s">
        <v>2257</v>
      </c>
      <c r="C2272" s="46" t="s">
        <v>2148</v>
      </c>
      <c r="D2272" s="47" t="str">
        <f t="shared" si="1"/>
        <v>Removed</v>
      </c>
      <c r="E2272" s="48">
        <v>42892.0</v>
      </c>
      <c r="F2272" s="49">
        <v>42919.0</v>
      </c>
      <c r="G2272" s="50">
        <f t="shared" si="2"/>
        <v>0.9</v>
      </c>
      <c r="H2272" s="51">
        <v>42166.0</v>
      </c>
      <c r="I2272" s="50">
        <f t="shared" si="4"/>
        <v>1.986111111</v>
      </c>
      <c r="J2272" s="55">
        <v>65.0</v>
      </c>
      <c r="K2272" s="56">
        <v>6.8</v>
      </c>
      <c r="L2272" s="55">
        <v>3.0</v>
      </c>
      <c r="M2272" s="58" t="s">
        <v>136</v>
      </c>
      <c r="N2272" s="59"/>
      <c r="O2272" s="60" t="s">
        <v>34</v>
      </c>
      <c r="P2272" s="61"/>
    </row>
    <row r="2273">
      <c r="A2273" s="29" t="s">
        <v>2346</v>
      </c>
      <c r="B2273" s="30" t="s">
        <v>45</v>
      </c>
      <c r="C2273" s="31" t="s">
        <v>2148</v>
      </c>
      <c r="D2273" s="32" t="str">
        <f t="shared" si="1"/>
        <v>Removed</v>
      </c>
      <c r="E2273" s="33">
        <v>42857.0</v>
      </c>
      <c r="F2273" s="34">
        <v>42891.0</v>
      </c>
      <c r="G2273" s="36">
        <f t="shared" si="2"/>
        <v>1.1</v>
      </c>
      <c r="H2273" s="37">
        <v>42584.0</v>
      </c>
      <c r="I2273" s="36">
        <f t="shared" si="4"/>
        <v>0.75</v>
      </c>
      <c r="J2273" s="38">
        <v>78.0</v>
      </c>
      <c r="K2273" s="39">
        <v>7.7</v>
      </c>
      <c r="L2273" s="38">
        <v>2.0</v>
      </c>
      <c r="M2273" s="40" t="s">
        <v>112</v>
      </c>
      <c r="N2273" s="41"/>
      <c r="O2273" s="42" t="s">
        <v>34</v>
      </c>
      <c r="P2273" s="43"/>
    </row>
    <row r="2274">
      <c r="A2274" s="44" t="s">
        <v>2347</v>
      </c>
      <c r="B2274" s="45" t="s">
        <v>45</v>
      </c>
      <c r="C2274" s="46" t="s">
        <v>2148</v>
      </c>
      <c r="D2274" s="47" t="str">
        <f t="shared" si="1"/>
        <v>Removed</v>
      </c>
      <c r="E2274" s="48">
        <v>42857.0</v>
      </c>
      <c r="F2274" s="49">
        <v>42891.0</v>
      </c>
      <c r="G2274" s="50">
        <f t="shared" si="2"/>
        <v>1.1</v>
      </c>
      <c r="H2274" s="51">
        <v>41968.0</v>
      </c>
      <c r="I2274" s="50">
        <f t="shared" si="4"/>
        <v>2.436111111</v>
      </c>
      <c r="J2274" s="55">
        <v>86.0</v>
      </c>
      <c r="K2274" s="56">
        <v>8.4</v>
      </c>
      <c r="L2274" s="55">
        <v>12.0</v>
      </c>
      <c r="M2274" s="58" t="s">
        <v>112</v>
      </c>
      <c r="N2274" s="59"/>
      <c r="O2274" s="60" t="s">
        <v>34</v>
      </c>
      <c r="P2274" s="61"/>
    </row>
    <row r="2275">
      <c r="A2275" s="29" t="s">
        <v>984</v>
      </c>
      <c r="B2275" s="30" t="s">
        <v>442</v>
      </c>
      <c r="C2275" s="31" t="s">
        <v>2148</v>
      </c>
      <c r="D2275" s="32" t="str">
        <f t="shared" si="1"/>
        <v>Removed</v>
      </c>
      <c r="E2275" s="33">
        <v>42857.0</v>
      </c>
      <c r="F2275" s="34">
        <v>42891.0</v>
      </c>
      <c r="G2275" s="36">
        <f t="shared" si="2"/>
        <v>1.1</v>
      </c>
      <c r="H2275" s="37">
        <v>41579.0</v>
      </c>
      <c r="I2275" s="36">
        <f t="shared" si="4"/>
        <v>3.502777778</v>
      </c>
      <c r="J2275" s="38">
        <v>39.0</v>
      </c>
      <c r="K2275" s="39">
        <v>4.8</v>
      </c>
      <c r="L2275" s="38">
        <v>7.0</v>
      </c>
      <c r="M2275" s="40" t="s">
        <v>29</v>
      </c>
      <c r="N2275" s="41"/>
      <c r="O2275" s="42" t="s">
        <v>34</v>
      </c>
      <c r="P2275" s="43"/>
    </row>
    <row r="2276">
      <c r="A2276" s="44" t="s">
        <v>2348</v>
      </c>
      <c r="B2276" s="45" t="s">
        <v>442</v>
      </c>
      <c r="C2276" s="46" t="s">
        <v>2148</v>
      </c>
      <c r="D2276" s="47" t="str">
        <f t="shared" si="1"/>
        <v>Removed</v>
      </c>
      <c r="E2276" s="48">
        <v>42857.0</v>
      </c>
      <c r="F2276" s="49">
        <v>42891.0</v>
      </c>
      <c r="G2276" s="50">
        <f t="shared" si="2"/>
        <v>1.1</v>
      </c>
      <c r="H2276" s="51">
        <v>41157.0</v>
      </c>
      <c r="I2276" s="50">
        <f t="shared" si="4"/>
        <v>4.658333333</v>
      </c>
      <c r="J2276" s="55">
        <v>56.0</v>
      </c>
      <c r="K2276" s="56">
        <v>6.6</v>
      </c>
      <c r="L2276" s="55">
        <v>30.0</v>
      </c>
      <c r="M2276" s="58" t="s">
        <v>42</v>
      </c>
      <c r="N2276" s="59"/>
      <c r="O2276" s="60" t="s">
        <v>34</v>
      </c>
      <c r="P2276" s="61"/>
    </row>
    <row r="2277">
      <c r="A2277" s="29" t="s">
        <v>2349</v>
      </c>
      <c r="B2277" s="30" t="s">
        <v>2257</v>
      </c>
      <c r="C2277" s="31" t="s">
        <v>2148</v>
      </c>
      <c r="D2277" s="32" t="str">
        <f t="shared" si="1"/>
        <v>Removed</v>
      </c>
      <c r="E2277" s="33">
        <v>42857.0</v>
      </c>
      <c r="F2277" s="34">
        <v>42891.0</v>
      </c>
      <c r="G2277" s="36">
        <f t="shared" si="2"/>
        <v>1.1</v>
      </c>
      <c r="H2277" s="37">
        <v>42502.0</v>
      </c>
      <c r="I2277" s="36">
        <f t="shared" si="4"/>
        <v>0.9722222222</v>
      </c>
      <c r="J2277" s="38">
        <v>80.0</v>
      </c>
      <c r="K2277" s="39">
        <v>6.2</v>
      </c>
      <c r="L2277" s="38">
        <v>3.0</v>
      </c>
      <c r="M2277" s="40" t="s">
        <v>31</v>
      </c>
      <c r="N2277" s="41"/>
      <c r="O2277" s="42" t="s">
        <v>34</v>
      </c>
      <c r="P2277" s="43"/>
    </row>
    <row r="2278">
      <c r="A2278" s="44" t="s">
        <v>2350</v>
      </c>
      <c r="B2278" s="45" t="s">
        <v>2257</v>
      </c>
      <c r="C2278" s="46" t="s">
        <v>2148</v>
      </c>
      <c r="D2278" s="47" t="str">
        <f t="shared" si="1"/>
        <v>Removed</v>
      </c>
      <c r="E2278" s="48">
        <v>42857.0</v>
      </c>
      <c r="F2278" s="49">
        <v>42891.0</v>
      </c>
      <c r="G2278" s="50">
        <f t="shared" si="2"/>
        <v>1.1</v>
      </c>
      <c r="H2278" s="51">
        <v>42283.0</v>
      </c>
      <c r="I2278" s="50">
        <f t="shared" si="4"/>
        <v>1.572222222</v>
      </c>
      <c r="J2278" s="55">
        <v>68.0</v>
      </c>
      <c r="K2278" s="56">
        <v>7.2</v>
      </c>
      <c r="L2278" s="55">
        <v>2.0</v>
      </c>
      <c r="M2278" s="58" t="s">
        <v>27</v>
      </c>
      <c r="N2278" s="59"/>
      <c r="O2278" s="60" t="s">
        <v>34</v>
      </c>
      <c r="P2278" s="61"/>
    </row>
    <row r="2279">
      <c r="A2279" s="29" t="s">
        <v>2351</v>
      </c>
      <c r="B2279" s="30" t="s">
        <v>45</v>
      </c>
      <c r="C2279" s="31" t="s">
        <v>2148</v>
      </c>
      <c r="D2279" s="32" t="str">
        <f t="shared" si="1"/>
        <v>Removed</v>
      </c>
      <c r="E2279" s="33">
        <v>42829.0</v>
      </c>
      <c r="F2279" s="34">
        <v>42856.0</v>
      </c>
      <c r="G2279" s="36">
        <f t="shared" si="2"/>
        <v>0.9</v>
      </c>
      <c r="H2279" s="37">
        <v>42829.0</v>
      </c>
      <c r="I2279" s="36">
        <f t="shared" si="4"/>
        <v>0</v>
      </c>
      <c r="J2279" s="38">
        <v>54.0</v>
      </c>
      <c r="K2279" s="39">
        <v>6.1</v>
      </c>
      <c r="L2279" s="76"/>
      <c r="M2279" s="40" t="s">
        <v>31</v>
      </c>
      <c r="N2279" s="41"/>
      <c r="O2279" s="42" t="s">
        <v>34</v>
      </c>
      <c r="P2279" s="43"/>
    </row>
    <row r="2280">
      <c r="A2280" s="44" t="s">
        <v>2352</v>
      </c>
      <c r="B2280" s="45" t="s">
        <v>45</v>
      </c>
      <c r="C2280" s="46" t="s">
        <v>2148</v>
      </c>
      <c r="D2280" s="47" t="str">
        <f t="shared" si="1"/>
        <v>Removed</v>
      </c>
      <c r="E2280" s="48">
        <v>42829.0</v>
      </c>
      <c r="F2280" s="49">
        <v>42856.0</v>
      </c>
      <c r="G2280" s="50">
        <f t="shared" si="2"/>
        <v>0.9</v>
      </c>
      <c r="H2280" s="51">
        <v>42256.0</v>
      </c>
      <c r="I2280" s="50">
        <f t="shared" si="4"/>
        <v>1.569444444</v>
      </c>
      <c r="J2280" s="55">
        <v>82.0</v>
      </c>
      <c r="K2280" s="56">
        <v>7.7</v>
      </c>
      <c r="L2280" s="55">
        <v>7.0</v>
      </c>
      <c r="M2280" s="58" t="s">
        <v>29</v>
      </c>
      <c r="N2280" s="59"/>
      <c r="O2280" s="60" t="s">
        <v>34</v>
      </c>
      <c r="P2280" s="61"/>
    </row>
    <row r="2281">
      <c r="A2281" s="29" t="s">
        <v>863</v>
      </c>
      <c r="B2281" s="30" t="s">
        <v>442</v>
      </c>
      <c r="C2281" s="31" t="s">
        <v>2148</v>
      </c>
      <c r="D2281" s="32" t="str">
        <f t="shared" si="1"/>
        <v>Removed</v>
      </c>
      <c r="E2281" s="33">
        <v>42829.0</v>
      </c>
      <c r="F2281" s="34">
        <v>42856.0</v>
      </c>
      <c r="G2281" s="36">
        <f t="shared" si="2"/>
        <v>0.9</v>
      </c>
      <c r="H2281" s="37">
        <v>41901.0</v>
      </c>
      <c r="I2281" s="36">
        <f t="shared" si="4"/>
        <v>2.541666667</v>
      </c>
      <c r="J2281" s="38">
        <v>50.0</v>
      </c>
      <c r="K2281" s="39">
        <v>6.2</v>
      </c>
      <c r="L2281" s="38">
        <v>8.0</v>
      </c>
      <c r="M2281" s="40" t="s">
        <v>29</v>
      </c>
      <c r="N2281" s="41"/>
      <c r="O2281" s="42" t="s">
        <v>34</v>
      </c>
      <c r="P2281" s="43"/>
    </row>
    <row r="2282">
      <c r="A2282" s="44" t="s">
        <v>2353</v>
      </c>
      <c r="B2282" s="45" t="s">
        <v>442</v>
      </c>
      <c r="C2282" s="46" t="s">
        <v>2148</v>
      </c>
      <c r="D2282" s="47" t="str">
        <f t="shared" si="1"/>
        <v>Removed</v>
      </c>
      <c r="E2282" s="48">
        <v>42829.0</v>
      </c>
      <c r="F2282" s="49">
        <v>42856.0</v>
      </c>
      <c r="G2282" s="50">
        <f t="shared" si="2"/>
        <v>0.9</v>
      </c>
      <c r="H2282" s="51">
        <v>41555.0</v>
      </c>
      <c r="I2282" s="50">
        <f t="shared" si="4"/>
        <v>3.488888889</v>
      </c>
      <c r="J2282" s="55">
        <v>45.0</v>
      </c>
      <c r="K2282" s="56">
        <v>5.6</v>
      </c>
      <c r="L2282" s="55">
        <v>5.0</v>
      </c>
      <c r="M2282" s="58" t="s">
        <v>31</v>
      </c>
      <c r="N2282" s="59"/>
      <c r="O2282" s="60" t="s">
        <v>34</v>
      </c>
      <c r="P2282" s="61"/>
    </row>
    <row r="2283">
      <c r="A2283" s="29" t="s">
        <v>2354</v>
      </c>
      <c r="B2283" s="30" t="s">
        <v>2257</v>
      </c>
      <c r="C2283" s="31" t="s">
        <v>2148</v>
      </c>
      <c r="D2283" s="32" t="str">
        <f t="shared" si="1"/>
        <v>Removed</v>
      </c>
      <c r="E2283" s="33">
        <v>42829.0</v>
      </c>
      <c r="F2283" s="34">
        <v>42856.0</v>
      </c>
      <c r="G2283" s="36">
        <f t="shared" si="2"/>
        <v>0.9</v>
      </c>
      <c r="H2283" s="37">
        <v>42570.0</v>
      </c>
      <c r="I2283" s="36">
        <f t="shared" si="4"/>
        <v>0.7083333333</v>
      </c>
      <c r="J2283" s="38">
        <v>76.0</v>
      </c>
      <c r="K2283" s="39">
        <v>7.3</v>
      </c>
      <c r="L2283" s="38">
        <v>2.0</v>
      </c>
      <c r="M2283" s="40" t="s">
        <v>27</v>
      </c>
      <c r="N2283" s="41"/>
      <c r="O2283" s="42" t="s">
        <v>34</v>
      </c>
      <c r="P2283" s="43"/>
    </row>
    <row r="2284">
      <c r="A2284" s="44" t="s">
        <v>2355</v>
      </c>
      <c r="B2284" s="45" t="s">
        <v>2257</v>
      </c>
      <c r="C2284" s="46" t="s">
        <v>2148</v>
      </c>
      <c r="D2284" s="47" t="str">
        <f t="shared" si="1"/>
        <v>Removed</v>
      </c>
      <c r="E2284" s="48">
        <v>42829.0</v>
      </c>
      <c r="F2284" s="49">
        <v>42856.0</v>
      </c>
      <c r="G2284" s="50">
        <f t="shared" si="2"/>
        <v>0.9</v>
      </c>
      <c r="H2284" s="51">
        <v>42234.0</v>
      </c>
      <c r="I2284" s="50">
        <f t="shared" si="4"/>
        <v>1.627777778</v>
      </c>
      <c r="J2284" s="55">
        <v>70.0</v>
      </c>
      <c r="K2284" s="56">
        <v>7.0</v>
      </c>
      <c r="L2284" s="55">
        <v>4.0</v>
      </c>
      <c r="M2284" s="58" t="s">
        <v>27</v>
      </c>
      <c r="N2284" s="59"/>
      <c r="O2284" s="60" t="s">
        <v>34</v>
      </c>
      <c r="P2284" s="61"/>
    </row>
    <row r="2285">
      <c r="A2285" s="29" t="s">
        <v>765</v>
      </c>
      <c r="B2285" s="30" t="s">
        <v>45</v>
      </c>
      <c r="C2285" s="31" t="s">
        <v>2148</v>
      </c>
      <c r="D2285" s="32" t="str">
        <f t="shared" si="1"/>
        <v>Removed</v>
      </c>
      <c r="E2285" s="33">
        <v>42801.0</v>
      </c>
      <c r="F2285" s="34">
        <v>42828.0</v>
      </c>
      <c r="G2285" s="36">
        <f t="shared" si="2"/>
        <v>0.8666666667</v>
      </c>
      <c r="H2285" s="37">
        <v>42255.0</v>
      </c>
      <c r="I2285" s="36">
        <f t="shared" si="4"/>
        <v>1.497222222</v>
      </c>
      <c r="J2285" s="38">
        <v>81.0</v>
      </c>
      <c r="K2285" s="39">
        <v>7.8</v>
      </c>
      <c r="L2285" s="38">
        <v>8.0</v>
      </c>
      <c r="M2285" s="40" t="s">
        <v>27</v>
      </c>
      <c r="N2285" s="41"/>
      <c r="O2285" s="42" t="s">
        <v>34</v>
      </c>
      <c r="P2285" s="43"/>
    </row>
    <row r="2286">
      <c r="A2286" s="44" t="s">
        <v>2356</v>
      </c>
      <c r="B2286" s="45" t="s">
        <v>45</v>
      </c>
      <c r="C2286" s="46" t="s">
        <v>2148</v>
      </c>
      <c r="D2286" s="47" t="str">
        <f t="shared" si="1"/>
        <v>Removed</v>
      </c>
      <c r="E2286" s="48">
        <v>42801.0</v>
      </c>
      <c r="F2286" s="49">
        <v>42828.0</v>
      </c>
      <c r="G2286" s="50">
        <f t="shared" si="2"/>
        <v>0.8666666667</v>
      </c>
      <c r="H2286" s="51">
        <v>42801.0</v>
      </c>
      <c r="I2286" s="50">
        <f t="shared" si="4"/>
        <v>0</v>
      </c>
      <c r="J2286" s="55">
        <v>71.0</v>
      </c>
      <c r="K2286" s="56">
        <v>6.8</v>
      </c>
      <c r="L2286" s="78"/>
      <c r="M2286" s="58" t="s">
        <v>125</v>
      </c>
      <c r="N2286" s="59"/>
      <c r="O2286" s="60" t="s">
        <v>34</v>
      </c>
      <c r="P2286" s="61"/>
    </row>
    <row r="2287">
      <c r="A2287" s="29" t="s">
        <v>2357</v>
      </c>
      <c r="B2287" s="30" t="s">
        <v>2257</v>
      </c>
      <c r="C2287" s="31" t="s">
        <v>2148</v>
      </c>
      <c r="D2287" s="32" t="str">
        <f t="shared" si="1"/>
        <v>Removed</v>
      </c>
      <c r="E2287" s="33">
        <v>42801.0</v>
      </c>
      <c r="F2287" s="34">
        <v>42828.0</v>
      </c>
      <c r="G2287" s="36">
        <f t="shared" si="2"/>
        <v>0.8666666667</v>
      </c>
      <c r="H2287" s="37">
        <v>42514.0</v>
      </c>
      <c r="I2287" s="36">
        <f t="shared" si="4"/>
        <v>0.7861111111</v>
      </c>
      <c r="J2287" s="38">
        <v>73.0</v>
      </c>
      <c r="K2287" s="39">
        <v>7.0</v>
      </c>
      <c r="L2287" s="38">
        <v>8.0</v>
      </c>
      <c r="M2287" s="40" t="s">
        <v>29</v>
      </c>
      <c r="N2287" s="41"/>
      <c r="O2287" s="42" t="s">
        <v>34</v>
      </c>
      <c r="P2287" s="43"/>
    </row>
    <row r="2288">
      <c r="A2288" s="44" t="s">
        <v>2086</v>
      </c>
      <c r="B2288" s="45" t="s">
        <v>442</v>
      </c>
      <c r="C2288" s="46" t="s">
        <v>2148</v>
      </c>
      <c r="D2288" s="47" t="str">
        <f t="shared" si="1"/>
        <v>Removed</v>
      </c>
      <c r="E2288" s="48">
        <v>42801.0</v>
      </c>
      <c r="F2288" s="49">
        <v>42828.0</v>
      </c>
      <c r="G2288" s="50">
        <f t="shared" si="2"/>
        <v>0.8666666667</v>
      </c>
      <c r="H2288" s="51">
        <v>42059.0</v>
      </c>
      <c r="I2288" s="50">
        <f t="shared" si="4"/>
        <v>2.036111111</v>
      </c>
      <c r="J2288" s="55">
        <v>80.0</v>
      </c>
      <c r="K2288" s="56">
        <v>7.7</v>
      </c>
      <c r="L2288" s="78"/>
      <c r="M2288" s="58" t="s">
        <v>114</v>
      </c>
      <c r="N2288" s="59"/>
      <c r="O2288" s="60" t="s">
        <v>34</v>
      </c>
      <c r="P2288" s="61"/>
    </row>
    <row r="2289">
      <c r="A2289" s="29" t="s">
        <v>997</v>
      </c>
      <c r="B2289" s="30" t="s">
        <v>442</v>
      </c>
      <c r="C2289" s="31" t="s">
        <v>2148</v>
      </c>
      <c r="D2289" s="32" t="str">
        <f t="shared" si="1"/>
        <v>Removed</v>
      </c>
      <c r="E2289" s="33">
        <v>42801.0</v>
      </c>
      <c r="F2289" s="34">
        <v>42828.0</v>
      </c>
      <c r="G2289" s="36">
        <f t="shared" si="2"/>
        <v>0.8666666667</v>
      </c>
      <c r="H2289" s="37">
        <v>41688.0</v>
      </c>
      <c r="I2289" s="36">
        <f t="shared" si="4"/>
        <v>3.052777778</v>
      </c>
      <c r="J2289" s="38">
        <v>69.0</v>
      </c>
      <c r="K2289" s="39">
        <v>7.8</v>
      </c>
      <c r="L2289" s="38">
        <v>15.0</v>
      </c>
      <c r="M2289" s="40" t="s">
        <v>31</v>
      </c>
      <c r="N2289" s="41"/>
      <c r="O2289" s="42" t="s">
        <v>34</v>
      </c>
      <c r="P2289" s="43"/>
    </row>
    <row r="2290">
      <c r="A2290" s="44" t="s">
        <v>2358</v>
      </c>
      <c r="B2290" s="45" t="s">
        <v>2264</v>
      </c>
      <c r="C2290" s="46" t="s">
        <v>2148</v>
      </c>
      <c r="D2290" s="47" t="str">
        <f t="shared" si="1"/>
        <v>Removed</v>
      </c>
      <c r="E2290" s="48">
        <v>42801.0</v>
      </c>
      <c r="F2290" s="49">
        <v>42828.0</v>
      </c>
      <c r="G2290" s="50">
        <f t="shared" si="2"/>
        <v>0.8666666667</v>
      </c>
      <c r="H2290" s="51">
        <v>42486.0</v>
      </c>
      <c r="I2290" s="50">
        <f t="shared" si="4"/>
        <v>0.8638888889</v>
      </c>
      <c r="J2290" s="55">
        <v>82.0</v>
      </c>
      <c r="K2290" s="56">
        <v>7.7</v>
      </c>
      <c r="L2290" s="55">
        <v>5.0</v>
      </c>
      <c r="M2290" s="58" t="s">
        <v>29</v>
      </c>
      <c r="N2290" s="59"/>
      <c r="O2290" s="60" t="s">
        <v>34</v>
      </c>
      <c r="P2290" s="61"/>
    </row>
    <row r="2291">
      <c r="A2291" s="29" t="s">
        <v>1504</v>
      </c>
      <c r="B2291" s="30" t="s">
        <v>45</v>
      </c>
      <c r="C2291" s="31" t="s">
        <v>2148</v>
      </c>
      <c r="D2291" s="32" t="str">
        <f t="shared" si="1"/>
        <v>Removed</v>
      </c>
      <c r="E2291" s="33">
        <v>42773.0</v>
      </c>
      <c r="F2291" s="34">
        <v>42800.0</v>
      </c>
      <c r="G2291" s="36">
        <f t="shared" si="2"/>
        <v>0.9666666667</v>
      </c>
      <c r="H2291" s="37">
        <v>41961.0</v>
      </c>
      <c r="I2291" s="36">
        <f t="shared" si="4"/>
        <v>2.219444444</v>
      </c>
      <c r="J2291" s="38">
        <v>79.0</v>
      </c>
      <c r="K2291" s="39">
        <v>7.5</v>
      </c>
      <c r="L2291" s="38">
        <v>9.0</v>
      </c>
      <c r="M2291" s="40" t="s">
        <v>27</v>
      </c>
      <c r="N2291" s="41"/>
      <c r="O2291" s="42" t="s">
        <v>34</v>
      </c>
      <c r="P2291" s="43"/>
    </row>
    <row r="2292">
      <c r="A2292" s="44" t="s">
        <v>2359</v>
      </c>
      <c r="B2292" s="45" t="s">
        <v>45</v>
      </c>
      <c r="C2292" s="46" t="s">
        <v>2148</v>
      </c>
      <c r="D2292" s="47" t="str">
        <f t="shared" si="1"/>
        <v>Removed</v>
      </c>
      <c r="E2292" s="48">
        <v>42773.0</v>
      </c>
      <c r="F2292" s="49">
        <v>42800.0</v>
      </c>
      <c r="G2292" s="50">
        <f t="shared" si="2"/>
        <v>0.9666666667</v>
      </c>
      <c r="H2292" s="51">
        <v>42131.0</v>
      </c>
      <c r="I2292" s="50">
        <f t="shared" si="4"/>
        <v>1.75</v>
      </c>
      <c r="J2292" s="55">
        <v>74.0</v>
      </c>
      <c r="K2292" s="56">
        <v>7.4</v>
      </c>
      <c r="L2292" s="55">
        <v>4.0</v>
      </c>
      <c r="M2292" s="58" t="s">
        <v>31</v>
      </c>
      <c r="N2292" s="59"/>
      <c r="O2292" s="60" t="s">
        <v>34</v>
      </c>
      <c r="P2292" s="61"/>
    </row>
    <row r="2293">
      <c r="A2293" s="29" t="s">
        <v>2360</v>
      </c>
      <c r="B2293" s="30" t="s">
        <v>2261</v>
      </c>
      <c r="C2293" s="31" t="s">
        <v>2148</v>
      </c>
      <c r="D2293" s="32" t="str">
        <f t="shared" si="1"/>
        <v>Removed</v>
      </c>
      <c r="E2293" s="33">
        <v>42773.0</v>
      </c>
      <c r="F2293" s="34">
        <v>42800.0</v>
      </c>
      <c r="G2293" s="36">
        <f t="shared" si="2"/>
        <v>0.9666666667</v>
      </c>
      <c r="H2293" s="37">
        <v>41906.0</v>
      </c>
      <c r="I2293" s="36">
        <f t="shared" si="4"/>
        <v>2.369444444</v>
      </c>
      <c r="J2293" s="38">
        <v>78.0</v>
      </c>
      <c r="K2293" s="39">
        <v>7.3</v>
      </c>
      <c r="L2293" s="76"/>
      <c r="M2293" s="40" t="s">
        <v>51</v>
      </c>
      <c r="N2293" s="41"/>
      <c r="O2293" s="42" t="s">
        <v>34</v>
      </c>
      <c r="P2293" s="43"/>
    </row>
    <row r="2294">
      <c r="A2294" s="44" t="s">
        <v>909</v>
      </c>
      <c r="B2294" s="45" t="s">
        <v>442</v>
      </c>
      <c r="C2294" s="46" t="s">
        <v>2148</v>
      </c>
      <c r="D2294" s="47" t="str">
        <f t="shared" si="1"/>
        <v>Removed</v>
      </c>
      <c r="E2294" s="48">
        <v>42773.0</v>
      </c>
      <c r="F2294" s="49">
        <v>42800.0</v>
      </c>
      <c r="G2294" s="50">
        <f t="shared" si="2"/>
        <v>0.9666666667</v>
      </c>
      <c r="H2294" s="51">
        <v>41548.0</v>
      </c>
      <c r="I2294" s="50">
        <f t="shared" si="4"/>
        <v>3.35</v>
      </c>
      <c r="J2294" s="55">
        <v>56.0</v>
      </c>
      <c r="K2294" s="56">
        <v>6.0</v>
      </c>
      <c r="L2294" s="55">
        <v>3.0</v>
      </c>
      <c r="M2294" s="58" t="s">
        <v>537</v>
      </c>
      <c r="N2294" s="59"/>
      <c r="O2294" s="60" t="s">
        <v>34</v>
      </c>
      <c r="P2294" s="61"/>
    </row>
    <row r="2295">
      <c r="A2295" s="29" t="s">
        <v>2361</v>
      </c>
      <c r="B2295" s="30" t="s">
        <v>2257</v>
      </c>
      <c r="C2295" s="31" t="s">
        <v>2148</v>
      </c>
      <c r="D2295" s="32" t="str">
        <f t="shared" si="1"/>
        <v>Removed</v>
      </c>
      <c r="E2295" s="33">
        <v>42773.0</v>
      </c>
      <c r="F2295" s="34">
        <v>42800.0</v>
      </c>
      <c r="G2295" s="36">
        <f t="shared" si="2"/>
        <v>0.9666666667</v>
      </c>
      <c r="H2295" s="37">
        <v>42423.0</v>
      </c>
      <c r="I2295" s="36">
        <f t="shared" si="4"/>
        <v>0.9555555556</v>
      </c>
      <c r="J2295" s="38">
        <v>64.0</v>
      </c>
      <c r="K2295" s="39">
        <v>7.0</v>
      </c>
      <c r="L2295" s="38">
        <v>3.0</v>
      </c>
      <c r="M2295" s="40" t="s">
        <v>27</v>
      </c>
      <c r="N2295" s="41"/>
      <c r="O2295" s="42" t="s">
        <v>34</v>
      </c>
      <c r="P2295" s="43"/>
    </row>
    <row r="2296">
      <c r="A2296" s="44" t="s">
        <v>1685</v>
      </c>
      <c r="B2296" s="45" t="s">
        <v>2257</v>
      </c>
      <c r="C2296" s="46" t="s">
        <v>2148</v>
      </c>
      <c r="D2296" s="47" t="str">
        <f t="shared" si="1"/>
        <v>Removed</v>
      </c>
      <c r="E2296" s="48">
        <v>42773.0</v>
      </c>
      <c r="F2296" s="49">
        <v>42800.0</v>
      </c>
      <c r="G2296" s="50">
        <f t="shared" si="2"/>
        <v>0.9666666667</v>
      </c>
      <c r="H2296" s="51">
        <v>42018.0</v>
      </c>
      <c r="I2296" s="50">
        <f t="shared" si="4"/>
        <v>2.063888889</v>
      </c>
      <c r="J2296" s="55">
        <v>58.0</v>
      </c>
      <c r="K2296" s="56">
        <v>6.5</v>
      </c>
      <c r="L2296" s="55">
        <v>2.0</v>
      </c>
      <c r="M2296" s="58" t="s">
        <v>136</v>
      </c>
      <c r="N2296" s="59"/>
      <c r="O2296" s="60" t="s">
        <v>34</v>
      </c>
      <c r="P2296" s="61"/>
    </row>
    <row r="2297">
      <c r="A2297" s="29" t="s">
        <v>2013</v>
      </c>
      <c r="B2297" s="30" t="s">
        <v>2257</v>
      </c>
      <c r="C2297" s="31" t="s">
        <v>2148</v>
      </c>
      <c r="D2297" s="32" t="str">
        <f t="shared" si="1"/>
        <v>Removed</v>
      </c>
      <c r="E2297" s="33">
        <v>42738.0</v>
      </c>
      <c r="F2297" s="34">
        <v>42772.0</v>
      </c>
      <c r="G2297" s="36">
        <f t="shared" si="2"/>
        <v>1.1</v>
      </c>
      <c r="H2297" s="37">
        <v>42450.0</v>
      </c>
      <c r="I2297" s="36">
        <f t="shared" si="4"/>
        <v>0.7833333333</v>
      </c>
      <c r="J2297" s="38">
        <v>86.0</v>
      </c>
      <c r="K2297" s="39">
        <v>8.0</v>
      </c>
      <c r="L2297" s="38">
        <v>5.0</v>
      </c>
      <c r="M2297" s="40" t="s">
        <v>112</v>
      </c>
      <c r="N2297" s="41"/>
      <c r="O2297" s="42" t="s">
        <v>34</v>
      </c>
      <c r="P2297" s="43"/>
    </row>
    <row r="2298">
      <c r="A2298" s="44" t="s">
        <v>1770</v>
      </c>
      <c r="B2298" s="45" t="s">
        <v>45</v>
      </c>
      <c r="C2298" s="46" t="s">
        <v>2148</v>
      </c>
      <c r="D2298" s="47" t="str">
        <f t="shared" si="1"/>
        <v>Removed</v>
      </c>
      <c r="E2298" s="48">
        <v>42738.0</v>
      </c>
      <c r="F2298" s="49">
        <v>42772.0</v>
      </c>
      <c r="G2298" s="50">
        <f t="shared" si="2"/>
        <v>1.1</v>
      </c>
      <c r="H2298" s="51">
        <v>42522.0</v>
      </c>
      <c r="I2298" s="50">
        <f t="shared" si="4"/>
        <v>0.5888888889</v>
      </c>
      <c r="J2298" s="55">
        <v>76.0</v>
      </c>
      <c r="K2298" s="56">
        <v>6.9</v>
      </c>
      <c r="L2298" s="55">
        <v>10.0</v>
      </c>
      <c r="M2298" s="58" t="s">
        <v>36</v>
      </c>
      <c r="N2298" s="59"/>
      <c r="O2298" s="60" t="s">
        <v>34</v>
      </c>
      <c r="P2298" s="61"/>
    </row>
    <row r="2299">
      <c r="A2299" s="29" t="s">
        <v>2362</v>
      </c>
      <c r="B2299" s="30" t="s">
        <v>442</v>
      </c>
      <c r="C2299" s="31" t="s">
        <v>2148</v>
      </c>
      <c r="D2299" s="32" t="str">
        <f t="shared" si="1"/>
        <v>Removed</v>
      </c>
      <c r="E2299" s="33">
        <v>42738.0</v>
      </c>
      <c r="F2299" s="34">
        <v>42772.0</v>
      </c>
      <c r="G2299" s="36">
        <f t="shared" si="2"/>
        <v>1.1</v>
      </c>
      <c r="H2299" s="37">
        <v>41940.0</v>
      </c>
      <c r="I2299" s="36">
        <f t="shared" si="4"/>
        <v>2.180555556</v>
      </c>
      <c r="J2299" s="38">
        <v>66.0</v>
      </c>
      <c r="K2299" s="39">
        <v>8.5</v>
      </c>
      <c r="L2299" s="76"/>
      <c r="M2299" s="40" t="s">
        <v>95</v>
      </c>
      <c r="N2299" s="41"/>
      <c r="O2299" s="42" t="s">
        <v>34</v>
      </c>
      <c r="P2299" s="43"/>
    </row>
    <row r="2300">
      <c r="A2300" s="44" t="s">
        <v>2018</v>
      </c>
      <c r="B2300" s="45" t="s">
        <v>2278</v>
      </c>
      <c r="C2300" s="46" t="s">
        <v>2148</v>
      </c>
      <c r="D2300" s="47" t="str">
        <f t="shared" si="1"/>
        <v>Removed</v>
      </c>
      <c r="E2300" s="48">
        <v>42738.0</v>
      </c>
      <c r="F2300" s="49">
        <v>42772.0</v>
      </c>
      <c r="G2300" s="50">
        <f t="shared" si="2"/>
        <v>1.1</v>
      </c>
      <c r="H2300" s="51">
        <v>42213.0</v>
      </c>
      <c r="I2300" s="50">
        <f t="shared" si="4"/>
        <v>1.430555556</v>
      </c>
      <c r="J2300" s="55">
        <v>70.0</v>
      </c>
      <c r="K2300" s="56">
        <v>7.0</v>
      </c>
      <c r="L2300" s="55">
        <v>5.0</v>
      </c>
      <c r="M2300" s="58" t="s">
        <v>27</v>
      </c>
      <c r="N2300" s="59"/>
      <c r="O2300" s="60" t="s">
        <v>34</v>
      </c>
      <c r="P2300" s="61"/>
    </row>
    <row r="2301">
      <c r="A2301" s="29" t="s">
        <v>1971</v>
      </c>
      <c r="B2301" s="30" t="s">
        <v>2257</v>
      </c>
      <c r="C2301" s="31" t="s">
        <v>2148</v>
      </c>
      <c r="D2301" s="32" t="str">
        <f t="shared" si="1"/>
        <v>Removed</v>
      </c>
      <c r="E2301" s="33">
        <v>42738.0</v>
      </c>
      <c r="F2301" s="34">
        <v>42772.0</v>
      </c>
      <c r="G2301" s="36">
        <f t="shared" si="2"/>
        <v>1.1</v>
      </c>
      <c r="H2301" s="37">
        <v>40982.0</v>
      </c>
      <c r="I2301" s="36">
        <f t="shared" si="4"/>
        <v>4.802777778</v>
      </c>
      <c r="J2301" s="38">
        <v>68.0</v>
      </c>
      <c r="K2301" s="79"/>
      <c r="L2301" s="38">
        <v>3.0</v>
      </c>
      <c r="M2301" s="40" t="s">
        <v>1926</v>
      </c>
      <c r="N2301" s="41"/>
      <c r="O2301" s="42" t="s">
        <v>34</v>
      </c>
      <c r="P2301" s="43"/>
    </row>
    <row r="2302">
      <c r="A2302" s="44" t="s">
        <v>2363</v>
      </c>
      <c r="B2302" s="45" t="s">
        <v>2257</v>
      </c>
      <c r="C2302" s="46" t="s">
        <v>2148</v>
      </c>
      <c r="D2302" s="47" t="str">
        <f t="shared" si="1"/>
        <v>Removed</v>
      </c>
      <c r="E2302" s="48">
        <v>42738.0</v>
      </c>
      <c r="F2302" s="49">
        <v>42772.0</v>
      </c>
      <c r="G2302" s="50">
        <f t="shared" si="2"/>
        <v>1.1</v>
      </c>
      <c r="H2302" s="51">
        <v>42108.0</v>
      </c>
      <c r="I2302" s="50">
        <f t="shared" si="4"/>
        <v>1.719444444</v>
      </c>
      <c r="J2302" s="55">
        <v>74.0</v>
      </c>
      <c r="K2302" s="56">
        <v>6.2</v>
      </c>
      <c r="L2302" s="55">
        <v>3.0</v>
      </c>
      <c r="M2302" s="58" t="s">
        <v>29</v>
      </c>
      <c r="N2302" s="59"/>
      <c r="O2302" s="60" t="s">
        <v>34</v>
      </c>
      <c r="P2302" s="61"/>
    </row>
    <row r="2303">
      <c r="A2303" s="29" t="s">
        <v>2364</v>
      </c>
      <c r="B2303" s="30" t="s">
        <v>45</v>
      </c>
      <c r="C2303" s="31" t="s">
        <v>2148</v>
      </c>
      <c r="D2303" s="32" t="str">
        <f t="shared" si="1"/>
        <v>Removed</v>
      </c>
      <c r="E2303" s="33">
        <v>42710.0</v>
      </c>
      <c r="F2303" s="34">
        <v>42737.0</v>
      </c>
      <c r="G2303" s="36">
        <f t="shared" si="2"/>
        <v>0.8666666667</v>
      </c>
      <c r="H2303" s="37">
        <v>42472.0</v>
      </c>
      <c r="I2303" s="36">
        <f t="shared" si="4"/>
        <v>0.65</v>
      </c>
      <c r="J2303" s="38">
        <v>73.0</v>
      </c>
      <c r="K2303" s="39">
        <v>7.3</v>
      </c>
      <c r="L2303" s="38">
        <v>5.0</v>
      </c>
      <c r="M2303" s="40" t="s">
        <v>42</v>
      </c>
      <c r="N2303" s="41"/>
      <c r="O2303" s="42" t="s">
        <v>34</v>
      </c>
      <c r="P2303" s="43"/>
    </row>
    <row r="2304">
      <c r="A2304" s="44" t="s">
        <v>2365</v>
      </c>
      <c r="B2304" s="45" t="s">
        <v>45</v>
      </c>
      <c r="C2304" s="46" t="s">
        <v>2148</v>
      </c>
      <c r="D2304" s="47" t="str">
        <f t="shared" si="1"/>
        <v>Removed</v>
      </c>
      <c r="E2304" s="48">
        <v>42710.0</v>
      </c>
      <c r="F2304" s="49">
        <v>42737.0</v>
      </c>
      <c r="G2304" s="50">
        <f t="shared" si="2"/>
        <v>0.8666666667</v>
      </c>
      <c r="H2304" s="51">
        <v>42136.0</v>
      </c>
      <c r="I2304" s="50">
        <f t="shared" si="4"/>
        <v>1.566666667</v>
      </c>
      <c r="J2304" s="55">
        <v>77.0</v>
      </c>
      <c r="K2304" s="56">
        <v>7.6</v>
      </c>
      <c r="L2304" s="55">
        <v>7.0</v>
      </c>
      <c r="M2304" s="58" t="s">
        <v>103</v>
      </c>
      <c r="N2304" s="59"/>
      <c r="O2304" s="60" t="s">
        <v>34</v>
      </c>
      <c r="P2304" s="61"/>
    </row>
    <row r="2305">
      <c r="A2305" s="29" t="s">
        <v>2366</v>
      </c>
      <c r="B2305" s="30" t="s">
        <v>2261</v>
      </c>
      <c r="C2305" s="31" t="s">
        <v>2148</v>
      </c>
      <c r="D2305" s="32" t="str">
        <f t="shared" si="1"/>
        <v>Removed</v>
      </c>
      <c r="E2305" s="33">
        <v>42710.0</v>
      </c>
      <c r="F2305" s="34">
        <v>42737.0</v>
      </c>
      <c r="G2305" s="36">
        <f t="shared" si="2"/>
        <v>0.8666666667</v>
      </c>
      <c r="H2305" s="37">
        <v>42255.0</v>
      </c>
      <c r="I2305" s="36">
        <f t="shared" si="4"/>
        <v>1.244444444</v>
      </c>
      <c r="J2305" s="38">
        <v>70.0</v>
      </c>
      <c r="K2305" s="39">
        <v>6.8</v>
      </c>
      <c r="L2305" s="38">
        <v>2.0</v>
      </c>
      <c r="M2305" s="40" t="s">
        <v>31</v>
      </c>
      <c r="N2305" s="41"/>
      <c r="O2305" s="42" t="s">
        <v>34</v>
      </c>
      <c r="P2305" s="43"/>
    </row>
    <row r="2306">
      <c r="A2306" s="44" t="s">
        <v>2367</v>
      </c>
      <c r="B2306" s="45" t="s">
        <v>2278</v>
      </c>
      <c r="C2306" s="46" t="s">
        <v>2148</v>
      </c>
      <c r="D2306" s="47" t="str">
        <f t="shared" si="1"/>
        <v>Removed</v>
      </c>
      <c r="E2306" s="48">
        <v>42710.0</v>
      </c>
      <c r="F2306" s="49">
        <v>42737.0</v>
      </c>
      <c r="G2306" s="50">
        <f t="shared" si="2"/>
        <v>0.8666666667</v>
      </c>
      <c r="H2306" s="51">
        <v>42426.0</v>
      </c>
      <c r="I2306" s="50">
        <f t="shared" si="4"/>
        <v>0.7777777778</v>
      </c>
      <c r="J2306" s="55">
        <v>62.0</v>
      </c>
      <c r="K2306" s="56">
        <v>5.3</v>
      </c>
      <c r="L2306" s="55">
        <v>3.0</v>
      </c>
      <c r="M2306" s="58" t="s">
        <v>31</v>
      </c>
      <c r="N2306" s="59"/>
      <c r="O2306" s="60" t="s">
        <v>34</v>
      </c>
      <c r="P2306" s="61"/>
    </row>
    <row r="2307">
      <c r="A2307" s="29" t="s">
        <v>2368</v>
      </c>
      <c r="B2307" s="30" t="s">
        <v>2257</v>
      </c>
      <c r="C2307" s="31" t="s">
        <v>2148</v>
      </c>
      <c r="D2307" s="32" t="str">
        <f t="shared" si="1"/>
        <v>Removed</v>
      </c>
      <c r="E2307" s="33">
        <v>42710.0</v>
      </c>
      <c r="F2307" s="34">
        <v>42737.0</v>
      </c>
      <c r="G2307" s="36">
        <f t="shared" si="2"/>
        <v>0.8666666667</v>
      </c>
      <c r="H2307" s="37">
        <v>42136.0</v>
      </c>
      <c r="I2307" s="36">
        <f t="shared" si="4"/>
        <v>1.566666667</v>
      </c>
      <c r="J2307" s="38">
        <v>59.0</v>
      </c>
      <c r="K2307" s="39">
        <v>6.7</v>
      </c>
      <c r="L2307" s="38">
        <v>3.0</v>
      </c>
      <c r="M2307" s="40" t="s">
        <v>27</v>
      </c>
      <c r="N2307" s="41"/>
      <c r="O2307" s="42" t="s">
        <v>34</v>
      </c>
      <c r="P2307" s="43"/>
    </row>
    <row r="2308">
      <c r="A2308" s="44" t="s">
        <v>2369</v>
      </c>
      <c r="B2308" s="45" t="s">
        <v>2264</v>
      </c>
      <c r="C2308" s="46" t="s">
        <v>2148</v>
      </c>
      <c r="D2308" s="47" t="str">
        <f t="shared" si="1"/>
        <v>Removed</v>
      </c>
      <c r="E2308" s="48">
        <v>42710.0</v>
      </c>
      <c r="F2308" s="49">
        <v>42737.0</v>
      </c>
      <c r="G2308" s="50">
        <f t="shared" si="2"/>
        <v>0.8666666667</v>
      </c>
      <c r="H2308" s="51">
        <v>40188.0</v>
      </c>
      <c r="I2308" s="50">
        <f t="shared" si="4"/>
        <v>6.905555556</v>
      </c>
      <c r="J2308" s="55">
        <v>81.0</v>
      </c>
      <c r="K2308" s="56">
        <v>7.9</v>
      </c>
      <c r="L2308" s="55">
        <v>4.0</v>
      </c>
      <c r="M2308" s="58" t="s">
        <v>27</v>
      </c>
      <c r="N2308" s="59"/>
      <c r="O2308" s="60" t="s">
        <v>34</v>
      </c>
      <c r="P2308" s="61"/>
    </row>
    <row r="2309">
      <c r="A2309" s="29" t="s">
        <v>2370</v>
      </c>
      <c r="B2309" s="30" t="s">
        <v>45</v>
      </c>
      <c r="C2309" s="31" t="s">
        <v>2148</v>
      </c>
      <c r="D2309" s="32" t="str">
        <f t="shared" si="1"/>
        <v>Removed</v>
      </c>
      <c r="E2309" s="33">
        <v>42675.0</v>
      </c>
      <c r="F2309" s="34">
        <v>42709.0</v>
      </c>
      <c r="G2309" s="36">
        <f t="shared" si="2"/>
        <v>1.133333333</v>
      </c>
      <c r="H2309" s="37">
        <v>42227.0</v>
      </c>
      <c r="I2309" s="36">
        <f t="shared" si="4"/>
        <v>1.222222222</v>
      </c>
      <c r="J2309" s="38">
        <v>76.0</v>
      </c>
      <c r="K2309" s="39">
        <v>6.5</v>
      </c>
      <c r="L2309" s="38">
        <v>5.0</v>
      </c>
      <c r="M2309" s="40" t="s">
        <v>112</v>
      </c>
      <c r="N2309" s="41"/>
      <c r="O2309" s="42" t="s">
        <v>34</v>
      </c>
      <c r="P2309" s="43"/>
    </row>
    <row r="2310">
      <c r="A2310" s="44" t="s">
        <v>2371</v>
      </c>
      <c r="B2310" s="45" t="s">
        <v>45</v>
      </c>
      <c r="C2310" s="46" t="s">
        <v>2148</v>
      </c>
      <c r="D2310" s="47" t="str">
        <f t="shared" si="1"/>
        <v>Removed</v>
      </c>
      <c r="E2310" s="48">
        <v>42675.0</v>
      </c>
      <c r="F2310" s="49">
        <v>42709.0</v>
      </c>
      <c r="G2310" s="50">
        <f t="shared" si="2"/>
        <v>1.133333333</v>
      </c>
      <c r="H2310" s="51">
        <v>42388.0</v>
      </c>
      <c r="I2310" s="50">
        <f t="shared" si="4"/>
        <v>0.7833333333</v>
      </c>
      <c r="J2310" s="55">
        <v>76.0</v>
      </c>
      <c r="K2310" s="56">
        <v>7.4</v>
      </c>
      <c r="L2310" s="55">
        <v>5.0</v>
      </c>
      <c r="M2310" s="58" t="s">
        <v>29</v>
      </c>
      <c r="N2310" s="59"/>
      <c r="O2310" s="60" t="s">
        <v>34</v>
      </c>
      <c r="P2310" s="61"/>
    </row>
    <row r="2311">
      <c r="A2311" s="29" t="s">
        <v>2372</v>
      </c>
      <c r="B2311" s="30" t="s">
        <v>442</v>
      </c>
      <c r="C2311" s="31" t="s">
        <v>2148</v>
      </c>
      <c r="D2311" s="32" t="str">
        <f t="shared" si="1"/>
        <v>Removed</v>
      </c>
      <c r="E2311" s="33">
        <v>42675.0</v>
      </c>
      <c r="F2311" s="34">
        <v>42709.0</v>
      </c>
      <c r="G2311" s="36">
        <f t="shared" si="2"/>
        <v>1.133333333</v>
      </c>
      <c r="H2311" s="37">
        <v>40687.0</v>
      </c>
      <c r="I2311" s="36">
        <f t="shared" si="4"/>
        <v>5.436111111</v>
      </c>
      <c r="J2311" s="38">
        <v>87.0</v>
      </c>
      <c r="K2311" s="39">
        <v>8.0</v>
      </c>
      <c r="L2311" s="38">
        <v>8.0</v>
      </c>
      <c r="M2311" s="40" t="s">
        <v>95</v>
      </c>
      <c r="N2311" s="41"/>
      <c r="O2311" s="42" t="s">
        <v>34</v>
      </c>
      <c r="P2311" s="43"/>
    </row>
    <row r="2312">
      <c r="A2312" s="44" t="s">
        <v>1945</v>
      </c>
      <c r="B2312" s="45" t="s">
        <v>442</v>
      </c>
      <c r="C2312" s="46" t="s">
        <v>2148</v>
      </c>
      <c r="D2312" s="47" t="str">
        <f t="shared" si="1"/>
        <v>Removed</v>
      </c>
      <c r="E2312" s="48">
        <v>42675.0</v>
      </c>
      <c r="F2312" s="49">
        <v>42709.0</v>
      </c>
      <c r="G2312" s="50">
        <f t="shared" si="2"/>
        <v>1.133333333</v>
      </c>
      <c r="H2312" s="51">
        <v>41919.0</v>
      </c>
      <c r="I2312" s="50">
        <f t="shared" si="4"/>
        <v>2.066666667</v>
      </c>
      <c r="J2312" s="55">
        <v>72.0</v>
      </c>
      <c r="K2312" s="56">
        <v>7.0</v>
      </c>
      <c r="L2312" s="55">
        <v>7.0</v>
      </c>
      <c r="M2312" s="58" t="s">
        <v>42</v>
      </c>
      <c r="N2312" s="59"/>
      <c r="O2312" s="60" t="s">
        <v>34</v>
      </c>
      <c r="P2312" s="61"/>
    </row>
    <row r="2313">
      <c r="A2313" s="29" t="s">
        <v>2373</v>
      </c>
      <c r="B2313" s="30" t="s">
        <v>2257</v>
      </c>
      <c r="C2313" s="31" t="s">
        <v>2148</v>
      </c>
      <c r="D2313" s="32" t="str">
        <f t="shared" si="1"/>
        <v>Removed</v>
      </c>
      <c r="E2313" s="33">
        <v>42675.0</v>
      </c>
      <c r="F2313" s="34">
        <v>42709.0</v>
      </c>
      <c r="G2313" s="36">
        <f t="shared" si="2"/>
        <v>1.133333333</v>
      </c>
      <c r="H2313" s="37">
        <v>42129.0</v>
      </c>
      <c r="I2313" s="36">
        <f t="shared" si="4"/>
        <v>1.488888889</v>
      </c>
      <c r="J2313" s="38">
        <v>70.0</v>
      </c>
      <c r="K2313" s="39">
        <v>7.2</v>
      </c>
      <c r="L2313" s="38">
        <v>4.0</v>
      </c>
      <c r="M2313" s="40" t="s">
        <v>136</v>
      </c>
      <c r="N2313" s="41"/>
      <c r="O2313" s="42" t="s">
        <v>34</v>
      </c>
      <c r="P2313" s="43"/>
    </row>
    <row r="2314">
      <c r="A2314" s="44" t="s">
        <v>1934</v>
      </c>
      <c r="B2314" s="45" t="s">
        <v>2278</v>
      </c>
      <c r="C2314" s="46" t="s">
        <v>2148</v>
      </c>
      <c r="D2314" s="47" t="str">
        <f t="shared" si="1"/>
        <v>Removed</v>
      </c>
      <c r="E2314" s="48">
        <v>42675.0</v>
      </c>
      <c r="F2314" s="49">
        <v>42709.0</v>
      </c>
      <c r="G2314" s="50">
        <f t="shared" si="2"/>
        <v>1.133333333</v>
      </c>
      <c r="H2314" s="51">
        <v>42265.0</v>
      </c>
      <c r="I2314" s="50">
        <f t="shared" si="4"/>
        <v>1.119444444</v>
      </c>
      <c r="J2314" s="55">
        <v>69.0</v>
      </c>
      <c r="K2314" s="56">
        <v>7.0</v>
      </c>
      <c r="L2314" s="55">
        <v>6.0</v>
      </c>
      <c r="M2314" s="58" t="s">
        <v>125</v>
      </c>
      <c r="N2314" s="59"/>
      <c r="O2314" s="60" t="s">
        <v>34</v>
      </c>
      <c r="P2314" s="61"/>
    </row>
    <row r="2315">
      <c r="A2315" s="29" t="s">
        <v>2374</v>
      </c>
      <c r="B2315" s="30" t="s">
        <v>45</v>
      </c>
      <c r="C2315" s="31" t="s">
        <v>2148</v>
      </c>
      <c r="D2315" s="32" t="str">
        <f t="shared" si="1"/>
        <v>Removed</v>
      </c>
      <c r="E2315" s="33">
        <v>42647.0</v>
      </c>
      <c r="F2315" s="34">
        <v>42674.0</v>
      </c>
      <c r="G2315" s="36">
        <f t="shared" si="2"/>
        <v>0.8666666667</v>
      </c>
      <c r="H2315" s="37">
        <v>38798.0</v>
      </c>
      <c r="I2315" s="36">
        <f t="shared" si="4"/>
        <v>10.53333333</v>
      </c>
      <c r="J2315" s="38">
        <v>91.0</v>
      </c>
      <c r="K2315" s="39">
        <v>8.7</v>
      </c>
      <c r="L2315" s="38">
        <v>13.0</v>
      </c>
      <c r="M2315" s="40" t="s">
        <v>537</v>
      </c>
      <c r="N2315" s="41"/>
      <c r="O2315" s="42" t="s">
        <v>34</v>
      </c>
      <c r="P2315" s="43"/>
    </row>
    <row r="2316">
      <c r="A2316" s="44" t="s">
        <v>2375</v>
      </c>
      <c r="B2316" s="45" t="s">
        <v>2261</v>
      </c>
      <c r="C2316" s="46" t="s">
        <v>2148</v>
      </c>
      <c r="D2316" s="47" t="str">
        <f t="shared" si="1"/>
        <v>Removed</v>
      </c>
      <c r="E2316" s="48">
        <v>42647.0</v>
      </c>
      <c r="F2316" s="49">
        <v>42674.0</v>
      </c>
      <c r="G2316" s="50">
        <f t="shared" si="2"/>
        <v>0.8666666667</v>
      </c>
      <c r="H2316" s="51">
        <v>42283.0</v>
      </c>
      <c r="I2316" s="50">
        <f t="shared" si="4"/>
        <v>0.9944444444</v>
      </c>
      <c r="J2316" s="55">
        <v>77.0</v>
      </c>
      <c r="K2316" s="56">
        <v>8.0</v>
      </c>
      <c r="L2316" s="55">
        <v>6.0</v>
      </c>
      <c r="M2316" s="58" t="s">
        <v>29</v>
      </c>
      <c r="N2316" s="59"/>
      <c r="O2316" s="60" t="s">
        <v>34</v>
      </c>
      <c r="P2316" s="61"/>
    </row>
    <row r="2317">
      <c r="A2317" s="29" t="s">
        <v>2376</v>
      </c>
      <c r="B2317" s="30" t="s">
        <v>442</v>
      </c>
      <c r="C2317" s="31" t="s">
        <v>2148</v>
      </c>
      <c r="D2317" s="32" t="str">
        <f t="shared" si="1"/>
        <v>Removed</v>
      </c>
      <c r="E2317" s="33">
        <v>42647.0</v>
      </c>
      <c r="F2317" s="34">
        <v>42674.0</v>
      </c>
      <c r="G2317" s="36">
        <f t="shared" si="2"/>
        <v>0.8666666667</v>
      </c>
      <c r="H2317" s="37">
        <v>41058.0</v>
      </c>
      <c r="I2317" s="36">
        <f t="shared" si="4"/>
        <v>4.347222222</v>
      </c>
      <c r="J2317" s="38">
        <v>62.0</v>
      </c>
      <c r="K2317" s="39">
        <v>6.2</v>
      </c>
      <c r="L2317" s="38">
        <v>4.0</v>
      </c>
      <c r="M2317" s="40" t="s">
        <v>95</v>
      </c>
      <c r="N2317" s="41"/>
      <c r="O2317" s="42" t="s">
        <v>34</v>
      </c>
      <c r="P2317" s="43"/>
    </row>
    <row r="2318">
      <c r="A2318" s="44" t="s">
        <v>2377</v>
      </c>
      <c r="B2318" s="45" t="s">
        <v>442</v>
      </c>
      <c r="C2318" s="46" t="s">
        <v>2148</v>
      </c>
      <c r="D2318" s="47" t="str">
        <f t="shared" si="1"/>
        <v>Removed</v>
      </c>
      <c r="E2318" s="48">
        <v>42647.0</v>
      </c>
      <c r="F2318" s="49">
        <v>42674.0</v>
      </c>
      <c r="G2318" s="50">
        <f t="shared" si="2"/>
        <v>0.8666666667</v>
      </c>
      <c r="H2318" s="51">
        <v>40751.0</v>
      </c>
      <c r="I2318" s="50">
        <f t="shared" si="4"/>
        <v>5.186111111</v>
      </c>
      <c r="J2318" s="55">
        <v>79.0</v>
      </c>
      <c r="K2318" s="56">
        <v>7.2</v>
      </c>
      <c r="L2318" s="55">
        <v>6.0</v>
      </c>
      <c r="M2318" s="58" t="s">
        <v>103</v>
      </c>
      <c r="N2318" s="59"/>
      <c r="O2318" s="60" t="s">
        <v>34</v>
      </c>
      <c r="P2318" s="61"/>
    </row>
    <row r="2319">
      <c r="A2319" s="29" t="s">
        <v>2378</v>
      </c>
      <c r="B2319" s="30" t="s">
        <v>2264</v>
      </c>
      <c r="C2319" s="31" t="s">
        <v>2148</v>
      </c>
      <c r="D2319" s="32" t="str">
        <f t="shared" si="1"/>
        <v>Removed</v>
      </c>
      <c r="E2319" s="33">
        <v>42647.0</v>
      </c>
      <c r="F2319" s="34">
        <v>42674.0</v>
      </c>
      <c r="G2319" s="36">
        <f t="shared" si="2"/>
        <v>0.8666666667</v>
      </c>
      <c r="H2319" s="37">
        <v>42300.0</v>
      </c>
      <c r="I2319" s="36">
        <f t="shared" si="4"/>
        <v>0.9472222222</v>
      </c>
      <c r="J2319" s="38">
        <v>81.0</v>
      </c>
      <c r="K2319" s="39">
        <v>8.1</v>
      </c>
      <c r="L2319" s="38">
        <v>18.0</v>
      </c>
      <c r="M2319" s="40" t="s">
        <v>689</v>
      </c>
      <c r="N2319" s="41"/>
      <c r="O2319" s="42" t="s">
        <v>34</v>
      </c>
      <c r="P2319" s="43"/>
    </row>
    <row r="2320">
      <c r="A2320" s="44" t="s">
        <v>2379</v>
      </c>
      <c r="B2320" s="45" t="s">
        <v>2264</v>
      </c>
      <c r="C2320" s="46" t="s">
        <v>2148</v>
      </c>
      <c r="D2320" s="47" t="str">
        <f t="shared" si="1"/>
        <v>Removed</v>
      </c>
      <c r="E2320" s="48">
        <v>42647.0</v>
      </c>
      <c r="F2320" s="49">
        <v>42674.0</v>
      </c>
      <c r="G2320" s="50">
        <f t="shared" si="2"/>
        <v>0.8666666667</v>
      </c>
      <c r="H2320" s="51">
        <v>42097.0</v>
      </c>
      <c r="I2320" s="50">
        <f t="shared" si="4"/>
        <v>1.502777778</v>
      </c>
      <c r="J2320" s="55">
        <v>63.0</v>
      </c>
      <c r="K2320" s="56">
        <v>7.1</v>
      </c>
      <c r="L2320" s="55">
        <v>2.0</v>
      </c>
      <c r="M2320" s="58" t="s">
        <v>112</v>
      </c>
      <c r="N2320" s="59"/>
      <c r="O2320" s="60" t="s">
        <v>34</v>
      </c>
      <c r="P2320" s="61"/>
    </row>
    <row r="2321">
      <c r="A2321" s="29" t="s">
        <v>1983</v>
      </c>
      <c r="B2321" s="30" t="s">
        <v>45</v>
      </c>
      <c r="C2321" s="31" t="s">
        <v>2148</v>
      </c>
      <c r="D2321" s="32" t="str">
        <f t="shared" si="1"/>
        <v>Removed</v>
      </c>
      <c r="E2321" s="33">
        <v>42619.0</v>
      </c>
      <c r="F2321" s="34">
        <v>42646.0</v>
      </c>
      <c r="G2321" s="36">
        <f t="shared" si="2"/>
        <v>0.9</v>
      </c>
      <c r="H2321" s="37">
        <v>41940.0</v>
      </c>
      <c r="I2321" s="36">
        <f t="shared" si="4"/>
        <v>1.855555556</v>
      </c>
      <c r="J2321" s="38">
        <v>73.0</v>
      </c>
      <c r="K2321" s="39">
        <v>6.6</v>
      </c>
      <c r="L2321" s="38">
        <v>17.0</v>
      </c>
      <c r="M2321" s="40" t="s">
        <v>42</v>
      </c>
      <c r="N2321" s="41"/>
      <c r="O2321" s="42" t="s">
        <v>34</v>
      </c>
      <c r="P2321" s="43"/>
    </row>
    <row r="2322">
      <c r="A2322" s="44" t="s">
        <v>2090</v>
      </c>
      <c r="B2322" s="45" t="s">
        <v>2261</v>
      </c>
      <c r="C2322" s="46" t="s">
        <v>2148</v>
      </c>
      <c r="D2322" s="47" t="str">
        <f t="shared" si="1"/>
        <v>Removed</v>
      </c>
      <c r="E2322" s="48">
        <v>42619.0</v>
      </c>
      <c r="F2322" s="49">
        <v>42646.0</v>
      </c>
      <c r="G2322" s="50">
        <f t="shared" si="2"/>
        <v>0.9</v>
      </c>
      <c r="H2322" s="51">
        <v>40981.0</v>
      </c>
      <c r="I2322" s="50">
        <f t="shared" si="4"/>
        <v>4.480555556</v>
      </c>
      <c r="J2322" s="55">
        <v>92.0</v>
      </c>
      <c r="K2322" s="56">
        <v>8.5</v>
      </c>
      <c r="L2322" s="55">
        <v>2.0</v>
      </c>
      <c r="M2322" s="58" t="s">
        <v>112</v>
      </c>
      <c r="N2322" s="59"/>
      <c r="O2322" s="60" t="s">
        <v>34</v>
      </c>
      <c r="P2322" s="61"/>
    </row>
    <row r="2323">
      <c r="A2323" s="29" t="s">
        <v>2380</v>
      </c>
      <c r="B2323" s="30" t="s">
        <v>2278</v>
      </c>
      <c r="C2323" s="31" t="s">
        <v>2148</v>
      </c>
      <c r="D2323" s="32" t="str">
        <f t="shared" si="1"/>
        <v>Removed</v>
      </c>
      <c r="E2323" s="33">
        <v>42619.0</v>
      </c>
      <c r="F2323" s="34">
        <v>42646.0</v>
      </c>
      <c r="G2323" s="36">
        <f t="shared" si="2"/>
        <v>0.9</v>
      </c>
      <c r="H2323" s="37">
        <v>42130.0</v>
      </c>
      <c r="I2323" s="36">
        <f t="shared" si="4"/>
        <v>1.333333333</v>
      </c>
      <c r="J2323" s="38">
        <v>79.0</v>
      </c>
      <c r="K2323" s="39">
        <v>7.1</v>
      </c>
      <c r="L2323" s="38">
        <v>3.0</v>
      </c>
      <c r="M2323" s="40" t="s">
        <v>27</v>
      </c>
      <c r="N2323" s="41"/>
      <c r="O2323" s="42" t="s">
        <v>34</v>
      </c>
      <c r="P2323" s="43"/>
    </row>
    <row r="2324">
      <c r="A2324" s="44" t="s">
        <v>2381</v>
      </c>
      <c r="B2324" s="45" t="s">
        <v>442</v>
      </c>
      <c r="C2324" s="46" t="s">
        <v>2148</v>
      </c>
      <c r="D2324" s="47" t="str">
        <f t="shared" si="1"/>
        <v>Removed</v>
      </c>
      <c r="E2324" s="48">
        <v>42619.0</v>
      </c>
      <c r="F2324" s="49">
        <v>42646.0</v>
      </c>
      <c r="G2324" s="50">
        <f t="shared" si="2"/>
        <v>0.9</v>
      </c>
      <c r="H2324" s="51">
        <v>40316.0</v>
      </c>
      <c r="I2324" s="50">
        <f t="shared" si="4"/>
        <v>6.3</v>
      </c>
      <c r="J2324" s="55">
        <v>75.0</v>
      </c>
      <c r="K2324" s="56">
        <v>7.2</v>
      </c>
      <c r="L2324" s="55">
        <v>7.0</v>
      </c>
      <c r="M2324" s="58" t="s">
        <v>29</v>
      </c>
      <c r="N2324" s="59"/>
      <c r="O2324" s="60" t="s">
        <v>34</v>
      </c>
      <c r="P2324" s="61"/>
    </row>
    <row r="2325">
      <c r="A2325" s="29" t="s">
        <v>2382</v>
      </c>
      <c r="B2325" s="30" t="s">
        <v>442</v>
      </c>
      <c r="C2325" s="31" t="s">
        <v>2148</v>
      </c>
      <c r="D2325" s="32" t="str">
        <f t="shared" si="1"/>
        <v>Removed</v>
      </c>
      <c r="E2325" s="33">
        <v>42619.0</v>
      </c>
      <c r="F2325" s="34">
        <v>42646.0</v>
      </c>
      <c r="G2325" s="36">
        <f t="shared" si="2"/>
        <v>0.9</v>
      </c>
      <c r="H2325" s="37">
        <v>41044.0</v>
      </c>
      <c r="I2325" s="36">
        <f t="shared" si="4"/>
        <v>4.308333333</v>
      </c>
      <c r="J2325" s="38">
        <v>59.0</v>
      </c>
      <c r="K2325" s="39">
        <v>5.6</v>
      </c>
      <c r="L2325" s="38">
        <v>2.0</v>
      </c>
      <c r="M2325" s="40" t="s">
        <v>112</v>
      </c>
      <c r="N2325" s="41"/>
      <c r="O2325" s="42" t="s">
        <v>34</v>
      </c>
      <c r="P2325" s="43"/>
    </row>
    <row r="2326">
      <c r="A2326" s="44" t="s">
        <v>2383</v>
      </c>
      <c r="B2326" s="45" t="s">
        <v>2264</v>
      </c>
      <c r="C2326" s="46" t="s">
        <v>2148</v>
      </c>
      <c r="D2326" s="47" t="str">
        <f t="shared" si="1"/>
        <v>Removed</v>
      </c>
      <c r="E2326" s="48">
        <v>42619.0</v>
      </c>
      <c r="F2326" s="49">
        <v>42646.0</v>
      </c>
      <c r="G2326" s="50">
        <f t="shared" si="2"/>
        <v>0.9</v>
      </c>
      <c r="H2326" s="51">
        <v>42241.0</v>
      </c>
      <c r="I2326" s="50">
        <f t="shared" si="4"/>
        <v>1.030555556</v>
      </c>
      <c r="J2326" s="55">
        <v>66.0</v>
      </c>
      <c r="K2326" s="56">
        <v>7.3</v>
      </c>
      <c r="L2326" s="55">
        <v>18.0</v>
      </c>
      <c r="M2326" s="58" t="s">
        <v>689</v>
      </c>
      <c r="N2326" s="59"/>
      <c r="O2326" s="60" t="s">
        <v>34</v>
      </c>
      <c r="P2326" s="61"/>
    </row>
    <row r="2327">
      <c r="A2327" s="29" t="s">
        <v>612</v>
      </c>
      <c r="B2327" s="30" t="s">
        <v>45</v>
      </c>
      <c r="C2327" s="31" t="s">
        <v>2148</v>
      </c>
      <c r="D2327" s="32" t="str">
        <f t="shared" si="1"/>
        <v>Removed</v>
      </c>
      <c r="E2327" s="33">
        <v>42584.0</v>
      </c>
      <c r="F2327" s="34">
        <v>42618.0</v>
      </c>
      <c r="G2327" s="36">
        <f t="shared" si="2"/>
        <v>1.1</v>
      </c>
      <c r="H2327" s="37">
        <v>42584.0</v>
      </c>
      <c r="I2327" s="36">
        <f t="shared" si="4"/>
        <v>0</v>
      </c>
      <c r="J2327" s="38">
        <v>80.0</v>
      </c>
      <c r="K2327" s="39">
        <v>7.2</v>
      </c>
      <c r="L2327" s="38">
        <v>10.0</v>
      </c>
      <c r="M2327" s="40" t="s">
        <v>136</v>
      </c>
      <c r="N2327" s="41"/>
      <c r="O2327" s="42" t="s">
        <v>34</v>
      </c>
      <c r="P2327" s="43"/>
    </row>
    <row r="2328">
      <c r="A2328" s="44" t="s">
        <v>729</v>
      </c>
      <c r="B2328" s="45" t="s">
        <v>45</v>
      </c>
      <c r="C2328" s="46" t="s">
        <v>2148</v>
      </c>
      <c r="D2328" s="47" t="str">
        <f t="shared" si="1"/>
        <v>Removed</v>
      </c>
      <c r="E2328" s="48">
        <v>42584.0</v>
      </c>
      <c r="F2328" s="49">
        <v>42618.0</v>
      </c>
      <c r="G2328" s="50">
        <f t="shared" si="2"/>
        <v>1.1</v>
      </c>
      <c r="H2328" s="51">
        <v>42290.0</v>
      </c>
      <c r="I2328" s="50">
        <f t="shared" si="4"/>
        <v>0.8027777778</v>
      </c>
      <c r="J2328" s="55">
        <v>76.0</v>
      </c>
      <c r="K2328" s="56">
        <v>7.4</v>
      </c>
      <c r="L2328" s="55">
        <v>20.0</v>
      </c>
      <c r="M2328" s="58" t="s">
        <v>42</v>
      </c>
      <c r="N2328" s="59"/>
      <c r="O2328" s="60" t="s">
        <v>34</v>
      </c>
      <c r="P2328" s="61"/>
    </row>
    <row r="2329">
      <c r="A2329" s="29" t="s">
        <v>2162</v>
      </c>
      <c r="B2329" s="30" t="s">
        <v>442</v>
      </c>
      <c r="C2329" s="31" t="s">
        <v>2148</v>
      </c>
      <c r="D2329" s="32" t="str">
        <f t="shared" si="1"/>
        <v>Removed</v>
      </c>
      <c r="E2329" s="33">
        <v>42584.0</v>
      </c>
      <c r="F2329" s="34">
        <v>42618.0</v>
      </c>
      <c r="G2329" s="36">
        <f t="shared" si="2"/>
        <v>1.1</v>
      </c>
      <c r="H2329" s="37">
        <v>41249.0</v>
      </c>
      <c r="I2329" s="36">
        <f t="shared" si="4"/>
        <v>3.655555556</v>
      </c>
      <c r="J2329" s="38">
        <v>83.0</v>
      </c>
      <c r="K2329" s="39">
        <v>8.5</v>
      </c>
      <c r="L2329" s="38">
        <v>37.0</v>
      </c>
      <c r="M2329" s="40" t="s">
        <v>29</v>
      </c>
      <c r="N2329" s="41"/>
      <c r="O2329" s="42" t="s">
        <v>34</v>
      </c>
      <c r="P2329" s="43"/>
    </row>
    <row r="2330">
      <c r="A2330" s="44" t="s">
        <v>1057</v>
      </c>
      <c r="B2330" s="45" t="s">
        <v>442</v>
      </c>
      <c r="C2330" s="46" t="s">
        <v>2148</v>
      </c>
      <c r="D2330" s="47" t="str">
        <f t="shared" si="1"/>
        <v>Removed</v>
      </c>
      <c r="E2330" s="48">
        <v>42584.0</v>
      </c>
      <c r="F2330" s="49">
        <v>42618.0</v>
      </c>
      <c r="G2330" s="50">
        <f t="shared" si="2"/>
        <v>1.1</v>
      </c>
      <c r="H2330" s="51">
        <v>41142.0</v>
      </c>
      <c r="I2330" s="50">
        <f t="shared" si="4"/>
        <v>3.947222222</v>
      </c>
      <c r="J2330" s="55">
        <v>70.0</v>
      </c>
      <c r="K2330" s="56">
        <v>6.8</v>
      </c>
      <c r="L2330" s="55">
        <v>4.0</v>
      </c>
      <c r="M2330" s="58" t="s">
        <v>31</v>
      </c>
      <c r="N2330" s="59"/>
      <c r="O2330" s="60" t="s">
        <v>34</v>
      </c>
      <c r="P2330" s="61"/>
    </row>
    <row r="2331">
      <c r="A2331" s="29" t="s">
        <v>239</v>
      </c>
      <c r="B2331" s="30" t="s">
        <v>2384</v>
      </c>
      <c r="C2331" s="31" t="s">
        <v>2148</v>
      </c>
      <c r="D2331" s="32" t="str">
        <f t="shared" si="1"/>
        <v>Removed</v>
      </c>
      <c r="E2331" s="33">
        <v>42584.0</v>
      </c>
      <c r="F2331" s="34">
        <v>42618.0</v>
      </c>
      <c r="G2331" s="36">
        <f t="shared" si="2"/>
        <v>1.1</v>
      </c>
      <c r="H2331" s="37">
        <v>40645.0</v>
      </c>
      <c r="I2331" s="36">
        <f t="shared" si="4"/>
        <v>5.305555556</v>
      </c>
      <c r="J2331" s="38">
        <v>86.0</v>
      </c>
      <c r="K2331" s="39">
        <v>8.1</v>
      </c>
      <c r="L2331" s="38">
        <v>18.0</v>
      </c>
      <c r="M2331" s="40" t="s">
        <v>103</v>
      </c>
      <c r="N2331" s="41"/>
      <c r="O2331" s="42" t="s">
        <v>34</v>
      </c>
      <c r="P2331" s="43"/>
    </row>
    <row r="2332">
      <c r="A2332" s="44" t="s">
        <v>2385</v>
      </c>
      <c r="B2332" s="45" t="s">
        <v>2278</v>
      </c>
      <c r="C2332" s="46" t="s">
        <v>2148</v>
      </c>
      <c r="D2332" s="47" t="str">
        <f t="shared" si="1"/>
        <v>Removed</v>
      </c>
      <c r="E2332" s="48">
        <v>42584.0</v>
      </c>
      <c r="F2332" s="49">
        <v>42618.0</v>
      </c>
      <c r="G2332" s="50">
        <f t="shared" si="2"/>
        <v>1.1</v>
      </c>
      <c r="H2332" s="51">
        <v>42136.0</v>
      </c>
      <c r="I2332" s="50">
        <f t="shared" si="4"/>
        <v>1.222222222</v>
      </c>
      <c r="J2332" s="55">
        <v>72.0</v>
      </c>
      <c r="K2332" s="56">
        <v>7.1</v>
      </c>
      <c r="L2332" s="55">
        <v>5.0</v>
      </c>
      <c r="M2332" s="58" t="s">
        <v>31</v>
      </c>
      <c r="N2332" s="59"/>
      <c r="O2332" s="60" t="s">
        <v>34</v>
      </c>
      <c r="P2332" s="61"/>
    </row>
    <row r="2333">
      <c r="A2333" s="29" t="s">
        <v>2386</v>
      </c>
      <c r="B2333" s="30" t="s">
        <v>45</v>
      </c>
      <c r="C2333" s="31" t="s">
        <v>2148</v>
      </c>
      <c r="D2333" s="32" t="str">
        <f t="shared" si="1"/>
        <v>Removed</v>
      </c>
      <c r="E2333" s="33">
        <v>42556.0</v>
      </c>
      <c r="F2333" s="34">
        <v>42583.0</v>
      </c>
      <c r="G2333" s="36">
        <f t="shared" si="2"/>
        <v>0.8666666667</v>
      </c>
      <c r="H2333" s="37">
        <v>42555.0</v>
      </c>
      <c r="I2333" s="36">
        <f t="shared" si="4"/>
        <v>0.002777777778</v>
      </c>
      <c r="J2333" s="38">
        <v>74.0</v>
      </c>
      <c r="K2333" s="39">
        <v>7.8</v>
      </c>
      <c r="L2333" s="38">
        <v>6.0</v>
      </c>
      <c r="M2333" s="40" t="s">
        <v>29</v>
      </c>
      <c r="N2333" s="41"/>
      <c r="O2333" s="42" t="s">
        <v>34</v>
      </c>
      <c r="P2333" s="43"/>
    </row>
    <row r="2334">
      <c r="A2334" s="44" t="s">
        <v>2387</v>
      </c>
      <c r="B2334" s="45" t="s">
        <v>45</v>
      </c>
      <c r="C2334" s="46" t="s">
        <v>2148</v>
      </c>
      <c r="D2334" s="47" t="str">
        <f t="shared" si="1"/>
        <v>Removed</v>
      </c>
      <c r="E2334" s="48">
        <v>42556.0</v>
      </c>
      <c r="F2334" s="49">
        <v>42583.0</v>
      </c>
      <c r="G2334" s="50">
        <f t="shared" si="2"/>
        <v>0.8666666667</v>
      </c>
      <c r="H2334" s="51">
        <v>42024.0</v>
      </c>
      <c r="I2334" s="50">
        <f t="shared" si="4"/>
        <v>1.458333333</v>
      </c>
      <c r="J2334" s="55">
        <v>65.0</v>
      </c>
      <c r="K2334" s="56">
        <v>7.1</v>
      </c>
      <c r="L2334" s="55">
        <v>6.0</v>
      </c>
      <c r="M2334" s="58" t="s">
        <v>29</v>
      </c>
      <c r="N2334" s="59"/>
      <c r="O2334" s="60" t="s">
        <v>34</v>
      </c>
      <c r="P2334" s="61"/>
    </row>
    <row r="2335">
      <c r="A2335" s="29" t="s">
        <v>2388</v>
      </c>
      <c r="B2335" s="30" t="s">
        <v>2264</v>
      </c>
      <c r="C2335" s="31" t="s">
        <v>2148</v>
      </c>
      <c r="D2335" s="32" t="str">
        <f t="shared" si="1"/>
        <v>Removed</v>
      </c>
      <c r="E2335" s="33">
        <v>42556.0</v>
      </c>
      <c r="F2335" s="34">
        <v>42583.0</v>
      </c>
      <c r="G2335" s="36">
        <f t="shared" si="2"/>
        <v>0.8666666667</v>
      </c>
      <c r="H2335" s="37">
        <v>42066.0</v>
      </c>
      <c r="I2335" s="36">
        <f t="shared" si="4"/>
        <v>1.338888889</v>
      </c>
      <c r="J2335" s="38">
        <v>76.0</v>
      </c>
      <c r="K2335" s="39">
        <v>7.8</v>
      </c>
      <c r="L2335" s="38">
        <v>40.0</v>
      </c>
      <c r="M2335" s="40" t="s">
        <v>42</v>
      </c>
      <c r="N2335" s="41"/>
      <c r="O2335" s="42" t="s">
        <v>34</v>
      </c>
      <c r="P2335" s="43"/>
    </row>
    <row r="2336">
      <c r="A2336" s="44" t="s">
        <v>2389</v>
      </c>
      <c r="B2336" s="45" t="s">
        <v>2384</v>
      </c>
      <c r="C2336" s="46" t="s">
        <v>2148</v>
      </c>
      <c r="D2336" s="47" t="str">
        <f t="shared" si="1"/>
        <v>Removed</v>
      </c>
      <c r="E2336" s="48">
        <v>42556.0</v>
      </c>
      <c r="F2336" s="49">
        <v>42583.0</v>
      </c>
      <c r="G2336" s="50">
        <f t="shared" si="2"/>
        <v>0.8666666667</v>
      </c>
      <c r="H2336" s="51">
        <v>38691.0</v>
      </c>
      <c r="I2336" s="50">
        <f t="shared" si="4"/>
        <v>10.58333333</v>
      </c>
      <c r="J2336" s="55">
        <v>82.0</v>
      </c>
      <c r="K2336" s="56">
        <v>8.3</v>
      </c>
      <c r="L2336" s="55">
        <v>10.0</v>
      </c>
      <c r="M2336" s="58" t="s">
        <v>29</v>
      </c>
      <c r="N2336" s="59"/>
      <c r="O2336" s="60" t="s">
        <v>34</v>
      </c>
      <c r="P2336" s="61"/>
    </row>
    <row r="2337">
      <c r="A2337" s="29" t="s">
        <v>2390</v>
      </c>
      <c r="B2337" s="30" t="s">
        <v>442</v>
      </c>
      <c r="C2337" s="31" t="s">
        <v>2148</v>
      </c>
      <c r="D2337" s="32" t="str">
        <f t="shared" si="1"/>
        <v>Removed</v>
      </c>
      <c r="E2337" s="33">
        <v>42556.0</v>
      </c>
      <c r="F2337" s="34">
        <v>42583.0</v>
      </c>
      <c r="G2337" s="36">
        <f t="shared" si="2"/>
        <v>0.8666666667</v>
      </c>
      <c r="H2337" s="37">
        <v>40024.0</v>
      </c>
      <c r="I2337" s="36">
        <f t="shared" si="4"/>
        <v>6.930555556</v>
      </c>
      <c r="J2337" s="38">
        <v>79.0</v>
      </c>
      <c r="K2337" s="39">
        <v>7.7</v>
      </c>
      <c r="L2337" s="76"/>
      <c r="M2337" s="40" t="s">
        <v>103</v>
      </c>
      <c r="N2337" s="41"/>
      <c r="O2337" s="42" t="s">
        <v>34</v>
      </c>
      <c r="P2337" s="43"/>
    </row>
    <row r="2338">
      <c r="A2338" s="44" t="s">
        <v>2391</v>
      </c>
      <c r="B2338" s="45" t="s">
        <v>442</v>
      </c>
      <c r="C2338" s="46" t="s">
        <v>2148</v>
      </c>
      <c r="D2338" s="47" t="str">
        <f t="shared" si="1"/>
        <v>Removed</v>
      </c>
      <c r="E2338" s="48">
        <v>42556.0</v>
      </c>
      <c r="F2338" s="49">
        <v>42583.0</v>
      </c>
      <c r="G2338" s="50">
        <f t="shared" si="2"/>
        <v>0.8666666667</v>
      </c>
      <c r="H2338" s="51">
        <v>39994.0</v>
      </c>
      <c r="I2338" s="50">
        <f t="shared" si="4"/>
        <v>7.013888889</v>
      </c>
      <c r="J2338" s="55">
        <v>78.0</v>
      </c>
      <c r="K2338" s="56">
        <v>8.0</v>
      </c>
      <c r="L2338" s="55">
        <v>7.0</v>
      </c>
      <c r="M2338" s="58" t="s">
        <v>31</v>
      </c>
      <c r="N2338" s="59"/>
      <c r="O2338" s="60" t="s">
        <v>34</v>
      </c>
      <c r="P2338" s="61"/>
    </row>
    <row r="2339">
      <c r="A2339" s="29" t="s">
        <v>2392</v>
      </c>
      <c r="B2339" s="30" t="s">
        <v>45</v>
      </c>
      <c r="C2339" s="31" t="s">
        <v>2148</v>
      </c>
      <c r="D2339" s="32" t="str">
        <f t="shared" si="1"/>
        <v>Removed</v>
      </c>
      <c r="E2339" s="33">
        <v>42528.0</v>
      </c>
      <c r="F2339" s="34">
        <v>42555.0</v>
      </c>
      <c r="G2339" s="36">
        <f t="shared" si="2"/>
        <v>0.9</v>
      </c>
      <c r="H2339" s="37">
        <v>42276.0</v>
      </c>
      <c r="I2339" s="36">
        <f t="shared" si="4"/>
        <v>0.6888888889</v>
      </c>
      <c r="J2339" s="38">
        <v>87.0</v>
      </c>
      <c r="K2339" s="39">
        <v>7.1</v>
      </c>
      <c r="L2339" s="76"/>
      <c r="M2339" s="40" t="s">
        <v>125</v>
      </c>
      <c r="N2339" s="41"/>
      <c r="O2339" s="42" t="s">
        <v>34</v>
      </c>
      <c r="P2339" s="43"/>
    </row>
    <row r="2340">
      <c r="A2340" s="44" t="s">
        <v>2393</v>
      </c>
      <c r="B2340" s="45" t="s">
        <v>45</v>
      </c>
      <c r="C2340" s="46" t="s">
        <v>2148</v>
      </c>
      <c r="D2340" s="47" t="str">
        <f t="shared" si="1"/>
        <v>Removed</v>
      </c>
      <c r="E2340" s="48">
        <v>42528.0</v>
      </c>
      <c r="F2340" s="49">
        <v>42555.0</v>
      </c>
      <c r="G2340" s="50">
        <f t="shared" si="2"/>
        <v>0.9</v>
      </c>
      <c r="H2340" s="51">
        <v>41501.0</v>
      </c>
      <c r="I2340" s="50">
        <f t="shared" si="4"/>
        <v>2.811111111</v>
      </c>
      <c r="J2340" s="55">
        <v>86.0</v>
      </c>
      <c r="K2340" s="56">
        <v>7.7</v>
      </c>
      <c r="L2340" s="55">
        <v>2.0</v>
      </c>
      <c r="M2340" s="58" t="s">
        <v>112</v>
      </c>
      <c r="N2340" s="59"/>
      <c r="O2340" s="60" t="s">
        <v>34</v>
      </c>
      <c r="P2340" s="61"/>
    </row>
    <row r="2341">
      <c r="A2341" s="29" t="s">
        <v>2394</v>
      </c>
      <c r="B2341" s="30" t="s">
        <v>2264</v>
      </c>
      <c r="C2341" s="31" t="s">
        <v>2148</v>
      </c>
      <c r="D2341" s="32" t="str">
        <f t="shared" si="1"/>
        <v>Removed</v>
      </c>
      <c r="E2341" s="33">
        <v>42528.0</v>
      </c>
      <c r="F2341" s="34">
        <v>42555.0</v>
      </c>
      <c r="G2341" s="36">
        <f t="shared" si="2"/>
        <v>0.9</v>
      </c>
      <c r="H2341" s="37">
        <v>40904.0</v>
      </c>
      <c r="I2341" s="36">
        <f t="shared" si="4"/>
        <v>4.444444444</v>
      </c>
      <c r="J2341" s="38">
        <v>64.0</v>
      </c>
      <c r="K2341" s="39">
        <v>6.4</v>
      </c>
      <c r="L2341" s="38">
        <v>4.0</v>
      </c>
      <c r="M2341" s="40" t="s">
        <v>136</v>
      </c>
      <c r="N2341" s="41"/>
      <c r="O2341" s="42" t="s">
        <v>34</v>
      </c>
      <c r="P2341" s="43"/>
    </row>
    <row r="2342">
      <c r="A2342" s="44" t="s">
        <v>2096</v>
      </c>
      <c r="B2342" s="45" t="s">
        <v>2384</v>
      </c>
      <c r="C2342" s="46" t="s">
        <v>2148</v>
      </c>
      <c r="D2342" s="47" t="str">
        <f t="shared" si="1"/>
        <v>Removed</v>
      </c>
      <c r="E2342" s="48">
        <v>42528.0</v>
      </c>
      <c r="F2342" s="49">
        <v>42555.0</v>
      </c>
      <c r="G2342" s="50">
        <f t="shared" si="2"/>
        <v>0.9</v>
      </c>
      <c r="H2342" s="51">
        <v>39511.0</v>
      </c>
      <c r="I2342" s="50">
        <f t="shared" si="4"/>
        <v>8.258333333</v>
      </c>
      <c r="J2342" s="55">
        <v>91.0</v>
      </c>
      <c r="K2342" s="56">
        <v>8.7</v>
      </c>
      <c r="L2342" s="55">
        <v>5.0</v>
      </c>
      <c r="M2342" s="58" t="s">
        <v>29</v>
      </c>
      <c r="N2342" s="59"/>
      <c r="O2342" s="60" t="s">
        <v>34</v>
      </c>
      <c r="P2342" s="61"/>
    </row>
    <row r="2343">
      <c r="A2343" s="29" t="s">
        <v>1063</v>
      </c>
      <c r="B2343" s="30" t="s">
        <v>442</v>
      </c>
      <c r="C2343" s="31" t="s">
        <v>2148</v>
      </c>
      <c r="D2343" s="32" t="str">
        <f t="shared" si="1"/>
        <v>Removed</v>
      </c>
      <c r="E2343" s="33">
        <v>42528.0</v>
      </c>
      <c r="F2343" s="34">
        <v>42555.0</v>
      </c>
      <c r="G2343" s="36">
        <f t="shared" si="2"/>
        <v>0.9</v>
      </c>
      <c r="H2343" s="37">
        <v>39653.0</v>
      </c>
      <c r="I2343" s="36">
        <f t="shared" si="4"/>
        <v>7.869444444</v>
      </c>
      <c r="J2343" s="38">
        <v>78.0</v>
      </c>
      <c r="K2343" s="39">
        <v>8.0</v>
      </c>
      <c r="L2343" s="38">
        <v>12.0</v>
      </c>
      <c r="M2343" s="40" t="s">
        <v>537</v>
      </c>
      <c r="N2343" s="41"/>
      <c r="O2343" s="42" t="s">
        <v>34</v>
      </c>
      <c r="P2343" s="43"/>
    </row>
    <row r="2344">
      <c r="A2344" s="44" t="s">
        <v>2395</v>
      </c>
      <c r="B2344" s="45" t="s">
        <v>442</v>
      </c>
      <c r="C2344" s="46" t="s">
        <v>2148</v>
      </c>
      <c r="D2344" s="47" t="str">
        <f t="shared" si="1"/>
        <v>Removed</v>
      </c>
      <c r="E2344" s="48">
        <v>42528.0</v>
      </c>
      <c r="F2344" s="49">
        <v>42555.0</v>
      </c>
      <c r="G2344" s="50">
        <f t="shared" si="2"/>
        <v>0.9</v>
      </c>
      <c r="H2344" s="51">
        <v>39569.0</v>
      </c>
      <c r="I2344" s="50">
        <f t="shared" si="4"/>
        <v>8.1</v>
      </c>
      <c r="J2344" s="55">
        <v>79.0</v>
      </c>
      <c r="K2344" s="56">
        <v>7.6</v>
      </c>
      <c r="L2344" s="55">
        <v>5.0</v>
      </c>
      <c r="M2344" s="58" t="s">
        <v>136</v>
      </c>
      <c r="N2344" s="59"/>
      <c r="O2344" s="60" t="s">
        <v>34</v>
      </c>
      <c r="P2344" s="61"/>
    </row>
    <row r="2345">
      <c r="A2345" s="29" t="s">
        <v>766</v>
      </c>
      <c r="B2345" s="30" t="s">
        <v>45</v>
      </c>
      <c r="C2345" s="31" t="s">
        <v>2148</v>
      </c>
      <c r="D2345" s="32" t="str">
        <f t="shared" si="1"/>
        <v>Removed</v>
      </c>
      <c r="E2345" s="33">
        <v>42493.0</v>
      </c>
      <c r="F2345" s="34">
        <v>42527.0</v>
      </c>
      <c r="G2345" s="36">
        <f t="shared" si="2"/>
        <v>1.1</v>
      </c>
      <c r="H2345" s="37">
        <v>41782.0</v>
      </c>
      <c r="I2345" s="36">
        <f t="shared" si="4"/>
        <v>1.944444444</v>
      </c>
      <c r="J2345" s="38">
        <v>75.0</v>
      </c>
      <c r="K2345" s="39">
        <v>7.3</v>
      </c>
      <c r="L2345" s="38">
        <v>20.0</v>
      </c>
      <c r="M2345" s="40" t="s">
        <v>103</v>
      </c>
      <c r="N2345" s="41"/>
      <c r="O2345" s="42" t="s">
        <v>34</v>
      </c>
      <c r="P2345" s="43"/>
    </row>
    <row r="2346">
      <c r="A2346" s="44" t="s">
        <v>1964</v>
      </c>
      <c r="B2346" s="45" t="s">
        <v>45</v>
      </c>
      <c r="C2346" s="46" t="s">
        <v>2148</v>
      </c>
      <c r="D2346" s="47" t="str">
        <f t="shared" si="1"/>
        <v>Removed</v>
      </c>
      <c r="E2346" s="48">
        <v>42493.0</v>
      </c>
      <c r="F2346" s="49">
        <v>42527.0</v>
      </c>
      <c r="G2346" s="50">
        <f t="shared" si="2"/>
        <v>1.1</v>
      </c>
      <c r="H2346" s="51">
        <v>42493.0</v>
      </c>
      <c r="I2346" s="50">
        <f t="shared" si="4"/>
        <v>0</v>
      </c>
      <c r="J2346" s="55">
        <v>56.0</v>
      </c>
      <c r="K2346" s="56">
        <v>5.7</v>
      </c>
      <c r="L2346" s="78"/>
      <c r="M2346" s="58" t="s">
        <v>95</v>
      </c>
      <c r="N2346" s="59"/>
      <c r="O2346" s="60" t="s">
        <v>34</v>
      </c>
      <c r="P2346" s="61"/>
    </row>
    <row r="2347">
      <c r="A2347" s="29" t="s">
        <v>2396</v>
      </c>
      <c r="B2347" s="30" t="s">
        <v>2257</v>
      </c>
      <c r="C2347" s="31" t="s">
        <v>2148</v>
      </c>
      <c r="D2347" s="32" t="str">
        <f t="shared" si="1"/>
        <v>Removed</v>
      </c>
      <c r="E2347" s="33">
        <v>42493.0</v>
      </c>
      <c r="F2347" s="34">
        <v>42527.0</v>
      </c>
      <c r="G2347" s="36">
        <f t="shared" si="2"/>
        <v>1.1</v>
      </c>
      <c r="H2347" s="37">
        <v>42249.0</v>
      </c>
      <c r="I2347" s="36">
        <f t="shared" si="4"/>
        <v>0.6694444444</v>
      </c>
      <c r="J2347" s="38">
        <v>72.0</v>
      </c>
      <c r="K2347" s="39">
        <v>6.8</v>
      </c>
      <c r="L2347" s="38">
        <v>4.0</v>
      </c>
      <c r="M2347" s="40" t="s">
        <v>31</v>
      </c>
      <c r="N2347" s="41"/>
      <c r="O2347" s="42" t="s">
        <v>34</v>
      </c>
      <c r="P2347" s="43"/>
    </row>
    <row r="2348">
      <c r="A2348" s="44" t="s">
        <v>2092</v>
      </c>
      <c r="B2348" s="45" t="s">
        <v>2384</v>
      </c>
      <c r="C2348" s="46" t="s">
        <v>2148</v>
      </c>
      <c r="D2348" s="47" t="str">
        <f t="shared" si="1"/>
        <v>Removed</v>
      </c>
      <c r="E2348" s="48">
        <v>42493.0</v>
      </c>
      <c r="F2348" s="49">
        <v>42527.0</v>
      </c>
      <c r="G2348" s="50">
        <f t="shared" si="2"/>
        <v>1.1</v>
      </c>
      <c r="H2348" s="51">
        <v>40484.0</v>
      </c>
      <c r="I2348" s="50">
        <f t="shared" si="4"/>
        <v>5.502777778</v>
      </c>
      <c r="J2348" s="55">
        <v>86.0</v>
      </c>
      <c r="K2348" s="56">
        <v>8.5</v>
      </c>
      <c r="L2348" s="55">
        <v>5.0</v>
      </c>
      <c r="M2348" s="58" t="s">
        <v>29</v>
      </c>
      <c r="N2348" s="59"/>
      <c r="O2348" s="60" t="s">
        <v>34</v>
      </c>
      <c r="P2348" s="61"/>
    </row>
    <row r="2349">
      <c r="A2349" s="29" t="s">
        <v>866</v>
      </c>
      <c r="B2349" s="30" t="s">
        <v>442</v>
      </c>
      <c r="C2349" s="31" t="s">
        <v>2148</v>
      </c>
      <c r="D2349" s="32" t="str">
        <f t="shared" si="1"/>
        <v>Removed</v>
      </c>
      <c r="E2349" s="33">
        <v>42493.0</v>
      </c>
      <c r="F2349" s="34">
        <v>42527.0</v>
      </c>
      <c r="G2349" s="36">
        <f t="shared" si="2"/>
        <v>1.1</v>
      </c>
      <c r="H2349" s="37">
        <v>39346.0</v>
      </c>
      <c r="I2349" s="36">
        <f t="shared" si="4"/>
        <v>8.616666667</v>
      </c>
      <c r="J2349" s="38">
        <v>76.0</v>
      </c>
      <c r="K2349" s="39">
        <v>7.8</v>
      </c>
      <c r="L2349" s="38">
        <v>2.0</v>
      </c>
      <c r="M2349" s="40" t="s">
        <v>27</v>
      </c>
      <c r="N2349" s="41"/>
      <c r="O2349" s="42" t="s">
        <v>34</v>
      </c>
      <c r="P2349" s="43"/>
    </row>
    <row r="2350">
      <c r="A2350" s="44" t="s">
        <v>2397</v>
      </c>
      <c r="B2350" s="45" t="s">
        <v>442</v>
      </c>
      <c r="C2350" s="46" t="s">
        <v>2148</v>
      </c>
      <c r="D2350" s="47" t="str">
        <f t="shared" si="1"/>
        <v>Removed</v>
      </c>
      <c r="E2350" s="48">
        <v>42493.0</v>
      </c>
      <c r="F2350" s="49">
        <v>42527.0</v>
      </c>
      <c r="G2350" s="50">
        <f t="shared" si="2"/>
        <v>1.1</v>
      </c>
      <c r="H2350" s="51">
        <v>39673.0</v>
      </c>
      <c r="I2350" s="50">
        <f t="shared" si="4"/>
        <v>7.722222222</v>
      </c>
      <c r="J2350" s="55">
        <v>85.0</v>
      </c>
      <c r="K2350" s="56">
        <v>8.2</v>
      </c>
      <c r="L2350" s="55">
        <v>5.0</v>
      </c>
      <c r="M2350" s="58" t="s">
        <v>27</v>
      </c>
      <c r="N2350" s="59"/>
      <c r="O2350" s="60" t="s">
        <v>34</v>
      </c>
      <c r="P2350" s="61"/>
    </row>
    <row r="2351">
      <c r="A2351" s="29" t="s">
        <v>2398</v>
      </c>
      <c r="B2351" s="30" t="s">
        <v>45</v>
      </c>
      <c r="C2351" s="31" t="s">
        <v>2148</v>
      </c>
      <c r="D2351" s="32" t="str">
        <f t="shared" si="1"/>
        <v>Removed</v>
      </c>
      <c r="E2351" s="33">
        <v>42465.0</v>
      </c>
      <c r="F2351" s="34">
        <v>42492.0</v>
      </c>
      <c r="G2351" s="36">
        <f t="shared" si="2"/>
        <v>0.9</v>
      </c>
      <c r="H2351" s="37">
        <v>42465.0</v>
      </c>
      <c r="I2351" s="36">
        <f t="shared" si="4"/>
        <v>0</v>
      </c>
      <c r="J2351" s="38">
        <v>61.0</v>
      </c>
      <c r="K2351" s="39">
        <v>5.8</v>
      </c>
      <c r="L2351" s="76"/>
      <c r="M2351" s="40" t="s">
        <v>31</v>
      </c>
      <c r="N2351" s="41"/>
      <c r="O2351" s="42" t="s">
        <v>34</v>
      </c>
      <c r="P2351" s="43"/>
    </row>
    <row r="2352">
      <c r="A2352" s="44" t="s">
        <v>2399</v>
      </c>
      <c r="B2352" s="45" t="s">
        <v>45</v>
      </c>
      <c r="C2352" s="46" t="s">
        <v>2148</v>
      </c>
      <c r="D2352" s="47" t="str">
        <f t="shared" si="1"/>
        <v>Removed</v>
      </c>
      <c r="E2352" s="48">
        <v>42465.0</v>
      </c>
      <c r="F2352" s="49">
        <v>42492.0</v>
      </c>
      <c r="G2352" s="50">
        <f t="shared" si="2"/>
        <v>0.9</v>
      </c>
      <c r="H2352" s="51">
        <v>42234.0</v>
      </c>
      <c r="I2352" s="50">
        <f t="shared" si="4"/>
        <v>0.6305555556</v>
      </c>
      <c r="J2352" s="55">
        <v>77.0</v>
      </c>
      <c r="K2352" s="56">
        <v>6.4</v>
      </c>
      <c r="L2352" s="55">
        <v>9.0</v>
      </c>
      <c r="M2352" s="58" t="s">
        <v>537</v>
      </c>
      <c r="N2352" s="59"/>
      <c r="O2352" s="60" t="s">
        <v>34</v>
      </c>
      <c r="P2352" s="61"/>
    </row>
    <row r="2353">
      <c r="A2353" s="29" t="s">
        <v>2400</v>
      </c>
      <c r="B2353" s="30" t="s">
        <v>2264</v>
      </c>
      <c r="C2353" s="31" t="s">
        <v>2148</v>
      </c>
      <c r="D2353" s="32" t="str">
        <f t="shared" si="1"/>
        <v>Removed</v>
      </c>
      <c r="E2353" s="33">
        <v>42465.0</v>
      </c>
      <c r="F2353" s="34">
        <v>42492.0</v>
      </c>
      <c r="G2353" s="36">
        <f t="shared" si="2"/>
        <v>0.9</v>
      </c>
      <c r="H2353" s="37">
        <v>42221.0</v>
      </c>
      <c r="I2353" s="36">
        <f t="shared" si="4"/>
        <v>0.6666666667</v>
      </c>
      <c r="J2353" s="38">
        <v>62.0</v>
      </c>
      <c r="K2353" s="39">
        <v>6.8</v>
      </c>
      <c r="L2353" s="38">
        <v>1.0</v>
      </c>
      <c r="M2353" s="40" t="s">
        <v>31</v>
      </c>
      <c r="N2353" s="41"/>
      <c r="O2353" s="42" t="s">
        <v>34</v>
      </c>
      <c r="P2353" s="43"/>
    </row>
    <row r="2354">
      <c r="A2354" s="44" t="s">
        <v>2401</v>
      </c>
      <c r="B2354" s="45" t="s">
        <v>2264</v>
      </c>
      <c r="C2354" s="46" t="s">
        <v>2148</v>
      </c>
      <c r="D2354" s="47" t="str">
        <f t="shared" si="1"/>
        <v>Removed</v>
      </c>
      <c r="E2354" s="48">
        <v>42465.0</v>
      </c>
      <c r="F2354" s="49">
        <v>42492.0</v>
      </c>
      <c r="G2354" s="50">
        <f t="shared" si="2"/>
        <v>0.9</v>
      </c>
      <c r="H2354" s="51">
        <v>41337.0</v>
      </c>
      <c r="I2354" s="50">
        <f t="shared" si="4"/>
        <v>3.086111111</v>
      </c>
      <c r="J2354" s="55">
        <v>69.0</v>
      </c>
      <c r="K2354" s="56">
        <v>6.9</v>
      </c>
      <c r="L2354" s="55">
        <v>4.0</v>
      </c>
      <c r="M2354" s="58" t="s">
        <v>136</v>
      </c>
      <c r="N2354" s="59"/>
      <c r="O2354" s="60" t="s">
        <v>34</v>
      </c>
      <c r="P2354" s="61"/>
    </row>
    <row r="2355">
      <c r="A2355" s="29" t="s">
        <v>2402</v>
      </c>
      <c r="B2355" s="30" t="s">
        <v>442</v>
      </c>
      <c r="C2355" s="31" t="s">
        <v>2148</v>
      </c>
      <c r="D2355" s="32" t="str">
        <f t="shared" si="1"/>
        <v>Removed</v>
      </c>
      <c r="E2355" s="33">
        <v>42465.0</v>
      </c>
      <c r="F2355" s="34">
        <v>42492.0</v>
      </c>
      <c r="G2355" s="36">
        <f t="shared" si="2"/>
        <v>0.9</v>
      </c>
      <c r="H2355" s="37">
        <v>40974.0</v>
      </c>
      <c r="I2355" s="36">
        <f t="shared" si="4"/>
        <v>4.080555556</v>
      </c>
      <c r="J2355" s="38">
        <v>75.0</v>
      </c>
      <c r="K2355" s="39">
        <v>6.8</v>
      </c>
      <c r="L2355" s="38">
        <v>6.0</v>
      </c>
      <c r="M2355" s="40" t="s">
        <v>29</v>
      </c>
      <c r="N2355" s="41"/>
      <c r="O2355" s="42" t="s">
        <v>34</v>
      </c>
      <c r="P2355" s="43"/>
    </row>
    <row r="2356">
      <c r="A2356" s="44" t="s">
        <v>885</v>
      </c>
      <c r="B2356" s="45" t="s">
        <v>442</v>
      </c>
      <c r="C2356" s="46" t="s">
        <v>2148</v>
      </c>
      <c r="D2356" s="47" t="str">
        <f t="shared" si="1"/>
        <v>Removed</v>
      </c>
      <c r="E2356" s="48">
        <v>42465.0</v>
      </c>
      <c r="F2356" s="49">
        <v>42492.0</v>
      </c>
      <c r="G2356" s="50">
        <f t="shared" si="2"/>
        <v>0.9</v>
      </c>
      <c r="H2356" s="51">
        <v>39870.0</v>
      </c>
      <c r="I2356" s="50">
        <f t="shared" si="4"/>
        <v>7.108333333</v>
      </c>
      <c r="J2356" s="55">
        <v>72.0</v>
      </c>
      <c r="K2356" s="56">
        <v>7.7</v>
      </c>
      <c r="L2356" s="55">
        <v>6.0</v>
      </c>
      <c r="M2356" s="58" t="s">
        <v>103</v>
      </c>
      <c r="N2356" s="59"/>
      <c r="O2356" s="60" t="s">
        <v>34</v>
      </c>
      <c r="P2356" s="61"/>
    </row>
    <row r="2357">
      <c r="A2357" s="29" t="s">
        <v>2403</v>
      </c>
      <c r="B2357" s="30" t="s">
        <v>45</v>
      </c>
      <c r="C2357" s="31" t="s">
        <v>2148</v>
      </c>
      <c r="D2357" s="32" t="str">
        <f t="shared" si="1"/>
        <v>Removed</v>
      </c>
      <c r="E2357" s="33">
        <v>42430.0</v>
      </c>
      <c r="F2357" s="34">
        <v>42464.0</v>
      </c>
      <c r="G2357" s="36">
        <f t="shared" si="2"/>
        <v>1.1</v>
      </c>
      <c r="H2357" s="37">
        <v>42292.0</v>
      </c>
      <c r="I2357" s="36">
        <f t="shared" si="4"/>
        <v>0.3777777778</v>
      </c>
      <c r="J2357" s="38">
        <v>83.0</v>
      </c>
      <c r="K2357" s="39">
        <v>8.2</v>
      </c>
      <c r="L2357" s="38">
        <v>5.0</v>
      </c>
      <c r="M2357" s="40" t="s">
        <v>27</v>
      </c>
      <c r="N2357" s="41"/>
      <c r="O2357" s="42" t="s">
        <v>34</v>
      </c>
      <c r="P2357" s="43"/>
    </row>
    <row r="2358">
      <c r="A2358" s="44" t="s">
        <v>2404</v>
      </c>
      <c r="B2358" s="45" t="s">
        <v>45</v>
      </c>
      <c r="C2358" s="46" t="s">
        <v>2148</v>
      </c>
      <c r="D2358" s="47" t="str">
        <f t="shared" si="1"/>
        <v>Removed</v>
      </c>
      <c r="E2358" s="48">
        <v>42430.0</v>
      </c>
      <c r="F2358" s="49">
        <v>42464.0</v>
      </c>
      <c r="G2358" s="50">
        <f t="shared" si="2"/>
        <v>1.1</v>
      </c>
      <c r="H2358" s="51">
        <v>42220.0</v>
      </c>
      <c r="I2358" s="50">
        <f t="shared" si="4"/>
        <v>0.575</v>
      </c>
      <c r="J2358" s="55">
        <v>76.0</v>
      </c>
      <c r="K2358" s="56">
        <v>7.5</v>
      </c>
      <c r="L2358" s="55">
        <v>10.0</v>
      </c>
      <c r="M2358" s="58" t="s">
        <v>31</v>
      </c>
      <c r="N2358" s="59"/>
      <c r="O2358" s="60" t="s">
        <v>34</v>
      </c>
      <c r="P2358" s="61"/>
    </row>
    <row r="2359">
      <c r="A2359" s="29" t="s">
        <v>2405</v>
      </c>
      <c r="B2359" s="30" t="s">
        <v>2264</v>
      </c>
      <c r="C2359" s="31" t="s">
        <v>2148</v>
      </c>
      <c r="D2359" s="32" t="str">
        <f t="shared" si="1"/>
        <v>Removed</v>
      </c>
      <c r="E2359" s="33">
        <v>42430.0</v>
      </c>
      <c r="F2359" s="34">
        <v>42464.0</v>
      </c>
      <c r="G2359" s="36">
        <f t="shared" si="2"/>
        <v>1.1</v>
      </c>
      <c r="H2359" s="37">
        <v>42052.0</v>
      </c>
      <c r="I2359" s="36">
        <f t="shared" si="4"/>
        <v>1.038888889</v>
      </c>
      <c r="J2359" s="38">
        <v>65.0</v>
      </c>
      <c r="K2359" s="39">
        <v>6.9</v>
      </c>
      <c r="L2359" s="38">
        <v>6.0</v>
      </c>
      <c r="M2359" s="40" t="s">
        <v>29</v>
      </c>
      <c r="N2359" s="41"/>
      <c r="O2359" s="42" t="s">
        <v>34</v>
      </c>
      <c r="P2359" s="43"/>
    </row>
    <row r="2360">
      <c r="A2360" s="44" t="s">
        <v>2406</v>
      </c>
      <c r="B2360" s="45" t="s">
        <v>2264</v>
      </c>
      <c r="C2360" s="46" t="s">
        <v>2148</v>
      </c>
      <c r="D2360" s="47" t="str">
        <f t="shared" si="1"/>
        <v>Removed</v>
      </c>
      <c r="E2360" s="48">
        <v>42430.0</v>
      </c>
      <c r="F2360" s="49">
        <v>42464.0</v>
      </c>
      <c r="G2360" s="50">
        <f t="shared" si="2"/>
        <v>1.1</v>
      </c>
      <c r="H2360" s="51">
        <v>40960.0</v>
      </c>
      <c r="I2360" s="50">
        <f t="shared" si="4"/>
        <v>4.027777778</v>
      </c>
      <c r="J2360" s="55">
        <v>54.0</v>
      </c>
      <c r="K2360" s="56">
        <v>6.6</v>
      </c>
      <c r="L2360" s="78"/>
      <c r="M2360" s="58" t="s">
        <v>114</v>
      </c>
      <c r="N2360" s="59"/>
      <c r="O2360" s="60" t="s">
        <v>34</v>
      </c>
      <c r="P2360" s="61"/>
    </row>
    <row r="2361">
      <c r="A2361" s="29" t="s">
        <v>967</v>
      </c>
      <c r="B2361" s="30" t="s">
        <v>442</v>
      </c>
      <c r="C2361" s="31" t="s">
        <v>2148</v>
      </c>
      <c r="D2361" s="32" t="str">
        <f t="shared" si="1"/>
        <v>Removed</v>
      </c>
      <c r="E2361" s="33">
        <v>42430.0</v>
      </c>
      <c r="F2361" s="34">
        <v>42464.0</v>
      </c>
      <c r="G2361" s="36">
        <f t="shared" si="2"/>
        <v>1.1</v>
      </c>
      <c r="H2361" s="37">
        <v>39261.0</v>
      </c>
      <c r="I2361" s="36">
        <f t="shared" si="4"/>
        <v>8.675</v>
      </c>
      <c r="J2361" s="38">
        <v>86.0</v>
      </c>
      <c r="K2361" s="39">
        <v>8.2</v>
      </c>
      <c r="L2361" s="76"/>
      <c r="M2361" s="40" t="s">
        <v>31</v>
      </c>
      <c r="N2361" s="41"/>
      <c r="O2361" s="42" t="s">
        <v>34</v>
      </c>
      <c r="P2361" s="43"/>
    </row>
    <row r="2362">
      <c r="A2362" s="44" t="s">
        <v>895</v>
      </c>
      <c r="B2362" s="45" t="s">
        <v>442</v>
      </c>
      <c r="C2362" s="46" t="s">
        <v>2148</v>
      </c>
      <c r="D2362" s="47" t="str">
        <f t="shared" si="1"/>
        <v>Removed</v>
      </c>
      <c r="E2362" s="48">
        <v>42430.0</v>
      </c>
      <c r="F2362" s="49">
        <v>42464.0</v>
      </c>
      <c r="G2362" s="50">
        <f t="shared" si="2"/>
        <v>1.1</v>
      </c>
      <c r="H2362" s="51">
        <v>39688.0</v>
      </c>
      <c r="I2362" s="50">
        <f t="shared" si="4"/>
        <v>7.508333333</v>
      </c>
      <c r="J2362" s="55">
        <v>81.0</v>
      </c>
      <c r="K2362" s="56">
        <v>7.5</v>
      </c>
      <c r="L2362" s="55">
        <v>8.0</v>
      </c>
      <c r="M2362" s="58" t="s">
        <v>103</v>
      </c>
      <c r="N2362" s="59"/>
      <c r="O2362" s="60" t="s">
        <v>34</v>
      </c>
      <c r="P2362" s="61"/>
    </row>
    <row r="2363">
      <c r="A2363" s="29" t="s">
        <v>2407</v>
      </c>
      <c r="B2363" s="30" t="s">
        <v>2278</v>
      </c>
      <c r="C2363" s="31" t="s">
        <v>2148</v>
      </c>
      <c r="D2363" s="32" t="str">
        <f t="shared" si="1"/>
        <v>Removed</v>
      </c>
      <c r="E2363" s="33">
        <v>42402.0</v>
      </c>
      <c r="F2363" s="34">
        <v>42429.0</v>
      </c>
      <c r="G2363" s="36">
        <f t="shared" si="2"/>
        <v>0.9</v>
      </c>
      <c r="H2363" s="37">
        <v>42066.0</v>
      </c>
      <c r="I2363" s="36">
        <f t="shared" si="4"/>
        <v>0.9138888889</v>
      </c>
      <c r="J2363" s="38">
        <v>83.0</v>
      </c>
      <c r="K2363" s="39">
        <v>7.8</v>
      </c>
      <c r="L2363" s="38">
        <v>6.0</v>
      </c>
      <c r="M2363" s="40" t="s">
        <v>31</v>
      </c>
      <c r="N2363" s="41"/>
      <c r="O2363" s="42" t="s">
        <v>34</v>
      </c>
      <c r="P2363" s="43"/>
    </row>
    <row r="2364">
      <c r="A2364" s="44" t="s">
        <v>2019</v>
      </c>
      <c r="B2364" s="45" t="s">
        <v>45</v>
      </c>
      <c r="C2364" s="46" t="s">
        <v>2148</v>
      </c>
      <c r="D2364" s="47" t="str">
        <f t="shared" si="1"/>
        <v>Removed</v>
      </c>
      <c r="E2364" s="48">
        <v>42402.0</v>
      </c>
      <c r="F2364" s="49">
        <v>42429.0</v>
      </c>
      <c r="G2364" s="50">
        <f t="shared" si="2"/>
        <v>0.9</v>
      </c>
      <c r="H2364" s="51">
        <v>42136.0</v>
      </c>
      <c r="I2364" s="50">
        <f t="shared" si="4"/>
        <v>0.7222222222</v>
      </c>
      <c r="J2364" s="55">
        <v>70.0</v>
      </c>
      <c r="K2364" s="56">
        <v>6.7</v>
      </c>
      <c r="L2364" s="55">
        <v>9.0</v>
      </c>
      <c r="M2364" s="58" t="s">
        <v>29</v>
      </c>
      <c r="N2364" s="59"/>
      <c r="O2364" s="60" t="s">
        <v>34</v>
      </c>
      <c r="P2364" s="61"/>
    </row>
    <row r="2365">
      <c r="A2365" s="29" t="s">
        <v>2408</v>
      </c>
      <c r="B2365" s="30" t="s">
        <v>2264</v>
      </c>
      <c r="C2365" s="31" t="s">
        <v>2148</v>
      </c>
      <c r="D2365" s="32" t="str">
        <f t="shared" si="1"/>
        <v>Removed</v>
      </c>
      <c r="E2365" s="33">
        <v>42402.0</v>
      </c>
      <c r="F2365" s="34">
        <v>42429.0</v>
      </c>
      <c r="G2365" s="36">
        <f t="shared" si="2"/>
        <v>0.9</v>
      </c>
      <c r="H2365" s="37">
        <v>42241.0</v>
      </c>
      <c r="I2365" s="36">
        <f t="shared" si="4"/>
        <v>0.4361111111</v>
      </c>
      <c r="J2365" s="38">
        <v>75.0</v>
      </c>
      <c r="K2365" s="39">
        <v>7.1</v>
      </c>
      <c r="L2365" s="38">
        <v>5.0</v>
      </c>
      <c r="M2365" s="40" t="s">
        <v>103</v>
      </c>
      <c r="N2365" s="41"/>
      <c r="O2365" s="42" t="s">
        <v>34</v>
      </c>
      <c r="P2365" s="43"/>
    </row>
    <row r="2366">
      <c r="A2366" s="44" t="s">
        <v>2409</v>
      </c>
      <c r="B2366" s="45" t="s">
        <v>2264</v>
      </c>
      <c r="C2366" s="46" t="s">
        <v>2148</v>
      </c>
      <c r="D2366" s="47" t="str">
        <f t="shared" si="1"/>
        <v>Removed</v>
      </c>
      <c r="E2366" s="48">
        <v>42402.0</v>
      </c>
      <c r="F2366" s="49">
        <v>42429.0</v>
      </c>
      <c r="G2366" s="50">
        <f t="shared" si="2"/>
        <v>0.9</v>
      </c>
      <c r="H2366" s="51">
        <v>41976.0</v>
      </c>
      <c r="I2366" s="50">
        <f t="shared" si="4"/>
        <v>1.163888889</v>
      </c>
      <c r="J2366" s="55">
        <v>68.0</v>
      </c>
      <c r="K2366" s="56">
        <v>6.8</v>
      </c>
      <c r="L2366" s="55">
        <v>5.0</v>
      </c>
      <c r="M2366" s="58" t="s">
        <v>136</v>
      </c>
      <c r="N2366" s="59"/>
      <c r="O2366" s="60" t="s">
        <v>34</v>
      </c>
      <c r="P2366" s="61"/>
    </row>
    <row r="2367">
      <c r="A2367" s="29" t="s">
        <v>2410</v>
      </c>
      <c r="B2367" s="30" t="s">
        <v>442</v>
      </c>
      <c r="C2367" s="31" t="s">
        <v>2148</v>
      </c>
      <c r="D2367" s="32" t="str">
        <f t="shared" si="1"/>
        <v>Removed</v>
      </c>
      <c r="E2367" s="33">
        <v>42402.0</v>
      </c>
      <c r="F2367" s="34">
        <v>42429.0</v>
      </c>
      <c r="G2367" s="36">
        <f t="shared" si="2"/>
        <v>0.9</v>
      </c>
      <c r="H2367" s="37">
        <v>41912.0</v>
      </c>
      <c r="I2367" s="36">
        <f t="shared" si="4"/>
        <v>1.338888889</v>
      </c>
      <c r="J2367" s="38">
        <v>84.0</v>
      </c>
      <c r="K2367" s="39">
        <v>8.0</v>
      </c>
      <c r="L2367" s="76"/>
      <c r="M2367" s="40" t="s">
        <v>114</v>
      </c>
      <c r="N2367" s="41"/>
      <c r="O2367" s="42" t="s">
        <v>34</v>
      </c>
      <c r="P2367" s="43"/>
    </row>
    <row r="2368">
      <c r="A2368" s="44" t="s">
        <v>2124</v>
      </c>
      <c r="B2368" s="45" t="s">
        <v>442</v>
      </c>
      <c r="C2368" s="46" t="s">
        <v>2148</v>
      </c>
      <c r="D2368" s="47" t="str">
        <f t="shared" si="1"/>
        <v>Removed</v>
      </c>
      <c r="E2368" s="48">
        <v>42402.0</v>
      </c>
      <c r="F2368" s="49">
        <v>42429.0</v>
      </c>
      <c r="G2368" s="50">
        <f t="shared" si="2"/>
        <v>0.9</v>
      </c>
      <c r="H2368" s="51">
        <v>41814.0</v>
      </c>
      <c r="I2368" s="50">
        <f t="shared" si="4"/>
        <v>1.605555556</v>
      </c>
      <c r="J2368" s="55">
        <v>78.0</v>
      </c>
      <c r="K2368" s="56">
        <v>7.6</v>
      </c>
      <c r="L2368" s="55">
        <v>32.0</v>
      </c>
      <c r="M2368" s="58" t="s">
        <v>95</v>
      </c>
      <c r="N2368" s="59"/>
      <c r="O2368" s="60" t="s">
        <v>34</v>
      </c>
      <c r="P2368" s="61"/>
    </row>
    <row r="2369">
      <c r="A2369" s="29" t="s">
        <v>2411</v>
      </c>
      <c r="B2369" s="30" t="s">
        <v>45</v>
      </c>
      <c r="C2369" s="31" t="s">
        <v>2148</v>
      </c>
      <c r="D2369" s="32" t="str">
        <f t="shared" si="1"/>
        <v>Removed</v>
      </c>
      <c r="E2369" s="33">
        <v>42374.0</v>
      </c>
      <c r="F2369" s="34">
        <v>42401.0</v>
      </c>
      <c r="G2369" s="36">
        <f t="shared" si="2"/>
        <v>0.8666666667</v>
      </c>
      <c r="H2369" s="37">
        <v>42374.0</v>
      </c>
      <c r="I2369" s="36">
        <f t="shared" si="4"/>
        <v>0</v>
      </c>
      <c r="J2369" s="38">
        <v>56.0</v>
      </c>
      <c r="K2369" s="39">
        <v>5.9</v>
      </c>
      <c r="L2369" s="76"/>
      <c r="M2369" s="40" t="s">
        <v>31</v>
      </c>
      <c r="N2369" s="41"/>
      <c r="O2369" s="42" t="s">
        <v>34</v>
      </c>
      <c r="P2369" s="43"/>
    </row>
    <row r="2370">
      <c r="A2370" s="44" t="s">
        <v>2020</v>
      </c>
      <c r="B2370" s="45" t="s">
        <v>2257</v>
      </c>
      <c r="C2370" s="46" t="s">
        <v>2148</v>
      </c>
      <c r="D2370" s="47" t="str">
        <f t="shared" si="1"/>
        <v>Removed</v>
      </c>
      <c r="E2370" s="48">
        <v>42374.0</v>
      </c>
      <c r="F2370" s="49">
        <v>42401.0</v>
      </c>
      <c r="G2370" s="50">
        <f t="shared" si="2"/>
        <v>0.8666666667</v>
      </c>
      <c r="H2370" s="51">
        <v>42031.0</v>
      </c>
      <c r="I2370" s="50">
        <f t="shared" si="4"/>
        <v>0.9388888889</v>
      </c>
      <c r="J2370" s="55">
        <v>80.0</v>
      </c>
      <c r="K2370" s="56">
        <v>8.2</v>
      </c>
      <c r="L2370" s="55">
        <v>11.0</v>
      </c>
      <c r="M2370" s="58" t="s">
        <v>112</v>
      </c>
      <c r="N2370" s="59"/>
      <c r="O2370" s="60" t="s">
        <v>34</v>
      </c>
      <c r="P2370" s="61"/>
    </row>
    <row r="2371">
      <c r="A2371" s="29" t="s">
        <v>2412</v>
      </c>
      <c r="B2371" s="30" t="s">
        <v>2264</v>
      </c>
      <c r="C2371" s="31" t="s">
        <v>2148</v>
      </c>
      <c r="D2371" s="32" t="str">
        <f t="shared" si="1"/>
        <v>Removed</v>
      </c>
      <c r="E2371" s="33">
        <v>42374.0</v>
      </c>
      <c r="F2371" s="34">
        <v>42401.0</v>
      </c>
      <c r="G2371" s="36">
        <f t="shared" si="2"/>
        <v>0.8666666667</v>
      </c>
      <c r="H2371" s="37">
        <v>41817.0</v>
      </c>
      <c r="I2371" s="36">
        <f t="shared" si="4"/>
        <v>1.522222222</v>
      </c>
      <c r="J2371" s="38">
        <v>75.0</v>
      </c>
      <c r="K2371" s="39">
        <v>7.2</v>
      </c>
      <c r="L2371" s="38">
        <v>5.0</v>
      </c>
      <c r="M2371" s="40" t="s">
        <v>27</v>
      </c>
      <c r="N2371" s="41"/>
      <c r="O2371" s="42" t="s">
        <v>34</v>
      </c>
      <c r="P2371" s="43"/>
    </row>
    <row r="2372">
      <c r="A2372" s="44" t="s">
        <v>2413</v>
      </c>
      <c r="B2372" s="45" t="s">
        <v>2264</v>
      </c>
      <c r="C2372" s="46" t="s">
        <v>2148</v>
      </c>
      <c r="D2372" s="47" t="str">
        <f t="shared" si="1"/>
        <v>Removed</v>
      </c>
      <c r="E2372" s="48">
        <v>42374.0</v>
      </c>
      <c r="F2372" s="49">
        <v>42401.0</v>
      </c>
      <c r="G2372" s="50">
        <f t="shared" si="2"/>
        <v>0.8666666667</v>
      </c>
      <c r="H2372" s="51">
        <v>41801.0</v>
      </c>
      <c r="I2372" s="50">
        <f t="shared" si="4"/>
        <v>1.566666667</v>
      </c>
      <c r="J2372" s="55">
        <v>58.0</v>
      </c>
      <c r="K2372" s="56">
        <v>6.8</v>
      </c>
      <c r="L2372" s="55">
        <v>15.0</v>
      </c>
      <c r="M2372" s="58" t="s">
        <v>103</v>
      </c>
      <c r="N2372" s="59"/>
      <c r="O2372" s="60" t="s">
        <v>34</v>
      </c>
      <c r="P2372" s="61"/>
    </row>
    <row r="2373">
      <c r="A2373" s="29" t="s">
        <v>2414</v>
      </c>
      <c r="B2373" s="30" t="s">
        <v>442</v>
      </c>
      <c r="C2373" s="31" t="s">
        <v>2148</v>
      </c>
      <c r="D2373" s="32" t="str">
        <f t="shared" si="1"/>
        <v>Removed</v>
      </c>
      <c r="E2373" s="33">
        <v>42374.0</v>
      </c>
      <c r="F2373" s="34">
        <v>42401.0</v>
      </c>
      <c r="G2373" s="36">
        <f t="shared" si="2"/>
        <v>0.8666666667</v>
      </c>
      <c r="H2373" s="37">
        <v>40120.0</v>
      </c>
      <c r="I2373" s="36">
        <f t="shared" si="4"/>
        <v>6.172222222</v>
      </c>
      <c r="J2373" s="38">
        <v>91.0</v>
      </c>
      <c r="K2373" s="39">
        <v>8.9</v>
      </c>
      <c r="L2373" s="38">
        <v>40.0</v>
      </c>
      <c r="M2373" s="40" t="s">
        <v>42</v>
      </c>
      <c r="N2373" s="41"/>
      <c r="O2373" s="42" t="s">
        <v>34</v>
      </c>
      <c r="P2373" s="43"/>
    </row>
    <row r="2374">
      <c r="A2374" s="44" t="s">
        <v>2415</v>
      </c>
      <c r="B2374" s="45" t="s">
        <v>442</v>
      </c>
      <c r="C2374" s="46" t="s">
        <v>2148</v>
      </c>
      <c r="D2374" s="47" t="str">
        <f t="shared" si="1"/>
        <v>Removed</v>
      </c>
      <c r="E2374" s="48">
        <v>42374.0</v>
      </c>
      <c r="F2374" s="49">
        <v>42401.0</v>
      </c>
      <c r="G2374" s="50">
        <f t="shared" si="2"/>
        <v>0.8666666667</v>
      </c>
      <c r="H2374" s="51">
        <v>41205.0</v>
      </c>
      <c r="I2374" s="50">
        <f t="shared" si="4"/>
        <v>3.2</v>
      </c>
      <c r="J2374" s="55">
        <v>53.0</v>
      </c>
      <c r="K2374" s="56">
        <v>5.9</v>
      </c>
      <c r="L2374" s="55">
        <v>6.0</v>
      </c>
      <c r="M2374" s="58" t="s">
        <v>31</v>
      </c>
      <c r="N2374" s="59"/>
      <c r="O2374" s="60" t="s">
        <v>34</v>
      </c>
      <c r="P2374" s="61"/>
    </row>
    <row r="2375">
      <c r="A2375" s="29" t="s">
        <v>2416</v>
      </c>
      <c r="B2375" s="30" t="s">
        <v>45</v>
      </c>
      <c r="C2375" s="31" t="s">
        <v>2148</v>
      </c>
      <c r="D2375" s="32" t="str">
        <f t="shared" si="1"/>
        <v>Removed</v>
      </c>
      <c r="E2375" s="33">
        <v>42339.0</v>
      </c>
      <c r="F2375" s="34">
        <v>42373.0</v>
      </c>
      <c r="G2375" s="36">
        <f t="shared" si="2"/>
        <v>1.1</v>
      </c>
      <c r="H2375" s="37">
        <v>42250.0</v>
      </c>
      <c r="I2375" s="36">
        <f t="shared" si="4"/>
        <v>0.2444444444</v>
      </c>
      <c r="J2375" s="38">
        <v>65.0</v>
      </c>
      <c r="K2375" s="39">
        <v>6.8</v>
      </c>
      <c r="L2375" s="38">
        <v>9.0</v>
      </c>
      <c r="M2375" s="40" t="s">
        <v>29</v>
      </c>
      <c r="N2375" s="41"/>
      <c r="O2375" s="42" t="s">
        <v>34</v>
      </c>
      <c r="P2375" s="43"/>
    </row>
    <row r="2376">
      <c r="A2376" s="44" t="s">
        <v>2417</v>
      </c>
      <c r="B2376" s="45" t="s">
        <v>45</v>
      </c>
      <c r="C2376" s="46" t="s">
        <v>2148</v>
      </c>
      <c r="D2376" s="47" t="str">
        <f t="shared" si="1"/>
        <v>Removed</v>
      </c>
      <c r="E2376" s="48">
        <v>42339.0</v>
      </c>
      <c r="F2376" s="49">
        <v>42373.0</v>
      </c>
      <c r="G2376" s="50">
        <f t="shared" si="2"/>
        <v>1.1</v>
      </c>
      <c r="H2376" s="51">
        <v>42213.0</v>
      </c>
      <c r="I2376" s="50">
        <f t="shared" si="4"/>
        <v>0.3416666667</v>
      </c>
      <c r="J2376" s="55">
        <v>82.0</v>
      </c>
      <c r="K2376" s="56">
        <v>7.6</v>
      </c>
      <c r="L2376" s="55">
        <v>3.0</v>
      </c>
      <c r="M2376" s="58" t="s">
        <v>112</v>
      </c>
      <c r="N2376" s="59"/>
      <c r="O2376" s="60" t="s">
        <v>34</v>
      </c>
      <c r="P2376" s="61"/>
    </row>
    <row r="2377">
      <c r="A2377" s="29" t="s">
        <v>2418</v>
      </c>
      <c r="B2377" s="30" t="s">
        <v>2264</v>
      </c>
      <c r="C2377" s="31" t="s">
        <v>2148</v>
      </c>
      <c r="D2377" s="32" t="str">
        <f t="shared" si="1"/>
        <v>Removed</v>
      </c>
      <c r="E2377" s="33">
        <v>42339.0</v>
      </c>
      <c r="F2377" s="34">
        <v>42373.0</v>
      </c>
      <c r="G2377" s="36">
        <f t="shared" si="2"/>
        <v>1.1</v>
      </c>
      <c r="H2377" s="37">
        <v>41940.0</v>
      </c>
      <c r="I2377" s="36">
        <f t="shared" si="4"/>
        <v>1.091666667</v>
      </c>
      <c r="J2377" s="38">
        <v>73.0</v>
      </c>
      <c r="K2377" s="39">
        <v>7.8</v>
      </c>
      <c r="L2377" s="38">
        <v>22.0</v>
      </c>
      <c r="M2377" s="40" t="s">
        <v>29</v>
      </c>
      <c r="N2377" s="41"/>
      <c r="O2377" s="42" t="s">
        <v>34</v>
      </c>
      <c r="P2377" s="43"/>
    </row>
    <row r="2378">
      <c r="A2378" s="44" t="s">
        <v>1058</v>
      </c>
      <c r="B2378" s="45" t="s">
        <v>2264</v>
      </c>
      <c r="C2378" s="46" t="s">
        <v>2148</v>
      </c>
      <c r="D2378" s="47" t="str">
        <f t="shared" si="1"/>
        <v>Removed</v>
      </c>
      <c r="E2378" s="48">
        <v>42339.0</v>
      </c>
      <c r="F2378" s="49">
        <v>42373.0</v>
      </c>
      <c r="G2378" s="50">
        <f t="shared" si="2"/>
        <v>1.1</v>
      </c>
      <c r="H2378" s="51">
        <v>40834.0</v>
      </c>
      <c r="I2378" s="50">
        <f t="shared" si="4"/>
        <v>4.119444444</v>
      </c>
      <c r="J2378" s="55">
        <v>70.0</v>
      </c>
      <c r="K2378" s="56">
        <v>7.2</v>
      </c>
      <c r="L2378" s="55">
        <v>5.0</v>
      </c>
      <c r="M2378" s="58" t="s">
        <v>31</v>
      </c>
      <c r="N2378" s="59"/>
      <c r="O2378" s="60" t="s">
        <v>34</v>
      </c>
      <c r="P2378" s="61"/>
    </row>
    <row r="2379">
      <c r="A2379" s="29" t="s">
        <v>2419</v>
      </c>
      <c r="B2379" s="30" t="s">
        <v>442</v>
      </c>
      <c r="C2379" s="31" t="s">
        <v>2148</v>
      </c>
      <c r="D2379" s="32" t="str">
        <f t="shared" si="1"/>
        <v>Removed</v>
      </c>
      <c r="E2379" s="33">
        <v>42339.0</v>
      </c>
      <c r="F2379" s="34">
        <v>42373.0</v>
      </c>
      <c r="G2379" s="36">
        <f t="shared" si="2"/>
        <v>1.1</v>
      </c>
      <c r="H2379" s="37">
        <v>41394.0</v>
      </c>
      <c r="I2379" s="36">
        <f t="shared" si="4"/>
        <v>2.586111111</v>
      </c>
      <c r="J2379" s="38">
        <v>82.0</v>
      </c>
      <c r="K2379" s="39">
        <v>8.2</v>
      </c>
      <c r="L2379" s="38">
        <v>6.0</v>
      </c>
      <c r="M2379" s="40" t="s">
        <v>31</v>
      </c>
      <c r="N2379" s="41"/>
      <c r="O2379" s="42" t="s">
        <v>34</v>
      </c>
      <c r="P2379" s="43"/>
    </row>
    <row r="2380">
      <c r="A2380" s="44" t="s">
        <v>2420</v>
      </c>
      <c r="B2380" s="45" t="s">
        <v>442</v>
      </c>
      <c r="C2380" s="46" t="s">
        <v>2148</v>
      </c>
      <c r="D2380" s="47" t="str">
        <f t="shared" si="1"/>
        <v>Removed</v>
      </c>
      <c r="E2380" s="48">
        <v>42339.0</v>
      </c>
      <c r="F2380" s="49">
        <v>42373.0</v>
      </c>
      <c r="G2380" s="50">
        <f t="shared" si="2"/>
        <v>1.1</v>
      </c>
      <c r="H2380" s="51">
        <v>40967.0</v>
      </c>
      <c r="I2380" s="50">
        <f t="shared" si="4"/>
        <v>3.758333333</v>
      </c>
      <c r="J2380" s="55">
        <v>81.0</v>
      </c>
      <c r="K2380" s="56">
        <v>7.7</v>
      </c>
      <c r="L2380" s="78"/>
      <c r="M2380" s="58" t="s">
        <v>125</v>
      </c>
      <c r="N2380" s="59"/>
      <c r="O2380" s="60" t="s">
        <v>34</v>
      </c>
      <c r="P2380" s="61"/>
    </row>
    <row r="2381">
      <c r="A2381" s="29" t="s">
        <v>2421</v>
      </c>
      <c r="B2381" s="30" t="s">
        <v>45</v>
      </c>
      <c r="C2381" s="31" t="s">
        <v>2148</v>
      </c>
      <c r="D2381" s="32" t="str">
        <f t="shared" si="1"/>
        <v>Removed</v>
      </c>
      <c r="E2381" s="33">
        <v>42311.0</v>
      </c>
      <c r="F2381" s="34">
        <v>42338.0</v>
      </c>
      <c r="G2381" s="36">
        <f t="shared" si="2"/>
        <v>0.9</v>
      </c>
      <c r="H2381" s="37">
        <v>41625.0</v>
      </c>
      <c r="I2381" s="36">
        <f t="shared" si="4"/>
        <v>1.877777778</v>
      </c>
      <c r="J2381" s="38">
        <v>80.0</v>
      </c>
      <c r="K2381" s="39">
        <v>7.9</v>
      </c>
      <c r="L2381" s="38">
        <v>10.0</v>
      </c>
      <c r="M2381" s="40" t="s">
        <v>112</v>
      </c>
      <c r="N2381" s="41"/>
      <c r="O2381" s="42" t="s">
        <v>34</v>
      </c>
      <c r="P2381" s="43"/>
    </row>
    <row r="2382">
      <c r="A2382" s="44" t="s">
        <v>584</v>
      </c>
      <c r="B2382" s="45" t="s">
        <v>45</v>
      </c>
      <c r="C2382" s="46" t="s">
        <v>2148</v>
      </c>
      <c r="D2382" s="47" t="str">
        <f t="shared" si="1"/>
        <v>Removed</v>
      </c>
      <c r="E2382" s="48">
        <v>42311.0</v>
      </c>
      <c r="F2382" s="49">
        <v>42338.0</v>
      </c>
      <c r="G2382" s="50">
        <f t="shared" si="2"/>
        <v>0.9</v>
      </c>
      <c r="H2382" s="51">
        <v>42150.0</v>
      </c>
      <c r="I2382" s="50">
        <f t="shared" si="4"/>
        <v>0.4361111111</v>
      </c>
      <c r="J2382" s="55">
        <v>74.0</v>
      </c>
      <c r="K2382" s="56">
        <v>7.1</v>
      </c>
      <c r="L2382" s="55">
        <v>10.0</v>
      </c>
      <c r="M2382" s="58" t="s">
        <v>29</v>
      </c>
      <c r="N2382" s="59"/>
      <c r="O2382" s="60" t="s">
        <v>34</v>
      </c>
      <c r="P2382" s="61"/>
    </row>
    <row r="2383">
      <c r="A2383" s="29" t="s">
        <v>2422</v>
      </c>
      <c r="B2383" s="30" t="s">
        <v>442</v>
      </c>
      <c r="C2383" s="31" t="s">
        <v>2148</v>
      </c>
      <c r="D2383" s="32" t="str">
        <f t="shared" si="1"/>
        <v>Removed</v>
      </c>
      <c r="E2383" s="33">
        <v>42311.0</v>
      </c>
      <c r="F2383" s="34">
        <v>42338.0</v>
      </c>
      <c r="G2383" s="36">
        <f t="shared" si="2"/>
        <v>0.9</v>
      </c>
      <c r="H2383" s="37">
        <v>40204.0</v>
      </c>
      <c r="I2383" s="36">
        <f t="shared" si="4"/>
        <v>5.769444444</v>
      </c>
      <c r="J2383" s="38">
        <v>96.0</v>
      </c>
      <c r="K2383" s="39">
        <v>9.0</v>
      </c>
      <c r="L2383" s="38">
        <v>30.0</v>
      </c>
      <c r="M2383" s="40" t="s">
        <v>42</v>
      </c>
      <c r="N2383" s="41"/>
      <c r="O2383" s="42" t="s">
        <v>34</v>
      </c>
      <c r="P2383" s="43"/>
    </row>
    <row r="2384">
      <c r="A2384" s="44" t="s">
        <v>2423</v>
      </c>
      <c r="B2384" s="45" t="s">
        <v>442</v>
      </c>
      <c r="C2384" s="46" t="s">
        <v>2148</v>
      </c>
      <c r="D2384" s="47" t="str">
        <f t="shared" si="1"/>
        <v>Removed</v>
      </c>
      <c r="E2384" s="48">
        <v>42311.0</v>
      </c>
      <c r="F2384" s="49">
        <v>42338.0</v>
      </c>
      <c r="G2384" s="50">
        <f t="shared" si="2"/>
        <v>0.9</v>
      </c>
      <c r="H2384" s="51">
        <v>40604.0</v>
      </c>
      <c r="I2384" s="50">
        <f t="shared" si="4"/>
        <v>4.669444444</v>
      </c>
      <c r="J2384" s="55">
        <v>85.0</v>
      </c>
      <c r="K2384" s="56">
        <v>8.4</v>
      </c>
      <c r="L2384" s="55">
        <v>12.0</v>
      </c>
      <c r="M2384" s="58" t="s">
        <v>29</v>
      </c>
      <c r="N2384" s="59"/>
      <c r="O2384" s="60" t="s">
        <v>34</v>
      </c>
      <c r="P2384" s="61"/>
    </row>
    <row r="2385">
      <c r="A2385" s="29" t="s">
        <v>817</v>
      </c>
      <c r="B2385" s="30" t="s">
        <v>2278</v>
      </c>
      <c r="C2385" s="31" t="s">
        <v>2148</v>
      </c>
      <c r="D2385" s="32" t="str">
        <f t="shared" si="1"/>
        <v>Removed</v>
      </c>
      <c r="E2385" s="33">
        <v>42311.0</v>
      </c>
      <c r="F2385" s="34">
        <v>42338.0</v>
      </c>
      <c r="G2385" s="36">
        <f t="shared" si="2"/>
        <v>0.9</v>
      </c>
      <c r="H2385" s="37">
        <v>42311.0</v>
      </c>
      <c r="I2385" s="36">
        <f t="shared" si="4"/>
        <v>0</v>
      </c>
      <c r="J2385" s="38">
        <v>59.0</v>
      </c>
      <c r="K2385" s="39">
        <v>5.8</v>
      </c>
      <c r="L2385" s="38">
        <v>15.0</v>
      </c>
      <c r="M2385" s="40" t="s">
        <v>42</v>
      </c>
      <c r="N2385" s="41"/>
      <c r="O2385" s="42" t="s">
        <v>34</v>
      </c>
      <c r="P2385" s="43"/>
    </row>
    <row r="2386">
      <c r="A2386" s="44" t="s">
        <v>2424</v>
      </c>
      <c r="B2386" s="45" t="s">
        <v>115</v>
      </c>
      <c r="C2386" s="46" t="s">
        <v>2148</v>
      </c>
      <c r="D2386" s="47" t="str">
        <f t="shared" si="1"/>
        <v>Removed</v>
      </c>
      <c r="E2386" s="48">
        <v>42311.0</v>
      </c>
      <c r="F2386" s="49">
        <v>42338.0</v>
      </c>
      <c r="G2386" s="50">
        <f t="shared" si="2"/>
        <v>0.9</v>
      </c>
      <c r="H2386" s="51">
        <v>40120.0</v>
      </c>
      <c r="I2386" s="50">
        <f t="shared" si="4"/>
        <v>6</v>
      </c>
      <c r="J2386" s="55">
        <v>74.0</v>
      </c>
      <c r="K2386" s="56">
        <v>7.6</v>
      </c>
      <c r="L2386" s="55">
        <v>10.0</v>
      </c>
      <c r="M2386" s="58" t="s">
        <v>29</v>
      </c>
      <c r="N2386" s="59"/>
      <c r="O2386" s="60" t="s">
        <v>34</v>
      </c>
      <c r="P2386" s="61"/>
    </row>
    <row r="2387">
      <c r="A2387" s="29" t="s">
        <v>2044</v>
      </c>
      <c r="B2387" s="30" t="s">
        <v>2257</v>
      </c>
      <c r="C2387" s="31" t="s">
        <v>2148</v>
      </c>
      <c r="D2387" s="32" t="str">
        <f t="shared" si="1"/>
        <v>Removed</v>
      </c>
      <c r="E2387" s="33">
        <v>42283.0</v>
      </c>
      <c r="F2387" s="34">
        <v>42310.0</v>
      </c>
      <c r="G2387" s="36">
        <f t="shared" si="2"/>
        <v>0.8666666667</v>
      </c>
      <c r="H2387" s="37">
        <v>41667.0</v>
      </c>
      <c r="I2387" s="36">
        <f t="shared" si="4"/>
        <v>1.688888889</v>
      </c>
      <c r="J2387" s="38">
        <v>81.0</v>
      </c>
      <c r="K2387" s="39">
        <v>7.7</v>
      </c>
      <c r="L2387" s="38">
        <v>12.0</v>
      </c>
      <c r="M2387" s="40" t="s">
        <v>112</v>
      </c>
      <c r="N2387" s="41"/>
      <c r="O2387" s="42" t="s">
        <v>34</v>
      </c>
      <c r="P2387" s="43"/>
    </row>
    <row r="2388">
      <c r="A2388" s="44" t="s">
        <v>2425</v>
      </c>
      <c r="B2388" s="45" t="s">
        <v>2257</v>
      </c>
      <c r="C2388" s="46" t="s">
        <v>2148</v>
      </c>
      <c r="D2388" s="47" t="str">
        <f t="shared" si="1"/>
        <v>Removed</v>
      </c>
      <c r="E2388" s="48">
        <v>42283.0</v>
      </c>
      <c r="F2388" s="49">
        <v>42310.0</v>
      </c>
      <c r="G2388" s="50">
        <f t="shared" si="2"/>
        <v>0.8666666667</v>
      </c>
      <c r="H2388" s="51">
        <v>40471.0</v>
      </c>
      <c r="I2388" s="50">
        <f t="shared" si="4"/>
        <v>4.961111111</v>
      </c>
      <c r="J2388" s="55">
        <v>90.0</v>
      </c>
      <c r="K2388" s="56">
        <v>8.3</v>
      </c>
      <c r="L2388" s="55">
        <v>8.0</v>
      </c>
      <c r="M2388" s="58" t="s">
        <v>27</v>
      </c>
      <c r="N2388" s="59"/>
      <c r="O2388" s="60" t="s">
        <v>34</v>
      </c>
      <c r="P2388" s="61"/>
    </row>
    <row r="2389">
      <c r="A2389" s="29" t="s">
        <v>2426</v>
      </c>
      <c r="B2389" s="30" t="s">
        <v>2261</v>
      </c>
      <c r="C2389" s="31" t="s">
        <v>2148</v>
      </c>
      <c r="D2389" s="32" t="str">
        <f t="shared" si="1"/>
        <v>Removed</v>
      </c>
      <c r="E2389" s="33">
        <v>42283.0</v>
      </c>
      <c r="F2389" s="34">
        <v>42310.0</v>
      </c>
      <c r="G2389" s="36">
        <f t="shared" si="2"/>
        <v>0.8666666667</v>
      </c>
      <c r="H2389" s="37">
        <v>41234.0</v>
      </c>
      <c r="I2389" s="36">
        <f t="shared" si="4"/>
        <v>2.875</v>
      </c>
      <c r="J2389" s="38">
        <v>68.0</v>
      </c>
      <c r="K2389" s="39">
        <v>6.7</v>
      </c>
      <c r="L2389" s="38">
        <v>4.0</v>
      </c>
      <c r="M2389" s="40" t="s">
        <v>136</v>
      </c>
      <c r="N2389" s="41"/>
      <c r="O2389" s="42" t="s">
        <v>34</v>
      </c>
      <c r="P2389" s="43"/>
    </row>
    <row r="2390">
      <c r="A2390" s="44" t="s">
        <v>2427</v>
      </c>
      <c r="B2390" s="45" t="s">
        <v>2255</v>
      </c>
      <c r="C2390" s="46" t="s">
        <v>2148</v>
      </c>
      <c r="D2390" s="47" t="str">
        <f t="shared" si="1"/>
        <v>Removed</v>
      </c>
      <c r="E2390" s="48">
        <v>42283.0</v>
      </c>
      <c r="F2390" s="49">
        <v>42310.0</v>
      </c>
      <c r="G2390" s="50">
        <f t="shared" si="2"/>
        <v>0.8666666667</v>
      </c>
      <c r="H2390" s="51">
        <v>41520.0</v>
      </c>
      <c r="I2390" s="50">
        <f t="shared" si="4"/>
        <v>2.091666667</v>
      </c>
      <c r="J2390" s="55">
        <v>71.0</v>
      </c>
      <c r="K2390" s="56">
        <v>7.2</v>
      </c>
      <c r="L2390" s="55">
        <v>5.0</v>
      </c>
      <c r="M2390" s="58" t="s">
        <v>82</v>
      </c>
      <c r="N2390" s="59"/>
      <c r="O2390" s="60" t="s">
        <v>34</v>
      </c>
      <c r="P2390" s="61"/>
    </row>
    <row r="2391">
      <c r="A2391" s="29" t="s">
        <v>836</v>
      </c>
      <c r="B2391" s="30" t="s">
        <v>2255</v>
      </c>
      <c r="C2391" s="31" t="s">
        <v>2148</v>
      </c>
      <c r="D2391" s="32" t="str">
        <f t="shared" si="1"/>
        <v>Removed</v>
      </c>
      <c r="E2391" s="33">
        <v>42283.0</v>
      </c>
      <c r="F2391" s="34">
        <v>42310.0</v>
      </c>
      <c r="G2391" s="36">
        <f t="shared" si="2"/>
        <v>0.8666666667</v>
      </c>
      <c r="H2391" s="37">
        <v>41394.0</v>
      </c>
      <c r="I2391" s="36">
        <f t="shared" si="4"/>
        <v>2.433333333</v>
      </c>
      <c r="J2391" s="38">
        <v>61.0</v>
      </c>
      <c r="K2391" s="39">
        <v>6.3</v>
      </c>
      <c r="L2391" s="38">
        <v>4.0</v>
      </c>
      <c r="M2391" s="40" t="s">
        <v>27</v>
      </c>
      <c r="N2391" s="41"/>
      <c r="O2391" s="42" t="s">
        <v>34</v>
      </c>
      <c r="P2391" s="43"/>
    </row>
    <row r="2392">
      <c r="A2392" s="44" t="s">
        <v>2428</v>
      </c>
      <c r="B2392" s="45" t="s">
        <v>442</v>
      </c>
      <c r="C2392" s="46" t="s">
        <v>2148</v>
      </c>
      <c r="D2392" s="47" t="str">
        <f t="shared" si="1"/>
        <v>Removed</v>
      </c>
      <c r="E2392" s="48">
        <v>42283.0</v>
      </c>
      <c r="F2392" s="49">
        <v>42310.0</v>
      </c>
      <c r="G2392" s="50">
        <f t="shared" si="2"/>
        <v>0.8666666667</v>
      </c>
      <c r="H2392" s="51">
        <v>41913.0</v>
      </c>
      <c r="I2392" s="50">
        <f t="shared" si="4"/>
        <v>1.013888889</v>
      </c>
      <c r="J2392" s="55">
        <v>70.0</v>
      </c>
      <c r="K2392" s="56">
        <v>6.9</v>
      </c>
      <c r="L2392" s="55">
        <v>5.0</v>
      </c>
      <c r="M2392" s="58" t="s">
        <v>27</v>
      </c>
      <c r="N2392" s="59"/>
      <c r="O2392" s="60" t="s">
        <v>34</v>
      </c>
      <c r="P2392" s="61"/>
    </row>
    <row r="2393">
      <c r="A2393" s="29" t="s">
        <v>2429</v>
      </c>
      <c r="B2393" s="30" t="s">
        <v>2257</v>
      </c>
      <c r="C2393" s="31" t="s">
        <v>2148</v>
      </c>
      <c r="D2393" s="32" t="str">
        <f t="shared" si="1"/>
        <v>Removed</v>
      </c>
      <c r="E2393" s="33">
        <v>42248.0</v>
      </c>
      <c r="F2393" s="34">
        <v>42282.0</v>
      </c>
      <c r="G2393" s="36">
        <f t="shared" si="2"/>
        <v>1.133333333</v>
      </c>
      <c r="H2393" s="37">
        <v>42241.0</v>
      </c>
      <c r="I2393" s="36">
        <f t="shared" si="4"/>
        <v>0.01666666667</v>
      </c>
      <c r="J2393" s="38">
        <v>80.0</v>
      </c>
      <c r="K2393" s="39">
        <v>7.8</v>
      </c>
      <c r="L2393" s="38">
        <v>6.0</v>
      </c>
      <c r="M2393" s="40" t="s">
        <v>27</v>
      </c>
      <c r="N2393" s="41"/>
      <c r="O2393" s="42" t="s">
        <v>34</v>
      </c>
      <c r="P2393" s="43"/>
    </row>
    <row r="2394">
      <c r="A2394" s="44" t="s">
        <v>2430</v>
      </c>
      <c r="B2394" s="45" t="s">
        <v>2257</v>
      </c>
      <c r="C2394" s="46" t="s">
        <v>2148</v>
      </c>
      <c r="D2394" s="47" t="str">
        <f t="shared" si="1"/>
        <v>Removed</v>
      </c>
      <c r="E2394" s="48">
        <v>42248.0</v>
      </c>
      <c r="F2394" s="49">
        <v>42282.0</v>
      </c>
      <c r="G2394" s="50">
        <f t="shared" si="2"/>
        <v>1.133333333</v>
      </c>
      <c r="H2394" s="51">
        <v>41984.0</v>
      </c>
      <c r="I2394" s="50">
        <f t="shared" si="4"/>
        <v>0.7222222222</v>
      </c>
      <c r="J2394" s="55">
        <v>76.0</v>
      </c>
      <c r="K2394" s="56">
        <v>7.3</v>
      </c>
      <c r="L2394" s="55">
        <v>3.0</v>
      </c>
      <c r="M2394" s="58" t="s">
        <v>27</v>
      </c>
      <c r="N2394" s="59"/>
      <c r="O2394" s="60" t="s">
        <v>34</v>
      </c>
      <c r="P2394" s="61"/>
    </row>
    <row r="2395">
      <c r="A2395" s="29" t="s">
        <v>2431</v>
      </c>
      <c r="B2395" s="30" t="s">
        <v>2261</v>
      </c>
      <c r="C2395" s="31" t="s">
        <v>2148</v>
      </c>
      <c r="D2395" s="32" t="str">
        <f t="shared" si="1"/>
        <v>Removed</v>
      </c>
      <c r="E2395" s="33">
        <v>42248.0</v>
      </c>
      <c r="F2395" s="34">
        <v>42282.0</v>
      </c>
      <c r="G2395" s="36">
        <f t="shared" si="2"/>
        <v>1.133333333</v>
      </c>
      <c r="H2395" s="37">
        <v>41621.0</v>
      </c>
      <c r="I2395" s="36">
        <f t="shared" si="4"/>
        <v>1.716666667</v>
      </c>
      <c r="J2395" s="38">
        <v>78.0</v>
      </c>
      <c r="K2395" s="39">
        <v>7.3</v>
      </c>
      <c r="L2395" s="38">
        <v>5.0</v>
      </c>
      <c r="M2395" s="40" t="s">
        <v>27</v>
      </c>
      <c r="N2395" s="41"/>
      <c r="O2395" s="42" t="s">
        <v>34</v>
      </c>
      <c r="P2395" s="43"/>
    </row>
    <row r="2396">
      <c r="A2396" s="44" t="s">
        <v>2432</v>
      </c>
      <c r="B2396" s="45" t="s">
        <v>45</v>
      </c>
      <c r="C2396" s="46" t="s">
        <v>2148</v>
      </c>
      <c r="D2396" s="47" t="str">
        <f t="shared" si="1"/>
        <v>Removed</v>
      </c>
      <c r="E2396" s="48">
        <v>42248.0</v>
      </c>
      <c r="F2396" s="49">
        <v>42282.0</v>
      </c>
      <c r="G2396" s="50">
        <f t="shared" si="2"/>
        <v>1.133333333</v>
      </c>
      <c r="H2396" s="51">
        <v>42039.0</v>
      </c>
      <c r="I2396" s="50">
        <f t="shared" si="4"/>
        <v>0.575</v>
      </c>
      <c r="J2396" s="55">
        <v>75.0</v>
      </c>
      <c r="K2396" s="56">
        <v>7.4</v>
      </c>
      <c r="L2396" s="55">
        <v>3.0</v>
      </c>
      <c r="M2396" s="58" t="s">
        <v>27</v>
      </c>
      <c r="N2396" s="59"/>
      <c r="O2396" s="60" t="s">
        <v>34</v>
      </c>
      <c r="P2396" s="61"/>
    </row>
    <row r="2397">
      <c r="A2397" s="29" t="s">
        <v>2433</v>
      </c>
      <c r="B2397" s="30" t="s">
        <v>2264</v>
      </c>
      <c r="C2397" s="31" t="s">
        <v>2148</v>
      </c>
      <c r="D2397" s="32" t="str">
        <f t="shared" si="1"/>
        <v>Removed</v>
      </c>
      <c r="E2397" s="33">
        <v>42248.0</v>
      </c>
      <c r="F2397" s="34">
        <v>42282.0</v>
      </c>
      <c r="G2397" s="36">
        <f t="shared" si="2"/>
        <v>1.133333333</v>
      </c>
      <c r="H2397" s="37">
        <v>42158.0</v>
      </c>
      <c r="I2397" s="36">
        <f t="shared" si="4"/>
        <v>0.2444444444</v>
      </c>
      <c r="J2397" s="38">
        <v>72.0</v>
      </c>
      <c r="K2397" s="39">
        <v>7.2</v>
      </c>
      <c r="L2397" s="38">
        <v>15.0</v>
      </c>
      <c r="M2397" s="40" t="s">
        <v>29</v>
      </c>
      <c r="N2397" s="41"/>
      <c r="O2397" s="42" t="s">
        <v>34</v>
      </c>
      <c r="P2397" s="43"/>
    </row>
    <row r="2398">
      <c r="A2398" s="44" t="s">
        <v>396</v>
      </c>
      <c r="B2398" s="45" t="s">
        <v>442</v>
      </c>
      <c r="C2398" s="46" t="s">
        <v>2148</v>
      </c>
      <c r="D2398" s="47" t="str">
        <f t="shared" si="1"/>
        <v>Removed</v>
      </c>
      <c r="E2398" s="48">
        <v>42248.0</v>
      </c>
      <c r="F2398" s="49">
        <v>42282.0</v>
      </c>
      <c r="G2398" s="50">
        <f t="shared" si="2"/>
        <v>1.133333333</v>
      </c>
      <c r="H2398" s="51">
        <v>40820.0</v>
      </c>
      <c r="I2398" s="50">
        <f t="shared" si="4"/>
        <v>3.908333333</v>
      </c>
      <c r="J2398" s="55">
        <v>76.0</v>
      </c>
      <c r="K2398" s="56">
        <v>7.5</v>
      </c>
      <c r="L2398" s="78"/>
      <c r="M2398" s="58" t="s">
        <v>31</v>
      </c>
      <c r="N2398" s="59"/>
      <c r="O2398" s="60" t="s">
        <v>34</v>
      </c>
      <c r="P2398" s="61"/>
    </row>
    <row r="2399">
      <c r="A2399" s="29" t="s">
        <v>2434</v>
      </c>
      <c r="B2399" s="30" t="s">
        <v>45</v>
      </c>
      <c r="C2399" s="31" t="s">
        <v>2148</v>
      </c>
      <c r="D2399" s="32" t="str">
        <f t="shared" si="1"/>
        <v>Removed</v>
      </c>
      <c r="E2399" s="33">
        <v>42220.0</v>
      </c>
      <c r="F2399" s="34">
        <v>42247.0</v>
      </c>
      <c r="G2399" s="36">
        <f t="shared" si="2"/>
        <v>0.8666666667</v>
      </c>
      <c r="H2399" s="37">
        <v>41982.0</v>
      </c>
      <c r="I2399" s="36">
        <f t="shared" si="4"/>
        <v>0.6527777778</v>
      </c>
      <c r="J2399" s="38">
        <v>74.0</v>
      </c>
      <c r="K2399" s="39">
        <v>7.1</v>
      </c>
      <c r="L2399" s="38">
        <v>7.0</v>
      </c>
      <c r="M2399" s="40" t="s">
        <v>29</v>
      </c>
      <c r="N2399" s="41"/>
      <c r="O2399" s="42" t="s">
        <v>34</v>
      </c>
      <c r="P2399" s="43"/>
    </row>
    <row r="2400">
      <c r="A2400" s="44" t="s">
        <v>1681</v>
      </c>
      <c r="B2400" s="45" t="s">
        <v>45</v>
      </c>
      <c r="C2400" s="46" t="s">
        <v>2148</v>
      </c>
      <c r="D2400" s="47" t="str">
        <f t="shared" si="1"/>
        <v>Removed</v>
      </c>
      <c r="E2400" s="48">
        <v>42220.0</v>
      </c>
      <c r="F2400" s="49">
        <v>42247.0</v>
      </c>
      <c r="G2400" s="50">
        <f t="shared" si="2"/>
        <v>0.8666666667</v>
      </c>
      <c r="H2400" s="51">
        <v>40378.0</v>
      </c>
      <c r="I2400" s="50">
        <f t="shared" si="4"/>
        <v>5.041666667</v>
      </c>
      <c r="J2400" s="55">
        <v>90.0</v>
      </c>
      <c r="K2400" s="56">
        <v>8.2</v>
      </c>
      <c r="L2400" s="55">
        <v>4.0</v>
      </c>
      <c r="M2400" s="58" t="s">
        <v>27</v>
      </c>
      <c r="N2400" s="59"/>
      <c r="O2400" s="60" t="s">
        <v>34</v>
      </c>
      <c r="P2400" s="61"/>
    </row>
    <row r="2401">
      <c r="A2401" s="29" t="s">
        <v>1954</v>
      </c>
      <c r="B2401" s="30" t="s">
        <v>2278</v>
      </c>
      <c r="C2401" s="31" t="s">
        <v>2148</v>
      </c>
      <c r="D2401" s="32" t="str">
        <f t="shared" si="1"/>
        <v>Removed</v>
      </c>
      <c r="E2401" s="33">
        <v>42220.0</v>
      </c>
      <c r="F2401" s="34">
        <v>42247.0</v>
      </c>
      <c r="G2401" s="36">
        <f t="shared" si="2"/>
        <v>0.8666666667</v>
      </c>
      <c r="H2401" s="37">
        <v>41128.0</v>
      </c>
      <c r="I2401" s="36">
        <f t="shared" si="4"/>
        <v>2.991666667</v>
      </c>
      <c r="J2401" s="38">
        <v>86.0</v>
      </c>
      <c r="K2401" s="39">
        <v>7.9</v>
      </c>
      <c r="L2401" s="38">
        <v>6.0</v>
      </c>
      <c r="M2401" s="40" t="s">
        <v>27</v>
      </c>
      <c r="N2401" s="41"/>
      <c r="O2401" s="42" t="s">
        <v>34</v>
      </c>
      <c r="P2401" s="43"/>
    </row>
    <row r="2402">
      <c r="A2402" s="44" t="s">
        <v>2435</v>
      </c>
      <c r="B2402" s="45" t="s">
        <v>2278</v>
      </c>
      <c r="C2402" s="46" t="s">
        <v>2148</v>
      </c>
      <c r="D2402" s="47" t="str">
        <f t="shared" si="1"/>
        <v>Removed</v>
      </c>
      <c r="E2402" s="48">
        <v>42220.0</v>
      </c>
      <c r="F2402" s="49">
        <v>42247.0</v>
      </c>
      <c r="G2402" s="50">
        <f t="shared" si="2"/>
        <v>0.8666666667</v>
      </c>
      <c r="H2402" s="51">
        <v>41919.0</v>
      </c>
      <c r="I2402" s="50">
        <f t="shared" si="4"/>
        <v>0.825</v>
      </c>
      <c r="J2402" s="55">
        <v>80.0</v>
      </c>
      <c r="K2402" s="56">
        <v>7.4</v>
      </c>
      <c r="L2402" s="55">
        <v>6.0</v>
      </c>
      <c r="M2402" s="58" t="s">
        <v>27</v>
      </c>
      <c r="N2402" s="59"/>
      <c r="O2402" s="60" t="s">
        <v>34</v>
      </c>
      <c r="P2402" s="61"/>
    </row>
    <row r="2403">
      <c r="A2403" s="29" t="s">
        <v>1011</v>
      </c>
      <c r="B2403" s="30" t="s">
        <v>442</v>
      </c>
      <c r="C2403" s="31" t="s">
        <v>2148</v>
      </c>
      <c r="D2403" s="32" t="str">
        <f t="shared" si="1"/>
        <v>Removed</v>
      </c>
      <c r="E2403" s="33">
        <v>42220.0</v>
      </c>
      <c r="F2403" s="34">
        <v>42247.0</v>
      </c>
      <c r="G2403" s="36">
        <f t="shared" si="2"/>
        <v>0.8666666667</v>
      </c>
      <c r="H2403" s="37">
        <v>41345.0</v>
      </c>
      <c r="I2403" s="36">
        <f t="shared" si="4"/>
        <v>2.394444444</v>
      </c>
      <c r="J2403" s="38">
        <v>80.0</v>
      </c>
      <c r="K2403" s="39">
        <v>7.8</v>
      </c>
      <c r="L2403" s="38">
        <v>8.0</v>
      </c>
      <c r="M2403" s="40" t="s">
        <v>29</v>
      </c>
      <c r="N2403" s="41"/>
      <c r="O2403" s="42" t="s">
        <v>34</v>
      </c>
      <c r="P2403" s="43"/>
    </row>
    <row r="2404">
      <c r="A2404" s="44" t="s">
        <v>2436</v>
      </c>
      <c r="B2404" s="45" t="s">
        <v>2255</v>
      </c>
      <c r="C2404" s="46" t="s">
        <v>2148</v>
      </c>
      <c r="D2404" s="47" t="str">
        <f t="shared" si="1"/>
        <v>Removed</v>
      </c>
      <c r="E2404" s="48">
        <v>42220.0</v>
      </c>
      <c r="F2404" s="49">
        <v>42247.0</v>
      </c>
      <c r="G2404" s="50">
        <f t="shared" si="2"/>
        <v>0.8666666667</v>
      </c>
      <c r="H2404" s="51">
        <v>41423.0</v>
      </c>
      <c r="I2404" s="50">
        <f t="shared" si="4"/>
        <v>2.180555556</v>
      </c>
      <c r="J2404" s="55">
        <v>73.0</v>
      </c>
      <c r="K2404" s="56">
        <v>7.3</v>
      </c>
      <c r="L2404" s="55">
        <v>7.0</v>
      </c>
      <c r="M2404" s="58" t="s">
        <v>103</v>
      </c>
      <c r="N2404" s="59"/>
      <c r="O2404" s="60" t="s">
        <v>34</v>
      </c>
      <c r="P2404" s="61"/>
    </row>
    <row r="2405">
      <c r="A2405" s="29" t="s">
        <v>2437</v>
      </c>
      <c r="B2405" s="30" t="s">
        <v>2278</v>
      </c>
      <c r="C2405" s="31" t="s">
        <v>2148</v>
      </c>
      <c r="D2405" s="32" t="str">
        <f t="shared" si="1"/>
        <v>Removed</v>
      </c>
      <c r="E2405" s="33">
        <v>42192.0</v>
      </c>
      <c r="F2405" s="34">
        <v>42219.0</v>
      </c>
      <c r="G2405" s="36">
        <f t="shared" si="2"/>
        <v>0.8666666667</v>
      </c>
      <c r="H2405" s="37">
        <v>41828.0</v>
      </c>
      <c r="I2405" s="36">
        <f t="shared" si="4"/>
        <v>0.9972222222</v>
      </c>
      <c r="J2405" s="38">
        <v>72.0</v>
      </c>
      <c r="K2405" s="39">
        <v>6.8</v>
      </c>
      <c r="L2405" s="38">
        <v>6.0</v>
      </c>
      <c r="M2405" s="40" t="s">
        <v>136</v>
      </c>
      <c r="N2405" s="41"/>
      <c r="O2405" s="42" t="s">
        <v>34</v>
      </c>
      <c r="P2405" s="43"/>
    </row>
    <row r="2406">
      <c r="A2406" s="44" t="s">
        <v>564</v>
      </c>
      <c r="B2406" s="45" t="s">
        <v>2278</v>
      </c>
      <c r="C2406" s="46" t="s">
        <v>2148</v>
      </c>
      <c r="D2406" s="47" t="str">
        <f t="shared" si="1"/>
        <v>Removed</v>
      </c>
      <c r="E2406" s="48">
        <v>42192.0</v>
      </c>
      <c r="F2406" s="49">
        <v>42219.0</v>
      </c>
      <c r="G2406" s="50">
        <f t="shared" si="2"/>
        <v>0.8666666667</v>
      </c>
      <c r="H2406" s="51">
        <v>41807.0</v>
      </c>
      <c r="I2406" s="50">
        <f t="shared" si="4"/>
        <v>1.055555556</v>
      </c>
      <c r="J2406" s="55">
        <v>61.0</v>
      </c>
      <c r="K2406" s="56">
        <v>6.2</v>
      </c>
      <c r="L2406" s="55">
        <v>2.0</v>
      </c>
      <c r="M2406" s="58" t="s">
        <v>112</v>
      </c>
      <c r="N2406" s="59"/>
      <c r="O2406" s="60" t="s">
        <v>34</v>
      </c>
      <c r="P2406" s="61"/>
    </row>
    <row r="2407">
      <c r="A2407" s="29" t="s">
        <v>2438</v>
      </c>
      <c r="B2407" s="30" t="s">
        <v>45</v>
      </c>
      <c r="C2407" s="31" t="s">
        <v>2148</v>
      </c>
      <c r="D2407" s="32" t="str">
        <f t="shared" si="1"/>
        <v>Removed</v>
      </c>
      <c r="E2407" s="33">
        <v>42192.0</v>
      </c>
      <c r="F2407" s="34">
        <v>42219.0</v>
      </c>
      <c r="G2407" s="36">
        <f t="shared" si="2"/>
        <v>0.8666666667</v>
      </c>
      <c r="H2407" s="37">
        <v>42192.0</v>
      </c>
      <c r="I2407" s="36">
        <f t="shared" si="4"/>
        <v>0</v>
      </c>
      <c r="J2407" s="38">
        <v>86.0</v>
      </c>
      <c r="K2407" s="39">
        <v>8.4</v>
      </c>
      <c r="L2407" s="76"/>
      <c r="M2407" s="40" t="s">
        <v>95</v>
      </c>
      <c r="N2407" s="41"/>
      <c r="O2407" s="42" t="s">
        <v>34</v>
      </c>
      <c r="P2407" s="43"/>
    </row>
    <row r="2408">
      <c r="A2408" s="44" t="s">
        <v>2439</v>
      </c>
      <c r="B2408" s="45" t="s">
        <v>45</v>
      </c>
      <c r="C2408" s="46" t="s">
        <v>2148</v>
      </c>
      <c r="D2408" s="47" t="str">
        <f t="shared" si="1"/>
        <v>Removed</v>
      </c>
      <c r="E2408" s="48">
        <v>42192.0</v>
      </c>
      <c r="F2408" s="49">
        <v>42219.0</v>
      </c>
      <c r="G2408" s="50">
        <f t="shared" si="2"/>
        <v>0.8666666667</v>
      </c>
      <c r="H2408" s="51">
        <v>41919.0</v>
      </c>
      <c r="I2408" s="50">
        <f t="shared" si="4"/>
        <v>0.75</v>
      </c>
      <c r="J2408" s="55">
        <v>71.0</v>
      </c>
      <c r="K2408" s="56">
        <v>7.3</v>
      </c>
      <c r="L2408" s="55">
        <v>14.0</v>
      </c>
      <c r="M2408" s="58" t="s">
        <v>29</v>
      </c>
      <c r="N2408" s="59"/>
      <c r="O2408" s="60" t="s">
        <v>34</v>
      </c>
      <c r="P2408" s="61"/>
    </row>
    <row r="2409">
      <c r="A2409" s="29" t="s">
        <v>2440</v>
      </c>
      <c r="B2409" s="30" t="s">
        <v>2264</v>
      </c>
      <c r="C2409" s="31" t="s">
        <v>2148</v>
      </c>
      <c r="D2409" s="32" t="str">
        <f t="shared" si="1"/>
        <v>Removed</v>
      </c>
      <c r="E2409" s="33">
        <v>42192.0</v>
      </c>
      <c r="F2409" s="34">
        <v>42219.0</v>
      </c>
      <c r="G2409" s="36">
        <f t="shared" si="2"/>
        <v>0.8666666667</v>
      </c>
      <c r="H2409" s="37">
        <v>41968.0</v>
      </c>
      <c r="I2409" s="36">
        <f t="shared" si="4"/>
        <v>0.6166666667</v>
      </c>
      <c r="J2409" s="38">
        <v>82.0</v>
      </c>
      <c r="K2409" s="39">
        <v>7.7</v>
      </c>
      <c r="L2409" s="76"/>
      <c r="M2409" s="40" t="s">
        <v>31</v>
      </c>
      <c r="N2409" s="41"/>
      <c r="O2409" s="42" t="s">
        <v>34</v>
      </c>
      <c r="P2409" s="43"/>
    </row>
    <row r="2410">
      <c r="A2410" s="44" t="s">
        <v>2441</v>
      </c>
      <c r="B2410" s="45" t="s">
        <v>442</v>
      </c>
      <c r="C2410" s="46" t="s">
        <v>2148</v>
      </c>
      <c r="D2410" s="47" t="str">
        <f t="shared" si="1"/>
        <v>Removed</v>
      </c>
      <c r="E2410" s="48">
        <v>42192.0</v>
      </c>
      <c r="F2410" s="49">
        <v>42219.0</v>
      </c>
      <c r="G2410" s="50">
        <f t="shared" si="2"/>
        <v>0.8666666667</v>
      </c>
      <c r="H2410" s="51">
        <v>41548.0</v>
      </c>
      <c r="I2410" s="50">
        <f t="shared" si="4"/>
        <v>1.766666667</v>
      </c>
      <c r="J2410" s="55">
        <v>72.0</v>
      </c>
      <c r="K2410" s="56">
        <v>6.9</v>
      </c>
      <c r="L2410" s="55">
        <v>3.0</v>
      </c>
      <c r="M2410" s="58" t="s">
        <v>112</v>
      </c>
      <c r="N2410" s="59"/>
      <c r="O2410" s="60" t="s">
        <v>34</v>
      </c>
      <c r="P2410" s="61"/>
    </row>
    <row r="2411">
      <c r="A2411" s="29" t="s">
        <v>2442</v>
      </c>
      <c r="B2411" s="30" t="s">
        <v>2257</v>
      </c>
      <c r="C2411" s="31" t="s">
        <v>2148</v>
      </c>
      <c r="D2411" s="32" t="str">
        <f t="shared" si="1"/>
        <v>Removed</v>
      </c>
      <c r="E2411" s="33">
        <v>42157.0</v>
      </c>
      <c r="F2411" s="34">
        <v>42191.0</v>
      </c>
      <c r="G2411" s="36">
        <f t="shared" si="2"/>
        <v>1.133333333</v>
      </c>
      <c r="H2411" s="37">
        <v>42157.0</v>
      </c>
      <c r="I2411" s="36">
        <f t="shared" si="4"/>
        <v>0</v>
      </c>
      <c r="J2411" s="38">
        <v>64.0</v>
      </c>
      <c r="K2411" s="39">
        <v>6.9</v>
      </c>
      <c r="L2411" s="38">
        <v>5.0</v>
      </c>
      <c r="M2411" s="40" t="s">
        <v>103</v>
      </c>
      <c r="N2411" s="41"/>
      <c r="O2411" s="42" t="s">
        <v>34</v>
      </c>
      <c r="P2411" s="43"/>
    </row>
    <row r="2412">
      <c r="A2412" s="44" t="s">
        <v>2443</v>
      </c>
      <c r="B2412" s="45" t="s">
        <v>2257</v>
      </c>
      <c r="C2412" s="46" t="s">
        <v>2148</v>
      </c>
      <c r="D2412" s="47" t="str">
        <f t="shared" si="1"/>
        <v>Removed</v>
      </c>
      <c r="E2412" s="48">
        <v>42157.0</v>
      </c>
      <c r="F2412" s="49">
        <v>42191.0</v>
      </c>
      <c r="G2412" s="50">
        <f t="shared" si="2"/>
        <v>1.133333333</v>
      </c>
      <c r="H2412" s="51">
        <v>41913.0</v>
      </c>
      <c r="I2412" s="50">
        <f t="shared" si="4"/>
        <v>0.6694444444</v>
      </c>
      <c r="J2412" s="55">
        <v>68.0</v>
      </c>
      <c r="K2412" s="56">
        <v>6.8</v>
      </c>
      <c r="L2412" s="78"/>
      <c r="M2412" s="58" t="s">
        <v>31</v>
      </c>
      <c r="N2412" s="59"/>
      <c r="O2412" s="60" t="s">
        <v>34</v>
      </c>
      <c r="P2412" s="61"/>
    </row>
    <row r="2413">
      <c r="A2413" s="29" t="s">
        <v>2444</v>
      </c>
      <c r="B2413" s="30" t="s">
        <v>45</v>
      </c>
      <c r="C2413" s="31" t="s">
        <v>2148</v>
      </c>
      <c r="D2413" s="32" t="str">
        <f t="shared" si="1"/>
        <v>Removed</v>
      </c>
      <c r="E2413" s="33">
        <v>42157.0</v>
      </c>
      <c r="F2413" s="34">
        <v>42191.0</v>
      </c>
      <c r="G2413" s="36">
        <f t="shared" si="2"/>
        <v>1.133333333</v>
      </c>
      <c r="H2413" s="37">
        <v>41954.0</v>
      </c>
      <c r="I2413" s="36">
        <f t="shared" si="4"/>
        <v>0.5583333333</v>
      </c>
      <c r="J2413" s="38">
        <v>77.0</v>
      </c>
      <c r="K2413" s="39">
        <v>7.7</v>
      </c>
      <c r="L2413" s="38">
        <v>11.0</v>
      </c>
      <c r="M2413" s="40" t="s">
        <v>103</v>
      </c>
      <c r="N2413" s="41"/>
      <c r="O2413" s="42" t="s">
        <v>34</v>
      </c>
      <c r="P2413" s="43"/>
    </row>
    <row r="2414">
      <c r="A2414" s="44" t="s">
        <v>2158</v>
      </c>
      <c r="B2414" s="45" t="s">
        <v>45</v>
      </c>
      <c r="C2414" s="46" t="s">
        <v>2148</v>
      </c>
      <c r="D2414" s="47" t="str">
        <f t="shared" si="1"/>
        <v>Removed</v>
      </c>
      <c r="E2414" s="48">
        <v>42157.0</v>
      </c>
      <c r="F2414" s="49">
        <v>42191.0</v>
      </c>
      <c r="G2414" s="50">
        <f t="shared" si="2"/>
        <v>1.133333333</v>
      </c>
      <c r="H2414" s="51">
        <v>41716.0</v>
      </c>
      <c r="I2414" s="50">
        <f t="shared" si="4"/>
        <v>1.205555556</v>
      </c>
      <c r="J2414" s="55">
        <v>80.0</v>
      </c>
      <c r="K2414" s="56">
        <v>7.6</v>
      </c>
      <c r="L2414" s="55">
        <v>2.0</v>
      </c>
      <c r="M2414" s="58" t="s">
        <v>29</v>
      </c>
      <c r="N2414" s="59"/>
      <c r="O2414" s="60" t="s">
        <v>34</v>
      </c>
      <c r="P2414" s="61"/>
    </row>
    <row r="2415">
      <c r="A2415" s="29" t="s">
        <v>2445</v>
      </c>
      <c r="B2415" s="30" t="s">
        <v>442</v>
      </c>
      <c r="C2415" s="31" t="s">
        <v>2148</v>
      </c>
      <c r="D2415" s="32" t="str">
        <f t="shared" si="1"/>
        <v>Removed</v>
      </c>
      <c r="E2415" s="33">
        <v>42157.0</v>
      </c>
      <c r="F2415" s="34">
        <v>42191.0</v>
      </c>
      <c r="G2415" s="36">
        <f t="shared" si="2"/>
        <v>1.133333333</v>
      </c>
      <c r="H2415" s="37">
        <v>41416.0</v>
      </c>
      <c r="I2415" s="36">
        <f t="shared" si="4"/>
        <v>2.027777778</v>
      </c>
      <c r="J2415" s="38">
        <v>79.0</v>
      </c>
      <c r="K2415" s="39">
        <v>8.1</v>
      </c>
      <c r="L2415" s="38">
        <v>5.0</v>
      </c>
      <c r="M2415" s="40" t="s">
        <v>31</v>
      </c>
      <c r="N2415" s="41"/>
      <c r="O2415" s="42" t="s">
        <v>34</v>
      </c>
      <c r="P2415" s="43"/>
    </row>
    <row r="2416">
      <c r="A2416" s="44" t="s">
        <v>2446</v>
      </c>
      <c r="B2416" s="45" t="s">
        <v>442</v>
      </c>
      <c r="C2416" s="46" t="s">
        <v>2148</v>
      </c>
      <c r="D2416" s="47" t="str">
        <f t="shared" si="1"/>
        <v>Removed</v>
      </c>
      <c r="E2416" s="48">
        <v>42157.0</v>
      </c>
      <c r="F2416" s="49">
        <v>42191.0</v>
      </c>
      <c r="G2416" s="50">
        <f t="shared" si="2"/>
        <v>1.133333333</v>
      </c>
      <c r="H2416" s="51">
        <v>41485.0</v>
      </c>
      <c r="I2416" s="50">
        <f t="shared" si="4"/>
        <v>1.838888889</v>
      </c>
      <c r="J2416" s="55">
        <v>71.0</v>
      </c>
      <c r="K2416" s="56">
        <v>7.4</v>
      </c>
      <c r="L2416" s="55">
        <v>6.0</v>
      </c>
      <c r="M2416" s="58" t="s">
        <v>27</v>
      </c>
      <c r="N2416" s="59"/>
      <c r="O2416" s="60" t="s">
        <v>34</v>
      </c>
      <c r="P2416" s="61"/>
    </row>
    <row r="2417">
      <c r="A2417" s="29" t="s">
        <v>2447</v>
      </c>
      <c r="B2417" s="30" t="s">
        <v>45</v>
      </c>
      <c r="C2417" s="31" t="s">
        <v>2148</v>
      </c>
      <c r="D2417" s="32" t="str">
        <f t="shared" si="1"/>
        <v>Removed</v>
      </c>
      <c r="E2417" s="33">
        <v>42129.0</v>
      </c>
      <c r="F2417" s="34">
        <v>42156.0</v>
      </c>
      <c r="G2417" s="36">
        <f t="shared" si="2"/>
        <v>0.8666666667</v>
      </c>
      <c r="H2417" s="37">
        <v>42094.0</v>
      </c>
      <c r="I2417" s="36">
        <f t="shared" si="4"/>
        <v>0.09722222222</v>
      </c>
      <c r="J2417" s="38">
        <v>74.0</v>
      </c>
      <c r="K2417" s="39">
        <v>6.8</v>
      </c>
      <c r="L2417" s="38">
        <v>5.0</v>
      </c>
      <c r="M2417" s="40" t="s">
        <v>112</v>
      </c>
      <c r="N2417" s="41"/>
      <c r="O2417" s="42" t="s">
        <v>34</v>
      </c>
      <c r="P2417" s="43"/>
    </row>
    <row r="2418">
      <c r="A2418" s="44" t="s">
        <v>491</v>
      </c>
      <c r="B2418" s="45" t="s">
        <v>2278</v>
      </c>
      <c r="C2418" s="46" t="s">
        <v>2148</v>
      </c>
      <c r="D2418" s="47" t="str">
        <f t="shared" si="1"/>
        <v>Removed</v>
      </c>
      <c r="E2418" s="48">
        <v>42129.0</v>
      </c>
      <c r="F2418" s="49">
        <v>42156.0</v>
      </c>
      <c r="G2418" s="50">
        <f t="shared" si="2"/>
        <v>0.8666666667</v>
      </c>
      <c r="H2418" s="51">
        <v>41863.0</v>
      </c>
      <c r="I2418" s="50">
        <f t="shared" si="4"/>
        <v>0.7305555556</v>
      </c>
      <c r="J2418" s="55">
        <v>70.0</v>
      </c>
      <c r="K2418" s="56">
        <v>6.7</v>
      </c>
      <c r="L2418" s="55">
        <v>4.0</v>
      </c>
      <c r="M2418" s="58" t="s">
        <v>112</v>
      </c>
      <c r="N2418" s="59"/>
      <c r="O2418" s="60" t="s">
        <v>34</v>
      </c>
      <c r="P2418" s="61"/>
    </row>
    <row r="2419">
      <c r="A2419" s="29" t="s">
        <v>2448</v>
      </c>
      <c r="B2419" s="30" t="s">
        <v>45</v>
      </c>
      <c r="C2419" s="31" t="s">
        <v>2148</v>
      </c>
      <c r="D2419" s="32" t="str">
        <f t="shared" si="1"/>
        <v>Removed</v>
      </c>
      <c r="E2419" s="33">
        <v>42129.0</v>
      </c>
      <c r="F2419" s="34">
        <v>42156.0</v>
      </c>
      <c r="G2419" s="36">
        <f t="shared" si="2"/>
        <v>0.8666666667</v>
      </c>
      <c r="H2419" s="37">
        <v>41821.0</v>
      </c>
      <c r="I2419" s="36">
        <f t="shared" si="4"/>
        <v>0.8444444444</v>
      </c>
      <c r="J2419" s="38">
        <v>86.0</v>
      </c>
      <c r="K2419" s="39">
        <v>8.0</v>
      </c>
      <c r="L2419" s="38">
        <v>7.0</v>
      </c>
      <c r="M2419" s="40" t="s">
        <v>27</v>
      </c>
      <c r="N2419" s="41"/>
      <c r="O2419" s="42" t="s">
        <v>34</v>
      </c>
      <c r="P2419" s="43"/>
    </row>
    <row r="2420">
      <c r="A2420" s="44" t="s">
        <v>1979</v>
      </c>
      <c r="B2420" s="45" t="s">
        <v>2278</v>
      </c>
      <c r="C2420" s="46" t="s">
        <v>2148</v>
      </c>
      <c r="D2420" s="47" t="str">
        <f t="shared" si="1"/>
        <v>Removed</v>
      </c>
      <c r="E2420" s="48">
        <v>42129.0</v>
      </c>
      <c r="F2420" s="49">
        <v>42156.0</v>
      </c>
      <c r="G2420" s="50">
        <f t="shared" si="2"/>
        <v>0.8666666667</v>
      </c>
      <c r="H2420" s="51">
        <v>41205.0</v>
      </c>
      <c r="I2420" s="50">
        <f t="shared" si="4"/>
        <v>2.533333333</v>
      </c>
      <c r="J2420" s="55">
        <v>79.0</v>
      </c>
      <c r="K2420" s="56">
        <v>7.6</v>
      </c>
      <c r="L2420" s="55">
        <v>3.0</v>
      </c>
      <c r="M2420" s="58" t="s">
        <v>112</v>
      </c>
      <c r="N2420" s="59"/>
      <c r="O2420" s="60" t="s">
        <v>34</v>
      </c>
      <c r="P2420" s="61"/>
    </row>
    <row r="2421">
      <c r="A2421" s="29" t="s">
        <v>2449</v>
      </c>
      <c r="B2421" s="30" t="s">
        <v>2278</v>
      </c>
      <c r="C2421" s="31" t="s">
        <v>2148</v>
      </c>
      <c r="D2421" s="32" t="str">
        <f t="shared" si="1"/>
        <v>Removed</v>
      </c>
      <c r="E2421" s="33">
        <v>42129.0</v>
      </c>
      <c r="F2421" s="34">
        <v>42156.0</v>
      </c>
      <c r="G2421" s="36">
        <f t="shared" si="2"/>
        <v>0.8666666667</v>
      </c>
      <c r="H2421" s="37">
        <v>41982.0</v>
      </c>
      <c r="I2421" s="36">
        <f t="shared" si="4"/>
        <v>0.4055555556</v>
      </c>
      <c r="J2421" s="38">
        <v>88.0</v>
      </c>
      <c r="K2421" s="39">
        <v>7.5</v>
      </c>
      <c r="L2421" s="76"/>
      <c r="M2421" s="40" t="s">
        <v>95</v>
      </c>
      <c r="N2421" s="41"/>
      <c r="O2421" s="42" t="s">
        <v>34</v>
      </c>
      <c r="P2421" s="43"/>
    </row>
    <row r="2422">
      <c r="A2422" s="44" t="s">
        <v>2450</v>
      </c>
      <c r="B2422" s="45" t="s">
        <v>2264</v>
      </c>
      <c r="C2422" s="46" t="s">
        <v>2148</v>
      </c>
      <c r="D2422" s="47" t="str">
        <f t="shared" si="1"/>
        <v>Removed</v>
      </c>
      <c r="E2422" s="48">
        <v>42129.0</v>
      </c>
      <c r="F2422" s="49">
        <v>42156.0</v>
      </c>
      <c r="G2422" s="50">
        <f t="shared" si="2"/>
        <v>0.8666666667</v>
      </c>
      <c r="H2422" s="51">
        <v>41898.0</v>
      </c>
      <c r="I2422" s="50">
        <f t="shared" si="4"/>
        <v>0.6361111111</v>
      </c>
      <c r="J2422" s="55">
        <v>62.0</v>
      </c>
      <c r="K2422" s="56">
        <v>6.4</v>
      </c>
      <c r="L2422" s="55">
        <v>2.0</v>
      </c>
      <c r="M2422" s="58" t="s">
        <v>112</v>
      </c>
      <c r="N2422" s="59"/>
      <c r="O2422" s="60" t="s">
        <v>34</v>
      </c>
      <c r="P2422" s="61"/>
    </row>
    <row r="2423">
      <c r="A2423" s="29" t="s">
        <v>2451</v>
      </c>
      <c r="B2423" s="30" t="s">
        <v>2264</v>
      </c>
      <c r="C2423" s="31" t="s">
        <v>2148</v>
      </c>
      <c r="D2423" s="32" t="str">
        <f t="shared" si="1"/>
        <v>Removed</v>
      </c>
      <c r="E2423" s="33">
        <v>42101.0</v>
      </c>
      <c r="F2423" s="34">
        <v>42128.0</v>
      </c>
      <c r="G2423" s="36">
        <f t="shared" si="2"/>
        <v>0.9</v>
      </c>
      <c r="H2423" s="37">
        <v>42101.0</v>
      </c>
      <c r="I2423" s="36">
        <f t="shared" si="4"/>
        <v>0</v>
      </c>
      <c r="J2423" s="38">
        <v>61.0</v>
      </c>
      <c r="K2423" s="39">
        <v>6.3</v>
      </c>
      <c r="L2423" s="38">
        <v>4.0</v>
      </c>
      <c r="M2423" s="40" t="s">
        <v>27</v>
      </c>
      <c r="N2423" s="41"/>
      <c r="O2423" s="42" t="s">
        <v>34</v>
      </c>
      <c r="P2423" s="43"/>
    </row>
    <row r="2424">
      <c r="A2424" s="44" t="s">
        <v>2452</v>
      </c>
      <c r="B2424" s="45" t="s">
        <v>2264</v>
      </c>
      <c r="C2424" s="46" t="s">
        <v>2148</v>
      </c>
      <c r="D2424" s="47" t="str">
        <f t="shared" si="1"/>
        <v>Removed</v>
      </c>
      <c r="E2424" s="48">
        <v>42101.0</v>
      </c>
      <c r="F2424" s="49">
        <v>42128.0</v>
      </c>
      <c r="G2424" s="50">
        <f t="shared" si="2"/>
        <v>0.9</v>
      </c>
      <c r="H2424" s="51">
        <v>41527.0</v>
      </c>
      <c r="I2424" s="50">
        <f t="shared" si="4"/>
        <v>1.575</v>
      </c>
      <c r="J2424" s="55">
        <v>78.0</v>
      </c>
      <c r="K2424" s="56">
        <v>8.0</v>
      </c>
      <c r="L2424" s="55">
        <v>5.0</v>
      </c>
      <c r="M2424" s="58" t="s">
        <v>31</v>
      </c>
      <c r="N2424" s="59"/>
      <c r="O2424" s="60" t="s">
        <v>34</v>
      </c>
      <c r="P2424" s="61"/>
    </row>
    <row r="2425">
      <c r="A2425" s="29" t="s">
        <v>2007</v>
      </c>
      <c r="B2425" s="30" t="s">
        <v>442</v>
      </c>
      <c r="C2425" s="31" t="s">
        <v>2148</v>
      </c>
      <c r="D2425" s="32" t="str">
        <f t="shared" si="1"/>
        <v>Removed</v>
      </c>
      <c r="E2425" s="33">
        <v>42101.0</v>
      </c>
      <c r="F2425" s="34">
        <v>42128.0</v>
      </c>
      <c r="G2425" s="36">
        <f t="shared" si="2"/>
        <v>0.9</v>
      </c>
      <c r="H2425" s="37">
        <v>41191.0</v>
      </c>
      <c r="I2425" s="36">
        <f t="shared" si="4"/>
        <v>2.494444444</v>
      </c>
      <c r="J2425" s="38">
        <v>88.0</v>
      </c>
      <c r="K2425" s="39">
        <v>8.6</v>
      </c>
      <c r="L2425" s="38">
        <v>12.0</v>
      </c>
      <c r="M2425" s="40" t="s">
        <v>29</v>
      </c>
      <c r="N2425" s="41"/>
      <c r="O2425" s="42" t="s">
        <v>34</v>
      </c>
      <c r="P2425" s="43"/>
    </row>
    <row r="2426">
      <c r="A2426" s="44" t="s">
        <v>2453</v>
      </c>
      <c r="B2426" s="45" t="s">
        <v>45</v>
      </c>
      <c r="C2426" s="46" t="s">
        <v>2148</v>
      </c>
      <c r="D2426" s="47" t="str">
        <f t="shared" si="1"/>
        <v>Removed</v>
      </c>
      <c r="E2426" s="48">
        <v>42101.0</v>
      </c>
      <c r="F2426" s="49">
        <v>42128.0</v>
      </c>
      <c r="G2426" s="50">
        <f t="shared" si="2"/>
        <v>0.9</v>
      </c>
      <c r="H2426" s="51">
        <v>41961.0</v>
      </c>
      <c r="I2426" s="50">
        <f t="shared" si="4"/>
        <v>0.3861111111</v>
      </c>
      <c r="J2426" s="55">
        <v>69.0</v>
      </c>
      <c r="K2426" s="56">
        <v>6.6</v>
      </c>
      <c r="L2426" s="55">
        <v>4.0</v>
      </c>
      <c r="M2426" s="58" t="s">
        <v>27</v>
      </c>
      <c r="N2426" s="59"/>
      <c r="O2426" s="60" t="s">
        <v>34</v>
      </c>
      <c r="P2426" s="61"/>
    </row>
    <row r="2427">
      <c r="A2427" s="29" t="s">
        <v>2454</v>
      </c>
      <c r="B2427" s="30" t="s">
        <v>2261</v>
      </c>
      <c r="C2427" s="31" t="s">
        <v>2148</v>
      </c>
      <c r="D2427" s="32" t="str">
        <f t="shared" si="1"/>
        <v>Removed</v>
      </c>
      <c r="E2427" s="33">
        <v>42101.0</v>
      </c>
      <c r="F2427" s="34">
        <v>42128.0</v>
      </c>
      <c r="G2427" s="36">
        <f t="shared" si="2"/>
        <v>0.9</v>
      </c>
      <c r="H2427" s="37">
        <v>42094.0</v>
      </c>
      <c r="I2427" s="36">
        <f t="shared" si="4"/>
        <v>0.01944444444</v>
      </c>
      <c r="J2427" s="38">
        <v>65.0</v>
      </c>
      <c r="K2427" s="39">
        <v>6.6</v>
      </c>
      <c r="L2427" s="38">
        <v>4.0</v>
      </c>
      <c r="M2427" s="40" t="s">
        <v>27</v>
      </c>
      <c r="N2427" s="41"/>
      <c r="O2427" s="42" t="s">
        <v>34</v>
      </c>
      <c r="P2427" s="43"/>
    </row>
    <row r="2428">
      <c r="A2428" s="44" t="s">
        <v>2455</v>
      </c>
      <c r="B2428" s="45" t="s">
        <v>2261</v>
      </c>
      <c r="C2428" s="46" t="s">
        <v>2148</v>
      </c>
      <c r="D2428" s="47" t="str">
        <f t="shared" si="1"/>
        <v>Removed</v>
      </c>
      <c r="E2428" s="48">
        <v>42101.0</v>
      </c>
      <c r="F2428" s="49">
        <v>42128.0</v>
      </c>
      <c r="G2428" s="50">
        <f t="shared" si="2"/>
        <v>0.9</v>
      </c>
      <c r="H2428" s="51">
        <v>42073.0</v>
      </c>
      <c r="I2428" s="50">
        <f t="shared" si="4"/>
        <v>0.075</v>
      </c>
      <c r="J2428" s="55">
        <v>72.0</v>
      </c>
      <c r="K2428" s="56">
        <v>6.9</v>
      </c>
      <c r="L2428" s="55">
        <v>4.0</v>
      </c>
      <c r="M2428" s="58" t="s">
        <v>31</v>
      </c>
      <c r="N2428" s="59"/>
      <c r="O2428" s="60" t="s">
        <v>34</v>
      </c>
      <c r="P2428" s="61"/>
    </row>
    <row r="2429">
      <c r="A2429" s="29" t="s">
        <v>2456</v>
      </c>
      <c r="B2429" s="30" t="s">
        <v>2255</v>
      </c>
      <c r="C2429" s="31" t="s">
        <v>2148</v>
      </c>
      <c r="D2429" s="32" t="str">
        <f t="shared" si="1"/>
        <v>Removed</v>
      </c>
      <c r="E2429" s="33">
        <v>42074.0</v>
      </c>
      <c r="F2429" s="34">
        <v>42100.0</v>
      </c>
      <c r="G2429" s="36">
        <f t="shared" si="2"/>
        <v>0.8333333333</v>
      </c>
      <c r="H2429" s="37">
        <v>41859.0</v>
      </c>
      <c r="I2429" s="36">
        <f t="shared" si="4"/>
        <v>0.5916666667</v>
      </c>
      <c r="J2429" s="38">
        <v>76.0</v>
      </c>
      <c r="K2429" s="39">
        <v>7.0</v>
      </c>
      <c r="L2429" s="38">
        <v>2.0</v>
      </c>
      <c r="M2429" s="40" t="s">
        <v>27</v>
      </c>
      <c r="N2429" s="41"/>
      <c r="O2429" s="42" t="s">
        <v>34</v>
      </c>
      <c r="P2429" s="43"/>
    </row>
    <row r="2430">
      <c r="A2430" s="44" t="s">
        <v>2032</v>
      </c>
      <c r="B2430" s="45" t="s">
        <v>2257</v>
      </c>
      <c r="C2430" s="46" t="s">
        <v>2148</v>
      </c>
      <c r="D2430" s="47" t="str">
        <f t="shared" si="1"/>
        <v>Removed</v>
      </c>
      <c r="E2430" s="48">
        <v>42066.0</v>
      </c>
      <c r="F2430" s="49">
        <v>42073.0</v>
      </c>
      <c r="G2430" s="50">
        <f t="shared" si="2"/>
        <v>0.2333333333</v>
      </c>
      <c r="H2430" s="51">
        <v>42066.0</v>
      </c>
      <c r="I2430" s="50">
        <f t="shared" si="4"/>
        <v>0</v>
      </c>
      <c r="J2430" s="55">
        <v>79.0</v>
      </c>
      <c r="K2430" s="56">
        <v>7.8</v>
      </c>
      <c r="L2430" s="55">
        <v>5.0</v>
      </c>
      <c r="M2430" s="58" t="s">
        <v>125</v>
      </c>
      <c r="N2430" s="59"/>
      <c r="O2430" s="60" t="s">
        <v>34</v>
      </c>
      <c r="P2430" s="61"/>
    </row>
    <row r="2431">
      <c r="A2431" s="29" t="s">
        <v>2457</v>
      </c>
      <c r="B2431" s="30" t="s">
        <v>2278</v>
      </c>
      <c r="C2431" s="31" t="s">
        <v>2148</v>
      </c>
      <c r="D2431" s="32" t="str">
        <f t="shared" si="1"/>
        <v>Removed</v>
      </c>
      <c r="E2431" s="33">
        <v>42066.0</v>
      </c>
      <c r="F2431" s="34">
        <v>42073.0</v>
      </c>
      <c r="G2431" s="36">
        <f t="shared" si="2"/>
        <v>0.2333333333</v>
      </c>
      <c r="H2431" s="37">
        <v>41870.0</v>
      </c>
      <c r="I2431" s="36">
        <f t="shared" si="4"/>
        <v>0.5388888889</v>
      </c>
      <c r="J2431" s="38">
        <v>71.0</v>
      </c>
      <c r="K2431" s="39">
        <v>7.0</v>
      </c>
      <c r="L2431" s="38">
        <v>5.0</v>
      </c>
      <c r="M2431" s="40" t="s">
        <v>31</v>
      </c>
      <c r="N2431" s="41"/>
      <c r="O2431" s="42" t="s">
        <v>34</v>
      </c>
      <c r="P2431" s="43"/>
    </row>
    <row r="2432">
      <c r="A2432" s="44" t="s">
        <v>2458</v>
      </c>
      <c r="B2432" s="45" t="s">
        <v>442</v>
      </c>
      <c r="C2432" s="46" t="s">
        <v>2148</v>
      </c>
      <c r="D2432" s="47" t="str">
        <f t="shared" si="1"/>
        <v>Removed</v>
      </c>
      <c r="E2432" s="48">
        <v>42066.0</v>
      </c>
      <c r="F2432" s="49">
        <v>42073.0</v>
      </c>
      <c r="G2432" s="50">
        <f t="shared" si="2"/>
        <v>0.2333333333</v>
      </c>
      <c r="H2432" s="51">
        <v>41912.0</v>
      </c>
      <c r="I2432" s="50">
        <f t="shared" si="4"/>
        <v>0.425</v>
      </c>
      <c r="J2432" s="55">
        <v>77.0</v>
      </c>
      <c r="K2432" s="56">
        <v>7.7</v>
      </c>
      <c r="L2432" s="55">
        <v>15.0</v>
      </c>
      <c r="M2432" s="58" t="s">
        <v>112</v>
      </c>
      <c r="N2432" s="59"/>
      <c r="O2432" s="60" t="s">
        <v>34</v>
      </c>
      <c r="P2432" s="61"/>
    </row>
    <row r="2433">
      <c r="A2433" s="29" t="s">
        <v>1034</v>
      </c>
      <c r="B2433" s="30" t="s">
        <v>442</v>
      </c>
      <c r="C2433" s="31" t="s">
        <v>2148</v>
      </c>
      <c r="D2433" s="32" t="str">
        <f t="shared" si="1"/>
        <v>Removed</v>
      </c>
      <c r="E2433" s="33">
        <v>42066.0</v>
      </c>
      <c r="F2433" s="34">
        <v>42073.0</v>
      </c>
      <c r="G2433" s="36">
        <f t="shared" si="2"/>
        <v>0.2333333333</v>
      </c>
      <c r="H2433" s="37">
        <v>41135.0</v>
      </c>
      <c r="I2433" s="36">
        <f t="shared" si="4"/>
        <v>2.552777778</v>
      </c>
      <c r="J2433" s="38">
        <v>72.0</v>
      </c>
      <c r="K2433" s="39">
        <v>7.4</v>
      </c>
      <c r="L2433" s="38">
        <v>3.0</v>
      </c>
      <c r="M2433" s="40" t="s">
        <v>112</v>
      </c>
      <c r="N2433" s="41"/>
      <c r="O2433" s="42" t="s">
        <v>34</v>
      </c>
      <c r="P2433" s="43"/>
    </row>
    <row r="2434">
      <c r="A2434" s="44" t="s">
        <v>591</v>
      </c>
      <c r="B2434" s="45" t="s">
        <v>45</v>
      </c>
      <c r="C2434" s="46" t="s">
        <v>2148</v>
      </c>
      <c r="D2434" s="47" t="str">
        <f t="shared" si="1"/>
        <v>Removed</v>
      </c>
      <c r="E2434" s="48">
        <v>42066.0</v>
      </c>
      <c r="F2434" s="49">
        <v>42073.0</v>
      </c>
      <c r="G2434" s="50">
        <f t="shared" si="2"/>
        <v>0.2333333333</v>
      </c>
      <c r="H2434" s="51">
        <v>41842.0</v>
      </c>
      <c r="I2434" s="50">
        <f t="shared" si="4"/>
        <v>0.6138888889</v>
      </c>
      <c r="J2434" s="55">
        <v>84.0</v>
      </c>
      <c r="K2434" s="56">
        <v>7.7</v>
      </c>
      <c r="L2434" s="55">
        <v>9.0</v>
      </c>
      <c r="M2434" s="58" t="s">
        <v>27</v>
      </c>
      <c r="N2434" s="59"/>
      <c r="O2434" s="60" t="s">
        <v>34</v>
      </c>
      <c r="P2434" s="61"/>
    </row>
    <row r="2435">
      <c r="A2435" s="29" t="s">
        <v>2459</v>
      </c>
      <c r="B2435" s="30" t="s">
        <v>45</v>
      </c>
      <c r="C2435" s="31" t="s">
        <v>2148</v>
      </c>
      <c r="D2435" s="32" t="str">
        <f t="shared" si="1"/>
        <v>Removed</v>
      </c>
      <c r="E2435" s="33">
        <v>42066.0</v>
      </c>
      <c r="F2435" s="34">
        <v>42073.0</v>
      </c>
      <c r="G2435" s="36">
        <f t="shared" si="2"/>
        <v>0.2333333333</v>
      </c>
      <c r="H2435" s="37">
        <v>41815.0</v>
      </c>
      <c r="I2435" s="36">
        <f t="shared" si="4"/>
        <v>0.6888888889</v>
      </c>
      <c r="J2435" s="38">
        <v>77.0</v>
      </c>
      <c r="K2435" s="39">
        <v>8.0</v>
      </c>
      <c r="L2435" s="38">
        <v>7.0</v>
      </c>
      <c r="M2435" s="40" t="s">
        <v>112</v>
      </c>
      <c r="N2435" s="41"/>
      <c r="O2435" s="42" t="s">
        <v>34</v>
      </c>
      <c r="P2435" s="43"/>
    </row>
    <row r="2436">
      <c r="A2436" s="44" t="s">
        <v>2460</v>
      </c>
      <c r="B2436" s="45" t="s">
        <v>2278</v>
      </c>
      <c r="C2436" s="46" t="s">
        <v>2148</v>
      </c>
      <c r="D2436" s="47" t="str">
        <f t="shared" si="1"/>
        <v>Removed</v>
      </c>
      <c r="E2436" s="48">
        <v>42038.0</v>
      </c>
      <c r="F2436" s="49">
        <v>42065.0</v>
      </c>
      <c r="G2436" s="50">
        <f t="shared" si="2"/>
        <v>0.9666666667</v>
      </c>
      <c r="H2436" s="51">
        <v>41452.0</v>
      </c>
      <c r="I2436" s="50">
        <f t="shared" si="4"/>
        <v>1.6</v>
      </c>
      <c r="J2436" s="55">
        <v>85.0</v>
      </c>
      <c r="K2436" s="56">
        <v>8.4</v>
      </c>
      <c r="L2436" s="55">
        <v>13.0</v>
      </c>
      <c r="M2436" s="58" t="s">
        <v>27</v>
      </c>
      <c r="N2436" s="59"/>
      <c r="O2436" s="60" t="s">
        <v>34</v>
      </c>
      <c r="P2436" s="61"/>
    </row>
    <row r="2437">
      <c r="A2437" s="29" t="s">
        <v>2461</v>
      </c>
      <c r="B2437" s="30" t="s">
        <v>45</v>
      </c>
      <c r="C2437" s="31" t="s">
        <v>2148</v>
      </c>
      <c r="D2437" s="32" t="str">
        <f t="shared" si="1"/>
        <v>Removed</v>
      </c>
      <c r="E2437" s="33">
        <v>42038.0</v>
      </c>
      <c r="F2437" s="34">
        <v>42065.0</v>
      </c>
      <c r="G2437" s="36">
        <f t="shared" si="2"/>
        <v>0.9666666667</v>
      </c>
      <c r="H2437" s="37">
        <v>41779.0</v>
      </c>
      <c r="I2437" s="36">
        <f t="shared" si="4"/>
        <v>0.7027777778</v>
      </c>
      <c r="J2437" s="38">
        <v>83.0</v>
      </c>
      <c r="K2437" s="39">
        <v>8.3</v>
      </c>
      <c r="L2437" s="38">
        <v>5.0</v>
      </c>
      <c r="M2437" s="40" t="s">
        <v>42</v>
      </c>
      <c r="N2437" s="41"/>
      <c r="O2437" s="42" t="s">
        <v>34</v>
      </c>
      <c r="P2437" s="43"/>
    </row>
    <row r="2438">
      <c r="A2438" s="44" t="s">
        <v>2462</v>
      </c>
      <c r="B2438" s="45" t="s">
        <v>45</v>
      </c>
      <c r="C2438" s="46" t="s">
        <v>2148</v>
      </c>
      <c r="D2438" s="47" t="str">
        <f t="shared" si="1"/>
        <v>Removed</v>
      </c>
      <c r="E2438" s="48">
        <v>42038.0</v>
      </c>
      <c r="F2438" s="49">
        <v>42065.0</v>
      </c>
      <c r="G2438" s="50">
        <f t="shared" si="2"/>
        <v>0.9666666667</v>
      </c>
      <c r="H2438" s="51">
        <v>42038.0</v>
      </c>
      <c r="I2438" s="50">
        <f t="shared" si="4"/>
        <v>0</v>
      </c>
      <c r="J2438" s="55">
        <v>77.0</v>
      </c>
      <c r="K2438" s="56">
        <v>7.6</v>
      </c>
      <c r="L2438" s="55">
        <v>8.0</v>
      </c>
      <c r="M2438" s="58" t="s">
        <v>27</v>
      </c>
      <c r="N2438" s="59"/>
      <c r="O2438" s="60" t="s">
        <v>34</v>
      </c>
      <c r="P2438" s="61"/>
    </row>
    <row r="2439">
      <c r="A2439" s="29" t="s">
        <v>1992</v>
      </c>
      <c r="B2439" s="30" t="s">
        <v>442</v>
      </c>
      <c r="C2439" s="31" t="s">
        <v>2148</v>
      </c>
      <c r="D2439" s="32" t="str">
        <f t="shared" si="1"/>
        <v>Removed</v>
      </c>
      <c r="E2439" s="33">
        <v>42038.0</v>
      </c>
      <c r="F2439" s="34">
        <v>42065.0</v>
      </c>
      <c r="G2439" s="36">
        <f t="shared" si="2"/>
        <v>0.9666666667</v>
      </c>
      <c r="H2439" s="37">
        <v>40617.0</v>
      </c>
      <c r="I2439" s="36">
        <f t="shared" si="4"/>
        <v>3.883333333</v>
      </c>
      <c r="J2439" s="38">
        <v>78.0</v>
      </c>
      <c r="K2439" s="39">
        <v>8.4</v>
      </c>
      <c r="L2439" s="38">
        <v>28.0</v>
      </c>
      <c r="M2439" s="40" t="s">
        <v>29</v>
      </c>
      <c r="N2439" s="41"/>
      <c r="O2439" s="42" t="s">
        <v>34</v>
      </c>
      <c r="P2439" s="43"/>
    </row>
    <row r="2440">
      <c r="A2440" s="44" t="s">
        <v>2463</v>
      </c>
      <c r="B2440" s="45" t="s">
        <v>442</v>
      </c>
      <c r="C2440" s="46" t="s">
        <v>2148</v>
      </c>
      <c r="D2440" s="47" t="str">
        <f t="shared" si="1"/>
        <v>Removed</v>
      </c>
      <c r="E2440" s="48">
        <v>42038.0</v>
      </c>
      <c r="F2440" s="49">
        <v>42065.0</v>
      </c>
      <c r="G2440" s="50">
        <f t="shared" si="2"/>
        <v>0.9666666667</v>
      </c>
      <c r="H2440" s="51">
        <v>41695.0</v>
      </c>
      <c r="I2440" s="50">
        <f t="shared" si="4"/>
        <v>0.9388888889</v>
      </c>
      <c r="J2440" s="55">
        <v>70.0</v>
      </c>
      <c r="K2440" s="56">
        <v>7.1</v>
      </c>
      <c r="L2440" s="55">
        <v>15.0</v>
      </c>
      <c r="M2440" s="58" t="s">
        <v>29</v>
      </c>
      <c r="N2440" s="59"/>
      <c r="O2440" s="60" t="s">
        <v>34</v>
      </c>
      <c r="P2440" s="61"/>
    </row>
    <row r="2441">
      <c r="A2441" s="29" t="s">
        <v>2464</v>
      </c>
      <c r="B2441" s="30" t="s">
        <v>2264</v>
      </c>
      <c r="C2441" s="31" t="s">
        <v>2148</v>
      </c>
      <c r="D2441" s="32" t="str">
        <f t="shared" si="1"/>
        <v>Removed</v>
      </c>
      <c r="E2441" s="33">
        <v>42038.0</v>
      </c>
      <c r="F2441" s="34">
        <v>42065.0</v>
      </c>
      <c r="G2441" s="36">
        <f t="shared" si="2"/>
        <v>0.9666666667</v>
      </c>
      <c r="H2441" s="37">
        <v>42038.0</v>
      </c>
      <c r="I2441" s="36">
        <f t="shared" si="4"/>
        <v>0</v>
      </c>
      <c r="J2441" s="38">
        <v>52.0</v>
      </c>
      <c r="K2441" s="39">
        <v>6.1</v>
      </c>
      <c r="L2441" s="38">
        <v>4.0</v>
      </c>
      <c r="M2441" s="40" t="s">
        <v>27</v>
      </c>
      <c r="N2441" s="41"/>
      <c r="O2441" s="42" t="s">
        <v>34</v>
      </c>
      <c r="P2441" s="43"/>
    </row>
    <row r="2442">
      <c r="A2442" s="44" t="s">
        <v>2026</v>
      </c>
      <c r="B2442" s="45" t="s">
        <v>2278</v>
      </c>
      <c r="C2442" s="46" t="s">
        <v>2148</v>
      </c>
      <c r="D2442" s="47" t="str">
        <f t="shared" si="1"/>
        <v>Removed</v>
      </c>
      <c r="E2442" s="48">
        <v>42010.0</v>
      </c>
      <c r="F2442" s="49">
        <v>42037.0</v>
      </c>
      <c r="G2442" s="50">
        <f t="shared" si="2"/>
        <v>0.8666666667</v>
      </c>
      <c r="H2442" s="51">
        <v>41807.0</v>
      </c>
      <c r="I2442" s="50">
        <f t="shared" si="4"/>
        <v>0.5527777778</v>
      </c>
      <c r="J2442" s="55">
        <v>87.0</v>
      </c>
      <c r="K2442" s="56">
        <v>7.8</v>
      </c>
      <c r="L2442" s="55">
        <v>5.0</v>
      </c>
      <c r="M2442" s="58" t="s">
        <v>136</v>
      </c>
      <c r="N2442" s="59"/>
      <c r="O2442" s="60" t="s">
        <v>34</v>
      </c>
      <c r="P2442" s="61"/>
    </row>
    <row r="2443">
      <c r="A2443" s="29" t="s">
        <v>2465</v>
      </c>
      <c r="B2443" s="30" t="s">
        <v>2257</v>
      </c>
      <c r="C2443" s="31" t="s">
        <v>2148</v>
      </c>
      <c r="D2443" s="32" t="str">
        <f t="shared" si="1"/>
        <v>Removed</v>
      </c>
      <c r="E2443" s="33">
        <v>42010.0</v>
      </c>
      <c r="F2443" s="34">
        <v>42037.0</v>
      </c>
      <c r="G2443" s="36">
        <f t="shared" si="2"/>
        <v>0.8666666667</v>
      </c>
      <c r="H2443" s="37">
        <v>42010.0</v>
      </c>
      <c r="I2443" s="36">
        <f t="shared" si="4"/>
        <v>0</v>
      </c>
      <c r="J2443" s="38">
        <v>66.0</v>
      </c>
      <c r="K2443" s="39">
        <v>6.8</v>
      </c>
      <c r="L2443" s="38">
        <v>1.0</v>
      </c>
      <c r="M2443" s="40" t="s">
        <v>217</v>
      </c>
      <c r="N2443" s="41"/>
      <c r="O2443" s="42" t="s">
        <v>34</v>
      </c>
      <c r="P2443" s="43"/>
    </row>
    <row r="2444">
      <c r="A2444" s="44" t="s">
        <v>2466</v>
      </c>
      <c r="B2444" s="45" t="s">
        <v>45</v>
      </c>
      <c r="C2444" s="46" t="s">
        <v>2148</v>
      </c>
      <c r="D2444" s="47" t="str">
        <f t="shared" si="1"/>
        <v>Removed</v>
      </c>
      <c r="E2444" s="48">
        <v>42010.0</v>
      </c>
      <c r="F2444" s="49">
        <v>42037.0</v>
      </c>
      <c r="G2444" s="50">
        <f t="shared" si="2"/>
        <v>0.8666666667</v>
      </c>
      <c r="H2444" s="51">
        <v>41877.0</v>
      </c>
      <c r="I2444" s="50">
        <f t="shared" si="4"/>
        <v>0.3611111111</v>
      </c>
      <c r="J2444" s="55">
        <v>73.0</v>
      </c>
      <c r="K2444" s="56">
        <v>7.3</v>
      </c>
      <c r="L2444" s="55">
        <v>4.0</v>
      </c>
      <c r="M2444" s="58" t="s">
        <v>29</v>
      </c>
      <c r="N2444" s="59"/>
      <c r="O2444" s="60" t="s">
        <v>34</v>
      </c>
      <c r="P2444" s="61"/>
    </row>
    <row r="2445">
      <c r="A2445" s="29" t="s">
        <v>2467</v>
      </c>
      <c r="B2445" s="30" t="s">
        <v>442</v>
      </c>
      <c r="C2445" s="31" t="s">
        <v>2148</v>
      </c>
      <c r="D2445" s="32" t="str">
        <f t="shared" si="1"/>
        <v>Removed</v>
      </c>
      <c r="E2445" s="33">
        <v>42010.0</v>
      </c>
      <c r="F2445" s="34">
        <v>42037.0</v>
      </c>
      <c r="G2445" s="36">
        <f t="shared" si="2"/>
        <v>0.8666666667</v>
      </c>
      <c r="H2445" s="37">
        <v>41023.0</v>
      </c>
      <c r="I2445" s="36">
        <f t="shared" si="4"/>
        <v>2.7</v>
      </c>
      <c r="J2445" s="38">
        <v>79.0</v>
      </c>
      <c r="K2445" s="39">
        <v>7.8</v>
      </c>
      <c r="L2445" s="38">
        <v>13.0</v>
      </c>
      <c r="M2445" s="40" t="s">
        <v>29</v>
      </c>
      <c r="N2445" s="41"/>
      <c r="O2445" s="42" t="s">
        <v>34</v>
      </c>
      <c r="P2445" s="43"/>
    </row>
    <row r="2446">
      <c r="A2446" s="44" t="s">
        <v>2468</v>
      </c>
      <c r="B2446" s="45" t="s">
        <v>442</v>
      </c>
      <c r="C2446" s="46" t="s">
        <v>2148</v>
      </c>
      <c r="D2446" s="47" t="str">
        <f t="shared" si="1"/>
        <v>Removed</v>
      </c>
      <c r="E2446" s="48">
        <v>42010.0</v>
      </c>
      <c r="F2446" s="49">
        <v>42037.0</v>
      </c>
      <c r="G2446" s="50">
        <f t="shared" si="2"/>
        <v>0.8666666667</v>
      </c>
      <c r="H2446" s="51">
        <v>41499.0</v>
      </c>
      <c r="I2446" s="50">
        <f t="shared" si="4"/>
        <v>1.397222222</v>
      </c>
      <c r="J2446" s="55">
        <v>74.0</v>
      </c>
      <c r="K2446" s="56">
        <v>7.8</v>
      </c>
      <c r="L2446" s="55">
        <v>5.0</v>
      </c>
      <c r="M2446" s="58" t="s">
        <v>27</v>
      </c>
      <c r="N2446" s="59"/>
      <c r="O2446" s="60" t="s">
        <v>34</v>
      </c>
      <c r="P2446" s="61"/>
    </row>
    <row r="2447">
      <c r="A2447" s="29" t="s">
        <v>2469</v>
      </c>
      <c r="B2447" s="30" t="s">
        <v>2255</v>
      </c>
      <c r="C2447" s="31" t="s">
        <v>2148</v>
      </c>
      <c r="D2447" s="32" t="str">
        <f t="shared" si="1"/>
        <v>Removed</v>
      </c>
      <c r="E2447" s="33">
        <v>42010.0</v>
      </c>
      <c r="F2447" s="34">
        <v>42037.0</v>
      </c>
      <c r="G2447" s="36">
        <f t="shared" si="2"/>
        <v>0.8666666667</v>
      </c>
      <c r="H2447" s="37">
        <v>41294.0</v>
      </c>
      <c r="I2447" s="36">
        <f t="shared" si="4"/>
        <v>1.961111111</v>
      </c>
      <c r="J2447" s="38">
        <v>79.0</v>
      </c>
      <c r="K2447" s="39">
        <v>8.3</v>
      </c>
      <c r="L2447" s="38">
        <v>4.0</v>
      </c>
      <c r="M2447" s="40" t="s">
        <v>31</v>
      </c>
      <c r="N2447" s="41"/>
      <c r="O2447" s="42" t="s">
        <v>34</v>
      </c>
      <c r="P2447" s="43"/>
    </row>
    <row r="2448">
      <c r="A2448" s="44" t="s">
        <v>2470</v>
      </c>
      <c r="B2448" s="45" t="s">
        <v>2264</v>
      </c>
      <c r="C2448" s="46" t="s">
        <v>2148</v>
      </c>
      <c r="D2448" s="47" t="str">
        <f t="shared" si="1"/>
        <v>Removed</v>
      </c>
      <c r="E2448" s="48">
        <v>41975.0</v>
      </c>
      <c r="F2448" s="49">
        <v>42009.0</v>
      </c>
      <c r="G2448" s="50">
        <f t="shared" si="2"/>
        <v>1.1</v>
      </c>
      <c r="H2448" s="51">
        <v>41947.0</v>
      </c>
      <c r="I2448" s="50">
        <f t="shared" si="4"/>
        <v>0.07777777778</v>
      </c>
      <c r="J2448" s="55">
        <v>68.0</v>
      </c>
      <c r="K2448" s="56">
        <v>6.9</v>
      </c>
      <c r="L2448" s="55">
        <v>6.0</v>
      </c>
      <c r="M2448" s="58" t="s">
        <v>103</v>
      </c>
      <c r="N2448" s="59"/>
      <c r="O2448" s="60" t="s">
        <v>34</v>
      </c>
      <c r="P2448" s="61"/>
    </row>
    <row r="2449">
      <c r="A2449" s="29" t="s">
        <v>2030</v>
      </c>
      <c r="B2449" s="30" t="s">
        <v>2278</v>
      </c>
      <c r="C2449" s="31" t="s">
        <v>2148</v>
      </c>
      <c r="D2449" s="32" t="str">
        <f t="shared" si="1"/>
        <v>Removed</v>
      </c>
      <c r="E2449" s="33">
        <v>41975.0</v>
      </c>
      <c r="F2449" s="34">
        <v>42009.0</v>
      </c>
      <c r="G2449" s="36">
        <f t="shared" si="2"/>
        <v>1.1</v>
      </c>
      <c r="H2449" s="37">
        <v>38789.0</v>
      </c>
      <c r="I2449" s="36">
        <f t="shared" si="4"/>
        <v>8.719444444</v>
      </c>
      <c r="J2449" s="38">
        <v>77.0</v>
      </c>
      <c r="K2449" s="39">
        <v>7.0</v>
      </c>
      <c r="L2449" s="38">
        <v>5.0</v>
      </c>
      <c r="M2449" s="40" t="s">
        <v>31</v>
      </c>
      <c r="N2449" s="41"/>
      <c r="O2449" s="42" t="s">
        <v>34</v>
      </c>
      <c r="P2449" s="43"/>
    </row>
    <row r="2450">
      <c r="A2450" s="44" t="s">
        <v>2471</v>
      </c>
      <c r="B2450" s="45" t="s">
        <v>45</v>
      </c>
      <c r="C2450" s="46" t="s">
        <v>2148</v>
      </c>
      <c r="D2450" s="47" t="str">
        <f t="shared" si="1"/>
        <v>Removed</v>
      </c>
      <c r="E2450" s="48">
        <v>41975.0</v>
      </c>
      <c r="F2450" s="49">
        <v>42009.0</v>
      </c>
      <c r="G2450" s="50">
        <f t="shared" si="2"/>
        <v>1.1</v>
      </c>
      <c r="H2450" s="51">
        <v>41975.0</v>
      </c>
      <c r="I2450" s="50">
        <f t="shared" si="4"/>
        <v>0</v>
      </c>
      <c r="J2450" s="55">
        <v>71.0</v>
      </c>
      <c r="K2450" s="56">
        <v>7.0</v>
      </c>
      <c r="L2450" s="78"/>
      <c r="M2450" s="58" t="s">
        <v>31</v>
      </c>
      <c r="N2450" s="59"/>
      <c r="O2450" s="60" t="s">
        <v>34</v>
      </c>
      <c r="P2450" s="61"/>
    </row>
    <row r="2451">
      <c r="A2451" s="29" t="s">
        <v>2472</v>
      </c>
      <c r="B2451" s="30" t="s">
        <v>442</v>
      </c>
      <c r="C2451" s="31" t="s">
        <v>2148</v>
      </c>
      <c r="D2451" s="32" t="str">
        <f t="shared" si="1"/>
        <v>Removed</v>
      </c>
      <c r="E2451" s="33">
        <v>41975.0</v>
      </c>
      <c r="F2451" s="34">
        <v>42009.0</v>
      </c>
      <c r="G2451" s="36">
        <f t="shared" si="2"/>
        <v>1.1</v>
      </c>
      <c r="H2451" s="37">
        <v>41394.0</v>
      </c>
      <c r="I2451" s="36">
        <f t="shared" si="4"/>
        <v>1.588888889</v>
      </c>
      <c r="J2451" s="38">
        <v>70.0</v>
      </c>
      <c r="K2451" s="39">
        <v>8.1</v>
      </c>
      <c r="L2451" s="38">
        <v>19.0</v>
      </c>
      <c r="M2451" s="40" t="s">
        <v>537</v>
      </c>
      <c r="N2451" s="41"/>
      <c r="O2451" s="42" t="s">
        <v>34</v>
      </c>
      <c r="P2451" s="43"/>
    </row>
    <row r="2452">
      <c r="A2452" s="44" t="s">
        <v>2473</v>
      </c>
      <c r="B2452" s="45" t="s">
        <v>442</v>
      </c>
      <c r="C2452" s="46" t="s">
        <v>2148</v>
      </c>
      <c r="D2452" s="47" t="str">
        <f t="shared" si="1"/>
        <v>Removed</v>
      </c>
      <c r="E2452" s="48">
        <v>41975.0</v>
      </c>
      <c r="F2452" s="49">
        <v>42009.0</v>
      </c>
      <c r="G2452" s="50">
        <f t="shared" si="2"/>
        <v>1.1</v>
      </c>
      <c r="H2452" s="51">
        <v>41303.0</v>
      </c>
      <c r="I2452" s="50">
        <f t="shared" si="4"/>
        <v>1.841666667</v>
      </c>
      <c r="J2452" s="55">
        <v>67.0</v>
      </c>
      <c r="K2452" s="56">
        <v>7.9</v>
      </c>
      <c r="L2452" s="55">
        <v>30.0</v>
      </c>
      <c r="M2452" s="58" t="s">
        <v>29</v>
      </c>
      <c r="N2452" s="59"/>
      <c r="O2452" s="60" t="s">
        <v>34</v>
      </c>
      <c r="P2452" s="61"/>
    </row>
    <row r="2453">
      <c r="A2453" s="29" t="s">
        <v>2474</v>
      </c>
      <c r="B2453" s="30" t="s">
        <v>45</v>
      </c>
      <c r="C2453" s="31" t="s">
        <v>2148</v>
      </c>
      <c r="D2453" s="32" t="str">
        <f t="shared" si="1"/>
        <v>Removed</v>
      </c>
      <c r="E2453" s="33">
        <v>41975.0</v>
      </c>
      <c r="F2453" s="34">
        <v>42009.0</v>
      </c>
      <c r="G2453" s="36">
        <f t="shared" si="2"/>
        <v>1.1</v>
      </c>
      <c r="H2453" s="37">
        <v>41380.0</v>
      </c>
      <c r="I2453" s="36">
        <f t="shared" si="4"/>
        <v>1.627777778</v>
      </c>
      <c r="J2453" s="38">
        <v>81.0</v>
      </c>
      <c r="K2453" s="39">
        <v>7.9</v>
      </c>
      <c r="L2453" s="38">
        <v>8.0</v>
      </c>
      <c r="M2453" s="40" t="s">
        <v>114</v>
      </c>
      <c r="N2453" s="41"/>
      <c r="O2453" s="42" t="s">
        <v>34</v>
      </c>
      <c r="P2453" s="43"/>
    </row>
    <row r="2454">
      <c r="A2454" s="44" t="s">
        <v>2475</v>
      </c>
      <c r="B2454" s="45" t="s">
        <v>2257</v>
      </c>
      <c r="C2454" s="46" t="s">
        <v>2148</v>
      </c>
      <c r="D2454" s="47" t="str">
        <f t="shared" si="1"/>
        <v>Removed</v>
      </c>
      <c r="E2454" s="48">
        <v>41947.0</v>
      </c>
      <c r="F2454" s="49">
        <v>41974.0</v>
      </c>
      <c r="G2454" s="50">
        <f t="shared" si="2"/>
        <v>0.9</v>
      </c>
      <c r="H2454" s="51">
        <v>41947.0</v>
      </c>
      <c r="I2454" s="50">
        <f t="shared" si="4"/>
        <v>0</v>
      </c>
      <c r="J2454" s="55">
        <v>86.0</v>
      </c>
      <c r="K2454" s="56">
        <v>8.5</v>
      </c>
      <c r="L2454" s="55">
        <v>7.0</v>
      </c>
      <c r="M2454" s="58" t="s">
        <v>29</v>
      </c>
      <c r="N2454" s="59"/>
      <c r="O2454" s="60" t="s">
        <v>34</v>
      </c>
      <c r="P2454" s="61"/>
    </row>
    <row r="2455">
      <c r="A2455" s="29" t="s">
        <v>2476</v>
      </c>
      <c r="B2455" s="30" t="s">
        <v>2257</v>
      </c>
      <c r="C2455" s="31" t="s">
        <v>2148</v>
      </c>
      <c r="D2455" s="32" t="str">
        <f t="shared" si="1"/>
        <v>Removed</v>
      </c>
      <c r="E2455" s="33">
        <v>41947.0</v>
      </c>
      <c r="F2455" s="34">
        <v>41974.0</v>
      </c>
      <c r="G2455" s="36">
        <f t="shared" si="2"/>
        <v>0.9</v>
      </c>
      <c r="H2455" s="37">
        <v>41869.0</v>
      </c>
      <c r="I2455" s="36">
        <f t="shared" si="4"/>
        <v>0.2111111111</v>
      </c>
      <c r="J2455" s="38">
        <v>76.0</v>
      </c>
      <c r="K2455" s="39">
        <v>7.9</v>
      </c>
      <c r="L2455" s="38">
        <v>5.0</v>
      </c>
      <c r="M2455" s="40" t="s">
        <v>27</v>
      </c>
      <c r="N2455" s="41"/>
      <c r="O2455" s="42" t="s">
        <v>34</v>
      </c>
      <c r="P2455" s="43"/>
    </row>
    <row r="2456">
      <c r="A2456" s="44" t="s">
        <v>1996</v>
      </c>
      <c r="B2456" s="45" t="s">
        <v>2257</v>
      </c>
      <c r="C2456" s="46" t="s">
        <v>2148</v>
      </c>
      <c r="D2456" s="47" t="str">
        <f t="shared" si="1"/>
        <v>Removed</v>
      </c>
      <c r="E2456" s="48">
        <v>41947.0</v>
      </c>
      <c r="F2456" s="49">
        <v>41974.0</v>
      </c>
      <c r="G2456" s="50">
        <f t="shared" si="2"/>
        <v>0.9</v>
      </c>
      <c r="H2456" s="51">
        <v>40961.0</v>
      </c>
      <c r="I2456" s="50">
        <f t="shared" si="4"/>
        <v>2.7</v>
      </c>
      <c r="J2456" s="55">
        <v>62.0</v>
      </c>
      <c r="K2456" s="56">
        <v>6.7</v>
      </c>
      <c r="L2456" s="55">
        <v>3.0</v>
      </c>
      <c r="M2456" s="58" t="s">
        <v>136</v>
      </c>
      <c r="N2456" s="59"/>
      <c r="O2456" s="60" t="s">
        <v>34</v>
      </c>
      <c r="P2456" s="61"/>
    </row>
    <row r="2457">
      <c r="A2457" s="29" t="s">
        <v>2477</v>
      </c>
      <c r="B2457" s="30" t="s">
        <v>2255</v>
      </c>
      <c r="C2457" s="31" t="s">
        <v>2148</v>
      </c>
      <c r="D2457" s="32" t="str">
        <f t="shared" si="1"/>
        <v>Removed</v>
      </c>
      <c r="E2457" s="33">
        <v>41947.0</v>
      </c>
      <c r="F2457" s="34">
        <v>41974.0</v>
      </c>
      <c r="G2457" s="36">
        <f t="shared" si="2"/>
        <v>0.9</v>
      </c>
      <c r="H2457" s="37">
        <v>41716.0</v>
      </c>
      <c r="I2457" s="36">
        <f t="shared" si="4"/>
        <v>0.6277777778</v>
      </c>
      <c r="J2457" s="38">
        <v>80.0</v>
      </c>
      <c r="K2457" s="39">
        <v>7.7</v>
      </c>
      <c r="L2457" s="38">
        <v>3.0</v>
      </c>
      <c r="M2457" s="40" t="s">
        <v>31</v>
      </c>
      <c r="N2457" s="41"/>
      <c r="O2457" s="42" t="s">
        <v>34</v>
      </c>
      <c r="P2457" s="43"/>
    </row>
    <row r="2458">
      <c r="A2458" s="44" t="s">
        <v>2478</v>
      </c>
      <c r="B2458" s="45" t="s">
        <v>442</v>
      </c>
      <c r="C2458" s="46" t="s">
        <v>2148</v>
      </c>
      <c r="D2458" s="47" t="str">
        <f t="shared" si="1"/>
        <v>Removed</v>
      </c>
      <c r="E2458" s="48">
        <v>41947.0</v>
      </c>
      <c r="F2458" s="49">
        <v>41974.0</v>
      </c>
      <c r="G2458" s="50">
        <f t="shared" si="2"/>
        <v>0.9</v>
      </c>
      <c r="H2458" s="51">
        <v>41541.0</v>
      </c>
      <c r="I2458" s="50">
        <f t="shared" si="4"/>
        <v>1.111111111</v>
      </c>
      <c r="J2458" s="55">
        <v>69.0</v>
      </c>
      <c r="K2458" s="56">
        <v>6.6</v>
      </c>
      <c r="L2458" s="55">
        <v>8.0</v>
      </c>
      <c r="M2458" s="58" t="s">
        <v>103</v>
      </c>
      <c r="N2458" s="59"/>
      <c r="O2458" s="60" t="s">
        <v>34</v>
      </c>
      <c r="P2458" s="61"/>
    </row>
    <row r="2459">
      <c r="A2459" s="29" t="s">
        <v>2479</v>
      </c>
      <c r="B2459" s="30" t="s">
        <v>2264</v>
      </c>
      <c r="C2459" s="31" t="s">
        <v>2148</v>
      </c>
      <c r="D2459" s="32" t="str">
        <f t="shared" si="1"/>
        <v>Removed</v>
      </c>
      <c r="E2459" s="33">
        <v>41947.0</v>
      </c>
      <c r="F2459" s="34">
        <v>41974.0</v>
      </c>
      <c r="G2459" s="36">
        <f t="shared" si="2"/>
        <v>0.9</v>
      </c>
      <c r="H2459" s="37">
        <v>41947.0</v>
      </c>
      <c r="I2459" s="36">
        <f t="shared" si="4"/>
        <v>0</v>
      </c>
      <c r="J2459" s="38">
        <v>68.0</v>
      </c>
      <c r="K2459" s="39">
        <v>6.6</v>
      </c>
      <c r="L2459" s="38">
        <v>3.0</v>
      </c>
      <c r="M2459" s="40" t="s">
        <v>103</v>
      </c>
      <c r="N2459" s="41"/>
      <c r="O2459" s="42" t="s">
        <v>34</v>
      </c>
      <c r="P2459" s="43"/>
    </row>
    <row r="2460">
      <c r="A2460" s="44" t="s">
        <v>2136</v>
      </c>
      <c r="B2460" s="45" t="s">
        <v>2278</v>
      </c>
      <c r="C2460" s="46" t="s">
        <v>2148</v>
      </c>
      <c r="D2460" s="47" t="str">
        <f t="shared" si="1"/>
        <v>Removed</v>
      </c>
      <c r="E2460" s="48">
        <v>41919.0</v>
      </c>
      <c r="F2460" s="49">
        <v>41946.0</v>
      </c>
      <c r="G2460" s="50">
        <f t="shared" si="2"/>
        <v>0.8666666667</v>
      </c>
      <c r="H2460" s="51">
        <v>41094.0</v>
      </c>
      <c r="I2460" s="50">
        <f t="shared" si="4"/>
        <v>2.258333333</v>
      </c>
      <c r="J2460" s="55">
        <v>90.0</v>
      </c>
      <c r="K2460" s="56">
        <v>8.5</v>
      </c>
      <c r="L2460" s="55">
        <v>5.0</v>
      </c>
      <c r="M2460" s="58" t="s">
        <v>27</v>
      </c>
      <c r="N2460" s="59"/>
      <c r="O2460" s="60" t="s">
        <v>34</v>
      </c>
      <c r="P2460" s="61"/>
    </row>
    <row r="2461">
      <c r="A2461" s="29" t="s">
        <v>2480</v>
      </c>
      <c r="B2461" s="30" t="s">
        <v>2257</v>
      </c>
      <c r="C2461" s="31" t="s">
        <v>2148</v>
      </c>
      <c r="D2461" s="32" t="str">
        <f t="shared" si="1"/>
        <v>Removed</v>
      </c>
      <c r="E2461" s="33">
        <v>41919.0</v>
      </c>
      <c r="F2461" s="34">
        <v>41946.0</v>
      </c>
      <c r="G2461" s="36">
        <f t="shared" si="2"/>
        <v>0.8666666667</v>
      </c>
      <c r="H2461" s="37">
        <v>41919.0</v>
      </c>
      <c r="I2461" s="36">
        <f t="shared" si="4"/>
        <v>0</v>
      </c>
      <c r="J2461" s="38">
        <v>73.0</v>
      </c>
      <c r="K2461" s="39">
        <v>7.1</v>
      </c>
      <c r="L2461" s="38">
        <v>4.0</v>
      </c>
      <c r="M2461" s="40" t="s">
        <v>217</v>
      </c>
      <c r="N2461" s="41"/>
      <c r="O2461" s="42" t="s">
        <v>34</v>
      </c>
      <c r="P2461" s="43"/>
    </row>
    <row r="2462">
      <c r="A2462" s="44" t="s">
        <v>2481</v>
      </c>
      <c r="B2462" s="45" t="s">
        <v>45</v>
      </c>
      <c r="C2462" s="46" t="s">
        <v>2148</v>
      </c>
      <c r="D2462" s="47" t="str">
        <f t="shared" si="1"/>
        <v>Removed</v>
      </c>
      <c r="E2462" s="48">
        <v>41919.0</v>
      </c>
      <c r="F2462" s="49">
        <v>41946.0</v>
      </c>
      <c r="G2462" s="50">
        <f t="shared" si="2"/>
        <v>0.8666666667</v>
      </c>
      <c r="H2462" s="51">
        <v>41410.0</v>
      </c>
      <c r="I2462" s="50">
        <f t="shared" si="4"/>
        <v>1.391666667</v>
      </c>
      <c r="J2462" s="55">
        <v>77.0</v>
      </c>
      <c r="K2462" s="56">
        <v>8.0</v>
      </c>
      <c r="L2462" s="55">
        <v>12.0</v>
      </c>
      <c r="M2462" s="58" t="s">
        <v>27</v>
      </c>
      <c r="N2462" s="59"/>
      <c r="O2462" s="60" t="s">
        <v>34</v>
      </c>
      <c r="P2462" s="61"/>
    </row>
    <row r="2463">
      <c r="A2463" s="29" t="s">
        <v>969</v>
      </c>
      <c r="B2463" s="30" t="s">
        <v>2255</v>
      </c>
      <c r="C2463" s="31" t="s">
        <v>2148</v>
      </c>
      <c r="D2463" s="32" t="str">
        <f t="shared" si="1"/>
        <v>Removed</v>
      </c>
      <c r="E2463" s="33">
        <v>41919.0</v>
      </c>
      <c r="F2463" s="34">
        <v>41946.0</v>
      </c>
      <c r="G2463" s="36">
        <f t="shared" si="2"/>
        <v>0.8666666667</v>
      </c>
      <c r="H2463" s="37">
        <v>41226.0</v>
      </c>
      <c r="I2463" s="36">
        <f t="shared" si="4"/>
        <v>1.9</v>
      </c>
      <c r="J2463" s="38">
        <v>81.0</v>
      </c>
      <c r="K2463" s="39">
        <v>7.9</v>
      </c>
      <c r="L2463" s="38">
        <v>35.0</v>
      </c>
      <c r="M2463" s="40" t="s">
        <v>42</v>
      </c>
      <c r="N2463" s="41"/>
      <c r="O2463" s="42" t="s">
        <v>34</v>
      </c>
      <c r="P2463" s="43"/>
    </row>
    <row r="2464">
      <c r="A2464" s="44" t="s">
        <v>2482</v>
      </c>
      <c r="B2464" s="45" t="s">
        <v>442</v>
      </c>
      <c r="C2464" s="46" t="s">
        <v>2148</v>
      </c>
      <c r="D2464" s="47" t="str">
        <f t="shared" si="1"/>
        <v>Removed</v>
      </c>
      <c r="E2464" s="48">
        <v>41919.0</v>
      </c>
      <c r="F2464" s="49">
        <v>41946.0</v>
      </c>
      <c r="G2464" s="50">
        <f t="shared" si="2"/>
        <v>0.8666666667</v>
      </c>
      <c r="H2464" s="51">
        <v>40050.0</v>
      </c>
      <c r="I2464" s="50">
        <f t="shared" si="4"/>
        <v>5.116666667</v>
      </c>
      <c r="J2464" s="55">
        <v>92.0</v>
      </c>
      <c r="K2464" s="56">
        <v>8.8</v>
      </c>
      <c r="L2464" s="55">
        <v>12.0</v>
      </c>
      <c r="M2464" s="58" t="s">
        <v>29</v>
      </c>
      <c r="N2464" s="59"/>
      <c r="O2464" s="60" t="s">
        <v>34</v>
      </c>
      <c r="P2464" s="61"/>
    </row>
    <row r="2465">
      <c r="A2465" s="29" t="s">
        <v>2483</v>
      </c>
      <c r="B2465" s="30" t="s">
        <v>442</v>
      </c>
      <c r="C2465" s="31" t="s">
        <v>2148</v>
      </c>
      <c r="D2465" s="32" t="str">
        <f t="shared" si="1"/>
        <v>Removed</v>
      </c>
      <c r="E2465" s="33">
        <v>41919.0</v>
      </c>
      <c r="F2465" s="34">
        <v>41946.0</v>
      </c>
      <c r="G2465" s="36">
        <f t="shared" si="2"/>
        <v>0.8666666667</v>
      </c>
      <c r="H2465" s="37">
        <v>41443.0</v>
      </c>
      <c r="I2465" s="36">
        <f t="shared" si="4"/>
        <v>1.302777778</v>
      </c>
      <c r="J2465" s="38">
        <v>77.0</v>
      </c>
      <c r="K2465" s="39">
        <v>7.6</v>
      </c>
      <c r="L2465" s="38">
        <v>5.0</v>
      </c>
      <c r="M2465" s="40" t="s">
        <v>29</v>
      </c>
      <c r="N2465" s="41"/>
      <c r="O2465" s="42" t="s">
        <v>34</v>
      </c>
      <c r="P2465" s="43"/>
    </row>
    <row r="2466">
      <c r="A2466" s="44" t="s">
        <v>1929</v>
      </c>
      <c r="B2466" s="45" t="s">
        <v>2257</v>
      </c>
      <c r="C2466" s="46" t="s">
        <v>2148</v>
      </c>
      <c r="D2466" s="47" t="str">
        <f t="shared" si="1"/>
        <v>Removed</v>
      </c>
      <c r="E2466" s="48">
        <v>41884.0</v>
      </c>
      <c r="F2466" s="49">
        <v>41918.0</v>
      </c>
      <c r="G2466" s="50">
        <f t="shared" si="2"/>
        <v>1.133333333</v>
      </c>
      <c r="H2466" s="51">
        <v>41884.0</v>
      </c>
      <c r="I2466" s="50">
        <f t="shared" si="4"/>
        <v>0</v>
      </c>
      <c r="J2466" s="55">
        <v>86.0</v>
      </c>
      <c r="K2466" s="56">
        <v>8.0</v>
      </c>
      <c r="L2466" s="55">
        <v>6.0</v>
      </c>
      <c r="M2466" s="58" t="s">
        <v>31</v>
      </c>
      <c r="N2466" s="59"/>
      <c r="O2466" s="60" t="s">
        <v>34</v>
      </c>
      <c r="P2466" s="61"/>
    </row>
    <row r="2467">
      <c r="A2467" s="29" t="s">
        <v>2484</v>
      </c>
      <c r="B2467" s="30" t="s">
        <v>2261</v>
      </c>
      <c r="C2467" s="31" t="s">
        <v>2148</v>
      </c>
      <c r="D2467" s="32" t="str">
        <f t="shared" si="1"/>
        <v>Removed</v>
      </c>
      <c r="E2467" s="33">
        <v>41884.0</v>
      </c>
      <c r="F2467" s="34">
        <v>41918.0</v>
      </c>
      <c r="G2467" s="36">
        <f t="shared" si="2"/>
        <v>1.133333333</v>
      </c>
      <c r="H2467" s="37">
        <v>41765.0</v>
      </c>
      <c r="I2467" s="36">
        <f t="shared" si="4"/>
        <v>0.3222222222</v>
      </c>
      <c r="J2467" s="38">
        <v>69.0</v>
      </c>
      <c r="K2467" s="39">
        <v>6.7</v>
      </c>
      <c r="L2467" s="76"/>
      <c r="M2467" s="40" t="s">
        <v>125</v>
      </c>
      <c r="N2467" s="41"/>
      <c r="O2467" s="42" t="s">
        <v>34</v>
      </c>
      <c r="P2467" s="43"/>
    </row>
    <row r="2468">
      <c r="A2468" s="44" t="s">
        <v>2485</v>
      </c>
      <c r="B2468" s="45" t="s">
        <v>2255</v>
      </c>
      <c r="C2468" s="46" t="s">
        <v>2148</v>
      </c>
      <c r="D2468" s="47" t="str">
        <f t="shared" si="1"/>
        <v>Removed</v>
      </c>
      <c r="E2468" s="48">
        <v>41884.0</v>
      </c>
      <c r="F2468" s="49">
        <v>41918.0</v>
      </c>
      <c r="G2468" s="50">
        <f t="shared" si="2"/>
        <v>1.133333333</v>
      </c>
      <c r="H2468" s="51">
        <v>41233.0</v>
      </c>
      <c r="I2468" s="50">
        <f t="shared" si="4"/>
        <v>1.783333333</v>
      </c>
      <c r="J2468" s="55">
        <v>74.0</v>
      </c>
      <c r="K2468" s="56">
        <v>7.4</v>
      </c>
      <c r="L2468" s="55">
        <v>12.0</v>
      </c>
      <c r="M2468" s="58" t="s">
        <v>114</v>
      </c>
      <c r="N2468" s="59"/>
      <c r="O2468" s="60" t="s">
        <v>34</v>
      </c>
      <c r="P2468" s="61"/>
    </row>
    <row r="2469">
      <c r="A2469" s="29" t="s">
        <v>2486</v>
      </c>
      <c r="B2469" s="30" t="s">
        <v>442</v>
      </c>
      <c r="C2469" s="31" t="s">
        <v>2148</v>
      </c>
      <c r="D2469" s="32" t="str">
        <f t="shared" si="1"/>
        <v>Removed</v>
      </c>
      <c r="E2469" s="33">
        <v>41884.0</v>
      </c>
      <c r="F2469" s="34">
        <v>41918.0</v>
      </c>
      <c r="G2469" s="36">
        <f t="shared" si="2"/>
        <v>1.133333333</v>
      </c>
      <c r="H2469" s="37">
        <v>40122.0</v>
      </c>
      <c r="I2469" s="36">
        <f t="shared" si="4"/>
        <v>4.825</v>
      </c>
      <c r="J2469" s="38">
        <v>71.0</v>
      </c>
      <c r="K2469" s="39">
        <v>6.8</v>
      </c>
      <c r="L2469" s="76"/>
      <c r="M2469" s="40" t="s">
        <v>103</v>
      </c>
      <c r="N2469" s="41"/>
      <c r="O2469" s="42" t="s">
        <v>34</v>
      </c>
      <c r="P2469" s="43"/>
    </row>
    <row r="2470">
      <c r="A2470" s="44" t="s">
        <v>2487</v>
      </c>
      <c r="B2470" s="45" t="s">
        <v>2264</v>
      </c>
      <c r="C2470" s="46" t="s">
        <v>2148</v>
      </c>
      <c r="D2470" s="47" t="str">
        <f t="shared" si="1"/>
        <v>Removed</v>
      </c>
      <c r="E2470" s="48">
        <v>41884.0</v>
      </c>
      <c r="F2470" s="49">
        <v>41918.0</v>
      </c>
      <c r="G2470" s="50">
        <f t="shared" si="2"/>
        <v>1.133333333</v>
      </c>
      <c r="H2470" s="51">
        <v>40703.0</v>
      </c>
      <c r="I2470" s="50">
        <f t="shared" si="4"/>
        <v>3.230555556</v>
      </c>
      <c r="J2470" s="55">
        <v>74.0</v>
      </c>
      <c r="K2470" s="56">
        <v>7.7</v>
      </c>
      <c r="L2470" s="55">
        <v>7.0</v>
      </c>
      <c r="M2470" s="58" t="s">
        <v>95</v>
      </c>
      <c r="N2470" s="59"/>
      <c r="O2470" s="60" t="s">
        <v>34</v>
      </c>
      <c r="P2470" s="61"/>
    </row>
    <row r="2471">
      <c r="A2471" s="29" t="s">
        <v>2488</v>
      </c>
      <c r="B2471" s="30" t="s">
        <v>2264</v>
      </c>
      <c r="C2471" s="31" t="s">
        <v>2148</v>
      </c>
      <c r="D2471" s="32" t="str">
        <f t="shared" si="1"/>
        <v>Removed</v>
      </c>
      <c r="E2471" s="33">
        <v>41884.0</v>
      </c>
      <c r="F2471" s="34">
        <v>41918.0</v>
      </c>
      <c r="G2471" s="36">
        <f t="shared" si="2"/>
        <v>1.133333333</v>
      </c>
      <c r="H2471" s="37">
        <v>41681.0</v>
      </c>
      <c r="I2471" s="36">
        <f t="shared" si="4"/>
        <v>0.5583333333</v>
      </c>
      <c r="J2471" s="38">
        <v>80.0</v>
      </c>
      <c r="K2471" s="39">
        <v>7.8</v>
      </c>
      <c r="L2471" s="76"/>
      <c r="M2471" s="40" t="s">
        <v>31</v>
      </c>
      <c r="N2471" s="41"/>
      <c r="O2471" s="42" t="s">
        <v>34</v>
      </c>
      <c r="P2471" s="43"/>
    </row>
    <row r="2472">
      <c r="A2472" s="44" t="s">
        <v>2489</v>
      </c>
      <c r="B2472" s="45" t="s">
        <v>2278</v>
      </c>
      <c r="C2472" s="46" t="s">
        <v>2148</v>
      </c>
      <c r="D2472" s="47" t="str">
        <f t="shared" si="1"/>
        <v>Removed</v>
      </c>
      <c r="E2472" s="48">
        <v>41856.0</v>
      </c>
      <c r="F2472" s="49">
        <v>41883.0</v>
      </c>
      <c r="G2472" s="50">
        <f t="shared" si="2"/>
        <v>0.8666666667</v>
      </c>
      <c r="H2472" s="51">
        <v>41012.0</v>
      </c>
      <c r="I2472" s="50">
        <f t="shared" si="4"/>
        <v>2.311111111</v>
      </c>
      <c r="J2472" s="55">
        <v>91.0</v>
      </c>
      <c r="K2472" s="56">
        <v>8.4</v>
      </c>
      <c r="L2472" s="55">
        <v>5.0</v>
      </c>
      <c r="M2472" s="58" t="s">
        <v>27</v>
      </c>
      <c r="N2472" s="59"/>
      <c r="O2472" s="60" t="s">
        <v>34</v>
      </c>
      <c r="P2472" s="61"/>
    </row>
    <row r="2473">
      <c r="A2473" s="29" t="s">
        <v>2490</v>
      </c>
      <c r="B2473" s="30" t="s">
        <v>45</v>
      </c>
      <c r="C2473" s="31" t="s">
        <v>2148</v>
      </c>
      <c r="D2473" s="32" t="str">
        <f t="shared" si="1"/>
        <v>Removed</v>
      </c>
      <c r="E2473" s="33">
        <v>41856.0</v>
      </c>
      <c r="F2473" s="34">
        <v>41883.0</v>
      </c>
      <c r="G2473" s="36">
        <f t="shared" si="2"/>
        <v>0.8666666667</v>
      </c>
      <c r="H2473" s="37">
        <v>41856.0</v>
      </c>
      <c r="I2473" s="36">
        <f t="shared" si="4"/>
        <v>0</v>
      </c>
      <c r="J2473" s="38">
        <v>68.0</v>
      </c>
      <c r="K2473" s="39">
        <v>6.6</v>
      </c>
      <c r="L2473" s="38">
        <v>6.0</v>
      </c>
      <c r="M2473" s="40" t="s">
        <v>136</v>
      </c>
      <c r="N2473" s="41"/>
      <c r="O2473" s="42" t="s">
        <v>34</v>
      </c>
      <c r="P2473" s="43"/>
    </row>
    <row r="2474">
      <c r="A2474" s="44" t="s">
        <v>2491</v>
      </c>
      <c r="B2474" s="45" t="s">
        <v>2255</v>
      </c>
      <c r="C2474" s="46" t="s">
        <v>2148</v>
      </c>
      <c r="D2474" s="47" t="str">
        <f t="shared" si="1"/>
        <v>Removed</v>
      </c>
      <c r="E2474" s="48">
        <v>41856.0</v>
      </c>
      <c r="F2474" s="49">
        <v>41883.0</v>
      </c>
      <c r="G2474" s="50">
        <f t="shared" si="2"/>
        <v>0.8666666667</v>
      </c>
      <c r="H2474" s="51">
        <v>41492.0</v>
      </c>
      <c r="I2474" s="50">
        <f t="shared" si="4"/>
        <v>0.9972222222</v>
      </c>
      <c r="J2474" s="55">
        <v>87.0</v>
      </c>
      <c r="K2474" s="56">
        <v>8.3</v>
      </c>
      <c r="L2474" s="55">
        <v>20.0</v>
      </c>
      <c r="M2474" s="58" t="s">
        <v>42</v>
      </c>
      <c r="N2474" s="59"/>
      <c r="O2474" s="60" t="s">
        <v>34</v>
      </c>
      <c r="P2474" s="61"/>
    </row>
    <row r="2475">
      <c r="A2475" s="29" t="s">
        <v>940</v>
      </c>
      <c r="B2475" s="30" t="s">
        <v>2255</v>
      </c>
      <c r="C2475" s="31" t="s">
        <v>2148</v>
      </c>
      <c r="D2475" s="32" t="str">
        <f t="shared" si="1"/>
        <v>Removed</v>
      </c>
      <c r="E2475" s="33">
        <v>41856.0</v>
      </c>
      <c r="F2475" s="34">
        <v>41883.0</v>
      </c>
      <c r="G2475" s="36">
        <f t="shared" si="2"/>
        <v>0.8666666667</v>
      </c>
      <c r="H2475" s="37">
        <v>41306.0</v>
      </c>
      <c r="I2475" s="36">
        <f t="shared" si="4"/>
        <v>1.511111111</v>
      </c>
      <c r="J2475" s="38">
        <v>80.0</v>
      </c>
      <c r="K2475" s="39">
        <v>7.1</v>
      </c>
      <c r="L2475" s="38">
        <v>1.0</v>
      </c>
      <c r="M2475" s="40" t="s">
        <v>112</v>
      </c>
      <c r="N2475" s="41"/>
      <c r="O2475" s="42" t="s">
        <v>34</v>
      </c>
      <c r="P2475" s="43"/>
    </row>
    <row r="2476">
      <c r="A2476" s="44" t="s">
        <v>2492</v>
      </c>
      <c r="B2476" s="45" t="s">
        <v>442</v>
      </c>
      <c r="C2476" s="46" t="s">
        <v>2148</v>
      </c>
      <c r="D2476" s="47" t="str">
        <f t="shared" si="1"/>
        <v>Removed</v>
      </c>
      <c r="E2476" s="48">
        <v>41856.0</v>
      </c>
      <c r="F2476" s="49">
        <v>41883.0</v>
      </c>
      <c r="G2476" s="50">
        <f t="shared" si="2"/>
        <v>0.8666666667</v>
      </c>
      <c r="H2476" s="51">
        <v>41324.0</v>
      </c>
      <c r="I2476" s="50">
        <f t="shared" si="4"/>
        <v>1.461111111</v>
      </c>
      <c r="J2476" s="55">
        <v>76.0</v>
      </c>
      <c r="K2476" s="56">
        <v>7.2</v>
      </c>
      <c r="L2476" s="55">
        <v>7.0</v>
      </c>
      <c r="M2476" s="58" t="s">
        <v>31</v>
      </c>
      <c r="N2476" s="59"/>
      <c r="O2476" s="60" t="s">
        <v>34</v>
      </c>
      <c r="P2476" s="61"/>
    </row>
    <row r="2477">
      <c r="A2477" s="29" t="s">
        <v>2493</v>
      </c>
      <c r="B2477" s="30" t="s">
        <v>2264</v>
      </c>
      <c r="C2477" s="31" t="s">
        <v>2148</v>
      </c>
      <c r="D2477" s="32" t="str">
        <f t="shared" si="1"/>
        <v>Removed</v>
      </c>
      <c r="E2477" s="33">
        <v>41856.0</v>
      </c>
      <c r="F2477" s="34">
        <v>41883.0</v>
      </c>
      <c r="G2477" s="36">
        <f t="shared" si="2"/>
        <v>0.8666666667</v>
      </c>
      <c r="H2477" s="37">
        <v>41856.0</v>
      </c>
      <c r="I2477" s="36">
        <f t="shared" si="4"/>
        <v>0</v>
      </c>
      <c r="J2477" s="38">
        <v>68.0</v>
      </c>
      <c r="K2477" s="39">
        <v>6.8</v>
      </c>
      <c r="L2477" s="38">
        <v>3.0</v>
      </c>
      <c r="M2477" s="40" t="s">
        <v>136</v>
      </c>
      <c r="N2477" s="41"/>
      <c r="O2477" s="42" t="s">
        <v>34</v>
      </c>
      <c r="P2477" s="43"/>
    </row>
    <row r="2478">
      <c r="A2478" s="44" t="s">
        <v>1953</v>
      </c>
      <c r="B2478" s="45" t="s">
        <v>2278</v>
      </c>
      <c r="C2478" s="46" t="s">
        <v>2148</v>
      </c>
      <c r="D2478" s="47" t="str">
        <f t="shared" si="1"/>
        <v>Removed</v>
      </c>
      <c r="E2478" s="48">
        <v>41821.0</v>
      </c>
      <c r="F2478" s="49">
        <v>41855.0</v>
      </c>
      <c r="G2478" s="50">
        <f t="shared" si="2"/>
        <v>1.1</v>
      </c>
      <c r="H2478" s="51">
        <v>41618.0</v>
      </c>
      <c r="I2478" s="50">
        <f t="shared" si="4"/>
        <v>0.5583333333</v>
      </c>
      <c r="J2478" s="55">
        <v>70.0</v>
      </c>
      <c r="K2478" s="56">
        <v>7.1</v>
      </c>
      <c r="L2478" s="78"/>
      <c r="M2478" s="58" t="s">
        <v>112</v>
      </c>
      <c r="N2478" s="59"/>
      <c r="O2478" s="60" t="s">
        <v>34</v>
      </c>
      <c r="P2478" s="61"/>
    </row>
    <row r="2479">
      <c r="A2479" s="29" t="s">
        <v>1259</v>
      </c>
      <c r="B2479" s="30" t="s">
        <v>45</v>
      </c>
      <c r="C2479" s="31" t="s">
        <v>2148</v>
      </c>
      <c r="D2479" s="32" t="str">
        <f t="shared" si="1"/>
        <v>Removed</v>
      </c>
      <c r="E2479" s="33">
        <v>41821.0</v>
      </c>
      <c r="F2479" s="34">
        <v>41855.0</v>
      </c>
      <c r="G2479" s="36">
        <f t="shared" si="2"/>
        <v>1.1</v>
      </c>
      <c r="H2479" s="37">
        <v>41709.0</v>
      </c>
      <c r="I2479" s="36">
        <f t="shared" si="4"/>
        <v>0.3055555556</v>
      </c>
      <c r="J2479" s="38">
        <v>87.0</v>
      </c>
      <c r="K2479" s="39">
        <v>8.4</v>
      </c>
      <c r="L2479" s="38">
        <v>4.0</v>
      </c>
      <c r="M2479" s="40" t="s">
        <v>27</v>
      </c>
      <c r="N2479" s="41"/>
      <c r="O2479" s="42" t="s">
        <v>34</v>
      </c>
      <c r="P2479" s="43"/>
    </row>
    <row r="2480">
      <c r="A2480" s="44" t="s">
        <v>2494</v>
      </c>
      <c r="B2480" s="45" t="s">
        <v>45</v>
      </c>
      <c r="C2480" s="46" t="s">
        <v>2148</v>
      </c>
      <c r="D2480" s="47" t="str">
        <f t="shared" si="1"/>
        <v>Removed</v>
      </c>
      <c r="E2480" s="48">
        <v>41821.0</v>
      </c>
      <c r="F2480" s="49">
        <v>41855.0</v>
      </c>
      <c r="G2480" s="50">
        <f t="shared" si="2"/>
        <v>1.1</v>
      </c>
      <c r="H2480" s="51">
        <v>41688.0</v>
      </c>
      <c r="I2480" s="50">
        <f t="shared" si="4"/>
        <v>0.3694444444</v>
      </c>
      <c r="J2480" s="55">
        <v>78.0</v>
      </c>
      <c r="K2480" s="56">
        <v>7.6</v>
      </c>
      <c r="L2480" s="55">
        <v>5.0</v>
      </c>
      <c r="M2480" s="58" t="s">
        <v>27</v>
      </c>
      <c r="N2480" s="59"/>
      <c r="O2480" s="60" t="s">
        <v>34</v>
      </c>
      <c r="P2480" s="61"/>
    </row>
    <row r="2481">
      <c r="A2481" s="29" t="s">
        <v>1889</v>
      </c>
      <c r="B2481" s="30" t="s">
        <v>442</v>
      </c>
      <c r="C2481" s="31" t="s">
        <v>2148</v>
      </c>
      <c r="D2481" s="32" t="str">
        <f t="shared" si="1"/>
        <v>Removed</v>
      </c>
      <c r="E2481" s="33">
        <v>41821.0</v>
      </c>
      <c r="F2481" s="34">
        <v>41855.0</v>
      </c>
      <c r="G2481" s="36">
        <f t="shared" si="2"/>
        <v>1.1</v>
      </c>
      <c r="H2481" s="37">
        <v>41310.0</v>
      </c>
      <c r="I2481" s="36">
        <f t="shared" si="4"/>
        <v>1.405555556</v>
      </c>
      <c r="J2481" s="38">
        <v>78.0</v>
      </c>
      <c r="K2481" s="39">
        <v>6.6</v>
      </c>
      <c r="L2481" s="38">
        <v>13.0</v>
      </c>
      <c r="M2481" s="40" t="s">
        <v>537</v>
      </c>
      <c r="N2481" s="41"/>
      <c r="O2481" s="42" t="s">
        <v>34</v>
      </c>
      <c r="P2481" s="43"/>
    </row>
    <row r="2482">
      <c r="A2482" s="44" t="s">
        <v>1082</v>
      </c>
      <c r="B2482" s="45" t="s">
        <v>442</v>
      </c>
      <c r="C2482" s="46" t="s">
        <v>2148</v>
      </c>
      <c r="D2482" s="47" t="str">
        <f t="shared" si="1"/>
        <v>Removed</v>
      </c>
      <c r="E2482" s="48">
        <v>41821.0</v>
      </c>
      <c r="F2482" s="49">
        <v>41855.0</v>
      </c>
      <c r="G2482" s="50">
        <f t="shared" si="2"/>
        <v>1.1</v>
      </c>
      <c r="H2482" s="51">
        <v>40969.0</v>
      </c>
      <c r="I2482" s="50">
        <f t="shared" si="4"/>
        <v>2.333333333</v>
      </c>
      <c r="J2482" s="55">
        <v>79.0</v>
      </c>
      <c r="K2482" s="56">
        <v>7.4</v>
      </c>
      <c r="L2482" s="55">
        <v>6.0</v>
      </c>
      <c r="M2482" s="58" t="s">
        <v>27</v>
      </c>
      <c r="N2482" s="59"/>
      <c r="O2482" s="60" t="s">
        <v>34</v>
      </c>
      <c r="P2482" s="61"/>
    </row>
    <row r="2483">
      <c r="A2483" s="29" t="s">
        <v>2495</v>
      </c>
      <c r="B2483" s="30" t="s">
        <v>2264</v>
      </c>
      <c r="C2483" s="31" t="s">
        <v>2148</v>
      </c>
      <c r="D2483" s="32" t="str">
        <f t="shared" si="1"/>
        <v>Removed</v>
      </c>
      <c r="E2483" s="33">
        <v>41821.0</v>
      </c>
      <c r="F2483" s="34">
        <v>41855.0</v>
      </c>
      <c r="G2483" s="36">
        <f t="shared" si="2"/>
        <v>1.1</v>
      </c>
      <c r="H2483" s="37">
        <v>41450.0</v>
      </c>
      <c r="I2483" s="36">
        <f t="shared" si="4"/>
        <v>1.016666667</v>
      </c>
      <c r="J2483" s="38">
        <v>81.0</v>
      </c>
      <c r="K2483" s="39">
        <v>8.3</v>
      </c>
      <c r="L2483" s="38">
        <v>15.0</v>
      </c>
      <c r="M2483" s="40" t="s">
        <v>27</v>
      </c>
      <c r="N2483" s="41"/>
      <c r="O2483" s="42" t="s">
        <v>34</v>
      </c>
      <c r="P2483" s="43"/>
    </row>
    <row r="2484">
      <c r="A2484" s="44" t="s">
        <v>2496</v>
      </c>
      <c r="B2484" s="45" t="s">
        <v>2255</v>
      </c>
      <c r="C2484" s="46" t="s">
        <v>2148</v>
      </c>
      <c r="D2484" s="47" t="str">
        <f t="shared" si="1"/>
        <v>Removed</v>
      </c>
      <c r="E2484" s="48">
        <v>41814.0</v>
      </c>
      <c r="F2484" s="49">
        <v>41820.0</v>
      </c>
      <c r="G2484" s="50">
        <f t="shared" si="2"/>
        <v>0.2</v>
      </c>
      <c r="H2484" s="51">
        <v>41499.0</v>
      </c>
      <c r="I2484" s="50">
        <f t="shared" si="4"/>
        <v>0.8638888889</v>
      </c>
      <c r="J2484" s="55">
        <v>79.0</v>
      </c>
      <c r="K2484" s="56">
        <v>7.6</v>
      </c>
      <c r="L2484" s="55">
        <v>5.0</v>
      </c>
      <c r="M2484" s="58" t="s">
        <v>27</v>
      </c>
      <c r="N2484" s="59"/>
      <c r="O2484" s="60" t="s">
        <v>34</v>
      </c>
      <c r="P2484" s="61"/>
    </row>
    <row r="2485">
      <c r="A2485" s="29" t="s">
        <v>607</v>
      </c>
      <c r="B2485" s="30" t="s">
        <v>2264</v>
      </c>
      <c r="C2485" s="31" t="s">
        <v>2148</v>
      </c>
      <c r="D2485" s="32" t="str">
        <f t="shared" si="1"/>
        <v>Removed</v>
      </c>
      <c r="E2485" s="33">
        <v>41807.0</v>
      </c>
      <c r="F2485" s="34">
        <v>41813.0</v>
      </c>
      <c r="G2485" s="36">
        <f t="shared" si="2"/>
        <v>0.2</v>
      </c>
      <c r="H2485" s="37">
        <v>41359.0</v>
      </c>
      <c r="I2485" s="36">
        <f t="shared" si="4"/>
        <v>1.225</v>
      </c>
      <c r="J2485" s="38">
        <v>83.0</v>
      </c>
      <c r="K2485" s="39">
        <v>8.2</v>
      </c>
      <c r="L2485" s="38">
        <v>50.0</v>
      </c>
      <c r="M2485" s="40" t="s">
        <v>29</v>
      </c>
      <c r="N2485" s="41"/>
      <c r="O2485" s="42" t="s">
        <v>34</v>
      </c>
      <c r="P2485" s="43"/>
    </row>
    <row r="2486">
      <c r="A2486" s="44" t="s">
        <v>509</v>
      </c>
      <c r="B2486" s="45" t="s">
        <v>2255</v>
      </c>
      <c r="C2486" s="46" t="s">
        <v>2148</v>
      </c>
      <c r="D2486" s="47" t="str">
        <f t="shared" si="1"/>
        <v>Removed</v>
      </c>
      <c r="E2486" s="48">
        <v>41799.0</v>
      </c>
      <c r="F2486" s="49">
        <v>41806.0</v>
      </c>
      <c r="G2486" s="50">
        <f t="shared" si="2"/>
        <v>0.2333333333</v>
      </c>
      <c r="H2486" s="51">
        <v>41310.0</v>
      </c>
      <c r="I2486" s="50">
        <f t="shared" si="4"/>
        <v>1.344444444</v>
      </c>
      <c r="J2486" s="55">
        <v>75.0</v>
      </c>
      <c r="K2486" s="56">
        <v>8.0</v>
      </c>
      <c r="L2486" s="55">
        <v>13.0</v>
      </c>
      <c r="M2486" s="58" t="s">
        <v>27</v>
      </c>
      <c r="N2486" s="59"/>
      <c r="O2486" s="60" t="s">
        <v>34</v>
      </c>
      <c r="P2486" s="61"/>
    </row>
    <row r="2487">
      <c r="A2487" s="29" t="s">
        <v>1994</v>
      </c>
      <c r="B2487" s="30" t="s">
        <v>2257</v>
      </c>
      <c r="C2487" s="31" t="s">
        <v>2148</v>
      </c>
      <c r="D2487" s="32" t="str">
        <f t="shared" si="1"/>
        <v>Removed</v>
      </c>
      <c r="E2487" s="33">
        <v>41793.0</v>
      </c>
      <c r="F2487" s="34">
        <v>41798.0</v>
      </c>
      <c r="G2487" s="36">
        <f t="shared" si="2"/>
        <v>0.1666666667</v>
      </c>
      <c r="H2487" s="37">
        <v>41793.0</v>
      </c>
      <c r="I2487" s="36">
        <f t="shared" si="4"/>
        <v>0</v>
      </c>
      <c r="J2487" s="38">
        <v>84.0</v>
      </c>
      <c r="K2487" s="39">
        <v>7.5</v>
      </c>
      <c r="L2487" s="38">
        <v>7.0</v>
      </c>
      <c r="M2487" s="40" t="s">
        <v>31</v>
      </c>
      <c r="N2487" s="41"/>
      <c r="O2487" s="42" t="s">
        <v>34</v>
      </c>
      <c r="P2487" s="43"/>
    </row>
    <row r="2488">
      <c r="A2488" s="44" t="s">
        <v>2497</v>
      </c>
      <c r="B2488" s="45" t="s">
        <v>45</v>
      </c>
      <c r="C2488" s="46" t="s">
        <v>2148</v>
      </c>
      <c r="D2488" s="47" t="str">
        <f t="shared" si="1"/>
        <v>Removed</v>
      </c>
      <c r="E2488" s="48">
        <v>41793.0</v>
      </c>
      <c r="F2488" s="49">
        <v>41798.0</v>
      </c>
      <c r="G2488" s="50">
        <f t="shared" si="2"/>
        <v>0.1666666667</v>
      </c>
      <c r="H2488" s="51">
        <v>41625.0</v>
      </c>
      <c r="I2488" s="50">
        <f t="shared" si="4"/>
        <v>0.4611111111</v>
      </c>
      <c r="J2488" s="55">
        <v>85.0</v>
      </c>
      <c r="K2488" s="56">
        <v>8.2</v>
      </c>
      <c r="L2488" s="55">
        <v>10.0</v>
      </c>
      <c r="M2488" s="58" t="s">
        <v>27</v>
      </c>
      <c r="N2488" s="59"/>
      <c r="O2488" s="60" t="s">
        <v>34</v>
      </c>
      <c r="P2488" s="61"/>
    </row>
    <row r="2489">
      <c r="A2489" s="29" t="s">
        <v>2498</v>
      </c>
      <c r="B2489" s="30" t="s">
        <v>442</v>
      </c>
      <c r="C2489" s="31" t="s">
        <v>2148</v>
      </c>
      <c r="D2489" s="32" t="str">
        <f t="shared" si="1"/>
        <v>Removed</v>
      </c>
      <c r="E2489" s="33">
        <v>41793.0</v>
      </c>
      <c r="F2489" s="34">
        <v>41798.0</v>
      </c>
      <c r="G2489" s="36">
        <f t="shared" si="2"/>
        <v>0.1666666667</v>
      </c>
      <c r="H2489" s="37">
        <v>41548.0</v>
      </c>
      <c r="I2489" s="36">
        <f t="shared" si="4"/>
        <v>0.6722222222</v>
      </c>
      <c r="J2489" s="38">
        <v>85.0</v>
      </c>
      <c r="K2489" s="39">
        <v>7.1</v>
      </c>
      <c r="L2489" s="76"/>
      <c r="M2489" s="40" t="s">
        <v>125</v>
      </c>
      <c r="N2489" s="41"/>
      <c r="O2489" s="42" t="s">
        <v>34</v>
      </c>
      <c r="P2489" s="43"/>
    </row>
    <row r="2490">
      <c r="A2490" s="44" t="s">
        <v>1681</v>
      </c>
      <c r="B2490" s="45" t="s">
        <v>2264</v>
      </c>
      <c r="C2490" s="46" t="s">
        <v>2148</v>
      </c>
      <c r="D2490" s="47" t="str">
        <f t="shared" si="1"/>
        <v>Removed</v>
      </c>
      <c r="E2490" s="48">
        <v>41786.0</v>
      </c>
      <c r="F2490" s="49">
        <v>41792.0</v>
      </c>
      <c r="G2490" s="50">
        <f t="shared" si="2"/>
        <v>0.1666666667</v>
      </c>
      <c r="H2490" s="51">
        <v>40378.0</v>
      </c>
      <c r="I2490" s="50">
        <f t="shared" si="4"/>
        <v>3.855555556</v>
      </c>
      <c r="J2490" s="55">
        <v>90.0</v>
      </c>
      <c r="K2490" s="56">
        <v>8.2</v>
      </c>
      <c r="L2490" s="55">
        <v>4.0</v>
      </c>
      <c r="M2490" s="58" t="s">
        <v>27</v>
      </c>
      <c r="N2490" s="59"/>
      <c r="O2490" s="60" t="s">
        <v>34</v>
      </c>
      <c r="P2490" s="61"/>
    </row>
    <row r="2491">
      <c r="A2491" s="29" t="s">
        <v>877</v>
      </c>
      <c r="B2491" s="30" t="s">
        <v>442</v>
      </c>
      <c r="C2491" s="31" t="s">
        <v>2148</v>
      </c>
      <c r="D2491" s="32" t="str">
        <f t="shared" si="1"/>
        <v>Removed</v>
      </c>
      <c r="E2491" s="33">
        <v>41779.0</v>
      </c>
      <c r="F2491" s="34">
        <v>41785.0</v>
      </c>
      <c r="G2491" s="36">
        <f t="shared" si="2"/>
        <v>0.2</v>
      </c>
      <c r="H2491" s="37">
        <v>41527.0</v>
      </c>
      <c r="I2491" s="36">
        <f t="shared" si="4"/>
        <v>0.6944444444</v>
      </c>
      <c r="J2491" s="38">
        <v>80.0</v>
      </c>
      <c r="K2491" s="39">
        <v>8.2</v>
      </c>
      <c r="L2491" s="38">
        <v>8.0</v>
      </c>
      <c r="M2491" s="40" t="s">
        <v>27</v>
      </c>
      <c r="N2491" s="41"/>
      <c r="O2491" s="42" t="s">
        <v>34</v>
      </c>
      <c r="P2491" s="43"/>
    </row>
    <row r="2492">
      <c r="A2492" s="44" t="s">
        <v>2499</v>
      </c>
      <c r="B2492" s="45" t="s">
        <v>2264</v>
      </c>
      <c r="C2492" s="46" t="s">
        <v>2148</v>
      </c>
      <c r="D2492" s="47" t="str">
        <f t="shared" si="1"/>
        <v>Removed</v>
      </c>
      <c r="E2492" s="48">
        <v>41779.0</v>
      </c>
      <c r="F2492" s="49">
        <v>41785.0</v>
      </c>
      <c r="G2492" s="50">
        <f t="shared" si="2"/>
        <v>0.2</v>
      </c>
      <c r="H2492" s="51">
        <v>41674.0</v>
      </c>
      <c r="I2492" s="50">
        <f t="shared" si="4"/>
        <v>0.2944444444</v>
      </c>
      <c r="J2492" s="55">
        <v>64.0</v>
      </c>
      <c r="K2492" s="56">
        <v>6.8</v>
      </c>
      <c r="L2492" s="55">
        <v>4.0</v>
      </c>
      <c r="M2492" s="58" t="s">
        <v>136</v>
      </c>
      <c r="N2492" s="59"/>
      <c r="O2492" s="60" t="s">
        <v>34</v>
      </c>
      <c r="P2492" s="61"/>
    </row>
    <row r="2493">
      <c r="A2493" s="29" t="s">
        <v>1064</v>
      </c>
      <c r="B2493" s="30" t="s">
        <v>442</v>
      </c>
      <c r="C2493" s="31" t="s">
        <v>2148</v>
      </c>
      <c r="D2493" s="32" t="str">
        <f t="shared" si="1"/>
        <v>Removed</v>
      </c>
      <c r="E2493" s="33">
        <v>41772.0</v>
      </c>
      <c r="F2493" s="34">
        <v>41778.0</v>
      </c>
      <c r="G2493" s="36">
        <f t="shared" si="2"/>
        <v>0.2</v>
      </c>
      <c r="H2493" s="37">
        <v>41681.0</v>
      </c>
      <c r="I2493" s="36">
        <f t="shared" si="4"/>
        <v>0.2555555556</v>
      </c>
      <c r="J2493" s="38">
        <v>80.0</v>
      </c>
      <c r="K2493" s="39">
        <v>7.7</v>
      </c>
      <c r="L2493" s="76"/>
      <c r="M2493" s="40" t="s">
        <v>114</v>
      </c>
      <c r="N2493" s="41"/>
      <c r="O2493" s="42" t="s">
        <v>34</v>
      </c>
      <c r="P2493" s="43"/>
    </row>
    <row r="2494">
      <c r="A2494" s="44" t="s">
        <v>2500</v>
      </c>
      <c r="B2494" s="45" t="s">
        <v>45</v>
      </c>
      <c r="C2494" s="46" t="s">
        <v>2148</v>
      </c>
      <c r="D2494" s="47" t="str">
        <f t="shared" si="1"/>
        <v>Removed</v>
      </c>
      <c r="E2494" s="48">
        <v>41765.0</v>
      </c>
      <c r="F2494" s="49">
        <v>41771.0</v>
      </c>
      <c r="G2494" s="50">
        <f t="shared" si="2"/>
        <v>0.2</v>
      </c>
      <c r="H2494" s="51">
        <v>41597.0</v>
      </c>
      <c r="I2494" s="50">
        <f t="shared" si="4"/>
        <v>0.4638888889</v>
      </c>
      <c r="J2494" s="55">
        <v>82.0</v>
      </c>
      <c r="K2494" s="56">
        <v>7.8</v>
      </c>
      <c r="L2494" s="55">
        <v>5.0</v>
      </c>
      <c r="M2494" s="58" t="s">
        <v>27</v>
      </c>
      <c r="N2494" s="59"/>
      <c r="O2494" s="60" t="s">
        <v>34</v>
      </c>
      <c r="P2494" s="61"/>
    </row>
    <row r="2495">
      <c r="A2495" s="29" t="s">
        <v>2501</v>
      </c>
      <c r="B2495" s="30" t="s">
        <v>442</v>
      </c>
      <c r="C2495" s="31" t="s">
        <v>2148</v>
      </c>
      <c r="D2495" s="32" t="str">
        <f t="shared" si="1"/>
        <v>Removed</v>
      </c>
      <c r="E2495" s="33">
        <v>41765.0</v>
      </c>
      <c r="F2495" s="34">
        <v>41771.0</v>
      </c>
      <c r="G2495" s="36">
        <f t="shared" si="2"/>
        <v>0.2</v>
      </c>
      <c r="H2495" s="37">
        <v>41541.0</v>
      </c>
      <c r="I2495" s="36">
        <f t="shared" si="4"/>
        <v>0.6166666667</v>
      </c>
      <c r="J2495" s="38">
        <v>82.0</v>
      </c>
      <c r="K2495" s="39">
        <v>7.1</v>
      </c>
      <c r="L2495" s="76"/>
      <c r="M2495" s="40" t="s">
        <v>125</v>
      </c>
      <c r="N2495" s="41"/>
      <c r="O2495" s="42" t="s">
        <v>34</v>
      </c>
      <c r="P2495" s="43"/>
    </row>
    <row r="2496">
      <c r="A2496" s="44" t="s">
        <v>686</v>
      </c>
      <c r="B2496" s="45" t="s">
        <v>2264</v>
      </c>
      <c r="C2496" s="46" t="s">
        <v>2148</v>
      </c>
      <c r="D2496" s="47" t="str">
        <f t="shared" si="1"/>
        <v>Removed</v>
      </c>
      <c r="E2496" s="48">
        <v>41758.0</v>
      </c>
      <c r="F2496" s="49">
        <v>41764.0</v>
      </c>
      <c r="G2496" s="50">
        <f t="shared" si="2"/>
        <v>0.2</v>
      </c>
      <c r="H2496" s="51">
        <v>41485.0</v>
      </c>
      <c r="I2496" s="50">
        <f t="shared" si="4"/>
        <v>0.7472222222</v>
      </c>
      <c r="J2496" s="55">
        <v>87.0</v>
      </c>
      <c r="K2496" s="56">
        <v>8.1</v>
      </c>
      <c r="L2496" s="55">
        <v>5.0</v>
      </c>
      <c r="M2496" s="58" t="s">
        <v>31</v>
      </c>
      <c r="N2496" s="59"/>
      <c r="O2496" s="60" t="s">
        <v>34</v>
      </c>
      <c r="P2496" s="61"/>
    </row>
    <row r="2497">
      <c r="A2497" s="29" t="s">
        <v>2502</v>
      </c>
      <c r="B2497" s="30" t="s">
        <v>2264</v>
      </c>
      <c r="C2497" s="31" t="s">
        <v>2148</v>
      </c>
      <c r="D2497" s="32" t="str">
        <f t="shared" si="1"/>
        <v>Removed</v>
      </c>
      <c r="E2497" s="33">
        <v>41751.0</v>
      </c>
      <c r="F2497" s="34">
        <v>41757.0</v>
      </c>
      <c r="G2497" s="36">
        <f t="shared" si="2"/>
        <v>0.2</v>
      </c>
      <c r="H2497" s="37">
        <v>41485.0</v>
      </c>
      <c r="I2497" s="36">
        <f t="shared" si="4"/>
        <v>0.7277777778</v>
      </c>
      <c r="J2497" s="38">
        <v>84.0</v>
      </c>
      <c r="K2497" s="39">
        <v>7.7</v>
      </c>
      <c r="L2497" s="38">
        <v>15.0</v>
      </c>
      <c r="M2497" s="40" t="s">
        <v>2503</v>
      </c>
      <c r="N2497" s="41"/>
      <c r="O2497" s="42" t="s">
        <v>34</v>
      </c>
      <c r="P2497" s="43"/>
    </row>
    <row r="2498">
      <c r="A2498" s="44" t="s">
        <v>2504</v>
      </c>
      <c r="B2498" s="45" t="s">
        <v>442</v>
      </c>
      <c r="C2498" s="46" t="s">
        <v>2148</v>
      </c>
      <c r="D2498" s="47" t="str">
        <f t="shared" si="1"/>
        <v>Removed</v>
      </c>
      <c r="E2498" s="48">
        <v>41744.0</v>
      </c>
      <c r="F2498" s="49">
        <v>41750.0</v>
      </c>
      <c r="G2498" s="50">
        <f t="shared" si="2"/>
        <v>0.2</v>
      </c>
      <c r="H2498" s="51">
        <v>41506.0</v>
      </c>
      <c r="I2498" s="50">
        <f t="shared" si="4"/>
        <v>0.6527777778</v>
      </c>
      <c r="J2498" s="55">
        <v>67.0</v>
      </c>
      <c r="K2498" s="56">
        <v>7.5</v>
      </c>
      <c r="L2498" s="55">
        <v>3.0</v>
      </c>
      <c r="M2498" s="58" t="s">
        <v>27</v>
      </c>
      <c r="N2498" s="59"/>
      <c r="O2498" s="60" t="s">
        <v>34</v>
      </c>
      <c r="P2498" s="61"/>
    </row>
    <row r="2499">
      <c r="A2499" s="29" t="s">
        <v>2505</v>
      </c>
      <c r="B2499" s="30" t="s">
        <v>2255</v>
      </c>
      <c r="C2499" s="31" t="s">
        <v>2148</v>
      </c>
      <c r="D2499" s="32" t="str">
        <f t="shared" si="1"/>
        <v>Removed</v>
      </c>
      <c r="E2499" s="33">
        <v>41737.0</v>
      </c>
      <c r="F2499" s="34">
        <v>41743.0</v>
      </c>
      <c r="G2499" s="36">
        <f t="shared" si="2"/>
        <v>0.2</v>
      </c>
      <c r="H2499" s="37">
        <v>41478.0</v>
      </c>
      <c r="I2499" s="36">
        <f t="shared" si="4"/>
        <v>0.7083333333</v>
      </c>
      <c r="J2499" s="38">
        <v>78.0</v>
      </c>
      <c r="K2499" s="39">
        <v>7.3</v>
      </c>
      <c r="L2499" s="38">
        <v>5.0</v>
      </c>
      <c r="M2499" s="40" t="s">
        <v>27</v>
      </c>
      <c r="N2499" s="41"/>
      <c r="O2499" s="42" t="s">
        <v>34</v>
      </c>
      <c r="P2499" s="43"/>
    </row>
    <row r="2500">
      <c r="A2500" s="44" t="s">
        <v>2506</v>
      </c>
      <c r="B2500" s="45" t="s">
        <v>45</v>
      </c>
      <c r="C2500" s="46" t="s">
        <v>2148</v>
      </c>
      <c r="D2500" s="47" t="str">
        <f t="shared" si="1"/>
        <v>Removed</v>
      </c>
      <c r="E2500" s="48">
        <v>41730.0</v>
      </c>
      <c r="F2500" s="49">
        <v>41736.0</v>
      </c>
      <c r="G2500" s="50">
        <f t="shared" si="2"/>
        <v>0.2</v>
      </c>
      <c r="H2500" s="51">
        <v>41730.0</v>
      </c>
      <c r="I2500" s="50">
        <f t="shared" si="4"/>
        <v>0</v>
      </c>
      <c r="J2500" s="55">
        <v>68.0</v>
      </c>
      <c r="K2500" s="56">
        <v>7.1</v>
      </c>
      <c r="L2500" s="55">
        <v>8.0</v>
      </c>
      <c r="M2500" s="58" t="s">
        <v>31</v>
      </c>
      <c r="N2500" s="59"/>
      <c r="O2500" s="60" t="s">
        <v>34</v>
      </c>
      <c r="P2500" s="61"/>
    </row>
    <row r="2501">
      <c r="A2501" s="29" t="s">
        <v>2507</v>
      </c>
      <c r="B2501" s="30" t="s">
        <v>442</v>
      </c>
      <c r="C2501" s="31" t="s">
        <v>2148</v>
      </c>
      <c r="D2501" s="32" t="str">
        <f t="shared" si="1"/>
        <v>Removed</v>
      </c>
      <c r="E2501" s="33">
        <v>41730.0</v>
      </c>
      <c r="F2501" s="34">
        <v>41736.0</v>
      </c>
      <c r="G2501" s="36">
        <f t="shared" si="2"/>
        <v>0.2</v>
      </c>
      <c r="H2501" s="37">
        <v>40834.0</v>
      </c>
      <c r="I2501" s="36">
        <f t="shared" si="4"/>
        <v>2.452777778</v>
      </c>
      <c r="J2501" s="38">
        <v>94.0</v>
      </c>
      <c r="K2501" s="39">
        <v>8.8</v>
      </c>
      <c r="L2501" s="38">
        <v>12.0</v>
      </c>
      <c r="M2501" s="40" t="s">
        <v>29</v>
      </c>
      <c r="N2501" s="41"/>
      <c r="O2501" s="42" t="s">
        <v>34</v>
      </c>
      <c r="P2501" s="43"/>
    </row>
    <row r="2502">
      <c r="A2502" s="44" t="s">
        <v>2508</v>
      </c>
      <c r="B2502" s="45" t="s">
        <v>115</v>
      </c>
      <c r="C2502" s="46" t="s">
        <v>2148</v>
      </c>
      <c r="D2502" s="47" t="str">
        <f t="shared" si="1"/>
        <v>Removed</v>
      </c>
      <c r="E2502" s="48">
        <v>41723.0</v>
      </c>
      <c r="F2502" s="49">
        <v>41729.0</v>
      </c>
      <c r="G2502" s="50">
        <f t="shared" si="2"/>
        <v>0.1666666667</v>
      </c>
      <c r="H2502" s="51">
        <v>39986.0</v>
      </c>
      <c r="I2502" s="50">
        <f t="shared" si="4"/>
        <v>4.758333333</v>
      </c>
      <c r="J2502" s="55">
        <v>81.0</v>
      </c>
      <c r="K2502" s="56">
        <v>8.5</v>
      </c>
      <c r="L2502" s="55">
        <v>45.0</v>
      </c>
      <c r="M2502" s="58" t="s">
        <v>42</v>
      </c>
      <c r="N2502" s="59"/>
      <c r="O2502" s="60" t="s">
        <v>34</v>
      </c>
      <c r="P2502" s="61"/>
    </row>
    <row r="2503">
      <c r="A2503" s="29" t="s">
        <v>1637</v>
      </c>
      <c r="B2503" s="30" t="s">
        <v>2278</v>
      </c>
      <c r="C2503" s="31" t="s">
        <v>2148</v>
      </c>
      <c r="D2503" s="32" t="str">
        <f t="shared" si="1"/>
        <v>Removed</v>
      </c>
      <c r="E2503" s="33">
        <v>41716.0</v>
      </c>
      <c r="F2503" s="34">
        <v>41722.0</v>
      </c>
      <c r="G2503" s="36">
        <f t="shared" si="2"/>
        <v>0.2</v>
      </c>
      <c r="H2503" s="37">
        <v>41387.0</v>
      </c>
      <c r="I2503" s="36">
        <f t="shared" si="4"/>
        <v>0.9027777778</v>
      </c>
      <c r="J2503" s="38">
        <v>75.0</v>
      </c>
      <c r="K2503" s="39">
        <v>7.7</v>
      </c>
      <c r="L2503" s="38">
        <v>3.0</v>
      </c>
      <c r="M2503" s="40" t="s">
        <v>27</v>
      </c>
      <c r="N2503" s="41"/>
      <c r="O2503" s="42" t="s">
        <v>34</v>
      </c>
      <c r="P2503" s="43"/>
    </row>
    <row r="2504">
      <c r="A2504" s="44" t="s">
        <v>2509</v>
      </c>
      <c r="B2504" s="45" t="s">
        <v>2264</v>
      </c>
      <c r="C2504" s="46" t="s">
        <v>2148</v>
      </c>
      <c r="D2504" s="47" t="str">
        <f t="shared" si="1"/>
        <v>Removed</v>
      </c>
      <c r="E2504" s="48">
        <v>41716.0</v>
      </c>
      <c r="F2504" s="49">
        <v>41722.0</v>
      </c>
      <c r="G2504" s="50">
        <f t="shared" si="2"/>
        <v>0.2</v>
      </c>
      <c r="H2504" s="51">
        <v>40974.0</v>
      </c>
      <c r="I2504" s="50">
        <f t="shared" si="4"/>
        <v>2.033333333</v>
      </c>
      <c r="J2504" s="55">
        <v>80.0</v>
      </c>
      <c r="K2504" s="56">
        <v>7.7</v>
      </c>
      <c r="L2504" s="55">
        <v>7.0</v>
      </c>
      <c r="M2504" s="58" t="s">
        <v>31</v>
      </c>
      <c r="N2504" s="59"/>
      <c r="O2504" s="60" t="s">
        <v>34</v>
      </c>
      <c r="P2504" s="61"/>
    </row>
    <row r="2505">
      <c r="A2505" s="29" t="s">
        <v>2510</v>
      </c>
      <c r="B2505" s="30" t="s">
        <v>2255</v>
      </c>
      <c r="C2505" s="31" t="s">
        <v>2148</v>
      </c>
      <c r="D2505" s="32" t="str">
        <f t="shared" si="1"/>
        <v>Removed</v>
      </c>
      <c r="E2505" s="33">
        <v>41709.0</v>
      </c>
      <c r="F2505" s="34">
        <v>41715.0</v>
      </c>
      <c r="G2505" s="36">
        <f t="shared" si="2"/>
        <v>0.2</v>
      </c>
      <c r="H2505" s="37">
        <v>41534.0</v>
      </c>
      <c r="I2505" s="36">
        <f t="shared" si="4"/>
        <v>0.4833333333</v>
      </c>
      <c r="J2505" s="38">
        <v>76.0</v>
      </c>
      <c r="K2505" s="39">
        <v>7.4</v>
      </c>
      <c r="L2505" s="38">
        <v>5.0</v>
      </c>
      <c r="M2505" s="40" t="s">
        <v>537</v>
      </c>
      <c r="N2505" s="41"/>
      <c r="O2505" s="42" t="s">
        <v>34</v>
      </c>
      <c r="P2505" s="43"/>
    </row>
    <row r="2506">
      <c r="A2506" s="44" t="s">
        <v>1839</v>
      </c>
      <c r="B2506" s="45" t="s">
        <v>45</v>
      </c>
      <c r="C2506" s="46" t="s">
        <v>2148</v>
      </c>
      <c r="D2506" s="47" t="str">
        <f t="shared" si="1"/>
        <v>Removed</v>
      </c>
      <c r="E2506" s="48">
        <v>41702.0</v>
      </c>
      <c r="F2506" s="49">
        <v>41708.0</v>
      </c>
      <c r="G2506" s="50">
        <f t="shared" si="2"/>
        <v>0.2</v>
      </c>
      <c r="H2506" s="51">
        <v>41702.0</v>
      </c>
      <c r="I2506" s="50">
        <f t="shared" si="4"/>
        <v>0</v>
      </c>
      <c r="J2506" s="55">
        <v>74.0</v>
      </c>
      <c r="K2506" s="56">
        <v>7.2</v>
      </c>
      <c r="L2506" s="55">
        <v>7.0</v>
      </c>
      <c r="M2506" s="58" t="s">
        <v>31</v>
      </c>
      <c r="N2506" s="59"/>
      <c r="O2506" s="60" t="s">
        <v>34</v>
      </c>
      <c r="P2506" s="61"/>
    </row>
    <row r="2507">
      <c r="A2507" s="29" t="s">
        <v>2511</v>
      </c>
      <c r="B2507" s="30" t="s">
        <v>442</v>
      </c>
      <c r="C2507" s="31" t="s">
        <v>2148</v>
      </c>
      <c r="D2507" s="32" t="str">
        <f t="shared" si="1"/>
        <v>Removed</v>
      </c>
      <c r="E2507" s="33">
        <v>41702.0</v>
      </c>
      <c r="F2507" s="34">
        <v>41708.0</v>
      </c>
      <c r="G2507" s="36">
        <f t="shared" si="2"/>
        <v>0.2</v>
      </c>
      <c r="H2507" s="37">
        <v>41338.0</v>
      </c>
      <c r="I2507" s="36">
        <f t="shared" si="4"/>
        <v>0.9972222222</v>
      </c>
      <c r="J2507" s="38">
        <v>86.0</v>
      </c>
      <c r="K2507" s="39">
        <v>8.2</v>
      </c>
      <c r="L2507" s="38">
        <v>12.0</v>
      </c>
      <c r="M2507" s="40" t="s">
        <v>29</v>
      </c>
      <c r="N2507" s="41"/>
      <c r="O2507" s="42" t="s">
        <v>34</v>
      </c>
      <c r="P2507" s="43"/>
    </row>
    <row r="2508">
      <c r="A2508" s="44" t="s">
        <v>2512</v>
      </c>
      <c r="B2508" s="45" t="s">
        <v>2264</v>
      </c>
      <c r="C2508" s="46" t="s">
        <v>2148</v>
      </c>
      <c r="D2508" s="47" t="str">
        <f t="shared" si="1"/>
        <v>Removed</v>
      </c>
      <c r="E2508" s="48">
        <v>41695.0</v>
      </c>
      <c r="F2508" s="49">
        <v>41701.0</v>
      </c>
      <c r="G2508" s="50">
        <f t="shared" si="2"/>
        <v>0.2666666667</v>
      </c>
      <c r="H2508" s="51">
        <v>40946.0</v>
      </c>
      <c r="I2508" s="50">
        <f t="shared" si="4"/>
        <v>2.05</v>
      </c>
      <c r="J2508" s="55">
        <v>62.0</v>
      </c>
      <c r="K2508" s="56">
        <v>6.2</v>
      </c>
      <c r="L2508" s="55">
        <v>12.0</v>
      </c>
      <c r="M2508" s="58" t="s">
        <v>95</v>
      </c>
      <c r="N2508" s="59"/>
      <c r="O2508" s="60" t="s">
        <v>34</v>
      </c>
      <c r="P2508" s="61"/>
    </row>
    <row r="2509">
      <c r="A2509" s="29" t="s">
        <v>2513</v>
      </c>
      <c r="B2509" s="30" t="s">
        <v>442</v>
      </c>
      <c r="C2509" s="31" t="s">
        <v>2148</v>
      </c>
      <c r="D2509" s="32" t="str">
        <f t="shared" si="1"/>
        <v>Removed</v>
      </c>
      <c r="E2509" s="33">
        <v>41688.0</v>
      </c>
      <c r="F2509" s="34">
        <v>41694.0</v>
      </c>
      <c r="G2509" s="36">
        <f t="shared" si="2"/>
        <v>0.2</v>
      </c>
      <c r="H2509" s="37">
        <v>41429.0</v>
      </c>
      <c r="I2509" s="36">
        <f t="shared" si="4"/>
        <v>0.7055555556</v>
      </c>
      <c r="J2509" s="38">
        <v>70.0</v>
      </c>
      <c r="K2509" s="39">
        <v>7.5</v>
      </c>
      <c r="L2509" s="38">
        <v>12.0</v>
      </c>
      <c r="M2509" s="40" t="s">
        <v>29</v>
      </c>
      <c r="N2509" s="41"/>
      <c r="O2509" s="42" t="s">
        <v>34</v>
      </c>
      <c r="P2509" s="43"/>
    </row>
    <row r="2510">
      <c r="A2510" s="44" t="s">
        <v>2514</v>
      </c>
      <c r="B2510" s="45" t="s">
        <v>2264</v>
      </c>
      <c r="C2510" s="46" t="s">
        <v>2148</v>
      </c>
      <c r="D2510" s="47" t="str">
        <f t="shared" si="1"/>
        <v>Removed</v>
      </c>
      <c r="E2510" s="48">
        <v>41688.0</v>
      </c>
      <c r="F2510" s="49">
        <v>41694.0</v>
      </c>
      <c r="G2510" s="50">
        <f t="shared" si="2"/>
        <v>0.2</v>
      </c>
      <c r="H2510" s="51">
        <v>40974.0</v>
      </c>
      <c r="I2510" s="50">
        <f t="shared" si="4"/>
        <v>1.95</v>
      </c>
      <c r="J2510" s="55">
        <v>84.0</v>
      </c>
      <c r="K2510" s="56">
        <v>5.8</v>
      </c>
      <c r="L2510" s="78"/>
      <c r="M2510" s="58" t="s">
        <v>114</v>
      </c>
      <c r="N2510" s="59"/>
      <c r="O2510" s="60" t="s">
        <v>34</v>
      </c>
      <c r="P2510" s="61"/>
    </row>
    <row r="2511">
      <c r="A2511" s="29" t="s">
        <v>2049</v>
      </c>
      <c r="B2511" s="30" t="s">
        <v>442</v>
      </c>
      <c r="C2511" s="31" t="s">
        <v>2148</v>
      </c>
      <c r="D2511" s="32" t="str">
        <f t="shared" si="1"/>
        <v>Removed</v>
      </c>
      <c r="E2511" s="33">
        <v>41681.0</v>
      </c>
      <c r="F2511" s="34">
        <v>41687.0</v>
      </c>
      <c r="G2511" s="36">
        <f t="shared" si="2"/>
        <v>0.2</v>
      </c>
      <c r="H2511" s="37">
        <v>41499.0</v>
      </c>
      <c r="I2511" s="36">
        <f t="shared" si="4"/>
        <v>0.4944444444</v>
      </c>
      <c r="J2511" s="38">
        <v>79.0</v>
      </c>
      <c r="K2511" s="39">
        <v>7.6</v>
      </c>
      <c r="L2511" s="38">
        <v>17.0</v>
      </c>
      <c r="M2511" s="40" t="s">
        <v>31</v>
      </c>
      <c r="N2511" s="41"/>
      <c r="O2511" s="42" t="s">
        <v>34</v>
      </c>
      <c r="P2511" s="43"/>
    </row>
    <row r="2512">
      <c r="A2512" s="44" t="s">
        <v>2515</v>
      </c>
      <c r="B2512" s="45" t="s">
        <v>45</v>
      </c>
      <c r="C2512" s="46" t="s">
        <v>2148</v>
      </c>
      <c r="D2512" s="47" t="str">
        <f t="shared" si="1"/>
        <v>Removed</v>
      </c>
      <c r="E2512" s="48">
        <v>41674.0</v>
      </c>
      <c r="F2512" s="49">
        <v>41680.0</v>
      </c>
      <c r="G2512" s="50">
        <f t="shared" si="2"/>
        <v>0.2</v>
      </c>
      <c r="H2512" s="51">
        <v>41674.0</v>
      </c>
      <c r="I2512" s="50">
        <f t="shared" si="4"/>
        <v>0</v>
      </c>
      <c r="J2512" s="55">
        <v>78.0</v>
      </c>
      <c r="K2512" s="56">
        <v>7.7</v>
      </c>
      <c r="L2512" s="55">
        <v>5.0</v>
      </c>
      <c r="M2512" s="58" t="s">
        <v>537</v>
      </c>
      <c r="N2512" s="59"/>
      <c r="O2512" s="60" t="s">
        <v>34</v>
      </c>
      <c r="P2512" s="61"/>
    </row>
    <row r="2513">
      <c r="A2513" s="29" t="s">
        <v>2516</v>
      </c>
      <c r="B2513" s="30" t="s">
        <v>442</v>
      </c>
      <c r="C2513" s="31" t="s">
        <v>2148</v>
      </c>
      <c r="D2513" s="32" t="str">
        <f t="shared" si="1"/>
        <v>Removed</v>
      </c>
      <c r="E2513" s="33">
        <v>41674.0</v>
      </c>
      <c r="F2513" s="34">
        <v>41680.0</v>
      </c>
      <c r="G2513" s="36">
        <f t="shared" si="2"/>
        <v>0.2</v>
      </c>
      <c r="H2513" s="37">
        <v>41408.0</v>
      </c>
      <c r="I2513" s="36">
        <f t="shared" si="4"/>
        <v>0.7222222222</v>
      </c>
      <c r="J2513" s="38">
        <v>81.0</v>
      </c>
      <c r="K2513" s="39">
        <v>8.1</v>
      </c>
      <c r="L2513" s="38">
        <v>10.0</v>
      </c>
      <c r="M2513" s="40" t="s">
        <v>31</v>
      </c>
      <c r="N2513" s="41"/>
      <c r="O2513" s="42" t="s">
        <v>34</v>
      </c>
      <c r="P2513" s="43"/>
    </row>
    <row r="2514">
      <c r="A2514" s="44" t="s">
        <v>2517</v>
      </c>
      <c r="B2514" s="45" t="s">
        <v>2264</v>
      </c>
      <c r="C2514" s="46" t="s">
        <v>2148</v>
      </c>
      <c r="D2514" s="47" t="str">
        <f t="shared" si="1"/>
        <v>Removed</v>
      </c>
      <c r="E2514" s="48">
        <v>41667.0</v>
      </c>
      <c r="F2514" s="49">
        <v>41673.0</v>
      </c>
      <c r="G2514" s="50">
        <f t="shared" si="2"/>
        <v>0.1666666667</v>
      </c>
      <c r="H2514" s="51">
        <v>41233.0</v>
      </c>
      <c r="I2514" s="50">
        <f t="shared" si="4"/>
        <v>1.188888889</v>
      </c>
      <c r="J2514" s="55">
        <v>69.0</v>
      </c>
      <c r="K2514" s="56">
        <v>6.8</v>
      </c>
      <c r="L2514" s="55">
        <v>5.0</v>
      </c>
      <c r="M2514" s="58" t="s">
        <v>136</v>
      </c>
      <c r="N2514" s="59"/>
      <c r="O2514" s="60" t="s">
        <v>34</v>
      </c>
      <c r="P2514" s="61"/>
    </row>
    <row r="2515">
      <c r="A2515" s="29" t="s">
        <v>2518</v>
      </c>
      <c r="B2515" s="30" t="s">
        <v>115</v>
      </c>
      <c r="C2515" s="31" t="s">
        <v>2148</v>
      </c>
      <c r="D2515" s="32" t="str">
        <f t="shared" si="1"/>
        <v>Removed</v>
      </c>
      <c r="E2515" s="33">
        <v>41660.0</v>
      </c>
      <c r="F2515" s="34">
        <v>41666.0</v>
      </c>
      <c r="G2515" s="36">
        <f t="shared" si="2"/>
        <v>0.2</v>
      </c>
      <c r="H2515" s="37">
        <v>40512.0</v>
      </c>
      <c r="I2515" s="36">
        <f t="shared" si="4"/>
        <v>3.141666667</v>
      </c>
      <c r="J2515" s="38">
        <v>62.0</v>
      </c>
      <c r="K2515" s="39">
        <v>6.4</v>
      </c>
      <c r="L2515" s="76"/>
      <c r="M2515" s="40" t="s">
        <v>103</v>
      </c>
      <c r="N2515" s="41"/>
      <c r="O2515" s="42" t="s">
        <v>34</v>
      </c>
      <c r="P2515" s="43"/>
    </row>
    <row r="2516">
      <c r="A2516" s="44" t="s">
        <v>1559</v>
      </c>
      <c r="B2516" s="45" t="s">
        <v>442</v>
      </c>
      <c r="C2516" s="46" t="s">
        <v>2148</v>
      </c>
      <c r="D2516" s="47" t="str">
        <f t="shared" si="1"/>
        <v>Removed</v>
      </c>
      <c r="E2516" s="48">
        <v>41660.0</v>
      </c>
      <c r="F2516" s="49">
        <v>41666.0</v>
      </c>
      <c r="G2516" s="50">
        <f t="shared" si="2"/>
        <v>0.2</v>
      </c>
      <c r="H2516" s="51">
        <v>41493.0</v>
      </c>
      <c r="I2516" s="50">
        <f t="shared" si="4"/>
        <v>0.4555555556</v>
      </c>
      <c r="J2516" s="55">
        <v>90.0</v>
      </c>
      <c r="K2516" s="56">
        <v>8.5</v>
      </c>
      <c r="L2516" s="55">
        <v>3.0</v>
      </c>
      <c r="M2516" s="58" t="s">
        <v>112</v>
      </c>
      <c r="N2516" s="59"/>
      <c r="O2516" s="60" t="s">
        <v>34</v>
      </c>
      <c r="P2516" s="61"/>
    </row>
    <row r="2517">
      <c r="A2517" s="29" t="s">
        <v>2519</v>
      </c>
      <c r="B2517" s="30" t="s">
        <v>442</v>
      </c>
      <c r="C2517" s="31" t="s">
        <v>2148</v>
      </c>
      <c r="D2517" s="32" t="str">
        <f t="shared" si="1"/>
        <v>Removed</v>
      </c>
      <c r="E2517" s="33">
        <v>41653.0</v>
      </c>
      <c r="F2517" s="34">
        <v>41659.0</v>
      </c>
      <c r="G2517" s="36">
        <f t="shared" si="2"/>
        <v>0.2</v>
      </c>
      <c r="H2517" s="37">
        <v>41359.0</v>
      </c>
      <c r="I2517" s="36">
        <f t="shared" si="4"/>
        <v>0.8</v>
      </c>
      <c r="J2517" s="38">
        <v>94.0</v>
      </c>
      <c r="K2517" s="39">
        <v>8.5</v>
      </c>
      <c r="L2517" s="38">
        <v>11.0</v>
      </c>
      <c r="M2517" s="40" t="s">
        <v>31</v>
      </c>
      <c r="N2517" s="41"/>
      <c r="O2517" s="42" t="s">
        <v>34</v>
      </c>
      <c r="P2517" s="43"/>
    </row>
    <row r="2518">
      <c r="A2518" s="44" t="s">
        <v>2520</v>
      </c>
      <c r="B2518" s="45" t="s">
        <v>442</v>
      </c>
      <c r="C2518" s="46" t="s">
        <v>2148</v>
      </c>
      <c r="D2518" s="47" t="str">
        <f t="shared" si="1"/>
        <v>Removed</v>
      </c>
      <c r="E2518" s="48">
        <v>41646.0</v>
      </c>
      <c r="F2518" s="49">
        <v>41652.0</v>
      </c>
      <c r="G2518" s="50">
        <f t="shared" si="2"/>
        <v>0.2</v>
      </c>
      <c r="H2518" s="51">
        <v>41289.0</v>
      </c>
      <c r="I2518" s="50">
        <f t="shared" si="4"/>
        <v>0.9777777778</v>
      </c>
      <c r="J2518" s="55">
        <v>85.0</v>
      </c>
      <c r="K2518" s="56">
        <v>8.1</v>
      </c>
      <c r="L2518" s="55">
        <v>9.0</v>
      </c>
      <c r="M2518" s="58" t="s">
        <v>29</v>
      </c>
      <c r="N2518" s="59"/>
      <c r="O2518" s="60" t="s">
        <v>34</v>
      </c>
      <c r="P2518" s="61"/>
    </row>
    <row r="2519">
      <c r="A2519" s="29" t="s">
        <v>2521</v>
      </c>
      <c r="B2519" s="30" t="s">
        <v>45</v>
      </c>
      <c r="C2519" s="31" t="s">
        <v>2148</v>
      </c>
      <c r="D2519" s="32" t="str">
        <f t="shared" si="1"/>
        <v>Removed</v>
      </c>
      <c r="E2519" s="33">
        <v>41646.0</v>
      </c>
      <c r="F2519" s="34">
        <v>41652.0</v>
      </c>
      <c r="G2519" s="36">
        <f t="shared" si="2"/>
        <v>0.2</v>
      </c>
      <c r="H2519" s="37">
        <v>41646.0</v>
      </c>
      <c r="I2519" s="36">
        <f t="shared" si="4"/>
        <v>0</v>
      </c>
      <c r="J2519" s="38">
        <v>79.0</v>
      </c>
      <c r="K2519" s="39">
        <v>8.2</v>
      </c>
      <c r="L2519" s="38">
        <v>16.0</v>
      </c>
      <c r="M2519" s="40" t="s">
        <v>36</v>
      </c>
      <c r="N2519" s="41"/>
      <c r="O2519" s="42" t="s">
        <v>34</v>
      </c>
      <c r="P2519" s="43"/>
    </row>
    <row r="2520">
      <c r="A2520" s="44" t="s">
        <v>685</v>
      </c>
      <c r="B2520" s="45" t="s">
        <v>2264</v>
      </c>
      <c r="C2520" s="46" t="s">
        <v>2148</v>
      </c>
      <c r="D2520" s="47" t="str">
        <f t="shared" si="1"/>
        <v>Removed</v>
      </c>
      <c r="E2520" s="48">
        <v>41611.0</v>
      </c>
      <c r="F2520" s="49">
        <v>41645.0</v>
      </c>
      <c r="G2520" s="50">
        <f t="shared" si="2"/>
        <v>1.1</v>
      </c>
      <c r="H2520" s="51">
        <v>41324.0</v>
      </c>
      <c r="I2520" s="50">
        <f t="shared" si="4"/>
        <v>0.7888888889</v>
      </c>
      <c r="J2520" s="55">
        <v>60.0</v>
      </c>
      <c r="K2520" s="56">
        <v>6.7</v>
      </c>
      <c r="L2520" s="55">
        <v>4.0</v>
      </c>
      <c r="M2520" s="58" t="s">
        <v>95</v>
      </c>
      <c r="N2520" s="59"/>
      <c r="O2520" s="60" t="s">
        <v>34</v>
      </c>
      <c r="P2520" s="61"/>
    </row>
    <row r="2521">
      <c r="A2521" s="29" t="s">
        <v>2522</v>
      </c>
      <c r="B2521" s="30" t="s">
        <v>2264</v>
      </c>
      <c r="C2521" s="31" t="s">
        <v>2148</v>
      </c>
      <c r="D2521" s="32" t="str">
        <f t="shared" si="1"/>
        <v>Removed</v>
      </c>
      <c r="E2521" s="33">
        <v>41611.0</v>
      </c>
      <c r="F2521" s="34">
        <v>41645.0</v>
      </c>
      <c r="G2521" s="36">
        <f t="shared" si="2"/>
        <v>1.1</v>
      </c>
      <c r="H2521" s="37">
        <v>41233.0</v>
      </c>
      <c r="I2521" s="36">
        <f t="shared" si="4"/>
        <v>1.036111111</v>
      </c>
      <c r="J2521" s="38">
        <v>82.0</v>
      </c>
      <c r="K2521" s="39">
        <v>8.1</v>
      </c>
      <c r="L2521" s="76"/>
      <c r="M2521" s="40" t="s">
        <v>95</v>
      </c>
      <c r="N2521" s="41"/>
      <c r="O2521" s="42" t="s">
        <v>34</v>
      </c>
      <c r="P2521" s="43"/>
    </row>
    <row r="2522">
      <c r="A2522" s="44" t="s">
        <v>2523</v>
      </c>
      <c r="B2522" s="45" t="s">
        <v>442</v>
      </c>
      <c r="C2522" s="46" t="s">
        <v>2148</v>
      </c>
      <c r="D2522" s="47" t="str">
        <f t="shared" si="1"/>
        <v>Removed</v>
      </c>
      <c r="E2522" s="48">
        <v>41611.0</v>
      </c>
      <c r="F2522" s="49">
        <v>41645.0</v>
      </c>
      <c r="G2522" s="50">
        <f t="shared" si="2"/>
        <v>1.1</v>
      </c>
      <c r="H2522" s="51">
        <v>41107.0</v>
      </c>
      <c r="I2522" s="50">
        <f t="shared" si="4"/>
        <v>1.377777778</v>
      </c>
      <c r="J2522" s="55">
        <v>79.0</v>
      </c>
      <c r="K2522" s="56">
        <v>7.5</v>
      </c>
      <c r="L2522" s="55">
        <v>3.0</v>
      </c>
      <c r="M2522" s="58" t="s">
        <v>95</v>
      </c>
      <c r="N2522" s="59"/>
      <c r="O2522" s="60" t="s">
        <v>34</v>
      </c>
      <c r="P2522" s="61"/>
    </row>
    <row r="2523">
      <c r="A2523" s="29" t="s">
        <v>2524</v>
      </c>
      <c r="B2523" s="30" t="s">
        <v>442</v>
      </c>
      <c r="C2523" s="31" t="s">
        <v>2148</v>
      </c>
      <c r="D2523" s="32" t="str">
        <f t="shared" si="1"/>
        <v>Removed</v>
      </c>
      <c r="E2523" s="33">
        <v>41611.0</v>
      </c>
      <c r="F2523" s="34">
        <v>41645.0</v>
      </c>
      <c r="G2523" s="36">
        <f t="shared" si="2"/>
        <v>1.1</v>
      </c>
      <c r="H2523" s="37">
        <v>41422.0</v>
      </c>
      <c r="I2523" s="36">
        <f t="shared" si="4"/>
        <v>0.5138888889</v>
      </c>
      <c r="J2523" s="38">
        <v>80.0</v>
      </c>
      <c r="K2523" s="39">
        <v>7.4</v>
      </c>
      <c r="L2523" s="76"/>
      <c r="M2523" s="40" t="s">
        <v>95</v>
      </c>
      <c r="N2523" s="41"/>
      <c r="O2523" s="42" t="s">
        <v>34</v>
      </c>
      <c r="P2523" s="43"/>
    </row>
    <row r="2524">
      <c r="A2524" s="44" t="s">
        <v>2525</v>
      </c>
      <c r="B2524" s="45" t="s">
        <v>442</v>
      </c>
      <c r="C2524" s="46" t="s">
        <v>2148</v>
      </c>
      <c r="D2524" s="47" t="str">
        <f t="shared" si="1"/>
        <v>Removed</v>
      </c>
      <c r="E2524" s="48">
        <v>41611.0</v>
      </c>
      <c r="F2524" s="49">
        <v>41645.0</v>
      </c>
      <c r="G2524" s="50">
        <f t="shared" si="2"/>
        <v>1.1</v>
      </c>
      <c r="H2524" s="51">
        <v>41170.0</v>
      </c>
      <c r="I2524" s="50">
        <f t="shared" si="4"/>
        <v>1.208333333</v>
      </c>
      <c r="J2524" s="55">
        <v>89.0</v>
      </c>
      <c r="K2524" s="56">
        <v>8.3</v>
      </c>
      <c r="L2524" s="55">
        <v>22.0</v>
      </c>
      <c r="M2524" s="58" t="s">
        <v>31</v>
      </c>
      <c r="N2524" s="59"/>
      <c r="O2524" s="60" t="s">
        <v>34</v>
      </c>
      <c r="P2524" s="61"/>
    </row>
    <row r="2525">
      <c r="A2525" s="29" t="s">
        <v>767</v>
      </c>
      <c r="B2525" s="30" t="s">
        <v>45</v>
      </c>
      <c r="C2525" s="31" t="s">
        <v>2148</v>
      </c>
      <c r="D2525" s="32" t="str">
        <f t="shared" si="1"/>
        <v>Removed</v>
      </c>
      <c r="E2525" s="33">
        <v>41593.0</v>
      </c>
      <c r="F2525" s="34">
        <v>41610.0</v>
      </c>
      <c r="G2525" s="36">
        <f t="shared" si="2"/>
        <v>0.5666666667</v>
      </c>
      <c r="H2525" s="37">
        <v>41593.0</v>
      </c>
      <c r="I2525" s="36">
        <f t="shared" si="4"/>
        <v>0</v>
      </c>
      <c r="J2525" s="38">
        <v>84.0</v>
      </c>
      <c r="K2525" s="39">
        <v>8.1</v>
      </c>
      <c r="L2525" s="38">
        <v>4.0</v>
      </c>
      <c r="M2525" s="40" t="s">
        <v>31</v>
      </c>
      <c r="N2525" s="41"/>
      <c r="O2525" s="42" t="s">
        <v>34</v>
      </c>
      <c r="P2525" s="43"/>
    </row>
    <row r="2526">
      <c r="A2526" s="44" t="s">
        <v>2526</v>
      </c>
      <c r="B2526" s="45" t="s">
        <v>45</v>
      </c>
      <c r="C2526" s="46" t="s">
        <v>2148</v>
      </c>
      <c r="D2526" s="47" t="str">
        <f t="shared" si="1"/>
        <v>Removed</v>
      </c>
      <c r="E2526" s="48">
        <v>41593.0</v>
      </c>
      <c r="F2526" s="49">
        <v>41610.0</v>
      </c>
      <c r="G2526" s="50">
        <f t="shared" si="2"/>
        <v>0.5666666667</v>
      </c>
      <c r="H2526" s="51">
        <v>41593.0</v>
      </c>
      <c r="I2526" s="50">
        <f t="shared" si="4"/>
        <v>0</v>
      </c>
      <c r="J2526" s="55">
        <v>62.0</v>
      </c>
      <c r="K2526" s="56">
        <v>6.9</v>
      </c>
      <c r="L2526" s="55">
        <v>3.0</v>
      </c>
      <c r="M2526" s="58" t="s">
        <v>27</v>
      </c>
      <c r="N2526" s="59"/>
      <c r="O2526" s="60" t="s">
        <v>34</v>
      </c>
      <c r="P2526" s="61"/>
    </row>
    <row r="2527">
      <c r="A2527" s="29" t="s">
        <v>2527</v>
      </c>
      <c r="B2527" s="30" t="s">
        <v>2264</v>
      </c>
      <c r="C2527" s="31" t="s">
        <v>2148</v>
      </c>
      <c r="D2527" s="32" t="str">
        <f t="shared" si="1"/>
        <v>Removed</v>
      </c>
      <c r="E2527" s="33">
        <v>41583.0</v>
      </c>
      <c r="F2527" s="34">
        <v>41610.0</v>
      </c>
      <c r="G2527" s="36">
        <f t="shared" si="2"/>
        <v>0.9</v>
      </c>
      <c r="H2527" s="37">
        <v>41394.0</v>
      </c>
      <c r="I2527" s="36">
        <f t="shared" si="4"/>
        <v>0.5138888889</v>
      </c>
      <c r="J2527" s="38">
        <v>76.0</v>
      </c>
      <c r="K2527" s="39">
        <v>7.8</v>
      </c>
      <c r="L2527" s="38">
        <v>21.0</v>
      </c>
      <c r="M2527" s="40" t="s">
        <v>42</v>
      </c>
      <c r="N2527" s="41"/>
      <c r="O2527" s="42" t="s">
        <v>34</v>
      </c>
      <c r="P2527" s="43"/>
    </row>
    <row r="2528">
      <c r="A2528" s="44" t="s">
        <v>2528</v>
      </c>
      <c r="B2528" s="45" t="s">
        <v>2264</v>
      </c>
      <c r="C2528" s="46" t="s">
        <v>2148</v>
      </c>
      <c r="D2528" s="47" t="str">
        <f t="shared" si="1"/>
        <v>Removed</v>
      </c>
      <c r="E2528" s="48">
        <v>41583.0</v>
      </c>
      <c r="F2528" s="49">
        <v>41610.0</v>
      </c>
      <c r="G2528" s="50">
        <f t="shared" si="2"/>
        <v>0.9</v>
      </c>
      <c r="H2528" s="51">
        <v>38713.0</v>
      </c>
      <c r="I2528" s="50">
        <f t="shared" si="4"/>
        <v>7.855555556</v>
      </c>
      <c r="J2528" s="55">
        <v>88.0</v>
      </c>
      <c r="K2528" s="56">
        <v>8.6</v>
      </c>
      <c r="L2528" s="55">
        <v>11.0</v>
      </c>
      <c r="M2528" s="58" t="s">
        <v>31</v>
      </c>
      <c r="N2528" s="59"/>
      <c r="O2528" s="60" t="s">
        <v>34</v>
      </c>
      <c r="P2528" s="61"/>
    </row>
    <row r="2529">
      <c r="A2529" s="29" t="s">
        <v>2529</v>
      </c>
      <c r="B2529" s="30" t="s">
        <v>442</v>
      </c>
      <c r="C2529" s="31" t="s">
        <v>2148</v>
      </c>
      <c r="D2529" s="32" t="str">
        <f t="shared" si="1"/>
        <v>Removed</v>
      </c>
      <c r="E2529" s="33">
        <v>41583.0</v>
      </c>
      <c r="F2529" s="34">
        <v>41610.0</v>
      </c>
      <c r="G2529" s="36">
        <f t="shared" si="2"/>
        <v>0.9</v>
      </c>
      <c r="H2529" s="37">
        <v>40967.0</v>
      </c>
      <c r="I2529" s="36">
        <f t="shared" si="4"/>
        <v>1.686111111</v>
      </c>
      <c r="J2529" s="38">
        <v>74.0</v>
      </c>
      <c r="K2529" s="39">
        <v>7.5</v>
      </c>
      <c r="L2529" s="38">
        <v>10.0</v>
      </c>
      <c r="M2529" s="40" t="s">
        <v>31</v>
      </c>
      <c r="N2529" s="41"/>
      <c r="O2529" s="42" t="s">
        <v>34</v>
      </c>
      <c r="P2529" s="43"/>
    </row>
    <row r="2530">
      <c r="A2530" s="44" t="s">
        <v>2530</v>
      </c>
      <c r="B2530" s="45" t="s">
        <v>442</v>
      </c>
      <c r="C2530" s="46" t="s">
        <v>2148</v>
      </c>
      <c r="D2530" s="47" t="str">
        <f t="shared" si="1"/>
        <v>Removed</v>
      </c>
      <c r="E2530" s="48">
        <v>41583.0</v>
      </c>
      <c r="F2530" s="49">
        <v>41610.0</v>
      </c>
      <c r="G2530" s="50">
        <f t="shared" si="2"/>
        <v>0.9</v>
      </c>
      <c r="H2530" s="51">
        <v>41387.0</v>
      </c>
      <c r="I2530" s="50">
        <f t="shared" si="4"/>
        <v>0.5333333333</v>
      </c>
      <c r="J2530" s="55">
        <v>78.0</v>
      </c>
      <c r="K2530" s="56">
        <v>8.2</v>
      </c>
      <c r="L2530" s="55">
        <v>35.0</v>
      </c>
      <c r="M2530" s="58" t="s">
        <v>42</v>
      </c>
      <c r="N2530" s="59"/>
      <c r="O2530" s="60" t="s">
        <v>34</v>
      </c>
      <c r="P2530" s="61"/>
    </row>
    <row r="2531">
      <c r="A2531" s="29" t="s">
        <v>2531</v>
      </c>
      <c r="B2531" s="30" t="s">
        <v>442</v>
      </c>
      <c r="C2531" s="31" t="s">
        <v>2148</v>
      </c>
      <c r="D2531" s="32" t="str">
        <f t="shared" si="1"/>
        <v>Removed</v>
      </c>
      <c r="E2531" s="33">
        <v>41583.0</v>
      </c>
      <c r="F2531" s="34">
        <v>41610.0</v>
      </c>
      <c r="G2531" s="36">
        <f t="shared" si="2"/>
        <v>0.9</v>
      </c>
      <c r="H2531" s="37">
        <v>41492.0</v>
      </c>
      <c r="I2531" s="36">
        <f t="shared" si="4"/>
        <v>0.2472222222</v>
      </c>
      <c r="J2531" s="38">
        <v>77.0</v>
      </c>
      <c r="K2531" s="39">
        <v>7.4</v>
      </c>
      <c r="L2531" s="38">
        <v>3.0</v>
      </c>
      <c r="M2531" s="40" t="s">
        <v>136</v>
      </c>
      <c r="N2531" s="41"/>
      <c r="O2531" s="42" t="s">
        <v>34</v>
      </c>
      <c r="P2531" s="43"/>
    </row>
    <row r="2532">
      <c r="A2532" s="44" t="s">
        <v>2532</v>
      </c>
      <c r="B2532" s="45" t="s">
        <v>2264</v>
      </c>
      <c r="C2532" s="46" t="s">
        <v>2148</v>
      </c>
      <c r="D2532" s="47" t="str">
        <f t="shared" si="1"/>
        <v>Removed</v>
      </c>
      <c r="E2532" s="48">
        <v>41548.0</v>
      </c>
      <c r="F2532" s="49">
        <v>41582.0</v>
      </c>
      <c r="G2532" s="50">
        <f t="shared" si="2"/>
        <v>1.1</v>
      </c>
      <c r="H2532" s="51">
        <v>41177.0</v>
      </c>
      <c r="I2532" s="50">
        <f t="shared" si="4"/>
        <v>1.016666667</v>
      </c>
      <c r="J2532" s="55">
        <v>77.0</v>
      </c>
      <c r="K2532" s="56">
        <v>7.8</v>
      </c>
      <c r="L2532" s="55">
        <v>4.0</v>
      </c>
      <c r="M2532" s="58" t="s">
        <v>31</v>
      </c>
      <c r="N2532" s="59"/>
      <c r="O2532" s="60" t="s">
        <v>34</v>
      </c>
      <c r="P2532" s="61"/>
    </row>
    <row r="2533">
      <c r="A2533" s="29" t="s">
        <v>970</v>
      </c>
      <c r="B2533" s="30" t="s">
        <v>2255</v>
      </c>
      <c r="C2533" s="31" t="s">
        <v>2148</v>
      </c>
      <c r="D2533" s="32" t="str">
        <f t="shared" si="1"/>
        <v>Removed</v>
      </c>
      <c r="E2533" s="33">
        <v>41548.0</v>
      </c>
      <c r="F2533" s="34">
        <v>41582.0</v>
      </c>
      <c r="G2533" s="36">
        <f t="shared" si="2"/>
        <v>1.1</v>
      </c>
      <c r="H2533" s="37">
        <v>41205.0</v>
      </c>
      <c r="I2533" s="36">
        <f t="shared" si="4"/>
        <v>0.9388888889</v>
      </c>
      <c r="J2533" s="38">
        <v>85.0</v>
      </c>
      <c r="K2533" s="39">
        <v>8.4</v>
      </c>
      <c r="L2533" s="38">
        <v>4.0</v>
      </c>
      <c r="M2533" s="40" t="s">
        <v>29</v>
      </c>
      <c r="N2533" s="41"/>
      <c r="O2533" s="42" t="s">
        <v>34</v>
      </c>
      <c r="P2533" s="43"/>
    </row>
    <row r="2534">
      <c r="A2534" s="44" t="s">
        <v>2533</v>
      </c>
      <c r="B2534" s="45" t="s">
        <v>442</v>
      </c>
      <c r="C2534" s="46" t="s">
        <v>2148</v>
      </c>
      <c r="D2534" s="47" t="str">
        <f t="shared" si="1"/>
        <v>Removed</v>
      </c>
      <c r="E2534" s="48">
        <v>41548.0</v>
      </c>
      <c r="F2534" s="49">
        <v>41582.0</v>
      </c>
      <c r="G2534" s="50">
        <f t="shared" si="2"/>
        <v>1.1</v>
      </c>
      <c r="H2534" s="51">
        <v>41390.0</v>
      </c>
      <c r="I2534" s="50">
        <f t="shared" si="4"/>
        <v>0.4305555556</v>
      </c>
      <c r="J2534" s="55">
        <v>66.0</v>
      </c>
      <c r="K2534" s="56">
        <v>7.5</v>
      </c>
      <c r="L2534" s="55">
        <v>3.0</v>
      </c>
      <c r="M2534" s="58" t="s">
        <v>598</v>
      </c>
      <c r="N2534" s="59"/>
      <c r="O2534" s="60" t="s">
        <v>34</v>
      </c>
      <c r="P2534" s="61"/>
    </row>
    <row r="2535">
      <c r="A2535" s="29" t="s">
        <v>603</v>
      </c>
      <c r="B2535" s="30" t="s">
        <v>442</v>
      </c>
      <c r="C2535" s="31" t="s">
        <v>2148</v>
      </c>
      <c r="D2535" s="32" t="str">
        <f t="shared" si="1"/>
        <v>Removed</v>
      </c>
      <c r="E2535" s="33">
        <v>41548.0</v>
      </c>
      <c r="F2535" s="34">
        <v>41582.0</v>
      </c>
      <c r="G2535" s="36">
        <f t="shared" si="2"/>
        <v>1.1</v>
      </c>
      <c r="H2535" s="37">
        <v>38643.0</v>
      </c>
      <c r="I2535" s="36">
        <f t="shared" si="4"/>
        <v>7.952777778</v>
      </c>
      <c r="J2535" s="38">
        <v>91.0</v>
      </c>
      <c r="K2535" s="39">
        <v>8.8</v>
      </c>
      <c r="L2535" s="38">
        <v>8.0</v>
      </c>
      <c r="M2535" s="40" t="s">
        <v>29</v>
      </c>
      <c r="N2535" s="41"/>
      <c r="O2535" s="42" t="s">
        <v>34</v>
      </c>
      <c r="P2535" s="43"/>
    </row>
    <row r="2536">
      <c r="A2536" s="44" t="s">
        <v>2534</v>
      </c>
      <c r="B2536" s="45" t="s">
        <v>442</v>
      </c>
      <c r="C2536" s="46" t="s">
        <v>2148</v>
      </c>
      <c r="D2536" s="47" t="str">
        <f t="shared" si="1"/>
        <v>Removed</v>
      </c>
      <c r="E2536" s="48">
        <v>41548.0</v>
      </c>
      <c r="F2536" s="49">
        <v>41582.0</v>
      </c>
      <c r="G2536" s="50">
        <f t="shared" si="2"/>
        <v>1.1</v>
      </c>
      <c r="H2536" s="51">
        <v>40946.0</v>
      </c>
      <c r="I2536" s="50">
        <f t="shared" si="4"/>
        <v>1.65</v>
      </c>
      <c r="J2536" s="55">
        <v>81.0</v>
      </c>
      <c r="K2536" s="56">
        <v>8.2</v>
      </c>
      <c r="L2536" s="55">
        <v>31.0</v>
      </c>
      <c r="M2536" s="58" t="s">
        <v>42</v>
      </c>
      <c r="N2536" s="59"/>
      <c r="O2536" s="60" t="s">
        <v>34</v>
      </c>
      <c r="P2536" s="61"/>
    </row>
    <row r="2537">
      <c r="A2537" s="29" t="s">
        <v>2535</v>
      </c>
      <c r="B2537" s="30" t="s">
        <v>2264</v>
      </c>
      <c r="C2537" s="31" t="s">
        <v>2148</v>
      </c>
      <c r="D2537" s="32" t="str">
        <f t="shared" si="1"/>
        <v>Removed</v>
      </c>
      <c r="E2537" s="33">
        <v>41520.0</v>
      </c>
      <c r="F2537" s="34">
        <v>41547.0</v>
      </c>
      <c r="G2537" s="36">
        <f t="shared" si="2"/>
        <v>0.9</v>
      </c>
      <c r="H2537" s="37">
        <v>40862.0</v>
      </c>
      <c r="I2537" s="36">
        <f t="shared" si="4"/>
        <v>1.8</v>
      </c>
      <c r="J2537" s="38">
        <v>87.0</v>
      </c>
      <c r="K2537" s="39">
        <v>8.6</v>
      </c>
      <c r="L2537" s="38">
        <v>9.0</v>
      </c>
      <c r="M2537" s="40" t="s">
        <v>27</v>
      </c>
      <c r="N2537" s="41"/>
      <c r="O2537" s="42" t="s">
        <v>34</v>
      </c>
      <c r="P2537" s="43"/>
    </row>
    <row r="2538">
      <c r="A2538" s="44" t="s">
        <v>2536</v>
      </c>
      <c r="B2538" s="45" t="s">
        <v>115</v>
      </c>
      <c r="C2538" s="46" t="s">
        <v>2148</v>
      </c>
      <c r="D2538" s="47" t="str">
        <f t="shared" si="1"/>
        <v>Removed</v>
      </c>
      <c r="E2538" s="48">
        <v>41520.0</v>
      </c>
      <c r="F2538" s="49">
        <v>41547.0</v>
      </c>
      <c r="G2538" s="50">
        <f t="shared" si="2"/>
        <v>0.9</v>
      </c>
      <c r="H2538" s="51">
        <v>38650.0</v>
      </c>
      <c r="I2538" s="50">
        <f t="shared" si="4"/>
        <v>7.855555556</v>
      </c>
      <c r="J2538" s="55">
        <v>88.0</v>
      </c>
      <c r="K2538" s="56">
        <v>8.7</v>
      </c>
      <c r="L2538" s="55">
        <v>22.0</v>
      </c>
      <c r="M2538" s="58" t="s">
        <v>29</v>
      </c>
      <c r="N2538" s="59"/>
      <c r="O2538" s="60" t="s">
        <v>34</v>
      </c>
      <c r="P2538" s="61"/>
    </row>
    <row r="2539">
      <c r="A2539" s="29" t="s">
        <v>2123</v>
      </c>
      <c r="B2539" s="30" t="s">
        <v>442</v>
      </c>
      <c r="C2539" s="31" t="s">
        <v>2148</v>
      </c>
      <c r="D2539" s="32" t="str">
        <f t="shared" si="1"/>
        <v>Removed</v>
      </c>
      <c r="E2539" s="33">
        <v>41520.0</v>
      </c>
      <c r="F2539" s="34">
        <v>41547.0</v>
      </c>
      <c r="G2539" s="36">
        <f t="shared" si="2"/>
        <v>0.9</v>
      </c>
      <c r="H2539" s="37">
        <v>40729.0</v>
      </c>
      <c r="I2539" s="36">
        <f t="shared" si="4"/>
        <v>2.161111111</v>
      </c>
      <c r="J2539" s="38">
        <v>75.0</v>
      </c>
      <c r="K2539" s="39">
        <v>7.8</v>
      </c>
      <c r="L2539" s="76"/>
      <c r="M2539" s="40" t="s">
        <v>31</v>
      </c>
      <c r="N2539" s="41"/>
      <c r="O2539" s="42" t="s">
        <v>34</v>
      </c>
      <c r="P2539" s="43"/>
    </row>
    <row r="2540">
      <c r="A2540" s="44" t="s">
        <v>2537</v>
      </c>
      <c r="B2540" s="45" t="s">
        <v>442</v>
      </c>
      <c r="C2540" s="46" t="s">
        <v>2148</v>
      </c>
      <c r="D2540" s="47" t="str">
        <f t="shared" si="1"/>
        <v>Removed</v>
      </c>
      <c r="E2540" s="48">
        <v>41520.0</v>
      </c>
      <c r="F2540" s="49">
        <v>41547.0</v>
      </c>
      <c r="G2540" s="50">
        <f t="shared" si="2"/>
        <v>0.9</v>
      </c>
      <c r="H2540" s="51">
        <v>41086.0</v>
      </c>
      <c r="I2540" s="50">
        <f t="shared" si="4"/>
        <v>1.186111111</v>
      </c>
      <c r="J2540" s="55">
        <v>65.0</v>
      </c>
      <c r="K2540" s="56">
        <v>7.5</v>
      </c>
      <c r="L2540" s="55">
        <v>13.0</v>
      </c>
      <c r="M2540" s="58" t="s">
        <v>31</v>
      </c>
      <c r="N2540" s="59"/>
      <c r="O2540" s="60" t="s">
        <v>34</v>
      </c>
      <c r="P2540" s="61"/>
    </row>
    <row r="2541">
      <c r="A2541" s="29" t="s">
        <v>2538</v>
      </c>
      <c r="B2541" s="30" t="s">
        <v>442</v>
      </c>
      <c r="C2541" s="31" t="s">
        <v>2148</v>
      </c>
      <c r="D2541" s="32" t="str">
        <f t="shared" si="1"/>
        <v>Removed</v>
      </c>
      <c r="E2541" s="33">
        <v>41520.0</v>
      </c>
      <c r="F2541" s="34">
        <v>41547.0</v>
      </c>
      <c r="G2541" s="36">
        <f t="shared" si="2"/>
        <v>0.9</v>
      </c>
      <c r="H2541" s="37">
        <v>40813.0</v>
      </c>
      <c r="I2541" s="36">
        <f t="shared" si="4"/>
        <v>1.933333333</v>
      </c>
      <c r="J2541" s="38">
        <v>90.0</v>
      </c>
      <c r="K2541" s="39">
        <v>8.8</v>
      </c>
      <c r="L2541" s="38">
        <v>7.0</v>
      </c>
      <c r="M2541" s="40" t="s">
        <v>29</v>
      </c>
      <c r="N2541" s="41"/>
      <c r="O2541" s="42" t="s">
        <v>34</v>
      </c>
      <c r="P2541" s="43"/>
    </row>
    <row r="2542">
      <c r="A2542" s="44" t="s">
        <v>1029</v>
      </c>
      <c r="B2542" s="45" t="s">
        <v>2264</v>
      </c>
      <c r="C2542" s="46" t="s">
        <v>2148</v>
      </c>
      <c r="D2542" s="47" t="str">
        <f t="shared" si="1"/>
        <v>Removed</v>
      </c>
      <c r="E2542" s="48">
        <v>41492.0</v>
      </c>
      <c r="F2542" s="49">
        <v>41519.0</v>
      </c>
      <c r="G2542" s="50">
        <f t="shared" si="2"/>
        <v>0.8666666667</v>
      </c>
      <c r="H2542" s="51">
        <v>40102.0</v>
      </c>
      <c r="I2542" s="50">
        <f t="shared" si="4"/>
        <v>3.805555556</v>
      </c>
      <c r="J2542" s="55">
        <v>85.0</v>
      </c>
      <c r="K2542" s="56">
        <v>8.4</v>
      </c>
      <c r="L2542" s="55">
        <v>6.0</v>
      </c>
      <c r="M2542" s="58" t="s">
        <v>112</v>
      </c>
      <c r="N2542" s="59"/>
      <c r="O2542" s="60" t="s">
        <v>34</v>
      </c>
      <c r="P2542" s="61"/>
    </row>
    <row r="2543">
      <c r="A2543" s="29" t="s">
        <v>2539</v>
      </c>
      <c r="B2543" s="30" t="s">
        <v>115</v>
      </c>
      <c r="C2543" s="31" t="s">
        <v>2148</v>
      </c>
      <c r="D2543" s="32" t="str">
        <f t="shared" si="1"/>
        <v>Removed</v>
      </c>
      <c r="E2543" s="33">
        <v>41492.0</v>
      </c>
      <c r="F2543" s="34">
        <v>41519.0</v>
      </c>
      <c r="G2543" s="36">
        <f t="shared" si="2"/>
        <v>0.8666666667</v>
      </c>
      <c r="H2543" s="37">
        <v>38407.0</v>
      </c>
      <c r="I2543" s="36">
        <f t="shared" si="4"/>
        <v>8.45</v>
      </c>
      <c r="J2543" s="38">
        <v>76.0</v>
      </c>
      <c r="K2543" s="39">
        <v>8.0</v>
      </c>
      <c r="L2543" s="76"/>
      <c r="M2543" s="40" t="s">
        <v>114</v>
      </c>
      <c r="N2543" s="41"/>
      <c r="O2543" s="42" t="s">
        <v>34</v>
      </c>
      <c r="P2543" s="43"/>
    </row>
    <row r="2544">
      <c r="A2544" s="44" t="s">
        <v>2540</v>
      </c>
      <c r="B2544" s="45" t="s">
        <v>2255</v>
      </c>
      <c r="C2544" s="46" t="s">
        <v>2148</v>
      </c>
      <c r="D2544" s="47" t="str">
        <f t="shared" si="1"/>
        <v>Removed</v>
      </c>
      <c r="E2544" s="48">
        <v>41492.0</v>
      </c>
      <c r="F2544" s="49">
        <v>41519.0</v>
      </c>
      <c r="G2544" s="50">
        <f t="shared" si="2"/>
        <v>0.8666666667</v>
      </c>
      <c r="H2544" s="51">
        <v>41331.0</v>
      </c>
      <c r="I2544" s="50">
        <f t="shared" si="4"/>
        <v>0.4444444444</v>
      </c>
      <c r="J2544" s="55">
        <v>73.0</v>
      </c>
      <c r="K2544" s="56">
        <v>7.7</v>
      </c>
      <c r="L2544" s="78"/>
      <c r="M2544" s="58" t="s">
        <v>1086</v>
      </c>
      <c r="N2544" s="59"/>
      <c r="O2544" s="60" t="s">
        <v>34</v>
      </c>
      <c r="P2544" s="61"/>
    </row>
    <row r="2545">
      <c r="A2545" s="29" t="s">
        <v>2541</v>
      </c>
      <c r="B2545" s="30" t="s">
        <v>442</v>
      </c>
      <c r="C2545" s="31" t="s">
        <v>2148</v>
      </c>
      <c r="D2545" s="32" t="str">
        <f t="shared" si="1"/>
        <v>Removed</v>
      </c>
      <c r="E2545" s="33">
        <v>41492.0</v>
      </c>
      <c r="F2545" s="34">
        <v>41519.0</v>
      </c>
      <c r="G2545" s="36">
        <f t="shared" si="2"/>
        <v>0.8666666667</v>
      </c>
      <c r="H2545" s="37">
        <v>41331.0</v>
      </c>
      <c r="I2545" s="36">
        <f t="shared" si="4"/>
        <v>0.4444444444</v>
      </c>
      <c r="J2545" s="38">
        <v>85.0</v>
      </c>
      <c r="K2545" s="39">
        <v>8.0</v>
      </c>
      <c r="L2545" s="38">
        <v>6.0</v>
      </c>
      <c r="M2545" s="40" t="s">
        <v>27</v>
      </c>
      <c r="N2545" s="41"/>
      <c r="O2545" s="42" t="s">
        <v>34</v>
      </c>
      <c r="P2545" s="43"/>
    </row>
    <row r="2546">
      <c r="A2546" s="44" t="s">
        <v>2542</v>
      </c>
      <c r="B2546" s="45" t="s">
        <v>442</v>
      </c>
      <c r="C2546" s="46" t="s">
        <v>2148</v>
      </c>
      <c r="D2546" s="47" t="str">
        <f t="shared" si="1"/>
        <v>Removed</v>
      </c>
      <c r="E2546" s="48">
        <v>41492.0</v>
      </c>
      <c r="F2546" s="49">
        <v>41519.0</v>
      </c>
      <c r="G2546" s="50">
        <f t="shared" si="2"/>
        <v>0.8666666667</v>
      </c>
      <c r="H2546" s="51">
        <v>41233.0</v>
      </c>
      <c r="I2546" s="50">
        <f t="shared" si="4"/>
        <v>0.7111111111</v>
      </c>
      <c r="J2546" s="55">
        <v>79.0</v>
      </c>
      <c r="K2546" s="56">
        <v>7.6</v>
      </c>
      <c r="L2546" s="55">
        <v>11.0</v>
      </c>
      <c r="M2546" s="58" t="s">
        <v>29</v>
      </c>
      <c r="N2546" s="59"/>
      <c r="O2546" s="60" t="s">
        <v>34</v>
      </c>
      <c r="P2546" s="61"/>
    </row>
    <row r="2547">
      <c r="A2547" s="29" t="s">
        <v>2543</v>
      </c>
      <c r="B2547" s="30" t="s">
        <v>442</v>
      </c>
      <c r="C2547" s="31" t="s">
        <v>2148</v>
      </c>
      <c r="D2547" s="32" t="str">
        <f t="shared" si="1"/>
        <v>Removed</v>
      </c>
      <c r="E2547" s="33">
        <v>41457.0</v>
      </c>
      <c r="F2547" s="34">
        <v>41491.0</v>
      </c>
      <c r="G2547" s="36">
        <f t="shared" si="2"/>
        <v>1.1</v>
      </c>
      <c r="H2547" s="37">
        <v>40896.0</v>
      </c>
      <c r="I2547" s="36">
        <f t="shared" si="4"/>
        <v>1.536111111</v>
      </c>
      <c r="J2547" s="38">
        <v>66.0</v>
      </c>
      <c r="K2547" s="39">
        <v>7.5</v>
      </c>
      <c r="L2547" s="38">
        <v>11.0</v>
      </c>
      <c r="M2547" s="40" t="s">
        <v>29</v>
      </c>
      <c r="N2547" s="41"/>
      <c r="O2547" s="42" t="s">
        <v>34</v>
      </c>
      <c r="P2547" s="43"/>
    </row>
    <row r="2548">
      <c r="A2548" s="44" t="s">
        <v>2544</v>
      </c>
      <c r="B2548" s="45" t="s">
        <v>2264</v>
      </c>
      <c r="C2548" s="46" t="s">
        <v>2148</v>
      </c>
      <c r="D2548" s="47" t="str">
        <f t="shared" si="1"/>
        <v>Removed</v>
      </c>
      <c r="E2548" s="48">
        <v>41457.0</v>
      </c>
      <c r="F2548" s="49">
        <v>41491.0</v>
      </c>
      <c r="G2548" s="50">
        <f t="shared" si="2"/>
        <v>1.1</v>
      </c>
      <c r="H2548" s="51">
        <v>41219.0</v>
      </c>
      <c r="I2548" s="50">
        <f t="shared" si="4"/>
        <v>0.6555555556</v>
      </c>
      <c r="J2548" s="55">
        <v>76.0</v>
      </c>
      <c r="K2548" s="56">
        <v>7.6</v>
      </c>
      <c r="L2548" s="55">
        <v>6.0</v>
      </c>
      <c r="M2548" s="58" t="s">
        <v>27</v>
      </c>
      <c r="N2548" s="59"/>
      <c r="O2548" s="60" t="s">
        <v>34</v>
      </c>
      <c r="P2548" s="61"/>
    </row>
    <row r="2549">
      <c r="A2549" s="29" t="s">
        <v>2545</v>
      </c>
      <c r="B2549" s="30" t="s">
        <v>442</v>
      </c>
      <c r="C2549" s="31" t="s">
        <v>2148</v>
      </c>
      <c r="D2549" s="32" t="str">
        <f t="shared" si="1"/>
        <v>Removed</v>
      </c>
      <c r="E2549" s="33">
        <v>41457.0</v>
      </c>
      <c r="F2549" s="34">
        <v>41491.0</v>
      </c>
      <c r="G2549" s="36">
        <f t="shared" si="2"/>
        <v>1.1</v>
      </c>
      <c r="H2549" s="37">
        <v>41170.0</v>
      </c>
      <c r="I2549" s="36">
        <f t="shared" si="4"/>
        <v>0.7888888889</v>
      </c>
      <c r="J2549" s="38">
        <v>78.0</v>
      </c>
      <c r="K2549" s="39">
        <v>7.7</v>
      </c>
      <c r="L2549" s="38">
        <v>9.0</v>
      </c>
      <c r="M2549" s="40" t="s">
        <v>29</v>
      </c>
      <c r="N2549" s="41"/>
      <c r="O2549" s="42" t="s">
        <v>34</v>
      </c>
      <c r="P2549" s="43"/>
    </row>
    <row r="2550">
      <c r="A2550" s="44" t="s">
        <v>2546</v>
      </c>
      <c r="B2550" s="45" t="s">
        <v>115</v>
      </c>
      <c r="C2550" s="46" t="s">
        <v>2148</v>
      </c>
      <c r="D2550" s="47" t="str">
        <f t="shared" si="1"/>
        <v>Removed</v>
      </c>
      <c r="E2550" s="48">
        <v>41457.0</v>
      </c>
      <c r="F2550" s="49">
        <v>41491.0</v>
      </c>
      <c r="G2550" s="50">
        <f t="shared" si="2"/>
        <v>1.1</v>
      </c>
      <c r="H2550" s="51">
        <v>40109.0</v>
      </c>
      <c r="I2550" s="50">
        <f t="shared" si="4"/>
        <v>3.691666667</v>
      </c>
      <c r="J2550" s="55">
        <v>79.0</v>
      </c>
      <c r="K2550" s="56">
        <v>7.9</v>
      </c>
      <c r="L2550" s="55">
        <v>3.0</v>
      </c>
      <c r="M2550" s="58" t="s">
        <v>31</v>
      </c>
      <c r="N2550" s="59"/>
      <c r="O2550" s="60" t="s">
        <v>34</v>
      </c>
      <c r="P2550" s="61"/>
    </row>
    <row r="2551">
      <c r="A2551" s="29" t="s">
        <v>2547</v>
      </c>
      <c r="B2551" s="30" t="s">
        <v>442</v>
      </c>
      <c r="C2551" s="31" t="s">
        <v>2148</v>
      </c>
      <c r="D2551" s="32" t="str">
        <f t="shared" si="1"/>
        <v>Removed</v>
      </c>
      <c r="E2551" s="33">
        <v>41457.0</v>
      </c>
      <c r="F2551" s="34">
        <v>41491.0</v>
      </c>
      <c r="G2551" s="36">
        <f t="shared" si="2"/>
        <v>1.1</v>
      </c>
      <c r="H2551" s="37">
        <v>40841.0</v>
      </c>
      <c r="I2551" s="36">
        <f t="shared" si="4"/>
        <v>1.686111111</v>
      </c>
      <c r="J2551" s="38">
        <v>85.0</v>
      </c>
      <c r="K2551" s="39">
        <v>7.4</v>
      </c>
      <c r="L2551" s="38">
        <v>6.0</v>
      </c>
      <c r="M2551" s="40" t="s">
        <v>31</v>
      </c>
      <c r="N2551" s="41"/>
      <c r="O2551" s="42" t="s">
        <v>34</v>
      </c>
      <c r="P2551" s="43"/>
    </row>
    <row r="2552">
      <c r="A2552" s="44" t="s">
        <v>2548</v>
      </c>
      <c r="B2552" s="45" t="s">
        <v>442</v>
      </c>
      <c r="C2552" s="46" t="s">
        <v>2148</v>
      </c>
      <c r="D2552" s="47" t="str">
        <f t="shared" si="1"/>
        <v>Removed</v>
      </c>
      <c r="E2552" s="48">
        <v>41429.0</v>
      </c>
      <c r="F2552" s="49">
        <v>41456.0</v>
      </c>
      <c r="G2552" s="50">
        <f t="shared" si="2"/>
        <v>0.9</v>
      </c>
      <c r="H2552" s="51">
        <v>41219.0</v>
      </c>
      <c r="I2552" s="50">
        <f t="shared" si="4"/>
        <v>0.5777777778</v>
      </c>
      <c r="J2552" s="55">
        <v>68.0</v>
      </c>
      <c r="K2552" s="56">
        <v>6.8</v>
      </c>
      <c r="L2552" s="55">
        <v>10.0</v>
      </c>
      <c r="M2552" s="58" t="s">
        <v>95</v>
      </c>
      <c r="N2552" s="59"/>
      <c r="O2552" s="60" t="s">
        <v>34</v>
      </c>
      <c r="P2552" s="61"/>
    </row>
    <row r="2553">
      <c r="A2553" s="29" t="s">
        <v>2549</v>
      </c>
      <c r="B2553" s="30" t="s">
        <v>442</v>
      </c>
      <c r="C2553" s="31" t="s">
        <v>2148</v>
      </c>
      <c r="D2553" s="32" t="str">
        <f t="shared" si="1"/>
        <v>Removed</v>
      </c>
      <c r="E2553" s="33">
        <v>41429.0</v>
      </c>
      <c r="F2553" s="34">
        <v>41456.0</v>
      </c>
      <c r="G2553" s="36">
        <f t="shared" si="2"/>
        <v>0.9</v>
      </c>
      <c r="H2553" s="37">
        <v>41191.0</v>
      </c>
      <c r="I2553" s="36">
        <f t="shared" si="4"/>
        <v>0.6527777778</v>
      </c>
      <c r="J2553" s="38">
        <v>89.0</v>
      </c>
      <c r="K2553" s="39">
        <v>8.7</v>
      </c>
      <c r="L2553" s="38">
        <v>26.0</v>
      </c>
      <c r="M2553" s="40" t="s">
        <v>103</v>
      </c>
      <c r="N2553" s="41"/>
      <c r="O2553" s="42" t="s">
        <v>34</v>
      </c>
      <c r="P2553" s="43"/>
    </row>
    <row r="2554">
      <c r="A2554" s="44" t="s">
        <v>2550</v>
      </c>
      <c r="B2554" s="45" t="s">
        <v>442</v>
      </c>
      <c r="C2554" s="46" t="s">
        <v>2148</v>
      </c>
      <c r="D2554" s="47" t="str">
        <f t="shared" si="1"/>
        <v>Removed</v>
      </c>
      <c r="E2554" s="48">
        <v>41429.0</v>
      </c>
      <c r="F2554" s="49">
        <v>41456.0</v>
      </c>
      <c r="G2554" s="50">
        <f t="shared" si="2"/>
        <v>0.9</v>
      </c>
      <c r="H2554" s="51">
        <v>40848.0</v>
      </c>
      <c r="I2554" s="50">
        <f t="shared" si="4"/>
        <v>1.591666667</v>
      </c>
      <c r="J2554" s="55">
        <v>92.0</v>
      </c>
      <c r="K2554" s="56">
        <v>8.3</v>
      </c>
      <c r="L2554" s="55">
        <v>9.0</v>
      </c>
      <c r="M2554" s="58" t="s">
        <v>29</v>
      </c>
      <c r="N2554" s="59"/>
      <c r="O2554" s="60" t="s">
        <v>34</v>
      </c>
      <c r="P2554" s="61"/>
    </row>
    <row r="2555">
      <c r="A2555" s="29" t="s">
        <v>2551</v>
      </c>
      <c r="B2555" s="30" t="s">
        <v>2264</v>
      </c>
      <c r="C2555" s="31" t="s">
        <v>2148</v>
      </c>
      <c r="D2555" s="32" t="str">
        <f t="shared" si="1"/>
        <v>Removed</v>
      </c>
      <c r="E2555" s="33">
        <v>41429.0</v>
      </c>
      <c r="F2555" s="34">
        <v>41456.0</v>
      </c>
      <c r="G2555" s="36">
        <f t="shared" si="2"/>
        <v>0.9</v>
      </c>
      <c r="H2555" s="37">
        <v>41205.0</v>
      </c>
      <c r="I2555" s="36">
        <f t="shared" si="4"/>
        <v>0.6138888889</v>
      </c>
      <c r="J2555" s="38">
        <v>84.0</v>
      </c>
      <c r="K2555" s="39">
        <v>8.8</v>
      </c>
      <c r="L2555" s="38">
        <v>36.0</v>
      </c>
      <c r="M2555" s="40" t="s">
        <v>112</v>
      </c>
      <c r="N2555" s="41"/>
      <c r="O2555" s="42" t="s">
        <v>34</v>
      </c>
      <c r="P2555" s="43"/>
    </row>
    <row r="2556">
      <c r="A2556" s="44" t="s">
        <v>2552</v>
      </c>
      <c r="B2556" s="45" t="s">
        <v>115</v>
      </c>
      <c r="C2556" s="46" t="s">
        <v>2148</v>
      </c>
      <c r="D2556" s="47" t="str">
        <f t="shared" si="1"/>
        <v>Removed</v>
      </c>
      <c r="E2556" s="48">
        <v>41429.0</v>
      </c>
      <c r="F2556" s="49">
        <v>41456.0</v>
      </c>
      <c r="G2556" s="50">
        <f t="shared" si="2"/>
        <v>0.9</v>
      </c>
      <c r="H2556" s="51">
        <v>40620.0</v>
      </c>
      <c r="I2556" s="50">
        <f t="shared" si="4"/>
        <v>2.211111111</v>
      </c>
      <c r="J2556" s="55">
        <v>71.0</v>
      </c>
      <c r="K2556" s="56">
        <v>7.7</v>
      </c>
      <c r="L2556" s="55">
        <v>47.0</v>
      </c>
      <c r="M2556" s="58" t="s">
        <v>42</v>
      </c>
      <c r="N2556" s="59"/>
      <c r="O2556" s="60" t="s">
        <v>34</v>
      </c>
      <c r="P2556" s="61"/>
    </row>
    <row r="2557">
      <c r="A2557" s="29" t="s">
        <v>2553</v>
      </c>
      <c r="B2557" s="30" t="s">
        <v>442</v>
      </c>
      <c r="C2557" s="31" t="s">
        <v>2148</v>
      </c>
      <c r="D2557" s="32" t="str">
        <f t="shared" si="1"/>
        <v>Removed</v>
      </c>
      <c r="E2557" s="33">
        <v>41429.0</v>
      </c>
      <c r="F2557" s="34">
        <v>41456.0</v>
      </c>
      <c r="G2557" s="36">
        <f t="shared" si="2"/>
        <v>0.9</v>
      </c>
      <c r="H2557" s="37">
        <v>40862.0</v>
      </c>
      <c r="I2557" s="36">
        <f t="shared" si="4"/>
        <v>1.552777778</v>
      </c>
      <c r="J2557" s="38">
        <v>84.0</v>
      </c>
      <c r="K2557" s="39">
        <v>8.3</v>
      </c>
      <c r="L2557" s="38">
        <v>16.0</v>
      </c>
      <c r="M2557" s="40" t="s">
        <v>29</v>
      </c>
      <c r="N2557" s="41"/>
      <c r="O2557" s="42" t="s">
        <v>34</v>
      </c>
      <c r="P2557" s="43"/>
    </row>
    <row r="2558">
      <c r="A2558" s="44" t="s">
        <v>1029</v>
      </c>
      <c r="B2558" s="45" t="s">
        <v>2255</v>
      </c>
      <c r="C2558" s="46" t="s">
        <v>2148</v>
      </c>
      <c r="D2558" s="47" t="str">
        <f t="shared" si="1"/>
        <v>Removed</v>
      </c>
      <c r="E2558" s="48">
        <v>41429.0</v>
      </c>
      <c r="F2558" s="49">
        <v>41456.0</v>
      </c>
      <c r="G2558" s="50">
        <f t="shared" si="2"/>
        <v>0.9</v>
      </c>
      <c r="H2558" s="51">
        <v>40102.0</v>
      </c>
      <c r="I2558" s="50">
        <f t="shared" si="4"/>
        <v>3.633333333</v>
      </c>
      <c r="J2558" s="55">
        <v>85.0</v>
      </c>
      <c r="K2558" s="56">
        <v>8.4</v>
      </c>
      <c r="L2558" s="55">
        <v>6.0</v>
      </c>
      <c r="M2558" s="58" t="s">
        <v>112</v>
      </c>
      <c r="N2558" s="59"/>
      <c r="O2558" s="60" t="s">
        <v>34</v>
      </c>
      <c r="P2558" s="61"/>
    </row>
    <row r="2559">
      <c r="A2559" s="29" t="s">
        <v>2554</v>
      </c>
      <c r="B2559" s="30" t="s">
        <v>442</v>
      </c>
      <c r="C2559" s="31" t="s">
        <v>2148</v>
      </c>
      <c r="D2559" s="32" t="str">
        <f t="shared" si="1"/>
        <v>Removed</v>
      </c>
      <c r="E2559" s="33">
        <v>41429.0</v>
      </c>
      <c r="F2559" s="34">
        <v>41456.0</v>
      </c>
      <c r="G2559" s="36">
        <f t="shared" si="2"/>
        <v>0.9</v>
      </c>
      <c r="H2559" s="37">
        <v>40778.0</v>
      </c>
      <c r="I2559" s="36">
        <f t="shared" si="4"/>
        <v>1.780555556</v>
      </c>
      <c r="J2559" s="38">
        <v>89.0</v>
      </c>
      <c r="K2559" s="39">
        <v>8.7</v>
      </c>
      <c r="L2559" s="38">
        <v>22.0</v>
      </c>
      <c r="M2559" s="40" t="s">
        <v>29</v>
      </c>
      <c r="N2559" s="41"/>
      <c r="O2559" s="42" t="s">
        <v>34</v>
      </c>
      <c r="P2559" s="43"/>
    </row>
    <row r="2560">
      <c r="A2560" s="44" t="s">
        <v>2555</v>
      </c>
      <c r="B2560" s="45" t="s">
        <v>2264</v>
      </c>
      <c r="C2560" s="46" t="s">
        <v>2148</v>
      </c>
      <c r="D2560" s="47" t="str">
        <f t="shared" si="1"/>
        <v>Removed</v>
      </c>
      <c r="E2560" s="48">
        <v>41401.0</v>
      </c>
      <c r="F2560" s="49">
        <v>41428.0</v>
      </c>
      <c r="G2560" s="50">
        <f t="shared" si="2"/>
        <v>0.8666666667</v>
      </c>
      <c r="H2560" s="51">
        <v>41303.0</v>
      </c>
      <c r="I2560" s="50">
        <f t="shared" si="4"/>
        <v>0.2722222222</v>
      </c>
      <c r="J2560" s="55">
        <v>59.0</v>
      </c>
      <c r="K2560" s="56">
        <v>6.7</v>
      </c>
      <c r="L2560" s="78"/>
      <c r="M2560" s="58" t="s">
        <v>31</v>
      </c>
      <c r="N2560" s="59"/>
      <c r="O2560" s="60" t="s">
        <v>34</v>
      </c>
      <c r="P2560" s="61"/>
    </row>
    <row r="2561">
      <c r="A2561" s="29" t="s">
        <v>2556</v>
      </c>
      <c r="B2561" s="30" t="s">
        <v>2255</v>
      </c>
      <c r="C2561" s="31" t="s">
        <v>2148</v>
      </c>
      <c r="D2561" s="32" t="str">
        <f t="shared" si="1"/>
        <v>Removed</v>
      </c>
      <c r="E2561" s="33">
        <v>41401.0</v>
      </c>
      <c r="F2561" s="34">
        <v>41428.0</v>
      </c>
      <c r="G2561" s="36">
        <f t="shared" si="2"/>
        <v>0.8666666667</v>
      </c>
      <c r="H2561" s="37">
        <v>41262.0</v>
      </c>
      <c r="I2561" s="36">
        <f t="shared" si="4"/>
        <v>0.3833333333</v>
      </c>
      <c r="J2561" s="38">
        <v>73.0</v>
      </c>
      <c r="K2561" s="39">
        <v>7.8</v>
      </c>
      <c r="L2561" s="76"/>
      <c r="M2561" s="40" t="s">
        <v>1086</v>
      </c>
      <c r="N2561" s="41"/>
      <c r="O2561" s="42" t="s">
        <v>34</v>
      </c>
      <c r="P2561" s="43"/>
    </row>
    <row r="2562">
      <c r="A2562" s="44" t="s">
        <v>2557</v>
      </c>
      <c r="B2562" s="45" t="s">
        <v>2264</v>
      </c>
      <c r="C2562" s="46" t="s">
        <v>2148</v>
      </c>
      <c r="D2562" s="47" t="str">
        <f t="shared" si="1"/>
        <v>Removed</v>
      </c>
      <c r="E2562" s="48">
        <v>41401.0</v>
      </c>
      <c r="F2562" s="49">
        <v>41428.0</v>
      </c>
      <c r="G2562" s="50">
        <f t="shared" si="2"/>
        <v>0.8666666667</v>
      </c>
      <c r="H2562" s="51">
        <v>40908.0</v>
      </c>
      <c r="I2562" s="50">
        <f t="shared" si="4"/>
        <v>1.352777778</v>
      </c>
      <c r="J2562" s="55">
        <v>83.0</v>
      </c>
      <c r="K2562" s="56">
        <v>7.9</v>
      </c>
      <c r="L2562" s="78"/>
      <c r="M2562" s="58" t="s">
        <v>114</v>
      </c>
      <c r="N2562" s="59"/>
      <c r="O2562" s="60" t="s">
        <v>34</v>
      </c>
      <c r="P2562" s="61"/>
    </row>
    <row r="2563">
      <c r="A2563" s="29" t="s">
        <v>932</v>
      </c>
      <c r="B2563" s="30" t="s">
        <v>2255</v>
      </c>
      <c r="C2563" s="31" t="s">
        <v>2148</v>
      </c>
      <c r="D2563" s="32" t="str">
        <f t="shared" si="1"/>
        <v>Removed</v>
      </c>
      <c r="E2563" s="33">
        <v>41401.0</v>
      </c>
      <c r="F2563" s="34">
        <v>41428.0</v>
      </c>
      <c r="G2563" s="36">
        <f t="shared" si="2"/>
        <v>0.8666666667</v>
      </c>
      <c r="H2563" s="37">
        <v>41264.0</v>
      </c>
      <c r="I2563" s="36">
        <f t="shared" si="4"/>
        <v>0.3777777778</v>
      </c>
      <c r="J2563" s="38">
        <v>68.0</v>
      </c>
      <c r="K2563" s="39">
        <v>7.2</v>
      </c>
      <c r="L2563" s="38">
        <v>20.0</v>
      </c>
      <c r="M2563" s="40" t="s">
        <v>27</v>
      </c>
      <c r="N2563" s="41"/>
      <c r="O2563" s="42" t="s">
        <v>34</v>
      </c>
      <c r="P2563" s="43"/>
    </row>
    <row r="2564">
      <c r="A2564" s="44" t="s">
        <v>2558</v>
      </c>
      <c r="B2564" s="45" t="s">
        <v>442</v>
      </c>
      <c r="C2564" s="46" t="s">
        <v>2148</v>
      </c>
      <c r="D2564" s="47" t="str">
        <f t="shared" si="1"/>
        <v>Removed</v>
      </c>
      <c r="E2564" s="48">
        <v>41401.0</v>
      </c>
      <c r="F2564" s="49">
        <v>41428.0</v>
      </c>
      <c r="G2564" s="50">
        <f t="shared" si="2"/>
        <v>0.8666666667</v>
      </c>
      <c r="H2564" s="51">
        <v>41135.0</v>
      </c>
      <c r="I2564" s="50">
        <f t="shared" si="4"/>
        <v>0.7305555556</v>
      </c>
      <c r="J2564" s="55">
        <v>80.0</v>
      </c>
      <c r="K2564" s="56">
        <v>8.1</v>
      </c>
      <c r="L2564" s="55">
        <v>15.0</v>
      </c>
      <c r="M2564" s="58" t="s">
        <v>29</v>
      </c>
      <c r="N2564" s="59"/>
      <c r="O2564" s="60" t="s">
        <v>34</v>
      </c>
      <c r="P2564" s="61"/>
    </row>
    <row r="2565">
      <c r="A2565" s="29" t="s">
        <v>2559</v>
      </c>
      <c r="B2565" s="30" t="s">
        <v>2255</v>
      </c>
      <c r="C2565" s="31" t="s">
        <v>2148</v>
      </c>
      <c r="D2565" s="32" t="str">
        <f t="shared" si="1"/>
        <v>Removed</v>
      </c>
      <c r="E2565" s="33">
        <v>41394.0</v>
      </c>
      <c r="F2565" s="34">
        <v>41400.0</v>
      </c>
      <c r="G2565" s="36">
        <f t="shared" si="2"/>
        <v>0.2</v>
      </c>
      <c r="H2565" s="37">
        <v>41394.0</v>
      </c>
      <c r="I2565" s="36">
        <f t="shared" si="4"/>
        <v>0</v>
      </c>
      <c r="J2565" s="38">
        <v>59.0</v>
      </c>
      <c r="K2565" s="39">
        <v>6.5</v>
      </c>
      <c r="L2565" s="38">
        <v>6.0</v>
      </c>
      <c r="M2565" s="40" t="s">
        <v>103</v>
      </c>
      <c r="N2565" s="41"/>
      <c r="O2565" s="42" t="s">
        <v>34</v>
      </c>
      <c r="P2565" s="43"/>
    </row>
    <row r="2566">
      <c r="A2566" s="44" t="s">
        <v>2560</v>
      </c>
      <c r="B2566" s="45" t="s">
        <v>115</v>
      </c>
      <c r="C2566" s="46" t="s">
        <v>2148</v>
      </c>
      <c r="D2566" s="47" t="str">
        <f t="shared" si="1"/>
        <v>Removed</v>
      </c>
      <c r="E2566" s="48">
        <v>41366.0</v>
      </c>
      <c r="F2566" s="49">
        <v>41400.0</v>
      </c>
      <c r="G2566" s="50">
        <f t="shared" si="2"/>
        <v>1.133333333</v>
      </c>
      <c r="H2566" s="51">
        <v>40052.0</v>
      </c>
      <c r="I2566" s="50">
        <f t="shared" si="4"/>
        <v>3.597222222</v>
      </c>
      <c r="J2566" s="55">
        <v>79.0</v>
      </c>
      <c r="K2566" s="56">
        <v>7.9</v>
      </c>
      <c r="L2566" s="78"/>
      <c r="M2566" s="58" t="s">
        <v>114</v>
      </c>
      <c r="N2566" s="59"/>
      <c r="O2566" s="60" t="s">
        <v>34</v>
      </c>
      <c r="P2566" s="61"/>
    </row>
    <row r="2567">
      <c r="A2567" s="29" t="s">
        <v>2561</v>
      </c>
      <c r="B2567" s="30" t="s">
        <v>442</v>
      </c>
      <c r="C2567" s="31" t="s">
        <v>2148</v>
      </c>
      <c r="D2567" s="32" t="str">
        <f t="shared" si="1"/>
        <v>Removed</v>
      </c>
      <c r="E2567" s="33">
        <v>41366.0</v>
      </c>
      <c r="F2567" s="34">
        <v>41400.0</v>
      </c>
      <c r="G2567" s="36">
        <f t="shared" si="2"/>
        <v>1.133333333</v>
      </c>
      <c r="H2567" s="37">
        <v>41261.0</v>
      </c>
      <c r="I2567" s="36">
        <f t="shared" si="4"/>
        <v>0.2888888889</v>
      </c>
      <c r="J2567" s="38">
        <v>64.0</v>
      </c>
      <c r="K2567" s="39">
        <v>6.8</v>
      </c>
      <c r="L2567" s="38">
        <v>6.0</v>
      </c>
      <c r="M2567" s="40" t="s">
        <v>29</v>
      </c>
      <c r="N2567" s="41"/>
      <c r="O2567" s="42" t="s">
        <v>34</v>
      </c>
      <c r="P2567" s="43"/>
    </row>
    <row r="2568">
      <c r="A2568" s="44" t="s">
        <v>2562</v>
      </c>
      <c r="B2568" s="45" t="s">
        <v>442</v>
      </c>
      <c r="C2568" s="46" t="s">
        <v>2148</v>
      </c>
      <c r="D2568" s="47" t="str">
        <f t="shared" si="1"/>
        <v>Removed</v>
      </c>
      <c r="E2568" s="48">
        <v>41366.0</v>
      </c>
      <c r="F2568" s="49">
        <v>41400.0</v>
      </c>
      <c r="G2568" s="50">
        <f t="shared" si="2"/>
        <v>1.133333333</v>
      </c>
      <c r="H2568" s="51">
        <v>40478.0</v>
      </c>
      <c r="I2568" s="50">
        <f t="shared" si="4"/>
        <v>2.430555556</v>
      </c>
      <c r="J2568" s="55">
        <v>68.0</v>
      </c>
      <c r="K2568" s="56">
        <v>7.2</v>
      </c>
      <c r="L2568" s="55">
        <v>5.0</v>
      </c>
      <c r="M2568" s="58" t="s">
        <v>29</v>
      </c>
      <c r="N2568" s="59"/>
      <c r="O2568" s="60" t="s">
        <v>34</v>
      </c>
      <c r="P2568" s="61"/>
    </row>
    <row r="2569">
      <c r="A2569" s="29" t="s">
        <v>2563</v>
      </c>
      <c r="B2569" s="30" t="s">
        <v>442</v>
      </c>
      <c r="C2569" s="31" t="s">
        <v>2148</v>
      </c>
      <c r="D2569" s="32" t="str">
        <f t="shared" si="1"/>
        <v>Removed</v>
      </c>
      <c r="E2569" s="33">
        <v>41366.0</v>
      </c>
      <c r="F2569" s="34">
        <v>41400.0</v>
      </c>
      <c r="G2569" s="36">
        <f t="shared" si="2"/>
        <v>1.133333333</v>
      </c>
      <c r="H2569" s="37">
        <v>40092.0</v>
      </c>
      <c r="I2569" s="36">
        <f t="shared" si="4"/>
        <v>3.488888889</v>
      </c>
      <c r="J2569" s="38">
        <v>92.0</v>
      </c>
      <c r="K2569" s="39">
        <v>8.9</v>
      </c>
      <c r="L2569" s="38">
        <v>25.0</v>
      </c>
      <c r="M2569" s="40" t="s">
        <v>42</v>
      </c>
      <c r="N2569" s="41"/>
      <c r="O2569" s="42" t="s">
        <v>34</v>
      </c>
      <c r="P2569" s="43"/>
    </row>
    <row r="2570">
      <c r="A2570" s="44" t="s">
        <v>2564</v>
      </c>
      <c r="B2570" s="45" t="s">
        <v>442</v>
      </c>
      <c r="C2570" s="46" t="s">
        <v>2148</v>
      </c>
      <c r="D2570" s="47" t="str">
        <f t="shared" si="1"/>
        <v>Removed</v>
      </c>
      <c r="E2570" s="48">
        <v>41338.0</v>
      </c>
      <c r="F2570" s="49">
        <v>41365.0</v>
      </c>
      <c r="G2570" s="50">
        <f t="shared" si="2"/>
        <v>0.8666666667</v>
      </c>
      <c r="H2570" s="51">
        <v>41296.0</v>
      </c>
      <c r="I2570" s="50">
        <f t="shared" si="4"/>
        <v>0.1194444444</v>
      </c>
      <c r="J2570" s="55">
        <v>72.0</v>
      </c>
      <c r="K2570" s="56">
        <v>7.0</v>
      </c>
      <c r="L2570" s="55">
        <v>6.0</v>
      </c>
      <c r="M2570" s="58" t="s">
        <v>112</v>
      </c>
      <c r="N2570" s="59"/>
      <c r="O2570" s="60" t="s">
        <v>34</v>
      </c>
      <c r="P2570" s="61"/>
    </row>
    <row r="2571">
      <c r="A2571" s="29" t="s">
        <v>2565</v>
      </c>
      <c r="B2571" s="30" t="s">
        <v>115</v>
      </c>
      <c r="C2571" s="31" t="s">
        <v>2148</v>
      </c>
      <c r="D2571" s="32" t="str">
        <f t="shared" si="1"/>
        <v>Removed</v>
      </c>
      <c r="E2571" s="33">
        <v>41338.0</v>
      </c>
      <c r="F2571" s="34">
        <v>41365.0</v>
      </c>
      <c r="G2571" s="36">
        <f t="shared" si="2"/>
        <v>0.8666666667</v>
      </c>
      <c r="H2571" s="37">
        <v>40113.0</v>
      </c>
      <c r="I2571" s="36">
        <f t="shared" si="4"/>
        <v>3.355555556</v>
      </c>
      <c r="J2571" s="38">
        <v>82.0</v>
      </c>
      <c r="K2571" s="39">
        <v>8.2</v>
      </c>
      <c r="L2571" s="76"/>
      <c r="M2571" s="40" t="s">
        <v>114</v>
      </c>
      <c r="N2571" s="41"/>
      <c r="O2571" s="42" t="s">
        <v>34</v>
      </c>
      <c r="P2571" s="43"/>
    </row>
    <row r="2572">
      <c r="A2572" s="44" t="s">
        <v>2566</v>
      </c>
      <c r="B2572" s="45" t="s">
        <v>2264</v>
      </c>
      <c r="C2572" s="46" t="s">
        <v>2148</v>
      </c>
      <c r="D2572" s="47" t="str">
        <f t="shared" si="1"/>
        <v>Removed</v>
      </c>
      <c r="E2572" s="48">
        <v>41338.0</v>
      </c>
      <c r="F2572" s="49">
        <v>41365.0</v>
      </c>
      <c r="G2572" s="50">
        <f t="shared" si="2"/>
        <v>0.8666666667</v>
      </c>
      <c r="H2572" s="51">
        <v>41142.0</v>
      </c>
      <c r="I2572" s="50">
        <f t="shared" si="4"/>
        <v>0.5388888889</v>
      </c>
      <c r="J2572" s="55">
        <v>78.0</v>
      </c>
      <c r="K2572" s="56">
        <v>8.1</v>
      </c>
      <c r="L2572" s="55">
        <v>40.0</v>
      </c>
      <c r="M2572" s="58" t="s">
        <v>42</v>
      </c>
      <c r="N2572" s="59"/>
      <c r="O2572" s="60" t="s">
        <v>34</v>
      </c>
      <c r="P2572" s="61"/>
    </row>
    <row r="2573">
      <c r="A2573" s="29" t="s">
        <v>930</v>
      </c>
      <c r="B2573" s="30" t="s">
        <v>442</v>
      </c>
      <c r="C2573" s="31" t="s">
        <v>2148</v>
      </c>
      <c r="D2573" s="32" t="str">
        <f t="shared" si="1"/>
        <v>Removed</v>
      </c>
      <c r="E2573" s="33">
        <v>41338.0</v>
      </c>
      <c r="F2573" s="34">
        <v>41365.0</v>
      </c>
      <c r="G2573" s="36">
        <f t="shared" si="2"/>
        <v>0.8666666667</v>
      </c>
      <c r="H2573" s="37">
        <v>41165.0</v>
      </c>
      <c r="I2573" s="36">
        <f t="shared" si="4"/>
        <v>0.4777777778</v>
      </c>
      <c r="J2573" s="38">
        <v>82.0</v>
      </c>
      <c r="K2573" s="39">
        <v>7.7</v>
      </c>
      <c r="L2573" s="38">
        <v>7.0</v>
      </c>
      <c r="M2573" s="40" t="s">
        <v>95</v>
      </c>
      <c r="N2573" s="41"/>
      <c r="O2573" s="42" t="s">
        <v>34</v>
      </c>
      <c r="P2573" s="43"/>
    </row>
    <row r="2574">
      <c r="A2574" s="44" t="s">
        <v>2083</v>
      </c>
      <c r="B2574" s="45" t="s">
        <v>442</v>
      </c>
      <c r="C2574" s="46" t="s">
        <v>2148</v>
      </c>
      <c r="D2574" s="47" t="str">
        <f t="shared" si="1"/>
        <v>Removed</v>
      </c>
      <c r="E2574" s="48">
        <v>41338.0</v>
      </c>
      <c r="F2574" s="49">
        <v>41365.0</v>
      </c>
      <c r="G2574" s="50">
        <f t="shared" si="2"/>
        <v>0.8666666667</v>
      </c>
      <c r="H2574" s="51">
        <v>41086.0</v>
      </c>
      <c r="I2574" s="50">
        <f t="shared" si="4"/>
        <v>0.6916666667</v>
      </c>
      <c r="J2574" s="55">
        <v>76.0</v>
      </c>
      <c r="K2574" s="56">
        <v>8.2</v>
      </c>
      <c r="L2574" s="55">
        <v>7.0</v>
      </c>
      <c r="M2574" s="58" t="s">
        <v>31</v>
      </c>
      <c r="N2574" s="59"/>
      <c r="O2574" s="60" t="s">
        <v>34</v>
      </c>
      <c r="P2574" s="61"/>
    </row>
    <row r="2575">
      <c r="A2575" s="29" t="s">
        <v>2567</v>
      </c>
      <c r="B2575" s="30" t="s">
        <v>2264</v>
      </c>
      <c r="C2575" s="31" t="s">
        <v>2148</v>
      </c>
      <c r="D2575" s="32" t="str">
        <f t="shared" si="1"/>
        <v>Removed</v>
      </c>
      <c r="E2575" s="33">
        <v>41310.0</v>
      </c>
      <c r="F2575" s="34">
        <v>41337.0</v>
      </c>
      <c r="G2575" s="36">
        <f t="shared" si="2"/>
        <v>0.9666666667</v>
      </c>
      <c r="H2575" s="37">
        <v>39938.0</v>
      </c>
      <c r="I2575" s="36">
        <f t="shared" si="4"/>
        <v>3.75</v>
      </c>
      <c r="J2575" s="38">
        <v>87.0</v>
      </c>
      <c r="K2575" s="39">
        <v>8.7</v>
      </c>
      <c r="L2575" s="38">
        <v>6.0</v>
      </c>
      <c r="M2575" s="40" t="s">
        <v>103</v>
      </c>
      <c r="N2575" s="41"/>
      <c r="O2575" s="42" t="s">
        <v>34</v>
      </c>
      <c r="P2575" s="43"/>
    </row>
    <row r="2576">
      <c r="A2576" s="44" t="s">
        <v>2568</v>
      </c>
      <c r="B2576" s="45" t="s">
        <v>442</v>
      </c>
      <c r="C2576" s="46" t="s">
        <v>2148</v>
      </c>
      <c r="D2576" s="47" t="str">
        <f t="shared" si="1"/>
        <v>Removed</v>
      </c>
      <c r="E2576" s="48">
        <v>41310.0</v>
      </c>
      <c r="F2576" s="49">
        <v>41337.0</v>
      </c>
      <c r="G2576" s="50">
        <f t="shared" si="2"/>
        <v>0.9666666667</v>
      </c>
      <c r="H2576" s="51">
        <v>40470.0</v>
      </c>
      <c r="I2576" s="50">
        <f t="shared" si="4"/>
        <v>2.294444444</v>
      </c>
      <c r="J2576" s="55">
        <v>78.0</v>
      </c>
      <c r="K2576" s="56">
        <v>8.5</v>
      </c>
      <c r="L2576" s="55">
        <v>6.0</v>
      </c>
      <c r="M2576" s="58" t="s">
        <v>31</v>
      </c>
      <c r="N2576" s="59"/>
      <c r="O2576" s="60" t="s">
        <v>34</v>
      </c>
      <c r="P2576" s="61"/>
    </row>
    <row r="2577">
      <c r="A2577" s="29" t="s">
        <v>2569</v>
      </c>
      <c r="B2577" s="30" t="s">
        <v>115</v>
      </c>
      <c r="C2577" s="31" t="s">
        <v>2148</v>
      </c>
      <c r="D2577" s="32" t="str">
        <f t="shared" si="1"/>
        <v>Removed</v>
      </c>
      <c r="E2577" s="33">
        <v>41310.0</v>
      </c>
      <c r="F2577" s="34">
        <v>41337.0</v>
      </c>
      <c r="G2577" s="36">
        <f t="shared" si="2"/>
        <v>0.9666666667</v>
      </c>
      <c r="H2577" s="37">
        <v>38705.0</v>
      </c>
      <c r="I2577" s="36">
        <f t="shared" si="4"/>
        <v>7.127777778</v>
      </c>
      <c r="J2577" s="38">
        <v>79.0</v>
      </c>
      <c r="K2577" s="39">
        <v>8.0</v>
      </c>
      <c r="L2577" s="38">
        <v>4.0</v>
      </c>
      <c r="M2577" s="40" t="s">
        <v>27</v>
      </c>
      <c r="N2577" s="41"/>
      <c r="O2577" s="42" t="s">
        <v>34</v>
      </c>
      <c r="P2577" s="43"/>
    </row>
    <row r="2578">
      <c r="A2578" s="44" t="s">
        <v>2570</v>
      </c>
      <c r="B2578" s="45" t="s">
        <v>442</v>
      </c>
      <c r="C2578" s="46" t="s">
        <v>2148</v>
      </c>
      <c r="D2578" s="47" t="str">
        <f t="shared" si="1"/>
        <v>Removed</v>
      </c>
      <c r="E2578" s="48">
        <v>41310.0</v>
      </c>
      <c r="F2578" s="49">
        <v>41337.0</v>
      </c>
      <c r="G2578" s="50">
        <f t="shared" si="2"/>
        <v>0.9666666667</v>
      </c>
      <c r="H2578" s="51">
        <v>40995.0</v>
      </c>
      <c r="I2578" s="50">
        <f t="shared" si="4"/>
        <v>0.8555555556</v>
      </c>
      <c r="J2578" s="55">
        <v>79.0</v>
      </c>
      <c r="K2578" s="56">
        <v>7.4</v>
      </c>
      <c r="L2578" s="55">
        <v>5.0</v>
      </c>
      <c r="M2578" s="58" t="s">
        <v>136</v>
      </c>
      <c r="N2578" s="59"/>
      <c r="O2578" s="60" t="s">
        <v>34</v>
      </c>
      <c r="P2578" s="61"/>
    </row>
    <row r="2579">
      <c r="A2579" s="29" t="s">
        <v>2571</v>
      </c>
      <c r="B2579" s="30" t="s">
        <v>442</v>
      </c>
      <c r="C2579" s="31" t="s">
        <v>2148</v>
      </c>
      <c r="D2579" s="32" t="str">
        <f t="shared" si="1"/>
        <v>Removed</v>
      </c>
      <c r="E2579" s="33">
        <v>41310.0</v>
      </c>
      <c r="F2579" s="34">
        <v>41337.0</v>
      </c>
      <c r="G2579" s="36">
        <f t="shared" si="2"/>
        <v>0.9666666667</v>
      </c>
      <c r="H2579" s="37">
        <v>41247.0</v>
      </c>
      <c r="I2579" s="36">
        <f t="shared" si="4"/>
        <v>0.1694444444</v>
      </c>
      <c r="J2579" s="38">
        <v>56.0</v>
      </c>
      <c r="K2579" s="39">
        <v>5.8</v>
      </c>
      <c r="L2579" s="76"/>
      <c r="M2579" s="40" t="s">
        <v>103</v>
      </c>
      <c r="N2579" s="41"/>
      <c r="O2579" s="42" t="s">
        <v>34</v>
      </c>
      <c r="P2579" s="43"/>
    </row>
    <row r="2580">
      <c r="A2580" s="44" t="s">
        <v>2572</v>
      </c>
      <c r="B2580" s="45" t="s">
        <v>2264</v>
      </c>
      <c r="C2580" s="46" t="s">
        <v>2148</v>
      </c>
      <c r="D2580" s="47" t="str">
        <f t="shared" si="1"/>
        <v>Removed</v>
      </c>
      <c r="E2580" s="48">
        <v>41275.0</v>
      </c>
      <c r="F2580" s="49">
        <v>41309.0</v>
      </c>
      <c r="G2580" s="50">
        <f t="shared" si="2"/>
        <v>1.1</v>
      </c>
      <c r="H2580" s="51">
        <v>40960.0</v>
      </c>
      <c r="I2580" s="50">
        <f t="shared" si="4"/>
        <v>0.8611111111</v>
      </c>
      <c r="J2580" s="55">
        <v>72.0</v>
      </c>
      <c r="K2580" s="56">
        <v>7.7</v>
      </c>
      <c r="L2580" s="55">
        <v>16.0</v>
      </c>
      <c r="M2580" s="58" t="s">
        <v>29</v>
      </c>
      <c r="N2580" s="59"/>
      <c r="O2580" s="60" t="s">
        <v>34</v>
      </c>
      <c r="P2580" s="61"/>
    </row>
    <row r="2581">
      <c r="A2581" s="29" t="s">
        <v>2573</v>
      </c>
      <c r="B2581" s="30" t="s">
        <v>2255</v>
      </c>
      <c r="C2581" s="31" t="s">
        <v>2148</v>
      </c>
      <c r="D2581" s="32" t="str">
        <f t="shared" si="1"/>
        <v>Removed</v>
      </c>
      <c r="E2581" s="33">
        <v>41275.0</v>
      </c>
      <c r="F2581" s="34">
        <v>41309.0</v>
      </c>
      <c r="G2581" s="36">
        <f t="shared" si="2"/>
        <v>1.1</v>
      </c>
      <c r="H2581" s="37">
        <v>41170.0</v>
      </c>
      <c r="I2581" s="36">
        <f t="shared" si="4"/>
        <v>0.2861111111</v>
      </c>
      <c r="J2581" s="38">
        <v>65.0</v>
      </c>
      <c r="K2581" s="39">
        <v>6.7</v>
      </c>
      <c r="L2581" s="76"/>
      <c r="M2581" s="40" t="s">
        <v>125</v>
      </c>
      <c r="N2581" s="41"/>
      <c r="O2581" s="42" t="s">
        <v>34</v>
      </c>
      <c r="P2581" s="43"/>
    </row>
    <row r="2582">
      <c r="A2582" s="44" t="s">
        <v>2574</v>
      </c>
      <c r="B2582" s="45" t="s">
        <v>442</v>
      </c>
      <c r="C2582" s="46" t="s">
        <v>2148</v>
      </c>
      <c r="D2582" s="47" t="str">
        <f t="shared" si="1"/>
        <v>Removed</v>
      </c>
      <c r="E2582" s="48">
        <v>41275.0</v>
      </c>
      <c r="F2582" s="49">
        <v>41309.0</v>
      </c>
      <c r="G2582" s="50">
        <f t="shared" si="2"/>
        <v>1.1</v>
      </c>
      <c r="H2582" s="51">
        <v>40183.0</v>
      </c>
      <c r="I2582" s="50">
        <f t="shared" si="4"/>
        <v>2.988888889</v>
      </c>
      <c r="J2582" s="55">
        <v>83.0</v>
      </c>
      <c r="K2582" s="56">
        <v>8.1</v>
      </c>
      <c r="L2582" s="55">
        <v>17.0</v>
      </c>
      <c r="M2582" s="58" t="s">
        <v>29</v>
      </c>
      <c r="N2582" s="59"/>
      <c r="O2582" s="60" t="s">
        <v>34</v>
      </c>
      <c r="P2582" s="61"/>
    </row>
    <row r="2583">
      <c r="A2583" s="29" t="s">
        <v>2575</v>
      </c>
      <c r="B2583" s="30" t="s">
        <v>442</v>
      </c>
      <c r="C2583" s="31" t="s">
        <v>2148</v>
      </c>
      <c r="D2583" s="32" t="str">
        <f t="shared" si="1"/>
        <v>Removed</v>
      </c>
      <c r="E2583" s="33">
        <v>41275.0</v>
      </c>
      <c r="F2583" s="34">
        <v>41309.0</v>
      </c>
      <c r="G2583" s="36">
        <f t="shared" si="2"/>
        <v>1.1</v>
      </c>
      <c r="H2583" s="37">
        <v>40242.0</v>
      </c>
      <c r="I2583" s="36">
        <f t="shared" si="4"/>
        <v>2.822222222</v>
      </c>
      <c r="J2583" s="38">
        <v>82.0</v>
      </c>
      <c r="K2583" s="39">
        <v>7.8</v>
      </c>
      <c r="L2583" s="38">
        <v>5.0</v>
      </c>
      <c r="M2583" s="40" t="s">
        <v>27</v>
      </c>
      <c r="N2583" s="41"/>
      <c r="O2583" s="42" t="s">
        <v>34</v>
      </c>
      <c r="P2583" s="43"/>
    </row>
    <row r="2584">
      <c r="A2584" s="44" t="s">
        <v>2576</v>
      </c>
      <c r="B2584" s="45" t="s">
        <v>442</v>
      </c>
      <c r="C2584" s="46" t="s">
        <v>2148</v>
      </c>
      <c r="D2584" s="47" t="str">
        <f t="shared" si="1"/>
        <v>Removed</v>
      </c>
      <c r="E2584" s="48">
        <v>41275.0</v>
      </c>
      <c r="F2584" s="49">
        <v>41309.0</v>
      </c>
      <c r="G2584" s="50">
        <f t="shared" si="2"/>
        <v>1.1</v>
      </c>
      <c r="H2584" s="51">
        <v>39713.0</v>
      </c>
      <c r="I2584" s="50">
        <f t="shared" si="4"/>
        <v>4.275</v>
      </c>
      <c r="J2584" s="55">
        <v>82.0</v>
      </c>
      <c r="K2584" s="56">
        <v>7.8</v>
      </c>
      <c r="L2584" s="55">
        <v>5.0</v>
      </c>
      <c r="M2584" s="58" t="s">
        <v>27</v>
      </c>
      <c r="N2584" s="59"/>
      <c r="O2584" s="60" t="s">
        <v>34</v>
      </c>
      <c r="P2584" s="61"/>
    </row>
    <row r="2585">
      <c r="A2585" s="29" t="s">
        <v>2577</v>
      </c>
      <c r="B2585" s="30" t="s">
        <v>2264</v>
      </c>
      <c r="C2585" s="31" t="s">
        <v>2148</v>
      </c>
      <c r="D2585" s="32" t="str">
        <f t="shared" si="1"/>
        <v>Removed</v>
      </c>
      <c r="E2585" s="33">
        <v>41247.0</v>
      </c>
      <c r="F2585" s="34">
        <v>41274.0</v>
      </c>
      <c r="G2585" s="36">
        <f t="shared" si="2"/>
        <v>0.8666666667</v>
      </c>
      <c r="H2585" s="37">
        <v>41226.0</v>
      </c>
      <c r="I2585" s="36">
        <f t="shared" si="4"/>
        <v>0.05833333333</v>
      </c>
      <c r="J2585" s="38">
        <v>51.0</v>
      </c>
      <c r="K2585" s="39">
        <v>5.8</v>
      </c>
      <c r="L2585" s="38">
        <v>4.0</v>
      </c>
      <c r="M2585" s="40" t="s">
        <v>136</v>
      </c>
      <c r="N2585" s="41"/>
      <c r="O2585" s="42" t="s">
        <v>34</v>
      </c>
      <c r="P2585" s="43"/>
    </row>
    <row r="2586">
      <c r="A2586" s="44" t="s">
        <v>2578</v>
      </c>
      <c r="B2586" s="45" t="s">
        <v>442</v>
      </c>
      <c r="C2586" s="46" t="s">
        <v>2148</v>
      </c>
      <c r="D2586" s="47" t="str">
        <f t="shared" si="1"/>
        <v>Removed</v>
      </c>
      <c r="E2586" s="48">
        <v>41247.0</v>
      </c>
      <c r="F2586" s="49">
        <v>41274.0</v>
      </c>
      <c r="G2586" s="50">
        <f t="shared" si="2"/>
        <v>0.8666666667</v>
      </c>
      <c r="H2586" s="51">
        <v>40820.0</v>
      </c>
      <c r="I2586" s="50">
        <f t="shared" si="4"/>
        <v>1.166666667</v>
      </c>
      <c r="J2586" s="55">
        <v>82.0</v>
      </c>
      <c r="K2586" s="56">
        <v>8.3</v>
      </c>
      <c r="L2586" s="78"/>
      <c r="M2586" s="58" t="s">
        <v>125</v>
      </c>
      <c r="N2586" s="59"/>
      <c r="O2586" s="60" t="s">
        <v>34</v>
      </c>
      <c r="P2586" s="61"/>
    </row>
    <row r="2587">
      <c r="A2587" s="29" t="s">
        <v>2579</v>
      </c>
      <c r="B2587" s="30" t="s">
        <v>2255</v>
      </c>
      <c r="C2587" s="31" t="s">
        <v>2148</v>
      </c>
      <c r="D2587" s="32" t="str">
        <f t="shared" si="1"/>
        <v>Removed</v>
      </c>
      <c r="E2587" s="33">
        <v>41247.0</v>
      </c>
      <c r="F2587" s="34">
        <v>41274.0</v>
      </c>
      <c r="G2587" s="36">
        <f t="shared" si="2"/>
        <v>0.8666666667</v>
      </c>
      <c r="H2587" s="37">
        <v>41191.0</v>
      </c>
      <c r="I2587" s="36">
        <f t="shared" si="4"/>
        <v>0.1527777778</v>
      </c>
      <c r="J2587" s="38">
        <v>79.0</v>
      </c>
      <c r="K2587" s="39">
        <v>7.7</v>
      </c>
      <c r="L2587" s="38">
        <v>5.0</v>
      </c>
      <c r="M2587" s="40" t="s">
        <v>29</v>
      </c>
      <c r="N2587" s="41"/>
      <c r="O2587" s="42" t="s">
        <v>34</v>
      </c>
      <c r="P2587" s="43"/>
    </row>
    <row r="2588">
      <c r="A2588" s="44" t="s">
        <v>972</v>
      </c>
      <c r="B2588" s="45" t="s">
        <v>442</v>
      </c>
      <c r="C2588" s="46" t="s">
        <v>2148</v>
      </c>
      <c r="D2588" s="47" t="str">
        <f t="shared" si="1"/>
        <v>Removed</v>
      </c>
      <c r="E2588" s="48">
        <v>41247.0</v>
      </c>
      <c r="F2588" s="49">
        <v>41274.0</v>
      </c>
      <c r="G2588" s="50">
        <f t="shared" si="2"/>
        <v>0.8666666667</v>
      </c>
      <c r="H2588" s="51">
        <v>40641.0</v>
      </c>
      <c r="I2588" s="50">
        <f t="shared" si="4"/>
        <v>1.655555556</v>
      </c>
      <c r="J2588" s="55">
        <v>80.0</v>
      </c>
      <c r="K2588" s="56">
        <v>7.7</v>
      </c>
      <c r="L2588" s="55">
        <v>7.0</v>
      </c>
      <c r="M2588" s="58" t="s">
        <v>103</v>
      </c>
      <c r="N2588" s="59"/>
      <c r="O2588" s="60" t="s">
        <v>34</v>
      </c>
      <c r="P2588" s="61"/>
    </row>
    <row r="2589">
      <c r="A2589" s="29" t="s">
        <v>2580</v>
      </c>
      <c r="B2589" s="30" t="s">
        <v>442</v>
      </c>
      <c r="C2589" s="31" t="s">
        <v>2148</v>
      </c>
      <c r="D2589" s="32" t="str">
        <f t="shared" si="1"/>
        <v>Removed</v>
      </c>
      <c r="E2589" s="33">
        <v>41247.0</v>
      </c>
      <c r="F2589" s="34">
        <v>41274.0</v>
      </c>
      <c r="G2589" s="36">
        <f t="shared" si="2"/>
        <v>0.8666666667</v>
      </c>
      <c r="H2589" s="37">
        <v>40862.0</v>
      </c>
      <c r="I2589" s="36">
        <f t="shared" si="4"/>
        <v>1.052777778</v>
      </c>
      <c r="J2589" s="38">
        <v>75.0</v>
      </c>
      <c r="K2589" s="39">
        <v>7.3</v>
      </c>
      <c r="L2589" s="38">
        <v>5.0</v>
      </c>
      <c r="M2589" s="40" t="s">
        <v>27</v>
      </c>
      <c r="N2589" s="41"/>
      <c r="O2589" s="42" t="s">
        <v>34</v>
      </c>
      <c r="P2589" s="43"/>
    </row>
    <row r="2590">
      <c r="A2590" s="44" t="s">
        <v>2581</v>
      </c>
      <c r="B2590" s="45" t="s">
        <v>442</v>
      </c>
      <c r="C2590" s="46" t="s">
        <v>2148</v>
      </c>
      <c r="D2590" s="47" t="str">
        <f t="shared" si="1"/>
        <v>Removed</v>
      </c>
      <c r="E2590" s="48">
        <v>41247.0</v>
      </c>
      <c r="F2590" s="49">
        <v>41274.0</v>
      </c>
      <c r="G2590" s="50">
        <f t="shared" si="2"/>
        <v>0.8666666667</v>
      </c>
      <c r="H2590" s="51">
        <v>40701.0</v>
      </c>
      <c r="I2590" s="50">
        <f t="shared" si="4"/>
        <v>1.491666667</v>
      </c>
      <c r="J2590" s="55">
        <v>84.0</v>
      </c>
      <c r="K2590" s="56">
        <v>7.9</v>
      </c>
      <c r="L2590" s="78"/>
      <c r="M2590" s="58" t="s">
        <v>114</v>
      </c>
      <c r="N2590" s="59"/>
      <c r="O2590" s="60" t="s">
        <v>34</v>
      </c>
      <c r="P2590" s="61"/>
    </row>
    <row r="2591">
      <c r="A2591" s="29" t="s">
        <v>2582</v>
      </c>
      <c r="B2591" s="30" t="s">
        <v>442</v>
      </c>
      <c r="C2591" s="31" t="s">
        <v>2148</v>
      </c>
      <c r="D2591" s="32" t="str">
        <f t="shared" si="1"/>
        <v>Removed</v>
      </c>
      <c r="E2591" s="33">
        <v>41247.0</v>
      </c>
      <c r="F2591" s="34">
        <v>41274.0</v>
      </c>
      <c r="G2591" s="36">
        <f t="shared" si="2"/>
        <v>0.8666666667</v>
      </c>
      <c r="H2591" s="37">
        <v>40218.0</v>
      </c>
      <c r="I2591" s="36">
        <f t="shared" si="4"/>
        <v>2.819444444</v>
      </c>
      <c r="J2591" s="38">
        <v>88.0</v>
      </c>
      <c r="K2591" s="39">
        <v>8.0</v>
      </c>
      <c r="L2591" s="38">
        <v>11.0</v>
      </c>
      <c r="M2591" s="40" t="s">
        <v>31</v>
      </c>
      <c r="N2591" s="41"/>
      <c r="O2591" s="42" t="s">
        <v>34</v>
      </c>
      <c r="P2591" s="43"/>
    </row>
    <row r="2592">
      <c r="A2592" s="44" t="s">
        <v>2583</v>
      </c>
      <c r="B2592" s="45" t="s">
        <v>442</v>
      </c>
      <c r="C2592" s="46" t="s">
        <v>2148</v>
      </c>
      <c r="D2592" s="47" t="str">
        <f t="shared" si="1"/>
        <v>Removed</v>
      </c>
      <c r="E2592" s="48">
        <v>41219.0</v>
      </c>
      <c r="F2592" s="49">
        <v>41246.0</v>
      </c>
      <c r="G2592" s="50">
        <f t="shared" si="2"/>
        <v>0.9</v>
      </c>
      <c r="H2592" s="51">
        <v>40715.0</v>
      </c>
      <c r="I2592" s="50">
        <f t="shared" si="4"/>
        <v>1.375</v>
      </c>
      <c r="J2592" s="55">
        <v>69.0</v>
      </c>
      <c r="K2592" s="56">
        <v>7.9</v>
      </c>
      <c r="L2592" s="55">
        <v>4.0</v>
      </c>
      <c r="M2592" s="58" t="s">
        <v>27</v>
      </c>
      <c r="N2592" s="59"/>
      <c r="O2592" s="60" t="s">
        <v>34</v>
      </c>
      <c r="P2592" s="61"/>
    </row>
    <row r="2593">
      <c r="A2593" s="29" t="s">
        <v>2584</v>
      </c>
      <c r="B2593" s="30" t="s">
        <v>442</v>
      </c>
      <c r="C2593" s="31" t="s">
        <v>2148</v>
      </c>
      <c r="D2593" s="32" t="str">
        <f t="shared" si="1"/>
        <v>Removed</v>
      </c>
      <c r="E2593" s="33">
        <v>41219.0</v>
      </c>
      <c r="F2593" s="34">
        <v>41246.0</v>
      </c>
      <c r="G2593" s="36">
        <f t="shared" si="2"/>
        <v>0.9</v>
      </c>
      <c r="H2593" s="37">
        <v>40714.0</v>
      </c>
      <c r="I2593" s="36">
        <f t="shared" si="4"/>
        <v>1.377777778</v>
      </c>
      <c r="J2593" s="38">
        <v>50.0</v>
      </c>
      <c r="K2593" s="39">
        <v>7.2</v>
      </c>
      <c r="L2593" s="38">
        <v>3.0</v>
      </c>
      <c r="M2593" s="40" t="s">
        <v>27</v>
      </c>
      <c r="N2593" s="41"/>
      <c r="O2593" s="42" t="s">
        <v>34</v>
      </c>
      <c r="P2593" s="43"/>
    </row>
    <row r="2594">
      <c r="A2594" s="44" t="s">
        <v>2585</v>
      </c>
      <c r="B2594" s="45" t="s">
        <v>115</v>
      </c>
      <c r="C2594" s="46" t="s">
        <v>2148</v>
      </c>
      <c r="D2594" s="47" t="str">
        <f t="shared" si="1"/>
        <v>Removed</v>
      </c>
      <c r="E2594" s="48">
        <v>41219.0</v>
      </c>
      <c r="F2594" s="49">
        <v>41246.0</v>
      </c>
      <c r="G2594" s="50">
        <f t="shared" si="2"/>
        <v>0.9</v>
      </c>
      <c r="H2594" s="51">
        <v>39212.0</v>
      </c>
      <c r="I2594" s="50">
        <f t="shared" si="4"/>
        <v>5.488888889</v>
      </c>
      <c r="J2594" s="55">
        <v>88.0</v>
      </c>
      <c r="K2594" s="56">
        <v>8.8</v>
      </c>
      <c r="L2594" s="55">
        <v>40.0</v>
      </c>
      <c r="M2594" s="58" t="s">
        <v>42</v>
      </c>
      <c r="N2594" s="59"/>
      <c r="O2594" s="60" t="s">
        <v>34</v>
      </c>
      <c r="P2594" s="61"/>
    </row>
    <row r="2595">
      <c r="A2595" s="29" t="s">
        <v>2586</v>
      </c>
      <c r="B2595" s="30" t="s">
        <v>2264</v>
      </c>
      <c r="C2595" s="31" t="s">
        <v>2148</v>
      </c>
      <c r="D2595" s="32" t="str">
        <f t="shared" si="1"/>
        <v>Removed</v>
      </c>
      <c r="E2595" s="33">
        <v>41219.0</v>
      </c>
      <c r="F2595" s="34">
        <v>41246.0</v>
      </c>
      <c r="G2595" s="36">
        <f t="shared" si="2"/>
        <v>0.9</v>
      </c>
      <c r="H2595" s="37">
        <v>40953.0</v>
      </c>
      <c r="I2595" s="36">
        <f t="shared" si="4"/>
        <v>0.7277777778</v>
      </c>
      <c r="J2595" s="38">
        <v>79.0</v>
      </c>
      <c r="K2595" s="39">
        <v>7.7</v>
      </c>
      <c r="L2595" s="38">
        <v>10.0</v>
      </c>
      <c r="M2595" s="40" t="s">
        <v>95</v>
      </c>
      <c r="N2595" s="41"/>
      <c r="O2595" s="42" t="s">
        <v>34</v>
      </c>
      <c r="P2595" s="43"/>
    </row>
    <row r="2596">
      <c r="A2596" s="44" t="s">
        <v>2587</v>
      </c>
      <c r="B2596" s="45" t="s">
        <v>2264</v>
      </c>
      <c r="C2596" s="46" t="s">
        <v>2148</v>
      </c>
      <c r="D2596" s="47" t="str">
        <f t="shared" si="1"/>
        <v>Removed</v>
      </c>
      <c r="E2596" s="48">
        <v>41219.0</v>
      </c>
      <c r="F2596" s="49">
        <v>41246.0</v>
      </c>
      <c r="G2596" s="50">
        <f t="shared" si="2"/>
        <v>0.9</v>
      </c>
      <c r="H2596" s="51">
        <v>40954.0</v>
      </c>
      <c r="I2596" s="50">
        <f t="shared" si="4"/>
        <v>0.725</v>
      </c>
      <c r="J2596" s="55">
        <v>80.0</v>
      </c>
      <c r="K2596" s="56">
        <v>8.0</v>
      </c>
      <c r="L2596" s="55">
        <v>12.0</v>
      </c>
      <c r="M2596" s="58" t="s">
        <v>29</v>
      </c>
      <c r="N2596" s="59"/>
      <c r="O2596" s="60" t="s">
        <v>34</v>
      </c>
      <c r="P2596" s="61"/>
    </row>
    <row r="2597">
      <c r="A2597" s="29" t="s">
        <v>893</v>
      </c>
      <c r="B2597" s="30" t="s">
        <v>2264</v>
      </c>
      <c r="C2597" s="31" t="s">
        <v>2148</v>
      </c>
      <c r="D2597" s="32" t="str">
        <f t="shared" si="1"/>
        <v>Removed</v>
      </c>
      <c r="E2597" s="33">
        <v>41219.0</v>
      </c>
      <c r="F2597" s="34">
        <v>41246.0</v>
      </c>
      <c r="G2597" s="36">
        <f t="shared" si="2"/>
        <v>0.9</v>
      </c>
      <c r="H2597" s="37">
        <v>40960.0</v>
      </c>
      <c r="I2597" s="36">
        <f t="shared" si="4"/>
        <v>0.7083333333</v>
      </c>
      <c r="J2597" s="38">
        <v>83.0</v>
      </c>
      <c r="K2597" s="39">
        <v>7.7</v>
      </c>
      <c r="L2597" s="38">
        <v>4.0</v>
      </c>
      <c r="M2597" s="40" t="s">
        <v>27</v>
      </c>
      <c r="N2597" s="41"/>
      <c r="O2597" s="42" t="s">
        <v>34</v>
      </c>
      <c r="P2597" s="43"/>
    </row>
    <row r="2598">
      <c r="A2598" s="44" t="s">
        <v>2545</v>
      </c>
      <c r="B2598" s="45" t="s">
        <v>2264</v>
      </c>
      <c r="C2598" s="46" t="s">
        <v>2148</v>
      </c>
      <c r="D2598" s="47" t="str">
        <f t="shared" si="1"/>
        <v>Removed</v>
      </c>
      <c r="E2598" s="48">
        <v>41219.0</v>
      </c>
      <c r="F2598" s="49">
        <v>41246.0</v>
      </c>
      <c r="G2598" s="50">
        <f t="shared" si="2"/>
        <v>0.9</v>
      </c>
      <c r="H2598" s="51">
        <v>41170.0</v>
      </c>
      <c r="I2598" s="50">
        <f t="shared" si="4"/>
        <v>0.1333333333</v>
      </c>
      <c r="J2598" s="55">
        <v>78.0</v>
      </c>
      <c r="K2598" s="56">
        <v>7.7</v>
      </c>
      <c r="L2598" s="55">
        <v>9.0</v>
      </c>
      <c r="M2598" s="58" t="s">
        <v>29</v>
      </c>
      <c r="N2598" s="59"/>
      <c r="O2598" s="60" t="s">
        <v>34</v>
      </c>
      <c r="P2598" s="61"/>
    </row>
    <row r="2599">
      <c r="A2599" s="29" t="s">
        <v>2588</v>
      </c>
      <c r="B2599" s="30" t="s">
        <v>2264</v>
      </c>
      <c r="C2599" s="31" t="s">
        <v>2148</v>
      </c>
      <c r="D2599" s="32" t="str">
        <f t="shared" si="1"/>
        <v>Removed</v>
      </c>
      <c r="E2599" s="33">
        <v>41219.0</v>
      </c>
      <c r="F2599" s="34">
        <v>41246.0</v>
      </c>
      <c r="G2599" s="36">
        <f t="shared" si="2"/>
        <v>0.9</v>
      </c>
      <c r="H2599" s="37">
        <v>41072.0</v>
      </c>
      <c r="I2599" s="36">
        <f t="shared" si="4"/>
        <v>0.4</v>
      </c>
      <c r="J2599" s="38">
        <v>83.0</v>
      </c>
      <c r="K2599" s="39">
        <v>8.2</v>
      </c>
      <c r="L2599" s="38">
        <v>12.0</v>
      </c>
      <c r="M2599" s="40" t="s">
        <v>29</v>
      </c>
      <c r="N2599" s="41"/>
      <c r="O2599" s="42" t="s">
        <v>34</v>
      </c>
      <c r="P2599" s="43"/>
    </row>
    <row r="2600">
      <c r="A2600" s="44" t="s">
        <v>1053</v>
      </c>
      <c r="B2600" s="45" t="s">
        <v>442</v>
      </c>
      <c r="C2600" s="46" t="s">
        <v>2148</v>
      </c>
      <c r="D2600" s="47" t="str">
        <f t="shared" si="1"/>
        <v>Removed</v>
      </c>
      <c r="E2600" s="48">
        <v>41219.0</v>
      </c>
      <c r="F2600" s="49">
        <v>41246.0</v>
      </c>
      <c r="G2600" s="50">
        <f t="shared" si="2"/>
        <v>0.9</v>
      </c>
      <c r="H2600" s="51">
        <v>40610.0</v>
      </c>
      <c r="I2600" s="50">
        <f t="shared" si="4"/>
        <v>1.661111111</v>
      </c>
      <c r="J2600" s="55">
        <v>84.0</v>
      </c>
      <c r="K2600" s="56">
        <v>7.8</v>
      </c>
      <c r="L2600" s="55">
        <v>16.0</v>
      </c>
      <c r="M2600" s="58" t="s">
        <v>537</v>
      </c>
      <c r="N2600" s="59"/>
      <c r="O2600" s="60" t="s">
        <v>34</v>
      </c>
      <c r="P2600" s="61"/>
    </row>
    <row r="2601">
      <c r="A2601" s="29" t="s">
        <v>2589</v>
      </c>
      <c r="B2601" s="30" t="s">
        <v>442</v>
      </c>
      <c r="C2601" s="31" t="s">
        <v>2148</v>
      </c>
      <c r="D2601" s="32" t="str">
        <f t="shared" si="1"/>
        <v>Removed</v>
      </c>
      <c r="E2601" s="33">
        <v>41219.0</v>
      </c>
      <c r="F2601" s="34">
        <v>41246.0</v>
      </c>
      <c r="G2601" s="36">
        <f t="shared" si="2"/>
        <v>0.9</v>
      </c>
      <c r="H2601" s="37">
        <v>41081.0</v>
      </c>
      <c r="I2601" s="36">
        <f t="shared" si="4"/>
        <v>0.375</v>
      </c>
      <c r="J2601" s="38">
        <v>77.0</v>
      </c>
      <c r="K2601" s="39">
        <v>7.1</v>
      </c>
      <c r="L2601" s="38">
        <v>6.0</v>
      </c>
      <c r="M2601" s="40" t="s">
        <v>136</v>
      </c>
      <c r="N2601" s="41"/>
      <c r="O2601" s="42" t="s">
        <v>34</v>
      </c>
      <c r="P2601" s="43"/>
    </row>
    <row r="2602">
      <c r="A2602" s="44" t="s">
        <v>2590</v>
      </c>
      <c r="B2602" s="45" t="s">
        <v>442</v>
      </c>
      <c r="C2602" s="46" t="s">
        <v>2148</v>
      </c>
      <c r="D2602" s="47" t="str">
        <f t="shared" si="1"/>
        <v>Removed</v>
      </c>
      <c r="E2602" s="48">
        <v>41219.0</v>
      </c>
      <c r="F2602" s="49">
        <v>41246.0</v>
      </c>
      <c r="G2602" s="50">
        <f t="shared" si="2"/>
        <v>0.9</v>
      </c>
      <c r="H2602" s="51">
        <v>40834.0</v>
      </c>
      <c r="I2602" s="50">
        <f t="shared" si="4"/>
        <v>1.05</v>
      </c>
      <c r="J2602" s="55">
        <v>81.0</v>
      </c>
      <c r="K2602" s="56">
        <v>7.6</v>
      </c>
      <c r="L2602" s="55">
        <v>20.0</v>
      </c>
      <c r="M2602" s="58" t="s">
        <v>103</v>
      </c>
      <c r="N2602" s="59"/>
      <c r="O2602" s="60" t="s">
        <v>34</v>
      </c>
      <c r="P2602" s="61"/>
    </row>
    <row r="2603">
      <c r="A2603" s="29" t="s">
        <v>2591</v>
      </c>
      <c r="B2603" s="30" t="s">
        <v>442</v>
      </c>
      <c r="C2603" s="31" t="s">
        <v>2148</v>
      </c>
      <c r="D2603" s="32" t="str">
        <f t="shared" si="1"/>
        <v>Removed</v>
      </c>
      <c r="E2603" s="33">
        <v>41184.0</v>
      </c>
      <c r="F2603" s="34">
        <v>41218.0</v>
      </c>
      <c r="G2603" s="36">
        <f t="shared" si="2"/>
        <v>1.1</v>
      </c>
      <c r="H2603" s="37">
        <v>40869.0</v>
      </c>
      <c r="I2603" s="36">
        <f t="shared" si="4"/>
        <v>0.8611111111</v>
      </c>
      <c r="J2603" s="38">
        <v>77.0</v>
      </c>
      <c r="K2603" s="39">
        <v>7.8</v>
      </c>
      <c r="L2603" s="76"/>
      <c r="M2603" s="40" t="s">
        <v>114</v>
      </c>
      <c r="N2603" s="41"/>
      <c r="O2603" s="42" t="s">
        <v>34</v>
      </c>
      <c r="P2603" s="43"/>
    </row>
    <row r="2604">
      <c r="A2604" s="44" t="s">
        <v>2592</v>
      </c>
      <c r="B2604" s="45" t="s">
        <v>442</v>
      </c>
      <c r="C2604" s="46" t="s">
        <v>2148</v>
      </c>
      <c r="D2604" s="47" t="str">
        <f t="shared" si="1"/>
        <v>Removed</v>
      </c>
      <c r="E2604" s="48">
        <v>41184.0</v>
      </c>
      <c r="F2604" s="49">
        <v>41218.0</v>
      </c>
      <c r="G2604" s="50">
        <f t="shared" si="2"/>
        <v>1.1</v>
      </c>
      <c r="H2604" s="51">
        <v>40834.0</v>
      </c>
      <c r="I2604" s="50">
        <f t="shared" si="4"/>
        <v>0.9555555556</v>
      </c>
      <c r="J2604" s="55">
        <v>77.0</v>
      </c>
      <c r="K2604" s="56">
        <v>7.8</v>
      </c>
      <c r="L2604" s="55">
        <v>14.0</v>
      </c>
      <c r="M2604" s="58" t="s">
        <v>31</v>
      </c>
      <c r="N2604" s="59"/>
      <c r="O2604" s="60" t="s">
        <v>34</v>
      </c>
      <c r="P2604" s="61"/>
    </row>
    <row r="2605">
      <c r="A2605" s="29" t="s">
        <v>2593</v>
      </c>
      <c r="B2605" s="30" t="s">
        <v>442</v>
      </c>
      <c r="C2605" s="31" t="s">
        <v>2148</v>
      </c>
      <c r="D2605" s="32" t="str">
        <f t="shared" si="1"/>
        <v>Removed</v>
      </c>
      <c r="E2605" s="33">
        <v>41184.0</v>
      </c>
      <c r="F2605" s="34">
        <v>41218.0</v>
      </c>
      <c r="G2605" s="36">
        <f t="shared" si="2"/>
        <v>1.1</v>
      </c>
      <c r="H2605" s="37">
        <v>40911.0</v>
      </c>
      <c r="I2605" s="36">
        <f t="shared" si="4"/>
        <v>0.7472222222</v>
      </c>
      <c r="J2605" s="38">
        <v>76.0</v>
      </c>
      <c r="K2605" s="39">
        <v>7.5</v>
      </c>
      <c r="L2605" s="76"/>
      <c r="M2605" s="40" t="s">
        <v>125</v>
      </c>
      <c r="N2605" s="41"/>
      <c r="O2605" s="42" t="s">
        <v>34</v>
      </c>
      <c r="P2605" s="43"/>
    </row>
    <row r="2606">
      <c r="A2606" s="44" t="s">
        <v>922</v>
      </c>
      <c r="B2606" s="45" t="s">
        <v>442</v>
      </c>
      <c r="C2606" s="46" t="s">
        <v>2148</v>
      </c>
      <c r="D2606" s="47" t="str">
        <f t="shared" si="1"/>
        <v>Removed</v>
      </c>
      <c r="E2606" s="48">
        <v>41163.0</v>
      </c>
      <c r="F2606" s="49">
        <v>41183.0</v>
      </c>
      <c r="G2606" s="50">
        <f t="shared" si="2"/>
        <v>0.6666666667</v>
      </c>
      <c r="H2606" s="51">
        <v>41163.0</v>
      </c>
      <c r="I2606" s="50">
        <f t="shared" si="4"/>
        <v>0</v>
      </c>
      <c r="J2606" s="55">
        <v>70.0</v>
      </c>
      <c r="K2606" s="56">
        <v>7.5</v>
      </c>
      <c r="L2606" s="55">
        <v>4.0</v>
      </c>
      <c r="M2606" s="58" t="s">
        <v>27</v>
      </c>
      <c r="N2606" s="59"/>
      <c r="O2606" s="60" t="s">
        <v>34</v>
      </c>
      <c r="P2606" s="61"/>
    </row>
    <row r="2607">
      <c r="A2607" s="29" t="s">
        <v>2594</v>
      </c>
      <c r="B2607" s="30" t="s">
        <v>442</v>
      </c>
      <c r="C2607" s="31" t="s">
        <v>2148</v>
      </c>
      <c r="D2607" s="32" t="str">
        <f t="shared" si="1"/>
        <v>Removed</v>
      </c>
      <c r="E2607" s="33">
        <v>41156.0</v>
      </c>
      <c r="F2607" s="34">
        <v>41183.0</v>
      </c>
      <c r="G2607" s="36">
        <f t="shared" si="2"/>
        <v>0.9</v>
      </c>
      <c r="H2607" s="37">
        <v>41149.0</v>
      </c>
      <c r="I2607" s="36">
        <f t="shared" si="4"/>
        <v>0.01666666667</v>
      </c>
      <c r="J2607" s="38">
        <v>68.0</v>
      </c>
      <c r="K2607" s="39">
        <v>7.1</v>
      </c>
      <c r="L2607" s="76"/>
      <c r="M2607" s="40" t="s">
        <v>125</v>
      </c>
      <c r="N2607" s="41" t="s">
        <v>2595</v>
      </c>
      <c r="O2607" s="42" t="s">
        <v>34</v>
      </c>
      <c r="P2607" s="43"/>
    </row>
    <row r="2608">
      <c r="A2608" s="44" t="s">
        <v>2596</v>
      </c>
      <c r="B2608" s="45" t="s">
        <v>442</v>
      </c>
      <c r="C2608" s="46" t="s">
        <v>2148</v>
      </c>
      <c r="D2608" s="47" t="str">
        <f t="shared" si="1"/>
        <v>Removed</v>
      </c>
      <c r="E2608" s="48">
        <v>41156.0</v>
      </c>
      <c r="F2608" s="49">
        <v>41183.0</v>
      </c>
      <c r="G2608" s="50">
        <f t="shared" si="2"/>
        <v>0.9</v>
      </c>
      <c r="H2608" s="51">
        <v>41037.0</v>
      </c>
      <c r="I2608" s="50">
        <f t="shared" si="4"/>
        <v>0.3222222222</v>
      </c>
      <c r="J2608" s="55">
        <v>75.0</v>
      </c>
      <c r="K2608" s="56">
        <v>7.4</v>
      </c>
      <c r="L2608" s="55">
        <v>8.0</v>
      </c>
      <c r="M2608" s="58" t="s">
        <v>31</v>
      </c>
      <c r="N2608" s="59"/>
      <c r="O2608" s="60" t="s">
        <v>34</v>
      </c>
      <c r="P2608" s="61"/>
    </row>
    <row r="2609">
      <c r="A2609" s="29" t="s">
        <v>2597</v>
      </c>
      <c r="B2609" s="30" t="s">
        <v>442</v>
      </c>
      <c r="C2609" s="31" t="s">
        <v>2148</v>
      </c>
      <c r="D2609" s="32" t="str">
        <f t="shared" si="1"/>
        <v>Removed</v>
      </c>
      <c r="E2609" s="33">
        <v>41156.0</v>
      </c>
      <c r="F2609" s="34">
        <v>41183.0</v>
      </c>
      <c r="G2609" s="36">
        <f t="shared" si="2"/>
        <v>0.9</v>
      </c>
      <c r="H2609" s="37">
        <v>40415.0</v>
      </c>
      <c r="I2609" s="36">
        <f t="shared" si="4"/>
        <v>2.025</v>
      </c>
      <c r="J2609" s="38">
        <v>78.0</v>
      </c>
      <c r="K2609" s="39">
        <v>8.0</v>
      </c>
      <c r="L2609" s="38">
        <v>5.0</v>
      </c>
      <c r="M2609" s="40" t="s">
        <v>27</v>
      </c>
      <c r="N2609" s="41"/>
      <c r="O2609" s="42" t="s">
        <v>34</v>
      </c>
      <c r="P2609" s="43"/>
    </row>
    <row r="2610">
      <c r="A2610" s="44" t="s">
        <v>2598</v>
      </c>
      <c r="B2610" s="45" t="s">
        <v>442</v>
      </c>
      <c r="C2610" s="46" t="s">
        <v>2148</v>
      </c>
      <c r="D2610" s="47" t="str">
        <f t="shared" si="1"/>
        <v>Removed</v>
      </c>
      <c r="E2610" s="48">
        <v>41156.0</v>
      </c>
      <c r="F2610" s="49">
        <v>41183.0</v>
      </c>
      <c r="G2610" s="50">
        <f t="shared" si="2"/>
        <v>0.9</v>
      </c>
      <c r="H2610" s="51">
        <v>40106.0</v>
      </c>
      <c r="I2610" s="50">
        <f t="shared" si="4"/>
        <v>2.872222222</v>
      </c>
      <c r="J2610" s="55">
        <v>81.0</v>
      </c>
      <c r="K2610" s="56">
        <v>8.1</v>
      </c>
      <c r="L2610" s="55">
        <v>23.0</v>
      </c>
      <c r="M2610" s="58" t="s">
        <v>31</v>
      </c>
      <c r="N2610" s="59"/>
      <c r="O2610" s="60" t="s">
        <v>34</v>
      </c>
      <c r="P2610" s="61"/>
    </row>
    <row r="2611">
      <c r="A2611" s="29" t="s">
        <v>2599</v>
      </c>
      <c r="B2611" s="30" t="s">
        <v>442</v>
      </c>
      <c r="C2611" s="31" t="s">
        <v>2148</v>
      </c>
      <c r="D2611" s="32" t="str">
        <f t="shared" si="1"/>
        <v>Removed</v>
      </c>
      <c r="E2611" s="33">
        <v>41128.0</v>
      </c>
      <c r="F2611" s="34">
        <v>41155.0</v>
      </c>
      <c r="G2611" s="36">
        <f t="shared" si="2"/>
        <v>0.8666666667</v>
      </c>
      <c r="H2611" s="37">
        <v>40659.0</v>
      </c>
      <c r="I2611" s="36">
        <f t="shared" si="4"/>
        <v>1.280555556</v>
      </c>
      <c r="J2611" s="38">
        <v>83.0</v>
      </c>
      <c r="K2611" s="39">
        <v>8.0</v>
      </c>
      <c r="L2611" s="38">
        <v>8.0</v>
      </c>
      <c r="M2611" s="40" t="s">
        <v>27</v>
      </c>
      <c r="N2611" s="41"/>
      <c r="O2611" s="42" t="s">
        <v>34</v>
      </c>
      <c r="P2611" s="43"/>
    </row>
    <row r="2612">
      <c r="A2612" s="44" t="s">
        <v>2600</v>
      </c>
      <c r="B2612" s="45" t="s">
        <v>442</v>
      </c>
      <c r="C2612" s="46" t="s">
        <v>2148</v>
      </c>
      <c r="D2612" s="47" t="str">
        <f t="shared" si="1"/>
        <v>Removed</v>
      </c>
      <c r="E2612" s="48">
        <v>41128.0</v>
      </c>
      <c r="F2612" s="49">
        <v>41155.0</v>
      </c>
      <c r="G2612" s="50">
        <f t="shared" si="2"/>
        <v>0.8666666667</v>
      </c>
      <c r="H2612" s="51">
        <v>40786.0</v>
      </c>
      <c r="I2612" s="50">
        <f t="shared" si="4"/>
        <v>0.9361111111</v>
      </c>
      <c r="J2612" s="55">
        <v>52.0</v>
      </c>
      <c r="K2612" s="56">
        <v>6.4</v>
      </c>
      <c r="L2612" s="55">
        <v>6.0</v>
      </c>
      <c r="M2612" s="58" t="s">
        <v>27</v>
      </c>
      <c r="N2612" s="59"/>
      <c r="O2612" s="60" t="s">
        <v>34</v>
      </c>
      <c r="P2612" s="61"/>
    </row>
    <row r="2613">
      <c r="A2613" s="29" t="s">
        <v>2601</v>
      </c>
      <c r="B2613" s="30" t="s">
        <v>442</v>
      </c>
      <c r="C2613" s="31" t="s">
        <v>2148</v>
      </c>
      <c r="D2613" s="32" t="str">
        <f t="shared" si="1"/>
        <v>Removed</v>
      </c>
      <c r="E2613" s="33">
        <v>41128.0</v>
      </c>
      <c r="F2613" s="34">
        <v>41155.0</v>
      </c>
      <c r="G2613" s="36">
        <f t="shared" si="2"/>
        <v>0.8666666667</v>
      </c>
      <c r="H2613" s="37">
        <v>40478.0</v>
      </c>
      <c r="I2613" s="36">
        <f t="shared" si="4"/>
        <v>1.777777778</v>
      </c>
      <c r="J2613" s="38">
        <v>62.0</v>
      </c>
      <c r="K2613" s="39">
        <v>7.0</v>
      </c>
      <c r="L2613" s="38">
        <v>6.0</v>
      </c>
      <c r="M2613" s="40" t="s">
        <v>103</v>
      </c>
      <c r="N2613" s="41" t="s">
        <v>2595</v>
      </c>
      <c r="O2613" s="42" t="s">
        <v>34</v>
      </c>
      <c r="P2613" s="43"/>
    </row>
    <row r="2614">
      <c r="A2614" s="44" t="s">
        <v>2602</v>
      </c>
      <c r="B2614" s="45" t="s">
        <v>442</v>
      </c>
      <c r="C2614" s="46" t="s">
        <v>2148</v>
      </c>
      <c r="D2614" s="47" t="str">
        <f t="shared" si="1"/>
        <v>Removed</v>
      </c>
      <c r="E2614" s="48">
        <v>41128.0</v>
      </c>
      <c r="F2614" s="49">
        <v>41155.0</v>
      </c>
      <c r="G2614" s="50">
        <f t="shared" si="2"/>
        <v>0.8666666667</v>
      </c>
      <c r="H2614" s="51">
        <v>41023.0</v>
      </c>
      <c r="I2614" s="50">
        <f t="shared" si="4"/>
        <v>0.2861111111</v>
      </c>
      <c r="J2614" s="55">
        <v>89.0</v>
      </c>
      <c r="K2614" s="56">
        <v>8.8</v>
      </c>
      <c r="L2614" s="55">
        <v>5.0</v>
      </c>
      <c r="M2614" s="58" t="s">
        <v>112</v>
      </c>
      <c r="N2614" s="59"/>
      <c r="O2614" s="60" t="s">
        <v>34</v>
      </c>
      <c r="P2614" s="61"/>
    </row>
    <row r="2615">
      <c r="A2615" s="29" t="s">
        <v>2172</v>
      </c>
      <c r="B2615" s="30" t="s">
        <v>442</v>
      </c>
      <c r="C2615" s="31" t="s">
        <v>2148</v>
      </c>
      <c r="D2615" s="32" t="str">
        <f t="shared" si="1"/>
        <v>Removed</v>
      </c>
      <c r="E2615" s="33">
        <v>41093.0</v>
      </c>
      <c r="F2615" s="34">
        <v>41127.0</v>
      </c>
      <c r="G2615" s="36">
        <f t="shared" si="2"/>
        <v>1.1</v>
      </c>
      <c r="H2615" s="37">
        <v>40800.0</v>
      </c>
      <c r="I2615" s="36">
        <f t="shared" si="4"/>
        <v>0.8027777778</v>
      </c>
      <c r="J2615" s="38">
        <v>76.0</v>
      </c>
      <c r="K2615" s="39">
        <v>7.6</v>
      </c>
      <c r="L2615" s="38">
        <v>6.0</v>
      </c>
      <c r="M2615" s="40" t="s">
        <v>31</v>
      </c>
      <c r="N2615" s="41"/>
      <c r="O2615" s="42" t="s">
        <v>34</v>
      </c>
      <c r="P2615" s="43"/>
    </row>
    <row r="2616">
      <c r="A2616" s="44" t="s">
        <v>2603</v>
      </c>
      <c r="B2616" s="45" t="s">
        <v>442</v>
      </c>
      <c r="C2616" s="46" t="s">
        <v>2148</v>
      </c>
      <c r="D2616" s="47" t="str">
        <f t="shared" si="1"/>
        <v>Removed</v>
      </c>
      <c r="E2616" s="48">
        <v>41093.0</v>
      </c>
      <c r="F2616" s="49">
        <v>41127.0</v>
      </c>
      <c r="G2616" s="50">
        <f t="shared" si="2"/>
        <v>1.1</v>
      </c>
      <c r="H2616" s="51">
        <v>40946.0</v>
      </c>
      <c r="I2616" s="50">
        <f t="shared" si="4"/>
        <v>0.4055555556</v>
      </c>
      <c r="J2616" s="55">
        <v>61.0</v>
      </c>
      <c r="K2616" s="56">
        <v>6.6</v>
      </c>
      <c r="L2616" s="78"/>
      <c r="M2616" s="58" t="s">
        <v>31</v>
      </c>
      <c r="N2616" s="59"/>
      <c r="O2616" s="60" t="s">
        <v>34</v>
      </c>
      <c r="P2616" s="61"/>
    </row>
    <row r="2617">
      <c r="A2617" s="29" t="s">
        <v>2604</v>
      </c>
      <c r="B2617" s="30" t="s">
        <v>442</v>
      </c>
      <c r="C2617" s="31" t="s">
        <v>2148</v>
      </c>
      <c r="D2617" s="32" t="str">
        <f t="shared" si="1"/>
        <v>Removed</v>
      </c>
      <c r="E2617" s="33">
        <v>41093.0</v>
      </c>
      <c r="F2617" s="34">
        <v>41127.0</v>
      </c>
      <c r="G2617" s="36">
        <f t="shared" si="2"/>
        <v>1.1</v>
      </c>
      <c r="H2617" s="37">
        <v>40499.0</v>
      </c>
      <c r="I2617" s="36">
        <f t="shared" si="4"/>
        <v>1.627777778</v>
      </c>
      <c r="J2617" s="38">
        <v>93.0</v>
      </c>
      <c r="K2617" s="39">
        <v>8.6</v>
      </c>
      <c r="L2617" s="76"/>
      <c r="M2617" s="40" t="s">
        <v>217</v>
      </c>
      <c r="N2617" s="41"/>
      <c r="O2617" s="42" t="s">
        <v>34</v>
      </c>
      <c r="P2617" s="43"/>
    </row>
    <row r="2618">
      <c r="A2618" s="44" t="s">
        <v>462</v>
      </c>
      <c r="B2618" s="45" t="s">
        <v>442</v>
      </c>
      <c r="C2618" s="46" t="s">
        <v>2148</v>
      </c>
      <c r="D2618" s="47" t="str">
        <f t="shared" si="1"/>
        <v>Removed</v>
      </c>
      <c r="E2618" s="48">
        <v>41093.0</v>
      </c>
      <c r="F2618" s="49">
        <v>41127.0</v>
      </c>
      <c r="G2618" s="50">
        <f t="shared" si="2"/>
        <v>1.1</v>
      </c>
      <c r="H2618" s="51">
        <v>36278.0</v>
      </c>
      <c r="I2618" s="50">
        <f t="shared" si="4"/>
        <v>13.18055556</v>
      </c>
      <c r="J2618" s="55">
        <v>88.0</v>
      </c>
      <c r="K2618" s="56">
        <v>8.7</v>
      </c>
      <c r="L2618" s="78"/>
      <c r="M2618" s="58" t="s">
        <v>125</v>
      </c>
      <c r="N2618" s="59" t="s">
        <v>61</v>
      </c>
      <c r="O2618" s="60" t="s">
        <v>34</v>
      </c>
      <c r="P2618" s="66"/>
    </row>
    <row r="2619">
      <c r="A2619" s="29" t="s">
        <v>2605</v>
      </c>
      <c r="B2619" s="30" t="s">
        <v>442</v>
      </c>
      <c r="C2619" s="31" t="s">
        <v>2148</v>
      </c>
      <c r="D2619" s="32" t="str">
        <f t="shared" si="1"/>
        <v>Removed</v>
      </c>
      <c r="E2619" s="33">
        <v>41093.0</v>
      </c>
      <c r="F2619" s="34">
        <v>41127.0</v>
      </c>
      <c r="G2619" s="36">
        <f t="shared" si="2"/>
        <v>1.1</v>
      </c>
      <c r="H2619" s="37">
        <v>36796.0</v>
      </c>
      <c r="I2619" s="36">
        <f t="shared" si="4"/>
        <v>11.76666667</v>
      </c>
      <c r="J2619" s="38">
        <v>78.0</v>
      </c>
      <c r="K2619" s="39">
        <v>8.2</v>
      </c>
      <c r="L2619" s="76"/>
      <c r="M2619" s="40" t="s">
        <v>125</v>
      </c>
      <c r="N2619" s="41" t="s">
        <v>61</v>
      </c>
      <c r="O2619" s="42" t="s">
        <v>34</v>
      </c>
      <c r="P2619" s="67"/>
    </row>
    <row r="2620">
      <c r="A2620" s="44" t="s">
        <v>2606</v>
      </c>
      <c r="B2620" s="45" t="s">
        <v>442</v>
      </c>
      <c r="C2620" s="46" t="s">
        <v>2148</v>
      </c>
      <c r="D2620" s="47" t="str">
        <f t="shared" si="1"/>
        <v>Removed</v>
      </c>
      <c r="E2620" s="48">
        <v>41065.0</v>
      </c>
      <c r="F2620" s="49">
        <v>41092.0</v>
      </c>
      <c r="G2620" s="50">
        <f t="shared" si="2"/>
        <v>0.9</v>
      </c>
      <c r="H2620" s="51">
        <v>40771.0</v>
      </c>
      <c r="I2620" s="50">
        <f t="shared" si="4"/>
        <v>0.8027777778</v>
      </c>
      <c r="J2620" s="55">
        <v>67.0</v>
      </c>
      <c r="K2620" s="56">
        <v>6.9</v>
      </c>
      <c r="L2620" s="78"/>
      <c r="M2620" s="58" t="s">
        <v>136</v>
      </c>
      <c r="N2620" s="59" t="s">
        <v>2595</v>
      </c>
      <c r="O2620" s="60" t="s">
        <v>34</v>
      </c>
      <c r="P2620" s="61"/>
    </row>
    <row r="2621">
      <c r="A2621" s="29" t="s">
        <v>2607</v>
      </c>
      <c r="B2621" s="30" t="s">
        <v>442</v>
      </c>
      <c r="C2621" s="31" t="s">
        <v>2148</v>
      </c>
      <c r="D2621" s="32" t="str">
        <f t="shared" si="1"/>
        <v>Removed</v>
      </c>
      <c r="E2621" s="33">
        <v>41065.0</v>
      </c>
      <c r="F2621" s="34">
        <v>41092.0</v>
      </c>
      <c r="G2621" s="36">
        <f t="shared" si="2"/>
        <v>0.9</v>
      </c>
      <c r="H2621" s="37">
        <v>41065.0</v>
      </c>
      <c r="I2621" s="36">
        <f t="shared" si="4"/>
        <v>0</v>
      </c>
      <c r="J2621" s="38">
        <v>84.0</v>
      </c>
      <c r="K2621" s="39">
        <v>8.0</v>
      </c>
      <c r="L2621" s="76"/>
      <c r="M2621" s="40" t="s">
        <v>114</v>
      </c>
      <c r="N2621" s="41"/>
      <c r="O2621" s="42" t="s">
        <v>34</v>
      </c>
      <c r="P2621" s="43"/>
    </row>
    <row r="2622">
      <c r="A2622" s="44" t="s">
        <v>2608</v>
      </c>
      <c r="B2622" s="45" t="s">
        <v>442</v>
      </c>
      <c r="C2622" s="46" t="s">
        <v>2148</v>
      </c>
      <c r="D2622" s="47" t="str">
        <f t="shared" si="1"/>
        <v>Removed</v>
      </c>
      <c r="E2622" s="48">
        <v>41065.0</v>
      </c>
      <c r="F2622" s="49">
        <v>41092.0</v>
      </c>
      <c r="G2622" s="50">
        <f t="shared" si="2"/>
        <v>0.9</v>
      </c>
      <c r="H2622" s="51">
        <v>40408.0</v>
      </c>
      <c r="I2622" s="50">
        <f t="shared" si="4"/>
        <v>1.797222222</v>
      </c>
      <c r="J2622" s="55">
        <v>85.0</v>
      </c>
      <c r="K2622" s="56">
        <v>8.0</v>
      </c>
      <c r="L2622" s="55">
        <v>6.0</v>
      </c>
      <c r="M2622" s="58" t="s">
        <v>29</v>
      </c>
      <c r="N2622" s="59"/>
      <c r="O2622" s="60" t="s">
        <v>34</v>
      </c>
      <c r="P2622" s="61"/>
    </row>
    <row r="2623">
      <c r="A2623" s="29" t="s">
        <v>2609</v>
      </c>
      <c r="B2623" s="30" t="s">
        <v>442</v>
      </c>
      <c r="C2623" s="31" t="s">
        <v>2148</v>
      </c>
      <c r="D2623" s="32" t="str">
        <f t="shared" si="1"/>
        <v>Removed</v>
      </c>
      <c r="E2623" s="33">
        <v>41065.0</v>
      </c>
      <c r="F2623" s="34">
        <v>41092.0</v>
      </c>
      <c r="G2623" s="36">
        <f t="shared" si="2"/>
        <v>0.9</v>
      </c>
      <c r="H2623" s="37">
        <v>40792.0</v>
      </c>
      <c r="I2623" s="36">
        <f t="shared" si="4"/>
        <v>0.7472222222</v>
      </c>
      <c r="J2623" s="38">
        <v>74.0</v>
      </c>
      <c r="K2623" s="39">
        <v>7.7</v>
      </c>
      <c r="L2623" s="38">
        <v>10.0</v>
      </c>
      <c r="M2623" s="40" t="s">
        <v>31</v>
      </c>
      <c r="N2623" s="41"/>
      <c r="O2623" s="42" t="s">
        <v>34</v>
      </c>
      <c r="P2623" s="43"/>
    </row>
    <row r="2624">
      <c r="A2624" s="44" t="s">
        <v>880</v>
      </c>
      <c r="B2624" s="45" t="s">
        <v>442</v>
      </c>
      <c r="C2624" s="46" t="s">
        <v>2148</v>
      </c>
      <c r="D2624" s="47" t="str">
        <f t="shared" si="1"/>
        <v>Removed</v>
      </c>
      <c r="E2624" s="48">
        <v>41065.0</v>
      </c>
      <c r="F2624" s="49">
        <v>41092.0</v>
      </c>
      <c r="G2624" s="50">
        <f t="shared" si="2"/>
        <v>0.9</v>
      </c>
      <c r="H2624" s="51">
        <v>40834.0</v>
      </c>
      <c r="I2624" s="50">
        <f t="shared" si="4"/>
        <v>0.6305555556</v>
      </c>
      <c r="J2624" s="55">
        <v>70.0</v>
      </c>
      <c r="K2624" s="56">
        <v>7.0</v>
      </c>
      <c r="L2624" s="55">
        <v>10.0</v>
      </c>
      <c r="M2624" s="58" t="s">
        <v>27</v>
      </c>
      <c r="N2624" s="59"/>
      <c r="O2624" s="60" t="s">
        <v>34</v>
      </c>
      <c r="P2624" s="61"/>
    </row>
    <row r="2625">
      <c r="A2625" s="29" t="s">
        <v>1059</v>
      </c>
      <c r="B2625" s="30" t="s">
        <v>442</v>
      </c>
      <c r="C2625" s="31" t="s">
        <v>2148</v>
      </c>
      <c r="D2625" s="32" t="str">
        <f t="shared" si="1"/>
        <v>Removed</v>
      </c>
      <c r="E2625" s="33">
        <v>41065.0</v>
      </c>
      <c r="F2625" s="34">
        <v>41092.0</v>
      </c>
      <c r="G2625" s="36">
        <f t="shared" si="2"/>
        <v>0.9</v>
      </c>
      <c r="H2625" s="37">
        <v>39735.0</v>
      </c>
      <c r="I2625" s="36">
        <f t="shared" si="4"/>
        <v>3.641666667</v>
      </c>
      <c r="J2625" s="38">
        <v>82.0</v>
      </c>
      <c r="K2625" s="39">
        <v>8.1</v>
      </c>
      <c r="L2625" s="38">
        <v>19.0</v>
      </c>
      <c r="M2625" s="40" t="s">
        <v>29</v>
      </c>
      <c r="N2625" s="41"/>
      <c r="O2625" s="42" t="s">
        <v>34</v>
      </c>
      <c r="P2625" s="43"/>
    </row>
    <row r="2626">
      <c r="A2626" s="44" t="s">
        <v>2610</v>
      </c>
      <c r="B2626" s="45" t="s">
        <v>442</v>
      </c>
      <c r="C2626" s="46" t="s">
        <v>2148</v>
      </c>
      <c r="D2626" s="47" t="str">
        <f t="shared" si="1"/>
        <v>Removed</v>
      </c>
      <c r="E2626" s="48">
        <v>41065.0</v>
      </c>
      <c r="F2626" s="49">
        <v>41092.0</v>
      </c>
      <c r="G2626" s="50">
        <f t="shared" si="2"/>
        <v>0.9</v>
      </c>
      <c r="H2626" s="51">
        <v>40260.0</v>
      </c>
      <c r="I2626" s="50">
        <f t="shared" si="4"/>
        <v>2.2</v>
      </c>
      <c r="J2626" s="55">
        <v>84.0</v>
      </c>
      <c r="K2626" s="56">
        <v>8.5</v>
      </c>
      <c r="L2626" s="55">
        <v>18.0</v>
      </c>
      <c r="M2626" s="58" t="s">
        <v>29</v>
      </c>
      <c r="N2626" s="59"/>
      <c r="O2626" s="60" t="s">
        <v>34</v>
      </c>
      <c r="P2626" s="61"/>
    </row>
    <row r="2627">
      <c r="A2627" s="29" t="s">
        <v>1019</v>
      </c>
      <c r="B2627" s="30" t="s">
        <v>442</v>
      </c>
      <c r="C2627" s="31" t="s">
        <v>2148</v>
      </c>
      <c r="D2627" s="32" t="str">
        <f t="shared" si="1"/>
        <v>Removed</v>
      </c>
      <c r="E2627" s="33">
        <v>41065.0</v>
      </c>
      <c r="F2627" s="34">
        <v>41092.0</v>
      </c>
      <c r="G2627" s="36">
        <f t="shared" si="2"/>
        <v>0.9</v>
      </c>
      <c r="H2627" s="37">
        <v>40701.0</v>
      </c>
      <c r="I2627" s="36">
        <f t="shared" si="4"/>
        <v>0.9944444444</v>
      </c>
      <c r="J2627" s="38">
        <v>83.0</v>
      </c>
      <c r="K2627" s="39">
        <v>8.1</v>
      </c>
      <c r="L2627" s="38">
        <v>13.0</v>
      </c>
      <c r="M2627" s="40" t="s">
        <v>29</v>
      </c>
      <c r="N2627" s="41"/>
      <c r="O2627" s="42" t="s">
        <v>34</v>
      </c>
      <c r="P2627" s="43"/>
    </row>
    <row r="2628">
      <c r="A2628" s="44" t="s">
        <v>2611</v>
      </c>
      <c r="B2628" s="45" t="s">
        <v>442</v>
      </c>
      <c r="C2628" s="46" t="s">
        <v>2148</v>
      </c>
      <c r="D2628" s="47" t="str">
        <f t="shared" si="1"/>
        <v>Removed</v>
      </c>
      <c r="E2628" s="48">
        <v>41065.0</v>
      </c>
      <c r="F2628" s="49">
        <v>41092.0</v>
      </c>
      <c r="G2628" s="50">
        <f t="shared" si="2"/>
        <v>0.9</v>
      </c>
      <c r="H2628" s="51">
        <v>40561.0</v>
      </c>
      <c r="I2628" s="50">
        <f t="shared" si="4"/>
        <v>1.380555556</v>
      </c>
      <c r="J2628" s="55">
        <v>91.0</v>
      </c>
      <c r="K2628" s="56">
        <v>8.4</v>
      </c>
      <c r="L2628" s="55">
        <v>9.0</v>
      </c>
      <c r="M2628" s="58" t="s">
        <v>27</v>
      </c>
      <c r="N2628" s="59"/>
      <c r="O2628" s="60" t="s">
        <v>34</v>
      </c>
      <c r="P2628" s="61"/>
    </row>
    <row r="2629">
      <c r="A2629" s="29" t="s">
        <v>2612</v>
      </c>
      <c r="B2629" s="30" t="s">
        <v>442</v>
      </c>
      <c r="C2629" s="31" t="s">
        <v>2148</v>
      </c>
      <c r="D2629" s="32" t="str">
        <f t="shared" si="1"/>
        <v>Removed</v>
      </c>
      <c r="E2629" s="33">
        <v>41065.0</v>
      </c>
      <c r="F2629" s="34">
        <v>41092.0</v>
      </c>
      <c r="G2629" s="36">
        <f t="shared" si="2"/>
        <v>0.9</v>
      </c>
      <c r="H2629" s="37">
        <v>40820.0</v>
      </c>
      <c r="I2629" s="36">
        <f t="shared" si="4"/>
        <v>0.6694444444</v>
      </c>
      <c r="J2629" s="38">
        <v>58.0</v>
      </c>
      <c r="K2629" s="39">
        <v>6.4</v>
      </c>
      <c r="L2629" s="38">
        <v>5.0</v>
      </c>
      <c r="M2629" s="40" t="s">
        <v>31</v>
      </c>
      <c r="N2629" s="41"/>
      <c r="O2629" s="42" t="s">
        <v>34</v>
      </c>
      <c r="P2629" s="43"/>
    </row>
    <row r="2630">
      <c r="A2630" s="44" t="s">
        <v>2107</v>
      </c>
      <c r="B2630" s="45" t="s">
        <v>442</v>
      </c>
      <c r="C2630" s="46" t="s">
        <v>2148</v>
      </c>
      <c r="D2630" s="47" t="str">
        <f t="shared" si="1"/>
        <v>Removed</v>
      </c>
      <c r="E2630" s="48">
        <v>41065.0</v>
      </c>
      <c r="F2630" s="49">
        <v>41092.0</v>
      </c>
      <c r="G2630" s="50">
        <f t="shared" si="2"/>
        <v>0.9</v>
      </c>
      <c r="H2630" s="51">
        <v>40919.0</v>
      </c>
      <c r="I2630" s="50">
        <f t="shared" si="4"/>
        <v>0.4</v>
      </c>
      <c r="J2630" s="55">
        <v>62.0</v>
      </c>
      <c r="K2630" s="56">
        <v>6.8</v>
      </c>
      <c r="L2630" s="55">
        <v>5.0</v>
      </c>
      <c r="M2630" s="58" t="s">
        <v>31</v>
      </c>
      <c r="N2630" s="59"/>
      <c r="O2630" s="60" t="s">
        <v>34</v>
      </c>
      <c r="P2630" s="61"/>
    </row>
    <row r="2631">
      <c r="A2631" s="29" t="s">
        <v>2613</v>
      </c>
      <c r="B2631" s="30" t="s">
        <v>442</v>
      </c>
      <c r="C2631" s="31" t="s">
        <v>2148</v>
      </c>
      <c r="D2631" s="32" t="str">
        <f t="shared" si="1"/>
        <v>Removed</v>
      </c>
      <c r="E2631" s="33">
        <v>41065.0</v>
      </c>
      <c r="F2631" s="34">
        <v>41092.0</v>
      </c>
      <c r="G2631" s="36">
        <f t="shared" si="2"/>
        <v>0.9</v>
      </c>
      <c r="H2631" s="37">
        <v>40827.0</v>
      </c>
      <c r="I2631" s="36">
        <f t="shared" si="4"/>
        <v>0.65</v>
      </c>
      <c r="J2631" s="38">
        <v>71.0</v>
      </c>
      <c r="K2631" s="39">
        <v>7.1</v>
      </c>
      <c r="L2631" s="38">
        <v>4.0</v>
      </c>
      <c r="M2631" s="40" t="s">
        <v>27</v>
      </c>
      <c r="N2631" s="41"/>
      <c r="O2631" s="42" t="s">
        <v>34</v>
      </c>
      <c r="P2631" s="43"/>
    </row>
    <row r="2632">
      <c r="A2632" s="44" t="s">
        <v>2614</v>
      </c>
      <c r="B2632" s="45" t="s">
        <v>442</v>
      </c>
      <c r="C2632" s="46" t="s">
        <v>2148</v>
      </c>
      <c r="D2632" s="47" t="str">
        <f t="shared" si="1"/>
        <v>Removed</v>
      </c>
      <c r="E2632" s="48">
        <v>41065.0</v>
      </c>
      <c r="F2632" s="49">
        <v>41092.0</v>
      </c>
      <c r="G2632" s="50">
        <f t="shared" si="2"/>
        <v>0.9</v>
      </c>
      <c r="H2632" s="51">
        <v>40590.0</v>
      </c>
      <c r="I2632" s="50">
        <f t="shared" si="4"/>
        <v>1.302777778</v>
      </c>
      <c r="J2632" s="55">
        <v>78.0</v>
      </c>
      <c r="K2632" s="56">
        <v>7.8</v>
      </c>
      <c r="L2632" s="55">
        <v>5.0</v>
      </c>
      <c r="M2632" s="58" t="s">
        <v>27</v>
      </c>
      <c r="N2632" s="59"/>
      <c r="O2632" s="60" t="s">
        <v>34</v>
      </c>
      <c r="P2632" s="61"/>
    </row>
    <row r="2633">
      <c r="A2633" s="29" t="s">
        <v>2615</v>
      </c>
      <c r="B2633" s="30" t="s">
        <v>442</v>
      </c>
      <c r="C2633" s="31" t="s">
        <v>2148</v>
      </c>
      <c r="D2633" s="32" t="str">
        <f t="shared" si="1"/>
        <v>Removed</v>
      </c>
      <c r="E2633" s="33">
        <v>41030.0</v>
      </c>
      <c r="F2633" s="34">
        <v>41064.0</v>
      </c>
      <c r="G2633" s="36">
        <f t="shared" si="2"/>
        <v>1.1</v>
      </c>
      <c r="H2633" s="37">
        <v>41030.0</v>
      </c>
      <c r="I2633" s="36">
        <f t="shared" si="4"/>
        <v>0</v>
      </c>
      <c r="J2633" s="38">
        <v>77.0</v>
      </c>
      <c r="K2633" s="39">
        <v>7.8</v>
      </c>
      <c r="L2633" s="76"/>
      <c r="M2633" s="40" t="s">
        <v>103</v>
      </c>
      <c r="N2633" s="41"/>
      <c r="O2633" s="42" t="s">
        <v>34</v>
      </c>
      <c r="P2633" s="43"/>
    </row>
    <row r="2634">
      <c r="A2634" s="44" t="s">
        <v>2616</v>
      </c>
      <c r="B2634" s="45" t="s">
        <v>442</v>
      </c>
      <c r="C2634" s="46" t="s">
        <v>2148</v>
      </c>
      <c r="D2634" s="47" t="str">
        <f t="shared" si="1"/>
        <v>Removed</v>
      </c>
      <c r="E2634" s="48">
        <v>41030.0</v>
      </c>
      <c r="F2634" s="49">
        <v>41064.0</v>
      </c>
      <c r="G2634" s="50">
        <f t="shared" si="2"/>
        <v>1.1</v>
      </c>
      <c r="H2634" s="51">
        <v>40933.0</v>
      </c>
      <c r="I2634" s="50">
        <f t="shared" si="4"/>
        <v>0.2666666667</v>
      </c>
      <c r="J2634" s="55">
        <v>78.0</v>
      </c>
      <c r="K2634" s="56">
        <v>7.7</v>
      </c>
      <c r="L2634" s="55">
        <v>4.0</v>
      </c>
      <c r="M2634" s="58" t="s">
        <v>31</v>
      </c>
      <c r="N2634" s="59" t="s">
        <v>2595</v>
      </c>
      <c r="O2634" s="60" t="s">
        <v>34</v>
      </c>
      <c r="P2634" s="61"/>
    </row>
    <row r="2635">
      <c r="A2635" s="29" t="s">
        <v>2617</v>
      </c>
      <c r="B2635" s="30" t="s">
        <v>442</v>
      </c>
      <c r="C2635" s="31" t="s">
        <v>2148</v>
      </c>
      <c r="D2635" s="32" t="str">
        <f t="shared" si="1"/>
        <v>Removed</v>
      </c>
      <c r="E2635" s="33">
        <v>41030.0</v>
      </c>
      <c r="F2635" s="34">
        <v>41064.0</v>
      </c>
      <c r="G2635" s="36">
        <f t="shared" si="2"/>
        <v>1.1</v>
      </c>
      <c r="H2635" s="37">
        <v>40806.0</v>
      </c>
      <c r="I2635" s="36">
        <f t="shared" si="4"/>
        <v>0.6138888889</v>
      </c>
      <c r="J2635" s="38">
        <v>55.0</v>
      </c>
      <c r="K2635" s="39">
        <v>6.2</v>
      </c>
      <c r="L2635" s="38">
        <v>3.0</v>
      </c>
      <c r="M2635" s="40" t="s">
        <v>31</v>
      </c>
      <c r="N2635" s="41" t="s">
        <v>2595</v>
      </c>
      <c r="O2635" s="42" t="s">
        <v>34</v>
      </c>
      <c r="P2635" s="43"/>
    </row>
    <row r="2636">
      <c r="A2636" s="44" t="s">
        <v>2618</v>
      </c>
      <c r="B2636" s="45" t="s">
        <v>442</v>
      </c>
      <c r="C2636" s="46" t="s">
        <v>2148</v>
      </c>
      <c r="D2636" s="47" t="str">
        <f t="shared" si="1"/>
        <v>Removed</v>
      </c>
      <c r="E2636" s="48">
        <v>41030.0</v>
      </c>
      <c r="F2636" s="49">
        <v>41064.0</v>
      </c>
      <c r="G2636" s="50">
        <f t="shared" si="2"/>
        <v>1.1</v>
      </c>
      <c r="H2636" s="51">
        <v>40884.0</v>
      </c>
      <c r="I2636" s="50">
        <f t="shared" si="4"/>
        <v>0.4</v>
      </c>
      <c r="J2636" s="55">
        <v>84.0</v>
      </c>
      <c r="K2636" s="56">
        <v>8.2</v>
      </c>
      <c r="L2636" s="55">
        <v>10.0</v>
      </c>
      <c r="M2636" s="58" t="s">
        <v>27</v>
      </c>
      <c r="N2636" s="59"/>
      <c r="O2636" s="60" t="s">
        <v>34</v>
      </c>
      <c r="P2636" s="61"/>
    </row>
    <row r="2637">
      <c r="A2637" s="29" t="s">
        <v>2619</v>
      </c>
      <c r="B2637" s="30" t="s">
        <v>442</v>
      </c>
      <c r="C2637" s="31" t="s">
        <v>2148</v>
      </c>
      <c r="D2637" s="32" t="str">
        <f t="shared" si="1"/>
        <v>Removed</v>
      </c>
      <c r="E2637" s="33">
        <v>41030.0</v>
      </c>
      <c r="F2637" s="34">
        <v>41064.0</v>
      </c>
      <c r="G2637" s="36">
        <f t="shared" si="2"/>
        <v>1.1</v>
      </c>
      <c r="H2637" s="37">
        <v>40786.0</v>
      </c>
      <c r="I2637" s="36">
        <f t="shared" si="4"/>
        <v>0.6694444444</v>
      </c>
      <c r="J2637" s="38">
        <v>76.0</v>
      </c>
      <c r="K2637" s="39">
        <v>7.6</v>
      </c>
      <c r="L2637" s="38">
        <v>4.0</v>
      </c>
      <c r="M2637" s="40" t="s">
        <v>103</v>
      </c>
      <c r="N2637" s="41"/>
      <c r="O2637" s="42" t="s">
        <v>34</v>
      </c>
      <c r="P2637" s="43"/>
    </row>
    <row r="2638">
      <c r="A2638" s="44" t="s">
        <v>2620</v>
      </c>
      <c r="B2638" s="45" t="s">
        <v>442</v>
      </c>
      <c r="C2638" s="46" t="s">
        <v>2148</v>
      </c>
      <c r="D2638" s="47" t="str">
        <f t="shared" si="1"/>
        <v>Removed</v>
      </c>
      <c r="E2638" s="48">
        <v>41030.0</v>
      </c>
      <c r="F2638" s="49">
        <v>41064.0</v>
      </c>
      <c r="G2638" s="50">
        <f t="shared" si="2"/>
        <v>1.1</v>
      </c>
      <c r="H2638" s="51">
        <v>39357.0</v>
      </c>
      <c r="I2638" s="50">
        <f t="shared" si="4"/>
        <v>4.580555556</v>
      </c>
      <c r="J2638" s="55">
        <v>89.0</v>
      </c>
      <c r="K2638" s="56">
        <v>9.2</v>
      </c>
      <c r="L2638" s="55">
        <v>9.0</v>
      </c>
      <c r="M2638" s="58" t="s">
        <v>29</v>
      </c>
      <c r="N2638" s="59" t="s">
        <v>61</v>
      </c>
      <c r="O2638" s="60" t="s">
        <v>34</v>
      </c>
      <c r="P2638" s="66"/>
    </row>
    <row r="2639">
      <c r="A2639" s="29" t="s">
        <v>2621</v>
      </c>
      <c r="B2639" s="30" t="s">
        <v>442</v>
      </c>
      <c r="C2639" s="31" t="s">
        <v>2148</v>
      </c>
      <c r="D2639" s="32" t="str">
        <f t="shared" si="1"/>
        <v>Removed</v>
      </c>
      <c r="E2639" s="33">
        <v>41030.0</v>
      </c>
      <c r="F2639" s="34">
        <v>41064.0</v>
      </c>
      <c r="G2639" s="36">
        <f t="shared" si="2"/>
        <v>1.1</v>
      </c>
      <c r="H2639" s="37">
        <v>37110.0</v>
      </c>
      <c r="I2639" s="36">
        <f t="shared" si="4"/>
        <v>10.73333333</v>
      </c>
      <c r="J2639" s="38">
        <v>73.0</v>
      </c>
      <c r="K2639" s="39">
        <v>8.0</v>
      </c>
      <c r="L2639" s="38">
        <v>6.0</v>
      </c>
      <c r="M2639" s="40" t="s">
        <v>27</v>
      </c>
      <c r="N2639" s="41" t="s">
        <v>61</v>
      </c>
      <c r="O2639" s="42" t="s">
        <v>34</v>
      </c>
      <c r="P2639" s="67"/>
    </row>
    <row r="2640">
      <c r="A2640" s="44" t="s">
        <v>2622</v>
      </c>
      <c r="B2640" s="45" t="s">
        <v>442</v>
      </c>
      <c r="C2640" s="46" t="s">
        <v>2148</v>
      </c>
      <c r="D2640" s="47" t="str">
        <f t="shared" si="1"/>
        <v>Removed</v>
      </c>
      <c r="E2640" s="48">
        <v>41002.0</v>
      </c>
      <c r="F2640" s="49">
        <v>41029.0</v>
      </c>
      <c r="G2640" s="50">
        <f t="shared" si="2"/>
        <v>0.9</v>
      </c>
      <c r="H2640" s="51">
        <v>40800.0</v>
      </c>
      <c r="I2640" s="50">
        <f t="shared" si="4"/>
        <v>0.5527777778</v>
      </c>
      <c r="J2640" s="55">
        <v>52.0</v>
      </c>
      <c r="K2640" s="56">
        <v>6.1</v>
      </c>
      <c r="L2640" s="78"/>
      <c r="M2640" s="58" t="s">
        <v>103</v>
      </c>
      <c r="N2640" s="59" t="s">
        <v>2595</v>
      </c>
      <c r="O2640" s="60" t="s">
        <v>34</v>
      </c>
      <c r="P2640" s="61"/>
    </row>
    <row r="2641">
      <c r="A2641" s="29" t="s">
        <v>2623</v>
      </c>
      <c r="B2641" s="30" t="s">
        <v>442</v>
      </c>
      <c r="C2641" s="31" t="s">
        <v>2148</v>
      </c>
      <c r="D2641" s="32" t="str">
        <f t="shared" si="1"/>
        <v>Removed</v>
      </c>
      <c r="E2641" s="33">
        <v>41002.0</v>
      </c>
      <c r="F2641" s="34">
        <v>41029.0</v>
      </c>
      <c r="G2641" s="36">
        <f t="shared" si="2"/>
        <v>0.9</v>
      </c>
      <c r="H2641" s="37">
        <v>40946.0</v>
      </c>
      <c r="I2641" s="36">
        <f t="shared" si="4"/>
        <v>0.1555555556</v>
      </c>
      <c r="J2641" s="38">
        <v>72.0</v>
      </c>
      <c r="K2641" s="39">
        <v>7.1</v>
      </c>
      <c r="L2641" s="38">
        <v>5.0</v>
      </c>
      <c r="M2641" s="40" t="s">
        <v>27</v>
      </c>
      <c r="N2641" s="41"/>
      <c r="O2641" s="42" t="s">
        <v>34</v>
      </c>
      <c r="P2641" s="43"/>
    </row>
    <row r="2642">
      <c r="A2642" s="44" t="s">
        <v>2624</v>
      </c>
      <c r="B2642" s="45" t="s">
        <v>442</v>
      </c>
      <c r="C2642" s="46" t="s">
        <v>2148</v>
      </c>
      <c r="D2642" s="47" t="str">
        <f t="shared" si="1"/>
        <v>Removed</v>
      </c>
      <c r="E2642" s="48">
        <v>41002.0</v>
      </c>
      <c r="F2642" s="49">
        <v>41029.0</v>
      </c>
      <c r="G2642" s="50">
        <f t="shared" si="2"/>
        <v>0.9</v>
      </c>
      <c r="H2642" s="51">
        <v>40631.0</v>
      </c>
      <c r="I2642" s="50">
        <f t="shared" si="4"/>
        <v>1.011111111</v>
      </c>
      <c r="J2642" s="55">
        <v>84.0</v>
      </c>
      <c r="K2642" s="56">
        <v>7.5</v>
      </c>
      <c r="L2642" s="78"/>
      <c r="M2642" s="58" t="s">
        <v>95</v>
      </c>
      <c r="N2642" s="59"/>
      <c r="O2642" s="60" t="s">
        <v>34</v>
      </c>
      <c r="P2642" s="61"/>
    </row>
    <row r="2643">
      <c r="A2643" s="29" t="s">
        <v>2625</v>
      </c>
      <c r="B2643" s="30" t="s">
        <v>442</v>
      </c>
      <c r="C2643" s="31" t="s">
        <v>2148</v>
      </c>
      <c r="D2643" s="32" t="str">
        <f t="shared" si="1"/>
        <v>Removed</v>
      </c>
      <c r="E2643" s="33">
        <v>41002.0</v>
      </c>
      <c r="F2643" s="34">
        <v>41029.0</v>
      </c>
      <c r="G2643" s="36">
        <f t="shared" si="2"/>
        <v>0.9</v>
      </c>
      <c r="H2643" s="37">
        <v>36191.0</v>
      </c>
      <c r="I2643" s="36">
        <f t="shared" si="4"/>
        <v>13.175</v>
      </c>
      <c r="J2643" s="38">
        <v>86.0</v>
      </c>
      <c r="K2643" s="39">
        <v>8.8</v>
      </c>
      <c r="L2643" s="38">
        <v>7.0</v>
      </c>
      <c r="M2643" s="40" t="s">
        <v>537</v>
      </c>
      <c r="N2643" s="41" t="s">
        <v>61</v>
      </c>
      <c r="O2643" s="42" t="s">
        <v>34</v>
      </c>
      <c r="P2643" s="67"/>
    </row>
    <row r="2644">
      <c r="A2644" s="44" t="s">
        <v>926</v>
      </c>
      <c r="B2644" s="45" t="s">
        <v>442</v>
      </c>
      <c r="C2644" s="46" t="s">
        <v>2148</v>
      </c>
      <c r="D2644" s="47" t="str">
        <f t="shared" si="1"/>
        <v>Removed</v>
      </c>
      <c r="E2644" s="48">
        <v>41002.0</v>
      </c>
      <c r="F2644" s="49">
        <v>41029.0</v>
      </c>
      <c r="G2644" s="50">
        <f t="shared" si="2"/>
        <v>0.9</v>
      </c>
      <c r="H2644" s="51">
        <v>40159.0</v>
      </c>
      <c r="I2644" s="50">
        <f t="shared" si="4"/>
        <v>2.308333333</v>
      </c>
      <c r="J2644" s="55">
        <v>59.0</v>
      </c>
      <c r="K2644" s="56">
        <v>6.3</v>
      </c>
      <c r="L2644" s="55">
        <v>3.0</v>
      </c>
      <c r="M2644" s="58" t="s">
        <v>27</v>
      </c>
      <c r="N2644" s="59" t="s">
        <v>2595</v>
      </c>
      <c r="O2644" s="60" t="s">
        <v>34</v>
      </c>
      <c r="P2644" s="61"/>
    </row>
    <row r="2645">
      <c r="A2645" s="29" t="s">
        <v>2626</v>
      </c>
      <c r="B2645" s="30" t="s">
        <v>442</v>
      </c>
      <c r="C2645" s="31" t="s">
        <v>2148</v>
      </c>
      <c r="D2645" s="32" t="str">
        <f t="shared" si="1"/>
        <v>Removed</v>
      </c>
      <c r="E2645" s="33">
        <v>41002.0</v>
      </c>
      <c r="F2645" s="34">
        <v>41029.0</v>
      </c>
      <c r="G2645" s="36">
        <f t="shared" si="2"/>
        <v>0.9</v>
      </c>
      <c r="H2645" s="37">
        <v>40421.0</v>
      </c>
      <c r="I2645" s="36">
        <f t="shared" si="4"/>
        <v>1.591666667</v>
      </c>
      <c r="J2645" s="38">
        <v>69.0</v>
      </c>
      <c r="K2645" s="39">
        <v>7.1</v>
      </c>
      <c r="L2645" s="76"/>
      <c r="M2645" s="40" t="s">
        <v>27</v>
      </c>
      <c r="N2645" s="41" t="s">
        <v>2595</v>
      </c>
      <c r="O2645" s="42" t="s">
        <v>34</v>
      </c>
      <c r="P2645" s="43"/>
    </row>
    <row r="2646">
      <c r="A2646" s="44" t="s">
        <v>2627</v>
      </c>
      <c r="B2646" s="45" t="s">
        <v>442</v>
      </c>
      <c r="C2646" s="46" t="s">
        <v>2148</v>
      </c>
      <c r="D2646" s="47" t="str">
        <f t="shared" si="1"/>
        <v>Removed</v>
      </c>
      <c r="E2646" s="48">
        <v>40974.0</v>
      </c>
      <c r="F2646" s="49">
        <v>41001.0</v>
      </c>
      <c r="G2646" s="50">
        <f t="shared" si="2"/>
        <v>0.8666666667</v>
      </c>
      <c r="H2646" s="51">
        <v>40785.0</v>
      </c>
      <c r="I2646" s="50">
        <f t="shared" si="4"/>
        <v>0.5166666667</v>
      </c>
      <c r="J2646" s="55">
        <v>55.0</v>
      </c>
      <c r="K2646" s="56">
        <v>6.2</v>
      </c>
      <c r="L2646" s="78"/>
      <c r="M2646" s="58" t="s">
        <v>217</v>
      </c>
      <c r="N2646" s="59" t="s">
        <v>2595</v>
      </c>
      <c r="O2646" s="60" t="s">
        <v>34</v>
      </c>
      <c r="P2646" s="61"/>
    </row>
    <row r="2647">
      <c r="A2647" s="29" t="s">
        <v>316</v>
      </c>
      <c r="B2647" s="30" t="s">
        <v>442</v>
      </c>
      <c r="C2647" s="31" t="s">
        <v>2148</v>
      </c>
      <c r="D2647" s="32" t="str">
        <f t="shared" si="1"/>
        <v>Removed</v>
      </c>
      <c r="E2647" s="33">
        <v>40974.0</v>
      </c>
      <c r="F2647" s="34">
        <v>41001.0</v>
      </c>
      <c r="G2647" s="36">
        <f t="shared" si="2"/>
        <v>0.8666666667</v>
      </c>
      <c r="H2647" s="37">
        <v>37583.0</v>
      </c>
      <c r="I2647" s="36">
        <f t="shared" si="4"/>
        <v>9.286111111</v>
      </c>
      <c r="J2647" s="38">
        <v>86.0</v>
      </c>
      <c r="K2647" s="39">
        <v>8.8</v>
      </c>
      <c r="L2647" s="38">
        <v>14.0</v>
      </c>
      <c r="M2647" s="40" t="s">
        <v>27</v>
      </c>
      <c r="N2647" s="41"/>
      <c r="O2647" s="42" t="s">
        <v>34</v>
      </c>
      <c r="P2647" s="43"/>
    </row>
    <row r="2648">
      <c r="A2648" s="44" t="s">
        <v>1074</v>
      </c>
      <c r="B2648" s="45" t="s">
        <v>442</v>
      </c>
      <c r="C2648" s="46" t="s">
        <v>2148</v>
      </c>
      <c r="D2648" s="47" t="str">
        <f t="shared" si="1"/>
        <v>Removed</v>
      </c>
      <c r="E2648" s="48">
        <v>40974.0</v>
      </c>
      <c r="F2648" s="49">
        <v>41001.0</v>
      </c>
      <c r="G2648" s="50">
        <f t="shared" si="2"/>
        <v>0.8666666667</v>
      </c>
      <c r="H2648" s="51">
        <v>39777.0</v>
      </c>
      <c r="I2648" s="50">
        <f t="shared" si="4"/>
        <v>3.280555556</v>
      </c>
      <c r="J2648" s="55">
        <v>85.0</v>
      </c>
      <c r="K2648" s="56">
        <v>8.2</v>
      </c>
      <c r="L2648" s="78"/>
      <c r="M2648" s="58" t="s">
        <v>114</v>
      </c>
      <c r="N2648" s="59"/>
      <c r="O2648" s="60" t="s">
        <v>34</v>
      </c>
      <c r="P2648" s="61"/>
    </row>
    <row r="2649">
      <c r="A2649" s="29" t="s">
        <v>2628</v>
      </c>
      <c r="B2649" s="30" t="s">
        <v>442</v>
      </c>
      <c r="C2649" s="31" t="s">
        <v>2148</v>
      </c>
      <c r="D2649" s="32" t="str">
        <f t="shared" si="1"/>
        <v>Removed</v>
      </c>
      <c r="E2649" s="33">
        <v>40974.0</v>
      </c>
      <c r="F2649" s="34">
        <v>41001.0</v>
      </c>
      <c r="G2649" s="36">
        <f t="shared" si="2"/>
        <v>0.8666666667</v>
      </c>
      <c r="H2649" s="37">
        <v>36161.0</v>
      </c>
      <c r="I2649" s="36">
        <f t="shared" si="4"/>
        <v>13.18055556</v>
      </c>
      <c r="J2649" s="38">
        <v>80.0</v>
      </c>
      <c r="K2649" s="39">
        <v>8.1</v>
      </c>
      <c r="L2649" s="76"/>
      <c r="M2649" s="40" t="s">
        <v>82</v>
      </c>
      <c r="N2649" s="41" t="s">
        <v>61</v>
      </c>
      <c r="O2649" s="42" t="s">
        <v>34</v>
      </c>
      <c r="P2649" s="67"/>
    </row>
    <row r="2650">
      <c r="A2650" s="44" t="s">
        <v>2629</v>
      </c>
      <c r="B2650" s="45" t="s">
        <v>442</v>
      </c>
      <c r="C2650" s="46" t="s">
        <v>2148</v>
      </c>
      <c r="D2650" s="47" t="str">
        <f t="shared" si="1"/>
        <v>Removed</v>
      </c>
      <c r="E2650" s="48">
        <v>40946.0</v>
      </c>
      <c r="F2650" s="49">
        <v>40973.0</v>
      </c>
      <c r="G2650" s="50">
        <f t="shared" si="2"/>
        <v>0.9333333333</v>
      </c>
      <c r="H2650" s="51">
        <v>39742.0</v>
      </c>
      <c r="I2650" s="50">
        <f t="shared" si="4"/>
        <v>3.294444444</v>
      </c>
      <c r="J2650" s="55">
        <v>85.0</v>
      </c>
      <c r="K2650" s="56">
        <v>7.6</v>
      </c>
      <c r="L2650" s="55">
        <v>15.0</v>
      </c>
      <c r="M2650" s="58" t="s">
        <v>31</v>
      </c>
      <c r="N2650" s="59"/>
      <c r="O2650" s="60" t="s">
        <v>34</v>
      </c>
      <c r="P2650" s="61"/>
    </row>
    <row r="2651">
      <c r="A2651" s="29" t="s">
        <v>2630</v>
      </c>
      <c r="B2651" s="30" t="s">
        <v>442</v>
      </c>
      <c r="C2651" s="31" t="s">
        <v>2148</v>
      </c>
      <c r="D2651" s="32" t="str">
        <f t="shared" si="1"/>
        <v>Removed</v>
      </c>
      <c r="E2651" s="33">
        <v>40946.0</v>
      </c>
      <c r="F2651" s="34">
        <v>40973.0</v>
      </c>
      <c r="G2651" s="36">
        <f t="shared" si="2"/>
        <v>0.9333333333</v>
      </c>
      <c r="H2651" s="37">
        <v>40946.0</v>
      </c>
      <c r="I2651" s="36">
        <f t="shared" si="4"/>
        <v>0</v>
      </c>
      <c r="J2651" s="38">
        <v>71.0</v>
      </c>
      <c r="K2651" s="39">
        <v>7.5</v>
      </c>
      <c r="L2651" s="38">
        <v>2.0</v>
      </c>
      <c r="M2651" s="40" t="s">
        <v>27</v>
      </c>
      <c r="N2651" s="41"/>
      <c r="O2651" s="42" t="s">
        <v>34</v>
      </c>
      <c r="P2651" s="43"/>
    </row>
    <row r="2652">
      <c r="A2652" s="44" t="s">
        <v>2166</v>
      </c>
      <c r="B2652" s="45" t="s">
        <v>442</v>
      </c>
      <c r="C2652" s="46" t="s">
        <v>2148</v>
      </c>
      <c r="D2652" s="47" t="str">
        <f t="shared" si="1"/>
        <v>Removed</v>
      </c>
      <c r="E2652" s="48">
        <v>40946.0</v>
      </c>
      <c r="F2652" s="49">
        <v>40973.0</v>
      </c>
      <c r="G2652" s="50">
        <f t="shared" si="2"/>
        <v>0.9333333333</v>
      </c>
      <c r="H2652" s="51">
        <v>39434.0</v>
      </c>
      <c r="I2652" s="50">
        <f t="shared" si="4"/>
        <v>4.136111111</v>
      </c>
      <c r="J2652" s="55">
        <v>60.0</v>
      </c>
      <c r="K2652" s="56">
        <v>6.9</v>
      </c>
      <c r="L2652" s="78"/>
      <c r="M2652" s="58" t="s">
        <v>27</v>
      </c>
      <c r="N2652" s="59"/>
      <c r="O2652" s="60" t="s">
        <v>34</v>
      </c>
      <c r="P2652" s="61"/>
    </row>
    <row r="2653">
      <c r="A2653" s="29" t="s">
        <v>2167</v>
      </c>
      <c r="B2653" s="30" t="s">
        <v>442</v>
      </c>
      <c r="C2653" s="31" t="s">
        <v>2148</v>
      </c>
      <c r="D2653" s="32" t="str">
        <f t="shared" si="1"/>
        <v>Removed</v>
      </c>
      <c r="E2653" s="33">
        <v>40946.0</v>
      </c>
      <c r="F2653" s="34">
        <v>40973.0</v>
      </c>
      <c r="G2653" s="36">
        <f t="shared" si="2"/>
        <v>0.9333333333</v>
      </c>
      <c r="H2653" s="37">
        <v>40856.0</v>
      </c>
      <c r="I2653" s="36">
        <f t="shared" si="4"/>
        <v>0.2444444444</v>
      </c>
      <c r="J2653" s="38">
        <v>75.0</v>
      </c>
      <c r="K2653" s="39">
        <v>7.7</v>
      </c>
      <c r="L2653" s="38">
        <v>2.0</v>
      </c>
      <c r="M2653" s="40" t="s">
        <v>27</v>
      </c>
      <c r="N2653" s="41"/>
      <c r="O2653" s="42" t="s">
        <v>34</v>
      </c>
      <c r="P2653" s="43"/>
    </row>
    <row r="2654">
      <c r="A2654" s="44" t="s">
        <v>913</v>
      </c>
      <c r="B2654" s="45" t="s">
        <v>442</v>
      </c>
      <c r="C2654" s="46" t="s">
        <v>2148</v>
      </c>
      <c r="D2654" s="47" t="str">
        <f t="shared" si="1"/>
        <v>Removed</v>
      </c>
      <c r="E2654" s="48">
        <v>40946.0</v>
      </c>
      <c r="F2654" s="49">
        <v>40973.0</v>
      </c>
      <c r="G2654" s="50">
        <f t="shared" si="2"/>
        <v>0.9333333333</v>
      </c>
      <c r="H2654" s="51">
        <v>39686.0</v>
      </c>
      <c r="I2654" s="50">
        <f t="shared" si="4"/>
        <v>3.447222222</v>
      </c>
      <c r="J2654" s="55">
        <v>70.0</v>
      </c>
      <c r="K2654" s="56">
        <v>7.1</v>
      </c>
      <c r="L2654" s="78"/>
      <c r="M2654" s="58" t="s">
        <v>114</v>
      </c>
      <c r="N2654" s="59"/>
      <c r="O2654" s="60" t="s">
        <v>34</v>
      </c>
      <c r="P2654" s="61"/>
    </row>
    <row r="2655">
      <c r="A2655" s="29" t="s">
        <v>2631</v>
      </c>
      <c r="B2655" s="30" t="s">
        <v>442</v>
      </c>
      <c r="C2655" s="31" t="s">
        <v>2148</v>
      </c>
      <c r="D2655" s="32" t="str">
        <f t="shared" si="1"/>
        <v>Removed</v>
      </c>
      <c r="E2655" s="33">
        <v>40946.0</v>
      </c>
      <c r="F2655" s="34">
        <v>40973.0</v>
      </c>
      <c r="G2655" s="36">
        <f t="shared" si="2"/>
        <v>0.9333333333</v>
      </c>
      <c r="H2655" s="37">
        <v>39511.0</v>
      </c>
      <c r="I2655" s="36">
        <f t="shared" si="4"/>
        <v>3.925</v>
      </c>
      <c r="J2655" s="38">
        <v>54.0</v>
      </c>
      <c r="K2655" s="39">
        <v>6.4</v>
      </c>
      <c r="L2655" s="76"/>
      <c r="M2655" s="40" t="s">
        <v>95</v>
      </c>
      <c r="N2655" s="41"/>
      <c r="O2655" s="42" t="s">
        <v>34</v>
      </c>
      <c r="P2655" s="43"/>
    </row>
    <row r="2656">
      <c r="A2656" s="44" t="s">
        <v>834</v>
      </c>
      <c r="B2656" s="45" t="s">
        <v>442</v>
      </c>
      <c r="C2656" s="46" t="s">
        <v>2148</v>
      </c>
      <c r="D2656" s="47" t="str">
        <f t="shared" si="1"/>
        <v>Removed</v>
      </c>
      <c r="E2656" s="48">
        <v>40946.0</v>
      </c>
      <c r="F2656" s="49">
        <v>40973.0</v>
      </c>
      <c r="G2656" s="50">
        <f t="shared" si="2"/>
        <v>0.9333333333</v>
      </c>
      <c r="H2656" s="51">
        <v>40479.0</v>
      </c>
      <c r="I2656" s="50">
        <f t="shared" si="4"/>
        <v>1.275</v>
      </c>
      <c r="J2656" s="55">
        <v>59.0</v>
      </c>
      <c r="K2656" s="56">
        <v>6.8</v>
      </c>
      <c r="L2656" s="55">
        <v>3.0</v>
      </c>
      <c r="M2656" s="58" t="s">
        <v>217</v>
      </c>
      <c r="N2656" s="59"/>
      <c r="O2656" s="60" t="s">
        <v>34</v>
      </c>
      <c r="P2656" s="61"/>
    </row>
    <row r="2657">
      <c r="A2657" s="29" t="s">
        <v>2632</v>
      </c>
      <c r="B2657" s="30" t="s">
        <v>442</v>
      </c>
      <c r="C2657" s="31" t="s">
        <v>2148</v>
      </c>
      <c r="D2657" s="32" t="str">
        <f t="shared" si="1"/>
        <v>Removed</v>
      </c>
      <c r="E2657" s="33">
        <v>40946.0</v>
      </c>
      <c r="F2657" s="34">
        <v>40973.0</v>
      </c>
      <c r="G2657" s="36">
        <f t="shared" si="2"/>
        <v>0.9333333333</v>
      </c>
      <c r="H2657" s="37">
        <v>40003.0</v>
      </c>
      <c r="I2657" s="36">
        <f t="shared" si="4"/>
        <v>2.577777778</v>
      </c>
      <c r="J2657" s="38">
        <v>61.0</v>
      </c>
      <c r="K2657" s="39">
        <v>6.4</v>
      </c>
      <c r="L2657" s="76"/>
      <c r="M2657" s="40" t="s">
        <v>125</v>
      </c>
      <c r="N2657" s="41"/>
      <c r="O2657" s="42" t="s">
        <v>34</v>
      </c>
      <c r="P2657" s="43"/>
    </row>
    <row r="2658">
      <c r="A2658" s="44" t="s">
        <v>2145</v>
      </c>
      <c r="B2658" s="45" t="s">
        <v>442</v>
      </c>
      <c r="C2658" s="46" t="s">
        <v>2148</v>
      </c>
      <c r="D2658" s="47" t="str">
        <f t="shared" si="1"/>
        <v>Removed</v>
      </c>
      <c r="E2658" s="48">
        <v>40946.0</v>
      </c>
      <c r="F2658" s="49">
        <v>40973.0</v>
      </c>
      <c r="G2658" s="50">
        <f t="shared" si="2"/>
        <v>0.9333333333</v>
      </c>
      <c r="H2658" s="51">
        <v>39799.0</v>
      </c>
      <c r="I2658" s="50">
        <f t="shared" si="4"/>
        <v>3.138888889</v>
      </c>
      <c r="J2658" s="55">
        <v>59.0</v>
      </c>
      <c r="K2658" s="56">
        <v>6.5</v>
      </c>
      <c r="L2658" s="78"/>
      <c r="M2658" s="58" t="s">
        <v>136</v>
      </c>
      <c r="N2658" s="59"/>
      <c r="O2658" s="60" t="s">
        <v>34</v>
      </c>
      <c r="P2658" s="61"/>
    </row>
    <row r="2659">
      <c r="A2659" s="29" t="s">
        <v>2633</v>
      </c>
      <c r="B2659" s="30" t="s">
        <v>442</v>
      </c>
      <c r="C2659" s="31" t="s">
        <v>2148</v>
      </c>
      <c r="D2659" s="32" t="str">
        <f t="shared" si="1"/>
        <v>Removed</v>
      </c>
      <c r="E2659" s="33">
        <v>40946.0</v>
      </c>
      <c r="F2659" s="34">
        <v>40973.0</v>
      </c>
      <c r="G2659" s="36">
        <f t="shared" si="2"/>
        <v>0.9333333333</v>
      </c>
      <c r="H2659" s="37">
        <v>39729.0</v>
      </c>
      <c r="I2659" s="36">
        <f t="shared" si="4"/>
        <v>3.330555556</v>
      </c>
      <c r="J2659" s="38">
        <v>67.0</v>
      </c>
      <c r="K2659" s="39">
        <v>7.8</v>
      </c>
      <c r="L2659" s="76"/>
      <c r="M2659" s="40" t="s">
        <v>95</v>
      </c>
      <c r="N2659" s="41"/>
      <c r="O2659" s="42" t="s">
        <v>34</v>
      </c>
      <c r="P2659" s="43"/>
    </row>
    <row r="2660">
      <c r="A2660" s="44" t="s">
        <v>2634</v>
      </c>
      <c r="B2660" s="45" t="s">
        <v>442</v>
      </c>
      <c r="C2660" s="46" t="s">
        <v>2148</v>
      </c>
      <c r="D2660" s="47" t="str">
        <f t="shared" si="1"/>
        <v>Removed</v>
      </c>
      <c r="E2660" s="48">
        <v>40946.0</v>
      </c>
      <c r="F2660" s="49">
        <v>40973.0</v>
      </c>
      <c r="G2660" s="50">
        <f t="shared" si="2"/>
        <v>0.9333333333</v>
      </c>
      <c r="H2660" s="51">
        <v>33914.0</v>
      </c>
      <c r="I2660" s="50">
        <f t="shared" si="4"/>
        <v>19.25277778</v>
      </c>
      <c r="J2660" s="55">
        <v>94.0</v>
      </c>
      <c r="K2660" s="56">
        <v>8.8</v>
      </c>
      <c r="L2660" s="55">
        <v>32.0</v>
      </c>
      <c r="M2660" s="58" t="s">
        <v>42</v>
      </c>
      <c r="N2660" s="59" t="s">
        <v>61</v>
      </c>
      <c r="O2660" s="60" t="s">
        <v>34</v>
      </c>
      <c r="P2660" s="66"/>
    </row>
    <row r="2661">
      <c r="A2661" s="29" t="s">
        <v>2635</v>
      </c>
      <c r="B2661" s="30" t="s">
        <v>442</v>
      </c>
      <c r="C2661" s="31" t="s">
        <v>2148</v>
      </c>
      <c r="D2661" s="32" t="str">
        <f t="shared" si="1"/>
        <v>Removed</v>
      </c>
      <c r="E2661" s="33">
        <v>40946.0</v>
      </c>
      <c r="F2661" s="34">
        <v>40973.0</v>
      </c>
      <c r="G2661" s="36">
        <f t="shared" si="2"/>
        <v>0.9333333333</v>
      </c>
      <c r="H2661" s="37">
        <v>40414.0</v>
      </c>
      <c r="I2661" s="36">
        <f t="shared" si="4"/>
        <v>1.452777778</v>
      </c>
      <c r="J2661" s="38">
        <v>57.0</v>
      </c>
      <c r="K2661" s="39">
        <v>6.5</v>
      </c>
      <c r="L2661" s="76"/>
      <c r="M2661" s="40" t="s">
        <v>125</v>
      </c>
      <c r="N2661" s="41" t="s">
        <v>2595</v>
      </c>
      <c r="O2661" s="42" t="s">
        <v>34</v>
      </c>
      <c r="P2661" s="43"/>
    </row>
    <row r="2662">
      <c r="A2662" s="44" t="s">
        <v>2636</v>
      </c>
      <c r="B2662" s="45" t="s">
        <v>442</v>
      </c>
      <c r="C2662" s="46" t="s">
        <v>2148</v>
      </c>
      <c r="D2662" s="47" t="str">
        <f t="shared" si="1"/>
        <v>Removed</v>
      </c>
      <c r="E2662" s="48">
        <v>40946.0</v>
      </c>
      <c r="F2662" s="49">
        <v>40973.0</v>
      </c>
      <c r="G2662" s="50">
        <f t="shared" si="2"/>
        <v>0.9333333333</v>
      </c>
      <c r="H2662" s="51">
        <v>40940.0</v>
      </c>
      <c r="I2662" s="50">
        <f t="shared" si="4"/>
        <v>0.01666666667</v>
      </c>
      <c r="J2662" s="55">
        <v>54.0</v>
      </c>
      <c r="K2662" s="56">
        <v>6.5</v>
      </c>
      <c r="L2662" s="78"/>
      <c r="M2662" s="58" t="s">
        <v>217</v>
      </c>
      <c r="N2662" s="59" t="s">
        <v>2595</v>
      </c>
      <c r="O2662" s="60" t="s">
        <v>34</v>
      </c>
      <c r="P2662" s="61"/>
    </row>
    <row r="2663">
      <c r="A2663" s="29" t="s">
        <v>2637</v>
      </c>
      <c r="B2663" s="30" t="s">
        <v>442</v>
      </c>
      <c r="C2663" s="31" t="s">
        <v>2148</v>
      </c>
      <c r="D2663" s="32" t="str">
        <f t="shared" si="1"/>
        <v>Removed</v>
      </c>
      <c r="E2663" s="33">
        <v>40911.0</v>
      </c>
      <c r="F2663" s="34">
        <v>40945.0</v>
      </c>
      <c r="G2663" s="36">
        <f t="shared" si="2"/>
        <v>1.1</v>
      </c>
      <c r="H2663" s="37">
        <v>40534.0</v>
      </c>
      <c r="I2663" s="36">
        <f t="shared" si="4"/>
        <v>1.030555556</v>
      </c>
      <c r="J2663" s="38">
        <v>74.0</v>
      </c>
      <c r="K2663" s="39">
        <v>7.5</v>
      </c>
      <c r="L2663" s="38">
        <v>10.0</v>
      </c>
      <c r="M2663" s="40" t="s">
        <v>112</v>
      </c>
      <c r="N2663" s="41"/>
      <c r="O2663" s="42" t="s">
        <v>34</v>
      </c>
      <c r="P2663" s="43"/>
    </row>
    <row r="2664">
      <c r="A2664" s="44" t="s">
        <v>2638</v>
      </c>
      <c r="B2664" s="45" t="s">
        <v>442</v>
      </c>
      <c r="C2664" s="46" t="s">
        <v>2148</v>
      </c>
      <c r="D2664" s="47" t="str">
        <f t="shared" si="1"/>
        <v>Removed</v>
      </c>
      <c r="E2664" s="48">
        <v>40911.0</v>
      </c>
      <c r="F2664" s="49">
        <v>40945.0</v>
      </c>
      <c r="G2664" s="50">
        <f t="shared" si="2"/>
        <v>1.1</v>
      </c>
      <c r="H2664" s="51">
        <v>39959.0</v>
      </c>
      <c r="I2664" s="50">
        <f t="shared" si="4"/>
        <v>2.602777778</v>
      </c>
      <c r="J2664" s="55">
        <v>78.0</v>
      </c>
      <c r="K2664" s="56">
        <v>7.5</v>
      </c>
      <c r="L2664" s="55">
        <v>7.0</v>
      </c>
      <c r="M2664" s="58" t="s">
        <v>103</v>
      </c>
      <c r="N2664" s="59"/>
      <c r="O2664" s="60" t="s">
        <v>34</v>
      </c>
      <c r="P2664" s="61"/>
    </row>
    <row r="2665">
      <c r="A2665" s="29" t="s">
        <v>2639</v>
      </c>
      <c r="B2665" s="30" t="s">
        <v>442</v>
      </c>
      <c r="C2665" s="31" t="s">
        <v>2148</v>
      </c>
      <c r="D2665" s="32" t="str">
        <f t="shared" si="1"/>
        <v>Removed</v>
      </c>
      <c r="E2665" s="33">
        <v>40911.0</v>
      </c>
      <c r="F2665" s="34">
        <v>40945.0</v>
      </c>
      <c r="G2665" s="36">
        <f t="shared" si="2"/>
        <v>1.1</v>
      </c>
      <c r="H2665" s="37">
        <v>40848.0</v>
      </c>
      <c r="I2665" s="36">
        <f t="shared" si="4"/>
        <v>0.1722222222</v>
      </c>
      <c r="J2665" s="38">
        <v>54.0</v>
      </c>
      <c r="K2665" s="39">
        <v>6.4</v>
      </c>
      <c r="L2665" s="38">
        <v>2.0</v>
      </c>
      <c r="M2665" s="40" t="s">
        <v>136</v>
      </c>
      <c r="N2665" s="41" t="s">
        <v>2595</v>
      </c>
      <c r="O2665" s="42" t="s">
        <v>34</v>
      </c>
      <c r="P2665" s="43"/>
    </row>
    <row r="2666">
      <c r="A2666" s="44" t="s">
        <v>464</v>
      </c>
      <c r="B2666" s="45" t="s">
        <v>442</v>
      </c>
      <c r="C2666" s="46" t="s">
        <v>2148</v>
      </c>
      <c r="D2666" s="47" t="str">
        <f t="shared" si="1"/>
        <v>Removed</v>
      </c>
      <c r="E2666" s="48">
        <v>40911.0</v>
      </c>
      <c r="F2666" s="49">
        <v>40945.0</v>
      </c>
      <c r="G2666" s="50">
        <f t="shared" si="2"/>
        <v>1.1</v>
      </c>
      <c r="H2666" s="51">
        <v>37201.0</v>
      </c>
      <c r="I2666" s="50">
        <f t="shared" si="4"/>
        <v>10.15833333</v>
      </c>
      <c r="J2666" s="55">
        <v>81.0</v>
      </c>
      <c r="K2666" s="56">
        <v>8.2</v>
      </c>
      <c r="L2666" s="55">
        <v>10.0</v>
      </c>
      <c r="M2666" s="58" t="s">
        <v>31</v>
      </c>
      <c r="N2666" s="59" t="s">
        <v>61</v>
      </c>
      <c r="O2666" s="60" t="s">
        <v>34</v>
      </c>
      <c r="P2666" s="66"/>
    </row>
    <row r="2667">
      <c r="A2667" s="29" t="s">
        <v>504</v>
      </c>
      <c r="B2667" s="30" t="s">
        <v>442</v>
      </c>
      <c r="C2667" s="31" t="s">
        <v>2148</v>
      </c>
      <c r="D2667" s="32" t="str">
        <f t="shared" si="1"/>
        <v>Removed</v>
      </c>
      <c r="E2667" s="33">
        <v>40911.0</v>
      </c>
      <c r="F2667" s="34">
        <v>40945.0</v>
      </c>
      <c r="G2667" s="36">
        <f t="shared" si="2"/>
        <v>1.1</v>
      </c>
      <c r="H2667" s="37">
        <v>36936.0</v>
      </c>
      <c r="I2667" s="36">
        <f t="shared" si="4"/>
        <v>10.88611111</v>
      </c>
      <c r="J2667" s="38">
        <v>81.0</v>
      </c>
      <c r="K2667" s="39">
        <v>8.7</v>
      </c>
      <c r="L2667" s="38">
        <v>10.0</v>
      </c>
      <c r="M2667" s="40" t="s">
        <v>31</v>
      </c>
      <c r="N2667" s="41" t="s">
        <v>61</v>
      </c>
      <c r="O2667" s="42" t="s">
        <v>34</v>
      </c>
      <c r="P2667" s="67"/>
    </row>
    <row r="2668">
      <c r="A2668" s="44" t="s">
        <v>642</v>
      </c>
      <c r="B2668" s="45" t="s">
        <v>442</v>
      </c>
      <c r="C2668" s="46" t="s">
        <v>2148</v>
      </c>
      <c r="D2668" s="47" t="str">
        <f t="shared" si="1"/>
        <v>Removed</v>
      </c>
      <c r="E2668" s="48">
        <v>40911.0</v>
      </c>
      <c r="F2668" s="49">
        <v>40945.0</v>
      </c>
      <c r="G2668" s="50">
        <f t="shared" si="2"/>
        <v>1.1</v>
      </c>
      <c r="H2668" s="51">
        <v>36556.0</v>
      </c>
      <c r="I2668" s="50">
        <f t="shared" si="4"/>
        <v>11.925</v>
      </c>
      <c r="J2668" s="55">
        <v>90.0</v>
      </c>
      <c r="K2668" s="56">
        <v>8.7</v>
      </c>
      <c r="L2668" s="55">
        <v>10.0</v>
      </c>
      <c r="M2668" s="58" t="s">
        <v>31</v>
      </c>
      <c r="N2668" s="59" t="s">
        <v>61</v>
      </c>
      <c r="O2668" s="60" t="s">
        <v>34</v>
      </c>
      <c r="P2668" s="66"/>
    </row>
    <row r="2669">
      <c r="A2669" s="29" t="s">
        <v>2640</v>
      </c>
      <c r="B2669" s="30" t="s">
        <v>442</v>
      </c>
      <c r="C2669" s="31" t="s">
        <v>2148</v>
      </c>
      <c r="D2669" s="32" t="str">
        <f t="shared" si="1"/>
        <v>Removed</v>
      </c>
      <c r="E2669" s="33">
        <v>40883.0</v>
      </c>
      <c r="F2669" s="34">
        <v>40910.0</v>
      </c>
      <c r="G2669" s="36">
        <f t="shared" si="2"/>
        <v>0.8666666667</v>
      </c>
      <c r="H2669" s="37">
        <v>39770.0</v>
      </c>
      <c r="I2669" s="36">
        <f t="shared" si="4"/>
        <v>3.05</v>
      </c>
      <c r="J2669" s="38">
        <v>80.0</v>
      </c>
      <c r="K2669" s="39">
        <v>7.7</v>
      </c>
      <c r="L2669" s="38">
        <v>9.0</v>
      </c>
      <c r="M2669" s="40" t="s">
        <v>29</v>
      </c>
      <c r="N2669" s="41"/>
      <c r="O2669" s="42" t="s">
        <v>34</v>
      </c>
      <c r="P2669" s="43"/>
    </row>
    <row r="2670">
      <c r="A2670" s="44" t="s">
        <v>2641</v>
      </c>
      <c r="B2670" s="45" t="s">
        <v>442</v>
      </c>
      <c r="C2670" s="46" t="s">
        <v>2148</v>
      </c>
      <c r="D2670" s="47" t="str">
        <f t="shared" si="1"/>
        <v>Removed</v>
      </c>
      <c r="E2670" s="48">
        <v>40883.0</v>
      </c>
      <c r="F2670" s="49">
        <v>40910.0</v>
      </c>
      <c r="G2670" s="50">
        <f t="shared" si="2"/>
        <v>0.8666666667</v>
      </c>
      <c r="H2670" s="51">
        <v>40520.0</v>
      </c>
      <c r="I2670" s="50">
        <f t="shared" si="4"/>
        <v>0.9944444444</v>
      </c>
      <c r="J2670" s="55">
        <v>79.0</v>
      </c>
      <c r="K2670" s="56">
        <v>7.7</v>
      </c>
      <c r="L2670" s="78"/>
      <c r="M2670" s="58" t="s">
        <v>1086</v>
      </c>
      <c r="N2670" s="59"/>
      <c r="O2670" s="60" t="s">
        <v>34</v>
      </c>
      <c r="P2670" s="61"/>
    </row>
    <row r="2671">
      <c r="A2671" s="29" t="s">
        <v>2642</v>
      </c>
      <c r="B2671" s="30" t="s">
        <v>442</v>
      </c>
      <c r="C2671" s="31" t="s">
        <v>2148</v>
      </c>
      <c r="D2671" s="32" t="str">
        <f t="shared" si="1"/>
        <v>Removed</v>
      </c>
      <c r="E2671" s="33">
        <v>40883.0</v>
      </c>
      <c r="F2671" s="34">
        <v>40910.0</v>
      </c>
      <c r="G2671" s="36">
        <f t="shared" si="2"/>
        <v>0.8666666667</v>
      </c>
      <c r="H2671" s="37">
        <v>40834.0</v>
      </c>
      <c r="I2671" s="36">
        <f t="shared" si="4"/>
        <v>0.1333333333</v>
      </c>
      <c r="J2671" s="38">
        <v>54.0</v>
      </c>
      <c r="K2671" s="39">
        <v>6.3</v>
      </c>
      <c r="L2671" s="76"/>
      <c r="M2671" s="40" t="s">
        <v>217</v>
      </c>
      <c r="N2671" s="41" t="s">
        <v>2595</v>
      </c>
      <c r="O2671" s="42" t="s">
        <v>34</v>
      </c>
      <c r="P2671" s="43"/>
    </row>
    <row r="2672">
      <c r="A2672" s="44" t="s">
        <v>2643</v>
      </c>
      <c r="B2672" s="45" t="s">
        <v>442</v>
      </c>
      <c r="C2672" s="46" t="s">
        <v>2148</v>
      </c>
      <c r="D2672" s="47" t="str">
        <f t="shared" si="1"/>
        <v>Removed</v>
      </c>
      <c r="E2672" s="48">
        <v>40883.0</v>
      </c>
      <c r="F2672" s="49">
        <v>40910.0</v>
      </c>
      <c r="G2672" s="50">
        <f t="shared" si="2"/>
        <v>0.8666666667</v>
      </c>
      <c r="H2672" s="51">
        <v>40806.0</v>
      </c>
      <c r="I2672" s="50">
        <f t="shared" si="4"/>
        <v>0.2111111111</v>
      </c>
      <c r="J2672" s="55">
        <v>62.0</v>
      </c>
      <c r="K2672" s="56">
        <v>6.7</v>
      </c>
      <c r="L2672" s="78"/>
      <c r="M2672" s="58" t="s">
        <v>136</v>
      </c>
      <c r="N2672" s="59" t="s">
        <v>2595</v>
      </c>
      <c r="O2672" s="60" t="s">
        <v>34</v>
      </c>
      <c r="P2672" s="61"/>
    </row>
    <row r="2673">
      <c r="A2673" s="29" t="s">
        <v>2644</v>
      </c>
      <c r="B2673" s="30" t="s">
        <v>442</v>
      </c>
      <c r="C2673" s="31" t="s">
        <v>2148</v>
      </c>
      <c r="D2673" s="32" t="str">
        <f t="shared" si="1"/>
        <v>Removed</v>
      </c>
      <c r="E2673" s="33">
        <v>40883.0</v>
      </c>
      <c r="F2673" s="34">
        <v>40910.0</v>
      </c>
      <c r="G2673" s="36">
        <f t="shared" si="2"/>
        <v>0.8666666667</v>
      </c>
      <c r="H2673" s="37">
        <v>40491.0</v>
      </c>
      <c r="I2673" s="36">
        <f t="shared" si="4"/>
        <v>1.075</v>
      </c>
      <c r="J2673" s="38">
        <v>61.0</v>
      </c>
      <c r="K2673" s="39">
        <v>6.3</v>
      </c>
      <c r="L2673" s="76"/>
      <c r="M2673" s="40" t="s">
        <v>31</v>
      </c>
      <c r="N2673" s="41" t="s">
        <v>2595</v>
      </c>
      <c r="O2673" s="42" t="s">
        <v>34</v>
      </c>
      <c r="P2673" s="43"/>
    </row>
    <row r="2674">
      <c r="A2674" s="44" t="s">
        <v>2645</v>
      </c>
      <c r="B2674" s="45" t="s">
        <v>442</v>
      </c>
      <c r="C2674" s="46" t="s">
        <v>2148</v>
      </c>
      <c r="D2674" s="47" t="str">
        <f t="shared" si="1"/>
        <v>Removed</v>
      </c>
      <c r="E2674" s="48">
        <v>40883.0</v>
      </c>
      <c r="F2674" s="49">
        <v>40910.0</v>
      </c>
      <c r="G2674" s="50">
        <f t="shared" si="2"/>
        <v>0.8666666667</v>
      </c>
      <c r="H2674" s="51">
        <v>36854.0</v>
      </c>
      <c r="I2674" s="50">
        <f t="shared" si="4"/>
        <v>11.03333333</v>
      </c>
      <c r="J2674" s="55">
        <v>91.0</v>
      </c>
      <c r="K2674" s="56">
        <v>9.1</v>
      </c>
      <c r="L2674" s="55">
        <v>16.0</v>
      </c>
      <c r="M2674" s="58" t="s">
        <v>27</v>
      </c>
      <c r="N2674" s="59" t="s">
        <v>61</v>
      </c>
      <c r="O2674" s="60" t="s">
        <v>34</v>
      </c>
      <c r="P2674" s="66"/>
    </row>
    <row r="2675">
      <c r="A2675" s="29" t="s">
        <v>2646</v>
      </c>
      <c r="B2675" s="30" t="s">
        <v>442</v>
      </c>
      <c r="C2675" s="31" t="s">
        <v>2148</v>
      </c>
      <c r="D2675" s="32" t="str">
        <f t="shared" si="1"/>
        <v>Removed</v>
      </c>
      <c r="E2675" s="33">
        <v>40883.0</v>
      </c>
      <c r="F2675" s="34">
        <v>40910.0</v>
      </c>
      <c r="G2675" s="36">
        <f t="shared" si="2"/>
        <v>0.8666666667</v>
      </c>
      <c r="H2675" s="37">
        <v>36466.0</v>
      </c>
      <c r="I2675" s="36">
        <f t="shared" si="4"/>
        <v>12.09444444</v>
      </c>
      <c r="J2675" s="38">
        <v>87.0</v>
      </c>
      <c r="K2675" s="39">
        <v>8.9</v>
      </c>
      <c r="L2675" s="38">
        <v>13.0</v>
      </c>
      <c r="M2675" s="40" t="s">
        <v>27</v>
      </c>
      <c r="N2675" s="41" t="s">
        <v>61</v>
      </c>
      <c r="O2675" s="42" t="s">
        <v>34</v>
      </c>
      <c r="P2675" s="67"/>
    </row>
    <row r="2676">
      <c r="A2676" s="44" t="s">
        <v>2647</v>
      </c>
      <c r="B2676" s="45" t="s">
        <v>442</v>
      </c>
      <c r="C2676" s="46" t="s">
        <v>2148</v>
      </c>
      <c r="D2676" s="47" t="str">
        <f t="shared" si="1"/>
        <v>Removed</v>
      </c>
      <c r="E2676" s="48">
        <v>40883.0</v>
      </c>
      <c r="F2676" s="49">
        <v>40910.0</v>
      </c>
      <c r="G2676" s="50">
        <f t="shared" si="2"/>
        <v>0.8666666667</v>
      </c>
      <c r="H2676" s="51">
        <v>36047.0</v>
      </c>
      <c r="I2676" s="50">
        <f t="shared" si="4"/>
        <v>13.24166667</v>
      </c>
      <c r="J2676" s="55">
        <v>91.0</v>
      </c>
      <c r="K2676" s="56">
        <v>9.1</v>
      </c>
      <c r="L2676" s="55">
        <v>13.0</v>
      </c>
      <c r="M2676" s="58" t="s">
        <v>27</v>
      </c>
      <c r="N2676" s="59" t="s">
        <v>61</v>
      </c>
      <c r="O2676" s="60" t="s">
        <v>34</v>
      </c>
      <c r="P2676" s="66"/>
    </row>
    <row r="2677">
      <c r="A2677" s="29" t="s">
        <v>2648</v>
      </c>
      <c r="B2677" s="30" t="s">
        <v>442</v>
      </c>
      <c r="C2677" s="31" t="s">
        <v>2148</v>
      </c>
      <c r="D2677" s="32" t="str">
        <f t="shared" si="1"/>
        <v>Removed</v>
      </c>
      <c r="E2677" s="33">
        <v>40848.0</v>
      </c>
      <c r="F2677" s="34">
        <v>40882.0</v>
      </c>
      <c r="G2677" s="36">
        <f t="shared" si="2"/>
        <v>1.133333333</v>
      </c>
      <c r="H2677" s="37">
        <v>40672.0</v>
      </c>
      <c r="I2677" s="36">
        <f t="shared" si="4"/>
        <v>0.4777777778</v>
      </c>
      <c r="J2677" s="38">
        <v>63.0</v>
      </c>
      <c r="K2677" s="39">
        <v>6.7</v>
      </c>
      <c r="L2677" s="38">
        <v>5.0</v>
      </c>
      <c r="M2677" s="40" t="s">
        <v>29</v>
      </c>
      <c r="N2677" s="41"/>
      <c r="O2677" s="42" t="s">
        <v>34</v>
      </c>
      <c r="P2677" s="43"/>
    </row>
    <row r="2678">
      <c r="A2678" s="44" t="s">
        <v>2649</v>
      </c>
      <c r="B2678" s="45" t="s">
        <v>442</v>
      </c>
      <c r="C2678" s="46" t="s">
        <v>2148</v>
      </c>
      <c r="D2678" s="47" t="str">
        <f t="shared" si="1"/>
        <v>Removed</v>
      </c>
      <c r="E2678" s="48">
        <v>40848.0</v>
      </c>
      <c r="F2678" s="49">
        <v>40882.0</v>
      </c>
      <c r="G2678" s="50">
        <f t="shared" si="2"/>
        <v>1.133333333</v>
      </c>
      <c r="H2678" s="51">
        <v>36453.0</v>
      </c>
      <c r="I2678" s="50">
        <f t="shared" si="4"/>
        <v>12.03055556</v>
      </c>
      <c r="J2678" s="55">
        <v>88.0</v>
      </c>
      <c r="K2678" s="56">
        <v>8.8</v>
      </c>
      <c r="L2678" s="55">
        <v>6.0</v>
      </c>
      <c r="M2678" s="58" t="s">
        <v>95</v>
      </c>
      <c r="N2678" s="59" t="s">
        <v>61</v>
      </c>
      <c r="O2678" s="60" t="s">
        <v>34</v>
      </c>
      <c r="P2678" s="66"/>
    </row>
    <row r="2679">
      <c r="A2679" s="29" t="s">
        <v>2650</v>
      </c>
      <c r="B2679" s="30" t="s">
        <v>442</v>
      </c>
      <c r="C2679" s="31" t="s">
        <v>2148</v>
      </c>
      <c r="D2679" s="32" t="str">
        <f t="shared" si="1"/>
        <v>Removed</v>
      </c>
      <c r="E2679" s="33">
        <v>40848.0</v>
      </c>
      <c r="F2679" s="34">
        <v>40882.0</v>
      </c>
      <c r="G2679" s="36">
        <f t="shared" si="2"/>
        <v>1.133333333</v>
      </c>
      <c r="H2679" s="37">
        <v>36099.0</v>
      </c>
      <c r="I2679" s="36">
        <f t="shared" si="4"/>
        <v>13.00277778</v>
      </c>
      <c r="J2679" s="38">
        <v>91.0</v>
      </c>
      <c r="K2679" s="39">
        <v>9.1</v>
      </c>
      <c r="L2679" s="38">
        <v>9.0</v>
      </c>
      <c r="M2679" s="40" t="s">
        <v>27</v>
      </c>
      <c r="N2679" s="41" t="s">
        <v>61</v>
      </c>
      <c r="O2679" s="42" t="s">
        <v>34</v>
      </c>
      <c r="P2679" s="67"/>
    </row>
    <row r="2680">
      <c r="A2680" s="44" t="s">
        <v>2651</v>
      </c>
      <c r="B2680" s="45" t="s">
        <v>442</v>
      </c>
      <c r="C2680" s="46" t="s">
        <v>2148</v>
      </c>
      <c r="D2680" s="47" t="str">
        <f t="shared" si="1"/>
        <v>Removed</v>
      </c>
      <c r="E2680" s="48">
        <v>40848.0</v>
      </c>
      <c r="F2680" s="49">
        <v>40882.0</v>
      </c>
      <c r="G2680" s="50">
        <f t="shared" si="2"/>
        <v>1.133333333</v>
      </c>
      <c r="H2680" s="51">
        <v>35739.0</v>
      </c>
      <c r="I2680" s="50">
        <f t="shared" si="4"/>
        <v>13.98888889</v>
      </c>
      <c r="J2680" s="55">
        <v>93.0</v>
      </c>
      <c r="K2680" s="56">
        <v>9.0</v>
      </c>
      <c r="L2680" s="55">
        <v>8.0</v>
      </c>
      <c r="M2680" s="58" t="s">
        <v>27</v>
      </c>
      <c r="N2680" s="59" t="s">
        <v>61</v>
      </c>
      <c r="O2680" s="60" t="s">
        <v>34</v>
      </c>
      <c r="P2680" s="66"/>
    </row>
    <row r="2681">
      <c r="A2681" s="29" t="s">
        <v>2652</v>
      </c>
      <c r="B2681" s="30" t="s">
        <v>442</v>
      </c>
      <c r="C2681" s="31" t="s">
        <v>2148</v>
      </c>
      <c r="D2681" s="32" t="str">
        <f t="shared" si="1"/>
        <v>Removed</v>
      </c>
      <c r="E2681" s="33">
        <v>40848.0</v>
      </c>
      <c r="F2681" s="34">
        <v>40882.0</v>
      </c>
      <c r="G2681" s="36">
        <f t="shared" si="2"/>
        <v>1.133333333</v>
      </c>
      <c r="H2681" s="37">
        <v>35317.0</v>
      </c>
      <c r="I2681" s="36">
        <f t="shared" si="4"/>
        <v>15.14444444</v>
      </c>
      <c r="J2681" s="38">
        <v>80.0</v>
      </c>
      <c r="K2681" s="39">
        <v>8.5</v>
      </c>
      <c r="L2681" s="38">
        <v>7.0</v>
      </c>
      <c r="M2681" s="40" t="s">
        <v>27</v>
      </c>
      <c r="N2681" s="41" t="s">
        <v>61</v>
      </c>
      <c r="O2681" s="42" t="s">
        <v>34</v>
      </c>
      <c r="P2681" s="67"/>
    </row>
    <row r="2682">
      <c r="A2682" s="44" t="s">
        <v>2653</v>
      </c>
      <c r="B2682" s="45" t="s">
        <v>442</v>
      </c>
      <c r="C2682" s="46" t="s">
        <v>2148</v>
      </c>
      <c r="D2682" s="47" t="str">
        <f t="shared" si="1"/>
        <v>Removed</v>
      </c>
      <c r="E2682" s="48">
        <v>40848.0</v>
      </c>
      <c r="F2682" s="49">
        <v>40882.0</v>
      </c>
      <c r="G2682" s="50">
        <f t="shared" si="2"/>
        <v>1.133333333</v>
      </c>
      <c r="H2682" s="51">
        <v>40806.0</v>
      </c>
      <c r="I2682" s="50">
        <f t="shared" si="4"/>
        <v>0.1138888889</v>
      </c>
      <c r="J2682" s="55">
        <v>69.0</v>
      </c>
      <c r="K2682" s="56">
        <v>7.0</v>
      </c>
      <c r="L2682" s="78"/>
      <c r="M2682" s="58" t="s">
        <v>136</v>
      </c>
      <c r="N2682" s="59" t="s">
        <v>2595</v>
      </c>
      <c r="O2682" s="60" t="s">
        <v>34</v>
      </c>
      <c r="P2682" s="61"/>
    </row>
    <row r="2683">
      <c r="A2683" s="29" t="s">
        <v>2654</v>
      </c>
      <c r="B2683" s="30" t="s">
        <v>442</v>
      </c>
      <c r="C2683" s="31" t="s">
        <v>2148</v>
      </c>
      <c r="D2683" s="32" t="str">
        <f t="shared" si="1"/>
        <v>Removed</v>
      </c>
      <c r="E2683" s="33">
        <v>40848.0</v>
      </c>
      <c r="F2683" s="34">
        <v>40882.0</v>
      </c>
      <c r="G2683" s="36">
        <f t="shared" si="2"/>
        <v>1.133333333</v>
      </c>
      <c r="H2683" s="37">
        <v>40842.0</v>
      </c>
      <c r="I2683" s="36">
        <f t="shared" si="4"/>
        <v>0.01388888889</v>
      </c>
      <c r="J2683" s="38">
        <v>67.0</v>
      </c>
      <c r="K2683" s="39">
        <v>6.9</v>
      </c>
      <c r="L2683" s="38">
        <v>3.0</v>
      </c>
      <c r="M2683" s="40" t="s">
        <v>27</v>
      </c>
      <c r="N2683" s="41" t="s">
        <v>2595</v>
      </c>
      <c r="O2683" s="42" t="s">
        <v>34</v>
      </c>
      <c r="P2683" s="43"/>
    </row>
    <row r="2684">
      <c r="A2684" s="44" t="s">
        <v>2655</v>
      </c>
      <c r="B2684" s="45" t="s">
        <v>442</v>
      </c>
      <c r="C2684" s="46" t="s">
        <v>2148</v>
      </c>
      <c r="D2684" s="47" t="str">
        <f t="shared" si="1"/>
        <v>Removed</v>
      </c>
      <c r="E2684" s="48">
        <v>40848.0</v>
      </c>
      <c r="F2684" s="49">
        <v>40882.0</v>
      </c>
      <c r="G2684" s="50">
        <f t="shared" si="2"/>
        <v>1.133333333</v>
      </c>
      <c r="H2684" s="51">
        <v>40806.0</v>
      </c>
      <c r="I2684" s="50">
        <f t="shared" si="4"/>
        <v>0.1138888889</v>
      </c>
      <c r="J2684" s="55">
        <v>52.0</v>
      </c>
      <c r="K2684" s="56">
        <v>6.2</v>
      </c>
      <c r="L2684" s="78"/>
      <c r="M2684" s="58" t="s">
        <v>95</v>
      </c>
      <c r="N2684" s="59" t="s">
        <v>2595</v>
      </c>
      <c r="O2684" s="60" t="s">
        <v>34</v>
      </c>
      <c r="P2684" s="61"/>
    </row>
    <row r="2685">
      <c r="A2685" s="29" t="s">
        <v>2656</v>
      </c>
      <c r="B2685" s="30" t="s">
        <v>442</v>
      </c>
      <c r="C2685" s="31" t="s">
        <v>2148</v>
      </c>
      <c r="D2685" s="32" t="str">
        <f t="shared" si="1"/>
        <v>Removed</v>
      </c>
      <c r="E2685" s="33">
        <v>40820.0</v>
      </c>
      <c r="F2685" s="34">
        <v>40847.0</v>
      </c>
      <c r="G2685" s="36">
        <f t="shared" si="2"/>
        <v>0.8666666667</v>
      </c>
      <c r="H2685" s="37">
        <v>40470.0</v>
      </c>
      <c r="I2685" s="36">
        <f t="shared" si="4"/>
        <v>0.9583333333</v>
      </c>
      <c r="J2685" s="38">
        <v>79.0</v>
      </c>
      <c r="K2685" s="39">
        <v>8.0</v>
      </c>
      <c r="L2685" s="38">
        <v>7.0</v>
      </c>
      <c r="M2685" s="40" t="s">
        <v>42</v>
      </c>
      <c r="N2685" s="41"/>
      <c r="O2685" s="42" t="s">
        <v>34</v>
      </c>
      <c r="P2685" s="43"/>
    </row>
    <row r="2686">
      <c r="A2686" s="44" t="s">
        <v>2657</v>
      </c>
      <c r="B2686" s="45" t="s">
        <v>442</v>
      </c>
      <c r="C2686" s="46" t="s">
        <v>2148</v>
      </c>
      <c r="D2686" s="47" t="str">
        <f t="shared" si="1"/>
        <v>Removed</v>
      </c>
      <c r="E2686" s="48">
        <v>40820.0</v>
      </c>
      <c r="F2686" s="49">
        <v>40847.0</v>
      </c>
      <c r="G2686" s="50">
        <f t="shared" si="2"/>
        <v>0.8666666667</v>
      </c>
      <c r="H2686" s="51">
        <v>40806.0</v>
      </c>
      <c r="I2686" s="50">
        <f t="shared" si="4"/>
        <v>0.03888888889</v>
      </c>
      <c r="J2686" s="55">
        <v>56.0</v>
      </c>
      <c r="K2686" s="56">
        <v>6.2</v>
      </c>
      <c r="L2686" s="78"/>
      <c r="M2686" s="58" t="s">
        <v>598</v>
      </c>
      <c r="N2686" s="59"/>
      <c r="O2686" s="60" t="s">
        <v>34</v>
      </c>
      <c r="P2686" s="61"/>
    </row>
    <row r="2687">
      <c r="A2687" s="29" t="s">
        <v>2658</v>
      </c>
      <c r="B2687" s="30" t="s">
        <v>442</v>
      </c>
      <c r="C2687" s="31" t="s">
        <v>2148</v>
      </c>
      <c r="D2687" s="32" t="str">
        <f t="shared" si="1"/>
        <v>Removed</v>
      </c>
      <c r="E2687" s="33">
        <v>40820.0</v>
      </c>
      <c r="F2687" s="34">
        <v>40847.0</v>
      </c>
      <c r="G2687" s="36">
        <f t="shared" si="2"/>
        <v>0.8666666667</v>
      </c>
      <c r="H2687" s="37">
        <v>40512.0</v>
      </c>
      <c r="I2687" s="36">
        <f t="shared" si="4"/>
        <v>0.8444444444</v>
      </c>
      <c r="J2687" s="38">
        <v>74.0</v>
      </c>
      <c r="K2687" s="39">
        <v>7.7</v>
      </c>
      <c r="L2687" s="38">
        <v>7.0</v>
      </c>
      <c r="M2687" s="40" t="s">
        <v>31</v>
      </c>
      <c r="N2687" s="41"/>
      <c r="O2687" s="42" t="s">
        <v>34</v>
      </c>
      <c r="P2687" s="43"/>
    </row>
    <row r="2688">
      <c r="A2688" s="44" t="s">
        <v>2659</v>
      </c>
      <c r="B2688" s="45" t="s">
        <v>442</v>
      </c>
      <c r="C2688" s="46" t="s">
        <v>2148</v>
      </c>
      <c r="D2688" s="47" t="str">
        <f t="shared" si="1"/>
        <v>Removed</v>
      </c>
      <c r="E2688" s="48">
        <v>40820.0</v>
      </c>
      <c r="F2688" s="49">
        <v>40847.0</v>
      </c>
      <c r="G2688" s="50">
        <f t="shared" si="2"/>
        <v>0.8666666667</v>
      </c>
      <c r="H2688" s="51">
        <v>39322.0</v>
      </c>
      <c r="I2688" s="50">
        <f t="shared" si="4"/>
        <v>4.1</v>
      </c>
      <c r="J2688" s="55">
        <v>84.0</v>
      </c>
      <c r="K2688" s="56">
        <v>8.5</v>
      </c>
      <c r="L2688" s="78"/>
      <c r="M2688" s="58" t="s">
        <v>31</v>
      </c>
      <c r="N2688" s="59" t="s">
        <v>61</v>
      </c>
      <c r="O2688" s="60" t="s">
        <v>34</v>
      </c>
      <c r="P2688" s="66"/>
    </row>
    <row r="2689">
      <c r="A2689" s="29" t="s">
        <v>2660</v>
      </c>
      <c r="B2689" s="30" t="s">
        <v>442</v>
      </c>
      <c r="C2689" s="31" t="s">
        <v>2148</v>
      </c>
      <c r="D2689" s="32" t="str">
        <f t="shared" si="1"/>
        <v>Removed</v>
      </c>
      <c r="E2689" s="33">
        <v>40820.0</v>
      </c>
      <c r="F2689" s="34">
        <v>40847.0</v>
      </c>
      <c r="G2689" s="36">
        <f t="shared" si="2"/>
        <v>0.8666666667</v>
      </c>
      <c r="H2689" s="37">
        <v>40813.0</v>
      </c>
      <c r="I2689" s="36">
        <f t="shared" si="4"/>
        <v>0.01944444444</v>
      </c>
      <c r="J2689" s="76"/>
      <c r="K2689" s="79"/>
      <c r="L2689" s="76"/>
      <c r="M2689" s="40" t="s">
        <v>114</v>
      </c>
      <c r="N2689" s="41" t="s">
        <v>2595</v>
      </c>
      <c r="O2689" s="42" t="s">
        <v>34</v>
      </c>
      <c r="P2689" s="43"/>
    </row>
    <row r="2690">
      <c r="A2690" s="44" t="s">
        <v>2661</v>
      </c>
      <c r="B2690" s="45" t="s">
        <v>442</v>
      </c>
      <c r="C2690" s="46" t="s">
        <v>2148</v>
      </c>
      <c r="D2690" s="47" t="str">
        <f t="shared" si="1"/>
        <v>Removed</v>
      </c>
      <c r="E2690" s="48">
        <v>40820.0</v>
      </c>
      <c r="F2690" s="49">
        <v>40847.0</v>
      </c>
      <c r="G2690" s="50">
        <f t="shared" si="2"/>
        <v>0.8666666667</v>
      </c>
      <c r="H2690" s="51">
        <v>33239.0</v>
      </c>
      <c r="I2690" s="50">
        <f t="shared" si="4"/>
        <v>20.75833333</v>
      </c>
      <c r="J2690" s="55">
        <v>75.0</v>
      </c>
      <c r="K2690" s="56">
        <v>7.8</v>
      </c>
      <c r="L2690" s="78"/>
      <c r="M2690" s="58" t="s">
        <v>125</v>
      </c>
      <c r="N2690" s="59" t="s">
        <v>2595</v>
      </c>
      <c r="O2690" s="60" t="s">
        <v>34</v>
      </c>
      <c r="P2690" s="61"/>
    </row>
    <row r="2691">
      <c r="A2691" s="29" t="s">
        <v>2662</v>
      </c>
      <c r="B2691" s="30" t="s">
        <v>442</v>
      </c>
      <c r="C2691" s="31" t="s">
        <v>2148</v>
      </c>
      <c r="D2691" s="32" t="str">
        <f t="shared" si="1"/>
        <v>Removed</v>
      </c>
      <c r="E2691" s="33">
        <v>40820.0</v>
      </c>
      <c r="F2691" s="34">
        <v>40847.0</v>
      </c>
      <c r="G2691" s="36">
        <f t="shared" si="2"/>
        <v>0.8666666667</v>
      </c>
      <c r="H2691" s="37">
        <v>40806.0</v>
      </c>
      <c r="I2691" s="36">
        <f t="shared" si="4"/>
        <v>0.03888888889</v>
      </c>
      <c r="J2691" s="38">
        <v>58.0</v>
      </c>
      <c r="K2691" s="39">
        <v>6.3</v>
      </c>
      <c r="L2691" s="76"/>
      <c r="M2691" s="40" t="s">
        <v>27</v>
      </c>
      <c r="N2691" s="41" t="s">
        <v>2595</v>
      </c>
      <c r="O2691" s="42" t="s">
        <v>34</v>
      </c>
      <c r="P2691" s="43"/>
    </row>
    <row r="2692">
      <c r="A2692" s="44" t="s">
        <v>2660</v>
      </c>
      <c r="B2692" s="45" t="s">
        <v>442</v>
      </c>
      <c r="C2692" s="46" t="s">
        <v>2148</v>
      </c>
      <c r="D2692" s="47" t="str">
        <f t="shared" si="1"/>
        <v>Removed</v>
      </c>
      <c r="E2692" s="48">
        <v>40820.0</v>
      </c>
      <c r="F2692" s="49">
        <v>40847.0</v>
      </c>
      <c r="G2692" s="50">
        <f t="shared" si="2"/>
        <v>0.8666666667</v>
      </c>
      <c r="H2692" s="51">
        <v>40813.0</v>
      </c>
      <c r="I2692" s="50">
        <f t="shared" si="4"/>
        <v>0.01944444444</v>
      </c>
      <c r="J2692" s="78"/>
      <c r="K2692" s="77"/>
      <c r="L2692" s="78"/>
      <c r="M2692" s="58" t="s">
        <v>114</v>
      </c>
      <c r="N2692" s="59"/>
      <c r="O2692" s="60" t="s">
        <v>34</v>
      </c>
      <c r="P2692" s="61"/>
    </row>
    <row r="2693">
      <c r="A2693" s="29" t="s">
        <v>2663</v>
      </c>
      <c r="B2693" s="30" t="s">
        <v>442</v>
      </c>
      <c r="C2693" s="31" t="s">
        <v>2148</v>
      </c>
      <c r="D2693" s="32" t="str">
        <f t="shared" si="1"/>
        <v>Removed</v>
      </c>
      <c r="E2693" s="33">
        <v>40820.0</v>
      </c>
      <c r="F2693" s="34">
        <v>40847.0</v>
      </c>
      <c r="G2693" s="36">
        <f t="shared" si="2"/>
        <v>0.8666666667</v>
      </c>
      <c r="H2693" s="37">
        <v>39889.0</v>
      </c>
      <c r="I2693" s="36">
        <f t="shared" si="4"/>
        <v>2.547222222</v>
      </c>
      <c r="J2693" s="38">
        <v>75.0</v>
      </c>
      <c r="K2693" s="39">
        <v>7.5</v>
      </c>
      <c r="L2693" s="38">
        <v>5.0</v>
      </c>
      <c r="M2693" s="40" t="s">
        <v>31</v>
      </c>
      <c r="N2693" s="41"/>
      <c r="O2693" s="42" t="s">
        <v>34</v>
      </c>
      <c r="P2693" s="43"/>
    </row>
    <row r="2694">
      <c r="A2694" s="44" t="s">
        <v>2664</v>
      </c>
      <c r="B2694" s="45" t="s">
        <v>442</v>
      </c>
      <c r="C2694" s="46" t="s">
        <v>2148</v>
      </c>
      <c r="D2694" s="47" t="str">
        <f t="shared" si="1"/>
        <v>Removed</v>
      </c>
      <c r="E2694" s="48">
        <v>40799.0</v>
      </c>
      <c r="F2694" s="49">
        <v>40819.0</v>
      </c>
      <c r="G2694" s="50">
        <f t="shared" si="2"/>
        <v>0.6666666667</v>
      </c>
      <c r="H2694" s="51">
        <v>40799.0</v>
      </c>
      <c r="I2694" s="50">
        <f t="shared" si="4"/>
        <v>0</v>
      </c>
      <c r="J2694" s="55">
        <v>51.0</v>
      </c>
      <c r="K2694" s="56">
        <v>6.1</v>
      </c>
      <c r="L2694" s="78"/>
      <c r="M2694" s="58" t="s">
        <v>136</v>
      </c>
      <c r="N2694" s="59" t="s">
        <v>2595</v>
      </c>
      <c r="O2694" s="60" t="s">
        <v>34</v>
      </c>
      <c r="P2694" s="61"/>
    </row>
    <row r="2695">
      <c r="A2695" s="29" t="s">
        <v>2567</v>
      </c>
      <c r="B2695" s="30" t="s">
        <v>442</v>
      </c>
      <c r="C2695" s="31" t="s">
        <v>2148</v>
      </c>
      <c r="D2695" s="32" t="str">
        <f t="shared" si="1"/>
        <v>Removed</v>
      </c>
      <c r="E2695" s="33">
        <v>40792.0</v>
      </c>
      <c r="F2695" s="34">
        <v>40819.0</v>
      </c>
      <c r="G2695" s="36">
        <f t="shared" si="2"/>
        <v>0.9</v>
      </c>
      <c r="H2695" s="37">
        <v>39938.0</v>
      </c>
      <c r="I2695" s="36">
        <f t="shared" si="4"/>
        <v>2.336111111</v>
      </c>
      <c r="J2695" s="38">
        <v>87.0</v>
      </c>
      <c r="K2695" s="39">
        <v>8.7</v>
      </c>
      <c r="L2695" s="38">
        <v>6.0</v>
      </c>
      <c r="M2695" s="40" t="s">
        <v>103</v>
      </c>
      <c r="N2695" s="41"/>
      <c r="O2695" s="42" t="s">
        <v>34</v>
      </c>
      <c r="P2695" s="43"/>
    </row>
    <row r="2696">
      <c r="A2696" s="44" t="s">
        <v>2665</v>
      </c>
      <c r="B2696" s="45" t="s">
        <v>442</v>
      </c>
      <c r="C2696" s="46" t="s">
        <v>2148</v>
      </c>
      <c r="D2696" s="47" t="str">
        <f t="shared" si="1"/>
        <v>Removed</v>
      </c>
      <c r="E2696" s="48">
        <v>40792.0</v>
      </c>
      <c r="F2696" s="49">
        <v>40819.0</v>
      </c>
      <c r="G2696" s="50">
        <f t="shared" si="2"/>
        <v>0.9</v>
      </c>
      <c r="H2696" s="51">
        <v>39791.0</v>
      </c>
      <c r="I2696" s="50">
        <f t="shared" si="4"/>
        <v>2.741666667</v>
      </c>
      <c r="J2696" s="55">
        <v>66.0</v>
      </c>
      <c r="K2696" s="56">
        <v>6.8</v>
      </c>
      <c r="L2696" s="78"/>
      <c r="M2696" s="58" t="s">
        <v>31</v>
      </c>
      <c r="N2696" s="59"/>
      <c r="O2696" s="60" t="s">
        <v>34</v>
      </c>
      <c r="P2696" s="61"/>
    </row>
    <row r="2697">
      <c r="A2697" s="29" t="s">
        <v>2666</v>
      </c>
      <c r="B2697" s="30" t="s">
        <v>442</v>
      </c>
      <c r="C2697" s="31" t="s">
        <v>2148</v>
      </c>
      <c r="D2697" s="32" t="str">
        <f t="shared" si="1"/>
        <v>Removed</v>
      </c>
      <c r="E2697" s="33">
        <v>40792.0</v>
      </c>
      <c r="F2697" s="34">
        <v>40819.0</v>
      </c>
      <c r="G2697" s="36">
        <f t="shared" si="2"/>
        <v>0.9</v>
      </c>
      <c r="H2697" s="37">
        <v>40589.0</v>
      </c>
      <c r="I2697" s="36">
        <f t="shared" si="4"/>
        <v>0.5583333333</v>
      </c>
      <c r="J2697" s="38">
        <v>60.0</v>
      </c>
      <c r="K2697" s="39">
        <v>7.0</v>
      </c>
      <c r="L2697" s="76"/>
      <c r="M2697" s="40" t="s">
        <v>136</v>
      </c>
      <c r="N2697" s="41" t="s">
        <v>2595</v>
      </c>
      <c r="O2697" s="42" t="s">
        <v>34</v>
      </c>
      <c r="P2697" s="43"/>
    </row>
    <row r="2698">
      <c r="A2698" s="44" t="s">
        <v>1412</v>
      </c>
      <c r="B2698" s="45" t="s">
        <v>442</v>
      </c>
      <c r="C2698" s="46" t="s">
        <v>2148</v>
      </c>
      <c r="D2698" s="47" t="str">
        <f t="shared" si="1"/>
        <v>Removed</v>
      </c>
      <c r="E2698" s="48">
        <v>40792.0</v>
      </c>
      <c r="F2698" s="49">
        <v>40819.0</v>
      </c>
      <c r="G2698" s="50">
        <f t="shared" si="2"/>
        <v>0.9</v>
      </c>
      <c r="H2698" s="51">
        <v>36425.0</v>
      </c>
      <c r="I2698" s="50">
        <f t="shared" si="4"/>
        <v>11.95555556</v>
      </c>
      <c r="J2698" s="55">
        <v>91.0</v>
      </c>
      <c r="K2698" s="56">
        <v>8.9</v>
      </c>
      <c r="L2698" s="55">
        <v>7.0</v>
      </c>
      <c r="M2698" s="58" t="s">
        <v>537</v>
      </c>
      <c r="N2698" s="59" t="s">
        <v>61</v>
      </c>
      <c r="O2698" s="60" t="s">
        <v>34</v>
      </c>
      <c r="P2698" s="66"/>
    </row>
    <row r="2699">
      <c r="A2699" s="29" t="s">
        <v>186</v>
      </c>
      <c r="B2699" s="30" t="s">
        <v>442</v>
      </c>
      <c r="C2699" s="31" t="s">
        <v>2148</v>
      </c>
      <c r="D2699" s="32" t="str">
        <f t="shared" si="1"/>
        <v>Removed</v>
      </c>
      <c r="E2699" s="33">
        <v>40792.0</v>
      </c>
      <c r="F2699" s="34">
        <v>40819.0</v>
      </c>
      <c r="G2699" s="36">
        <f t="shared" si="2"/>
        <v>0.9</v>
      </c>
      <c r="H2699" s="37">
        <v>35816.0</v>
      </c>
      <c r="I2699" s="36">
        <f t="shared" si="4"/>
        <v>13.625</v>
      </c>
      <c r="J2699" s="38">
        <v>89.0</v>
      </c>
      <c r="K2699" s="39">
        <v>8.8</v>
      </c>
      <c r="L2699" s="38">
        <v>7.0</v>
      </c>
      <c r="M2699" s="40" t="s">
        <v>537</v>
      </c>
      <c r="N2699" s="41" t="s">
        <v>61</v>
      </c>
      <c r="O2699" s="42" t="s">
        <v>34</v>
      </c>
      <c r="P2699" s="67"/>
    </row>
    <row r="2700">
      <c r="A2700" s="44" t="s">
        <v>2667</v>
      </c>
      <c r="B2700" s="45" t="s">
        <v>442</v>
      </c>
      <c r="C2700" s="46" t="s">
        <v>2148</v>
      </c>
      <c r="D2700" s="47" t="str">
        <f t="shared" si="1"/>
        <v>Removed</v>
      </c>
      <c r="E2700" s="48">
        <v>40792.0</v>
      </c>
      <c r="F2700" s="49">
        <v>40819.0</v>
      </c>
      <c r="G2700" s="50">
        <f t="shared" si="2"/>
        <v>0.9</v>
      </c>
      <c r="H2700" s="51">
        <v>35703.0</v>
      </c>
      <c r="I2700" s="50">
        <f t="shared" si="4"/>
        <v>13.93333333</v>
      </c>
      <c r="J2700" s="55">
        <v>8.0</v>
      </c>
      <c r="K2700" s="56">
        <v>7.0</v>
      </c>
      <c r="L2700" s="55">
        <v>7.0</v>
      </c>
      <c r="M2700" s="58" t="s">
        <v>36</v>
      </c>
      <c r="N2700" s="59" t="s">
        <v>61</v>
      </c>
      <c r="O2700" s="60" t="s">
        <v>34</v>
      </c>
      <c r="P2700" s="66"/>
    </row>
    <row r="2701">
      <c r="A2701" s="29" t="s">
        <v>362</v>
      </c>
      <c r="B2701" s="30" t="s">
        <v>442</v>
      </c>
      <c r="C2701" s="31" t="s">
        <v>2148</v>
      </c>
      <c r="D2701" s="32" t="str">
        <f t="shared" si="1"/>
        <v>Removed</v>
      </c>
      <c r="E2701" s="33">
        <v>40792.0</v>
      </c>
      <c r="F2701" s="34">
        <v>40819.0</v>
      </c>
      <c r="G2701" s="36">
        <f t="shared" si="2"/>
        <v>0.9</v>
      </c>
      <c r="H2701" s="37">
        <v>35764.0</v>
      </c>
      <c r="I2701" s="36">
        <f t="shared" si="4"/>
        <v>13.76666667</v>
      </c>
      <c r="J2701" s="38">
        <v>7.6</v>
      </c>
      <c r="K2701" s="39">
        <v>7.6</v>
      </c>
      <c r="L2701" s="76"/>
      <c r="M2701" s="40" t="s">
        <v>95</v>
      </c>
      <c r="N2701" s="41" t="s">
        <v>61</v>
      </c>
      <c r="O2701" s="42" t="s">
        <v>34</v>
      </c>
      <c r="P2701" s="67"/>
    </row>
    <row r="2702">
      <c r="A2702" s="44" t="s">
        <v>2668</v>
      </c>
      <c r="B2702" s="45" t="s">
        <v>442</v>
      </c>
      <c r="C2702" s="46" t="s">
        <v>2148</v>
      </c>
      <c r="D2702" s="47" t="str">
        <f t="shared" si="1"/>
        <v>Removed</v>
      </c>
      <c r="E2702" s="48">
        <v>40757.0</v>
      </c>
      <c r="F2702" s="49">
        <v>40791.0</v>
      </c>
      <c r="G2702" s="50">
        <f t="shared" si="2"/>
        <v>1.1</v>
      </c>
      <c r="H2702" s="51">
        <v>35003.0</v>
      </c>
      <c r="I2702" s="50">
        <f t="shared" si="4"/>
        <v>15.75555556</v>
      </c>
      <c r="J2702" s="55">
        <v>74.0</v>
      </c>
      <c r="K2702" s="56">
        <v>8.0</v>
      </c>
      <c r="L2702" s="55">
        <v>6.0</v>
      </c>
      <c r="M2702" s="58" t="s">
        <v>95</v>
      </c>
      <c r="N2702" s="59" t="s">
        <v>61</v>
      </c>
      <c r="O2702" s="60" t="s">
        <v>34</v>
      </c>
      <c r="P2702" s="66"/>
    </row>
    <row r="2703">
      <c r="A2703" s="29" t="s">
        <v>2669</v>
      </c>
      <c r="B2703" s="30" t="s">
        <v>442</v>
      </c>
      <c r="C2703" s="31" t="s">
        <v>2148</v>
      </c>
      <c r="D2703" s="32" t="str">
        <f t="shared" si="1"/>
        <v>Removed</v>
      </c>
      <c r="E2703" s="33">
        <v>40757.0</v>
      </c>
      <c r="F2703" s="34">
        <v>40791.0</v>
      </c>
      <c r="G2703" s="36">
        <f t="shared" si="2"/>
        <v>1.1</v>
      </c>
      <c r="H2703" s="37">
        <v>40582.0</v>
      </c>
      <c r="I2703" s="36">
        <f t="shared" si="4"/>
        <v>0.4833333333</v>
      </c>
      <c r="J2703" s="38">
        <v>68.0</v>
      </c>
      <c r="K2703" s="39">
        <v>7.1</v>
      </c>
      <c r="L2703" s="38">
        <v>2.0</v>
      </c>
      <c r="M2703" s="40" t="s">
        <v>136</v>
      </c>
      <c r="N2703" s="41" t="s">
        <v>2595</v>
      </c>
      <c r="O2703" s="42" t="s">
        <v>34</v>
      </c>
      <c r="P2703" s="43"/>
    </row>
    <row r="2704">
      <c r="A2704" s="44" t="s">
        <v>2670</v>
      </c>
      <c r="B2704" s="45" t="s">
        <v>442</v>
      </c>
      <c r="C2704" s="46" t="s">
        <v>2148</v>
      </c>
      <c r="D2704" s="47" t="str">
        <f t="shared" si="1"/>
        <v>Removed</v>
      </c>
      <c r="E2704" s="48">
        <v>40757.0</v>
      </c>
      <c r="F2704" s="49">
        <v>40791.0</v>
      </c>
      <c r="G2704" s="50">
        <f t="shared" si="2"/>
        <v>1.1</v>
      </c>
      <c r="H2704" s="51">
        <v>40757.0</v>
      </c>
      <c r="I2704" s="50">
        <f t="shared" si="4"/>
        <v>0</v>
      </c>
      <c r="J2704" s="55">
        <v>65.0</v>
      </c>
      <c r="K2704" s="56">
        <v>6.8</v>
      </c>
      <c r="L2704" s="55">
        <v>3.0</v>
      </c>
      <c r="M2704" s="58" t="s">
        <v>27</v>
      </c>
      <c r="N2704" s="59" t="s">
        <v>2595</v>
      </c>
      <c r="O2704" s="60" t="s">
        <v>34</v>
      </c>
      <c r="P2704" s="61"/>
    </row>
    <row r="2705">
      <c r="A2705" s="29" t="s">
        <v>2671</v>
      </c>
      <c r="B2705" s="30" t="s">
        <v>442</v>
      </c>
      <c r="C2705" s="31" t="s">
        <v>2148</v>
      </c>
      <c r="D2705" s="32" t="str">
        <f t="shared" si="1"/>
        <v>Removed</v>
      </c>
      <c r="E2705" s="33">
        <v>40757.0</v>
      </c>
      <c r="F2705" s="34">
        <v>40791.0</v>
      </c>
      <c r="G2705" s="36">
        <f t="shared" si="2"/>
        <v>1.1</v>
      </c>
      <c r="H2705" s="37">
        <v>39800.0</v>
      </c>
      <c r="I2705" s="36">
        <f t="shared" si="4"/>
        <v>2.622222222</v>
      </c>
      <c r="J2705" s="38">
        <v>78.0</v>
      </c>
      <c r="K2705" s="39">
        <v>7.8</v>
      </c>
      <c r="L2705" s="38">
        <v>4.0</v>
      </c>
      <c r="M2705" s="40" t="s">
        <v>31</v>
      </c>
      <c r="N2705" s="41"/>
      <c r="O2705" s="42" t="s">
        <v>34</v>
      </c>
      <c r="P2705" s="43"/>
    </row>
    <row r="2706">
      <c r="A2706" s="44" t="s">
        <v>2672</v>
      </c>
      <c r="B2706" s="45" t="s">
        <v>442</v>
      </c>
      <c r="C2706" s="46" t="s">
        <v>2148</v>
      </c>
      <c r="D2706" s="47" t="str">
        <f t="shared" si="1"/>
        <v>Removed</v>
      </c>
      <c r="E2706" s="48">
        <v>40743.0</v>
      </c>
      <c r="F2706" s="49">
        <v>40756.0</v>
      </c>
      <c r="G2706" s="50">
        <f t="shared" si="2"/>
        <v>0.4</v>
      </c>
      <c r="H2706" s="51">
        <v>40743.0</v>
      </c>
      <c r="I2706" s="50">
        <f t="shared" si="4"/>
        <v>0</v>
      </c>
      <c r="J2706" s="55">
        <v>76.0</v>
      </c>
      <c r="K2706" s="56">
        <v>7.4</v>
      </c>
      <c r="L2706" s="55">
        <v>1.0</v>
      </c>
      <c r="M2706" s="58" t="s">
        <v>27</v>
      </c>
      <c r="N2706" s="59" t="s">
        <v>2595</v>
      </c>
      <c r="O2706" s="60" t="s">
        <v>34</v>
      </c>
      <c r="P2706" s="61"/>
    </row>
    <row r="2707">
      <c r="A2707" s="29" t="s">
        <v>2673</v>
      </c>
      <c r="B2707" s="30" t="s">
        <v>442</v>
      </c>
      <c r="C2707" s="31" t="s">
        <v>2148</v>
      </c>
      <c r="D2707" s="32" t="str">
        <f t="shared" si="1"/>
        <v>Removed</v>
      </c>
      <c r="E2707" s="33">
        <v>40729.0</v>
      </c>
      <c r="F2707" s="34">
        <v>40756.0</v>
      </c>
      <c r="G2707" s="36">
        <f t="shared" si="2"/>
        <v>0.8666666667</v>
      </c>
      <c r="H2707" s="37">
        <v>40262.0</v>
      </c>
      <c r="I2707" s="36">
        <f t="shared" si="4"/>
        <v>1.277777778</v>
      </c>
      <c r="J2707" s="38">
        <v>76.0</v>
      </c>
      <c r="K2707" s="39">
        <v>5.2</v>
      </c>
      <c r="L2707" s="38">
        <v>2.0</v>
      </c>
      <c r="M2707" s="40" t="s">
        <v>27</v>
      </c>
      <c r="N2707" s="41" t="s">
        <v>2595</v>
      </c>
      <c r="O2707" s="42" t="s">
        <v>34</v>
      </c>
      <c r="P2707" s="43"/>
    </row>
    <row r="2708">
      <c r="A2708" s="44" t="s">
        <v>2674</v>
      </c>
      <c r="B2708" s="45" t="s">
        <v>442</v>
      </c>
      <c r="C2708" s="46" t="s">
        <v>2148</v>
      </c>
      <c r="D2708" s="47" t="str">
        <f t="shared" si="1"/>
        <v>Removed</v>
      </c>
      <c r="E2708" s="48">
        <v>40729.0</v>
      </c>
      <c r="F2708" s="49">
        <v>40756.0</v>
      </c>
      <c r="G2708" s="50">
        <f t="shared" si="2"/>
        <v>0.8666666667</v>
      </c>
      <c r="H2708" s="51">
        <v>32417.0</v>
      </c>
      <c r="I2708" s="50">
        <f t="shared" si="4"/>
        <v>22.76111111</v>
      </c>
      <c r="J2708" s="78"/>
      <c r="K2708" s="77"/>
      <c r="L2708" s="78"/>
      <c r="M2708" s="58" t="s">
        <v>31</v>
      </c>
      <c r="N2708" s="59" t="s">
        <v>2595</v>
      </c>
      <c r="O2708" s="60" t="s">
        <v>34</v>
      </c>
      <c r="P2708" s="61"/>
    </row>
    <row r="2709">
      <c r="A2709" s="29" t="s">
        <v>2168</v>
      </c>
      <c r="B2709" s="30" t="s">
        <v>442</v>
      </c>
      <c r="C2709" s="31" t="s">
        <v>2148</v>
      </c>
      <c r="D2709" s="32" t="str">
        <f t="shared" si="1"/>
        <v>Removed</v>
      </c>
      <c r="E2709" s="33">
        <v>40729.0</v>
      </c>
      <c r="F2709" s="34">
        <v>40756.0</v>
      </c>
      <c r="G2709" s="36">
        <f t="shared" si="2"/>
        <v>0.8666666667</v>
      </c>
      <c r="H2709" s="37">
        <v>39274.0</v>
      </c>
      <c r="I2709" s="36">
        <f t="shared" si="4"/>
        <v>3.983333333</v>
      </c>
      <c r="J2709" s="38">
        <v>68.0</v>
      </c>
      <c r="K2709" s="79"/>
      <c r="L2709" s="38">
        <v>1.5</v>
      </c>
      <c r="M2709" s="40" t="s">
        <v>29</v>
      </c>
      <c r="N2709" s="41"/>
      <c r="O2709" s="42" t="s">
        <v>34</v>
      </c>
      <c r="P2709" s="43"/>
    </row>
    <row r="2710">
      <c r="A2710" s="44" t="s">
        <v>2675</v>
      </c>
      <c r="B2710" s="45" t="s">
        <v>442</v>
      </c>
      <c r="C2710" s="46" t="s">
        <v>2148</v>
      </c>
      <c r="D2710" s="47" t="str">
        <f t="shared" si="1"/>
        <v>Removed</v>
      </c>
      <c r="E2710" s="48">
        <v>40729.0</v>
      </c>
      <c r="F2710" s="49">
        <v>40756.0</v>
      </c>
      <c r="G2710" s="50">
        <f t="shared" si="2"/>
        <v>0.8666666667</v>
      </c>
      <c r="H2710" s="51">
        <v>39975.0</v>
      </c>
      <c r="I2710" s="50">
        <f t="shared" si="4"/>
        <v>2.066666667</v>
      </c>
      <c r="J2710" s="55">
        <v>81.0</v>
      </c>
      <c r="K2710" s="56">
        <v>7.7</v>
      </c>
      <c r="L2710" s="78"/>
      <c r="M2710" s="58" t="s">
        <v>136</v>
      </c>
      <c r="N2710" s="59"/>
      <c r="O2710" s="60" t="s">
        <v>34</v>
      </c>
      <c r="P2710" s="61"/>
    </row>
    <row r="2711">
      <c r="A2711" s="29" t="s">
        <v>2676</v>
      </c>
      <c r="B2711" s="30" t="s">
        <v>442</v>
      </c>
      <c r="C2711" s="31" t="s">
        <v>2148</v>
      </c>
      <c r="D2711" s="32" t="str">
        <f t="shared" si="1"/>
        <v>Removed</v>
      </c>
      <c r="E2711" s="33">
        <v>40729.0</v>
      </c>
      <c r="F2711" s="34">
        <v>40756.0</v>
      </c>
      <c r="G2711" s="36">
        <f t="shared" si="2"/>
        <v>0.8666666667</v>
      </c>
      <c r="H2711" s="37">
        <v>36069.0</v>
      </c>
      <c r="I2711" s="36">
        <f t="shared" si="4"/>
        <v>12.76111111</v>
      </c>
      <c r="J2711" s="38">
        <v>67.0</v>
      </c>
      <c r="K2711" s="39">
        <v>8.0</v>
      </c>
      <c r="L2711" s="38">
        <v>7.0</v>
      </c>
      <c r="M2711" s="40" t="s">
        <v>29</v>
      </c>
      <c r="N2711" s="41" t="s">
        <v>61</v>
      </c>
      <c r="O2711" s="42" t="s">
        <v>34</v>
      </c>
      <c r="P2711" s="67"/>
    </row>
    <row r="2712">
      <c r="A2712" s="44" t="s">
        <v>2677</v>
      </c>
      <c r="B2712" s="45" t="s">
        <v>442</v>
      </c>
      <c r="C2712" s="46" t="s">
        <v>2148</v>
      </c>
      <c r="D2712" s="47" t="str">
        <f t="shared" si="1"/>
        <v>Removed</v>
      </c>
      <c r="E2712" s="48">
        <v>40701.0</v>
      </c>
      <c r="F2712" s="49">
        <v>40728.0</v>
      </c>
      <c r="G2712" s="50">
        <f t="shared" si="2"/>
        <v>0.9</v>
      </c>
      <c r="H2712" s="51">
        <v>33958.0</v>
      </c>
      <c r="I2712" s="50">
        <f t="shared" si="4"/>
        <v>18.46388889</v>
      </c>
      <c r="J2712" s="55">
        <v>85.0</v>
      </c>
      <c r="K2712" s="56">
        <v>8.9</v>
      </c>
      <c r="L2712" s="55">
        <v>3.0</v>
      </c>
      <c r="M2712" s="58" t="s">
        <v>268</v>
      </c>
      <c r="N2712" s="59"/>
      <c r="O2712" s="60" t="s">
        <v>34</v>
      </c>
      <c r="P2712" s="61"/>
    </row>
    <row r="2713">
      <c r="A2713" s="29" t="s">
        <v>2678</v>
      </c>
      <c r="B2713" s="30" t="s">
        <v>442</v>
      </c>
      <c r="C2713" s="31" t="s">
        <v>2148</v>
      </c>
      <c r="D2713" s="32" t="str">
        <f t="shared" si="1"/>
        <v>Removed</v>
      </c>
      <c r="E2713" s="33">
        <v>40701.0</v>
      </c>
      <c r="F2713" s="34">
        <v>40728.0</v>
      </c>
      <c r="G2713" s="36">
        <f t="shared" si="2"/>
        <v>0.9</v>
      </c>
      <c r="H2713" s="37">
        <v>40344.0</v>
      </c>
      <c r="I2713" s="36">
        <f t="shared" si="4"/>
        <v>0.9777777778</v>
      </c>
      <c r="J2713" s="38">
        <v>80.0</v>
      </c>
      <c r="K2713" s="39">
        <v>7.6</v>
      </c>
      <c r="L2713" s="76"/>
      <c r="M2713" s="40" t="s">
        <v>598</v>
      </c>
      <c r="N2713" s="41"/>
      <c r="O2713" s="42" t="s">
        <v>34</v>
      </c>
      <c r="P2713" s="43"/>
    </row>
    <row r="2714">
      <c r="A2714" s="44" t="s">
        <v>2679</v>
      </c>
      <c r="B2714" s="45" t="s">
        <v>442</v>
      </c>
      <c r="C2714" s="46" t="s">
        <v>2148</v>
      </c>
      <c r="D2714" s="47" t="str">
        <f t="shared" si="1"/>
        <v>Removed</v>
      </c>
      <c r="E2714" s="48">
        <v>40701.0</v>
      </c>
      <c r="F2714" s="49">
        <v>40728.0</v>
      </c>
      <c r="G2714" s="50">
        <f t="shared" si="2"/>
        <v>0.9</v>
      </c>
      <c r="H2714" s="51">
        <v>37566.0</v>
      </c>
      <c r="I2714" s="50">
        <f t="shared" si="4"/>
        <v>8.586111111</v>
      </c>
      <c r="J2714" s="55">
        <v>54.0</v>
      </c>
      <c r="K2714" s="77"/>
      <c r="L2714" s="78"/>
      <c r="M2714" s="58" t="s">
        <v>29</v>
      </c>
      <c r="N2714" s="59" t="s">
        <v>61</v>
      </c>
      <c r="O2714" s="60" t="s">
        <v>34</v>
      </c>
      <c r="P2714" s="66"/>
    </row>
    <row r="2715">
      <c r="A2715" s="29" t="s">
        <v>2680</v>
      </c>
      <c r="B2715" s="30" t="s">
        <v>442</v>
      </c>
      <c r="C2715" s="31" t="s">
        <v>2148</v>
      </c>
      <c r="D2715" s="32" t="str">
        <f t="shared" si="1"/>
        <v>Removed</v>
      </c>
      <c r="E2715" s="33">
        <v>40701.0</v>
      </c>
      <c r="F2715" s="34">
        <v>40728.0</v>
      </c>
      <c r="G2715" s="36">
        <f t="shared" si="2"/>
        <v>0.9</v>
      </c>
      <c r="H2715" s="37">
        <v>40696.0</v>
      </c>
      <c r="I2715" s="36">
        <f t="shared" si="4"/>
        <v>0.01388888889</v>
      </c>
      <c r="J2715" s="38">
        <v>65.0</v>
      </c>
      <c r="K2715" s="39">
        <v>6.7</v>
      </c>
      <c r="L2715" s="38">
        <v>2.0</v>
      </c>
      <c r="M2715" s="40" t="s">
        <v>27</v>
      </c>
      <c r="N2715" s="41" t="s">
        <v>2595</v>
      </c>
      <c r="O2715" s="42" t="s">
        <v>34</v>
      </c>
      <c r="P2715" s="43"/>
    </row>
    <row r="2716">
      <c r="A2716" s="44" t="s">
        <v>2681</v>
      </c>
      <c r="B2716" s="45" t="s">
        <v>442</v>
      </c>
      <c r="C2716" s="46" t="s">
        <v>2148</v>
      </c>
      <c r="D2716" s="47" t="str">
        <f t="shared" si="1"/>
        <v>Removed</v>
      </c>
      <c r="E2716" s="48">
        <v>40701.0</v>
      </c>
      <c r="F2716" s="49">
        <v>40728.0</v>
      </c>
      <c r="G2716" s="50">
        <f t="shared" si="2"/>
        <v>0.9</v>
      </c>
      <c r="H2716" s="51">
        <v>40695.0</v>
      </c>
      <c r="I2716" s="50">
        <f t="shared" si="4"/>
        <v>0.01666666667</v>
      </c>
      <c r="J2716" s="55">
        <v>62.0</v>
      </c>
      <c r="K2716" s="56">
        <v>6.3</v>
      </c>
      <c r="L2716" s="55">
        <v>2.0</v>
      </c>
      <c r="M2716" s="58" t="s">
        <v>136</v>
      </c>
      <c r="N2716" s="59" t="s">
        <v>2595</v>
      </c>
      <c r="O2716" s="60" t="s">
        <v>34</v>
      </c>
      <c r="P2716" s="61"/>
    </row>
    <row r="2717">
      <c r="A2717" s="29" t="s">
        <v>2682</v>
      </c>
      <c r="B2717" s="30" t="s">
        <v>442</v>
      </c>
      <c r="C2717" s="31" t="s">
        <v>2148</v>
      </c>
      <c r="D2717" s="32" t="str">
        <f t="shared" si="1"/>
        <v>Removed</v>
      </c>
      <c r="E2717" s="33">
        <v>40638.0</v>
      </c>
      <c r="F2717" s="34">
        <v>40700.0</v>
      </c>
      <c r="G2717" s="36">
        <f t="shared" si="2"/>
        <v>2.033333333</v>
      </c>
      <c r="H2717" s="37">
        <v>40638.0</v>
      </c>
      <c r="I2717" s="36">
        <f t="shared" si="4"/>
        <v>0</v>
      </c>
      <c r="J2717" s="38">
        <v>52.0</v>
      </c>
      <c r="K2717" s="39">
        <v>6.1</v>
      </c>
      <c r="L2717" s="38">
        <v>1.0</v>
      </c>
      <c r="M2717" s="40" t="s">
        <v>31</v>
      </c>
      <c r="N2717" s="41" t="s">
        <v>2595</v>
      </c>
      <c r="O2717" s="42" t="s">
        <v>34</v>
      </c>
      <c r="P2717" s="43"/>
    </row>
    <row r="2718">
      <c r="A2718" s="44" t="s">
        <v>2583</v>
      </c>
      <c r="B2718" s="45" t="s">
        <v>442</v>
      </c>
      <c r="C2718" s="46" t="s">
        <v>2148</v>
      </c>
      <c r="D2718" s="47" t="str">
        <f t="shared" si="1"/>
        <v>Removed</v>
      </c>
      <c r="E2718" s="48">
        <v>40638.0</v>
      </c>
      <c r="F2718" s="49">
        <v>40700.0</v>
      </c>
      <c r="G2718" s="50">
        <f t="shared" si="2"/>
        <v>2.033333333</v>
      </c>
      <c r="H2718" s="51">
        <v>33929.0</v>
      </c>
      <c r="I2718" s="50">
        <f t="shared" si="4"/>
        <v>18.37222222</v>
      </c>
      <c r="J2718" s="55">
        <v>69.0</v>
      </c>
      <c r="K2718" s="56">
        <v>7.9</v>
      </c>
      <c r="L2718" s="55">
        <v>4.0</v>
      </c>
      <c r="M2718" s="58" t="s">
        <v>27</v>
      </c>
      <c r="N2718" s="59"/>
      <c r="O2718" s="60" t="s">
        <v>34</v>
      </c>
      <c r="P2718" s="61"/>
    </row>
    <row r="2719">
      <c r="A2719" s="29" t="s">
        <v>2683</v>
      </c>
      <c r="B2719" s="30" t="s">
        <v>442</v>
      </c>
      <c r="C2719" s="31" t="s">
        <v>2148</v>
      </c>
      <c r="D2719" s="32" t="str">
        <f t="shared" si="1"/>
        <v>Removed</v>
      </c>
      <c r="E2719" s="33">
        <v>40603.0</v>
      </c>
      <c r="F2719" s="34">
        <v>40637.0</v>
      </c>
      <c r="G2719" s="36">
        <f t="shared" si="2"/>
        <v>1.1</v>
      </c>
      <c r="H2719" s="37">
        <v>40205.0</v>
      </c>
      <c r="I2719" s="36">
        <f t="shared" si="4"/>
        <v>1.094444444</v>
      </c>
      <c r="J2719" s="38">
        <v>72.0</v>
      </c>
      <c r="K2719" s="39">
        <v>7.0</v>
      </c>
      <c r="L2719" s="76"/>
      <c r="M2719" s="40" t="s">
        <v>103</v>
      </c>
      <c r="N2719" s="41" t="s">
        <v>2595</v>
      </c>
      <c r="O2719" s="42" t="s">
        <v>34</v>
      </c>
      <c r="P2719" s="43"/>
    </row>
    <row r="2720">
      <c r="A2720" s="44" t="s">
        <v>2644</v>
      </c>
      <c r="B2720" s="45" t="s">
        <v>442</v>
      </c>
      <c r="C2720" s="46" t="s">
        <v>2148</v>
      </c>
      <c r="D2720" s="47" t="str">
        <f t="shared" si="1"/>
        <v>Removed</v>
      </c>
      <c r="E2720" s="48">
        <v>40603.0</v>
      </c>
      <c r="F2720" s="49">
        <v>40637.0</v>
      </c>
      <c r="G2720" s="50">
        <f t="shared" si="2"/>
        <v>1.1</v>
      </c>
      <c r="H2720" s="51">
        <v>40491.0</v>
      </c>
      <c r="I2720" s="50">
        <f t="shared" si="4"/>
        <v>0.3111111111</v>
      </c>
      <c r="J2720" s="55">
        <v>61.0</v>
      </c>
      <c r="K2720" s="56">
        <v>6.3</v>
      </c>
      <c r="L2720" s="78"/>
      <c r="M2720" s="58" t="s">
        <v>31</v>
      </c>
      <c r="N2720" s="59" t="s">
        <v>2595</v>
      </c>
      <c r="O2720" s="60" t="s">
        <v>34</v>
      </c>
      <c r="P2720" s="61"/>
    </row>
    <row r="2721">
      <c r="A2721" s="29" t="s">
        <v>2684</v>
      </c>
      <c r="B2721" s="30" t="s">
        <v>442</v>
      </c>
      <c r="C2721" s="31" t="s">
        <v>2148</v>
      </c>
      <c r="D2721" s="32" t="str">
        <f t="shared" si="1"/>
        <v>Removed</v>
      </c>
      <c r="E2721" s="33">
        <v>40603.0</v>
      </c>
      <c r="F2721" s="34">
        <v>40637.0</v>
      </c>
      <c r="G2721" s="36">
        <f t="shared" si="2"/>
        <v>1.1</v>
      </c>
      <c r="H2721" s="37">
        <v>39849.0</v>
      </c>
      <c r="I2721" s="36">
        <f t="shared" si="4"/>
        <v>2.072222222</v>
      </c>
      <c r="J2721" s="38">
        <v>75.0</v>
      </c>
      <c r="K2721" s="39">
        <v>7.6</v>
      </c>
      <c r="L2721" s="76"/>
      <c r="M2721" s="40" t="s">
        <v>103</v>
      </c>
      <c r="N2721" s="41"/>
      <c r="O2721" s="42" t="s">
        <v>34</v>
      </c>
      <c r="P2721" s="43"/>
    </row>
    <row r="2722">
      <c r="A2722" s="44" t="s">
        <v>2685</v>
      </c>
      <c r="B2722" s="45" t="s">
        <v>442</v>
      </c>
      <c r="C2722" s="46" t="s">
        <v>2148</v>
      </c>
      <c r="D2722" s="47" t="str">
        <f t="shared" si="1"/>
        <v>Removed</v>
      </c>
      <c r="E2722" s="48">
        <v>40603.0</v>
      </c>
      <c r="F2722" s="49">
        <v>40637.0</v>
      </c>
      <c r="G2722" s="50">
        <f t="shared" si="2"/>
        <v>1.1</v>
      </c>
      <c r="H2722" s="51">
        <v>36116.0</v>
      </c>
      <c r="I2722" s="50">
        <f t="shared" si="4"/>
        <v>12.28888889</v>
      </c>
      <c r="J2722" s="55">
        <v>88.0</v>
      </c>
      <c r="K2722" s="56">
        <v>8.8</v>
      </c>
      <c r="L2722" s="55">
        <v>13.0</v>
      </c>
      <c r="M2722" s="58" t="s">
        <v>27</v>
      </c>
      <c r="N2722" s="59" t="s">
        <v>61</v>
      </c>
      <c r="O2722" s="60" t="s">
        <v>34</v>
      </c>
      <c r="P2722" s="66"/>
    </row>
    <row r="2723">
      <c r="A2723" s="29" t="s">
        <v>2686</v>
      </c>
      <c r="B2723" s="30" t="s">
        <v>442</v>
      </c>
      <c r="C2723" s="31" t="s">
        <v>2148</v>
      </c>
      <c r="D2723" s="32" t="str">
        <f t="shared" si="1"/>
        <v>Removed</v>
      </c>
      <c r="E2723" s="33">
        <v>40603.0</v>
      </c>
      <c r="F2723" s="34">
        <v>40637.0</v>
      </c>
      <c r="G2723" s="36">
        <f t="shared" si="2"/>
        <v>1.1</v>
      </c>
      <c r="H2723" s="37">
        <v>40414.0</v>
      </c>
      <c r="I2723" s="36">
        <f t="shared" si="4"/>
        <v>0.5194444444</v>
      </c>
      <c r="J2723" s="38">
        <v>74.0</v>
      </c>
      <c r="K2723" s="39">
        <v>7.2</v>
      </c>
      <c r="L2723" s="38">
        <v>2.0</v>
      </c>
      <c r="M2723" s="40" t="s">
        <v>27</v>
      </c>
      <c r="N2723" s="41" t="s">
        <v>2595</v>
      </c>
      <c r="O2723" s="42" t="s">
        <v>34</v>
      </c>
      <c r="P2723" s="43"/>
    </row>
    <row r="2724">
      <c r="A2724" s="44" t="s">
        <v>2687</v>
      </c>
      <c r="B2724" s="45" t="s">
        <v>442</v>
      </c>
      <c r="C2724" s="46" t="s">
        <v>2148</v>
      </c>
      <c r="D2724" s="47" t="str">
        <f t="shared" si="1"/>
        <v>Removed</v>
      </c>
      <c r="E2724" s="48">
        <v>40603.0</v>
      </c>
      <c r="F2724" s="49">
        <v>40637.0</v>
      </c>
      <c r="G2724" s="50">
        <f t="shared" si="2"/>
        <v>1.1</v>
      </c>
      <c r="H2724" s="51">
        <v>39996.0</v>
      </c>
      <c r="I2724" s="50">
        <f t="shared" si="4"/>
        <v>1.663888889</v>
      </c>
      <c r="J2724" s="55">
        <v>78.0</v>
      </c>
      <c r="K2724" s="56">
        <v>7.1</v>
      </c>
      <c r="L2724" s="55">
        <v>4.0</v>
      </c>
      <c r="M2724" s="58" t="s">
        <v>136</v>
      </c>
      <c r="N2724" s="59" t="s">
        <v>2595</v>
      </c>
      <c r="O2724" s="60" t="s">
        <v>34</v>
      </c>
      <c r="P2724" s="61"/>
    </row>
    <row r="2725">
      <c r="A2725" s="29" t="s">
        <v>2584</v>
      </c>
      <c r="B2725" s="30" t="s">
        <v>442</v>
      </c>
      <c r="C2725" s="31" t="s">
        <v>2148</v>
      </c>
      <c r="D2725" s="32" t="str">
        <f t="shared" si="1"/>
        <v>Removed</v>
      </c>
      <c r="E2725" s="33">
        <v>40603.0</v>
      </c>
      <c r="F2725" s="34">
        <v>40637.0</v>
      </c>
      <c r="G2725" s="36">
        <f t="shared" si="2"/>
        <v>1.1</v>
      </c>
      <c r="H2725" s="37">
        <v>33412.0</v>
      </c>
      <c r="I2725" s="36">
        <f t="shared" si="4"/>
        <v>19.68888889</v>
      </c>
      <c r="J2725" s="38">
        <v>50.0</v>
      </c>
      <c r="K2725" s="39">
        <v>7.2</v>
      </c>
      <c r="L2725" s="38">
        <v>3.0</v>
      </c>
      <c r="M2725" s="40" t="s">
        <v>27</v>
      </c>
      <c r="N2725" s="41"/>
      <c r="O2725" s="42" t="s">
        <v>34</v>
      </c>
      <c r="P2725" s="43"/>
    </row>
    <row r="2726">
      <c r="A2726" s="44" t="s">
        <v>2645</v>
      </c>
      <c r="B2726" s="45" t="s">
        <v>442</v>
      </c>
      <c r="C2726" s="46" t="s">
        <v>2148</v>
      </c>
      <c r="D2726" s="47" t="str">
        <f t="shared" si="1"/>
        <v>Removed</v>
      </c>
      <c r="E2726" s="48">
        <v>40603.0</v>
      </c>
      <c r="F2726" s="49">
        <v>40637.0</v>
      </c>
      <c r="G2726" s="50">
        <f t="shared" si="2"/>
        <v>1.1</v>
      </c>
      <c r="H2726" s="51">
        <v>36854.0</v>
      </c>
      <c r="I2726" s="50">
        <f t="shared" si="4"/>
        <v>10.26944444</v>
      </c>
      <c r="J2726" s="55">
        <v>91.0</v>
      </c>
      <c r="K2726" s="56">
        <v>9.1</v>
      </c>
      <c r="L2726" s="55">
        <v>16.0</v>
      </c>
      <c r="M2726" s="58" t="s">
        <v>27</v>
      </c>
      <c r="N2726" s="59" t="s">
        <v>61</v>
      </c>
      <c r="O2726" s="60" t="s">
        <v>34</v>
      </c>
      <c r="P2726" s="66"/>
    </row>
    <row r="2727">
      <c r="A2727" s="29" t="s">
        <v>2688</v>
      </c>
      <c r="B2727" s="30" t="s">
        <v>442</v>
      </c>
      <c r="C2727" s="31" t="s">
        <v>2148</v>
      </c>
      <c r="D2727" s="32" t="str">
        <f t="shared" si="1"/>
        <v>Removed</v>
      </c>
      <c r="E2727" s="33">
        <v>40582.0</v>
      </c>
      <c r="F2727" s="34">
        <v>40602.0</v>
      </c>
      <c r="G2727" s="36">
        <f t="shared" si="2"/>
        <v>0.6666666667</v>
      </c>
      <c r="H2727" s="37">
        <v>40582.0</v>
      </c>
      <c r="I2727" s="36">
        <f t="shared" si="4"/>
        <v>0</v>
      </c>
      <c r="J2727" s="38">
        <v>82.0</v>
      </c>
      <c r="K2727" s="39">
        <v>7.6</v>
      </c>
      <c r="L2727" s="38">
        <v>4.0</v>
      </c>
      <c r="M2727" s="40" t="s">
        <v>112</v>
      </c>
      <c r="N2727" s="41"/>
      <c r="O2727" s="42" t="s">
        <v>34</v>
      </c>
      <c r="P2727" s="43"/>
    </row>
    <row r="2728">
      <c r="A2728" s="44" t="s">
        <v>2689</v>
      </c>
      <c r="B2728" s="45" t="s">
        <v>442</v>
      </c>
      <c r="C2728" s="46" t="s">
        <v>2148</v>
      </c>
      <c r="D2728" s="47" t="str">
        <f t="shared" si="1"/>
        <v>Removed</v>
      </c>
      <c r="E2728" s="48">
        <v>40575.0</v>
      </c>
      <c r="F2728" s="49">
        <v>40602.0</v>
      </c>
      <c r="G2728" s="50">
        <f t="shared" si="2"/>
        <v>0.9</v>
      </c>
      <c r="H2728" s="51">
        <v>40414.0</v>
      </c>
      <c r="I2728" s="50">
        <f t="shared" si="4"/>
        <v>0.4361111111</v>
      </c>
      <c r="J2728" s="55">
        <v>72.0</v>
      </c>
      <c r="K2728" s="56">
        <v>7.2</v>
      </c>
      <c r="L2728" s="78"/>
      <c r="M2728" s="58" t="s">
        <v>125</v>
      </c>
      <c r="N2728" s="59" t="s">
        <v>2595</v>
      </c>
      <c r="O2728" s="60" t="s">
        <v>34</v>
      </c>
      <c r="P2728" s="61"/>
    </row>
    <row r="2729">
      <c r="A2729" s="29" t="s">
        <v>2690</v>
      </c>
      <c r="B2729" s="30" t="s">
        <v>442</v>
      </c>
      <c r="C2729" s="31" t="s">
        <v>2148</v>
      </c>
      <c r="D2729" s="32" t="str">
        <f t="shared" si="1"/>
        <v>Removed</v>
      </c>
      <c r="E2729" s="33">
        <v>40575.0</v>
      </c>
      <c r="F2729" s="34">
        <v>40602.0</v>
      </c>
      <c r="G2729" s="36">
        <f t="shared" si="2"/>
        <v>0.9</v>
      </c>
      <c r="H2729" s="37">
        <v>40561.0</v>
      </c>
      <c r="I2729" s="36">
        <f t="shared" si="4"/>
        <v>0.03611111111</v>
      </c>
      <c r="J2729" s="38">
        <v>55.0</v>
      </c>
      <c r="K2729" s="39">
        <v>6.2</v>
      </c>
      <c r="L2729" s="38">
        <v>1.0</v>
      </c>
      <c r="M2729" s="40" t="s">
        <v>136</v>
      </c>
      <c r="N2729" s="41" t="s">
        <v>2595</v>
      </c>
      <c r="O2729" s="42" t="s">
        <v>34</v>
      </c>
      <c r="P2729" s="43"/>
    </row>
    <row r="2730">
      <c r="A2730" s="44" t="s">
        <v>2691</v>
      </c>
      <c r="B2730" s="45" t="s">
        <v>442</v>
      </c>
      <c r="C2730" s="46" t="s">
        <v>2148</v>
      </c>
      <c r="D2730" s="47" t="str">
        <f t="shared" si="1"/>
        <v>Removed</v>
      </c>
      <c r="E2730" s="48">
        <v>40575.0</v>
      </c>
      <c r="F2730" s="49">
        <v>40602.0</v>
      </c>
      <c r="G2730" s="50">
        <f t="shared" si="2"/>
        <v>0.9</v>
      </c>
      <c r="H2730" s="51">
        <v>40087.0</v>
      </c>
      <c r="I2730" s="50">
        <f t="shared" si="4"/>
        <v>1.333333333</v>
      </c>
      <c r="J2730" s="55">
        <v>58.0</v>
      </c>
      <c r="K2730" s="56">
        <v>6.3</v>
      </c>
      <c r="L2730" s="78"/>
      <c r="M2730" s="58" t="s">
        <v>217</v>
      </c>
      <c r="N2730" s="59"/>
      <c r="O2730" s="60" t="s">
        <v>34</v>
      </c>
      <c r="P2730" s="61"/>
    </row>
    <row r="2731">
      <c r="A2731" s="29" t="s">
        <v>2646</v>
      </c>
      <c r="B2731" s="30" t="s">
        <v>442</v>
      </c>
      <c r="C2731" s="31" t="s">
        <v>2148</v>
      </c>
      <c r="D2731" s="32" t="str">
        <f t="shared" si="1"/>
        <v>Removed</v>
      </c>
      <c r="E2731" s="33">
        <v>40575.0</v>
      </c>
      <c r="F2731" s="34">
        <v>40602.0</v>
      </c>
      <c r="G2731" s="36">
        <f t="shared" si="2"/>
        <v>0.9</v>
      </c>
      <c r="H2731" s="37">
        <v>36466.0</v>
      </c>
      <c r="I2731" s="36">
        <f t="shared" si="4"/>
        <v>11.24722222</v>
      </c>
      <c r="J2731" s="38">
        <v>87.0</v>
      </c>
      <c r="K2731" s="39">
        <v>8.9</v>
      </c>
      <c r="L2731" s="38">
        <v>13.0</v>
      </c>
      <c r="M2731" s="40" t="s">
        <v>27</v>
      </c>
      <c r="N2731" s="41" t="s">
        <v>61</v>
      </c>
      <c r="O2731" s="42" t="s">
        <v>34</v>
      </c>
      <c r="P2731" s="67"/>
    </row>
    <row r="2732">
      <c r="A2732" s="44" t="s">
        <v>2692</v>
      </c>
      <c r="B2732" s="45" t="s">
        <v>442</v>
      </c>
      <c r="C2732" s="46" t="s">
        <v>2148</v>
      </c>
      <c r="D2732" s="47" t="str">
        <f t="shared" si="1"/>
        <v>Removed</v>
      </c>
      <c r="E2732" s="48">
        <v>40547.0</v>
      </c>
      <c r="F2732" s="49">
        <v>40574.0</v>
      </c>
      <c r="G2732" s="50">
        <f t="shared" si="2"/>
        <v>0.8666666667</v>
      </c>
      <c r="H2732" s="51">
        <v>40087.0</v>
      </c>
      <c r="I2732" s="50">
        <f t="shared" si="4"/>
        <v>1.258333333</v>
      </c>
      <c r="J2732" s="55">
        <v>62.0</v>
      </c>
      <c r="K2732" s="56">
        <v>6.5</v>
      </c>
      <c r="L2732" s="55">
        <v>3.0</v>
      </c>
      <c r="M2732" s="58" t="s">
        <v>29</v>
      </c>
      <c r="N2732" s="59" t="s">
        <v>2595</v>
      </c>
      <c r="O2732" s="60" t="s">
        <v>34</v>
      </c>
      <c r="P2732" s="61"/>
    </row>
    <row r="2733">
      <c r="A2733" s="29" t="s">
        <v>2693</v>
      </c>
      <c r="B2733" s="30" t="s">
        <v>442</v>
      </c>
      <c r="C2733" s="31" t="s">
        <v>2148</v>
      </c>
      <c r="D2733" s="32" t="str">
        <f t="shared" si="1"/>
        <v>Removed</v>
      </c>
      <c r="E2733" s="33">
        <v>40547.0</v>
      </c>
      <c r="F2733" s="34">
        <v>40574.0</v>
      </c>
      <c r="G2733" s="36">
        <f t="shared" si="2"/>
        <v>0.8666666667</v>
      </c>
      <c r="H2733" s="37">
        <v>40547.0</v>
      </c>
      <c r="I2733" s="36">
        <f t="shared" si="4"/>
        <v>0</v>
      </c>
      <c r="J2733" s="38">
        <v>59.0</v>
      </c>
      <c r="K2733" s="39">
        <v>6.5</v>
      </c>
      <c r="L2733" s="38">
        <v>2.0</v>
      </c>
      <c r="M2733" s="40" t="s">
        <v>136</v>
      </c>
      <c r="N2733" s="41" t="s">
        <v>2595</v>
      </c>
      <c r="O2733" s="42" t="s">
        <v>34</v>
      </c>
      <c r="P2733" s="43"/>
    </row>
    <row r="2734">
      <c r="A2734" s="44" t="s">
        <v>2694</v>
      </c>
      <c r="B2734" s="45" t="s">
        <v>442</v>
      </c>
      <c r="C2734" s="46" t="s">
        <v>2148</v>
      </c>
      <c r="D2734" s="47" t="str">
        <f t="shared" si="1"/>
        <v>Removed</v>
      </c>
      <c r="E2734" s="48">
        <v>40547.0</v>
      </c>
      <c r="F2734" s="49">
        <v>40574.0</v>
      </c>
      <c r="G2734" s="50">
        <f t="shared" si="2"/>
        <v>0.8666666667</v>
      </c>
      <c r="H2734" s="51">
        <v>40276.0</v>
      </c>
      <c r="I2734" s="50">
        <f t="shared" si="4"/>
        <v>0.7388888889</v>
      </c>
      <c r="J2734" s="55">
        <v>75.0</v>
      </c>
      <c r="K2734" s="56">
        <v>7.1</v>
      </c>
      <c r="L2734" s="78"/>
      <c r="M2734" s="58" t="s">
        <v>31</v>
      </c>
      <c r="N2734" s="59"/>
      <c r="O2734" s="60" t="s">
        <v>34</v>
      </c>
      <c r="P2734" s="61"/>
    </row>
    <row r="2735">
      <c r="A2735" s="29" t="s">
        <v>2647</v>
      </c>
      <c r="B2735" s="30" t="s">
        <v>442</v>
      </c>
      <c r="C2735" s="31" t="s">
        <v>2148</v>
      </c>
      <c r="D2735" s="32" t="str">
        <f t="shared" si="1"/>
        <v>Removed</v>
      </c>
      <c r="E2735" s="33">
        <v>40547.0</v>
      </c>
      <c r="F2735" s="34">
        <v>40574.0</v>
      </c>
      <c r="G2735" s="36">
        <f t="shared" si="2"/>
        <v>0.8666666667</v>
      </c>
      <c r="H2735" s="37">
        <v>36047.0</v>
      </c>
      <c r="I2735" s="36">
        <f t="shared" si="4"/>
        <v>12.31944444</v>
      </c>
      <c r="J2735" s="38">
        <v>91.0</v>
      </c>
      <c r="K2735" s="39">
        <v>9.1</v>
      </c>
      <c r="L2735" s="38">
        <v>13.0</v>
      </c>
      <c r="M2735" s="40" t="s">
        <v>27</v>
      </c>
      <c r="N2735" s="41" t="s">
        <v>61</v>
      </c>
      <c r="O2735" s="42" t="s">
        <v>34</v>
      </c>
      <c r="P2735" s="67"/>
    </row>
    <row r="2736">
      <c r="A2736" s="44" t="s">
        <v>2695</v>
      </c>
      <c r="B2736" s="45" t="s">
        <v>442</v>
      </c>
      <c r="C2736" s="46" t="s">
        <v>2148</v>
      </c>
      <c r="D2736" s="47" t="str">
        <f t="shared" si="1"/>
        <v>Removed</v>
      </c>
      <c r="E2736" s="48">
        <v>40526.0</v>
      </c>
      <c r="F2736" s="49">
        <v>40546.0</v>
      </c>
      <c r="G2736" s="50">
        <f t="shared" si="2"/>
        <v>0.6333333333</v>
      </c>
      <c r="H2736" s="51">
        <v>40526.0</v>
      </c>
      <c r="I2736" s="50">
        <f t="shared" si="4"/>
        <v>0</v>
      </c>
      <c r="J2736" s="55">
        <v>62.0</v>
      </c>
      <c r="K2736" s="56">
        <v>6.6</v>
      </c>
      <c r="L2736" s="55">
        <v>1.0</v>
      </c>
      <c r="M2736" s="58" t="s">
        <v>27</v>
      </c>
      <c r="N2736" s="59"/>
      <c r="O2736" s="60" t="s">
        <v>34</v>
      </c>
      <c r="P2736" s="61"/>
    </row>
    <row r="2737">
      <c r="A2737" s="29" t="s">
        <v>2696</v>
      </c>
      <c r="B2737" s="30" t="s">
        <v>442</v>
      </c>
      <c r="C2737" s="31" t="s">
        <v>2148</v>
      </c>
      <c r="D2737" s="32" t="str">
        <f t="shared" si="1"/>
        <v>Removed</v>
      </c>
      <c r="E2737" s="33">
        <v>40519.0</v>
      </c>
      <c r="F2737" s="34">
        <v>40546.0</v>
      </c>
      <c r="G2737" s="36">
        <f t="shared" si="2"/>
        <v>0.8666666667</v>
      </c>
      <c r="H2737" s="37">
        <v>40491.0</v>
      </c>
      <c r="I2737" s="36">
        <f t="shared" si="4"/>
        <v>0.07777777778</v>
      </c>
      <c r="J2737" s="38">
        <v>61.0</v>
      </c>
      <c r="K2737" s="39">
        <v>6.3</v>
      </c>
      <c r="L2737" s="76"/>
      <c r="M2737" s="40" t="s">
        <v>31</v>
      </c>
      <c r="N2737" s="41" t="s">
        <v>2595</v>
      </c>
      <c r="O2737" s="42" t="s">
        <v>34</v>
      </c>
      <c r="P2737" s="43"/>
    </row>
    <row r="2738">
      <c r="A2738" s="44" t="s">
        <v>2697</v>
      </c>
      <c r="B2738" s="45" t="s">
        <v>442</v>
      </c>
      <c r="C2738" s="46" t="s">
        <v>2148</v>
      </c>
      <c r="D2738" s="47" t="str">
        <f t="shared" si="1"/>
        <v>Removed</v>
      </c>
      <c r="E2738" s="48">
        <v>40526.0</v>
      </c>
      <c r="F2738" s="49">
        <v>40546.0</v>
      </c>
      <c r="G2738" s="50">
        <f t="shared" si="2"/>
        <v>0.6333333333</v>
      </c>
      <c r="H2738" s="51">
        <v>40526.0</v>
      </c>
      <c r="I2738" s="50">
        <f t="shared" si="4"/>
        <v>0</v>
      </c>
      <c r="J2738" s="55">
        <v>54.0</v>
      </c>
      <c r="K2738" s="56">
        <v>6.1</v>
      </c>
      <c r="L2738" s="55">
        <v>2.0</v>
      </c>
      <c r="M2738" s="58" t="s">
        <v>27</v>
      </c>
      <c r="N2738" s="59" t="s">
        <v>2595</v>
      </c>
      <c r="O2738" s="60" t="s">
        <v>34</v>
      </c>
      <c r="P2738" s="61"/>
    </row>
    <row r="2739">
      <c r="A2739" s="29" t="s">
        <v>2698</v>
      </c>
      <c r="B2739" s="30" t="s">
        <v>442</v>
      </c>
      <c r="C2739" s="31" t="s">
        <v>2148</v>
      </c>
      <c r="D2739" s="32" t="str">
        <f t="shared" si="1"/>
        <v>Removed</v>
      </c>
      <c r="E2739" s="33">
        <v>40519.0</v>
      </c>
      <c r="F2739" s="34">
        <v>40546.0</v>
      </c>
      <c r="G2739" s="36">
        <f t="shared" si="2"/>
        <v>0.8666666667</v>
      </c>
      <c r="H2739" s="37">
        <v>36453.0</v>
      </c>
      <c r="I2739" s="36">
        <f t="shared" si="4"/>
        <v>11.13055556</v>
      </c>
      <c r="J2739" s="38">
        <v>88.0</v>
      </c>
      <c r="K2739" s="39">
        <v>8.8</v>
      </c>
      <c r="L2739" s="38">
        <v>6.0</v>
      </c>
      <c r="M2739" s="40" t="s">
        <v>95</v>
      </c>
      <c r="N2739" s="41" t="s">
        <v>61</v>
      </c>
      <c r="O2739" s="42" t="s">
        <v>34</v>
      </c>
      <c r="P2739" s="67"/>
    </row>
    <row r="2740">
      <c r="A2740" s="44" t="s">
        <v>2699</v>
      </c>
      <c r="B2740" s="45" t="s">
        <v>442</v>
      </c>
      <c r="C2740" s="46" t="s">
        <v>2148</v>
      </c>
      <c r="D2740" s="47" t="str">
        <f t="shared" si="1"/>
        <v>Removed</v>
      </c>
      <c r="E2740" s="48">
        <v>40519.0</v>
      </c>
      <c r="F2740" s="49">
        <v>40546.0</v>
      </c>
      <c r="G2740" s="50">
        <f t="shared" si="2"/>
        <v>0.8666666667</v>
      </c>
      <c r="H2740" s="51">
        <v>40283.0</v>
      </c>
      <c r="I2740" s="50">
        <f t="shared" si="4"/>
        <v>0.6444444444</v>
      </c>
      <c r="J2740" s="55">
        <v>82.0</v>
      </c>
      <c r="K2740" s="56">
        <v>8.1</v>
      </c>
      <c r="L2740" s="55">
        <v>11.0</v>
      </c>
      <c r="M2740" s="58" t="s">
        <v>112</v>
      </c>
      <c r="N2740" s="59"/>
      <c r="O2740" s="60" t="s">
        <v>34</v>
      </c>
      <c r="P2740" s="61"/>
    </row>
    <row r="2741">
      <c r="A2741" s="29" t="s">
        <v>2683</v>
      </c>
      <c r="B2741" s="30" t="s">
        <v>442</v>
      </c>
      <c r="C2741" s="31" t="s">
        <v>2148</v>
      </c>
      <c r="D2741" s="32" t="str">
        <f t="shared" si="1"/>
        <v>Removed</v>
      </c>
      <c r="E2741" s="33">
        <v>40484.0</v>
      </c>
      <c r="F2741" s="34">
        <v>40518.0</v>
      </c>
      <c r="G2741" s="36">
        <f t="shared" si="2"/>
        <v>1.133333333</v>
      </c>
      <c r="H2741" s="37">
        <v>40205.0</v>
      </c>
      <c r="I2741" s="36">
        <f t="shared" si="4"/>
        <v>0.7638888889</v>
      </c>
      <c r="J2741" s="38">
        <v>72.0</v>
      </c>
      <c r="K2741" s="39">
        <v>7.0</v>
      </c>
      <c r="L2741" s="76"/>
      <c r="M2741" s="40" t="s">
        <v>103</v>
      </c>
      <c r="N2741" s="41" t="s">
        <v>2595</v>
      </c>
      <c r="O2741" s="42" t="s">
        <v>34</v>
      </c>
      <c r="P2741" s="43"/>
    </row>
    <row r="2742">
      <c r="A2742" s="44" t="s">
        <v>2700</v>
      </c>
      <c r="B2742" s="45" t="s">
        <v>442</v>
      </c>
      <c r="C2742" s="46" t="s">
        <v>2148</v>
      </c>
      <c r="D2742" s="47" t="str">
        <f t="shared" si="1"/>
        <v>Removed</v>
      </c>
      <c r="E2742" s="48">
        <v>40484.0</v>
      </c>
      <c r="F2742" s="49">
        <v>40518.0</v>
      </c>
      <c r="G2742" s="50">
        <f t="shared" si="2"/>
        <v>1.133333333</v>
      </c>
      <c r="H2742" s="51">
        <v>40157.0</v>
      </c>
      <c r="I2742" s="50">
        <f t="shared" si="4"/>
        <v>0.8944444444</v>
      </c>
      <c r="J2742" s="55">
        <v>58.0</v>
      </c>
      <c r="K2742" s="56">
        <v>6.2</v>
      </c>
      <c r="L2742" s="78"/>
      <c r="M2742" s="58" t="s">
        <v>136</v>
      </c>
      <c r="N2742" s="59" t="s">
        <v>2595</v>
      </c>
      <c r="O2742" s="60" t="s">
        <v>34</v>
      </c>
      <c r="P2742" s="61"/>
    </row>
    <row r="2743">
      <c r="A2743" s="29" t="s">
        <v>2685</v>
      </c>
      <c r="B2743" s="30" t="s">
        <v>442</v>
      </c>
      <c r="C2743" s="31" t="s">
        <v>2148</v>
      </c>
      <c r="D2743" s="32" t="str">
        <f t="shared" si="1"/>
        <v>Removed</v>
      </c>
      <c r="E2743" s="33">
        <v>40484.0</v>
      </c>
      <c r="F2743" s="34">
        <v>40518.0</v>
      </c>
      <c r="G2743" s="36">
        <f t="shared" si="2"/>
        <v>1.133333333</v>
      </c>
      <c r="H2743" s="37">
        <v>36116.0</v>
      </c>
      <c r="I2743" s="36">
        <f t="shared" si="4"/>
        <v>11.95833333</v>
      </c>
      <c r="J2743" s="38">
        <v>88.0</v>
      </c>
      <c r="K2743" s="39">
        <v>8.8</v>
      </c>
      <c r="L2743" s="38">
        <v>13.0</v>
      </c>
      <c r="M2743" s="40" t="s">
        <v>27</v>
      </c>
      <c r="N2743" s="41" t="s">
        <v>61</v>
      </c>
      <c r="O2743" s="42" t="s">
        <v>34</v>
      </c>
      <c r="P2743" s="67"/>
    </row>
    <row r="2744">
      <c r="A2744" s="44" t="s">
        <v>1061</v>
      </c>
      <c r="B2744" s="45" t="s">
        <v>442</v>
      </c>
      <c r="C2744" s="46" t="s">
        <v>2148</v>
      </c>
      <c r="D2744" s="47" t="str">
        <f t="shared" si="1"/>
        <v>Removed</v>
      </c>
      <c r="E2744" s="48">
        <v>40484.0</v>
      </c>
      <c r="F2744" s="49">
        <v>40518.0</v>
      </c>
      <c r="G2744" s="50">
        <f t="shared" si="2"/>
        <v>1.133333333</v>
      </c>
      <c r="H2744" s="51">
        <v>40017.0</v>
      </c>
      <c r="I2744" s="50">
        <f t="shared" si="4"/>
        <v>1.275</v>
      </c>
      <c r="J2744" s="55">
        <v>82.0</v>
      </c>
      <c r="K2744" s="56">
        <v>8.1</v>
      </c>
      <c r="L2744" s="55">
        <v>4.0</v>
      </c>
      <c r="M2744" s="58" t="s">
        <v>217</v>
      </c>
      <c r="N2744" s="59"/>
      <c r="O2744" s="60" t="s">
        <v>34</v>
      </c>
      <c r="P2744" s="61"/>
    </row>
    <row r="2745">
      <c r="A2745" s="29" t="s">
        <v>2701</v>
      </c>
      <c r="B2745" s="30" t="s">
        <v>442</v>
      </c>
      <c r="C2745" s="31" t="s">
        <v>2148</v>
      </c>
      <c r="D2745" s="32" t="str">
        <f t="shared" si="1"/>
        <v>Removed</v>
      </c>
      <c r="E2745" s="33">
        <v>40484.0</v>
      </c>
      <c r="F2745" s="34">
        <v>40518.0</v>
      </c>
      <c r="G2745" s="36">
        <f t="shared" si="2"/>
        <v>1.133333333</v>
      </c>
      <c r="H2745" s="37">
        <v>40087.0</v>
      </c>
      <c r="I2745" s="36">
        <f t="shared" si="4"/>
        <v>1.086111111</v>
      </c>
      <c r="J2745" s="38">
        <v>68.0</v>
      </c>
      <c r="K2745" s="39">
        <v>6.9</v>
      </c>
      <c r="L2745" s="38">
        <v>3.0</v>
      </c>
      <c r="M2745" s="40" t="s">
        <v>136</v>
      </c>
      <c r="N2745" s="41" t="s">
        <v>2595</v>
      </c>
      <c r="O2745" s="42" t="s">
        <v>34</v>
      </c>
      <c r="P2745" s="43"/>
    </row>
    <row r="2746">
      <c r="A2746" s="44" t="s">
        <v>2702</v>
      </c>
      <c r="B2746" s="45" t="s">
        <v>442</v>
      </c>
      <c r="C2746" s="46" t="s">
        <v>2148</v>
      </c>
      <c r="D2746" s="47" t="str">
        <f t="shared" si="1"/>
        <v>Removed</v>
      </c>
      <c r="E2746" s="48">
        <v>40456.0</v>
      </c>
      <c r="F2746" s="49">
        <v>40483.0</v>
      </c>
      <c r="G2746" s="50">
        <f t="shared" si="2"/>
        <v>0.8666666667</v>
      </c>
      <c r="H2746" s="51">
        <v>40129.0</v>
      </c>
      <c r="I2746" s="50">
        <f t="shared" si="4"/>
        <v>0.8972222222</v>
      </c>
      <c r="J2746" s="55">
        <v>55.0</v>
      </c>
      <c r="K2746" s="56">
        <v>6.3</v>
      </c>
      <c r="L2746" s="55">
        <v>1.0</v>
      </c>
      <c r="M2746" s="58" t="s">
        <v>136</v>
      </c>
      <c r="N2746" s="59" t="s">
        <v>2595</v>
      </c>
      <c r="O2746" s="60" t="s">
        <v>34</v>
      </c>
      <c r="P2746" s="61"/>
    </row>
    <row r="2747">
      <c r="A2747" s="29" t="s">
        <v>2703</v>
      </c>
      <c r="B2747" s="30" t="s">
        <v>442</v>
      </c>
      <c r="C2747" s="31" t="s">
        <v>2148</v>
      </c>
      <c r="D2747" s="32" t="str">
        <f t="shared" si="1"/>
        <v>Removed</v>
      </c>
      <c r="E2747" s="33">
        <v>40456.0</v>
      </c>
      <c r="F2747" s="34">
        <v>40483.0</v>
      </c>
      <c r="G2747" s="36">
        <f t="shared" si="2"/>
        <v>0.8666666667</v>
      </c>
      <c r="H2747" s="37">
        <v>40087.0</v>
      </c>
      <c r="I2747" s="36">
        <f t="shared" si="4"/>
        <v>1.011111111</v>
      </c>
      <c r="J2747" s="38">
        <v>63.0</v>
      </c>
      <c r="K2747" s="39">
        <v>6.7</v>
      </c>
      <c r="L2747" s="76"/>
      <c r="M2747" s="40" t="s">
        <v>103</v>
      </c>
      <c r="N2747" s="41" t="s">
        <v>2595</v>
      </c>
      <c r="O2747" s="42" t="s">
        <v>34</v>
      </c>
      <c r="P2747" s="43"/>
    </row>
    <row r="2748">
      <c r="A2748" s="44" t="s">
        <v>2704</v>
      </c>
      <c r="B2748" s="45" t="s">
        <v>442</v>
      </c>
      <c r="C2748" s="46" t="s">
        <v>2148</v>
      </c>
      <c r="D2748" s="47" t="str">
        <f t="shared" si="1"/>
        <v>Removed</v>
      </c>
      <c r="E2748" s="48">
        <v>40456.0</v>
      </c>
      <c r="F2748" s="49">
        <v>40483.0</v>
      </c>
      <c r="G2748" s="50">
        <f t="shared" si="2"/>
        <v>0.8666666667</v>
      </c>
      <c r="H2748" s="51">
        <v>35691.0</v>
      </c>
      <c r="I2748" s="50">
        <f t="shared" si="4"/>
        <v>13.04722222</v>
      </c>
      <c r="J2748" s="55">
        <v>88.0</v>
      </c>
      <c r="K2748" s="56">
        <v>8.8</v>
      </c>
      <c r="L2748" s="55">
        <v>12.0</v>
      </c>
      <c r="M2748" s="58" t="s">
        <v>27</v>
      </c>
      <c r="N2748" s="59" t="s">
        <v>61</v>
      </c>
      <c r="O2748" s="60" t="s">
        <v>34</v>
      </c>
      <c r="P2748" s="66"/>
    </row>
    <row r="2749">
      <c r="A2749" s="29" t="s">
        <v>2705</v>
      </c>
      <c r="B2749" s="30" t="s">
        <v>442</v>
      </c>
      <c r="C2749" s="31" t="s">
        <v>2148</v>
      </c>
      <c r="D2749" s="32" t="str">
        <f t="shared" si="1"/>
        <v>Removed</v>
      </c>
      <c r="E2749" s="33">
        <v>40428.0</v>
      </c>
      <c r="F2749" s="34">
        <v>40455.0</v>
      </c>
      <c r="G2749" s="36">
        <f t="shared" si="2"/>
        <v>0.9</v>
      </c>
      <c r="H2749" s="37">
        <v>40136.0</v>
      </c>
      <c r="I2749" s="36">
        <f t="shared" si="4"/>
        <v>0.8</v>
      </c>
      <c r="J2749" s="38">
        <v>59.0</v>
      </c>
      <c r="K2749" s="39">
        <v>6.3</v>
      </c>
      <c r="L2749" s="38">
        <v>2.0</v>
      </c>
      <c r="M2749" s="40" t="s">
        <v>31</v>
      </c>
      <c r="N2749" s="41" t="s">
        <v>2595</v>
      </c>
      <c r="O2749" s="42" t="s">
        <v>34</v>
      </c>
      <c r="P2749" s="43"/>
    </row>
    <row r="2750">
      <c r="A2750" s="44" t="s">
        <v>464</v>
      </c>
      <c r="B2750" s="45" t="s">
        <v>442</v>
      </c>
      <c r="C2750" s="46" t="s">
        <v>2148</v>
      </c>
      <c r="D2750" s="47" t="str">
        <f t="shared" si="1"/>
        <v>Removed</v>
      </c>
      <c r="E2750" s="48">
        <v>40428.0</v>
      </c>
      <c r="F2750" s="49">
        <v>40455.0</v>
      </c>
      <c r="G2750" s="50">
        <f t="shared" si="2"/>
        <v>0.9</v>
      </c>
      <c r="H2750" s="51">
        <v>37201.0</v>
      </c>
      <c r="I2750" s="50">
        <f t="shared" si="4"/>
        <v>8.836111111</v>
      </c>
      <c r="J2750" s="55">
        <v>81.0</v>
      </c>
      <c r="K2750" s="56">
        <v>8.2</v>
      </c>
      <c r="L2750" s="55">
        <v>10.0</v>
      </c>
      <c r="M2750" s="58" t="s">
        <v>31</v>
      </c>
      <c r="N2750" s="59" t="s">
        <v>61</v>
      </c>
      <c r="O2750" s="60" t="s">
        <v>34</v>
      </c>
      <c r="P2750" s="66"/>
    </row>
    <row r="2751">
      <c r="A2751" s="29" t="s">
        <v>2706</v>
      </c>
      <c r="B2751" s="30" t="s">
        <v>442</v>
      </c>
      <c r="C2751" s="31" t="s">
        <v>2148</v>
      </c>
      <c r="D2751" s="32" t="str">
        <f t="shared" si="1"/>
        <v>Removed</v>
      </c>
      <c r="E2751" s="33">
        <v>40428.0</v>
      </c>
      <c r="F2751" s="34">
        <v>40455.0</v>
      </c>
      <c r="G2751" s="36">
        <f t="shared" si="2"/>
        <v>0.9</v>
      </c>
      <c r="H2751" s="37">
        <v>39947.0</v>
      </c>
      <c r="I2751" s="36">
        <f t="shared" si="4"/>
        <v>1.313888889</v>
      </c>
      <c r="J2751" s="38">
        <v>80.0</v>
      </c>
      <c r="K2751" s="39">
        <v>7.8</v>
      </c>
      <c r="L2751" s="76"/>
      <c r="M2751" s="40" t="s">
        <v>1086</v>
      </c>
      <c r="N2751" s="41"/>
      <c r="O2751" s="42" t="s">
        <v>34</v>
      </c>
      <c r="P2751" s="43"/>
    </row>
    <row r="2752">
      <c r="A2752" s="44" t="s">
        <v>2707</v>
      </c>
      <c r="B2752" s="45" t="s">
        <v>442</v>
      </c>
      <c r="C2752" s="46" t="s">
        <v>2148</v>
      </c>
      <c r="D2752" s="47" t="str">
        <f t="shared" si="1"/>
        <v>Removed</v>
      </c>
      <c r="E2752" s="48">
        <v>40428.0</v>
      </c>
      <c r="F2752" s="49">
        <v>40455.0</v>
      </c>
      <c r="G2752" s="50">
        <f t="shared" si="2"/>
        <v>0.9</v>
      </c>
      <c r="H2752" s="51">
        <v>40108.0</v>
      </c>
      <c r="I2752" s="50">
        <f t="shared" si="4"/>
        <v>0.875</v>
      </c>
      <c r="J2752" s="55">
        <v>69.0</v>
      </c>
      <c r="K2752" s="56">
        <v>6.7</v>
      </c>
      <c r="L2752" s="55">
        <v>2.0</v>
      </c>
      <c r="M2752" s="58" t="s">
        <v>31</v>
      </c>
      <c r="N2752" s="59" t="s">
        <v>2595</v>
      </c>
      <c r="O2752" s="60" t="s">
        <v>34</v>
      </c>
      <c r="P2752" s="61"/>
    </row>
    <row r="2753">
      <c r="A2753" s="29" t="s">
        <v>2708</v>
      </c>
      <c r="B2753" s="30" t="s">
        <v>442</v>
      </c>
      <c r="C2753" s="31" t="s">
        <v>2148</v>
      </c>
      <c r="D2753" s="32" t="str">
        <f t="shared" si="1"/>
        <v>Removed</v>
      </c>
      <c r="E2753" s="33">
        <v>40393.0</v>
      </c>
      <c r="F2753" s="34">
        <v>40427.0</v>
      </c>
      <c r="G2753" s="36">
        <f t="shared" si="2"/>
        <v>1.1</v>
      </c>
      <c r="H2753" s="37">
        <v>40190.0</v>
      </c>
      <c r="I2753" s="36">
        <f t="shared" si="4"/>
        <v>0.5583333333</v>
      </c>
      <c r="J2753" s="38">
        <v>51.0</v>
      </c>
      <c r="K2753" s="39">
        <v>6.2</v>
      </c>
      <c r="L2753" s="38">
        <v>2.0</v>
      </c>
      <c r="M2753" s="40" t="s">
        <v>27</v>
      </c>
      <c r="N2753" s="41" t="s">
        <v>2595</v>
      </c>
      <c r="O2753" s="42" t="s">
        <v>34</v>
      </c>
      <c r="P2753" s="43"/>
    </row>
    <row r="2754">
      <c r="A2754" s="44" t="s">
        <v>325</v>
      </c>
      <c r="B2754" s="45" t="s">
        <v>442</v>
      </c>
      <c r="C2754" s="46" t="s">
        <v>2148</v>
      </c>
      <c r="D2754" s="47" t="str">
        <f t="shared" si="1"/>
        <v>Removed</v>
      </c>
      <c r="E2754" s="48">
        <v>40393.0</v>
      </c>
      <c r="F2754" s="49">
        <v>40427.0</v>
      </c>
      <c r="G2754" s="50">
        <f t="shared" si="2"/>
        <v>1.1</v>
      </c>
      <c r="H2754" s="51">
        <v>35370.0</v>
      </c>
      <c r="I2754" s="50">
        <f t="shared" si="4"/>
        <v>13.75555556</v>
      </c>
      <c r="J2754" s="55">
        <v>68.0</v>
      </c>
      <c r="K2754" s="56">
        <v>7.5</v>
      </c>
      <c r="L2754" s="78"/>
      <c r="M2754" s="58" t="s">
        <v>95</v>
      </c>
      <c r="N2754" s="59" t="s">
        <v>61</v>
      </c>
      <c r="O2754" s="60" t="s">
        <v>34</v>
      </c>
      <c r="P2754" s="66"/>
    </row>
    <row r="2755">
      <c r="A2755" s="29" t="s">
        <v>2709</v>
      </c>
      <c r="B2755" s="30" t="s">
        <v>442</v>
      </c>
      <c r="C2755" s="31" t="s">
        <v>2148</v>
      </c>
      <c r="D2755" s="32" t="str">
        <f t="shared" si="1"/>
        <v>Removed</v>
      </c>
      <c r="E2755" s="33">
        <v>40393.0</v>
      </c>
      <c r="F2755" s="34">
        <v>40427.0</v>
      </c>
      <c r="G2755" s="36">
        <f t="shared" si="2"/>
        <v>1.1</v>
      </c>
      <c r="H2755" s="37">
        <v>40101.0</v>
      </c>
      <c r="I2755" s="36">
        <f t="shared" si="4"/>
        <v>0.8</v>
      </c>
      <c r="J2755" s="38">
        <v>79.0</v>
      </c>
      <c r="K2755" s="39">
        <v>7.8</v>
      </c>
      <c r="L2755" s="76"/>
      <c r="M2755" s="40" t="s">
        <v>103</v>
      </c>
      <c r="N2755" s="41"/>
      <c r="O2755" s="42" t="s">
        <v>34</v>
      </c>
      <c r="P2755" s="43"/>
    </row>
    <row r="2756">
      <c r="A2756" s="44" t="s">
        <v>2710</v>
      </c>
      <c r="B2756" s="45" t="s">
        <v>442</v>
      </c>
      <c r="C2756" s="46" t="s">
        <v>2148</v>
      </c>
      <c r="D2756" s="47" t="str">
        <f t="shared" si="1"/>
        <v>Removed</v>
      </c>
      <c r="E2756" s="48">
        <v>40393.0</v>
      </c>
      <c r="F2756" s="49">
        <v>40427.0</v>
      </c>
      <c r="G2756" s="50">
        <f t="shared" si="2"/>
        <v>1.1</v>
      </c>
      <c r="H2756" s="51">
        <v>40248.0</v>
      </c>
      <c r="I2756" s="50">
        <f t="shared" si="4"/>
        <v>0.3944444444</v>
      </c>
      <c r="J2756" s="55">
        <v>53.0</v>
      </c>
      <c r="K2756" s="56">
        <v>6.2</v>
      </c>
      <c r="L2756" s="78"/>
      <c r="M2756" s="58" t="s">
        <v>95</v>
      </c>
      <c r="N2756" s="59" t="s">
        <v>2595</v>
      </c>
      <c r="O2756" s="60" t="s">
        <v>34</v>
      </c>
      <c r="P2756" s="61"/>
    </row>
    <row r="2757">
      <c r="A2757" s="29" t="s">
        <v>2711</v>
      </c>
      <c r="B2757" s="30" t="s">
        <v>442</v>
      </c>
      <c r="C2757" s="31" t="s">
        <v>2148</v>
      </c>
      <c r="D2757" s="32" t="str">
        <f t="shared" si="1"/>
        <v>Removed</v>
      </c>
      <c r="E2757" s="33">
        <v>40365.0</v>
      </c>
      <c r="F2757" s="34">
        <v>40392.0</v>
      </c>
      <c r="G2757" s="36">
        <f t="shared" si="2"/>
        <v>0.8666666667</v>
      </c>
      <c r="H2757" s="37">
        <v>40087.0</v>
      </c>
      <c r="I2757" s="36">
        <f t="shared" si="4"/>
        <v>0.7638888889</v>
      </c>
      <c r="J2757" s="38">
        <v>55.0</v>
      </c>
      <c r="K2757" s="39">
        <v>6.4</v>
      </c>
      <c r="L2757" s="76"/>
      <c r="M2757" s="40" t="s">
        <v>136</v>
      </c>
      <c r="N2757" s="41" t="s">
        <v>2595</v>
      </c>
      <c r="O2757" s="42" t="s">
        <v>34</v>
      </c>
      <c r="P2757" s="43"/>
    </row>
    <row r="2758">
      <c r="A2758" s="44" t="s">
        <v>642</v>
      </c>
      <c r="B2758" s="45" t="s">
        <v>442</v>
      </c>
      <c r="C2758" s="46" t="s">
        <v>2148</v>
      </c>
      <c r="D2758" s="47" t="str">
        <f t="shared" si="1"/>
        <v>Removed</v>
      </c>
      <c r="E2758" s="48">
        <v>40365.0</v>
      </c>
      <c r="F2758" s="49">
        <v>40392.0</v>
      </c>
      <c r="G2758" s="50">
        <f t="shared" si="2"/>
        <v>0.8666666667</v>
      </c>
      <c r="H2758" s="51">
        <v>36192.0</v>
      </c>
      <c r="I2758" s="50">
        <f t="shared" si="4"/>
        <v>11.43055556</v>
      </c>
      <c r="J2758" s="55">
        <v>90.0</v>
      </c>
      <c r="K2758" s="56">
        <v>8.7</v>
      </c>
      <c r="L2758" s="55">
        <v>10.0</v>
      </c>
      <c r="M2758" s="58" t="s">
        <v>31</v>
      </c>
      <c r="N2758" s="59" t="s">
        <v>61</v>
      </c>
      <c r="O2758" s="60" t="s">
        <v>34</v>
      </c>
      <c r="P2758" s="66"/>
    </row>
    <row r="2759">
      <c r="A2759" s="29" t="s">
        <v>987</v>
      </c>
      <c r="B2759" s="30" t="s">
        <v>442</v>
      </c>
      <c r="C2759" s="31" t="s">
        <v>2148</v>
      </c>
      <c r="D2759" s="32" t="str">
        <f t="shared" si="1"/>
        <v>Removed</v>
      </c>
      <c r="E2759" s="33">
        <v>40365.0</v>
      </c>
      <c r="F2759" s="34">
        <v>40392.0</v>
      </c>
      <c r="G2759" s="36">
        <f t="shared" si="2"/>
        <v>0.8666666667</v>
      </c>
      <c r="H2759" s="37">
        <v>40094.0</v>
      </c>
      <c r="I2759" s="36">
        <f t="shared" si="4"/>
        <v>0.7444444444</v>
      </c>
      <c r="J2759" s="38">
        <v>82.0</v>
      </c>
      <c r="K2759" s="39">
        <v>7.7</v>
      </c>
      <c r="L2759" s="38">
        <v>3.0</v>
      </c>
      <c r="M2759" s="40" t="s">
        <v>136</v>
      </c>
      <c r="N2759" s="41"/>
      <c r="O2759" s="42" t="s">
        <v>34</v>
      </c>
      <c r="P2759" s="43"/>
    </row>
    <row r="2760">
      <c r="A2760" s="44" t="s">
        <v>2712</v>
      </c>
      <c r="B2760" s="45" t="s">
        <v>442</v>
      </c>
      <c r="C2760" s="46" t="s">
        <v>2148</v>
      </c>
      <c r="D2760" s="47" t="str">
        <f t="shared" si="1"/>
        <v>Removed</v>
      </c>
      <c r="E2760" s="48">
        <v>40365.0</v>
      </c>
      <c r="F2760" s="49">
        <v>40392.0</v>
      </c>
      <c r="G2760" s="50">
        <f t="shared" si="2"/>
        <v>0.8666666667</v>
      </c>
      <c r="H2760" s="51">
        <v>39723.0</v>
      </c>
      <c r="I2760" s="50">
        <f t="shared" si="4"/>
        <v>1.761111111</v>
      </c>
      <c r="J2760" s="55">
        <v>79.0</v>
      </c>
      <c r="K2760" s="56">
        <v>7.6</v>
      </c>
      <c r="L2760" s="78"/>
      <c r="M2760" s="58" t="s">
        <v>103</v>
      </c>
      <c r="N2760" s="59" t="s">
        <v>2595</v>
      </c>
      <c r="O2760" s="60" t="s">
        <v>34</v>
      </c>
      <c r="P2760" s="61"/>
    </row>
    <row r="2761">
      <c r="A2761" s="29" t="s">
        <v>2713</v>
      </c>
      <c r="B2761" s="30" t="s">
        <v>442</v>
      </c>
      <c r="C2761" s="31" t="s">
        <v>2148</v>
      </c>
      <c r="D2761" s="32" t="str">
        <f t="shared" si="1"/>
        <v>Removed</v>
      </c>
      <c r="E2761" s="33">
        <v>40330.0</v>
      </c>
      <c r="F2761" s="34">
        <v>40364.0</v>
      </c>
      <c r="G2761" s="36">
        <f t="shared" si="2"/>
        <v>1.133333333</v>
      </c>
      <c r="H2761" s="37">
        <v>40234.0</v>
      </c>
      <c r="I2761" s="36">
        <f t="shared" si="4"/>
        <v>0.2666666667</v>
      </c>
      <c r="J2761" s="38">
        <v>77.0</v>
      </c>
      <c r="K2761" s="39">
        <v>7.5</v>
      </c>
      <c r="L2761" s="38">
        <v>3.0</v>
      </c>
      <c r="M2761" s="40" t="s">
        <v>27</v>
      </c>
      <c r="N2761" s="41" t="s">
        <v>2595</v>
      </c>
      <c r="O2761" s="42" t="s">
        <v>34</v>
      </c>
      <c r="P2761" s="43"/>
    </row>
    <row r="2762">
      <c r="A2762" s="44" t="s">
        <v>354</v>
      </c>
      <c r="B2762" s="45" t="s">
        <v>442</v>
      </c>
      <c r="C2762" s="46" t="s">
        <v>2148</v>
      </c>
      <c r="D2762" s="47" t="str">
        <f t="shared" si="1"/>
        <v>Removed</v>
      </c>
      <c r="E2762" s="48">
        <v>40330.0</v>
      </c>
      <c r="F2762" s="49">
        <v>40364.0</v>
      </c>
      <c r="G2762" s="50">
        <f t="shared" si="2"/>
        <v>1.133333333</v>
      </c>
      <c r="H2762" s="51">
        <v>35734.0</v>
      </c>
      <c r="I2762" s="50">
        <f t="shared" si="4"/>
        <v>12.58611111</v>
      </c>
      <c r="J2762" s="55">
        <v>79.0</v>
      </c>
      <c r="K2762" s="56">
        <v>7.8</v>
      </c>
      <c r="L2762" s="78"/>
      <c r="M2762" s="58" t="s">
        <v>95</v>
      </c>
      <c r="N2762" s="59" t="s">
        <v>61</v>
      </c>
      <c r="O2762" s="60" t="s">
        <v>34</v>
      </c>
      <c r="P2762" s="66"/>
    </row>
    <row r="2763">
      <c r="A2763" s="29" t="s">
        <v>2714</v>
      </c>
      <c r="B2763" s="30" t="s">
        <v>442</v>
      </c>
      <c r="C2763" s="31" t="s">
        <v>2148</v>
      </c>
      <c r="D2763" s="32" t="str">
        <f t="shared" si="1"/>
        <v>Removed</v>
      </c>
      <c r="E2763" s="33">
        <v>40330.0</v>
      </c>
      <c r="F2763" s="34">
        <v>40364.0</v>
      </c>
      <c r="G2763" s="36">
        <f t="shared" si="2"/>
        <v>1.133333333</v>
      </c>
      <c r="H2763" s="37">
        <v>39716.0</v>
      </c>
      <c r="I2763" s="36">
        <f t="shared" si="4"/>
        <v>1.683333333</v>
      </c>
      <c r="J2763" s="38">
        <v>88.0</v>
      </c>
      <c r="K2763" s="39">
        <v>8.3</v>
      </c>
      <c r="L2763" s="38">
        <v>8.0</v>
      </c>
      <c r="M2763" s="40" t="s">
        <v>95</v>
      </c>
      <c r="N2763" s="41"/>
      <c r="O2763" s="42" t="s">
        <v>34</v>
      </c>
      <c r="P2763" s="43"/>
    </row>
  </sheetData>
  <autoFilter ref="$A$2:$P$2763"/>
  <conditionalFormatting sqref="A3:A2763 D3:D2763">
    <cfRule type="expression" dxfId="4" priority="1">
      <formula>$D3="Coming Soon"</formula>
    </cfRule>
  </conditionalFormatting>
  <conditionalFormatting sqref="A3:A2763 D3:D2763">
    <cfRule type="expression" dxfId="5" priority="2">
      <formula>$D3="Removed"</formula>
    </cfRule>
  </conditionalFormatting>
  <conditionalFormatting sqref="A3:A2763 D3:D2763">
    <cfRule type="expression" dxfId="6" priority="3">
      <formula>$D3="Leaving Soon"</formula>
    </cfRule>
  </conditionalFormatting>
  <conditionalFormatting sqref="E3:E2763 I3:I2763">
    <cfRule type="expression" dxfId="1" priority="4">
      <formula>AND($E3&lt;&gt;"",(($E3-$H3)/365*12)&lt;1)</formula>
    </cfRule>
  </conditionalFormatting>
  <conditionalFormatting sqref="J3:J2763">
    <cfRule type="cellIs" dxfId="3" priority="5" operator="between">
      <formula>75</formula>
      <formula>90</formula>
    </cfRule>
  </conditionalFormatting>
  <conditionalFormatting sqref="J3:J2763">
    <cfRule type="cellIs" dxfId="2" priority="6" operator="between">
      <formula>50</formula>
      <formula>75</formula>
    </cfRule>
  </conditionalFormatting>
  <conditionalFormatting sqref="J3:J2763">
    <cfRule type="cellIs" dxfId="5" priority="7" operator="between">
      <formula>1</formula>
      <formula>50</formula>
    </cfRule>
  </conditionalFormatting>
  <conditionalFormatting sqref="I3:I2763">
    <cfRule type="colorScale" priority="8">
      <colorScale>
        <cfvo type="min"/>
        <cfvo type="percentile" val="50"/>
        <cfvo type="max"/>
        <color rgb="FFB6D7A8"/>
        <color rgb="FFFFE599"/>
        <color rgb="FFEA9999"/>
      </colorScale>
    </cfRule>
  </conditionalFormatting>
  <conditionalFormatting sqref="J3:J2763">
    <cfRule type="cellIs" dxfId="10" priority="9" operator="between">
      <formula>90</formula>
      <formula>100</formula>
    </cfRule>
  </conditionalFormatting>
  <conditionalFormatting sqref="G3:G2763">
    <cfRule type="expression" dxfId="6" priority="10">
      <formula>and(or(D3="Active",D3="Leaving Soon",D3="Removed"), G3 &gt; 1, or(mod(G3, 12) &gt; 10.5, mod(G3, 12) &lt; 1))</formula>
    </cfRule>
  </conditionalFormatting>
  <conditionalFormatting sqref="O3:O2763">
    <cfRule type="cellIs" dxfId="5" priority="11" operator="equal">
      <formula>"No"</formula>
    </cfRule>
  </conditionalFormatting>
  <conditionalFormatting sqref="K1608">
    <cfRule type="cellIs" dxfId="10" priority="12" operator="between">
      <formula>9</formula>
      <formula>10</formula>
    </cfRule>
  </conditionalFormatting>
  <conditionalFormatting sqref="K3:K2763">
    <cfRule type="cellIs" dxfId="3" priority="13" operator="between">
      <formula>7.5</formula>
      <formula>9</formula>
    </cfRule>
  </conditionalFormatting>
  <conditionalFormatting sqref="K3:K2763">
    <cfRule type="cellIs" dxfId="2" priority="14" operator="between">
      <formula>5</formula>
      <formula>7.5</formula>
    </cfRule>
  </conditionalFormatting>
  <conditionalFormatting sqref="K3:K2763">
    <cfRule type="cellIs" dxfId="5" priority="15" operator="between">
      <formula>0</formula>
      <formula>5</formula>
    </cfRule>
  </conditionalFormatting>
  <conditionalFormatting sqref="K3:K2763">
    <cfRule type="cellIs" dxfId="10" priority="16" operator="greaterThan">
      <formula>9</formula>
    </cfRule>
  </conditionalFormatting>
  <conditionalFormatting sqref="B3:B2763">
    <cfRule type="cellIs" dxfId="2" priority="17" operator="equal">
      <formula>"PS5"</formula>
    </cfRule>
  </conditionalFormatting>
  <conditionalFormatting sqref="B3:B2763">
    <cfRule type="cellIs" dxfId="2" priority="18" operator="equal">
      <formula>"PS5/PSVR2"</formula>
    </cfRule>
  </conditionalFormatting>
  <conditionalFormatting sqref="L3:L2763">
    <cfRule type="colorScale" priority="19">
      <colorScale>
        <cfvo type="min"/>
        <cfvo type="percentile" val="50"/>
        <cfvo type="max"/>
        <color rgb="FF57BB8A"/>
        <color rgb="FFFFD666"/>
        <color rgb="FFE67C73"/>
      </colorScale>
    </cfRule>
  </conditionalFormatting>
  <conditionalFormatting sqref="J3:M2763">
    <cfRule type="containsBlanks" dxfId="12" priority="20">
      <formula>LEN(TRIM(J3))=0</formula>
    </cfRule>
  </conditionalFormatting>
  <hyperlinks>
    <hyperlink r:id="rId1" ref="I1"/>
    <hyperlink r:id="rId2" ref="M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3.57"/>
    <col customWidth="1" min="4" max="4" width="13.0"/>
    <col customWidth="1" min="5" max="5" width="13.14"/>
    <col customWidth="1" min="6" max="6" width="14.71"/>
    <col customWidth="1" min="7" max="7" width="10.71"/>
    <col customWidth="1" min="8" max="10" width="13.14"/>
    <col customWidth="1" min="11" max="11" width="14.14"/>
    <col customWidth="1" min="12" max="12" width="14.43"/>
    <col customWidth="1" min="13" max="13" width="9.86"/>
    <col customWidth="1" min="14" max="14" width="25.43"/>
    <col customWidth="1" min="15" max="15" width="13.57"/>
    <col customWidth="1" min="16" max="16" width="16.71"/>
  </cols>
  <sheetData>
    <row r="1">
      <c r="A1" s="1" t="s">
        <v>0</v>
      </c>
      <c r="B1" s="2">
        <f>COUNTIF(D2:D779,"Active")+COUNTIF(D2:D779,"Leaving Soon")</f>
        <v>9</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List'!D2:D779, ""Leaving Soon""), NOT(REGEXMATCH('Master List'!C2:C779, ""Essential"")) ), 5, false)"),"Silent Hill 2 (2024)")</f>
        <v>Silent Hill 2 (2024)</v>
      </c>
      <c r="B3" s="15" t="str">
        <f>IFERROR(__xludf.DUMMYFUNCTION("""COMPUTED_VALUE"""),"PS5")</f>
        <v>PS5</v>
      </c>
      <c r="C3" s="16" t="str">
        <f>IFERROR(__xludf.DUMMYFUNCTION("""COMPUTED_VALUE"""),"Extra")</f>
        <v>Extra</v>
      </c>
      <c r="D3" s="15" t="str">
        <f>IFERROR(__xludf.DUMMYFUNCTION("""COMPUTED_VALUE"""),"Leaving Soon")</f>
        <v>Leaving Soon</v>
      </c>
      <c r="E3" s="17">
        <f>IFERROR(__xludf.DUMMYFUNCTION("""COMPUTED_VALUE"""),45951.0)</f>
        <v>45951</v>
      </c>
      <c r="F3" s="18">
        <f>IFERROR(__xludf.DUMMYFUNCTION("""COMPUTED_VALUE"""),46314.0)</f>
        <v>46314</v>
      </c>
      <c r="G3" s="19">
        <f>IFERROR(__xludf.DUMMYFUNCTION("""COMPUTED_VALUE"""),11.933333333333334)</f>
        <v>11.93333333</v>
      </c>
      <c r="H3" s="17">
        <f>IFERROR(__xludf.DUMMYFUNCTION("""COMPUTED_VALUE"""),45573.0)</f>
        <v>45573</v>
      </c>
      <c r="I3" s="19">
        <f>IFERROR(__xludf.DUMMYFUNCTION("""COMPUTED_VALUE"""),1.0361111111111112)</f>
        <v>1.036111111</v>
      </c>
      <c r="J3" s="21">
        <f>IFERROR(__xludf.DUMMYFUNCTION("""COMPUTED_VALUE"""),86.0)</f>
        <v>86</v>
      </c>
      <c r="K3" s="23">
        <f>IFERROR(__xludf.DUMMYFUNCTION("""COMPUTED_VALUE"""),9.1)</f>
        <v>9.1</v>
      </c>
      <c r="L3" s="24">
        <f>IFERROR(__xludf.DUMMYFUNCTION("""COMPUTED_VALUE"""),16.0)</f>
        <v>16</v>
      </c>
      <c r="M3" s="25" t="str">
        <f>IFERROR(__xludf.DUMMYFUNCTION("""COMPUTED_VALUE"""),"Survival")</f>
        <v>Survival</v>
      </c>
      <c r="N3" s="25"/>
      <c r="O3" s="26" t="str">
        <f>IFERROR(__xludf.DUMMYFUNCTION("""COMPUTED_VALUE"""),"No")</f>
        <v>No</v>
      </c>
      <c r="P3" s="26"/>
    </row>
    <row r="4">
      <c r="A4" s="13" t="str">
        <f>IFERROR(__xludf.DUMMYFUNCTION("""COMPUTED_VALUE"""),"Yakuza: Like a Dragon")</f>
        <v>Yakuza: Like a Dragon</v>
      </c>
      <c r="B4" s="15" t="str">
        <f>IFERROR(__xludf.DUMMYFUNCTION("""COMPUTED_VALUE"""),"PS5/PS4")</f>
        <v>PS5/PS4</v>
      </c>
      <c r="C4" s="16" t="str">
        <f>IFERROR(__xludf.DUMMYFUNCTION("""COMPUTED_VALUE"""),"Extra")</f>
        <v>Extra</v>
      </c>
      <c r="D4" s="15" t="str">
        <f>IFERROR(__xludf.DUMMYFUNCTION("""COMPUTED_VALUE"""),"Leaving Soon")</f>
        <v>Leaving Soon</v>
      </c>
      <c r="E4" s="17">
        <f>IFERROR(__xludf.DUMMYFUNCTION("""COMPUTED_VALUE"""),45951.0)</f>
        <v>45951</v>
      </c>
      <c r="F4" s="18">
        <f>IFERROR(__xludf.DUMMYFUNCTION("""COMPUTED_VALUE"""),46314.0)</f>
        <v>46314</v>
      </c>
      <c r="G4" s="19">
        <f>IFERROR(__xludf.DUMMYFUNCTION("""COMPUTED_VALUE"""),11.933333333333334)</f>
        <v>11.93333333</v>
      </c>
      <c r="H4" s="17">
        <f>IFERROR(__xludf.DUMMYFUNCTION("""COMPUTED_VALUE"""),44145.0)</f>
        <v>44145</v>
      </c>
      <c r="I4" s="19">
        <f>IFERROR(__xludf.DUMMYFUNCTION("""COMPUTED_VALUE"""),4.947222222222222)</f>
        <v>4.947222222</v>
      </c>
      <c r="J4" s="21">
        <f>IFERROR(__xludf.DUMMYFUNCTION("""COMPUTED_VALUE"""),84.0)</f>
        <v>84</v>
      </c>
      <c r="K4" s="23">
        <f>IFERROR(__xludf.DUMMYFUNCTION("""COMPUTED_VALUE"""),8.2)</f>
        <v>8.2</v>
      </c>
      <c r="L4" s="24">
        <f>IFERROR(__xludf.DUMMYFUNCTION("""COMPUTED_VALUE"""),46.0)</f>
        <v>46</v>
      </c>
      <c r="M4" s="25" t="str">
        <f>IFERROR(__xludf.DUMMYFUNCTION("""COMPUTED_VALUE"""),"RPG")</f>
        <v>RPG</v>
      </c>
      <c r="N4" s="25"/>
      <c r="O4" s="26"/>
      <c r="P4" s="26"/>
    </row>
    <row r="5">
      <c r="A5" s="13" t="str">
        <f>IFERROR(__xludf.DUMMYFUNCTION("""COMPUTED_VALUE"""),"Gloomhaven: Mercenaries Edition")</f>
        <v>Gloomhaven: Mercenaries Edition</v>
      </c>
      <c r="B5" s="15" t="str">
        <f>IFERROR(__xludf.DUMMYFUNCTION("""COMPUTED_VALUE"""),"PS5/PS4")</f>
        <v>PS5/PS4</v>
      </c>
      <c r="C5" s="16" t="str">
        <f>IFERROR(__xludf.DUMMYFUNCTION("""COMPUTED_VALUE"""),"Extra")</f>
        <v>Extra</v>
      </c>
      <c r="D5" s="15" t="str">
        <f>IFERROR(__xludf.DUMMYFUNCTION("""COMPUTED_VALUE"""),"Leaving Soon")</f>
        <v>Leaving Soon</v>
      </c>
      <c r="E5" s="17">
        <f>IFERROR(__xludf.DUMMYFUNCTION("""COMPUTED_VALUE"""),45797.0)</f>
        <v>45797</v>
      </c>
      <c r="F5" s="18">
        <f>IFERROR(__xludf.DUMMYFUNCTION("""COMPUTED_VALUE"""),46314.0)</f>
        <v>46314</v>
      </c>
      <c r="G5" s="19">
        <f>IFERROR(__xludf.DUMMYFUNCTION("""COMPUTED_VALUE"""),16.96666666666667)</f>
        <v>16.96666667</v>
      </c>
      <c r="H5" s="17">
        <f>IFERROR(__xludf.DUMMYFUNCTION("""COMPUTED_VALUE"""),43663.0)</f>
        <v>43663</v>
      </c>
      <c r="I5" s="19">
        <f>IFERROR(__xludf.DUMMYFUNCTION("""COMPUTED_VALUE"""),5.841666666666667)</f>
        <v>5.841666667</v>
      </c>
      <c r="J5" s="21">
        <f>IFERROR(__xludf.DUMMYFUNCTION("""COMPUTED_VALUE"""),82.0)</f>
        <v>82</v>
      </c>
      <c r="K5" s="23">
        <f>IFERROR(__xludf.DUMMYFUNCTION("""COMPUTED_VALUE"""),6.6)</f>
        <v>6.6</v>
      </c>
      <c r="L5" s="24">
        <f>IFERROR(__xludf.DUMMYFUNCTION("""COMPUTED_VALUE"""),100.0)</f>
        <v>100</v>
      </c>
      <c r="M5" s="25" t="str">
        <f>IFERROR(__xludf.DUMMYFUNCTION("""COMPUTED_VALUE"""),"Board")</f>
        <v>Board</v>
      </c>
      <c r="N5" s="25"/>
      <c r="O5" s="26"/>
      <c r="P5" s="26"/>
    </row>
    <row r="6">
      <c r="A6" s="13" t="str">
        <f>IFERROR(__xludf.DUMMYFUNCTION("""COMPUTED_VALUE"""),"Jurassic World Evolution 2")</f>
        <v>Jurassic World Evolution 2</v>
      </c>
      <c r="B6" s="15" t="str">
        <f>IFERROR(__xludf.DUMMYFUNCTION("""COMPUTED_VALUE"""),"PS5/PS4")</f>
        <v>PS5/PS4</v>
      </c>
      <c r="C6" s="16" t="str">
        <f>IFERROR(__xludf.DUMMYFUNCTION("""COMPUTED_VALUE"""),"Extra")</f>
        <v>Extra</v>
      </c>
      <c r="D6" s="15" t="str">
        <f>IFERROR(__xludf.DUMMYFUNCTION("""COMPUTED_VALUE"""),"Leaving Soon")</f>
        <v>Leaving Soon</v>
      </c>
      <c r="E6" s="17">
        <f>IFERROR(__xludf.DUMMYFUNCTION("""COMPUTED_VALUE"""),45643.0)</f>
        <v>45643</v>
      </c>
      <c r="F6" s="18">
        <f>IFERROR(__xludf.DUMMYFUNCTION("""COMPUTED_VALUE"""),46314.0)</f>
        <v>46314</v>
      </c>
      <c r="G6" s="19">
        <f>IFERROR(__xludf.DUMMYFUNCTION("""COMPUTED_VALUE"""),22.066666666666666)</f>
        <v>22.06666667</v>
      </c>
      <c r="H6" s="17">
        <f>IFERROR(__xludf.DUMMYFUNCTION("""COMPUTED_VALUE"""),44509.0)</f>
        <v>44509</v>
      </c>
      <c r="I6" s="19">
        <f>IFERROR(__xludf.DUMMYFUNCTION("""COMPUTED_VALUE"""),3.1055555555555556)</f>
        <v>3.105555556</v>
      </c>
      <c r="J6" s="21">
        <f>IFERROR(__xludf.DUMMYFUNCTION("""COMPUTED_VALUE"""),78.0)</f>
        <v>78</v>
      </c>
      <c r="K6" s="23">
        <f>IFERROR(__xludf.DUMMYFUNCTION("""COMPUTED_VALUE"""),7.2)</f>
        <v>7.2</v>
      </c>
      <c r="L6" s="24">
        <f>IFERROR(__xludf.DUMMYFUNCTION("""COMPUTED_VALUE"""),6.0)</f>
        <v>6</v>
      </c>
      <c r="M6" s="25" t="str">
        <f>IFERROR(__xludf.DUMMYFUNCTION("""COMPUTED_VALUE"""),"Tycoon")</f>
        <v>Tycoon</v>
      </c>
      <c r="N6" s="25"/>
      <c r="O6" s="26" t="str">
        <f>IFERROR(__xludf.DUMMYFUNCTION("""COMPUTED_VALUE"""),"Yes")</f>
        <v>Yes</v>
      </c>
      <c r="P6" s="26"/>
    </row>
    <row r="7">
      <c r="A7" s="13" t="str">
        <f>IFERROR(__xludf.DUMMYFUNCTION("""COMPUTED_VALUE"""),"Rogue Lords")</f>
        <v>Rogue Lords</v>
      </c>
      <c r="B7" s="15" t="str">
        <f>IFERROR(__xludf.DUMMYFUNCTION("""COMPUTED_VALUE"""),"PS4")</f>
        <v>PS4</v>
      </c>
      <c r="C7" s="16" t="str">
        <f>IFERROR(__xludf.DUMMYFUNCTION("""COMPUTED_VALUE"""),"Extra")</f>
        <v>Extra</v>
      </c>
      <c r="D7" s="15" t="str">
        <f>IFERROR(__xludf.DUMMYFUNCTION("""COMPUTED_VALUE"""),"Leaving Soon")</f>
        <v>Leaving Soon</v>
      </c>
      <c r="E7" s="17">
        <f>IFERROR(__xludf.DUMMYFUNCTION("""COMPUTED_VALUE"""),45342.0)</f>
        <v>45342</v>
      </c>
      <c r="F7" s="18">
        <f>IFERROR(__xludf.DUMMYFUNCTION("""COMPUTED_VALUE"""),46314.0)</f>
        <v>46314</v>
      </c>
      <c r="G7" s="19">
        <f>IFERROR(__xludf.DUMMYFUNCTION("""COMPUTED_VALUE"""),31.966666666666665)</f>
        <v>31.96666667</v>
      </c>
      <c r="H7" s="17">
        <f>IFERROR(__xludf.DUMMYFUNCTION("""COMPUTED_VALUE"""),44469.0)</f>
        <v>44469</v>
      </c>
      <c r="I7" s="19">
        <f>IFERROR(__xludf.DUMMYFUNCTION("""COMPUTED_VALUE"""),2.388888888888889)</f>
        <v>2.388888889</v>
      </c>
      <c r="J7" s="21">
        <f>IFERROR(__xludf.DUMMYFUNCTION("""COMPUTED_VALUE"""),72.0)</f>
        <v>72</v>
      </c>
      <c r="K7" s="23">
        <f>IFERROR(__xludf.DUMMYFUNCTION("""COMPUTED_VALUE"""),4.2)</f>
        <v>4.2</v>
      </c>
      <c r="L7" s="24">
        <f>IFERROR(__xludf.DUMMYFUNCTION("""COMPUTED_VALUE"""),35.0)</f>
        <v>35</v>
      </c>
      <c r="M7" s="25" t="str">
        <f>IFERROR(__xludf.DUMMYFUNCTION("""COMPUTED_VALUE"""),"Roguelike")</f>
        <v>Roguelike</v>
      </c>
      <c r="N7" s="25"/>
      <c r="O7" s="26" t="str">
        <f>IFERROR(__xludf.DUMMYFUNCTION("""COMPUTED_VALUE"""),"Yes")</f>
        <v>Yes</v>
      </c>
      <c r="P7" s="26"/>
    </row>
    <row r="8">
      <c r="A8" s="13" t="str">
        <f>IFERROR(__xludf.DUMMYFUNCTION("""COMPUTED_VALUE"""),"Lake")</f>
        <v>Lake</v>
      </c>
      <c r="B8" s="15" t="str">
        <f>IFERROR(__xludf.DUMMYFUNCTION("""COMPUTED_VALUE"""),"PS5/PS4")</f>
        <v>PS5/PS4</v>
      </c>
      <c r="C8" s="16" t="str">
        <f>IFERROR(__xludf.DUMMYFUNCTION("""COMPUTED_VALUE"""),"Extra")</f>
        <v>Extra</v>
      </c>
      <c r="D8" s="15" t="str">
        <f>IFERROR(__xludf.DUMMYFUNCTION("""COMPUTED_VALUE"""),"Leaving Soon")</f>
        <v>Leaving Soon</v>
      </c>
      <c r="E8" s="17">
        <f>IFERROR(__xludf.DUMMYFUNCTION("""COMPUTED_VALUE"""),45062.0)</f>
        <v>45062</v>
      </c>
      <c r="F8" s="18">
        <f>IFERROR(__xludf.DUMMYFUNCTION("""COMPUTED_VALUE"""),46314.0)</f>
        <v>46314</v>
      </c>
      <c r="G8" s="19">
        <f>IFERROR(__xludf.DUMMYFUNCTION("""COMPUTED_VALUE"""),41.099999999999994)</f>
        <v>41.1</v>
      </c>
      <c r="H8" s="17">
        <f>IFERROR(__xludf.DUMMYFUNCTION("""COMPUTED_VALUE"""),44659.0)</f>
        <v>44659</v>
      </c>
      <c r="I8" s="19">
        <f>IFERROR(__xludf.DUMMYFUNCTION("""COMPUTED_VALUE"""),1.1055555555555556)</f>
        <v>1.105555556</v>
      </c>
      <c r="J8" s="21">
        <f>IFERROR(__xludf.DUMMYFUNCTION("""COMPUTED_VALUE"""),77.0)</f>
        <v>77</v>
      </c>
      <c r="K8" s="23">
        <f>IFERROR(__xludf.DUMMYFUNCTION("""COMPUTED_VALUE"""),7.5)</f>
        <v>7.5</v>
      </c>
      <c r="L8" s="24">
        <f>IFERROR(__xludf.DUMMYFUNCTION("""COMPUTED_VALUE"""),6.0)</f>
        <v>6</v>
      </c>
      <c r="M8" s="25" t="str">
        <f>IFERROR(__xludf.DUMMYFUNCTION("""COMPUTED_VALUE"""),"Action-Adventure")</f>
        <v>Action-Adventure</v>
      </c>
      <c r="N8" s="25"/>
      <c r="O8" s="26" t="str">
        <f>IFERROR(__xludf.DUMMYFUNCTION("""COMPUTED_VALUE"""),"Yes")</f>
        <v>Yes</v>
      </c>
      <c r="P8" s="26"/>
    </row>
    <row r="9">
      <c r="A9" s="35" t="str">
        <f>IFERROR(__xludf.DUMMYFUNCTION("""COMPUTED_VALUE"""),"Death Squared")</f>
        <v>Death Squared</v>
      </c>
      <c r="B9" s="15" t="str">
        <f>IFERROR(__xludf.DUMMYFUNCTION("""COMPUTED_VALUE"""),"PS4")</f>
        <v>PS4</v>
      </c>
      <c r="C9" s="16" t="str">
        <f>IFERROR(__xludf.DUMMYFUNCTION("""COMPUTED_VALUE"""),"Extra")</f>
        <v>Extra</v>
      </c>
      <c r="D9" s="15" t="str">
        <f>IFERROR(__xludf.DUMMYFUNCTION("""COMPUTED_VALUE"""),"Leaving Soon")</f>
        <v>Leaving Soon</v>
      </c>
      <c r="E9" s="17">
        <f>IFERROR(__xludf.DUMMYFUNCTION("""COMPUTED_VALUE"""),44725.0)</f>
        <v>44725</v>
      </c>
      <c r="F9" s="18">
        <f>IFERROR(__xludf.DUMMYFUNCTION("""COMPUTED_VALUE"""),46314.0)</f>
        <v>46314</v>
      </c>
      <c r="G9" s="19">
        <f>IFERROR(__xludf.DUMMYFUNCTION("""COMPUTED_VALUE"""),52.199999999999996)</f>
        <v>52.2</v>
      </c>
      <c r="H9" s="17">
        <f>IFERROR(__xludf.DUMMYFUNCTION("""COMPUTED_VALUE"""),42808.0)</f>
        <v>42808</v>
      </c>
      <c r="I9" s="19">
        <f>IFERROR(__xludf.DUMMYFUNCTION("""COMPUTED_VALUE"""),5.247222222222222)</f>
        <v>5.247222222</v>
      </c>
      <c r="J9" s="21">
        <f>IFERROR(__xludf.DUMMYFUNCTION("""COMPUTED_VALUE"""),75.0)</f>
        <v>75</v>
      </c>
      <c r="K9" s="23">
        <f>IFERROR(__xludf.DUMMYFUNCTION("""COMPUTED_VALUE"""),7.6)</f>
        <v>7.6</v>
      </c>
      <c r="L9" s="24">
        <f>IFERROR(__xludf.DUMMYFUNCTION("""COMPUTED_VALUE"""),6.0)</f>
        <v>6</v>
      </c>
      <c r="M9" s="25" t="str">
        <f>IFERROR(__xludf.DUMMYFUNCTION("""COMPUTED_VALUE"""),"Puzzle")</f>
        <v>Puzzle</v>
      </c>
      <c r="N9" s="25"/>
      <c r="O9" s="26" t="str">
        <f>IFERROR(__xludf.DUMMYFUNCTION("""COMPUTED_VALUE"""),"Yes")</f>
        <v>Yes</v>
      </c>
      <c r="P9" s="26" t="str">
        <f>IFERROR(__xludf.DUMMYFUNCTION("""COMPUTED_VALUE"""),"Yes")</f>
        <v>Yes</v>
      </c>
    </row>
    <row r="10">
      <c r="A10" s="13" t="str">
        <f>IFERROR(__xludf.DUMMYFUNCTION("""COMPUTED_VALUE"""),"Harvest Moon: Light of Hope - Special Edition")</f>
        <v>Harvest Moon: Light of Hope - Special Edition</v>
      </c>
      <c r="B10" s="15" t="str">
        <f>IFERROR(__xludf.DUMMYFUNCTION("""COMPUTED_VALUE"""),"PS4")</f>
        <v>PS4</v>
      </c>
      <c r="C10" s="16" t="str">
        <f>IFERROR(__xludf.DUMMYFUNCTION("""COMPUTED_VALUE"""),"Extra")</f>
        <v>Extra</v>
      </c>
      <c r="D10" s="15" t="str">
        <f>IFERROR(__xludf.DUMMYFUNCTION("""COMPUTED_VALUE"""),"Leaving Soon")</f>
        <v>Leaving Soon</v>
      </c>
      <c r="E10" s="17">
        <f>IFERROR(__xludf.DUMMYFUNCTION("""COMPUTED_VALUE"""),44725.0)</f>
        <v>44725</v>
      </c>
      <c r="F10" s="18">
        <f>IFERROR(__xludf.DUMMYFUNCTION("""COMPUTED_VALUE"""),46314.0)</f>
        <v>46314</v>
      </c>
      <c r="G10" s="19">
        <f>IFERROR(__xludf.DUMMYFUNCTION("""COMPUTED_VALUE"""),52.199999999999996)</f>
        <v>52.2</v>
      </c>
      <c r="H10" s="17">
        <f>IFERROR(__xludf.DUMMYFUNCTION("""COMPUTED_VALUE"""),43053.0)</f>
        <v>43053</v>
      </c>
      <c r="I10" s="19">
        <f>IFERROR(__xludf.DUMMYFUNCTION("""COMPUTED_VALUE"""),4.580555555555556)</f>
        <v>4.580555556</v>
      </c>
      <c r="J10" s="21">
        <f>IFERROR(__xludf.DUMMYFUNCTION("""COMPUTED_VALUE"""),80.0)</f>
        <v>80</v>
      </c>
      <c r="K10" s="23">
        <f>IFERROR(__xludf.DUMMYFUNCTION("""COMPUTED_VALUE"""),6.2)</f>
        <v>6.2</v>
      </c>
      <c r="L10" s="24">
        <f>IFERROR(__xludf.DUMMYFUNCTION("""COMPUTED_VALUE"""),18.5)</f>
        <v>18.5</v>
      </c>
      <c r="M10" s="25" t="str">
        <f>IFERROR(__xludf.DUMMYFUNCTION("""COMPUTED_VALUE"""),"Strategy")</f>
        <v>Strategy</v>
      </c>
      <c r="N10" s="25"/>
      <c r="O10" s="26" t="str">
        <f>IFERROR(__xludf.DUMMYFUNCTION("""COMPUTED_VALUE"""),"No")</f>
        <v>No</v>
      </c>
      <c r="P10" s="26"/>
    </row>
    <row r="11">
      <c r="A11" s="13" t="str">
        <f>IFERROR(__xludf.DUMMYFUNCTION("""COMPUTED_VALUE"""),"Harvest Moon: One World")</f>
        <v>Harvest Moon: One World</v>
      </c>
      <c r="B11" s="15" t="str">
        <f>IFERROR(__xludf.DUMMYFUNCTION("""COMPUTED_VALUE"""),"PS4")</f>
        <v>PS4</v>
      </c>
      <c r="C11" s="16" t="str">
        <f>IFERROR(__xludf.DUMMYFUNCTION("""COMPUTED_VALUE"""),"Extra")</f>
        <v>Extra</v>
      </c>
      <c r="D11" s="15" t="str">
        <f>IFERROR(__xludf.DUMMYFUNCTION("""COMPUTED_VALUE"""),"Leaving Soon")</f>
        <v>Leaving Soon</v>
      </c>
      <c r="E11" s="17">
        <f>IFERROR(__xludf.DUMMYFUNCTION("""COMPUTED_VALUE"""),44725.0)</f>
        <v>44725</v>
      </c>
      <c r="F11" s="18">
        <f>IFERROR(__xludf.DUMMYFUNCTION("""COMPUTED_VALUE"""),46314.0)</f>
        <v>46314</v>
      </c>
      <c r="G11" s="19">
        <f>IFERROR(__xludf.DUMMYFUNCTION("""COMPUTED_VALUE"""),52.199999999999996)</f>
        <v>52.2</v>
      </c>
      <c r="H11" s="17">
        <f>IFERROR(__xludf.DUMMYFUNCTION("""COMPUTED_VALUE"""),44258.0)</f>
        <v>44258</v>
      </c>
      <c r="I11" s="19">
        <f>IFERROR(__xludf.DUMMYFUNCTION("""COMPUTED_VALUE"""),1.2777777777777777)</f>
        <v>1.277777778</v>
      </c>
      <c r="J11" s="21">
        <f>IFERROR(__xludf.DUMMYFUNCTION("""COMPUTED_VALUE"""),51.0)</f>
        <v>51</v>
      </c>
      <c r="K11" s="23">
        <f>IFERROR(__xludf.DUMMYFUNCTION("""COMPUTED_VALUE"""),5.1)</f>
        <v>5.1</v>
      </c>
      <c r="L11" s="24">
        <f>IFERROR(__xludf.DUMMYFUNCTION("""COMPUTED_VALUE"""),19.5)</f>
        <v>19.5</v>
      </c>
      <c r="M11" s="25" t="str">
        <f>IFERROR(__xludf.DUMMYFUNCTION("""COMPUTED_VALUE"""),"Simulation")</f>
        <v>Simulation</v>
      </c>
      <c r="N11" s="25"/>
      <c r="O11" s="26" t="str">
        <f>IFERROR(__xludf.DUMMYFUNCTION("""COMPUTED_VALUE"""),"No")</f>
        <v>No</v>
      </c>
      <c r="P11" s="26"/>
    </row>
    <row r="12">
      <c r="A12" s="52"/>
      <c r="B12" s="15"/>
      <c r="C12" s="16"/>
      <c r="D12" s="15"/>
      <c r="E12" s="53"/>
      <c r="F12" s="54"/>
      <c r="G12" s="19"/>
      <c r="H12" s="17"/>
      <c r="I12" s="19"/>
      <c r="J12" s="21"/>
      <c r="K12" s="57"/>
      <c r="L12" s="24"/>
      <c r="M12" s="25"/>
      <c r="N12" s="25"/>
      <c r="O12" s="26"/>
      <c r="P12" s="26"/>
    </row>
    <row r="13">
      <c r="A13" s="52"/>
      <c r="B13" s="15"/>
      <c r="C13" s="16"/>
      <c r="D13" s="15"/>
      <c r="E13" s="17"/>
      <c r="F13" s="54"/>
      <c r="G13" s="19"/>
      <c r="H13" s="17"/>
      <c r="I13" s="19"/>
      <c r="J13" s="21"/>
      <c r="K13" s="57"/>
      <c r="L13" s="24"/>
      <c r="M13" s="25"/>
      <c r="N13" s="25"/>
      <c r="O13" s="26"/>
      <c r="P13" s="26"/>
    </row>
    <row r="14">
      <c r="A14" s="52"/>
      <c r="B14" s="15"/>
      <c r="C14" s="16"/>
      <c r="D14" s="15"/>
      <c r="E14" s="17"/>
      <c r="F14" s="54"/>
      <c r="G14" s="19"/>
      <c r="H14" s="17"/>
      <c r="I14" s="19"/>
      <c r="J14" s="21"/>
      <c r="K14" s="57"/>
      <c r="L14" s="24"/>
      <c r="M14" s="25"/>
      <c r="N14" s="25"/>
      <c r="O14" s="26"/>
      <c r="P14" s="26"/>
    </row>
    <row r="15">
      <c r="A15" s="52"/>
      <c r="B15" s="15"/>
      <c r="C15" s="16"/>
      <c r="D15" s="15"/>
      <c r="E15" s="17"/>
      <c r="F15" s="54"/>
      <c r="G15" s="19"/>
      <c r="H15" s="17"/>
      <c r="I15" s="19"/>
      <c r="J15" s="21"/>
      <c r="K15" s="57"/>
      <c r="L15" s="24"/>
      <c r="M15" s="25"/>
      <c r="N15" s="25"/>
      <c r="O15" s="26"/>
      <c r="P15" s="26"/>
    </row>
    <row r="16">
      <c r="A16" s="52"/>
      <c r="B16" s="15"/>
      <c r="C16" s="16"/>
      <c r="D16" s="15"/>
      <c r="E16" s="17"/>
      <c r="F16" s="54"/>
      <c r="G16" s="19"/>
      <c r="H16" s="17"/>
      <c r="I16" s="19"/>
      <c r="J16" s="21"/>
      <c r="K16" s="57"/>
      <c r="L16" s="24"/>
      <c r="M16" s="25"/>
      <c r="N16" s="25"/>
      <c r="O16" s="26"/>
      <c r="P16" s="26"/>
    </row>
    <row r="17">
      <c r="A17" s="52"/>
      <c r="B17" s="15"/>
      <c r="C17" s="16"/>
      <c r="D17" s="15"/>
      <c r="E17" s="17"/>
      <c r="F17" s="54"/>
      <c r="G17" s="19"/>
      <c r="H17" s="17"/>
      <c r="I17" s="19"/>
      <c r="J17" s="21"/>
      <c r="K17" s="57"/>
      <c r="L17" s="24"/>
      <c r="M17" s="25"/>
      <c r="N17" s="25"/>
      <c r="O17" s="26"/>
      <c r="P17" s="26"/>
    </row>
    <row r="18">
      <c r="A18" s="52"/>
      <c r="B18" s="15"/>
      <c r="C18" s="16"/>
      <c r="D18" s="15"/>
      <c r="E18" s="17"/>
      <c r="F18" s="54"/>
      <c r="G18" s="19"/>
      <c r="H18" s="17"/>
      <c r="I18" s="19"/>
      <c r="J18" s="21"/>
      <c r="K18" s="57"/>
      <c r="L18" s="24"/>
      <c r="M18" s="25"/>
      <c r="N18" s="25"/>
      <c r="O18" s="26"/>
      <c r="P18" s="26"/>
    </row>
    <row r="19">
      <c r="A19" s="52"/>
      <c r="B19" s="15"/>
      <c r="C19" s="16"/>
      <c r="D19" s="15"/>
      <c r="E19" s="17"/>
      <c r="F19" s="54"/>
      <c r="G19" s="19"/>
      <c r="H19" s="17"/>
      <c r="I19" s="19"/>
      <c r="J19" s="21"/>
      <c r="K19" s="57"/>
      <c r="L19" s="24"/>
      <c r="M19" s="25"/>
      <c r="N19" s="25"/>
      <c r="O19" s="26"/>
      <c r="P19" s="26"/>
    </row>
    <row r="20">
      <c r="A20" s="52"/>
      <c r="B20" s="15"/>
      <c r="C20" s="16"/>
      <c r="D20" s="15"/>
      <c r="E20" s="17"/>
      <c r="F20" s="54"/>
      <c r="G20" s="19"/>
      <c r="H20" s="17"/>
      <c r="I20" s="19"/>
      <c r="J20" s="21"/>
      <c r="K20" s="57"/>
      <c r="L20" s="24"/>
      <c r="M20" s="25"/>
      <c r="N20" s="25"/>
      <c r="O20" s="26"/>
      <c r="P20" s="26"/>
    </row>
    <row r="21">
      <c r="A21" s="52"/>
      <c r="B21" s="15"/>
      <c r="C21" s="16"/>
      <c r="D21" s="15"/>
      <c r="E21" s="17"/>
      <c r="F21" s="18"/>
      <c r="G21" s="19"/>
      <c r="H21" s="17"/>
      <c r="I21" s="19"/>
      <c r="J21" s="21"/>
      <c r="K21" s="57"/>
      <c r="L21" s="24"/>
      <c r="M21" s="25"/>
      <c r="N21" s="25"/>
      <c r="O21" s="26"/>
      <c r="P21" s="26"/>
    </row>
    <row r="22">
      <c r="A22" s="52"/>
      <c r="B22" s="15"/>
      <c r="C22" s="16"/>
      <c r="D22" s="15"/>
      <c r="E22" s="17"/>
      <c r="F22" s="54"/>
      <c r="G22" s="19"/>
      <c r="H22" s="17"/>
      <c r="I22" s="19"/>
      <c r="J22" s="21"/>
      <c r="K22" s="57"/>
      <c r="L22" s="24"/>
      <c r="M22" s="25"/>
      <c r="N22" s="25"/>
      <c r="O22" s="26"/>
      <c r="P22" s="26"/>
    </row>
    <row r="23">
      <c r="A23" s="52"/>
      <c r="B23" s="15"/>
      <c r="C23" s="16"/>
      <c r="D23" s="15"/>
      <c r="E23" s="17"/>
      <c r="F23" s="18"/>
      <c r="G23" s="19"/>
      <c r="H23" s="17"/>
      <c r="I23" s="19"/>
      <c r="J23" s="21"/>
      <c r="K23" s="57"/>
      <c r="L23" s="24"/>
      <c r="M23" s="25"/>
      <c r="N23" s="25"/>
      <c r="O23" s="26"/>
      <c r="P23" s="26"/>
    </row>
    <row r="24">
      <c r="A24" s="62"/>
      <c r="B24" s="15"/>
      <c r="C24" s="16"/>
      <c r="D24" s="15"/>
      <c r="E24" s="17"/>
      <c r="F24" s="18"/>
      <c r="G24" s="19"/>
      <c r="H24" s="17"/>
      <c r="I24" s="19"/>
      <c r="J24" s="21"/>
      <c r="K24" s="57"/>
      <c r="L24" s="24"/>
      <c r="M24" s="25"/>
      <c r="N24" s="25"/>
      <c r="O24" s="26"/>
      <c r="P24" s="26"/>
    </row>
    <row r="25">
      <c r="A25" s="52"/>
      <c r="B25" s="15"/>
      <c r="C25" s="16"/>
      <c r="D25" s="15"/>
      <c r="E25" s="17"/>
      <c r="F25" s="54"/>
      <c r="G25" s="19"/>
      <c r="H25" s="17"/>
      <c r="I25" s="19"/>
      <c r="J25" s="21"/>
      <c r="K25" s="57"/>
      <c r="L25" s="24"/>
      <c r="M25" s="25"/>
      <c r="N25" s="25"/>
      <c r="O25" s="26"/>
      <c r="P25" s="26"/>
    </row>
    <row r="26">
      <c r="A26" s="52"/>
      <c r="B26" s="15"/>
      <c r="C26" s="16"/>
      <c r="D26" s="15"/>
      <c r="E26" s="17"/>
      <c r="F26" s="54"/>
      <c r="G26" s="19"/>
      <c r="H26" s="17"/>
      <c r="I26" s="19"/>
      <c r="J26" s="21"/>
      <c r="K26" s="57"/>
      <c r="L26" s="24"/>
      <c r="M26" s="25"/>
      <c r="N26" s="25"/>
      <c r="O26" s="26"/>
      <c r="P26" s="26"/>
    </row>
    <row r="27">
      <c r="A27" s="52"/>
      <c r="B27" s="15"/>
      <c r="C27" s="16"/>
      <c r="D27" s="15"/>
      <c r="E27" s="17"/>
      <c r="F27" s="54"/>
      <c r="G27" s="19"/>
      <c r="H27" s="17"/>
      <c r="I27" s="19"/>
      <c r="J27" s="21"/>
      <c r="K27" s="57"/>
      <c r="L27" s="24"/>
      <c r="M27" s="25"/>
      <c r="N27" s="25"/>
      <c r="O27" s="26"/>
      <c r="P27" s="26"/>
    </row>
    <row r="28">
      <c r="A28" s="52"/>
      <c r="B28" s="15"/>
      <c r="C28" s="16"/>
      <c r="D28" s="15"/>
      <c r="E28" s="17"/>
      <c r="F28" s="54"/>
      <c r="G28" s="19"/>
      <c r="H28" s="17"/>
      <c r="I28" s="19"/>
      <c r="J28" s="21"/>
      <c r="K28" s="57"/>
      <c r="L28" s="24"/>
      <c r="M28" s="25"/>
      <c r="N28" s="25"/>
      <c r="O28" s="26"/>
      <c r="P28" s="26"/>
    </row>
    <row r="29">
      <c r="A29" s="52"/>
      <c r="B29" s="15"/>
      <c r="C29" s="16"/>
      <c r="D29" s="15"/>
      <c r="E29" s="17"/>
      <c r="F29" s="54"/>
      <c r="G29" s="19"/>
      <c r="H29" s="17"/>
      <c r="I29" s="19"/>
      <c r="J29" s="21"/>
      <c r="K29" s="57"/>
      <c r="L29" s="24"/>
      <c r="M29" s="25"/>
      <c r="N29" s="25"/>
      <c r="O29" s="26"/>
      <c r="P29" s="26"/>
    </row>
    <row r="30">
      <c r="A30" s="52"/>
      <c r="B30" s="15"/>
      <c r="C30" s="16"/>
      <c r="D30" s="15"/>
      <c r="E30" s="17"/>
      <c r="F30" s="54"/>
      <c r="G30" s="19"/>
      <c r="H30" s="17"/>
      <c r="I30" s="19"/>
      <c r="J30" s="21"/>
      <c r="K30" s="57"/>
      <c r="L30" s="24"/>
      <c r="M30" s="25"/>
      <c r="N30" s="25"/>
      <c r="O30" s="26"/>
      <c r="P30" s="26"/>
    </row>
    <row r="31">
      <c r="A31" s="52"/>
      <c r="B31" s="15"/>
      <c r="C31" s="16"/>
      <c r="D31" s="15"/>
      <c r="E31" s="17"/>
      <c r="F31" s="54"/>
      <c r="G31" s="19"/>
      <c r="H31" s="17"/>
      <c r="I31" s="19"/>
      <c r="J31" s="21"/>
      <c r="K31" s="57"/>
      <c r="L31" s="24"/>
      <c r="M31" s="25"/>
      <c r="N31" s="25"/>
      <c r="O31" s="26"/>
      <c r="P31" s="26"/>
    </row>
    <row r="32">
      <c r="A32" s="52"/>
      <c r="B32" s="15"/>
      <c r="C32" s="16"/>
      <c r="D32" s="15"/>
      <c r="E32" s="17"/>
      <c r="F32" s="54"/>
      <c r="G32" s="19"/>
      <c r="H32" s="17"/>
      <c r="I32" s="19"/>
      <c r="J32" s="21"/>
      <c r="K32" s="57"/>
      <c r="L32" s="24"/>
      <c r="M32" s="25"/>
      <c r="N32" s="25"/>
      <c r="O32" s="26"/>
      <c r="P32" s="26"/>
    </row>
    <row r="33">
      <c r="A33" s="52"/>
      <c r="B33" s="15"/>
      <c r="C33" s="16"/>
      <c r="D33" s="15"/>
      <c r="E33" s="17"/>
      <c r="F33" s="54"/>
      <c r="G33" s="19"/>
      <c r="H33" s="17"/>
      <c r="I33" s="19"/>
      <c r="J33" s="21"/>
      <c r="K33" s="57"/>
      <c r="L33" s="24"/>
      <c r="M33" s="25"/>
      <c r="N33" s="25"/>
      <c r="O33" s="26"/>
      <c r="P33" s="26"/>
    </row>
    <row r="34">
      <c r="A34" s="52"/>
      <c r="B34" s="15"/>
      <c r="C34" s="16"/>
      <c r="D34" s="15"/>
      <c r="E34" s="17"/>
      <c r="F34" s="54"/>
      <c r="G34" s="19"/>
      <c r="H34" s="17"/>
      <c r="I34" s="19"/>
      <c r="J34" s="21"/>
      <c r="K34" s="57"/>
      <c r="L34" s="24"/>
      <c r="M34" s="25"/>
      <c r="N34" s="25"/>
      <c r="O34" s="26"/>
      <c r="P34" s="26"/>
    </row>
    <row r="35">
      <c r="A35" s="52"/>
      <c r="B35" s="15"/>
      <c r="C35" s="16"/>
      <c r="D35" s="15"/>
      <c r="E35" s="17"/>
      <c r="F35" s="54"/>
      <c r="G35" s="19"/>
      <c r="H35" s="17"/>
      <c r="I35" s="19"/>
      <c r="J35" s="21"/>
      <c r="K35" s="57"/>
      <c r="L35" s="24"/>
      <c r="M35" s="25"/>
      <c r="N35" s="25"/>
      <c r="O35" s="26"/>
      <c r="P35" s="26"/>
    </row>
    <row r="36">
      <c r="A36" s="52"/>
      <c r="B36" s="15"/>
      <c r="C36" s="16"/>
      <c r="D36" s="15"/>
      <c r="E36" s="17"/>
      <c r="F36" s="54"/>
      <c r="G36" s="19"/>
      <c r="H36" s="17"/>
      <c r="I36" s="19"/>
      <c r="J36" s="21"/>
      <c r="K36" s="57"/>
      <c r="L36" s="24"/>
      <c r="M36" s="25"/>
      <c r="N36" s="25"/>
      <c r="O36" s="26"/>
      <c r="P36" s="26"/>
    </row>
    <row r="37">
      <c r="A37" s="52"/>
      <c r="B37" s="15"/>
      <c r="C37" s="16"/>
      <c r="D37" s="15"/>
      <c r="E37" s="17"/>
      <c r="F37" s="54"/>
      <c r="G37" s="19"/>
      <c r="H37" s="17"/>
      <c r="I37" s="19"/>
      <c r="J37" s="21"/>
      <c r="K37" s="57"/>
      <c r="L37" s="24"/>
      <c r="M37" s="25"/>
      <c r="N37" s="25"/>
      <c r="O37" s="26"/>
      <c r="P37" s="26"/>
    </row>
    <row r="38">
      <c r="A38" s="52"/>
      <c r="B38" s="15"/>
      <c r="C38" s="16"/>
      <c r="D38" s="15"/>
      <c r="E38" s="17"/>
      <c r="F38" s="54"/>
      <c r="G38" s="19"/>
      <c r="H38" s="17"/>
      <c r="I38" s="19"/>
      <c r="J38" s="21"/>
      <c r="K38" s="57"/>
      <c r="L38" s="24"/>
      <c r="M38" s="25"/>
      <c r="N38" s="25"/>
      <c r="O38" s="26"/>
      <c r="P38" s="26"/>
    </row>
    <row r="39">
      <c r="A39" s="52"/>
      <c r="B39" s="15"/>
      <c r="C39" s="16"/>
      <c r="D39" s="15"/>
      <c r="E39" s="17"/>
      <c r="F39" s="54"/>
      <c r="G39" s="19"/>
      <c r="H39" s="17"/>
      <c r="I39" s="19"/>
      <c r="J39" s="21"/>
      <c r="K39" s="57"/>
      <c r="L39" s="24"/>
      <c r="M39" s="25"/>
      <c r="N39" s="25"/>
      <c r="O39" s="26"/>
      <c r="P39" s="26"/>
    </row>
    <row r="40">
      <c r="A40" s="52"/>
      <c r="B40" s="15"/>
      <c r="C40" s="16"/>
      <c r="D40" s="15"/>
      <c r="E40" s="17"/>
      <c r="F40" s="54"/>
      <c r="G40" s="19"/>
      <c r="H40" s="17"/>
      <c r="I40" s="19"/>
      <c r="J40" s="21"/>
      <c r="K40" s="57"/>
      <c r="L40" s="24"/>
      <c r="M40" s="25"/>
      <c r="N40" s="25"/>
      <c r="O40" s="26"/>
      <c r="P40" s="26"/>
    </row>
    <row r="41">
      <c r="A41" s="52"/>
      <c r="B41" s="15"/>
      <c r="C41" s="16"/>
      <c r="D41" s="15"/>
      <c r="E41" s="17"/>
      <c r="F41" s="54"/>
      <c r="G41" s="19"/>
      <c r="H41" s="17"/>
      <c r="I41" s="19"/>
      <c r="J41" s="21"/>
      <c r="K41" s="57"/>
      <c r="L41" s="24"/>
      <c r="M41" s="25"/>
      <c r="N41" s="25"/>
      <c r="O41" s="26"/>
      <c r="P41" s="26"/>
    </row>
    <row r="42">
      <c r="A42" s="52"/>
      <c r="B42" s="15"/>
      <c r="C42" s="16"/>
      <c r="D42" s="15"/>
      <c r="E42" s="17"/>
      <c r="F42" s="54"/>
      <c r="G42" s="19"/>
      <c r="H42" s="17"/>
      <c r="I42" s="19"/>
      <c r="J42" s="21"/>
      <c r="K42" s="57"/>
      <c r="L42" s="24"/>
      <c r="M42" s="25"/>
      <c r="N42" s="25"/>
      <c r="O42" s="26"/>
      <c r="P42" s="26"/>
    </row>
    <row r="43">
      <c r="A43" s="52"/>
      <c r="B43" s="15"/>
      <c r="C43" s="16"/>
      <c r="D43" s="15"/>
      <c r="E43" s="17"/>
      <c r="F43" s="54"/>
      <c r="G43" s="19"/>
      <c r="H43" s="17"/>
      <c r="I43" s="19"/>
      <c r="J43" s="21"/>
      <c r="K43" s="57"/>
      <c r="L43" s="24"/>
      <c r="M43" s="25"/>
      <c r="N43" s="25"/>
      <c r="O43" s="26"/>
      <c r="P43" s="26"/>
    </row>
    <row r="44">
      <c r="A44" s="52"/>
      <c r="B44" s="15"/>
      <c r="C44" s="16"/>
      <c r="D44" s="15"/>
      <c r="E44" s="17"/>
      <c r="F44" s="54"/>
      <c r="G44" s="19"/>
      <c r="H44" s="17"/>
      <c r="I44" s="19"/>
      <c r="J44" s="21"/>
      <c r="K44" s="57"/>
      <c r="L44" s="24"/>
      <c r="M44" s="25"/>
      <c r="N44" s="25"/>
      <c r="O44" s="26"/>
      <c r="P44" s="26"/>
    </row>
    <row r="45">
      <c r="A45" s="52"/>
      <c r="B45" s="15"/>
      <c r="C45" s="16"/>
      <c r="D45" s="15"/>
      <c r="E45" s="17"/>
      <c r="F45" s="54"/>
      <c r="G45" s="19"/>
      <c r="H45" s="17"/>
      <c r="I45" s="19"/>
      <c r="J45" s="21"/>
      <c r="K45" s="57"/>
      <c r="L45" s="24"/>
      <c r="M45" s="25"/>
      <c r="N45" s="25"/>
      <c r="O45" s="26"/>
      <c r="P45" s="26"/>
    </row>
    <row r="46">
      <c r="A46" s="52"/>
      <c r="B46" s="15"/>
      <c r="C46" s="16"/>
      <c r="D46" s="15"/>
      <c r="E46" s="17"/>
      <c r="F46" s="54"/>
      <c r="G46" s="19"/>
      <c r="H46" s="17"/>
      <c r="I46" s="19"/>
      <c r="J46" s="21"/>
      <c r="K46" s="57"/>
      <c r="L46" s="24"/>
      <c r="M46" s="25"/>
      <c r="N46" s="25"/>
      <c r="O46" s="26"/>
      <c r="P46" s="26"/>
    </row>
    <row r="47">
      <c r="A47" s="52"/>
      <c r="B47" s="15"/>
      <c r="C47" s="16"/>
      <c r="D47" s="15"/>
      <c r="E47" s="17"/>
      <c r="F47" s="54"/>
      <c r="G47" s="19"/>
      <c r="H47" s="17"/>
      <c r="I47" s="19"/>
      <c r="J47" s="21"/>
      <c r="K47" s="57"/>
      <c r="L47" s="24"/>
      <c r="M47" s="25"/>
      <c r="N47" s="25"/>
      <c r="O47" s="26"/>
      <c r="P47" s="26"/>
    </row>
    <row r="48">
      <c r="A48" s="52"/>
      <c r="B48" s="15"/>
      <c r="C48" s="16"/>
      <c r="D48" s="15"/>
      <c r="E48" s="17"/>
      <c r="F48" s="18"/>
      <c r="G48" s="19"/>
      <c r="H48" s="17"/>
      <c r="I48" s="19"/>
      <c r="J48" s="21"/>
      <c r="K48" s="57"/>
      <c r="L48" s="24"/>
      <c r="M48" s="25"/>
      <c r="N48" s="25"/>
      <c r="O48" s="26"/>
      <c r="P48" s="26"/>
    </row>
    <row r="49">
      <c r="A49" s="52"/>
      <c r="B49" s="15"/>
      <c r="C49" s="16"/>
      <c r="D49" s="15"/>
      <c r="E49" s="17"/>
      <c r="F49" s="18"/>
      <c r="G49" s="19"/>
      <c r="H49" s="17"/>
      <c r="I49" s="19"/>
      <c r="J49" s="21"/>
      <c r="K49" s="57"/>
      <c r="L49" s="24"/>
      <c r="M49" s="25"/>
      <c r="N49" s="25"/>
      <c r="O49" s="26"/>
      <c r="P49" s="26"/>
    </row>
    <row r="50">
      <c r="A50" s="52"/>
      <c r="B50" s="15"/>
      <c r="C50" s="16"/>
      <c r="D50" s="15"/>
      <c r="E50" s="17"/>
      <c r="F50" s="54"/>
      <c r="G50" s="19"/>
      <c r="H50" s="17"/>
      <c r="I50" s="19"/>
      <c r="J50" s="21"/>
      <c r="K50" s="57"/>
      <c r="L50" s="24"/>
      <c r="M50" s="25"/>
      <c r="N50" s="25"/>
      <c r="O50" s="26"/>
      <c r="P50" s="26"/>
    </row>
    <row r="51">
      <c r="A51" s="52"/>
      <c r="B51" s="15"/>
      <c r="C51" s="16"/>
      <c r="D51" s="15"/>
      <c r="E51" s="17"/>
      <c r="F51" s="54"/>
      <c r="G51" s="19"/>
      <c r="H51" s="17"/>
      <c r="I51" s="19"/>
      <c r="J51" s="21"/>
      <c r="K51" s="57"/>
      <c r="L51" s="24"/>
      <c r="M51" s="25"/>
      <c r="N51" s="25"/>
      <c r="O51" s="26"/>
      <c r="P51" s="26"/>
    </row>
    <row r="52">
      <c r="A52" s="52"/>
      <c r="B52" s="15"/>
      <c r="C52" s="16"/>
      <c r="D52" s="15"/>
      <c r="E52" s="17"/>
      <c r="F52" s="54"/>
      <c r="G52" s="19"/>
      <c r="H52" s="17"/>
      <c r="I52" s="19"/>
      <c r="J52" s="21"/>
      <c r="K52" s="57"/>
      <c r="L52" s="24"/>
      <c r="M52" s="25"/>
      <c r="N52" s="25"/>
      <c r="O52" s="26"/>
      <c r="P52" s="26"/>
    </row>
    <row r="53">
      <c r="A53" s="52"/>
      <c r="B53" s="15"/>
      <c r="C53" s="16"/>
      <c r="D53" s="15"/>
      <c r="E53" s="17"/>
      <c r="F53" s="54"/>
      <c r="G53" s="19"/>
      <c r="H53" s="17"/>
      <c r="I53" s="19"/>
      <c r="J53" s="21"/>
      <c r="K53" s="57"/>
      <c r="L53" s="24"/>
      <c r="M53" s="25"/>
      <c r="N53" s="25"/>
      <c r="O53" s="26"/>
      <c r="P53" s="26"/>
    </row>
    <row r="54">
      <c r="A54" s="52"/>
      <c r="B54" s="15"/>
      <c r="C54" s="16"/>
      <c r="D54" s="15"/>
      <c r="E54" s="17"/>
      <c r="F54" s="54"/>
      <c r="G54" s="19"/>
      <c r="H54" s="17"/>
      <c r="I54" s="19"/>
      <c r="J54" s="21"/>
      <c r="K54" s="57"/>
      <c r="L54" s="24"/>
      <c r="M54" s="25"/>
      <c r="N54" s="25"/>
      <c r="O54" s="26"/>
      <c r="P54" s="26"/>
    </row>
    <row r="55">
      <c r="A55" s="52"/>
      <c r="B55" s="15"/>
      <c r="C55" s="16"/>
      <c r="D55" s="15"/>
      <c r="E55" s="17"/>
      <c r="F55" s="54"/>
      <c r="G55" s="19"/>
      <c r="H55" s="17"/>
      <c r="I55" s="19"/>
      <c r="J55" s="21"/>
      <c r="K55" s="57"/>
      <c r="L55" s="24"/>
      <c r="M55" s="25"/>
      <c r="N55" s="25"/>
      <c r="O55" s="26"/>
      <c r="P55" s="26"/>
    </row>
    <row r="56">
      <c r="A56" s="52"/>
      <c r="B56" s="15"/>
      <c r="C56" s="16"/>
      <c r="D56" s="15"/>
      <c r="E56" s="17"/>
      <c r="F56" s="54"/>
      <c r="G56" s="19"/>
      <c r="H56" s="17"/>
      <c r="I56" s="19"/>
      <c r="J56" s="21"/>
      <c r="K56" s="57"/>
      <c r="L56" s="24"/>
      <c r="M56" s="25"/>
      <c r="N56" s="25"/>
      <c r="O56" s="26"/>
      <c r="P56" s="26"/>
    </row>
    <row r="57">
      <c r="A57" s="52"/>
      <c r="B57" s="15"/>
      <c r="C57" s="16"/>
      <c r="D57" s="15"/>
      <c r="E57" s="17"/>
      <c r="F57" s="54"/>
      <c r="G57" s="19"/>
      <c r="H57" s="17"/>
      <c r="I57" s="19"/>
      <c r="J57" s="21"/>
      <c r="K57" s="57"/>
      <c r="L57" s="24"/>
      <c r="M57" s="25"/>
      <c r="N57" s="25"/>
      <c r="O57" s="26"/>
      <c r="P57" s="26"/>
    </row>
    <row r="58">
      <c r="A58" s="52"/>
      <c r="B58" s="15"/>
      <c r="C58" s="16"/>
      <c r="D58" s="15"/>
      <c r="E58" s="17"/>
      <c r="F58" s="54"/>
      <c r="G58" s="19"/>
      <c r="H58" s="17"/>
      <c r="I58" s="19"/>
      <c r="J58" s="21"/>
      <c r="K58" s="57"/>
      <c r="L58" s="24"/>
      <c r="M58" s="25"/>
      <c r="N58" s="25"/>
      <c r="O58" s="26"/>
      <c r="P58" s="26"/>
    </row>
    <row r="59">
      <c r="A59" s="52"/>
      <c r="B59" s="15"/>
      <c r="C59" s="16"/>
      <c r="D59" s="15"/>
      <c r="E59" s="17"/>
      <c r="F59" s="54"/>
      <c r="G59" s="19"/>
      <c r="H59" s="17"/>
      <c r="I59" s="19"/>
      <c r="J59" s="21"/>
      <c r="K59" s="57"/>
      <c r="L59" s="24"/>
      <c r="M59" s="25"/>
      <c r="N59" s="25"/>
      <c r="O59" s="26"/>
      <c r="P59" s="26"/>
    </row>
    <row r="60">
      <c r="A60" s="52"/>
      <c r="B60" s="15"/>
      <c r="C60" s="16"/>
      <c r="D60" s="15"/>
      <c r="E60" s="17"/>
      <c r="F60" s="54"/>
      <c r="G60" s="19"/>
      <c r="H60" s="17"/>
      <c r="I60" s="19"/>
      <c r="J60" s="21"/>
      <c r="K60" s="57"/>
      <c r="L60" s="24"/>
      <c r="M60" s="25"/>
      <c r="N60" s="25"/>
      <c r="O60" s="26"/>
      <c r="P60" s="26"/>
    </row>
    <row r="61">
      <c r="A61" s="52"/>
      <c r="B61" s="15"/>
      <c r="C61" s="16"/>
      <c r="D61" s="15"/>
      <c r="E61" s="17"/>
      <c r="F61" s="54"/>
      <c r="G61" s="19"/>
      <c r="H61" s="17"/>
      <c r="I61" s="19"/>
      <c r="J61" s="21"/>
      <c r="K61" s="57"/>
      <c r="L61" s="24"/>
      <c r="M61" s="25"/>
      <c r="N61" s="25"/>
      <c r="O61" s="26"/>
      <c r="P61" s="26"/>
    </row>
    <row r="62">
      <c r="A62" s="52"/>
      <c r="B62" s="15"/>
      <c r="C62" s="16"/>
      <c r="D62" s="15"/>
      <c r="E62" s="17"/>
      <c r="F62" s="54"/>
      <c r="G62" s="19"/>
      <c r="H62" s="17"/>
      <c r="I62" s="19"/>
      <c r="J62" s="21"/>
      <c r="K62" s="57"/>
      <c r="L62" s="24"/>
      <c r="M62" s="25"/>
      <c r="N62" s="25"/>
      <c r="O62" s="26"/>
      <c r="P62" s="26"/>
    </row>
    <row r="63">
      <c r="A63" s="52"/>
      <c r="B63" s="15"/>
      <c r="C63" s="16"/>
      <c r="D63" s="15"/>
      <c r="E63" s="17"/>
      <c r="F63" s="54"/>
      <c r="G63" s="19"/>
      <c r="H63" s="17"/>
      <c r="I63" s="19"/>
      <c r="J63" s="21"/>
      <c r="K63" s="57"/>
      <c r="L63" s="24"/>
      <c r="M63" s="25"/>
      <c r="N63" s="25"/>
      <c r="O63" s="26"/>
      <c r="P63" s="26"/>
    </row>
    <row r="64">
      <c r="A64" s="52"/>
      <c r="B64" s="15"/>
      <c r="C64" s="16"/>
      <c r="D64" s="15"/>
      <c r="E64" s="17"/>
      <c r="F64" s="54"/>
      <c r="G64" s="19"/>
      <c r="H64" s="17"/>
      <c r="I64" s="19"/>
      <c r="J64" s="21"/>
      <c r="K64" s="57"/>
      <c r="L64" s="24"/>
      <c r="M64" s="25"/>
      <c r="N64" s="25"/>
      <c r="O64" s="26"/>
      <c r="P64" s="26"/>
    </row>
    <row r="65">
      <c r="A65" s="52"/>
      <c r="B65" s="15"/>
      <c r="C65" s="16"/>
      <c r="D65" s="15"/>
      <c r="E65" s="17"/>
      <c r="F65" s="54"/>
      <c r="G65" s="19"/>
      <c r="H65" s="17"/>
      <c r="I65" s="19"/>
      <c r="J65" s="21"/>
      <c r="K65" s="57"/>
      <c r="L65" s="24"/>
      <c r="M65" s="25"/>
      <c r="N65" s="25"/>
      <c r="O65" s="26"/>
      <c r="P65" s="26"/>
    </row>
    <row r="66">
      <c r="A66" s="52"/>
      <c r="B66" s="15"/>
      <c r="C66" s="16"/>
      <c r="D66" s="15"/>
      <c r="E66" s="17"/>
      <c r="F66" s="54"/>
      <c r="G66" s="19"/>
      <c r="H66" s="17"/>
      <c r="I66" s="19"/>
      <c r="J66" s="21"/>
      <c r="K66" s="57"/>
      <c r="L66" s="24"/>
      <c r="M66" s="25"/>
      <c r="N66" s="25"/>
      <c r="O66" s="26"/>
      <c r="P66" s="26"/>
    </row>
    <row r="67">
      <c r="A67" s="52"/>
      <c r="B67" s="15"/>
      <c r="C67" s="16"/>
      <c r="D67" s="15"/>
      <c r="E67" s="17"/>
      <c r="F67" s="54"/>
      <c r="G67" s="19"/>
      <c r="H67" s="17"/>
      <c r="I67" s="19"/>
      <c r="J67" s="21"/>
      <c r="K67" s="57"/>
      <c r="L67" s="24"/>
      <c r="M67" s="25"/>
      <c r="N67" s="25"/>
      <c r="O67" s="26"/>
      <c r="P67" s="26"/>
    </row>
    <row r="68">
      <c r="A68" s="52"/>
      <c r="B68" s="15"/>
      <c r="C68" s="16"/>
      <c r="D68" s="15"/>
      <c r="E68" s="17"/>
      <c r="F68" s="54"/>
      <c r="G68" s="19"/>
      <c r="H68" s="17"/>
      <c r="I68" s="19"/>
      <c r="J68" s="21"/>
      <c r="K68" s="57"/>
      <c r="L68" s="24"/>
      <c r="M68" s="25"/>
      <c r="N68" s="25"/>
      <c r="O68" s="26"/>
      <c r="P68" s="26"/>
    </row>
    <row r="69">
      <c r="A69" s="52"/>
      <c r="B69" s="15"/>
      <c r="C69" s="16"/>
      <c r="D69" s="15"/>
      <c r="E69" s="17"/>
      <c r="F69" s="54"/>
      <c r="G69" s="19"/>
      <c r="H69" s="17"/>
      <c r="I69" s="19"/>
      <c r="J69" s="21"/>
      <c r="K69" s="57"/>
      <c r="L69" s="24"/>
      <c r="M69" s="25"/>
      <c r="N69" s="25"/>
      <c r="O69" s="26"/>
      <c r="P69" s="26"/>
    </row>
    <row r="70">
      <c r="A70" s="52"/>
      <c r="B70" s="15"/>
      <c r="C70" s="16"/>
      <c r="D70" s="15"/>
      <c r="E70" s="17"/>
      <c r="F70" s="54"/>
      <c r="G70" s="19"/>
      <c r="H70" s="17"/>
      <c r="I70" s="19"/>
      <c r="J70" s="21"/>
      <c r="K70" s="57"/>
      <c r="L70" s="24"/>
      <c r="M70" s="25"/>
      <c r="N70" s="25"/>
      <c r="O70" s="26"/>
      <c r="P70" s="26"/>
    </row>
    <row r="71">
      <c r="A71" s="52"/>
      <c r="B71" s="15"/>
      <c r="C71" s="16"/>
      <c r="D71" s="15"/>
      <c r="E71" s="17"/>
      <c r="F71" s="54"/>
      <c r="G71" s="19"/>
      <c r="H71" s="17"/>
      <c r="I71" s="19"/>
      <c r="J71" s="21"/>
      <c r="K71" s="57"/>
      <c r="L71" s="24"/>
      <c r="M71" s="26"/>
      <c r="N71" s="25"/>
      <c r="O71" s="26"/>
      <c r="P71" s="26"/>
    </row>
    <row r="72">
      <c r="A72" s="52"/>
      <c r="B72" s="15"/>
      <c r="C72" s="16"/>
      <c r="D72" s="15"/>
      <c r="E72" s="17"/>
      <c r="F72" s="54"/>
      <c r="G72" s="19"/>
      <c r="H72" s="17"/>
      <c r="I72" s="19"/>
      <c r="J72" s="21"/>
      <c r="K72" s="57"/>
      <c r="L72" s="24"/>
      <c r="M72" s="25"/>
      <c r="N72" s="25"/>
      <c r="O72" s="26"/>
      <c r="P72" s="26"/>
    </row>
    <row r="73">
      <c r="A73" s="52"/>
      <c r="B73" s="15"/>
      <c r="C73" s="16"/>
      <c r="D73" s="15"/>
      <c r="E73" s="17"/>
      <c r="F73" s="54"/>
      <c r="G73" s="19"/>
      <c r="H73" s="17"/>
      <c r="I73" s="19"/>
      <c r="J73" s="21"/>
      <c r="K73" s="57"/>
      <c r="L73" s="24"/>
      <c r="M73" s="25"/>
      <c r="N73" s="25"/>
      <c r="O73" s="26"/>
      <c r="P73" s="26"/>
    </row>
    <row r="74">
      <c r="A74" s="52"/>
      <c r="B74" s="15"/>
      <c r="C74" s="16"/>
      <c r="D74" s="15"/>
      <c r="E74" s="17"/>
      <c r="F74" s="54"/>
      <c r="G74" s="19"/>
      <c r="H74" s="17"/>
      <c r="I74" s="19"/>
      <c r="J74" s="21"/>
      <c r="K74" s="57"/>
      <c r="L74" s="24"/>
      <c r="M74" s="25"/>
      <c r="N74" s="25"/>
      <c r="O74" s="26"/>
      <c r="P74" s="26"/>
    </row>
    <row r="75">
      <c r="A75" s="52"/>
      <c r="B75" s="15"/>
      <c r="C75" s="16"/>
      <c r="D75" s="15"/>
      <c r="E75" s="17"/>
      <c r="F75" s="54"/>
      <c r="G75" s="19"/>
      <c r="H75" s="17"/>
      <c r="I75" s="19"/>
      <c r="J75" s="21"/>
      <c r="K75" s="57"/>
      <c r="L75" s="24"/>
      <c r="M75" s="25"/>
      <c r="N75" s="25"/>
      <c r="O75" s="26"/>
      <c r="P75" s="26"/>
    </row>
    <row r="76">
      <c r="A76" s="52"/>
      <c r="B76" s="15"/>
      <c r="C76" s="16"/>
      <c r="D76" s="15"/>
      <c r="E76" s="17"/>
      <c r="F76" s="54"/>
      <c r="G76" s="19"/>
      <c r="H76" s="17"/>
      <c r="I76" s="19"/>
      <c r="J76" s="21"/>
      <c r="K76" s="57"/>
      <c r="L76" s="24"/>
      <c r="M76" s="25"/>
      <c r="N76" s="25"/>
      <c r="O76" s="26"/>
      <c r="P76" s="26"/>
    </row>
    <row r="77">
      <c r="A77" s="52"/>
      <c r="B77" s="15"/>
      <c r="C77" s="16"/>
      <c r="D77" s="15"/>
      <c r="E77" s="17"/>
      <c r="F77" s="54"/>
      <c r="G77" s="19"/>
      <c r="H77" s="17"/>
      <c r="I77" s="19"/>
      <c r="J77" s="21"/>
      <c r="K77" s="57"/>
      <c r="L77" s="24"/>
      <c r="M77" s="25"/>
      <c r="N77" s="25"/>
      <c r="O77" s="26"/>
      <c r="P77" s="26"/>
    </row>
    <row r="78">
      <c r="A78" s="52"/>
      <c r="B78" s="15"/>
      <c r="C78" s="16"/>
      <c r="D78" s="15"/>
      <c r="E78" s="17"/>
      <c r="F78" s="54"/>
      <c r="G78" s="19"/>
      <c r="H78" s="17"/>
      <c r="I78" s="19"/>
      <c r="J78" s="21"/>
      <c r="K78" s="57"/>
      <c r="L78" s="24"/>
      <c r="M78" s="25"/>
      <c r="N78" s="25"/>
      <c r="O78" s="26"/>
      <c r="P78" s="26"/>
    </row>
    <row r="79">
      <c r="A79" s="52"/>
      <c r="B79" s="15"/>
      <c r="C79" s="16"/>
      <c r="D79" s="15"/>
      <c r="E79" s="17"/>
      <c r="F79" s="54"/>
      <c r="G79" s="19"/>
      <c r="H79" s="17"/>
      <c r="I79" s="19"/>
      <c r="J79" s="21"/>
      <c r="K79" s="57"/>
      <c r="L79" s="24"/>
      <c r="M79" s="25"/>
      <c r="N79" s="25"/>
      <c r="O79" s="26"/>
      <c r="P79" s="26"/>
    </row>
    <row r="80">
      <c r="A80" s="52"/>
      <c r="B80" s="15"/>
      <c r="C80" s="16"/>
      <c r="D80" s="15"/>
      <c r="E80" s="17"/>
      <c r="F80" s="54"/>
      <c r="G80" s="19"/>
      <c r="H80" s="17"/>
      <c r="I80" s="19"/>
      <c r="J80" s="21"/>
      <c r="K80" s="57"/>
      <c r="L80" s="24"/>
      <c r="M80" s="25"/>
      <c r="N80" s="25"/>
      <c r="O80" s="26"/>
      <c r="P80" s="26"/>
    </row>
    <row r="81">
      <c r="A81" s="52"/>
      <c r="B81" s="15"/>
      <c r="C81" s="16"/>
      <c r="D81" s="15"/>
      <c r="E81" s="17"/>
      <c r="F81" s="54"/>
      <c r="G81" s="19"/>
      <c r="H81" s="17"/>
      <c r="I81" s="19"/>
      <c r="J81" s="21"/>
      <c r="K81" s="57"/>
      <c r="L81" s="24"/>
      <c r="M81" s="25"/>
      <c r="N81" s="25"/>
      <c r="O81" s="26"/>
      <c r="P81" s="26"/>
    </row>
    <row r="82">
      <c r="A82" s="52"/>
      <c r="B82" s="15"/>
      <c r="C82" s="16"/>
      <c r="D82" s="15"/>
      <c r="E82" s="17"/>
      <c r="F82" s="54"/>
      <c r="G82" s="19"/>
      <c r="H82" s="17"/>
      <c r="I82" s="19"/>
      <c r="J82" s="21"/>
      <c r="K82" s="57"/>
      <c r="L82" s="24"/>
      <c r="M82" s="25"/>
      <c r="N82" s="25"/>
      <c r="O82" s="26"/>
      <c r="P82" s="26"/>
    </row>
    <row r="83">
      <c r="A83" s="52"/>
      <c r="B83" s="15"/>
      <c r="C83" s="16"/>
      <c r="D83" s="15"/>
      <c r="E83" s="17"/>
      <c r="F83" s="54"/>
      <c r="G83" s="19"/>
      <c r="H83" s="17"/>
      <c r="I83" s="19"/>
      <c r="J83" s="21"/>
      <c r="K83" s="57"/>
      <c r="L83" s="24"/>
      <c r="M83" s="25"/>
      <c r="N83" s="25"/>
      <c r="O83" s="26"/>
      <c r="P83" s="26"/>
    </row>
    <row r="84">
      <c r="A84" s="52"/>
      <c r="B84" s="15"/>
      <c r="C84" s="16"/>
      <c r="D84" s="15"/>
      <c r="E84" s="17"/>
      <c r="F84" s="54"/>
      <c r="G84" s="19"/>
      <c r="H84" s="17"/>
      <c r="I84" s="19"/>
      <c r="J84" s="21"/>
      <c r="K84" s="57"/>
      <c r="L84" s="24"/>
      <c r="M84" s="25"/>
      <c r="N84" s="25"/>
      <c r="O84" s="26"/>
      <c r="P84" s="26"/>
    </row>
    <row r="85">
      <c r="A85" s="52"/>
      <c r="B85" s="15"/>
      <c r="C85" s="16"/>
      <c r="D85" s="15"/>
      <c r="E85" s="17"/>
      <c r="F85" s="54"/>
      <c r="G85" s="19"/>
      <c r="H85" s="17"/>
      <c r="I85" s="19"/>
      <c r="J85" s="21"/>
      <c r="K85" s="57"/>
      <c r="L85" s="24"/>
      <c r="M85" s="25"/>
      <c r="N85" s="25"/>
      <c r="O85" s="26"/>
      <c r="P85" s="26"/>
    </row>
    <row r="86">
      <c r="A86" s="52"/>
      <c r="B86" s="15"/>
      <c r="C86" s="16"/>
      <c r="D86" s="15"/>
      <c r="E86" s="17"/>
      <c r="F86" s="54"/>
      <c r="G86" s="19"/>
      <c r="H86" s="17"/>
      <c r="I86" s="19"/>
      <c r="J86" s="21"/>
      <c r="K86" s="57"/>
      <c r="L86" s="24"/>
      <c r="M86" s="25"/>
      <c r="N86" s="25"/>
      <c r="O86" s="26"/>
      <c r="P86" s="26"/>
    </row>
    <row r="87">
      <c r="A87" s="52"/>
      <c r="B87" s="15"/>
      <c r="C87" s="16"/>
      <c r="D87" s="15"/>
      <c r="E87" s="17"/>
      <c r="F87" s="54"/>
      <c r="G87" s="19"/>
      <c r="H87" s="17"/>
      <c r="I87" s="19"/>
      <c r="J87" s="21"/>
      <c r="K87" s="57"/>
      <c r="L87" s="24"/>
      <c r="M87" s="25"/>
      <c r="N87" s="25"/>
      <c r="O87" s="26"/>
      <c r="P87" s="26"/>
    </row>
    <row r="88">
      <c r="A88" s="52"/>
      <c r="B88" s="15"/>
      <c r="C88" s="16"/>
      <c r="D88" s="15"/>
      <c r="E88" s="17"/>
      <c r="F88" s="54"/>
      <c r="G88" s="19"/>
      <c r="H88" s="17"/>
      <c r="I88" s="19"/>
      <c r="J88" s="21"/>
      <c r="K88" s="57"/>
      <c r="L88" s="24"/>
      <c r="M88" s="25"/>
      <c r="N88" s="25"/>
      <c r="O88" s="26"/>
      <c r="P88" s="26"/>
    </row>
    <row r="89">
      <c r="A89" s="52"/>
      <c r="B89" s="15"/>
      <c r="C89" s="16"/>
      <c r="D89" s="15"/>
      <c r="E89" s="17"/>
      <c r="F89" s="54"/>
      <c r="G89" s="19"/>
      <c r="H89" s="17"/>
      <c r="I89" s="19"/>
      <c r="J89" s="21"/>
      <c r="K89" s="57"/>
      <c r="L89" s="24"/>
      <c r="M89" s="25"/>
      <c r="N89" s="25"/>
      <c r="O89" s="26"/>
      <c r="P89" s="26"/>
    </row>
    <row r="90">
      <c r="A90" s="52"/>
      <c r="B90" s="15"/>
      <c r="C90" s="16"/>
      <c r="D90" s="15"/>
      <c r="E90" s="17"/>
      <c r="F90" s="54"/>
      <c r="G90" s="19"/>
      <c r="H90" s="17"/>
      <c r="I90" s="19"/>
      <c r="J90" s="21"/>
      <c r="K90" s="57"/>
      <c r="L90" s="24"/>
      <c r="M90" s="25"/>
      <c r="N90" s="25"/>
      <c r="O90" s="26"/>
      <c r="P90" s="26"/>
    </row>
    <row r="91">
      <c r="A91" s="52"/>
      <c r="B91" s="15"/>
      <c r="C91" s="16"/>
      <c r="D91" s="15"/>
      <c r="E91" s="17"/>
      <c r="F91" s="54"/>
      <c r="G91" s="19"/>
      <c r="H91" s="17"/>
      <c r="I91" s="19"/>
      <c r="J91" s="21"/>
      <c r="K91" s="57"/>
      <c r="L91" s="24"/>
      <c r="M91" s="25"/>
      <c r="N91" s="25"/>
      <c r="O91" s="26"/>
      <c r="P91" s="26"/>
    </row>
    <row r="92">
      <c r="A92" s="52"/>
      <c r="B92" s="15"/>
      <c r="C92" s="16"/>
      <c r="D92" s="15"/>
      <c r="E92" s="17"/>
      <c r="F92" s="54"/>
      <c r="G92" s="19"/>
      <c r="H92" s="17"/>
      <c r="I92" s="19"/>
      <c r="J92" s="21"/>
      <c r="K92" s="57"/>
      <c r="L92" s="24"/>
      <c r="M92" s="25"/>
      <c r="N92" s="25"/>
      <c r="O92" s="26"/>
      <c r="P92" s="26"/>
    </row>
    <row r="93">
      <c r="A93" s="52"/>
      <c r="B93" s="15"/>
      <c r="C93" s="16"/>
      <c r="D93" s="15"/>
      <c r="E93" s="17"/>
      <c r="F93" s="18"/>
      <c r="G93" s="19"/>
      <c r="H93" s="17"/>
      <c r="I93" s="19"/>
      <c r="J93" s="21"/>
      <c r="K93" s="57"/>
      <c r="L93" s="17"/>
      <c r="M93" s="25"/>
      <c r="N93" s="25"/>
      <c r="O93" s="26"/>
      <c r="P93" s="26"/>
    </row>
    <row r="94">
      <c r="A94" s="52"/>
      <c r="B94" s="15"/>
      <c r="C94" s="16"/>
      <c r="D94" s="15"/>
      <c r="E94" s="17"/>
      <c r="F94" s="18"/>
      <c r="G94" s="19"/>
      <c r="H94" s="17"/>
      <c r="I94" s="19"/>
      <c r="J94" s="21"/>
      <c r="K94" s="57"/>
      <c r="L94" s="24"/>
      <c r="M94" s="25"/>
      <c r="N94" s="25"/>
      <c r="O94" s="26"/>
      <c r="P94" s="26"/>
    </row>
    <row r="95">
      <c r="A95" s="52"/>
      <c r="B95" s="15"/>
      <c r="C95" s="16"/>
      <c r="D95" s="15"/>
      <c r="E95" s="17"/>
      <c r="F95" s="18"/>
      <c r="G95" s="19"/>
      <c r="H95" s="17"/>
      <c r="I95" s="19"/>
      <c r="J95" s="21"/>
      <c r="K95" s="57"/>
      <c r="L95" s="24"/>
      <c r="M95" s="25"/>
      <c r="N95" s="25"/>
      <c r="O95" s="26"/>
      <c r="P95" s="26"/>
    </row>
    <row r="96">
      <c r="A96" s="52"/>
      <c r="B96" s="15"/>
      <c r="C96" s="16"/>
      <c r="D96" s="15"/>
      <c r="E96" s="17"/>
      <c r="F96" s="54"/>
      <c r="G96" s="19"/>
      <c r="H96" s="17"/>
      <c r="I96" s="19"/>
      <c r="J96" s="21"/>
      <c r="K96" s="57"/>
      <c r="L96" s="24"/>
      <c r="M96" s="25"/>
      <c r="N96" s="25"/>
      <c r="O96" s="26"/>
      <c r="P96" s="26"/>
    </row>
    <row r="97">
      <c r="A97" s="52"/>
      <c r="B97" s="15"/>
      <c r="C97" s="16"/>
      <c r="D97" s="15"/>
      <c r="E97" s="17"/>
      <c r="F97" s="54"/>
      <c r="G97" s="19"/>
      <c r="H97" s="17"/>
      <c r="I97" s="19"/>
      <c r="J97" s="21"/>
      <c r="K97" s="57"/>
      <c r="L97" s="24"/>
      <c r="M97" s="25"/>
      <c r="N97" s="25"/>
      <c r="O97" s="26"/>
      <c r="P97" s="26"/>
    </row>
    <row r="98">
      <c r="A98" s="52"/>
      <c r="B98" s="15"/>
      <c r="C98" s="16"/>
      <c r="D98" s="15"/>
      <c r="E98" s="17"/>
      <c r="F98" s="54"/>
      <c r="G98" s="19"/>
      <c r="H98" s="17"/>
      <c r="I98" s="19"/>
      <c r="J98" s="21"/>
      <c r="K98" s="57"/>
      <c r="L98" s="24"/>
      <c r="M98" s="25"/>
      <c r="N98" s="25"/>
      <c r="O98" s="26"/>
      <c r="P98" s="26"/>
    </row>
    <row r="99">
      <c r="A99" s="52"/>
      <c r="B99" s="15"/>
      <c r="C99" s="16"/>
      <c r="D99" s="15"/>
      <c r="E99" s="17"/>
      <c r="F99" s="54"/>
      <c r="G99" s="19"/>
      <c r="H99" s="17"/>
      <c r="I99" s="19"/>
      <c r="J99" s="21"/>
      <c r="K99" s="57"/>
      <c r="L99" s="24"/>
      <c r="M99" s="25"/>
      <c r="N99" s="25"/>
      <c r="O99" s="26"/>
      <c r="P99" s="26"/>
    </row>
    <row r="100">
      <c r="A100" s="52"/>
      <c r="B100" s="15"/>
      <c r="C100" s="16"/>
      <c r="D100" s="15"/>
      <c r="E100" s="17"/>
      <c r="F100" s="54"/>
      <c r="G100" s="19"/>
      <c r="H100" s="17"/>
      <c r="I100" s="19"/>
      <c r="J100" s="21"/>
      <c r="K100" s="57"/>
      <c r="L100" s="24"/>
      <c r="M100" s="25"/>
      <c r="N100" s="25"/>
      <c r="O100" s="26"/>
      <c r="P100" s="26"/>
    </row>
    <row r="101">
      <c r="A101" s="52"/>
      <c r="B101" s="15"/>
      <c r="C101" s="16"/>
      <c r="D101" s="15"/>
      <c r="E101" s="17"/>
      <c r="F101" s="54"/>
      <c r="G101" s="19"/>
      <c r="H101" s="17"/>
      <c r="I101" s="19"/>
      <c r="J101" s="21"/>
      <c r="K101" s="57"/>
      <c r="L101" s="24"/>
      <c r="M101" s="25"/>
      <c r="N101" s="25"/>
      <c r="O101" s="26"/>
      <c r="P101" s="26"/>
    </row>
    <row r="102">
      <c r="A102" s="52"/>
      <c r="B102" s="15"/>
      <c r="C102" s="16"/>
      <c r="D102" s="15"/>
      <c r="E102" s="17"/>
      <c r="F102" s="54"/>
      <c r="G102" s="19"/>
      <c r="H102" s="17"/>
      <c r="I102" s="19"/>
      <c r="J102" s="21"/>
      <c r="K102" s="57"/>
      <c r="L102" s="24"/>
      <c r="M102" s="25"/>
      <c r="N102" s="25"/>
      <c r="O102" s="26"/>
      <c r="P102" s="26"/>
    </row>
    <row r="103">
      <c r="A103" s="52"/>
      <c r="B103" s="15"/>
      <c r="C103" s="16"/>
      <c r="D103" s="15"/>
      <c r="E103" s="17"/>
      <c r="F103" s="54"/>
      <c r="G103" s="19"/>
      <c r="H103" s="17"/>
      <c r="I103" s="19"/>
      <c r="J103" s="21"/>
      <c r="K103" s="57"/>
      <c r="L103" s="24"/>
      <c r="M103" s="25"/>
      <c r="N103" s="25"/>
      <c r="O103" s="26"/>
      <c r="P103" s="26"/>
    </row>
    <row r="104">
      <c r="A104" s="52"/>
      <c r="B104" s="15"/>
      <c r="C104" s="16"/>
      <c r="D104" s="15"/>
      <c r="E104" s="17"/>
      <c r="F104" s="54"/>
      <c r="G104" s="19"/>
      <c r="H104" s="17"/>
      <c r="I104" s="19"/>
      <c r="J104" s="21"/>
      <c r="K104" s="57"/>
      <c r="L104" s="24"/>
      <c r="M104" s="25"/>
      <c r="N104" s="25"/>
      <c r="O104" s="26"/>
      <c r="P104" s="26"/>
    </row>
    <row r="105">
      <c r="A105" s="52"/>
      <c r="B105" s="15"/>
      <c r="C105" s="16"/>
      <c r="D105" s="15"/>
      <c r="E105" s="17"/>
      <c r="F105" s="18"/>
      <c r="G105" s="19"/>
      <c r="H105" s="17"/>
      <c r="I105" s="19"/>
      <c r="J105" s="21"/>
      <c r="K105" s="57"/>
      <c r="L105" s="24"/>
      <c r="M105" s="25"/>
      <c r="N105" s="25"/>
      <c r="O105" s="26"/>
      <c r="P105" s="26"/>
    </row>
    <row r="106">
      <c r="A106" s="52"/>
      <c r="B106" s="15"/>
      <c r="C106" s="16"/>
      <c r="D106" s="15"/>
      <c r="E106" s="17"/>
      <c r="F106" s="54"/>
      <c r="G106" s="19"/>
      <c r="H106" s="17"/>
      <c r="I106" s="19"/>
      <c r="J106" s="21"/>
      <c r="K106" s="57"/>
      <c r="L106" s="24"/>
      <c r="M106" s="25"/>
      <c r="N106" s="25"/>
      <c r="O106" s="26"/>
      <c r="P106" s="26"/>
    </row>
    <row r="107">
      <c r="A107" s="52"/>
      <c r="B107" s="15"/>
      <c r="C107" s="16"/>
      <c r="D107" s="15"/>
      <c r="E107" s="17"/>
      <c r="F107" s="54"/>
      <c r="G107" s="19"/>
      <c r="H107" s="17"/>
      <c r="I107" s="19"/>
      <c r="J107" s="21"/>
      <c r="K107" s="57"/>
      <c r="L107" s="24"/>
      <c r="M107" s="25"/>
      <c r="N107" s="25"/>
      <c r="O107" s="26"/>
      <c r="P107" s="26"/>
    </row>
    <row r="108">
      <c r="A108" s="52"/>
      <c r="B108" s="15"/>
      <c r="C108" s="16"/>
      <c r="D108" s="15"/>
      <c r="E108" s="17"/>
      <c r="F108" s="54"/>
      <c r="G108" s="19"/>
      <c r="H108" s="17"/>
      <c r="I108" s="19"/>
      <c r="J108" s="21"/>
      <c r="K108" s="57"/>
      <c r="L108" s="24"/>
      <c r="M108" s="25"/>
      <c r="N108" s="25"/>
      <c r="O108" s="26"/>
      <c r="P108" s="26"/>
    </row>
    <row r="109">
      <c r="A109" s="52"/>
      <c r="B109" s="15"/>
      <c r="C109" s="16"/>
      <c r="D109" s="15"/>
      <c r="E109" s="17"/>
      <c r="F109" s="54"/>
      <c r="G109" s="19"/>
      <c r="H109" s="17"/>
      <c r="I109" s="19"/>
      <c r="J109" s="21"/>
      <c r="K109" s="57"/>
      <c r="L109" s="24"/>
      <c r="M109" s="25"/>
      <c r="N109" s="25"/>
      <c r="O109" s="26"/>
      <c r="P109" s="26"/>
    </row>
    <row r="110">
      <c r="A110" s="52"/>
      <c r="B110" s="15"/>
      <c r="C110" s="16"/>
      <c r="D110" s="15"/>
      <c r="E110" s="17"/>
      <c r="F110" s="54"/>
      <c r="G110" s="19"/>
      <c r="H110" s="17"/>
      <c r="I110" s="19"/>
      <c r="J110" s="21"/>
      <c r="K110" s="57"/>
      <c r="L110" s="24"/>
      <c r="M110" s="25"/>
      <c r="N110" s="25"/>
      <c r="O110" s="26"/>
      <c r="P110" s="26"/>
    </row>
    <row r="111">
      <c r="A111" s="52"/>
      <c r="B111" s="15"/>
      <c r="C111" s="16"/>
      <c r="D111" s="15"/>
      <c r="E111" s="17"/>
      <c r="F111" s="54"/>
      <c r="G111" s="19"/>
      <c r="H111" s="17"/>
      <c r="I111" s="19"/>
      <c r="J111" s="21"/>
      <c r="K111" s="57"/>
      <c r="L111" s="24"/>
      <c r="M111" s="25"/>
      <c r="N111" s="25"/>
      <c r="O111" s="26"/>
      <c r="P111" s="26"/>
    </row>
    <row r="112">
      <c r="A112" s="52"/>
      <c r="B112" s="15"/>
      <c r="C112" s="16"/>
      <c r="D112" s="15"/>
      <c r="E112" s="17"/>
      <c r="F112" s="54"/>
      <c r="G112" s="19"/>
      <c r="H112" s="17"/>
      <c r="I112" s="19"/>
      <c r="J112" s="21"/>
      <c r="K112" s="57"/>
      <c r="L112" s="24"/>
      <c r="M112" s="25"/>
      <c r="N112" s="25"/>
      <c r="O112" s="26"/>
      <c r="P112" s="26"/>
    </row>
    <row r="113">
      <c r="A113" s="52"/>
      <c r="B113" s="15"/>
      <c r="C113" s="16"/>
      <c r="D113" s="15"/>
      <c r="E113" s="17"/>
      <c r="F113" s="54"/>
      <c r="G113" s="19"/>
      <c r="H113" s="17"/>
      <c r="I113" s="19"/>
      <c r="J113" s="21"/>
      <c r="K113" s="57"/>
      <c r="L113" s="24"/>
      <c r="M113" s="25"/>
      <c r="N113" s="25"/>
      <c r="O113" s="26"/>
      <c r="P113" s="26"/>
    </row>
    <row r="114">
      <c r="A114" s="52"/>
      <c r="B114" s="15"/>
      <c r="C114" s="16"/>
      <c r="D114" s="15"/>
      <c r="E114" s="17"/>
      <c r="F114" s="54"/>
      <c r="G114" s="19"/>
      <c r="H114" s="17"/>
      <c r="I114" s="19"/>
      <c r="J114" s="21"/>
      <c r="K114" s="57"/>
      <c r="L114" s="24"/>
      <c r="M114" s="25"/>
      <c r="N114" s="25"/>
      <c r="O114" s="26"/>
      <c r="P114" s="26"/>
    </row>
    <row r="115">
      <c r="A115" s="52"/>
      <c r="B115" s="15"/>
      <c r="C115" s="16"/>
      <c r="D115" s="15"/>
      <c r="E115" s="17"/>
      <c r="F115" s="54"/>
      <c r="G115" s="19"/>
      <c r="H115" s="17"/>
      <c r="I115" s="19"/>
      <c r="J115" s="21"/>
      <c r="K115" s="57"/>
      <c r="L115" s="24"/>
      <c r="M115" s="25"/>
      <c r="N115" s="25"/>
      <c r="O115" s="26"/>
      <c r="P115" s="26"/>
    </row>
    <row r="116">
      <c r="A116" s="52"/>
      <c r="B116" s="15"/>
      <c r="C116" s="16"/>
      <c r="D116" s="15"/>
      <c r="E116" s="17"/>
      <c r="F116" s="54"/>
      <c r="G116" s="19"/>
      <c r="H116" s="17"/>
      <c r="I116" s="19"/>
      <c r="J116" s="21"/>
      <c r="K116" s="57"/>
      <c r="L116" s="24"/>
      <c r="M116" s="25"/>
      <c r="N116" s="25"/>
      <c r="O116" s="26"/>
      <c r="P116" s="26"/>
    </row>
    <row r="117">
      <c r="A117" s="52"/>
      <c r="B117" s="15"/>
      <c r="C117" s="16"/>
      <c r="D117" s="15"/>
      <c r="E117" s="17"/>
      <c r="F117" s="54"/>
      <c r="G117" s="19"/>
      <c r="H117" s="17"/>
      <c r="I117" s="19"/>
      <c r="J117" s="21"/>
      <c r="K117" s="57"/>
      <c r="L117" s="24"/>
      <c r="M117" s="25"/>
      <c r="N117" s="25"/>
      <c r="O117" s="26"/>
      <c r="P117" s="26"/>
    </row>
    <row r="118">
      <c r="A118" s="52"/>
      <c r="B118" s="15"/>
      <c r="C118" s="16"/>
      <c r="D118" s="15"/>
      <c r="E118" s="17"/>
      <c r="F118" s="54"/>
      <c r="G118" s="19"/>
      <c r="H118" s="17"/>
      <c r="I118" s="19"/>
      <c r="J118" s="21"/>
      <c r="K118" s="57"/>
      <c r="L118" s="24"/>
      <c r="M118" s="25"/>
      <c r="N118" s="25"/>
      <c r="O118" s="26"/>
      <c r="P118" s="26"/>
    </row>
    <row r="119">
      <c r="A119" s="52"/>
      <c r="B119" s="15"/>
      <c r="C119" s="16"/>
      <c r="D119" s="15"/>
      <c r="E119" s="17"/>
      <c r="F119" s="54"/>
      <c r="G119" s="19"/>
      <c r="H119" s="17"/>
      <c r="I119" s="19"/>
      <c r="J119" s="21"/>
      <c r="K119" s="57"/>
      <c r="L119" s="24"/>
      <c r="M119" s="25"/>
      <c r="N119" s="25"/>
      <c r="O119" s="26"/>
      <c r="P119" s="26"/>
    </row>
    <row r="120">
      <c r="A120" s="52"/>
      <c r="B120" s="15"/>
      <c r="C120" s="16"/>
      <c r="D120" s="15"/>
      <c r="E120" s="17"/>
      <c r="F120" s="54"/>
      <c r="G120" s="19"/>
      <c r="H120" s="17"/>
      <c r="I120" s="19"/>
      <c r="J120" s="21"/>
      <c r="K120" s="57"/>
      <c r="L120" s="24"/>
      <c r="M120" s="25"/>
      <c r="N120" s="25"/>
      <c r="O120" s="26"/>
      <c r="P120" s="26"/>
    </row>
    <row r="121">
      <c r="A121" s="52"/>
      <c r="B121" s="15"/>
      <c r="C121" s="16"/>
      <c r="D121" s="15"/>
      <c r="E121" s="17"/>
      <c r="F121" s="54"/>
      <c r="G121" s="19"/>
      <c r="H121" s="17"/>
      <c r="I121" s="19"/>
      <c r="J121" s="21"/>
      <c r="K121" s="57"/>
      <c r="L121" s="24"/>
      <c r="M121" s="25"/>
      <c r="N121" s="25"/>
      <c r="O121" s="26"/>
      <c r="P121" s="26"/>
    </row>
    <row r="122">
      <c r="A122" s="52"/>
      <c r="B122" s="15"/>
      <c r="C122" s="16"/>
      <c r="D122" s="15"/>
      <c r="E122" s="17"/>
      <c r="F122" s="54"/>
      <c r="G122" s="19"/>
      <c r="H122" s="17"/>
      <c r="I122" s="19"/>
      <c r="J122" s="21"/>
      <c r="K122" s="57"/>
      <c r="L122" s="24"/>
      <c r="M122" s="25"/>
      <c r="N122" s="25"/>
      <c r="O122" s="26"/>
      <c r="P122" s="26"/>
    </row>
    <row r="123">
      <c r="A123" s="52"/>
      <c r="B123" s="15"/>
      <c r="C123" s="16"/>
      <c r="D123" s="15"/>
      <c r="E123" s="17"/>
      <c r="F123" s="54"/>
      <c r="G123" s="19"/>
      <c r="H123" s="17"/>
      <c r="I123" s="19"/>
      <c r="J123" s="21"/>
      <c r="K123" s="57"/>
      <c r="L123" s="24"/>
      <c r="M123" s="25"/>
      <c r="N123" s="25"/>
      <c r="O123" s="26"/>
      <c r="P123" s="26"/>
    </row>
    <row r="124">
      <c r="A124" s="52"/>
      <c r="B124" s="15"/>
      <c r="C124" s="16"/>
      <c r="D124" s="15"/>
      <c r="E124" s="17"/>
      <c r="F124" s="54"/>
      <c r="G124" s="19"/>
      <c r="H124" s="17"/>
      <c r="I124" s="19"/>
      <c r="J124" s="21"/>
      <c r="K124" s="57"/>
      <c r="L124" s="24"/>
      <c r="M124" s="25"/>
      <c r="N124" s="25"/>
      <c r="O124" s="26"/>
      <c r="P124" s="26"/>
    </row>
    <row r="125">
      <c r="A125" s="52"/>
      <c r="B125" s="15"/>
      <c r="C125" s="16"/>
      <c r="D125" s="15"/>
      <c r="E125" s="17"/>
      <c r="F125" s="54"/>
      <c r="G125" s="19"/>
      <c r="H125" s="17"/>
      <c r="I125" s="19"/>
      <c r="J125" s="21"/>
      <c r="K125" s="57"/>
      <c r="L125" s="24"/>
      <c r="M125" s="25"/>
      <c r="N125" s="25"/>
      <c r="O125" s="26"/>
      <c r="P125" s="26"/>
    </row>
    <row r="126">
      <c r="A126" s="52"/>
      <c r="B126" s="15"/>
      <c r="C126" s="16"/>
      <c r="D126" s="15"/>
      <c r="E126" s="17"/>
      <c r="F126" s="54"/>
      <c r="G126" s="19"/>
      <c r="H126" s="17"/>
      <c r="I126" s="19"/>
      <c r="J126" s="21"/>
      <c r="K126" s="57"/>
      <c r="L126" s="24"/>
      <c r="M126" s="25"/>
      <c r="N126" s="25"/>
      <c r="O126" s="26"/>
      <c r="P126" s="26"/>
    </row>
    <row r="127">
      <c r="A127" s="52"/>
      <c r="B127" s="15"/>
      <c r="C127" s="16"/>
      <c r="D127" s="15"/>
      <c r="E127" s="17"/>
      <c r="F127" s="54"/>
      <c r="G127" s="19"/>
      <c r="H127" s="17"/>
      <c r="I127" s="19"/>
      <c r="J127" s="21"/>
      <c r="K127" s="57"/>
      <c r="L127" s="24"/>
      <c r="M127" s="25"/>
      <c r="N127" s="25"/>
      <c r="O127" s="26"/>
      <c r="P127" s="26"/>
    </row>
    <row r="128">
      <c r="A128" s="52"/>
      <c r="B128" s="15"/>
      <c r="C128" s="16"/>
      <c r="D128" s="15"/>
      <c r="E128" s="17"/>
      <c r="F128" s="54"/>
      <c r="G128" s="19"/>
      <c r="H128" s="17"/>
      <c r="I128" s="19"/>
      <c r="J128" s="21"/>
      <c r="K128" s="57"/>
      <c r="L128" s="24"/>
      <c r="M128" s="25"/>
      <c r="N128" s="25"/>
      <c r="O128" s="26"/>
      <c r="P128" s="26"/>
    </row>
    <row r="129">
      <c r="A129" s="52"/>
      <c r="B129" s="15"/>
      <c r="C129" s="16"/>
      <c r="D129" s="15"/>
      <c r="E129" s="17"/>
      <c r="F129" s="54"/>
      <c r="G129" s="19"/>
      <c r="H129" s="17"/>
      <c r="I129" s="19"/>
      <c r="J129" s="21"/>
      <c r="K129" s="57"/>
      <c r="L129" s="24"/>
      <c r="M129" s="25"/>
      <c r="N129" s="25"/>
      <c r="O129" s="26"/>
      <c r="P129" s="26"/>
    </row>
    <row r="130">
      <c r="A130" s="52"/>
      <c r="B130" s="15"/>
      <c r="C130" s="16"/>
      <c r="D130" s="15"/>
      <c r="E130" s="17"/>
      <c r="F130" s="54"/>
      <c r="G130" s="19"/>
      <c r="H130" s="17"/>
      <c r="I130" s="19"/>
      <c r="J130" s="21"/>
      <c r="K130" s="57"/>
      <c r="L130" s="24"/>
      <c r="M130" s="25"/>
      <c r="N130" s="25"/>
      <c r="O130" s="26"/>
      <c r="P130" s="26"/>
    </row>
    <row r="131">
      <c r="A131" s="52"/>
      <c r="B131" s="15"/>
      <c r="C131" s="16"/>
      <c r="D131" s="15"/>
      <c r="E131" s="17"/>
      <c r="F131" s="54"/>
      <c r="G131" s="19"/>
      <c r="H131" s="17"/>
      <c r="I131" s="19"/>
      <c r="J131" s="21"/>
      <c r="K131" s="57"/>
      <c r="L131" s="24"/>
      <c r="M131" s="25"/>
      <c r="N131" s="25"/>
      <c r="O131" s="26"/>
      <c r="P131" s="26"/>
    </row>
    <row r="132">
      <c r="A132" s="52"/>
      <c r="B132" s="15"/>
      <c r="C132" s="16"/>
      <c r="D132" s="15"/>
      <c r="E132" s="17"/>
      <c r="F132" s="54"/>
      <c r="G132" s="19"/>
      <c r="H132" s="17"/>
      <c r="I132" s="19"/>
      <c r="J132" s="21"/>
      <c r="K132" s="57"/>
      <c r="L132" s="24"/>
      <c r="M132" s="25"/>
      <c r="N132" s="25"/>
      <c r="O132" s="26"/>
      <c r="P132" s="26"/>
    </row>
    <row r="133">
      <c r="A133" s="52"/>
      <c r="B133" s="15"/>
      <c r="C133" s="16"/>
      <c r="D133" s="15"/>
      <c r="E133" s="17"/>
      <c r="F133" s="54"/>
      <c r="G133" s="19"/>
      <c r="H133" s="17"/>
      <c r="I133" s="19"/>
      <c r="J133" s="21"/>
      <c r="K133" s="57"/>
      <c r="L133" s="24"/>
      <c r="M133" s="68"/>
      <c r="N133" s="68"/>
      <c r="O133" s="69"/>
      <c r="P133" s="69"/>
    </row>
    <row r="134">
      <c r="A134" s="52"/>
      <c r="B134" s="15"/>
      <c r="C134" s="16"/>
      <c r="D134" s="15"/>
      <c r="E134" s="17"/>
      <c r="F134" s="54"/>
      <c r="G134" s="19"/>
      <c r="H134" s="17"/>
      <c r="I134" s="19"/>
      <c r="J134" s="21"/>
      <c r="K134" s="57"/>
      <c r="L134" s="24"/>
      <c r="M134" s="25"/>
      <c r="N134" s="25"/>
      <c r="O134" s="26"/>
      <c r="P134" s="26"/>
    </row>
    <row r="135">
      <c r="A135" s="52"/>
      <c r="B135" s="15"/>
      <c r="C135" s="16"/>
      <c r="D135" s="15"/>
      <c r="E135" s="17"/>
      <c r="F135" s="54"/>
      <c r="G135" s="19"/>
      <c r="H135" s="17"/>
      <c r="I135" s="19"/>
      <c r="J135" s="21"/>
      <c r="K135" s="57"/>
      <c r="L135" s="24"/>
      <c r="M135" s="25"/>
      <c r="N135" s="25"/>
      <c r="O135" s="26"/>
      <c r="P135" s="26"/>
    </row>
    <row r="136">
      <c r="A136" s="52"/>
      <c r="B136" s="15"/>
      <c r="C136" s="16"/>
      <c r="D136" s="15"/>
      <c r="E136" s="17"/>
      <c r="F136" s="54"/>
      <c r="G136" s="19"/>
      <c r="H136" s="17"/>
      <c r="I136" s="19"/>
      <c r="J136" s="21"/>
      <c r="K136" s="57"/>
      <c r="L136" s="24"/>
      <c r="M136" s="25"/>
      <c r="N136" s="25"/>
      <c r="O136" s="26"/>
      <c r="P136" s="26"/>
    </row>
    <row r="137">
      <c r="A137" s="52"/>
      <c r="B137" s="15"/>
      <c r="C137" s="16"/>
      <c r="D137" s="15"/>
      <c r="E137" s="17"/>
      <c r="F137" s="54"/>
      <c r="G137" s="19"/>
      <c r="H137" s="17"/>
      <c r="I137" s="19"/>
      <c r="J137" s="21"/>
      <c r="K137" s="57"/>
      <c r="L137" s="24"/>
      <c r="M137" s="25"/>
      <c r="N137" s="25"/>
      <c r="O137" s="26"/>
      <c r="P137" s="26"/>
    </row>
    <row r="138">
      <c r="A138" s="52"/>
      <c r="B138" s="15"/>
      <c r="C138" s="16"/>
      <c r="D138" s="15"/>
      <c r="E138" s="17"/>
      <c r="F138" s="18"/>
      <c r="G138" s="19"/>
      <c r="H138" s="17"/>
      <c r="I138" s="19"/>
      <c r="J138" s="21"/>
      <c r="K138" s="57"/>
      <c r="L138" s="24"/>
      <c r="M138" s="25"/>
      <c r="N138" s="25"/>
      <c r="O138" s="26"/>
      <c r="P138" s="26"/>
    </row>
    <row r="139">
      <c r="A139" s="52"/>
      <c r="B139" s="15"/>
      <c r="C139" s="16"/>
      <c r="D139" s="15"/>
      <c r="E139" s="17"/>
      <c r="F139" s="54"/>
      <c r="G139" s="19"/>
      <c r="H139" s="17"/>
      <c r="I139" s="19"/>
      <c r="J139" s="21"/>
      <c r="K139" s="57"/>
      <c r="L139" s="24"/>
      <c r="M139" s="25"/>
      <c r="N139" s="25"/>
      <c r="O139" s="26"/>
      <c r="P139" s="26"/>
    </row>
    <row r="140">
      <c r="A140" s="52"/>
      <c r="B140" s="15"/>
      <c r="C140" s="16"/>
      <c r="D140" s="15"/>
      <c r="E140" s="17"/>
      <c r="F140" s="18"/>
      <c r="G140" s="19"/>
      <c r="H140" s="17"/>
      <c r="I140" s="19"/>
      <c r="J140" s="21"/>
      <c r="K140" s="57"/>
      <c r="L140" s="24"/>
      <c r="M140" s="70"/>
      <c r="N140" s="25"/>
      <c r="O140" s="26"/>
      <c r="P140" s="26"/>
    </row>
    <row r="141">
      <c r="A141" s="52"/>
      <c r="B141" s="15"/>
      <c r="C141" s="16"/>
      <c r="D141" s="15"/>
      <c r="E141" s="17"/>
      <c r="F141" s="18"/>
      <c r="G141" s="19"/>
      <c r="H141" s="17"/>
      <c r="I141" s="19"/>
      <c r="J141" s="21"/>
      <c r="K141" s="57"/>
      <c r="L141" s="24"/>
      <c r="M141" s="25"/>
      <c r="N141" s="25"/>
      <c r="O141" s="26"/>
      <c r="P141" s="26"/>
    </row>
    <row r="142">
      <c r="A142" s="52"/>
      <c r="B142" s="15"/>
      <c r="C142" s="16"/>
      <c r="D142" s="15"/>
      <c r="E142" s="17"/>
      <c r="F142" s="54"/>
      <c r="G142" s="19"/>
      <c r="H142" s="17"/>
      <c r="I142" s="19"/>
      <c r="J142" s="21"/>
      <c r="K142" s="57"/>
      <c r="L142" s="24"/>
      <c r="M142" s="25"/>
      <c r="N142" s="25"/>
      <c r="O142" s="26"/>
      <c r="P142" s="26"/>
    </row>
    <row r="143">
      <c r="A143" s="52"/>
      <c r="B143" s="15"/>
      <c r="C143" s="16"/>
      <c r="D143" s="15"/>
      <c r="E143" s="17"/>
      <c r="F143" s="54"/>
      <c r="G143" s="19"/>
      <c r="H143" s="17"/>
      <c r="I143" s="19"/>
      <c r="J143" s="21"/>
      <c r="K143" s="57"/>
      <c r="L143" s="24"/>
      <c r="M143" s="25"/>
      <c r="N143" s="25"/>
      <c r="O143" s="26"/>
      <c r="P143" s="26"/>
    </row>
    <row r="144">
      <c r="A144" s="52"/>
      <c r="B144" s="15"/>
      <c r="C144" s="16"/>
      <c r="D144" s="15"/>
      <c r="E144" s="17"/>
      <c r="F144" s="54"/>
      <c r="G144" s="19"/>
      <c r="H144" s="17"/>
      <c r="I144" s="19"/>
      <c r="J144" s="21"/>
      <c r="K144" s="57"/>
      <c r="L144" s="24"/>
      <c r="M144" s="25"/>
      <c r="N144" s="25"/>
      <c r="O144" s="26"/>
      <c r="P144" s="26"/>
    </row>
    <row r="145">
      <c r="A145" s="52"/>
      <c r="B145" s="15"/>
      <c r="C145" s="16"/>
      <c r="D145" s="15"/>
      <c r="E145" s="17"/>
      <c r="F145" s="54"/>
      <c r="G145" s="19"/>
      <c r="H145" s="17"/>
      <c r="I145" s="19"/>
      <c r="J145" s="21"/>
      <c r="K145" s="57"/>
      <c r="L145" s="24"/>
      <c r="M145" s="25"/>
      <c r="N145" s="25"/>
      <c r="O145" s="26"/>
      <c r="P145" s="26"/>
    </row>
    <row r="146">
      <c r="A146" s="52"/>
      <c r="B146" s="15"/>
      <c r="C146" s="16"/>
      <c r="D146" s="15"/>
      <c r="E146" s="17"/>
      <c r="F146" s="54"/>
      <c r="G146" s="19"/>
      <c r="H146" s="17"/>
      <c r="I146" s="19"/>
      <c r="J146" s="21"/>
      <c r="K146" s="57"/>
      <c r="L146" s="24"/>
      <c r="M146" s="25"/>
      <c r="N146" s="25"/>
      <c r="O146" s="26"/>
      <c r="P146" s="26"/>
    </row>
    <row r="147">
      <c r="A147" s="52"/>
      <c r="B147" s="15"/>
      <c r="C147" s="16"/>
      <c r="D147" s="15"/>
      <c r="E147" s="17"/>
      <c r="F147" s="54"/>
      <c r="G147" s="19"/>
      <c r="H147" s="17"/>
      <c r="I147" s="19"/>
      <c r="J147" s="21"/>
      <c r="K147" s="57"/>
      <c r="L147" s="24"/>
      <c r="M147" s="25"/>
      <c r="N147" s="25"/>
      <c r="O147" s="26"/>
      <c r="P147" s="26"/>
    </row>
    <row r="148">
      <c r="A148" s="52"/>
      <c r="B148" s="15"/>
      <c r="C148" s="16"/>
      <c r="D148" s="15"/>
      <c r="E148" s="17"/>
      <c r="F148" s="54"/>
      <c r="G148" s="19"/>
      <c r="H148" s="17"/>
      <c r="I148" s="19"/>
      <c r="J148" s="21"/>
      <c r="K148" s="57"/>
      <c r="L148" s="24"/>
      <c r="M148" s="25"/>
      <c r="N148" s="25"/>
      <c r="O148" s="26"/>
      <c r="P148" s="26"/>
    </row>
    <row r="149">
      <c r="A149" s="52"/>
      <c r="B149" s="15"/>
      <c r="C149" s="16"/>
      <c r="D149" s="15"/>
      <c r="E149" s="17"/>
      <c r="F149" s="54"/>
      <c r="G149" s="19"/>
      <c r="H149" s="17"/>
      <c r="I149" s="19"/>
      <c r="J149" s="21"/>
      <c r="K149" s="57"/>
      <c r="L149" s="24"/>
      <c r="M149" s="25"/>
      <c r="N149" s="25"/>
      <c r="O149" s="26"/>
      <c r="P149" s="26"/>
    </row>
    <row r="150">
      <c r="A150" s="52"/>
      <c r="B150" s="15"/>
      <c r="C150" s="16"/>
      <c r="D150" s="15"/>
      <c r="E150" s="17"/>
      <c r="F150" s="54"/>
      <c r="G150" s="19"/>
      <c r="H150" s="17"/>
      <c r="I150" s="19"/>
      <c r="J150" s="21"/>
      <c r="K150" s="57"/>
      <c r="L150" s="24"/>
      <c r="M150" s="25"/>
      <c r="N150" s="25"/>
      <c r="O150" s="26"/>
      <c r="P150" s="26"/>
    </row>
    <row r="151">
      <c r="A151" s="52"/>
      <c r="B151" s="15"/>
      <c r="C151" s="16"/>
      <c r="D151" s="15"/>
      <c r="E151" s="17"/>
      <c r="F151" s="54"/>
      <c r="G151" s="19"/>
      <c r="H151" s="17"/>
      <c r="I151" s="19"/>
      <c r="J151" s="21"/>
      <c r="K151" s="57"/>
      <c r="L151" s="24"/>
      <c r="M151" s="25"/>
      <c r="N151" s="25"/>
      <c r="O151" s="26"/>
      <c r="P151" s="26"/>
    </row>
    <row r="152">
      <c r="A152" s="52"/>
      <c r="B152" s="15"/>
      <c r="C152" s="16"/>
      <c r="D152" s="15"/>
      <c r="E152" s="17"/>
      <c r="F152" s="54"/>
      <c r="G152" s="19"/>
      <c r="H152" s="17"/>
      <c r="I152" s="19"/>
      <c r="J152" s="21"/>
      <c r="K152" s="57"/>
      <c r="L152" s="24"/>
      <c r="M152" s="25"/>
      <c r="N152" s="25"/>
      <c r="O152" s="26"/>
      <c r="P152" s="26"/>
    </row>
    <row r="153">
      <c r="A153" s="52"/>
      <c r="B153" s="15"/>
      <c r="C153" s="16"/>
      <c r="D153" s="15"/>
      <c r="E153" s="17"/>
      <c r="F153" s="54"/>
      <c r="G153" s="19"/>
      <c r="H153" s="17"/>
      <c r="I153" s="19"/>
      <c r="J153" s="21"/>
      <c r="K153" s="57"/>
      <c r="L153" s="24"/>
      <c r="M153" s="25"/>
      <c r="N153" s="25"/>
      <c r="O153" s="26"/>
      <c r="P153" s="26"/>
    </row>
    <row r="154">
      <c r="A154" s="52"/>
      <c r="B154" s="15"/>
      <c r="C154" s="16"/>
      <c r="D154" s="15"/>
      <c r="E154" s="17"/>
      <c r="F154" s="54"/>
      <c r="G154" s="19"/>
      <c r="H154" s="17"/>
      <c r="I154" s="19"/>
      <c r="J154" s="21"/>
      <c r="K154" s="57"/>
      <c r="L154" s="24"/>
      <c r="M154" s="25"/>
      <c r="N154" s="25"/>
      <c r="O154" s="26"/>
      <c r="P154" s="26"/>
    </row>
    <row r="155">
      <c r="A155" s="52"/>
      <c r="B155" s="15"/>
      <c r="C155" s="16"/>
      <c r="D155" s="15"/>
      <c r="E155" s="17"/>
      <c r="F155" s="54"/>
      <c r="G155" s="19"/>
      <c r="H155" s="17"/>
      <c r="I155" s="19"/>
      <c r="J155" s="21"/>
      <c r="K155" s="57"/>
      <c r="L155" s="24"/>
      <c r="M155" s="25"/>
      <c r="N155" s="25"/>
      <c r="O155" s="26"/>
      <c r="P155" s="26"/>
    </row>
    <row r="156">
      <c r="A156" s="52"/>
      <c r="B156" s="15"/>
      <c r="C156" s="16"/>
      <c r="D156" s="15"/>
      <c r="E156" s="17"/>
      <c r="F156" s="54"/>
      <c r="G156" s="19"/>
      <c r="H156" s="17"/>
      <c r="I156" s="19"/>
      <c r="J156" s="21"/>
      <c r="K156" s="57"/>
      <c r="L156" s="24"/>
      <c r="M156" s="25"/>
      <c r="N156" s="25"/>
      <c r="O156" s="26"/>
      <c r="P156" s="26"/>
    </row>
    <row r="157">
      <c r="A157" s="52"/>
      <c r="B157" s="15"/>
      <c r="C157" s="16"/>
      <c r="D157" s="15"/>
      <c r="E157" s="17"/>
      <c r="F157" s="18"/>
      <c r="G157" s="19"/>
      <c r="H157" s="17"/>
      <c r="I157" s="19"/>
      <c r="J157" s="21"/>
      <c r="K157" s="57"/>
      <c r="L157" s="24"/>
      <c r="M157" s="25"/>
      <c r="N157" s="25"/>
      <c r="O157" s="26"/>
      <c r="P157" s="26"/>
    </row>
    <row r="158">
      <c r="A158" s="52"/>
      <c r="B158" s="15"/>
      <c r="C158" s="16"/>
      <c r="D158" s="15"/>
      <c r="E158" s="17"/>
      <c r="F158" s="54"/>
      <c r="G158" s="19"/>
      <c r="H158" s="17"/>
      <c r="I158" s="19"/>
      <c r="J158" s="21"/>
      <c r="K158" s="57"/>
      <c r="L158" s="24"/>
      <c r="M158" s="25"/>
      <c r="N158" s="25"/>
      <c r="O158" s="26"/>
      <c r="P158" s="26"/>
    </row>
    <row r="159">
      <c r="A159" s="52"/>
      <c r="B159" s="15"/>
      <c r="C159" s="16"/>
      <c r="D159" s="15"/>
      <c r="E159" s="17"/>
      <c r="F159" s="18"/>
      <c r="G159" s="19"/>
      <c r="H159" s="17"/>
      <c r="I159" s="19"/>
      <c r="J159" s="21"/>
      <c r="K159" s="57"/>
      <c r="L159" s="24"/>
      <c r="M159" s="25"/>
      <c r="N159" s="25"/>
      <c r="O159" s="26"/>
      <c r="P159" s="26"/>
    </row>
    <row r="160">
      <c r="A160" s="52"/>
      <c r="B160" s="15"/>
      <c r="C160" s="16"/>
      <c r="D160" s="15"/>
      <c r="E160" s="17"/>
      <c r="F160" s="54"/>
      <c r="G160" s="19"/>
      <c r="H160" s="17"/>
      <c r="I160" s="19"/>
      <c r="J160" s="21"/>
      <c r="K160" s="57"/>
      <c r="L160" s="24"/>
      <c r="M160" s="25"/>
      <c r="N160" s="25"/>
      <c r="O160" s="26"/>
      <c r="P160" s="26"/>
    </row>
    <row r="161">
      <c r="A161" s="52"/>
      <c r="B161" s="15"/>
      <c r="C161" s="16"/>
      <c r="D161" s="15"/>
      <c r="E161" s="17"/>
      <c r="F161" s="54"/>
      <c r="G161" s="19"/>
      <c r="H161" s="17"/>
      <c r="I161" s="19"/>
      <c r="J161" s="21"/>
      <c r="K161" s="57"/>
      <c r="L161" s="24"/>
      <c r="M161" s="25"/>
      <c r="N161" s="25"/>
      <c r="O161" s="26"/>
      <c r="P161" s="26"/>
    </row>
    <row r="162">
      <c r="A162" s="52"/>
      <c r="B162" s="15"/>
      <c r="C162" s="16"/>
      <c r="D162" s="15"/>
      <c r="E162" s="17"/>
      <c r="F162" s="54"/>
      <c r="G162" s="19"/>
      <c r="H162" s="17"/>
      <c r="I162" s="19"/>
      <c r="J162" s="21"/>
      <c r="K162" s="57"/>
      <c r="L162" s="24"/>
      <c r="M162" s="25"/>
      <c r="N162" s="25"/>
      <c r="O162" s="26"/>
      <c r="P162" s="26"/>
    </row>
    <row r="163">
      <c r="A163" s="52"/>
      <c r="B163" s="15"/>
      <c r="C163" s="16"/>
      <c r="D163" s="15"/>
      <c r="E163" s="17"/>
      <c r="F163" s="54"/>
      <c r="G163" s="19"/>
      <c r="H163" s="17"/>
      <c r="I163" s="19"/>
      <c r="J163" s="21"/>
      <c r="K163" s="57"/>
      <c r="L163" s="24"/>
      <c r="M163" s="25"/>
      <c r="N163" s="25"/>
      <c r="O163" s="26"/>
      <c r="P163" s="26"/>
    </row>
    <row r="164">
      <c r="A164" s="52"/>
      <c r="B164" s="15"/>
      <c r="C164" s="16"/>
      <c r="D164" s="15"/>
      <c r="E164" s="17"/>
      <c r="F164" s="54"/>
      <c r="G164" s="19"/>
      <c r="H164" s="17"/>
      <c r="I164" s="19"/>
      <c r="J164" s="21"/>
      <c r="K164" s="57"/>
      <c r="L164" s="24"/>
      <c r="M164" s="25"/>
      <c r="N164" s="25"/>
      <c r="O164" s="26"/>
      <c r="P164" s="26"/>
    </row>
    <row r="165">
      <c r="A165" s="52"/>
      <c r="B165" s="15"/>
      <c r="C165" s="16"/>
      <c r="D165" s="15"/>
      <c r="E165" s="17"/>
      <c r="F165" s="54"/>
      <c r="G165" s="19"/>
      <c r="H165" s="17"/>
      <c r="I165" s="19"/>
      <c r="J165" s="21"/>
      <c r="K165" s="57"/>
      <c r="L165" s="24"/>
      <c r="M165" s="25"/>
      <c r="N165" s="25"/>
      <c r="O165" s="26"/>
      <c r="P165" s="26"/>
    </row>
    <row r="166">
      <c r="A166" s="52"/>
      <c r="B166" s="15"/>
      <c r="C166" s="16"/>
      <c r="D166" s="15"/>
      <c r="E166" s="17"/>
      <c r="F166" s="54"/>
      <c r="G166" s="19"/>
      <c r="H166" s="17"/>
      <c r="I166" s="19"/>
      <c r="J166" s="21"/>
      <c r="K166" s="57"/>
      <c r="L166" s="24"/>
      <c r="M166" s="25"/>
      <c r="N166" s="25"/>
      <c r="O166" s="26"/>
      <c r="P166" s="26"/>
    </row>
    <row r="167">
      <c r="A167" s="52"/>
      <c r="B167" s="15"/>
      <c r="C167" s="16"/>
      <c r="D167" s="15"/>
      <c r="E167" s="17"/>
      <c r="F167" s="54"/>
      <c r="G167" s="19"/>
      <c r="H167" s="17"/>
      <c r="I167" s="19"/>
      <c r="J167" s="21"/>
      <c r="K167" s="57"/>
      <c r="L167" s="24"/>
      <c r="M167" s="25"/>
      <c r="N167" s="25"/>
      <c r="O167" s="26"/>
      <c r="P167" s="26"/>
    </row>
    <row r="168">
      <c r="A168" s="52"/>
      <c r="B168" s="15"/>
      <c r="C168" s="16"/>
      <c r="D168" s="15"/>
      <c r="E168" s="17"/>
      <c r="F168" s="54"/>
      <c r="G168" s="19"/>
      <c r="H168" s="17"/>
      <c r="I168" s="19"/>
      <c r="J168" s="21"/>
      <c r="K168" s="57"/>
      <c r="L168" s="24"/>
      <c r="M168" s="25"/>
      <c r="N168" s="25"/>
      <c r="O168" s="26"/>
      <c r="P168" s="26"/>
    </row>
    <row r="169">
      <c r="A169" s="52"/>
      <c r="B169" s="15"/>
      <c r="C169" s="16"/>
      <c r="D169" s="15"/>
      <c r="E169" s="17"/>
      <c r="F169" s="54"/>
      <c r="G169" s="19"/>
      <c r="H169" s="17"/>
      <c r="I169" s="19"/>
      <c r="J169" s="21"/>
      <c r="K169" s="57"/>
      <c r="L169" s="24"/>
      <c r="M169" s="25"/>
      <c r="N169" s="25"/>
      <c r="O169" s="26"/>
      <c r="P169" s="26"/>
    </row>
    <row r="170">
      <c r="A170" s="52"/>
      <c r="B170" s="15"/>
      <c r="C170" s="16"/>
      <c r="D170" s="15"/>
      <c r="E170" s="17"/>
      <c r="F170" s="54"/>
      <c r="G170" s="19"/>
      <c r="H170" s="17"/>
      <c r="I170" s="19"/>
      <c r="J170" s="21"/>
      <c r="K170" s="57"/>
      <c r="L170" s="24"/>
      <c r="M170" s="25"/>
      <c r="N170" s="25"/>
      <c r="O170" s="26"/>
      <c r="P170" s="26"/>
    </row>
    <row r="171">
      <c r="A171" s="52"/>
      <c r="B171" s="15"/>
      <c r="C171" s="16"/>
      <c r="D171" s="15"/>
      <c r="E171" s="17"/>
      <c r="F171" s="54"/>
      <c r="G171" s="19"/>
      <c r="H171" s="17"/>
      <c r="I171" s="19"/>
      <c r="J171" s="21"/>
      <c r="K171" s="57"/>
      <c r="L171" s="24"/>
      <c r="M171" s="25"/>
      <c r="N171" s="25"/>
      <c r="O171" s="26"/>
      <c r="P171" s="26"/>
    </row>
    <row r="172">
      <c r="A172" s="52"/>
      <c r="B172" s="15"/>
      <c r="C172" s="16"/>
      <c r="D172" s="15"/>
      <c r="E172" s="17"/>
      <c r="F172" s="54"/>
      <c r="G172" s="19"/>
      <c r="H172" s="17"/>
      <c r="I172" s="19"/>
      <c r="J172" s="21"/>
      <c r="K172" s="57"/>
      <c r="L172" s="24"/>
      <c r="M172" s="25"/>
      <c r="N172" s="25"/>
      <c r="O172" s="26"/>
      <c r="P172" s="26"/>
    </row>
    <row r="173">
      <c r="A173" s="52"/>
      <c r="B173" s="15"/>
      <c r="C173" s="16"/>
      <c r="D173" s="15"/>
      <c r="E173" s="17"/>
      <c r="F173" s="71"/>
      <c r="G173" s="19"/>
      <c r="H173" s="17"/>
      <c r="I173" s="19"/>
      <c r="J173" s="21"/>
      <c r="K173" s="57"/>
      <c r="L173" s="24"/>
      <c r="M173" s="25"/>
      <c r="N173" s="25"/>
      <c r="O173" s="26"/>
      <c r="P173" s="26"/>
    </row>
    <row r="174">
      <c r="A174" s="52"/>
      <c r="B174" s="15"/>
      <c r="C174" s="16"/>
      <c r="D174" s="15"/>
      <c r="E174" s="17"/>
      <c r="F174" s="71"/>
      <c r="G174" s="19"/>
      <c r="H174" s="17"/>
      <c r="I174" s="19"/>
      <c r="J174" s="21"/>
      <c r="K174" s="57"/>
      <c r="L174" s="24"/>
      <c r="M174" s="25"/>
      <c r="N174" s="25"/>
      <c r="O174" s="26"/>
      <c r="P174" s="26"/>
    </row>
    <row r="175">
      <c r="A175" s="52"/>
      <c r="B175" s="15"/>
      <c r="C175" s="16"/>
      <c r="D175" s="15"/>
      <c r="E175" s="17"/>
      <c r="F175" s="54"/>
      <c r="G175" s="19"/>
      <c r="H175" s="17"/>
      <c r="I175" s="19"/>
      <c r="J175" s="21"/>
      <c r="K175" s="57"/>
      <c r="L175" s="24"/>
      <c r="M175" s="25"/>
      <c r="N175" s="25"/>
      <c r="O175" s="26"/>
      <c r="P175" s="26"/>
    </row>
    <row r="176">
      <c r="A176" s="52"/>
      <c r="B176" s="15"/>
      <c r="C176" s="16"/>
      <c r="D176" s="15"/>
      <c r="E176" s="17"/>
      <c r="F176" s="54"/>
      <c r="G176" s="19"/>
      <c r="H176" s="17"/>
      <c r="I176" s="19"/>
      <c r="J176" s="21"/>
      <c r="K176" s="57"/>
      <c r="L176" s="24"/>
      <c r="M176" s="25"/>
      <c r="N176" s="25"/>
      <c r="O176" s="26"/>
      <c r="P176" s="26"/>
    </row>
    <row r="177">
      <c r="A177" s="52"/>
      <c r="B177" s="15"/>
      <c r="C177" s="16"/>
      <c r="D177" s="15"/>
      <c r="E177" s="17"/>
      <c r="F177" s="54"/>
      <c r="G177" s="19"/>
      <c r="H177" s="17"/>
      <c r="I177" s="19"/>
      <c r="J177" s="21"/>
      <c r="K177" s="57"/>
      <c r="L177" s="24"/>
      <c r="M177" s="25"/>
      <c r="N177" s="25"/>
      <c r="O177" s="26"/>
      <c r="P177" s="26"/>
    </row>
    <row r="178">
      <c r="A178" s="52"/>
      <c r="B178" s="15"/>
      <c r="C178" s="16"/>
      <c r="D178" s="15"/>
      <c r="E178" s="17"/>
      <c r="F178" s="54"/>
      <c r="G178" s="19"/>
      <c r="H178" s="17"/>
      <c r="I178" s="19"/>
      <c r="J178" s="21"/>
      <c r="K178" s="57"/>
      <c r="L178" s="24"/>
      <c r="M178" s="25"/>
      <c r="N178" s="25"/>
      <c r="O178" s="26"/>
      <c r="P178" s="26"/>
    </row>
    <row r="179">
      <c r="A179" s="52"/>
      <c r="B179" s="15"/>
      <c r="C179" s="16"/>
      <c r="D179" s="15"/>
      <c r="E179" s="17"/>
      <c r="F179" s="54"/>
      <c r="G179" s="19"/>
      <c r="H179" s="17"/>
      <c r="I179" s="19"/>
      <c r="J179" s="21"/>
      <c r="K179" s="57"/>
      <c r="L179" s="24"/>
      <c r="M179" s="25"/>
      <c r="N179" s="25"/>
      <c r="O179" s="26"/>
      <c r="P179" s="26"/>
    </row>
    <row r="180">
      <c r="A180" s="52"/>
      <c r="B180" s="15"/>
      <c r="C180" s="16"/>
      <c r="D180" s="15"/>
      <c r="E180" s="17"/>
      <c r="F180" s="54"/>
      <c r="G180" s="19"/>
      <c r="H180" s="17"/>
      <c r="I180" s="19"/>
      <c r="J180" s="21"/>
      <c r="K180" s="57"/>
      <c r="L180" s="24"/>
      <c r="M180" s="25"/>
      <c r="N180" s="25"/>
      <c r="O180" s="26"/>
      <c r="P180" s="26"/>
    </row>
    <row r="181">
      <c r="A181" s="52"/>
      <c r="B181" s="15"/>
      <c r="C181" s="16"/>
      <c r="D181" s="15"/>
      <c r="E181" s="17"/>
      <c r="F181" s="54"/>
      <c r="G181" s="19"/>
      <c r="H181" s="17"/>
      <c r="I181" s="19"/>
      <c r="J181" s="21"/>
      <c r="K181" s="57"/>
      <c r="L181" s="24"/>
      <c r="M181" s="25"/>
      <c r="N181" s="25"/>
      <c r="O181" s="26"/>
      <c r="P181" s="26"/>
    </row>
    <row r="182">
      <c r="A182" s="52"/>
      <c r="B182" s="15"/>
      <c r="C182" s="16"/>
      <c r="D182" s="15"/>
      <c r="E182" s="17"/>
      <c r="F182" s="54"/>
      <c r="G182" s="19"/>
      <c r="H182" s="17"/>
      <c r="I182" s="19"/>
      <c r="J182" s="21"/>
      <c r="K182" s="57"/>
      <c r="L182" s="24"/>
      <c r="M182" s="25"/>
      <c r="N182" s="25"/>
      <c r="O182" s="26"/>
      <c r="P182" s="26"/>
    </row>
    <row r="183">
      <c r="A183" s="52"/>
      <c r="B183" s="15"/>
      <c r="C183" s="16"/>
      <c r="D183" s="15"/>
      <c r="E183" s="17"/>
      <c r="F183" s="54"/>
      <c r="G183" s="19"/>
      <c r="H183" s="17"/>
      <c r="I183" s="19"/>
      <c r="J183" s="21"/>
      <c r="K183" s="57"/>
      <c r="L183" s="24"/>
      <c r="M183" s="25"/>
      <c r="N183" s="25"/>
      <c r="O183" s="26"/>
      <c r="P183" s="26"/>
    </row>
    <row r="184">
      <c r="A184" s="52"/>
      <c r="B184" s="15"/>
      <c r="C184" s="16"/>
      <c r="D184" s="15"/>
      <c r="E184" s="17"/>
      <c r="F184" s="54"/>
      <c r="G184" s="19"/>
      <c r="H184" s="17"/>
      <c r="I184" s="19"/>
      <c r="J184" s="21"/>
      <c r="K184" s="57"/>
      <c r="L184" s="24"/>
      <c r="M184" s="25"/>
      <c r="N184" s="25"/>
      <c r="O184" s="26"/>
      <c r="P184" s="26"/>
    </row>
    <row r="185">
      <c r="A185" s="52"/>
      <c r="B185" s="15"/>
      <c r="C185" s="16"/>
      <c r="D185" s="15"/>
      <c r="E185" s="17"/>
      <c r="F185" s="54"/>
      <c r="G185" s="19"/>
      <c r="H185" s="17"/>
      <c r="I185" s="19"/>
      <c r="J185" s="21"/>
      <c r="K185" s="57"/>
      <c r="L185" s="24"/>
      <c r="M185" s="25"/>
      <c r="N185" s="25"/>
      <c r="O185" s="26"/>
      <c r="P185" s="26"/>
    </row>
    <row r="186">
      <c r="A186" s="62"/>
      <c r="B186" s="15"/>
      <c r="C186" s="16"/>
      <c r="D186" s="15"/>
      <c r="E186" s="17"/>
      <c r="F186" s="71"/>
      <c r="G186" s="19"/>
      <c r="H186" s="17"/>
      <c r="I186" s="19"/>
      <c r="J186" s="21"/>
      <c r="K186" s="57"/>
      <c r="L186" s="24"/>
      <c r="M186" s="25"/>
      <c r="N186" s="25"/>
      <c r="O186" s="26"/>
      <c r="P186" s="26"/>
    </row>
    <row r="187">
      <c r="A187" s="52"/>
      <c r="B187" s="15"/>
      <c r="C187" s="16"/>
      <c r="D187" s="15"/>
      <c r="E187" s="17"/>
      <c r="F187" s="54"/>
      <c r="G187" s="19"/>
      <c r="H187" s="17"/>
      <c r="I187" s="19"/>
      <c r="J187" s="21"/>
      <c r="K187" s="57"/>
      <c r="L187" s="24"/>
      <c r="M187" s="25"/>
      <c r="N187" s="25"/>
      <c r="O187" s="26"/>
      <c r="P187" s="26"/>
    </row>
    <row r="188">
      <c r="A188" s="52"/>
      <c r="B188" s="15"/>
      <c r="C188" s="16"/>
      <c r="D188" s="15"/>
      <c r="E188" s="17"/>
      <c r="F188" s="54"/>
      <c r="G188" s="19"/>
      <c r="H188" s="17"/>
      <c r="I188" s="19"/>
      <c r="J188" s="21"/>
      <c r="K188" s="57"/>
      <c r="L188" s="24"/>
      <c r="M188" s="25"/>
      <c r="N188" s="25"/>
      <c r="O188" s="26"/>
      <c r="P188" s="26"/>
    </row>
    <row r="189">
      <c r="A189" s="52"/>
      <c r="B189" s="15"/>
      <c r="C189" s="16"/>
      <c r="D189" s="15"/>
      <c r="E189" s="17"/>
      <c r="F189" s="54"/>
      <c r="G189" s="19"/>
      <c r="H189" s="17"/>
      <c r="I189" s="19"/>
      <c r="J189" s="21"/>
      <c r="K189" s="57"/>
      <c r="L189" s="24"/>
      <c r="M189" s="25"/>
      <c r="N189" s="25"/>
      <c r="O189" s="26"/>
      <c r="P189" s="26"/>
    </row>
    <row r="190">
      <c r="A190" s="52"/>
      <c r="B190" s="15"/>
      <c r="C190" s="16"/>
      <c r="D190" s="15"/>
      <c r="E190" s="17"/>
      <c r="F190" s="54"/>
      <c r="G190" s="19"/>
      <c r="H190" s="17"/>
      <c r="I190" s="19"/>
      <c r="J190" s="21"/>
      <c r="K190" s="57"/>
      <c r="L190" s="24"/>
      <c r="M190" s="25"/>
      <c r="N190" s="25"/>
      <c r="O190" s="26"/>
      <c r="P190" s="26"/>
    </row>
    <row r="191">
      <c r="A191" s="52"/>
      <c r="B191" s="15"/>
      <c r="C191" s="16"/>
      <c r="D191" s="15"/>
      <c r="E191" s="17"/>
      <c r="F191" s="54"/>
      <c r="G191" s="19"/>
      <c r="H191" s="17"/>
      <c r="I191" s="19"/>
      <c r="J191" s="21"/>
      <c r="K191" s="57"/>
      <c r="L191" s="24"/>
      <c r="M191" s="25"/>
      <c r="N191" s="25"/>
      <c r="O191" s="26"/>
      <c r="P191" s="26"/>
    </row>
    <row r="192">
      <c r="A192" s="52"/>
      <c r="B192" s="15"/>
      <c r="C192" s="16"/>
      <c r="D192" s="15"/>
      <c r="E192" s="17"/>
      <c r="F192" s="54"/>
      <c r="G192" s="19"/>
      <c r="H192" s="17"/>
      <c r="I192" s="19"/>
      <c r="J192" s="21"/>
      <c r="K192" s="57"/>
      <c r="L192" s="24"/>
      <c r="M192" s="25"/>
      <c r="N192" s="25"/>
      <c r="O192" s="26"/>
      <c r="P192" s="26"/>
    </row>
    <row r="193">
      <c r="A193" s="52"/>
      <c r="B193" s="15"/>
      <c r="C193" s="16"/>
      <c r="D193" s="15"/>
      <c r="E193" s="17"/>
      <c r="F193" s="54"/>
      <c r="G193" s="19"/>
      <c r="H193" s="17"/>
      <c r="I193" s="19"/>
      <c r="J193" s="21"/>
      <c r="K193" s="57"/>
      <c r="L193" s="24"/>
      <c r="M193" s="25"/>
      <c r="N193" s="25"/>
      <c r="O193" s="26"/>
      <c r="P193" s="26"/>
    </row>
    <row r="194">
      <c r="A194" s="52"/>
      <c r="B194" s="15"/>
      <c r="C194" s="16"/>
      <c r="D194" s="15"/>
      <c r="E194" s="17"/>
      <c r="F194" s="54"/>
      <c r="G194" s="19"/>
      <c r="H194" s="17"/>
      <c r="I194" s="19"/>
      <c r="J194" s="21"/>
      <c r="K194" s="57"/>
      <c r="L194" s="24"/>
      <c r="M194" s="25"/>
      <c r="N194" s="25"/>
      <c r="O194" s="26"/>
      <c r="P194" s="26"/>
    </row>
    <row r="195">
      <c r="A195" s="52"/>
      <c r="B195" s="15"/>
      <c r="C195" s="16"/>
      <c r="D195" s="15"/>
      <c r="E195" s="17"/>
      <c r="F195" s="18"/>
      <c r="G195" s="19"/>
      <c r="H195" s="17"/>
      <c r="I195" s="19"/>
      <c r="J195" s="21"/>
      <c r="K195" s="57"/>
      <c r="L195" s="24"/>
      <c r="M195" s="25"/>
      <c r="N195" s="25"/>
      <c r="O195" s="26"/>
      <c r="P195" s="26"/>
    </row>
    <row r="196">
      <c r="A196" s="62"/>
      <c r="B196" s="15"/>
      <c r="C196" s="16"/>
      <c r="D196" s="15"/>
      <c r="E196" s="17"/>
      <c r="F196" s="71"/>
      <c r="G196" s="19"/>
      <c r="H196" s="17"/>
      <c r="I196" s="19"/>
      <c r="J196" s="21"/>
      <c r="K196" s="57"/>
      <c r="L196" s="24"/>
      <c r="M196" s="25"/>
      <c r="N196" s="25"/>
      <c r="O196" s="26"/>
      <c r="P196" s="26"/>
    </row>
    <row r="197">
      <c r="A197" s="52"/>
      <c r="B197" s="15"/>
      <c r="C197" s="16"/>
      <c r="D197" s="15"/>
      <c r="E197" s="17"/>
      <c r="F197" s="18"/>
      <c r="G197" s="19"/>
      <c r="H197" s="17"/>
      <c r="I197" s="19"/>
      <c r="J197" s="21"/>
      <c r="K197" s="57"/>
      <c r="L197" s="24"/>
      <c r="M197" s="25"/>
      <c r="N197" s="25"/>
      <c r="O197" s="26"/>
      <c r="P197" s="26"/>
    </row>
    <row r="198">
      <c r="A198" s="52"/>
      <c r="B198" s="15"/>
      <c r="C198" s="16"/>
      <c r="D198" s="15"/>
      <c r="E198" s="17"/>
      <c r="F198" s="54"/>
      <c r="G198" s="19"/>
      <c r="H198" s="17"/>
      <c r="I198" s="19"/>
      <c r="J198" s="21"/>
      <c r="K198" s="57"/>
      <c r="L198" s="24"/>
      <c r="M198" s="25"/>
      <c r="N198" s="25"/>
      <c r="O198" s="26"/>
      <c r="P198" s="26"/>
    </row>
    <row r="199">
      <c r="A199" s="52"/>
      <c r="B199" s="15"/>
      <c r="C199" s="16"/>
      <c r="D199" s="15"/>
      <c r="E199" s="17"/>
      <c r="F199" s="54"/>
      <c r="G199" s="19"/>
      <c r="H199" s="17"/>
      <c r="I199" s="19"/>
      <c r="J199" s="21"/>
      <c r="K199" s="57"/>
      <c r="L199" s="24"/>
      <c r="M199" s="25"/>
      <c r="N199" s="25"/>
      <c r="O199" s="26"/>
      <c r="P199" s="26"/>
    </row>
    <row r="200">
      <c r="A200" s="52"/>
      <c r="B200" s="15"/>
      <c r="C200" s="16"/>
      <c r="D200" s="15"/>
      <c r="E200" s="17"/>
      <c r="F200" s="54"/>
      <c r="G200" s="19"/>
      <c r="H200" s="17"/>
      <c r="I200" s="19"/>
      <c r="J200" s="21"/>
      <c r="K200" s="57"/>
      <c r="L200" s="24"/>
      <c r="M200" s="25"/>
      <c r="N200" s="25"/>
      <c r="O200" s="26"/>
      <c r="P200" s="26"/>
    </row>
    <row r="201">
      <c r="A201" s="52"/>
      <c r="B201" s="15"/>
      <c r="C201" s="16"/>
      <c r="D201" s="15"/>
      <c r="E201" s="17"/>
      <c r="F201" s="54"/>
      <c r="G201" s="19"/>
      <c r="H201" s="17"/>
      <c r="I201" s="19"/>
      <c r="J201" s="21"/>
      <c r="K201" s="57"/>
      <c r="L201" s="24"/>
      <c r="M201" s="25"/>
      <c r="N201" s="25"/>
      <c r="O201" s="26"/>
      <c r="P201" s="26"/>
    </row>
    <row r="202">
      <c r="A202" s="52"/>
      <c r="B202" s="15"/>
      <c r="C202" s="16"/>
      <c r="D202" s="15"/>
      <c r="E202" s="17"/>
      <c r="F202" s="54"/>
      <c r="G202" s="19"/>
      <c r="H202" s="17"/>
      <c r="I202" s="19"/>
      <c r="J202" s="21"/>
      <c r="K202" s="57"/>
      <c r="L202" s="24"/>
      <c r="M202" s="25"/>
      <c r="N202" s="25"/>
      <c r="O202" s="26"/>
      <c r="P202" s="26"/>
    </row>
    <row r="203">
      <c r="A203" s="52"/>
      <c r="B203" s="15"/>
      <c r="C203" s="16"/>
      <c r="D203" s="15"/>
      <c r="E203" s="17"/>
      <c r="F203" s="54"/>
      <c r="G203" s="19"/>
      <c r="H203" s="17"/>
      <c r="I203" s="19"/>
      <c r="J203" s="21"/>
      <c r="K203" s="57"/>
      <c r="L203" s="24"/>
      <c r="M203" s="25"/>
      <c r="N203" s="25"/>
      <c r="O203" s="26"/>
      <c r="P203" s="26"/>
    </row>
    <row r="204">
      <c r="A204" s="52"/>
      <c r="B204" s="15"/>
      <c r="C204" s="16"/>
      <c r="D204" s="15"/>
      <c r="E204" s="17"/>
      <c r="F204" s="54"/>
      <c r="G204" s="19"/>
      <c r="H204" s="17"/>
      <c r="I204" s="19"/>
      <c r="J204" s="21"/>
      <c r="K204" s="57"/>
      <c r="L204" s="24"/>
      <c r="M204" s="25"/>
      <c r="N204" s="25"/>
      <c r="O204" s="26"/>
      <c r="P204" s="26"/>
    </row>
    <row r="205">
      <c r="A205" s="52"/>
      <c r="B205" s="15"/>
      <c r="C205" s="16"/>
      <c r="D205" s="15"/>
      <c r="E205" s="17"/>
      <c r="F205" s="54"/>
      <c r="G205" s="19"/>
      <c r="H205" s="17"/>
      <c r="I205" s="19"/>
      <c r="J205" s="21"/>
      <c r="K205" s="57"/>
      <c r="L205" s="24"/>
      <c r="M205" s="25"/>
      <c r="N205" s="25"/>
      <c r="O205" s="26"/>
      <c r="P205" s="26"/>
    </row>
    <row r="206">
      <c r="A206" s="52"/>
      <c r="B206" s="15"/>
      <c r="C206" s="16"/>
      <c r="D206" s="15"/>
      <c r="E206" s="17"/>
      <c r="F206" s="54"/>
      <c r="G206" s="19"/>
      <c r="H206" s="17"/>
      <c r="I206" s="19"/>
      <c r="J206" s="21"/>
      <c r="K206" s="57"/>
      <c r="L206" s="24"/>
      <c r="M206" s="25"/>
      <c r="N206" s="25"/>
      <c r="O206" s="26"/>
      <c r="P206" s="26"/>
    </row>
    <row r="207">
      <c r="A207" s="52"/>
      <c r="B207" s="15"/>
      <c r="C207" s="16"/>
      <c r="D207" s="15"/>
      <c r="E207" s="17"/>
      <c r="F207" s="54"/>
      <c r="G207" s="19"/>
      <c r="H207" s="17"/>
      <c r="I207" s="19"/>
      <c r="J207" s="21"/>
      <c r="K207" s="57"/>
      <c r="L207" s="24"/>
      <c r="M207" s="25"/>
      <c r="N207" s="25"/>
      <c r="O207" s="26"/>
      <c r="P207" s="26"/>
    </row>
    <row r="208">
      <c r="A208" s="52"/>
      <c r="B208" s="15"/>
      <c r="C208" s="16"/>
      <c r="D208" s="15"/>
      <c r="E208" s="17"/>
      <c r="F208" s="54"/>
      <c r="G208" s="19"/>
      <c r="H208" s="17"/>
      <c r="I208" s="19"/>
      <c r="J208" s="21"/>
      <c r="K208" s="57"/>
      <c r="L208" s="24"/>
      <c r="M208" s="25"/>
      <c r="N208" s="25"/>
      <c r="O208" s="26"/>
      <c r="P208" s="26"/>
    </row>
    <row r="209">
      <c r="A209" s="52"/>
      <c r="B209" s="15"/>
      <c r="C209" s="16"/>
      <c r="D209" s="15"/>
      <c r="E209" s="17"/>
      <c r="F209" s="54"/>
      <c r="G209" s="19"/>
      <c r="H209" s="17"/>
      <c r="I209" s="19"/>
      <c r="J209" s="21"/>
      <c r="K209" s="57"/>
      <c r="L209" s="24"/>
      <c r="M209" s="25"/>
      <c r="N209" s="25"/>
      <c r="O209" s="26"/>
      <c r="P209" s="26"/>
    </row>
    <row r="210">
      <c r="A210" s="52"/>
      <c r="B210" s="15"/>
      <c r="C210" s="16"/>
      <c r="D210" s="15"/>
      <c r="E210" s="17"/>
      <c r="F210" s="54"/>
      <c r="G210" s="19"/>
      <c r="H210" s="17"/>
      <c r="I210" s="19"/>
      <c r="J210" s="21"/>
      <c r="K210" s="57"/>
      <c r="L210" s="24"/>
      <c r="M210" s="25"/>
      <c r="N210" s="25"/>
      <c r="O210" s="26"/>
      <c r="P210" s="26"/>
    </row>
    <row r="211">
      <c r="A211" s="52"/>
      <c r="B211" s="15"/>
      <c r="C211" s="16"/>
      <c r="D211" s="15"/>
      <c r="E211" s="17"/>
      <c r="F211" s="54"/>
      <c r="G211" s="19"/>
      <c r="H211" s="17"/>
      <c r="I211" s="19"/>
      <c r="J211" s="21"/>
      <c r="K211" s="57"/>
      <c r="L211" s="24"/>
      <c r="M211" s="25"/>
      <c r="N211" s="25"/>
      <c r="O211" s="26"/>
      <c r="P211" s="26"/>
    </row>
    <row r="212">
      <c r="A212" s="52"/>
      <c r="B212" s="15"/>
      <c r="C212" s="16"/>
      <c r="D212" s="15"/>
      <c r="E212" s="17"/>
      <c r="F212" s="54"/>
      <c r="G212" s="19"/>
      <c r="H212" s="17"/>
      <c r="I212" s="19"/>
      <c r="J212" s="21"/>
      <c r="K212" s="57"/>
      <c r="L212" s="24"/>
      <c r="M212" s="25"/>
      <c r="N212" s="25"/>
      <c r="O212" s="26"/>
      <c r="P212" s="26"/>
    </row>
    <row r="213">
      <c r="A213" s="52"/>
      <c r="B213" s="15"/>
      <c r="C213" s="16"/>
      <c r="D213" s="15"/>
      <c r="E213" s="17"/>
      <c r="F213" s="54"/>
      <c r="G213" s="19"/>
      <c r="H213" s="17"/>
      <c r="I213" s="19"/>
      <c r="J213" s="21"/>
      <c r="K213" s="57"/>
      <c r="L213" s="24"/>
      <c r="M213" s="25"/>
      <c r="N213" s="25"/>
      <c r="O213" s="26"/>
      <c r="P213" s="26"/>
    </row>
    <row r="214">
      <c r="A214" s="52"/>
      <c r="B214" s="15"/>
      <c r="C214" s="16"/>
      <c r="D214" s="15"/>
      <c r="E214" s="17"/>
      <c r="F214" s="54"/>
      <c r="G214" s="19"/>
      <c r="H214" s="17"/>
      <c r="I214" s="19"/>
      <c r="J214" s="21"/>
      <c r="K214" s="57"/>
      <c r="L214" s="24"/>
      <c r="M214" s="25"/>
      <c r="N214" s="25"/>
      <c r="O214" s="26"/>
      <c r="P214" s="26"/>
    </row>
    <row r="215">
      <c r="A215" s="52"/>
      <c r="B215" s="15"/>
      <c r="C215" s="16"/>
      <c r="D215" s="15"/>
      <c r="E215" s="17"/>
      <c r="F215" s="54"/>
      <c r="G215" s="19"/>
      <c r="H215" s="17"/>
      <c r="I215" s="19"/>
      <c r="J215" s="21"/>
      <c r="K215" s="57"/>
      <c r="L215" s="24"/>
      <c r="M215" s="25"/>
      <c r="N215" s="25"/>
      <c r="O215" s="26"/>
      <c r="P215" s="26"/>
    </row>
    <row r="216">
      <c r="A216" s="52"/>
      <c r="B216" s="15"/>
      <c r="C216" s="16"/>
      <c r="D216" s="15"/>
      <c r="E216" s="17"/>
      <c r="F216" s="54"/>
      <c r="G216" s="19"/>
      <c r="H216" s="17"/>
      <c r="I216" s="19"/>
      <c r="J216" s="21"/>
      <c r="K216" s="57"/>
      <c r="L216" s="24"/>
      <c r="M216" s="25"/>
      <c r="N216" s="25"/>
      <c r="O216" s="26"/>
      <c r="P216" s="26"/>
    </row>
    <row r="217">
      <c r="A217" s="52"/>
      <c r="B217" s="15"/>
      <c r="C217" s="16"/>
      <c r="D217" s="15"/>
      <c r="E217" s="17"/>
      <c r="F217" s="54"/>
      <c r="G217" s="19"/>
      <c r="H217" s="17"/>
      <c r="I217" s="19"/>
      <c r="J217" s="21"/>
      <c r="K217" s="57"/>
      <c r="L217" s="24"/>
      <c r="M217" s="25"/>
      <c r="N217" s="25"/>
      <c r="O217" s="26"/>
      <c r="P217" s="26"/>
    </row>
    <row r="218">
      <c r="A218" s="52"/>
      <c r="B218" s="15"/>
      <c r="C218" s="16"/>
      <c r="D218" s="15"/>
      <c r="E218" s="17"/>
      <c r="F218" s="54"/>
      <c r="G218" s="19"/>
      <c r="H218" s="17"/>
      <c r="I218" s="19"/>
      <c r="J218" s="21"/>
      <c r="K218" s="57"/>
      <c r="L218" s="24"/>
      <c r="M218" s="25"/>
      <c r="N218" s="25"/>
      <c r="O218" s="26"/>
      <c r="P218" s="26"/>
    </row>
    <row r="219">
      <c r="A219" s="52"/>
      <c r="B219" s="15"/>
      <c r="C219" s="16"/>
      <c r="D219" s="15"/>
      <c r="E219" s="17"/>
      <c r="F219" s="54"/>
      <c r="G219" s="19"/>
      <c r="H219" s="17"/>
      <c r="I219" s="19"/>
      <c r="J219" s="21"/>
      <c r="K219" s="57"/>
      <c r="L219" s="24"/>
      <c r="M219" s="25"/>
      <c r="N219" s="25"/>
      <c r="O219" s="26"/>
      <c r="P219" s="26"/>
    </row>
    <row r="220">
      <c r="A220" s="52"/>
      <c r="B220" s="15"/>
      <c r="C220" s="16"/>
      <c r="D220" s="15"/>
      <c r="E220" s="17"/>
      <c r="F220" s="54"/>
      <c r="G220" s="19"/>
      <c r="H220" s="17"/>
      <c r="I220" s="19"/>
      <c r="J220" s="21"/>
      <c r="K220" s="57"/>
      <c r="L220" s="24"/>
      <c r="M220" s="25"/>
      <c r="N220" s="25"/>
      <c r="O220" s="26"/>
      <c r="P220" s="26"/>
    </row>
    <row r="221">
      <c r="A221" s="52"/>
      <c r="B221" s="15"/>
      <c r="C221" s="16"/>
      <c r="D221" s="15"/>
      <c r="E221" s="17"/>
      <c r="F221" s="54"/>
      <c r="G221" s="19"/>
      <c r="H221" s="17"/>
      <c r="I221" s="19"/>
      <c r="J221" s="21"/>
      <c r="K221" s="57"/>
      <c r="L221" s="24"/>
      <c r="M221" s="25"/>
      <c r="N221" s="25"/>
      <c r="O221" s="26"/>
      <c r="P221" s="26"/>
    </row>
    <row r="222">
      <c r="A222" s="52"/>
      <c r="B222" s="15"/>
      <c r="C222" s="16"/>
      <c r="D222" s="15"/>
      <c r="E222" s="17"/>
      <c r="F222" s="54"/>
      <c r="G222" s="19"/>
      <c r="H222" s="17"/>
      <c r="I222" s="19"/>
      <c r="J222" s="21"/>
      <c r="K222" s="57"/>
      <c r="L222" s="24"/>
      <c r="M222" s="25"/>
      <c r="N222" s="25"/>
      <c r="O222" s="26"/>
      <c r="P222" s="26"/>
    </row>
    <row r="223">
      <c r="A223" s="52"/>
      <c r="B223" s="15"/>
      <c r="C223" s="16"/>
      <c r="D223" s="15"/>
      <c r="E223" s="17"/>
      <c r="F223" s="54"/>
      <c r="G223" s="19"/>
      <c r="H223" s="17"/>
      <c r="I223" s="19"/>
      <c r="J223" s="21"/>
      <c r="K223" s="57"/>
      <c r="L223" s="24"/>
      <c r="M223" s="25"/>
      <c r="N223" s="25"/>
      <c r="O223" s="26"/>
      <c r="P223" s="26"/>
    </row>
    <row r="224">
      <c r="A224" s="52"/>
      <c r="B224" s="15"/>
      <c r="C224" s="16"/>
      <c r="D224" s="15"/>
      <c r="E224" s="17"/>
      <c r="F224" s="54"/>
      <c r="G224" s="19"/>
      <c r="H224" s="17"/>
      <c r="I224" s="19"/>
      <c r="J224" s="21"/>
      <c r="K224" s="57"/>
      <c r="L224" s="24"/>
      <c r="M224" s="25"/>
      <c r="N224" s="25"/>
      <c r="O224" s="26"/>
      <c r="P224" s="26"/>
    </row>
    <row r="225">
      <c r="A225" s="52"/>
      <c r="B225" s="15"/>
      <c r="C225" s="16"/>
      <c r="D225" s="15"/>
      <c r="E225" s="17"/>
      <c r="F225" s="54"/>
      <c r="G225" s="19"/>
      <c r="H225" s="17"/>
      <c r="I225" s="19"/>
      <c r="J225" s="21"/>
      <c r="K225" s="57"/>
      <c r="L225" s="24"/>
      <c r="M225" s="25"/>
      <c r="N225" s="25"/>
      <c r="O225" s="26"/>
      <c r="P225" s="26"/>
    </row>
    <row r="226">
      <c r="A226" s="52"/>
      <c r="B226" s="15"/>
      <c r="C226" s="16"/>
      <c r="D226" s="15"/>
      <c r="E226" s="17"/>
      <c r="F226" s="18"/>
      <c r="G226" s="19"/>
      <c r="H226" s="17"/>
      <c r="I226" s="19"/>
      <c r="J226" s="21"/>
      <c r="K226" s="57"/>
      <c r="L226" s="24"/>
      <c r="M226" s="25"/>
      <c r="N226" s="25"/>
      <c r="O226" s="26"/>
      <c r="P226" s="26"/>
    </row>
    <row r="227">
      <c r="A227" s="52"/>
      <c r="B227" s="15"/>
      <c r="C227" s="16"/>
      <c r="D227" s="15"/>
      <c r="E227" s="17"/>
      <c r="F227" s="54"/>
      <c r="G227" s="19"/>
      <c r="H227" s="17"/>
      <c r="I227" s="19"/>
      <c r="J227" s="21"/>
      <c r="K227" s="57"/>
      <c r="L227" s="24"/>
      <c r="M227" s="25"/>
      <c r="N227" s="25"/>
      <c r="O227" s="26"/>
      <c r="P227" s="26"/>
    </row>
    <row r="228">
      <c r="A228" s="52"/>
      <c r="B228" s="15"/>
      <c r="C228" s="16"/>
      <c r="D228" s="15"/>
      <c r="E228" s="17"/>
      <c r="F228" s="54"/>
      <c r="G228" s="19"/>
      <c r="H228" s="17"/>
      <c r="I228" s="19"/>
      <c r="J228" s="21"/>
      <c r="K228" s="57"/>
      <c r="L228" s="24"/>
      <c r="M228" s="25"/>
      <c r="N228" s="25"/>
      <c r="O228" s="26"/>
      <c r="P228" s="26"/>
    </row>
    <row r="229">
      <c r="A229" s="52"/>
      <c r="B229" s="15"/>
      <c r="C229" s="16"/>
      <c r="D229" s="15"/>
      <c r="E229" s="17"/>
      <c r="F229" s="54"/>
      <c r="G229" s="19"/>
      <c r="H229" s="17"/>
      <c r="I229" s="19"/>
      <c r="J229" s="21"/>
      <c r="K229" s="57"/>
      <c r="L229" s="24"/>
      <c r="M229" s="25"/>
      <c r="N229" s="25"/>
      <c r="O229" s="26"/>
      <c r="P229" s="26"/>
    </row>
    <row r="230">
      <c r="A230" s="52"/>
      <c r="B230" s="15"/>
      <c r="C230" s="16"/>
      <c r="D230" s="15"/>
      <c r="E230" s="17"/>
      <c r="F230" s="54"/>
      <c r="G230" s="19"/>
      <c r="H230" s="17"/>
      <c r="I230" s="19"/>
      <c r="J230" s="21"/>
      <c r="K230" s="57"/>
      <c r="L230" s="24"/>
      <c r="M230" s="25"/>
      <c r="N230" s="25"/>
      <c r="O230" s="26"/>
      <c r="P230" s="26"/>
    </row>
    <row r="231">
      <c r="A231" s="52"/>
      <c r="B231" s="15"/>
      <c r="C231" s="16"/>
      <c r="D231" s="15"/>
      <c r="E231" s="17"/>
      <c r="F231" s="54"/>
      <c r="G231" s="19"/>
      <c r="H231" s="17"/>
      <c r="I231" s="19"/>
      <c r="J231" s="21"/>
      <c r="K231" s="57"/>
      <c r="L231" s="24"/>
      <c r="M231" s="25"/>
      <c r="N231" s="25"/>
      <c r="O231" s="26"/>
      <c r="P231" s="26"/>
    </row>
    <row r="232">
      <c r="A232" s="52"/>
      <c r="B232" s="15"/>
      <c r="C232" s="16"/>
      <c r="D232" s="15"/>
      <c r="E232" s="17"/>
      <c r="F232" s="54"/>
      <c r="G232" s="19"/>
      <c r="H232" s="17"/>
      <c r="I232" s="19"/>
      <c r="J232" s="21"/>
      <c r="K232" s="57"/>
      <c r="L232" s="24"/>
      <c r="M232" s="25"/>
      <c r="N232" s="25"/>
      <c r="O232" s="26"/>
      <c r="P232" s="26"/>
    </row>
    <row r="233">
      <c r="A233" s="52"/>
      <c r="B233" s="15"/>
      <c r="C233" s="16"/>
      <c r="D233" s="15"/>
      <c r="E233" s="17"/>
      <c r="F233" s="54"/>
      <c r="G233" s="19"/>
      <c r="H233" s="17"/>
      <c r="I233" s="19"/>
      <c r="J233" s="21"/>
      <c r="K233" s="57"/>
      <c r="L233" s="24"/>
      <c r="M233" s="25"/>
      <c r="N233" s="25"/>
      <c r="O233" s="26"/>
      <c r="P233" s="26"/>
    </row>
    <row r="234">
      <c r="A234" s="52"/>
      <c r="B234" s="15"/>
      <c r="C234" s="16"/>
      <c r="D234" s="15"/>
      <c r="E234" s="17"/>
      <c r="F234" s="54"/>
      <c r="G234" s="19"/>
      <c r="H234" s="17"/>
      <c r="I234" s="19"/>
      <c r="J234" s="21"/>
      <c r="K234" s="57"/>
      <c r="L234" s="24"/>
      <c r="M234" s="25"/>
      <c r="N234" s="25"/>
      <c r="O234" s="26"/>
      <c r="P234" s="26"/>
    </row>
    <row r="235">
      <c r="A235" s="52"/>
      <c r="B235" s="15"/>
      <c r="C235" s="16"/>
      <c r="D235" s="15"/>
      <c r="E235" s="17"/>
      <c r="F235" s="54"/>
      <c r="G235" s="19"/>
      <c r="H235" s="17"/>
      <c r="I235" s="19"/>
      <c r="J235" s="21"/>
      <c r="K235" s="57"/>
      <c r="L235" s="24"/>
      <c r="M235" s="25"/>
      <c r="N235" s="25"/>
      <c r="O235" s="26"/>
      <c r="P235" s="26"/>
    </row>
    <row r="236">
      <c r="A236" s="52"/>
      <c r="B236" s="15"/>
      <c r="C236" s="16"/>
      <c r="D236" s="15"/>
      <c r="E236" s="17"/>
      <c r="F236" s="54"/>
      <c r="G236" s="19"/>
      <c r="H236" s="17"/>
      <c r="I236" s="19"/>
      <c r="J236" s="21"/>
      <c r="K236" s="57"/>
      <c r="L236" s="24"/>
      <c r="M236" s="25"/>
      <c r="N236" s="25"/>
      <c r="O236" s="26"/>
      <c r="P236" s="26"/>
    </row>
    <row r="237">
      <c r="A237" s="52"/>
      <c r="B237" s="15"/>
      <c r="C237" s="16"/>
      <c r="D237" s="15"/>
      <c r="E237" s="17"/>
      <c r="F237" s="54"/>
      <c r="G237" s="19"/>
      <c r="H237" s="17"/>
      <c r="I237" s="19"/>
      <c r="J237" s="21"/>
      <c r="K237" s="57"/>
      <c r="L237" s="24"/>
      <c r="M237" s="25"/>
      <c r="N237" s="25"/>
      <c r="O237" s="26"/>
      <c r="P237" s="26"/>
    </row>
    <row r="238">
      <c r="A238" s="52"/>
      <c r="B238" s="15"/>
      <c r="C238" s="16"/>
      <c r="D238" s="15"/>
      <c r="E238" s="17"/>
      <c r="F238" s="54"/>
      <c r="G238" s="19"/>
      <c r="H238" s="17"/>
      <c r="I238" s="19"/>
      <c r="J238" s="21"/>
      <c r="K238" s="57"/>
      <c r="L238" s="24"/>
      <c r="M238" s="25"/>
      <c r="N238" s="25"/>
      <c r="O238" s="26"/>
      <c r="P238" s="26"/>
    </row>
    <row r="239">
      <c r="A239" s="52"/>
      <c r="B239" s="15"/>
      <c r="C239" s="16"/>
      <c r="D239" s="15"/>
      <c r="E239" s="17"/>
      <c r="F239" s="54"/>
      <c r="G239" s="19"/>
      <c r="H239" s="17"/>
      <c r="I239" s="19"/>
      <c r="J239" s="21"/>
      <c r="K239" s="57"/>
      <c r="L239" s="24"/>
      <c r="M239" s="25"/>
      <c r="N239" s="25"/>
      <c r="O239" s="26"/>
      <c r="P239" s="26"/>
    </row>
    <row r="240">
      <c r="A240" s="52"/>
      <c r="B240" s="15"/>
      <c r="C240" s="16"/>
      <c r="D240" s="15"/>
      <c r="E240" s="17"/>
      <c r="F240" s="54"/>
      <c r="G240" s="19"/>
      <c r="H240" s="17"/>
      <c r="I240" s="19"/>
      <c r="J240" s="21"/>
      <c r="K240" s="57"/>
      <c r="L240" s="24"/>
      <c r="M240" s="25"/>
      <c r="N240" s="25"/>
      <c r="O240" s="26"/>
      <c r="P240" s="26"/>
    </row>
    <row r="241">
      <c r="A241" s="52"/>
      <c r="B241" s="15"/>
      <c r="C241" s="16"/>
      <c r="D241" s="15"/>
      <c r="E241" s="17"/>
      <c r="F241" s="54"/>
      <c r="G241" s="19"/>
      <c r="H241" s="17"/>
      <c r="I241" s="19"/>
      <c r="J241" s="21"/>
      <c r="K241" s="57"/>
      <c r="L241" s="24"/>
      <c r="M241" s="25"/>
      <c r="N241" s="25"/>
      <c r="O241" s="26"/>
      <c r="P241" s="26"/>
    </row>
    <row r="242">
      <c r="A242" s="62"/>
      <c r="B242" s="15"/>
      <c r="C242" s="16"/>
      <c r="D242" s="15"/>
      <c r="E242" s="17"/>
      <c r="F242" s="71"/>
      <c r="G242" s="19"/>
      <c r="H242" s="17"/>
      <c r="I242" s="19"/>
      <c r="J242" s="21"/>
      <c r="K242" s="57"/>
      <c r="L242" s="24"/>
      <c r="M242" s="25"/>
      <c r="N242" s="25"/>
      <c r="O242" s="26"/>
      <c r="P242" s="26"/>
    </row>
    <row r="243">
      <c r="A243" s="52"/>
      <c r="B243" s="15"/>
      <c r="C243" s="16"/>
      <c r="D243" s="15"/>
      <c r="E243" s="17"/>
      <c r="F243" s="54"/>
      <c r="G243" s="19"/>
      <c r="H243" s="17"/>
      <c r="I243" s="19"/>
      <c r="J243" s="21"/>
      <c r="K243" s="57"/>
      <c r="L243" s="24"/>
      <c r="M243" s="25"/>
      <c r="N243" s="25"/>
      <c r="O243" s="26"/>
      <c r="P243" s="26"/>
    </row>
    <row r="244">
      <c r="A244" s="52"/>
      <c r="B244" s="15"/>
      <c r="C244" s="16"/>
      <c r="D244" s="15"/>
      <c r="E244" s="17"/>
      <c r="F244" s="54"/>
      <c r="G244" s="19"/>
      <c r="H244" s="17"/>
      <c r="I244" s="19"/>
      <c r="J244" s="21"/>
      <c r="K244" s="57"/>
      <c r="L244" s="24"/>
      <c r="M244" s="25"/>
      <c r="N244" s="25"/>
      <c r="O244" s="26"/>
      <c r="P244" s="26"/>
    </row>
    <row r="245">
      <c r="A245" s="52"/>
      <c r="B245" s="15"/>
      <c r="C245" s="16"/>
      <c r="D245" s="15"/>
      <c r="E245" s="17"/>
      <c r="F245" s="54"/>
      <c r="G245" s="19"/>
      <c r="H245" s="17"/>
      <c r="I245" s="19"/>
      <c r="J245" s="21"/>
      <c r="K245" s="57"/>
      <c r="L245" s="24"/>
      <c r="M245" s="25"/>
      <c r="N245" s="25"/>
      <c r="O245" s="26"/>
      <c r="P245" s="26"/>
    </row>
    <row r="246">
      <c r="A246" s="52"/>
      <c r="B246" s="15"/>
      <c r="C246" s="16"/>
      <c r="D246" s="15"/>
      <c r="E246" s="17"/>
      <c r="F246" s="54"/>
      <c r="G246" s="19"/>
      <c r="H246" s="17"/>
      <c r="I246" s="19"/>
      <c r="J246" s="21"/>
      <c r="K246" s="57"/>
      <c r="L246" s="24"/>
      <c r="M246" s="25"/>
      <c r="N246" s="25"/>
      <c r="O246" s="26"/>
      <c r="P246" s="26"/>
    </row>
    <row r="247">
      <c r="A247" s="52"/>
      <c r="B247" s="15"/>
      <c r="C247" s="16"/>
      <c r="D247" s="15"/>
      <c r="E247" s="17"/>
      <c r="F247" s="54"/>
      <c r="G247" s="19"/>
      <c r="H247" s="17"/>
      <c r="I247" s="19"/>
      <c r="J247" s="21"/>
      <c r="K247" s="57"/>
      <c r="L247" s="24"/>
      <c r="M247" s="25"/>
      <c r="N247" s="25"/>
      <c r="O247" s="26"/>
      <c r="P247" s="26"/>
    </row>
    <row r="248">
      <c r="A248" s="52"/>
      <c r="B248" s="15"/>
      <c r="C248" s="16"/>
      <c r="D248" s="15"/>
      <c r="E248" s="17"/>
      <c r="F248" s="54"/>
      <c r="G248" s="19"/>
      <c r="H248" s="17"/>
      <c r="I248" s="19"/>
      <c r="J248" s="21"/>
      <c r="K248" s="57"/>
      <c r="L248" s="24"/>
      <c r="M248" s="25"/>
      <c r="N248" s="25"/>
      <c r="O248" s="26"/>
      <c r="P248" s="26"/>
    </row>
    <row r="249">
      <c r="A249" s="52"/>
      <c r="B249" s="15"/>
      <c r="C249" s="16"/>
      <c r="D249" s="15"/>
      <c r="E249" s="17"/>
      <c r="F249" s="18"/>
      <c r="G249" s="19"/>
      <c r="H249" s="17"/>
      <c r="I249" s="19"/>
      <c r="J249" s="21"/>
      <c r="K249" s="57"/>
      <c r="L249" s="24"/>
      <c r="M249" s="25"/>
      <c r="N249" s="25"/>
      <c r="O249" s="26"/>
      <c r="P249" s="26"/>
    </row>
    <row r="250">
      <c r="A250" s="52"/>
      <c r="B250" s="15"/>
      <c r="C250" s="16"/>
      <c r="D250" s="15"/>
      <c r="E250" s="17"/>
      <c r="F250" s="54"/>
      <c r="G250" s="19"/>
      <c r="H250" s="17"/>
      <c r="I250" s="19"/>
      <c r="J250" s="21"/>
      <c r="K250" s="57"/>
      <c r="L250" s="24"/>
      <c r="M250" s="25"/>
      <c r="N250" s="25"/>
      <c r="O250" s="26"/>
      <c r="P250" s="26"/>
    </row>
    <row r="251">
      <c r="A251" s="52"/>
      <c r="B251" s="15"/>
      <c r="C251" s="16"/>
      <c r="D251" s="15"/>
      <c r="E251" s="17"/>
      <c r="F251" s="54"/>
      <c r="G251" s="19"/>
      <c r="H251" s="17"/>
      <c r="I251" s="19"/>
      <c r="J251" s="21"/>
      <c r="K251" s="57"/>
      <c r="L251" s="24"/>
      <c r="M251" s="25"/>
      <c r="N251" s="25"/>
      <c r="O251" s="26"/>
      <c r="P251" s="26"/>
    </row>
    <row r="252">
      <c r="A252" s="52"/>
      <c r="B252" s="15"/>
      <c r="C252" s="16"/>
      <c r="D252" s="15"/>
      <c r="E252" s="17"/>
      <c r="F252" s="54"/>
      <c r="G252" s="19"/>
      <c r="H252" s="17"/>
      <c r="I252" s="19"/>
      <c r="J252" s="21"/>
      <c r="K252" s="57"/>
      <c r="L252" s="24"/>
      <c r="M252" s="25"/>
      <c r="N252" s="25"/>
      <c r="O252" s="26"/>
      <c r="P252" s="26"/>
    </row>
    <row r="253">
      <c r="A253" s="52"/>
      <c r="B253" s="15"/>
      <c r="C253" s="16"/>
      <c r="D253" s="15"/>
      <c r="E253" s="17"/>
      <c r="F253" s="54"/>
      <c r="G253" s="19"/>
      <c r="H253" s="17"/>
      <c r="I253" s="19"/>
      <c r="J253" s="21"/>
      <c r="K253" s="57"/>
      <c r="L253" s="24"/>
      <c r="M253" s="25"/>
      <c r="N253" s="25"/>
      <c r="O253" s="26"/>
      <c r="P253" s="26"/>
    </row>
    <row r="254">
      <c r="A254" s="52"/>
      <c r="B254" s="15"/>
      <c r="C254" s="16"/>
      <c r="D254" s="15"/>
      <c r="E254" s="17"/>
      <c r="F254" s="54"/>
      <c r="G254" s="19"/>
      <c r="H254" s="17"/>
      <c r="I254" s="19"/>
      <c r="J254" s="21"/>
      <c r="K254" s="57"/>
      <c r="L254" s="24"/>
      <c r="M254" s="25"/>
      <c r="N254" s="25"/>
      <c r="O254" s="26"/>
      <c r="P254" s="26"/>
    </row>
    <row r="255">
      <c r="A255" s="52"/>
      <c r="B255" s="15"/>
      <c r="C255" s="16"/>
      <c r="D255" s="15"/>
      <c r="E255" s="17"/>
      <c r="F255" s="54"/>
      <c r="G255" s="19"/>
      <c r="H255" s="17"/>
      <c r="I255" s="19"/>
      <c r="J255" s="21"/>
      <c r="K255" s="57"/>
      <c r="L255" s="24"/>
      <c r="M255" s="25"/>
      <c r="N255" s="25"/>
      <c r="O255" s="26"/>
      <c r="P255" s="26"/>
    </row>
    <row r="256">
      <c r="A256" s="52"/>
      <c r="B256" s="15"/>
      <c r="C256" s="16"/>
      <c r="D256" s="15"/>
      <c r="E256" s="17"/>
      <c r="F256" s="54"/>
      <c r="G256" s="19"/>
      <c r="H256" s="17"/>
      <c r="I256" s="19"/>
      <c r="J256" s="21"/>
      <c r="K256" s="57"/>
      <c r="L256" s="24"/>
      <c r="M256" s="25"/>
      <c r="N256" s="25"/>
      <c r="O256" s="26"/>
      <c r="P256" s="26"/>
    </row>
    <row r="257">
      <c r="A257" s="52"/>
      <c r="B257" s="15"/>
      <c r="C257" s="16"/>
      <c r="D257" s="15"/>
      <c r="E257" s="17"/>
      <c r="F257" s="54"/>
      <c r="G257" s="19"/>
      <c r="H257" s="17"/>
      <c r="I257" s="19"/>
      <c r="J257" s="21"/>
      <c r="K257" s="57"/>
      <c r="L257" s="24"/>
      <c r="M257" s="25"/>
      <c r="N257" s="25"/>
      <c r="O257" s="26"/>
      <c r="P257" s="26"/>
    </row>
    <row r="258">
      <c r="A258" s="52"/>
      <c r="B258" s="15"/>
      <c r="C258" s="16"/>
      <c r="D258" s="15"/>
      <c r="E258" s="17"/>
      <c r="F258" s="54"/>
      <c r="G258" s="19"/>
      <c r="H258" s="17"/>
      <c r="I258" s="19"/>
      <c r="J258" s="21"/>
      <c r="K258" s="57"/>
      <c r="L258" s="24"/>
      <c r="M258" s="25"/>
      <c r="N258" s="25"/>
      <c r="O258" s="26"/>
      <c r="P258" s="26"/>
    </row>
    <row r="259">
      <c r="A259" s="52"/>
      <c r="B259" s="15"/>
      <c r="C259" s="16"/>
      <c r="D259" s="15"/>
      <c r="E259" s="17"/>
      <c r="F259" s="54"/>
      <c r="G259" s="19"/>
      <c r="H259" s="17"/>
      <c r="I259" s="19"/>
      <c r="J259" s="21"/>
      <c r="K259" s="57"/>
      <c r="L259" s="24"/>
      <c r="M259" s="25"/>
      <c r="N259" s="25"/>
      <c r="O259" s="26"/>
      <c r="P259" s="26"/>
    </row>
    <row r="260">
      <c r="A260" s="52"/>
      <c r="B260" s="15"/>
      <c r="C260" s="16"/>
      <c r="D260" s="15"/>
      <c r="E260" s="17"/>
      <c r="F260" s="54"/>
      <c r="G260" s="19"/>
      <c r="H260" s="17"/>
      <c r="I260" s="19"/>
      <c r="J260" s="21"/>
      <c r="K260" s="57"/>
      <c r="L260" s="24"/>
      <c r="M260" s="25"/>
      <c r="N260" s="25"/>
      <c r="O260" s="26"/>
      <c r="P260" s="26"/>
    </row>
    <row r="261">
      <c r="A261" s="52"/>
      <c r="B261" s="15"/>
      <c r="C261" s="16"/>
      <c r="D261" s="15"/>
      <c r="E261" s="17"/>
      <c r="F261" s="54"/>
      <c r="G261" s="19"/>
      <c r="H261" s="17"/>
      <c r="I261" s="19"/>
      <c r="J261" s="21"/>
      <c r="K261" s="57"/>
      <c r="L261" s="24"/>
      <c r="M261" s="72"/>
      <c r="N261" s="72"/>
      <c r="O261" s="73"/>
      <c r="P261" s="73"/>
    </row>
    <row r="262">
      <c r="A262" s="52"/>
      <c r="B262" s="15"/>
      <c r="C262" s="16"/>
      <c r="D262" s="15"/>
      <c r="E262" s="17"/>
      <c r="F262" s="74"/>
      <c r="G262" s="19"/>
      <c r="H262" s="17"/>
      <c r="I262" s="19"/>
      <c r="J262" s="21"/>
      <c r="K262" s="57"/>
      <c r="L262" s="24"/>
      <c r="M262" s="25"/>
      <c r="N262" s="25"/>
      <c r="O262" s="26"/>
      <c r="P262" s="26"/>
    </row>
    <row r="263">
      <c r="A263" s="52"/>
      <c r="B263" s="15"/>
      <c r="C263" s="16"/>
      <c r="D263" s="15"/>
      <c r="E263" s="17"/>
      <c r="F263" s="54"/>
      <c r="G263" s="19"/>
      <c r="H263" s="17"/>
      <c r="I263" s="19"/>
      <c r="J263" s="21"/>
      <c r="K263" s="57"/>
      <c r="L263" s="24"/>
      <c r="M263" s="25"/>
      <c r="N263" s="25"/>
      <c r="O263" s="26"/>
      <c r="P263" s="26"/>
    </row>
    <row r="264">
      <c r="A264" s="52"/>
      <c r="B264" s="15"/>
      <c r="C264" s="16"/>
      <c r="D264" s="15"/>
      <c r="E264" s="17"/>
      <c r="F264" s="54"/>
      <c r="G264" s="19"/>
      <c r="H264" s="17"/>
      <c r="I264" s="19"/>
      <c r="J264" s="21"/>
      <c r="K264" s="57"/>
      <c r="L264" s="24"/>
      <c r="M264" s="25"/>
      <c r="N264" s="25"/>
      <c r="O264" s="26"/>
      <c r="P264" s="26"/>
    </row>
    <row r="265">
      <c r="A265" s="52"/>
      <c r="B265" s="15"/>
      <c r="C265" s="16"/>
      <c r="D265" s="15"/>
      <c r="E265" s="17"/>
      <c r="F265" s="54"/>
      <c r="G265" s="19"/>
      <c r="H265" s="17"/>
      <c r="I265" s="19"/>
      <c r="J265" s="21"/>
      <c r="K265" s="57"/>
      <c r="L265" s="24"/>
      <c r="M265" s="25"/>
      <c r="N265" s="25"/>
      <c r="O265" s="26"/>
      <c r="P265" s="26"/>
    </row>
    <row r="266">
      <c r="A266" s="52"/>
      <c r="B266" s="15"/>
      <c r="C266" s="16"/>
      <c r="D266" s="15"/>
      <c r="E266" s="17"/>
      <c r="F266" s="54"/>
      <c r="G266" s="19"/>
      <c r="H266" s="17"/>
      <c r="I266" s="19"/>
      <c r="J266" s="21"/>
      <c r="K266" s="57"/>
      <c r="L266" s="24"/>
      <c r="M266" s="25"/>
      <c r="N266" s="25"/>
      <c r="O266" s="26"/>
      <c r="P266" s="26"/>
    </row>
    <row r="267">
      <c r="A267" s="52"/>
      <c r="B267" s="15"/>
      <c r="C267" s="16"/>
      <c r="D267" s="15"/>
      <c r="E267" s="17"/>
      <c r="F267" s="54"/>
      <c r="G267" s="19"/>
      <c r="H267" s="17"/>
      <c r="I267" s="19"/>
      <c r="J267" s="21"/>
      <c r="K267" s="57"/>
      <c r="L267" s="24"/>
      <c r="M267" s="25"/>
      <c r="N267" s="25"/>
      <c r="O267" s="26"/>
      <c r="P267" s="26"/>
    </row>
    <row r="268">
      <c r="A268" s="52"/>
      <c r="B268" s="15"/>
      <c r="C268" s="16"/>
      <c r="D268" s="15"/>
      <c r="E268" s="17"/>
      <c r="F268" s="54"/>
      <c r="G268" s="19"/>
      <c r="H268" s="17"/>
      <c r="I268" s="19"/>
      <c r="J268" s="21"/>
      <c r="K268" s="57"/>
      <c r="L268" s="24"/>
      <c r="M268" s="25"/>
      <c r="N268" s="25"/>
      <c r="O268" s="26"/>
      <c r="P268" s="26"/>
    </row>
    <row r="269">
      <c r="A269" s="52"/>
      <c r="B269" s="15"/>
      <c r="C269" s="16"/>
      <c r="D269" s="15"/>
      <c r="E269" s="17"/>
      <c r="F269" s="54"/>
      <c r="G269" s="19"/>
      <c r="H269" s="17"/>
      <c r="I269" s="19"/>
      <c r="J269" s="21"/>
      <c r="K269" s="57"/>
      <c r="L269" s="24"/>
      <c r="M269" s="25"/>
      <c r="N269" s="25"/>
      <c r="O269" s="26"/>
      <c r="P269" s="26"/>
    </row>
    <row r="270">
      <c r="A270" s="52"/>
      <c r="B270" s="15"/>
      <c r="C270" s="16"/>
      <c r="D270" s="15"/>
      <c r="E270" s="17"/>
      <c r="F270" s="54"/>
      <c r="G270" s="19"/>
      <c r="H270" s="17"/>
      <c r="I270" s="19"/>
      <c r="J270" s="21"/>
      <c r="K270" s="57"/>
      <c r="L270" s="24"/>
      <c r="M270" s="25"/>
      <c r="N270" s="25"/>
      <c r="O270" s="26"/>
      <c r="P270" s="26"/>
    </row>
    <row r="271">
      <c r="A271" s="52"/>
      <c r="B271" s="15"/>
      <c r="C271" s="16"/>
      <c r="D271" s="15"/>
      <c r="E271" s="17"/>
      <c r="F271" s="54"/>
      <c r="G271" s="19"/>
      <c r="H271" s="17"/>
      <c r="I271" s="19"/>
      <c r="J271" s="21"/>
      <c r="K271" s="57"/>
      <c r="L271" s="24"/>
      <c r="M271" s="25"/>
      <c r="N271" s="25"/>
      <c r="O271" s="26"/>
      <c r="P271" s="26"/>
    </row>
    <row r="272">
      <c r="A272" s="52"/>
      <c r="B272" s="15"/>
      <c r="C272" s="16"/>
      <c r="D272" s="15"/>
      <c r="E272" s="17"/>
      <c r="F272" s="18"/>
      <c r="G272" s="19"/>
      <c r="H272" s="17"/>
      <c r="I272" s="19"/>
      <c r="J272" s="21"/>
      <c r="K272" s="57"/>
      <c r="L272" s="24"/>
      <c r="M272" s="25"/>
      <c r="N272" s="25"/>
      <c r="O272" s="26"/>
      <c r="P272" s="26"/>
    </row>
    <row r="273">
      <c r="A273" s="52"/>
      <c r="B273" s="15"/>
      <c r="C273" s="16"/>
      <c r="D273" s="15"/>
      <c r="E273" s="17"/>
      <c r="F273" s="18"/>
      <c r="G273" s="19"/>
      <c r="H273" s="17"/>
      <c r="I273" s="19"/>
      <c r="J273" s="21"/>
      <c r="K273" s="57"/>
      <c r="L273" s="24"/>
      <c r="M273" s="25"/>
      <c r="N273" s="25"/>
      <c r="O273" s="26"/>
      <c r="P273" s="26"/>
    </row>
    <row r="274">
      <c r="A274" s="52"/>
      <c r="B274" s="15"/>
      <c r="C274" s="16"/>
      <c r="D274" s="15"/>
      <c r="E274" s="17"/>
      <c r="F274" s="54"/>
      <c r="G274" s="19"/>
      <c r="H274" s="17"/>
      <c r="I274" s="19"/>
      <c r="J274" s="21"/>
      <c r="K274" s="57"/>
      <c r="L274" s="24"/>
      <c r="M274" s="25"/>
      <c r="N274" s="25"/>
      <c r="O274" s="26"/>
      <c r="P274" s="26"/>
    </row>
    <row r="275">
      <c r="A275" s="52"/>
      <c r="B275" s="15"/>
      <c r="C275" s="16"/>
      <c r="D275" s="15"/>
      <c r="E275" s="17"/>
      <c r="F275" s="54"/>
      <c r="G275" s="19"/>
      <c r="H275" s="17"/>
      <c r="I275" s="19"/>
      <c r="J275" s="21"/>
      <c r="K275" s="57"/>
      <c r="L275" s="24"/>
      <c r="M275" s="25"/>
      <c r="N275" s="25"/>
      <c r="O275" s="26"/>
      <c r="P275" s="26"/>
    </row>
    <row r="276">
      <c r="A276" s="52"/>
      <c r="B276" s="15"/>
      <c r="C276" s="16"/>
      <c r="D276" s="15"/>
      <c r="E276" s="17"/>
      <c r="F276" s="54"/>
      <c r="G276" s="19"/>
      <c r="H276" s="17"/>
      <c r="I276" s="19"/>
      <c r="J276" s="21"/>
      <c r="K276" s="57"/>
      <c r="L276" s="24"/>
      <c r="M276" s="25"/>
      <c r="N276" s="25"/>
      <c r="O276" s="26"/>
      <c r="P276" s="26"/>
    </row>
    <row r="277">
      <c r="A277" s="52"/>
      <c r="B277" s="15"/>
      <c r="C277" s="16"/>
      <c r="D277" s="15"/>
      <c r="E277" s="17"/>
      <c r="F277" s="54"/>
      <c r="G277" s="19"/>
      <c r="H277" s="17"/>
      <c r="I277" s="19"/>
      <c r="J277" s="21"/>
      <c r="K277" s="57"/>
      <c r="L277" s="24"/>
      <c r="M277" s="26"/>
      <c r="N277" s="25"/>
      <c r="O277" s="26"/>
      <c r="P277" s="26"/>
    </row>
    <row r="278">
      <c r="A278" s="52"/>
      <c r="B278" s="15"/>
      <c r="C278" s="16"/>
      <c r="D278" s="15"/>
      <c r="E278" s="17"/>
      <c r="F278" s="54"/>
      <c r="G278" s="19"/>
      <c r="H278" s="17"/>
      <c r="I278" s="19"/>
      <c r="J278" s="21"/>
      <c r="K278" s="57"/>
      <c r="L278" s="24"/>
      <c r="M278" s="25"/>
      <c r="N278" s="25"/>
      <c r="O278" s="26"/>
      <c r="P278" s="26"/>
    </row>
    <row r="279">
      <c r="A279" s="52"/>
      <c r="B279" s="15"/>
      <c r="C279" s="16"/>
      <c r="D279" s="15"/>
      <c r="E279" s="17"/>
      <c r="F279" s="54"/>
      <c r="G279" s="19"/>
      <c r="H279" s="17"/>
      <c r="I279" s="19"/>
      <c r="J279" s="21"/>
      <c r="K279" s="57"/>
      <c r="L279" s="24"/>
      <c r="M279" s="25"/>
      <c r="N279" s="25"/>
      <c r="O279" s="26"/>
      <c r="P279" s="26"/>
    </row>
    <row r="280">
      <c r="A280" s="52"/>
      <c r="B280" s="15"/>
      <c r="C280" s="16"/>
      <c r="D280" s="15"/>
      <c r="E280" s="17"/>
      <c r="F280" s="54"/>
      <c r="G280" s="19"/>
      <c r="H280" s="17"/>
      <c r="I280" s="19"/>
      <c r="J280" s="21"/>
      <c r="K280" s="57"/>
      <c r="L280" s="24"/>
      <c r="M280" s="25"/>
      <c r="N280" s="25"/>
      <c r="O280" s="26"/>
      <c r="P280" s="26"/>
    </row>
    <row r="281">
      <c r="A281" s="52"/>
      <c r="B281" s="15"/>
      <c r="C281" s="16"/>
      <c r="D281" s="15"/>
      <c r="E281" s="17"/>
      <c r="F281" s="54"/>
      <c r="G281" s="19"/>
      <c r="H281" s="17"/>
      <c r="I281" s="19"/>
      <c r="J281" s="21"/>
      <c r="K281" s="57"/>
      <c r="L281" s="24"/>
      <c r="M281" s="25"/>
      <c r="N281" s="25"/>
      <c r="O281" s="26"/>
      <c r="P281" s="26"/>
    </row>
    <row r="282">
      <c r="A282" s="52"/>
      <c r="B282" s="15"/>
      <c r="C282" s="16"/>
      <c r="D282" s="15"/>
      <c r="E282" s="17"/>
      <c r="F282" s="18"/>
      <c r="G282" s="19"/>
      <c r="H282" s="17"/>
      <c r="I282" s="19"/>
      <c r="J282" s="21"/>
      <c r="K282" s="57"/>
      <c r="L282" s="24"/>
      <c r="M282" s="25"/>
      <c r="N282" s="25"/>
      <c r="O282" s="26"/>
      <c r="P282" s="26"/>
    </row>
    <row r="283">
      <c r="A283" s="52"/>
      <c r="B283" s="15"/>
      <c r="C283" s="16"/>
      <c r="D283" s="15"/>
      <c r="E283" s="17"/>
      <c r="F283" s="54"/>
      <c r="G283" s="19"/>
      <c r="H283" s="17"/>
      <c r="I283" s="19"/>
      <c r="J283" s="21"/>
      <c r="K283" s="57"/>
      <c r="L283" s="24"/>
      <c r="M283" s="25"/>
      <c r="N283" s="25"/>
      <c r="O283" s="26"/>
      <c r="P283" s="26"/>
    </row>
    <row r="284">
      <c r="A284" s="52"/>
      <c r="B284" s="15"/>
      <c r="C284" s="16"/>
      <c r="D284" s="15"/>
      <c r="E284" s="17"/>
      <c r="F284" s="54"/>
      <c r="G284" s="19"/>
      <c r="H284" s="17"/>
      <c r="I284" s="19"/>
      <c r="J284" s="21"/>
      <c r="K284" s="57"/>
      <c r="L284" s="24"/>
      <c r="M284" s="25"/>
      <c r="N284" s="25"/>
      <c r="O284" s="26"/>
      <c r="P284" s="26"/>
    </row>
    <row r="285">
      <c r="A285" s="52"/>
      <c r="B285" s="15"/>
      <c r="C285" s="16"/>
      <c r="D285" s="15"/>
      <c r="E285" s="17"/>
      <c r="F285" s="54"/>
      <c r="G285" s="19"/>
      <c r="H285" s="17"/>
      <c r="I285" s="19"/>
      <c r="J285" s="21"/>
      <c r="K285" s="57"/>
      <c r="L285" s="24"/>
      <c r="M285" s="25"/>
      <c r="N285" s="25"/>
      <c r="O285" s="26"/>
      <c r="P285" s="26"/>
    </row>
    <row r="286">
      <c r="A286" s="52"/>
      <c r="B286" s="15"/>
      <c r="C286" s="16"/>
      <c r="D286" s="15"/>
      <c r="E286" s="17"/>
      <c r="F286" s="54"/>
      <c r="G286" s="19"/>
      <c r="H286" s="17"/>
      <c r="I286" s="19"/>
      <c r="J286" s="21"/>
      <c r="K286" s="57"/>
      <c r="L286" s="24"/>
      <c r="M286" s="25"/>
      <c r="N286" s="25"/>
      <c r="O286" s="26"/>
      <c r="P286" s="26"/>
    </row>
    <row r="287">
      <c r="A287" s="52"/>
      <c r="B287" s="15"/>
      <c r="C287" s="16"/>
      <c r="D287" s="15"/>
      <c r="E287" s="17"/>
      <c r="F287" s="54"/>
      <c r="G287" s="19"/>
      <c r="H287" s="17"/>
      <c r="I287" s="19"/>
      <c r="J287" s="21"/>
      <c r="K287" s="57"/>
      <c r="L287" s="24"/>
      <c r="M287" s="25"/>
      <c r="N287" s="25"/>
      <c r="O287" s="26"/>
      <c r="P287" s="26"/>
    </row>
    <row r="288">
      <c r="A288" s="52"/>
      <c r="B288" s="15"/>
      <c r="C288" s="16"/>
      <c r="D288" s="15"/>
      <c r="E288" s="17"/>
      <c r="F288" s="54"/>
      <c r="G288" s="19"/>
      <c r="H288" s="17"/>
      <c r="I288" s="19"/>
      <c r="J288" s="21"/>
      <c r="K288" s="57"/>
      <c r="L288" s="24"/>
      <c r="M288" s="25"/>
      <c r="N288" s="25"/>
      <c r="O288" s="26"/>
      <c r="P288" s="26"/>
    </row>
    <row r="289">
      <c r="A289" s="52"/>
      <c r="B289" s="15"/>
      <c r="C289" s="16"/>
      <c r="D289" s="15"/>
      <c r="E289" s="17"/>
      <c r="F289" s="54"/>
      <c r="G289" s="19"/>
      <c r="H289" s="17"/>
      <c r="I289" s="19"/>
      <c r="J289" s="21"/>
      <c r="K289" s="57"/>
      <c r="L289" s="24"/>
      <c r="M289" s="25"/>
      <c r="N289" s="25"/>
      <c r="O289" s="26"/>
      <c r="P289" s="26"/>
    </row>
    <row r="290">
      <c r="A290" s="52"/>
      <c r="B290" s="15"/>
      <c r="C290" s="16"/>
      <c r="D290" s="15"/>
      <c r="E290" s="17"/>
      <c r="F290" s="54"/>
      <c r="G290" s="19"/>
      <c r="H290" s="17"/>
      <c r="I290" s="19"/>
      <c r="J290" s="21"/>
      <c r="K290" s="57"/>
      <c r="L290" s="24"/>
      <c r="M290" s="25"/>
      <c r="N290" s="25"/>
      <c r="O290" s="26"/>
      <c r="P290" s="26"/>
    </row>
    <row r="291">
      <c r="A291" s="52"/>
      <c r="B291" s="15"/>
      <c r="C291" s="16"/>
      <c r="D291" s="15"/>
      <c r="E291" s="17"/>
      <c r="F291" s="54"/>
      <c r="G291" s="19"/>
      <c r="H291" s="17"/>
      <c r="I291" s="19"/>
      <c r="J291" s="21"/>
      <c r="K291" s="57"/>
      <c r="L291" s="24"/>
      <c r="M291" s="25"/>
      <c r="N291" s="25"/>
      <c r="O291" s="26"/>
      <c r="P291" s="26"/>
    </row>
    <row r="292">
      <c r="A292" s="52"/>
      <c r="B292" s="15"/>
      <c r="C292" s="16"/>
      <c r="D292" s="15"/>
      <c r="E292" s="17"/>
      <c r="F292" s="54"/>
      <c r="G292" s="19"/>
      <c r="H292" s="17"/>
      <c r="I292" s="19"/>
      <c r="J292" s="21"/>
      <c r="K292" s="57"/>
      <c r="L292" s="24"/>
      <c r="M292" s="25"/>
      <c r="N292" s="25"/>
      <c r="O292" s="26"/>
      <c r="P292" s="26"/>
    </row>
    <row r="293">
      <c r="A293" s="52"/>
      <c r="B293" s="15"/>
      <c r="C293" s="16"/>
      <c r="D293" s="15"/>
      <c r="E293" s="17"/>
      <c r="F293" s="54"/>
      <c r="G293" s="19"/>
      <c r="H293" s="17"/>
      <c r="I293" s="19"/>
      <c r="J293" s="21"/>
      <c r="K293" s="57"/>
      <c r="L293" s="24"/>
      <c r="M293" s="25"/>
      <c r="N293" s="25"/>
      <c r="O293" s="26"/>
      <c r="P293" s="26"/>
    </row>
    <row r="294">
      <c r="A294" s="52"/>
      <c r="B294" s="15"/>
      <c r="C294" s="16"/>
      <c r="D294" s="15"/>
      <c r="E294" s="17"/>
      <c r="F294" s="54"/>
      <c r="G294" s="19"/>
      <c r="H294" s="17"/>
      <c r="I294" s="19"/>
      <c r="J294" s="21"/>
      <c r="K294" s="57"/>
      <c r="L294" s="24"/>
      <c r="M294" s="25"/>
      <c r="N294" s="25"/>
      <c r="O294" s="26"/>
      <c r="P294" s="26"/>
    </row>
    <row r="295">
      <c r="A295" s="52"/>
      <c r="B295" s="15"/>
      <c r="C295" s="16"/>
      <c r="D295" s="15"/>
      <c r="E295" s="17"/>
      <c r="F295" s="54"/>
      <c r="G295" s="19"/>
      <c r="H295" s="17"/>
      <c r="I295" s="19"/>
      <c r="J295" s="21"/>
      <c r="K295" s="57"/>
      <c r="L295" s="24"/>
      <c r="M295" s="25"/>
      <c r="N295" s="25"/>
      <c r="O295" s="26"/>
      <c r="P295" s="26"/>
    </row>
    <row r="296">
      <c r="A296" s="52"/>
      <c r="B296" s="15"/>
      <c r="C296" s="16"/>
      <c r="D296" s="15"/>
      <c r="E296" s="17"/>
      <c r="F296" s="54"/>
      <c r="G296" s="19"/>
      <c r="H296" s="17"/>
      <c r="I296" s="19"/>
      <c r="J296" s="21"/>
      <c r="K296" s="57"/>
      <c r="L296" s="24"/>
      <c r="M296" s="25"/>
      <c r="N296" s="25"/>
      <c r="O296" s="26"/>
      <c r="P296" s="26"/>
    </row>
    <row r="297">
      <c r="A297" s="52"/>
      <c r="B297" s="15"/>
      <c r="C297" s="16"/>
      <c r="D297" s="15"/>
      <c r="E297" s="17"/>
      <c r="F297" s="54"/>
      <c r="G297" s="19"/>
      <c r="H297" s="17"/>
      <c r="I297" s="19"/>
      <c r="J297" s="21"/>
      <c r="K297" s="57"/>
      <c r="L297" s="24"/>
      <c r="M297" s="25"/>
      <c r="N297" s="25"/>
      <c r="O297" s="26"/>
      <c r="P297" s="26"/>
    </row>
    <row r="298">
      <c r="A298" s="52"/>
      <c r="B298" s="15"/>
      <c r="C298" s="16"/>
      <c r="D298" s="15"/>
      <c r="E298" s="17"/>
      <c r="F298" s="54"/>
      <c r="G298" s="19"/>
      <c r="H298" s="17"/>
      <c r="I298" s="19"/>
      <c r="J298" s="21"/>
      <c r="K298" s="57"/>
      <c r="L298" s="24"/>
      <c r="M298" s="25"/>
      <c r="N298" s="25"/>
      <c r="O298" s="26"/>
      <c r="P298" s="26"/>
    </row>
    <row r="299">
      <c r="A299" s="52"/>
      <c r="B299" s="15"/>
      <c r="C299" s="16"/>
      <c r="D299" s="15"/>
      <c r="E299" s="17"/>
      <c r="F299" s="54"/>
      <c r="G299" s="19"/>
      <c r="H299" s="17"/>
      <c r="I299" s="19"/>
      <c r="J299" s="21"/>
      <c r="K299" s="57"/>
      <c r="L299" s="24"/>
      <c r="M299" s="25"/>
      <c r="N299" s="25"/>
      <c r="O299" s="26"/>
      <c r="P299" s="26"/>
    </row>
    <row r="300">
      <c r="A300" s="52"/>
      <c r="B300" s="15"/>
      <c r="C300" s="16"/>
      <c r="D300" s="15"/>
      <c r="E300" s="17"/>
      <c r="F300" s="54"/>
      <c r="G300" s="19"/>
      <c r="H300" s="17"/>
      <c r="I300" s="19"/>
      <c r="J300" s="21"/>
      <c r="K300" s="57"/>
      <c r="L300" s="24"/>
      <c r="M300" s="25"/>
      <c r="N300" s="25"/>
      <c r="O300" s="26"/>
      <c r="P300" s="26"/>
    </row>
    <row r="301">
      <c r="A301" s="52"/>
      <c r="B301" s="15"/>
      <c r="C301" s="16"/>
      <c r="D301" s="15"/>
      <c r="E301" s="17"/>
      <c r="F301" s="54"/>
      <c r="G301" s="19"/>
      <c r="H301" s="17"/>
      <c r="I301" s="19"/>
      <c r="J301" s="21"/>
      <c r="K301" s="57"/>
      <c r="L301" s="24"/>
      <c r="M301" s="25"/>
      <c r="N301" s="25"/>
      <c r="O301" s="26"/>
      <c r="P301" s="26"/>
    </row>
    <row r="302">
      <c r="A302" s="52"/>
      <c r="B302" s="15"/>
      <c r="C302" s="16"/>
      <c r="D302" s="15"/>
      <c r="E302" s="17"/>
      <c r="F302" s="54"/>
      <c r="G302" s="19"/>
      <c r="H302" s="17"/>
      <c r="I302" s="19"/>
      <c r="J302" s="21"/>
      <c r="K302" s="57"/>
      <c r="L302" s="24"/>
      <c r="M302" s="25"/>
      <c r="N302" s="25"/>
      <c r="O302" s="26"/>
      <c r="P302" s="26"/>
    </row>
    <row r="303">
      <c r="A303" s="52"/>
      <c r="B303" s="15"/>
      <c r="C303" s="16"/>
      <c r="D303" s="15"/>
      <c r="E303" s="17"/>
      <c r="F303" s="54"/>
      <c r="G303" s="19"/>
      <c r="H303" s="17"/>
      <c r="I303" s="19"/>
      <c r="J303" s="21"/>
      <c r="K303" s="57"/>
      <c r="L303" s="24"/>
      <c r="M303" s="25"/>
      <c r="N303" s="25"/>
      <c r="O303" s="26"/>
      <c r="P303" s="26"/>
    </row>
    <row r="304">
      <c r="A304" s="52"/>
      <c r="B304" s="15"/>
      <c r="C304" s="16"/>
      <c r="D304" s="15"/>
      <c r="E304" s="17"/>
      <c r="F304" s="54"/>
      <c r="G304" s="19"/>
      <c r="H304" s="17"/>
      <c r="I304" s="19"/>
      <c r="J304" s="21"/>
      <c r="K304" s="57"/>
      <c r="L304" s="24"/>
      <c r="M304" s="25"/>
      <c r="N304" s="25"/>
      <c r="O304" s="26"/>
      <c r="P304" s="26"/>
    </row>
    <row r="305">
      <c r="A305" s="52"/>
      <c r="B305" s="15"/>
      <c r="C305" s="16"/>
      <c r="D305" s="15"/>
      <c r="E305" s="17"/>
      <c r="F305" s="54"/>
      <c r="G305" s="19"/>
      <c r="H305" s="17"/>
      <c r="I305" s="19"/>
      <c r="J305" s="21"/>
      <c r="K305" s="57"/>
      <c r="L305" s="24"/>
      <c r="M305" s="25"/>
      <c r="N305" s="25"/>
      <c r="O305" s="26"/>
      <c r="P305" s="26"/>
    </row>
    <row r="306">
      <c r="A306" s="52"/>
      <c r="B306" s="15"/>
      <c r="C306" s="16"/>
      <c r="D306" s="15"/>
      <c r="E306" s="17"/>
      <c r="F306" s="54"/>
      <c r="G306" s="19"/>
      <c r="H306" s="17"/>
      <c r="I306" s="19"/>
      <c r="J306" s="21"/>
      <c r="K306" s="57"/>
      <c r="L306" s="24"/>
      <c r="M306" s="25"/>
      <c r="N306" s="25"/>
      <c r="O306" s="26"/>
      <c r="P306" s="26"/>
    </row>
    <row r="307">
      <c r="A307" s="52"/>
      <c r="B307" s="15"/>
      <c r="C307" s="16"/>
      <c r="D307" s="15"/>
      <c r="E307" s="17"/>
      <c r="F307" s="54"/>
      <c r="G307" s="19"/>
      <c r="H307" s="17"/>
      <c r="I307" s="19"/>
      <c r="J307" s="21"/>
      <c r="K307" s="57"/>
      <c r="L307" s="24"/>
      <c r="M307" s="25"/>
      <c r="N307" s="25"/>
      <c r="O307" s="26"/>
      <c r="P307" s="26"/>
    </row>
    <row r="308">
      <c r="A308" s="52"/>
      <c r="B308" s="15"/>
      <c r="C308" s="16"/>
      <c r="D308" s="15"/>
      <c r="E308" s="17"/>
      <c r="F308" s="54"/>
      <c r="G308" s="19"/>
      <c r="H308" s="17"/>
      <c r="I308" s="19"/>
      <c r="J308" s="21"/>
      <c r="K308" s="57"/>
      <c r="L308" s="24"/>
      <c r="M308" s="25"/>
      <c r="N308" s="25"/>
      <c r="O308" s="26"/>
      <c r="P308" s="26"/>
    </row>
    <row r="309">
      <c r="A309" s="52"/>
      <c r="B309" s="15"/>
      <c r="C309" s="16"/>
      <c r="D309" s="15"/>
      <c r="E309" s="17"/>
      <c r="F309" s="54"/>
      <c r="G309" s="19"/>
      <c r="H309" s="17"/>
      <c r="I309" s="19"/>
      <c r="J309" s="21"/>
      <c r="K309" s="57"/>
      <c r="L309" s="24"/>
      <c r="M309" s="25"/>
      <c r="N309" s="25"/>
      <c r="O309" s="26"/>
      <c r="P309" s="26"/>
    </row>
    <row r="310">
      <c r="A310" s="52"/>
      <c r="B310" s="15"/>
      <c r="C310" s="16"/>
      <c r="D310" s="15"/>
      <c r="E310" s="17"/>
      <c r="F310" s="54"/>
      <c r="G310" s="19"/>
      <c r="H310" s="17"/>
      <c r="I310" s="19"/>
      <c r="J310" s="21"/>
      <c r="K310" s="57"/>
      <c r="L310" s="24"/>
      <c r="M310" s="25"/>
      <c r="N310" s="25"/>
      <c r="O310" s="26"/>
      <c r="P310" s="26"/>
    </row>
    <row r="311">
      <c r="A311" s="52"/>
      <c r="B311" s="15"/>
      <c r="C311" s="16"/>
      <c r="D311" s="15"/>
      <c r="E311" s="17"/>
      <c r="F311" s="54"/>
      <c r="G311" s="19"/>
      <c r="H311" s="17"/>
      <c r="I311" s="19"/>
      <c r="J311" s="21"/>
      <c r="K311" s="57"/>
      <c r="L311" s="24"/>
      <c r="M311" s="25"/>
      <c r="N311" s="25"/>
      <c r="O311" s="26"/>
      <c r="P311" s="26"/>
    </row>
    <row r="312">
      <c r="A312" s="52"/>
      <c r="B312" s="15"/>
      <c r="C312" s="16"/>
      <c r="D312" s="15"/>
      <c r="E312" s="17"/>
      <c r="F312" s="54"/>
      <c r="G312" s="19"/>
      <c r="H312" s="17"/>
      <c r="I312" s="19"/>
      <c r="J312" s="21"/>
      <c r="K312" s="57"/>
      <c r="L312" s="24"/>
      <c r="M312" s="75"/>
      <c r="N312" s="25"/>
      <c r="O312" s="26"/>
      <c r="P312" s="26"/>
    </row>
    <row r="313">
      <c r="A313" s="52"/>
      <c r="B313" s="15"/>
      <c r="C313" s="16"/>
      <c r="D313" s="15"/>
      <c r="E313" s="17"/>
      <c r="F313" s="54"/>
      <c r="G313" s="19"/>
      <c r="H313" s="17"/>
      <c r="I313" s="19"/>
      <c r="J313" s="21"/>
      <c r="K313" s="57"/>
      <c r="L313" s="24"/>
      <c r="M313" s="25"/>
      <c r="N313" s="25"/>
      <c r="O313" s="26"/>
      <c r="P313" s="26"/>
    </row>
    <row r="314">
      <c r="A314" s="52"/>
      <c r="B314" s="15"/>
      <c r="C314" s="16"/>
      <c r="D314" s="15"/>
      <c r="E314" s="17"/>
      <c r="F314" s="54"/>
      <c r="G314" s="19"/>
      <c r="H314" s="17"/>
      <c r="I314" s="19"/>
      <c r="J314" s="21"/>
      <c r="K314" s="57"/>
      <c r="L314" s="24"/>
      <c r="M314" s="25"/>
      <c r="N314" s="25"/>
      <c r="O314" s="26"/>
      <c r="P314" s="26"/>
    </row>
    <row r="315">
      <c r="A315" s="52"/>
      <c r="B315" s="15"/>
      <c r="C315" s="16"/>
      <c r="D315" s="15"/>
      <c r="E315" s="17"/>
      <c r="F315" s="54"/>
      <c r="G315" s="19"/>
      <c r="H315" s="17"/>
      <c r="I315" s="19"/>
      <c r="J315" s="21"/>
      <c r="K315" s="57"/>
      <c r="L315" s="24"/>
      <c r="M315" s="25"/>
      <c r="N315" s="25"/>
      <c r="O315" s="26"/>
      <c r="P315" s="26"/>
    </row>
    <row r="316">
      <c r="A316" s="52"/>
      <c r="B316" s="15"/>
      <c r="C316" s="16"/>
      <c r="D316" s="15"/>
      <c r="E316" s="17"/>
      <c r="F316" s="54"/>
      <c r="G316" s="19"/>
      <c r="H316" s="17"/>
      <c r="I316" s="19"/>
      <c r="J316" s="21"/>
      <c r="K316" s="57"/>
      <c r="L316" s="24"/>
      <c r="M316" s="25"/>
      <c r="N316" s="25"/>
      <c r="O316" s="26"/>
      <c r="P316" s="26"/>
    </row>
    <row r="317">
      <c r="A317" s="52"/>
      <c r="B317" s="15"/>
      <c r="C317" s="16"/>
      <c r="D317" s="15"/>
      <c r="E317" s="17"/>
      <c r="F317" s="54"/>
      <c r="G317" s="19"/>
      <c r="H317" s="17"/>
      <c r="I317" s="19"/>
      <c r="J317" s="21"/>
      <c r="K317" s="57"/>
      <c r="L317" s="24"/>
      <c r="M317" s="25"/>
      <c r="N317" s="25"/>
      <c r="O317" s="26"/>
      <c r="P317" s="26"/>
    </row>
    <row r="318">
      <c r="A318" s="52"/>
      <c r="B318" s="15"/>
      <c r="C318" s="16"/>
      <c r="D318" s="15"/>
      <c r="E318" s="17"/>
      <c r="F318" s="54"/>
      <c r="G318" s="19"/>
      <c r="H318" s="17"/>
      <c r="I318" s="19"/>
      <c r="J318" s="21"/>
      <c r="K318" s="57"/>
      <c r="L318" s="24"/>
      <c r="M318" s="25"/>
      <c r="N318" s="25"/>
      <c r="O318" s="26"/>
      <c r="P318" s="26"/>
    </row>
    <row r="319">
      <c r="A319" s="52"/>
      <c r="B319" s="15"/>
      <c r="C319" s="16"/>
      <c r="D319" s="15"/>
      <c r="E319" s="17"/>
      <c r="F319" s="54"/>
      <c r="G319" s="19"/>
      <c r="H319" s="17"/>
      <c r="I319" s="19"/>
      <c r="J319" s="21"/>
      <c r="K319" s="57"/>
      <c r="L319" s="24"/>
      <c r="M319" s="25"/>
      <c r="N319" s="25"/>
      <c r="O319" s="26"/>
      <c r="P319" s="26"/>
    </row>
    <row r="320">
      <c r="A320" s="52"/>
      <c r="B320" s="15"/>
      <c r="C320" s="16"/>
      <c r="D320" s="15"/>
      <c r="E320" s="17"/>
      <c r="F320" s="54"/>
      <c r="G320" s="19"/>
      <c r="H320" s="17"/>
      <c r="I320" s="19"/>
      <c r="J320" s="21"/>
      <c r="K320" s="57"/>
      <c r="L320" s="24"/>
      <c r="M320" s="25"/>
      <c r="N320" s="25"/>
      <c r="O320" s="26"/>
      <c r="P320" s="26"/>
    </row>
    <row r="321">
      <c r="A321" s="52"/>
      <c r="B321" s="15"/>
      <c r="C321" s="16"/>
      <c r="D321" s="15"/>
      <c r="E321" s="17"/>
      <c r="F321" s="54"/>
      <c r="G321" s="19"/>
      <c r="H321" s="17"/>
      <c r="I321" s="19"/>
      <c r="J321" s="21"/>
      <c r="K321" s="57"/>
      <c r="L321" s="24"/>
      <c r="M321" s="25"/>
      <c r="N321" s="25"/>
      <c r="O321" s="26"/>
      <c r="P321" s="26"/>
    </row>
    <row r="322">
      <c r="A322" s="52"/>
      <c r="B322" s="15"/>
      <c r="C322" s="16"/>
      <c r="D322" s="15"/>
      <c r="E322" s="17"/>
      <c r="F322" s="54"/>
      <c r="G322" s="19"/>
      <c r="H322" s="17"/>
      <c r="I322" s="19"/>
      <c r="J322" s="21"/>
      <c r="K322" s="57"/>
      <c r="L322" s="24"/>
      <c r="M322" s="25"/>
      <c r="N322" s="25"/>
      <c r="O322" s="26"/>
      <c r="P322" s="26"/>
    </row>
    <row r="323">
      <c r="A323" s="52"/>
      <c r="B323" s="15"/>
      <c r="C323" s="16"/>
      <c r="D323" s="15"/>
      <c r="E323" s="17"/>
      <c r="F323" s="54"/>
      <c r="G323" s="19"/>
      <c r="H323" s="17"/>
      <c r="I323" s="19"/>
      <c r="J323" s="21"/>
      <c r="K323" s="57"/>
      <c r="L323" s="24"/>
      <c r="M323" s="25"/>
      <c r="N323" s="25"/>
      <c r="O323" s="26"/>
      <c r="P323" s="26"/>
    </row>
    <row r="324">
      <c r="A324" s="52"/>
      <c r="B324" s="15"/>
      <c r="C324" s="16"/>
      <c r="D324" s="15"/>
      <c r="E324" s="17"/>
      <c r="F324" s="54"/>
      <c r="G324" s="19"/>
      <c r="H324" s="17"/>
      <c r="I324" s="19"/>
      <c r="J324" s="21"/>
      <c r="K324" s="57"/>
      <c r="L324" s="24"/>
      <c r="M324" s="25"/>
      <c r="N324" s="25"/>
      <c r="O324" s="26"/>
      <c r="P324" s="26"/>
    </row>
    <row r="325">
      <c r="A325" s="52"/>
      <c r="B325" s="15"/>
      <c r="C325" s="16"/>
      <c r="D325" s="15"/>
      <c r="E325" s="17"/>
      <c r="F325" s="54"/>
      <c r="G325" s="19"/>
      <c r="H325" s="17"/>
      <c r="I325" s="19"/>
      <c r="J325" s="21"/>
      <c r="K325" s="57"/>
      <c r="L325" s="24"/>
      <c r="M325" s="25"/>
      <c r="N325" s="25"/>
      <c r="O325" s="26"/>
      <c r="P325" s="26"/>
    </row>
    <row r="326">
      <c r="A326" s="52"/>
      <c r="B326" s="15"/>
      <c r="C326" s="16"/>
      <c r="D326" s="15"/>
      <c r="E326" s="17"/>
      <c r="F326" s="54"/>
      <c r="G326" s="19"/>
      <c r="H326" s="17"/>
      <c r="I326" s="19"/>
      <c r="J326" s="21"/>
      <c r="K326" s="57"/>
      <c r="L326" s="24"/>
      <c r="M326" s="25"/>
      <c r="N326" s="25"/>
      <c r="O326" s="26"/>
      <c r="P326" s="26"/>
    </row>
    <row r="327">
      <c r="A327" s="52"/>
      <c r="B327" s="15"/>
      <c r="C327" s="16"/>
      <c r="D327" s="15"/>
      <c r="E327" s="17"/>
      <c r="F327" s="54"/>
      <c r="G327" s="19"/>
      <c r="H327" s="17"/>
      <c r="I327" s="19"/>
      <c r="J327" s="21"/>
      <c r="K327" s="57"/>
      <c r="L327" s="24"/>
      <c r="M327" s="25"/>
      <c r="N327" s="25"/>
      <c r="O327" s="26"/>
      <c r="P327" s="26"/>
    </row>
    <row r="328">
      <c r="A328" s="52"/>
      <c r="B328" s="15"/>
      <c r="C328" s="16"/>
      <c r="D328" s="15"/>
      <c r="E328" s="17"/>
      <c r="F328" s="54"/>
      <c r="G328" s="19"/>
      <c r="H328" s="17"/>
      <c r="I328" s="19"/>
      <c r="J328" s="21"/>
      <c r="K328" s="57"/>
      <c r="L328" s="24"/>
      <c r="M328" s="25"/>
      <c r="N328" s="25"/>
      <c r="O328" s="26"/>
      <c r="P328" s="26"/>
    </row>
    <row r="329">
      <c r="A329" s="52"/>
      <c r="B329" s="15"/>
      <c r="C329" s="16"/>
      <c r="D329" s="15"/>
      <c r="E329" s="17"/>
      <c r="F329" s="54"/>
      <c r="G329" s="19"/>
      <c r="H329" s="17"/>
      <c r="I329" s="19"/>
      <c r="J329" s="21"/>
      <c r="K329" s="57"/>
      <c r="L329" s="24"/>
      <c r="M329" s="25"/>
      <c r="N329" s="25"/>
      <c r="O329" s="26"/>
      <c r="P329" s="26"/>
    </row>
    <row r="330">
      <c r="A330" s="52"/>
      <c r="B330" s="15"/>
      <c r="C330" s="16"/>
      <c r="D330" s="15"/>
      <c r="E330" s="17"/>
      <c r="F330" s="54"/>
      <c r="G330" s="19"/>
      <c r="H330" s="17"/>
      <c r="I330" s="19"/>
      <c r="J330" s="21"/>
      <c r="K330" s="57"/>
      <c r="L330" s="24"/>
      <c r="M330" s="25"/>
      <c r="N330" s="25"/>
      <c r="O330" s="26"/>
      <c r="P330" s="26"/>
    </row>
    <row r="331">
      <c r="A331" s="52"/>
      <c r="B331" s="15"/>
      <c r="C331" s="16"/>
      <c r="D331" s="15"/>
      <c r="E331" s="17"/>
      <c r="F331" s="54"/>
      <c r="G331" s="19"/>
      <c r="H331" s="17"/>
      <c r="I331" s="19"/>
      <c r="J331" s="21"/>
      <c r="K331" s="57"/>
      <c r="L331" s="24"/>
      <c r="M331" s="25"/>
      <c r="N331" s="25"/>
      <c r="O331" s="26"/>
      <c r="P331" s="26"/>
    </row>
    <row r="332">
      <c r="A332" s="52"/>
      <c r="B332" s="15"/>
      <c r="C332" s="16"/>
      <c r="D332" s="15"/>
      <c r="E332" s="17"/>
      <c r="F332" s="54"/>
      <c r="G332" s="19"/>
      <c r="H332" s="17"/>
      <c r="I332" s="19"/>
      <c r="J332" s="21"/>
      <c r="K332" s="57"/>
      <c r="L332" s="24"/>
      <c r="M332" s="25"/>
      <c r="N332" s="25"/>
      <c r="O332" s="26"/>
      <c r="P332" s="26"/>
    </row>
    <row r="333">
      <c r="A333" s="52"/>
      <c r="B333" s="15"/>
      <c r="C333" s="16"/>
      <c r="D333" s="15"/>
      <c r="E333" s="17"/>
      <c r="F333" s="54"/>
      <c r="G333" s="19"/>
      <c r="H333" s="17"/>
      <c r="I333" s="19"/>
      <c r="J333" s="21"/>
      <c r="K333" s="57"/>
      <c r="L333" s="24"/>
      <c r="M333" s="25"/>
      <c r="N333" s="25"/>
      <c r="O333" s="26"/>
      <c r="P333" s="26"/>
    </row>
    <row r="334">
      <c r="A334" s="52"/>
      <c r="B334" s="15"/>
      <c r="C334" s="16"/>
      <c r="D334" s="15"/>
      <c r="E334" s="17"/>
      <c r="F334" s="54"/>
      <c r="G334" s="19"/>
      <c r="H334" s="17"/>
      <c r="I334" s="19"/>
      <c r="J334" s="21"/>
      <c r="K334" s="57"/>
      <c r="L334" s="24"/>
      <c r="M334" s="25"/>
      <c r="N334" s="25"/>
      <c r="O334" s="26"/>
      <c r="P334" s="26"/>
    </row>
    <row r="335">
      <c r="A335" s="52"/>
      <c r="B335" s="15"/>
      <c r="C335" s="16"/>
      <c r="D335" s="15"/>
      <c r="E335" s="17"/>
      <c r="F335" s="54"/>
      <c r="G335" s="19"/>
      <c r="H335" s="17"/>
      <c r="I335" s="19"/>
      <c r="J335" s="21"/>
      <c r="K335" s="57"/>
      <c r="L335" s="24"/>
      <c r="M335" s="25"/>
      <c r="N335" s="25"/>
      <c r="O335" s="26"/>
      <c r="P335" s="26"/>
    </row>
    <row r="336">
      <c r="A336" s="52"/>
      <c r="B336" s="15"/>
      <c r="C336" s="16"/>
      <c r="D336" s="15"/>
      <c r="E336" s="17"/>
      <c r="F336" s="54"/>
      <c r="G336" s="19"/>
      <c r="H336" s="17"/>
      <c r="I336" s="19"/>
      <c r="J336" s="21"/>
      <c r="K336" s="57"/>
      <c r="L336" s="24"/>
      <c r="M336" s="25"/>
      <c r="N336" s="25"/>
      <c r="O336" s="26"/>
      <c r="P336" s="26"/>
    </row>
    <row r="337">
      <c r="A337" s="52"/>
      <c r="B337" s="15"/>
      <c r="C337" s="16"/>
      <c r="D337" s="15"/>
      <c r="E337" s="17"/>
      <c r="F337" s="54"/>
      <c r="G337" s="19"/>
      <c r="H337" s="17"/>
      <c r="I337" s="19"/>
      <c r="J337" s="21"/>
      <c r="K337" s="57"/>
      <c r="L337" s="24"/>
      <c r="M337" s="25"/>
      <c r="N337" s="25"/>
      <c r="O337" s="26"/>
      <c r="P337" s="26"/>
    </row>
    <row r="338">
      <c r="A338" s="62"/>
      <c r="B338" s="15"/>
      <c r="C338" s="16"/>
      <c r="D338" s="15"/>
      <c r="E338" s="17"/>
      <c r="F338" s="18"/>
      <c r="G338" s="19"/>
      <c r="H338" s="17"/>
      <c r="I338" s="19"/>
      <c r="J338" s="21"/>
      <c r="K338" s="57"/>
      <c r="L338" s="24"/>
      <c r="M338" s="25"/>
      <c r="N338" s="25"/>
      <c r="O338" s="26"/>
      <c r="P338" s="26"/>
    </row>
    <row r="339">
      <c r="A339" s="52"/>
      <c r="B339" s="15"/>
      <c r="C339" s="16"/>
      <c r="D339" s="15"/>
      <c r="E339" s="17"/>
      <c r="F339" s="54"/>
      <c r="G339" s="19"/>
      <c r="H339" s="17"/>
      <c r="I339" s="19"/>
      <c r="J339" s="21"/>
      <c r="K339" s="57"/>
      <c r="L339" s="24"/>
      <c r="M339" s="25"/>
      <c r="N339" s="25"/>
      <c r="O339" s="26"/>
      <c r="P339" s="26"/>
    </row>
    <row r="340">
      <c r="A340" s="52"/>
      <c r="B340" s="15"/>
      <c r="C340" s="16"/>
      <c r="D340" s="15"/>
      <c r="E340" s="17"/>
      <c r="F340" s="54"/>
      <c r="G340" s="19"/>
      <c r="H340" s="17"/>
      <c r="I340" s="19"/>
      <c r="J340" s="21"/>
      <c r="K340" s="57"/>
      <c r="L340" s="24"/>
      <c r="M340" s="25"/>
      <c r="N340" s="25"/>
      <c r="O340" s="26"/>
      <c r="P340" s="26"/>
    </row>
    <row r="341">
      <c r="A341" s="52"/>
      <c r="B341" s="15"/>
      <c r="C341" s="16"/>
      <c r="D341" s="15"/>
      <c r="E341" s="17"/>
      <c r="F341" s="54"/>
      <c r="G341" s="19"/>
      <c r="H341" s="17"/>
      <c r="I341" s="19"/>
      <c r="J341" s="21"/>
      <c r="K341" s="57"/>
      <c r="L341" s="24"/>
      <c r="M341" s="25"/>
      <c r="N341" s="25"/>
      <c r="O341" s="26"/>
      <c r="P341" s="26"/>
    </row>
    <row r="342">
      <c r="A342" s="52"/>
      <c r="B342" s="15"/>
      <c r="C342" s="16"/>
      <c r="D342" s="15"/>
      <c r="E342" s="17"/>
      <c r="F342" s="54"/>
      <c r="G342" s="19"/>
      <c r="H342" s="17"/>
      <c r="I342" s="19"/>
      <c r="J342" s="21"/>
      <c r="K342" s="57"/>
      <c r="L342" s="24"/>
      <c r="M342" s="25"/>
      <c r="N342" s="25"/>
      <c r="O342" s="26"/>
      <c r="P342" s="26"/>
    </row>
    <row r="343">
      <c r="A343" s="52"/>
      <c r="B343" s="15"/>
      <c r="C343" s="16"/>
      <c r="D343" s="15"/>
      <c r="E343" s="17"/>
      <c r="F343" s="54"/>
      <c r="G343" s="19"/>
      <c r="H343" s="17"/>
      <c r="I343" s="19"/>
      <c r="J343" s="21"/>
      <c r="K343" s="57"/>
      <c r="L343" s="24"/>
      <c r="M343" s="25"/>
      <c r="N343" s="25"/>
      <c r="O343" s="26"/>
      <c r="P343" s="26"/>
    </row>
    <row r="344">
      <c r="A344" s="52"/>
      <c r="B344" s="15"/>
      <c r="C344" s="16"/>
      <c r="D344" s="15"/>
      <c r="E344" s="17"/>
      <c r="F344" s="54"/>
      <c r="G344" s="19"/>
      <c r="H344" s="17"/>
      <c r="I344" s="19"/>
      <c r="J344" s="21"/>
      <c r="K344" s="57"/>
      <c r="L344" s="24"/>
      <c r="M344" s="25"/>
      <c r="N344" s="25"/>
      <c r="O344" s="26"/>
      <c r="P344" s="26"/>
    </row>
    <row r="345">
      <c r="A345" s="52"/>
      <c r="B345" s="15"/>
      <c r="C345" s="16"/>
      <c r="D345" s="15"/>
      <c r="E345" s="17"/>
      <c r="F345" s="54"/>
      <c r="G345" s="19"/>
      <c r="H345" s="17"/>
      <c r="I345" s="19"/>
      <c r="J345" s="21"/>
      <c r="K345" s="57"/>
      <c r="L345" s="24"/>
      <c r="M345" s="25"/>
      <c r="N345" s="25"/>
      <c r="O345" s="26"/>
      <c r="P345" s="26"/>
    </row>
    <row r="346">
      <c r="A346" s="52"/>
      <c r="B346" s="15"/>
      <c r="C346" s="16"/>
      <c r="D346" s="15"/>
      <c r="E346" s="17"/>
      <c r="F346" s="54"/>
      <c r="G346" s="19"/>
      <c r="H346" s="17"/>
      <c r="I346" s="19"/>
      <c r="J346" s="21"/>
      <c r="K346" s="57"/>
      <c r="L346" s="24"/>
      <c r="M346" s="25"/>
      <c r="N346" s="25"/>
      <c r="O346" s="26"/>
      <c r="P346" s="26"/>
    </row>
    <row r="347">
      <c r="A347" s="52"/>
      <c r="B347" s="15"/>
      <c r="C347" s="16"/>
      <c r="D347" s="15"/>
      <c r="E347" s="17"/>
      <c r="F347" s="54"/>
      <c r="G347" s="19"/>
      <c r="H347" s="17"/>
      <c r="I347" s="19"/>
      <c r="J347" s="21"/>
      <c r="K347" s="57"/>
      <c r="L347" s="24"/>
      <c r="M347" s="25"/>
      <c r="N347" s="25"/>
      <c r="O347" s="26"/>
      <c r="P347" s="26"/>
    </row>
    <row r="348">
      <c r="A348" s="52"/>
      <c r="B348" s="15"/>
      <c r="C348" s="16"/>
      <c r="D348" s="15"/>
      <c r="E348" s="17"/>
      <c r="F348" s="54"/>
      <c r="G348" s="19"/>
      <c r="H348" s="17"/>
      <c r="I348" s="19"/>
      <c r="J348" s="21"/>
      <c r="K348" s="57"/>
      <c r="L348" s="24"/>
      <c r="M348" s="25"/>
      <c r="N348" s="25"/>
      <c r="O348" s="26"/>
      <c r="P348" s="26"/>
    </row>
    <row r="349">
      <c r="A349" s="52"/>
      <c r="B349" s="15"/>
      <c r="C349" s="16"/>
      <c r="D349" s="15"/>
      <c r="E349" s="17"/>
      <c r="F349" s="54"/>
      <c r="G349" s="19"/>
      <c r="H349" s="17"/>
      <c r="I349" s="19"/>
      <c r="J349" s="21"/>
      <c r="K349" s="57"/>
      <c r="L349" s="24"/>
      <c r="M349" s="25"/>
      <c r="N349" s="25"/>
      <c r="O349" s="26"/>
      <c r="P349" s="26"/>
    </row>
    <row r="350">
      <c r="A350" s="52"/>
      <c r="B350" s="15"/>
      <c r="C350" s="16"/>
      <c r="D350" s="15"/>
      <c r="E350" s="17"/>
      <c r="F350" s="54"/>
      <c r="G350" s="19"/>
      <c r="H350" s="17"/>
      <c r="I350" s="19"/>
      <c r="J350" s="21"/>
      <c r="K350" s="57"/>
      <c r="L350" s="24"/>
      <c r="M350" s="25"/>
      <c r="N350" s="25"/>
      <c r="O350" s="26"/>
      <c r="P350" s="26"/>
    </row>
    <row r="351">
      <c r="A351" s="52"/>
      <c r="B351" s="15"/>
      <c r="C351" s="16"/>
      <c r="D351" s="15"/>
      <c r="E351" s="17"/>
      <c r="F351" s="54"/>
      <c r="G351" s="19"/>
      <c r="H351" s="17"/>
      <c r="I351" s="19"/>
      <c r="J351" s="21"/>
      <c r="K351" s="57"/>
      <c r="L351" s="24"/>
      <c r="M351" s="25"/>
      <c r="N351" s="25"/>
      <c r="O351" s="26"/>
      <c r="P351" s="26"/>
    </row>
    <row r="352">
      <c r="A352" s="52"/>
      <c r="B352" s="15"/>
      <c r="C352" s="16"/>
      <c r="D352" s="15"/>
      <c r="E352" s="17"/>
      <c r="F352" s="54"/>
      <c r="G352" s="19"/>
      <c r="H352" s="17"/>
      <c r="I352" s="19"/>
      <c r="J352" s="21"/>
      <c r="K352" s="57"/>
      <c r="L352" s="24"/>
      <c r="M352" s="25"/>
      <c r="N352" s="25"/>
      <c r="O352" s="26"/>
      <c r="P352" s="26"/>
    </row>
    <row r="353">
      <c r="A353" s="52"/>
      <c r="B353" s="15"/>
      <c r="C353" s="16"/>
      <c r="D353" s="15"/>
      <c r="E353" s="17"/>
      <c r="F353" s="54"/>
      <c r="G353" s="19"/>
      <c r="H353" s="17"/>
      <c r="I353" s="19"/>
      <c r="J353" s="21"/>
      <c r="K353" s="57"/>
      <c r="L353" s="24"/>
      <c r="M353" s="25"/>
      <c r="N353" s="25"/>
      <c r="O353" s="26"/>
      <c r="P353" s="26"/>
    </row>
    <row r="354">
      <c r="A354" s="52"/>
      <c r="B354" s="15"/>
      <c r="C354" s="16"/>
      <c r="D354" s="15"/>
      <c r="E354" s="17"/>
      <c r="F354" s="18"/>
      <c r="G354" s="19"/>
      <c r="H354" s="17"/>
      <c r="I354" s="19"/>
      <c r="J354" s="21"/>
      <c r="K354" s="57"/>
      <c r="L354" s="24"/>
      <c r="M354" s="25"/>
      <c r="N354" s="25"/>
      <c r="O354" s="26"/>
      <c r="P354" s="26"/>
    </row>
    <row r="355">
      <c r="A355" s="52"/>
      <c r="B355" s="15"/>
      <c r="C355" s="16"/>
      <c r="D355" s="15"/>
      <c r="E355" s="17"/>
      <c r="F355" s="54"/>
      <c r="G355" s="19"/>
      <c r="H355" s="17"/>
      <c r="I355" s="19"/>
      <c r="J355" s="21"/>
      <c r="K355" s="57"/>
      <c r="L355" s="24"/>
      <c r="M355" s="25"/>
      <c r="N355" s="25"/>
      <c r="O355" s="26"/>
      <c r="P355" s="26"/>
    </row>
    <row r="356">
      <c r="A356" s="52"/>
      <c r="B356" s="15"/>
      <c r="C356" s="16"/>
      <c r="D356" s="15"/>
      <c r="E356" s="17"/>
      <c r="F356" s="18"/>
      <c r="G356" s="19"/>
      <c r="H356" s="17"/>
      <c r="I356" s="19"/>
      <c r="J356" s="21"/>
      <c r="K356" s="57"/>
      <c r="L356" s="24"/>
      <c r="M356" s="25"/>
      <c r="N356" s="25"/>
      <c r="O356" s="26"/>
      <c r="P356" s="26"/>
    </row>
    <row r="357">
      <c r="A357" s="52"/>
      <c r="B357" s="15"/>
      <c r="C357" s="16"/>
      <c r="D357" s="15"/>
      <c r="E357" s="17"/>
      <c r="F357" s="54"/>
      <c r="G357" s="19"/>
      <c r="H357" s="17"/>
      <c r="I357" s="19"/>
      <c r="J357" s="21"/>
      <c r="K357" s="57"/>
      <c r="L357" s="24"/>
      <c r="M357" s="25"/>
      <c r="N357" s="25"/>
      <c r="O357" s="26"/>
      <c r="P357" s="26"/>
    </row>
    <row r="358">
      <c r="A358" s="52"/>
      <c r="B358" s="15"/>
      <c r="C358" s="16"/>
      <c r="D358" s="15"/>
      <c r="E358" s="17"/>
      <c r="F358" s="54"/>
      <c r="G358" s="19"/>
      <c r="H358" s="17"/>
      <c r="I358" s="19"/>
      <c r="J358" s="21"/>
      <c r="K358" s="57"/>
      <c r="L358" s="24"/>
      <c r="M358" s="25"/>
      <c r="N358" s="25"/>
      <c r="O358" s="26"/>
      <c r="P358" s="26"/>
    </row>
    <row r="359">
      <c r="A359" s="52"/>
      <c r="B359" s="15"/>
      <c r="C359" s="16"/>
      <c r="D359" s="15"/>
      <c r="E359" s="17"/>
      <c r="F359" s="54"/>
      <c r="G359" s="19"/>
      <c r="H359" s="17"/>
      <c r="I359" s="19"/>
      <c r="J359" s="21"/>
      <c r="K359" s="57"/>
      <c r="L359" s="24"/>
      <c r="M359" s="25"/>
      <c r="N359" s="25"/>
      <c r="O359" s="26"/>
      <c r="P359" s="26"/>
    </row>
    <row r="360">
      <c r="A360" s="52"/>
      <c r="B360" s="15"/>
      <c r="C360" s="16"/>
      <c r="D360" s="15"/>
      <c r="E360" s="17"/>
      <c r="F360" s="18"/>
      <c r="G360" s="19"/>
      <c r="H360" s="17"/>
      <c r="I360" s="19"/>
      <c r="J360" s="21"/>
      <c r="K360" s="57"/>
      <c r="L360" s="24"/>
      <c r="M360" s="25"/>
      <c r="N360" s="25"/>
      <c r="O360" s="26"/>
      <c r="P360" s="26"/>
    </row>
    <row r="361">
      <c r="A361" s="52"/>
      <c r="B361" s="15"/>
      <c r="C361" s="16"/>
      <c r="D361" s="15"/>
      <c r="E361" s="17"/>
      <c r="F361" s="54"/>
      <c r="G361" s="19"/>
      <c r="H361" s="17"/>
      <c r="I361" s="19"/>
      <c r="J361" s="21"/>
      <c r="K361" s="57"/>
      <c r="L361" s="24"/>
      <c r="M361" s="25"/>
      <c r="N361" s="25"/>
      <c r="O361" s="26"/>
      <c r="P361" s="26"/>
    </row>
    <row r="362">
      <c r="A362" s="52"/>
      <c r="B362" s="15"/>
      <c r="C362" s="16"/>
      <c r="D362" s="15"/>
      <c r="E362" s="17"/>
      <c r="F362" s="54"/>
      <c r="G362" s="19"/>
      <c r="H362" s="17"/>
      <c r="I362" s="19"/>
      <c r="J362" s="21"/>
      <c r="K362" s="57"/>
      <c r="L362" s="24"/>
      <c r="M362" s="25"/>
      <c r="N362" s="25"/>
      <c r="O362" s="26"/>
      <c r="P362" s="26"/>
    </row>
    <row r="363">
      <c r="A363" s="52"/>
      <c r="B363" s="15"/>
      <c r="C363" s="16"/>
      <c r="D363" s="15"/>
      <c r="E363" s="17"/>
      <c r="F363" s="54"/>
      <c r="G363" s="19"/>
      <c r="H363" s="17"/>
      <c r="I363" s="19"/>
      <c r="J363" s="21"/>
      <c r="K363" s="57"/>
      <c r="L363" s="24"/>
      <c r="M363" s="25"/>
      <c r="N363" s="25"/>
      <c r="O363" s="26"/>
      <c r="P363" s="26"/>
    </row>
    <row r="364">
      <c r="A364" s="52"/>
      <c r="B364" s="15"/>
      <c r="C364" s="16"/>
      <c r="D364" s="15"/>
      <c r="E364" s="17"/>
      <c r="F364" s="54"/>
      <c r="G364" s="19"/>
      <c r="H364" s="17"/>
      <c r="I364" s="19"/>
      <c r="J364" s="21"/>
      <c r="K364" s="57"/>
      <c r="L364" s="24"/>
      <c r="M364" s="25"/>
      <c r="N364" s="25"/>
      <c r="O364" s="26"/>
      <c r="P364" s="26"/>
    </row>
    <row r="365">
      <c r="A365" s="52"/>
      <c r="B365" s="15"/>
      <c r="C365" s="16"/>
      <c r="D365" s="15"/>
      <c r="E365" s="17"/>
      <c r="F365" s="54"/>
      <c r="G365" s="19"/>
      <c r="H365" s="17"/>
      <c r="I365" s="19"/>
      <c r="J365" s="21"/>
      <c r="K365" s="57"/>
      <c r="L365" s="24"/>
      <c r="M365" s="25"/>
      <c r="N365" s="25"/>
      <c r="O365" s="26"/>
      <c r="P365" s="26"/>
    </row>
    <row r="366">
      <c r="A366" s="52"/>
      <c r="B366" s="15"/>
      <c r="C366" s="16"/>
      <c r="D366" s="15"/>
      <c r="E366" s="17"/>
      <c r="F366" s="54"/>
      <c r="G366" s="19"/>
      <c r="H366" s="17"/>
      <c r="I366" s="19"/>
      <c r="J366" s="21"/>
      <c r="K366" s="57"/>
      <c r="L366" s="24"/>
      <c r="M366" s="25"/>
      <c r="N366" s="25"/>
      <c r="O366" s="26"/>
      <c r="P366" s="26"/>
    </row>
    <row r="367">
      <c r="A367" s="52"/>
      <c r="B367" s="15"/>
      <c r="C367" s="16"/>
      <c r="D367" s="15"/>
      <c r="E367" s="17"/>
      <c r="F367" s="54"/>
      <c r="G367" s="19"/>
      <c r="H367" s="17"/>
      <c r="I367" s="19"/>
      <c r="J367" s="21"/>
      <c r="K367" s="57"/>
      <c r="L367" s="24"/>
      <c r="M367" s="25"/>
      <c r="N367" s="25"/>
      <c r="O367" s="26"/>
      <c r="P367" s="26"/>
    </row>
    <row r="368">
      <c r="A368" s="52"/>
      <c r="B368" s="15"/>
      <c r="C368" s="16"/>
      <c r="D368" s="15"/>
      <c r="E368" s="17"/>
      <c r="F368" s="54"/>
      <c r="G368" s="19"/>
      <c r="H368" s="17"/>
      <c r="I368" s="19"/>
      <c r="J368" s="21"/>
      <c r="K368" s="57"/>
      <c r="L368" s="24"/>
      <c r="M368" s="25"/>
      <c r="N368" s="25"/>
      <c r="O368" s="26"/>
      <c r="P368" s="26"/>
    </row>
    <row r="369">
      <c r="A369" s="52"/>
      <c r="B369" s="15"/>
      <c r="C369" s="16"/>
      <c r="D369" s="15"/>
      <c r="E369" s="17"/>
      <c r="F369" s="54"/>
      <c r="G369" s="19"/>
      <c r="H369" s="17"/>
      <c r="I369" s="19"/>
      <c r="J369" s="21"/>
      <c r="K369" s="57"/>
      <c r="L369" s="24"/>
      <c r="M369" s="25"/>
      <c r="N369" s="25"/>
      <c r="O369" s="26"/>
      <c r="P369" s="26"/>
    </row>
    <row r="370">
      <c r="A370" s="52"/>
      <c r="B370" s="15"/>
      <c r="C370" s="16"/>
      <c r="D370" s="15"/>
      <c r="E370" s="17"/>
      <c r="F370" s="54"/>
      <c r="G370" s="19"/>
      <c r="H370" s="17"/>
      <c r="I370" s="19"/>
      <c r="J370" s="21"/>
      <c r="K370" s="57"/>
      <c r="L370" s="24"/>
      <c r="M370" s="25"/>
      <c r="N370" s="25"/>
      <c r="O370" s="26"/>
      <c r="P370" s="26"/>
    </row>
    <row r="371">
      <c r="A371" s="52"/>
      <c r="B371" s="15"/>
      <c r="C371" s="16"/>
      <c r="D371" s="15"/>
      <c r="E371" s="17"/>
      <c r="F371" s="54"/>
      <c r="G371" s="19"/>
      <c r="H371" s="17"/>
      <c r="I371" s="19"/>
      <c r="J371" s="21"/>
      <c r="K371" s="57"/>
      <c r="L371" s="24"/>
      <c r="M371" s="25"/>
      <c r="N371" s="25"/>
      <c r="O371" s="26"/>
      <c r="P371" s="26"/>
    </row>
    <row r="372">
      <c r="A372" s="52"/>
      <c r="B372" s="15"/>
      <c r="C372" s="16"/>
      <c r="D372" s="15"/>
      <c r="E372" s="17"/>
      <c r="F372" s="54"/>
      <c r="G372" s="19"/>
      <c r="H372" s="17"/>
      <c r="I372" s="19"/>
      <c r="J372" s="21"/>
      <c r="K372" s="57"/>
      <c r="L372" s="24"/>
      <c r="M372" s="25"/>
      <c r="N372" s="25"/>
      <c r="O372" s="26"/>
      <c r="P372" s="26"/>
    </row>
    <row r="373">
      <c r="A373" s="52"/>
      <c r="B373" s="15"/>
      <c r="C373" s="16"/>
      <c r="D373" s="15"/>
      <c r="E373" s="17"/>
      <c r="F373" s="54"/>
      <c r="G373" s="19"/>
      <c r="H373" s="17"/>
      <c r="I373" s="19"/>
      <c r="J373" s="21"/>
      <c r="K373" s="57"/>
      <c r="L373" s="24"/>
      <c r="M373" s="25"/>
      <c r="N373" s="25"/>
      <c r="O373" s="26"/>
      <c r="P373" s="26"/>
    </row>
    <row r="374">
      <c r="A374" s="52"/>
      <c r="B374" s="15"/>
      <c r="C374" s="16"/>
      <c r="D374" s="15"/>
      <c r="E374" s="17"/>
      <c r="F374" s="54"/>
      <c r="G374" s="19"/>
      <c r="H374" s="17"/>
      <c r="I374" s="19"/>
      <c r="J374" s="21"/>
      <c r="K374" s="57"/>
      <c r="L374" s="24"/>
      <c r="M374" s="25"/>
      <c r="N374" s="25"/>
      <c r="O374" s="26"/>
      <c r="P374" s="26"/>
    </row>
    <row r="375">
      <c r="A375" s="52"/>
      <c r="B375" s="15"/>
      <c r="C375" s="16"/>
      <c r="D375" s="15"/>
      <c r="E375" s="17"/>
      <c r="F375" s="54"/>
      <c r="G375" s="19"/>
      <c r="H375" s="17"/>
      <c r="I375" s="19"/>
      <c r="J375" s="21"/>
      <c r="K375" s="57"/>
      <c r="L375" s="24"/>
      <c r="M375" s="25"/>
      <c r="N375" s="25"/>
      <c r="O375" s="26"/>
      <c r="P375" s="26"/>
    </row>
    <row r="376">
      <c r="A376" s="52"/>
      <c r="B376" s="15"/>
      <c r="C376" s="16"/>
      <c r="D376" s="15"/>
      <c r="E376" s="17"/>
      <c r="F376" s="54"/>
      <c r="G376" s="19"/>
      <c r="H376" s="17"/>
      <c r="I376" s="19"/>
      <c r="J376" s="21"/>
      <c r="K376" s="57"/>
      <c r="L376" s="24"/>
      <c r="M376" s="25"/>
      <c r="N376" s="25"/>
      <c r="O376" s="26"/>
      <c r="P376" s="26"/>
    </row>
    <row r="377">
      <c r="A377" s="52"/>
      <c r="B377" s="15"/>
      <c r="C377" s="16"/>
      <c r="D377" s="15"/>
      <c r="E377" s="17"/>
      <c r="F377" s="54"/>
      <c r="G377" s="19"/>
      <c r="H377" s="17"/>
      <c r="I377" s="19"/>
      <c r="J377" s="21"/>
      <c r="K377" s="57"/>
      <c r="L377" s="24"/>
      <c r="M377" s="25"/>
      <c r="N377" s="25"/>
      <c r="O377" s="26"/>
      <c r="P377" s="26"/>
    </row>
    <row r="378">
      <c r="A378" s="52"/>
      <c r="B378" s="15"/>
      <c r="C378" s="16"/>
      <c r="D378" s="15"/>
      <c r="E378" s="17"/>
      <c r="F378" s="54"/>
      <c r="G378" s="19"/>
      <c r="H378" s="17"/>
      <c r="I378" s="19"/>
      <c r="J378" s="21"/>
      <c r="K378" s="57"/>
      <c r="L378" s="24"/>
      <c r="M378" s="25"/>
      <c r="N378" s="25"/>
      <c r="O378" s="26"/>
      <c r="P378" s="26"/>
    </row>
    <row r="379">
      <c r="A379" s="52"/>
      <c r="B379" s="15"/>
      <c r="C379" s="16"/>
      <c r="D379" s="15"/>
      <c r="E379" s="17"/>
      <c r="F379" s="54"/>
      <c r="G379" s="19"/>
      <c r="H379" s="17"/>
      <c r="I379" s="19"/>
      <c r="J379" s="21"/>
      <c r="K379" s="57"/>
      <c r="L379" s="24"/>
      <c r="M379" s="25"/>
      <c r="N379" s="25"/>
      <c r="O379" s="26"/>
      <c r="P379" s="26"/>
    </row>
    <row r="380">
      <c r="A380" s="52"/>
      <c r="B380" s="15"/>
      <c r="C380" s="16"/>
      <c r="D380" s="15"/>
      <c r="E380" s="17"/>
      <c r="F380" s="54"/>
      <c r="G380" s="19"/>
      <c r="H380" s="17"/>
      <c r="I380" s="19"/>
      <c r="J380" s="21"/>
      <c r="K380" s="57"/>
      <c r="L380" s="24"/>
      <c r="M380" s="25"/>
      <c r="N380" s="25"/>
      <c r="O380" s="26"/>
      <c r="P380" s="26"/>
    </row>
    <row r="381">
      <c r="A381" s="52"/>
      <c r="B381" s="15"/>
      <c r="C381" s="16"/>
      <c r="D381" s="15"/>
      <c r="E381" s="17"/>
      <c r="F381" s="54"/>
      <c r="G381" s="19"/>
      <c r="H381" s="17"/>
      <c r="I381" s="19"/>
      <c r="J381" s="21"/>
      <c r="K381" s="57"/>
      <c r="L381" s="24"/>
      <c r="M381" s="25"/>
      <c r="N381" s="25"/>
      <c r="O381" s="26"/>
      <c r="P381" s="26"/>
    </row>
    <row r="382">
      <c r="A382" s="52"/>
      <c r="B382" s="15"/>
      <c r="C382" s="16"/>
      <c r="D382" s="15"/>
      <c r="E382" s="17"/>
      <c r="F382" s="54"/>
      <c r="G382" s="19"/>
      <c r="H382" s="17"/>
      <c r="I382" s="19"/>
      <c r="J382" s="21"/>
      <c r="K382" s="57"/>
      <c r="L382" s="24"/>
      <c r="M382" s="25"/>
      <c r="N382" s="25"/>
      <c r="O382" s="26"/>
      <c r="P382" s="26"/>
    </row>
    <row r="383">
      <c r="A383" s="52"/>
      <c r="B383" s="15"/>
      <c r="C383" s="16"/>
      <c r="D383" s="15"/>
      <c r="E383" s="17"/>
      <c r="F383" s="54"/>
      <c r="G383" s="19"/>
      <c r="H383" s="17"/>
      <c r="I383" s="19"/>
      <c r="J383" s="21"/>
      <c r="K383" s="57"/>
      <c r="L383" s="24"/>
      <c r="M383" s="25"/>
      <c r="N383" s="25"/>
      <c r="O383" s="26"/>
      <c r="P383" s="26"/>
    </row>
    <row r="384">
      <c r="A384" s="52"/>
      <c r="B384" s="15"/>
      <c r="C384" s="16"/>
      <c r="D384" s="15"/>
      <c r="E384" s="17"/>
      <c r="F384" s="54"/>
      <c r="G384" s="19"/>
      <c r="H384" s="17"/>
      <c r="I384" s="19"/>
      <c r="J384" s="21"/>
      <c r="K384" s="57"/>
      <c r="L384" s="24"/>
      <c r="M384" s="25"/>
      <c r="N384" s="25"/>
      <c r="O384" s="26"/>
      <c r="P384" s="26"/>
    </row>
    <row r="385">
      <c r="A385" s="52"/>
      <c r="B385" s="15"/>
      <c r="C385" s="16"/>
      <c r="D385" s="15"/>
      <c r="E385" s="17"/>
      <c r="F385" s="54"/>
      <c r="G385" s="19"/>
      <c r="H385" s="17"/>
      <c r="I385" s="19"/>
      <c r="J385" s="21"/>
      <c r="K385" s="57"/>
      <c r="L385" s="24"/>
      <c r="M385" s="25"/>
      <c r="N385" s="25"/>
      <c r="O385" s="26"/>
      <c r="P385" s="26"/>
    </row>
    <row r="386">
      <c r="A386" s="52"/>
      <c r="B386" s="15"/>
      <c r="C386" s="16"/>
      <c r="D386" s="15"/>
      <c r="E386" s="17"/>
      <c r="F386" s="54"/>
      <c r="G386" s="19"/>
      <c r="H386" s="17"/>
      <c r="I386" s="19"/>
      <c r="J386" s="21"/>
      <c r="K386" s="57"/>
      <c r="L386" s="24"/>
      <c r="M386" s="25"/>
      <c r="N386" s="25"/>
      <c r="O386" s="26"/>
      <c r="P386" s="26"/>
    </row>
    <row r="387">
      <c r="A387" s="52"/>
      <c r="B387" s="15"/>
      <c r="C387" s="16"/>
      <c r="D387" s="15"/>
      <c r="E387" s="17"/>
      <c r="F387" s="54"/>
      <c r="G387" s="19"/>
      <c r="H387" s="17"/>
      <c r="I387" s="19"/>
      <c r="J387" s="21"/>
      <c r="K387" s="57"/>
      <c r="L387" s="24"/>
      <c r="M387" s="25"/>
      <c r="N387" s="25"/>
      <c r="O387" s="26"/>
      <c r="P387" s="26"/>
    </row>
    <row r="388">
      <c r="A388" s="52"/>
      <c r="B388" s="15"/>
      <c r="C388" s="16"/>
      <c r="D388" s="15"/>
      <c r="E388" s="17"/>
      <c r="F388" s="54"/>
      <c r="G388" s="19"/>
      <c r="H388" s="17"/>
      <c r="I388" s="19"/>
      <c r="J388" s="21"/>
      <c r="K388" s="57"/>
      <c r="L388" s="24"/>
      <c r="M388" s="25"/>
      <c r="N388" s="25"/>
      <c r="O388" s="26"/>
      <c r="P388" s="26"/>
    </row>
    <row r="389">
      <c r="A389" s="52"/>
      <c r="B389" s="15"/>
      <c r="C389" s="16"/>
      <c r="D389" s="15"/>
      <c r="E389" s="17"/>
      <c r="F389" s="54"/>
      <c r="G389" s="19"/>
      <c r="H389" s="17"/>
      <c r="I389" s="19"/>
      <c r="J389" s="21"/>
      <c r="K389" s="57"/>
      <c r="L389" s="24"/>
      <c r="M389" s="25"/>
      <c r="N389" s="25"/>
      <c r="O389" s="26"/>
      <c r="P389" s="26"/>
    </row>
    <row r="390">
      <c r="A390" s="52"/>
      <c r="B390" s="15"/>
      <c r="C390" s="16"/>
      <c r="D390" s="15"/>
      <c r="E390" s="17"/>
      <c r="F390" s="54"/>
      <c r="G390" s="19"/>
      <c r="H390" s="17"/>
      <c r="I390" s="19"/>
      <c r="J390" s="21"/>
      <c r="K390" s="57"/>
      <c r="L390" s="24"/>
      <c r="M390" s="25"/>
      <c r="N390" s="25"/>
      <c r="O390" s="26"/>
      <c r="P390" s="26"/>
    </row>
    <row r="391">
      <c r="A391" s="52"/>
      <c r="B391" s="15"/>
      <c r="C391" s="16"/>
      <c r="D391" s="15"/>
      <c r="E391" s="17"/>
      <c r="F391" s="54"/>
      <c r="G391" s="19"/>
      <c r="H391" s="17"/>
      <c r="I391" s="19"/>
      <c r="J391" s="21"/>
      <c r="K391" s="57"/>
      <c r="L391" s="24"/>
      <c r="M391" s="25"/>
      <c r="N391" s="25"/>
      <c r="O391" s="26"/>
      <c r="P391" s="26"/>
    </row>
    <row r="392">
      <c r="A392" s="52"/>
      <c r="B392" s="15"/>
      <c r="C392" s="16"/>
      <c r="D392" s="15"/>
      <c r="E392" s="17"/>
      <c r="F392" s="54"/>
      <c r="G392" s="19"/>
      <c r="H392" s="17"/>
      <c r="I392" s="19"/>
      <c r="J392" s="21"/>
      <c r="K392" s="57"/>
      <c r="L392" s="24"/>
      <c r="M392" s="25"/>
      <c r="N392" s="25"/>
      <c r="O392" s="26"/>
      <c r="P392" s="26"/>
    </row>
    <row r="393">
      <c r="A393" s="52"/>
      <c r="B393" s="15"/>
      <c r="C393" s="16"/>
      <c r="D393" s="15"/>
      <c r="E393" s="17"/>
      <c r="F393" s="54"/>
      <c r="G393" s="19"/>
      <c r="H393" s="17"/>
      <c r="I393" s="19"/>
      <c r="J393" s="21"/>
      <c r="K393" s="57"/>
      <c r="L393" s="24"/>
      <c r="M393" s="25"/>
      <c r="N393" s="25"/>
      <c r="O393" s="26"/>
      <c r="P393" s="26"/>
    </row>
    <row r="394">
      <c r="A394" s="52"/>
      <c r="B394" s="15"/>
      <c r="C394" s="16"/>
      <c r="D394" s="15"/>
      <c r="E394" s="17"/>
      <c r="F394" s="54"/>
      <c r="G394" s="19"/>
      <c r="H394" s="17"/>
      <c r="I394" s="19"/>
      <c r="J394" s="21"/>
      <c r="K394" s="57"/>
      <c r="L394" s="24"/>
      <c r="M394" s="25"/>
      <c r="N394" s="25"/>
      <c r="O394" s="26"/>
      <c r="P394" s="26"/>
    </row>
    <row r="395">
      <c r="A395" s="52"/>
      <c r="B395" s="15"/>
      <c r="C395" s="16"/>
      <c r="D395" s="15"/>
      <c r="E395" s="17"/>
      <c r="F395" s="54"/>
      <c r="G395" s="19"/>
      <c r="H395" s="17"/>
      <c r="I395" s="19"/>
      <c r="J395" s="21"/>
      <c r="K395" s="57"/>
      <c r="L395" s="24"/>
      <c r="M395" s="25"/>
      <c r="N395" s="25"/>
      <c r="O395" s="26"/>
      <c r="P395" s="26"/>
    </row>
    <row r="396">
      <c r="A396" s="52"/>
      <c r="B396" s="15"/>
      <c r="C396" s="16"/>
      <c r="D396" s="15"/>
      <c r="E396" s="17"/>
      <c r="F396" s="54"/>
      <c r="G396" s="19"/>
      <c r="H396" s="17"/>
      <c r="I396" s="19"/>
      <c r="J396" s="21"/>
      <c r="K396" s="57"/>
      <c r="L396" s="24"/>
      <c r="M396" s="25"/>
      <c r="N396" s="25"/>
      <c r="O396" s="26"/>
      <c r="P396" s="26"/>
    </row>
    <row r="397">
      <c r="A397" s="52"/>
      <c r="B397" s="15"/>
      <c r="C397" s="16"/>
      <c r="D397" s="15"/>
      <c r="E397" s="17"/>
      <c r="F397" s="54"/>
      <c r="G397" s="19"/>
      <c r="H397" s="17"/>
      <c r="I397" s="19"/>
      <c r="J397" s="21"/>
      <c r="K397" s="57"/>
      <c r="L397" s="24"/>
      <c r="M397" s="25"/>
      <c r="N397" s="25"/>
      <c r="O397" s="26"/>
      <c r="P397" s="26"/>
    </row>
    <row r="398">
      <c r="A398" s="52"/>
      <c r="B398" s="15"/>
      <c r="C398" s="16"/>
      <c r="D398" s="15"/>
      <c r="E398" s="17"/>
      <c r="F398" s="54"/>
      <c r="G398" s="19"/>
      <c r="H398" s="17"/>
      <c r="I398" s="19"/>
      <c r="J398" s="21"/>
      <c r="K398" s="57"/>
      <c r="L398" s="24"/>
      <c r="M398" s="25"/>
      <c r="N398" s="25"/>
      <c r="O398" s="26"/>
      <c r="P398" s="26"/>
    </row>
    <row r="399">
      <c r="A399" s="52"/>
      <c r="B399" s="15"/>
      <c r="C399" s="16"/>
      <c r="D399" s="15"/>
      <c r="E399" s="17"/>
      <c r="F399" s="54"/>
      <c r="G399" s="19"/>
      <c r="H399" s="17"/>
      <c r="I399" s="19"/>
      <c r="J399" s="21"/>
      <c r="K399" s="57"/>
      <c r="L399" s="24"/>
      <c r="M399" s="25"/>
      <c r="N399" s="25"/>
      <c r="O399" s="26"/>
      <c r="P399" s="26"/>
    </row>
    <row r="400">
      <c r="A400" s="52"/>
      <c r="B400" s="15"/>
      <c r="C400" s="16"/>
      <c r="D400" s="15"/>
      <c r="E400" s="17"/>
      <c r="F400" s="54"/>
      <c r="G400" s="19"/>
      <c r="H400" s="17"/>
      <c r="I400" s="19"/>
      <c r="J400" s="21"/>
      <c r="K400" s="57"/>
      <c r="L400" s="24"/>
      <c r="M400" s="25"/>
      <c r="N400" s="25"/>
      <c r="O400" s="26"/>
      <c r="P400" s="26"/>
    </row>
    <row r="401">
      <c r="A401" s="52"/>
      <c r="B401" s="15"/>
      <c r="C401" s="16"/>
      <c r="D401" s="15"/>
      <c r="E401" s="17"/>
      <c r="F401" s="54"/>
      <c r="G401" s="19"/>
      <c r="H401" s="17"/>
      <c r="I401" s="19"/>
      <c r="J401" s="21"/>
      <c r="K401" s="57"/>
      <c r="L401" s="24"/>
      <c r="M401" s="25"/>
      <c r="N401" s="25"/>
      <c r="O401" s="26"/>
      <c r="P401" s="26"/>
    </row>
    <row r="402">
      <c r="A402" s="52"/>
      <c r="B402" s="15"/>
      <c r="C402" s="16"/>
      <c r="D402" s="15"/>
      <c r="E402" s="17"/>
      <c r="F402" s="54"/>
      <c r="G402" s="19"/>
      <c r="H402" s="17"/>
      <c r="I402" s="19"/>
      <c r="J402" s="21"/>
      <c r="K402" s="57"/>
      <c r="L402" s="24"/>
      <c r="M402" s="25"/>
      <c r="N402" s="25"/>
      <c r="O402" s="26"/>
      <c r="P402" s="26"/>
    </row>
    <row r="403">
      <c r="A403" s="52"/>
      <c r="B403" s="15"/>
      <c r="C403" s="16"/>
      <c r="D403" s="15"/>
      <c r="E403" s="17"/>
      <c r="F403" s="54"/>
      <c r="G403" s="19"/>
      <c r="H403" s="17"/>
      <c r="I403" s="19"/>
      <c r="J403" s="21"/>
      <c r="K403" s="57"/>
      <c r="L403" s="24"/>
      <c r="M403" s="25"/>
      <c r="N403" s="25"/>
      <c r="O403" s="26"/>
      <c r="P403" s="26"/>
    </row>
    <row r="404">
      <c r="A404" s="52"/>
      <c r="B404" s="15"/>
      <c r="C404" s="16"/>
      <c r="D404" s="15"/>
      <c r="E404" s="17"/>
      <c r="F404" s="54"/>
      <c r="G404" s="19"/>
      <c r="H404" s="17"/>
      <c r="I404" s="19"/>
      <c r="J404" s="21"/>
      <c r="K404" s="57"/>
      <c r="L404" s="24"/>
      <c r="M404" s="25"/>
      <c r="N404" s="25"/>
      <c r="O404" s="26"/>
      <c r="P404" s="26"/>
    </row>
    <row r="405">
      <c r="A405" s="52"/>
      <c r="B405" s="15"/>
      <c r="C405" s="16"/>
      <c r="D405" s="15"/>
      <c r="E405" s="17"/>
      <c r="F405" s="54"/>
      <c r="G405" s="19"/>
      <c r="H405" s="17"/>
      <c r="I405" s="19"/>
      <c r="J405" s="21"/>
      <c r="K405" s="57"/>
      <c r="L405" s="24"/>
      <c r="M405" s="25"/>
      <c r="N405" s="25"/>
      <c r="O405" s="26"/>
      <c r="P405" s="26"/>
    </row>
    <row r="406">
      <c r="A406" s="52"/>
      <c r="B406" s="15"/>
      <c r="C406" s="16"/>
      <c r="D406" s="15"/>
      <c r="E406" s="17"/>
      <c r="F406" s="54"/>
      <c r="G406" s="19"/>
      <c r="H406" s="17"/>
      <c r="I406" s="19"/>
      <c r="J406" s="21"/>
      <c r="K406" s="57"/>
      <c r="L406" s="24"/>
      <c r="M406" s="25"/>
      <c r="N406" s="25"/>
      <c r="O406" s="26"/>
      <c r="P406" s="26"/>
    </row>
    <row r="407">
      <c r="A407" s="52"/>
      <c r="B407" s="15"/>
      <c r="C407" s="16"/>
      <c r="D407" s="15"/>
      <c r="E407" s="17"/>
      <c r="F407" s="54"/>
      <c r="G407" s="19"/>
      <c r="H407" s="17"/>
      <c r="I407" s="19"/>
      <c r="J407" s="21"/>
      <c r="K407" s="57"/>
      <c r="L407" s="24"/>
      <c r="M407" s="25"/>
      <c r="N407" s="25"/>
      <c r="O407" s="26"/>
      <c r="P407" s="26"/>
    </row>
    <row r="408">
      <c r="A408" s="52"/>
      <c r="B408" s="15"/>
      <c r="C408" s="16"/>
      <c r="D408" s="15"/>
      <c r="E408" s="17"/>
      <c r="F408" s="54"/>
      <c r="G408" s="19"/>
      <c r="H408" s="17"/>
      <c r="I408" s="19"/>
      <c r="J408" s="21"/>
      <c r="K408" s="57"/>
      <c r="L408" s="24"/>
      <c r="M408" s="25"/>
      <c r="N408" s="25"/>
      <c r="O408" s="26"/>
      <c r="P408" s="26"/>
    </row>
    <row r="409">
      <c r="A409" s="52"/>
      <c r="B409" s="15"/>
      <c r="C409" s="16"/>
      <c r="D409" s="15"/>
      <c r="E409" s="17"/>
      <c r="F409" s="54"/>
      <c r="G409" s="19"/>
      <c r="H409" s="17"/>
      <c r="I409" s="19"/>
      <c r="J409" s="21"/>
      <c r="K409" s="57"/>
      <c r="L409" s="24"/>
      <c r="M409" s="25"/>
      <c r="N409" s="25"/>
      <c r="O409" s="26"/>
      <c r="P409" s="26"/>
    </row>
    <row r="410">
      <c r="A410" s="52"/>
      <c r="B410" s="15"/>
      <c r="C410" s="16"/>
      <c r="D410" s="15"/>
      <c r="E410" s="17"/>
      <c r="F410" s="54"/>
      <c r="G410" s="19"/>
      <c r="H410" s="17"/>
      <c r="I410" s="19"/>
      <c r="J410" s="21"/>
      <c r="K410" s="57"/>
      <c r="L410" s="24"/>
      <c r="M410" s="25"/>
      <c r="N410" s="25"/>
      <c r="O410" s="26"/>
      <c r="P410" s="26"/>
    </row>
    <row r="411">
      <c r="A411" s="52"/>
      <c r="B411" s="15"/>
      <c r="C411" s="16"/>
      <c r="D411" s="15"/>
      <c r="E411" s="17"/>
      <c r="F411" s="54"/>
      <c r="G411" s="19"/>
      <c r="H411" s="17"/>
      <c r="I411" s="19"/>
      <c r="J411" s="21"/>
      <c r="K411" s="57"/>
      <c r="L411" s="24"/>
      <c r="M411" s="25"/>
      <c r="N411" s="25"/>
      <c r="O411" s="26"/>
      <c r="P411" s="26"/>
    </row>
    <row r="412">
      <c r="A412" s="52"/>
      <c r="B412" s="15"/>
      <c r="C412" s="16"/>
      <c r="D412" s="15"/>
      <c r="E412" s="17"/>
      <c r="F412" s="54"/>
      <c r="G412" s="19"/>
      <c r="H412" s="17"/>
      <c r="I412" s="19"/>
      <c r="J412" s="21"/>
      <c r="K412" s="57"/>
      <c r="L412" s="24"/>
      <c r="M412" s="25"/>
      <c r="N412" s="25"/>
      <c r="O412" s="26"/>
      <c r="P412" s="26"/>
    </row>
    <row r="413">
      <c r="A413" s="52"/>
      <c r="B413" s="15"/>
      <c r="C413" s="16"/>
      <c r="D413" s="15"/>
      <c r="E413" s="17"/>
      <c r="F413" s="54"/>
      <c r="G413" s="19"/>
      <c r="H413" s="17"/>
      <c r="I413" s="19"/>
      <c r="J413" s="21"/>
      <c r="K413" s="57"/>
      <c r="L413" s="24"/>
      <c r="M413" s="25"/>
      <c r="N413" s="25"/>
      <c r="O413" s="26"/>
      <c r="P413" s="26"/>
    </row>
    <row r="414">
      <c r="A414" s="52"/>
      <c r="B414" s="15"/>
      <c r="C414" s="16"/>
      <c r="D414" s="15"/>
      <c r="E414" s="17"/>
      <c r="F414" s="54"/>
      <c r="G414" s="19"/>
      <c r="H414" s="17"/>
      <c r="I414" s="19"/>
      <c r="J414" s="21"/>
      <c r="K414" s="57"/>
      <c r="L414" s="24"/>
      <c r="M414" s="25"/>
      <c r="N414" s="25"/>
      <c r="O414" s="26"/>
      <c r="P414" s="26"/>
    </row>
    <row r="415">
      <c r="A415" s="52"/>
      <c r="B415" s="15"/>
      <c r="C415" s="16"/>
      <c r="D415" s="15"/>
      <c r="E415" s="17"/>
      <c r="F415" s="54"/>
      <c r="G415" s="19"/>
      <c r="H415" s="17"/>
      <c r="I415" s="19"/>
      <c r="J415" s="21"/>
      <c r="K415" s="57"/>
      <c r="L415" s="24"/>
      <c r="M415" s="25"/>
      <c r="N415" s="25"/>
      <c r="O415" s="26"/>
      <c r="P415" s="26"/>
    </row>
    <row r="416">
      <c r="A416" s="52"/>
      <c r="B416" s="15"/>
      <c r="C416" s="16"/>
      <c r="D416" s="15"/>
      <c r="E416" s="17"/>
      <c r="F416" s="54"/>
      <c r="G416" s="19"/>
      <c r="H416" s="17"/>
      <c r="I416" s="19"/>
      <c r="J416" s="21"/>
      <c r="K416" s="57"/>
      <c r="L416" s="24"/>
      <c r="M416" s="25"/>
      <c r="N416" s="25"/>
      <c r="O416" s="26"/>
      <c r="P416" s="26"/>
    </row>
    <row r="417">
      <c r="A417" s="52"/>
      <c r="B417" s="15"/>
      <c r="C417" s="16"/>
      <c r="D417" s="15"/>
      <c r="E417" s="17"/>
      <c r="F417" s="54"/>
      <c r="G417" s="19"/>
      <c r="H417" s="17"/>
      <c r="I417" s="19"/>
      <c r="J417" s="21"/>
      <c r="K417" s="57"/>
      <c r="L417" s="24"/>
      <c r="M417" s="25"/>
      <c r="N417" s="25"/>
      <c r="O417" s="26"/>
      <c r="P417" s="26"/>
    </row>
    <row r="418">
      <c r="A418" s="52"/>
      <c r="B418" s="15"/>
      <c r="C418" s="16"/>
      <c r="D418" s="15"/>
      <c r="E418" s="17"/>
      <c r="F418" s="54"/>
      <c r="G418" s="19"/>
      <c r="H418" s="17"/>
      <c r="I418" s="19"/>
      <c r="J418" s="21"/>
      <c r="K418" s="57"/>
      <c r="L418" s="24"/>
      <c r="M418" s="25"/>
      <c r="N418" s="25"/>
      <c r="O418" s="26"/>
      <c r="P418" s="26"/>
    </row>
    <row r="419">
      <c r="A419" s="52"/>
      <c r="B419" s="15"/>
      <c r="C419" s="16"/>
      <c r="D419" s="15"/>
      <c r="E419" s="17"/>
      <c r="F419" s="54"/>
      <c r="G419" s="19"/>
      <c r="H419" s="17"/>
      <c r="I419" s="19"/>
      <c r="J419" s="21"/>
      <c r="K419" s="57"/>
      <c r="L419" s="24"/>
      <c r="M419" s="25"/>
      <c r="N419" s="25"/>
      <c r="O419" s="26"/>
      <c r="P419" s="26"/>
    </row>
    <row r="420">
      <c r="A420" s="52"/>
      <c r="B420" s="15"/>
      <c r="C420" s="16"/>
      <c r="D420" s="15"/>
      <c r="E420" s="17"/>
      <c r="F420" s="54"/>
      <c r="G420" s="19"/>
      <c r="H420" s="17"/>
      <c r="I420" s="19"/>
      <c r="J420" s="21"/>
      <c r="K420" s="57"/>
      <c r="L420" s="24"/>
      <c r="M420" s="25"/>
      <c r="N420" s="25"/>
      <c r="O420" s="26"/>
      <c r="P420" s="26"/>
    </row>
    <row r="421">
      <c r="A421" s="52"/>
      <c r="B421" s="15"/>
      <c r="C421" s="16"/>
      <c r="D421" s="15"/>
      <c r="E421" s="17"/>
      <c r="F421" s="54"/>
      <c r="G421" s="19"/>
      <c r="H421" s="17"/>
      <c r="I421" s="19"/>
      <c r="J421" s="21"/>
      <c r="K421" s="57"/>
      <c r="L421" s="24"/>
      <c r="M421" s="25"/>
      <c r="N421" s="25"/>
      <c r="O421" s="26"/>
      <c r="P421" s="26"/>
    </row>
    <row r="422">
      <c r="A422" s="52"/>
      <c r="B422" s="15"/>
      <c r="C422" s="16"/>
      <c r="D422" s="15"/>
      <c r="E422" s="17"/>
      <c r="F422" s="54"/>
      <c r="G422" s="19"/>
      <c r="H422" s="17"/>
      <c r="I422" s="19"/>
      <c r="J422" s="21"/>
      <c r="K422" s="57"/>
      <c r="L422" s="24"/>
      <c r="M422" s="25"/>
      <c r="N422" s="25"/>
      <c r="O422" s="26"/>
      <c r="P422" s="26"/>
    </row>
    <row r="423">
      <c r="A423" s="52"/>
      <c r="B423" s="15"/>
      <c r="C423" s="16"/>
      <c r="D423" s="15"/>
      <c r="E423" s="17"/>
      <c r="F423" s="54"/>
      <c r="G423" s="19"/>
      <c r="H423" s="17"/>
      <c r="I423" s="19"/>
      <c r="J423" s="21"/>
      <c r="K423" s="57"/>
      <c r="L423" s="24"/>
      <c r="M423" s="25"/>
      <c r="N423" s="25"/>
      <c r="O423" s="26"/>
      <c r="P423" s="26"/>
    </row>
    <row r="424">
      <c r="A424" s="52"/>
      <c r="B424" s="15"/>
      <c r="C424" s="16"/>
      <c r="D424" s="15"/>
      <c r="E424" s="17"/>
      <c r="F424" s="54"/>
      <c r="G424" s="19"/>
      <c r="H424" s="17"/>
      <c r="I424" s="19"/>
      <c r="J424" s="21"/>
      <c r="K424" s="57"/>
      <c r="L424" s="24"/>
      <c r="M424" s="25"/>
      <c r="N424" s="25"/>
      <c r="O424" s="26"/>
      <c r="P424" s="26"/>
    </row>
    <row r="425">
      <c r="A425" s="52"/>
      <c r="B425" s="15"/>
      <c r="C425" s="16"/>
      <c r="D425" s="15"/>
      <c r="E425" s="17"/>
      <c r="F425" s="54"/>
      <c r="G425" s="19"/>
      <c r="H425" s="17"/>
      <c r="I425" s="19"/>
      <c r="J425" s="21"/>
      <c r="K425" s="57"/>
      <c r="L425" s="24"/>
      <c r="M425" s="25"/>
      <c r="N425" s="25"/>
      <c r="O425" s="26"/>
      <c r="P425" s="26"/>
    </row>
    <row r="426">
      <c r="A426" s="52"/>
      <c r="B426" s="15"/>
      <c r="C426" s="16"/>
      <c r="D426" s="15"/>
      <c r="E426" s="17"/>
      <c r="F426" s="54"/>
      <c r="G426" s="19"/>
      <c r="H426" s="17"/>
      <c r="I426" s="19"/>
      <c r="J426" s="21"/>
      <c r="K426" s="57"/>
      <c r="L426" s="24"/>
      <c r="M426" s="25"/>
      <c r="N426" s="25"/>
      <c r="O426" s="26"/>
      <c r="P426" s="26"/>
    </row>
    <row r="427">
      <c r="A427" s="52"/>
      <c r="B427" s="15"/>
      <c r="C427" s="16"/>
      <c r="D427" s="15"/>
      <c r="E427" s="17"/>
      <c r="F427" s="54"/>
      <c r="G427" s="19"/>
      <c r="H427" s="17"/>
      <c r="I427" s="19"/>
      <c r="J427" s="21"/>
      <c r="K427" s="57"/>
      <c r="L427" s="24"/>
      <c r="M427" s="25"/>
      <c r="N427" s="25"/>
      <c r="O427" s="26"/>
      <c r="P427" s="26"/>
    </row>
    <row r="428">
      <c r="A428" s="52"/>
      <c r="B428" s="15"/>
      <c r="C428" s="16"/>
      <c r="D428" s="15"/>
      <c r="E428" s="17"/>
      <c r="F428" s="54"/>
      <c r="G428" s="19"/>
      <c r="H428" s="17"/>
      <c r="I428" s="19"/>
      <c r="J428" s="21"/>
      <c r="K428" s="57"/>
      <c r="L428" s="24"/>
      <c r="M428" s="25"/>
      <c r="N428" s="25"/>
      <c r="O428" s="26"/>
      <c r="P428" s="26"/>
    </row>
    <row r="429">
      <c r="A429" s="52"/>
      <c r="B429" s="15"/>
      <c r="C429" s="16"/>
      <c r="D429" s="15"/>
      <c r="E429" s="17"/>
      <c r="F429" s="54"/>
      <c r="G429" s="19"/>
      <c r="H429" s="17"/>
      <c r="I429" s="19"/>
      <c r="J429" s="21"/>
      <c r="K429" s="57"/>
      <c r="L429" s="24"/>
      <c r="M429" s="25"/>
      <c r="N429" s="25"/>
      <c r="O429" s="26"/>
      <c r="P429" s="26"/>
    </row>
    <row r="430">
      <c r="A430" s="52"/>
      <c r="B430" s="15"/>
      <c r="C430" s="16"/>
      <c r="D430" s="15"/>
      <c r="E430" s="17"/>
      <c r="F430" s="54"/>
      <c r="G430" s="19"/>
      <c r="H430" s="17"/>
      <c r="I430" s="19"/>
      <c r="J430" s="21"/>
      <c r="K430" s="57"/>
      <c r="L430" s="24"/>
      <c r="M430" s="25"/>
      <c r="N430" s="25"/>
      <c r="O430" s="26"/>
      <c r="P430" s="26"/>
    </row>
    <row r="431">
      <c r="A431" s="52"/>
      <c r="B431" s="15"/>
      <c r="C431" s="16"/>
      <c r="D431" s="15"/>
      <c r="E431" s="17"/>
      <c r="F431" s="54"/>
      <c r="G431" s="19"/>
      <c r="H431" s="17"/>
      <c r="I431" s="19"/>
      <c r="J431" s="21"/>
      <c r="K431" s="57"/>
      <c r="L431" s="24"/>
      <c r="M431" s="25"/>
      <c r="N431" s="25"/>
      <c r="O431" s="26"/>
      <c r="P431" s="26"/>
    </row>
    <row r="432">
      <c r="A432" s="52"/>
      <c r="B432" s="15"/>
      <c r="C432" s="16"/>
      <c r="D432" s="15"/>
      <c r="E432" s="17"/>
      <c r="F432" s="54"/>
      <c r="G432" s="19"/>
      <c r="H432" s="17"/>
      <c r="I432" s="19"/>
      <c r="J432" s="21"/>
      <c r="K432" s="57"/>
      <c r="L432" s="24"/>
      <c r="M432" s="25"/>
      <c r="N432" s="25"/>
      <c r="O432" s="26"/>
      <c r="P432" s="26"/>
    </row>
    <row r="433">
      <c r="A433" s="52"/>
      <c r="B433" s="15"/>
      <c r="C433" s="16"/>
      <c r="D433" s="15"/>
      <c r="E433" s="17"/>
      <c r="F433" s="54"/>
      <c r="G433" s="19"/>
      <c r="H433" s="17"/>
      <c r="I433" s="19"/>
      <c r="J433" s="21"/>
      <c r="K433" s="57"/>
      <c r="L433" s="24"/>
      <c r="M433" s="25"/>
      <c r="N433" s="25"/>
      <c r="O433" s="26"/>
      <c r="P433" s="26"/>
    </row>
    <row r="434">
      <c r="A434" s="52"/>
      <c r="B434" s="15"/>
      <c r="C434" s="16"/>
      <c r="D434" s="15"/>
      <c r="E434" s="17"/>
      <c r="F434" s="54"/>
      <c r="G434" s="19"/>
      <c r="H434" s="17"/>
      <c r="I434" s="19"/>
      <c r="J434" s="21"/>
      <c r="K434" s="57"/>
      <c r="L434" s="24"/>
      <c r="M434" s="25"/>
      <c r="N434" s="25"/>
      <c r="O434" s="26"/>
      <c r="P434" s="26"/>
    </row>
    <row r="435">
      <c r="A435" s="52"/>
      <c r="B435" s="15"/>
      <c r="C435" s="16"/>
      <c r="D435" s="15"/>
      <c r="E435" s="17"/>
      <c r="F435" s="54"/>
      <c r="G435" s="19"/>
      <c r="H435" s="17"/>
      <c r="I435" s="19"/>
      <c r="J435" s="21"/>
      <c r="K435" s="57"/>
      <c r="L435" s="24"/>
      <c r="M435" s="25"/>
      <c r="N435" s="25"/>
      <c r="O435" s="26"/>
      <c r="P435" s="26"/>
    </row>
    <row r="436">
      <c r="A436" s="52"/>
      <c r="B436" s="15"/>
      <c r="C436" s="16"/>
      <c r="D436" s="15"/>
      <c r="E436" s="17"/>
      <c r="F436" s="54"/>
      <c r="G436" s="19"/>
      <c r="H436" s="17"/>
      <c r="I436" s="19"/>
      <c r="J436" s="21"/>
      <c r="K436" s="57"/>
      <c r="L436" s="24"/>
      <c r="M436" s="25"/>
      <c r="N436" s="25"/>
      <c r="O436" s="26"/>
      <c r="P436" s="26"/>
    </row>
    <row r="437">
      <c r="A437" s="52"/>
      <c r="B437" s="15"/>
      <c r="C437" s="16"/>
      <c r="D437" s="15"/>
      <c r="E437" s="17"/>
      <c r="F437" s="54"/>
      <c r="G437" s="19"/>
      <c r="H437" s="17"/>
      <c r="I437" s="19"/>
      <c r="J437" s="21"/>
      <c r="K437" s="57"/>
      <c r="L437" s="24"/>
      <c r="M437" s="25"/>
      <c r="N437" s="25"/>
      <c r="O437" s="26"/>
      <c r="P437" s="26"/>
    </row>
    <row r="438">
      <c r="A438" s="52"/>
      <c r="B438" s="15"/>
      <c r="C438" s="16"/>
      <c r="D438" s="15"/>
      <c r="E438" s="17"/>
      <c r="F438" s="54"/>
      <c r="G438" s="19"/>
      <c r="H438" s="17"/>
      <c r="I438" s="19"/>
      <c r="J438" s="21"/>
      <c r="K438" s="57"/>
      <c r="L438" s="24"/>
      <c r="M438" s="25"/>
      <c r="N438" s="25"/>
      <c r="O438" s="26"/>
      <c r="P438" s="26"/>
    </row>
    <row r="439">
      <c r="A439" s="52"/>
      <c r="B439" s="15"/>
      <c r="C439" s="16"/>
      <c r="D439" s="15"/>
      <c r="E439" s="17"/>
      <c r="F439" s="54"/>
      <c r="G439" s="19"/>
      <c r="H439" s="17"/>
      <c r="I439" s="19"/>
      <c r="J439" s="21"/>
      <c r="K439" s="57"/>
      <c r="L439" s="24"/>
      <c r="M439" s="25"/>
      <c r="N439" s="25"/>
      <c r="O439" s="26"/>
      <c r="P439" s="26"/>
    </row>
    <row r="440">
      <c r="A440" s="52"/>
      <c r="B440" s="15"/>
      <c r="C440" s="16"/>
      <c r="D440" s="15"/>
      <c r="E440" s="17"/>
      <c r="F440" s="54"/>
      <c r="G440" s="19"/>
      <c r="H440" s="17"/>
      <c r="I440" s="19"/>
      <c r="J440" s="21"/>
      <c r="K440" s="57"/>
      <c r="L440" s="24"/>
      <c r="M440" s="25"/>
      <c r="N440" s="25"/>
      <c r="O440" s="26"/>
      <c r="P440" s="26"/>
    </row>
    <row r="441">
      <c r="A441" s="52"/>
      <c r="B441" s="15"/>
      <c r="C441" s="16"/>
      <c r="D441" s="15"/>
      <c r="E441" s="17"/>
      <c r="F441" s="54"/>
      <c r="G441" s="19"/>
      <c r="H441" s="17"/>
      <c r="I441" s="19"/>
      <c r="J441" s="21"/>
      <c r="K441" s="57"/>
      <c r="L441" s="24"/>
      <c r="M441" s="25"/>
      <c r="N441" s="25"/>
      <c r="O441" s="26"/>
      <c r="P441" s="26"/>
    </row>
    <row r="442">
      <c r="A442" s="52"/>
      <c r="B442" s="15"/>
      <c r="C442" s="16"/>
      <c r="D442" s="15"/>
      <c r="E442" s="17"/>
      <c r="F442" s="54"/>
      <c r="G442" s="19"/>
      <c r="H442" s="17"/>
      <c r="I442" s="19"/>
      <c r="J442" s="21"/>
      <c r="K442" s="57"/>
      <c r="L442" s="24"/>
      <c r="M442" s="25"/>
      <c r="N442" s="25"/>
      <c r="O442" s="26"/>
      <c r="P442" s="26"/>
    </row>
    <row r="443">
      <c r="A443" s="52"/>
      <c r="B443" s="15"/>
      <c r="C443" s="16"/>
      <c r="D443" s="15"/>
      <c r="E443" s="17"/>
      <c r="F443" s="54"/>
      <c r="G443" s="19"/>
      <c r="H443" s="17"/>
      <c r="I443" s="19"/>
      <c r="J443" s="21"/>
      <c r="K443" s="57"/>
      <c r="L443" s="24"/>
      <c r="M443" s="25"/>
      <c r="N443" s="25"/>
      <c r="O443" s="26"/>
      <c r="P443" s="26"/>
    </row>
    <row r="444">
      <c r="A444" s="52"/>
      <c r="B444" s="15"/>
      <c r="C444" s="16"/>
      <c r="D444" s="15"/>
      <c r="E444" s="17"/>
      <c r="F444" s="54"/>
      <c r="G444" s="19"/>
      <c r="H444" s="17"/>
      <c r="I444" s="19"/>
      <c r="J444" s="21"/>
      <c r="K444" s="57"/>
      <c r="L444" s="24"/>
      <c r="M444" s="25"/>
      <c r="N444" s="25"/>
      <c r="O444" s="26"/>
      <c r="P444" s="26"/>
    </row>
    <row r="445">
      <c r="A445" s="52"/>
      <c r="B445" s="15"/>
      <c r="C445" s="16"/>
      <c r="D445" s="15"/>
      <c r="E445" s="17"/>
      <c r="F445" s="54"/>
      <c r="G445" s="19"/>
      <c r="H445" s="17"/>
      <c r="I445" s="19"/>
      <c r="J445" s="21"/>
      <c r="K445" s="57"/>
      <c r="L445" s="24"/>
      <c r="M445" s="25"/>
      <c r="N445" s="25"/>
      <c r="O445" s="26"/>
      <c r="P445" s="26"/>
    </row>
    <row r="446">
      <c r="A446" s="52"/>
      <c r="B446" s="15"/>
      <c r="C446" s="16"/>
      <c r="D446" s="15"/>
      <c r="E446" s="17"/>
      <c r="F446" s="54"/>
      <c r="G446" s="19"/>
      <c r="H446" s="17"/>
      <c r="I446" s="19"/>
      <c r="J446" s="21"/>
      <c r="K446" s="57"/>
      <c r="L446" s="24"/>
      <c r="M446" s="25"/>
      <c r="N446" s="25"/>
      <c r="O446" s="26"/>
      <c r="P446" s="26"/>
    </row>
    <row r="447">
      <c r="A447" s="52"/>
      <c r="B447" s="15"/>
      <c r="C447" s="16"/>
      <c r="D447" s="15"/>
      <c r="E447" s="17"/>
      <c r="F447" s="54"/>
      <c r="G447" s="19"/>
      <c r="H447" s="17"/>
      <c r="I447" s="19"/>
      <c r="J447" s="21"/>
      <c r="K447" s="57"/>
      <c r="L447" s="24"/>
      <c r="M447" s="25"/>
      <c r="N447" s="25"/>
      <c r="O447" s="26"/>
      <c r="P447" s="26"/>
    </row>
    <row r="448">
      <c r="A448" s="52"/>
      <c r="B448" s="15"/>
      <c r="C448" s="16"/>
      <c r="D448" s="15"/>
      <c r="E448" s="17"/>
      <c r="F448" s="54"/>
      <c r="G448" s="19"/>
      <c r="H448" s="17"/>
      <c r="I448" s="19"/>
      <c r="J448" s="21"/>
      <c r="K448" s="57"/>
      <c r="L448" s="24"/>
      <c r="M448" s="25"/>
      <c r="N448" s="25"/>
      <c r="O448" s="26"/>
      <c r="P448" s="26"/>
    </row>
    <row r="449">
      <c r="A449" s="52"/>
      <c r="B449" s="15"/>
      <c r="C449" s="16"/>
      <c r="D449" s="15"/>
      <c r="E449" s="17"/>
      <c r="F449" s="54"/>
      <c r="G449" s="19"/>
      <c r="H449" s="17"/>
      <c r="I449" s="19"/>
      <c r="J449" s="21"/>
      <c r="K449" s="57"/>
      <c r="L449" s="24"/>
      <c r="M449" s="25"/>
      <c r="N449" s="25"/>
      <c r="O449" s="26"/>
      <c r="P449" s="26"/>
    </row>
    <row r="450">
      <c r="A450" s="52"/>
      <c r="B450" s="15"/>
      <c r="C450" s="16"/>
      <c r="D450" s="15"/>
      <c r="E450" s="17"/>
      <c r="F450" s="54"/>
      <c r="G450" s="19"/>
      <c r="H450" s="17"/>
      <c r="I450" s="19"/>
      <c r="J450" s="21"/>
      <c r="K450" s="57"/>
      <c r="L450" s="24"/>
      <c r="M450" s="25"/>
      <c r="N450" s="25"/>
      <c r="O450" s="26"/>
      <c r="P450" s="26"/>
    </row>
    <row r="451">
      <c r="A451" s="52"/>
      <c r="B451" s="15"/>
      <c r="C451" s="16"/>
      <c r="D451" s="15"/>
      <c r="E451" s="17"/>
      <c r="F451" s="54"/>
      <c r="G451" s="19"/>
      <c r="H451" s="17"/>
      <c r="I451" s="19"/>
      <c r="J451" s="21"/>
      <c r="K451" s="57"/>
      <c r="L451" s="24"/>
      <c r="M451" s="25"/>
      <c r="N451" s="25"/>
      <c r="O451" s="26"/>
      <c r="P451" s="26"/>
    </row>
    <row r="452">
      <c r="A452" s="52"/>
      <c r="B452" s="15"/>
      <c r="C452" s="16"/>
      <c r="D452" s="15"/>
      <c r="E452" s="17"/>
      <c r="F452" s="54"/>
      <c r="G452" s="19"/>
      <c r="H452" s="17"/>
      <c r="I452" s="19"/>
      <c r="J452" s="21"/>
      <c r="K452" s="57"/>
      <c r="L452" s="24"/>
      <c r="M452" s="25"/>
      <c r="N452" s="25"/>
      <c r="O452" s="26"/>
      <c r="P452" s="26"/>
    </row>
    <row r="453">
      <c r="A453" s="52"/>
      <c r="B453" s="15"/>
      <c r="C453" s="16"/>
      <c r="D453" s="15"/>
      <c r="E453" s="17"/>
      <c r="F453" s="54"/>
      <c r="G453" s="19"/>
      <c r="H453" s="17"/>
      <c r="I453" s="19"/>
      <c r="J453" s="21"/>
      <c r="K453" s="57"/>
      <c r="L453" s="24"/>
      <c r="M453" s="25"/>
      <c r="N453" s="25"/>
      <c r="O453" s="26"/>
      <c r="P453" s="26"/>
    </row>
    <row r="454">
      <c r="A454" s="52"/>
      <c r="B454" s="15"/>
      <c r="C454" s="16"/>
      <c r="D454" s="15"/>
      <c r="E454" s="17"/>
      <c r="F454" s="54"/>
      <c r="G454" s="19"/>
      <c r="H454" s="17"/>
      <c r="I454" s="19"/>
      <c r="J454" s="21"/>
      <c r="K454" s="57"/>
      <c r="L454" s="24"/>
      <c r="M454" s="25"/>
      <c r="N454" s="25"/>
      <c r="O454" s="26"/>
      <c r="P454" s="26"/>
    </row>
    <row r="455">
      <c r="A455" s="52"/>
      <c r="B455" s="15"/>
      <c r="C455" s="16"/>
      <c r="D455" s="15"/>
      <c r="E455" s="17"/>
      <c r="F455" s="54"/>
      <c r="G455" s="19"/>
      <c r="H455" s="17"/>
      <c r="I455" s="19"/>
      <c r="J455" s="21"/>
      <c r="K455" s="57"/>
      <c r="L455" s="24"/>
      <c r="M455" s="25"/>
      <c r="N455" s="25"/>
      <c r="O455" s="26"/>
      <c r="P455" s="26"/>
    </row>
    <row r="456">
      <c r="A456" s="52"/>
      <c r="B456" s="15"/>
      <c r="C456" s="16"/>
      <c r="D456" s="15"/>
      <c r="E456" s="17"/>
      <c r="F456" s="54"/>
      <c r="G456" s="19"/>
      <c r="H456" s="17"/>
      <c r="I456" s="19"/>
      <c r="J456" s="21"/>
      <c r="K456" s="57"/>
      <c r="L456" s="24"/>
      <c r="M456" s="25"/>
      <c r="N456" s="25"/>
      <c r="O456" s="26"/>
      <c r="P456" s="26"/>
    </row>
    <row r="457">
      <c r="A457" s="52"/>
      <c r="B457" s="15"/>
      <c r="C457" s="16"/>
      <c r="D457" s="15"/>
      <c r="E457" s="17"/>
      <c r="F457" s="54"/>
      <c r="G457" s="19"/>
      <c r="H457" s="17"/>
      <c r="I457" s="19"/>
      <c r="J457" s="21"/>
      <c r="K457" s="57"/>
      <c r="L457" s="24"/>
      <c r="M457" s="25"/>
      <c r="N457" s="25"/>
      <c r="O457" s="26"/>
      <c r="P457" s="26"/>
    </row>
    <row r="458">
      <c r="A458" s="52"/>
      <c r="B458" s="15"/>
      <c r="C458" s="16"/>
      <c r="D458" s="15"/>
      <c r="E458" s="17"/>
      <c r="F458" s="54"/>
      <c r="G458" s="19"/>
      <c r="H458" s="17"/>
      <c r="I458" s="19"/>
      <c r="J458" s="21"/>
      <c r="K458" s="57"/>
      <c r="L458" s="24"/>
      <c r="M458" s="25"/>
      <c r="N458" s="25"/>
      <c r="O458" s="26"/>
      <c r="P458" s="26"/>
    </row>
    <row r="459">
      <c r="A459" s="52"/>
      <c r="B459" s="15"/>
      <c r="C459" s="16"/>
      <c r="D459" s="15"/>
      <c r="E459" s="17"/>
      <c r="F459" s="54"/>
      <c r="G459" s="19"/>
      <c r="H459" s="17"/>
      <c r="I459" s="19"/>
      <c r="J459" s="21"/>
      <c r="K459" s="57"/>
      <c r="L459" s="24"/>
      <c r="M459" s="25"/>
      <c r="N459" s="25"/>
      <c r="O459" s="26"/>
      <c r="P459" s="26"/>
    </row>
    <row r="460">
      <c r="A460" s="52"/>
      <c r="B460" s="15"/>
      <c r="C460" s="16"/>
      <c r="D460" s="15"/>
      <c r="E460" s="17"/>
      <c r="F460" s="54"/>
      <c r="G460" s="19"/>
      <c r="H460" s="17"/>
      <c r="I460" s="19"/>
      <c r="J460" s="21"/>
      <c r="K460" s="57"/>
      <c r="L460" s="24"/>
      <c r="M460" s="25"/>
      <c r="N460" s="25"/>
      <c r="O460" s="26"/>
      <c r="P460" s="26"/>
    </row>
    <row r="461">
      <c r="A461" s="52"/>
      <c r="B461" s="15"/>
      <c r="C461" s="16"/>
      <c r="D461" s="15"/>
      <c r="E461" s="17"/>
      <c r="F461" s="54"/>
      <c r="G461" s="19"/>
      <c r="H461" s="17"/>
      <c r="I461" s="19"/>
      <c r="J461" s="21"/>
      <c r="K461" s="57"/>
      <c r="L461" s="24"/>
      <c r="M461" s="25"/>
      <c r="N461" s="25"/>
      <c r="O461" s="26"/>
      <c r="P461" s="26"/>
    </row>
    <row r="462">
      <c r="A462" s="52"/>
      <c r="B462" s="15"/>
      <c r="C462" s="16"/>
      <c r="D462" s="15"/>
      <c r="E462" s="17"/>
      <c r="F462" s="54"/>
      <c r="G462" s="19"/>
      <c r="H462" s="17"/>
      <c r="I462" s="19"/>
      <c r="J462" s="21"/>
      <c r="K462" s="57"/>
      <c r="L462" s="24"/>
      <c r="M462" s="25"/>
      <c r="N462" s="25"/>
      <c r="O462" s="26"/>
      <c r="P462" s="26"/>
    </row>
    <row r="463">
      <c r="A463" s="52"/>
      <c r="B463" s="15"/>
      <c r="C463" s="16"/>
      <c r="D463" s="15"/>
      <c r="E463" s="17"/>
      <c r="F463" s="54"/>
      <c r="G463" s="19"/>
      <c r="H463" s="17"/>
      <c r="I463" s="19"/>
      <c r="J463" s="21"/>
      <c r="K463" s="57"/>
      <c r="L463" s="24"/>
      <c r="M463" s="25"/>
      <c r="N463" s="25"/>
      <c r="O463" s="26"/>
      <c r="P463" s="26"/>
    </row>
    <row r="464">
      <c r="A464" s="52"/>
      <c r="B464" s="15"/>
      <c r="C464" s="16"/>
      <c r="D464" s="15"/>
      <c r="E464" s="17"/>
      <c r="F464" s="54"/>
      <c r="G464" s="19"/>
      <c r="H464" s="17"/>
      <c r="I464" s="19"/>
      <c r="J464" s="21"/>
      <c r="K464" s="57"/>
      <c r="L464" s="24"/>
      <c r="M464" s="25"/>
      <c r="N464" s="25"/>
      <c r="O464" s="26"/>
      <c r="P464" s="26"/>
    </row>
    <row r="465">
      <c r="A465" s="52"/>
      <c r="B465" s="15"/>
      <c r="C465" s="16"/>
      <c r="D465" s="15"/>
      <c r="E465" s="17"/>
      <c r="F465" s="54"/>
      <c r="G465" s="19"/>
      <c r="H465" s="17"/>
      <c r="I465" s="19"/>
      <c r="J465" s="21"/>
      <c r="K465" s="57"/>
      <c r="L465" s="24"/>
      <c r="M465" s="25"/>
      <c r="N465" s="25"/>
      <c r="O465" s="26"/>
      <c r="P465" s="26"/>
    </row>
    <row r="466">
      <c r="A466" s="52"/>
      <c r="B466" s="15"/>
      <c r="C466" s="16"/>
      <c r="D466" s="15"/>
      <c r="E466" s="17"/>
      <c r="F466" s="54"/>
      <c r="G466" s="19"/>
      <c r="H466" s="17"/>
      <c r="I466" s="19"/>
      <c r="J466" s="21"/>
      <c r="K466" s="57"/>
      <c r="L466" s="24"/>
      <c r="M466" s="25"/>
      <c r="N466" s="25"/>
      <c r="O466" s="26"/>
      <c r="P466" s="26"/>
    </row>
    <row r="467">
      <c r="A467" s="52"/>
      <c r="B467" s="15"/>
      <c r="C467" s="16"/>
      <c r="D467" s="15"/>
      <c r="E467" s="17"/>
      <c r="F467" s="54"/>
      <c r="G467" s="19"/>
      <c r="H467" s="17"/>
      <c r="I467" s="19"/>
      <c r="J467" s="21"/>
      <c r="K467" s="57"/>
      <c r="L467" s="24"/>
      <c r="M467" s="25"/>
      <c r="N467" s="25"/>
      <c r="O467" s="26"/>
      <c r="P467" s="26"/>
    </row>
    <row r="468">
      <c r="A468" s="52"/>
      <c r="B468" s="15"/>
      <c r="C468" s="16"/>
      <c r="D468" s="15"/>
      <c r="E468" s="17"/>
      <c r="F468" s="54"/>
      <c r="G468" s="19"/>
      <c r="H468" s="17"/>
      <c r="I468" s="19"/>
      <c r="J468" s="21"/>
      <c r="K468" s="57"/>
      <c r="L468" s="24"/>
      <c r="M468" s="25"/>
      <c r="N468" s="25"/>
      <c r="O468" s="26"/>
      <c r="P468" s="26"/>
    </row>
    <row r="469">
      <c r="A469" s="52"/>
      <c r="B469" s="15"/>
      <c r="C469" s="16"/>
      <c r="D469" s="15"/>
      <c r="E469" s="17"/>
      <c r="F469" s="54"/>
      <c r="G469" s="19"/>
      <c r="H469" s="17"/>
      <c r="I469" s="19"/>
      <c r="J469" s="21"/>
      <c r="K469" s="57"/>
      <c r="L469" s="24"/>
      <c r="M469" s="25"/>
      <c r="N469" s="25"/>
      <c r="O469" s="26"/>
      <c r="P469" s="26"/>
    </row>
    <row r="470">
      <c r="A470" s="52"/>
      <c r="B470" s="15"/>
      <c r="C470" s="16"/>
      <c r="D470" s="15"/>
      <c r="E470" s="17"/>
      <c r="F470" s="54"/>
      <c r="G470" s="19"/>
      <c r="H470" s="17"/>
      <c r="I470" s="19"/>
      <c r="J470" s="21"/>
      <c r="K470" s="57"/>
      <c r="L470" s="24"/>
      <c r="M470" s="25"/>
      <c r="N470" s="25"/>
      <c r="O470" s="26"/>
      <c r="P470" s="26"/>
    </row>
    <row r="471">
      <c r="A471" s="52"/>
      <c r="B471" s="15"/>
      <c r="C471" s="16"/>
      <c r="D471" s="15"/>
      <c r="E471" s="17"/>
      <c r="F471" s="54"/>
      <c r="G471" s="19"/>
      <c r="H471" s="17"/>
      <c r="I471" s="19"/>
      <c r="J471" s="21"/>
      <c r="K471" s="57"/>
      <c r="L471" s="24"/>
      <c r="M471" s="25"/>
      <c r="N471" s="25"/>
      <c r="O471" s="26"/>
      <c r="P471" s="26"/>
    </row>
    <row r="472">
      <c r="A472" s="52"/>
      <c r="B472" s="15"/>
      <c r="C472" s="16"/>
      <c r="D472" s="15"/>
      <c r="E472" s="17"/>
      <c r="F472" s="54"/>
      <c r="G472" s="19"/>
      <c r="H472" s="17"/>
      <c r="I472" s="19"/>
      <c r="J472" s="21"/>
      <c r="K472" s="57"/>
      <c r="L472" s="24"/>
      <c r="M472" s="25"/>
      <c r="N472" s="25"/>
      <c r="O472" s="26"/>
      <c r="P472" s="26"/>
    </row>
    <row r="473">
      <c r="A473" s="52"/>
      <c r="B473" s="15"/>
      <c r="C473" s="16"/>
      <c r="D473" s="15"/>
      <c r="E473" s="17"/>
      <c r="F473" s="54"/>
      <c r="G473" s="19"/>
      <c r="H473" s="17"/>
      <c r="I473" s="19"/>
      <c r="J473" s="21"/>
      <c r="K473" s="57"/>
      <c r="L473" s="24"/>
      <c r="M473" s="25"/>
      <c r="N473" s="25"/>
      <c r="O473" s="26"/>
      <c r="P473" s="26"/>
    </row>
    <row r="474">
      <c r="A474" s="52"/>
      <c r="B474" s="15"/>
      <c r="C474" s="16"/>
      <c r="D474" s="15"/>
      <c r="E474" s="17"/>
      <c r="F474" s="54"/>
      <c r="G474" s="19"/>
      <c r="H474" s="17"/>
      <c r="I474" s="19"/>
      <c r="J474" s="21"/>
      <c r="K474" s="57"/>
      <c r="L474" s="24"/>
      <c r="M474" s="25"/>
      <c r="N474" s="25"/>
      <c r="O474" s="26"/>
      <c r="P474" s="26"/>
    </row>
    <row r="475">
      <c r="A475" s="52"/>
      <c r="B475" s="15"/>
      <c r="C475" s="16"/>
      <c r="D475" s="15"/>
      <c r="E475" s="17"/>
      <c r="F475" s="54"/>
      <c r="G475" s="19"/>
      <c r="H475" s="17"/>
      <c r="I475" s="19"/>
      <c r="J475" s="21"/>
      <c r="K475" s="57"/>
      <c r="L475" s="24"/>
      <c r="M475" s="25"/>
      <c r="N475" s="25"/>
      <c r="O475" s="26"/>
      <c r="P475" s="26"/>
    </row>
    <row r="476">
      <c r="A476" s="52"/>
      <c r="B476" s="15"/>
      <c r="C476" s="16"/>
      <c r="D476" s="15"/>
      <c r="E476" s="17"/>
      <c r="F476" s="54"/>
      <c r="G476" s="19"/>
      <c r="H476" s="17"/>
      <c r="I476" s="19"/>
      <c r="J476" s="21"/>
      <c r="K476" s="57"/>
      <c r="L476" s="24"/>
      <c r="M476" s="25"/>
      <c r="N476" s="25"/>
      <c r="O476" s="26"/>
      <c r="P476" s="26"/>
    </row>
    <row r="477">
      <c r="A477" s="52"/>
      <c r="B477" s="15"/>
      <c r="C477" s="16"/>
      <c r="D477" s="15"/>
      <c r="E477" s="17"/>
      <c r="F477" s="54"/>
      <c r="G477" s="19"/>
      <c r="H477" s="17"/>
      <c r="I477" s="19"/>
      <c r="J477" s="21"/>
      <c r="K477" s="57"/>
      <c r="L477" s="24"/>
      <c r="M477" s="25"/>
      <c r="N477" s="25"/>
      <c r="O477" s="26"/>
      <c r="P477" s="26"/>
    </row>
    <row r="478">
      <c r="A478" s="52"/>
      <c r="B478" s="15"/>
      <c r="C478" s="16"/>
      <c r="D478" s="15"/>
      <c r="E478" s="17"/>
      <c r="F478" s="54"/>
      <c r="G478" s="19"/>
      <c r="H478" s="17"/>
      <c r="I478" s="19"/>
      <c r="J478" s="21"/>
      <c r="K478" s="57"/>
      <c r="L478" s="24"/>
      <c r="M478" s="25"/>
      <c r="N478" s="25"/>
      <c r="O478" s="26"/>
      <c r="P478" s="26"/>
    </row>
    <row r="479">
      <c r="A479" s="52"/>
      <c r="B479" s="15"/>
      <c r="C479" s="16"/>
      <c r="D479" s="15"/>
      <c r="E479" s="17"/>
      <c r="F479" s="54"/>
      <c r="G479" s="19"/>
      <c r="H479" s="17"/>
      <c r="I479" s="19"/>
      <c r="J479" s="21"/>
      <c r="K479" s="57"/>
      <c r="L479" s="24"/>
      <c r="M479" s="25"/>
      <c r="N479" s="25"/>
      <c r="O479" s="26"/>
      <c r="P479" s="26"/>
    </row>
    <row r="480">
      <c r="A480" s="52"/>
      <c r="B480" s="15"/>
      <c r="C480" s="16"/>
      <c r="D480" s="15"/>
      <c r="E480" s="17"/>
      <c r="F480" s="54"/>
      <c r="G480" s="19"/>
      <c r="H480" s="17"/>
      <c r="I480" s="19"/>
      <c r="J480" s="21"/>
      <c r="K480" s="57"/>
      <c r="L480" s="24"/>
      <c r="M480" s="25"/>
      <c r="N480" s="25"/>
      <c r="O480" s="26"/>
      <c r="P480" s="26"/>
    </row>
    <row r="481">
      <c r="A481" s="52"/>
      <c r="B481" s="15"/>
      <c r="C481" s="16"/>
      <c r="D481" s="15"/>
      <c r="E481" s="17"/>
      <c r="F481" s="54"/>
      <c r="G481" s="19"/>
      <c r="H481" s="17"/>
      <c r="I481" s="19"/>
      <c r="J481" s="21"/>
      <c r="K481" s="57"/>
      <c r="L481" s="24"/>
      <c r="M481" s="25"/>
      <c r="N481" s="25"/>
      <c r="O481" s="26"/>
      <c r="P481" s="26"/>
    </row>
    <row r="482">
      <c r="A482" s="52"/>
      <c r="B482" s="15"/>
      <c r="C482" s="16"/>
      <c r="D482" s="15"/>
      <c r="E482" s="17"/>
      <c r="F482" s="54"/>
      <c r="G482" s="19"/>
      <c r="H482" s="17"/>
      <c r="I482" s="19"/>
      <c r="J482" s="21"/>
      <c r="K482" s="57"/>
      <c r="L482" s="24"/>
      <c r="M482" s="25"/>
      <c r="N482" s="25"/>
      <c r="O482" s="26"/>
      <c r="P482" s="26"/>
    </row>
    <row r="483">
      <c r="A483" s="52"/>
      <c r="B483" s="15"/>
      <c r="C483" s="16"/>
      <c r="D483" s="15"/>
      <c r="E483" s="17"/>
      <c r="F483" s="54"/>
      <c r="G483" s="19"/>
      <c r="H483" s="17"/>
      <c r="I483" s="19"/>
      <c r="J483" s="21"/>
      <c r="K483" s="57"/>
      <c r="L483" s="24"/>
      <c r="M483" s="25"/>
      <c r="N483" s="25"/>
      <c r="O483" s="26"/>
      <c r="P483" s="26"/>
    </row>
    <row r="484">
      <c r="A484" s="52"/>
      <c r="B484" s="15"/>
      <c r="C484" s="16"/>
      <c r="D484" s="15"/>
      <c r="E484" s="17"/>
      <c r="F484" s="54"/>
      <c r="G484" s="19"/>
      <c r="H484" s="17"/>
      <c r="I484" s="19"/>
      <c r="J484" s="21"/>
      <c r="K484" s="57"/>
      <c r="L484" s="24"/>
      <c r="M484" s="25"/>
      <c r="N484" s="25"/>
      <c r="O484" s="26"/>
      <c r="P484" s="26"/>
    </row>
    <row r="485">
      <c r="A485" s="52"/>
      <c r="B485" s="15"/>
      <c r="C485" s="16"/>
      <c r="D485" s="15"/>
      <c r="E485" s="17"/>
      <c r="F485" s="54"/>
      <c r="G485" s="19"/>
      <c r="H485" s="17"/>
      <c r="I485" s="19"/>
      <c r="J485" s="21"/>
      <c r="K485" s="57"/>
      <c r="L485" s="24"/>
      <c r="M485" s="25"/>
      <c r="N485" s="25"/>
      <c r="O485" s="26"/>
      <c r="P485" s="26"/>
    </row>
    <row r="486">
      <c r="A486" s="52"/>
      <c r="B486" s="15"/>
      <c r="C486" s="16"/>
      <c r="D486" s="15"/>
      <c r="E486" s="17"/>
      <c r="F486" s="54"/>
      <c r="G486" s="19"/>
      <c r="H486" s="17"/>
      <c r="I486" s="19"/>
      <c r="J486" s="21"/>
      <c r="K486" s="57"/>
      <c r="L486" s="24"/>
      <c r="M486" s="25"/>
      <c r="N486" s="25"/>
      <c r="O486" s="26"/>
      <c r="P486" s="26"/>
    </row>
    <row r="487">
      <c r="A487" s="52"/>
      <c r="B487" s="15"/>
      <c r="C487" s="16"/>
      <c r="D487" s="15"/>
      <c r="E487" s="17"/>
      <c r="F487" s="54"/>
      <c r="G487" s="19"/>
      <c r="H487" s="17"/>
      <c r="I487" s="19"/>
      <c r="J487" s="21"/>
      <c r="K487" s="57"/>
      <c r="L487" s="24"/>
      <c r="M487" s="25"/>
      <c r="N487" s="25"/>
      <c r="O487" s="26"/>
      <c r="P487" s="26"/>
    </row>
    <row r="488">
      <c r="A488" s="52"/>
      <c r="B488" s="15"/>
      <c r="C488" s="16"/>
      <c r="D488" s="15"/>
      <c r="E488" s="17"/>
      <c r="F488" s="54"/>
      <c r="G488" s="19"/>
      <c r="H488" s="17"/>
      <c r="I488" s="19"/>
      <c r="J488" s="21"/>
      <c r="K488" s="57"/>
      <c r="L488" s="24"/>
      <c r="M488" s="25"/>
      <c r="N488" s="25"/>
      <c r="O488" s="26"/>
      <c r="P488" s="26"/>
    </row>
    <row r="489">
      <c r="A489" s="52"/>
      <c r="B489" s="15"/>
      <c r="C489" s="16"/>
      <c r="D489" s="15"/>
      <c r="E489" s="17"/>
      <c r="F489" s="54"/>
      <c r="G489" s="19"/>
      <c r="H489" s="17"/>
      <c r="I489" s="19"/>
      <c r="J489" s="21"/>
      <c r="K489" s="57"/>
      <c r="L489" s="24"/>
      <c r="M489" s="25"/>
      <c r="N489" s="25"/>
      <c r="O489" s="26"/>
      <c r="P489" s="26"/>
    </row>
    <row r="490">
      <c r="A490" s="52"/>
      <c r="B490" s="15"/>
      <c r="C490" s="16"/>
      <c r="D490" s="15"/>
      <c r="E490" s="17"/>
      <c r="F490" s="54"/>
      <c r="G490" s="19"/>
      <c r="H490" s="17"/>
      <c r="I490" s="19"/>
      <c r="J490" s="21"/>
      <c r="K490" s="57"/>
      <c r="L490" s="24"/>
      <c r="M490" s="25"/>
      <c r="N490" s="25"/>
      <c r="O490" s="26"/>
      <c r="P490" s="26"/>
    </row>
    <row r="491">
      <c r="A491" s="52"/>
      <c r="B491" s="15"/>
      <c r="C491" s="16"/>
      <c r="D491" s="15"/>
      <c r="E491" s="17"/>
      <c r="F491" s="54"/>
      <c r="G491" s="19"/>
      <c r="H491" s="17"/>
      <c r="I491" s="19"/>
      <c r="J491" s="21"/>
      <c r="K491" s="57"/>
      <c r="L491" s="24"/>
      <c r="M491" s="25"/>
      <c r="N491" s="25"/>
      <c r="O491" s="26"/>
      <c r="P491" s="26"/>
    </row>
    <row r="492">
      <c r="A492" s="52"/>
      <c r="B492" s="15"/>
      <c r="C492" s="16"/>
      <c r="D492" s="15"/>
      <c r="E492" s="17"/>
      <c r="F492" s="54"/>
      <c r="G492" s="19"/>
      <c r="H492" s="17"/>
      <c r="I492" s="19"/>
      <c r="J492" s="21"/>
      <c r="K492" s="57"/>
      <c r="L492" s="24"/>
      <c r="M492" s="25"/>
      <c r="N492" s="25"/>
      <c r="O492" s="26"/>
      <c r="P492" s="26"/>
    </row>
    <row r="493">
      <c r="A493" s="52"/>
      <c r="B493" s="15"/>
      <c r="C493" s="16"/>
      <c r="D493" s="15"/>
      <c r="E493" s="17"/>
      <c r="F493" s="54"/>
      <c r="G493" s="19"/>
      <c r="H493" s="17"/>
      <c r="I493" s="19"/>
      <c r="J493" s="21"/>
      <c r="K493" s="57"/>
      <c r="L493" s="24"/>
      <c r="M493" s="25"/>
      <c r="N493" s="25"/>
      <c r="O493" s="26"/>
      <c r="P493" s="26"/>
    </row>
    <row r="494">
      <c r="A494" s="52"/>
      <c r="B494" s="15"/>
      <c r="C494" s="16"/>
      <c r="D494" s="15"/>
      <c r="E494" s="17"/>
      <c r="F494" s="54"/>
      <c r="G494" s="19"/>
      <c r="H494" s="17"/>
      <c r="I494" s="19"/>
      <c r="J494" s="21"/>
      <c r="K494" s="57"/>
      <c r="L494" s="24"/>
      <c r="M494" s="25"/>
      <c r="N494" s="25"/>
      <c r="O494" s="26"/>
      <c r="P494" s="26"/>
    </row>
    <row r="495">
      <c r="A495" s="52"/>
      <c r="B495" s="15"/>
      <c r="C495" s="16"/>
      <c r="D495" s="15"/>
      <c r="E495" s="17"/>
      <c r="F495" s="54"/>
      <c r="G495" s="19"/>
      <c r="H495" s="17"/>
      <c r="I495" s="19"/>
      <c r="J495" s="21"/>
      <c r="K495" s="57"/>
      <c r="L495" s="24"/>
      <c r="M495" s="25"/>
      <c r="N495" s="25"/>
      <c r="O495" s="26"/>
      <c r="P495" s="26"/>
    </row>
    <row r="496">
      <c r="A496" s="52"/>
      <c r="B496" s="15"/>
      <c r="C496" s="16"/>
      <c r="D496" s="15"/>
      <c r="E496" s="17"/>
      <c r="F496" s="54"/>
      <c r="G496" s="19"/>
      <c r="H496" s="17"/>
      <c r="I496" s="19"/>
      <c r="J496" s="21"/>
      <c r="K496" s="57"/>
      <c r="L496" s="24"/>
      <c r="M496" s="25"/>
      <c r="N496" s="25"/>
      <c r="O496" s="26"/>
      <c r="P496" s="26"/>
    </row>
    <row r="497">
      <c r="A497" s="52"/>
      <c r="B497" s="15"/>
      <c r="C497" s="16"/>
      <c r="D497" s="15"/>
      <c r="E497" s="17"/>
      <c r="F497" s="54"/>
      <c r="G497" s="19"/>
      <c r="H497" s="17"/>
      <c r="I497" s="19"/>
      <c r="J497" s="21"/>
      <c r="K497" s="57"/>
      <c r="L497" s="24"/>
      <c r="M497" s="25"/>
      <c r="N497" s="25"/>
      <c r="O497" s="26"/>
      <c r="P497" s="26"/>
    </row>
    <row r="498">
      <c r="A498" s="52"/>
      <c r="B498" s="15"/>
      <c r="C498" s="16"/>
      <c r="D498" s="15"/>
      <c r="E498" s="17"/>
      <c r="F498" s="54"/>
      <c r="G498" s="19"/>
      <c r="H498" s="17"/>
      <c r="I498" s="19"/>
      <c r="J498" s="21"/>
      <c r="K498" s="57"/>
      <c r="L498" s="24"/>
      <c r="M498" s="25"/>
      <c r="N498" s="25"/>
      <c r="O498" s="26"/>
      <c r="P498" s="26"/>
    </row>
    <row r="499">
      <c r="A499" s="52"/>
      <c r="B499" s="15"/>
      <c r="C499" s="16"/>
      <c r="D499" s="15"/>
      <c r="E499" s="17"/>
      <c r="F499" s="54"/>
      <c r="G499" s="19"/>
      <c r="H499" s="17"/>
      <c r="I499" s="19"/>
      <c r="J499" s="21"/>
      <c r="K499" s="57"/>
      <c r="L499" s="24"/>
      <c r="M499" s="25"/>
      <c r="N499" s="25"/>
      <c r="O499" s="26"/>
      <c r="P499" s="26"/>
    </row>
    <row r="500">
      <c r="A500" s="52"/>
      <c r="B500" s="15"/>
      <c r="C500" s="16"/>
      <c r="D500" s="15"/>
      <c r="E500" s="17"/>
      <c r="F500" s="54"/>
      <c r="G500" s="19"/>
      <c r="H500" s="17"/>
      <c r="I500" s="19"/>
      <c r="J500" s="21"/>
      <c r="K500" s="57"/>
      <c r="L500" s="24"/>
      <c r="M500" s="25"/>
      <c r="N500" s="25"/>
      <c r="O500" s="26"/>
      <c r="P500" s="26"/>
    </row>
    <row r="501">
      <c r="A501" s="52"/>
      <c r="B501" s="15"/>
      <c r="C501" s="16"/>
      <c r="D501" s="15"/>
      <c r="E501" s="17"/>
      <c r="F501" s="54"/>
      <c r="G501" s="19"/>
      <c r="H501" s="17"/>
      <c r="I501" s="19"/>
      <c r="J501" s="21"/>
      <c r="K501" s="57"/>
      <c r="L501" s="24"/>
      <c r="M501" s="25"/>
      <c r="N501" s="25"/>
      <c r="O501" s="26"/>
      <c r="P501" s="26"/>
    </row>
    <row r="502">
      <c r="A502" s="52"/>
      <c r="B502" s="15"/>
      <c r="C502" s="16"/>
      <c r="D502" s="15"/>
      <c r="E502" s="17"/>
      <c r="F502" s="54"/>
      <c r="G502" s="19"/>
      <c r="H502" s="17"/>
      <c r="I502" s="19"/>
      <c r="J502" s="21"/>
      <c r="K502" s="57"/>
      <c r="L502" s="24"/>
      <c r="M502" s="25"/>
      <c r="N502" s="25"/>
      <c r="O502" s="26"/>
      <c r="P502" s="26"/>
    </row>
    <row r="503">
      <c r="A503" s="52"/>
      <c r="B503" s="15"/>
      <c r="C503" s="16"/>
      <c r="D503" s="15"/>
      <c r="E503" s="17"/>
      <c r="F503" s="54"/>
      <c r="G503" s="19"/>
      <c r="H503" s="17"/>
      <c r="I503" s="19"/>
      <c r="J503" s="21"/>
      <c r="K503" s="57"/>
      <c r="L503" s="24"/>
      <c r="M503" s="25"/>
      <c r="N503" s="25"/>
      <c r="O503" s="26"/>
      <c r="P503" s="26"/>
    </row>
    <row r="504">
      <c r="A504" s="52"/>
      <c r="B504" s="15"/>
      <c r="C504" s="16"/>
      <c r="D504" s="15"/>
      <c r="E504" s="17"/>
      <c r="F504" s="54"/>
      <c r="G504" s="19"/>
      <c r="H504" s="17"/>
      <c r="I504" s="19"/>
      <c r="J504" s="21"/>
      <c r="K504" s="57"/>
      <c r="L504" s="24"/>
      <c r="M504" s="25"/>
      <c r="N504" s="25"/>
      <c r="O504" s="26"/>
      <c r="P504" s="26"/>
    </row>
    <row r="505">
      <c r="A505" s="52"/>
      <c r="B505" s="15"/>
      <c r="C505" s="16"/>
      <c r="D505" s="15"/>
      <c r="E505" s="17"/>
      <c r="F505" s="54"/>
      <c r="G505" s="19"/>
      <c r="H505" s="17"/>
      <c r="I505" s="19"/>
      <c r="J505" s="21"/>
      <c r="K505" s="57"/>
      <c r="L505" s="24"/>
      <c r="M505" s="25"/>
      <c r="N505" s="25"/>
      <c r="O505" s="26"/>
      <c r="P505" s="26"/>
    </row>
    <row r="506">
      <c r="A506" s="52"/>
      <c r="B506" s="15"/>
      <c r="C506" s="16"/>
      <c r="D506" s="15"/>
      <c r="E506" s="17"/>
      <c r="F506" s="54"/>
      <c r="G506" s="19"/>
      <c r="H506" s="17"/>
      <c r="I506" s="19"/>
      <c r="J506" s="21"/>
      <c r="K506" s="57"/>
      <c r="L506" s="24"/>
      <c r="M506" s="25"/>
      <c r="N506" s="25"/>
      <c r="O506" s="26"/>
      <c r="P506" s="26"/>
    </row>
    <row r="507">
      <c r="A507" s="52"/>
      <c r="B507" s="15"/>
      <c r="C507" s="16"/>
      <c r="D507" s="15"/>
      <c r="E507" s="17"/>
      <c r="F507" s="54"/>
      <c r="G507" s="19"/>
      <c r="H507" s="17"/>
      <c r="I507" s="19"/>
      <c r="J507" s="21"/>
      <c r="K507" s="57"/>
      <c r="L507" s="24"/>
      <c r="M507" s="25"/>
      <c r="N507" s="25"/>
      <c r="O507" s="26"/>
      <c r="P507" s="26"/>
    </row>
    <row r="508">
      <c r="A508" s="52"/>
      <c r="B508" s="15"/>
      <c r="C508" s="16"/>
      <c r="D508" s="15"/>
      <c r="E508" s="17"/>
      <c r="F508" s="54"/>
      <c r="G508" s="19"/>
      <c r="H508" s="17"/>
      <c r="I508" s="19"/>
      <c r="J508" s="21"/>
      <c r="K508" s="57"/>
      <c r="L508" s="24"/>
      <c r="M508" s="25"/>
      <c r="N508" s="25"/>
      <c r="O508" s="26"/>
      <c r="P508" s="26"/>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7.14"/>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16.43"/>
  </cols>
  <sheetData>
    <row r="1">
      <c r="A1" s="1" t="s">
        <v>0</v>
      </c>
      <c r="B1" s="2">
        <f>COUNTIF(D2:D1319,"Active")+COUNTIF(D2:D1319,"Leaving Soon")</f>
        <v>3</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List'!A2:P1319, ('Master List'!C2:C1319=""Essential"")+('Master List'!C2:C1319=""Playstation Plus (Discontinued)"") ), 5, false)"),"F1 25")</f>
        <v>F1 25</v>
      </c>
      <c r="B3" s="15" t="str">
        <f>IFERROR(__xludf.DUMMYFUNCTION("""COMPUTED_VALUE"""),"PS5")</f>
        <v>PS5</v>
      </c>
      <c r="C3" s="16" t="str">
        <f>IFERROR(__xludf.DUMMYFUNCTION("""COMPUTED_VALUE"""),"Essential")</f>
        <v>Essential</v>
      </c>
      <c r="D3" s="15" t="str">
        <f>IFERROR(__xludf.DUMMYFUNCTION("""COMPUTED_VALUE"""),"Leaving Soon")</f>
        <v>Leaving Soon</v>
      </c>
      <c r="E3" s="17">
        <f>IFERROR(__xludf.DUMMYFUNCTION("""COMPUTED_VALUE"""),46301.0)</f>
        <v>46301</v>
      </c>
      <c r="F3" s="18">
        <f>IFERROR(__xludf.DUMMYFUNCTION("""COMPUTED_VALUE"""),46328.0)</f>
        <v>46328</v>
      </c>
      <c r="G3" s="19">
        <f>IFERROR(__xludf.DUMMYFUNCTION("""COMPUTED_VALUE"""),0.8666666666666666)</f>
        <v>0.8666666667</v>
      </c>
      <c r="H3" s="17">
        <f>IFERROR(__xludf.DUMMYFUNCTION("""COMPUTED_VALUE"""),45807.0)</f>
        <v>45807</v>
      </c>
      <c r="I3" s="19">
        <f>IFERROR(__xludf.DUMMYFUNCTION("""COMPUTED_VALUE"""),1.35)</f>
        <v>1.35</v>
      </c>
      <c r="J3" s="21">
        <f>IFERROR(__xludf.DUMMYFUNCTION("""COMPUTED_VALUE"""),80.0)</f>
        <v>80</v>
      </c>
      <c r="K3" s="23">
        <f>IFERROR(__xludf.DUMMYFUNCTION("""COMPUTED_VALUE"""),7.3)</f>
        <v>7.3</v>
      </c>
      <c r="L3" s="24">
        <f>IFERROR(__xludf.DUMMYFUNCTION("""COMPUTED_VALUE"""),6.0)</f>
        <v>6</v>
      </c>
      <c r="M3" s="25" t="str">
        <f>IFERROR(__xludf.DUMMYFUNCTION("""COMPUTED_VALUE"""),"Racing")</f>
        <v>Racing</v>
      </c>
      <c r="N3" s="25"/>
      <c r="O3" s="26" t="str">
        <f>IFERROR(__xludf.DUMMYFUNCTION("""COMPUTED_VALUE"""),"No")</f>
        <v>No</v>
      </c>
      <c r="P3" s="26"/>
    </row>
    <row r="4">
      <c r="A4" s="13" t="str">
        <f>IFERROR(__xludf.DUMMYFUNCTION("""COMPUTED_VALUE"""),"Hunt: Showdown 1896")</f>
        <v>Hunt: Showdown 1896</v>
      </c>
      <c r="B4" s="15" t="str">
        <f>IFERROR(__xludf.DUMMYFUNCTION("""COMPUTED_VALUE"""),"PS5")</f>
        <v>PS5</v>
      </c>
      <c r="C4" s="16" t="str">
        <f>IFERROR(__xludf.DUMMYFUNCTION("""COMPUTED_VALUE"""),"Essential")</f>
        <v>Essential</v>
      </c>
      <c r="D4" s="15" t="str">
        <f>IFERROR(__xludf.DUMMYFUNCTION("""COMPUTED_VALUE"""),"Leaving Soon")</f>
        <v>Leaving Soon</v>
      </c>
      <c r="E4" s="17">
        <f>IFERROR(__xludf.DUMMYFUNCTION("""COMPUTED_VALUE"""),46301.0)</f>
        <v>46301</v>
      </c>
      <c r="F4" s="18">
        <f>IFERROR(__xludf.DUMMYFUNCTION("""COMPUTED_VALUE"""),46328.0)</f>
        <v>46328</v>
      </c>
      <c r="G4" s="19">
        <f>IFERROR(__xludf.DUMMYFUNCTION("""COMPUTED_VALUE"""),0.8666666666666666)</f>
        <v>0.8666666667</v>
      </c>
      <c r="H4" s="17">
        <f>IFERROR(__xludf.DUMMYFUNCTION("""COMPUTED_VALUE"""),45519.0)</f>
        <v>45519</v>
      </c>
      <c r="I4" s="19">
        <f>IFERROR(__xludf.DUMMYFUNCTION("""COMPUTED_VALUE"""),2.1416666666666666)</f>
        <v>2.141666667</v>
      </c>
      <c r="J4" s="21">
        <f>IFERROR(__xludf.DUMMYFUNCTION("""COMPUTED_VALUE"""),80.0)</f>
        <v>80</v>
      </c>
      <c r="K4" s="23">
        <f>IFERROR(__xludf.DUMMYFUNCTION("""COMPUTED_VALUE"""),7.6)</f>
        <v>7.6</v>
      </c>
      <c r="L4" s="24">
        <f>IFERROR(__xludf.DUMMYFUNCTION("""COMPUTED_VALUE"""),58.5)</f>
        <v>58.5</v>
      </c>
      <c r="M4" s="25" t="str">
        <f>IFERROR(__xludf.DUMMYFUNCTION("""COMPUTED_VALUE"""),"Shooter")</f>
        <v>Shooter</v>
      </c>
      <c r="N4" s="25"/>
      <c r="O4" s="26" t="str">
        <f>IFERROR(__xludf.DUMMYFUNCTION("""COMPUTED_VALUE"""),"No")</f>
        <v>No</v>
      </c>
      <c r="P4" s="26"/>
    </row>
    <row r="5">
      <c r="A5" s="13" t="str">
        <f>IFERROR(__xludf.DUMMYFUNCTION("""COMPUTED_VALUE"""),"Earth Defense Force: World Brothers 2")</f>
        <v>Earth Defense Force: World Brothers 2</v>
      </c>
      <c r="B5" s="15" t="str">
        <f>IFERROR(__xludf.DUMMYFUNCTION("""COMPUTED_VALUE"""),"PS5/PS4")</f>
        <v>PS5/PS4</v>
      </c>
      <c r="C5" s="16" t="str">
        <f>IFERROR(__xludf.DUMMYFUNCTION("""COMPUTED_VALUE"""),"Essential")</f>
        <v>Essential</v>
      </c>
      <c r="D5" s="15" t="str">
        <f>IFERROR(__xludf.DUMMYFUNCTION("""COMPUTED_VALUE"""),"Leaving Soon")</f>
        <v>Leaving Soon</v>
      </c>
      <c r="E5" s="17">
        <f>IFERROR(__xludf.DUMMYFUNCTION("""COMPUTED_VALUE"""),46301.0)</f>
        <v>46301</v>
      </c>
      <c r="F5" s="18">
        <f>IFERROR(__xludf.DUMMYFUNCTION("""COMPUTED_VALUE"""),46328.0)</f>
        <v>46328</v>
      </c>
      <c r="G5" s="19">
        <f>IFERROR(__xludf.DUMMYFUNCTION("""COMPUTED_VALUE"""),0.8666666666666666)</f>
        <v>0.8666666667</v>
      </c>
      <c r="H5" s="17">
        <f>IFERROR(__xludf.DUMMYFUNCTION("""COMPUTED_VALUE"""),45561.0)</f>
        <v>45561</v>
      </c>
      <c r="I5" s="19">
        <f>IFERROR(__xludf.DUMMYFUNCTION("""COMPUTED_VALUE"""),2.0277777777777777)</f>
        <v>2.027777778</v>
      </c>
      <c r="J5" s="21">
        <f>IFERROR(__xludf.DUMMYFUNCTION("""COMPUTED_VALUE"""),81.0)</f>
        <v>81</v>
      </c>
      <c r="K5" s="23">
        <f>IFERROR(__xludf.DUMMYFUNCTION("""COMPUTED_VALUE"""),7.5)</f>
        <v>7.5</v>
      </c>
      <c r="L5" s="24">
        <f>IFERROR(__xludf.DUMMYFUNCTION("""COMPUTED_VALUE"""),21.0)</f>
        <v>21</v>
      </c>
      <c r="M5" s="25" t="str">
        <f>IFERROR(__xludf.DUMMYFUNCTION("""COMPUTED_VALUE"""),"Shooter")</f>
        <v>Shooter</v>
      </c>
      <c r="N5" s="25"/>
      <c r="O5" s="26" t="str">
        <f>IFERROR(__xludf.DUMMYFUNCTION("""COMPUTED_VALUE"""),"No")</f>
        <v>No</v>
      </c>
      <c r="P5" s="26"/>
    </row>
    <row r="6">
      <c r="A6" s="13" t="str">
        <f>IFERROR(__xludf.DUMMYFUNCTION("""COMPUTED_VALUE"""),"Sniper Elite: Resistance")</f>
        <v>Sniper Elite: Resistance</v>
      </c>
      <c r="B6" s="15" t="str">
        <f>IFERROR(__xludf.DUMMYFUNCTION("""COMPUTED_VALUE"""),"PS5/PS4")</f>
        <v>PS5/PS4</v>
      </c>
      <c r="C6" s="16" t="str">
        <f>IFERROR(__xludf.DUMMYFUNCTION("""COMPUTED_VALUE"""),"Essential")</f>
        <v>Essential</v>
      </c>
      <c r="D6" s="15" t="str">
        <f>IFERROR(__xludf.DUMMYFUNCTION("""COMPUTED_VALUE"""),"Removed")</f>
        <v>Removed</v>
      </c>
      <c r="E6" s="17">
        <f>IFERROR(__xludf.DUMMYFUNCTION("""COMPUTED_VALUE"""),46266.0)</f>
        <v>46266</v>
      </c>
      <c r="F6" s="18">
        <f>IFERROR(__xludf.DUMMYFUNCTION("""COMPUTED_VALUE"""),46300.0)</f>
        <v>46300</v>
      </c>
      <c r="G6" s="19">
        <f>IFERROR(__xludf.DUMMYFUNCTION("""COMPUTED_VALUE"""),1.1333333333333333)</f>
        <v>1.133333333</v>
      </c>
      <c r="H6" s="17">
        <f>IFERROR(__xludf.DUMMYFUNCTION("""COMPUTED_VALUE"""),45687.0)</f>
        <v>45687</v>
      </c>
      <c r="I6" s="19">
        <f>IFERROR(__xludf.DUMMYFUNCTION("""COMPUTED_VALUE"""),1.586111111111111)</f>
        <v>1.586111111</v>
      </c>
      <c r="J6" s="21">
        <f>IFERROR(__xludf.DUMMYFUNCTION("""COMPUTED_VALUE"""),75.0)</f>
        <v>75</v>
      </c>
      <c r="K6" s="23">
        <f>IFERROR(__xludf.DUMMYFUNCTION("""COMPUTED_VALUE"""),5.9)</f>
        <v>5.9</v>
      </c>
      <c r="L6" s="24">
        <f>IFERROR(__xludf.DUMMYFUNCTION("""COMPUTED_VALUE"""),9.0)</f>
        <v>9</v>
      </c>
      <c r="M6" s="25" t="str">
        <f>IFERROR(__xludf.DUMMYFUNCTION("""COMPUTED_VALUE"""),"Shooter")</f>
        <v>Shooter</v>
      </c>
      <c r="N6" s="25"/>
      <c r="O6" s="26" t="str">
        <f>IFERROR(__xludf.DUMMYFUNCTION("""COMPUTED_VALUE"""),"No")</f>
        <v>No</v>
      </c>
      <c r="P6" s="26"/>
    </row>
    <row r="7">
      <c r="A7" s="13" t="str">
        <f>IFERROR(__xludf.DUMMYFUNCTION("""COMPUTED_VALUE"""),"MLB The Show 26")</f>
        <v>MLB The Show 26</v>
      </c>
      <c r="B7" s="15" t="str">
        <f>IFERROR(__xludf.DUMMYFUNCTION("""COMPUTED_VALUE"""),"PS5")</f>
        <v>PS5</v>
      </c>
      <c r="C7" s="16" t="str">
        <f>IFERROR(__xludf.DUMMYFUNCTION("""COMPUTED_VALUE"""),"Essential")</f>
        <v>Essential</v>
      </c>
      <c r="D7" s="15" t="str">
        <f>IFERROR(__xludf.DUMMYFUNCTION("""COMPUTED_VALUE"""),"Removed")</f>
        <v>Removed</v>
      </c>
      <c r="E7" s="17">
        <f>IFERROR(__xludf.DUMMYFUNCTION("""COMPUTED_VALUE"""),46266.0)</f>
        <v>46266</v>
      </c>
      <c r="F7" s="18">
        <f>IFERROR(__xludf.DUMMYFUNCTION("""COMPUTED_VALUE"""),46300.0)</f>
        <v>46300</v>
      </c>
      <c r="G7" s="19">
        <f>IFERROR(__xludf.DUMMYFUNCTION("""COMPUTED_VALUE"""),1.1333333333333333)</f>
        <v>1.133333333</v>
      </c>
      <c r="H7" s="17">
        <f>IFERROR(__xludf.DUMMYFUNCTION("""COMPUTED_VALUE"""),46098.0)</f>
        <v>46098</v>
      </c>
      <c r="I7" s="19">
        <f>IFERROR(__xludf.DUMMYFUNCTION("""COMPUTED_VALUE"""),0.45555555555555555)</f>
        <v>0.4555555556</v>
      </c>
      <c r="J7" s="21">
        <f>IFERROR(__xludf.DUMMYFUNCTION("""COMPUTED_VALUE"""),73.0)</f>
        <v>73</v>
      </c>
      <c r="K7" s="23">
        <f>IFERROR(__xludf.DUMMYFUNCTION("""COMPUTED_VALUE"""),2.3)</f>
        <v>2.3</v>
      </c>
      <c r="L7" s="24"/>
      <c r="M7" s="25" t="str">
        <f>IFERROR(__xludf.DUMMYFUNCTION("""COMPUTED_VALUE"""),"Baseball Sim")</f>
        <v>Baseball Sim</v>
      </c>
      <c r="N7" s="25"/>
      <c r="O7" s="26" t="str">
        <f>IFERROR(__xludf.DUMMYFUNCTION("""COMPUTED_VALUE"""),"No")</f>
        <v>No</v>
      </c>
      <c r="P7" s="26"/>
    </row>
    <row r="8">
      <c r="A8" s="13" t="str">
        <f>IFERROR(__xludf.DUMMYFUNCTION("""COMPUTED_VALUE"""),"Wobbly Life")</f>
        <v>Wobbly Life</v>
      </c>
      <c r="B8" s="15" t="str">
        <f>IFERROR(__xludf.DUMMYFUNCTION("""COMPUTED_VALUE"""),"PS5/PS4")</f>
        <v>PS5/PS4</v>
      </c>
      <c r="C8" s="16" t="str">
        <f>IFERROR(__xludf.DUMMYFUNCTION("""COMPUTED_VALUE"""),"Essential")</f>
        <v>Essential</v>
      </c>
      <c r="D8" s="15" t="str">
        <f>IFERROR(__xludf.DUMMYFUNCTION("""COMPUTED_VALUE"""),"Removed")</f>
        <v>Removed</v>
      </c>
      <c r="E8" s="17">
        <f>IFERROR(__xludf.DUMMYFUNCTION("""COMPUTED_VALUE"""),46266.0)</f>
        <v>46266</v>
      </c>
      <c r="F8" s="18">
        <f>IFERROR(__xludf.DUMMYFUNCTION("""COMPUTED_VALUE"""),46300.0)</f>
        <v>46300</v>
      </c>
      <c r="G8" s="19">
        <f>IFERROR(__xludf.DUMMYFUNCTION("""COMPUTED_VALUE"""),1.1333333333333333)</f>
        <v>1.133333333</v>
      </c>
      <c r="H8" s="17">
        <f>IFERROR(__xludf.DUMMYFUNCTION("""COMPUTED_VALUE"""),45806.0)</f>
        <v>45806</v>
      </c>
      <c r="I8" s="19">
        <f>IFERROR(__xludf.DUMMYFUNCTION("""COMPUTED_VALUE"""),1.2555555555555555)</f>
        <v>1.255555556</v>
      </c>
      <c r="J8" s="21"/>
      <c r="K8" s="23">
        <f>IFERROR(__xludf.DUMMYFUNCTION("""COMPUTED_VALUE"""),7.4)</f>
        <v>7.4</v>
      </c>
      <c r="L8" s="24">
        <f>IFERROR(__xludf.DUMMYFUNCTION("""COMPUTED_VALUE"""),17.0)</f>
        <v>17</v>
      </c>
      <c r="M8" s="25" t="str">
        <f>IFERROR(__xludf.DUMMYFUNCTION("""COMPUTED_VALUE"""),"Action-Adventure")</f>
        <v>Action-Adventure</v>
      </c>
      <c r="N8" s="25"/>
      <c r="O8" s="26" t="str">
        <f>IFERROR(__xludf.DUMMYFUNCTION("""COMPUTED_VALUE"""),"No")</f>
        <v>No</v>
      </c>
      <c r="P8" s="26"/>
    </row>
    <row r="9">
      <c r="A9" s="35" t="str">
        <f>IFERROR(__xludf.DUMMYFUNCTION("""COMPUTED_VALUE"""),"Chained Echoes")</f>
        <v>Chained Echoes</v>
      </c>
      <c r="B9" s="15" t="str">
        <f>IFERROR(__xludf.DUMMYFUNCTION("""COMPUTED_VALUE"""),"PS4")</f>
        <v>PS4</v>
      </c>
      <c r="C9" s="16" t="str">
        <f>IFERROR(__xludf.DUMMYFUNCTION("""COMPUTED_VALUE"""),"Essential")</f>
        <v>Essential</v>
      </c>
      <c r="D9" s="15" t="str">
        <f>IFERROR(__xludf.DUMMYFUNCTION("""COMPUTED_VALUE"""),"Removed")</f>
        <v>Removed</v>
      </c>
      <c r="E9" s="17">
        <f>IFERROR(__xludf.DUMMYFUNCTION("""COMPUTED_VALUE"""),46266.0)</f>
        <v>46266</v>
      </c>
      <c r="F9" s="18">
        <f>IFERROR(__xludf.DUMMYFUNCTION("""COMPUTED_VALUE"""),46300.0)</f>
        <v>46300</v>
      </c>
      <c r="G9" s="19">
        <f>IFERROR(__xludf.DUMMYFUNCTION("""COMPUTED_VALUE"""),1.1333333333333333)</f>
        <v>1.133333333</v>
      </c>
      <c r="H9" s="17">
        <f>IFERROR(__xludf.DUMMYFUNCTION("""COMPUTED_VALUE"""),44903.0)</f>
        <v>44903</v>
      </c>
      <c r="I9" s="19">
        <f>IFERROR(__xludf.DUMMYFUNCTION("""COMPUTED_VALUE"""),3.7305555555555556)</f>
        <v>3.730555556</v>
      </c>
      <c r="J9" s="21">
        <f>IFERROR(__xludf.DUMMYFUNCTION("""COMPUTED_VALUE"""),90.0)</f>
        <v>90</v>
      </c>
      <c r="K9" s="23">
        <f>IFERROR(__xludf.DUMMYFUNCTION("""COMPUTED_VALUE"""),8.4)</f>
        <v>8.4</v>
      </c>
      <c r="L9" s="24">
        <f>IFERROR(__xludf.DUMMYFUNCTION("""COMPUTED_VALUE"""),35.0)</f>
        <v>35</v>
      </c>
      <c r="M9" s="25" t="str">
        <f>IFERROR(__xludf.DUMMYFUNCTION("""COMPUTED_VALUE"""),"RPG")</f>
        <v>RPG</v>
      </c>
      <c r="N9" s="25"/>
      <c r="O9" s="26" t="str">
        <f>IFERROR(__xludf.DUMMYFUNCTION("""COMPUTED_VALUE"""),"No")</f>
        <v>No</v>
      </c>
      <c r="P9" s="26"/>
    </row>
    <row r="10">
      <c r="A10" s="13" t="str">
        <f>IFERROR(__xludf.DUMMYFUNCTION("""COMPUTED_VALUE"""),"Dying Light 2: Reloaded Edition")</f>
        <v>Dying Light 2: Reloaded Edition</v>
      </c>
      <c r="B10" s="15" t="str">
        <f>IFERROR(__xludf.DUMMYFUNCTION("""COMPUTED_VALUE"""),"PS5/PS4")</f>
        <v>PS5/PS4</v>
      </c>
      <c r="C10" s="16" t="str">
        <f>IFERROR(__xludf.DUMMYFUNCTION("""COMPUTED_VALUE"""),"Essential")</f>
        <v>Essential</v>
      </c>
      <c r="D10" s="15" t="str">
        <f>IFERROR(__xludf.DUMMYFUNCTION("""COMPUTED_VALUE"""),"Removed")</f>
        <v>Removed</v>
      </c>
      <c r="E10" s="17">
        <f>IFERROR(__xludf.DUMMYFUNCTION("""COMPUTED_VALUE"""),46238.0)</f>
        <v>46238</v>
      </c>
      <c r="F10" s="18">
        <f>IFERROR(__xludf.DUMMYFUNCTION("""COMPUTED_VALUE"""),46265.0)</f>
        <v>46265</v>
      </c>
      <c r="G10" s="19">
        <f>IFERROR(__xludf.DUMMYFUNCTION("""COMPUTED_VALUE"""),0.8666666666666666)</f>
        <v>0.8666666667</v>
      </c>
      <c r="H10" s="17">
        <f>IFERROR(__xludf.DUMMYFUNCTION("""COMPUTED_VALUE"""),44596.0)</f>
        <v>44596</v>
      </c>
      <c r="I10" s="19">
        <f>IFERROR(__xludf.DUMMYFUNCTION("""COMPUTED_VALUE"""),4.5)</f>
        <v>4.5</v>
      </c>
      <c r="J10" s="21">
        <f>IFERROR(__xludf.DUMMYFUNCTION("""COMPUTED_VALUE"""),76.0)</f>
        <v>76</v>
      </c>
      <c r="K10" s="23">
        <f>IFERROR(__xludf.DUMMYFUNCTION("""COMPUTED_VALUE"""),7.2)</f>
        <v>7.2</v>
      </c>
      <c r="L10" s="24">
        <f>IFERROR(__xludf.DUMMYFUNCTION("""COMPUTED_VALUE"""),25.0)</f>
        <v>25</v>
      </c>
      <c r="M10" s="25" t="str">
        <f>IFERROR(__xludf.DUMMYFUNCTION("""COMPUTED_VALUE"""),"Survival")</f>
        <v>Survival</v>
      </c>
      <c r="N10" s="25"/>
      <c r="O10" s="26" t="str">
        <f>IFERROR(__xludf.DUMMYFUNCTION("""COMPUTED_VALUE"""),"No")</f>
        <v>No</v>
      </c>
      <c r="P10" s="26"/>
    </row>
    <row r="11">
      <c r="A11" s="13" t="str">
        <f>IFERROR(__xludf.DUMMYFUNCTION("""COMPUTED_VALUE"""),"Big Walk")</f>
        <v>Big Walk</v>
      </c>
      <c r="B11" s="15" t="str">
        <f>IFERROR(__xludf.DUMMYFUNCTION("""COMPUTED_VALUE"""),"PS5")</f>
        <v>PS5</v>
      </c>
      <c r="C11" s="16" t="str">
        <f>IFERROR(__xludf.DUMMYFUNCTION("""COMPUTED_VALUE"""),"Essential")</f>
        <v>Essential</v>
      </c>
      <c r="D11" s="15" t="str">
        <f>IFERROR(__xludf.DUMMYFUNCTION("""COMPUTED_VALUE"""),"Removed")</f>
        <v>Removed</v>
      </c>
      <c r="E11" s="17">
        <f>IFERROR(__xludf.DUMMYFUNCTION("""COMPUTED_VALUE"""),46238.0)</f>
        <v>46238</v>
      </c>
      <c r="F11" s="18">
        <f>IFERROR(__xludf.DUMMYFUNCTION("""COMPUTED_VALUE"""),46265.0)</f>
        <v>46265</v>
      </c>
      <c r="G11" s="19">
        <f>IFERROR(__xludf.DUMMYFUNCTION("""COMPUTED_VALUE"""),0.8666666666666666)</f>
        <v>0.8666666667</v>
      </c>
      <c r="H11" s="17">
        <f>IFERROR(__xludf.DUMMYFUNCTION("""COMPUTED_VALUE"""),46238.0)</f>
        <v>46238</v>
      </c>
      <c r="I11" s="19">
        <f>IFERROR(__xludf.DUMMYFUNCTION("""COMPUTED_VALUE"""),0.0)</f>
        <v>0</v>
      </c>
      <c r="J11" s="21">
        <f>IFERROR(__xludf.DUMMYFUNCTION("""COMPUTED_VALUE"""),91.0)</f>
        <v>91</v>
      </c>
      <c r="K11" s="23">
        <f>IFERROR(__xludf.DUMMYFUNCTION("""COMPUTED_VALUE"""),8.2)</f>
        <v>8.2</v>
      </c>
      <c r="L11" s="24">
        <f>IFERROR(__xludf.DUMMYFUNCTION("""COMPUTED_VALUE"""),11.0)</f>
        <v>11</v>
      </c>
      <c r="M11" s="25" t="str">
        <f>IFERROR(__xludf.DUMMYFUNCTION("""COMPUTED_VALUE"""),"Action-Adventure")</f>
        <v>Action-Adventure</v>
      </c>
      <c r="N11" s="25"/>
      <c r="O11" s="26"/>
      <c r="P11" s="26"/>
    </row>
    <row r="12">
      <c r="A12" s="13" t="str">
        <f>IFERROR(__xludf.DUMMYFUNCTION("""COMPUTED_VALUE"""),"Signalis")</f>
        <v>Signalis</v>
      </c>
      <c r="B12" s="15" t="str">
        <f>IFERROR(__xludf.DUMMYFUNCTION("""COMPUTED_VALUE"""),"PS4")</f>
        <v>PS4</v>
      </c>
      <c r="C12" s="16" t="str">
        <f>IFERROR(__xludf.DUMMYFUNCTION("""COMPUTED_VALUE"""),"Essential")</f>
        <v>Essential</v>
      </c>
      <c r="D12" s="15" t="str">
        <f>IFERROR(__xludf.DUMMYFUNCTION("""COMPUTED_VALUE"""),"Removed")</f>
        <v>Removed</v>
      </c>
      <c r="E12" s="53">
        <f>IFERROR(__xludf.DUMMYFUNCTION("""COMPUTED_VALUE"""),46238.0)</f>
        <v>46238</v>
      </c>
      <c r="F12" s="54">
        <f>IFERROR(__xludf.DUMMYFUNCTION("""COMPUTED_VALUE"""),46265.0)</f>
        <v>46265</v>
      </c>
      <c r="G12" s="19">
        <f>IFERROR(__xludf.DUMMYFUNCTION("""COMPUTED_VALUE"""),0.8666666666666666)</f>
        <v>0.8666666667</v>
      </c>
      <c r="H12" s="17">
        <f>IFERROR(__xludf.DUMMYFUNCTION("""COMPUTED_VALUE"""),44861.0)</f>
        <v>44861</v>
      </c>
      <c r="I12" s="19">
        <f>IFERROR(__xludf.DUMMYFUNCTION("""COMPUTED_VALUE"""),3.7694444444444444)</f>
        <v>3.769444444</v>
      </c>
      <c r="J12" s="21">
        <f>IFERROR(__xludf.DUMMYFUNCTION("""COMPUTED_VALUE"""),81.0)</f>
        <v>81</v>
      </c>
      <c r="K12" s="23">
        <f>IFERROR(__xludf.DUMMYFUNCTION("""COMPUTED_VALUE"""),8.4)</f>
        <v>8.4</v>
      </c>
      <c r="L12" s="24">
        <f>IFERROR(__xludf.DUMMYFUNCTION("""COMPUTED_VALUE"""),9.0)</f>
        <v>9</v>
      </c>
      <c r="M12" s="25" t="str">
        <f>IFERROR(__xludf.DUMMYFUNCTION("""COMPUTED_VALUE"""),"Survival")</f>
        <v>Survival</v>
      </c>
      <c r="N12" s="25"/>
      <c r="O12" s="26"/>
      <c r="P12" s="26"/>
    </row>
    <row r="13">
      <c r="A13" s="13" t="str">
        <f>IFERROR(__xludf.DUMMYFUNCTION("""COMPUTED_VALUE"""),"Call of Duty: Modern Warfare III")</f>
        <v>Call of Duty: Modern Warfare III</v>
      </c>
      <c r="B13" s="15" t="str">
        <f>IFERROR(__xludf.DUMMYFUNCTION("""COMPUTED_VALUE"""),"PS5/PS4")</f>
        <v>PS5/PS4</v>
      </c>
      <c r="C13" s="16" t="str">
        <f>IFERROR(__xludf.DUMMYFUNCTION("""COMPUTED_VALUE"""),"Essential")</f>
        <v>Essential</v>
      </c>
      <c r="D13" s="15" t="str">
        <f>IFERROR(__xludf.DUMMYFUNCTION("""COMPUTED_VALUE"""),"Removed")</f>
        <v>Removed</v>
      </c>
      <c r="E13" s="17">
        <f>IFERROR(__xludf.DUMMYFUNCTION("""COMPUTED_VALUE"""),46210.0)</f>
        <v>46210</v>
      </c>
      <c r="F13" s="54">
        <f>IFERROR(__xludf.DUMMYFUNCTION("""COMPUTED_VALUE"""),46237.0)</f>
        <v>46237</v>
      </c>
      <c r="G13" s="19">
        <f>IFERROR(__xludf.DUMMYFUNCTION("""COMPUTED_VALUE"""),0.8666666666666666)</f>
        <v>0.8666666667</v>
      </c>
      <c r="H13" s="17">
        <f>IFERROR(__xludf.DUMMYFUNCTION("""COMPUTED_VALUE"""),45240.0)</f>
        <v>45240</v>
      </c>
      <c r="I13" s="19">
        <f>IFERROR(__xludf.DUMMYFUNCTION("""COMPUTED_VALUE"""),2.658333333333333)</f>
        <v>2.658333333</v>
      </c>
      <c r="J13" s="21">
        <f>IFERROR(__xludf.DUMMYFUNCTION("""COMPUTED_VALUE"""),56.0)</f>
        <v>56</v>
      </c>
      <c r="K13" s="23">
        <f>IFERROR(__xludf.DUMMYFUNCTION("""COMPUTED_VALUE"""),2.5)</f>
        <v>2.5</v>
      </c>
      <c r="L13" s="24">
        <f>IFERROR(__xludf.DUMMYFUNCTION("""COMPUTED_VALUE"""),5.0)</f>
        <v>5</v>
      </c>
      <c r="M13" s="25" t="str">
        <f>IFERROR(__xludf.DUMMYFUNCTION("""COMPUTED_VALUE"""),"Shooter")</f>
        <v>Shooter</v>
      </c>
      <c r="N13" s="25"/>
      <c r="O13" s="26" t="str">
        <f>IFERROR(__xludf.DUMMYFUNCTION("""COMPUTED_VALUE"""),"No")</f>
        <v>No</v>
      </c>
      <c r="P13" s="26"/>
    </row>
    <row r="14">
      <c r="A14" s="13" t="str">
        <f>IFERROR(__xludf.DUMMYFUNCTION("""COMPUTED_VALUE"""),"For the King II")</f>
        <v>For the King II</v>
      </c>
      <c r="B14" s="15" t="str">
        <f>IFERROR(__xludf.DUMMYFUNCTION("""COMPUTED_VALUE"""),"PS5/PS4")</f>
        <v>PS5/PS4</v>
      </c>
      <c r="C14" s="16" t="str">
        <f>IFERROR(__xludf.DUMMYFUNCTION("""COMPUTED_VALUE"""),"Essential")</f>
        <v>Essential</v>
      </c>
      <c r="D14" s="15" t="str">
        <f>IFERROR(__xludf.DUMMYFUNCTION("""COMPUTED_VALUE"""),"Removed")</f>
        <v>Removed</v>
      </c>
      <c r="E14" s="17">
        <f>IFERROR(__xludf.DUMMYFUNCTION("""COMPUTED_VALUE"""),46210.0)</f>
        <v>46210</v>
      </c>
      <c r="F14" s="54">
        <f>IFERROR(__xludf.DUMMYFUNCTION("""COMPUTED_VALUE"""),46237.0)</f>
        <v>46237</v>
      </c>
      <c r="G14" s="19">
        <f>IFERROR(__xludf.DUMMYFUNCTION("""COMPUTED_VALUE"""),0.8666666666666666)</f>
        <v>0.8666666667</v>
      </c>
      <c r="H14" s="17">
        <f>IFERROR(__xludf.DUMMYFUNCTION("""COMPUTED_VALUE"""),45232.0)</f>
        <v>45232</v>
      </c>
      <c r="I14" s="19">
        <f>IFERROR(__xludf.DUMMYFUNCTION("""COMPUTED_VALUE"""),2.6805555555555554)</f>
        <v>2.680555556</v>
      </c>
      <c r="J14" s="21">
        <f>IFERROR(__xludf.DUMMYFUNCTION("""COMPUTED_VALUE"""),79.0)</f>
        <v>79</v>
      </c>
      <c r="K14" s="23">
        <f>IFERROR(__xludf.DUMMYFUNCTION("""COMPUTED_VALUE"""),7.5)</f>
        <v>7.5</v>
      </c>
      <c r="L14" s="24">
        <f>IFERROR(__xludf.DUMMYFUNCTION("""COMPUTED_VALUE"""),18.0)</f>
        <v>18</v>
      </c>
      <c r="M14" s="25" t="str">
        <f>IFERROR(__xludf.DUMMYFUNCTION("""COMPUTED_VALUE"""),"Roguelike")</f>
        <v>Roguelike</v>
      </c>
      <c r="N14" s="25"/>
      <c r="O14" s="26" t="str">
        <f>IFERROR(__xludf.DUMMYFUNCTION("""COMPUTED_VALUE"""),"No")</f>
        <v>No</v>
      </c>
      <c r="P14" s="26"/>
    </row>
    <row r="15">
      <c r="A15" s="13" t="str">
        <f>IFERROR(__xludf.DUMMYFUNCTION("""COMPUTED_VALUE"""),"CrossCode")</f>
        <v>CrossCode</v>
      </c>
      <c r="B15" s="15" t="str">
        <f>IFERROR(__xludf.DUMMYFUNCTION("""COMPUTED_VALUE"""),"PS5/PS4")</f>
        <v>PS5/PS4</v>
      </c>
      <c r="C15" s="16" t="str">
        <f>IFERROR(__xludf.DUMMYFUNCTION("""COMPUTED_VALUE"""),"Essential")</f>
        <v>Essential</v>
      </c>
      <c r="D15" s="15" t="str">
        <f>IFERROR(__xludf.DUMMYFUNCTION("""COMPUTED_VALUE"""),"Removed")</f>
        <v>Removed</v>
      </c>
      <c r="E15" s="17">
        <f>IFERROR(__xludf.DUMMYFUNCTION("""COMPUTED_VALUE"""),46210.0)</f>
        <v>46210</v>
      </c>
      <c r="F15" s="54">
        <f>IFERROR(__xludf.DUMMYFUNCTION("""COMPUTED_VALUE"""),46237.0)</f>
        <v>46237</v>
      </c>
      <c r="G15" s="19">
        <f>IFERROR(__xludf.DUMMYFUNCTION("""COMPUTED_VALUE"""),0.8666666666666666)</f>
        <v>0.8666666667</v>
      </c>
      <c r="H15" s="17">
        <f>IFERROR(__xludf.DUMMYFUNCTION("""COMPUTED_VALUE"""),44021.0)</f>
        <v>44021</v>
      </c>
      <c r="I15" s="19">
        <f>IFERROR(__xludf.DUMMYFUNCTION("""COMPUTED_VALUE"""),5.9944444444444445)</f>
        <v>5.994444444</v>
      </c>
      <c r="J15" s="21">
        <f>IFERROR(__xludf.DUMMYFUNCTION("""COMPUTED_VALUE"""),86.0)</f>
        <v>86</v>
      </c>
      <c r="K15" s="23">
        <f>IFERROR(__xludf.DUMMYFUNCTION("""COMPUTED_VALUE"""),8.3)</f>
        <v>8.3</v>
      </c>
      <c r="L15" s="24">
        <f>IFERROR(__xludf.DUMMYFUNCTION("""COMPUTED_VALUE"""),30.0)</f>
        <v>30</v>
      </c>
      <c r="M15" s="25" t="str">
        <f>IFERROR(__xludf.DUMMYFUNCTION("""COMPUTED_VALUE"""),"RPG")</f>
        <v>RPG</v>
      </c>
      <c r="N15" s="25"/>
      <c r="O15" s="26" t="str">
        <f>IFERROR(__xludf.DUMMYFUNCTION("""COMPUTED_VALUE"""),"No")</f>
        <v>No</v>
      </c>
      <c r="P15" s="26"/>
    </row>
    <row r="16">
      <c r="A16" s="13" t="str">
        <f>IFERROR(__xludf.DUMMYFUNCTION("""COMPUTED_VALUE"""),"Grounded: Fully Yoked Edition")</f>
        <v>Grounded: Fully Yoked Edition</v>
      </c>
      <c r="B16" s="15" t="str">
        <f>IFERROR(__xludf.DUMMYFUNCTION("""COMPUTED_VALUE"""),"PS5/PS4")</f>
        <v>PS5/PS4</v>
      </c>
      <c r="C16" s="16" t="str">
        <f>IFERROR(__xludf.DUMMYFUNCTION("""COMPUTED_VALUE"""),"Essential")</f>
        <v>Essential</v>
      </c>
      <c r="D16" s="15" t="str">
        <f>IFERROR(__xludf.DUMMYFUNCTION("""COMPUTED_VALUE"""),"Removed")</f>
        <v>Removed</v>
      </c>
      <c r="E16" s="17">
        <f>IFERROR(__xludf.DUMMYFUNCTION("""COMPUTED_VALUE"""),46175.0)</f>
        <v>46175</v>
      </c>
      <c r="F16" s="54">
        <f>IFERROR(__xludf.DUMMYFUNCTION("""COMPUTED_VALUE"""),46209.0)</f>
        <v>46209</v>
      </c>
      <c r="G16" s="19">
        <f>IFERROR(__xludf.DUMMYFUNCTION("""COMPUTED_VALUE"""),1.1333333333333333)</f>
        <v>1.133333333</v>
      </c>
      <c r="H16" s="17">
        <f>IFERROR(__xludf.DUMMYFUNCTION("""COMPUTED_VALUE"""),45398.0)</f>
        <v>45398</v>
      </c>
      <c r="I16" s="19">
        <f>IFERROR(__xludf.DUMMYFUNCTION("""COMPUTED_VALUE"""),2.1277777777777778)</f>
        <v>2.127777778</v>
      </c>
      <c r="J16" s="21">
        <f>IFERROR(__xludf.DUMMYFUNCTION("""COMPUTED_VALUE"""),83.0)</f>
        <v>83</v>
      </c>
      <c r="K16" s="23">
        <f>IFERROR(__xludf.DUMMYFUNCTION("""COMPUTED_VALUE"""),7.9)</f>
        <v>7.9</v>
      </c>
      <c r="L16" s="24">
        <f>IFERROR(__xludf.DUMMYFUNCTION("""COMPUTED_VALUE"""),23.0)</f>
        <v>23</v>
      </c>
      <c r="M16" s="25" t="str">
        <f>IFERROR(__xludf.DUMMYFUNCTION("""COMPUTED_VALUE"""),"Action-Adventure")</f>
        <v>Action-Adventure</v>
      </c>
      <c r="N16" s="25"/>
      <c r="O16" s="26" t="str">
        <f>IFERROR(__xludf.DUMMYFUNCTION("""COMPUTED_VALUE"""),"No")</f>
        <v>No</v>
      </c>
      <c r="P16" s="26"/>
    </row>
    <row r="17">
      <c r="A17" s="13" t="str">
        <f>IFERROR(__xludf.DUMMYFUNCTION("""COMPUTED_VALUE"""),"Nickelodeon All-Star Brawl 2")</f>
        <v>Nickelodeon All-Star Brawl 2</v>
      </c>
      <c r="B17" s="15" t="str">
        <f>IFERROR(__xludf.DUMMYFUNCTION("""COMPUTED_VALUE"""),"PS5/PS4")</f>
        <v>PS5/PS4</v>
      </c>
      <c r="C17" s="16" t="str">
        <f>IFERROR(__xludf.DUMMYFUNCTION("""COMPUTED_VALUE"""),"Essential")</f>
        <v>Essential</v>
      </c>
      <c r="D17" s="15" t="str">
        <f>IFERROR(__xludf.DUMMYFUNCTION("""COMPUTED_VALUE"""),"Removed")</f>
        <v>Removed</v>
      </c>
      <c r="E17" s="17">
        <f>IFERROR(__xludf.DUMMYFUNCTION("""COMPUTED_VALUE"""),46175.0)</f>
        <v>46175</v>
      </c>
      <c r="F17" s="54">
        <f>IFERROR(__xludf.DUMMYFUNCTION("""COMPUTED_VALUE"""),46209.0)</f>
        <v>46209</v>
      </c>
      <c r="G17" s="19">
        <f>IFERROR(__xludf.DUMMYFUNCTION("""COMPUTED_VALUE"""),1.1333333333333333)</f>
        <v>1.133333333</v>
      </c>
      <c r="H17" s="17">
        <f>IFERROR(__xludf.DUMMYFUNCTION("""COMPUTED_VALUE"""),45237.0)</f>
        <v>45237</v>
      </c>
      <c r="I17" s="19">
        <f>IFERROR(__xludf.DUMMYFUNCTION("""COMPUTED_VALUE"""),2.5694444444444446)</f>
        <v>2.569444444</v>
      </c>
      <c r="J17" s="21">
        <f>IFERROR(__xludf.DUMMYFUNCTION("""COMPUTED_VALUE"""),77.0)</f>
        <v>77</v>
      </c>
      <c r="K17" s="23">
        <f>IFERROR(__xludf.DUMMYFUNCTION("""COMPUTED_VALUE"""),6.8)</f>
        <v>6.8</v>
      </c>
      <c r="L17" s="24">
        <f>IFERROR(__xludf.DUMMYFUNCTION("""COMPUTED_VALUE"""),8.0)</f>
        <v>8</v>
      </c>
      <c r="M17" s="25" t="str">
        <f>IFERROR(__xludf.DUMMYFUNCTION("""COMPUTED_VALUE"""),"Fighting")</f>
        <v>Fighting</v>
      </c>
      <c r="N17" s="25"/>
      <c r="O17" s="26" t="str">
        <f>IFERROR(__xludf.DUMMYFUNCTION("""COMPUTED_VALUE"""),"No")</f>
        <v>No</v>
      </c>
      <c r="P17" s="26"/>
    </row>
    <row r="18">
      <c r="A18" s="13" t="str">
        <f>IFERROR(__xludf.DUMMYFUNCTION("""COMPUTED_VALUE"""),"Warhammer 40,000: Darktide")</f>
        <v>Warhammer 40,000: Darktide</v>
      </c>
      <c r="B18" s="15" t="str">
        <f>IFERROR(__xludf.DUMMYFUNCTION("""COMPUTED_VALUE"""),"PS5")</f>
        <v>PS5</v>
      </c>
      <c r="C18" s="16" t="str">
        <f>IFERROR(__xludf.DUMMYFUNCTION("""COMPUTED_VALUE"""),"Essential")</f>
        <v>Essential</v>
      </c>
      <c r="D18" s="15" t="str">
        <f>IFERROR(__xludf.DUMMYFUNCTION("""COMPUTED_VALUE"""),"Removed")</f>
        <v>Removed</v>
      </c>
      <c r="E18" s="17">
        <f>IFERROR(__xludf.DUMMYFUNCTION("""COMPUTED_VALUE"""),46175.0)</f>
        <v>46175</v>
      </c>
      <c r="F18" s="54">
        <f>IFERROR(__xludf.DUMMYFUNCTION("""COMPUTED_VALUE"""),46209.0)</f>
        <v>46209</v>
      </c>
      <c r="G18" s="19">
        <f>IFERROR(__xludf.DUMMYFUNCTION("""COMPUTED_VALUE"""),1.1333333333333333)</f>
        <v>1.133333333</v>
      </c>
      <c r="H18" s="17">
        <f>IFERROR(__xludf.DUMMYFUNCTION("""COMPUTED_VALUE"""),44895.0)</f>
        <v>44895</v>
      </c>
      <c r="I18" s="19">
        <f>IFERROR(__xludf.DUMMYFUNCTION("""COMPUTED_VALUE"""),3.5055555555555555)</f>
        <v>3.505555556</v>
      </c>
      <c r="J18" s="21">
        <f>IFERROR(__xludf.DUMMYFUNCTION("""COMPUTED_VALUE"""),75.0)</f>
        <v>75</v>
      </c>
      <c r="K18" s="23">
        <f>IFERROR(__xludf.DUMMYFUNCTION("""COMPUTED_VALUE"""),4.9)</f>
        <v>4.9</v>
      </c>
      <c r="L18" s="24">
        <f>IFERROR(__xludf.DUMMYFUNCTION("""COMPUTED_VALUE"""),31.0)</f>
        <v>31</v>
      </c>
      <c r="M18" s="25" t="str">
        <f>IFERROR(__xludf.DUMMYFUNCTION("""COMPUTED_VALUE"""),"Shooter")</f>
        <v>Shooter</v>
      </c>
      <c r="N18" s="25"/>
      <c r="O18" s="26" t="str">
        <f>IFERROR(__xludf.DUMMYFUNCTION("""COMPUTED_VALUE"""),"No")</f>
        <v>No</v>
      </c>
      <c r="P18" s="26"/>
    </row>
    <row r="19">
      <c r="A19" s="13" t="str">
        <f>IFERROR(__xludf.DUMMYFUNCTION("""COMPUTED_VALUE"""),"EA Sports FC 26")</f>
        <v>EA Sports FC 26</v>
      </c>
      <c r="B19" s="15" t="str">
        <f>IFERROR(__xludf.DUMMYFUNCTION("""COMPUTED_VALUE"""),"PS5/PS4")</f>
        <v>PS5/PS4</v>
      </c>
      <c r="C19" s="16" t="str">
        <f>IFERROR(__xludf.DUMMYFUNCTION("""COMPUTED_VALUE"""),"Essential")</f>
        <v>Essential</v>
      </c>
      <c r="D19" s="15" t="str">
        <f>IFERROR(__xludf.DUMMYFUNCTION("""COMPUTED_VALUE"""),"Removed")</f>
        <v>Removed</v>
      </c>
      <c r="E19" s="17">
        <f>IFERROR(__xludf.DUMMYFUNCTION("""COMPUTED_VALUE"""),46147.0)</f>
        <v>46147</v>
      </c>
      <c r="F19" s="54">
        <f>IFERROR(__xludf.DUMMYFUNCTION("""COMPUTED_VALUE"""),46189.0)</f>
        <v>46189</v>
      </c>
      <c r="G19" s="19">
        <f>IFERROR(__xludf.DUMMYFUNCTION("""COMPUTED_VALUE"""),1.3666666666666667)</f>
        <v>1.366666667</v>
      </c>
      <c r="H19" s="17">
        <f>IFERROR(__xludf.DUMMYFUNCTION("""COMPUTED_VALUE"""),45926.0)</f>
        <v>45926</v>
      </c>
      <c r="I19" s="19">
        <f>IFERROR(__xludf.DUMMYFUNCTION("""COMPUTED_VALUE"""),0.6083333333333333)</f>
        <v>0.6083333333</v>
      </c>
      <c r="J19" s="21">
        <f>IFERROR(__xludf.DUMMYFUNCTION("""COMPUTED_VALUE"""),77.0)</f>
        <v>77</v>
      </c>
      <c r="K19" s="23">
        <f>IFERROR(__xludf.DUMMYFUNCTION("""COMPUTED_VALUE"""),2.9)</f>
        <v>2.9</v>
      </c>
      <c r="L19" s="24">
        <f>IFERROR(__xludf.DUMMYFUNCTION("""COMPUTED_VALUE"""),32.0)</f>
        <v>32</v>
      </c>
      <c r="M19" s="25" t="str">
        <f>IFERROR(__xludf.DUMMYFUNCTION("""COMPUTED_VALUE"""),"Sports")</f>
        <v>Sports</v>
      </c>
      <c r="N19" s="25"/>
      <c r="O19" s="26" t="str">
        <f>IFERROR(__xludf.DUMMYFUNCTION("""COMPUTED_VALUE"""),"No")</f>
        <v>No</v>
      </c>
      <c r="P19" s="26"/>
    </row>
    <row r="20">
      <c r="A20" s="13" t="str">
        <f>IFERROR(__xludf.DUMMYFUNCTION("""COMPUTED_VALUE"""),"WUCHANG: Fallen Feathers")</f>
        <v>WUCHANG: Fallen Feathers</v>
      </c>
      <c r="B20" s="15" t="str">
        <f>IFERROR(__xludf.DUMMYFUNCTION("""COMPUTED_VALUE"""),"PS5")</f>
        <v>PS5</v>
      </c>
      <c r="C20" s="16" t="str">
        <f>IFERROR(__xludf.DUMMYFUNCTION("""COMPUTED_VALUE"""),"Essential")</f>
        <v>Essential</v>
      </c>
      <c r="D20" s="15" t="str">
        <f>IFERROR(__xludf.DUMMYFUNCTION("""COMPUTED_VALUE"""),"Removed")</f>
        <v>Removed</v>
      </c>
      <c r="E20" s="17">
        <f>IFERROR(__xludf.DUMMYFUNCTION("""COMPUTED_VALUE"""),46147.0)</f>
        <v>46147</v>
      </c>
      <c r="F20" s="54">
        <f>IFERROR(__xludf.DUMMYFUNCTION("""COMPUTED_VALUE"""),46174.0)</f>
        <v>46174</v>
      </c>
      <c r="G20" s="19">
        <f>IFERROR(__xludf.DUMMYFUNCTION("""COMPUTED_VALUE"""),0.8666666666666666)</f>
        <v>0.8666666667</v>
      </c>
      <c r="H20" s="17">
        <f>IFERROR(__xludf.DUMMYFUNCTION("""COMPUTED_VALUE"""),45862.0)</f>
        <v>45862</v>
      </c>
      <c r="I20" s="19">
        <f>IFERROR(__xludf.DUMMYFUNCTION("""COMPUTED_VALUE"""),0.7805555555555556)</f>
        <v>0.7805555556</v>
      </c>
      <c r="J20" s="21">
        <f>IFERROR(__xludf.DUMMYFUNCTION("""COMPUTED_VALUE"""),74.0)</f>
        <v>74</v>
      </c>
      <c r="K20" s="23">
        <f>IFERROR(__xludf.DUMMYFUNCTION("""COMPUTED_VALUE"""),6.8)</f>
        <v>6.8</v>
      </c>
      <c r="L20" s="24">
        <f>IFERROR(__xludf.DUMMYFUNCTION("""COMPUTED_VALUE"""),31.0)</f>
        <v>31</v>
      </c>
      <c r="M20" s="25" t="str">
        <f>IFERROR(__xludf.DUMMYFUNCTION("""COMPUTED_VALUE"""),"RPG")</f>
        <v>RPG</v>
      </c>
      <c r="N20" s="25"/>
      <c r="O20" s="26" t="str">
        <f>IFERROR(__xludf.DUMMYFUNCTION("""COMPUTED_VALUE"""),"No")</f>
        <v>No</v>
      </c>
      <c r="P20" s="26"/>
    </row>
    <row r="21">
      <c r="A21" s="13" t="str">
        <f>IFERROR(__xludf.DUMMYFUNCTION("""COMPUTED_VALUE"""),"Nine Sols")</f>
        <v>Nine Sols</v>
      </c>
      <c r="B21" s="15" t="str">
        <f>IFERROR(__xludf.DUMMYFUNCTION("""COMPUTED_VALUE"""),"PS5/PS4")</f>
        <v>PS5/PS4</v>
      </c>
      <c r="C21" s="16" t="str">
        <f>IFERROR(__xludf.DUMMYFUNCTION("""COMPUTED_VALUE"""),"Essential")</f>
        <v>Essential</v>
      </c>
      <c r="D21" s="15" t="str">
        <f>IFERROR(__xludf.DUMMYFUNCTION("""COMPUTED_VALUE"""),"Removed")</f>
        <v>Removed</v>
      </c>
      <c r="E21" s="17">
        <f>IFERROR(__xludf.DUMMYFUNCTION("""COMPUTED_VALUE"""),46147.0)</f>
        <v>46147</v>
      </c>
      <c r="F21" s="18">
        <f>IFERROR(__xludf.DUMMYFUNCTION("""COMPUTED_VALUE"""),46174.0)</f>
        <v>46174</v>
      </c>
      <c r="G21" s="19">
        <f>IFERROR(__xludf.DUMMYFUNCTION("""COMPUTED_VALUE"""),0.8666666666666666)</f>
        <v>0.8666666667</v>
      </c>
      <c r="H21" s="17">
        <f>IFERROR(__xludf.DUMMYFUNCTION("""COMPUTED_VALUE"""),45440.0)</f>
        <v>45440</v>
      </c>
      <c r="I21" s="19">
        <f>IFERROR(__xludf.DUMMYFUNCTION("""COMPUTED_VALUE"""),1.9361111111111111)</f>
        <v>1.936111111</v>
      </c>
      <c r="J21" s="21">
        <f>IFERROR(__xludf.DUMMYFUNCTION("""COMPUTED_VALUE"""),84.0)</f>
        <v>84</v>
      </c>
      <c r="K21" s="23">
        <f>IFERROR(__xludf.DUMMYFUNCTION("""COMPUTED_VALUE"""),8.4)</f>
        <v>8.4</v>
      </c>
      <c r="L21" s="24">
        <f>IFERROR(__xludf.DUMMYFUNCTION("""COMPUTED_VALUE"""),22.0)</f>
        <v>22</v>
      </c>
      <c r="M21" s="25" t="str">
        <f>IFERROR(__xludf.DUMMYFUNCTION("""COMPUTED_VALUE"""),"Metroidvania")</f>
        <v>Metroidvania</v>
      </c>
      <c r="N21" s="25"/>
      <c r="O21" s="26" t="str">
        <f>IFERROR(__xludf.DUMMYFUNCTION("""COMPUTED_VALUE"""),"No")</f>
        <v>No</v>
      </c>
      <c r="P21" s="26"/>
    </row>
    <row r="22">
      <c r="A22" s="13" t="str">
        <f>IFERROR(__xludf.DUMMYFUNCTION("""COMPUTED_VALUE"""),"Lords of the Fallen (2023)")</f>
        <v>Lords of the Fallen (2023)</v>
      </c>
      <c r="B22" s="15" t="str">
        <f>IFERROR(__xludf.DUMMYFUNCTION("""COMPUTED_VALUE"""),"PS5")</f>
        <v>PS5</v>
      </c>
      <c r="C22" s="16" t="str">
        <f>IFERROR(__xludf.DUMMYFUNCTION("""COMPUTED_VALUE"""),"Essential")</f>
        <v>Essential</v>
      </c>
      <c r="D22" s="15" t="str">
        <f>IFERROR(__xludf.DUMMYFUNCTION("""COMPUTED_VALUE"""),"Removed")</f>
        <v>Removed</v>
      </c>
      <c r="E22" s="17">
        <f>IFERROR(__xludf.DUMMYFUNCTION("""COMPUTED_VALUE"""),46119.0)</f>
        <v>46119</v>
      </c>
      <c r="F22" s="54">
        <f>IFERROR(__xludf.DUMMYFUNCTION("""COMPUTED_VALUE"""),46146.0)</f>
        <v>46146</v>
      </c>
      <c r="G22" s="19">
        <f>IFERROR(__xludf.DUMMYFUNCTION("""COMPUTED_VALUE"""),0.8999999999999999)</f>
        <v>0.9</v>
      </c>
      <c r="H22" s="17">
        <f>IFERROR(__xludf.DUMMYFUNCTION("""COMPUTED_VALUE"""),45212.0)</f>
        <v>45212</v>
      </c>
      <c r="I22" s="19">
        <f>IFERROR(__xludf.DUMMYFUNCTION("""COMPUTED_VALUE"""),2.4833333333333334)</f>
        <v>2.483333333</v>
      </c>
      <c r="J22" s="21">
        <f>IFERROR(__xludf.DUMMYFUNCTION("""COMPUTED_VALUE"""),75.0)</f>
        <v>75</v>
      </c>
      <c r="K22" s="23">
        <f>IFERROR(__xludf.DUMMYFUNCTION("""COMPUTED_VALUE"""),6.8)</f>
        <v>6.8</v>
      </c>
      <c r="L22" s="24">
        <f>IFERROR(__xludf.DUMMYFUNCTION("""COMPUTED_VALUE"""),29.0)</f>
        <v>29</v>
      </c>
      <c r="M22" s="25" t="str">
        <f>IFERROR(__xludf.DUMMYFUNCTION("""COMPUTED_VALUE"""),"RPG")</f>
        <v>RPG</v>
      </c>
      <c r="N22" s="25"/>
      <c r="O22" s="26" t="str">
        <f>IFERROR(__xludf.DUMMYFUNCTION("""COMPUTED_VALUE"""),"No")</f>
        <v>No</v>
      </c>
      <c r="P22" s="26"/>
    </row>
    <row r="23">
      <c r="A23" s="13" t="str">
        <f>IFERROR(__xludf.DUMMYFUNCTION("""COMPUTED_VALUE"""),"Sword Art Online: Fractured Daydream")</f>
        <v>Sword Art Online: Fractured Daydream</v>
      </c>
      <c r="B23" s="15" t="str">
        <f>IFERROR(__xludf.DUMMYFUNCTION("""COMPUTED_VALUE"""),"PS5")</f>
        <v>PS5</v>
      </c>
      <c r="C23" s="16" t="str">
        <f>IFERROR(__xludf.DUMMYFUNCTION("""COMPUTED_VALUE"""),"Essential")</f>
        <v>Essential</v>
      </c>
      <c r="D23" s="15" t="str">
        <f>IFERROR(__xludf.DUMMYFUNCTION("""COMPUTED_VALUE"""),"Removed")</f>
        <v>Removed</v>
      </c>
      <c r="E23" s="17">
        <f>IFERROR(__xludf.DUMMYFUNCTION("""COMPUTED_VALUE"""),46119.0)</f>
        <v>46119</v>
      </c>
      <c r="F23" s="18">
        <f>IFERROR(__xludf.DUMMYFUNCTION("""COMPUTED_VALUE"""),46146.0)</f>
        <v>46146</v>
      </c>
      <c r="G23" s="19">
        <f>IFERROR(__xludf.DUMMYFUNCTION("""COMPUTED_VALUE"""),0.8999999999999999)</f>
        <v>0.9</v>
      </c>
      <c r="H23" s="17">
        <f>IFERROR(__xludf.DUMMYFUNCTION("""COMPUTED_VALUE"""),45569.0)</f>
        <v>45569</v>
      </c>
      <c r="I23" s="19">
        <f>IFERROR(__xludf.DUMMYFUNCTION("""COMPUTED_VALUE"""),1.5083333333333333)</f>
        <v>1.508333333</v>
      </c>
      <c r="J23" s="21">
        <f>IFERROR(__xludf.DUMMYFUNCTION("""COMPUTED_VALUE"""),68.0)</f>
        <v>68</v>
      </c>
      <c r="K23" s="23">
        <f>IFERROR(__xludf.DUMMYFUNCTION("""COMPUTED_VALUE"""),7.1)</f>
        <v>7.1</v>
      </c>
      <c r="L23" s="24">
        <f>IFERROR(__xludf.DUMMYFUNCTION("""COMPUTED_VALUE"""),18.0)</f>
        <v>18</v>
      </c>
      <c r="M23" s="25" t="str">
        <f>IFERROR(__xludf.DUMMYFUNCTION("""COMPUTED_VALUE"""),"RPG")</f>
        <v>RPG</v>
      </c>
      <c r="N23" s="25"/>
      <c r="O23" s="26" t="str">
        <f>IFERROR(__xludf.DUMMYFUNCTION("""COMPUTED_VALUE"""),"No")</f>
        <v>No</v>
      </c>
      <c r="P23" s="26"/>
    </row>
    <row r="24">
      <c r="A24" s="13" t="str">
        <f>IFERROR(__xludf.DUMMYFUNCTION("""COMPUTED_VALUE"""),"Tomb Raider I-III Remastered")</f>
        <v>Tomb Raider I-III Remastered</v>
      </c>
      <c r="B24" s="15" t="str">
        <f>IFERROR(__xludf.DUMMYFUNCTION("""COMPUTED_VALUE"""),"PS5/PS4")</f>
        <v>PS5/PS4</v>
      </c>
      <c r="C24" s="16" t="str">
        <f>IFERROR(__xludf.DUMMYFUNCTION("""COMPUTED_VALUE"""),"Essential")</f>
        <v>Essential</v>
      </c>
      <c r="D24" s="15" t="str">
        <f>IFERROR(__xludf.DUMMYFUNCTION("""COMPUTED_VALUE"""),"Removed")</f>
        <v>Removed</v>
      </c>
      <c r="E24" s="17">
        <f>IFERROR(__xludf.DUMMYFUNCTION("""COMPUTED_VALUE"""),46119.0)</f>
        <v>46119</v>
      </c>
      <c r="F24" s="18">
        <f>IFERROR(__xludf.DUMMYFUNCTION("""COMPUTED_VALUE"""),46146.0)</f>
        <v>46146</v>
      </c>
      <c r="G24" s="19">
        <f>IFERROR(__xludf.DUMMYFUNCTION("""COMPUTED_VALUE"""),0.8999999999999999)</f>
        <v>0.9</v>
      </c>
      <c r="H24" s="17">
        <f>IFERROR(__xludf.DUMMYFUNCTION("""COMPUTED_VALUE"""),45336.0)</f>
        <v>45336</v>
      </c>
      <c r="I24" s="19">
        <f>IFERROR(__xludf.DUMMYFUNCTION("""COMPUTED_VALUE"""),2.147222222222222)</f>
        <v>2.147222222</v>
      </c>
      <c r="J24" s="21">
        <f>IFERROR(__xludf.DUMMYFUNCTION("""COMPUTED_VALUE"""),75.0)</f>
        <v>75</v>
      </c>
      <c r="K24" s="23">
        <f>IFERROR(__xludf.DUMMYFUNCTION("""COMPUTED_VALUE"""),7.7)</f>
        <v>7.7</v>
      </c>
      <c r="L24" s="24">
        <f>IFERROR(__xludf.DUMMYFUNCTION("""COMPUTED_VALUE"""),66.0)</f>
        <v>66</v>
      </c>
      <c r="M24" s="25" t="str">
        <f>IFERROR(__xludf.DUMMYFUNCTION("""COMPUTED_VALUE"""),"Action-Adventure")</f>
        <v>Action-Adventure</v>
      </c>
      <c r="N24" s="25"/>
      <c r="O24" s="26" t="str">
        <f>IFERROR(__xludf.DUMMYFUNCTION("""COMPUTED_VALUE"""),"No")</f>
        <v>No</v>
      </c>
      <c r="P24" s="26"/>
    </row>
    <row r="25">
      <c r="A25" s="13" t="str">
        <f>IFERROR(__xludf.DUMMYFUNCTION("""COMPUTED_VALUE"""),"Undisputed")</f>
        <v>Undisputed</v>
      </c>
      <c r="B25" s="15" t="str">
        <f>IFERROR(__xludf.DUMMYFUNCTION("""COMPUTED_VALUE"""),"PS5")</f>
        <v>PS5</v>
      </c>
      <c r="C25" s="16" t="str">
        <f>IFERROR(__xludf.DUMMYFUNCTION("""COMPUTED_VALUE"""),"Essential")</f>
        <v>Essential</v>
      </c>
      <c r="D25" s="15" t="str">
        <f>IFERROR(__xludf.DUMMYFUNCTION("""COMPUTED_VALUE"""),"Removed")</f>
        <v>Removed</v>
      </c>
      <c r="E25" s="17">
        <f>IFERROR(__xludf.DUMMYFUNCTION("""COMPUTED_VALUE"""),46056.0)</f>
        <v>46056</v>
      </c>
      <c r="F25" s="54">
        <f>IFERROR(__xludf.DUMMYFUNCTION("""COMPUTED_VALUE"""),46083.0)</f>
        <v>46083</v>
      </c>
      <c r="G25" s="19">
        <f>IFERROR(__xludf.DUMMYFUNCTION("""COMPUTED_VALUE"""),0.9666666666666668)</f>
        <v>0.9666666667</v>
      </c>
      <c r="H25" s="17">
        <f>IFERROR(__xludf.DUMMYFUNCTION("""COMPUTED_VALUE"""),45576.0)</f>
        <v>45576</v>
      </c>
      <c r="I25" s="19">
        <f>IFERROR(__xludf.DUMMYFUNCTION("""COMPUTED_VALUE"""),1.3111111111111111)</f>
        <v>1.311111111</v>
      </c>
      <c r="J25" s="21">
        <f>IFERROR(__xludf.DUMMYFUNCTION("""COMPUTED_VALUE"""),70.0)</f>
        <v>70</v>
      </c>
      <c r="K25" s="23">
        <f>IFERROR(__xludf.DUMMYFUNCTION("""COMPUTED_VALUE"""),4.9)</f>
        <v>4.9</v>
      </c>
      <c r="L25" s="24">
        <f>IFERROR(__xludf.DUMMYFUNCTION("""COMPUTED_VALUE"""),16.0)</f>
        <v>16</v>
      </c>
      <c r="M25" s="25" t="str">
        <f>IFERROR(__xludf.DUMMYFUNCTION("""COMPUTED_VALUE"""),"Sports")</f>
        <v>Sports</v>
      </c>
      <c r="N25" s="25"/>
      <c r="O25" s="26"/>
      <c r="P25" s="26"/>
    </row>
    <row r="26">
      <c r="A26" s="13" t="str">
        <f>IFERROR(__xludf.DUMMYFUNCTION("""COMPUTED_VALUE"""),"Subnautica: Below Zero")</f>
        <v>Subnautica: Below Zero</v>
      </c>
      <c r="B26" s="15" t="str">
        <f>IFERROR(__xludf.DUMMYFUNCTION("""COMPUTED_VALUE"""),"PS5/PS4")</f>
        <v>PS5/PS4</v>
      </c>
      <c r="C26" s="16" t="str">
        <f>IFERROR(__xludf.DUMMYFUNCTION("""COMPUTED_VALUE"""),"Essential")</f>
        <v>Essential</v>
      </c>
      <c r="D26" s="15" t="str">
        <f>IFERROR(__xludf.DUMMYFUNCTION("""COMPUTED_VALUE"""),"Removed")</f>
        <v>Removed</v>
      </c>
      <c r="E26" s="17">
        <f>IFERROR(__xludf.DUMMYFUNCTION("""COMPUTED_VALUE"""),46056.0)</f>
        <v>46056</v>
      </c>
      <c r="F26" s="54">
        <f>IFERROR(__xludf.DUMMYFUNCTION("""COMPUTED_VALUE"""),46083.0)</f>
        <v>46083</v>
      </c>
      <c r="G26" s="19">
        <f>IFERROR(__xludf.DUMMYFUNCTION("""COMPUTED_VALUE"""),0.9666666666666668)</f>
        <v>0.9666666667</v>
      </c>
      <c r="H26" s="17">
        <f>IFERROR(__xludf.DUMMYFUNCTION("""COMPUTED_VALUE"""),44330.0)</f>
        <v>44330</v>
      </c>
      <c r="I26" s="19">
        <f>IFERROR(__xludf.DUMMYFUNCTION("""COMPUTED_VALUE"""),4.719444444444444)</f>
        <v>4.719444444</v>
      </c>
      <c r="J26" s="21">
        <f>IFERROR(__xludf.DUMMYFUNCTION("""COMPUTED_VALUE"""),82.0)</f>
        <v>82</v>
      </c>
      <c r="K26" s="23">
        <f>IFERROR(__xludf.DUMMYFUNCTION("""COMPUTED_VALUE"""),7.1)</f>
        <v>7.1</v>
      </c>
      <c r="L26" s="24">
        <f>IFERROR(__xludf.DUMMYFUNCTION("""COMPUTED_VALUE"""),20.0)</f>
        <v>20</v>
      </c>
      <c r="M26" s="25" t="str">
        <f>IFERROR(__xludf.DUMMYFUNCTION("""COMPUTED_VALUE"""),"Action-Adventure")</f>
        <v>Action-Adventure</v>
      </c>
      <c r="N26" s="25"/>
      <c r="O26" s="26"/>
      <c r="P26" s="26"/>
    </row>
    <row r="27">
      <c r="A27" s="13" t="str">
        <f>IFERROR(__xludf.DUMMYFUNCTION("""COMPUTED_VALUE"""),"Ultros")</f>
        <v>Ultros</v>
      </c>
      <c r="B27" s="15" t="str">
        <f>IFERROR(__xludf.DUMMYFUNCTION("""COMPUTED_VALUE"""),"PS5/PS4")</f>
        <v>PS5/PS4</v>
      </c>
      <c r="C27" s="16" t="str">
        <f>IFERROR(__xludf.DUMMYFUNCTION("""COMPUTED_VALUE"""),"Essential")</f>
        <v>Essential</v>
      </c>
      <c r="D27" s="15" t="str">
        <f>IFERROR(__xludf.DUMMYFUNCTION("""COMPUTED_VALUE"""),"Removed")</f>
        <v>Removed</v>
      </c>
      <c r="E27" s="17">
        <f>IFERROR(__xludf.DUMMYFUNCTION("""COMPUTED_VALUE"""),46056.0)</f>
        <v>46056</v>
      </c>
      <c r="F27" s="54">
        <f>IFERROR(__xludf.DUMMYFUNCTION("""COMPUTED_VALUE"""),46083.0)</f>
        <v>46083</v>
      </c>
      <c r="G27" s="19">
        <f>IFERROR(__xludf.DUMMYFUNCTION("""COMPUTED_VALUE"""),0.9666666666666668)</f>
        <v>0.9666666667</v>
      </c>
      <c r="H27" s="17">
        <f>IFERROR(__xludf.DUMMYFUNCTION("""COMPUTED_VALUE"""),45335.0)</f>
        <v>45335</v>
      </c>
      <c r="I27" s="19">
        <f>IFERROR(__xludf.DUMMYFUNCTION("""COMPUTED_VALUE"""),1.9722222222222223)</f>
        <v>1.972222222</v>
      </c>
      <c r="J27" s="21">
        <f>IFERROR(__xludf.DUMMYFUNCTION("""COMPUTED_VALUE"""),79.0)</f>
        <v>79</v>
      </c>
      <c r="K27" s="23">
        <f>IFERROR(__xludf.DUMMYFUNCTION("""COMPUTED_VALUE"""),7.9)</f>
        <v>7.9</v>
      </c>
      <c r="L27" s="24">
        <f>IFERROR(__xludf.DUMMYFUNCTION("""COMPUTED_VALUE"""),12.0)</f>
        <v>12</v>
      </c>
      <c r="M27" s="25" t="str">
        <f>IFERROR(__xludf.DUMMYFUNCTION("""COMPUTED_VALUE"""),"Metroidvania")</f>
        <v>Metroidvania</v>
      </c>
      <c r="N27" s="25"/>
      <c r="O27" s="26"/>
      <c r="P27" s="26"/>
    </row>
    <row r="28">
      <c r="A28" s="13" t="str">
        <f>IFERROR(__xludf.DUMMYFUNCTION("""COMPUTED_VALUE"""),"Ace Combat 7: Skies Unknown")</f>
        <v>Ace Combat 7: Skies Unknown</v>
      </c>
      <c r="B28" s="15" t="str">
        <f>IFERROR(__xludf.DUMMYFUNCTION("""COMPUTED_VALUE"""),"PS4")</f>
        <v>PS4</v>
      </c>
      <c r="C28" s="16" t="str">
        <f>IFERROR(__xludf.DUMMYFUNCTION("""COMPUTED_VALUE"""),"Essential")</f>
        <v>Essential</v>
      </c>
      <c r="D28" s="15" t="str">
        <f>IFERROR(__xludf.DUMMYFUNCTION("""COMPUTED_VALUE"""),"Removed")</f>
        <v>Removed</v>
      </c>
      <c r="E28" s="17">
        <f>IFERROR(__xludf.DUMMYFUNCTION("""COMPUTED_VALUE"""),46056.0)</f>
        <v>46056</v>
      </c>
      <c r="F28" s="54">
        <f>IFERROR(__xludf.DUMMYFUNCTION("""COMPUTED_VALUE"""),46083.0)</f>
        <v>46083</v>
      </c>
      <c r="G28" s="19">
        <f>IFERROR(__xludf.DUMMYFUNCTION("""COMPUTED_VALUE"""),0.9666666666666668)</f>
        <v>0.9666666667</v>
      </c>
      <c r="H28" s="17">
        <f>IFERROR(__xludf.DUMMYFUNCTION("""COMPUTED_VALUE"""),43483.0)</f>
        <v>43483</v>
      </c>
      <c r="I28" s="19">
        <f>IFERROR(__xludf.DUMMYFUNCTION("""COMPUTED_VALUE"""),7.041666666666667)</f>
        <v>7.041666667</v>
      </c>
      <c r="J28" s="21">
        <f>IFERROR(__xludf.DUMMYFUNCTION("""COMPUTED_VALUE"""),80.0)</f>
        <v>80</v>
      </c>
      <c r="K28" s="23">
        <f>IFERROR(__xludf.DUMMYFUNCTION("""COMPUTED_VALUE"""),7.9)</f>
        <v>7.9</v>
      </c>
      <c r="L28" s="24">
        <f>IFERROR(__xludf.DUMMYFUNCTION("""COMPUTED_VALUE"""),12.0)</f>
        <v>12</v>
      </c>
      <c r="M28" s="25" t="str">
        <f>IFERROR(__xludf.DUMMYFUNCTION("""COMPUTED_VALUE"""),"Action-Adventure")</f>
        <v>Action-Adventure</v>
      </c>
      <c r="N28" s="25"/>
      <c r="O28" s="26"/>
      <c r="P28" s="26"/>
    </row>
    <row r="29">
      <c r="A29" s="13" t="str">
        <f>IFERROR(__xludf.DUMMYFUNCTION("""COMPUTED_VALUE"""),"Need For Speed: Unbound")</f>
        <v>Need For Speed: Unbound</v>
      </c>
      <c r="B29" s="15" t="str">
        <f>IFERROR(__xludf.DUMMYFUNCTION("""COMPUTED_VALUE"""),"PS5")</f>
        <v>PS5</v>
      </c>
      <c r="C29" s="16" t="str">
        <f>IFERROR(__xludf.DUMMYFUNCTION("""COMPUTED_VALUE"""),"Essential")</f>
        <v>Essential</v>
      </c>
      <c r="D29" s="15" t="str">
        <f>IFERROR(__xludf.DUMMYFUNCTION("""COMPUTED_VALUE"""),"Removed")</f>
        <v>Removed</v>
      </c>
      <c r="E29" s="17">
        <f>IFERROR(__xludf.DUMMYFUNCTION("""COMPUTED_VALUE"""),46028.0)</f>
        <v>46028</v>
      </c>
      <c r="F29" s="54">
        <f>IFERROR(__xludf.DUMMYFUNCTION("""COMPUTED_VALUE"""),46055.0)</f>
        <v>46055</v>
      </c>
      <c r="G29" s="19">
        <f>IFERROR(__xludf.DUMMYFUNCTION("""COMPUTED_VALUE"""),0.8666666666666666)</f>
        <v>0.8666666667</v>
      </c>
      <c r="H29" s="17">
        <f>IFERROR(__xludf.DUMMYFUNCTION("""COMPUTED_VALUE"""),44897.0)</f>
        <v>44897</v>
      </c>
      <c r="I29" s="19">
        <f>IFERROR(__xludf.DUMMYFUNCTION("""COMPUTED_VALUE"""),3.0944444444444446)</f>
        <v>3.094444444</v>
      </c>
      <c r="J29" s="21">
        <f>IFERROR(__xludf.DUMMYFUNCTION("""COMPUTED_VALUE"""),77.0)</f>
        <v>77</v>
      </c>
      <c r="K29" s="23">
        <f>IFERROR(__xludf.DUMMYFUNCTION("""COMPUTED_VALUE"""),5.9)</f>
        <v>5.9</v>
      </c>
      <c r="L29" s="24">
        <f>IFERROR(__xludf.DUMMYFUNCTION("""COMPUTED_VALUE"""),23.0)</f>
        <v>23</v>
      </c>
      <c r="M29" s="25" t="str">
        <f>IFERROR(__xludf.DUMMYFUNCTION("""COMPUTED_VALUE"""),"Racing")</f>
        <v>Racing</v>
      </c>
      <c r="N29" s="25"/>
      <c r="O29" s="26" t="str">
        <f>IFERROR(__xludf.DUMMYFUNCTION("""COMPUTED_VALUE"""),"No")</f>
        <v>No</v>
      </c>
      <c r="P29" s="26"/>
    </row>
    <row r="30">
      <c r="A30" s="13" t="str">
        <f>IFERROR(__xludf.DUMMYFUNCTION("""COMPUTED_VALUE"""),"Core Keeper")</f>
        <v>Core Keeper</v>
      </c>
      <c r="B30" s="15" t="str">
        <f>IFERROR(__xludf.DUMMYFUNCTION("""COMPUTED_VALUE"""),"PS5/PS4")</f>
        <v>PS5/PS4</v>
      </c>
      <c r="C30" s="16" t="str">
        <f>IFERROR(__xludf.DUMMYFUNCTION("""COMPUTED_VALUE"""),"Essential")</f>
        <v>Essential</v>
      </c>
      <c r="D30" s="15" t="str">
        <f>IFERROR(__xludf.DUMMYFUNCTION("""COMPUTED_VALUE"""),"Removed")</f>
        <v>Removed</v>
      </c>
      <c r="E30" s="17">
        <f>IFERROR(__xludf.DUMMYFUNCTION("""COMPUTED_VALUE"""),46028.0)</f>
        <v>46028</v>
      </c>
      <c r="F30" s="54">
        <f>IFERROR(__xludf.DUMMYFUNCTION("""COMPUTED_VALUE"""),46055.0)</f>
        <v>46055</v>
      </c>
      <c r="G30" s="19">
        <f>IFERROR(__xludf.DUMMYFUNCTION("""COMPUTED_VALUE"""),0.8666666666666666)</f>
        <v>0.8666666667</v>
      </c>
      <c r="H30" s="17">
        <f>IFERROR(__xludf.DUMMYFUNCTION("""COMPUTED_VALUE"""),45531.0)</f>
        <v>45531</v>
      </c>
      <c r="I30" s="19">
        <f>IFERROR(__xludf.DUMMYFUNCTION("""COMPUTED_VALUE"""),1.3583333333333334)</f>
        <v>1.358333333</v>
      </c>
      <c r="J30" s="21">
        <f>IFERROR(__xludf.DUMMYFUNCTION("""COMPUTED_VALUE"""),85.0)</f>
        <v>85</v>
      </c>
      <c r="K30" s="23">
        <f>IFERROR(__xludf.DUMMYFUNCTION("""COMPUTED_VALUE"""),7.5)</f>
        <v>7.5</v>
      </c>
      <c r="L30" s="24">
        <f>IFERROR(__xludf.DUMMYFUNCTION("""COMPUTED_VALUE"""),36.0)</f>
        <v>36</v>
      </c>
      <c r="M30" s="25" t="str">
        <f>IFERROR(__xludf.DUMMYFUNCTION("""COMPUTED_VALUE"""),"Action-Adventure")</f>
        <v>Action-Adventure</v>
      </c>
      <c r="N30" s="25"/>
      <c r="O30" s="26" t="str">
        <f>IFERROR(__xludf.DUMMYFUNCTION("""COMPUTED_VALUE"""),"No")</f>
        <v>No</v>
      </c>
      <c r="P30" s="26"/>
    </row>
    <row r="31">
      <c r="A31" s="13" t="str">
        <f>IFERROR(__xludf.DUMMYFUNCTION("""COMPUTED_VALUE"""),"Disney Epic Mickey: Rebrushed")</f>
        <v>Disney Epic Mickey: Rebrushed</v>
      </c>
      <c r="B31" s="15" t="str">
        <f>IFERROR(__xludf.DUMMYFUNCTION("""COMPUTED_VALUE"""),"PS5/PS4")</f>
        <v>PS5/PS4</v>
      </c>
      <c r="C31" s="16" t="str">
        <f>IFERROR(__xludf.DUMMYFUNCTION("""COMPUTED_VALUE"""),"Essential")</f>
        <v>Essential</v>
      </c>
      <c r="D31" s="15" t="str">
        <f>IFERROR(__xludf.DUMMYFUNCTION("""COMPUTED_VALUE"""),"Removed")</f>
        <v>Removed</v>
      </c>
      <c r="E31" s="17">
        <f>IFERROR(__xludf.DUMMYFUNCTION("""COMPUTED_VALUE"""),46028.0)</f>
        <v>46028</v>
      </c>
      <c r="F31" s="54">
        <f>IFERROR(__xludf.DUMMYFUNCTION("""COMPUTED_VALUE"""),46055.0)</f>
        <v>46055</v>
      </c>
      <c r="G31" s="19">
        <f>IFERROR(__xludf.DUMMYFUNCTION("""COMPUTED_VALUE"""),0.8666666666666666)</f>
        <v>0.8666666667</v>
      </c>
      <c r="H31" s="17">
        <f>IFERROR(__xludf.DUMMYFUNCTION("""COMPUTED_VALUE"""),45559.0)</f>
        <v>45559</v>
      </c>
      <c r="I31" s="19">
        <f>IFERROR(__xludf.DUMMYFUNCTION("""COMPUTED_VALUE"""),1.2833333333333334)</f>
        <v>1.283333333</v>
      </c>
      <c r="J31" s="21">
        <f>IFERROR(__xludf.DUMMYFUNCTION("""COMPUTED_VALUE"""),76.0)</f>
        <v>76</v>
      </c>
      <c r="K31" s="23">
        <f>IFERROR(__xludf.DUMMYFUNCTION("""COMPUTED_VALUE"""),7.6)</f>
        <v>7.6</v>
      </c>
      <c r="L31" s="24">
        <f>IFERROR(__xludf.DUMMYFUNCTION("""COMPUTED_VALUE"""),9.0)</f>
        <v>9</v>
      </c>
      <c r="M31" s="25" t="str">
        <f>IFERROR(__xludf.DUMMYFUNCTION("""COMPUTED_VALUE"""),"Action-Adventure")</f>
        <v>Action-Adventure</v>
      </c>
      <c r="N31" s="25"/>
      <c r="O31" s="26" t="str">
        <f>IFERROR(__xludf.DUMMYFUNCTION("""COMPUTED_VALUE"""),"No")</f>
        <v>No</v>
      </c>
      <c r="P31" s="26"/>
    </row>
    <row r="32">
      <c r="A32" s="13" t="str">
        <f>IFERROR(__xludf.DUMMYFUNCTION("""COMPUTED_VALUE"""),"LEGO Horizon Adventures")</f>
        <v>LEGO Horizon Adventures</v>
      </c>
      <c r="B32" s="15" t="str">
        <f>IFERROR(__xludf.DUMMYFUNCTION("""COMPUTED_VALUE"""),"PS5")</f>
        <v>PS5</v>
      </c>
      <c r="C32" s="16" t="str">
        <f>IFERROR(__xludf.DUMMYFUNCTION("""COMPUTED_VALUE"""),"Essential")</f>
        <v>Essential</v>
      </c>
      <c r="D32" s="15" t="str">
        <f>IFERROR(__xludf.DUMMYFUNCTION("""COMPUTED_VALUE"""),"Removed")</f>
        <v>Removed</v>
      </c>
      <c r="E32" s="17">
        <f>IFERROR(__xludf.DUMMYFUNCTION("""COMPUTED_VALUE"""),45993.0)</f>
        <v>45993</v>
      </c>
      <c r="F32" s="54">
        <f>IFERROR(__xludf.DUMMYFUNCTION("""COMPUTED_VALUE"""),46027.0)</f>
        <v>46027</v>
      </c>
      <c r="G32" s="19">
        <f>IFERROR(__xludf.DUMMYFUNCTION("""COMPUTED_VALUE"""),1.0999999999999999)</f>
        <v>1.1</v>
      </c>
      <c r="H32" s="17">
        <f>IFERROR(__xludf.DUMMYFUNCTION("""COMPUTED_VALUE"""),45610.0)</f>
        <v>45610</v>
      </c>
      <c r="I32" s="19">
        <f>IFERROR(__xludf.DUMMYFUNCTION("""COMPUTED_VALUE"""),1.05)</f>
        <v>1.05</v>
      </c>
      <c r="J32" s="21">
        <f>IFERROR(__xludf.DUMMYFUNCTION("""COMPUTED_VALUE"""),70.0)</f>
        <v>70</v>
      </c>
      <c r="K32" s="23">
        <f>IFERROR(__xludf.DUMMYFUNCTION("""COMPUTED_VALUE"""),5.8)</f>
        <v>5.8</v>
      </c>
      <c r="L32" s="24">
        <f>IFERROR(__xludf.DUMMYFUNCTION("""COMPUTED_VALUE"""),7.0)</f>
        <v>7</v>
      </c>
      <c r="M32" s="25" t="str">
        <f>IFERROR(__xludf.DUMMYFUNCTION("""COMPUTED_VALUE"""),"Action-Adventure")</f>
        <v>Action-Adventure</v>
      </c>
      <c r="N32" s="25"/>
      <c r="O32" s="26" t="str">
        <f>IFERROR(__xludf.DUMMYFUNCTION("""COMPUTED_VALUE"""),"No")</f>
        <v>No</v>
      </c>
      <c r="P32" s="26"/>
    </row>
    <row r="33">
      <c r="A33" s="13" t="str">
        <f>IFERROR(__xludf.DUMMYFUNCTION("""COMPUTED_VALUE"""),"Killing Floor 3")</f>
        <v>Killing Floor 3</v>
      </c>
      <c r="B33" s="15" t="str">
        <f>IFERROR(__xludf.DUMMYFUNCTION("""COMPUTED_VALUE"""),"PS5")</f>
        <v>PS5</v>
      </c>
      <c r="C33" s="16" t="str">
        <f>IFERROR(__xludf.DUMMYFUNCTION("""COMPUTED_VALUE"""),"Essential")</f>
        <v>Essential</v>
      </c>
      <c r="D33" s="15" t="str">
        <f>IFERROR(__xludf.DUMMYFUNCTION("""COMPUTED_VALUE"""),"Removed")</f>
        <v>Removed</v>
      </c>
      <c r="E33" s="17">
        <f>IFERROR(__xludf.DUMMYFUNCTION("""COMPUTED_VALUE"""),45993.0)</f>
        <v>45993</v>
      </c>
      <c r="F33" s="54">
        <f>IFERROR(__xludf.DUMMYFUNCTION("""COMPUTED_VALUE"""),46027.0)</f>
        <v>46027</v>
      </c>
      <c r="G33" s="19">
        <f>IFERROR(__xludf.DUMMYFUNCTION("""COMPUTED_VALUE"""),1.0999999999999999)</f>
        <v>1.1</v>
      </c>
      <c r="H33" s="17">
        <f>IFERROR(__xludf.DUMMYFUNCTION("""COMPUTED_VALUE"""),45862.0)</f>
        <v>45862</v>
      </c>
      <c r="I33" s="19">
        <f>IFERROR(__xludf.DUMMYFUNCTION("""COMPUTED_VALUE"""),0.35555555555555557)</f>
        <v>0.3555555556</v>
      </c>
      <c r="J33" s="21">
        <f>IFERROR(__xludf.DUMMYFUNCTION("""COMPUTED_VALUE"""),68.0)</f>
        <v>68</v>
      </c>
      <c r="K33" s="23">
        <f>IFERROR(__xludf.DUMMYFUNCTION("""COMPUTED_VALUE"""),6.5)</f>
        <v>6.5</v>
      </c>
      <c r="L33" s="24">
        <f>IFERROR(__xludf.DUMMYFUNCTION("""COMPUTED_VALUE"""),9.0)</f>
        <v>9</v>
      </c>
      <c r="M33" s="25" t="str">
        <f>IFERROR(__xludf.DUMMYFUNCTION("""COMPUTED_VALUE"""),"Shooter")</f>
        <v>Shooter</v>
      </c>
      <c r="N33" s="25"/>
      <c r="O33" s="26" t="str">
        <f>IFERROR(__xludf.DUMMYFUNCTION("""COMPUTED_VALUE"""),"No")</f>
        <v>No</v>
      </c>
      <c r="P33" s="26"/>
    </row>
    <row r="34">
      <c r="A34" s="13" t="str">
        <f>IFERROR(__xludf.DUMMYFUNCTION("""COMPUTED_VALUE"""),"The Outlast Trials")</f>
        <v>The Outlast Trials</v>
      </c>
      <c r="B34" s="15" t="str">
        <f>IFERROR(__xludf.DUMMYFUNCTION("""COMPUTED_VALUE"""),"PS5/PS4")</f>
        <v>PS5/PS4</v>
      </c>
      <c r="C34" s="16" t="str">
        <f>IFERROR(__xludf.DUMMYFUNCTION("""COMPUTED_VALUE"""),"Essential")</f>
        <v>Essential</v>
      </c>
      <c r="D34" s="15" t="str">
        <f>IFERROR(__xludf.DUMMYFUNCTION("""COMPUTED_VALUE"""),"Removed")</f>
        <v>Removed</v>
      </c>
      <c r="E34" s="17">
        <f>IFERROR(__xludf.DUMMYFUNCTION("""COMPUTED_VALUE"""),45993.0)</f>
        <v>45993</v>
      </c>
      <c r="F34" s="54">
        <f>IFERROR(__xludf.DUMMYFUNCTION("""COMPUTED_VALUE"""),46027.0)</f>
        <v>46027</v>
      </c>
      <c r="G34" s="19">
        <f>IFERROR(__xludf.DUMMYFUNCTION("""COMPUTED_VALUE"""),1.0999999999999999)</f>
        <v>1.1</v>
      </c>
      <c r="H34" s="17">
        <f>IFERROR(__xludf.DUMMYFUNCTION("""COMPUTED_VALUE"""),45356.0)</f>
        <v>45356</v>
      </c>
      <c r="I34" s="19">
        <f>IFERROR(__xludf.DUMMYFUNCTION("""COMPUTED_VALUE"""),1.7416666666666667)</f>
        <v>1.741666667</v>
      </c>
      <c r="J34" s="21">
        <f>IFERROR(__xludf.DUMMYFUNCTION("""COMPUTED_VALUE"""),75.0)</f>
        <v>75</v>
      </c>
      <c r="K34" s="23">
        <f>IFERROR(__xludf.DUMMYFUNCTION("""COMPUTED_VALUE"""),7.7)</f>
        <v>7.7</v>
      </c>
      <c r="L34" s="24">
        <f>IFERROR(__xludf.DUMMYFUNCTION("""COMPUTED_VALUE"""),19.0)</f>
        <v>19</v>
      </c>
      <c r="M34" s="25" t="str">
        <f>IFERROR(__xludf.DUMMYFUNCTION("""COMPUTED_VALUE"""),"Survival horror")</f>
        <v>Survival horror</v>
      </c>
      <c r="N34" s="25"/>
      <c r="O34" s="26" t="str">
        <f>IFERROR(__xludf.DUMMYFUNCTION("""COMPUTED_VALUE"""),"No")</f>
        <v>No</v>
      </c>
      <c r="P34" s="26"/>
    </row>
    <row r="35">
      <c r="A35" s="13" t="str">
        <f>IFERROR(__xludf.DUMMYFUNCTION("""COMPUTED_VALUE"""),"Synduality Echo of Ada")</f>
        <v>Synduality Echo of Ada</v>
      </c>
      <c r="B35" s="15" t="str">
        <f>IFERROR(__xludf.DUMMYFUNCTION("""COMPUTED_VALUE"""),"PS5")</f>
        <v>PS5</v>
      </c>
      <c r="C35" s="16" t="str">
        <f>IFERROR(__xludf.DUMMYFUNCTION("""COMPUTED_VALUE"""),"Essential")</f>
        <v>Essential</v>
      </c>
      <c r="D35" s="15" t="str">
        <f>IFERROR(__xludf.DUMMYFUNCTION("""COMPUTED_VALUE"""),"Removed")</f>
        <v>Removed</v>
      </c>
      <c r="E35" s="17">
        <f>IFERROR(__xludf.DUMMYFUNCTION("""COMPUTED_VALUE"""),45993.0)</f>
        <v>45993</v>
      </c>
      <c r="F35" s="54">
        <f>IFERROR(__xludf.DUMMYFUNCTION("""COMPUTED_VALUE"""),46027.0)</f>
        <v>46027</v>
      </c>
      <c r="G35" s="19">
        <f>IFERROR(__xludf.DUMMYFUNCTION("""COMPUTED_VALUE"""),1.0999999999999999)</f>
        <v>1.1</v>
      </c>
      <c r="H35" s="17">
        <f>IFERROR(__xludf.DUMMYFUNCTION("""COMPUTED_VALUE"""),45680.0)</f>
        <v>45680</v>
      </c>
      <c r="I35" s="19">
        <f>IFERROR(__xludf.DUMMYFUNCTION("""COMPUTED_VALUE"""),0.8583333333333333)</f>
        <v>0.8583333333</v>
      </c>
      <c r="J35" s="21">
        <f>IFERROR(__xludf.DUMMYFUNCTION("""COMPUTED_VALUE"""),65.0)</f>
        <v>65</v>
      </c>
      <c r="K35" s="23">
        <f>IFERROR(__xludf.DUMMYFUNCTION("""COMPUTED_VALUE"""),4.0)</f>
        <v>4</v>
      </c>
      <c r="L35" s="24"/>
      <c r="M35" s="25" t="str">
        <f>IFERROR(__xludf.DUMMYFUNCTION("""COMPUTED_VALUE"""),"Shooter")</f>
        <v>Shooter</v>
      </c>
      <c r="N35" s="25"/>
      <c r="O35" s="26" t="str">
        <f>IFERROR(__xludf.DUMMYFUNCTION("""COMPUTED_VALUE"""),"No")</f>
        <v>No</v>
      </c>
      <c r="P35" s="26"/>
    </row>
    <row r="36">
      <c r="A36" s="13" t="str">
        <f>IFERROR(__xludf.DUMMYFUNCTION("""COMPUTED_VALUE"""),"Neon White")</f>
        <v>Neon White</v>
      </c>
      <c r="B36" s="15" t="str">
        <f>IFERROR(__xludf.DUMMYFUNCTION("""COMPUTED_VALUE"""),"PS5/PS4")</f>
        <v>PS5/PS4</v>
      </c>
      <c r="C36" s="16" t="str">
        <f>IFERROR(__xludf.DUMMYFUNCTION("""COMPUTED_VALUE"""),"Essential")</f>
        <v>Essential</v>
      </c>
      <c r="D36" s="15" t="str">
        <f>IFERROR(__xludf.DUMMYFUNCTION("""COMPUTED_VALUE"""),"Removed")</f>
        <v>Removed</v>
      </c>
      <c r="E36" s="17">
        <f>IFERROR(__xludf.DUMMYFUNCTION("""COMPUTED_VALUE"""),45993.0)</f>
        <v>45993</v>
      </c>
      <c r="F36" s="54">
        <f>IFERROR(__xludf.DUMMYFUNCTION("""COMPUTED_VALUE"""),46027.0)</f>
        <v>46027</v>
      </c>
      <c r="G36" s="19">
        <f>IFERROR(__xludf.DUMMYFUNCTION("""COMPUTED_VALUE"""),1.0999999999999999)</f>
        <v>1.1</v>
      </c>
      <c r="H36" s="17">
        <f>IFERROR(__xludf.DUMMYFUNCTION("""COMPUTED_VALUE"""),44728.0)</f>
        <v>44728</v>
      </c>
      <c r="I36" s="19">
        <f>IFERROR(__xludf.DUMMYFUNCTION("""COMPUTED_VALUE"""),3.4611111111111112)</f>
        <v>3.461111111</v>
      </c>
      <c r="J36" s="21">
        <f>IFERROR(__xludf.DUMMYFUNCTION("""COMPUTED_VALUE"""),89.0)</f>
        <v>89</v>
      </c>
      <c r="K36" s="23">
        <f>IFERROR(__xludf.DUMMYFUNCTION("""COMPUTED_VALUE"""),8.3)</f>
        <v>8.3</v>
      </c>
      <c r="L36" s="24">
        <f>IFERROR(__xludf.DUMMYFUNCTION("""COMPUTED_VALUE"""),11.0)</f>
        <v>11</v>
      </c>
      <c r="M36" s="25" t="str">
        <f>IFERROR(__xludf.DUMMYFUNCTION("""COMPUTED_VALUE"""),"Shooter")</f>
        <v>Shooter</v>
      </c>
      <c r="N36" s="25"/>
      <c r="O36" s="26" t="str">
        <f>IFERROR(__xludf.DUMMYFUNCTION("""COMPUTED_VALUE"""),"No")</f>
        <v>No</v>
      </c>
      <c r="P36" s="26"/>
    </row>
    <row r="37">
      <c r="A37" s="13" t="str">
        <f>IFERROR(__xludf.DUMMYFUNCTION("""COMPUTED_VALUE"""),"Stray")</f>
        <v>Stray</v>
      </c>
      <c r="B37" s="15" t="str">
        <f>IFERROR(__xludf.DUMMYFUNCTION("""COMPUTED_VALUE"""),"PS5/PS4")</f>
        <v>PS5/PS4</v>
      </c>
      <c r="C37" s="16" t="str">
        <f>IFERROR(__xludf.DUMMYFUNCTION("""COMPUTED_VALUE"""),"Essential")</f>
        <v>Essential</v>
      </c>
      <c r="D37" s="15" t="str">
        <f>IFERROR(__xludf.DUMMYFUNCTION("""COMPUTED_VALUE"""),"Removed")</f>
        <v>Removed</v>
      </c>
      <c r="E37" s="17">
        <f>IFERROR(__xludf.DUMMYFUNCTION("""COMPUTED_VALUE"""),45965.0)</f>
        <v>45965</v>
      </c>
      <c r="F37" s="54">
        <f>IFERROR(__xludf.DUMMYFUNCTION("""COMPUTED_VALUE"""),45992.0)</f>
        <v>45992</v>
      </c>
      <c r="G37" s="19">
        <f>IFERROR(__xludf.DUMMYFUNCTION("""COMPUTED_VALUE"""),0.8999999999999999)</f>
        <v>0.9</v>
      </c>
      <c r="H37" s="17">
        <f>IFERROR(__xludf.DUMMYFUNCTION("""COMPUTED_VALUE"""),44761.0)</f>
        <v>44761</v>
      </c>
      <c r="I37" s="19">
        <f>IFERROR(__xludf.DUMMYFUNCTION("""COMPUTED_VALUE"""),3.2916666666666665)</f>
        <v>3.291666667</v>
      </c>
      <c r="J37" s="21">
        <f>IFERROR(__xludf.DUMMYFUNCTION("""COMPUTED_VALUE"""),83.0)</f>
        <v>83</v>
      </c>
      <c r="K37" s="23">
        <f>IFERROR(__xludf.DUMMYFUNCTION("""COMPUTED_VALUE"""),8.3)</f>
        <v>8.3</v>
      </c>
      <c r="L37" s="24">
        <f>IFERROR(__xludf.DUMMYFUNCTION("""COMPUTED_VALUE"""),5.0)</f>
        <v>5</v>
      </c>
      <c r="M37" s="25" t="str">
        <f>IFERROR(__xludf.DUMMYFUNCTION("""COMPUTED_VALUE"""),"Action-Adventure")</f>
        <v>Action-Adventure</v>
      </c>
      <c r="N37" s="25"/>
      <c r="O37" s="26"/>
      <c r="P37" s="26"/>
    </row>
    <row r="38">
      <c r="A38" s="13" t="str">
        <f>IFERROR(__xludf.DUMMYFUNCTION("""COMPUTED_VALUE"""),"EA Sports WRC 24")</f>
        <v>EA Sports WRC 24</v>
      </c>
      <c r="B38" s="15" t="str">
        <f>IFERROR(__xludf.DUMMYFUNCTION("""COMPUTED_VALUE"""),"PS5")</f>
        <v>PS5</v>
      </c>
      <c r="C38" s="16" t="str">
        <f>IFERROR(__xludf.DUMMYFUNCTION("""COMPUTED_VALUE"""),"Essential")</f>
        <v>Essential</v>
      </c>
      <c r="D38" s="15" t="str">
        <f>IFERROR(__xludf.DUMMYFUNCTION("""COMPUTED_VALUE"""),"Removed")</f>
        <v>Removed</v>
      </c>
      <c r="E38" s="17">
        <f>IFERROR(__xludf.DUMMYFUNCTION("""COMPUTED_VALUE"""),45965.0)</f>
        <v>45965</v>
      </c>
      <c r="F38" s="54">
        <f>IFERROR(__xludf.DUMMYFUNCTION("""COMPUTED_VALUE"""),45992.0)</f>
        <v>45992</v>
      </c>
      <c r="G38" s="19">
        <f>IFERROR(__xludf.DUMMYFUNCTION("""COMPUTED_VALUE"""),0.8999999999999999)</f>
        <v>0.9</v>
      </c>
      <c r="H38" s="17">
        <f>IFERROR(__xludf.DUMMYFUNCTION("""COMPUTED_VALUE"""),45573.0)</f>
        <v>45573</v>
      </c>
      <c r="I38" s="19">
        <f>IFERROR(__xludf.DUMMYFUNCTION("""COMPUTED_VALUE"""),1.0722222222222222)</f>
        <v>1.072222222</v>
      </c>
      <c r="J38" s="21">
        <f>IFERROR(__xludf.DUMMYFUNCTION("""COMPUTED_VALUE"""),70.0)</f>
        <v>70</v>
      </c>
      <c r="K38" s="23">
        <f>IFERROR(__xludf.DUMMYFUNCTION("""COMPUTED_VALUE"""),6.7)</f>
        <v>6.7</v>
      </c>
      <c r="L38" s="24">
        <f>IFERROR(__xludf.DUMMYFUNCTION("""COMPUTED_VALUE"""),15.0)</f>
        <v>15</v>
      </c>
      <c r="M38" s="25" t="str">
        <f>IFERROR(__xludf.DUMMYFUNCTION("""COMPUTED_VALUE"""),"Racing")</f>
        <v>Racing</v>
      </c>
      <c r="N38" s="25"/>
      <c r="O38" s="26" t="str">
        <f>IFERROR(__xludf.DUMMYFUNCTION("""COMPUTED_VALUE"""),"No")</f>
        <v>No</v>
      </c>
      <c r="P38" s="26"/>
    </row>
    <row r="39">
      <c r="A39" s="13" t="str">
        <f>IFERROR(__xludf.DUMMYFUNCTION("""COMPUTED_VALUE"""),"Totally Accurate Battle Simulator")</f>
        <v>Totally Accurate Battle Simulator</v>
      </c>
      <c r="B39" s="15" t="str">
        <f>IFERROR(__xludf.DUMMYFUNCTION("""COMPUTED_VALUE"""),"PS5/PS4")</f>
        <v>PS5/PS4</v>
      </c>
      <c r="C39" s="16" t="str">
        <f>IFERROR(__xludf.DUMMYFUNCTION("""COMPUTED_VALUE"""),"Essential")</f>
        <v>Essential</v>
      </c>
      <c r="D39" s="15" t="str">
        <f>IFERROR(__xludf.DUMMYFUNCTION("""COMPUTED_VALUE"""),"Removed")</f>
        <v>Removed</v>
      </c>
      <c r="E39" s="17">
        <f>IFERROR(__xludf.DUMMYFUNCTION("""COMPUTED_VALUE"""),45965.0)</f>
        <v>45965</v>
      </c>
      <c r="F39" s="54">
        <f>IFERROR(__xludf.DUMMYFUNCTION("""COMPUTED_VALUE"""),45992.0)</f>
        <v>45992</v>
      </c>
      <c r="G39" s="19">
        <f>IFERROR(__xludf.DUMMYFUNCTION("""COMPUTED_VALUE"""),0.8999999999999999)</f>
        <v>0.9</v>
      </c>
      <c r="H39" s="17">
        <f>IFERROR(__xludf.DUMMYFUNCTION("""COMPUTED_VALUE"""),43816.0)</f>
        <v>43816</v>
      </c>
      <c r="I39" s="19">
        <f>IFERROR(__xludf.DUMMYFUNCTION("""COMPUTED_VALUE"""),5.8805555555555555)</f>
        <v>5.880555556</v>
      </c>
      <c r="J39" s="21">
        <f>IFERROR(__xludf.DUMMYFUNCTION("""COMPUTED_VALUE"""),55.0)</f>
        <v>55</v>
      </c>
      <c r="K39" s="23">
        <f>IFERROR(__xludf.DUMMYFUNCTION("""COMPUTED_VALUE"""),7.8)</f>
        <v>7.8</v>
      </c>
      <c r="L39" s="24">
        <f>IFERROR(__xludf.DUMMYFUNCTION("""COMPUTED_VALUE"""),9.0)</f>
        <v>9</v>
      </c>
      <c r="M39" s="25" t="str">
        <f>IFERROR(__xludf.DUMMYFUNCTION("""COMPUTED_VALUE"""),"Strategy")</f>
        <v>Strategy</v>
      </c>
      <c r="N39" s="25"/>
      <c r="O39" s="26"/>
      <c r="P39" s="26"/>
    </row>
    <row r="40">
      <c r="A40" s="13" t="str">
        <f>IFERROR(__xludf.DUMMYFUNCTION("""COMPUTED_VALUE"""),"Goat Simulator 3")</f>
        <v>Goat Simulator 3</v>
      </c>
      <c r="B40" s="15" t="str">
        <f>IFERROR(__xludf.DUMMYFUNCTION("""COMPUTED_VALUE"""),"PS5/PS4")</f>
        <v>PS5/PS4</v>
      </c>
      <c r="C40" s="16" t="str">
        <f>IFERROR(__xludf.DUMMYFUNCTION("""COMPUTED_VALUE"""),"Essential")</f>
        <v>Essential</v>
      </c>
      <c r="D40" s="15" t="str">
        <f>IFERROR(__xludf.DUMMYFUNCTION("""COMPUTED_VALUE"""),"Removed")</f>
        <v>Removed</v>
      </c>
      <c r="E40" s="17">
        <f>IFERROR(__xludf.DUMMYFUNCTION("""COMPUTED_VALUE"""),45937.0)</f>
        <v>45937</v>
      </c>
      <c r="F40" s="54">
        <f>IFERROR(__xludf.DUMMYFUNCTION("""COMPUTED_VALUE"""),45964.0)</f>
        <v>45964</v>
      </c>
      <c r="G40" s="19">
        <f>IFERROR(__xludf.DUMMYFUNCTION("""COMPUTED_VALUE"""),0.8666666666666666)</f>
        <v>0.8666666667</v>
      </c>
      <c r="H40" s="17">
        <f>IFERROR(__xludf.DUMMYFUNCTION("""COMPUTED_VALUE"""),44882.0)</f>
        <v>44882</v>
      </c>
      <c r="I40" s="19">
        <f>IFERROR(__xludf.DUMMYFUNCTION("""COMPUTED_VALUE"""),2.888888888888889)</f>
        <v>2.888888889</v>
      </c>
      <c r="J40" s="21">
        <f>IFERROR(__xludf.DUMMYFUNCTION("""COMPUTED_VALUE"""),68.0)</f>
        <v>68</v>
      </c>
      <c r="K40" s="23">
        <f>IFERROR(__xludf.DUMMYFUNCTION("""COMPUTED_VALUE"""),7.3)</f>
        <v>7.3</v>
      </c>
      <c r="L40" s="24">
        <f>IFERROR(__xludf.DUMMYFUNCTION("""COMPUTED_VALUE"""),8.0)</f>
        <v>8</v>
      </c>
      <c r="M40" s="25" t="str">
        <f>IFERROR(__xludf.DUMMYFUNCTION("""COMPUTED_VALUE"""),"Action-Adventure")</f>
        <v>Action-Adventure</v>
      </c>
      <c r="N40" s="25"/>
      <c r="O40" s="26" t="str">
        <f>IFERROR(__xludf.DUMMYFUNCTION("""COMPUTED_VALUE"""),"No")</f>
        <v>No</v>
      </c>
      <c r="P40" s="26"/>
    </row>
    <row r="41">
      <c r="A41" s="13" t="str">
        <f>IFERROR(__xludf.DUMMYFUNCTION("""COMPUTED_VALUE"""),"Alan Wake II")</f>
        <v>Alan Wake II</v>
      </c>
      <c r="B41" s="15" t="str">
        <f>IFERROR(__xludf.DUMMYFUNCTION("""COMPUTED_VALUE"""),"PS5/PS4")</f>
        <v>PS5/PS4</v>
      </c>
      <c r="C41" s="16" t="str">
        <f>IFERROR(__xludf.DUMMYFUNCTION("""COMPUTED_VALUE"""),"Essential")</f>
        <v>Essential</v>
      </c>
      <c r="D41" s="15" t="str">
        <f>IFERROR(__xludf.DUMMYFUNCTION("""COMPUTED_VALUE"""),"Removed")</f>
        <v>Removed</v>
      </c>
      <c r="E41" s="17">
        <f>IFERROR(__xludf.DUMMYFUNCTION("""COMPUTED_VALUE"""),45937.0)</f>
        <v>45937</v>
      </c>
      <c r="F41" s="54">
        <f>IFERROR(__xludf.DUMMYFUNCTION("""COMPUTED_VALUE"""),45964.0)</f>
        <v>45964</v>
      </c>
      <c r="G41" s="19">
        <f>IFERROR(__xludf.DUMMYFUNCTION("""COMPUTED_VALUE"""),0.8666666666666666)</f>
        <v>0.8666666667</v>
      </c>
      <c r="H41" s="17">
        <f>IFERROR(__xludf.DUMMYFUNCTION("""COMPUTED_VALUE"""),45226.0)</f>
        <v>45226</v>
      </c>
      <c r="I41" s="19">
        <f>IFERROR(__xludf.DUMMYFUNCTION("""COMPUTED_VALUE"""),1.9444444444444444)</f>
        <v>1.944444444</v>
      </c>
      <c r="J41" s="21">
        <f>IFERROR(__xludf.DUMMYFUNCTION("""COMPUTED_VALUE"""),89.0)</f>
        <v>89</v>
      </c>
      <c r="K41" s="23">
        <f>IFERROR(__xludf.DUMMYFUNCTION("""COMPUTED_VALUE"""),8.5)</f>
        <v>8.5</v>
      </c>
      <c r="L41" s="24">
        <f>IFERROR(__xludf.DUMMYFUNCTION("""COMPUTED_VALUE"""),19.0)</f>
        <v>19</v>
      </c>
      <c r="M41" s="25" t="str">
        <f>IFERROR(__xludf.DUMMYFUNCTION("""COMPUTED_VALUE"""),"Survival")</f>
        <v>Survival</v>
      </c>
      <c r="N41" s="25"/>
      <c r="O41" s="26" t="str">
        <f>IFERROR(__xludf.DUMMYFUNCTION("""COMPUTED_VALUE"""),"No")</f>
        <v>No</v>
      </c>
      <c r="P41" s="26"/>
    </row>
    <row r="42">
      <c r="A42" s="13" t="str">
        <f>IFERROR(__xludf.DUMMYFUNCTION("""COMPUTED_VALUE"""),"Cocoon")</f>
        <v>Cocoon</v>
      </c>
      <c r="B42" s="15" t="str">
        <f>IFERROR(__xludf.DUMMYFUNCTION("""COMPUTED_VALUE"""),"PS5/PS4")</f>
        <v>PS5/PS4</v>
      </c>
      <c r="C42" s="16" t="str">
        <f>IFERROR(__xludf.DUMMYFUNCTION("""COMPUTED_VALUE"""),"Essential")</f>
        <v>Essential</v>
      </c>
      <c r="D42" s="15" t="str">
        <f>IFERROR(__xludf.DUMMYFUNCTION("""COMPUTED_VALUE"""),"Removed")</f>
        <v>Removed</v>
      </c>
      <c r="E42" s="17">
        <f>IFERROR(__xludf.DUMMYFUNCTION("""COMPUTED_VALUE"""),45937.0)</f>
        <v>45937</v>
      </c>
      <c r="F42" s="54">
        <f>IFERROR(__xludf.DUMMYFUNCTION("""COMPUTED_VALUE"""),45964.0)</f>
        <v>45964</v>
      </c>
      <c r="G42" s="19">
        <f>IFERROR(__xludf.DUMMYFUNCTION("""COMPUTED_VALUE"""),0.8666666666666666)</f>
        <v>0.8666666667</v>
      </c>
      <c r="H42" s="17">
        <f>IFERROR(__xludf.DUMMYFUNCTION("""COMPUTED_VALUE"""),45198.0)</f>
        <v>45198</v>
      </c>
      <c r="I42" s="19">
        <f>IFERROR(__xludf.DUMMYFUNCTION("""COMPUTED_VALUE"""),2.022222222222222)</f>
        <v>2.022222222</v>
      </c>
      <c r="J42" s="21">
        <f>IFERROR(__xludf.DUMMYFUNCTION("""COMPUTED_VALUE"""),88.0)</f>
        <v>88</v>
      </c>
      <c r="K42" s="23">
        <f>IFERROR(__xludf.DUMMYFUNCTION("""COMPUTED_VALUE"""),8.0)</f>
        <v>8</v>
      </c>
      <c r="L42" s="24">
        <f>IFERROR(__xludf.DUMMYFUNCTION("""COMPUTED_VALUE"""),5.0)</f>
        <v>5</v>
      </c>
      <c r="M42" s="25" t="str">
        <f>IFERROR(__xludf.DUMMYFUNCTION("""COMPUTED_VALUE"""),"Action-Adventure")</f>
        <v>Action-Adventure</v>
      </c>
      <c r="N42" s="25"/>
      <c r="O42" s="26" t="str">
        <f>IFERROR(__xludf.DUMMYFUNCTION("""COMPUTED_VALUE"""),"No")</f>
        <v>No</v>
      </c>
      <c r="P42" s="26"/>
    </row>
    <row r="43">
      <c r="A43" s="13" t="str">
        <f>IFERROR(__xludf.DUMMYFUNCTION("""COMPUTED_VALUE"""),"Psychonauts 2")</f>
        <v>Psychonauts 2</v>
      </c>
      <c r="B43" s="15" t="str">
        <f>IFERROR(__xludf.DUMMYFUNCTION("""COMPUTED_VALUE"""),"PS4")</f>
        <v>PS4</v>
      </c>
      <c r="C43" s="16" t="str">
        <f>IFERROR(__xludf.DUMMYFUNCTION("""COMPUTED_VALUE"""),"Essential")</f>
        <v>Essential</v>
      </c>
      <c r="D43" s="15" t="str">
        <f>IFERROR(__xludf.DUMMYFUNCTION("""COMPUTED_VALUE"""),"Removed")</f>
        <v>Removed</v>
      </c>
      <c r="E43" s="17">
        <f>IFERROR(__xludf.DUMMYFUNCTION("""COMPUTED_VALUE"""),45902.0)</f>
        <v>45902</v>
      </c>
      <c r="F43" s="54">
        <f>IFERROR(__xludf.DUMMYFUNCTION("""COMPUTED_VALUE"""),45936.0)</f>
        <v>45936</v>
      </c>
      <c r="G43" s="19">
        <f>IFERROR(__xludf.DUMMYFUNCTION("""COMPUTED_VALUE"""),1.1333333333333333)</f>
        <v>1.133333333</v>
      </c>
      <c r="H43" s="17">
        <f>IFERROR(__xludf.DUMMYFUNCTION("""COMPUTED_VALUE"""),44433.0)</f>
        <v>44433</v>
      </c>
      <c r="I43" s="19">
        <f>IFERROR(__xludf.DUMMYFUNCTION("""COMPUTED_VALUE"""),4.019444444444445)</f>
        <v>4.019444444</v>
      </c>
      <c r="J43" s="21">
        <f>IFERROR(__xludf.DUMMYFUNCTION("""COMPUTED_VALUE"""),87.0)</f>
        <v>87</v>
      </c>
      <c r="K43" s="23">
        <f>IFERROR(__xludf.DUMMYFUNCTION("""COMPUTED_VALUE"""),8.1)</f>
        <v>8.1</v>
      </c>
      <c r="L43" s="24">
        <f>IFERROR(__xludf.DUMMYFUNCTION("""COMPUTED_VALUE"""),15.0)</f>
        <v>15</v>
      </c>
      <c r="M43" s="25" t="str">
        <f>IFERROR(__xludf.DUMMYFUNCTION("""COMPUTED_VALUE"""),"Platformer")</f>
        <v>Platformer</v>
      </c>
      <c r="N43" s="25"/>
      <c r="O43" s="26" t="str">
        <f>IFERROR(__xludf.DUMMYFUNCTION("""COMPUTED_VALUE"""),"No")</f>
        <v>No</v>
      </c>
      <c r="P43" s="26"/>
    </row>
    <row r="44">
      <c r="A44" s="13" t="str">
        <f>IFERROR(__xludf.DUMMYFUNCTION("""COMPUTED_VALUE"""),"Stardew Valley")</f>
        <v>Stardew Valley</v>
      </c>
      <c r="B44" s="15" t="str">
        <f>IFERROR(__xludf.DUMMYFUNCTION("""COMPUTED_VALUE"""),"PS4")</f>
        <v>PS4</v>
      </c>
      <c r="C44" s="16" t="str">
        <f>IFERROR(__xludf.DUMMYFUNCTION("""COMPUTED_VALUE"""),"Essential")</f>
        <v>Essential</v>
      </c>
      <c r="D44" s="15" t="str">
        <f>IFERROR(__xludf.DUMMYFUNCTION("""COMPUTED_VALUE"""),"Removed")</f>
        <v>Removed</v>
      </c>
      <c r="E44" s="17">
        <f>IFERROR(__xludf.DUMMYFUNCTION("""COMPUTED_VALUE"""),45902.0)</f>
        <v>45902</v>
      </c>
      <c r="F44" s="54">
        <f>IFERROR(__xludf.DUMMYFUNCTION("""COMPUTED_VALUE"""),45936.0)</f>
        <v>45936</v>
      </c>
      <c r="G44" s="19">
        <f>IFERROR(__xludf.DUMMYFUNCTION("""COMPUTED_VALUE"""),1.1333333333333333)</f>
        <v>1.133333333</v>
      </c>
      <c r="H44" s="17">
        <f>IFERROR(__xludf.DUMMYFUNCTION("""COMPUTED_VALUE"""),43522.0)</f>
        <v>43522</v>
      </c>
      <c r="I44" s="19">
        <f>IFERROR(__xludf.DUMMYFUNCTION("""COMPUTED_VALUE"""),6.516666666666667)</f>
        <v>6.516666667</v>
      </c>
      <c r="J44" s="21">
        <f>IFERROR(__xludf.DUMMYFUNCTION("""COMPUTED_VALUE"""),89.0)</f>
        <v>89</v>
      </c>
      <c r="K44" s="23">
        <f>IFERROR(__xludf.DUMMYFUNCTION("""COMPUTED_VALUE"""),8.8)</f>
        <v>8.8</v>
      </c>
      <c r="L44" s="24">
        <f>IFERROR(__xludf.DUMMYFUNCTION("""COMPUTED_VALUE"""),54.0)</f>
        <v>54</v>
      </c>
      <c r="M44" s="25" t="str">
        <f>IFERROR(__xludf.DUMMYFUNCTION("""COMPUTED_VALUE"""),"Virtual Life")</f>
        <v>Virtual Life</v>
      </c>
      <c r="N44" s="25"/>
      <c r="O44" s="26" t="str">
        <f>IFERROR(__xludf.DUMMYFUNCTION("""COMPUTED_VALUE"""),"No")</f>
        <v>No</v>
      </c>
      <c r="P44" s="26"/>
    </row>
    <row r="45">
      <c r="A45" s="13" t="str">
        <f>IFERROR(__xludf.DUMMYFUNCTION("""COMPUTED_VALUE"""),"Viewfinder")</f>
        <v>Viewfinder</v>
      </c>
      <c r="B45" s="15" t="str">
        <f>IFERROR(__xludf.DUMMYFUNCTION("""COMPUTED_VALUE"""),"PS5/PS4")</f>
        <v>PS5/PS4</v>
      </c>
      <c r="C45" s="16" t="str">
        <f>IFERROR(__xludf.DUMMYFUNCTION("""COMPUTED_VALUE"""),"Essential")</f>
        <v>Essential</v>
      </c>
      <c r="D45" s="15" t="str">
        <f>IFERROR(__xludf.DUMMYFUNCTION("""COMPUTED_VALUE"""),"Removed")</f>
        <v>Removed</v>
      </c>
      <c r="E45" s="17">
        <f>IFERROR(__xludf.DUMMYFUNCTION("""COMPUTED_VALUE"""),45902.0)</f>
        <v>45902</v>
      </c>
      <c r="F45" s="54">
        <f>IFERROR(__xludf.DUMMYFUNCTION("""COMPUTED_VALUE"""),45936.0)</f>
        <v>45936</v>
      </c>
      <c r="G45" s="19">
        <f>IFERROR(__xludf.DUMMYFUNCTION("""COMPUTED_VALUE"""),1.1333333333333333)</f>
        <v>1.133333333</v>
      </c>
      <c r="H45" s="17">
        <f>IFERROR(__xludf.DUMMYFUNCTION("""COMPUTED_VALUE"""),45125.0)</f>
        <v>45125</v>
      </c>
      <c r="I45" s="19">
        <f>IFERROR(__xludf.DUMMYFUNCTION("""COMPUTED_VALUE"""),2.1222222222222222)</f>
        <v>2.122222222</v>
      </c>
      <c r="J45" s="21">
        <f>IFERROR(__xludf.DUMMYFUNCTION("""COMPUTED_VALUE"""),84.0)</f>
        <v>84</v>
      </c>
      <c r="K45" s="23">
        <f>IFERROR(__xludf.DUMMYFUNCTION("""COMPUTED_VALUE"""),7.9)</f>
        <v>7.9</v>
      </c>
      <c r="L45" s="24">
        <f>IFERROR(__xludf.DUMMYFUNCTION("""COMPUTED_VALUE"""),4.0)</f>
        <v>4</v>
      </c>
      <c r="M45" s="25" t="str">
        <f>IFERROR(__xludf.DUMMYFUNCTION("""COMPUTED_VALUE"""),"Action-Adventure")</f>
        <v>Action-Adventure</v>
      </c>
      <c r="N45" s="25"/>
      <c r="O45" s="26" t="str">
        <f>IFERROR(__xludf.DUMMYFUNCTION("""COMPUTED_VALUE"""),"No")</f>
        <v>No</v>
      </c>
      <c r="P45" s="26"/>
    </row>
    <row r="46">
      <c r="A46" s="13" t="str">
        <f>IFERROR(__xludf.DUMMYFUNCTION("""COMPUTED_VALUE"""),"Lies of P")</f>
        <v>Lies of P</v>
      </c>
      <c r="B46" s="15" t="str">
        <f>IFERROR(__xludf.DUMMYFUNCTION("""COMPUTED_VALUE"""),"PS5/PS4")</f>
        <v>PS5/PS4</v>
      </c>
      <c r="C46" s="16" t="str">
        <f>IFERROR(__xludf.DUMMYFUNCTION("""COMPUTED_VALUE"""),"Essential")</f>
        <v>Essential</v>
      </c>
      <c r="D46" s="15" t="str">
        <f>IFERROR(__xludf.DUMMYFUNCTION("""COMPUTED_VALUE"""),"Removed")</f>
        <v>Removed</v>
      </c>
      <c r="E46" s="17">
        <f>IFERROR(__xludf.DUMMYFUNCTION("""COMPUTED_VALUE"""),45874.0)</f>
        <v>45874</v>
      </c>
      <c r="F46" s="54">
        <f>IFERROR(__xludf.DUMMYFUNCTION("""COMPUTED_VALUE"""),45901.0)</f>
        <v>45901</v>
      </c>
      <c r="G46" s="19">
        <f>IFERROR(__xludf.DUMMYFUNCTION("""COMPUTED_VALUE"""),0.8666666666666666)</f>
        <v>0.8666666667</v>
      </c>
      <c r="H46" s="17">
        <f>IFERROR(__xludf.DUMMYFUNCTION("""COMPUTED_VALUE"""),45188.0)</f>
        <v>45188</v>
      </c>
      <c r="I46" s="19">
        <f>IFERROR(__xludf.DUMMYFUNCTION("""COMPUTED_VALUE"""),1.8777777777777778)</f>
        <v>1.877777778</v>
      </c>
      <c r="J46" s="21">
        <f>IFERROR(__xludf.DUMMYFUNCTION("""COMPUTED_VALUE"""),80.0)</f>
        <v>80</v>
      </c>
      <c r="K46" s="23">
        <f>IFERROR(__xludf.DUMMYFUNCTION("""COMPUTED_VALUE"""),8.3)</f>
        <v>8.3</v>
      </c>
      <c r="L46" s="24">
        <f>IFERROR(__xludf.DUMMYFUNCTION("""COMPUTED_VALUE"""),29.0)</f>
        <v>29</v>
      </c>
      <c r="M46" s="25" t="str">
        <f>IFERROR(__xludf.DUMMYFUNCTION("""COMPUTED_VALUE"""),"RPG")</f>
        <v>RPG</v>
      </c>
      <c r="N46" s="25"/>
      <c r="O46" s="26" t="str">
        <f>IFERROR(__xludf.DUMMYFUNCTION("""COMPUTED_VALUE"""),"No")</f>
        <v>No</v>
      </c>
      <c r="P46" s="26"/>
    </row>
    <row r="47">
      <c r="A47" s="13" t="str">
        <f>IFERROR(__xludf.DUMMYFUNCTION("""COMPUTED_VALUE"""),"DayZ")</f>
        <v>DayZ</v>
      </c>
      <c r="B47" s="15" t="str">
        <f>IFERROR(__xludf.DUMMYFUNCTION("""COMPUTED_VALUE"""),"PS4")</f>
        <v>PS4</v>
      </c>
      <c r="C47" s="16" t="str">
        <f>IFERROR(__xludf.DUMMYFUNCTION("""COMPUTED_VALUE"""),"Essential")</f>
        <v>Essential</v>
      </c>
      <c r="D47" s="15" t="str">
        <f>IFERROR(__xludf.DUMMYFUNCTION("""COMPUTED_VALUE"""),"Removed")</f>
        <v>Removed</v>
      </c>
      <c r="E47" s="17">
        <f>IFERROR(__xludf.DUMMYFUNCTION("""COMPUTED_VALUE"""),45874.0)</f>
        <v>45874</v>
      </c>
      <c r="F47" s="54">
        <f>IFERROR(__xludf.DUMMYFUNCTION("""COMPUTED_VALUE"""),45901.0)</f>
        <v>45901</v>
      </c>
      <c r="G47" s="19">
        <f>IFERROR(__xludf.DUMMYFUNCTION("""COMPUTED_VALUE"""),0.8666666666666666)</f>
        <v>0.8666666667</v>
      </c>
      <c r="H47" s="17">
        <f>IFERROR(__xludf.DUMMYFUNCTION("""COMPUTED_VALUE"""),43447.0)</f>
        <v>43447</v>
      </c>
      <c r="I47" s="19">
        <f>IFERROR(__xludf.DUMMYFUNCTION("""COMPUTED_VALUE"""),6.644444444444445)</f>
        <v>6.644444444</v>
      </c>
      <c r="J47" s="21">
        <f>IFERROR(__xludf.DUMMYFUNCTION("""COMPUTED_VALUE"""),31.0)</f>
        <v>31</v>
      </c>
      <c r="K47" s="23">
        <f>IFERROR(__xludf.DUMMYFUNCTION("""COMPUTED_VALUE"""),4.1)</f>
        <v>4.1</v>
      </c>
      <c r="L47" s="24">
        <f>IFERROR(__xludf.DUMMYFUNCTION("""COMPUTED_VALUE"""),62.0)</f>
        <v>62</v>
      </c>
      <c r="M47" s="25" t="str">
        <f>IFERROR(__xludf.DUMMYFUNCTION("""COMPUTED_VALUE"""),"Survival")</f>
        <v>Survival</v>
      </c>
      <c r="N47" s="25"/>
      <c r="O47" s="26" t="str">
        <f>IFERROR(__xludf.DUMMYFUNCTION("""COMPUTED_VALUE"""),"No")</f>
        <v>No</v>
      </c>
      <c r="P47" s="26"/>
    </row>
    <row r="48">
      <c r="A48" s="13" t="str">
        <f>IFERROR(__xludf.DUMMYFUNCTION("""COMPUTED_VALUE"""),"My Hero One's Justice 2")</f>
        <v>My Hero One's Justice 2</v>
      </c>
      <c r="B48" s="15" t="str">
        <f>IFERROR(__xludf.DUMMYFUNCTION("""COMPUTED_VALUE"""),"PS4")</f>
        <v>PS4</v>
      </c>
      <c r="C48" s="16" t="str">
        <f>IFERROR(__xludf.DUMMYFUNCTION("""COMPUTED_VALUE"""),"Essential")</f>
        <v>Essential</v>
      </c>
      <c r="D48" s="15" t="str">
        <f>IFERROR(__xludf.DUMMYFUNCTION("""COMPUTED_VALUE"""),"Removed")</f>
        <v>Removed</v>
      </c>
      <c r="E48" s="17">
        <f>IFERROR(__xludf.DUMMYFUNCTION("""COMPUTED_VALUE"""),45874.0)</f>
        <v>45874</v>
      </c>
      <c r="F48" s="18">
        <f>IFERROR(__xludf.DUMMYFUNCTION("""COMPUTED_VALUE"""),45901.0)</f>
        <v>45901</v>
      </c>
      <c r="G48" s="19">
        <f>IFERROR(__xludf.DUMMYFUNCTION("""COMPUTED_VALUE"""),0.8666666666666666)</f>
        <v>0.8666666667</v>
      </c>
      <c r="H48" s="17">
        <f>IFERROR(__xludf.DUMMYFUNCTION("""COMPUTED_VALUE"""),43891.0)</f>
        <v>43891</v>
      </c>
      <c r="I48" s="19">
        <f>IFERROR(__xludf.DUMMYFUNCTION("""COMPUTED_VALUE"""),5.427777777777778)</f>
        <v>5.427777778</v>
      </c>
      <c r="J48" s="21">
        <f>IFERROR(__xludf.DUMMYFUNCTION("""COMPUTED_VALUE"""),68.0)</f>
        <v>68</v>
      </c>
      <c r="K48" s="23">
        <f>IFERROR(__xludf.DUMMYFUNCTION("""COMPUTED_VALUE"""),7.5)</f>
        <v>7.5</v>
      </c>
      <c r="L48" s="24">
        <f>IFERROR(__xludf.DUMMYFUNCTION("""COMPUTED_VALUE"""),8.0)</f>
        <v>8</v>
      </c>
      <c r="M48" s="25" t="str">
        <f>IFERROR(__xludf.DUMMYFUNCTION("""COMPUTED_VALUE"""),"Fighting")</f>
        <v>Fighting</v>
      </c>
      <c r="N48" s="25"/>
      <c r="O48" s="26" t="str">
        <f>IFERROR(__xludf.DUMMYFUNCTION("""COMPUTED_VALUE"""),"No")</f>
        <v>No</v>
      </c>
      <c r="P48" s="26"/>
    </row>
    <row r="49">
      <c r="A49" s="13" t="str">
        <f>IFERROR(__xludf.DUMMYFUNCTION("""COMPUTED_VALUE"""),"Jusant")</f>
        <v>Jusant</v>
      </c>
      <c r="B49" s="15" t="str">
        <f>IFERROR(__xludf.DUMMYFUNCTION("""COMPUTED_VALUE"""),"PS5")</f>
        <v>PS5</v>
      </c>
      <c r="C49" s="16" t="str">
        <f>IFERROR(__xludf.DUMMYFUNCTION("""COMPUTED_VALUE"""),"Essential")</f>
        <v>Essential</v>
      </c>
      <c r="D49" s="15" t="str">
        <f>IFERROR(__xludf.DUMMYFUNCTION("""COMPUTED_VALUE"""),"Removed")</f>
        <v>Removed</v>
      </c>
      <c r="E49" s="17">
        <f>IFERROR(__xludf.DUMMYFUNCTION("""COMPUTED_VALUE"""),45839.0)</f>
        <v>45839</v>
      </c>
      <c r="F49" s="18">
        <f>IFERROR(__xludf.DUMMYFUNCTION("""COMPUTED_VALUE"""),45873.0)</f>
        <v>45873</v>
      </c>
      <c r="G49" s="19">
        <f>IFERROR(__xludf.DUMMYFUNCTION("""COMPUTED_VALUE"""),1.0999999999999999)</f>
        <v>1.1</v>
      </c>
      <c r="H49" s="17">
        <f>IFERROR(__xludf.DUMMYFUNCTION("""COMPUTED_VALUE"""),45230.0)</f>
        <v>45230</v>
      </c>
      <c r="I49" s="19">
        <f>IFERROR(__xludf.DUMMYFUNCTION("""COMPUTED_VALUE"""),1.6694444444444445)</f>
        <v>1.669444444</v>
      </c>
      <c r="J49" s="21">
        <f>IFERROR(__xludf.DUMMYFUNCTION("""COMPUTED_VALUE"""),85.0)</f>
        <v>85</v>
      </c>
      <c r="K49" s="23">
        <f>IFERROR(__xludf.DUMMYFUNCTION("""COMPUTED_VALUE"""),7.6)</f>
        <v>7.6</v>
      </c>
      <c r="L49" s="24">
        <f>IFERROR(__xludf.DUMMYFUNCTION("""COMPUTED_VALUE"""),5.0)</f>
        <v>5</v>
      </c>
      <c r="M49" s="25" t="str">
        <f>IFERROR(__xludf.DUMMYFUNCTION("""COMPUTED_VALUE"""),"Action-Adventure")</f>
        <v>Action-Adventure</v>
      </c>
      <c r="N49" s="25"/>
      <c r="O49" s="26" t="str">
        <f>IFERROR(__xludf.DUMMYFUNCTION("""COMPUTED_VALUE"""),"No")</f>
        <v>No</v>
      </c>
      <c r="P49" s="26"/>
    </row>
    <row r="50">
      <c r="A50" s="13" t="str">
        <f>IFERROR(__xludf.DUMMYFUNCTION("""COMPUTED_VALUE"""),"Diablo IV")</f>
        <v>Diablo IV</v>
      </c>
      <c r="B50" s="15" t="str">
        <f>IFERROR(__xludf.DUMMYFUNCTION("""COMPUTED_VALUE"""),"PS5/PS4")</f>
        <v>PS5/PS4</v>
      </c>
      <c r="C50" s="16" t="str">
        <f>IFERROR(__xludf.DUMMYFUNCTION("""COMPUTED_VALUE"""),"Essential")</f>
        <v>Essential</v>
      </c>
      <c r="D50" s="15" t="str">
        <f>IFERROR(__xludf.DUMMYFUNCTION("""COMPUTED_VALUE"""),"Removed")</f>
        <v>Removed</v>
      </c>
      <c r="E50" s="17">
        <f>IFERROR(__xludf.DUMMYFUNCTION("""COMPUTED_VALUE"""),45839.0)</f>
        <v>45839</v>
      </c>
      <c r="F50" s="54">
        <f>IFERROR(__xludf.DUMMYFUNCTION("""COMPUTED_VALUE"""),45873.0)</f>
        <v>45873</v>
      </c>
      <c r="G50" s="19">
        <f>IFERROR(__xludf.DUMMYFUNCTION("""COMPUTED_VALUE"""),1.0999999999999999)</f>
        <v>1.1</v>
      </c>
      <c r="H50" s="17">
        <f>IFERROR(__xludf.DUMMYFUNCTION("""COMPUTED_VALUE"""),45083.0)</f>
        <v>45083</v>
      </c>
      <c r="I50" s="19">
        <f>IFERROR(__xludf.DUMMYFUNCTION("""COMPUTED_VALUE"""),2.0694444444444446)</f>
        <v>2.069444444</v>
      </c>
      <c r="J50" s="21">
        <f>IFERROR(__xludf.DUMMYFUNCTION("""COMPUTED_VALUE"""),86.0)</f>
        <v>86</v>
      </c>
      <c r="K50" s="23">
        <f>IFERROR(__xludf.DUMMYFUNCTION("""COMPUTED_VALUE"""),2.5)</f>
        <v>2.5</v>
      </c>
      <c r="L50" s="24">
        <f>IFERROR(__xludf.DUMMYFUNCTION("""COMPUTED_VALUE"""),26.0)</f>
        <v>26</v>
      </c>
      <c r="M50" s="25" t="str">
        <f>IFERROR(__xludf.DUMMYFUNCTION("""COMPUTED_VALUE"""),"RPG")</f>
        <v>RPG</v>
      </c>
      <c r="N50" s="25"/>
      <c r="O50" s="26"/>
      <c r="P50" s="26"/>
    </row>
    <row r="51">
      <c r="A51" s="13" t="str">
        <f>IFERROR(__xludf.DUMMYFUNCTION("""COMPUTED_VALUE"""),"The King of Fighters XV")</f>
        <v>The King of Fighters XV</v>
      </c>
      <c r="B51" s="15" t="str">
        <f>IFERROR(__xludf.DUMMYFUNCTION("""COMPUTED_VALUE"""),"PS5/PS4")</f>
        <v>PS5/PS4</v>
      </c>
      <c r="C51" s="16" t="str">
        <f>IFERROR(__xludf.DUMMYFUNCTION("""COMPUTED_VALUE"""),"Essential")</f>
        <v>Essential</v>
      </c>
      <c r="D51" s="15" t="str">
        <f>IFERROR(__xludf.DUMMYFUNCTION("""COMPUTED_VALUE"""),"Removed")</f>
        <v>Removed</v>
      </c>
      <c r="E51" s="17">
        <f>IFERROR(__xludf.DUMMYFUNCTION("""COMPUTED_VALUE"""),45839.0)</f>
        <v>45839</v>
      </c>
      <c r="F51" s="54">
        <f>IFERROR(__xludf.DUMMYFUNCTION("""COMPUTED_VALUE"""),45873.0)</f>
        <v>45873</v>
      </c>
      <c r="G51" s="19">
        <f>IFERROR(__xludf.DUMMYFUNCTION("""COMPUTED_VALUE"""),1.0999999999999999)</f>
        <v>1.1</v>
      </c>
      <c r="H51" s="17">
        <f>IFERROR(__xludf.DUMMYFUNCTION("""COMPUTED_VALUE"""),44606.0)</f>
        <v>44606</v>
      </c>
      <c r="I51" s="19">
        <f>IFERROR(__xludf.DUMMYFUNCTION("""COMPUTED_VALUE"""),3.3805555555555555)</f>
        <v>3.380555556</v>
      </c>
      <c r="J51" s="21">
        <f>IFERROR(__xludf.DUMMYFUNCTION("""COMPUTED_VALUE"""),79.0)</f>
        <v>79</v>
      </c>
      <c r="K51" s="23">
        <f>IFERROR(__xludf.DUMMYFUNCTION("""COMPUTED_VALUE"""),7.7)</f>
        <v>7.7</v>
      </c>
      <c r="L51" s="24">
        <f>IFERROR(__xludf.DUMMYFUNCTION("""COMPUTED_VALUE"""),1.0)</f>
        <v>1</v>
      </c>
      <c r="M51" s="25" t="str">
        <f>IFERROR(__xludf.DUMMYFUNCTION("""COMPUTED_VALUE"""),"Fighting")</f>
        <v>Fighting</v>
      </c>
      <c r="N51" s="25"/>
      <c r="O51" s="26"/>
      <c r="P51" s="26"/>
    </row>
    <row r="52">
      <c r="A52" s="13" t="str">
        <f>IFERROR(__xludf.DUMMYFUNCTION("""COMPUTED_VALUE"""),"NBA 2K25")</f>
        <v>NBA 2K25</v>
      </c>
      <c r="B52" s="15" t="str">
        <f>IFERROR(__xludf.DUMMYFUNCTION("""COMPUTED_VALUE"""),"PS5/PS4")</f>
        <v>PS5/PS4</v>
      </c>
      <c r="C52" s="16" t="str">
        <f>IFERROR(__xludf.DUMMYFUNCTION("""COMPUTED_VALUE"""),"Essential")</f>
        <v>Essential</v>
      </c>
      <c r="D52" s="15" t="str">
        <f>IFERROR(__xludf.DUMMYFUNCTION("""COMPUTED_VALUE"""),"Removed")</f>
        <v>Removed</v>
      </c>
      <c r="E52" s="17">
        <f>IFERROR(__xludf.DUMMYFUNCTION("""COMPUTED_VALUE"""),45811.0)</f>
        <v>45811</v>
      </c>
      <c r="F52" s="54">
        <f>IFERROR(__xludf.DUMMYFUNCTION("""COMPUTED_VALUE"""),45838.0)</f>
        <v>45838</v>
      </c>
      <c r="G52" s="19">
        <f>IFERROR(__xludf.DUMMYFUNCTION("""COMPUTED_VALUE"""),0.8999999999999999)</f>
        <v>0.9</v>
      </c>
      <c r="H52" s="17">
        <f>IFERROR(__xludf.DUMMYFUNCTION("""COMPUTED_VALUE"""),45541.0)</f>
        <v>45541</v>
      </c>
      <c r="I52" s="19">
        <f>IFERROR(__xludf.DUMMYFUNCTION("""COMPUTED_VALUE"""),0.7416666666666667)</f>
        <v>0.7416666667</v>
      </c>
      <c r="J52" s="21">
        <f>IFERROR(__xludf.DUMMYFUNCTION("""COMPUTED_VALUE"""),79.0)</f>
        <v>79</v>
      </c>
      <c r="K52" s="23">
        <f>IFERROR(__xludf.DUMMYFUNCTION("""COMPUTED_VALUE"""),5.1)</f>
        <v>5.1</v>
      </c>
      <c r="L52" s="24">
        <f>IFERROR(__xludf.DUMMYFUNCTION("""COMPUTED_VALUE"""),20.0)</f>
        <v>20</v>
      </c>
      <c r="M52" s="25" t="str">
        <f>IFERROR(__xludf.DUMMYFUNCTION("""COMPUTED_VALUE"""),"Sports")</f>
        <v>Sports</v>
      </c>
      <c r="N52" s="25"/>
      <c r="O52" s="26"/>
      <c r="P52" s="26"/>
    </row>
    <row r="53">
      <c r="A53" s="13" t="str">
        <f>IFERROR(__xludf.DUMMYFUNCTION("""COMPUTED_VALUE"""),"Alone in the Dark (2024)")</f>
        <v>Alone in the Dark (2024)</v>
      </c>
      <c r="B53" s="15" t="str">
        <f>IFERROR(__xludf.DUMMYFUNCTION("""COMPUTED_VALUE"""),"PS5")</f>
        <v>PS5</v>
      </c>
      <c r="C53" s="16" t="str">
        <f>IFERROR(__xludf.DUMMYFUNCTION("""COMPUTED_VALUE"""),"Essential")</f>
        <v>Essential</v>
      </c>
      <c r="D53" s="15" t="str">
        <f>IFERROR(__xludf.DUMMYFUNCTION("""COMPUTED_VALUE"""),"Removed")</f>
        <v>Removed</v>
      </c>
      <c r="E53" s="17">
        <f>IFERROR(__xludf.DUMMYFUNCTION("""COMPUTED_VALUE"""),45811.0)</f>
        <v>45811</v>
      </c>
      <c r="F53" s="54">
        <f>IFERROR(__xludf.DUMMYFUNCTION("""COMPUTED_VALUE"""),45838.0)</f>
        <v>45838</v>
      </c>
      <c r="G53" s="19">
        <f>IFERROR(__xludf.DUMMYFUNCTION("""COMPUTED_VALUE"""),0.8999999999999999)</f>
        <v>0.9</v>
      </c>
      <c r="H53" s="17">
        <f>IFERROR(__xludf.DUMMYFUNCTION("""COMPUTED_VALUE"""),45371.0)</f>
        <v>45371</v>
      </c>
      <c r="I53" s="19">
        <f>IFERROR(__xludf.DUMMYFUNCTION("""COMPUTED_VALUE"""),1.2027777777777777)</f>
        <v>1.202777778</v>
      </c>
      <c r="J53" s="21">
        <f>IFERROR(__xludf.DUMMYFUNCTION("""COMPUTED_VALUE"""),63.0)</f>
        <v>63</v>
      </c>
      <c r="K53" s="23">
        <f>IFERROR(__xludf.DUMMYFUNCTION("""COMPUTED_VALUE"""),7.4)</f>
        <v>7.4</v>
      </c>
      <c r="L53" s="24">
        <f>IFERROR(__xludf.DUMMYFUNCTION("""COMPUTED_VALUE"""),8.0)</f>
        <v>8</v>
      </c>
      <c r="M53" s="25" t="str">
        <f>IFERROR(__xludf.DUMMYFUNCTION("""COMPUTED_VALUE"""),"Survival")</f>
        <v>Survival</v>
      </c>
      <c r="N53" s="25"/>
      <c r="O53" s="26" t="str">
        <f>IFERROR(__xludf.DUMMYFUNCTION("""COMPUTED_VALUE"""),"No")</f>
        <v>No</v>
      </c>
      <c r="P53" s="26"/>
    </row>
    <row r="54">
      <c r="A54" s="13" t="str">
        <f>IFERROR(__xludf.DUMMYFUNCTION("""COMPUTED_VALUE"""),"Bomb Rush Cyberfunk")</f>
        <v>Bomb Rush Cyberfunk</v>
      </c>
      <c r="B54" s="15" t="str">
        <f>IFERROR(__xludf.DUMMYFUNCTION("""COMPUTED_VALUE"""),"PS5/PS4")</f>
        <v>PS5/PS4</v>
      </c>
      <c r="C54" s="16" t="str">
        <f>IFERROR(__xludf.DUMMYFUNCTION("""COMPUTED_VALUE"""),"Essential")</f>
        <v>Essential</v>
      </c>
      <c r="D54" s="15" t="str">
        <f>IFERROR(__xludf.DUMMYFUNCTION("""COMPUTED_VALUE"""),"Removed")</f>
        <v>Removed</v>
      </c>
      <c r="E54" s="17">
        <f>IFERROR(__xludf.DUMMYFUNCTION("""COMPUTED_VALUE"""),45811.0)</f>
        <v>45811</v>
      </c>
      <c r="F54" s="54">
        <f>IFERROR(__xludf.DUMMYFUNCTION("""COMPUTED_VALUE"""),45838.0)</f>
        <v>45838</v>
      </c>
      <c r="G54" s="19">
        <f>IFERROR(__xludf.DUMMYFUNCTION("""COMPUTED_VALUE"""),0.8999999999999999)</f>
        <v>0.9</v>
      </c>
      <c r="H54" s="17">
        <f>IFERROR(__xludf.DUMMYFUNCTION("""COMPUTED_VALUE"""),45156.0)</f>
        <v>45156</v>
      </c>
      <c r="I54" s="19">
        <f>IFERROR(__xludf.DUMMYFUNCTION("""COMPUTED_VALUE"""),1.7916666666666667)</f>
        <v>1.791666667</v>
      </c>
      <c r="J54" s="21">
        <f>IFERROR(__xludf.DUMMYFUNCTION("""COMPUTED_VALUE"""),75.0)</f>
        <v>75</v>
      </c>
      <c r="K54" s="23">
        <f>IFERROR(__xludf.DUMMYFUNCTION("""COMPUTED_VALUE"""),8.6)</f>
        <v>8.6</v>
      </c>
      <c r="L54" s="24">
        <f>IFERROR(__xludf.DUMMYFUNCTION("""COMPUTED_VALUE"""),10.0)</f>
        <v>10</v>
      </c>
      <c r="M54" s="25" t="str">
        <f>IFERROR(__xludf.DUMMYFUNCTION("""COMPUTED_VALUE"""),"Platformer")</f>
        <v>Platformer</v>
      </c>
      <c r="N54" s="25"/>
      <c r="O54" s="26"/>
      <c r="P54" s="26"/>
    </row>
    <row r="55">
      <c r="A55" s="13" t="str">
        <f>IFERROR(__xludf.DUMMYFUNCTION("""COMPUTED_VALUE"""),"Destiny 2: The Final Shape")</f>
        <v>Destiny 2: The Final Shape</v>
      </c>
      <c r="B55" s="15" t="str">
        <f>IFERROR(__xludf.DUMMYFUNCTION("""COMPUTED_VALUE"""),"PS5/PS4")</f>
        <v>PS5/PS4</v>
      </c>
      <c r="C55" s="16" t="str">
        <f>IFERROR(__xludf.DUMMYFUNCTION("""COMPUTED_VALUE"""),"Essential")</f>
        <v>Essential</v>
      </c>
      <c r="D55" s="15" t="str">
        <f>IFERROR(__xludf.DUMMYFUNCTION("""COMPUTED_VALUE"""),"Removed")</f>
        <v>Removed</v>
      </c>
      <c r="E55" s="17">
        <f>IFERROR(__xludf.DUMMYFUNCTION("""COMPUTED_VALUE"""),45805.0)</f>
        <v>45805</v>
      </c>
      <c r="F55" s="54">
        <f>IFERROR(__xludf.DUMMYFUNCTION("""COMPUTED_VALUE"""),45838.0)</f>
        <v>45838</v>
      </c>
      <c r="G55" s="19">
        <f>IFERROR(__xludf.DUMMYFUNCTION("""COMPUTED_VALUE"""),1.0666666666666667)</f>
        <v>1.066666667</v>
      </c>
      <c r="H55" s="17">
        <f>IFERROR(__xludf.DUMMYFUNCTION("""COMPUTED_VALUE"""),45447.0)</f>
        <v>45447</v>
      </c>
      <c r="I55" s="19">
        <f>IFERROR(__xludf.DUMMYFUNCTION("""COMPUTED_VALUE"""),0.9833333333333333)</f>
        <v>0.9833333333</v>
      </c>
      <c r="J55" s="21">
        <f>IFERROR(__xludf.DUMMYFUNCTION("""COMPUTED_VALUE"""),89.0)</f>
        <v>89</v>
      </c>
      <c r="K55" s="23">
        <f>IFERROR(__xludf.DUMMYFUNCTION("""COMPUTED_VALUE"""),7.6)</f>
        <v>7.6</v>
      </c>
      <c r="L55" s="24">
        <f>IFERROR(__xludf.DUMMYFUNCTION("""COMPUTED_VALUE"""),11.0)</f>
        <v>11</v>
      </c>
      <c r="M55" s="25" t="str">
        <f>IFERROR(__xludf.DUMMYFUNCTION("""COMPUTED_VALUE"""),"Shooter")</f>
        <v>Shooter</v>
      </c>
      <c r="N55" s="25"/>
      <c r="O55" s="26"/>
      <c r="P55" s="26"/>
    </row>
    <row r="56">
      <c r="A56" s="13" t="str">
        <f>IFERROR(__xludf.DUMMYFUNCTION("""COMPUTED_VALUE"""),"Ark: Survival Ascended")</f>
        <v>Ark: Survival Ascended</v>
      </c>
      <c r="B56" s="15" t="str">
        <f>IFERROR(__xludf.DUMMYFUNCTION("""COMPUTED_VALUE"""),"PS5")</f>
        <v>PS5</v>
      </c>
      <c r="C56" s="16" t="str">
        <f>IFERROR(__xludf.DUMMYFUNCTION("""COMPUTED_VALUE"""),"Essential")</f>
        <v>Essential</v>
      </c>
      <c r="D56" s="15" t="str">
        <f>IFERROR(__xludf.DUMMYFUNCTION("""COMPUTED_VALUE"""),"Removed")</f>
        <v>Removed</v>
      </c>
      <c r="E56" s="17">
        <f>IFERROR(__xludf.DUMMYFUNCTION("""COMPUTED_VALUE"""),45783.0)</f>
        <v>45783</v>
      </c>
      <c r="F56" s="54">
        <f>IFERROR(__xludf.DUMMYFUNCTION("""COMPUTED_VALUE"""),45809.0)</f>
        <v>45809</v>
      </c>
      <c r="G56" s="19">
        <f>IFERROR(__xludf.DUMMYFUNCTION("""COMPUTED_VALUE"""),0.8333333333333334)</f>
        <v>0.8333333333</v>
      </c>
      <c r="H56" s="17">
        <f>IFERROR(__xludf.DUMMYFUNCTION("""COMPUTED_VALUE"""),42974.0)</f>
        <v>42974</v>
      </c>
      <c r="I56" s="19">
        <f>IFERROR(__xludf.DUMMYFUNCTION("""COMPUTED_VALUE"""),7.691666666666666)</f>
        <v>7.691666667</v>
      </c>
      <c r="J56" s="21">
        <f>IFERROR(__xludf.DUMMYFUNCTION("""COMPUTED_VALUE"""),70.0)</f>
        <v>70</v>
      </c>
      <c r="K56" s="23">
        <f>IFERROR(__xludf.DUMMYFUNCTION("""COMPUTED_VALUE"""),6.5)</f>
        <v>6.5</v>
      </c>
      <c r="L56" s="24">
        <f>IFERROR(__xludf.DUMMYFUNCTION("""COMPUTED_VALUE"""),331.0)</f>
        <v>331</v>
      </c>
      <c r="M56" s="25" t="str">
        <f>IFERROR(__xludf.DUMMYFUNCTION("""COMPUTED_VALUE"""),"Sandbox")</f>
        <v>Sandbox</v>
      </c>
      <c r="N56" s="25"/>
      <c r="O56" s="26" t="str">
        <f>IFERROR(__xludf.DUMMYFUNCTION("""COMPUTED_VALUE"""),"No")</f>
        <v>No</v>
      </c>
      <c r="P56" s="26"/>
    </row>
    <row r="57">
      <c r="A57" s="13" t="str">
        <f>IFERROR(__xludf.DUMMYFUNCTION("""COMPUTED_VALUE"""),"Balatro")</f>
        <v>Balatro</v>
      </c>
      <c r="B57" s="15" t="str">
        <f>IFERROR(__xludf.DUMMYFUNCTION("""COMPUTED_VALUE"""),"PS5/PS4")</f>
        <v>PS5/PS4</v>
      </c>
      <c r="C57" s="16" t="str">
        <f>IFERROR(__xludf.DUMMYFUNCTION("""COMPUTED_VALUE"""),"Essential")</f>
        <v>Essential</v>
      </c>
      <c r="D57" s="15" t="str">
        <f>IFERROR(__xludf.DUMMYFUNCTION("""COMPUTED_VALUE"""),"Removed")</f>
        <v>Removed</v>
      </c>
      <c r="E57" s="17">
        <f>IFERROR(__xludf.DUMMYFUNCTION("""COMPUTED_VALUE"""),45783.0)</f>
        <v>45783</v>
      </c>
      <c r="F57" s="54">
        <f>IFERROR(__xludf.DUMMYFUNCTION("""COMPUTED_VALUE"""),45809.0)</f>
        <v>45809</v>
      </c>
      <c r="G57" s="19">
        <f>IFERROR(__xludf.DUMMYFUNCTION("""COMPUTED_VALUE"""),0.8333333333333334)</f>
        <v>0.8333333333</v>
      </c>
      <c r="H57" s="17">
        <f>IFERROR(__xludf.DUMMYFUNCTION("""COMPUTED_VALUE"""),45342.0)</f>
        <v>45342</v>
      </c>
      <c r="I57" s="19">
        <f>IFERROR(__xludf.DUMMYFUNCTION("""COMPUTED_VALUE"""),1.211111111111111)</f>
        <v>1.211111111</v>
      </c>
      <c r="J57" s="21">
        <f>IFERROR(__xludf.DUMMYFUNCTION("""COMPUTED_VALUE"""),90.0)</f>
        <v>90</v>
      </c>
      <c r="K57" s="23">
        <f>IFERROR(__xludf.DUMMYFUNCTION("""COMPUTED_VALUE"""),8.3)</f>
        <v>8.3</v>
      </c>
      <c r="L57" s="24">
        <f>IFERROR(__xludf.DUMMYFUNCTION("""COMPUTED_VALUE"""),7.0)</f>
        <v>7</v>
      </c>
      <c r="M57" s="25" t="str">
        <f>IFERROR(__xludf.DUMMYFUNCTION("""COMPUTED_VALUE"""),"Card Battle")</f>
        <v>Card Battle</v>
      </c>
      <c r="N57" s="25"/>
      <c r="O57" s="26" t="str">
        <f>IFERROR(__xludf.DUMMYFUNCTION("""COMPUTED_VALUE"""),"No")</f>
        <v>No</v>
      </c>
      <c r="P57" s="26"/>
    </row>
    <row r="58">
      <c r="A58" s="13" t="str">
        <f>IFERROR(__xludf.DUMMYFUNCTION("""COMPUTED_VALUE"""),"Warhammer 40,000: Boltgun")</f>
        <v>Warhammer 40,000: Boltgun</v>
      </c>
      <c r="B58" s="15" t="str">
        <f>IFERROR(__xludf.DUMMYFUNCTION("""COMPUTED_VALUE"""),"PS5/PS4")</f>
        <v>PS5/PS4</v>
      </c>
      <c r="C58" s="16" t="str">
        <f>IFERROR(__xludf.DUMMYFUNCTION("""COMPUTED_VALUE"""),"Essential")</f>
        <v>Essential</v>
      </c>
      <c r="D58" s="15" t="str">
        <f>IFERROR(__xludf.DUMMYFUNCTION("""COMPUTED_VALUE"""),"Removed")</f>
        <v>Removed</v>
      </c>
      <c r="E58" s="17">
        <f>IFERROR(__xludf.DUMMYFUNCTION("""COMPUTED_VALUE"""),45783.0)</f>
        <v>45783</v>
      </c>
      <c r="F58" s="54">
        <f>IFERROR(__xludf.DUMMYFUNCTION("""COMPUTED_VALUE"""),45809.0)</f>
        <v>45809</v>
      </c>
      <c r="G58" s="19">
        <f>IFERROR(__xludf.DUMMYFUNCTION("""COMPUTED_VALUE"""),0.8333333333333334)</f>
        <v>0.8333333333</v>
      </c>
      <c r="H58" s="17">
        <f>IFERROR(__xludf.DUMMYFUNCTION("""COMPUTED_VALUE"""),45047.0)</f>
        <v>45047</v>
      </c>
      <c r="I58" s="19">
        <f>IFERROR(__xludf.DUMMYFUNCTION("""COMPUTED_VALUE"""),2.013888888888889)</f>
        <v>2.013888889</v>
      </c>
      <c r="J58" s="21">
        <f>IFERROR(__xludf.DUMMYFUNCTION("""COMPUTED_VALUE"""),75.0)</f>
        <v>75</v>
      </c>
      <c r="K58" s="23">
        <f>IFERROR(__xludf.DUMMYFUNCTION("""COMPUTED_VALUE"""),8.0)</f>
        <v>8</v>
      </c>
      <c r="L58" s="24">
        <f>IFERROR(__xludf.DUMMYFUNCTION("""COMPUTED_VALUE"""),10.0)</f>
        <v>10</v>
      </c>
      <c r="M58" s="25" t="str">
        <f>IFERROR(__xludf.DUMMYFUNCTION("""COMPUTED_VALUE"""),"Shooter")</f>
        <v>Shooter</v>
      </c>
      <c r="N58" s="25"/>
      <c r="O58" s="26" t="str">
        <f>IFERROR(__xludf.DUMMYFUNCTION("""COMPUTED_VALUE"""),"No")</f>
        <v>No</v>
      </c>
      <c r="P58" s="26"/>
    </row>
    <row r="59">
      <c r="A59" s="13" t="str">
        <f>IFERROR(__xludf.DUMMYFUNCTION("""COMPUTED_VALUE"""),"RoboCop: Rogue City")</f>
        <v>RoboCop: Rogue City</v>
      </c>
      <c r="B59" s="15" t="str">
        <f>IFERROR(__xludf.DUMMYFUNCTION("""COMPUTED_VALUE"""),"PS5")</f>
        <v>PS5</v>
      </c>
      <c r="C59" s="16" t="str">
        <f>IFERROR(__xludf.DUMMYFUNCTION("""COMPUTED_VALUE"""),"Essential")</f>
        <v>Essential</v>
      </c>
      <c r="D59" s="15" t="str">
        <f>IFERROR(__xludf.DUMMYFUNCTION("""COMPUTED_VALUE"""),"Removed")</f>
        <v>Removed</v>
      </c>
      <c r="E59" s="17">
        <f>IFERROR(__xludf.DUMMYFUNCTION("""COMPUTED_VALUE"""),45748.0)</f>
        <v>45748</v>
      </c>
      <c r="F59" s="54">
        <f>IFERROR(__xludf.DUMMYFUNCTION("""COMPUTED_VALUE"""),45782.0)</f>
        <v>45782</v>
      </c>
      <c r="G59" s="19">
        <f>IFERROR(__xludf.DUMMYFUNCTION("""COMPUTED_VALUE"""),1.1333333333333333)</f>
        <v>1.133333333</v>
      </c>
      <c r="H59" s="17">
        <f>IFERROR(__xludf.DUMMYFUNCTION("""COMPUTED_VALUE"""),45232.0)</f>
        <v>45232</v>
      </c>
      <c r="I59" s="19">
        <f>IFERROR(__xludf.DUMMYFUNCTION("""COMPUTED_VALUE"""),1.413888888888889)</f>
        <v>1.413888889</v>
      </c>
      <c r="J59" s="21">
        <f>IFERROR(__xludf.DUMMYFUNCTION("""COMPUTED_VALUE"""),72.0)</f>
        <v>72</v>
      </c>
      <c r="K59" s="23">
        <f>IFERROR(__xludf.DUMMYFUNCTION("""COMPUTED_VALUE"""),8.1)</f>
        <v>8.1</v>
      </c>
      <c r="L59" s="24">
        <f>IFERROR(__xludf.DUMMYFUNCTION("""COMPUTED_VALUE"""),12.0)</f>
        <v>12</v>
      </c>
      <c r="M59" s="25" t="str">
        <f>IFERROR(__xludf.DUMMYFUNCTION("""COMPUTED_VALUE"""),"Shooter")</f>
        <v>Shooter</v>
      </c>
      <c r="N59" s="25"/>
      <c r="O59" s="26" t="str">
        <f>IFERROR(__xludf.DUMMYFUNCTION("""COMPUTED_VALUE"""),"No")</f>
        <v>No</v>
      </c>
      <c r="P59" s="26"/>
    </row>
    <row r="60">
      <c r="A60" s="13" t="str">
        <f>IFERROR(__xludf.DUMMYFUNCTION("""COMPUTED_VALUE"""),"The Texas Chain Saw Massacre")</f>
        <v>The Texas Chain Saw Massacre</v>
      </c>
      <c r="B60" s="15" t="str">
        <f>IFERROR(__xludf.DUMMYFUNCTION("""COMPUTED_VALUE"""),"PS5/PS4")</f>
        <v>PS5/PS4</v>
      </c>
      <c r="C60" s="16" t="str">
        <f>IFERROR(__xludf.DUMMYFUNCTION("""COMPUTED_VALUE"""),"Essential")</f>
        <v>Essential</v>
      </c>
      <c r="D60" s="15" t="str">
        <f>IFERROR(__xludf.DUMMYFUNCTION("""COMPUTED_VALUE"""),"Removed")</f>
        <v>Removed</v>
      </c>
      <c r="E60" s="17">
        <f>IFERROR(__xludf.DUMMYFUNCTION("""COMPUTED_VALUE"""),45748.0)</f>
        <v>45748</v>
      </c>
      <c r="F60" s="54">
        <f>IFERROR(__xludf.DUMMYFUNCTION("""COMPUTED_VALUE"""),45782.0)</f>
        <v>45782</v>
      </c>
      <c r="G60" s="19">
        <f>IFERROR(__xludf.DUMMYFUNCTION("""COMPUTED_VALUE"""),1.1333333333333333)</f>
        <v>1.133333333</v>
      </c>
      <c r="H60" s="17">
        <f>IFERROR(__xludf.DUMMYFUNCTION("""COMPUTED_VALUE"""),45156.0)</f>
        <v>45156</v>
      </c>
      <c r="I60" s="19">
        <f>IFERROR(__xludf.DUMMYFUNCTION("""COMPUTED_VALUE"""),1.6194444444444445)</f>
        <v>1.619444444</v>
      </c>
      <c r="J60" s="21">
        <f>IFERROR(__xludf.DUMMYFUNCTION("""COMPUTED_VALUE"""),72.0)</f>
        <v>72</v>
      </c>
      <c r="K60" s="23">
        <f>IFERROR(__xludf.DUMMYFUNCTION("""COMPUTED_VALUE"""),6.4)</f>
        <v>6.4</v>
      </c>
      <c r="L60" s="24">
        <f>IFERROR(__xludf.DUMMYFUNCTION("""COMPUTED_VALUE"""),53.0)</f>
        <v>53</v>
      </c>
      <c r="M60" s="25" t="str">
        <f>IFERROR(__xludf.DUMMYFUNCTION("""COMPUTED_VALUE"""),"Survival")</f>
        <v>Survival</v>
      </c>
      <c r="N60" s="25"/>
      <c r="O60" s="26" t="str">
        <f>IFERROR(__xludf.DUMMYFUNCTION("""COMPUTED_VALUE"""),"No")</f>
        <v>No</v>
      </c>
      <c r="P60" s="26"/>
    </row>
    <row r="61">
      <c r="A61" s="13" t="str">
        <f>IFERROR(__xludf.DUMMYFUNCTION("""COMPUTED_VALUE"""),"Digimon Story: Cyber Sleuth - Hacker's Memory")</f>
        <v>Digimon Story: Cyber Sleuth - Hacker's Memory</v>
      </c>
      <c r="B61" s="15" t="str">
        <f>IFERROR(__xludf.DUMMYFUNCTION("""COMPUTED_VALUE"""),"PS4")</f>
        <v>PS4</v>
      </c>
      <c r="C61" s="16" t="str">
        <f>IFERROR(__xludf.DUMMYFUNCTION("""COMPUTED_VALUE"""),"Essential")</f>
        <v>Essential</v>
      </c>
      <c r="D61" s="15" t="str">
        <f>IFERROR(__xludf.DUMMYFUNCTION("""COMPUTED_VALUE"""),"Removed")</f>
        <v>Removed</v>
      </c>
      <c r="E61" s="17">
        <f>IFERROR(__xludf.DUMMYFUNCTION("""COMPUTED_VALUE"""),45748.0)</f>
        <v>45748</v>
      </c>
      <c r="F61" s="54">
        <f>IFERROR(__xludf.DUMMYFUNCTION("""COMPUTED_VALUE"""),45782.0)</f>
        <v>45782</v>
      </c>
      <c r="G61" s="19">
        <f>IFERROR(__xludf.DUMMYFUNCTION("""COMPUTED_VALUE"""),1.1333333333333333)</f>
        <v>1.133333333</v>
      </c>
      <c r="H61" s="17">
        <f>IFERROR(__xludf.DUMMYFUNCTION("""COMPUTED_VALUE"""),43119.0)</f>
        <v>43119</v>
      </c>
      <c r="I61" s="19">
        <f>IFERROR(__xludf.DUMMYFUNCTION("""COMPUTED_VALUE"""),7.2)</f>
        <v>7.2</v>
      </c>
      <c r="J61" s="21">
        <f>IFERROR(__xludf.DUMMYFUNCTION("""COMPUTED_VALUE"""),73.0)</f>
        <v>73</v>
      </c>
      <c r="K61" s="23">
        <f>IFERROR(__xludf.DUMMYFUNCTION("""COMPUTED_VALUE"""),7.7)</f>
        <v>7.7</v>
      </c>
      <c r="L61" s="24">
        <f>IFERROR(__xludf.DUMMYFUNCTION("""COMPUTED_VALUE"""),47.0)</f>
        <v>47</v>
      </c>
      <c r="M61" s="25" t="str">
        <f>IFERROR(__xludf.DUMMYFUNCTION("""COMPUTED_VALUE"""),"RPG")</f>
        <v>RPG</v>
      </c>
      <c r="N61" s="25"/>
      <c r="O61" s="26" t="str">
        <f>IFERROR(__xludf.DUMMYFUNCTION("""COMPUTED_VALUE"""),"No")</f>
        <v>No</v>
      </c>
      <c r="P61" s="26"/>
    </row>
    <row r="62">
      <c r="A62" s="13" t="str">
        <f>IFERROR(__xludf.DUMMYFUNCTION("""COMPUTED_VALUE"""),"Dragon Age: The Veilguard")</f>
        <v>Dragon Age: The Veilguard</v>
      </c>
      <c r="B62" s="15" t="str">
        <f>IFERROR(__xludf.DUMMYFUNCTION("""COMPUTED_VALUE"""),"PS5")</f>
        <v>PS5</v>
      </c>
      <c r="C62" s="16" t="str">
        <f>IFERROR(__xludf.DUMMYFUNCTION("""COMPUTED_VALUE"""),"Essential")</f>
        <v>Essential</v>
      </c>
      <c r="D62" s="15" t="str">
        <f>IFERROR(__xludf.DUMMYFUNCTION("""COMPUTED_VALUE"""),"Removed")</f>
        <v>Removed</v>
      </c>
      <c r="E62" s="17">
        <f>IFERROR(__xludf.DUMMYFUNCTION("""COMPUTED_VALUE"""),45720.0)</f>
        <v>45720</v>
      </c>
      <c r="F62" s="54">
        <f>IFERROR(__xludf.DUMMYFUNCTION("""COMPUTED_VALUE"""),45747.0)</f>
        <v>45747</v>
      </c>
      <c r="G62" s="19">
        <f>IFERROR(__xludf.DUMMYFUNCTION("""COMPUTED_VALUE"""),0.8666666666666666)</f>
        <v>0.8666666667</v>
      </c>
      <c r="H62" s="17">
        <f>IFERROR(__xludf.DUMMYFUNCTION("""COMPUTED_VALUE"""),45596.0)</f>
        <v>45596</v>
      </c>
      <c r="I62" s="19">
        <f>IFERROR(__xludf.DUMMYFUNCTION("""COMPUTED_VALUE"""),0.34444444444444444)</f>
        <v>0.3444444444</v>
      </c>
      <c r="J62" s="21">
        <f>IFERROR(__xludf.DUMMYFUNCTION("""COMPUTED_VALUE"""),82.0)</f>
        <v>82</v>
      </c>
      <c r="K62" s="23">
        <f>IFERROR(__xludf.DUMMYFUNCTION("""COMPUTED_VALUE"""),3.9)</f>
        <v>3.9</v>
      </c>
      <c r="L62" s="24">
        <f>IFERROR(__xludf.DUMMYFUNCTION("""COMPUTED_VALUE"""),27.0)</f>
        <v>27</v>
      </c>
      <c r="M62" s="25" t="str">
        <f>IFERROR(__xludf.DUMMYFUNCTION("""COMPUTED_VALUE"""),"RPG")</f>
        <v>RPG</v>
      </c>
      <c r="N62" s="25"/>
      <c r="O62" s="26" t="str">
        <f>IFERROR(__xludf.DUMMYFUNCTION("""COMPUTED_VALUE"""),"No")</f>
        <v>No</v>
      </c>
      <c r="P62" s="26"/>
    </row>
    <row r="63">
      <c r="A63" s="13" t="str">
        <f>IFERROR(__xludf.DUMMYFUNCTION("""COMPUTED_VALUE"""),"Sonic Colors: Ultimate")</f>
        <v>Sonic Colors: Ultimate</v>
      </c>
      <c r="B63" s="15" t="str">
        <f>IFERROR(__xludf.DUMMYFUNCTION("""COMPUTED_VALUE"""),"PS4")</f>
        <v>PS4</v>
      </c>
      <c r="C63" s="16" t="str">
        <f>IFERROR(__xludf.DUMMYFUNCTION("""COMPUTED_VALUE"""),"Essential")</f>
        <v>Essential</v>
      </c>
      <c r="D63" s="15" t="str">
        <f>IFERROR(__xludf.DUMMYFUNCTION("""COMPUTED_VALUE"""),"Removed")</f>
        <v>Removed</v>
      </c>
      <c r="E63" s="17">
        <f>IFERROR(__xludf.DUMMYFUNCTION("""COMPUTED_VALUE"""),45720.0)</f>
        <v>45720</v>
      </c>
      <c r="F63" s="54">
        <f>IFERROR(__xludf.DUMMYFUNCTION("""COMPUTED_VALUE"""),45747.0)</f>
        <v>45747</v>
      </c>
      <c r="G63" s="19">
        <f>IFERROR(__xludf.DUMMYFUNCTION("""COMPUTED_VALUE"""),0.8666666666666666)</f>
        <v>0.8666666667</v>
      </c>
      <c r="H63" s="17">
        <f>IFERROR(__xludf.DUMMYFUNCTION("""COMPUTED_VALUE"""),44507.0)</f>
        <v>44507</v>
      </c>
      <c r="I63" s="19">
        <f>IFERROR(__xludf.DUMMYFUNCTION("""COMPUTED_VALUE"""),3.325)</f>
        <v>3.325</v>
      </c>
      <c r="J63" s="21">
        <f>IFERROR(__xludf.DUMMYFUNCTION("""COMPUTED_VALUE"""),74.0)</f>
        <v>74</v>
      </c>
      <c r="K63" s="23">
        <f>IFERROR(__xludf.DUMMYFUNCTION("""COMPUTED_VALUE"""),6.4)</f>
        <v>6.4</v>
      </c>
      <c r="L63" s="24">
        <f>IFERROR(__xludf.DUMMYFUNCTION("""COMPUTED_VALUE"""),5.0)</f>
        <v>5</v>
      </c>
      <c r="M63" s="25" t="str">
        <f>IFERROR(__xludf.DUMMYFUNCTION("""COMPUTED_VALUE"""),"Platformer")</f>
        <v>Platformer</v>
      </c>
      <c r="N63" s="25"/>
      <c r="O63" s="26" t="str">
        <f>IFERROR(__xludf.DUMMYFUNCTION("""COMPUTED_VALUE"""),"No")</f>
        <v>No</v>
      </c>
      <c r="P63" s="26"/>
    </row>
    <row r="64">
      <c r="A64" s="13" t="str">
        <f>IFERROR(__xludf.DUMMYFUNCTION("""COMPUTED_VALUE"""),"Teenage Mutant Ninja Turtles: The Cowabunga Collection")</f>
        <v>Teenage Mutant Ninja Turtles: The Cowabunga Collection</v>
      </c>
      <c r="B64" s="15" t="str">
        <f>IFERROR(__xludf.DUMMYFUNCTION("""COMPUTED_VALUE"""),"PS5/PS4")</f>
        <v>PS5/PS4</v>
      </c>
      <c r="C64" s="16" t="str">
        <f>IFERROR(__xludf.DUMMYFUNCTION("""COMPUTED_VALUE"""),"Essential")</f>
        <v>Essential</v>
      </c>
      <c r="D64" s="15" t="str">
        <f>IFERROR(__xludf.DUMMYFUNCTION("""COMPUTED_VALUE"""),"Removed")</f>
        <v>Removed</v>
      </c>
      <c r="E64" s="17">
        <f>IFERROR(__xludf.DUMMYFUNCTION("""COMPUTED_VALUE"""),45720.0)</f>
        <v>45720</v>
      </c>
      <c r="F64" s="54">
        <f>IFERROR(__xludf.DUMMYFUNCTION("""COMPUTED_VALUE"""),45747.0)</f>
        <v>45747</v>
      </c>
      <c r="G64" s="19">
        <f>IFERROR(__xludf.DUMMYFUNCTION("""COMPUTED_VALUE"""),0.8666666666666666)</f>
        <v>0.8666666667</v>
      </c>
      <c r="H64" s="17">
        <f>IFERROR(__xludf.DUMMYFUNCTION("""COMPUTED_VALUE"""),44895.0)</f>
        <v>44895</v>
      </c>
      <c r="I64" s="19">
        <f>IFERROR(__xludf.DUMMYFUNCTION("""COMPUTED_VALUE"""),2.261111111111111)</f>
        <v>2.261111111</v>
      </c>
      <c r="J64" s="21">
        <f>IFERROR(__xludf.DUMMYFUNCTION("""COMPUTED_VALUE"""),79.0)</f>
        <v>79</v>
      </c>
      <c r="K64" s="23">
        <f>IFERROR(__xludf.DUMMYFUNCTION("""COMPUTED_VALUE"""),8.2)</f>
        <v>8.2</v>
      </c>
      <c r="L64" s="24">
        <f>IFERROR(__xludf.DUMMYFUNCTION("""COMPUTED_VALUE"""),14.0)</f>
        <v>14</v>
      </c>
      <c r="M64" s="25" t="str">
        <f>IFERROR(__xludf.DUMMYFUNCTION("""COMPUTED_VALUE"""),"Compilation")</f>
        <v>Compilation</v>
      </c>
      <c r="N64" s="25"/>
      <c r="O64" s="26" t="str">
        <f>IFERROR(__xludf.DUMMYFUNCTION("""COMPUTED_VALUE"""),"No")</f>
        <v>No</v>
      </c>
      <c r="P64" s="26"/>
    </row>
    <row r="65">
      <c r="A65" s="13" t="str">
        <f>IFERROR(__xludf.DUMMYFUNCTION("""COMPUTED_VALUE"""),"PAYDAY 3")</f>
        <v>PAYDAY 3</v>
      </c>
      <c r="B65" s="15" t="str">
        <f>IFERROR(__xludf.DUMMYFUNCTION("""COMPUTED_VALUE"""),"PS5")</f>
        <v>PS5</v>
      </c>
      <c r="C65" s="16" t="str">
        <f>IFERROR(__xludf.DUMMYFUNCTION("""COMPUTED_VALUE"""),"Essential")</f>
        <v>Essential</v>
      </c>
      <c r="D65" s="15" t="str">
        <f>IFERROR(__xludf.DUMMYFUNCTION("""COMPUTED_VALUE"""),"Removed")</f>
        <v>Removed</v>
      </c>
      <c r="E65" s="17">
        <f>IFERROR(__xludf.DUMMYFUNCTION("""COMPUTED_VALUE"""),45692.0)</f>
        <v>45692</v>
      </c>
      <c r="F65" s="54">
        <f>IFERROR(__xludf.DUMMYFUNCTION("""COMPUTED_VALUE"""),45719.0)</f>
        <v>45719</v>
      </c>
      <c r="G65" s="19">
        <f>IFERROR(__xludf.DUMMYFUNCTION("""COMPUTED_VALUE"""),0.9666666666666668)</f>
        <v>0.9666666667</v>
      </c>
      <c r="H65" s="17">
        <f>IFERROR(__xludf.DUMMYFUNCTION("""COMPUTED_VALUE"""),45190.0)</f>
        <v>45190</v>
      </c>
      <c r="I65" s="19">
        <f>IFERROR(__xludf.DUMMYFUNCTION("""COMPUTED_VALUE"""),1.3694444444444445)</f>
        <v>1.369444444</v>
      </c>
      <c r="J65" s="21">
        <f>IFERROR(__xludf.DUMMYFUNCTION("""COMPUTED_VALUE"""),66.0)</f>
        <v>66</v>
      </c>
      <c r="K65" s="23">
        <f>IFERROR(__xludf.DUMMYFUNCTION("""COMPUTED_VALUE"""),3.2)</f>
        <v>3.2</v>
      </c>
      <c r="L65" s="24">
        <f>IFERROR(__xludf.DUMMYFUNCTION("""COMPUTED_VALUE"""),14.0)</f>
        <v>14</v>
      </c>
      <c r="M65" s="25" t="str">
        <f>IFERROR(__xludf.DUMMYFUNCTION("""COMPUTED_VALUE"""),"Shooter")</f>
        <v>Shooter</v>
      </c>
      <c r="N65" s="25"/>
      <c r="O65" s="26" t="str">
        <f>IFERROR(__xludf.DUMMYFUNCTION("""COMPUTED_VALUE"""),"No")</f>
        <v>No</v>
      </c>
      <c r="P65" s="26"/>
    </row>
    <row r="66">
      <c r="A66" s="13" t="str">
        <f>IFERROR(__xludf.DUMMYFUNCTION("""COMPUTED_VALUE"""),"High on Life")</f>
        <v>High on Life</v>
      </c>
      <c r="B66" s="15" t="str">
        <f>IFERROR(__xludf.DUMMYFUNCTION("""COMPUTED_VALUE"""),"PS5/PS4")</f>
        <v>PS5/PS4</v>
      </c>
      <c r="C66" s="16" t="str">
        <f>IFERROR(__xludf.DUMMYFUNCTION("""COMPUTED_VALUE"""),"Essential")</f>
        <v>Essential</v>
      </c>
      <c r="D66" s="15" t="str">
        <f>IFERROR(__xludf.DUMMYFUNCTION("""COMPUTED_VALUE"""),"Removed")</f>
        <v>Removed</v>
      </c>
      <c r="E66" s="17">
        <f>IFERROR(__xludf.DUMMYFUNCTION("""COMPUTED_VALUE"""),45692.0)</f>
        <v>45692</v>
      </c>
      <c r="F66" s="54">
        <f>IFERROR(__xludf.DUMMYFUNCTION("""COMPUTED_VALUE"""),45719.0)</f>
        <v>45719</v>
      </c>
      <c r="G66" s="19">
        <f>IFERROR(__xludf.DUMMYFUNCTION("""COMPUTED_VALUE"""),0.9666666666666668)</f>
        <v>0.9666666667</v>
      </c>
      <c r="H66" s="17">
        <f>IFERROR(__xludf.DUMMYFUNCTION("""COMPUTED_VALUE"""),44908.0)</f>
        <v>44908</v>
      </c>
      <c r="I66" s="19">
        <f>IFERROR(__xludf.DUMMYFUNCTION("""COMPUTED_VALUE"""),2.1416666666666666)</f>
        <v>2.141666667</v>
      </c>
      <c r="J66" s="21">
        <f>IFERROR(__xludf.DUMMYFUNCTION("""COMPUTED_VALUE"""),67.0)</f>
        <v>67</v>
      </c>
      <c r="K66" s="23">
        <f>IFERROR(__xludf.DUMMYFUNCTION("""COMPUTED_VALUE"""),7.8)</f>
        <v>7.8</v>
      </c>
      <c r="L66" s="24">
        <f>IFERROR(__xludf.DUMMYFUNCTION("""COMPUTED_VALUE"""),10.0)</f>
        <v>10</v>
      </c>
      <c r="M66" s="25" t="str">
        <f>IFERROR(__xludf.DUMMYFUNCTION("""COMPUTED_VALUE"""),"Action-Adventure")</f>
        <v>Action-Adventure</v>
      </c>
      <c r="N66" s="25"/>
      <c r="O66" s="26" t="str">
        <f>IFERROR(__xludf.DUMMYFUNCTION("""COMPUTED_VALUE"""),"No")</f>
        <v>No</v>
      </c>
      <c r="P66" s="26"/>
    </row>
    <row r="67">
      <c r="A67" s="13" t="str">
        <f>IFERROR(__xludf.DUMMYFUNCTION("""COMPUTED_VALUE"""),"Pac-Man World: Re-PAC")</f>
        <v>Pac-Man World: Re-PAC</v>
      </c>
      <c r="B67" s="15" t="str">
        <f>IFERROR(__xludf.DUMMYFUNCTION("""COMPUTED_VALUE"""),"PS5/PS4")</f>
        <v>PS5/PS4</v>
      </c>
      <c r="C67" s="16" t="str">
        <f>IFERROR(__xludf.DUMMYFUNCTION("""COMPUTED_VALUE"""),"Essential")</f>
        <v>Essential</v>
      </c>
      <c r="D67" s="15" t="str">
        <f>IFERROR(__xludf.DUMMYFUNCTION("""COMPUTED_VALUE"""),"Removed")</f>
        <v>Removed</v>
      </c>
      <c r="E67" s="17">
        <f>IFERROR(__xludf.DUMMYFUNCTION("""COMPUTED_VALUE"""),45692.0)</f>
        <v>45692</v>
      </c>
      <c r="F67" s="54">
        <f>IFERROR(__xludf.DUMMYFUNCTION("""COMPUTED_VALUE"""),45719.0)</f>
        <v>45719</v>
      </c>
      <c r="G67" s="19">
        <f>IFERROR(__xludf.DUMMYFUNCTION("""COMPUTED_VALUE"""),0.9666666666666668)</f>
        <v>0.9666666667</v>
      </c>
      <c r="H67" s="17">
        <f>IFERROR(__xludf.DUMMYFUNCTION("""COMPUTED_VALUE"""),44799.0)</f>
        <v>44799</v>
      </c>
      <c r="I67" s="19">
        <f>IFERROR(__xludf.DUMMYFUNCTION("""COMPUTED_VALUE"""),2.438888888888889)</f>
        <v>2.438888889</v>
      </c>
      <c r="J67" s="21">
        <f>IFERROR(__xludf.DUMMYFUNCTION("""COMPUTED_VALUE"""),71.0)</f>
        <v>71</v>
      </c>
      <c r="K67" s="23">
        <f>IFERROR(__xludf.DUMMYFUNCTION("""COMPUTED_VALUE"""),8.2)</f>
        <v>8.2</v>
      </c>
      <c r="L67" s="24">
        <f>IFERROR(__xludf.DUMMYFUNCTION("""COMPUTED_VALUE"""),6.0)</f>
        <v>6</v>
      </c>
      <c r="M67" s="25" t="str">
        <f>IFERROR(__xludf.DUMMYFUNCTION("""COMPUTED_VALUE"""),"Platformer")</f>
        <v>Platformer</v>
      </c>
      <c r="N67" s="25"/>
      <c r="O67" s="26" t="str">
        <f>IFERROR(__xludf.DUMMYFUNCTION("""COMPUTED_VALUE"""),"No")</f>
        <v>No</v>
      </c>
      <c r="P67" s="26"/>
    </row>
    <row r="68">
      <c r="A68" s="13" t="str">
        <f>IFERROR(__xludf.DUMMYFUNCTION("""COMPUTED_VALUE"""),"Suicide Squad: Kill the Justice League")</f>
        <v>Suicide Squad: Kill the Justice League</v>
      </c>
      <c r="B68" s="15" t="str">
        <f>IFERROR(__xludf.DUMMYFUNCTION("""COMPUTED_VALUE"""),"PS5")</f>
        <v>PS5</v>
      </c>
      <c r="C68" s="16" t="str">
        <f>IFERROR(__xludf.DUMMYFUNCTION("""COMPUTED_VALUE"""),"Essential")</f>
        <v>Essential</v>
      </c>
      <c r="D68" s="15" t="str">
        <f>IFERROR(__xludf.DUMMYFUNCTION("""COMPUTED_VALUE"""),"Removed")</f>
        <v>Removed</v>
      </c>
      <c r="E68" s="17">
        <f>IFERROR(__xludf.DUMMYFUNCTION("""COMPUTED_VALUE"""),45664.0)</f>
        <v>45664</v>
      </c>
      <c r="F68" s="54">
        <f>IFERROR(__xludf.DUMMYFUNCTION("""COMPUTED_VALUE"""),45691.0)</f>
        <v>45691</v>
      </c>
      <c r="G68" s="19">
        <f>IFERROR(__xludf.DUMMYFUNCTION("""COMPUTED_VALUE"""),0.8666666666666666)</f>
        <v>0.8666666667</v>
      </c>
      <c r="H68" s="17">
        <f>IFERROR(__xludf.DUMMYFUNCTION("""COMPUTED_VALUE"""),45324.0)</f>
        <v>45324</v>
      </c>
      <c r="I68" s="19">
        <f>IFERROR(__xludf.DUMMYFUNCTION("""COMPUTED_VALUE"""),0.9305555555555556)</f>
        <v>0.9305555556</v>
      </c>
      <c r="J68" s="21">
        <f>IFERROR(__xludf.DUMMYFUNCTION("""COMPUTED_VALUE"""),60.0)</f>
        <v>60</v>
      </c>
      <c r="K68" s="23">
        <f>IFERROR(__xludf.DUMMYFUNCTION("""COMPUTED_VALUE"""),3.4)</f>
        <v>3.4</v>
      </c>
      <c r="L68" s="24">
        <f>IFERROR(__xludf.DUMMYFUNCTION("""COMPUTED_VALUE"""),12.0)</f>
        <v>12</v>
      </c>
      <c r="M68" s="25" t="str">
        <f>IFERROR(__xludf.DUMMYFUNCTION("""COMPUTED_VALUE"""),"Shooter")</f>
        <v>Shooter</v>
      </c>
      <c r="N68" s="25"/>
      <c r="O68" s="26" t="str">
        <f>IFERROR(__xludf.DUMMYFUNCTION("""COMPUTED_VALUE"""),"No")</f>
        <v>No</v>
      </c>
      <c r="P68" s="26"/>
    </row>
    <row r="69">
      <c r="A69" s="13" t="str">
        <f>IFERROR(__xludf.DUMMYFUNCTION("""COMPUTED_VALUE"""),"Need for Speed: Hot Pursuit - Remastered")</f>
        <v>Need for Speed: Hot Pursuit - Remastered</v>
      </c>
      <c r="B69" s="15" t="str">
        <f>IFERROR(__xludf.DUMMYFUNCTION("""COMPUTED_VALUE"""),"PS4")</f>
        <v>PS4</v>
      </c>
      <c r="C69" s="16" t="str">
        <f>IFERROR(__xludf.DUMMYFUNCTION("""COMPUTED_VALUE"""),"Essential")</f>
        <v>Essential</v>
      </c>
      <c r="D69" s="15" t="str">
        <f>IFERROR(__xludf.DUMMYFUNCTION("""COMPUTED_VALUE"""),"Removed")</f>
        <v>Removed</v>
      </c>
      <c r="E69" s="17">
        <f>IFERROR(__xludf.DUMMYFUNCTION("""COMPUTED_VALUE"""),45664.0)</f>
        <v>45664</v>
      </c>
      <c r="F69" s="54">
        <f>IFERROR(__xludf.DUMMYFUNCTION("""COMPUTED_VALUE"""),45691.0)</f>
        <v>45691</v>
      </c>
      <c r="G69" s="19">
        <f>IFERROR(__xludf.DUMMYFUNCTION("""COMPUTED_VALUE"""),0.8666666666666666)</f>
        <v>0.8666666667</v>
      </c>
      <c r="H69" s="17">
        <f>IFERROR(__xludf.DUMMYFUNCTION("""COMPUTED_VALUE"""),44141.0)</f>
        <v>44141</v>
      </c>
      <c r="I69" s="19">
        <f>IFERROR(__xludf.DUMMYFUNCTION("""COMPUTED_VALUE"""),4.169444444444444)</f>
        <v>4.169444444</v>
      </c>
      <c r="J69" s="21">
        <f>IFERROR(__xludf.DUMMYFUNCTION("""COMPUTED_VALUE"""),75.0)</f>
        <v>75</v>
      </c>
      <c r="K69" s="23">
        <f>IFERROR(__xludf.DUMMYFUNCTION("""COMPUTED_VALUE"""),5.9)</f>
        <v>5.9</v>
      </c>
      <c r="L69" s="24">
        <f>IFERROR(__xludf.DUMMYFUNCTION("""COMPUTED_VALUE"""),16.0)</f>
        <v>16</v>
      </c>
      <c r="M69" s="25" t="str">
        <f>IFERROR(__xludf.DUMMYFUNCTION("""COMPUTED_VALUE"""),"Racing")</f>
        <v>Racing</v>
      </c>
      <c r="N69" s="25"/>
      <c r="O69" s="26" t="str">
        <f>IFERROR(__xludf.DUMMYFUNCTION("""COMPUTED_VALUE"""),"No")</f>
        <v>No</v>
      </c>
      <c r="P69" s="26"/>
    </row>
    <row r="70">
      <c r="A70" s="13" t="str">
        <f>IFERROR(__xludf.DUMMYFUNCTION("""COMPUTED_VALUE"""),"The Stanley Parable: Ultra Deluxe")</f>
        <v>The Stanley Parable: Ultra Deluxe</v>
      </c>
      <c r="B70" s="15" t="str">
        <f>IFERROR(__xludf.DUMMYFUNCTION("""COMPUTED_VALUE"""),"PS5/PS4")</f>
        <v>PS5/PS4</v>
      </c>
      <c r="C70" s="16" t="str">
        <f>IFERROR(__xludf.DUMMYFUNCTION("""COMPUTED_VALUE"""),"Essential")</f>
        <v>Essential</v>
      </c>
      <c r="D70" s="15" t="str">
        <f>IFERROR(__xludf.DUMMYFUNCTION("""COMPUTED_VALUE"""),"Removed")</f>
        <v>Removed</v>
      </c>
      <c r="E70" s="17">
        <f>IFERROR(__xludf.DUMMYFUNCTION("""COMPUTED_VALUE"""),45664.0)</f>
        <v>45664</v>
      </c>
      <c r="F70" s="54">
        <f>IFERROR(__xludf.DUMMYFUNCTION("""COMPUTED_VALUE"""),45691.0)</f>
        <v>45691</v>
      </c>
      <c r="G70" s="19">
        <f>IFERROR(__xludf.DUMMYFUNCTION("""COMPUTED_VALUE"""),0.8666666666666666)</f>
        <v>0.8666666667</v>
      </c>
      <c r="H70" s="17">
        <f>IFERROR(__xludf.DUMMYFUNCTION("""COMPUTED_VALUE"""),41548.0)</f>
        <v>41548</v>
      </c>
      <c r="I70" s="19">
        <f>IFERROR(__xludf.DUMMYFUNCTION("""COMPUTED_VALUE"""),11.266666666666667)</f>
        <v>11.26666667</v>
      </c>
      <c r="J70" s="21">
        <f>IFERROR(__xludf.DUMMYFUNCTION("""COMPUTED_VALUE"""),90.0)</f>
        <v>90</v>
      </c>
      <c r="K70" s="23">
        <f>IFERROR(__xludf.DUMMYFUNCTION("""COMPUTED_VALUE"""),8.2)</f>
        <v>8.2</v>
      </c>
      <c r="L70" s="24">
        <f>IFERROR(__xludf.DUMMYFUNCTION("""COMPUTED_VALUE"""),4.0)</f>
        <v>4</v>
      </c>
      <c r="M70" s="25" t="str">
        <f>IFERROR(__xludf.DUMMYFUNCTION("""COMPUTED_VALUE"""),"Adventure")</f>
        <v>Adventure</v>
      </c>
      <c r="N70" s="25"/>
      <c r="O70" s="26" t="str">
        <f>IFERROR(__xludf.DUMMYFUNCTION("""COMPUTED_VALUE"""),"No")</f>
        <v>No</v>
      </c>
      <c r="P70" s="26"/>
    </row>
    <row r="71">
      <c r="A71" s="13" t="str">
        <f>IFERROR(__xludf.DUMMYFUNCTION("""COMPUTED_VALUE"""),"Temtem")</f>
        <v>Temtem</v>
      </c>
      <c r="B71" s="15" t="str">
        <f>IFERROR(__xludf.DUMMYFUNCTION("""COMPUTED_VALUE"""),"PS5")</f>
        <v>PS5</v>
      </c>
      <c r="C71" s="16" t="str">
        <f>IFERROR(__xludf.DUMMYFUNCTION("""COMPUTED_VALUE"""),"Essential")</f>
        <v>Essential</v>
      </c>
      <c r="D71" s="15" t="str">
        <f>IFERROR(__xludf.DUMMYFUNCTION("""COMPUTED_VALUE"""),"Removed")</f>
        <v>Removed</v>
      </c>
      <c r="E71" s="17">
        <f>IFERROR(__xludf.DUMMYFUNCTION("""COMPUTED_VALUE"""),45629.0)</f>
        <v>45629</v>
      </c>
      <c r="F71" s="54">
        <f>IFERROR(__xludf.DUMMYFUNCTION("""COMPUTED_VALUE"""),45663.0)</f>
        <v>45663</v>
      </c>
      <c r="G71" s="19">
        <f>IFERROR(__xludf.DUMMYFUNCTION("""COMPUTED_VALUE"""),1.0999999999999999)</f>
        <v>1.1</v>
      </c>
      <c r="H71" s="17">
        <f>IFERROR(__xludf.DUMMYFUNCTION("""COMPUTED_VALUE"""),44810.0)</f>
        <v>44810</v>
      </c>
      <c r="I71" s="19">
        <f>IFERROR(__xludf.DUMMYFUNCTION("""COMPUTED_VALUE"""),2.2416666666666667)</f>
        <v>2.241666667</v>
      </c>
      <c r="J71" s="21">
        <f>IFERROR(__xludf.DUMMYFUNCTION("""COMPUTED_VALUE"""),73.0)</f>
        <v>73</v>
      </c>
      <c r="K71" s="23">
        <f>IFERROR(__xludf.DUMMYFUNCTION("""COMPUTED_VALUE"""),6.4)</f>
        <v>6.4</v>
      </c>
      <c r="L71" s="24">
        <f>IFERROR(__xludf.DUMMYFUNCTION("""COMPUTED_VALUE"""),57.0)</f>
        <v>57</v>
      </c>
      <c r="M71" s="26" t="str">
        <f>IFERROR(__xludf.DUMMYFUNCTION("""COMPUTED_VALUE"""),"RPG")</f>
        <v>RPG</v>
      </c>
      <c r="N71" s="25"/>
      <c r="O71" s="26" t="str">
        <f>IFERROR(__xludf.DUMMYFUNCTION("""COMPUTED_VALUE"""),"No")</f>
        <v>No</v>
      </c>
      <c r="P71" s="26"/>
    </row>
    <row r="72">
      <c r="A72" s="13" t="str">
        <f>IFERROR(__xludf.DUMMYFUNCTION("""COMPUTED_VALUE"""),"It Takes Two")</f>
        <v>It Takes Two</v>
      </c>
      <c r="B72" s="15" t="str">
        <f>IFERROR(__xludf.DUMMYFUNCTION("""COMPUTED_VALUE"""),"PS5/PS4")</f>
        <v>PS5/PS4</v>
      </c>
      <c r="C72" s="16" t="str">
        <f>IFERROR(__xludf.DUMMYFUNCTION("""COMPUTED_VALUE"""),"Essential")</f>
        <v>Essential</v>
      </c>
      <c r="D72" s="15" t="str">
        <f>IFERROR(__xludf.DUMMYFUNCTION("""COMPUTED_VALUE"""),"Removed")</f>
        <v>Removed</v>
      </c>
      <c r="E72" s="17">
        <f>IFERROR(__xludf.DUMMYFUNCTION("""COMPUTED_VALUE"""),45629.0)</f>
        <v>45629</v>
      </c>
      <c r="F72" s="54">
        <f>IFERROR(__xludf.DUMMYFUNCTION("""COMPUTED_VALUE"""),45663.0)</f>
        <v>45663</v>
      </c>
      <c r="G72" s="19">
        <f>IFERROR(__xludf.DUMMYFUNCTION("""COMPUTED_VALUE"""),1.0999999999999999)</f>
        <v>1.1</v>
      </c>
      <c r="H72" s="17">
        <f>IFERROR(__xludf.DUMMYFUNCTION("""COMPUTED_VALUE"""),44281.0)</f>
        <v>44281</v>
      </c>
      <c r="I72" s="19">
        <f>IFERROR(__xludf.DUMMYFUNCTION("""COMPUTED_VALUE"""),3.686111111111111)</f>
        <v>3.686111111</v>
      </c>
      <c r="J72" s="21">
        <f>IFERROR(__xludf.DUMMYFUNCTION("""COMPUTED_VALUE"""),88.0)</f>
        <v>88</v>
      </c>
      <c r="K72" s="23">
        <f>IFERROR(__xludf.DUMMYFUNCTION("""COMPUTED_VALUE"""),8.9)</f>
        <v>8.9</v>
      </c>
      <c r="L72" s="24">
        <f>IFERROR(__xludf.DUMMYFUNCTION("""COMPUTED_VALUE"""),14.0)</f>
        <v>14</v>
      </c>
      <c r="M72" s="25" t="str">
        <f>IFERROR(__xludf.DUMMYFUNCTION("""COMPUTED_VALUE"""),"Action-Adventure")</f>
        <v>Action-Adventure</v>
      </c>
      <c r="N72" s="25"/>
      <c r="O72" s="26" t="str">
        <f>IFERROR(__xludf.DUMMYFUNCTION("""COMPUTED_VALUE"""),"No")</f>
        <v>No</v>
      </c>
      <c r="P72" s="26"/>
    </row>
    <row r="73">
      <c r="A73" s="13" t="str">
        <f>IFERROR(__xludf.DUMMYFUNCTION("""COMPUTED_VALUE"""),"Aliens: Dark Descent")</f>
        <v>Aliens: Dark Descent</v>
      </c>
      <c r="B73" s="15" t="str">
        <f>IFERROR(__xludf.DUMMYFUNCTION("""COMPUTED_VALUE"""),"PS5/PS4")</f>
        <v>PS5/PS4</v>
      </c>
      <c r="C73" s="16" t="str">
        <f>IFERROR(__xludf.DUMMYFUNCTION("""COMPUTED_VALUE"""),"Essential")</f>
        <v>Essential</v>
      </c>
      <c r="D73" s="15" t="str">
        <f>IFERROR(__xludf.DUMMYFUNCTION("""COMPUTED_VALUE"""),"Removed")</f>
        <v>Removed</v>
      </c>
      <c r="E73" s="17">
        <f>IFERROR(__xludf.DUMMYFUNCTION("""COMPUTED_VALUE"""),45629.0)</f>
        <v>45629</v>
      </c>
      <c r="F73" s="54">
        <f>IFERROR(__xludf.DUMMYFUNCTION("""COMPUTED_VALUE"""),45663.0)</f>
        <v>45663</v>
      </c>
      <c r="G73" s="19">
        <f>IFERROR(__xludf.DUMMYFUNCTION("""COMPUTED_VALUE"""),1.0999999999999999)</f>
        <v>1.1</v>
      </c>
      <c r="H73" s="17">
        <f>IFERROR(__xludf.DUMMYFUNCTION("""COMPUTED_VALUE"""),45097.0)</f>
        <v>45097</v>
      </c>
      <c r="I73" s="19">
        <f>IFERROR(__xludf.DUMMYFUNCTION("""COMPUTED_VALUE"""),1.4527777777777777)</f>
        <v>1.452777778</v>
      </c>
      <c r="J73" s="21">
        <f>IFERROR(__xludf.DUMMYFUNCTION("""COMPUTED_VALUE"""),75.0)</f>
        <v>75</v>
      </c>
      <c r="K73" s="23">
        <f>IFERROR(__xludf.DUMMYFUNCTION("""COMPUTED_VALUE"""),8.0)</f>
        <v>8</v>
      </c>
      <c r="L73" s="24">
        <f>IFERROR(__xludf.DUMMYFUNCTION("""COMPUTED_VALUE"""),24.0)</f>
        <v>24</v>
      </c>
      <c r="M73" s="25" t="str">
        <f>IFERROR(__xludf.DUMMYFUNCTION("""COMPUTED_VALUE"""),"Strategy")</f>
        <v>Strategy</v>
      </c>
      <c r="N73" s="25"/>
      <c r="O73" s="26" t="str">
        <f>IFERROR(__xludf.DUMMYFUNCTION("""COMPUTED_VALUE"""),"No")</f>
        <v>No</v>
      </c>
      <c r="P73" s="26"/>
    </row>
    <row r="74">
      <c r="A74" s="13" t="str">
        <f>IFERROR(__xludf.DUMMYFUNCTION("""COMPUTED_VALUE"""),"Ghostwire: Tokyo")</f>
        <v>Ghostwire: Tokyo</v>
      </c>
      <c r="B74" s="15" t="str">
        <f>IFERROR(__xludf.DUMMYFUNCTION("""COMPUTED_VALUE"""),"PS5")</f>
        <v>PS5</v>
      </c>
      <c r="C74" s="16" t="str">
        <f>IFERROR(__xludf.DUMMYFUNCTION("""COMPUTED_VALUE"""),"Essential")</f>
        <v>Essential</v>
      </c>
      <c r="D74" s="15" t="str">
        <f>IFERROR(__xludf.DUMMYFUNCTION("""COMPUTED_VALUE"""),"Removed")</f>
        <v>Removed</v>
      </c>
      <c r="E74" s="17">
        <f>IFERROR(__xludf.DUMMYFUNCTION("""COMPUTED_VALUE"""),45601.0)</f>
        <v>45601</v>
      </c>
      <c r="F74" s="54">
        <f>IFERROR(__xludf.DUMMYFUNCTION("""COMPUTED_VALUE"""),45628.0)</f>
        <v>45628</v>
      </c>
      <c r="G74" s="19">
        <f>IFERROR(__xludf.DUMMYFUNCTION("""COMPUTED_VALUE"""),0.8999999999999999)</f>
        <v>0.9</v>
      </c>
      <c r="H74" s="17">
        <f>IFERROR(__xludf.DUMMYFUNCTION("""COMPUTED_VALUE"""),44642.0)</f>
        <v>44642</v>
      </c>
      <c r="I74" s="19">
        <f>IFERROR(__xludf.DUMMYFUNCTION("""COMPUTED_VALUE"""),2.6194444444444445)</f>
        <v>2.619444444</v>
      </c>
      <c r="J74" s="21">
        <f>IFERROR(__xludf.DUMMYFUNCTION("""COMPUTED_VALUE"""),75.0)</f>
        <v>75</v>
      </c>
      <c r="K74" s="23">
        <f>IFERROR(__xludf.DUMMYFUNCTION("""COMPUTED_VALUE"""),8.3)</f>
        <v>8.3</v>
      </c>
      <c r="L74" s="24">
        <f>IFERROR(__xludf.DUMMYFUNCTION("""COMPUTED_VALUE"""),11.0)</f>
        <v>11</v>
      </c>
      <c r="M74" s="25" t="str">
        <f>IFERROR(__xludf.DUMMYFUNCTION("""COMPUTED_VALUE"""),"Action-Adventure")</f>
        <v>Action-Adventure</v>
      </c>
      <c r="N74" s="25"/>
      <c r="O74" s="26" t="str">
        <f>IFERROR(__xludf.DUMMYFUNCTION("""COMPUTED_VALUE"""),"No")</f>
        <v>No</v>
      </c>
      <c r="P74" s="26"/>
    </row>
    <row r="75">
      <c r="A75" s="13" t="str">
        <f>IFERROR(__xludf.DUMMYFUNCTION("""COMPUTED_VALUE"""),"Hot Wheels Unleashed 2: Turbocharged")</f>
        <v>Hot Wheels Unleashed 2: Turbocharged</v>
      </c>
      <c r="B75" s="15" t="str">
        <f>IFERROR(__xludf.DUMMYFUNCTION("""COMPUTED_VALUE"""),"PS5/PS4")</f>
        <v>PS5/PS4</v>
      </c>
      <c r="C75" s="16" t="str">
        <f>IFERROR(__xludf.DUMMYFUNCTION("""COMPUTED_VALUE"""),"Essential")</f>
        <v>Essential</v>
      </c>
      <c r="D75" s="15" t="str">
        <f>IFERROR(__xludf.DUMMYFUNCTION("""COMPUTED_VALUE"""),"Removed")</f>
        <v>Removed</v>
      </c>
      <c r="E75" s="17">
        <f>IFERROR(__xludf.DUMMYFUNCTION("""COMPUTED_VALUE"""),45601.0)</f>
        <v>45601</v>
      </c>
      <c r="F75" s="54">
        <f>IFERROR(__xludf.DUMMYFUNCTION("""COMPUTED_VALUE"""),45628.0)</f>
        <v>45628</v>
      </c>
      <c r="G75" s="19">
        <f>IFERROR(__xludf.DUMMYFUNCTION("""COMPUTED_VALUE"""),0.8999999999999999)</f>
        <v>0.9</v>
      </c>
      <c r="H75" s="17">
        <f>IFERROR(__xludf.DUMMYFUNCTION("""COMPUTED_VALUE"""),45218.0)</f>
        <v>45218</v>
      </c>
      <c r="I75" s="19">
        <f>IFERROR(__xludf.DUMMYFUNCTION("""COMPUTED_VALUE"""),1.0444444444444445)</f>
        <v>1.044444444</v>
      </c>
      <c r="J75" s="21">
        <f>IFERROR(__xludf.DUMMYFUNCTION("""COMPUTED_VALUE"""),77.0)</f>
        <v>77</v>
      </c>
      <c r="K75" s="23">
        <f>IFERROR(__xludf.DUMMYFUNCTION("""COMPUTED_VALUE"""),7.1)</f>
        <v>7.1</v>
      </c>
      <c r="L75" s="24">
        <f>IFERROR(__xludf.DUMMYFUNCTION("""COMPUTED_VALUE"""),9.0)</f>
        <v>9</v>
      </c>
      <c r="M75" s="25" t="str">
        <f>IFERROR(__xludf.DUMMYFUNCTION("""COMPUTED_VALUE"""),"Racing")</f>
        <v>Racing</v>
      </c>
      <c r="N75" s="25"/>
      <c r="O75" s="26" t="str">
        <f>IFERROR(__xludf.DUMMYFUNCTION("""COMPUTED_VALUE"""),"No")</f>
        <v>No</v>
      </c>
      <c r="P75" s="26"/>
    </row>
    <row r="76">
      <c r="A76" s="13" t="str">
        <f>IFERROR(__xludf.DUMMYFUNCTION("""COMPUTED_VALUE"""),"Death Note: Killer Within")</f>
        <v>Death Note: Killer Within</v>
      </c>
      <c r="B76" s="15" t="str">
        <f>IFERROR(__xludf.DUMMYFUNCTION("""COMPUTED_VALUE"""),"PS5/PS4")</f>
        <v>PS5/PS4</v>
      </c>
      <c r="C76" s="16" t="str">
        <f>IFERROR(__xludf.DUMMYFUNCTION("""COMPUTED_VALUE"""),"Essential")</f>
        <v>Essential</v>
      </c>
      <c r="D76" s="15" t="str">
        <f>IFERROR(__xludf.DUMMYFUNCTION("""COMPUTED_VALUE"""),"Removed")</f>
        <v>Removed</v>
      </c>
      <c r="E76" s="17">
        <f>IFERROR(__xludf.DUMMYFUNCTION("""COMPUTED_VALUE"""),45601.0)</f>
        <v>45601</v>
      </c>
      <c r="F76" s="54">
        <f>IFERROR(__xludf.DUMMYFUNCTION("""COMPUTED_VALUE"""),45628.0)</f>
        <v>45628</v>
      </c>
      <c r="G76" s="19">
        <f>IFERROR(__xludf.DUMMYFUNCTION("""COMPUTED_VALUE"""),0.8999999999999999)</f>
        <v>0.9</v>
      </c>
      <c r="H76" s="17">
        <f>IFERROR(__xludf.DUMMYFUNCTION("""COMPUTED_VALUE"""),45601.0)</f>
        <v>45601</v>
      </c>
      <c r="I76" s="19">
        <f>IFERROR(__xludf.DUMMYFUNCTION("""COMPUTED_VALUE"""),0.0)</f>
        <v>0</v>
      </c>
      <c r="J76" s="21">
        <f>IFERROR(__xludf.DUMMYFUNCTION("""COMPUTED_VALUE"""),61.0)</f>
        <v>61</v>
      </c>
      <c r="K76" s="23">
        <f>IFERROR(__xludf.DUMMYFUNCTION("""COMPUTED_VALUE"""),7.1)</f>
        <v>7.1</v>
      </c>
      <c r="L76" s="24"/>
      <c r="M76" s="25" t="str">
        <f>IFERROR(__xludf.DUMMYFUNCTION("""COMPUTED_VALUE"""),"Party")</f>
        <v>Party</v>
      </c>
      <c r="N76" s="25"/>
      <c r="O76" s="26" t="str">
        <f>IFERROR(__xludf.DUMMYFUNCTION("""COMPUTED_VALUE"""),"No")</f>
        <v>No</v>
      </c>
      <c r="P76" s="26"/>
    </row>
    <row r="77">
      <c r="A77" s="13" t="str">
        <f>IFERROR(__xludf.DUMMYFUNCTION("""COMPUTED_VALUE"""),"Dead Space (2023)")</f>
        <v>Dead Space (2023)</v>
      </c>
      <c r="B77" s="15" t="str">
        <f>IFERROR(__xludf.DUMMYFUNCTION("""COMPUTED_VALUE"""),"PS5")</f>
        <v>PS5</v>
      </c>
      <c r="C77" s="16" t="str">
        <f>IFERROR(__xludf.DUMMYFUNCTION("""COMPUTED_VALUE"""),"Essential")</f>
        <v>Essential</v>
      </c>
      <c r="D77" s="15" t="str">
        <f>IFERROR(__xludf.DUMMYFUNCTION("""COMPUTED_VALUE"""),"Removed")</f>
        <v>Removed</v>
      </c>
      <c r="E77" s="17">
        <f>IFERROR(__xludf.DUMMYFUNCTION("""COMPUTED_VALUE"""),45566.0)</f>
        <v>45566</v>
      </c>
      <c r="F77" s="54">
        <f>IFERROR(__xludf.DUMMYFUNCTION("""COMPUTED_VALUE"""),45600.0)</f>
        <v>45600</v>
      </c>
      <c r="G77" s="19">
        <f>IFERROR(__xludf.DUMMYFUNCTION("""COMPUTED_VALUE"""),1.0999999999999999)</f>
        <v>1.1</v>
      </c>
      <c r="H77" s="17">
        <f>IFERROR(__xludf.DUMMYFUNCTION("""COMPUTED_VALUE"""),44953.0)</f>
        <v>44953</v>
      </c>
      <c r="I77" s="19">
        <f>IFERROR(__xludf.DUMMYFUNCTION("""COMPUTED_VALUE"""),1.6777777777777778)</f>
        <v>1.677777778</v>
      </c>
      <c r="J77" s="21">
        <f>IFERROR(__xludf.DUMMYFUNCTION("""COMPUTED_VALUE"""),89.0)</f>
        <v>89</v>
      </c>
      <c r="K77" s="23">
        <f>IFERROR(__xludf.DUMMYFUNCTION("""COMPUTED_VALUE"""),8.4)</f>
        <v>8.4</v>
      </c>
      <c r="L77" s="24">
        <f>IFERROR(__xludf.DUMMYFUNCTION("""COMPUTED_VALUE"""),12.0)</f>
        <v>12</v>
      </c>
      <c r="M77" s="25" t="str">
        <f>IFERROR(__xludf.DUMMYFUNCTION("""COMPUTED_VALUE"""),"Survival")</f>
        <v>Survival</v>
      </c>
      <c r="N77" s="25"/>
      <c r="O77" s="26" t="str">
        <f>IFERROR(__xludf.DUMMYFUNCTION("""COMPUTED_VALUE"""),"No")</f>
        <v>No</v>
      </c>
      <c r="P77" s="26"/>
    </row>
    <row r="78">
      <c r="A78" s="13" t="str">
        <f>IFERROR(__xludf.DUMMYFUNCTION("""COMPUTED_VALUE"""),"Doki Doki Literature Club Plus!")</f>
        <v>Doki Doki Literature Club Plus!</v>
      </c>
      <c r="B78" s="15" t="str">
        <f>IFERROR(__xludf.DUMMYFUNCTION("""COMPUTED_VALUE"""),"PS5/PS4")</f>
        <v>PS5/PS4</v>
      </c>
      <c r="C78" s="16" t="str">
        <f>IFERROR(__xludf.DUMMYFUNCTION("""COMPUTED_VALUE"""),"Essential")</f>
        <v>Essential</v>
      </c>
      <c r="D78" s="15" t="str">
        <f>IFERROR(__xludf.DUMMYFUNCTION("""COMPUTED_VALUE"""),"Removed")</f>
        <v>Removed</v>
      </c>
      <c r="E78" s="17">
        <f>IFERROR(__xludf.DUMMYFUNCTION("""COMPUTED_VALUE"""),45566.0)</f>
        <v>45566</v>
      </c>
      <c r="F78" s="54">
        <f>IFERROR(__xludf.DUMMYFUNCTION("""COMPUTED_VALUE"""),45600.0)</f>
        <v>45600</v>
      </c>
      <c r="G78" s="19">
        <f>IFERROR(__xludf.DUMMYFUNCTION("""COMPUTED_VALUE"""),1.0999999999999999)</f>
        <v>1.1</v>
      </c>
      <c r="H78" s="17">
        <f>IFERROR(__xludf.DUMMYFUNCTION("""COMPUTED_VALUE"""),44377.0)</f>
        <v>44377</v>
      </c>
      <c r="I78" s="19">
        <f>IFERROR(__xludf.DUMMYFUNCTION("""COMPUTED_VALUE"""),3.2527777777777778)</f>
        <v>3.252777778</v>
      </c>
      <c r="J78" s="21">
        <f>IFERROR(__xludf.DUMMYFUNCTION("""COMPUTED_VALUE"""),85.0)</f>
        <v>85</v>
      </c>
      <c r="K78" s="23">
        <f>IFERROR(__xludf.DUMMYFUNCTION("""COMPUTED_VALUE"""),8.1)</f>
        <v>8.1</v>
      </c>
      <c r="L78" s="24">
        <f>IFERROR(__xludf.DUMMYFUNCTION("""COMPUTED_VALUE"""),5.0)</f>
        <v>5</v>
      </c>
      <c r="M78" s="25" t="str">
        <f>IFERROR(__xludf.DUMMYFUNCTION("""COMPUTED_VALUE"""),"Visual Novel")</f>
        <v>Visual Novel</v>
      </c>
      <c r="N78" s="25"/>
      <c r="O78" s="26" t="str">
        <f>IFERROR(__xludf.DUMMYFUNCTION("""COMPUTED_VALUE"""),"No")</f>
        <v>No</v>
      </c>
      <c r="P78" s="26"/>
    </row>
    <row r="79">
      <c r="A79" s="13" t="str">
        <f>IFERROR(__xludf.DUMMYFUNCTION("""COMPUTED_VALUE"""),"WWE 2K24")</f>
        <v>WWE 2K24</v>
      </c>
      <c r="B79" s="15" t="str">
        <f>IFERROR(__xludf.DUMMYFUNCTION("""COMPUTED_VALUE"""),"PS5")</f>
        <v>PS5</v>
      </c>
      <c r="C79" s="16" t="str">
        <f>IFERROR(__xludf.DUMMYFUNCTION("""COMPUTED_VALUE"""),"Essential")</f>
        <v>Essential</v>
      </c>
      <c r="D79" s="15" t="str">
        <f>IFERROR(__xludf.DUMMYFUNCTION("""COMPUTED_VALUE"""),"Removed")</f>
        <v>Removed</v>
      </c>
      <c r="E79" s="17">
        <f>IFERROR(__xludf.DUMMYFUNCTION("""COMPUTED_VALUE"""),45566.0)</f>
        <v>45566</v>
      </c>
      <c r="F79" s="54">
        <f>IFERROR(__xludf.DUMMYFUNCTION("""COMPUTED_VALUE"""),45600.0)</f>
        <v>45600</v>
      </c>
      <c r="G79" s="19">
        <f>IFERROR(__xludf.DUMMYFUNCTION("""COMPUTED_VALUE"""),1.0999999999999999)</f>
        <v>1.1</v>
      </c>
      <c r="H79" s="17">
        <f>IFERROR(__xludf.DUMMYFUNCTION("""COMPUTED_VALUE"""),45359.0)</f>
        <v>45359</v>
      </c>
      <c r="I79" s="19">
        <f>IFERROR(__xludf.DUMMYFUNCTION("""COMPUTED_VALUE"""),0.5638888888888889)</f>
        <v>0.5638888889</v>
      </c>
      <c r="J79" s="21">
        <f>IFERROR(__xludf.DUMMYFUNCTION("""COMPUTED_VALUE"""),81.0)</f>
        <v>81</v>
      </c>
      <c r="K79" s="23">
        <f>IFERROR(__xludf.DUMMYFUNCTION("""COMPUTED_VALUE"""),6.8)</f>
        <v>6.8</v>
      </c>
      <c r="L79" s="24">
        <f>IFERROR(__xludf.DUMMYFUNCTION("""COMPUTED_VALUE"""),8.0)</f>
        <v>8</v>
      </c>
      <c r="M79" s="25" t="str">
        <f>IFERROR(__xludf.DUMMYFUNCTION("""COMPUTED_VALUE"""),"Fighting")</f>
        <v>Fighting</v>
      </c>
      <c r="N79" s="25"/>
      <c r="O79" s="26" t="str">
        <f>IFERROR(__xludf.DUMMYFUNCTION("""COMPUTED_VALUE"""),"No")</f>
        <v>No</v>
      </c>
      <c r="P79" s="26"/>
    </row>
    <row r="80">
      <c r="A80" s="13" t="str">
        <f>IFERROR(__xludf.DUMMYFUNCTION("""COMPUTED_VALUE"""),"MLB The Show 24")</f>
        <v>MLB The Show 24</v>
      </c>
      <c r="B80" s="15" t="str">
        <f>IFERROR(__xludf.DUMMYFUNCTION("""COMPUTED_VALUE"""),"PS5/PS4")</f>
        <v>PS5/PS4</v>
      </c>
      <c r="C80" s="16" t="str">
        <f>IFERROR(__xludf.DUMMYFUNCTION("""COMPUTED_VALUE"""),"Essential")</f>
        <v>Essential</v>
      </c>
      <c r="D80" s="15" t="str">
        <f>IFERROR(__xludf.DUMMYFUNCTION("""COMPUTED_VALUE"""),"Removed")</f>
        <v>Removed</v>
      </c>
      <c r="E80" s="17">
        <f>IFERROR(__xludf.DUMMYFUNCTION("""COMPUTED_VALUE"""),45538.0)</f>
        <v>45538</v>
      </c>
      <c r="F80" s="54">
        <f>IFERROR(__xludf.DUMMYFUNCTION("""COMPUTED_VALUE"""),45565.0)</f>
        <v>45565</v>
      </c>
      <c r="G80" s="19">
        <f>IFERROR(__xludf.DUMMYFUNCTION("""COMPUTED_VALUE"""),0.8999999999999999)</f>
        <v>0.9</v>
      </c>
      <c r="H80" s="17">
        <f>IFERROR(__xludf.DUMMYFUNCTION("""COMPUTED_VALUE"""),45370.0)</f>
        <v>45370</v>
      </c>
      <c r="I80" s="19">
        <f>IFERROR(__xludf.DUMMYFUNCTION("""COMPUTED_VALUE"""),0.45555555555555555)</f>
        <v>0.4555555556</v>
      </c>
      <c r="J80" s="21">
        <f>IFERROR(__xludf.DUMMYFUNCTION("""COMPUTED_VALUE"""),80.0)</f>
        <v>80</v>
      </c>
      <c r="K80" s="23">
        <f>IFERROR(__xludf.DUMMYFUNCTION("""COMPUTED_VALUE"""),4.1)</f>
        <v>4.1</v>
      </c>
      <c r="L80" s="24">
        <f>IFERROR(__xludf.DUMMYFUNCTION("""COMPUTED_VALUE"""),14.0)</f>
        <v>14</v>
      </c>
      <c r="M80" s="25" t="str">
        <f>IFERROR(__xludf.DUMMYFUNCTION("""COMPUTED_VALUE"""),"Sports")</f>
        <v>Sports</v>
      </c>
      <c r="N80" s="25"/>
      <c r="O80" s="26" t="str">
        <f>IFERROR(__xludf.DUMMYFUNCTION("""COMPUTED_VALUE"""),"No")</f>
        <v>No</v>
      </c>
      <c r="P80" s="26"/>
    </row>
    <row r="81">
      <c r="A81" s="13" t="str">
        <f>IFERROR(__xludf.DUMMYFUNCTION("""COMPUTED_VALUE"""),"Little Nightmares II")</f>
        <v>Little Nightmares II</v>
      </c>
      <c r="B81" s="15" t="str">
        <f>IFERROR(__xludf.DUMMYFUNCTION("""COMPUTED_VALUE"""),"PS5/PS4")</f>
        <v>PS5/PS4</v>
      </c>
      <c r="C81" s="16" t="str">
        <f>IFERROR(__xludf.DUMMYFUNCTION("""COMPUTED_VALUE"""),"Essential")</f>
        <v>Essential</v>
      </c>
      <c r="D81" s="15" t="str">
        <f>IFERROR(__xludf.DUMMYFUNCTION("""COMPUTED_VALUE"""),"Removed")</f>
        <v>Removed</v>
      </c>
      <c r="E81" s="17">
        <f>IFERROR(__xludf.DUMMYFUNCTION("""COMPUTED_VALUE"""),45538.0)</f>
        <v>45538</v>
      </c>
      <c r="F81" s="54">
        <f>IFERROR(__xludf.DUMMYFUNCTION("""COMPUTED_VALUE"""),45565.0)</f>
        <v>45565</v>
      </c>
      <c r="G81" s="19">
        <f>IFERROR(__xludf.DUMMYFUNCTION("""COMPUTED_VALUE"""),0.8999999999999999)</f>
        <v>0.9</v>
      </c>
      <c r="H81" s="17">
        <f>IFERROR(__xludf.DUMMYFUNCTION("""COMPUTED_VALUE"""),44238.0)</f>
        <v>44238</v>
      </c>
      <c r="I81" s="19">
        <f>IFERROR(__xludf.DUMMYFUNCTION("""COMPUTED_VALUE"""),3.561111111111111)</f>
        <v>3.561111111</v>
      </c>
      <c r="J81" s="21">
        <f>IFERROR(__xludf.DUMMYFUNCTION("""COMPUTED_VALUE"""),82.0)</f>
        <v>82</v>
      </c>
      <c r="K81" s="23">
        <f>IFERROR(__xludf.DUMMYFUNCTION("""COMPUTED_VALUE"""),8.5)</f>
        <v>8.5</v>
      </c>
      <c r="L81" s="24">
        <f>IFERROR(__xludf.DUMMYFUNCTION("""COMPUTED_VALUE"""),6.0)</f>
        <v>6</v>
      </c>
      <c r="M81" s="25" t="str">
        <f>IFERROR(__xludf.DUMMYFUNCTION("""COMPUTED_VALUE"""),"Action-Adventure")</f>
        <v>Action-Adventure</v>
      </c>
      <c r="N81" s="25"/>
      <c r="O81" s="26" t="str">
        <f>IFERROR(__xludf.DUMMYFUNCTION("""COMPUTED_VALUE"""),"No")</f>
        <v>No</v>
      </c>
      <c r="P81" s="26"/>
    </row>
    <row r="82">
      <c r="A82" s="13" t="str">
        <f>IFERROR(__xludf.DUMMYFUNCTION("""COMPUTED_VALUE"""),"Harry Potter: Quidditch Champions")</f>
        <v>Harry Potter: Quidditch Champions</v>
      </c>
      <c r="B82" s="15" t="str">
        <f>IFERROR(__xludf.DUMMYFUNCTION("""COMPUTED_VALUE"""),"PS5/PS4")</f>
        <v>PS5/PS4</v>
      </c>
      <c r="C82" s="16" t="str">
        <f>IFERROR(__xludf.DUMMYFUNCTION("""COMPUTED_VALUE"""),"Essential")</f>
        <v>Essential</v>
      </c>
      <c r="D82" s="15" t="str">
        <f>IFERROR(__xludf.DUMMYFUNCTION("""COMPUTED_VALUE"""),"Removed")</f>
        <v>Removed</v>
      </c>
      <c r="E82" s="17">
        <f>IFERROR(__xludf.DUMMYFUNCTION("""COMPUTED_VALUE"""),45538.0)</f>
        <v>45538</v>
      </c>
      <c r="F82" s="54">
        <f>IFERROR(__xludf.DUMMYFUNCTION("""COMPUTED_VALUE"""),45565.0)</f>
        <v>45565</v>
      </c>
      <c r="G82" s="19">
        <f>IFERROR(__xludf.DUMMYFUNCTION("""COMPUTED_VALUE"""),0.8999999999999999)</f>
        <v>0.9</v>
      </c>
      <c r="H82" s="17">
        <f>IFERROR(__xludf.DUMMYFUNCTION("""COMPUTED_VALUE"""),45538.0)</f>
        <v>45538</v>
      </c>
      <c r="I82" s="19">
        <f>IFERROR(__xludf.DUMMYFUNCTION("""COMPUTED_VALUE"""),0.0)</f>
        <v>0</v>
      </c>
      <c r="J82" s="21">
        <f>IFERROR(__xludf.DUMMYFUNCTION("""COMPUTED_VALUE"""),68.0)</f>
        <v>68</v>
      </c>
      <c r="K82" s="23">
        <f>IFERROR(__xludf.DUMMYFUNCTION("""COMPUTED_VALUE"""),6.8)</f>
        <v>6.8</v>
      </c>
      <c r="L82" s="24"/>
      <c r="M82" s="25" t="str">
        <f>IFERROR(__xludf.DUMMYFUNCTION("""COMPUTED_VALUE"""),"Sports")</f>
        <v>Sports</v>
      </c>
      <c r="N82" s="25"/>
      <c r="O82" s="26" t="str">
        <f>IFERROR(__xludf.DUMMYFUNCTION("""COMPUTED_VALUE"""),"No")</f>
        <v>No</v>
      </c>
      <c r="P82" s="26"/>
    </row>
    <row r="83">
      <c r="A83" s="13" t="str">
        <f>IFERROR(__xludf.DUMMYFUNCTION("""COMPUTED_VALUE"""),"LEGO Star Wars: The Skywalker Saga")</f>
        <v>LEGO Star Wars: The Skywalker Saga</v>
      </c>
      <c r="B83" s="15" t="str">
        <f>IFERROR(__xludf.DUMMYFUNCTION("""COMPUTED_VALUE"""),"PS5/PS4")</f>
        <v>PS5/PS4</v>
      </c>
      <c r="C83" s="16" t="str">
        <f>IFERROR(__xludf.DUMMYFUNCTION("""COMPUTED_VALUE"""),"Essential")</f>
        <v>Essential</v>
      </c>
      <c r="D83" s="15" t="str">
        <f>IFERROR(__xludf.DUMMYFUNCTION("""COMPUTED_VALUE"""),"Removed")</f>
        <v>Removed</v>
      </c>
      <c r="E83" s="17">
        <f>IFERROR(__xludf.DUMMYFUNCTION("""COMPUTED_VALUE"""),45510.0)</f>
        <v>45510</v>
      </c>
      <c r="F83" s="54">
        <f>IFERROR(__xludf.DUMMYFUNCTION("""COMPUTED_VALUE"""),45537.0)</f>
        <v>45537</v>
      </c>
      <c r="G83" s="19">
        <f>IFERROR(__xludf.DUMMYFUNCTION("""COMPUTED_VALUE"""),0.8666666666666666)</f>
        <v>0.8666666667</v>
      </c>
      <c r="H83" s="17">
        <f>IFERROR(__xludf.DUMMYFUNCTION("""COMPUTED_VALUE"""),44656.0)</f>
        <v>44656</v>
      </c>
      <c r="I83" s="19">
        <f>IFERROR(__xludf.DUMMYFUNCTION("""COMPUTED_VALUE"""),2.3361111111111112)</f>
        <v>2.336111111</v>
      </c>
      <c r="J83" s="21">
        <f>IFERROR(__xludf.DUMMYFUNCTION("""COMPUTED_VALUE"""),82.0)</f>
        <v>82</v>
      </c>
      <c r="K83" s="23">
        <f>IFERROR(__xludf.DUMMYFUNCTION("""COMPUTED_VALUE"""),7.9)</f>
        <v>7.9</v>
      </c>
      <c r="L83" s="24">
        <f>IFERROR(__xludf.DUMMYFUNCTION("""COMPUTED_VALUE"""),17.0)</f>
        <v>17</v>
      </c>
      <c r="M83" s="25" t="str">
        <f>IFERROR(__xludf.DUMMYFUNCTION("""COMPUTED_VALUE"""),"Action-Adventure")</f>
        <v>Action-Adventure</v>
      </c>
      <c r="N83" s="25"/>
      <c r="O83" s="26" t="str">
        <f>IFERROR(__xludf.DUMMYFUNCTION("""COMPUTED_VALUE"""),"No")</f>
        <v>No</v>
      </c>
      <c r="P83" s="26"/>
    </row>
    <row r="84">
      <c r="A84" s="13" t="str">
        <f>IFERROR(__xludf.DUMMYFUNCTION("""COMPUTED_VALUE"""),"Five Nights at Freddy's: Security Breach")</f>
        <v>Five Nights at Freddy's: Security Breach</v>
      </c>
      <c r="B84" s="15" t="str">
        <f>IFERROR(__xludf.DUMMYFUNCTION("""COMPUTED_VALUE"""),"PS5/PS4")</f>
        <v>PS5/PS4</v>
      </c>
      <c r="C84" s="16" t="str">
        <f>IFERROR(__xludf.DUMMYFUNCTION("""COMPUTED_VALUE"""),"Essential")</f>
        <v>Essential</v>
      </c>
      <c r="D84" s="15" t="str">
        <f>IFERROR(__xludf.DUMMYFUNCTION("""COMPUTED_VALUE"""),"Removed")</f>
        <v>Removed</v>
      </c>
      <c r="E84" s="17">
        <f>IFERROR(__xludf.DUMMYFUNCTION("""COMPUTED_VALUE"""),45510.0)</f>
        <v>45510</v>
      </c>
      <c r="F84" s="54">
        <f>IFERROR(__xludf.DUMMYFUNCTION("""COMPUTED_VALUE"""),45537.0)</f>
        <v>45537</v>
      </c>
      <c r="G84" s="19">
        <f>IFERROR(__xludf.DUMMYFUNCTION("""COMPUTED_VALUE"""),0.8666666666666666)</f>
        <v>0.8666666667</v>
      </c>
      <c r="H84" s="17">
        <f>IFERROR(__xludf.DUMMYFUNCTION("""COMPUTED_VALUE"""),44546.0)</f>
        <v>44546</v>
      </c>
      <c r="I84" s="19">
        <f>IFERROR(__xludf.DUMMYFUNCTION("""COMPUTED_VALUE"""),2.638888888888889)</f>
        <v>2.638888889</v>
      </c>
      <c r="J84" s="21">
        <f>IFERROR(__xludf.DUMMYFUNCTION("""COMPUTED_VALUE"""),64.0)</f>
        <v>64</v>
      </c>
      <c r="K84" s="23">
        <f>IFERROR(__xludf.DUMMYFUNCTION("""COMPUTED_VALUE"""),5.8)</f>
        <v>5.8</v>
      </c>
      <c r="L84" s="24">
        <f>IFERROR(__xludf.DUMMYFUNCTION("""COMPUTED_VALUE"""),10.0)</f>
        <v>10</v>
      </c>
      <c r="M84" s="25" t="str">
        <f>IFERROR(__xludf.DUMMYFUNCTION("""COMPUTED_VALUE"""),"Survival")</f>
        <v>Survival</v>
      </c>
      <c r="N84" s="25"/>
      <c r="O84" s="26" t="str">
        <f>IFERROR(__xludf.DUMMYFUNCTION("""COMPUTED_VALUE"""),"No")</f>
        <v>No</v>
      </c>
      <c r="P84" s="26"/>
    </row>
    <row r="85">
      <c r="A85" s="13" t="str">
        <f>IFERROR(__xludf.DUMMYFUNCTION("""COMPUTED_VALUE"""),"ENDER LILIES: Quietus of the Knights")</f>
        <v>ENDER LILIES: Quietus of the Knights</v>
      </c>
      <c r="B85" s="15" t="str">
        <f>IFERROR(__xludf.DUMMYFUNCTION("""COMPUTED_VALUE"""),"PS4")</f>
        <v>PS4</v>
      </c>
      <c r="C85" s="16" t="str">
        <f>IFERROR(__xludf.DUMMYFUNCTION("""COMPUTED_VALUE"""),"Essential")</f>
        <v>Essential</v>
      </c>
      <c r="D85" s="15" t="str">
        <f>IFERROR(__xludf.DUMMYFUNCTION("""COMPUTED_VALUE"""),"Removed")</f>
        <v>Removed</v>
      </c>
      <c r="E85" s="17">
        <f>IFERROR(__xludf.DUMMYFUNCTION("""COMPUTED_VALUE"""),45510.0)</f>
        <v>45510</v>
      </c>
      <c r="F85" s="54">
        <f>IFERROR(__xludf.DUMMYFUNCTION("""COMPUTED_VALUE"""),45537.0)</f>
        <v>45537</v>
      </c>
      <c r="G85" s="19">
        <f>IFERROR(__xludf.DUMMYFUNCTION("""COMPUTED_VALUE"""),0.8666666666666666)</f>
        <v>0.8666666667</v>
      </c>
      <c r="H85" s="17">
        <f>IFERROR(__xludf.DUMMYFUNCTION("""COMPUTED_VALUE"""),44369.0)</f>
        <v>44369</v>
      </c>
      <c r="I85" s="19">
        <f>IFERROR(__xludf.DUMMYFUNCTION("""COMPUTED_VALUE"""),3.1222222222222222)</f>
        <v>3.122222222</v>
      </c>
      <c r="J85" s="21">
        <f>IFERROR(__xludf.DUMMYFUNCTION("""COMPUTED_VALUE"""),86.0)</f>
        <v>86</v>
      </c>
      <c r="K85" s="23">
        <f>IFERROR(__xludf.DUMMYFUNCTION("""COMPUTED_VALUE"""),8.4)</f>
        <v>8.4</v>
      </c>
      <c r="L85" s="24">
        <f>IFERROR(__xludf.DUMMYFUNCTION("""COMPUTED_VALUE"""),13.0)</f>
        <v>13</v>
      </c>
      <c r="M85" s="25" t="str">
        <f>IFERROR(__xludf.DUMMYFUNCTION("""COMPUTED_VALUE"""),"Metroidvania")</f>
        <v>Metroidvania</v>
      </c>
      <c r="N85" s="25"/>
      <c r="O85" s="26" t="str">
        <f>IFERROR(__xludf.DUMMYFUNCTION("""COMPUTED_VALUE"""),"No")</f>
        <v>No</v>
      </c>
      <c r="P85" s="26"/>
    </row>
    <row r="86">
      <c r="A86" s="13" t="str">
        <f>IFERROR(__xludf.DUMMYFUNCTION("""COMPUTED_VALUE"""),"Among Us")</f>
        <v>Among Us</v>
      </c>
      <c r="B86" s="15" t="str">
        <f>IFERROR(__xludf.DUMMYFUNCTION("""COMPUTED_VALUE"""),"PS5/PS4")</f>
        <v>PS5/PS4</v>
      </c>
      <c r="C86" s="16" t="str">
        <f>IFERROR(__xludf.DUMMYFUNCTION("""COMPUTED_VALUE"""),"Essential")</f>
        <v>Essential</v>
      </c>
      <c r="D86" s="15" t="str">
        <f>IFERROR(__xludf.DUMMYFUNCTION("""COMPUTED_VALUE"""),"Removed")</f>
        <v>Removed</v>
      </c>
      <c r="E86" s="17">
        <f>IFERROR(__xludf.DUMMYFUNCTION("""COMPUTED_VALUE"""),45475.0)</f>
        <v>45475</v>
      </c>
      <c r="F86" s="54">
        <f>IFERROR(__xludf.DUMMYFUNCTION("""COMPUTED_VALUE"""),45509.0)</f>
        <v>45509</v>
      </c>
      <c r="G86" s="19">
        <f>IFERROR(__xludf.DUMMYFUNCTION("""COMPUTED_VALUE"""),1.0999999999999999)</f>
        <v>1.1</v>
      </c>
      <c r="H86" s="17">
        <f>IFERROR(__xludf.DUMMYFUNCTION("""COMPUTED_VALUE"""),43420.0)</f>
        <v>43420</v>
      </c>
      <c r="I86" s="19">
        <f>IFERROR(__xludf.DUMMYFUNCTION("""COMPUTED_VALUE"""),5.627777777777778)</f>
        <v>5.627777778</v>
      </c>
      <c r="J86" s="21">
        <f>IFERROR(__xludf.DUMMYFUNCTION("""COMPUTED_VALUE"""),85.0)</f>
        <v>85</v>
      </c>
      <c r="K86" s="23">
        <f>IFERROR(__xludf.DUMMYFUNCTION("""COMPUTED_VALUE"""),6.8)</f>
        <v>6.8</v>
      </c>
      <c r="L86" s="24">
        <f>IFERROR(__xludf.DUMMYFUNCTION("""COMPUTED_VALUE"""),19.0)</f>
        <v>19</v>
      </c>
      <c r="M86" s="25" t="str">
        <f>IFERROR(__xludf.DUMMYFUNCTION("""COMPUTED_VALUE"""),"Survival")</f>
        <v>Survival</v>
      </c>
      <c r="N86" s="25"/>
      <c r="O86" s="26" t="str">
        <f>IFERROR(__xludf.DUMMYFUNCTION("""COMPUTED_VALUE"""),"No")</f>
        <v>No</v>
      </c>
      <c r="P86" s="26"/>
    </row>
    <row r="87">
      <c r="A87" s="13" t="str">
        <f>IFERROR(__xludf.DUMMYFUNCTION("""COMPUTED_VALUE"""),"Borderlands 3")</f>
        <v>Borderlands 3</v>
      </c>
      <c r="B87" s="15" t="str">
        <f>IFERROR(__xludf.DUMMYFUNCTION("""COMPUTED_VALUE"""),"PS5/PS4")</f>
        <v>PS5/PS4</v>
      </c>
      <c r="C87" s="16" t="str">
        <f>IFERROR(__xludf.DUMMYFUNCTION("""COMPUTED_VALUE"""),"Essential")</f>
        <v>Essential</v>
      </c>
      <c r="D87" s="15" t="str">
        <f>IFERROR(__xludf.DUMMYFUNCTION("""COMPUTED_VALUE"""),"Removed")</f>
        <v>Removed</v>
      </c>
      <c r="E87" s="17">
        <f>IFERROR(__xludf.DUMMYFUNCTION("""COMPUTED_VALUE"""),45475.0)</f>
        <v>45475</v>
      </c>
      <c r="F87" s="54">
        <f>IFERROR(__xludf.DUMMYFUNCTION("""COMPUTED_VALUE"""),45509.0)</f>
        <v>45509</v>
      </c>
      <c r="G87" s="19">
        <f>IFERROR(__xludf.DUMMYFUNCTION("""COMPUTED_VALUE"""),1.0999999999999999)</f>
        <v>1.1</v>
      </c>
      <c r="H87" s="17">
        <f>IFERROR(__xludf.DUMMYFUNCTION("""COMPUTED_VALUE"""),43721.0)</f>
        <v>43721</v>
      </c>
      <c r="I87" s="19">
        <f>IFERROR(__xludf.DUMMYFUNCTION("""COMPUTED_VALUE"""),4.802777777777778)</f>
        <v>4.802777778</v>
      </c>
      <c r="J87" s="21">
        <f>IFERROR(__xludf.DUMMYFUNCTION("""COMPUTED_VALUE"""),81.0)</f>
        <v>81</v>
      </c>
      <c r="K87" s="23">
        <f>IFERROR(__xludf.DUMMYFUNCTION("""COMPUTED_VALUE"""),5.6)</f>
        <v>5.6</v>
      </c>
      <c r="L87" s="24">
        <f>IFERROR(__xludf.DUMMYFUNCTION("""COMPUTED_VALUE"""),23.0)</f>
        <v>23</v>
      </c>
      <c r="M87" s="25" t="str">
        <f>IFERROR(__xludf.DUMMYFUNCTION("""COMPUTED_VALUE"""),"Shooter")</f>
        <v>Shooter</v>
      </c>
      <c r="N87" s="25"/>
      <c r="O87" s="26" t="str">
        <f>IFERROR(__xludf.DUMMYFUNCTION("""COMPUTED_VALUE"""),"No")</f>
        <v>No</v>
      </c>
      <c r="P87" s="26"/>
    </row>
    <row r="88">
      <c r="A88" s="13" t="str">
        <f>IFERROR(__xludf.DUMMYFUNCTION("""COMPUTED_VALUE"""),"NHL 24")</f>
        <v>NHL 24</v>
      </c>
      <c r="B88" s="15" t="str">
        <f>IFERROR(__xludf.DUMMYFUNCTION("""COMPUTED_VALUE"""),"PS5/PS4")</f>
        <v>PS5/PS4</v>
      </c>
      <c r="C88" s="16" t="str">
        <f>IFERROR(__xludf.DUMMYFUNCTION("""COMPUTED_VALUE"""),"Essential")</f>
        <v>Essential</v>
      </c>
      <c r="D88" s="15" t="str">
        <f>IFERROR(__xludf.DUMMYFUNCTION("""COMPUTED_VALUE"""),"Removed")</f>
        <v>Removed</v>
      </c>
      <c r="E88" s="17">
        <f>IFERROR(__xludf.DUMMYFUNCTION("""COMPUTED_VALUE"""),45475.0)</f>
        <v>45475</v>
      </c>
      <c r="F88" s="54">
        <f>IFERROR(__xludf.DUMMYFUNCTION("""COMPUTED_VALUE"""),45509.0)</f>
        <v>45509</v>
      </c>
      <c r="G88" s="19">
        <f>IFERROR(__xludf.DUMMYFUNCTION("""COMPUTED_VALUE"""),1.0999999999999999)</f>
        <v>1.1</v>
      </c>
      <c r="H88" s="17">
        <f>IFERROR(__xludf.DUMMYFUNCTION("""COMPUTED_VALUE"""),45205.0)</f>
        <v>45205</v>
      </c>
      <c r="I88" s="19">
        <f>IFERROR(__xludf.DUMMYFUNCTION("""COMPUTED_VALUE"""),0.7388888888888889)</f>
        <v>0.7388888889</v>
      </c>
      <c r="J88" s="21">
        <f>IFERROR(__xludf.DUMMYFUNCTION("""COMPUTED_VALUE"""),71.0)</f>
        <v>71</v>
      </c>
      <c r="K88" s="23">
        <f>IFERROR(__xludf.DUMMYFUNCTION("""COMPUTED_VALUE"""),3.5)</f>
        <v>3.5</v>
      </c>
      <c r="L88" s="24">
        <f>IFERROR(__xludf.DUMMYFUNCTION("""COMPUTED_VALUE"""),9.0)</f>
        <v>9</v>
      </c>
      <c r="M88" s="25" t="str">
        <f>IFERROR(__xludf.DUMMYFUNCTION("""COMPUTED_VALUE"""),"Sports")</f>
        <v>Sports</v>
      </c>
      <c r="N88" s="25"/>
      <c r="O88" s="26" t="str">
        <f>IFERROR(__xludf.DUMMYFUNCTION("""COMPUTED_VALUE"""),"No")</f>
        <v>No</v>
      </c>
      <c r="P88" s="26"/>
    </row>
    <row r="89">
      <c r="A89" s="13" t="str">
        <f>IFERROR(__xludf.DUMMYFUNCTION("""COMPUTED_VALUE"""),"SpongeBob Squarepants: The Cosmic Shake")</f>
        <v>SpongeBob Squarepants: The Cosmic Shake</v>
      </c>
      <c r="B89" s="15" t="str">
        <f>IFERROR(__xludf.DUMMYFUNCTION("""COMPUTED_VALUE"""),"PS4")</f>
        <v>PS4</v>
      </c>
      <c r="C89" s="16" t="str">
        <f>IFERROR(__xludf.DUMMYFUNCTION("""COMPUTED_VALUE"""),"Essential")</f>
        <v>Essential</v>
      </c>
      <c r="D89" s="15" t="str">
        <f>IFERROR(__xludf.DUMMYFUNCTION("""COMPUTED_VALUE"""),"Removed")</f>
        <v>Removed</v>
      </c>
      <c r="E89" s="17">
        <f>IFERROR(__xludf.DUMMYFUNCTION("""COMPUTED_VALUE"""),45447.0)</f>
        <v>45447</v>
      </c>
      <c r="F89" s="54">
        <f>IFERROR(__xludf.DUMMYFUNCTION("""COMPUTED_VALUE"""),45474.0)</f>
        <v>45474</v>
      </c>
      <c r="G89" s="19">
        <f>IFERROR(__xludf.DUMMYFUNCTION("""COMPUTED_VALUE"""),0.8999999999999999)</f>
        <v>0.9</v>
      </c>
      <c r="H89" s="17">
        <f>IFERROR(__xludf.DUMMYFUNCTION("""COMPUTED_VALUE"""),44957.0)</f>
        <v>44957</v>
      </c>
      <c r="I89" s="19">
        <f>IFERROR(__xludf.DUMMYFUNCTION("""COMPUTED_VALUE"""),1.3444444444444446)</f>
        <v>1.344444444</v>
      </c>
      <c r="J89" s="21">
        <f>IFERROR(__xludf.DUMMYFUNCTION("""COMPUTED_VALUE"""),70.0)</f>
        <v>70</v>
      </c>
      <c r="K89" s="23">
        <f>IFERROR(__xludf.DUMMYFUNCTION("""COMPUTED_VALUE"""),8.3)</f>
        <v>8.3</v>
      </c>
      <c r="L89" s="24">
        <f>IFERROR(__xludf.DUMMYFUNCTION("""COMPUTED_VALUE"""),7.0)</f>
        <v>7</v>
      </c>
      <c r="M89" s="25" t="str">
        <f>IFERROR(__xludf.DUMMYFUNCTION("""COMPUTED_VALUE"""),"Platformer")</f>
        <v>Platformer</v>
      </c>
      <c r="N89" s="25"/>
      <c r="O89" s="26" t="str">
        <f>IFERROR(__xludf.DUMMYFUNCTION("""COMPUTED_VALUE"""),"No")</f>
        <v>No</v>
      </c>
      <c r="P89" s="26"/>
    </row>
    <row r="90">
      <c r="A90" s="13" t="str">
        <f>IFERROR(__xludf.DUMMYFUNCTION("""COMPUTED_VALUE"""),"AEW: Fight Forever")</f>
        <v>AEW: Fight Forever</v>
      </c>
      <c r="B90" s="15" t="str">
        <f>IFERROR(__xludf.DUMMYFUNCTION("""COMPUTED_VALUE"""),"PS4")</f>
        <v>PS4</v>
      </c>
      <c r="C90" s="16" t="str">
        <f>IFERROR(__xludf.DUMMYFUNCTION("""COMPUTED_VALUE"""),"Essential")</f>
        <v>Essential</v>
      </c>
      <c r="D90" s="15" t="str">
        <f>IFERROR(__xludf.DUMMYFUNCTION("""COMPUTED_VALUE"""),"Removed")</f>
        <v>Removed</v>
      </c>
      <c r="E90" s="17">
        <f>IFERROR(__xludf.DUMMYFUNCTION("""COMPUTED_VALUE"""),45447.0)</f>
        <v>45447</v>
      </c>
      <c r="F90" s="54">
        <f>IFERROR(__xludf.DUMMYFUNCTION("""COMPUTED_VALUE"""),45474.0)</f>
        <v>45474</v>
      </c>
      <c r="G90" s="19">
        <f>IFERROR(__xludf.DUMMYFUNCTION("""COMPUTED_VALUE"""),0.8999999999999999)</f>
        <v>0.9</v>
      </c>
      <c r="H90" s="17">
        <f>IFERROR(__xludf.DUMMYFUNCTION("""COMPUTED_VALUE"""),45106.0)</f>
        <v>45106</v>
      </c>
      <c r="I90" s="19">
        <f>IFERROR(__xludf.DUMMYFUNCTION("""COMPUTED_VALUE"""),0.9305555555555556)</f>
        <v>0.9305555556</v>
      </c>
      <c r="J90" s="21">
        <f>IFERROR(__xludf.DUMMYFUNCTION("""COMPUTED_VALUE"""),64.0)</f>
        <v>64</v>
      </c>
      <c r="K90" s="23">
        <f>IFERROR(__xludf.DUMMYFUNCTION("""COMPUTED_VALUE"""),5.6)</f>
        <v>5.6</v>
      </c>
      <c r="L90" s="24">
        <f>IFERROR(__xludf.DUMMYFUNCTION("""COMPUTED_VALUE"""),4.0)</f>
        <v>4</v>
      </c>
      <c r="M90" s="25" t="str">
        <f>IFERROR(__xludf.DUMMYFUNCTION("""COMPUTED_VALUE"""),"Fighting")</f>
        <v>Fighting</v>
      </c>
      <c r="N90" s="25"/>
      <c r="O90" s="26" t="str">
        <f>IFERROR(__xludf.DUMMYFUNCTION("""COMPUTED_VALUE"""),"No")</f>
        <v>No</v>
      </c>
      <c r="P90" s="26"/>
    </row>
    <row r="91">
      <c r="A91" s="13" t="str">
        <f>IFERROR(__xludf.DUMMYFUNCTION("""COMPUTED_VALUE"""),"Streets of Rage 4")</f>
        <v>Streets of Rage 4</v>
      </c>
      <c r="B91" s="15" t="str">
        <f>IFERROR(__xludf.DUMMYFUNCTION("""COMPUTED_VALUE"""),"PS4")</f>
        <v>PS4</v>
      </c>
      <c r="C91" s="16" t="str">
        <f>IFERROR(__xludf.DUMMYFUNCTION("""COMPUTED_VALUE"""),"Essential")</f>
        <v>Essential</v>
      </c>
      <c r="D91" s="15" t="str">
        <f>IFERROR(__xludf.DUMMYFUNCTION("""COMPUTED_VALUE"""),"Removed")</f>
        <v>Removed</v>
      </c>
      <c r="E91" s="17">
        <f>IFERROR(__xludf.DUMMYFUNCTION("""COMPUTED_VALUE"""),45447.0)</f>
        <v>45447</v>
      </c>
      <c r="F91" s="54">
        <f>IFERROR(__xludf.DUMMYFUNCTION("""COMPUTED_VALUE"""),45474.0)</f>
        <v>45474</v>
      </c>
      <c r="G91" s="19">
        <f>IFERROR(__xludf.DUMMYFUNCTION("""COMPUTED_VALUE"""),0.8999999999999999)</f>
        <v>0.9</v>
      </c>
      <c r="H91" s="17">
        <f>IFERROR(__xludf.DUMMYFUNCTION("""COMPUTED_VALUE"""),43951.0)</f>
        <v>43951</v>
      </c>
      <c r="I91" s="19">
        <f>IFERROR(__xludf.DUMMYFUNCTION("""COMPUTED_VALUE"""),4.094444444444444)</f>
        <v>4.094444444</v>
      </c>
      <c r="J91" s="21">
        <f>IFERROR(__xludf.DUMMYFUNCTION("""COMPUTED_VALUE"""),84.0)</f>
        <v>84</v>
      </c>
      <c r="K91" s="23">
        <f>IFERROR(__xludf.DUMMYFUNCTION("""COMPUTED_VALUE"""),8.2)</f>
        <v>8.2</v>
      </c>
      <c r="L91" s="24">
        <f>IFERROR(__xludf.DUMMYFUNCTION("""COMPUTED_VALUE"""),3.0)</f>
        <v>3</v>
      </c>
      <c r="M91" s="25" t="str">
        <f>IFERROR(__xludf.DUMMYFUNCTION("""COMPUTED_VALUE"""),"Action-Adventure")</f>
        <v>Action-Adventure</v>
      </c>
      <c r="N91" s="25"/>
      <c r="O91" s="26" t="str">
        <f>IFERROR(__xludf.DUMMYFUNCTION("""COMPUTED_VALUE"""),"No")</f>
        <v>No</v>
      </c>
      <c r="P91" s="26"/>
    </row>
    <row r="92">
      <c r="A92" s="13" t="str">
        <f>IFERROR(__xludf.DUMMYFUNCTION("""COMPUTED_VALUE"""),"EA Sports FC 24")</f>
        <v>EA Sports FC 24</v>
      </c>
      <c r="B92" s="15" t="str">
        <f>IFERROR(__xludf.DUMMYFUNCTION("""COMPUTED_VALUE"""),"PS5/PS4")</f>
        <v>PS5/PS4</v>
      </c>
      <c r="C92" s="16" t="str">
        <f>IFERROR(__xludf.DUMMYFUNCTION("""COMPUTED_VALUE"""),"Essential")</f>
        <v>Essential</v>
      </c>
      <c r="D92" s="15" t="str">
        <f>IFERROR(__xludf.DUMMYFUNCTION("""COMPUTED_VALUE"""),"Removed")</f>
        <v>Removed</v>
      </c>
      <c r="E92" s="17">
        <f>IFERROR(__xludf.DUMMYFUNCTION("""COMPUTED_VALUE"""),45419.0)</f>
        <v>45419</v>
      </c>
      <c r="F92" s="54">
        <f>IFERROR(__xludf.DUMMYFUNCTION("""COMPUTED_VALUE"""),45461.0)</f>
        <v>45461</v>
      </c>
      <c r="G92" s="19">
        <f>IFERROR(__xludf.DUMMYFUNCTION("""COMPUTED_VALUE"""),1.3666666666666667)</f>
        <v>1.366666667</v>
      </c>
      <c r="H92" s="17">
        <f>IFERROR(__xludf.DUMMYFUNCTION("""COMPUTED_VALUE"""),45198.0)</f>
        <v>45198</v>
      </c>
      <c r="I92" s="19">
        <f>IFERROR(__xludf.DUMMYFUNCTION("""COMPUTED_VALUE"""),0.6055555555555555)</f>
        <v>0.6055555556</v>
      </c>
      <c r="J92" s="21">
        <f>IFERROR(__xludf.DUMMYFUNCTION("""COMPUTED_VALUE"""),75.0)</f>
        <v>75</v>
      </c>
      <c r="K92" s="23">
        <f>IFERROR(__xludf.DUMMYFUNCTION("""COMPUTED_VALUE"""),2.3)</f>
        <v>2.3</v>
      </c>
      <c r="L92" s="24">
        <f>IFERROR(__xludf.DUMMYFUNCTION("""COMPUTED_VALUE"""),36.0)</f>
        <v>36</v>
      </c>
      <c r="M92" s="25" t="str">
        <f>IFERROR(__xludf.DUMMYFUNCTION("""COMPUTED_VALUE"""),"Sports")</f>
        <v>Sports</v>
      </c>
      <c r="N92" s="25"/>
      <c r="O92" s="26" t="str">
        <f>IFERROR(__xludf.DUMMYFUNCTION("""COMPUTED_VALUE"""),"No")</f>
        <v>No</v>
      </c>
      <c r="P92" s="26"/>
    </row>
    <row r="93">
      <c r="A93" s="13" t="str">
        <f>IFERROR(__xludf.DUMMYFUNCTION("""COMPUTED_VALUE"""),"Ghostrunner 2")</f>
        <v>Ghostrunner 2</v>
      </c>
      <c r="B93" s="15" t="str">
        <f>IFERROR(__xludf.DUMMYFUNCTION("""COMPUTED_VALUE"""),"PS5")</f>
        <v>PS5</v>
      </c>
      <c r="C93" s="16" t="str">
        <f>IFERROR(__xludf.DUMMYFUNCTION("""COMPUTED_VALUE"""),"Essential")</f>
        <v>Essential</v>
      </c>
      <c r="D93" s="15" t="str">
        <f>IFERROR(__xludf.DUMMYFUNCTION("""COMPUTED_VALUE"""),"Removed")</f>
        <v>Removed</v>
      </c>
      <c r="E93" s="17">
        <f>IFERROR(__xludf.DUMMYFUNCTION("""COMPUTED_VALUE"""),45419.0)</f>
        <v>45419</v>
      </c>
      <c r="F93" s="18">
        <f>IFERROR(__xludf.DUMMYFUNCTION("""COMPUTED_VALUE"""),45446.0)</f>
        <v>45446</v>
      </c>
      <c r="G93" s="19">
        <f>IFERROR(__xludf.DUMMYFUNCTION("""COMPUTED_VALUE"""),0.8666666666666666)</f>
        <v>0.8666666667</v>
      </c>
      <c r="H93" s="17">
        <f>IFERROR(__xludf.DUMMYFUNCTION("""COMPUTED_VALUE"""),45225.0)</f>
        <v>45225</v>
      </c>
      <c r="I93" s="19">
        <f>IFERROR(__xludf.DUMMYFUNCTION("""COMPUTED_VALUE"""),0.5305555555555556)</f>
        <v>0.5305555556</v>
      </c>
      <c r="J93" s="21">
        <f>IFERROR(__xludf.DUMMYFUNCTION("""COMPUTED_VALUE"""),80.0)</f>
        <v>80</v>
      </c>
      <c r="K93" s="23">
        <f>IFERROR(__xludf.DUMMYFUNCTION("""COMPUTED_VALUE"""),7.9)</f>
        <v>7.9</v>
      </c>
      <c r="L93" s="17">
        <f>IFERROR(__xludf.DUMMYFUNCTION("""COMPUTED_VALUE"""),8.0)</f>
        <v>8</v>
      </c>
      <c r="M93" s="25" t="str">
        <f>IFERROR(__xludf.DUMMYFUNCTION("""COMPUTED_VALUE"""),"Platformer")</f>
        <v>Platformer</v>
      </c>
      <c r="N93" s="25"/>
      <c r="O93" s="26" t="str">
        <f>IFERROR(__xludf.DUMMYFUNCTION("""COMPUTED_VALUE"""),"No")</f>
        <v>No</v>
      </c>
      <c r="P93" s="26"/>
    </row>
    <row r="94">
      <c r="A94" s="13" t="str">
        <f>IFERROR(__xludf.DUMMYFUNCTION("""COMPUTED_VALUE"""),"Destiny 2: Lightfall")</f>
        <v>Destiny 2: Lightfall</v>
      </c>
      <c r="B94" s="15" t="str">
        <f>IFERROR(__xludf.DUMMYFUNCTION("""COMPUTED_VALUE"""),"PS5/PS4")</f>
        <v>PS5/PS4</v>
      </c>
      <c r="C94" s="16" t="str">
        <f>IFERROR(__xludf.DUMMYFUNCTION("""COMPUTED_VALUE"""),"Essential")</f>
        <v>Essential</v>
      </c>
      <c r="D94" s="15" t="str">
        <f>IFERROR(__xludf.DUMMYFUNCTION("""COMPUTED_VALUE"""),"Removed")</f>
        <v>Removed</v>
      </c>
      <c r="E94" s="17">
        <f>IFERROR(__xludf.DUMMYFUNCTION("""COMPUTED_VALUE"""),45419.0)</f>
        <v>45419</v>
      </c>
      <c r="F94" s="18">
        <f>IFERROR(__xludf.DUMMYFUNCTION("""COMPUTED_VALUE"""),45446.0)</f>
        <v>45446</v>
      </c>
      <c r="G94" s="19">
        <f>IFERROR(__xludf.DUMMYFUNCTION("""COMPUTED_VALUE"""),0.8666666666666666)</f>
        <v>0.8666666667</v>
      </c>
      <c r="H94" s="17">
        <f>IFERROR(__xludf.DUMMYFUNCTION("""COMPUTED_VALUE"""),44985.0)</f>
        <v>44985</v>
      </c>
      <c r="I94" s="19">
        <f>IFERROR(__xludf.DUMMYFUNCTION("""COMPUTED_VALUE"""),1.1916666666666667)</f>
        <v>1.191666667</v>
      </c>
      <c r="J94" s="21">
        <f>IFERROR(__xludf.DUMMYFUNCTION("""COMPUTED_VALUE"""),69.0)</f>
        <v>69</v>
      </c>
      <c r="K94" s="23">
        <f>IFERROR(__xludf.DUMMYFUNCTION("""COMPUTED_VALUE"""),3.2)</f>
        <v>3.2</v>
      </c>
      <c r="L94" s="24">
        <f>IFERROR(__xludf.DUMMYFUNCTION("""COMPUTED_VALUE"""),8.0)</f>
        <v>8</v>
      </c>
      <c r="M94" s="25" t="str">
        <f>IFERROR(__xludf.DUMMYFUNCTION("""COMPUTED_VALUE"""),"Shooter")</f>
        <v>Shooter</v>
      </c>
      <c r="N94" s="25"/>
      <c r="O94" s="26" t="str">
        <f>IFERROR(__xludf.DUMMYFUNCTION("""COMPUTED_VALUE"""),"No")</f>
        <v>No</v>
      </c>
      <c r="P94" s="26"/>
    </row>
    <row r="95">
      <c r="A95" s="13" t="str">
        <f>IFERROR(__xludf.DUMMYFUNCTION("""COMPUTED_VALUE"""),"Tunic")</f>
        <v>Tunic</v>
      </c>
      <c r="B95" s="15" t="str">
        <f>IFERROR(__xludf.DUMMYFUNCTION("""COMPUTED_VALUE"""),"PS5/PS4")</f>
        <v>PS5/PS4</v>
      </c>
      <c r="C95" s="16" t="str">
        <f>IFERROR(__xludf.DUMMYFUNCTION("""COMPUTED_VALUE"""),"Essential")</f>
        <v>Essential</v>
      </c>
      <c r="D95" s="15" t="str">
        <f>IFERROR(__xludf.DUMMYFUNCTION("""COMPUTED_VALUE"""),"Removed")</f>
        <v>Removed</v>
      </c>
      <c r="E95" s="17">
        <f>IFERROR(__xludf.DUMMYFUNCTION("""COMPUTED_VALUE"""),45419.0)</f>
        <v>45419</v>
      </c>
      <c r="F95" s="18">
        <f>IFERROR(__xludf.DUMMYFUNCTION("""COMPUTED_VALUE"""),45446.0)</f>
        <v>45446</v>
      </c>
      <c r="G95" s="19">
        <f>IFERROR(__xludf.DUMMYFUNCTION("""COMPUTED_VALUE"""),0.8666666666666666)</f>
        <v>0.8666666667</v>
      </c>
      <c r="H95" s="17">
        <f>IFERROR(__xludf.DUMMYFUNCTION("""COMPUTED_VALUE"""),44636.0)</f>
        <v>44636</v>
      </c>
      <c r="I95" s="19">
        <f>IFERROR(__xludf.DUMMYFUNCTION("""COMPUTED_VALUE"""),2.1416666666666666)</f>
        <v>2.141666667</v>
      </c>
      <c r="J95" s="21">
        <f>IFERROR(__xludf.DUMMYFUNCTION("""COMPUTED_VALUE"""),85.0)</f>
        <v>85</v>
      </c>
      <c r="K95" s="23">
        <f>IFERROR(__xludf.DUMMYFUNCTION("""COMPUTED_VALUE"""),7.8)</f>
        <v>7.8</v>
      </c>
      <c r="L95" s="24">
        <f>IFERROR(__xludf.DUMMYFUNCTION("""COMPUTED_VALUE"""),12.0)</f>
        <v>12</v>
      </c>
      <c r="M95" s="25" t="str">
        <f>IFERROR(__xludf.DUMMYFUNCTION("""COMPUTED_VALUE"""),"Action-Adventure")</f>
        <v>Action-Adventure</v>
      </c>
      <c r="N95" s="25"/>
      <c r="O95" s="26" t="str">
        <f>IFERROR(__xludf.DUMMYFUNCTION("""COMPUTED_VALUE"""),"No")</f>
        <v>No</v>
      </c>
      <c r="P95" s="26"/>
    </row>
    <row r="96">
      <c r="A96" s="13" t="str">
        <f>IFERROR(__xludf.DUMMYFUNCTION("""COMPUTED_VALUE"""),"Immortals of Aveum")</f>
        <v>Immortals of Aveum</v>
      </c>
      <c r="B96" s="15" t="str">
        <f>IFERROR(__xludf.DUMMYFUNCTION("""COMPUTED_VALUE"""),"PS5")</f>
        <v>PS5</v>
      </c>
      <c r="C96" s="16" t="str">
        <f>IFERROR(__xludf.DUMMYFUNCTION("""COMPUTED_VALUE"""),"Essential")</f>
        <v>Essential</v>
      </c>
      <c r="D96" s="15" t="str">
        <f>IFERROR(__xludf.DUMMYFUNCTION("""COMPUTED_VALUE"""),"Removed")</f>
        <v>Removed</v>
      </c>
      <c r="E96" s="17">
        <f>IFERROR(__xludf.DUMMYFUNCTION("""COMPUTED_VALUE"""),45384.0)</f>
        <v>45384</v>
      </c>
      <c r="F96" s="54">
        <f>IFERROR(__xludf.DUMMYFUNCTION("""COMPUTED_VALUE"""),45418.0)</f>
        <v>45418</v>
      </c>
      <c r="G96" s="19">
        <f>IFERROR(__xludf.DUMMYFUNCTION("""COMPUTED_VALUE"""),1.1333333333333333)</f>
        <v>1.133333333</v>
      </c>
      <c r="H96" s="17">
        <f>IFERROR(__xludf.DUMMYFUNCTION("""COMPUTED_VALUE"""),45160.0)</f>
        <v>45160</v>
      </c>
      <c r="I96" s="19">
        <f>IFERROR(__xludf.DUMMYFUNCTION("""COMPUTED_VALUE"""),0.6111111111111112)</f>
        <v>0.6111111111</v>
      </c>
      <c r="J96" s="21">
        <f>IFERROR(__xludf.DUMMYFUNCTION("""COMPUTED_VALUE"""),69.0)</f>
        <v>69</v>
      </c>
      <c r="K96" s="23">
        <f>IFERROR(__xludf.DUMMYFUNCTION("""COMPUTED_VALUE"""),6.1)</f>
        <v>6.1</v>
      </c>
      <c r="L96" s="24">
        <f>IFERROR(__xludf.DUMMYFUNCTION("""COMPUTED_VALUE"""),16.0)</f>
        <v>16</v>
      </c>
      <c r="M96" s="25" t="str">
        <f>IFERROR(__xludf.DUMMYFUNCTION("""COMPUTED_VALUE"""),"Shooter")</f>
        <v>Shooter</v>
      </c>
      <c r="N96" s="25"/>
      <c r="O96" s="26" t="str">
        <f>IFERROR(__xludf.DUMMYFUNCTION("""COMPUTED_VALUE"""),"No")</f>
        <v>No</v>
      </c>
      <c r="P96" s="26"/>
    </row>
    <row r="97">
      <c r="A97" s="13" t="str">
        <f>IFERROR(__xludf.DUMMYFUNCTION("""COMPUTED_VALUE"""),"Minecraft: Legends")</f>
        <v>Minecraft: Legends</v>
      </c>
      <c r="B97" s="15" t="str">
        <f>IFERROR(__xludf.DUMMYFUNCTION("""COMPUTED_VALUE"""),"PS5/PS4")</f>
        <v>PS5/PS4</v>
      </c>
      <c r="C97" s="16" t="str">
        <f>IFERROR(__xludf.DUMMYFUNCTION("""COMPUTED_VALUE"""),"Essential")</f>
        <v>Essential</v>
      </c>
      <c r="D97" s="15" t="str">
        <f>IFERROR(__xludf.DUMMYFUNCTION("""COMPUTED_VALUE"""),"Removed")</f>
        <v>Removed</v>
      </c>
      <c r="E97" s="17">
        <f>IFERROR(__xludf.DUMMYFUNCTION("""COMPUTED_VALUE"""),45384.0)</f>
        <v>45384</v>
      </c>
      <c r="F97" s="54">
        <f>IFERROR(__xludf.DUMMYFUNCTION("""COMPUTED_VALUE"""),45418.0)</f>
        <v>45418</v>
      </c>
      <c r="G97" s="19">
        <f>IFERROR(__xludf.DUMMYFUNCTION("""COMPUTED_VALUE"""),1.1333333333333333)</f>
        <v>1.133333333</v>
      </c>
      <c r="H97" s="17">
        <f>IFERROR(__xludf.DUMMYFUNCTION("""COMPUTED_VALUE"""),45034.0)</f>
        <v>45034</v>
      </c>
      <c r="I97" s="19">
        <f>IFERROR(__xludf.DUMMYFUNCTION("""COMPUTED_VALUE"""),0.9555555555555556)</f>
        <v>0.9555555556</v>
      </c>
      <c r="J97" s="21">
        <f>IFERROR(__xludf.DUMMYFUNCTION("""COMPUTED_VALUE"""),71.0)</f>
        <v>71</v>
      </c>
      <c r="K97" s="23">
        <f>IFERROR(__xludf.DUMMYFUNCTION("""COMPUTED_VALUE"""),4.8)</f>
        <v>4.8</v>
      </c>
      <c r="L97" s="24">
        <f>IFERROR(__xludf.DUMMYFUNCTION("""COMPUTED_VALUE"""),9.0)</f>
        <v>9</v>
      </c>
      <c r="M97" s="25" t="str">
        <f>IFERROR(__xludf.DUMMYFUNCTION("""COMPUTED_VALUE"""),"Strategy")</f>
        <v>Strategy</v>
      </c>
      <c r="N97" s="25"/>
      <c r="O97" s="26" t="str">
        <f>IFERROR(__xludf.DUMMYFUNCTION("""COMPUTED_VALUE"""),"No")</f>
        <v>No</v>
      </c>
      <c r="P97" s="26"/>
    </row>
    <row r="98">
      <c r="A98" s="13" t="str">
        <f>IFERROR(__xludf.DUMMYFUNCTION("""COMPUTED_VALUE"""),"Skul: The Hero Slayer")</f>
        <v>Skul: The Hero Slayer</v>
      </c>
      <c r="B98" s="15" t="str">
        <f>IFERROR(__xludf.DUMMYFUNCTION("""COMPUTED_VALUE"""),"PS4")</f>
        <v>PS4</v>
      </c>
      <c r="C98" s="16" t="str">
        <f>IFERROR(__xludf.DUMMYFUNCTION("""COMPUTED_VALUE"""),"Essential")</f>
        <v>Essential</v>
      </c>
      <c r="D98" s="15" t="str">
        <f>IFERROR(__xludf.DUMMYFUNCTION("""COMPUTED_VALUE"""),"Removed")</f>
        <v>Removed</v>
      </c>
      <c r="E98" s="17">
        <f>IFERROR(__xludf.DUMMYFUNCTION("""COMPUTED_VALUE"""),45384.0)</f>
        <v>45384</v>
      </c>
      <c r="F98" s="54">
        <f>IFERROR(__xludf.DUMMYFUNCTION("""COMPUTED_VALUE"""),45418.0)</f>
        <v>45418</v>
      </c>
      <c r="G98" s="19">
        <f>IFERROR(__xludf.DUMMYFUNCTION("""COMPUTED_VALUE"""),1.1333333333333333)</f>
        <v>1.133333333</v>
      </c>
      <c r="H98" s="17">
        <f>IFERROR(__xludf.DUMMYFUNCTION("""COMPUTED_VALUE"""),44217.0)</f>
        <v>44217</v>
      </c>
      <c r="I98" s="19">
        <f>IFERROR(__xludf.DUMMYFUNCTION("""COMPUTED_VALUE"""),3.1972222222222224)</f>
        <v>3.197222222</v>
      </c>
      <c r="J98" s="21">
        <f>IFERROR(__xludf.DUMMYFUNCTION("""COMPUTED_VALUE"""),80.0)</f>
        <v>80</v>
      </c>
      <c r="K98" s="23">
        <f>IFERROR(__xludf.DUMMYFUNCTION("""COMPUTED_VALUE"""),6.7)</f>
        <v>6.7</v>
      </c>
      <c r="L98" s="24">
        <f>IFERROR(__xludf.DUMMYFUNCTION("""COMPUTED_VALUE"""),21.0)</f>
        <v>21</v>
      </c>
      <c r="M98" s="25" t="str">
        <f>IFERROR(__xludf.DUMMYFUNCTION("""COMPUTED_VALUE"""),"Platformer")</f>
        <v>Platformer</v>
      </c>
      <c r="N98" s="25"/>
      <c r="O98" s="26" t="str">
        <f>IFERROR(__xludf.DUMMYFUNCTION("""COMPUTED_VALUE"""),"No")</f>
        <v>No</v>
      </c>
      <c r="P98" s="26"/>
    </row>
    <row r="99">
      <c r="A99" s="13" t="str">
        <f>IFERROR(__xludf.DUMMYFUNCTION("""COMPUTED_VALUE"""),"Destiny 2: The Witch Queen")</f>
        <v>Destiny 2: The Witch Queen</v>
      </c>
      <c r="B99" s="15" t="str">
        <f>IFERROR(__xludf.DUMMYFUNCTION("""COMPUTED_VALUE"""),"PS5/PS4")</f>
        <v>PS5/PS4</v>
      </c>
      <c r="C99" s="16" t="str">
        <f>IFERROR(__xludf.DUMMYFUNCTION("""COMPUTED_VALUE"""),"Essential")</f>
        <v>Essential</v>
      </c>
      <c r="D99" s="15" t="str">
        <f>IFERROR(__xludf.DUMMYFUNCTION("""COMPUTED_VALUE"""),"Removed")</f>
        <v>Removed</v>
      </c>
      <c r="E99" s="17">
        <f>IFERROR(__xludf.DUMMYFUNCTION("""COMPUTED_VALUE"""),45356.0)</f>
        <v>45356</v>
      </c>
      <c r="F99" s="54">
        <f>IFERROR(__xludf.DUMMYFUNCTION("""COMPUTED_VALUE"""),45383.0)</f>
        <v>45383</v>
      </c>
      <c r="G99" s="19">
        <f>IFERROR(__xludf.DUMMYFUNCTION("""COMPUTED_VALUE"""),0.8666666666666666)</f>
        <v>0.8666666667</v>
      </c>
      <c r="H99" s="17">
        <f>IFERROR(__xludf.DUMMYFUNCTION("""COMPUTED_VALUE"""),44614.0)</f>
        <v>44614</v>
      </c>
      <c r="I99" s="19">
        <f>IFERROR(__xludf.DUMMYFUNCTION("""COMPUTED_VALUE"""),2.036111111111111)</f>
        <v>2.036111111</v>
      </c>
      <c r="J99" s="21">
        <f>IFERROR(__xludf.DUMMYFUNCTION("""COMPUTED_VALUE"""),87.0)</f>
        <v>87</v>
      </c>
      <c r="K99" s="23">
        <f>IFERROR(__xludf.DUMMYFUNCTION("""COMPUTED_VALUE"""),7.9)</f>
        <v>7.9</v>
      </c>
      <c r="L99" s="24">
        <f>IFERROR(__xludf.DUMMYFUNCTION("""COMPUTED_VALUE"""),12.0)</f>
        <v>12</v>
      </c>
      <c r="M99" s="25" t="str">
        <f>IFERROR(__xludf.DUMMYFUNCTION("""COMPUTED_VALUE"""),"Shooter")</f>
        <v>Shooter</v>
      </c>
      <c r="N99" s="25"/>
      <c r="O99" s="26" t="str">
        <f>IFERROR(__xludf.DUMMYFUNCTION("""COMPUTED_VALUE"""),"No")</f>
        <v>No</v>
      </c>
      <c r="P99" s="26"/>
    </row>
    <row r="100">
      <c r="A100" s="13" t="str">
        <f>IFERROR(__xludf.DUMMYFUNCTION("""COMPUTED_VALUE"""),"Hello Neighbor 2")</f>
        <v>Hello Neighbor 2</v>
      </c>
      <c r="B100" s="15" t="str">
        <f>IFERROR(__xludf.DUMMYFUNCTION("""COMPUTED_VALUE"""),"PS5/PS4")</f>
        <v>PS5/PS4</v>
      </c>
      <c r="C100" s="16" t="str">
        <f>IFERROR(__xludf.DUMMYFUNCTION("""COMPUTED_VALUE"""),"Essential")</f>
        <v>Essential</v>
      </c>
      <c r="D100" s="15" t="str">
        <f>IFERROR(__xludf.DUMMYFUNCTION("""COMPUTED_VALUE"""),"Removed")</f>
        <v>Removed</v>
      </c>
      <c r="E100" s="17">
        <f>IFERROR(__xludf.DUMMYFUNCTION("""COMPUTED_VALUE"""),45356.0)</f>
        <v>45356</v>
      </c>
      <c r="F100" s="54">
        <f>IFERROR(__xludf.DUMMYFUNCTION("""COMPUTED_VALUE"""),45383.0)</f>
        <v>45383</v>
      </c>
      <c r="G100" s="19">
        <f>IFERROR(__xludf.DUMMYFUNCTION("""COMPUTED_VALUE"""),0.8666666666666666)</f>
        <v>0.8666666667</v>
      </c>
      <c r="H100" s="17">
        <f>IFERROR(__xludf.DUMMYFUNCTION("""COMPUTED_VALUE"""),44901.0)</f>
        <v>44901</v>
      </c>
      <c r="I100" s="19">
        <f>IFERROR(__xludf.DUMMYFUNCTION("""COMPUTED_VALUE"""),1.2472222222222222)</f>
        <v>1.247222222</v>
      </c>
      <c r="J100" s="21">
        <f>IFERROR(__xludf.DUMMYFUNCTION("""COMPUTED_VALUE"""),59.0)</f>
        <v>59</v>
      </c>
      <c r="K100" s="23">
        <f>IFERROR(__xludf.DUMMYFUNCTION("""COMPUTED_VALUE"""),4.7)</f>
        <v>4.7</v>
      </c>
      <c r="L100" s="24">
        <f>IFERROR(__xludf.DUMMYFUNCTION("""COMPUTED_VALUE"""),4.0)</f>
        <v>4</v>
      </c>
      <c r="M100" s="25" t="str">
        <f>IFERROR(__xludf.DUMMYFUNCTION("""COMPUTED_VALUE"""),"Action-Adventure")</f>
        <v>Action-Adventure</v>
      </c>
      <c r="N100" s="25"/>
      <c r="O100" s="26" t="str">
        <f>IFERROR(__xludf.DUMMYFUNCTION("""COMPUTED_VALUE"""),"No")</f>
        <v>No</v>
      </c>
      <c r="P100" s="26"/>
    </row>
    <row r="101">
      <c r="A101" s="13" t="str">
        <f>IFERROR(__xludf.DUMMYFUNCTION("""COMPUTED_VALUE"""),"F1 23")</f>
        <v>F1 23</v>
      </c>
      <c r="B101" s="15" t="str">
        <f>IFERROR(__xludf.DUMMYFUNCTION("""COMPUTED_VALUE"""),"PS5/PS4")</f>
        <v>PS5/PS4</v>
      </c>
      <c r="C101" s="16" t="str">
        <f>IFERROR(__xludf.DUMMYFUNCTION("""COMPUTED_VALUE"""),"Essential")</f>
        <v>Essential</v>
      </c>
      <c r="D101" s="15" t="str">
        <f>IFERROR(__xludf.DUMMYFUNCTION("""COMPUTED_VALUE"""),"Removed")</f>
        <v>Removed</v>
      </c>
      <c r="E101" s="17">
        <f>IFERROR(__xludf.DUMMYFUNCTION("""COMPUTED_VALUE"""),45356.0)</f>
        <v>45356</v>
      </c>
      <c r="F101" s="54">
        <f>IFERROR(__xludf.DUMMYFUNCTION("""COMPUTED_VALUE"""),45383.0)</f>
        <v>45383</v>
      </c>
      <c r="G101" s="19">
        <f>IFERROR(__xludf.DUMMYFUNCTION("""COMPUTED_VALUE"""),0.8666666666666666)</f>
        <v>0.8666666667</v>
      </c>
      <c r="H101" s="17">
        <f>IFERROR(__xludf.DUMMYFUNCTION("""COMPUTED_VALUE"""),45093.0)</f>
        <v>45093</v>
      </c>
      <c r="I101" s="19">
        <f>IFERROR(__xludf.DUMMYFUNCTION("""COMPUTED_VALUE"""),0.7194444444444444)</f>
        <v>0.7194444444</v>
      </c>
      <c r="J101" s="21">
        <f>IFERROR(__xludf.DUMMYFUNCTION("""COMPUTED_VALUE"""),82.0)</f>
        <v>82</v>
      </c>
      <c r="K101" s="23">
        <f>IFERROR(__xludf.DUMMYFUNCTION("""COMPUTED_VALUE"""),6.2)</f>
        <v>6.2</v>
      </c>
      <c r="L101" s="24">
        <f>IFERROR(__xludf.DUMMYFUNCTION("""COMPUTED_VALUE"""),8.0)</f>
        <v>8</v>
      </c>
      <c r="M101" s="25" t="str">
        <f>IFERROR(__xludf.DUMMYFUNCTION("""COMPUTED_VALUE"""),"Racing")</f>
        <v>Racing</v>
      </c>
      <c r="N101" s="25"/>
      <c r="O101" s="26" t="str">
        <f>IFERROR(__xludf.DUMMYFUNCTION("""COMPUTED_VALUE"""),"No")</f>
        <v>No</v>
      </c>
      <c r="P101" s="26"/>
    </row>
    <row r="102">
      <c r="A102" s="13" t="str">
        <f>IFERROR(__xludf.DUMMYFUNCTION("""COMPUTED_VALUE"""),"SIFU")</f>
        <v>SIFU</v>
      </c>
      <c r="B102" s="15" t="str">
        <f>IFERROR(__xludf.DUMMYFUNCTION("""COMPUTED_VALUE"""),"PS5/PS4")</f>
        <v>PS5/PS4</v>
      </c>
      <c r="C102" s="16" t="str">
        <f>IFERROR(__xludf.DUMMYFUNCTION("""COMPUTED_VALUE"""),"Essential")</f>
        <v>Essential</v>
      </c>
      <c r="D102" s="15" t="str">
        <f>IFERROR(__xludf.DUMMYFUNCTION("""COMPUTED_VALUE"""),"Removed")</f>
        <v>Removed</v>
      </c>
      <c r="E102" s="17">
        <f>IFERROR(__xludf.DUMMYFUNCTION("""COMPUTED_VALUE"""),45356.0)</f>
        <v>45356</v>
      </c>
      <c r="F102" s="54">
        <f>IFERROR(__xludf.DUMMYFUNCTION("""COMPUTED_VALUE"""),45383.0)</f>
        <v>45383</v>
      </c>
      <c r="G102" s="19">
        <f>IFERROR(__xludf.DUMMYFUNCTION("""COMPUTED_VALUE"""),0.8666666666666666)</f>
        <v>0.8666666667</v>
      </c>
      <c r="H102" s="17">
        <f>IFERROR(__xludf.DUMMYFUNCTION("""COMPUTED_VALUE"""),44600.0)</f>
        <v>44600</v>
      </c>
      <c r="I102" s="19">
        <f>IFERROR(__xludf.DUMMYFUNCTION("""COMPUTED_VALUE"""),2.075)</f>
        <v>2.075</v>
      </c>
      <c r="J102" s="21">
        <f>IFERROR(__xludf.DUMMYFUNCTION("""COMPUTED_VALUE"""),81.0)</f>
        <v>81</v>
      </c>
      <c r="K102" s="23">
        <f>IFERROR(__xludf.DUMMYFUNCTION("""COMPUTED_VALUE"""),8.1)</f>
        <v>8.1</v>
      </c>
      <c r="L102" s="24">
        <f>IFERROR(__xludf.DUMMYFUNCTION("""COMPUTED_VALUE"""),9.0)</f>
        <v>9</v>
      </c>
      <c r="M102" s="25" t="str">
        <f>IFERROR(__xludf.DUMMYFUNCTION("""COMPUTED_VALUE"""),"Action-Adventure")</f>
        <v>Action-Adventure</v>
      </c>
      <c r="N102" s="25"/>
      <c r="O102" s="26" t="str">
        <f>IFERROR(__xludf.DUMMYFUNCTION("""COMPUTED_VALUE"""),"No")</f>
        <v>No</v>
      </c>
      <c r="P102" s="26"/>
    </row>
    <row r="103">
      <c r="A103" s="13" t="str">
        <f>IFERROR(__xludf.DUMMYFUNCTION("""COMPUTED_VALUE"""),"Steelrising")</f>
        <v>Steelrising</v>
      </c>
      <c r="B103" s="15" t="str">
        <f>IFERROR(__xludf.DUMMYFUNCTION("""COMPUTED_VALUE"""),"PS5")</f>
        <v>PS5</v>
      </c>
      <c r="C103" s="16" t="str">
        <f>IFERROR(__xludf.DUMMYFUNCTION("""COMPUTED_VALUE"""),"Essential")</f>
        <v>Essential</v>
      </c>
      <c r="D103" s="15" t="str">
        <f>IFERROR(__xludf.DUMMYFUNCTION("""COMPUTED_VALUE"""),"Removed")</f>
        <v>Removed</v>
      </c>
      <c r="E103" s="17">
        <f>IFERROR(__xludf.DUMMYFUNCTION("""COMPUTED_VALUE"""),45328.0)</f>
        <v>45328</v>
      </c>
      <c r="F103" s="54">
        <f>IFERROR(__xludf.DUMMYFUNCTION("""COMPUTED_VALUE"""),45355.0)</f>
        <v>45355</v>
      </c>
      <c r="G103" s="19">
        <f>IFERROR(__xludf.DUMMYFUNCTION("""COMPUTED_VALUE"""),0.9333333333333333)</f>
        <v>0.9333333333</v>
      </c>
      <c r="H103" s="17">
        <f>IFERROR(__xludf.DUMMYFUNCTION("""COMPUTED_VALUE"""),44812.0)</f>
        <v>44812</v>
      </c>
      <c r="I103" s="19">
        <f>IFERROR(__xludf.DUMMYFUNCTION("""COMPUTED_VALUE"""),1.4111111111111112)</f>
        <v>1.411111111</v>
      </c>
      <c r="J103" s="21">
        <f>IFERROR(__xludf.DUMMYFUNCTION("""COMPUTED_VALUE"""),72.0)</f>
        <v>72</v>
      </c>
      <c r="K103" s="23">
        <f>IFERROR(__xludf.DUMMYFUNCTION("""COMPUTED_VALUE"""),7.5)</f>
        <v>7.5</v>
      </c>
      <c r="L103" s="24">
        <f>IFERROR(__xludf.DUMMYFUNCTION("""COMPUTED_VALUE"""),15.0)</f>
        <v>15</v>
      </c>
      <c r="M103" s="25" t="str">
        <f>IFERROR(__xludf.DUMMYFUNCTION("""COMPUTED_VALUE"""),"RPG")</f>
        <v>RPG</v>
      </c>
      <c r="N103" s="25"/>
      <c r="O103" s="26" t="str">
        <f>IFERROR(__xludf.DUMMYFUNCTION("""COMPUTED_VALUE"""),"No")</f>
        <v>No</v>
      </c>
      <c r="P103" s="26"/>
    </row>
    <row r="104">
      <c r="A104" s="13" t="str">
        <f>IFERROR(__xludf.DUMMYFUNCTION("""COMPUTED_VALUE"""),"Foamstars")</f>
        <v>Foamstars</v>
      </c>
      <c r="B104" s="15" t="str">
        <f>IFERROR(__xludf.DUMMYFUNCTION("""COMPUTED_VALUE"""),"PS5/PS4")</f>
        <v>PS5/PS4</v>
      </c>
      <c r="C104" s="16" t="str">
        <f>IFERROR(__xludf.DUMMYFUNCTION("""COMPUTED_VALUE"""),"Essential")</f>
        <v>Essential</v>
      </c>
      <c r="D104" s="15" t="str">
        <f>IFERROR(__xludf.DUMMYFUNCTION("""COMPUTED_VALUE"""),"Removed")</f>
        <v>Removed</v>
      </c>
      <c r="E104" s="17">
        <f>IFERROR(__xludf.DUMMYFUNCTION("""COMPUTED_VALUE"""),45328.0)</f>
        <v>45328</v>
      </c>
      <c r="F104" s="54">
        <f>IFERROR(__xludf.DUMMYFUNCTION("""COMPUTED_VALUE"""),45355.0)</f>
        <v>45355</v>
      </c>
      <c r="G104" s="19">
        <f>IFERROR(__xludf.DUMMYFUNCTION("""COMPUTED_VALUE"""),0.9333333333333333)</f>
        <v>0.9333333333</v>
      </c>
      <c r="H104" s="17">
        <f>IFERROR(__xludf.DUMMYFUNCTION("""COMPUTED_VALUE"""),45328.0)</f>
        <v>45328</v>
      </c>
      <c r="I104" s="19">
        <f>IFERROR(__xludf.DUMMYFUNCTION("""COMPUTED_VALUE"""),0.0)</f>
        <v>0</v>
      </c>
      <c r="J104" s="21">
        <f>IFERROR(__xludf.DUMMYFUNCTION("""COMPUTED_VALUE"""),59.0)</f>
        <v>59</v>
      </c>
      <c r="K104" s="23">
        <f>IFERROR(__xludf.DUMMYFUNCTION("""COMPUTED_VALUE"""),7.2)</f>
        <v>7.2</v>
      </c>
      <c r="L104" s="24"/>
      <c r="M104" s="25" t="str">
        <f>IFERROR(__xludf.DUMMYFUNCTION("""COMPUTED_VALUE"""),"Shooter")</f>
        <v>Shooter</v>
      </c>
      <c r="N104" s="25"/>
      <c r="O104" s="26" t="str">
        <f>IFERROR(__xludf.DUMMYFUNCTION("""COMPUTED_VALUE"""),"No")</f>
        <v>No</v>
      </c>
      <c r="P104" s="26"/>
    </row>
    <row r="105">
      <c r="A105" s="13" t="str">
        <f>IFERROR(__xludf.DUMMYFUNCTION("""COMPUTED_VALUE"""),"Rollerdrome")</f>
        <v>Rollerdrome</v>
      </c>
      <c r="B105" s="15" t="str">
        <f>IFERROR(__xludf.DUMMYFUNCTION("""COMPUTED_VALUE"""),"PS5/PS4")</f>
        <v>PS5/PS4</v>
      </c>
      <c r="C105" s="16" t="str">
        <f>IFERROR(__xludf.DUMMYFUNCTION("""COMPUTED_VALUE"""),"Essential")</f>
        <v>Essential</v>
      </c>
      <c r="D105" s="15" t="str">
        <f>IFERROR(__xludf.DUMMYFUNCTION("""COMPUTED_VALUE"""),"Removed")</f>
        <v>Removed</v>
      </c>
      <c r="E105" s="17">
        <f>IFERROR(__xludf.DUMMYFUNCTION("""COMPUTED_VALUE"""),45328.0)</f>
        <v>45328</v>
      </c>
      <c r="F105" s="18">
        <f>IFERROR(__xludf.DUMMYFUNCTION("""COMPUTED_VALUE"""),45355.0)</f>
        <v>45355</v>
      </c>
      <c r="G105" s="19">
        <f>IFERROR(__xludf.DUMMYFUNCTION("""COMPUTED_VALUE"""),0.9333333333333333)</f>
        <v>0.9333333333</v>
      </c>
      <c r="H105" s="17">
        <f>IFERROR(__xludf.DUMMYFUNCTION("""COMPUTED_VALUE"""),44789.0)</f>
        <v>44789</v>
      </c>
      <c r="I105" s="19">
        <f>IFERROR(__xludf.DUMMYFUNCTION("""COMPUTED_VALUE"""),1.4722222222222223)</f>
        <v>1.472222222</v>
      </c>
      <c r="J105" s="21">
        <f>IFERROR(__xludf.DUMMYFUNCTION("""COMPUTED_VALUE"""),79.0)</f>
        <v>79</v>
      </c>
      <c r="K105" s="23">
        <f>IFERROR(__xludf.DUMMYFUNCTION("""COMPUTED_VALUE"""),7.3)</f>
        <v>7.3</v>
      </c>
      <c r="L105" s="24">
        <f>IFERROR(__xludf.DUMMYFUNCTION("""COMPUTED_VALUE"""),5.0)</f>
        <v>5</v>
      </c>
      <c r="M105" s="25" t="str">
        <f>IFERROR(__xludf.DUMMYFUNCTION("""COMPUTED_VALUE"""),"Shooter")</f>
        <v>Shooter</v>
      </c>
      <c r="N105" s="25"/>
      <c r="O105" s="26" t="str">
        <f>IFERROR(__xludf.DUMMYFUNCTION("""COMPUTED_VALUE"""),"No")</f>
        <v>No</v>
      </c>
      <c r="P105" s="26"/>
    </row>
    <row r="106">
      <c r="A106" s="13" t="str">
        <f>IFERROR(__xludf.DUMMYFUNCTION("""COMPUTED_VALUE"""),"A Plague Tale: Requiem")</f>
        <v>A Plague Tale: Requiem</v>
      </c>
      <c r="B106" s="15" t="str">
        <f>IFERROR(__xludf.DUMMYFUNCTION("""COMPUTED_VALUE"""),"PS5")</f>
        <v>PS5</v>
      </c>
      <c r="C106" s="16" t="str">
        <f>IFERROR(__xludf.DUMMYFUNCTION("""COMPUTED_VALUE"""),"Essential")</f>
        <v>Essential</v>
      </c>
      <c r="D106" s="15" t="str">
        <f>IFERROR(__xludf.DUMMYFUNCTION("""COMPUTED_VALUE"""),"Removed")</f>
        <v>Removed</v>
      </c>
      <c r="E106" s="17">
        <f>IFERROR(__xludf.DUMMYFUNCTION("""COMPUTED_VALUE"""),45293.0)</f>
        <v>45293</v>
      </c>
      <c r="F106" s="54">
        <f>IFERROR(__xludf.DUMMYFUNCTION("""COMPUTED_VALUE"""),45327.0)</f>
        <v>45327</v>
      </c>
      <c r="G106" s="19">
        <f>IFERROR(__xludf.DUMMYFUNCTION("""COMPUTED_VALUE"""),1.0999999999999999)</f>
        <v>1.1</v>
      </c>
      <c r="H106" s="17">
        <f>IFERROR(__xludf.DUMMYFUNCTION("""COMPUTED_VALUE"""),44852.0)</f>
        <v>44852</v>
      </c>
      <c r="I106" s="19">
        <f>IFERROR(__xludf.DUMMYFUNCTION("""COMPUTED_VALUE"""),1.2055555555555555)</f>
        <v>1.205555556</v>
      </c>
      <c r="J106" s="21">
        <f>IFERROR(__xludf.DUMMYFUNCTION("""COMPUTED_VALUE"""),82.0)</f>
        <v>82</v>
      </c>
      <c r="K106" s="23">
        <f>IFERROR(__xludf.DUMMYFUNCTION("""COMPUTED_VALUE"""),8.3)</f>
        <v>8.3</v>
      </c>
      <c r="L106" s="24">
        <f>IFERROR(__xludf.DUMMYFUNCTION("""COMPUTED_VALUE"""),17.0)</f>
        <v>17</v>
      </c>
      <c r="M106" s="25" t="str">
        <f>IFERROR(__xludf.DUMMYFUNCTION("""COMPUTED_VALUE"""),"Action-Adventure")</f>
        <v>Action-Adventure</v>
      </c>
      <c r="N106" s="25"/>
      <c r="O106" s="26" t="str">
        <f>IFERROR(__xludf.DUMMYFUNCTION("""COMPUTED_VALUE"""),"No")</f>
        <v>No</v>
      </c>
      <c r="P106" s="26"/>
    </row>
    <row r="107">
      <c r="A107" s="13" t="str">
        <f>IFERROR(__xludf.DUMMYFUNCTION("""COMPUTED_VALUE"""),"Evil West")</f>
        <v>Evil West</v>
      </c>
      <c r="B107" s="15" t="str">
        <f>IFERROR(__xludf.DUMMYFUNCTION("""COMPUTED_VALUE"""),"PS5/PS4")</f>
        <v>PS5/PS4</v>
      </c>
      <c r="C107" s="16" t="str">
        <f>IFERROR(__xludf.DUMMYFUNCTION("""COMPUTED_VALUE"""),"Essential")</f>
        <v>Essential</v>
      </c>
      <c r="D107" s="15" t="str">
        <f>IFERROR(__xludf.DUMMYFUNCTION("""COMPUTED_VALUE"""),"Removed")</f>
        <v>Removed</v>
      </c>
      <c r="E107" s="17">
        <f>IFERROR(__xludf.DUMMYFUNCTION("""COMPUTED_VALUE"""),45293.0)</f>
        <v>45293</v>
      </c>
      <c r="F107" s="54">
        <f>IFERROR(__xludf.DUMMYFUNCTION("""COMPUTED_VALUE"""),45327.0)</f>
        <v>45327</v>
      </c>
      <c r="G107" s="19">
        <f>IFERROR(__xludf.DUMMYFUNCTION("""COMPUTED_VALUE"""),1.0999999999999999)</f>
        <v>1.1</v>
      </c>
      <c r="H107" s="17">
        <f>IFERROR(__xludf.DUMMYFUNCTION("""COMPUTED_VALUE"""),44887.0)</f>
        <v>44887</v>
      </c>
      <c r="I107" s="19">
        <f>IFERROR(__xludf.DUMMYFUNCTION("""COMPUTED_VALUE"""),1.1111111111111112)</f>
        <v>1.111111111</v>
      </c>
      <c r="J107" s="21">
        <f>IFERROR(__xludf.DUMMYFUNCTION("""COMPUTED_VALUE"""),73.0)</f>
        <v>73</v>
      </c>
      <c r="K107" s="23">
        <f>IFERROR(__xludf.DUMMYFUNCTION("""COMPUTED_VALUE"""),7.6)</f>
        <v>7.6</v>
      </c>
      <c r="L107" s="24">
        <f>IFERROR(__xludf.DUMMYFUNCTION("""COMPUTED_VALUE"""),11.0)</f>
        <v>11</v>
      </c>
      <c r="M107" s="25" t="str">
        <f>IFERROR(__xludf.DUMMYFUNCTION("""COMPUTED_VALUE"""),"Shooter")</f>
        <v>Shooter</v>
      </c>
      <c r="N107" s="25"/>
      <c r="O107" s="26" t="str">
        <f>IFERROR(__xludf.DUMMYFUNCTION("""COMPUTED_VALUE"""),"No")</f>
        <v>No</v>
      </c>
      <c r="P107" s="26"/>
    </row>
    <row r="108">
      <c r="A108" s="13" t="str">
        <f>IFERROR(__xludf.DUMMYFUNCTION("""COMPUTED_VALUE"""),"Nobody Saves the World")</f>
        <v>Nobody Saves the World</v>
      </c>
      <c r="B108" s="15" t="str">
        <f>IFERROR(__xludf.DUMMYFUNCTION("""COMPUTED_VALUE"""),"PS5/PS4")</f>
        <v>PS5/PS4</v>
      </c>
      <c r="C108" s="16" t="str">
        <f>IFERROR(__xludf.DUMMYFUNCTION("""COMPUTED_VALUE"""),"Essential")</f>
        <v>Essential</v>
      </c>
      <c r="D108" s="15" t="str">
        <f>IFERROR(__xludf.DUMMYFUNCTION("""COMPUTED_VALUE"""),"Removed")</f>
        <v>Removed</v>
      </c>
      <c r="E108" s="17">
        <f>IFERROR(__xludf.DUMMYFUNCTION("""COMPUTED_VALUE"""),45293.0)</f>
        <v>45293</v>
      </c>
      <c r="F108" s="54">
        <f>IFERROR(__xludf.DUMMYFUNCTION("""COMPUTED_VALUE"""),45327.0)</f>
        <v>45327</v>
      </c>
      <c r="G108" s="19">
        <f>IFERROR(__xludf.DUMMYFUNCTION("""COMPUTED_VALUE"""),1.0999999999999999)</f>
        <v>1.1</v>
      </c>
      <c r="H108" s="17">
        <f>IFERROR(__xludf.DUMMYFUNCTION("""COMPUTED_VALUE"""),44579.0)</f>
        <v>44579</v>
      </c>
      <c r="I108" s="19">
        <f>IFERROR(__xludf.DUMMYFUNCTION("""COMPUTED_VALUE"""),1.9555555555555555)</f>
        <v>1.955555556</v>
      </c>
      <c r="J108" s="21">
        <f>IFERROR(__xludf.DUMMYFUNCTION("""COMPUTED_VALUE"""),76.0)</f>
        <v>76</v>
      </c>
      <c r="K108" s="23">
        <f>IFERROR(__xludf.DUMMYFUNCTION("""COMPUTED_VALUE"""),7.1)</f>
        <v>7.1</v>
      </c>
      <c r="L108" s="24">
        <f>IFERROR(__xludf.DUMMYFUNCTION("""COMPUTED_VALUE"""),16.0)</f>
        <v>16</v>
      </c>
      <c r="M108" s="25" t="str">
        <f>IFERROR(__xludf.DUMMYFUNCTION("""COMPUTED_VALUE"""),"RPG")</f>
        <v>RPG</v>
      </c>
      <c r="N108" s="25"/>
      <c r="O108" s="26" t="str">
        <f>IFERROR(__xludf.DUMMYFUNCTION("""COMPUTED_VALUE"""),"No")</f>
        <v>No</v>
      </c>
      <c r="P108" s="26"/>
    </row>
    <row r="109">
      <c r="A109" s="13" t="str">
        <f>IFERROR(__xludf.DUMMYFUNCTION("""COMPUTED_VALUE"""),"Sable")</f>
        <v>Sable</v>
      </c>
      <c r="B109" s="15" t="str">
        <f>IFERROR(__xludf.DUMMYFUNCTION("""COMPUTED_VALUE"""),"PS5")</f>
        <v>PS5</v>
      </c>
      <c r="C109" s="16" t="str">
        <f>IFERROR(__xludf.DUMMYFUNCTION("""COMPUTED_VALUE"""),"Essential")</f>
        <v>Essential</v>
      </c>
      <c r="D109" s="15" t="str">
        <f>IFERROR(__xludf.DUMMYFUNCTION("""COMPUTED_VALUE"""),"Removed")</f>
        <v>Removed</v>
      </c>
      <c r="E109" s="17">
        <f>IFERROR(__xludf.DUMMYFUNCTION("""COMPUTED_VALUE"""),45265.0)</f>
        <v>45265</v>
      </c>
      <c r="F109" s="54">
        <f>IFERROR(__xludf.DUMMYFUNCTION("""COMPUTED_VALUE"""),45292.0)</f>
        <v>45292</v>
      </c>
      <c r="G109" s="19">
        <f>IFERROR(__xludf.DUMMYFUNCTION("""COMPUTED_VALUE"""),0.8666666666666666)</f>
        <v>0.8666666667</v>
      </c>
      <c r="H109" s="17">
        <f>IFERROR(__xludf.DUMMYFUNCTION("""COMPUTED_VALUE"""),44462.0)</f>
        <v>44462</v>
      </c>
      <c r="I109" s="19">
        <f>IFERROR(__xludf.DUMMYFUNCTION("""COMPUTED_VALUE"""),2.2)</f>
        <v>2.2</v>
      </c>
      <c r="J109" s="21">
        <f>IFERROR(__xludf.DUMMYFUNCTION("""COMPUTED_VALUE"""),75.0)</f>
        <v>75</v>
      </c>
      <c r="K109" s="23">
        <f>IFERROR(__xludf.DUMMYFUNCTION("""COMPUTED_VALUE"""),7.0)</f>
        <v>7</v>
      </c>
      <c r="L109" s="24">
        <f>IFERROR(__xludf.DUMMYFUNCTION("""COMPUTED_VALUE"""),8.0)</f>
        <v>8</v>
      </c>
      <c r="M109" s="25" t="str">
        <f>IFERROR(__xludf.DUMMYFUNCTION("""COMPUTED_VALUE"""),"Action-Adventure")</f>
        <v>Action-Adventure</v>
      </c>
      <c r="N109" s="25"/>
      <c r="O109" s="26" t="str">
        <f>IFERROR(__xludf.DUMMYFUNCTION("""COMPUTED_VALUE"""),"No")</f>
        <v>No</v>
      </c>
      <c r="P109" s="26"/>
    </row>
    <row r="110">
      <c r="A110" s="13" t="str">
        <f>IFERROR(__xludf.DUMMYFUNCTION("""COMPUTED_VALUE"""),"Lego 2K Drive")</f>
        <v>Lego 2K Drive</v>
      </c>
      <c r="B110" s="15" t="str">
        <f>IFERROR(__xludf.DUMMYFUNCTION("""COMPUTED_VALUE"""),"PS5/PS4")</f>
        <v>PS5/PS4</v>
      </c>
      <c r="C110" s="16" t="str">
        <f>IFERROR(__xludf.DUMMYFUNCTION("""COMPUTED_VALUE"""),"Essential")</f>
        <v>Essential</v>
      </c>
      <c r="D110" s="15" t="str">
        <f>IFERROR(__xludf.DUMMYFUNCTION("""COMPUTED_VALUE"""),"Removed")</f>
        <v>Removed</v>
      </c>
      <c r="E110" s="17">
        <f>IFERROR(__xludf.DUMMYFUNCTION("""COMPUTED_VALUE"""),45265.0)</f>
        <v>45265</v>
      </c>
      <c r="F110" s="54">
        <f>IFERROR(__xludf.DUMMYFUNCTION("""COMPUTED_VALUE"""),45292.0)</f>
        <v>45292</v>
      </c>
      <c r="G110" s="19">
        <f>IFERROR(__xludf.DUMMYFUNCTION("""COMPUTED_VALUE"""),0.8666666666666666)</f>
        <v>0.8666666667</v>
      </c>
      <c r="H110" s="17">
        <f>IFERROR(__xludf.DUMMYFUNCTION("""COMPUTED_VALUE"""),45062.0)</f>
        <v>45062</v>
      </c>
      <c r="I110" s="19">
        <f>IFERROR(__xludf.DUMMYFUNCTION("""COMPUTED_VALUE"""),0.5527777777777778)</f>
        <v>0.5527777778</v>
      </c>
      <c r="J110" s="21">
        <f>IFERROR(__xludf.DUMMYFUNCTION("""COMPUTED_VALUE"""),73.0)</f>
        <v>73</v>
      </c>
      <c r="K110" s="23">
        <f>IFERROR(__xludf.DUMMYFUNCTION("""COMPUTED_VALUE"""),5.5)</f>
        <v>5.5</v>
      </c>
      <c r="L110" s="24">
        <f>IFERROR(__xludf.DUMMYFUNCTION("""COMPUTED_VALUE"""),9.0)</f>
        <v>9</v>
      </c>
      <c r="M110" s="25" t="str">
        <f>IFERROR(__xludf.DUMMYFUNCTION("""COMPUTED_VALUE"""),"Racing")</f>
        <v>Racing</v>
      </c>
      <c r="N110" s="25"/>
      <c r="O110" s="26" t="str">
        <f>IFERROR(__xludf.DUMMYFUNCTION("""COMPUTED_VALUE"""),"No")</f>
        <v>No</v>
      </c>
      <c r="P110" s="26"/>
    </row>
    <row r="111">
      <c r="A111" s="13" t="str">
        <f>IFERROR(__xludf.DUMMYFUNCTION("""COMPUTED_VALUE"""),"Powerwash Simulator")</f>
        <v>Powerwash Simulator</v>
      </c>
      <c r="B111" s="15" t="str">
        <f>IFERROR(__xludf.DUMMYFUNCTION("""COMPUTED_VALUE"""),"PS5/PS4")</f>
        <v>PS5/PS4</v>
      </c>
      <c r="C111" s="16" t="str">
        <f>IFERROR(__xludf.DUMMYFUNCTION("""COMPUTED_VALUE"""),"Essential")</f>
        <v>Essential</v>
      </c>
      <c r="D111" s="15" t="str">
        <f>IFERROR(__xludf.DUMMYFUNCTION("""COMPUTED_VALUE"""),"Removed")</f>
        <v>Removed</v>
      </c>
      <c r="E111" s="17">
        <f>IFERROR(__xludf.DUMMYFUNCTION("""COMPUTED_VALUE"""),45265.0)</f>
        <v>45265</v>
      </c>
      <c r="F111" s="54">
        <f>IFERROR(__xludf.DUMMYFUNCTION("""COMPUTED_VALUE"""),45292.0)</f>
        <v>45292</v>
      </c>
      <c r="G111" s="19">
        <f>IFERROR(__xludf.DUMMYFUNCTION("""COMPUTED_VALUE"""),0.8666666666666666)</f>
        <v>0.8666666667</v>
      </c>
      <c r="H111" s="17">
        <f>IFERROR(__xludf.DUMMYFUNCTION("""COMPUTED_VALUE"""),44335.0)</f>
        <v>44335</v>
      </c>
      <c r="I111" s="19">
        <f>IFERROR(__xludf.DUMMYFUNCTION("""COMPUTED_VALUE"""),2.5444444444444443)</f>
        <v>2.544444444</v>
      </c>
      <c r="J111" s="21">
        <f>IFERROR(__xludf.DUMMYFUNCTION("""COMPUTED_VALUE"""),75.0)</f>
        <v>75</v>
      </c>
      <c r="K111" s="23">
        <f>IFERROR(__xludf.DUMMYFUNCTION("""COMPUTED_VALUE"""),6.6)</f>
        <v>6.6</v>
      </c>
      <c r="L111" s="24">
        <f>IFERROR(__xludf.DUMMYFUNCTION("""COMPUTED_VALUE"""),37.0)</f>
        <v>37</v>
      </c>
      <c r="M111" s="25" t="str">
        <f>IFERROR(__xludf.DUMMYFUNCTION("""COMPUTED_VALUE"""),"Simulation")</f>
        <v>Simulation</v>
      </c>
      <c r="N111" s="25"/>
      <c r="O111" s="26" t="str">
        <f>IFERROR(__xludf.DUMMYFUNCTION("""COMPUTED_VALUE"""),"No")</f>
        <v>No</v>
      </c>
      <c r="P111" s="26"/>
    </row>
    <row r="112">
      <c r="A112" s="13" t="str">
        <f>IFERROR(__xludf.DUMMYFUNCTION("""COMPUTED_VALUE"""),"Aliens: Fireteam Elite")</f>
        <v>Aliens: Fireteam Elite</v>
      </c>
      <c r="B112" s="15" t="str">
        <f>IFERROR(__xludf.DUMMYFUNCTION("""COMPUTED_VALUE"""),"PS5/PS4")</f>
        <v>PS5/PS4</v>
      </c>
      <c r="C112" s="16" t="str">
        <f>IFERROR(__xludf.DUMMYFUNCTION("""COMPUTED_VALUE"""),"Essential")</f>
        <v>Essential</v>
      </c>
      <c r="D112" s="15" t="str">
        <f>IFERROR(__xludf.DUMMYFUNCTION("""COMPUTED_VALUE"""),"Removed")</f>
        <v>Removed</v>
      </c>
      <c r="E112" s="17">
        <f>IFERROR(__xludf.DUMMYFUNCTION("""COMPUTED_VALUE"""),45237.0)</f>
        <v>45237</v>
      </c>
      <c r="F112" s="54">
        <f>IFERROR(__xludf.DUMMYFUNCTION("""COMPUTED_VALUE"""),45264.0)</f>
        <v>45264</v>
      </c>
      <c r="G112" s="19">
        <f>IFERROR(__xludf.DUMMYFUNCTION("""COMPUTED_VALUE"""),0.8999999999999999)</f>
        <v>0.9</v>
      </c>
      <c r="H112" s="17">
        <f>IFERROR(__xludf.DUMMYFUNCTION("""COMPUTED_VALUE"""),44432.0)</f>
        <v>44432</v>
      </c>
      <c r="I112" s="19">
        <f>IFERROR(__xludf.DUMMYFUNCTION("""COMPUTED_VALUE"""),2.202777777777778)</f>
        <v>2.202777778</v>
      </c>
      <c r="J112" s="21">
        <f>IFERROR(__xludf.DUMMYFUNCTION("""COMPUTED_VALUE"""),67.0)</f>
        <v>67</v>
      </c>
      <c r="K112" s="23">
        <f>IFERROR(__xludf.DUMMYFUNCTION("""COMPUTED_VALUE"""),5.9)</f>
        <v>5.9</v>
      </c>
      <c r="L112" s="24">
        <f>IFERROR(__xludf.DUMMYFUNCTION("""COMPUTED_VALUE"""),9.0)</f>
        <v>9</v>
      </c>
      <c r="M112" s="25" t="str">
        <f>IFERROR(__xludf.DUMMYFUNCTION("""COMPUTED_VALUE"""),"Shooter")</f>
        <v>Shooter</v>
      </c>
      <c r="N112" s="25"/>
      <c r="O112" s="26" t="str">
        <f>IFERROR(__xludf.DUMMYFUNCTION("""COMPUTED_VALUE"""),"No")</f>
        <v>No</v>
      </c>
      <c r="P112" s="26"/>
    </row>
    <row r="113">
      <c r="A113" s="13" t="str">
        <f>IFERROR(__xludf.DUMMYFUNCTION("""COMPUTED_VALUE"""),"Dragon Ball: The Breakers")</f>
        <v>Dragon Ball: The Breakers</v>
      </c>
      <c r="B113" s="15" t="str">
        <f>IFERROR(__xludf.DUMMYFUNCTION("""COMPUTED_VALUE"""),"PS4")</f>
        <v>PS4</v>
      </c>
      <c r="C113" s="16" t="str">
        <f>IFERROR(__xludf.DUMMYFUNCTION("""COMPUTED_VALUE"""),"Essential")</f>
        <v>Essential</v>
      </c>
      <c r="D113" s="15" t="str">
        <f>IFERROR(__xludf.DUMMYFUNCTION("""COMPUTED_VALUE"""),"Removed")</f>
        <v>Removed</v>
      </c>
      <c r="E113" s="17">
        <f>IFERROR(__xludf.DUMMYFUNCTION("""COMPUTED_VALUE"""),45237.0)</f>
        <v>45237</v>
      </c>
      <c r="F113" s="54">
        <f>IFERROR(__xludf.DUMMYFUNCTION("""COMPUTED_VALUE"""),45264.0)</f>
        <v>45264</v>
      </c>
      <c r="G113" s="19">
        <f>IFERROR(__xludf.DUMMYFUNCTION("""COMPUTED_VALUE"""),0.8999999999999999)</f>
        <v>0.9</v>
      </c>
      <c r="H113" s="17">
        <f>IFERROR(__xludf.DUMMYFUNCTION("""COMPUTED_VALUE"""),44848.0)</f>
        <v>44848</v>
      </c>
      <c r="I113" s="19">
        <f>IFERROR(__xludf.DUMMYFUNCTION("""COMPUTED_VALUE"""),1.0638888888888889)</f>
        <v>1.063888889</v>
      </c>
      <c r="J113" s="21">
        <f>IFERROR(__xludf.DUMMYFUNCTION("""COMPUTED_VALUE"""),54.0)</f>
        <v>54</v>
      </c>
      <c r="K113" s="23">
        <f>IFERROR(__xludf.DUMMYFUNCTION("""COMPUTED_VALUE"""),5.1)</f>
        <v>5.1</v>
      </c>
      <c r="L113" s="24">
        <f>IFERROR(__xludf.DUMMYFUNCTION("""COMPUTED_VALUE"""),43.0)</f>
        <v>43</v>
      </c>
      <c r="M113" s="25" t="str">
        <f>IFERROR(__xludf.DUMMYFUNCTION("""COMPUTED_VALUE"""),"Action-Adventure")</f>
        <v>Action-Adventure</v>
      </c>
      <c r="N113" s="25"/>
      <c r="O113" s="26" t="str">
        <f>IFERROR(__xludf.DUMMYFUNCTION("""COMPUTED_VALUE"""),"No")</f>
        <v>No</v>
      </c>
      <c r="P113" s="26"/>
    </row>
    <row r="114">
      <c r="A114" s="13" t="str">
        <f>IFERROR(__xludf.DUMMYFUNCTION("""COMPUTED_VALUE"""),"Mafia II: Definitive Edition")</f>
        <v>Mafia II: Definitive Edition</v>
      </c>
      <c r="B114" s="15" t="str">
        <f>IFERROR(__xludf.DUMMYFUNCTION("""COMPUTED_VALUE"""),"PS4")</f>
        <v>PS4</v>
      </c>
      <c r="C114" s="16" t="str">
        <f>IFERROR(__xludf.DUMMYFUNCTION("""COMPUTED_VALUE"""),"Essential")</f>
        <v>Essential</v>
      </c>
      <c r="D114" s="15" t="str">
        <f>IFERROR(__xludf.DUMMYFUNCTION("""COMPUTED_VALUE"""),"Removed")</f>
        <v>Removed</v>
      </c>
      <c r="E114" s="17">
        <f>IFERROR(__xludf.DUMMYFUNCTION("""COMPUTED_VALUE"""),45237.0)</f>
        <v>45237</v>
      </c>
      <c r="F114" s="54">
        <f>IFERROR(__xludf.DUMMYFUNCTION("""COMPUTED_VALUE"""),45264.0)</f>
        <v>45264</v>
      </c>
      <c r="G114" s="19">
        <f>IFERROR(__xludf.DUMMYFUNCTION("""COMPUTED_VALUE"""),0.8999999999999999)</f>
        <v>0.9</v>
      </c>
      <c r="H114" s="17">
        <f>IFERROR(__xludf.DUMMYFUNCTION("""COMPUTED_VALUE"""),43970.0)</f>
        <v>43970</v>
      </c>
      <c r="I114" s="19">
        <f>IFERROR(__xludf.DUMMYFUNCTION("""COMPUTED_VALUE"""),3.466666666666667)</f>
        <v>3.466666667</v>
      </c>
      <c r="J114" s="21">
        <f>IFERROR(__xludf.DUMMYFUNCTION("""COMPUTED_VALUE"""),56.0)</f>
        <v>56</v>
      </c>
      <c r="K114" s="23">
        <f>IFERROR(__xludf.DUMMYFUNCTION("""COMPUTED_VALUE"""),5.9)</f>
        <v>5.9</v>
      </c>
      <c r="L114" s="24">
        <f>IFERROR(__xludf.DUMMYFUNCTION("""COMPUTED_VALUE"""),11.0)</f>
        <v>11</v>
      </c>
      <c r="M114" s="25" t="str">
        <f>IFERROR(__xludf.DUMMYFUNCTION("""COMPUTED_VALUE"""),"Shooter")</f>
        <v>Shooter</v>
      </c>
      <c r="N114" s="25"/>
      <c r="O114" s="26" t="str">
        <f>IFERROR(__xludf.DUMMYFUNCTION("""COMPUTED_VALUE"""),"No")</f>
        <v>No</v>
      </c>
      <c r="P114" s="26"/>
    </row>
    <row r="115">
      <c r="A115" s="13" t="str">
        <f>IFERROR(__xludf.DUMMYFUNCTION("""COMPUTED_VALUE"""),"Farming Simulator 22")</f>
        <v>Farming Simulator 22</v>
      </c>
      <c r="B115" s="15" t="str">
        <f>IFERROR(__xludf.DUMMYFUNCTION("""COMPUTED_VALUE"""),"PS5/PS4")</f>
        <v>PS5/PS4</v>
      </c>
      <c r="C115" s="16" t="str">
        <f>IFERROR(__xludf.DUMMYFUNCTION("""COMPUTED_VALUE"""),"Essential")</f>
        <v>Essential</v>
      </c>
      <c r="D115" s="15" t="str">
        <f>IFERROR(__xludf.DUMMYFUNCTION("""COMPUTED_VALUE"""),"Removed")</f>
        <v>Removed</v>
      </c>
      <c r="E115" s="17">
        <f>IFERROR(__xludf.DUMMYFUNCTION("""COMPUTED_VALUE"""),45202.0)</f>
        <v>45202</v>
      </c>
      <c r="F115" s="54">
        <f>IFERROR(__xludf.DUMMYFUNCTION("""COMPUTED_VALUE"""),45236.0)</f>
        <v>45236</v>
      </c>
      <c r="G115" s="19">
        <f>IFERROR(__xludf.DUMMYFUNCTION("""COMPUTED_VALUE"""),1.0999999999999999)</f>
        <v>1.1</v>
      </c>
      <c r="H115" s="17">
        <f>IFERROR(__xludf.DUMMYFUNCTION("""COMPUTED_VALUE"""),44522.0)</f>
        <v>44522</v>
      </c>
      <c r="I115" s="19">
        <f>IFERROR(__xludf.DUMMYFUNCTION("""COMPUTED_VALUE"""),1.863888888888889)</f>
        <v>1.863888889</v>
      </c>
      <c r="J115" s="21">
        <f>IFERROR(__xludf.DUMMYFUNCTION("""COMPUTED_VALUE"""),75.0)</f>
        <v>75</v>
      </c>
      <c r="K115" s="23">
        <f>IFERROR(__xludf.DUMMYFUNCTION("""COMPUTED_VALUE"""),6.3)</f>
        <v>6.3</v>
      </c>
      <c r="L115" s="24">
        <f>IFERROR(__xludf.DUMMYFUNCTION("""COMPUTED_VALUE"""),324.0)</f>
        <v>324</v>
      </c>
      <c r="M115" s="25" t="str">
        <f>IFERROR(__xludf.DUMMYFUNCTION("""COMPUTED_VALUE"""),"Simulation")</f>
        <v>Simulation</v>
      </c>
      <c r="N115" s="25"/>
      <c r="O115" s="26" t="str">
        <f>IFERROR(__xludf.DUMMYFUNCTION("""COMPUTED_VALUE"""),"No")</f>
        <v>No</v>
      </c>
      <c r="P115" s="26"/>
    </row>
    <row r="116">
      <c r="A116" s="13" t="str">
        <f>IFERROR(__xludf.DUMMYFUNCTION("""COMPUTED_VALUE"""),"The Callisto Protocol")</f>
        <v>The Callisto Protocol</v>
      </c>
      <c r="B116" s="15" t="str">
        <f>IFERROR(__xludf.DUMMYFUNCTION("""COMPUTED_VALUE"""),"PS5/PS4")</f>
        <v>PS5/PS4</v>
      </c>
      <c r="C116" s="16" t="str">
        <f>IFERROR(__xludf.DUMMYFUNCTION("""COMPUTED_VALUE"""),"Essential")</f>
        <v>Essential</v>
      </c>
      <c r="D116" s="15" t="str">
        <f>IFERROR(__xludf.DUMMYFUNCTION("""COMPUTED_VALUE"""),"Removed")</f>
        <v>Removed</v>
      </c>
      <c r="E116" s="17">
        <f>IFERROR(__xludf.DUMMYFUNCTION("""COMPUTED_VALUE"""),45202.0)</f>
        <v>45202</v>
      </c>
      <c r="F116" s="54">
        <f>IFERROR(__xludf.DUMMYFUNCTION("""COMPUTED_VALUE"""),45236.0)</f>
        <v>45236</v>
      </c>
      <c r="G116" s="19">
        <f>IFERROR(__xludf.DUMMYFUNCTION("""COMPUTED_VALUE"""),1.0999999999999999)</f>
        <v>1.1</v>
      </c>
      <c r="H116" s="17">
        <f>IFERROR(__xludf.DUMMYFUNCTION("""COMPUTED_VALUE"""),44897.0)</f>
        <v>44897</v>
      </c>
      <c r="I116" s="19">
        <f>IFERROR(__xludf.DUMMYFUNCTION("""COMPUTED_VALUE"""),0.8361111111111111)</f>
        <v>0.8361111111</v>
      </c>
      <c r="J116" s="21">
        <f>IFERROR(__xludf.DUMMYFUNCTION("""COMPUTED_VALUE"""),69.0)</f>
        <v>69</v>
      </c>
      <c r="K116" s="23">
        <f>IFERROR(__xludf.DUMMYFUNCTION("""COMPUTED_VALUE"""),6.9)</f>
        <v>6.9</v>
      </c>
      <c r="L116" s="24">
        <f>IFERROR(__xludf.DUMMYFUNCTION("""COMPUTED_VALUE"""),10.0)</f>
        <v>10</v>
      </c>
      <c r="M116" s="25" t="str">
        <f>IFERROR(__xludf.DUMMYFUNCTION("""COMPUTED_VALUE"""),"Action-Adventure")</f>
        <v>Action-Adventure</v>
      </c>
      <c r="N116" s="25"/>
      <c r="O116" s="26" t="str">
        <f>IFERROR(__xludf.DUMMYFUNCTION("""COMPUTED_VALUE"""),"No")</f>
        <v>No</v>
      </c>
      <c r="P116" s="26"/>
    </row>
    <row r="117">
      <c r="A117" s="13" t="str">
        <f>IFERROR(__xludf.DUMMYFUNCTION("""COMPUTED_VALUE"""),"Weird West")</f>
        <v>Weird West</v>
      </c>
      <c r="B117" s="15" t="str">
        <f>IFERROR(__xludf.DUMMYFUNCTION("""COMPUTED_VALUE"""),"PS5/PS4")</f>
        <v>PS5/PS4</v>
      </c>
      <c r="C117" s="16" t="str">
        <f>IFERROR(__xludf.DUMMYFUNCTION("""COMPUTED_VALUE"""),"Essential")</f>
        <v>Essential</v>
      </c>
      <c r="D117" s="15" t="str">
        <f>IFERROR(__xludf.DUMMYFUNCTION("""COMPUTED_VALUE"""),"Removed")</f>
        <v>Removed</v>
      </c>
      <c r="E117" s="17">
        <f>IFERROR(__xludf.DUMMYFUNCTION("""COMPUTED_VALUE"""),45202.0)</f>
        <v>45202</v>
      </c>
      <c r="F117" s="54">
        <f>IFERROR(__xludf.DUMMYFUNCTION("""COMPUTED_VALUE"""),45236.0)</f>
        <v>45236</v>
      </c>
      <c r="G117" s="19">
        <f>IFERROR(__xludf.DUMMYFUNCTION("""COMPUTED_VALUE"""),1.0999999999999999)</f>
        <v>1.1</v>
      </c>
      <c r="H117" s="17">
        <f>IFERROR(__xludf.DUMMYFUNCTION("""COMPUTED_VALUE"""),44651.0)</f>
        <v>44651</v>
      </c>
      <c r="I117" s="19">
        <f>IFERROR(__xludf.DUMMYFUNCTION("""COMPUTED_VALUE"""),1.5083333333333333)</f>
        <v>1.508333333</v>
      </c>
      <c r="J117" s="21">
        <f>IFERROR(__xludf.DUMMYFUNCTION("""COMPUTED_VALUE"""),73.0)</f>
        <v>73</v>
      </c>
      <c r="K117" s="23">
        <f>IFERROR(__xludf.DUMMYFUNCTION("""COMPUTED_VALUE"""),7.0)</f>
        <v>7</v>
      </c>
      <c r="L117" s="24">
        <f>IFERROR(__xludf.DUMMYFUNCTION("""COMPUTED_VALUE"""),18.0)</f>
        <v>18</v>
      </c>
      <c r="M117" s="25" t="str">
        <f>IFERROR(__xludf.DUMMYFUNCTION("""COMPUTED_VALUE"""),"Action-Adventure")</f>
        <v>Action-Adventure</v>
      </c>
      <c r="N117" s="25"/>
      <c r="O117" s="26" t="str">
        <f>IFERROR(__xludf.DUMMYFUNCTION("""COMPUTED_VALUE"""),"No")</f>
        <v>No</v>
      </c>
      <c r="P117" s="26"/>
    </row>
    <row r="118">
      <c r="A118" s="13" t="str">
        <f>IFERROR(__xludf.DUMMYFUNCTION("""COMPUTED_VALUE"""),"Saints Row (2022)")</f>
        <v>Saints Row (2022)</v>
      </c>
      <c r="B118" s="15" t="str">
        <f>IFERROR(__xludf.DUMMYFUNCTION("""COMPUTED_VALUE"""),"PS5/PS4")</f>
        <v>PS5/PS4</v>
      </c>
      <c r="C118" s="16" t="str">
        <f>IFERROR(__xludf.DUMMYFUNCTION("""COMPUTED_VALUE"""),"Essential")</f>
        <v>Essential</v>
      </c>
      <c r="D118" s="15" t="str">
        <f>IFERROR(__xludf.DUMMYFUNCTION("""COMPUTED_VALUE"""),"Removed")</f>
        <v>Removed</v>
      </c>
      <c r="E118" s="17">
        <f>IFERROR(__xludf.DUMMYFUNCTION("""COMPUTED_VALUE"""),45174.0)</f>
        <v>45174</v>
      </c>
      <c r="F118" s="54">
        <f>IFERROR(__xludf.DUMMYFUNCTION("""COMPUTED_VALUE"""),45201.0)</f>
        <v>45201</v>
      </c>
      <c r="G118" s="19">
        <f>IFERROR(__xludf.DUMMYFUNCTION("""COMPUTED_VALUE"""),0.8999999999999999)</f>
        <v>0.9</v>
      </c>
      <c r="H118" s="17">
        <f>IFERROR(__xludf.DUMMYFUNCTION("""COMPUTED_VALUE"""),44796.0)</f>
        <v>44796</v>
      </c>
      <c r="I118" s="19">
        <f>IFERROR(__xludf.DUMMYFUNCTION("""COMPUTED_VALUE"""),1.0333333333333334)</f>
        <v>1.033333333</v>
      </c>
      <c r="J118" s="21">
        <f>IFERROR(__xludf.DUMMYFUNCTION("""COMPUTED_VALUE"""),61.0)</f>
        <v>61</v>
      </c>
      <c r="K118" s="23">
        <f>IFERROR(__xludf.DUMMYFUNCTION("""COMPUTED_VALUE"""),2.9)</f>
        <v>2.9</v>
      </c>
      <c r="L118" s="24">
        <f>IFERROR(__xludf.DUMMYFUNCTION("""COMPUTED_VALUE"""),13.0)</f>
        <v>13</v>
      </c>
      <c r="M118" s="25" t="str">
        <f>IFERROR(__xludf.DUMMYFUNCTION("""COMPUTED_VALUE"""),"Shooter")</f>
        <v>Shooter</v>
      </c>
      <c r="N118" s="25"/>
      <c r="O118" s="26" t="str">
        <f>IFERROR(__xludf.DUMMYFUNCTION("""COMPUTED_VALUE"""),"No")</f>
        <v>No</v>
      </c>
      <c r="P118" s="26"/>
    </row>
    <row r="119">
      <c r="A119" s="13" t="str">
        <f>IFERROR(__xludf.DUMMYFUNCTION("""COMPUTED_VALUE"""),"Black Desert: Traveler Edition")</f>
        <v>Black Desert: Traveler Edition</v>
      </c>
      <c r="B119" s="15" t="str">
        <f>IFERROR(__xludf.DUMMYFUNCTION("""COMPUTED_VALUE"""),"PS4")</f>
        <v>PS4</v>
      </c>
      <c r="C119" s="16" t="str">
        <f>IFERROR(__xludf.DUMMYFUNCTION("""COMPUTED_VALUE"""),"Essential")</f>
        <v>Essential</v>
      </c>
      <c r="D119" s="15" t="str">
        <f>IFERROR(__xludf.DUMMYFUNCTION("""COMPUTED_VALUE"""),"Removed")</f>
        <v>Removed</v>
      </c>
      <c r="E119" s="17">
        <f>IFERROR(__xludf.DUMMYFUNCTION("""COMPUTED_VALUE"""),45174.0)</f>
        <v>45174</v>
      </c>
      <c r="F119" s="54">
        <f>IFERROR(__xludf.DUMMYFUNCTION("""COMPUTED_VALUE"""),45201.0)</f>
        <v>45201</v>
      </c>
      <c r="G119" s="19">
        <f>IFERROR(__xludf.DUMMYFUNCTION("""COMPUTED_VALUE"""),0.8999999999999999)</f>
        <v>0.9</v>
      </c>
      <c r="H119" s="17">
        <f>IFERROR(__xludf.DUMMYFUNCTION("""COMPUTED_VALUE"""),43699.0)</f>
        <v>43699</v>
      </c>
      <c r="I119" s="19">
        <f>IFERROR(__xludf.DUMMYFUNCTION("""COMPUTED_VALUE"""),4.036111111111111)</f>
        <v>4.036111111</v>
      </c>
      <c r="J119" s="21">
        <f>IFERROR(__xludf.DUMMYFUNCTION("""COMPUTED_VALUE"""),61.0)</f>
        <v>61</v>
      </c>
      <c r="K119" s="23">
        <f>IFERROR(__xludf.DUMMYFUNCTION("""COMPUTED_VALUE"""),3.8)</f>
        <v>3.8</v>
      </c>
      <c r="L119" s="24">
        <f>IFERROR(__xludf.DUMMYFUNCTION("""COMPUTED_VALUE"""),69.0)</f>
        <v>69</v>
      </c>
      <c r="M119" s="25" t="str">
        <f>IFERROR(__xludf.DUMMYFUNCTION("""COMPUTED_VALUE"""),"RPG")</f>
        <v>RPG</v>
      </c>
      <c r="N119" s="25"/>
      <c r="O119" s="26" t="str">
        <f>IFERROR(__xludf.DUMMYFUNCTION("""COMPUTED_VALUE"""),"No")</f>
        <v>No</v>
      </c>
      <c r="P119" s="26"/>
    </row>
    <row r="120">
      <c r="A120" s="13" t="str">
        <f>IFERROR(__xludf.DUMMYFUNCTION("""COMPUTED_VALUE"""),"Generation Zero")</f>
        <v>Generation Zero</v>
      </c>
      <c r="B120" s="15" t="str">
        <f>IFERROR(__xludf.DUMMYFUNCTION("""COMPUTED_VALUE"""),"PS4")</f>
        <v>PS4</v>
      </c>
      <c r="C120" s="16" t="str">
        <f>IFERROR(__xludf.DUMMYFUNCTION("""COMPUTED_VALUE"""),"Essential")</f>
        <v>Essential</v>
      </c>
      <c r="D120" s="15" t="str">
        <f>IFERROR(__xludf.DUMMYFUNCTION("""COMPUTED_VALUE"""),"Removed")</f>
        <v>Removed</v>
      </c>
      <c r="E120" s="17">
        <f>IFERROR(__xludf.DUMMYFUNCTION("""COMPUTED_VALUE"""),45174.0)</f>
        <v>45174</v>
      </c>
      <c r="F120" s="54">
        <f>IFERROR(__xludf.DUMMYFUNCTION("""COMPUTED_VALUE"""),45201.0)</f>
        <v>45201</v>
      </c>
      <c r="G120" s="19">
        <f>IFERROR(__xludf.DUMMYFUNCTION("""COMPUTED_VALUE"""),0.8999999999999999)</f>
        <v>0.9</v>
      </c>
      <c r="H120" s="17">
        <f>IFERROR(__xludf.DUMMYFUNCTION("""COMPUTED_VALUE"""),43550.0)</f>
        <v>43550</v>
      </c>
      <c r="I120" s="19">
        <f>IFERROR(__xludf.DUMMYFUNCTION("""COMPUTED_VALUE"""),4.441666666666666)</f>
        <v>4.441666667</v>
      </c>
      <c r="J120" s="21">
        <f>IFERROR(__xludf.DUMMYFUNCTION("""COMPUTED_VALUE"""),45.0)</f>
        <v>45</v>
      </c>
      <c r="K120" s="23">
        <f>IFERROR(__xludf.DUMMYFUNCTION("""COMPUTED_VALUE"""),5.9)</f>
        <v>5.9</v>
      </c>
      <c r="L120" s="24">
        <f>IFERROR(__xludf.DUMMYFUNCTION("""COMPUTED_VALUE"""),19.0)</f>
        <v>19</v>
      </c>
      <c r="M120" s="25" t="str">
        <f>IFERROR(__xludf.DUMMYFUNCTION("""COMPUTED_VALUE"""),"Shooter")</f>
        <v>Shooter</v>
      </c>
      <c r="N120" s="25"/>
      <c r="O120" s="26" t="str">
        <f>IFERROR(__xludf.DUMMYFUNCTION("""COMPUTED_VALUE"""),"No")</f>
        <v>No</v>
      </c>
      <c r="P120" s="26"/>
    </row>
    <row r="121">
      <c r="A121" s="13" t="str">
        <f>IFERROR(__xludf.DUMMYFUNCTION("""COMPUTED_VALUE"""),"Death's Door")</f>
        <v>Death's Door</v>
      </c>
      <c r="B121" s="15" t="str">
        <f>IFERROR(__xludf.DUMMYFUNCTION("""COMPUTED_VALUE"""),"PS5/PS4")</f>
        <v>PS5/PS4</v>
      </c>
      <c r="C121" s="16" t="str">
        <f>IFERROR(__xludf.DUMMYFUNCTION("""COMPUTED_VALUE"""),"Essential")</f>
        <v>Essential</v>
      </c>
      <c r="D121" s="15" t="str">
        <f>IFERROR(__xludf.DUMMYFUNCTION("""COMPUTED_VALUE"""),"Removed")</f>
        <v>Removed</v>
      </c>
      <c r="E121" s="17">
        <f>IFERROR(__xludf.DUMMYFUNCTION("""COMPUTED_VALUE"""),45139.0)</f>
        <v>45139</v>
      </c>
      <c r="F121" s="54">
        <f>IFERROR(__xludf.DUMMYFUNCTION("""COMPUTED_VALUE"""),45173.0)</f>
        <v>45173</v>
      </c>
      <c r="G121" s="19">
        <f>IFERROR(__xludf.DUMMYFUNCTION("""COMPUTED_VALUE"""),1.0999999999999999)</f>
        <v>1.1</v>
      </c>
      <c r="H121" s="17">
        <f>IFERROR(__xludf.DUMMYFUNCTION("""COMPUTED_VALUE"""),44523.0)</f>
        <v>44523</v>
      </c>
      <c r="I121" s="19">
        <f>IFERROR(__xludf.DUMMYFUNCTION("""COMPUTED_VALUE"""),1.6888888888888889)</f>
        <v>1.688888889</v>
      </c>
      <c r="J121" s="21">
        <f>IFERROR(__xludf.DUMMYFUNCTION("""COMPUTED_VALUE"""),85.0)</f>
        <v>85</v>
      </c>
      <c r="K121" s="23">
        <f>IFERROR(__xludf.DUMMYFUNCTION("""COMPUTED_VALUE"""),6.7)</f>
        <v>6.7</v>
      </c>
      <c r="L121" s="24">
        <f>IFERROR(__xludf.DUMMYFUNCTION("""COMPUTED_VALUE"""),9.0)</f>
        <v>9</v>
      </c>
      <c r="M121" s="25" t="str">
        <f>IFERROR(__xludf.DUMMYFUNCTION("""COMPUTED_VALUE"""),"Action-Adventure")</f>
        <v>Action-Adventure</v>
      </c>
      <c r="N121" s="25"/>
      <c r="O121" s="26" t="str">
        <f>IFERROR(__xludf.DUMMYFUNCTION("""COMPUTED_VALUE"""),"No")</f>
        <v>No</v>
      </c>
      <c r="P121" s="26"/>
    </row>
    <row r="122">
      <c r="A122" s="13" t="str">
        <f>IFERROR(__xludf.DUMMYFUNCTION("""COMPUTED_VALUE"""),"PGA Tour 2K23")</f>
        <v>PGA Tour 2K23</v>
      </c>
      <c r="B122" s="15" t="str">
        <f>IFERROR(__xludf.DUMMYFUNCTION("""COMPUTED_VALUE"""),"PS5/PS4")</f>
        <v>PS5/PS4</v>
      </c>
      <c r="C122" s="16" t="str">
        <f>IFERROR(__xludf.DUMMYFUNCTION("""COMPUTED_VALUE"""),"Essential")</f>
        <v>Essential</v>
      </c>
      <c r="D122" s="15" t="str">
        <f>IFERROR(__xludf.DUMMYFUNCTION("""COMPUTED_VALUE"""),"Removed")</f>
        <v>Removed</v>
      </c>
      <c r="E122" s="17">
        <f>IFERROR(__xludf.DUMMYFUNCTION("""COMPUTED_VALUE"""),45139.0)</f>
        <v>45139</v>
      </c>
      <c r="F122" s="54">
        <f>IFERROR(__xludf.DUMMYFUNCTION("""COMPUTED_VALUE"""),45173.0)</f>
        <v>45173</v>
      </c>
      <c r="G122" s="19">
        <f>IFERROR(__xludf.DUMMYFUNCTION("""COMPUTED_VALUE"""),1.0999999999999999)</f>
        <v>1.1</v>
      </c>
      <c r="H122" s="17">
        <f>IFERROR(__xludf.DUMMYFUNCTION("""COMPUTED_VALUE"""),44845.0)</f>
        <v>44845</v>
      </c>
      <c r="I122" s="19">
        <f>IFERROR(__xludf.DUMMYFUNCTION("""COMPUTED_VALUE"""),0.8055555555555556)</f>
        <v>0.8055555556</v>
      </c>
      <c r="J122" s="21">
        <f>IFERROR(__xludf.DUMMYFUNCTION("""COMPUTED_VALUE"""),76.0)</f>
        <v>76</v>
      </c>
      <c r="K122" s="23">
        <f>IFERROR(__xludf.DUMMYFUNCTION("""COMPUTED_VALUE"""),5.4)</f>
        <v>5.4</v>
      </c>
      <c r="L122" s="24">
        <f>IFERROR(__xludf.DUMMYFUNCTION("""COMPUTED_VALUE"""),16.0)</f>
        <v>16</v>
      </c>
      <c r="M122" s="25" t="str">
        <f>IFERROR(__xludf.DUMMYFUNCTION("""COMPUTED_VALUE"""),"Sports")</f>
        <v>Sports</v>
      </c>
      <c r="N122" s="25"/>
      <c r="O122" s="26" t="str">
        <f>IFERROR(__xludf.DUMMYFUNCTION("""COMPUTED_VALUE"""),"No")</f>
        <v>No</v>
      </c>
      <c r="P122" s="26"/>
    </row>
    <row r="123">
      <c r="A123" s="13" t="str">
        <f>IFERROR(__xludf.DUMMYFUNCTION("""COMPUTED_VALUE"""),"Dreams")</f>
        <v>Dreams</v>
      </c>
      <c r="B123" s="15" t="str">
        <f>IFERROR(__xludf.DUMMYFUNCTION("""COMPUTED_VALUE"""),"PS4")</f>
        <v>PS4</v>
      </c>
      <c r="C123" s="16" t="str">
        <f>IFERROR(__xludf.DUMMYFUNCTION("""COMPUTED_VALUE"""),"Essential")</f>
        <v>Essential</v>
      </c>
      <c r="D123" s="15" t="str">
        <f>IFERROR(__xludf.DUMMYFUNCTION("""COMPUTED_VALUE"""),"Removed")</f>
        <v>Removed</v>
      </c>
      <c r="E123" s="17">
        <f>IFERROR(__xludf.DUMMYFUNCTION("""COMPUTED_VALUE"""),45139.0)</f>
        <v>45139</v>
      </c>
      <c r="F123" s="54">
        <f>IFERROR(__xludf.DUMMYFUNCTION("""COMPUTED_VALUE"""),45173.0)</f>
        <v>45173</v>
      </c>
      <c r="G123" s="19">
        <f>IFERROR(__xludf.DUMMYFUNCTION("""COMPUTED_VALUE"""),1.0999999999999999)</f>
        <v>1.1</v>
      </c>
      <c r="H123" s="17">
        <f>IFERROR(__xludf.DUMMYFUNCTION("""COMPUTED_VALUE"""),43875.0)</f>
        <v>43875</v>
      </c>
      <c r="I123" s="19">
        <f>IFERROR(__xludf.DUMMYFUNCTION("""COMPUTED_VALUE"""),3.463888888888889)</f>
        <v>3.463888889</v>
      </c>
      <c r="J123" s="21">
        <f>IFERROR(__xludf.DUMMYFUNCTION("""COMPUTED_VALUE"""),89.0)</f>
        <v>89</v>
      </c>
      <c r="K123" s="23">
        <f>IFERROR(__xludf.DUMMYFUNCTION("""COMPUTED_VALUE"""),8.7)</f>
        <v>8.7</v>
      </c>
      <c r="L123" s="24">
        <f>IFERROR(__xludf.DUMMYFUNCTION("""COMPUTED_VALUE"""),3.0)</f>
        <v>3</v>
      </c>
      <c r="M123" s="25" t="str">
        <f>IFERROR(__xludf.DUMMYFUNCTION("""COMPUTED_VALUE"""),"Action-Adventure")</f>
        <v>Action-Adventure</v>
      </c>
      <c r="N123" s="25"/>
      <c r="O123" s="26" t="str">
        <f>IFERROR(__xludf.DUMMYFUNCTION("""COMPUTED_VALUE"""),"No")</f>
        <v>No</v>
      </c>
      <c r="P123" s="26"/>
    </row>
    <row r="124">
      <c r="A124" s="13" t="str">
        <f>IFERROR(__xludf.DUMMYFUNCTION("""COMPUTED_VALUE"""),"Alan Wake: Remastered")</f>
        <v>Alan Wake: Remastered</v>
      </c>
      <c r="B124" s="15" t="str">
        <f>IFERROR(__xludf.DUMMYFUNCTION("""COMPUTED_VALUE"""),"PS5/PS4")</f>
        <v>PS5/PS4</v>
      </c>
      <c r="C124" s="16" t="str">
        <f>IFERROR(__xludf.DUMMYFUNCTION("""COMPUTED_VALUE"""),"Essential")</f>
        <v>Essential</v>
      </c>
      <c r="D124" s="15" t="str">
        <f>IFERROR(__xludf.DUMMYFUNCTION("""COMPUTED_VALUE"""),"Removed")</f>
        <v>Removed</v>
      </c>
      <c r="E124" s="17">
        <f>IFERROR(__xludf.DUMMYFUNCTION("""COMPUTED_VALUE"""),45111.0)</f>
        <v>45111</v>
      </c>
      <c r="F124" s="54">
        <f>IFERROR(__xludf.DUMMYFUNCTION("""COMPUTED_VALUE"""),45138.0)</f>
        <v>45138</v>
      </c>
      <c r="G124" s="19">
        <f>IFERROR(__xludf.DUMMYFUNCTION("""COMPUTED_VALUE"""),0.8666666666666666)</f>
        <v>0.8666666667</v>
      </c>
      <c r="H124" s="17">
        <f>IFERROR(__xludf.DUMMYFUNCTION("""COMPUTED_VALUE"""),44474.0)</f>
        <v>44474</v>
      </c>
      <c r="I124" s="19">
        <f>IFERROR(__xludf.DUMMYFUNCTION("""COMPUTED_VALUE"""),1.7472222222222222)</f>
        <v>1.747222222</v>
      </c>
      <c r="J124" s="21">
        <f>IFERROR(__xludf.DUMMYFUNCTION("""COMPUTED_VALUE"""),79.0)</f>
        <v>79</v>
      </c>
      <c r="K124" s="23">
        <f>IFERROR(__xludf.DUMMYFUNCTION("""COMPUTED_VALUE"""),8.0)</f>
        <v>8</v>
      </c>
      <c r="L124" s="24">
        <f>IFERROR(__xludf.DUMMYFUNCTION("""COMPUTED_VALUE"""),10.0)</f>
        <v>10</v>
      </c>
      <c r="M124" s="25" t="str">
        <f>IFERROR(__xludf.DUMMYFUNCTION("""COMPUTED_VALUE"""),"Action-Adventure")</f>
        <v>Action-Adventure</v>
      </c>
      <c r="N124" s="25"/>
      <c r="O124" s="26" t="str">
        <f>IFERROR(__xludf.DUMMYFUNCTION("""COMPUTED_VALUE"""),"No")</f>
        <v>No</v>
      </c>
      <c r="P124" s="26"/>
    </row>
    <row r="125">
      <c r="A125" s="13" t="str">
        <f>IFERROR(__xludf.DUMMYFUNCTION("""COMPUTED_VALUE"""),"Call of Duty: Black Ops Cold War")</f>
        <v>Call of Duty: Black Ops Cold War</v>
      </c>
      <c r="B125" s="15" t="str">
        <f>IFERROR(__xludf.DUMMYFUNCTION("""COMPUTED_VALUE"""),"PS5/PS4")</f>
        <v>PS5/PS4</v>
      </c>
      <c r="C125" s="16" t="str">
        <f>IFERROR(__xludf.DUMMYFUNCTION("""COMPUTED_VALUE"""),"Essential")</f>
        <v>Essential</v>
      </c>
      <c r="D125" s="15" t="str">
        <f>IFERROR(__xludf.DUMMYFUNCTION("""COMPUTED_VALUE"""),"Removed")</f>
        <v>Removed</v>
      </c>
      <c r="E125" s="17">
        <f>IFERROR(__xludf.DUMMYFUNCTION("""COMPUTED_VALUE"""),45111.0)</f>
        <v>45111</v>
      </c>
      <c r="F125" s="54">
        <f>IFERROR(__xludf.DUMMYFUNCTION("""COMPUTED_VALUE"""),45138.0)</f>
        <v>45138</v>
      </c>
      <c r="G125" s="19">
        <f>IFERROR(__xludf.DUMMYFUNCTION("""COMPUTED_VALUE"""),0.8666666666666666)</f>
        <v>0.8666666667</v>
      </c>
      <c r="H125" s="17">
        <f>IFERROR(__xludf.DUMMYFUNCTION("""COMPUTED_VALUE"""),44148.0)</f>
        <v>44148</v>
      </c>
      <c r="I125" s="19">
        <f>IFERROR(__xludf.DUMMYFUNCTION("""COMPUTED_VALUE"""),2.6416666666666666)</f>
        <v>2.641666667</v>
      </c>
      <c r="J125" s="21">
        <f>IFERROR(__xludf.DUMMYFUNCTION("""COMPUTED_VALUE"""),76.0)</f>
        <v>76</v>
      </c>
      <c r="K125" s="23">
        <f>IFERROR(__xludf.DUMMYFUNCTION("""COMPUTED_VALUE"""),4.1)</f>
        <v>4.1</v>
      </c>
      <c r="L125" s="24">
        <f>IFERROR(__xludf.DUMMYFUNCTION("""COMPUTED_VALUE"""),6.0)</f>
        <v>6</v>
      </c>
      <c r="M125" s="25" t="str">
        <f>IFERROR(__xludf.DUMMYFUNCTION("""COMPUTED_VALUE"""),"Shooter")</f>
        <v>Shooter</v>
      </c>
      <c r="N125" s="25"/>
      <c r="O125" s="26" t="str">
        <f>IFERROR(__xludf.DUMMYFUNCTION("""COMPUTED_VALUE"""),"No")</f>
        <v>No</v>
      </c>
      <c r="P125" s="26"/>
    </row>
    <row r="126">
      <c r="A126" s="13" t="str">
        <f>IFERROR(__xludf.DUMMYFUNCTION("""COMPUTED_VALUE"""),"Endling: Extinction is Forever")</f>
        <v>Endling: Extinction is Forever</v>
      </c>
      <c r="B126" s="15" t="str">
        <f>IFERROR(__xludf.DUMMYFUNCTION("""COMPUTED_VALUE"""),"PS5/PS4")</f>
        <v>PS5/PS4</v>
      </c>
      <c r="C126" s="16" t="str">
        <f>IFERROR(__xludf.DUMMYFUNCTION("""COMPUTED_VALUE"""),"Essential")</f>
        <v>Essential</v>
      </c>
      <c r="D126" s="15" t="str">
        <f>IFERROR(__xludf.DUMMYFUNCTION("""COMPUTED_VALUE"""),"Removed")</f>
        <v>Removed</v>
      </c>
      <c r="E126" s="17">
        <f>IFERROR(__xludf.DUMMYFUNCTION("""COMPUTED_VALUE"""),45111.0)</f>
        <v>45111</v>
      </c>
      <c r="F126" s="54">
        <f>IFERROR(__xludf.DUMMYFUNCTION("""COMPUTED_VALUE"""),45138.0)</f>
        <v>45138</v>
      </c>
      <c r="G126" s="19">
        <f>IFERROR(__xludf.DUMMYFUNCTION("""COMPUTED_VALUE"""),0.8666666666666666)</f>
        <v>0.8666666667</v>
      </c>
      <c r="H126" s="17">
        <f>IFERROR(__xludf.DUMMYFUNCTION("""COMPUTED_VALUE"""),44761.0)</f>
        <v>44761</v>
      </c>
      <c r="I126" s="19">
        <f>IFERROR(__xludf.DUMMYFUNCTION("""COMPUTED_VALUE"""),0.9583333333333334)</f>
        <v>0.9583333333</v>
      </c>
      <c r="J126" s="21">
        <f>IFERROR(__xludf.DUMMYFUNCTION("""COMPUTED_VALUE"""),82.0)</f>
        <v>82</v>
      </c>
      <c r="K126" s="23">
        <f>IFERROR(__xludf.DUMMYFUNCTION("""COMPUTED_VALUE"""),8.3)</f>
        <v>8.3</v>
      </c>
      <c r="L126" s="24">
        <f>IFERROR(__xludf.DUMMYFUNCTION("""COMPUTED_VALUE"""),4.0)</f>
        <v>4</v>
      </c>
      <c r="M126" s="25" t="str">
        <f>IFERROR(__xludf.DUMMYFUNCTION("""COMPUTED_VALUE"""),"Action-Adventure")</f>
        <v>Action-Adventure</v>
      </c>
      <c r="N126" s="25"/>
      <c r="O126" s="26" t="str">
        <f>IFERROR(__xludf.DUMMYFUNCTION("""COMPUTED_VALUE"""),"No")</f>
        <v>No</v>
      </c>
      <c r="P126" s="26"/>
    </row>
    <row r="127">
      <c r="A127" s="13" t="str">
        <f>IFERROR(__xludf.DUMMYFUNCTION("""COMPUTED_VALUE"""),"Jurassic World Evolution 2")</f>
        <v>Jurassic World Evolution 2</v>
      </c>
      <c r="B127" s="15" t="str">
        <f>IFERROR(__xludf.DUMMYFUNCTION("""COMPUTED_VALUE"""),"PS5/PS4")</f>
        <v>PS5/PS4</v>
      </c>
      <c r="C127" s="16" t="str">
        <f>IFERROR(__xludf.DUMMYFUNCTION("""COMPUTED_VALUE"""),"Essential")</f>
        <v>Essential</v>
      </c>
      <c r="D127" s="15" t="str">
        <f>IFERROR(__xludf.DUMMYFUNCTION("""COMPUTED_VALUE"""),"Removed")</f>
        <v>Removed</v>
      </c>
      <c r="E127" s="17">
        <f>IFERROR(__xludf.DUMMYFUNCTION("""COMPUTED_VALUE"""),45083.0)</f>
        <v>45083</v>
      </c>
      <c r="F127" s="54">
        <f>IFERROR(__xludf.DUMMYFUNCTION("""COMPUTED_VALUE"""),45110.0)</f>
        <v>45110</v>
      </c>
      <c r="G127" s="19">
        <f>IFERROR(__xludf.DUMMYFUNCTION("""COMPUTED_VALUE"""),0.8999999999999999)</f>
        <v>0.9</v>
      </c>
      <c r="H127" s="17">
        <f>IFERROR(__xludf.DUMMYFUNCTION("""COMPUTED_VALUE"""),44509.0)</f>
        <v>44509</v>
      </c>
      <c r="I127" s="19">
        <f>IFERROR(__xludf.DUMMYFUNCTION("""COMPUTED_VALUE"""),1.575)</f>
        <v>1.575</v>
      </c>
      <c r="J127" s="21">
        <f>IFERROR(__xludf.DUMMYFUNCTION("""COMPUTED_VALUE"""),78.0)</f>
        <v>78</v>
      </c>
      <c r="K127" s="23">
        <f>IFERROR(__xludf.DUMMYFUNCTION("""COMPUTED_VALUE"""),7.0)</f>
        <v>7</v>
      </c>
      <c r="L127" s="24">
        <f>IFERROR(__xludf.DUMMYFUNCTION("""COMPUTED_VALUE"""),6.0)</f>
        <v>6</v>
      </c>
      <c r="M127" s="25" t="str">
        <f>IFERROR(__xludf.DUMMYFUNCTION("""COMPUTED_VALUE"""),"Strategy")</f>
        <v>Strategy</v>
      </c>
      <c r="N127" s="25"/>
      <c r="O127" s="26" t="str">
        <f>IFERROR(__xludf.DUMMYFUNCTION("""COMPUTED_VALUE"""),"No")</f>
        <v>No</v>
      </c>
      <c r="P127" s="26"/>
    </row>
    <row r="128">
      <c r="A128" s="13" t="str">
        <f>IFERROR(__xludf.DUMMYFUNCTION("""COMPUTED_VALUE"""),"NBA 2K23")</f>
        <v>NBA 2K23</v>
      </c>
      <c r="B128" s="15" t="str">
        <f>IFERROR(__xludf.DUMMYFUNCTION("""COMPUTED_VALUE"""),"PS5/PS4")</f>
        <v>PS5/PS4</v>
      </c>
      <c r="C128" s="16" t="str">
        <f>IFERROR(__xludf.DUMMYFUNCTION("""COMPUTED_VALUE"""),"Essential")</f>
        <v>Essential</v>
      </c>
      <c r="D128" s="15" t="str">
        <f>IFERROR(__xludf.DUMMYFUNCTION("""COMPUTED_VALUE"""),"Removed")</f>
        <v>Removed</v>
      </c>
      <c r="E128" s="17">
        <f>IFERROR(__xludf.DUMMYFUNCTION("""COMPUTED_VALUE"""),45083.0)</f>
        <v>45083</v>
      </c>
      <c r="F128" s="54">
        <f>IFERROR(__xludf.DUMMYFUNCTION("""COMPUTED_VALUE"""),45110.0)</f>
        <v>45110</v>
      </c>
      <c r="G128" s="19">
        <f>IFERROR(__xludf.DUMMYFUNCTION("""COMPUTED_VALUE"""),0.8999999999999999)</f>
        <v>0.9</v>
      </c>
      <c r="H128" s="17">
        <f>IFERROR(__xludf.DUMMYFUNCTION("""COMPUTED_VALUE"""),44813.0)</f>
        <v>44813</v>
      </c>
      <c r="I128" s="19">
        <f>IFERROR(__xludf.DUMMYFUNCTION("""COMPUTED_VALUE"""),0.7416666666666667)</f>
        <v>0.7416666667</v>
      </c>
      <c r="J128" s="21">
        <f>IFERROR(__xludf.DUMMYFUNCTION("""COMPUTED_VALUE"""),78.0)</f>
        <v>78</v>
      </c>
      <c r="K128" s="23">
        <f>IFERROR(__xludf.DUMMYFUNCTION("""COMPUTED_VALUE"""),4.5)</f>
        <v>4.5</v>
      </c>
      <c r="L128" s="24">
        <f>IFERROR(__xludf.DUMMYFUNCTION("""COMPUTED_VALUE"""),25.0)</f>
        <v>25</v>
      </c>
      <c r="M128" s="25" t="str">
        <f>IFERROR(__xludf.DUMMYFUNCTION("""COMPUTED_VALUE"""),"Sports")</f>
        <v>Sports</v>
      </c>
      <c r="N128" s="25"/>
      <c r="O128" s="26" t="str">
        <f>IFERROR(__xludf.DUMMYFUNCTION("""COMPUTED_VALUE"""),"No")</f>
        <v>No</v>
      </c>
      <c r="P128" s="26"/>
    </row>
    <row r="129">
      <c r="A129" s="13" t="str">
        <f>IFERROR(__xludf.DUMMYFUNCTION("""COMPUTED_VALUE"""),"Trek to Yomi")</f>
        <v>Trek to Yomi</v>
      </c>
      <c r="B129" s="15" t="str">
        <f>IFERROR(__xludf.DUMMYFUNCTION("""COMPUTED_VALUE"""),"PS5/PS4")</f>
        <v>PS5/PS4</v>
      </c>
      <c r="C129" s="16" t="str">
        <f>IFERROR(__xludf.DUMMYFUNCTION("""COMPUTED_VALUE"""),"Essential")</f>
        <v>Essential</v>
      </c>
      <c r="D129" s="15" t="str">
        <f>IFERROR(__xludf.DUMMYFUNCTION("""COMPUTED_VALUE"""),"Removed")</f>
        <v>Removed</v>
      </c>
      <c r="E129" s="17">
        <f>IFERROR(__xludf.DUMMYFUNCTION("""COMPUTED_VALUE"""),45083.0)</f>
        <v>45083</v>
      </c>
      <c r="F129" s="54">
        <f>IFERROR(__xludf.DUMMYFUNCTION("""COMPUTED_VALUE"""),45110.0)</f>
        <v>45110</v>
      </c>
      <c r="G129" s="19">
        <f>IFERROR(__xludf.DUMMYFUNCTION("""COMPUTED_VALUE"""),0.8999999999999999)</f>
        <v>0.9</v>
      </c>
      <c r="H129" s="17">
        <f>IFERROR(__xludf.DUMMYFUNCTION("""COMPUTED_VALUE"""),44686.0)</f>
        <v>44686</v>
      </c>
      <c r="I129" s="19">
        <f>IFERROR(__xludf.DUMMYFUNCTION("""COMPUTED_VALUE"""),1.086111111111111)</f>
        <v>1.086111111</v>
      </c>
      <c r="J129" s="21">
        <f>IFERROR(__xludf.DUMMYFUNCTION("""COMPUTED_VALUE"""),69.0)</f>
        <v>69</v>
      </c>
      <c r="K129" s="23">
        <f>IFERROR(__xludf.DUMMYFUNCTION("""COMPUTED_VALUE"""),6.9)</f>
        <v>6.9</v>
      </c>
      <c r="L129" s="24">
        <f>IFERROR(__xludf.DUMMYFUNCTION("""COMPUTED_VALUE"""),5.0)</f>
        <v>5</v>
      </c>
      <c r="M129" s="25" t="str">
        <f>IFERROR(__xludf.DUMMYFUNCTION("""COMPUTED_VALUE"""),"Action-Adventure")</f>
        <v>Action-Adventure</v>
      </c>
      <c r="N129" s="25"/>
      <c r="O129" s="26" t="str">
        <f>IFERROR(__xludf.DUMMYFUNCTION("""COMPUTED_VALUE"""),"No")</f>
        <v>No</v>
      </c>
      <c r="P129" s="26"/>
    </row>
    <row r="130">
      <c r="A130" s="13" t="str">
        <f>IFERROR(__xludf.DUMMYFUNCTION("""COMPUTED_VALUE"""),"Chivalry II")</f>
        <v>Chivalry II</v>
      </c>
      <c r="B130" s="15" t="str">
        <f>IFERROR(__xludf.DUMMYFUNCTION("""COMPUTED_VALUE"""),"PS5/PS4")</f>
        <v>PS5/PS4</v>
      </c>
      <c r="C130" s="16" t="str">
        <f>IFERROR(__xludf.DUMMYFUNCTION("""COMPUTED_VALUE"""),"Essential")</f>
        <v>Essential</v>
      </c>
      <c r="D130" s="15" t="str">
        <f>IFERROR(__xludf.DUMMYFUNCTION("""COMPUTED_VALUE"""),"Removed")</f>
        <v>Removed</v>
      </c>
      <c r="E130" s="17">
        <f>IFERROR(__xludf.DUMMYFUNCTION("""COMPUTED_VALUE"""),45048.0)</f>
        <v>45048</v>
      </c>
      <c r="F130" s="54">
        <f>IFERROR(__xludf.DUMMYFUNCTION("""COMPUTED_VALUE"""),45082.0)</f>
        <v>45082</v>
      </c>
      <c r="G130" s="19">
        <f>IFERROR(__xludf.DUMMYFUNCTION("""COMPUTED_VALUE"""),1.0999999999999999)</f>
        <v>1.1</v>
      </c>
      <c r="H130" s="17">
        <f>IFERROR(__xludf.DUMMYFUNCTION("""COMPUTED_VALUE"""),44355.0)</f>
        <v>44355</v>
      </c>
      <c r="I130" s="19">
        <f>IFERROR(__xludf.DUMMYFUNCTION("""COMPUTED_VALUE"""),1.9)</f>
        <v>1.9</v>
      </c>
      <c r="J130" s="21">
        <f>IFERROR(__xludf.DUMMYFUNCTION("""COMPUTED_VALUE"""),66.0)</f>
        <v>66</v>
      </c>
      <c r="K130" s="23">
        <f>IFERROR(__xludf.DUMMYFUNCTION("""COMPUTED_VALUE"""),4.7)</f>
        <v>4.7</v>
      </c>
      <c r="L130" s="24">
        <f>IFERROR(__xludf.DUMMYFUNCTION("""COMPUTED_VALUE"""),45.0)</f>
        <v>45</v>
      </c>
      <c r="M130" s="25" t="str">
        <f>IFERROR(__xludf.DUMMYFUNCTION("""COMPUTED_VALUE"""),"Action-Adventure")</f>
        <v>Action-Adventure</v>
      </c>
      <c r="N130" s="25"/>
      <c r="O130" s="26" t="str">
        <f>IFERROR(__xludf.DUMMYFUNCTION("""COMPUTED_VALUE"""),"No")</f>
        <v>No</v>
      </c>
      <c r="P130" s="26"/>
    </row>
    <row r="131">
      <c r="A131" s="13" t="str">
        <f>IFERROR(__xludf.DUMMYFUNCTION("""COMPUTED_VALUE"""),"GRID: Legends")</f>
        <v>GRID: Legends</v>
      </c>
      <c r="B131" s="15" t="str">
        <f>IFERROR(__xludf.DUMMYFUNCTION("""COMPUTED_VALUE"""),"PS5/PS4")</f>
        <v>PS5/PS4</v>
      </c>
      <c r="C131" s="16" t="str">
        <f>IFERROR(__xludf.DUMMYFUNCTION("""COMPUTED_VALUE"""),"Essential")</f>
        <v>Essential</v>
      </c>
      <c r="D131" s="15" t="str">
        <f>IFERROR(__xludf.DUMMYFUNCTION("""COMPUTED_VALUE"""),"Removed")</f>
        <v>Removed</v>
      </c>
      <c r="E131" s="17">
        <f>IFERROR(__xludf.DUMMYFUNCTION("""COMPUTED_VALUE"""),45048.0)</f>
        <v>45048</v>
      </c>
      <c r="F131" s="54">
        <f>IFERROR(__xludf.DUMMYFUNCTION("""COMPUTED_VALUE"""),45082.0)</f>
        <v>45082</v>
      </c>
      <c r="G131" s="19">
        <f>IFERROR(__xludf.DUMMYFUNCTION("""COMPUTED_VALUE"""),1.0999999999999999)</f>
        <v>1.1</v>
      </c>
      <c r="H131" s="17">
        <f>IFERROR(__xludf.DUMMYFUNCTION("""COMPUTED_VALUE"""),44617.0)</f>
        <v>44617</v>
      </c>
      <c r="I131" s="19">
        <f>IFERROR(__xludf.DUMMYFUNCTION("""COMPUTED_VALUE"""),1.1861111111111111)</f>
        <v>1.186111111</v>
      </c>
      <c r="J131" s="21">
        <f>IFERROR(__xludf.DUMMYFUNCTION("""COMPUTED_VALUE"""),77.0)</f>
        <v>77</v>
      </c>
      <c r="K131" s="23">
        <f>IFERROR(__xludf.DUMMYFUNCTION("""COMPUTED_VALUE"""),5.9)</f>
        <v>5.9</v>
      </c>
      <c r="L131" s="24">
        <f>IFERROR(__xludf.DUMMYFUNCTION("""COMPUTED_VALUE"""),6.0)</f>
        <v>6</v>
      </c>
      <c r="M131" s="25" t="str">
        <f>IFERROR(__xludf.DUMMYFUNCTION("""COMPUTED_VALUE"""),"Racing")</f>
        <v>Racing</v>
      </c>
      <c r="N131" s="25"/>
      <c r="O131" s="26" t="str">
        <f>IFERROR(__xludf.DUMMYFUNCTION("""COMPUTED_VALUE"""),"No")</f>
        <v>No</v>
      </c>
      <c r="P131" s="26"/>
    </row>
    <row r="132">
      <c r="A132" s="13" t="str">
        <f>IFERROR(__xludf.DUMMYFUNCTION("""COMPUTED_VALUE"""),"Descenders")</f>
        <v>Descenders</v>
      </c>
      <c r="B132" s="15" t="str">
        <f>IFERROR(__xludf.DUMMYFUNCTION("""COMPUTED_VALUE"""),"PS4")</f>
        <v>PS4</v>
      </c>
      <c r="C132" s="16" t="str">
        <f>IFERROR(__xludf.DUMMYFUNCTION("""COMPUTED_VALUE"""),"Essential")</f>
        <v>Essential</v>
      </c>
      <c r="D132" s="15" t="str">
        <f>IFERROR(__xludf.DUMMYFUNCTION("""COMPUTED_VALUE"""),"Removed")</f>
        <v>Removed</v>
      </c>
      <c r="E132" s="17">
        <f>IFERROR(__xludf.DUMMYFUNCTION("""COMPUTED_VALUE"""),45048.0)</f>
        <v>45048</v>
      </c>
      <c r="F132" s="54">
        <f>IFERROR(__xludf.DUMMYFUNCTION("""COMPUTED_VALUE"""),45082.0)</f>
        <v>45082</v>
      </c>
      <c r="G132" s="19">
        <f>IFERROR(__xludf.DUMMYFUNCTION("""COMPUTED_VALUE"""),1.0999999999999999)</f>
        <v>1.1</v>
      </c>
      <c r="H132" s="17">
        <f>IFERROR(__xludf.DUMMYFUNCTION("""COMPUTED_VALUE"""),44068.0)</f>
        <v>44068</v>
      </c>
      <c r="I132" s="19">
        <f>IFERROR(__xludf.DUMMYFUNCTION("""COMPUTED_VALUE"""),2.686111111111111)</f>
        <v>2.686111111</v>
      </c>
      <c r="J132" s="21">
        <f>IFERROR(__xludf.DUMMYFUNCTION("""COMPUTED_VALUE"""),75.0)</f>
        <v>75</v>
      </c>
      <c r="K132" s="23">
        <f>IFERROR(__xludf.DUMMYFUNCTION("""COMPUTED_VALUE"""),5.0)</f>
        <v>5</v>
      </c>
      <c r="L132" s="24">
        <f>IFERROR(__xludf.DUMMYFUNCTION("""COMPUTED_VALUE"""),5.0)</f>
        <v>5</v>
      </c>
      <c r="M132" s="25" t="str">
        <f>IFERROR(__xludf.DUMMYFUNCTION("""COMPUTED_VALUE"""),"Racing")</f>
        <v>Racing</v>
      </c>
      <c r="N132" s="25"/>
      <c r="O132" s="26" t="str">
        <f>IFERROR(__xludf.DUMMYFUNCTION("""COMPUTED_VALUE"""),"No")</f>
        <v>No</v>
      </c>
      <c r="P132" s="26"/>
    </row>
    <row r="133">
      <c r="A133" s="13" t="str">
        <f>IFERROR(__xludf.DUMMYFUNCTION("""COMPUTED_VALUE"""),"Meet Your Maker")</f>
        <v>Meet Your Maker</v>
      </c>
      <c r="B133" s="15" t="str">
        <f>IFERROR(__xludf.DUMMYFUNCTION("""COMPUTED_VALUE"""),"PS5/PS4")</f>
        <v>PS5/PS4</v>
      </c>
      <c r="C133" s="16" t="str">
        <f>IFERROR(__xludf.DUMMYFUNCTION("""COMPUTED_VALUE"""),"Essential")</f>
        <v>Essential</v>
      </c>
      <c r="D133" s="15" t="str">
        <f>IFERROR(__xludf.DUMMYFUNCTION("""COMPUTED_VALUE"""),"Removed")</f>
        <v>Removed</v>
      </c>
      <c r="E133" s="17">
        <f>IFERROR(__xludf.DUMMYFUNCTION("""COMPUTED_VALUE"""),45020.0)</f>
        <v>45020</v>
      </c>
      <c r="F133" s="54">
        <f>IFERROR(__xludf.DUMMYFUNCTION("""COMPUTED_VALUE"""),45047.0)</f>
        <v>45047</v>
      </c>
      <c r="G133" s="19">
        <f>IFERROR(__xludf.DUMMYFUNCTION("""COMPUTED_VALUE"""),0.8999999999999999)</f>
        <v>0.9</v>
      </c>
      <c r="H133" s="17">
        <f>IFERROR(__xludf.DUMMYFUNCTION("""COMPUTED_VALUE"""),45020.0)</f>
        <v>45020</v>
      </c>
      <c r="I133" s="19">
        <f>IFERROR(__xludf.DUMMYFUNCTION("""COMPUTED_VALUE"""),0.0)</f>
        <v>0</v>
      </c>
      <c r="J133" s="21">
        <f>IFERROR(__xludf.DUMMYFUNCTION("""COMPUTED_VALUE"""),73.0)</f>
        <v>73</v>
      </c>
      <c r="K133" s="23">
        <f>IFERROR(__xludf.DUMMYFUNCTION("""COMPUTED_VALUE"""),5.5)</f>
        <v>5.5</v>
      </c>
      <c r="L133" s="24">
        <f>IFERROR(__xludf.DUMMYFUNCTION("""COMPUTED_VALUE"""),11.0)</f>
        <v>11</v>
      </c>
      <c r="M133" s="68" t="str">
        <f>IFERROR(__xludf.DUMMYFUNCTION("""COMPUTED_VALUE"""),"Shooter")</f>
        <v>Shooter</v>
      </c>
      <c r="N133" s="68"/>
      <c r="O133" s="69" t="str">
        <f>IFERROR(__xludf.DUMMYFUNCTION("""COMPUTED_VALUE"""),"No")</f>
        <v>No</v>
      </c>
      <c r="P133" s="69"/>
    </row>
    <row r="134">
      <c r="A134" s="13" t="str">
        <f>IFERROR(__xludf.DUMMYFUNCTION("""COMPUTED_VALUE"""),"Sackboy: A Big Adventure")</f>
        <v>Sackboy: A Big Adventure</v>
      </c>
      <c r="B134" s="15" t="str">
        <f>IFERROR(__xludf.DUMMYFUNCTION("""COMPUTED_VALUE"""),"PS5/PS4")</f>
        <v>PS5/PS4</v>
      </c>
      <c r="C134" s="16" t="str">
        <f>IFERROR(__xludf.DUMMYFUNCTION("""COMPUTED_VALUE"""),"Essential")</f>
        <v>Essential</v>
      </c>
      <c r="D134" s="15" t="str">
        <f>IFERROR(__xludf.DUMMYFUNCTION("""COMPUTED_VALUE"""),"Removed")</f>
        <v>Removed</v>
      </c>
      <c r="E134" s="17">
        <f>IFERROR(__xludf.DUMMYFUNCTION("""COMPUTED_VALUE"""),45020.0)</f>
        <v>45020</v>
      </c>
      <c r="F134" s="54">
        <f>IFERROR(__xludf.DUMMYFUNCTION("""COMPUTED_VALUE"""),45047.0)</f>
        <v>45047</v>
      </c>
      <c r="G134" s="19">
        <f>IFERROR(__xludf.DUMMYFUNCTION("""COMPUTED_VALUE"""),0.8999999999999999)</f>
        <v>0.9</v>
      </c>
      <c r="H134" s="17">
        <f>IFERROR(__xludf.DUMMYFUNCTION("""COMPUTED_VALUE"""),44147.0)</f>
        <v>44147</v>
      </c>
      <c r="I134" s="19">
        <f>IFERROR(__xludf.DUMMYFUNCTION("""COMPUTED_VALUE"""),2.3944444444444444)</f>
        <v>2.394444444</v>
      </c>
      <c r="J134" s="21">
        <f>IFERROR(__xludf.DUMMYFUNCTION("""COMPUTED_VALUE"""),83.0)</f>
        <v>83</v>
      </c>
      <c r="K134" s="23">
        <f>IFERROR(__xludf.DUMMYFUNCTION("""COMPUTED_VALUE"""),7.8)</f>
        <v>7.8</v>
      </c>
      <c r="L134" s="24">
        <f>IFERROR(__xludf.DUMMYFUNCTION("""COMPUTED_VALUE"""),11.0)</f>
        <v>11</v>
      </c>
      <c r="M134" s="25" t="str">
        <f>IFERROR(__xludf.DUMMYFUNCTION("""COMPUTED_VALUE"""),"Platformer")</f>
        <v>Platformer</v>
      </c>
      <c r="N134" s="25"/>
      <c r="O134" s="26" t="str">
        <f>IFERROR(__xludf.DUMMYFUNCTION("""COMPUTED_VALUE"""),"No")</f>
        <v>No</v>
      </c>
      <c r="P134" s="26" t="str">
        <f>IFERROR(__xludf.DUMMYFUNCTION("""COMPUTED_VALUE"""),"Yes")</f>
        <v>Yes</v>
      </c>
    </row>
    <row r="135">
      <c r="A135" s="13" t="str">
        <f>IFERROR(__xludf.DUMMYFUNCTION("""COMPUTED_VALUE"""),"Tails of Iron")</f>
        <v>Tails of Iron</v>
      </c>
      <c r="B135" s="15" t="str">
        <f>IFERROR(__xludf.DUMMYFUNCTION("""COMPUTED_VALUE"""),"PS5/PS4")</f>
        <v>PS5/PS4</v>
      </c>
      <c r="C135" s="16" t="str">
        <f>IFERROR(__xludf.DUMMYFUNCTION("""COMPUTED_VALUE"""),"Essential")</f>
        <v>Essential</v>
      </c>
      <c r="D135" s="15" t="str">
        <f>IFERROR(__xludf.DUMMYFUNCTION("""COMPUTED_VALUE"""),"Removed")</f>
        <v>Removed</v>
      </c>
      <c r="E135" s="17">
        <f>IFERROR(__xludf.DUMMYFUNCTION("""COMPUTED_VALUE"""),45020.0)</f>
        <v>45020</v>
      </c>
      <c r="F135" s="54">
        <f>IFERROR(__xludf.DUMMYFUNCTION("""COMPUTED_VALUE"""),45047.0)</f>
        <v>45047</v>
      </c>
      <c r="G135" s="19">
        <f>IFERROR(__xludf.DUMMYFUNCTION("""COMPUTED_VALUE"""),0.8999999999999999)</f>
        <v>0.9</v>
      </c>
      <c r="H135" s="17">
        <f>IFERROR(__xludf.DUMMYFUNCTION("""COMPUTED_VALUE"""),44517.0)</f>
        <v>44517</v>
      </c>
      <c r="I135" s="19">
        <f>IFERROR(__xludf.DUMMYFUNCTION("""COMPUTED_VALUE"""),1.3805555555555555)</f>
        <v>1.380555556</v>
      </c>
      <c r="J135" s="21">
        <f>IFERROR(__xludf.DUMMYFUNCTION("""COMPUTED_VALUE"""),81.0)</f>
        <v>81</v>
      </c>
      <c r="K135" s="23">
        <f>IFERROR(__xludf.DUMMYFUNCTION("""COMPUTED_VALUE"""),7.1)</f>
        <v>7.1</v>
      </c>
      <c r="L135" s="24">
        <f>IFERROR(__xludf.DUMMYFUNCTION("""COMPUTED_VALUE"""),7.0)</f>
        <v>7</v>
      </c>
      <c r="M135" s="25" t="str">
        <f>IFERROR(__xludf.DUMMYFUNCTION("""COMPUTED_VALUE"""),"RPG")</f>
        <v>RPG</v>
      </c>
      <c r="N135" s="25"/>
      <c r="O135" s="26" t="str">
        <f>IFERROR(__xludf.DUMMYFUNCTION("""COMPUTED_VALUE"""),"No")</f>
        <v>No</v>
      </c>
      <c r="P135" s="26"/>
    </row>
    <row r="136">
      <c r="A136" s="13" t="str">
        <f>IFERROR(__xludf.DUMMYFUNCTION("""COMPUTED_VALUE"""),"Battlefield 2042")</f>
        <v>Battlefield 2042</v>
      </c>
      <c r="B136" s="15" t="str">
        <f>IFERROR(__xludf.DUMMYFUNCTION("""COMPUTED_VALUE"""),"PS5/PS4")</f>
        <v>PS5/PS4</v>
      </c>
      <c r="C136" s="16" t="str">
        <f>IFERROR(__xludf.DUMMYFUNCTION("""COMPUTED_VALUE"""),"Essential")</f>
        <v>Essential</v>
      </c>
      <c r="D136" s="15" t="str">
        <f>IFERROR(__xludf.DUMMYFUNCTION("""COMPUTED_VALUE"""),"Removed")</f>
        <v>Removed</v>
      </c>
      <c r="E136" s="17">
        <f>IFERROR(__xludf.DUMMYFUNCTION("""COMPUTED_VALUE"""),44992.0)</f>
        <v>44992</v>
      </c>
      <c r="F136" s="54">
        <f>IFERROR(__xludf.DUMMYFUNCTION("""COMPUTED_VALUE"""),45019.0)</f>
        <v>45019</v>
      </c>
      <c r="G136" s="19">
        <f>IFERROR(__xludf.DUMMYFUNCTION("""COMPUTED_VALUE"""),0.8666666666666666)</f>
        <v>0.8666666667</v>
      </c>
      <c r="H136" s="17">
        <f>IFERROR(__xludf.DUMMYFUNCTION("""COMPUTED_VALUE"""),44512.0)</f>
        <v>44512</v>
      </c>
      <c r="I136" s="19">
        <f>IFERROR(__xludf.DUMMYFUNCTION("""COMPUTED_VALUE"""),1.3194444444444444)</f>
        <v>1.319444444</v>
      </c>
      <c r="J136" s="21">
        <f>IFERROR(__xludf.DUMMYFUNCTION("""COMPUTED_VALUE"""),63.0)</f>
        <v>63</v>
      </c>
      <c r="K136" s="23">
        <f>IFERROR(__xludf.DUMMYFUNCTION("""COMPUTED_VALUE"""),2.6)</f>
        <v>2.6</v>
      </c>
      <c r="L136" s="24">
        <f>IFERROR(__xludf.DUMMYFUNCTION("""COMPUTED_VALUE"""),65.0)</f>
        <v>65</v>
      </c>
      <c r="M136" s="25" t="str">
        <f>IFERROR(__xludf.DUMMYFUNCTION("""COMPUTED_VALUE"""),"Shooter")</f>
        <v>Shooter</v>
      </c>
      <c r="N136" s="25"/>
      <c r="O136" s="26" t="str">
        <f>IFERROR(__xludf.DUMMYFUNCTION("""COMPUTED_VALUE"""),"Yes")</f>
        <v>Yes</v>
      </c>
      <c r="P136" s="26"/>
    </row>
    <row r="137">
      <c r="A137" s="13" t="str">
        <f>IFERROR(__xludf.DUMMYFUNCTION("""COMPUTED_VALUE"""),"Minecraft: Dungeons")</f>
        <v>Minecraft: Dungeons</v>
      </c>
      <c r="B137" s="15" t="str">
        <f>IFERROR(__xludf.DUMMYFUNCTION("""COMPUTED_VALUE"""),"PS4")</f>
        <v>PS4</v>
      </c>
      <c r="C137" s="16" t="str">
        <f>IFERROR(__xludf.DUMMYFUNCTION("""COMPUTED_VALUE"""),"Essential")</f>
        <v>Essential</v>
      </c>
      <c r="D137" s="15" t="str">
        <f>IFERROR(__xludf.DUMMYFUNCTION("""COMPUTED_VALUE"""),"Removed")</f>
        <v>Removed</v>
      </c>
      <c r="E137" s="17">
        <f>IFERROR(__xludf.DUMMYFUNCTION("""COMPUTED_VALUE"""),44992.0)</f>
        <v>44992</v>
      </c>
      <c r="F137" s="54">
        <f>IFERROR(__xludf.DUMMYFUNCTION("""COMPUTED_VALUE"""),45019.0)</f>
        <v>45019</v>
      </c>
      <c r="G137" s="19">
        <f>IFERROR(__xludf.DUMMYFUNCTION("""COMPUTED_VALUE"""),0.8666666666666666)</f>
        <v>0.8666666667</v>
      </c>
      <c r="H137" s="17">
        <f>IFERROR(__xludf.DUMMYFUNCTION("""COMPUTED_VALUE"""),43977.0)</f>
        <v>43977</v>
      </c>
      <c r="I137" s="19">
        <f>IFERROR(__xludf.DUMMYFUNCTION("""COMPUTED_VALUE"""),2.7805555555555554)</f>
        <v>2.780555556</v>
      </c>
      <c r="J137" s="21">
        <f>IFERROR(__xludf.DUMMYFUNCTION("""COMPUTED_VALUE"""),78.0)</f>
        <v>78</v>
      </c>
      <c r="K137" s="23">
        <f>IFERROR(__xludf.DUMMYFUNCTION("""COMPUTED_VALUE"""),6.2)</f>
        <v>6.2</v>
      </c>
      <c r="L137" s="24">
        <f>IFERROR(__xludf.DUMMYFUNCTION("""COMPUTED_VALUE"""),6.0)</f>
        <v>6</v>
      </c>
      <c r="M137" s="25" t="str">
        <f>IFERROR(__xludf.DUMMYFUNCTION("""COMPUTED_VALUE"""),"RPG")</f>
        <v>RPG</v>
      </c>
      <c r="N137" s="25"/>
      <c r="O137" s="26" t="str">
        <f>IFERROR(__xludf.DUMMYFUNCTION("""COMPUTED_VALUE"""),"No")</f>
        <v>No</v>
      </c>
      <c r="P137" s="26"/>
    </row>
    <row r="138">
      <c r="A138" s="13" t="str">
        <f>IFERROR(__xludf.DUMMYFUNCTION("""COMPUTED_VALUE"""),"Code Vein")</f>
        <v>Code Vein</v>
      </c>
      <c r="B138" s="15" t="str">
        <f>IFERROR(__xludf.DUMMYFUNCTION("""COMPUTED_VALUE"""),"PS4")</f>
        <v>PS4</v>
      </c>
      <c r="C138" s="16" t="str">
        <f>IFERROR(__xludf.DUMMYFUNCTION("""COMPUTED_VALUE"""),"Essential")</f>
        <v>Essential</v>
      </c>
      <c r="D138" s="15" t="str">
        <f>IFERROR(__xludf.DUMMYFUNCTION("""COMPUTED_VALUE"""),"Removed")</f>
        <v>Removed</v>
      </c>
      <c r="E138" s="17">
        <f>IFERROR(__xludf.DUMMYFUNCTION("""COMPUTED_VALUE"""),44992.0)</f>
        <v>44992</v>
      </c>
      <c r="F138" s="18">
        <f>IFERROR(__xludf.DUMMYFUNCTION("""COMPUTED_VALUE"""),45019.0)</f>
        <v>45019</v>
      </c>
      <c r="G138" s="19">
        <f>IFERROR(__xludf.DUMMYFUNCTION("""COMPUTED_VALUE"""),0.8666666666666666)</f>
        <v>0.8666666667</v>
      </c>
      <c r="H138" s="17">
        <f>IFERROR(__xludf.DUMMYFUNCTION("""COMPUTED_VALUE"""),43735.0)</f>
        <v>43735</v>
      </c>
      <c r="I138" s="19">
        <f>IFERROR(__xludf.DUMMYFUNCTION("""COMPUTED_VALUE"""),3.4444444444444446)</f>
        <v>3.444444444</v>
      </c>
      <c r="J138" s="21">
        <f>IFERROR(__xludf.DUMMYFUNCTION("""COMPUTED_VALUE"""),70.0)</f>
        <v>70</v>
      </c>
      <c r="K138" s="23">
        <f>IFERROR(__xludf.DUMMYFUNCTION("""COMPUTED_VALUE"""),7.8)</f>
        <v>7.8</v>
      </c>
      <c r="L138" s="24">
        <f>IFERROR(__xludf.DUMMYFUNCTION("""COMPUTED_VALUE"""),26.0)</f>
        <v>26</v>
      </c>
      <c r="M138" s="25" t="str">
        <f>IFERROR(__xludf.DUMMYFUNCTION("""COMPUTED_VALUE"""),"RPG")</f>
        <v>RPG</v>
      </c>
      <c r="N138" s="25"/>
      <c r="O138" s="26" t="str">
        <f>IFERROR(__xludf.DUMMYFUNCTION("""COMPUTED_VALUE"""),"No")</f>
        <v>No</v>
      </c>
      <c r="P138" s="26"/>
    </row>
    <row r="139">
      <c r="A139" s="13" t="str">
        <f>IFERROR(__xludf.DUMMYFUNCTION("""COMPUTED_VALUE"""),"Destiny 2: Beyond Light")</f>
        <v>Destiny 2: Beyond Light</v>
      </c>
      <c r="B139" s="15" t="str">
        <f>IFERROR(__xludf.DUMMYFUNCTION("""COMPUTED_VALUE"""),"PS5/PS4")</f>
        <v>PS5/PS4</v>
      </c>
      <c r="C139" s="16" t="str">
        <f>IFERROR(__xludf.DUMMYFUNCTION("""COMPUTED_VALUE"""),"Essential")</f>
        <v>Essential</v>
      </c>
      <c r="D139" s="15" t="str">
        <f>IFERROR(__xludf.DUMMYFUNCTION("""COMPUTED_VALUE"""),"Removed")</f>
        <v>Removed</v>
      </c>
      <c r="E139" s="17">
        <f>IFERROR(__xludf.DUMMYFUNCTION("""COMPUTED_VALUE"""),44964.0)</f>
        <v>44964</v>
      </c>
      <c r="F139" s="54">
        <f>IFERROR(__xludf.DUMMYFUNCTION("""COMPUTED_VALUE"""),44991.0)</f>
        <v>44991</v>
      </c>
      <c r="G139" s="19">
        <f>IFERROR(__xludf.DUMMYFUNCTION("""COMPUTED_VALUE"""),0.9666666666666668)</f>
        <v>0.9666666667</v>
      </c>
      <c r="H139" s="17">
        <f>IFERROR(__xludf.DUMMYFUNCTION("""COMPUTED_VALUE"""),44145.0)</f>
        <v>44145</v>
      </c>
      <c r="I139" s="19">
        <f>IFERROR(__xludf.DUMMYFUNCTION("""COMPUTED_VALUE"""),2.2416666666666667)</f>
        <v>2.241666667</v>
      </c>
      <c r="J139" s="21">
        <f>IFERROR(__xludf.DUMMYFUNCTION("""COMPUTED_VALUE"""),76.0)</f>
        <v>76</v>
      </c>
      <c r="K139" s="23">
        <f>IFERROR(__xludf.DUMMYFUNCTION("""COMPUTED_VALUE"""),3.9)</f>
        <v>3.9</v>
      </c>
      <c r="L139" s="24">
        <f>IFERROR(__xludf.DUMMYFUNCTION("""COMPUTED_VALUE"""),6.0)</f>
        <v>6</v>
      </c>
      <c r="M139" s="25" t="str">
        <f>IFERROR(__xludf.DUMMYFUNCTION("""COMPUTED_VALUE"""),"Shooter")</f>
        <v>Shooter</v>
      </c>
      <c r="N139" s="25"/>
      <c r="O139" s="26" t="str">
        <f>IFERROR(__xludf.DUMMYFUNCTION("""COMPUTED_VALUE"""),"No")</f>
        <v>No</v>
      </c>
      <c r="P139" s="26"/>
    </row>
    <row r="140">
      <c r="A140" s="13" t="str">
        <f>IFERROR(__xludf.DUMMYFUNCTION("""COMPUTED_VALUE"""),"Evil Dead: The Game")</f>
        <v>Evil Dead: The Game</v>
      </c>
      <c r="B140" s="15" t="str">
        <f>IFERROR(__xludf.DUMMYFUNCTION("""COMPUTED_VALUE"""),"PS5/PS4")</f>
        <v>PS5/PS4</v>
      </c>
      <c r="C140" s="16" t="str">
        <f>IFERROR(__xludf.DUMMYFUNCTION("""COMPUTED_VALUE"""),"Essential")</f>
        <v>Essential</v>
      </c>
      <c r="D140" s="15" t="str">
        <f>IFERROR(__xludf.DUMMYFUNCTION("""COMPUTED_VALUE"""),"Removed")</f>
        <v>Removed</v>
      </c>
      <c r="E140" s="17">
        <f>IFERROR(__xludf.DUMMYFUNCTION("""COMPUTED_VALUE"""),44964.0)</f>
        <v>44964</v>
      </c>
      <c r="F140" s="18">
        <f>IFERROR(__xludf.DUMMYFUNCTION("""COMPUTED_VALUE"""),44991.0)</f>
        <v>44991</v>
      </c>
      <c r="G140" s="19">
        <f>IFERROR(__xludf.DUMMYFUNCTION("""COMPUTED_VALUE"""),0.9666666666666668)</f>
        <v>0.9666666667</v>
      </c>
      <c r="H140" s="17">
        <f>IFERROR(__xludf.DUMMYFUNCTION("""COMPUTED_VALUE"""),44694.0)</f>
        <v>44694</v>
      </c>
      <c r="I140" s="19">
        <f>IFERROR(__xludf.DUMMYFUNCTION("""COMPUTED_VALUE"""),0.7333333333333333)</f>
        <v>0.7333333333</v>
      </c>
      <c r="J140" s="21">
        <f>IFERROR(__xludf.DUMMYFUNCTION("""COMPUTED_VALUE"""),72.0)</f>
        <v>72</v>
      </c>
      <c r="K140" s="23">
        <f>IFERROR(__xludf.DUMMYFUNCTION("""COMPUTED_VALUE"""),7.5)</f>
        <v>7.5</v>
      </c>
      <c r="L140" s="24">
        <f>IFERROR(__xludf.DUMMYFUNCTION("""COMPUTED_VALUE"""),4.0)</f>
        <v>4</v>
      </c>
      <c r="M140" s="70" t="str">
        <f>IFERROR(__xludf.DUMMYFUNCTION("""COMPUTED_VALUE"""),"Action-Adventure")</f>
        <v>Action-Adventure</v>
      </c>
      <c r="N140" s="25"/>
      <c r="O140" s="26" t="str">
        <f>IFERROR(__xludf.DUMMYFUNCTION("""COMPUTED_VALUE"""),"No")</f>
        <v>No</v>
      </c>
      <c r="P140" s="26"/>
    </row>
    <row r="141">
      <c r="A141" s="13" t="str">
        <f>IFERROR(__xludf.DUMMYFUNCTION("""COMPUTED_VALUE"""),"OlliOlli World")</f>
        <v>OlliOlli World</v>
      </c>
      <c r="B141" s="15" t="str">
        <f>IFERROR(__xludf.DUMMYFUNCTION("""COMPUTED_VALUE"""),"PS5/PS4")</f>
        <v>PS5/PS4</v>
      </c>
      <c r="C141" s="16" t="str">
        <f>IFERROR(__xludf.DUMMYFUNCTION("""COMPUTED_VALUE"""),"Essential")</f>
        <v>Essential</v>
      </c>
      <c r="D141" s="15" t="str">
        <f>IFERROR(__xludf.DUMMYFUNCTION("""COMPUTED_VALUE"""),"Removed")</f>
        <v>Removed</v>
      </c>
      <c r="E141" s="17">
        <f>IFERROR(__xludf.DUMMYFUNCTION("""COMPUTED_VALUE"""),44964.0)</f>
        <v>44964</v>
      </c>
      <c r="F141" s="18">
        <f>IFERROR(__xludf.DUMMYFUNCTION("""COMPUTED_VALUE"""),44991.0)</f>
        <v>44991</v>
      </c>
      <c r="G141" s="19">
        <f>IFERROR(__xludf.DUMMYFUNCTION("""COMPUTED_VALUE"""),0.9666666666666668)</f>
        <v>0.9666666667</v>
      </c>
      <c r="H141" s="17">
        <f>IFERROR(__xludf.DUMMYFUNCTION("""COMPUTED_VALUE"""),44600.0)</f>
        <v>44600</v>
      </c>
      <c r="I141" s="19">
        <f>IFERROR(__xludf.DUMMYFUNCTION("""COMPUTED_VALUE"""),0.9972222222222222)</f>
        <v>0.9972222222</v>
      </c>
      <c r="J141" s="21">
        <f>IFERROR(__xludf.DUMMYFUNCTION("""COMPUTED_VALUE"""),86.0)</f>
        <v>86</v>
      </c>
      <c r="K141" s="23">
        <f>IFERROR(__xludf.DUMMYFUNCTION("""COMPUTED_VALUE"""),7.8)</f>
        <v>7.8</v>
      </c>
      <c r="L141" s="24">
        <f>IFERROR(__xludf.DUMMYFUNCTION("""COMPUTED_VALUE"""),6.0)</f>
        <v>6</v>
      </c>
      <c r="M141" s="25" t="str">
        <f>IFERROR(__xludf.DUMMYFUNCTION("""COMPUTED_VALUE"""),"Platformer")</f>
        <v>Platformer</v>
      </c>
      <c r="N141" s="25"/>
      <c r="O141" s="26" t="str">
        <f>IFERROR(__xludf.DUMMYFUNCTION("""COMPUTED_VALUE"""),"No")</f>
        <v>No</v>
      </c>
      <c r="P141" s="26"/>
    </row>
    <row r="142">
      <c r="A142" s="13" t="str">
        <f>IFERROR(__xludf.DUMMYFUNCTION("""COMPUTED_VALUE"""),"Mafia: Definitive Edition")</f>
        <v>Mafia: Definitive Edition</v>
      </c>
      <c r="B142" s="15" t="str">
        <f>IFERROR(__xludf.DUMMYFUNCTION("""COMPUTED_VALUE"""),"PS4")</f>
        <v>PS4</v>
      </c>
      <c r="C142" s="16" t="str">
        <f>IFERROR(__xludf.DUMMYFUNCTION("""COMPUTED_VALUE"""),"Essential")</f>
        <v>Essential</v>
      </c>
      <c r="D142" s="15" t="str">
        <f>IFERROR(__xludf.DUMMYFUNCTION("""COMPUTED_VALUE"""),"Removed")</f>
        <v>Removed</v>
      </c>
      <c r="E142" s="17">
        <f>IFERROR(__xludf.DUMMYFUNCTION("""COMPUTED_VALUE"""),44964.0)</f>
        <v>44964</v>
      </c>
      <c r="F142" s="54">
        <f>IFERROR(__xludf.DUMMYFUNCTION("""COMPUTED_VALUE"""),44991.0)</f>
        <v>44991</v>
      </c>
      <c r="G142" s="19">
        <f>IFERROR(__xludf.DUMMYFUNCTION("""COMPUTED_VALUE"""),0.9666666666666668)</f>
        <v>0.9666666667</v>
      </c>
      <c r="H142" s="17">
        <f>IFERROR(__xludf.DUMMYFUNCTION("""COMPUTED_VALUE"""),44099.0)</f>
        <v>44099</v>
      </c>
      <c r="I142" s="19">
        <f>IFERROR(__xludf.DUMMYFUNCTION("""COMPUTED_VALUE"""),2.3666666666666667)</f>
        <v>2.366666667</v>
      </c>
      <c r="J142" s="21">
        <f>IFERROR(__xludf.DUMMYFUNCTION("""COMPUTED_VALUE"""),76.0)</f>
        <v>76</v>
      </c>
      <c r="K142" s="23">
        <f>IFERROR(__xludf.DUMMYFUNCTION("""COMPUTED_VALUE"""),7.0)</f>
        <v>7</v>
      </c>
      <c r="L142" s="24">
        <f>IFERROR(__xludf.DUMMYFUNCTION("""COMPUTED_VALUE"""),11.0)</f>
        <v>11</v>
      </c>
      <c r="M142" s="25" t="str">
        <f>IFERROR(__xludf.DUMMYFUNCTION("""COMPUTED_VALUE"""),"Shooter")</f>
        <v>Shooter</v>
      </c>
      <c r="N142" s="25"/>
      <c r="O142" s="26" t="str">
        <f>IFERROR(__xludf.DUMMYFUNCTION("""COMPUTED_VALUE"""),"No")</f>
        <v>No</v>
      </c>
      <c r="P142" s="26"/>
    </row>
    <row r="143">
      <c r="A143" s="13" t="str">
        <f>IFERROR(__xludf.DUMMYFUNCTION("""COMPUTED_VALUE"""),"Axiom Verge 2")</f>
        <v>Axiom Verge 2</v>
      </c>
      <c r="B143" s="15" t="str">
        <f>IFERROR(__xludf.DUMMYFUNCTION("""COMPUTED_VALUE"""),"PS5/PS4")</f>
        <v>PS5/PS4</v>
      </c>
      <c r="C143" s="16" t="str">
        <f>IFERROR(__xludf.DUMMYFUNCTION("""COMPUTED_VALUE"""),"Essential")</f>
        <v>Essential</v>
      </c>
      <c r="D143" s="15" t="str">
        <f>IFERROR(__xludf.DUMMYFUNCTION("""COMPUTED_VALUE"""),"Removed")</f>
        <v>Removed</v>
      </c>
      <c r="E143" s="17">
        <f>IFERROR(__xludf.DUMMYFUNCTION("""COMPUTED_VALUE"""),44929.0)</f>
        <v>44929</v>
      </c>
      <c r="F143" s="54">
        <f>IFERROR(__xludf.DUMMYFUNCTION("""COMPUTED_VALUE"""),44963.0)</f>
        <v>44963</v>
      </c>
      <c r="G143" s="19">
        <f>IFERROR(__xludf.DUMMYFUNCTION("""COMPUTED_VALUE"""),1.0999999999999999)</f>
        <v>1.1</v>
      </c>
      <c r="H143" s="17">
        <f>IFERROR(__xludf.DUMMYFUNCTION("""COMPUTED_VALUE"""),44419.0)</f>
        <v>44419</v>
      </c>
      <c r="I143" s="19">
        <f>IFERROR(__xludf.DUMMYFUNCTION("""COMPUTED_VALUE"""),1.3944444444444444)</f>
        <v>1.394444444</v>
      </c>
      <c r="J143" s="21">
        <f>IFERROR(__xludf.DUMMYFUNCTION("""COMPUTED_VALUE"""),75.0)</f>
        <v>75</v>
      </c>
      <c r="K143" s="23">
        <f>IFERROR(__xludf.DUMMYFUNCTION("""COMPUTED_VALUE"""),5.7)</f>
        <v>5.7</v>
      </c>
      <c r="L143" s="24">
        <f>IFERROR(__xludf.DUMMYFUNCTION("""COMPUTED_VALUE"""),9.0)</f>
        <v>9</v>
      </c>
      <c r="M143" s="25" t="str">
        <f>IFERROR(__xludf.DUMMYFUNCTION("""COMPUTED_VALUE"""),"Platformer")</f>
        <v>Platformer</v>
      </c>
      <c r="N143" s="25"/>
      <c r="O143" s="26" t="str">
        <f>IFERROR(__xludf.DUMMYFUNCTION("""COMPUTED_VALUE"""),"No")</f>
        <v>No</v>
      </c>
      <c r="P143" s="26"/>
    </row>
    <row r="144">
      <c r="A144" s="13" t="str">
        <f>IFERROR(__xludf.DUMMYFUNCTION("""COMPUTED_VALUE"""),"Star Wars Jedi: Fallen Order")</f>
        <v>Star Wars Jedi: Fallen Order</v>
      </c>
      <c r="B144" s="15" t="str">
        <f>IFERROR(__xludf.DUMMYFUNCTION("""COMPUTED_VALUE"""),"PS5/PS4")</f>
        <v>PS5/PS4</v>
      </c>
      <c r="C144" s="16" t="str">
        <f>IFERROR(__xludf.DUMMYFUNCTION("""COMPUTED_VALUE"""),"Essential")</f>
        <v>Essential</v>
      </c>
      <c r="D144" s="15" t="str">
        <f>IFERROR(__xludf.DUMMYFUNCTION("""COMPUTED_VALUE"""),"Removed")</f>
        <v>Removed</v>
      </c>
      <c r="E144" s="17">
        <f>IFERROR(__xludf.DUMMYFUNCTION("""COMPUTED_VALUE"""),44929.0)</f>
        <v>44929</v>
      </c>
      <c r="F144" s="54">
        <f>IFERROR(__xludf.DUMMYFUNCTION("""COMPUTED_VALUE"""),44963.0)</f>
        <v>44963</v>
      </c>
      <c r="G144" s="19">
        <f>IFERROR(__xludf.DUMMYFUNCTION("""COMPUTED_VALUE"""),1.0999999999999999)</f>
        <v>1.1</v>
      </c>
      <c r="H144" s="17">
        <f>IFERROR(__xludf.DUMMYFUNCTION("""COMPUTED_VALUE"""),43784.0)</f>
        <v>43784</v>
      </c>
      <c r="I144" s="19">
        <f>IFERROR(__xludf.DUMMYFUNCTION("""COMPUTED_VALUE"""),3.1333333333333333)</f>
        <v>3.133333333</v>
      </c>
      <c r="J144" s="21">
        <f>IFERROR(__xludf.DUMMYFUNCTION("""COMPUTED_VALUE"""),79.0)</f>
        <v>79</v>
      </c>
      <c r="K144" s="23">
        <f>IFERROR(__xludf.DUMMYFUNCTION("""COMPUTED_VALUE"""),7.6)</f>
        <v>7.6</v>
      </c>
      <c r="L144" s="24">
        <f>IFERROR(__xludf.DUMMYFUNCTION("""COMPUTED_VALUE"""),17.0)</f>
        <v>17</v>
      </c>
      <c r="M144" s="25" t="str">
        <f>IFERROR(__xludf.DUMMYFUNCTION("""COMPUTED_VALUE"""),"Action-Adventure")</f>
        <v>Action-Adventure</v>
      </c>
      <c r="N144" s="25"/>
      <c r="O144" s="26" t="str">
        <f>IFERROR(__xludf.DUMMYFUNCTION("""COMPUTED_VALUE"""),"No")</f>
        <v>No</v>
      </c>
      <c r="P144" s="26"/>
    </row>
    <row r="145">
      <c r="A145" s="13" t="str">
        <f>IFERROR(__xludf.DUMMYFUNCTION("""COMPUTED_VALUE"""),"Fallout 76")</f>
        <v>Fallout 76</v>
      </c>
      <c r="B145" s="15" t="str">
        <f>IFERROR(__xludf.DUMMYFUNCTION("""COMPUTED_VALUE"""),"PS4")</f>
        <v>PS4</v>
      </c>
      <c r="C145" s="16" t="str">
        <f>IFERROR(__xludf.DUMMYFUNCTION("""COMPUTED_VALUE"""),"Essential")</f>
        <v>Essential</v>
      </c>
      <c r="D145" s="15" t="str">
        <f>IFERROR(__xludf.DUMMYFUNCTION("""COMPUTED_VALUE"""),"Removed")</f>
        <v>Removed</v>
      </c>
      <c r="E145" s="17">
        <f>IFERROR(__xludf.DUMMYFUNCTION("""COMPUTED_VALUE"""),44929.0)</f>
        <v>44929</v>
      </c>
      <c r="F145" s="54">
        <f>IFERROR(__xludf.DUMMYFUNCTION("""COMPUTED_VALUE"""),44963.0)</f>
        <v>44963</v>
      </c>
      <c r="G145" s="19">
        <f>IFERROR(__xludf.DUMMYFUNCTION("""COMPUTED_VALUE"""),1.0999999999999999)</f>
        <v>1.1</v>
      </c>
      <c r="H145" s="17">
        <f>IFERROR(__xludf.DUMMYFUNCTION("""COMPUTED_VALUE"""),43418.0)</f>
        <v>43418</v>
      </c>
      <c r="I145" s="19">
        <f>IFERROR(__xludf.DUMMYFUNCTION("""COMPUTED_VALUE"""),4.136111111111111)</f>
        <v>4.136111111</v>
      </c>
      <c r="J145" s="21">
        <f>IFERROR(__xludf.DUMMYFUNCTION("""COMPUTED_VALUE"""),53.0)</f>
        <v>53</v>
      </c>
      <c r="K145" s="23">
        <f>IFERROR(__xludf.DUMMYFUNCTION("""COMPUTED_VALUE"""),2.8)</f>
        <v>2.8</v>
      </c>
      <c r="L145" s="24">
        <f>IFERROR(__xludf.DUMMYFUNCTION("""COMPUTED_VALUE"""),33.0)</f>
        <v>33</v>
      </c>
      <c r="M145" s="25" t="str">
        <f>IFERROR(__xludf.DUMMYFUNCTION("""COMPUTED_VALUE"""),"Shooter")</f>
        <v>Shooter</v>
      </c>
      <c r="N145" s="25"/>
      <c r="O145" s="26" t="str">
        <f>IFERROR(__xludf.DUMMYFUNCTION("""COMPUTED_VALUE"""),"No")</f>
        <v>No</v>
      </c>
      <c r="P145" s="26"/>
    </row>
    <row r="146">
      <c r="A146" s="13" t="str">
        <f>IFERROR(__xludf.DUMMYFUNCTION("""COMPUTED_VALUE"""),"Divine Knockout")</f>
        <v>Divine Knockout</v>
      </c>
      <c r="B146" s="15" t="str">
        <f>IFERROR(__xludf.DUMMYFUNCTION("""COMPUTED_VALUE"""),"PS5/PS4")</f>
        <v>PS5/PS4</v>
      </c>
      <c r="C146" s="16" t="str">
        <f>IFERROR(__xludf.DUMMYFUNCTION("""COMPUTED_VALUE"""),"Essential")</f>
        <v>Essential</v>
      </c>
      <c r="D146" s="15" t="str">
        <f>IFERROR(__xludf.DUMMYFUNCTION("""COMPUTED_VALUE"""),"Removed")</f>
        <v>Removed</v>
      </c>
      <c r="E146" s="17">
        <f>IFERROR(__xludf.DUMMYFUNCTION("""COMPUTED_VALUE"""),44901.0)</f>
        <v>44901</v>
      </c>
      <c r="F146" s="54">
        <f>IFERROR(__xludf.DUMMYFUNCTION("""COMPUTED_VALUE"""),44928.0)</f>
        <v>44928</v>
      </c>
      <c r="G146" s="19">
        <f>IFERROR(__xludf.DUMMYFUNCTION("""COMPUTED_VALUE"""),0.8666666666666666)</f>
        <v>0.8666666667</v>
      </c>
      <c r="H146" s="17">
        <f>IFERROR(__xludf.DUMMYFUNCTION("""COMPUTED_VALUE"""),44901.0)</f>
        <v>44901</v>
      </c>
      <c r="I146" s="19">
        <f>IFERROR(__xludf.DUMMYFUNCTION("""COMPUTED_VALUE"""),0.0)</f>
        <v>0</v>
      </c>
      <c r="J146" s="21">
        <f>IFERROR(__xludf.DUMMYFUNCTION("""COMPUTED_VALUE"""),70.0)</f>
        <v>70</v>
      </c>
      <c r="K146" s="23">
        <f>IFERROR(__xludf.DUMMYFUNCTION("""COMPUTED_VALUE"""),3.0)</f>
        <v>3</v>
      </c>
      <c r="L146" s="24"/>
      <c r="M146" s="25" t="str">
        <f>IFERROR(__xludf.DUMMYFUNCTION("""COMPUTED_VALUE"""),"Action-Adventure")</f>
        <v>Action-Adventure</v>
      </c>
      <c r="N146" s="25"/>
      <c r="O146" s="26" t="str">
        <f>IFERROR(__xludf.DUMMYFUNCTION("""COMPUTED_VALUE"""),"No")</f>
        <v>No</v>
      </c>
      <c r="P146" s="26"/>
    </row>
    <row r="147">
      <c r="A147" s="13" t="str">
        <f>IFERROR(__xludf.DUMMYFUNCTION("""COMPUTED_VALUE"""),"Biomutant")</f>
        <v>Biomutant</v>
      </c>
      <c r="B147" s="15" t="str">
        <f>IFERROR(__xludf.DUMMYFUNCTION("""COMPUTED_VALUE"""),"PS5/PS4")</f>
        <v>PS5/PS4</v>
      </c>
      <c r="C147" s="16" t="str">
        <f>IFERROR(__xludf.DUMMYFUNCTION("""COMPUTED_VALUE"""),"Essential")</f>
        <v>Essential</v>
      </c>
      <c r="D147" s="15" t="str">
        <f>IFERROR(__xludf.DUMMYFUNCTION("""COMPUTED_VALUE"""),"Removed")</f>
        <v>Removed</v>
      </c>
      <c r="E147" s="17">
        <f>IFERROR(__xludf.DUMMYFUNCTION("""COMPUTED_VALUE"""),44901.0)</f>
        <v>44901</v>
      </c>
      <c r="F147" s="54">
        <f>IFERROR(__xludf.DUMMYFUNCTION("""COMPUTED_VALUE"""),44928.0)</f>
        <v>44928</v>
      </c>
      <c r="G147" s="19">
        <f>IFERROR(__xludf.DUMMYFUNCTION("""COMPUTED_VALUE"""),0.8666666666666666)</f>
        <v>0.8666666667</v>
      </c>
      <c r="H147" s="17">
        <f>IFERROR(__xludf.DUMMYFUNCTION("""COMPUTED_VALUE"""),44341.0)</f>
        <v>44341</v>
      </c>
      <c r="I147" s="19">
        <f>IFERROR(__xludf.DUMMYFUNCTION("""COMPUTED_VALUE"""),1.5305555555555554)</f>
        <v>1.530555556</v>
      </c>
      <c r="J147" s="21">
        <f>IFERROR(__xludf.DUMMYFUNCTION("""COMPUTED_VALUE"""),64.0)</f>
        <v>64</v>
      </c>
      <c r="K147" s="23">
        <f>IFERROR(__xludf.DUMMYFUNCTION("""COMPUTED_VALUE"""),6.7)</f>
        <v>6.7</v>
      </c>
      <c r="L147" s="24">
        <f>IFERROR(__xludf.DUMMYFUNCTION("""COMPUTED_VALUE"""),13.0)</f>
        <v>13</v>
      </c>
      <c r="M147" s="25" t="str">
        <f>IFERROR(__xludf.DUMMYFUNCTION("""COMPUTED_VALUE"""),"RPG")</f>
        <v>RPG</v>
      </c>
      <c r="N147" s="25"/>
      <c r="O147" s="26" t="str">
        <f>IFERROR(__xludf.DUMMYFUNCTION("""COMPUTED_VALUE"""),"No")</f>
        <v>No</v>
      </c>
      <c r="P147" s="26"/>
    </row>
    <row r="148">
      <c r="A148" s="13" t="str">
        <f>IFERROR(__xludf.DUMMYFUNCTION("""COMPUTED_VALUE"""),"Mass Effect: Legendary Edition")</f>
        <v>Mass Effect: Legendary Edition</v>
      </c>
      <c r="B148" s="15" t="str">
        <f>IFERROR(__xludf.DUMMYFUNCTION("""COMPUTED_VALUE"""),"PS4")</f>
        <v>PS4</v>
      </c>
      <c r="C148" s="16" t="str">
        <f>IFERROR(__xludf.DUMMYFUNCTION("""COMPUTED_VALUE"""),"Essential")</f>
        <v>Essential</v>
      </c>
      <c r="D148" s="15" t="str">
        <f>IFERROR(__xludf.DUMMYFUNCTION("""COMPUTED_VALUE"""),"Removed")</f>
        <v>Removed</v>
      </c>
      <c r="E148" s="17">
        <f>IFERROR(__xludf.DUMMYFUNCTION("""COMPUTED_VALUE"""),44901.0)</f>
        <v>44901</v>
      </c>
      <c r="F148" s="54">
        <f>IFERROR(__xludf.DUMMYFUNCTION("""COMPUTED_VALUE"""),44928.0)</f>
        <v>44928</v>
      </c>
      <c r="G148" s="19">
        <f>IFERROR(__xludf.DUMMYFUNCTION("""COMPUTED_VALUE"""),0.8666666666666666)</f>
        <v>0.8666666667</v>
      </c>
      <c r="H148" s="17">
        <f>IFERROR(__xludf.DUMMYFUNCTION("""COMPUTED_VALUE"""),44330.0)</f>
        <v>44330</v>
      </c>
      <c r="I148" s="19">
        <f>IFERROR(__xludf.DUMMYFUNCTION("""COMPUTED_VALUE"""),1.5611111111111111)</f>
        <v>1.561111111</v>
      </c>
      <c r="J148" s="21">
        <f>IFERROR(__xludf.DUMMYFUNCTION("""COMPUTED_VALUE"""),87.0)</f>
        <v>87</v>
      </c>
      <c r="K148" s="23">
        <f>IFERROR(__xludf.DUMMYFUNCTION("""COMPUTED_VALUE"""),6.5)</f>
        <v>6.5</v>
      </c>
      <c r="L148" s="24">
        <f>IFERROR(__xludf.DUMMYFUNCTION("""COMPUTED_VALUE"""),105.0)</f>
        <v>105</v>
      </c>
      <c r="M148" s="25" t="str">
        <f>IFERROR(__xludf.DUMMYFUNCTION("""COMPUTED_VALUE"""),"Shooter")</f>
        <v>Shooter</v>
      </c>
      <c r="N148" s="25"/>
      <c r="O148" s="26" t="str">
        <f>IFERROR(__xludf.DUMMYFUNCTION("""COMPUTED_VALUE"""),"No")</f>
        <v>No</v>
      </c>
      <c r="P148" s="26"/>
    </row>
    <row r="149">
      <c r="A149" s="13" t="str">
        <f>IFERROR(__xludf.DUMMYFUNCTION("""COMPUTED_VALUE"""),"Heavenly Bodies")</f>
        <v>Heavenly Bodies</v>
      </c>
      <c r="B149" s="15" t="str">
        <f>IFERROR(__xludf.DUMMYFUNCTION("""COMPUTED_VALUE"""),"PS5/PS4")</f>
        <v>PS5/PS4</v>
      </c>
      <c r="C149" s="16" t="str">
        <f>IFERROR(__xludf.DUMMYFUNCTION("""COMPUTED_VALUE"""),"Essential")</f>
        <v>Essential</v>
      </c>
      <c r="D149" s="15" t="str">
        <f>IFERROR(__xludf.DUMMYFUNCTION("""COMPUTED_VALUE"""),"Removed")</f>
        <v>Removed</v>
      </c>
      <c r="E149" s="17">
        <f>IFERROR(__xludf.DUMMYFUNCTION("""COMPUTED_VALUE"""),44866.0)</f>
        <v>44866</v>
      </c>
      <c r="F149" s="54">
        <f>IFERROR(__xludf.DUMMYFUNCTION("""COMPUTED_VALUE"""),44900.0)</f>
        <v>44900</v>
      </c>
      <c r="G149" s="19">
        <f>IFERROR(__xludf.DUMMYFUNCTION("""COMPUTED_VALUE"""),1.1333333333333333)</f>
        <v>1.133333333</v>
      </c>
      <c r="H149" s="17">
        <f>IFERROR(__xludf.DUMMYFUNCTION("""COMPUTED_VALUE"""),44537.0)</f>
        <v>44537</v>
      </c>
      <c r="I149" s="19">
        <f>IFERROR(__xludf.DUMMYFUNCTION("""COMPUTED_VALUE"""),0.9)</f>
        <v>0.9</v>
      </c>
      <c r="J149" s="21">
        <f>IFERROR(__xludf.DUMMYFUNCTION("""COMPUTED_VALUE"""),60.0)</f>
        <v>60</v>
      </c>
      <c r="K149" s="23">
        <f>IFERROR(__xludf.DUMMYFUNCTION("""COMPUTED_VALUE"""),9.0)</f>
        <v>9</v>
      </c>
      <c r="L149" s="24">
        <f>IFERROR(__xludf.DUMMYFUNCTION("""COMPUTED_VALUE"""),5.0)</f>
        <v>5</v>
      </c>
      <c r="M149" s="25" t="str">
        <f>IFERROR(__xludf.DUMMYFUNCTION("""COMPUTED_VALUE"""),"Action-Adventure")</f>
        <v>Action-Adventure</v>
      </c>
      <c r="N149" s="25"/>
      <c r="O149" s="26" t="str">
        <f>IFERROR(__xludf.DUMMYFUNCTION("""COMPUTED_VALUE"""),"No")</f>
        <v>No</v>
      </c>
      <c r="P149" s="26"/>
    </row>
    <row r="150">
      <c r="A150" s="13" t="str">
        <f>IFERROR(__xludf.DUMMYFUNCTION("""COMPUTED_VALUE"""),"Nioh 2: Remastered")</f>
        <v>Nioh 2: Remastered</v>
      </c>
      <c r="B150" s="15" t="str">
        <f>IFERROR(__xludf.DUMMYFUNCTION("""COMPUTED_VALUE"""),"PS5/PS4")</f>
        <v>PS5/PS4</v>
      </c>
      <c r="C150" s="16" t="str">
        <f>IFERROR(__xludf.DUMMYFUNCTION("""COMPUTED_VALUE"""),"Essential")</f>
        <v>Essential</v>
      </c>
      <c r="D150" s="15" t="str">
        <f>IFERROR(__xludf.DUMMYFUNCTION("""COMPUTED_VALUE"""),"Removed")</f>
        <v>Removed</v>
      </c>
      <c r="E150" s="17">
        <f>IFERROR(__xludf.DUMMYFUNCTION("""COMPUTED_VALUE"""),44866.0)</f>
        <v>44866</v>
      </c>
      <c r="F150" s="54">
        <f>IFERROR(__xludf.DUMMYFUNCTION("""COMPUTED_VALUE"""),44900.0)</f>
        <v>44900</v>
      </c>
      <c r="G150" s="19">
        <f>IFERROR(__xludf.DUMMYFUNCTION("""COMPUTED_VALUE"""),1.1333333333333333)</f>
        <v>1.133333333</v>
      </c>
      <c r="H150" s="17">
        <f>IFERROR(__xludf.DUMMYFUNCTION("""COMPUTED_VALUE"""),43903.0)</f>
        <v>43903</v>
      </c>
      <c r="I150" s="19">
        <f>IFERROR(__xludf.DUMMYFUNCTION("""COMPUTED_VALUE"""),2.6333333333333333)</f>
        <v>2.633333333</v>
      </c>
      <c r="J150" s="21">
        <f>IFERROR(__xludf.DUMMYFUNCTION("""COMPUTED_VALUE"""),85.0)</f>
        <v>85</v>
      </c>
      <c r="K150" s="23">
        <f>IFERROR(__xludf.DUMMYFUNCTION("""COMPUTED_VALUE"""),7.8)</f>
        <v>7.8</v>
      </c>
      <c r="L150" s="24">
        <f>IFERROR(__xludf.DUMMYFUNCTION("""COMPUTED_VALUE"""),45.0)</f>
        <v>45</v>
      </c>
      <c r="M150" s="25" t="str">
        <f>IFERROR(__xludf.DUMMYFUNCTION("""COMPUTED_VALUE"""),"RPG")</f>
        <v>RPG</v>
      </c>
      <c r="N150" s="25" t="str">
        <f>IFERROR(__xludf.DUMMYFUNCTION("""COMPUTED_VALUE"""),"PS4 gets the base version")</f>
        <v>PS4 gets the base version</v>
      </c>
      <c r="O150" s="26" t="str">
        <f>IFERROR(__xludf.DUMMYFUNCTION("""COMPUTED_VALUE"""),"No")</f>
        <v>No</v>
      </c>
      <c r="P150" s="26"/>
    </row>
    <row r="151">
      <c r="A151" s="13" t="str">
        <f>IFERROR(__xludf.DUMMYFUNCTION("""COMPUTED_VALUE"""),"LEGO Harry Potter Collection")</f>
        <v>LEGO Harry Potter Collection</v>
      </c>
      <c r="B151" s="15" t="str">
        <f>IFERROR(__xludf.DUMMYFUNCTION("""COMPUTED_VALUE"""),"PS4")</f>
        <v>PS4</v>
      </c>
      <c r="C151" s="16" t="str">
        <f>IFERROR(__xludf.DUMMYFUNCTION("""COMPUTED_VALUE"""),"Essential")</f>
        <v>Essential</v>
      </c>
      <c r="D151" s="15" t="str">
        <f>IFERROR(__xludf.DUMMYFUNCTION("""COMPUTED_VALUE"""),"Removed")</f>
        <v>Removed</v>
      </c>
      <c r="E151" s="17">
        <f>IFERROR(__xludf.DUMMYFUNCTION("""COMPUTED_VALUE"""),44866.0)</f>
        <v>44866</v>
      </c>
      <c r="F151" s="54">
        <f>IFERROR(__xludf.DUMMYFUNCTION("""COMPUTED_VALUE"""),44900.0)</f>
        <v>44900</v>
      </c>
      <c r="G151" s="19">
        <f>IFERROR(__xludf.DUMMYFUNCTION("""COMPUTED_VALUE"""),1.1333333333333333)</f>
        <v>1.133333333</v>
      </c>
      <c r="H151" s="17">
        <f>IFERROR(__xludf.DUMMYFUNCTION("""COMPUTED_VALUE"""),42661.0)</f>
        <v>42661</v>
      </c>
      <c r="I151" s="19">
        <f>IFERROR(__xludf.DUMMYFUNCTION("""COMPUTED_VALUE"""),6.036111111111111)</f>
        <v>6.036111111</v>
      </c>
      <c r="J151" s="21">
        <f>IFERROR(__xludf.DUMMYFUNCTION("""COMPUTED_VALUE"""),73.0)</f>
        <v>73</v>
      </c>
      <c r="K151" s="23">
        <f>IFERROR(__xludf.DUMMYFUNCTION("""COMPUTED_VALUE"""),7.7)</f>
        <v>7.7</v>
      </c>
      <c r="L151" s="24">
        <f>IFERROR(__xludf.DUMMYFUNCTION("""COMPUTED_VALUE"""),39.0)</f>
        <v>39</v>
      </c>
      <c r="M151" s="25" t="str">
        <f>IFERROR(__xludf.DUMMYFUNCTION("""COMPUTED_VALUE"""),"Action-Adventure")</f>
        <v>Action-Adventure</v>
      </c>
      <c r="N151" s="25"/>
      <c r="O151" s="26" t="str">
        <f>IFERROR(__xludf.DUMMYFUNCTION("""COMPUTED_VALUE"""),"No")</f>
        <v>No</v>
      </c>
      <c r="P151" s="26"/>
    </row>
    <row r="152">
      <c r="A152" s="13" t="str">
        <f>IFERROR(__xludf.DUMMYFUNCTION("""COMPUTED_VALUE"""),"Hot Wheels Unleashed")</f>
        <v>Hot Wheels Unleashed</v>
      </c>
      <c r="B152" s="15" t="str">
        <f>IFERROR(__xludf.DUMMYFUNCTION("""COMPUTED_VALUE"""),"PS5/PS4")</f>
        <v>PS5/PS4</v>
      </c>
      <c r="C152" s="16" t="str">
        <f>IFERROR(__xludf.DUMMYFUNCTION("""COMPUTED_VALUE"""),"Essential")</f>
        <v>Essential</v>
      </c>
      <c r="D152" s="15" t="str">
        <f>IFERROR(__xludf.DUMMYFUNCTION("""COMPUTED_VALUE"""),"Removed")</f>
        <v>Removed</v>
      </c>
      <c r="E152" s="17">
        <f>IFERROR(__xludf.DUMMYFUNCTION("""COMPUTED_VALUE"""),44838.0)</f>
        <v>44838</v>
      </c>
      <c r="F152" s="54">
        <f>IFERROR(__xludf.DUMMYFUNCTION("""COMPUTED_VALUE"""),44865.0)</f>
        <v>44865</v>
      </c>
      <c r="G152" s="19">
        <f>IFERROR(__xludf.DUMMYFUNCTION("""COMPUTED_VALUE"""),0.8666666666666666)</f>
        <v>0.8666666667</v>
      </c>
      <c r="H152" s="17">
        <f>IFERROR(__xludf.DUMMYFUNCTION("""COMPUTED_VALUE"""),44469.0)</f>
        <v>44469</v>
      </c>
      <c r="I152" s="19">
        <f>IFERROR(__xludf.DUMMYFUNCTION("""COMPUTED_VALUE"""),1.011111111111111)</f>
        <v>1.011111111</v>
      </c>
      <c r="J152" s="21">
        <f>IFERROR(__xludf.DUMMYFUNCTION("""COMPUTED_VALUE"""),75.0)</f>
        <v>75</v>
      </c>
      <c r="K152" s="23">
        <f>IFERROR(__xludf.DUMMYFUNCTION("""COMPUTED_VALUE"""),7.6)</f>
        <v>7.6</v>
      </c>
      <c r="L152" s="24">
        <f>IFERROR(__xludf.DUMMYFUNCTION("""COMPUTED_VALUE"""),7.0)</f>
        <v>7</v>
      </c>
      <c r="M152" s="25" t="str">
        <f>IFERROR(__xludf.DUMMYFUNCTION("""COMPUTED_VALUE"""),"Racing")</f>
        <v>Racing</v>
      </c>
      <c r="N152" s="25"/>
      <c r="O152" s="26" t="str">
        <f>IFERROR(__xludf.DUMMYFUNCTION("""COMPUTED_VALUE"""),"No")</f>
        <v>No</v>
      </c>
      <c r="P152" s="26"/>
    </row>
    <row r="153">
      <c r="A153" s="13" t="str">
        <f>IFERROR(__xludf.DUMMYFUNCTION("""COMPUTED_VALUE"""),"Injustice 2")</f>
        <v>Injustice 2</v>
      </c>
      <c r="B153" s="15" t="str">
        <f>IFERROR(__xludf.DUMMYFUNCTION("""COMPUTED_VALUE"""),"PS4")</f>
        <v>PS4</v>
      </c>
      <c r="C153" s="16" t="str">
        <f>IFERROR(__xludf.DUMMYFUNCTION("""COMPUTED_VALUE"""),"Essential")</f>
        <v>Essential</v>
      </c>
      <c r="D153" s="15" t="str">
        <f>IFERROR(__xludf.DUMMYFUNCTION("""COMPUTED_VALUE"""),"Removed")</f>
        <v>Removed</v>
      </c>
      <c r="E153" s="17">
        <f>IFERROR(__xludf.DUMMYFUNCTION("""COMPUTED_VALUE"""),44838.0)</f>
        <v>44838</v>
      </c>
      <c r="F153" s="54">
        <f>IFERROR(__xludf.DUMMYFUNCTION("""COMPUTED_VALUE"""),44865.0)</f>
        <v>44865</v>
      </c>
      <c r="G153" s="19">
        <f>IFERROR(__xludf.DUMMYFUNCTION("""COMPUTED_VALUE"""),0.8666666666666666)</f>
        <v>0.8666666667</v>
      </c>
      <c r="H153" s="17">
        <f>IFERROR(__xludf.DUMMYFUNCTION("""COMPUTED_VALUE"""),42871.0)</f>
        <v>42871</v>
      </c>
      <c r="I153" s="19">
        <f>IFERROR(__xludf.DUMMYFUNCTION("""COMPUTED_VALUE"""),5.383333333333334)</f>
        <v>5.383333333</v>
      </c>
      <c r="J153" s="21">
        <f>IFERROR(__xludf.DUMMYFUNCTION("""COMPUTED_VALUE"""),87.0)</f>
        <v>87</v>
      </c>
      <c r="K153" s="23">
        <f>IFERROR(__xludf.DUMMYFUNCTION("""COMPUTED_VALUE"""),8.0)</f>
        <v>8</v>
      </c>
      <c r="L153" s="24">
        <f>IFERROR(__xludf.DUMMYFUNCTION("""COMPUTED_VALUE"""),5.5)</f>
        <v>5.5</v>
      </c>
      <c r="M153" s="25" t="str">
        <f>IFERROR(__xludf.DUMMYFUNCTION("""COMPUTED_VALUE"""),"Fighting")</f>
        <v>Fighting</v>
      </c>
      <c r="N153" s="25"/>
      <c r="O153" s="26" t="str">
        <f>IFERROR(__xludf.DUMMYFUNCTION("""COMPUTED_VALUE"""),"No")</f>
        <v>No</v>
      </c>
      <c r="P153" s="26"/>
    </row>
    <row r="154">
      <c r="A154" s="13" t="str">
        <f>IFERROR(__xludf.DUMMYFUNCTION("""COMPUTED_VALUE"""),"SUPERHOT")</f>
        <v>SUPERHOT</v>
      </c>
      <c r="B154" s="15" t="str">
        <f>IFERROR(__xludf.DUMMYFUNCTION("""COMPUTED_VALUE"""),"PS4")</f>
        <v>PS4</v>
      </c>
      <c r="C154" s="16" t="str">
        <f>IFERROR(__xludf.DUMMYFUNCTION("""COMPUTED_VALUE"""),"Essential")</f>
        <v>Essential</v>
      </c>
      <c r="D154" s="15" t="str">
        <f>IFERROR(__xludf.DUMMYFUNCTION("""COMPUTED_VALUE"""),"Removed")</f>
        <v>Removed</v>
      </c>
      <c r="E154" s="17">
        <f>IFERROR(__xludf.DUMMYFUNCTION("""COMPUTED_VALUE"""),44838.0)</f>
        <v>44838</v>
      </c>
      <c r="F154" s="54">
        <f>IFERROR(__xludf.DUMMYFUNCTION("""COMPUTED_VALUE"""),44865.0)</f>
        <v>44865</v>
      </c>
      <c r="G154" s="19">
        <f>IFERROR(__xludf.DUMMYFUNCTION("""COMPUTED_VALUE"""),0.8666666666666666)</f>
        <v>0.8666666667</v>
      </c>
      <c r="H154" s="17">
        <f>IFERROR(__xludf.DUMMYFUNCTION("""COMPUTED_VALUE"""),42425.0)</f>
        <v>42425</v>
      </c>
      <c r="I154" s="19">
        <f>IFERROR(__xludf.DUMMYFUNCTION("""COMPUTED_VALUE"""),6.608333333333333)</f>
        <v>6.608333333</v>
      </c>
      <c r="J154" s="21">
        <f>IFERROR(__xludf.DUMMYFUNCTION("""COMPUTED_VALUE"""),83.0)</f>
        <v>83</v>
      </c>
      <c r="K154" s="23">
        <f>IFERROR(__xludf.DUMMYFUNCTION("""COMPUTED_VALUE"""),7.3)</f>
        <v>7.3</v>
      </c>
      <c r="L154" s="24">
        <f>IFERROR(__xludf.DUMMYFUNCTION("""COMPUTED_VALUE"""),2.5)</f>
        <v>2.5</v>
      </c>
      <c r="M154" s="25" t="str">
        <f>IFERROR(__xludf.DUMMYFUNCTION("""COMPUTED_VALUE"""),"Shooter")</f>
        <v>Shooter</v>
      </c>
      <c r="N154" s="25"/>
      <c r="O154" s="26" t="str">
        <f>IFERROR(__xludf.DUMMYFUNCTION("""COMPUTED_VALUE"""),"No")</f>
        <v>No</v>
      </c>
      <c r="P154" s="26"/>
    </row>
    <row r="155">
      <c r="A155" s="13" t="str">
        <f>IFERROR(__xludf.DUMMYFUNCTION("""COMPUTED_VALUE"""),"Need for Speed: Heat")</f>
        <v>Need for Speed: Heat</v>
      </c>
      <c r="B155" s="15" t="str">
        <f>IFERROR(__xludf.DUMMYFUNCTION("""COMPUTED_VALUE"""),"PS4")</f>
        <v>PS4</v>
      </c>
      <c r="C155" s="16" t="str">
        <f>IFERROR(__xludf.DUMMYFUNCTION("""COMPUTED_VALUE"""),"Essential")</f>
        <v>Essential</v>
      </c>
      <c r="D155" s="15" t="str">
        <f>IFERROR(__xludf.DUMMYFUNCTION("""COMPUTED_VALUE"""),"Removed")</f>
        <v>Removed</v>
      </c>
      <c r="E155" s="17">
        <f>IFERROR(__xludf.DUMMYFUNCTION("""COMPUTED_VALUE"""),44810.0)</f>
        <v>44810</v>
      </c>
      <c r="F155" s="54">
        <f>IFERROR(__xludf.DUMMYFUNCTION("""COMPUTED_VALUE"""),44837.0)</f>
        <v>44837</v>
      </c>
      <c r="G155" s="19">
        <f>IFERROR(__xludf.DUMMYFUNCTION("""COMPUTED_VALUE"""),0.8999999999999999)</f>
        <v>0.9</v>
      </c>
      <c r="H155" s="17">
        <f>IFERROR(__xludf.DUMMYFUNCTION("""COMPUTED_VALUE"""),43777.0)</f>
        <v>43777</v>
      </c>
      <c r="I155" s="19">
        <f>IFERROR(__xludf.DUMMYFUNCTION("""COMPUTED_VALUE"""),2.827777777777778)</f>
        <v>2.827777778</v>
      </c>
      <c r="J155" s="21">
        <f>IFERROR(__xludf.DUMMYFUNCTION("""COMPUTED_VALUE"""),72.0)</f>
        <v>72</v>
      </c>
      <c r="K155" s="23">
        <f>IFERROR(__xludf.DUMMYFUNCTION("""COMPUTED_VALUE"""),6.1)</f>
        <v>6.1</v>
      </c>
      <c r="L155" s="24">
        <f>IFERROR(__xludf.DUMMYFUNCTION("""COMPUTED_VALUE"""),13.0)</f>
        <v>13</v>
      </c>
      <c r="M155" s="25" t="str">
        <f>IFERROR(__xludf.DUMMYFUNCTION("""COMPUTED_VALUE"""),"Racing")</f>
        <v>Racing</v>
      </c>
      <c r="N155" s="25"/>
      <c r="O155" s="26" t="str">
        <f>IFERROR(__xludf.DUMMYFUNCTION("""COMPUTED_VALUE"""),"No")</f>
        <v>No</v>
      </c>
      <c r="P155" s="26"/>
    </row>
    <row r="156">
      <c r="A156" s="13" t="str">
        <f>IFERROR(__xludf.DUMMYFUNCTION("""COMPUTED_VALUE"""),"Granblue Fantasy: Versus")</f>
        <v>Granblue Fantasy: Versus</v>
      </c>
      <c r="B156" s="15" t="str">
        <f>IFERROR(__xludf.DUMMYFUNCTION("""COMPUTED_VALUE"""),"PS4")</f>
        <v>PS4</v>
      </c>
      <c r="C156" s="16" t="str">
        <f>IFERROR(__xludf.DUMMYFUNCTION("""COMPUTED_VALUE"""),"Essential")</f>
        <v>Essential</v>
      </c>
      <c r="D156" s="15" t="str">
        <f>IFERROR(__xludf.DUMMYFUNCTION("""COMPUTED_VALUE"""),"Removed")</f>
        <v>Removed</v>
      </c>
      <c r="E156" s="17">
        <f>IFERROR(__xludf.DUMMYFUNCTION("""COMPUTED_VALUE"""),44810.0)</f>
        <v>44810</v>
      </c>
      <c r="F156" s="54">
        <f>IFERROR(__xludf.DUMMYFUNCTION("""COMPUTED_VALUE"""),44837.0)</f>
        <v>44837</v>
      </c>
      <c r="G156" s="19">
        <f>IFERROR(__xludf.DUMMYFUNCTION("""COMPUTED_VALUE"""),0.8999999999999999)</f>
        <v>0.9</v>
      </c>
      <c r="H156" s="17">
        <f>IFERROR(__xludf.DUMMYFUNCTION("""COMPUTED_VALUE"""),43903.0)</f>
        <v>43903</v>
      </c>
      <c r="I156" s="19">
        <f>IFERROR(__xludf.DUMMYFUNCTION("""COMPUTED_VALUE"""),2.4805555555555556)</f>
        <v>2.480555556</v>
      </c>
      <c r="J156" s="21">
        <f>IFERROR(__xludf.DUMMYFUNCTION("""COMPUTED_VALUE"""),78.0)</f>
        <v>78</v>
      </c>
      <c r="K156" s="23">
        <f>IFERROR(__xludf.DUMMYFUNCTION("""COMPUTED_VALUE"""),6.5)</f>
        <v>6.5</v>
      </c>
      <c r="L156" s="24">
        <f>IFERROR(__xludf.DUMMYFUNCTION("""COMPUTED_VALUE"""),5.5)</f>
        <v>5.5</v>
      </c>
      <c r="M156" s="25" t="str">
        <f>IFERROR(__xludf.DUMMYFUNCTION("""COMPUTED_VALUE"""),"Fighting")</f>
        <v>Fighting</v>
      </c>
      <c r="N156" s="25"/>
      <c r="O156" s="26" t="str">
        <f>IFERROR(__xludf.DUMMYFUNCTION("""COMPUTED_VALUE"""),"No")</f>
        <v>No</v>
      </c>
      <c r="P156" s="26"/>
    </row>
    <row r="157">
      <c r="A157" s="13" t="str">
        <f>IFERROR(__xludf.DUMMYFUNCTION("""COMPUTED_VALUE"""),"Toem")</f>
        <v>Toem</v>
      </c>
      <c r="B157" s="15" t="str">
        <f>IFERROR(__xludf.DUMMYFUNCTION("""COMPUTED_VALUE"""),"PS5")</f>
        <v>PS5</v>
      </c>
      <c r="C157" s="16" t="str">
        <f>IFERROR(__xludf.DUMMYFUNCTION("""COMPUTED_VALUE"""),"Essential")</f>
        <v>Essential</v>
      </c>
      <c r="D157" s="15" t="str">
        <f>IFERROR(__xludf.DUMMYFUNCTION("""COMPUTED_VALUE"""),"Removed")</f>
        <v>Removed</v>
      </c>
      <c r="E157" s="17">
        <f>IFERROR(__xludf.DUMMYFUNCTION("""COMPUTED_VALUE"""),44810.0)</f>
        <v>44810</v>
      </c>
      <c r="F157" s="18">
        <f>IFERROR(__xludf.DUMMYFUNCTION("""COMPUTED_VALUE"""),44837.0)</f>
        <v>44837</v>
      </c>
      <c r="G157" s="19">
        <f>IFERROR(__xludf.DUMMYFUNCTION("""COMPUTED_VALUE"""),0.8999999999999999)</f>
        <v>0.9</v>
      </c>
      <c r="H157" s="17">
        <f>IFERROR(__xludf.DUMMYFUNCTION("""COMPUTED_VALUE"""),44456.0)</f>
        <v>44456</v>
      </c>
      <c r="I157" s="19">
        <f>IFERROR(__xludf.DUMMYFUNCTION("""COMPUTED_VALUE"""),0.9694444444444444)</f>
        <v>0.9694444444</v>
      </c>
      <c r="J157" s="21">
        <f>IFERROR(__xludf.DUMMYFUNCTION("""COMPUTED_VALUE"""),80.0)</f>
        <v>80</v>
      </c>
      <c r="K157" s="23">
        <f>IFERROR(__xludf.DUMMYFUNCTION("""COMPUTED_VALUE"""),4.7)</f>
        <v>4.7</v>
      </c>
      <c r="L157" s="24">
        <f>IFERROR(__xludf.DUMMYFUNCTION("""COMPUTED_VALUE"""),3.0)</f>
        <v>3</v>
      </c>
      <c r="M157" s="25" t="str">
        <f>IFERROR(__xludf.DUMMYFUNCTION("""COMPUTED_VALUE"""),"Action-Adventure")</f>
        <v>Action-Adventure</v>
      </c>
      <c r="N157" s="25"/>
      <c r="O157" s="26" t="str">
        <f>IFERROR(__xludf.DUMMYFUNCTION("""COMPUTED_VALUE"""),"No")</f>
        <v>No</v>
      </c>
      <c r="P157" s="26"/>
    </row>
    <row r="158">
      <c r="A158" s="13" t="str">
        <f>IFERROR(__xludf.DUMMYFUNCTION("""COMPUTED_VALUE"""),"Little Nightmares")</f>
        <v>Little Nightmares</v>
      </c>
      <c r="B158" s="15" t="str">
        <f>IFERROR(__xludf.DUMMYFUNCTION("""COMPUTED_VALUE"""),"PS4")</f>
        <v>PS4</v>
      </c>
      <c r="C158" s="16" t="str">
        <f>IFERROR(__xludf.DUMMYFUNCTION("""COMPUTED_VALUE"""),"Essential")</f>
        <v>Essential</v>
      </c>
      <c r="D158" s="15" t="str">
        <f>IFERROR(__xludf.DUMMYFUNCTION("""COMPUTED_VALUE"""),"Removed")</f>
        <v>Removed</v>
      </c>
      <c r="E158" s="17">
        <f>IFERROR(__xludf.DUMMYFUNCTION("""COMPUTED_VALUE"""),44775.0)</f>
        <v>44775</v>
      </c>
      <c r="F158" s="54">
        <f>IFERROR(__xludf.DUMMYFUNCTION("""COMPUTED_VALUE"""),44809.0)</f>
        <v>44809</v>
      </c>
      <c r="G158" s="19">
        <f>IFERROR(__xludf.DUMMYFUNCTION("""COMPUTED_VALUE"""),1.0999999999999999)</f>
        <v>1.1</v>
      </c>
      <c r="H158" s="17">
        <f>IFERROR(__xludf.DUMMYFUNCTION("""COMPUTED_VALUE"""),42853.0)</f>
        <v>42853</v>
      </c>
      <c r="I158" s="19">
        <f>IFERROR(__xludf.DUMMYFUNCTION("""COMPUTED_VALUE"""),5.261111111111111)</f>
        <v>5.261111111</v>
      </c>
      <c r="J158" s="21">
        <f>IFERROR(__xludf.DUMMYFUNCTION("""COMPUTED_VALUE"""),78.0)</f>
        <v>78</v>
      </c>
      <c r="K158" s="23">
        <f>IFERROR(__xludf.DUMMYFUNCTION("""COMPUTED_VALUE"""),8.1)</f>
        <v>8.1</v>
      </c>
      <c r="L158" s="24">
        <f>IFERROR(__xludf.DUMMYFUNCTION("""COMPUTED_VALUE"""),3.5)</f>
        <v>3.5</v>
      </c>
      <c r="M158" s="25" t="str">
        <f>IFERROR(__xludf.DUMMYFUNCTION("""COMPUTED_VALUE"""),"Puzzle")</f>
        <v>Puzzle</v>
      </c>
      <c r="N158" s="25"/>
      <c r="O158" s="26" t="str">
        <f>IFERROR(__xludf.DUMMYFUNCTION("""COMPUTED_VALUE"""),"No")</f>
        <v>No</v>
      </c>
      <c r="P158" s="26"/>
    </row>
    <row r="159">
      <c r="A159" s="13" t="str">
        <f>IFERROR(__xludf.DUMMYFUNCTION("""COMPUTED_VALUE"""),"Tony Hawk's Pro Skater 1 + 2")</f>
        <v>Tony Hawk's Pro Skater 1 + 2</v>
      </c>
      <c r="B159" s="15" t="str">
        <f>IFERROR(__xludf.DUMMYFUNCTION("""COMPUTED_VALUE"""),"PS5/PS4")</f>
        <v>PS5/PS4</v>
      </c>
      <c r="C159" s="16" t="str">
        <f>IFERROR(__xludf.DUMMYFUNCTION("""COMPUTED_VALUE"""),"Essential")</f>
        <v>Essential</v>
      </c>
      <c r="D159" s="15" t="str">
        <f>IFERROR(__xludf.DUMMYFUNCTION("""COMPUTED_VALUE"""),"Removed")</f>
        <v>Removed</v>
      </c>
      <c r="E159" s="17">
        <f>IFERROR(__xludf.DUMMYFUNCTION("""COMPUTED_VALUE"""),44775.0)</f>
        <v>44775</v>
      </c>
      <c r="F159" s="18">
        <f>IFERROR(__xludf.DUMMYFUNCTION("""COMPUTED_VALUE"""),44809.0)</f>
        <v>44809</v>
      </c>
      <c r="G159" s="19">
        <f>IFERROR(__xludf.DUMMYFUNCTION("""COMPUTED_VALUE"""),1.0999999999999999)</f>
        <v>1.1</v>
      </c>
      <c r="H159" s="17">
        <f>IFERROR(__xludf.DUMMYFUNCTION("""COMPUTED_VALUE"""),44078.0)</f>
        <v>44078</v>
      </c>
      <c r="I159" s="19">
        <f>IFERROR(__xludf.DUMMYFUNCTION("""COMPUTED_VALUE"""),1.9111111111111112)</f>
        <v>1.911111111</v>
      </c>
      <c r="J159" s="21">
        <f>IFERROR(__xludf.DUMMYFUNCTION("""COMPUTED_VALUE"""),89.0)</f>
        <v>89</v>
      </c>
      <c r="K159" s="23">
        <f>IFERROR(__xludf.DUMMYFUNCTION("""COMPUTED_VALUE"""),8.7)</f>
        <v>8.7</v>
      </c>
      <c r="L159" s="24">
        <f>IFERROR(__xludf.DUMMYFUNCTION("""COMPUTED_VALUE"""),6.5)</f>
        <v>6.5</v>
      </c>
      <c r="M159" s="25" t="str">
        <f>IFERROR(__xludf.DUMMYFUNCTION("""COMPUTED_VALUE"""),"Sports")</f>
        <v>Sports</v>
      </c>
      <c r="N159" s="25"/>
      <c r="O159" s="26" t="str">
        <f>IFERROR(__xludf.DUMMYFUNCTION("""COMPUTED_VALUE"""),"No")</f>
        <v>No</v>
      </c>
      <c r="P159" s="26"/>
    </row>
    <row r="160">
      <c r="A160" s="13" t="str">
        <f>IFERROR(__xludf.DUMMYFUNCTION("""COMPUTED_VALUE"""),"Yakuza: Like A Dragon")</f>
        <v>Yakuza: Like A Dragon</v>
      </c>
      <c r="B160" s="15" t="str">
        <f>IFERROR(__xludf.DUMMYFUNCTION("""COMPUTED_VALUE"""),"PS5/PS4")</f>
        <v>PS5/PS4</v>
      </c>
      <c r="C160" s="16" t="str">
        <f>IFERROR(__xludf.DUMMYFUNCTION("""COMPUTED_VALUE"""),"Essential")</f>
        <v>Essential</v>
      </c>
      <c r="D160" s="15" t="str">
        <f>IFERROR(__xludf.DUMMYFUNCTION("""COMPUTED_VALUE"""),"Removed")</f>
        <v>Removed</v>
      </c>
      <c r="E160" s="17">
        <f>IFERROR(__xludf.DUMMYFUNCTION("""COMPUTED_VALUE"""),44775.0)</f>
        <v>44775</v>
      </c>
      <c r="F160" s="54">
        <f>IFERROR(__xludf.DUMMYFUNCTION("""COMPUTED_VALUE"""),44809.0)</f>
        <v>44809</v>
      </c>
      <c r="G160" s="19">
        <f>IFERROR(__xludf.DUMMYFUNCTION("""COMPUTED_VALUE"""),1.0999999999999999)</f>
        <v>1.1</v>
      </c>
      <c r="H160" s="17">
        <f>IFERROR(__xludf.DUMMYFUNCTION("""COMPUTED_VALUE"""),43846.0)</f>
        <v>43846</v>
      </c>
      <c r="I160" s="19">
        <f>IFERROR(__xludf.DUMMYFUNCTION("""COMPUTED_VALUE"""),2.5444444444444443)</f>
        <v>2.544444444</v>
      </c>
      <c r="J160" s="21">
        <f>IFERROR(__xludf.DUMMYFUNCTION("""COMPUTED_VALUE"""),85.0)</f>
        <v>85</v>
      </c>
      <c r="K160" s="23">
        <f>IFERROR(__xludf.DUMMYFUNCTION("""COMPUTED_VALUE"""),8.2)</f>
        <v>8.2</v>
      </c>
      <c r="L160" s="24">
        <f>IFERROR(__xludf.DUMMYFUNCTION("""COMPUTED_VALUE"""),45.0)</f>
        <v>45</v>
      </c>
      <c r="M160" s="25" t="str">
        <f>IFERROR(__xludf.DUMMYFUNCTION("""COMPUTED_VALUE"""),"RPG")</f>
        <v>RPG</v>
      </c>
      <c r="N160" s="25"/>
      <c r="O160" s="26" t="str">
        <f>IFERROR(__xludf.DUMMYFUNCTION("""COMPUTED_VALUE"""),"No")</f>
        <v>No</v>
      </c>
      <c r="P160" s="26"/>
    </row>
    <row r="161">
      <c r="A161" s="13" t="str">
        <f>IFERROR(__xludf.DUMMYFUNCTION("""COMPUTED_VALUE"""),"Crash Bandicoot 4: It's About Time")</f>
        <v>Crash Bandicoot 4: It's About Time</v>
      </c>
      <c r="B161" s="15" t="str">
        <f>IFERROR(__xludf.DUMMYFUNCTION("""COMPUTED_VALUE"""),"PS5/PS4")</f>
        <v>PS5/PS4</v>
      </c>
      <c r="C161" s="16" t="str">
        <f>IFERROR(__xludf.DUMMYFUNCTION("""COMPUTED_VALUE"""),"Essential")</f>
        <v>Essential</v>
      </c>
      <c r="D161" s="15" t="str">
        <f>IFERROR(__xludf.DUMMYFUNCTION("""COMPUTED_VALUE"""),"Removed")</f>
        <v>Removed</v>
      </c>
      <c r="E161" s="17">
        <f>IFERROR(__xludf.DUMMYFUNCTION("""COMPUTED_VALUE"""),44747.0)</f>
        <v>44747</v>
      </c>
      <c r="F161" s="54">
        <f>IFERROR(__xludf.DUMMYFUNCTION("""COMPUTED_VALUE"""),44774.0)</f>
        <v>44774</v>
      </c>
      <c r="G161" s="19">
        <f>IFERROR(__xludf.DUMMYFUNCTION("""COMPUTED_VALUE"""),0.8666666666666666)</f>
        <v>0.8666666667</v>
      </c>
      <c r="H161" s="17">
        <f>IFERROR(__xludf.DUMMYFUNCTION("""COMPUTED_VALUE"""),44106.0)</f>
        <v>44106</v>
      </c>
      <c r="I161" s="19">
        <f>IFERROR(__xludf.DUMMYFUNCTION("""COMPUTED_VALUE"""),1.7583333333333333)</f>
        <v>1.758333333</v>
      </c>
      <c r="J161" s="21">
        <f>IFERROR(__xludf.DUMMYFUNCTION("""COMPUTED_VALUE"""),86.0)</f>
        <v>86</v>
      </c>
      <c r="K161" s="23">
        <f>IFERROR(__xludf.DUMMYFUNCTION("""COMPUTED_VALUE"""),7.9)</f>
        <v>7.9</v>
      </c>
      <c r="L161" s="24">
        <f>IFERROR(__xludf.DUMMYFUNCTION("""COMPUTED_VALUE"""),10.0)</f>
        <v>10</v>
      </c>
      <c r="M161" s="25" t="str">
        <f>IFERROR(__xludf.DUMMYFUNCTION("""COMPUTED_VALUE"""),"Platformer")</f>
        <v>Platformer</v>
      </c>
      <c r="N161" s="25"/>
      <c r="O161" s="26" t="str">
        <f>IFERROR(__xludf.DUMMYFUNCTION("""COMPUTED_VALUE"""),"No")</f>
        <v>No</v>
      </c>
      <c r="P161" s="26"/>
    </row>
    <row r="162">
      <c r="A162" s="13" t="str">
        <f>IFERROR(__xludf.DUMMYFUNCTION("""COMPUTED_VALUE"""),"The Dark Pictures Anthology: Man of Medan")</f>
        <v>The Dark Pictures Anthology: Man of Medan</v>
      </c>
      <c r="B162" s="15" t="str">
        <f>IFERROR(__xludf.DUMMYFUNCTION("""COMPUTED_VALUE"""),"PS4")</f>
        <v>PS4</v>
      </c>
      <c r="C162" s="16" t="str">
        <f>IFERROR(__xludf.DUMMYFUNCTION("""COMPUTED_VALUE"""),"Essential")</f>
        <v>Essential</v>
      </c>
      <c r="D162" s="15" t="str">
        <f>IFERROR(__xludf.DUMMYFUNCTION("""COMPUTED_VALUE"""),"Removed")</f>
        <v>Removed</v>
      </c>
      <c r="E162" s="17">
        <f>IFERROR(__xludf.DUMMYFUNCTION("""COMPUTED_VALUE"""),44747.0)</f>
        <v>44747</v>
      </c>
      <c r="F162" s="54">
        <f>IFERROR(__xludf.DUMMYFUNCTION("""COMPUTED_VALUE"""),44774.0)</f>
        <v>44774</v>
      </c>
      <c r="G162" s="19">
        <f>IFERROR(__xludf.DUMMYFUNCTION("""COMPUTED_VALUE"""),0.8666666666666666)</f>
        <v>0.8666666667</v>
      </c>
      <c r="H162" s="17">
        <f>IFERROR(__xludf.DUMMYFUNCTION("""COMPUTED_VALUE"""),43707.0)</f>
        <v>43707</v>
      </c>
      <c r="I162" s="19">
        <f>IFERROR(__xludf.DUMMYFUNCTION("""COMPUTED_VALUE"""),2.8472222222222223)</f>
        <v>2.847222222</v>
      </c>
      <c r="J162" s="21">
        <f>IFERROR(__xludf.DUMMYFUNCTION("""COMPUTED_VALUE"""),69.0)</f>
        <v>69</v>
      </c>
      <c r="K162" s="23">
        <f>IFERROR(__xludf.DUMMYFUNCTION("""COMPUTED_VALUE"""),6.6)</f>
        <v>6.6</v>
      </c>
      <c r="L162" s="24">
        <f>IFERROR(__xludf.DUMMYFUNCTION("""COMPUTED_VALUE"""),4.5)</f>
        <v>4.5</v>
      </c>
      <c r="M162" s="25" t="str">
        <f>IFERROR(__xludf.DUMMYFUNCTION("""COMPUTED_VALUE"""),"Horror")</f>
        <v>Horror</v>
      </c>
      <c r="N162" s="25"/>
      <c r="O162" s="26" t="str">
        <f>IFERROR(__xludf.DUMMYFUNCTION("""COMPUTED_VALUE"""),"No")</f>
        <v>No</v>
      </c>
      <c r="P162" s="26"/>
    </row>
    <row r="163">
      <c r="A163" s="13" t="str">
        <f>IFERROR(__xludf.DUMMYFUNCTION("""COMPUTED_VALUE"""),"Arcadegeddon")</f>
        <v>Arcadegeddon</v>
      </c>
      <c r="B163" s="15" t="str">
        <f>IFERROR(__xludf.DUMMYFUNCTION("""COMPUTED_VALUE"""),"PS5/PS4")</f>
        <v>PS5/PS4</v>
      </c>
      <c r="C163" s="16" t="str">
        <f>IFERROR(__xludf.DUMMYFUNCTION("""COMPUTED_VALUE"""),"Essential")</f>
        <v>Essential</v>
      </c>
      <c r="D163" s="15" t="str">
        <f>IFERROR(__xludf.DUMMYFUNCTION("""COMPUTED_VALUE"""),"Removed")</f>
        <v>Removed</v>
      </c>
      <c r="E163" s="17">
        <f>IFERROR(__xludf.DUMMYFUNCTION("""COMPUTED_VALUE"""),44747.0)</f>
        <v>44747</v>
      </c>
      <c r="F163" s="54">
        <f>IFERROR(__xludf.DUMMYFUNCTION("""COMPUTED_VALUE"""),44774.0)</f>
        <v>44774</v>
      </c>
      <c r="G163" s="19">
        <f>IFERROR(__xludf.DUMMYFUNCTION("""COMPUTED_VALUE"""),0.8666666666666666)</f>
        <v>0.8666666667</v>
      </c>
      <c r="H163" s="17">
        <f>IFERROR(__xludf.DUMMYFUNCTION("""COMPUTED_VALUE"""),44747.0)</f>
        <v>44747</v>
      </c>
      <c r="I163" s="19">
        <f>IFERROR(__xludf.DUMMYFUNCTION("""COMPUTED_VALUE"""),0.0)</f>
        <v>0</v>
      </c>
      <c r="J163" s="21">
        <f>IFERROR(__xludf.DUMMYFUNCTION("""COMPUTED_VALUE"""),74.0)</f>
        <v>74</v>
      </c>
      <c r="K163" s="23">
        <f>IFERROR(__xludf.DUMMYFUNCTION("""COMPUTED_VALUE"""),6.2)</f>
        <v>6.2</v>
      </c>
      <c r="L163" s="24">
        <f>IFERROR(__xludf.DUMMYFUNCTION("""COMPUTED_VALUE"""),5.5)</f>
        <v>5.5</v>
      </c>
      <c r="M163" s="25" t="str">
        <f>IFERROR(__xludf.DUMMYFUNCTION("""COMPUTED_VALUE"""),"Shooter")</f>
        <v>Shooter</v>
      </c>
      <c r="N163" s="25"/>
      <c r="O163" s="26" t="str">
        <f>IFERROR(__xludf.DUMMYFUNCTION("""COMPUTED_VALUE"""),"No")</f>
        <v>No</v>
      </c>
      <c r="P163" s="26"/>
    </row>
    <row r="164">
      <c r="A164" s="13" t="str">
        <f>IFERROR(__xludf.DUMMYFUNCTION("""COMPUTED_VALUE"""),"God of War (2018)")</f>
        <v>God of War (2018)</v>
      </c>
      <c r="B164" s="15" t="str">
        <f>IFERROR(__xludf.DUMMYFUNCTION("""COMPUTED_VALUE"""),"PS4")</f>
        <v>PS4</v>
      </c>
      <c r="C164" s="16" t="str">
        <f>IFERROR(__xludf.DUMMYFUNCTION("""COMPUTED_VALUE"""),"Essential")</f>
        <v>Essential</v>
      </c>
      <c r="D164" s="15" t="str">
        <f>IFERROR(__xludf.DUMMYFUNCTION("""COMPUTED_VALUE"""),"Removed")</f>
        <v>Removed</v>
      </c>
      <c r="E164" s="17">
        <f>IFERROR(__xludf.DUMMYFUNCTION("""COMPUTED_VALUE"""),44719.0)</f>
        <v>44719</v>
      </c>
      <c r="F164" s="54">
        <f>IFERROR(__xludf.DUMMYFUNCTION("""COMPUTED_VALUE"""),44746.0)</f>
        <v>44746</v>
      </c>
      <c r="G164" s="19">
        <f>IFERROR(__xludf.DUMMYFUNCTION("""COMPUTED_VALUE"""),0.8999999999999999)</f>
        <v>0.9</v>
      </c>
      <c r="H164" s="17">
        <f>IFERROR(__xludf.DUMMYFUNCTION("""COMPUTED_VALUE"""),43210.0)</f>
        <v>43210</v>
      </c>
      <c r="I164" s="19">
        <f>IFERROR(__xludf.DUMMYFUNCTION("""COMPUTED_VALUE"""),4.1305555555555555)</f>
        <v>4.130555556</v>
      </c>
      <c r="J164" s="21">
        <f>IFERROR(__xludf.DUMMYFUNCTION("""COMPUTED_VALUE"""),94.0)</f>
        <v>94</v>
      </c>
      <c r="K164" s="23">
        <f>IFERROR(__xludf.DUMMYFUNCTION("""COMPUTED_VALUE"""),9.1)</f>
        <v>9.1</v>
      </c>
      <c r="L164" s="24">
        <f>IFERROR(__xludf.DUMMYFUNCTION("""COMPUTED_VALUE"""),20.5)</f>
        <v>20.5</v>
      </c>
      <c r="M164" s="25" t="str">
        <f>IFERROR(__xludf.DUMMYFUNCTION("""COMPUTED_VALUE"""),"RPG")</f>
        <v>RPG</v>
      </c>
      <c r="N164" s="25"/>
      <c r="O164" s="26" t="str">
        <f>IFERROR(__xludf.DUMMYFUNCTION("""COMPUTED_VALUE"""),"No")</f>
        <v>No</v>
      </c>
      <c r="P164" s="26"/>
    </row>
    <row r="165">
      <c r="A165" s="13" t="str">
        <f>IFERROR(__xludf.DUMMYFUNCTION("""COMPUTED_VALUE"""),"Naruto to Boruto: Shinobi Strikers")</f>
        <v>Naruto to Boruto: Shinobi Strikers</v>
      </c>
      <c r="B165" s="15" t="str">
        <f>IFERROR(__xludf.DUMMYFUNCTION("""COMPUTED_VALUE"""),"PS4")</f>
        <v>PS4</v>
      </c>
      <c r="C165" s="16" t="str">
        <f>IFERROR(__xludf.DUMMYFUNCTION("""COMPUTED_VALUE"""),"Essential")</f>
        <v>Essential</v>
      </c>
      <c r="D165" s="15" t="str">
        <f>IFERROR(__xludf.DUMMYFUNCTION("""COMPUTED_VALUE"""),"Removed")</f>
        <v>Removed</v>
      </c>
      <c r="E165" s="17">
        <f>IFERROR(__xludf.DUMMYFUNCTION("""COMPUTED_VALUE"""),44719.0)</f>
        <v>44719</v>
      </c>
      <c r="F165" s="54">
        <f>IFERROR(__xludf.DUMMYFUNCTION("""COMPUTED_VALUE"""),44746.0)</f>
        <v>44746</v>
      </c>
      <c r="G165" s="19">
        <f>IFERROR(__xludf.DUMMYFUNCTION("""COMPUTED_VALUE"""),0.8999999999999999)</f>
        <v>0.9</v>
      </c>
      <c r="H165" s="17">
        <f>IFERROR(__xludf.DUMMYFUNCTION("""COMPUTED_VALUE"""),43342.0)</f>
        <v>43342</v>
      </c>
      <c r="I165" s="19">
        <f>IFERROR(__xludf.DUMMYFUNCTION("""COMPUTED_VALUE"""),3.7694444444444444)</f>
        <v>3.769444444</v>
      </c>
      <c r="J165" s="21">
        <f>IFERROR(__xludf.DUMMYFUNCTION("""COMPUTED_VALUE"""),61.0)</f>
        <v>61</v>
      </c>
      <c r="K165" s="23">
        <f>IFERROR(__xludf.DUMMYFUNCTION("""COMPUTED_VALUE"""),6.7)</f>
        <v>6.7</v>
      </c>
      <c r="L165" s="24">
        <f>IFERROR(__xludf.DUMMYFUNCTION("""COMPUTED_VALUE"""),6.0)</f>
        <v>6</v>
      </c>
      <c r="M165" s="25" t="str">
        <f>IFERROR(__xludf.DUMMYFUNCTION("""COMPUTED_VALUE"""),"Action-Adventure")</f>
        <v>Action-Adventure</v>
      </c>
      <c r="N165" s="25"/>
      <c r="O165" s="26" t="str">
        <f>IFERROR(__xludf.DUMMYFUNCTION("""COMPUTED_VALUE"""),"No")</f>
        <v>No</v>
      </c>
      <c r="P165" s="26"/>
    </row>
    <row r="166">
      <c r="A166" s="13" t="str">
        <f>IFERROR(__xludf.DUMMYFUNCTION("""COMPUTED_VALUE"""),"Nickelodeon All-Star Brawl")</f>
        <v>Nickelodeon All-Star Brawl</v>
      </c>
      <c r="B166" s="15" t="str">
        <f>IFERROR(__xludf.DUMMYFUNCTION("""COMPUTED_VALUE"""),"PS5/PS4")</f>
        <v>PS5/PS4</v>
      </c>
      <c r="C166" s="16" t="str">
        <f>IFERROR(__xludf.DUMMYFUNCTION("""COMPUTED_VALUE"""),"Essential")</f>
        <v>Essential</v>
      </c>
      <c r="D166" s="15" t="str">
        <f>IFERROR(__xludf.DUMMYFUNCTION("""COMPUTED_VALUE"""),"Removed")</f>
        <v>Removed</v>
      </c>
      <c r="E166" s="17">
        <f>IFERROR(__xludf.DUMMYFUNCTION("""COMPUTED_VALUE"""),44719.0)</f>
        <v>44719</v>
      </c>
      <c r="F166" s="54">
        <f>IFERROR(__xludf.DUMMYFUNCTION("""COMPUTED_VALUE"""),44746.0)</f>
        <v>44746</v>
      </c>
      <c r="G166" s="19">
        <f>IFERROR(__xludf.DUMMYFUNCTION("""COMPUTED_VALUE"""),0.8999999999999999)</f>
        <v>0.9</v>
      </c>
      <c r="H166" s="17">
        <f>IFERROR(__xludf.DUMMYFUNCTION("""COMPUTED_VALUE"""),44474.0)</f>
        <v>44474</v>
      </c>
      <c r="I166" s="19">
        <f>IFERROR(__xludf.DUMMYFUNCTION("""COMPUTED_VALUE"""),0.6722222222222223)</f>
        <v>0.6722222222</v>
      </c>
      <c r="J166" s="21">
        <f>IFERROR(__xludf.DUMMYFUNCTION("""COMPUTED_VALUE"""),64.0)</f>
        <v>64</v>
      </c>
      <c r="K166" s="23">
        <f>IFERROR(__xludf.DUMMYFUNCTION("""COMPUTED_VALUE"""),6.0)</f>
        <v>6</v>
      </c>
      <c r="L166" s="24">
        <f>IFERROR(__xludf.DUMMYFUNCTION("""COMPUTED_VALUE"""),1.0)</f>
        <v>1</v>
      </c>
      <c r="M166" s="25" t="str">
        <f>IFERROR(__xludf.DUMMYFUNCTION("""COMPUTED_VALUE"""),"Fighting")</f>
        <v>Fighting</v>
      </c>
      <c r="N166" s="25"/>
      <c r="O166" s="26" t="str">
        <f>IFERROR(__xludf.DUMMYFUNCTION("""COMPUTED_VALUE"""),"No")</f>
        <v>No</v>
      </c>
      <c r="P166" s="26" t="str">
        <f>IFERROR(__xludf.DUMMYFUNCTION("""COMPUTED_VALUE"""),"Yes")</f>
        <v>Yes</v>
      </c>
    </row>
    <row r="167">
      <c r="A167" s="13" t="str">
        <f>IFERROR(__xludf.DUMMYFUNCTION("""COMPUTED_VALUE"""),"FIFA 22")</f>
        <v>FIFA 22</v>
      </c>
      <c r="B167" s="15" t="str">
        <f>IFERROR(__xludf.DUMMYFUNCTION("""COMPUTED_VALUE"""),"PS5/PS4")</f>
        <v>PS5/PS4</v>
      </c>
      <c r="C167" s="16" t="str">
        <f>IFERROR(__xludf.DUMMYFUNCTION("""COMPUTED_VALUE"""),"Playstation Plus (Discontinued)")</f>
        <v>Playstation Plus (Discontinued)</v>
      </c>
      <c r="D167" s="15" t="str">
        <f>IFERROR(__xludf.DUMMYFUNCTION("""COMPUTED_VALUE"""),"Removed")</f>
        <v>Removed</v>
      </c>
      <c r="E167" s="17">
        <f>IFERROR(__xludf.DUMMYFUNCTION("""COMPUTED_VALUE"""),44684.0)</f>
        <v>44684</v>
      </c>
      <c r="F167" s="54">
        <f>IFERROR(__xludf.DUMMYFUNCTION("""COMPUTED_VALUE"""),44718.0)</f>
        <v>44718</v>
      </c>
      <c r="G167" s="19">
        <f>IFERROR(__xludf.DUMMYFUNCTION("""COMPUTED_VALUE"""),1.0999999999999999)</f>
        <v>1.1</v>
      </c>
      <c r="H167" s="17">
        <f>IFERROR(__xludf.DUMMYFUNCTION("""COMPUTED_VALUE"""),44470.0)</f>
        <v>44470</v>
      </c>
      <c r="I167" s="19">
        <f>IFERROR(__xludf.DUMMYFUNCTION("""COMPUTED_VALUE"""),0.5888888888888889)</f>
        <v>0.5888888889</v>
      </c>
      <c r="J167" s="21">
        <f>IFERROR(__xludf.DUMMYFUNCTION("""COMPUTED_VALUE"""),78.0)</f>
        <v>78</v>
      </c>
      <c r="K167" s="23">
        <f>IFERROR(__xludf.DUMMYFUNCTION("""COMPUTED_VALUE"""),3.9)</f>
        <v>3.9</v>
      </c>
      <c r="L167" s="24">
        <f>IFERROR(__xludf.DUMMYFUNCTION("""COMPUTED_VALUE"""),27.0)</f>
        <v>27</v>
      </c>
      <c r="M167" s="25" t="str">
        <f>IFERROR(__xludf.DUMMYFUNCTION("""COMPUTED_VALUE"""),"Sports")</f>
        <v>Sports</v>
      </c>
      <c r="N167" s="25"/>
      <c r="O167" s="26" t="str">
        <f>IFERROR(__xludf.DUMMYFUNCTION("""COMPUTED_VALUE"""),"No")</f>
        <v>No</v>
      </c>
      <c r="P167" s="26"/>
    </row>
    <row r="168">
      <c r="A168" s="13" t="str">
        <f>IFERROR(__xludf.DUMMYFUNCTION("""COMPUTED_VALUE"""),"Tribes of Midgard")</f>
        <v>Tribes of Midgard</v>
      </c>
      <c r="B168" s="15" t="str">
        <f>IFERROR(__xludf.DUMMYFUNCTION("""COMPUTED_VALUE"""),"PS5/PS4")</f>
        <v>PS5/PS4</v>
      </c>
      <c r="C168" s="16" t="str">
        <f>IFERROR(__xludf.DUMMYFUNCTION("""COMPUTED_VALUE"""),"Playstation Plus (Discontinued)")</f>
        <v>Playstation Plus (Discontinued)</v>
      </c>
      <c r="D168" s="15" t="str">
        <f>IFERROR(__xludf.DUMMYFUNCTION("""COMPUTED_VALUE"""),"Removed")</f>
        <v>Removed</v>
      </c>
      <c r="E168" s="17">
        <f>IFERROR(__xludf.DUMMYFUNCTION("""COMPUTED_VALUE"""),44684.0)</f>
        <v>44684</v>
      </c>
      <c r="F168" s="54">
        <f>IFERROR(__xludf.DUMMYFUNCTION("""COMPUTED_VALUE"""),44718.0)</f>
        <v>44718</v>
      </c>
      <c r="G168" s="19">
        <f>IFERROR(__xludf.DUMMYFUNCTION("""COMPUTED_VALUE"""),1.0999999999999999)</f>
        <v>1.1</v>
      </c>
      <c r="H168" s="17">
        <f>IFERROR(__xludf.DUMMYFUNCTION("""COMPUTED_VALUE"""),44404.0)</f>
        <v>44404</v>
      </c>
      <c r="I168" s="19">
        <f>IFERROR(__xludf.DUMMYFUNCTION("""COMPUTED_VALUE"""),0.7666666666666667)</f>
        <v>0.7666666667</v>
      </c>
      <c r="J168" s="21">
        <f>IFERROR(__xludf.DUMMYFUNCTION("""COMPUTED_VALUE"""),71.0)</f>
        <v>71</v>
      </c>
      <c r="K168" s="23">
        <f>IFERROR(__xludf.DUMMYFUNCTION("""COMPUTED_VALUE"""),7.0)</f>
        <v>7</v>
      </c>
      <c r="L168" s="24">
        <f>IFERROR(__xludf.DUMMYFUNCTION("""COMPUTED_VALUE"""),18.0)</f>
        <v>18</v>
      </c>
      <c r="M168" s="25" t="str">
        <f>IFERROR(__xludf.DUMMYFUNCTION("""COMPUTED_VALUE"""),"Action-Adventure")</f>
        <v>Action-Adventure</v>
      </c>
      <c r="N168" s="25"/>
      <c r="O168" s="26" t="str">
        <f>IFERROR(__xludf.DUMMYFUNCTION("""COMPUTED_VALUE"""),"No")</f>
        <v>No</v>
      </c>
      <c r="P168" s="26"/>
    </row>
    <row r="169">
      <c r="A169" s="13" t="str">
        <f>IFERROR(__xludf.DUMMYFUNCTION("""COMPUTED_VALUE"""),"Curse of the Dead Gods")</f>
        <v>Curse of the Dead Gods</v>
      </c>
      <c r="B169" s="15" t="str">
        <f>IFERROR(__xludf.DUMMYFUNCTION("""COMPUTED_VALUE"""),"PS4")</f>
        <v>PS4</v>
      </c>
      <c r="C169" s="16" t="str">
        <f>IFERROR(__xludf.DUMMYFUNCTION("""COMPUTED_VALUE"""),"Playstation Plus (Discontinued)")</f>
        <v>Playstation Plus (Discontinued)</v>
      </c>
      <c r="D169" s="15" t="str">
        <f>IFERROR(__xludf.DUMMYFUNCTION("""COMPUTED_VALUE"""),"Removed")</f>
        <v>Removed</v>
      </c>
      <c r="E169" s="17">
        <f>IFERROR(__xludf.DUMMYFUNCTION("""COMPUTED_VALUE"""),44684.0)</f>
        <v>44684</v>
      </c>
      <c r="F169" s="54">
        <f>IFERROR(__xludf.DUMMYFUNCTION("""COMPUTED_VALUE"""),44718.0)</f>
        <v>44718</v>
      </c>
      <c r="G169" s="19">
        <f>IFERROR(__xludf.DUMMYFUNCTION("""COMPUTED_VALUE"""),1.0999999999999999)</f>
        <v>1.1</v>
      </c>
      <c r="H169" s="17">
        <f>IFERROR(__xludf.DUMMYFUNCTION("""COMPUTED_VALUE"""),44250.0)</f>
        <v>44250</v>
      </c>
      <c r="I169" s="19">
        <f>IFERROR(__xludf.DUMMYFUNCTION("""COMPUTED_VALUE"""),1.1944444444444444)</f>
        <v>1.194444444</v>
      </c>
      <c r="J169" s="21">
        <f>IFERROR(__xludf.DUMMYFUNCTION("""COMPUTED_VALUE"""),79.0)</f>
        <v>79</v>
      </c>
      <c r="K169" s="23">
        <f>IFERROR(__xludf.DUMMYFUNCTION("""COMPUTED_VALUE"""),6.9)</f>
        <v>6.9</v>
      </c>
      <c r="L169" s="24">
        <f>IFERROR(__xludf.DUMMYFUNCTION("""COMPUTED_VALUE"""),12.0)</f>
        <v>12</v>
      </c>
      <c r="M169" s="25" t="str">
        <f>IFERROR(__xludf.DUMMYFUNCTION("""COMPUTED_VALUE"""),"RPG")</f>
        <v>RPG</v>
      </c>
      <c r="N169" s="25"/>
      <c r="O169" s="26" t="str">
        <f>IFERROR(__xludf.DUMMYFUNCTION("""COMPUTED_VALUE"""),"No")</f>
        <v>No</v>
      </c>
      <c r="P169" s="26"/>
    </row>
    <row r="170">
      <c r="A170" s="13" t="str">
        <f>IFERROR(__xludf.DUMMYFUNCTION("""COMPUTED_VALUE"""),"Hood: Outlaws &amp; Legends")</f>
        <v>Hood: Outlaws &amp; Legends</v>
      </c>
      <c r="B170" s="15" t="str">
        <f>IFERROR(__xludf.DUMMYFUNCTION("""COMPUTED_VALUE"""),"PS5/PS4")</f>
        <v>PS5/PS4</v>
      </c>
      <c r="C170" s="16" t="str">
        <f>IFERROR(__xludf.DUMMYFUNCTION("""COMPUTED_VALUE"""),"Playstation Plus (Discontinued)")</f>
        <v>Playstation Plus (Discontinued)</v>
      </c>
      <c r="D170" s="15" t="str">
        <f>IFERROR(__xludf.DUMMYFUNCTION("""COMPUTED_VALUE"""),"Removed")</f>
        <v>Removed</v>
      </c>
      <c r="E170" s="17">
        <f>IFERROR(__xludf.DUMMYFUNCTION("""COMPUTED_VALUE"""),44656.0)</f>
        <v>44656</v>
      </c>
      <c r="F170" s="54">
        <f>IFERROR(__xludf.DUMMYFUNCTION("""COMPUTED_VALUE"""),44683.0)</f>
        <v>44683</v>
      </c>
      <c r="G170" s="19">
        <f>IFERROR(__xludf.DUMMYFUNCTION("""COMPUTED_VALUE"""),0.8999999999999999)</f>
        <v>0.9</v>
      </c>
      <c r="H170" s="17">
        <f>IFERROR(__xludf.DUMMYFUNCTION("""COMPUTED_VALUE"""),44326.0)</f>
        <v>44326</v>
      </c>
      <c r="I170" s="19">
        <f>IFERROR(__xludf.DUMMYFUNCTION("""COMPUTED_VALUE"""),0.9027777777777778)</f>
        <v>0.9027777778</v>
      </c>
      <c r="J170" s="21">
        <f>IFERROR(__xludf.DUMMYFUNCTION("""COMPUTED_VALUE"""),63.0)</f>
        <v>63</v>
      </c>
      <c r="K170" s="23">
        <f>IFERROR(__xludf.DUMMYFUNCTION("""COMPUTED_VALUE"""),5.8)</f>
        <v>5.8</v>
      </c>
      <c r="L170" s="24"/>
      <c r="M170" s="25" t="str">
        <f>IFERROR(__xludf.DUMMYFUNCTION("""COMPUTED_VALUE"""),"Shooter")</f>
        <v>Shooter</v>
      </c>
      <c r="N170" s="25"/>
      <c r="O170" s="26" t="str">
        <f>IFERROR(__xludf.DUMMYFUNCTION("""COMPUTED_VALUE"""),"No")</f>
        <v>No</v>
      </c>
      <c r="P170" s="26"/>
    </row>
    <row r="171">
      <c r="A171" s="13" t="str">
        <f>IFERROR(__xludf.DUMMYFUNCTION("""COMPUTED_VALUE"""),"SpongeBob SquarePants: Battle for Bikini Bottom - Rehydrated")</f>
        <v>SpongeBob SquarePants: Battle for Bikini Bottom - Rehydrated</v>
      </c>
      <c r="B171" s="15" t="str">
        <f>IFERROR(__xludf.DUMMYFUNCTION("""COMPUTED_VALUE"""),"PS4")</f>
        <v>PS4</v>
      </c>
      <c r="C171" s="16" t="str">
        <f>IFERROR(__xludf.DUMMYFUNCTION("""COMPUTED_VALUE"""),"Playstation Plus (Discontinued)")</f>
        <v>Playstation Plus (Discontinued)</v>
      </c>
      <c r="D171" s="15" t="str">
        <f>IFERROR(__xludf.DUMMYFUNCTION("""COMPUTED_VALUE"""),"Removed")</f>
        <v>Removed</v>
      </c>
      <c r="E171" s="17">
        <f>IFERROR(__xludf.DUMMYFUNCTION("""COMPUTED_VALUE"""),44656.0)</f>
        <v>44656</v>
      </c>
      <c r="F171" s="54">
        <f>IFERROR(__xludf.DUMMYFUNCTION("""COMPUTED_VALUE"""),44683.0)</f>
        <v>44683</v>
      </c>
      <c r="G171" s="19">
        <f>IFERROR(__xludf.DUMMYFUNCTION("""COMPUTED_VALUE"""),0.8999999999999999)</f>
        <v>0.9</v>
      </c>
      <c r="H171" s="17">
        <f>IFERROR(__xludf.DUMMYFUNCTION("""COMPUTED_VALUE"""),44005.0)</f>
        <v>44005</v>
      </c>
      <c r="I171" s="19">
        <f>IFERROR(__xludf.DUMMYFUNCTION("""COMPUTED_VALUE"""),1.7833333333333334)</f>
        <v>1.783333333</v>
      </c>
      <c r="J171" s="21">
        <f>IFERROR(__xludf.DUMMYFUNCTION("""COMPUTED_VALUE"""),68.0)</f>
        <v>68</v>
      </c>
      <c r="K171" s="23">
        <f>IFERROR(__xludf.DUMMYFUNCTION("""COMPUTED_VALUE"""),7.5)</f>
        <v>7.5</v>
      </c>
      <c r="L171" s="24">
        <f>IFERROR(__xludf.DUMMYFUNCTION("""COMPUTED_VALUE"""),9.0)</f>
        <v>9</v>
      </c>
      <c r="M171" s="25" t="str">
        <f>IFERROR(__xludf.DUMMYFUNCTION("""COMPUTED_VALUE"""),"Action-Adventure")</f>
        <v>Action-Adventure</v>
      </c>
      <c r="N171" s="25"/>
      <c r="O171" s="26" t="str">
        <f>IFERROR(__xludf.DUMMYFUNCTION("""COMPUTED_VALUE"""),"No")</f>
        <v>No</v>
      </c>
      <c r="P171" s="26"/>
    </row>
    <row r="172">
      <c r="A172" s="13" t="str">
        <f>IFERROR(__xludf.DUMMYFUNCTION("""COMPUTED_VALUE"""),"Slay the Spire")</f>
        <v>Slay the Spire</v>
      </c>
      <c r="B172" s="15" t="str">
        <f>IFERROR(__xludf.DUMMYFUNCTION("""COMPUTED_VALUE"""),"PS4")</f>
        <v>PS4</v>
      </c>
      <c r="C172" s="16" t="str">
        <f>IFERROR(__xludf.DUMMYFUNCTION("""COMPUTED_VALUE"""),"Playstation Plus (Discontinued)")</f>
        <v>Playstation Plus (Discontinued)</v>
      </c>
      <c r="D172" s="15" t="str">
        <f>IFERROR(__xludf.DUMMYFUNCTION("""COMPUTED_VALUE"""),"Removed")</f>
        <v>Removed</v>
      </c>
      <c r="E172" s="17">
        <f>IFERROR(__xludf.DUMMYFUNCTION("""COMPUTED_VALUE"""),44656.0)</f>
        <v>44656</v>
      </c>
      <c r="F172" s="54">
        <f>IFERROR(__xludf.DUMMYFUNCTION("""COMPUTED_VALUE"""),44683.0)</f>
        <v>44683</v>
      </c>
      <c r="G172" s="19">
        <f>IFERROR(__xludf.DUMMYFUNCTION("""COMPUTED_VALUE"""),0.8999999999999999)</f>
        <v>0.9</v>
      </c>
      <c r="H172" s="17">
        <f>IFERROR(__xludf.DUMMYFUNCTION("""COMPUTED_VALUE"""),43599.0)</f>
        <v>43599</v>
      </c>
      <c r="I172" s="19">
        <f>IFERROR(__xludf.DUMMYFUNCTION("""COMPUTED_VALUE"""),2.8916666666666666)</f>
        <v>2.891666667</v>
      </c>
      <c r="J172" s="21">
        <f>IFERROR(__xludf.DUMMYFUNCTION("""COMPUTED_VALUE"""),88.0)</f>
        <v>88</v>
      </c>
      <c r="K172" s="23">
        <f>IFERROR(__xludf.DUMMYFUNCTION("""COMPUTED_VALUE"""),8.1)</f>
        <v>8.1</v>
      </c>
      <c r="L172" s="24">
        <f>IFERROR(__xludf.DUMMYFUNCTION("""COMPUTED_VALUE"""),12.0)</f>
        <v>12</v>
      </c>
      <c r="M172" s="25" t="str">
        <f>IFERROR(__xludf.DUMMYFUNCTION("""COMPUTED_VALUE"""),"Strategy")</f>
        <v>Strategy</v>
      </c>
      <c r="N172" s="25"/>
      <c r="O172" s="26" t="str">
        <f>IFERROR(__xludf.DUMMYFUNCTION("""COMPUTED_VALUE"""),"No")</f>
        <v>No</v>
      </c>
      <c r="P172" s="26"/>
    </row>
    <row r="173">
      <c r="A173" s="13" t="str">
        <f>IFERROR(__xludf.DUMMYFUNCTION("""COMPUTED_VALUE"""),"Ghostrunner")</f>
        <v>Ghostrunner</v>
      </c>
      <c r="B173" s="15" t="str">
        <f>IFERROR(__xludf.DUMMYFUNCTION("""COMPUTED_VALUE"""),"PS5")</f>
        <v>PS5</v>
      </c>
      <c r="C173" s="16" t="str">
        <f>IFERROR(__xludf.DUMMYFUNCTION("""COMPUTED_VALUE"""),"Playstation Plus (Discontinued)")</f>
        <v>Playstation Plus (Discontinued)</v>
      </c>
      <c r="D173" s="15" t="str">
        <f>IFERROR(__xludf.DUMMYFUNCTION("""COMPUTED_VALUE"""),"Removed")</f>
        <v>Removed</v>
      </c>
      <c r="E173" s="17">
        <f>IFERROR(__xludf.DUMMYFUNCTION("""COMPUTED_VALUE"""),44621.0)</f>
        <v>44621</v>
      </c>
      <c r="F173" s="71">
        <f>IFERROR(__xludf.DUMMYFUNCTION("""COMPUTED_VALUE"""),44655.0)</f>
        <v>44655</v>
      </c>
      <c r="G173" s="19">
        <f>IFERROR(__xludf.DUMMYFUNCTION("""COMPUTED_VALUE"""),1.0999999999999999)</f>
        <v>1.1</v>
      </c>
      <c r="H173" s="17">
        <f>IFERROR(__xludf.DUMMYFUNCTION("""COMPUTED_VALUE"""),44131.0)</f>
        <v>44131</v>
      </c>
      <c r="I173" s="19">
        <f>IFERROR(__xludf.DUMMYFUNCTION("""COMPUTED_VALUE"""),1.3444444444444446)</f>
        <v>1.344444444</v>
      </c>
      <c r="J173" s="21">
        <f>IFERROR(__xludf.DUMMYFUNCTION("""COMPUTED_VALUE"""),78.0)</f>
        <v>78</v>
      </c>
      <c r="K173" s="23">
        <f>IFERROR(__xludf.DUMMYFUNCTION("""COMPUTED_VALUE"""),8.0)</f>
        <v>8</v>
      </c>
      <c r="L173" s="24">
        <f>IFERROR(__xludf.DUMMYFUNCTION("""COMPUTED_VALUE"""),8.0)</f>
        <v>8</v>
      </c>
      <c r="M173" s="25" t="str">
        <f>IFERROR(__xludf.DUMMYFUNCTION("""COMPUTED_VALUE"""),"Action-Adventure")</f>
        <v>Action-Adventure</v>
      </c>
      <c r="N173" s="25"/>
      <c r="O173" s="26" t="str">
        <f>IFERROR(__xludf.DUMMYFUNCTION("""COMPUTED_VALUE"""),"No")</f>
        <v>No</v>
      </c>
      <c r="P173" s="26"/>
    </row>
    <row r="174">
      <c r="A174" s="13" t="str">
        <f>IFERROR(__xludf.DUMMYFUNCTION("""COMPUTED_VALUE"""),"ARK: Survival Evolved")</f>
        <v>ARK: Survival Evolved</v>
      </c>
      <c r="B174" s="15" t="str">
        <f>IFERROR(__xludf.DUMMYFUNCTION("""COMPUTED_VALUE"""),"PS4")</f>
        <v>PS4</v>
      </c>
      <c r="C174" s="16" t="str">
        <f>IFERROR(__xludf.DUMMYFUNCTION("""COMPUTED_VALUE"""),"Playstation Plus (Discontinued)")</f>
        <v>Playstation Plus (Discontinued)</v>
      </c>
      <c r="D174" s="15" t="str">
        <f>IFERROR(__xludf.DUMMYFUNCTION("""COMPUTED_VALUE"""),"Removed")</f>
        <v>Removed</v>
      </c>
      <c r="E174" s="17">
        <f>IFERROR(__xludf.DUMMYFUNCTION("""COMPUTED_VALUE"""),44621.0)</f>
        <v>44621</v>
      </c>
      <c r="F174" s="71">
        <f>IFERROR(__xludf.DUMMYFUNCTION("""COMPUTED_VALUE"""),44655.0)</f>
        <v>44655</v>
      </c>
      <c r="G174" s="19">
        <f>IFERROR(__xludf.DUMMYFUNCTION("""COMPUTED_VALUE"""),1.0999999999999999)</f>
        <v>1.1</v>
      </c>
      <c r="H174" s="17">
        <f>IFERROR(__xludf.DUMMYFUNCTION("""COMPUTED_VALUE"""),42976.0)</f>
        <v>42976</v>
      </c>
      <c r="I174" s="19">
        <f>IFERROR(__xludf.DUMMYFUNCTION("""COMPUTED_VALUE"""),4.5055555555555555)</f>
        <v>4.505555556</v>
      </c>
      <c r="J174" s="21">
        <f>IFERROR(__xludf.DUMMYFUNCTION("""COMPUTED_VALUE"""),69.0)</f>
        <v>69</v>
      </c>
      <c r="K174" s="23">
        <f>IFERROR(__xludf.DUMMYFUNCTION("""COMPUTED_VALUE"""),6.7)</f>
        <v>6.7</v>
      </c>
      <c r="L174" s="24"/>
      <c r="M174" s="25" t="str">
        <f>IFERROR(__xludf.DUMMYFUNCTION("""COMPUTED_VALUE"""),"Survival")</f>
        <v>Survival</v>
      </c>
      <c r="N174" s="25"/>
      <c r="O174" s="26" t="str">
        <f>IFERROR(__xludf.DUMMYFUNCTION("""COMPUTED_VALUE"""),"No")</f>
        <v>No</v>
      </c>
      <c r="P174" s="26"/>
    </row>
    <row r="175">
      <c r="A175" s="13" t="str">
        <f>IFERROR(__xludf.DUMMYFUNCTION("""COMPUTED_VALUE"""),"Team Sonic Racing")</f>
        <v>Team Sonic Racing</v>
      </c>
      <c r="B175" s="15" t="str">
        <f>IFERROR(__xludf.DUMMYFUNCTION("""COMPUTED_VALUE"""),"PS4")</f>
        <v>PS4</v>
      </c>
      <c r="C175" s="16" t="str">
        <f>IFERROR(__xludf.DUMMYFUNCTION("""COMPUTED_VALUE"""),"Playstation Plus (Discontinued)")</f>
        <v>Playstation Plus (Discontinued)</v>
      </c>
      <c r="D175" s="15" t="str">
        <f>IFERROR(__xludf.DUMMYFUNCTION("""COMPUTED_VALUE"""),"Removed")</f>
        <v>Removed</v>
      </c>
      <c r="E175" s="17">
        <f>IFERROR(__xludf.DUMMYFUNCTION("""COMPUTED_VALUE"""),44621.0)</f>
        <v>44621</v>
      </c>
      <c r="F175" s="54">
        <f>IFERROR(__xludf.DUMMYFUNCTION("""COMPUTED_VALUE"""),44655.0)</f>
        <v>44655</v>
      </c>
      <c r="G175" s="19">
        <f>IFERROR(__xludf.DUMMYFUNCTION("""COMPUTED_VALUE"""),1.0999999999999999)</f>
        <v>1.1</v>
      </c>
      <c r="H175" s="17">
        <f>IFERROR(__xludf.DUMMYFUNCTION("""COMPUTED_VALUE"""),43606.0)</f>
        <v>43606</v>
      </c>
      <c r="I175" s="19">
        <f>IFERROR(__xludf.DUMMYFUNCTION("""COMPUTED_VALUE"""),2.7777777777777777)</f>
        <v>2.777777778</v>
      </c>
      <c r="J175" s="21">
        <f>IFERROR(__xludf.DUMMYFUNCTION("""COMPUTED_VALUE"""),72.0)</f>
        <v>72</v>
      </c>
      <c r="K175" s="23">
        <f>IFERROR(__xludf.DUMMYFUNCTION("""COMPUTED_VALUE"""),7.0)</f>
        <v>7</v>
      </c>
      <c r="L175" s="24">
        <f>IFERROR(__xludf.DUMMYFUNCTION("""COMPUTED_VALUE"""),10.0)</f>
        <v>10</v>
      </c>
      <c r="M175" s="25" t="str">
        <f>IFERROR(__xludf.DUMMYFUNCTION("""COMPUTED_VALUE"""),"Racing")</f>
        <v>Racing</v>
      </c>
      <c r="N175" s="25"/>
      <c r="O175" s="26" t="str">
        <f>IFERROR(__xludf.DUMMYFUNCTION("""COMPUTED_VALUE"""),"No")</f>
        <v>No</v>
      </c>
      <c r="P175" s="26"/>
    </row>
    <row r="176">
      <c r="A176" s="13" t="str">
        <f>IFERROR(__xludf.DUMMYFUNCTION("""COMPUTED_VALUE"""),"Ghost of Tsushima: Legends")</f>
        <v>Ghost of Tsushima: Legends</v>
      </c>
      <c r="B176" s="15" t="str">
        <f>IFERROR(__xludf.DUMMYFUNCTION("""COMPUTED_VALUE"""),"PS5/PS4")</f>
        <v>PS5/PS4</v>
      </c>
      <c r="C176" s="16" t="str">
        <f>IFERROR(__xludf.DUMMYFUNCTION("""COMPUTED_VALUE"""),"Playstation Plus (Discontinued)")</f>
        <v>Playstation Plus (Discontinued)</v>
      </c>
      <c r="D176" s="15" t="str">
        <f>IFERROR(__xludf.DUMMYFUNCTION("""COMPUTED_VALUE"""),"Removed")</f>
        <v>Removed</v>
      </c>
      <c r="E176" s="17">
        <f>IFERROR(__xludf.DUMMYFUNCTION("""COMPUTED_VALUE"""),44621.0)</f>
        <v>44621</v>
      </c>
      <c r="F176" s="54">
        <f>IFERROR(__xludf.DUMMYFUNCTION("""COMPUTED_VALUE"""),44655.0)</f>
        <v>44655</v>
      </c>
      <c r="G176" s="19">
        <f>IFERROR(__xludf.DUMMYFUNCTION("""COMPUTED_VALUE"""),1.0999999999999999)</f>
        <v>1.1</v>
      </c>
      <c r="H176" s="17">
        <f>IFERROR(__xludf.DUMMYFUNCTION("""COMPUTED_VALUE"""),44120.0)</f>
        <v>44120</v>
      </c>
      <c r="I176" s="19">
        <f>IFERROR(__xludf.DUMMYFUNCTION("""COMPUTED_VALUE"""),1.375)</f>
        <v>1.375</v>
      </c>
      <c r="J176" s="21">
        <f>IFERROR(__xludf.DUMMYFUNCTION("""COMPUTED_VALUE"""),93.0)</f>
        <v>93</v>
      </c>
      <c r="K176" s="23">
        <f>IFERROR(__xludf.DUMMYFUNCTION("""COMPUTED_VALUE"""),8.9)</f>
        <v>8.9</v>
      </c>
      <c r="L176" s="24"/>
      <c r="M176" s="25" t="str">
        <f>IFERROR(__xludf.DUMMYFUNCTION("""COMPUTED_VALUE"""),"Action-Adventure")</f>
        <v>Action-Adventure</v>
      </c>
      <c r="N176" s="25"/>
      <c r="O176" s="26" t="str">
        <f>IFERROR(__xludf.DUMMYFUNCTION("""COMPUTED_VALUE"""),"No")</f>
        <v>No</v>
      </c>
      <c r="P176" s="26"/>
    </row>
    <row r="177">
      <c r="A177" s="13" t="str">
        <f>IFERROR(__xludf.DUMMYFUNCTION("""COMPUTED_VALUE"""),"Planet Coaster: Console Edition")</f>
        <v>Planet Coaster: Console Edition</v>
      </c>
      <c r="B177" s="15" t="str">
        <f>IFERROR(__xludf.DUMMYFUNCTION("""COMPUTED_VALUE"""),"PS5")</f>
        <v>PS5</v>
      </c>
      <c r="C177" s="16" t="str">
        <f>IFERROR(__xludf.DUMMYFUNCTION("""COMPUTED_VALUE"""),"Playstation Plus (Discontinued)")</f>
        <v>Playstation Plus (Discontinued)</v>
      </c>
      <c r="D177" s="15" t="str">
        <f>IFERROR(__xludf.DUMMYFUNCTION("""COMPUTED_VALUE"""),"Removed")</f>
        <v>Removed</v>
      </c>
      <c r="E177" s="17">
        <f>IFERROR(__xludf.DUMMYFUNCTION("""COMPUTED_VALUE"""),44593.0)</f>
        <v>44593</v>
      </c>
      <c r="F177" s="54">
        <f>IFERROR(__xludf.DUMMYFUNCTION("""COMPUTED_VALUE"""),44620.0)</f>
        <v>44620</v>
      </c>
      <c r="G177" s="19">
        <f>IFERROR(__xludf.DUMMYFUNCTION("""COMPUTED_VALUE"""),0.8999999999999999)</f>
        <v>0.9</v>
      </c>
      <c r="H177" s="17">
        <f>IFERROR(__xludf.DUMMYFUNCTION("""COMPUTED_VALUE"""),44145.0)</f>
        <v>44145</v>
      </c>
      <c r="I177" s="19">
        <f>IFERROR(__xludf.DUMMYFUNCTION("""COMPUTED_VALUE"""),1.225)</f>
        <v>1.225</v>
      </c>
      <c r="J177" s="21">
        <f>IFERROR(__xludf.DUMMYFUNCTION("""COMPUTED_VALUE"""),81.0)</f>
        <v>81</v>
      </c>
      <c r="K177" s="23">
        <f>IFERROR(__xludf.DUMMYFUNCTION("""COMPUTED_VALUE"""),7.1)</f>
        <v>7.1</v>
      </c>
      <c r="L177" s="24"/>
      <c r="M177" s="25" t="str">
        <f>IFERROR(__xludf.DUMMYFUNCTION("""COMPUTED_VALUE"""),"Simulation")</f>
        <v>Simulation</v>
      </c>
      <c r="N177" s="25"/>
      <c r="O177" s="26" t="str">
        <f>IFERROR(__xludf.DUMMYFUNCTION("""COMPUTED_VALUE"""),"No")</f>
        <v>No</v>
      </c>
      <c r="P177" s="26"/>
    </row>
    <row r="178">
      <c r="A178" s="13" t="str">
        <f>IFERROR(__xludf.DUMMYFUNCTION("""COMPUTED_VALUE"""),"UFC 4")</f>
        <v>UFC 4</v>
      </c>
      <c r="B178" s="15" t="str">
        <f>IFERROR(__xludf.DUMMYFUNCTION("""COMPUTED_VALUE"""),"PS4")</f>
        <v>PS4</v>
      </c>
      <c r="C178" s="16" t="str">
        <f>IFERROR(__xludf.DUMMYFUNCTION("""COMPUTED_VALUE"""),"Playstation Plus (Discontinued)")</f>
        <v>Playstation Plus (Discontinued)</v>
      </c>
      <c r="D178" s="15" t="str">
        <f>IFERROR(__xludf.DUMMYFUNCTION("""COMPUTED_VALUE"""),"Removed")</f>
        <v>Removed</v>
      </c>
      <c r="E178" s="17">
        <f>IFERROR(__xludf.DUMMYFUNCTION("""COMPUTED_VALUE"""),44593.0)</f>
        <v>44593</v>
      </c>
      <c r="F178" s="54">
        <f>IFERROR(__xludf.DUMMYFUNCTION("""COMPUTED_VALUE"""),44620.0)</f>
        <v>44620</v>
      </c>
      <c r="G178" s="19">
        <f>IFERROR(__xludf.DUMMYFUNCTION("""COMPUTED_VALUE"""),0.8999999999999999)</f>
        <v>0.9</v>
      </c>
      <c r="H178" s="17">
        <f>IFERROR(__xludf.DUMMYFUNCTION("""COMPUTED_VALUE"""),44057.0)</f>
        <v>44057</v>
      </c>
      <c r="I178" s="19">
        <f>IFERROR(__xludf.DUMMYFUNCTION("""COMPUTED_VALUE"""),1.4638888888888888)</f>
        <v>1.463888889</v>
      </c>
      <c r="J178" s="21">
        <f>IFERROR(__xludf.DUMMYFUNCTION("""COMPUTED_VALUE"""),78.0)</f>
        <v>78</v>
      </c>
      <c r="K178" s="23">
        <f>IFERROR(__xludf.DUMMYFUNCTION("""COMPUTED_VALUE"""),6.8)</f>
        <v>6.8</v>
      </c>
      <c r="L178" s="24"/>
      <c r="M178" s="25" t="str">
        <f>IFERROR(__xludf.DUMMYFUNCTION("""COMPUTED_VALUE"""),"Sports")</f>
        <v>Sports</v>
      </c>
      <c r="N178" s="25"/>
      <c r="O178" s="26" t="str">
        <f>IFERROR(__xludf.DUMMYFUNCTION("""COMPUTED_VALUE"""),"No")</f>
        <v>No</v>
      </c>
      <c r="P178" s="26"/>
    </row>
    <row r="179">
      <c r="A179" s="13" t="str">
        <f>IFERROR(__xludf.DUMMYFUNCTION("""COMPUTED_VALUE"""),"Tiny Tina's Assault on Dragon Keep: A Wonderlands One-Shot Adventure")</f>
        <v>Tiny Tina's Assault on Dragon Keep: A Wonderlands One-Shot Adventure</v>
      </c>
      <c r="B179" s="15" t="str">
        <f>IFERROR(__xludf.DUMMYFUNCTION("""COMPUTED_VALUE"""),"PS4")</f>
        <v>PS4</v>
      </c>
      <c r="C179" s="16" t="str">
        <f>IFERROR(__xludf.DUMMYFUNCTION("""COMPUTED_VALUE"""),"Playstation Plus (Discontinued)")</f>
        <v>Playstation Plus (Discontinued)</v>
      </c>
      <c r="D179" s="15" t="str">
        <f>IFERROR(__xludf.DUMMYFUNCTION("""COMPUTED_VALUE"""),"Removed")</f>
        <v>Removed</v>
      </c>
      <c r="E179" s="17">
        <f>IFERROR(__xludf.DUMMYFUNCTION("""COMPUTED_VALUE"""),44593.0)</f>
        <v>44593</v>
      </c>
      <c r="F179" s="54">
        <f>IFERROR(__xludf.DUMMYFUNCTION("""COMPUTED_VALUE"""),44620.0)</f>
        <v>44620</v>
      </c>
      <c r="G179" s="19">
        <f>IFERROR(__xludf.DUMMYFUNCTION("""COMPUTED_VALUE"""),0.8999999999999999)</f>
        <v>0.9</v>
      </c>
      <c r="H179" s="17">
        <f>IFERROR(__xludf.DUMMYFUNCTION("""COMPUTED_VALUE"""),44509.0)</f>
        <v>44509</v>
      </c>
      <c r="I179" s="19">
        <f>IFERROR(__xludf.DUMMYFUNCTION("""COMPUTED_VALUE"""),0.22777777777777777)</f>
        <v>0.2277777778</v>
      </c>
      <c r="J179" s="21">
        <f>IFERROR(__xludf.DUMMYFUNCTION("""COMPUTED_VALUE"""),80.0)</f>
        <v>80</v>
      </c>
      <c r="K179" s="23">
        <f>IFERROR(__xludf.DUMMYFUNCTION("""COMPUTED_VALUE"""),7.5)</f>
        <v>7.5</v>
      </c>
      <c r="L179" s="24">
        <f>IFERROR(__xludf.DUMMYFUNCTION("""COMPUTED_VALUE"""),9.0)</f>
        <v>9</v>
      </c>
      <c r="M179" s="25" t="str">
        <f>IFERROR(__xludf.DUMMYFUNCTION("""COMPUTED_VALUE"""),"RPG")</f>
        <v>RPG</v>
      </c>
      <c r="N179" s="25"/>
      <c r="O179" s="26" t="str">
        <f>IFERROR(__xludf.DUMMYFUNCTION("""COMPUTED_VALUE"""),"No")</f>
        <v>No</v>
      </c>
      <c r="P179" s="26"/>
    </row>
    <row r="180">
      <c r="A180" s="13" t="str">
        <f>IFERROR(__xludf.DUMMYFUNCTION("""COMPUTED_VALUE"""),"Persona 5 Strikers")</f>
        <v>Persona 5 Strikers</v>
      </c>
      <c r="B180" s="15" t="str">
        <f>IFERROR(__xludf.DUMMYFUNCTION("""COMPUTED_VALUE"""),"PS4")</f>
        <v>PS4</v>
      </c>
      <c r="C180" s="16" t="str">
        <f>IFERROR(__xludf.DUMMYFUNCTION("""COMPUTED_VALUE"""),"Playstation Plus (Discontinued)")</f>
        <v>Playstation Plus (Discontinued)</v>
      </c>
      <c r="D180" s="15" t="str">
        <f>IFERROR(__xludf.DUMMYFUNCTION("""COMPUTED_VALUE"""),"Removed")</f>
        <v>Removed</v>
      </c>
      <c r="E180" s="17">
        <f>IFERROR(__xludf.DUMMYFUNCTION("""COMPUTED_VALUE"""),44565.0)</f>
        <v>44565</v>
      </c>
      <c r="F180" s="54">
        <f>IFERROR(__xludf.DUMMYFUNCTION("""COMPUTED_VALUE"""),44592.0)</f>
        <v>44592</v>
      </c>
      <c r="G180" s="19">
        <f>IFERROR(__xludf.DUMMYFUNCTION("""COMPUTED_VALUE"""),0.8666666666666666)</f>
        <v>0.8666666667</v>
      </c>
      <c r="H180" s="17">
        <f>IFERROR(__xludf.DUMMYFUNCTION("""COMPUTED_VALUE"""),44246.0)</f>
        <v>44246</v>
      </c>
      <c r="I180" s="19">
        <f>IFERROR(__xludf.DUMMYFUNCTION("""COMPUTED_VALUE"""),0.875)</f>
        <v>0.875</v>
      </c>
      <c r="J180" s="21">
        <f>IFERROR(__xludf.DUMMYFUNCTION("""COMPUTED_VALUE"""),83.0)</f>
        <v>83</v>
      </c>
      <c r="K180" s="23">
        <f>IFERROR(__xludf.DUMMYFUNCTION("""COMPUTED_VALUE"""),7.8)</f>
        <v>7.8</v>
      </c>
      <c r="L180" s="24">
        <f>IFERROR(__xludf.DUMMYFUNCTION("""COMPUTED_VALUE"""),36.0)</f>
        <v>36</v>
      </c>
      <c r="M180" s="25" t="str">
        <f>IFERROR(__xludf.DUMMYFUNCTION("""COMPUTED_VALUE"""),"RPG")</f>
        <v>RPG</v>
      </c>
      <c r="N180" s="25"/>
      <c r="O180" s="26" t="str">
        <f>IFERROR(__xludf.DUMMYFUNCTION("""COMPUTED_VALUE"""),"No")</f>
        <v>No</v>
      </c>
      <c r="P180" s="26"/>
    </row>
    <row r="181">
      <c r="A181" s="13" t="str">
        <f>IFERROR(__xludf.DUMMYFUNCTION("""COMPUTED_VALUE"""),"Dirt 5")</f>
        <v>Dirt 5</v>
      </c>
      <c r="B181" s="15" t="str">
        <f>IFERROR(__xludf.DUMMYFUNCTION("""COMPUTED_VALUE"""),"PS5/PS4")</f>
        <v>PS5/PS4</v>
      </c>
      <c r="C181" s="16" t="str">
        <f>IFERROR(__xludf.DUMMYFUNCTION("""COMPUTED_VALUE"""),"Playstation Plus (Discontinued)")</f>
        <v>Playstation Plus (Discontinued)</v>
      </c>
      <c r="D181" s="15" t="str">
        <f>IFERROR(__xludf.DUMMYFUNCTION("""COMPUTED_VALUE"""),"Removed")</f>
        <v>Removed</v>
      </c>
      <c r="E181" s="17">
        <f>IFERROR(__xludf.DUMMYFUNCTION("""COMPUTED_VALUE"""),44565.0)</f>
        <v>44565</v>
      </c>
      <c r="F181" s="54">
        <f>IFERROR(__xludf.DUMMYFUNCTION("""COMPUTED_VALUE"""),44592.0)</f>
        <v>44592</v>
      </c>
      <c r="G181" s="19">
        <f>IFERROR(__xludf.DUMMYFUNCTION("""COMPUTED_VALUE"""),0.8666666666666666)</f>
        <v>0.8666666667</v>
      </c>
      <c r="H181" s="17">
        <f>IFERROR(__xludf.DUMMYFUNCTION("""COMPUTED_VALUE"""),44141.0)</f>
        <v>44141</v>
      </c>
      <c r="I181" s="19">
        <f>IFERROR(__xludf.DUMMYFUNCTION("""COMPUTED_VALUE"""),1.1611111111111112)</f>
        <v>1.161111111</v>
      </c>
      <c r="J181" s="21">
        <f>IFERROR(__xludf.DUMMYFUNCTION("""COMPUTED_VALUE"""),80.0)</f>
        <v>80</v>
      </c>
      <c r="K181" s="23">
        <f>IFERROR(__xludf.DUMMYFUNCTION("""COMPUTED_VALUE"""),6.9)</f>
        <v>6.9</v>
      </c>
      <c r="L181" s="24">
        <f>IFERROR(__xludf.DUMMYFUNCTION("""COMPUTED_VALUE"""),9.0)</f>
        <v>9</v>
      </c>
      <c r="M181" s="25" t="str">
        <f>IFERROR(__xludf.DUMMYFUNCTION("""COMPUTED_VALUE"""),"Racing")</f>
        <v>Racing</v>
      </c>
      <c r="N181" s="25"/>
      <c r="O181" s="26" t="str">
        <f>IFERROR(__xludf.DUMMYFUNCTION("""COMPUTED_VALUE"""),"No")</f>
        <v>No</v>
      </c>
      <c r="P181" s="26"/>
    </row>
    <row r="182">
      <c r="A182" s="13" t="str">
        <f>IFERROR(__xludf.DUMMYFUNCTION("""COMPUTED_VALUE"""),"Deep Rock Galactic")</f>
        <v>Deep Rock Galactic</v>
      </c>
      <c r="B182" s="15" t="str">
        <f>IFERROR(__xludf.DUMMYFUNCTION("""COMPUTED_VALUE"""),"PS5/PS4")</f>
        <v>PS5/PS4</v>
      </c>
      <c r="C182" s="16" t="str">
        <f>IFERROR(__xludf.DUMMYFUNCTION("""COMPUTED_VALUE"""),"Playstation Plus (Discontinued)")</f>
        <v>Playstation Plus (Discontinued)</v>
      </c>
      <c r="D182" s="15" t="str">
        <f>IFERROR(__xludf.DUMMYFUNCTION("""COMPUTED_VALUE"""),"Removed")</f>
        <v>Removed</v>
      </c>
      <c r="E182" s="17">
        <f>IFERROR(__xludf.DUMMYFUNCTION("""COMPUTED_VALUE"""),44565.0)</f>
        <v>44565</v>
      </c>
      <c r="F182" s="54">
        <f>IFERROR(__xludf.DUMMYFUNCTION("""COMPUTED_VALUE"""),44592.0)</f>
        <v>44592</v>
      </c>
      <c r="G182" s="19">
        <f>IFERROR(__xludf.DUMMYFUNCTION("""COMPUTED_VALUE"""),0.8666666666666666)</f>
        <v>0.8666666667</v>
      </c>
      <c r="H182" s="17">
        <f>IFERROR(__xludf.DUMMYFUNCTION("""COMPUTED_VALUE"""),44329.0)</f>
        <v>44329</v>
      </c>
      <c r="I182" s="19">
        <f>IFERROR(__xludf.DUMMYFUNCTION("""COMPUTED_VALUE"""),0.6416666666666667)</f>
        <v>0.6416666667</v>
      </c>
      <c r="J182" s="21">
        <f>IFERROR(__xludf.DUMMYFUNCTION("""COMPUTED_VALUE"""),85.0)</f>
        <v>85</v>
      </c>
      <c r="K182" s="23">
        <f>IFERROR(__xludf.DUMMYFUNCTION("""COMPUTED_VALUE"""),8.6)</f>
        <v>8.6</v>
      </c>
      <c r="L182" s="24"/>
      <c r="M182" s="25" t="str">
        <f>IFERROR(__xludf.DUMMYFUNCTION("""COMPUTED_VALUE"""),"Shooter")</f>
        <v>Shooter</v>
      </c>
      <c r="N182" s="25"/>
      <c r="O182" s="26" t="str">
        <f>IFERROR(__xludf.DUMMYFUNCTION("""COMPUTED_VALUE"""),"No")</f>
        <v>No</v>
      </c>
      <c r="P182" s="26"/>
    </row>
    <row r="183">
      <c r="A183" s="13" t="str">
        <f>IFERROR(__xludf.DUMMYFUNCTION("""COMPUTED_VALUE"""),"Godfall: Challenger Edition")</f>
        <v>Godfall: Challenger Edition</v>
      </c>
      <c r="B183" s="15" t="str">
        <f>IFERROR(__xludf.DUMMYFUNCTION("""COMPUTED_VALUE"""),"PS5/PS4")</f>
        <v>PS5/PS4</v>
      </c>
      <c r="C183" s="16" t="str">
        <f>IFERROR(__xludf.DUMMYFUNCTION("""COMPUTED_VALUE"""),"Playstation Plus (Discontinued)")</f>
        <v>Playstation Plus (Discontinued)</v>
      </c>
      <c r="D183" s="15" t="str">
        <f>IFERROR(__xludf.DUMMYFUNCTION("""COMPUTED_VALUE"""),"Removed")</f>
        <v>Removed</v>
      </c>
      <c r="E183" s="17">
        <f>IFERROR(__xludf.DUMMYFUNCTION("""COMPUTED_VALUE"""),44537.0)</f>
        <v>44537</v>
      </c>
      <c r="F183" s="54">
        <f>IFERROR(__xludf.DUMMYFUNCTION("""COMPUTED_VALUE"""),44564.0)</f>
        <v>44564</v>
      </c>
      <c r="G183" s="19">
        <f>IFERROR(__xludf.DUMMYFUNCTION("""COMPUTED_VALUE"""),0.8666666666666666)</f>
        <v>0.8666666667</v>
      </c>
      <c r="H183" s="17">
        <f>IFERROR(__xludf.DUMMYFUNCTION("""COMPUTED_VALUE"""),44507.0)</f>
        <v>44507</v>
      </c>
      <c r="I183" s="19">
        <f>IFERROR(__xludf.DUMMYFUNCTION("""COMPUTED_VALUE"""),0.08333333333333333)</f>
        <v>0.08333333333</v>
      </c>
      <c r="J183" s="21">
        <f>IFERROR(__xludf.DUMMYFUNCTION("""COMPUTED_VALUE"""),61.0)</f>
        <v>61</v>
      </c>
      <c r="K183" s="23">
        <f>IFERROR(__xludf.DUMMYFUNCTION("""COMPUTED_VALUE"""),5.4)</f>
        <v>5.4</v>
      </c>
      <c r="L183" s="24">
        <f>IFERROR(__xludf.DUMMYFUNCTION("""COMPUTED_VALUE"""),12.0)</f>
        <v>12</v>
      </c>
      <c r="M183" s="25" t="str">
        <f>IFERROR(__xludf.DUMMYFUNCTION("""COMPUTED_VALUE"""),"RPG")</f>
        <v>RPG</v>
      </c>
      <c r="N183" s="25"/>
      <c r="O183" s="26" t="str">
        <f>IFERROR(__xludf.DUMMYFUNCTION("""COMPUTED_VALUE"""),"No")</f>
        <v>No</v>
      </c>
      <c r="P183" s="26"/>
    </row>
    <row r="184">
      <c r="A184" s="13" t="str">
        <f>IFERROR(__xludf.DUMMYFUNCTION("""COMPUTED_VALUE"""),"Lego DC Super-Villains")</f>
        <v>Lego DC Super-Villains</v>
      </c>
      <c r="B184" s="15" t="str">
        <f>IFERROR(__xludf.DUMMYFUNCTION("""COMPUTED_VALUE"""),"PS4")</f>
        <v>PS4</v>
      </c>
      <c r="C184" s="16" t="str">
        <f>IFERROR(__xludf.DUMMYFUNCTION("""COMPUTED_VALUE"""),"Playstation Plus (Discontinued)")</f>
        <v>Playstation Plus (Discontinued)</v>
      </c>
      <c r="D184" s="15" t="str">
        <f>IFERROR(__xludf.DUMMYFUNCTION("""COMPUTED_VALUE"""),"Removed")</f>
        <v>Removed</v>
      </c>
      <c r="E184" s="17">
        <f>IFERROR(__xludf.DUMMYFUNCTION("""COMPUTED_VALUE"""),44537.0)</f>
        <v>44537</v>
      </c>
      <c r="F184" s="54">
        <f>IFERROR(__xludf.DUMMYFUNCTION("""COMPUTED_VALUE"""),44564.0)</f>
        <v>44564</v>
      </c>
      <c r="G184" s="19">
        <f>IFERROR(__xludf.DUMMYFUNCTION("""COMPUTED_VALUE"""),0.8666666666666666)</f>
        <v>0.8666666667</v>
      </c>
      <c r="H184" s="17">
        <f>IFERROR(__xludf.DUMMYFUNCTION("""COMPUTED_VALUE"""),43389.0)</f>
        <v>43389</v>
      </c>
      <c r="I184" s="19">
        <f>IFERROR(__xludf.DUMMYFUNCTION("""COMPUTED_VALUE"""),3.1416666666666666)</f>
        <v>3.141666667</v>
      </c>
      <c r="J184" s="21">
        <f>IFERROR(__xludf.DUMMYFUNCTION("""COMPUTED_VALUE"""),74.0)</f>
        <v>74</v>
      </c>
      <c r="K184" s="23">
        <f>IFERROR(__xludf.DUMMYFUNCTION("""COMPUTED_VALUE"""),7.7)</f>
        <v>7.7</v>
      </c>
      <c r="L184" s="24">
        <f>IFERROR(__xludf.DUMMYFUNCTION("""COMPUTED_VALUE"""),15.0)</f>
        <v>15</v>
      </c>
      <c r="M184" s="25" t="str">
        <f>IFERROR(__xludf.DUMMYFUNCTION("""COMPUTED_VALUE"""),"Action-Adventure")</f>
        <v>Action-Adventure</v>
      </c>
      <c r="N184" s="25"/>
      <c r="O184" s="26" t="str">
        <f>IFERROR(__xludf.DUMMYFUNCTION("""COMPUTED_VALUE"""),"No")</f>
        <v>No</v>
      </c>
      <c r="P184" s="26"/>
    </row>
    <row r="185">
      <c r="A185" s="13" t="str">
        <f>IFERROR(__xludf.DUMMYFUNCTION("""COMPUTED_VALUE"""),"Mortal Shell")</f>
        <v>Mortal Shell</v>
      </c>
      <c r="B185" s="15" t="str">
        <f>IFERROR(__xludf.DUMMYFUNCTION("""COMPUTED_VALUE"""),"PS4")</f>
        <v>PS4</v>
      </c>
      <c r="C185" s="16" t="str">
        <f>IFERROR(__xludf.DUMMYFUNCTION("""COMPUTED_VALUE"""),"Playstation Plus (Discontinued)")</f>
        <v>Playstation Plus (Discontinued)</v>
      </c>
      <c r="D185" s="15" t="str">
        <f>IFERROR(__xludf.DUMMYFUNCTION("""COMPUTED_VALUE"""),"Removed")</f>
        <v>Removed</v>
      </c>
      <c r="E185" s="17">
        <f>IFERROR(__xludf.DUMMYFUNCTION("""COMPUTED_VALUE"""),44537.0)</f>
        <v>44537</v>
      </c>
      <c r="F185" s="54">
        <f>IFERROR(__xludf.DUMMYFUNCTION("""COMPUTED_VALUE"""),44564.0)</f>
        <v>44564</v>
      </c>
      <c r="G185" s="19">
        <f>IFERROR(__xludf.DUMMYFUNCTION("""COMPUTED_VALUE"""),0.8666666666666666)</f>
        <v>0.8666666667</v>
      </c>
      <c r="H185" s="17">
        <f>IFERROR(__xludf.DUMMYFUNCTION("""COMPUTED_VALUE"""),44061.0)</f>
        <v>44061</v>
      </c>
      <c r="I185" s="19">
        <f>IFERROR(__xludf.DUMMYFUNCTION("""COMPUTED_VALUE"""),1.3027777777777778)</f>
        <v>1.302777778</v>
      </c>
      <c r="J185" s="21">
        <f>IFERROR(__xludf.DUMMYFUNCTION("""COMPUTED_VALUE"""),76.0)</f>
        <v>76</v>
      </c>
      <c r="K185" s="23">
        <f>IFERROR(__xludf.DUMMYFUNCTION("""COMPUTED_VALUE"""),6.8)</f>
        <v>6.8</v>
      </c>
      <c r="L185" s="24">
        <f>IFERROR(__xludf.DUMMYFUNCTION("""COMPUTED_VALUE"""),13.0)</f>
        <v>13</v>
      </c>
      <c r="M185" s="25" t="str">
        <f>IFERROR(__xludf.DUMMYFUNCTION("""COMPUTED_VALUE"""),"Action-Adventure")</f>
        <v>Action-Adventure</v>
      </c>
      <c r="N185" s="25"/>
      <c r="O185" s="26" t="str">
        <f>IFERROR(__xludf.DUMMYFUNCTION("""COMPUTED_VALUE"""),"No")</f>
        <v>No</v>
      </c>
      <c r="P185" s="26"/>
    </row>
    <row r="186">
      <c r="A186" s="13" t="str">
        <f>IFERROR(__xludf.DUMMYFUNCTION("""COMPUTED_VALUE"""),"The Persistence")</f>
        <v>The Persistence</v>
      </c>
      <c r="B186" s="15" t="str">
        <f>IFERROR(__xludf.DUMMYFUNCTION("""COMPUTED_VALUE"""),"PS4/PSVR")</f>
        <v>PS4/PSVR</v>
      </c>
      <c r="C186" s="16" t="str">
        <f>IFERROR(__xludf.DUMMYFUNCTION("""COMPUTED_VALUE"""),"Playstation Plus (Discontinued)")</f>
        <v>Playstation Plus (Discontinued)</v>
      </c>
      <c r="D186" s="15" t="str">
        <f>IFERROR(__xludf.DUMMYFUNCTION("""COMPUTED_VALUE"""),"Removed")</f>
        <v>Removed</v>
      </c>
      <c r="E186" s="17">
        <f>IFERROR(__xludf.DUMMYFUNCTION("""COMPUTED_VALUE"""),44502.0)</f>
        <v>44502</v>
      </c>
      <c r="F186" s="71">
        <f>IFERROR(__xludf.DUMMYFUNCTION("""COMPUTED_VALUE"""),44564.0)</f>
        <v>44564</v>
      </c>
      <c r="G186" s="19">
        <f>IFERROR(__xludf.DUMMYFUNCTION("""COMPUTED_VALUE"""),2.033333333333333)</f>
        <v>2.033333333</v>
      </c>
      <c r="H186" s="17">
        <f>IFERROR(__xludf.DUMMYFUNCTION("""COMPUTED_VALUE"""),43305.0)</f>
        <v>43305</v>
      </c>
      <c r="I186" s="19">
        <f>IFERROR(__xludf.DUMMYFUNCTION("""COMPUTED_VALUE"""),3.272222222222222)</f>
        <v>3.272222222</v>
      </c>
      <c r="J186" s="21">
        <f>IFERROR(__xludf.DUMMYFUNCTION("""COMPUTED_VALUE"""),78.0)</f>
        <v>78</v>
      </c>
      <c r="K186" s="23">
        <f>IFERROR(__xludf.DUMMYFUNCTION("""COMPUTED_VALUE"""),7.3)</f>
        <v>7.3</v>
      </c>
      <c r="L186" s="24">
        <f>IFERROR(__xludf.DUMMYFUNCTION("""COMPUTED_VALUE"""),10.0)</f>
        <v>10</v>
      </c>
      <c r="M186" s="25" t="str">
        <f>IFERROR(__xludf.DUMMYFUNCTION("""COMPUTED_VALUE"""),"Horror")</f>
        <v>Horror</v>
      </c>
      <c r="N186" s="25"/>
      <c r="O186" s="26" t="str">
        <f>IFERROR(__xludf.DUMMYFUNCTION("""COMPUTED_VALUE"""),"No")</f>
        <v>No</v>
      </c>
      <c r="P186" s="26"/>
    </row>
    <row r="187">
      <c r="A187" s="13" t="str">
        <f>IFERROR(__xludf.DUMMYFUNCTION("""COMPUTED_VALUE"""),"The Walking Dead: Saints &amp; Sinners")</f>
        <v>The Walking Dead: Saints &amp; Sinners</v>
      </c>
      <c r="B187" s="15" t="str">
        <f>IFERROR(__xludf.DUMMYFUNCTION("""COMPUTED_VALUE"""),"PS4/PSVR")</f>
        <v>PS4/PSVR</v>
      </c>
      <c r="C187" s="16" t="str">
        <f>IFERROR(__xludf.DUMMYFUNCTION("""COMPUTED_VALUE"""),"Playstation Plus (Discontinued)")</f>
        <v>Playstation Plus (Discontinued)</v>
      </c>
      <c r="D187" s="15" t="str">
        <f>IFERROR(__xludf.DUMMYFUNCTION("""COMPUTED_VALUE"""),"Removed")</f>
        <v>Removed</v>
      </c>
      <c r="E187" s="17">
        <f>IFERROR(__xludf.DUMMYFUNCTION("""COMPUTED_VALUE"""),44502.0)</f>
        <v>44502</v>
      </c>
      <c r="F187" s="54">
        <f>IFERROR(__xludf.DUMMYFUNCTION("""COMPUTED_VALUE"""),44564.0)</f>
        <v>44564</v>
      </c>
      <c r="G187" s="19">
        <f>IFERROR(__xludf.DUMMYFUNCTION("""COMPUTED_VALUE"""),2.033333333333333)</f>
        <v>2.033333333</v>
      </c>
      <c r="H187" s="17">
        <f>IFERROR(__xludf.DUMMYFUNCTION("""COMPUTED_VALUE"""),43853.0)</f>
        <v>43853</v>
      </c>
      <c r="I187" s="19">
        <f>IFERROR(__xludf.DUMMYFUNCTION("""COMPUTED_VALUE"""),1.775)</f>
        <v>1.775</v>
      </c>
      <c r="J187" s="21">
        <f>IFERROR(__xludf.DUMMYFUNCTION("""COMPUTED_VALUE"""),79.0)</f>
        <v>79</v>
      </c>
      <c r="K187" s="23">
        <f>IFERROR(__xludf.DUMMYFUNCTION("""COMPUTED_VALUE"""),8.2)</f>
        <v>8.2</v>
      </c>
      <c r="L187" s="24">
        <f>IFERROR(__xludf.DUMMYFUNCTION("""COMPUTED_VALUE"""),11.0)</f>
        <v>11</v>
      </c>
      <c r="M187" s="25" t="str">
        <f>IFERROR(__xludf.DUMMYFUNCTION("""COMPUTED_VALUE"""),"Action-Adventure")</f>
        <v>Action-Adventure</v>
      </c>
      <c r="N187" s="25"/>
      <c r="O187" s="26" t="str">
        <f>IFERROR(__xludf.DUMMYFUNCTION("""COMPUTED_VALUE"""),"No")</f>
        <v>No</v>
      </c>
      <c r="P187" s="26"/>
    </row>
    <row r="188">
      <c r="A188" s="13" t="str">
        <f>IFERROR(__xludf.DUMMYFUNCTION("""COMPUTED_VALUE"""),"Until You Fall")</f>
        <v>Until You Fall</v>
      </c>
      <c r="B188" s="15" t="str">
        <f>IFERROR(__xludf.DUMMYFUNCTION("""COMPUTED_VALUE"""),"PS4/PSVR")</f>
        <v>PS4/PSVR</v>
      </c>
      <c r="C188" s="16" t="str">
        <f>IFERROR(__xludf.DUMMYFUNCTION("""COMPUTED_VALUE"""),"Playstation Plus (Discontinued)")</f>
        <v>Playstation Plus (Discontinued)</v>
      </c>
      <c r="D188" s="15" t="str">
        <f>IFERROR(__xludf.DUMMYFUNCTION("""COMPUTED_VALUE"""),"Removed")</f>
        <v>Removed</v>
      </c>
      <c r="E188" s="17">
        <f>IFERROR(__xludf.DUMMYFUNCTION("""COMPUTED_VALUE"""),44502.0)</f>
        <v>44502</v>
      </c>
      <c r="F188" s="54">
        <f>IFERROR(__xludf.DUMMYFUNCTION("""COMPUTED_VALUE"""),44564.0)</f>
        <v>44564</v>
      </c>
      <c r="G188" s="19">
        <f>IFERROR(__xludf.DUMMYFUNCTION("""COMPUTED_VALUE"""),2.033333333333333)</f>
        <v>2.033333333</v>
      </c>
      <c r="H188" s="17">
        <f>IFERROR(__xludf.DUMMYFUNCTION("""COMPUTED_VALUE"""),44103.0)</f>
        <v>44103</v>
      </c>
      <c r="I188" s="19">
        <f>IFERROR(__xludf.DUMMYFUNCTION("""COMPUTED_VALUE"""),1.0916666666666666)</f>
        <v>1.091666667</v>
      </c>
      <c r="J188" s="21">
        <f>IFERROR(__xludf.DUMMYFUNCTION("""COMPUTED_VALUE"""),79.0)</f>
        <v>79</v>
      </c>
      <c r="K188" s="23">
        <f>IFERROR(__xludf.DUMMYFUNCTION("""COMPUTED_VALUE"""),7.7)</f>
        <v>7.7</v>
      </c>
      <c r="L188" s="24">
        <f>IFERROR(__xludf.DUMMYFUNCTION("""COMPUTED_VALUE"""),5.0)</f>
        <v>5</v>
      </c>
      <c r="M188" s="25" t="str">
        <f>IFERROR(__xludf.DUMMYFUNCTION("""COMPUTED_VALUE"""),"Action-Adventure")</f>
        <v>Action-Adventure</v>
      </c>
      <c r="N188" s="25"/>
      <c r="O188" s="26" t="str">
        <f>IFERROR(__xludf.DUMMYFUNCTION("""COMPUTED_VALUE"""),"No")</f>
        <v>No</v>
      </c>
      <c r="P188" s="26"/>
    </row>
    <row r="189">
      <c r="A189" s="13" t="str">
        <f>IFERROR(__xludf.DUMMYFUNCTION("""COMPUTED_VALUE"""),"Knockout City")</f>
        <v>Knockout City</v>
      </c>
      <c r="B189" s="15" t="str">
        <f>IFERROR(__xludf.DUMMYFUNCTION("""COMPUTED_VALUE"""),"PS5/PS4")</f>
        <v>PS5/PS4</v>
      </c>
      <c r="C189" s="16" t="str">
        <f>IFERROR(__xludf.DUMMYFUNCTION("""COMPUTED_VALUE"""),"Playstation Plus (Discontinued)")</f>
        <v>Playstation Plus (Discontinued)</v>
      </c>
      <c r="D189" s="15" t="str">
        <f>IFERROR(__xludf.DUMMYFUNCTION("""COMPUTED_VALUE"""),"Removed")</f>
        <v>Removed</v>
      </c>
      <c r="E189" s="17">
        <f>IFERROR(__xludf.DUMMYFUNCTION("""COMPUTED_VALUE"""),44502.0)</f>
        <v>44502</v>
      </c>
      <c r="F189" s="54">
        <f>IFERROR(__xludf.DUMMYFUNCTION("""COMPUTED_VALUE"""),44536.0)</f>
        <v>44536</v>
      </c>
      <c r="G189" s="19">
        <f>IFERROR(__xludf.DUMMYFUNCTION("""COMPUTED_VALUE"""),1.1333333333333333)</f>
        <v>1.133333333</v>
      </c>
      <c r="H189" s="17">
        <f>IFERROR(__xludf.DUMMYFUNCTION("""COMPUTED_VALUE"""),44337.0)</f>
        <v>44337</v>
      </c>
      <c r="I189" s="19">
        <f>IFERROR(__xludf.DUMMYFUNCTION("""COMPUTED_VALUE"""),0.44722222222222224)</f>
        <v>0.4472222222</v>
      </c>
      <c r="J189" s="21">
        <f>IFERROR(__xludf.DUMMYFUNCTION("""COMPUTED_VALUE"""),80.0)</f>
        <v>80</v>
      </c>
      <c r="K189" s="23">
        <f>IFERROR(__xludf.DUMMYFUNCTION("""COMPUTED_VALUE"""),7.1)</f>
        <v>7.1</v>
      </c>
      <c r="L189" s="24"/>
      <c r="M189" s="25" t="str">
        <f>IFERROR(__xludf.DUMMYFUNCTION("""COMPUTED_VALUE"""),"Shooter")</f>
        <v>Shooter</v>
      </c>
      <c r="N189" s="25"/>
      <c r="O189" s="26" t="str">
        <f>IFERROR(__xludf.DUMMYFUNCTION("""COMPUTED_VALUE"""),"No")</f>
        <v>No</v>
      </c>
      <c r="P189" s="26"/>
    </row>
    <row r="190">
      <c r="A190" s="13" t="str">
        <f>IFERROR(__xludf.DUMMYFUNCTION("""COMPUTED_VALUE"""),"First Class Trouble")</f>
        <v>First Class Trouble</v>
      </c>
      <c r="B190" s="15" t="str">
        <f>IFERROR(__xludf.DUMMYFUNCTION("""COMPUTED_VALUE"""),"PS5/PS4")</f>
        <v>PS5/PS4</v>
      </c>
      <c r="C190" s="16" t="str">
        <f>IFERROR(__xludf.DUMMYFUNCTION("""COMPUTED_VALUE"""),"Playstation Plus (Discontinued)")</f>
        <v>Playstation Plus (Discontinued)</v>
      </c>
      <c r="D190" s="15" t="str">
        <f>IFERROR(__xludf.DUMMYFUNCTION("""COMPUTED_VALUE"""),"Removed")</f>
        <v>Removed</v>
      </c>
      <c r="E190" s="17">
        <f>IFERROR(__xludf.DUMMYFUNCTION("""COMPUTED_VALUE"""),44502.0)</f>
        <v>44502</v>
      </c>
      <c r="F190" s="54">
        <f>IFERROR(__xludf.DUMMYFUNCTION("""COMPUTED_VALUE"""),44536.0)</f>
        <v>44536</v>
      </c>
      <c r="G190" s="19">
        <f>IFERROR(__xludf.DUMMYFUNCTION("""COMPUTED_VALUE"""),1.1333333333333333)</f>
        <v>1.133333333</v>
      </c>
      <c r="H190" s="17">
        <f>IFERROR(__xludf.DUMMYFUNCTION("""COMPUTED_VALUE"""),44502.0)</f>
        <v>44502</v>
      </c>
      <c r="I190" s="19">
        <f>IFERROR(__xludf.DUMMYFUNCTION("""COMPUTED_VALUE"""),0.0)</f>
        <v>0</v>
      </c>
      <c r="J190" s="21">
        <f>IFERROR(__xludf.DUMMYFUNCTION("""COMPUTED_VALUE"""),66.0)</f>
        <v>66</v>
      </c>
      <c r="K190" s="23">
        <f>IFERROR(__xludf.DUMMYFUNCTION("""COMPUTED_VALUE"""),6.5)</f>
        <v>6.5</v>
      </c>
      <c r="L190" s="24"/>
      <c r="M190" s="25" t="str">
        <f>IFERROR(__xludf.DUMMYFUNCTION("""COMPUTED_VALUE"""),"Party")</f>
        <v>Party</v>
      </c>
      <c r="N190" s="25"/>
      <c r="O190" s="26" t="str">
        <f>IFERROR(__xludf.DUMMYFUNCTION("""COMPUTED_VALUE"""),"No")</f>
        <v>No</v>
      </c>
      <c r="P190" s="26"/>
    </row>
    <row r="191">
      <c r="A191" s="13" t="str">
        <f>IFERROR(__xludf.DUMMYFUNCTION("""COMPUTED_VALUE"""),"Kingdoms of Amalur: Re-Reckoning")</f>
        <v>Kingdoms of Amalur: Re-Reckoning</v>
      </c>
      <c r="B191" s="15" t="str">
        <f>IFERROR(__xludf.DUMMYFUNCTION("""COMPUTED_VALUE"""),"PS4")</f>
        <v>PS4</v>
      </c>
      <c r="C191" s="16" t="str">
        <f>IFERROR(__xludf.DUMMYFUNCTION("""COMPUTED_VALUE"""),"Playstation Plus (Discontinued)")</f>
        <v>Playstation Plus (Discontinued)</v>
      </c>
      <c r="D191" s="15" t="str">
        <f>IFERROR(__xludf.DUMMYFUNCTION("""COMPUTED_VALUE"""),"Removed")</f>
        <v>Removed</v>
      </c>
      <c r="E191" s="17">
        <f>IFERROR(__xludf.DUMMYFUNCTION("""COMPUTED_VALUE"""),44502.0)</f>
        <v>44502</v>
      </c>
      <c r="F191" s="54">
        <f>IFERROR(__xludf.DUMMYFUNCTION("""COMPUTED_VALUE"""),44536.0)</f>
        <v>44536</v>
      </c>
      <c r="G191" s="19">
        <f>IFERROR(__xludf.DUMMYFUNCTION("""COMPUTED_VALUE"""),1.1333333333333333)</f>
        <v>1.133333333</v>
      </c>
      <c r="H191" s="17">
        <f>IFERROR(__xludf.DUMMYFUNCTION("""COMPUTED_VALUE"""),44082.0)</f>
        <v>44082</v>
      </c>
      <c r="I191" s="19">
        <f>IFERROR(__xludf.DUMMYFUNCTION("""COMPUTED_VALUE"""),1.15)</f>
        <v>1.15</v>
      </c>
      <c r="J191" s="21">
        <f>IFERROR(__xludf.DUMMYFUNCTION("""COMPUTED_VALUE"""),72.0)</f>
        <v>72</v>
      </c>
      <c r="K191" s="23">
        <f>IFERROR(__xludf.DUMMYFUNCTION("""COMPUTED_VALUE"""),7.1)</f>
        <v>7.1</v>
      </c>
      <c r="L191" s="24">
        <f>IFERROR(__xludf.DUMMYFUNCTION("""COMPUTED_VALUE"""),22.0)</f>
        <v>22</v>
      </c>
      <c r="M191" s="25" t="str">
        <f>IFERROR(__xludf.DUMMYFUNCTION("""COMPUTED_VALUE"""),"RPG")</f>
        <v>RPG</v>
      </c>
      <c r="N191" s="25"/>
      <c r="O191" s="26" t="str">
        <f>IFERROR(__xludf.DUMMYFUNCTION("""COMPUTED_VALUE"""),"No")</f>
        <v>No</v>
      </c>
      <c r="P191" s="26"/>
    </row>
    <row r="192">
      <c r="A192" s="13" t="str">
        <f>IFERROR(__xludf.DUMMYFUNCTION("""COMPUTED_VALUE"""),"Hell Let Loose")</f>
        <v>Hell Let Loose</v>
      </c>
      <c r="B192" s="15" t="str">
        <f>IFERROR(__xludf.DUMMYFUNCTION("""COMPUTED_VALUE"""),"PS5")</f>
        <v>PS5</v>
      </c>
      <c r="C192" s="16" t="str">
        <f>IFERROR(__xludf.DUMMYFUNCTION("""COMPUTED_VALUE"""),"Playstation Plus (Discontinued)")</f>
        <v>Playstation Plus (Discontinued)</v>
      </c>
      <c r="D192" s="15" t="str">
        <f>IFERROR(__xludf.DUMMYFUNCTION("""COMPUTED_VALUE"""),"Removed")</f>
        <v>Removed</v>
      </c>
      <c r="E192" s="17">
        <f>IFERROR(__xludf.DUMMYFUNCTION("""COMPUTED_VALUE"""),44474.0)</f>
        <v>44474</v>
      </c>
      <c r="F192" s="54">
        <f>IFERROR(__xludf.DUMMYFUNCTION("""COMPUTED_VALUE"""),44501.0)</f>
        <v>44501</v>
      </c>
      <c r="G192" s="19">
        <f>IFERROR(__xludf.DUMMYFUNCTION("""COMPUTED_VALUE"""),0.8666666666666666)</f>
        <v>0.8666666667</v>
      </c>
      <c r="H192" s="17">
        <f>IFERROR(__xludf.DUMMYFUNCTION("""COMPUTED_VALUE"""),44404.0)</f>
        <v>44404</v>
      </c>
      <c r="I192" s="19">
        <f>IFERROR(__xludf.DUMMYFUNCTION("""COMPUTED_VALUE"""),0.18888888888888888)</f>
        <v>0.1888888889</v>
      </c>
      <c r="J192" s="21">
        <f>IFERROR(__xludf.DUMMYFUNCTION("""COMPUTED_VALUE"""),79.0)</f>
        <v>79</v>
      </c>
      <c r="K192" s="23">
        <f>IFERROR(__xludf.DUMMYFUNCTION("""COMPUTED_VALUE"""),7.3)</f>
        <v>7.3</v>
      </c>
      <c r="L192" s="24"/>
      <c r="M192" s="25" t="str">
        <f>IFERROR(__xludf.DUMMYFUNCTION("""COMPUTED_VALUE"""),"Shooter")</f>
        <v>Shooter</v>
      </c>
      <c r="N192" s="25"/>
      <c r="O192" s="26" t="str">
        <f>IFERROR(__xludf.DUMMYFUNCTION("""COMPUTED_VALUE"""),"No")</f>
        <v>No</v>
      </c>
      <c r="P192" s="26"/>
    </row>
    <row r="193">
      <c r="A193" s="13" t="str">
        <f>IFERROR(__xludf.DUMMYFUNCTION("""COMPUTED_VALUE"""),"PGA Tour 2K21")</f>
        <v>PGA Tour 2K21</v>
      </c>
      <c r="B193" s="15" t="str">
        <f>IFERROR(__xludf.DUMMYFUNCTION("""COMPUTED_VALUE"""),"PS4")</f>
        <v>PS4</v>
      </c>
      <c r="C193" s="16" t="str">
        <f>IFERROR(__xludf.DUMMYFUNCTION("""COMPUTED_VALUE"""),"Playstation Plus (Discontinued)")</f>
        <v>Playstation Plus (Discontinued)</v>
      </c>
      <c r="D193" s="15" t="str">
        <f>IFERROR(__xludf.DUMMYFUNCTION("""COMPUTED_VALUE"""),"Removed")</f>
        <v>Removed</v>
      </c>
      <c r="E193" s="17">
        <f>IFERROR(__xludf.DUMMYFUNCTION("""COMPUTED_VALUE"""),44474.0)</f>
        <v>44474</v>
      </c>
      <c r="F193" s="54">
        <f>IFERROR(__xludf.DUMMYFUNCTION("""COMPUTED_VALUE"""),44501.0)</f>
        <v>44501</v>
      </c>
      <c r="G193" s="19">
        <f>IFERROR(__xludf.DUMMYFUNCTION("""COMPUTED_VALUE"""),0.8666666666666666)</f>
        <v>0.8666666667</v>
      </c>
      <c r="H193" s="17">
        <f>IFERROR(__xludf.DUMMYFUNCTION("""COMPUTED_VALUE"""),44064.0)</f>
        <v>44064</v>
      </c>
      <c r="I193" s="19">
        <f>IFERROR(__xludf.DUMMYFUNCTION("""COMPUTED_VALUE"""),1.1222222222222222)</f>
        <v>1.122222222</v>
      </c>
      <c r="J193" s="21">
        <f>IFERROR(__xludf.DUMMYFUNCTION("""COMPUTED_VALUE"""),76.0)</f>
        <v>76</v>
      </c>
      <c r="K193" s="23">
        <f>IFERROR(__xludf.DUMMYFUNCTION("""COMPUTED_VALUE"""),7.0)</f>
        <v>7</v>
      </c>
      <c r="L193" s="24"/>
      <c r="M193" s="25" t="str">
        <f>IFERROR(__xludf.DUMMYFUNCTION("""COMPUTED_VALUE"""),"Sports")</f>
        <v>Sports</v>
      </c>
      <c r="N193" s="25"/>
      <c r="O193" s="26" t="str">
        <f>IFERROR(__xludf.DUMMYFUNCTION("""COMPUTED_VALUE"""),"No")</f>
        <v>No</v>
      </c>
      <c r="P193" s="26"/>
    </row>
    <row r="194">
      <c r="A194" s="13" t="str">
        <f>IFERROR(__xludf.DUMMYFUNCTION("""COMPUTED_VALUE"""),"Mortal Kombat X")</f>
        <v>Mortal Kombat X</v>
      </c>
      <c r="B194" s="15" t="str">
        <f>IFERROR(__xludf.DUMMYFUNCTION("""COMPUTED_VALUE"""),"PS4")</f>
        <v>PS4</v>
      </c>
      <c r="C194" s="16" t="str">
        <f>IFERROR(__xludf.DUMMYFUNCTION("""COMPUTED_VALUE"""),"Playstation Plus (Discontinued)")</f>
        <v>Playstation Plus (Discontinued)</v>
      </c>
      <c r="D194" s="15" t="str">
        <f>IFERROR(__xludf.DUMMYFUNCTION("""COMPUTED_VALUE"""),"Removed")</f>
        <v>Removed</v>
      </c>
      <c r="E194" s="17">
        <f>IFERROR(__xludf.DUMMYFUNCTION("""COMPUTED_VALUE"""),44474.0)</f>
        <v>44474</v>
      </c>
      <c r="F194" s="54">
        <f>IFERROR(__xludf.DUMMYFUNCTION("""COMPUTED_VALUE"""),44501.0)</f>
        <v>44501</v>
      </c>
      <c r="G194" s="19">
        <f>IFERROR(__xludf.DUMMYFUNCTION("""COMPUTED_VALUE"""),0.8666666666666666)</f>
        <v>0.8666666667</v>
      </c>
      <c r="H194" s="17">
        <f>IFERROR(__xludf.DUMMYFUNCTION("""COMPUTED_VALUE"""),42108.0)</f>
        <v>42108</v>
      </c>
      <c r="I194" s="19">
        <f>IFERROR(__xludf.DUMMYFUNCTION("""COMPUTED_VALUE"""),6.475)</f>
        <v>6.475</v>
      </c>
      <c r="J194" s="21">
        <f>IFERROR(__xludf.DUMMYFUNCTION("""COMPUTED_VALUE"""),83.0)</f>
        <v>83</v>
      </c>
      <c r="K194" s="23">
        <f>IFERROR(__xludf.DUMMYFUNCTION("""COMPUTED_VALUE"""),7.7)</f>
        <v>7.7</v>
      </c>
      <c r="L194" s="24">
        <f>IFERROR(__xludf.DUMMYFUNCTION("""COMPUTED_VALUE"""),6.0)</f>
        <v>6</v>
      </c>
      <c r="M194" s="25" t="str">
        <f>IFERROR(__xludf.DUMMYFUNCTION("""COMPUTED_VALUE"""),"Fighting")</f>
        <v>Fighting</v>
      </c>
      <c r="N194" s="25"/>
      <c r="O194" s="26" t="str">
        <f>IFERROR(__xludf.DUMMYFUNCTION("""COMPUTED_VALUE"""),"No")</f>
        <v>No</v>
      </c>
      <c r="P194" s="26"/>
    </row>
    <row r="195">
      <c r="A195" s="13" t="str">
        <f>IFERROR(__xludf.DUMMYFUNCTION("""COMPUTED_VALUE"""),"Overcooked: All You Can Eat!")</f>
        <v>Overcooked: All You Can Eat!</v>
      </c>
      <c r="B195" s="15" t="str">
        <f>IFERROR(__xludf.DUMMYFUNCTION("""COMPUTED_VALUE"""),"PS5")</f>
        <v>PS5</v>
      </c>
      <c r="C195" s="16" t="str">
        <f>IFERROR(__xludf.DUMMYFUNCTION("""COMPUTED_VALUE"""),"Playstation Plus (Discontinued)")</f>
        <v>Playstation Plus (Discontinued)</v>
      </c>
      <c r="D195" s="15" t="str">
        <f>IFERROR(__xludf.DUMMYFUNCTION("""COMPUTED_VALUE"""),"Removed")</f>
        <v>Removed</v>
      </c>
      <c r="E195" s="17">
        <f>IFERROR(__xludf.DUMMYFUNCTION("""COMPUTED_VALUE"""),44446.0)</f>
        <v>44446</v>
      </c>
      <c r="F195" s="18">
        <f>IFERROR(__xludf.DUMMYFUNCTION("""COMPUTED_VALUE"""),44473.0)</f>
        <v>44473</v>
      </c>
      <c r="G195" s="19">
        <f>IFERROR(__xludf.DUMMYFUNCTION("""COMPUTED_VALUE"""),0.8999999999999999)</f>
        <v>0.9</v>
      </c>
      <c r="H195" s="17">
        <f>IFERROR(__xludf.DUMMYFUNCTION("""COMPUTED_VALUE"""),44278.0)</f>
        <v>44278</v>
      </c>
      <c r="I195" s="19">
        <f>IFERROR(__xludf.DUMMYFUNCTION("""COMPUTED_VALUE"""),0.45555555555555555)</f>
        <v>0.4555555556</v>
      </c>
      <c r="J195" s="21">
        <f>IFERROR(__xludf.DUMMYFUNCTION("""COMPUTED_VALUE"""),84.0)</f>
        <v>84</v>
      </c>
      <c r="K195" s="23">
        <f>IFERROR(__xludf.DUMMYFUNCTION("""COMPUTED_VALUE"""),7.4)</f>
        <v>7.4</v>
      </c>
      <c r="L195" s="24">
        <f>IFERROR(__xludf.DUMMYFUNCTION("""COMPUTED_VALUE"""),8.0)</f>
        <v>8</v>
      </c>
      <c r="M195" s="25" t="str">
        <f>IFERROR(__xludf.DUMMYFUNCTION("""COMPUTED_VALUE"""),"Simulation")</f>
        <v>Simulation</v>
      </c>
      <c r="N195" s="25"/>
      <c r="O195" s="26" t="str">
        <f>IFERROR(__xludf.DUMMYFUNCTION("""COMPUTED_VALUE"""),"No")</f>
        <v>No</v>
      </c>
      <c r="P195" s="26"/>
    </row>
    <row r="196">
      <c r="A196" s="13" t="str">
        <f>IFERROR(__xludf.DUMMYFUNCTION("""COMPUTED_VALUE"""),"Predator: Hunting Grounds")</f>
        <v>Predator: Hunting Grounds</v>
      </c>
      <c r="B196" s="15" t="str">
        <f>IFERROR(__xludf.DUMMYFUNCTION("""COMPUTED_VALUE"""),"PS4")</f>
        <v>PS4</v>
      </c>
      <c r="C196" s="16" t="str">
        <f>IFERROR(__xludf.DUMMYFUNCTION("""COMPUTED_VALUE"""),"Playstation Plus (Discontinued)")</f>
        <v>Playstation Plus (Discontinued)</v>
      </c>
      <c r="D196" s="15" t="str">
        <f>IFERROR(__xludf.DUMMYFUNCTION("""COMPUTED_VALUE"""),"Removed")</f>
        <v>Removed</v>
      </c>
      <c r="E196" s="17">
        <f>IFERROR(__xludf.DUMMYFUNCTION("""COMPUTED_VALUE"""),44446.0)</f>
        <v>44446</v>
      </c>
      <c r="F196" s="71">
        <f>IFERROR(__xludf.DUMMYFUNCTION("""COMPUTED_VALUE"""),44473.0)</f>
        <v>44473</v>
      </c>
      <c r="G196" s="19">
        <f>IFERROR(__xludf.DUMMYFUNCTION("""COMPUTED_VALUE"""),0.8999999999999999)</f>
        <v>0.9</v>
      </c>
      <c r="H196" s="17">
        <f>IFERROR(__xludf.DUMMYFUNCTION("""COMPUTED_VALUE"""),43945.0)</f>
        <v>43945</v>
      </c>
      <c r="I196" s="19">
        <f>IFERROR(__xludf.DUMMYFUNCTION("""COMPUTED_VALUE"""),1.3694444444444445)</f>
        <v>1.369444444</v>
      </c>
      <c r="J196" s="21">
        <f>IFERROR(__xludf.DUMMYFUNCTION("""COMPUTED_VALUE"""),56.0)</f>
        <v>56</v>
      </c>
      <c r="K196" s="23">
        <f>IFERROR(__xludf.DUMMYFUNCTION("""COMPUTED_VALUE"""),6.4)</f>
        <v>6.4</v>
      </c>
      <c r="L196" s="24"/>
      <c r="M196" s="25" t="str">
        <f>IFERROR(__xludf.DUMMYFUNCTION("""COMPUTED_VALUE"""),"Shooter")</f>
        <v>Shooter</v>
      </c>
      <c r="N196" s="25"/>
      <c r="O196" s="26" t="str">
        <f>IFERROR(__xludf.DUMMYFUNCTION("""COMPUTED_VALUE"""),"No")</f>
        <v>No</v>
      </c>
      <c r="P196" s="26"/>
    </row>
    <row r="197">
      <c r="A197" s="13" t="str">
        <f>IFERROR(__xludf.DUMMYFUNCTION("""COMPUTED_VALUE"""),"Hitman 2")</f>
        <v>Hitman 2</v>
      </c>
      <c r="B197" s="15" t="str">
        <f>IFERROR(__xludf.DUMMYFUNCTION("""COMPUTED_VALUE"""),"PS4")</f>
        <v>PS4</v>
      </c>
      <c r="C197" s="16" t="str">
        <f>IFERROR(__xludf.DUMMYFUNCTION("""COMPUTED_VALUE"""),"Playstation Plus (Discontinued)")</f>
        <v>Playstation Plus (Discontinued)</v>
      </c>
      <c r="D197" s="15" t="str">
        <f>IFERROR(__xludf.DUMMYFUNCTION("""COMPUTED_VALUE"""),"Removed")</f>
        <v>Removed</v>
      </c>
      <c r="E197" s="17">
        <f>IFERROR(__xludf.DUMMYFUNCTION("""COMPUTED_VALUE"""),44446.0)</f>
        <v>44446</v>
      </c>
      <c r="F197" s="18">
        <f>IFERROR(__xludf.DUMMYFUNCTION("""COMPUTED_VALUE"""),44473.0)</f>
        <v>44473</v>
      </c>
      <c r="G197" s="19">
        <f>IFERROR(__xludf.DUMMYFUNCTION("""COMPUTED_VALUE"""),0.8999999999999999)</f>
        <v>0.9</v>
      </c>
      <c r="H197" s="17">
        <f>IFERROR(__xludf.DUMMYFUNCTION("""COMPUTED_VALUE"""),43417.0)</f>
        <v>43417</v>
      </c>
      <c r="I197" s="19">
        <f>IFERROR(__xludf.DUMMYFUNCTION("""COMPUTED_VALUE"""),2.816666666666667)</f>
        <v>2.816666667</v>
      </c>
      <c r="J197" s="21">
        <f>IFERROR(__xludf.DUMMYFUNCTION("""COMPUTED_VALUE"""),82.0)</f>
        <v>82</v>
      </c>
      <c r="K197" s="23">
        <f>IFERROR(__xludf.DUMMYFUNCTION("""COMPUTED_VALUE"""),7.9)</f>
        <v>7.9</v>
      </c>
      <c r="L197" s="24">
        <f>IFERROR(__xludf.DUMMYFUNCTION("""COMPUTED_VALUE"""),10.0)</f>
        <v>10</v>
      </c>
      <c r="M197" s="25" t="str">
        <f>IFERROR(__xludf.DUMMYFUNCTION("""COMPUTED_VALUE"""),"Action-Adventure")</f>
        <v>Action-Adventure</v>
      </c>
      <c r="N197" s="25"/>
      <c r="O197" s="26" t="str">
        <f>IFERROR(__xludf.DUMMYFUNCTION("""COMPUTED_VALUE"""),"No")</f>
        <v>No</v>
      </c>
      <c r="P197" s="26"/>
    </row>
    <row r="198">
      <c r="A198" s="13" t="str">
        <f>IFERROR(__xludf.DUMMYFUNCTION("""COMPUTED_VALUE"""),"Hunter’s Arena: Legends")</f>
        <v>Hunter’s Arena: Legends</v>
      </c>
      <c r="B198" s="15" t="str">
        <f>IFERROR(__xludf.DUMMYFUNCTION("""COMPUTED_VALUE"""),"PS5/PS4")</f>
        <v>PS5/PS4</v>
      </c>
      <c r="C198" s="16" t="str">
        <f>IFERROR(__xludf.DUMMYFUNCTION("""COMPUTED_VALUE"""),"Playstation Plus (Discontinued)")</f>
        <v>Playstation Plus (Discontinued)</v>
      </c>
      <c r="D198" s="15" t="str">
        <f>IFERROR(__xludf.DUMMYFUNCTION("""COMPUTED_VALUE"""),"Removed")</f>
        <v>Removed</v>
      </c>
      <c r="E198" s="17">
        <f>IFERROR(__xludf.DUMMYFUNCTION("""COMPUTED_VALUE"""),44411.0)</f>
        <v>44411</v>
      </c>
      <c r="F198" s="54">
        <f>IFERROR(__xludf.DUMMYFUNCTION("""COMPUTED_VALUE"""),44445.0)</f>
        <v>44445</v>
      </c>
      <c r="G198" s="19">
        <f>IFERROR(__xludf.DUMMYFUNCTION("""COMPUTED_VALUE"""),1.0999999999999999)</f>
        <v>1.1</v>
      </c>
      <c r="H198" s="17">
        <f>IFERROR(__xludf.DUMMYFUNCTION("""COMPUTED_VALUE"""),44411.0)</f>
        <v>44411</v>
      </c>
      <c r="I198" s="19">
        <f>IFERROR(__xludf.DUMMYFUNCTION("""COMPUTED_VALUE"""),0.0)</f>
        <v>0</v>
      </c>
      <c r="J198" s="21">
        <f>IFERROR(__xludf.DUMMYFUNCTION("""COMPUTED_VALUE"""),48.0)</f>
        <v>48</v>
      </c>
      <c r="K198" s="23">
        <f>IFERROR(__xludf.DUMMYFUNCTION("""COMPUTED_VALUE"""),5.6)</f>
        <v>5.6</v>
      </c>
      <c r="L198" s="24"/>
      <c r="M198" s="25" t="str">
        <f>IFERROR(__xludf.DUMMYFUNCTION("""COMPUTED_VALUE"""),"Action-Adventure")</f>
        <v>Action-Adventure</v>
      </c>
      <c r="N198" s="25"/>
      <c r="O198" s="26" t="str">
        <f>IFERROR(__xludf.DUMMYFUNCTION("""COMPUTED_VALUE"""),"No")</f>
        <v>No</v>
      </c>
      <c r="P198" s="26"/>
    </row>
    <row r="199">
      <c r="A199" s="13" t="str">
        <f>IFERROR(__xludf.DUMMYFUNCTION("""COMPUTED_VALUE"""),"Plants vs. Zombies: Battle for Neighborville")</f>
        <v>Plants vs. Zombies: Battle for Neighborville</v>
      </c>
      <c r="B199" s="15" t="str">
        <f>IFERROR(__xludf.DUMMYFUNCTION("""COMPUTED_VALUE"""),"PS4")</f>
        <v>PS4</v>
      </c>
      <c r="C199" s="16" t="str">
        <f>IFERROR(__xludf.DUMMYFUNCTION("""COMPUTED_VALUE"""),"Playstation Plus (Discontinued)")</f>
        <v>Playstation Plus (Discontinued)</v>
      </c>
      <c r="D199" s="15" t="str">
        <f>IFERROR(__xludf.DUMMYFUNCTION("""COMPUTED_VALUE"""),"Removed")</f>
        <v>Removed</v>
      </c>
      <c r="E199" s="17">
        <f>IFERROR(__xludf.DUMMYFUNCTION("""COMPUTED_VALUE"""),44411.0)</f>
        <v>44411</v>
      </c>
      <c r="F199" s="54">
        <f>IFERROR(__xludf.DUMMYFUNCTION("""COMPUTED_VALUE"""),44445.0)</f>
        <v>44445</v>
      </c>
      <c r="G199" s="19">
        <f>IFERROR(__xludf.DUMMYFUNCTION("""COMPUTED_VALUE"""),1.0999999999999999)</f>
        <v>1.1</v>
      </c>
      <c r="H199" s="17">
        <f>IFERROR(__xludf.DUMMYFUNCTION("""COMPUTED_VALUE"""),43712.0)</f>
        <v>43712</v>
      </c>
      <c r="I199" s="19">
        <f>IFERROR(__xludf.DUMMYFUNCTION("""COMPUTED_VALUE"""),1.913888888888889)</f>
        <v>1.913888889</v>
      </c>
      <c r="J199" s="21">
        <f>IFERROR(__xludf.DUMMYFUNCTION("""COMPUTED_VALUE"""),77.0)</f>
        <v>77</v>
      </c>
      <c r="K199" s="23">
        <f>IFERROR(__xludf.DUMMYFUNCTION("""COMPUTED_VALUE"""),6.6)</f>
        <v>6.6</v>
      </c>
      <c r="L199" s="24">
        <f>IFERROR(__xludf.DUMMYFUNCTION("""COMPUTED_VALUE"""),10.0)</f>
        <v>10</v>
      </c>
      <c r="M199" s="25" t="str">
        <f>IFERROR(__xludf.DUMMYFUNCTION("""COMPUTED_VALUE"""),"Shooter")</f>
        <v>Shooter</v>
      </c>
      <c r="N199" s="25"/>
      <c r="O199" s="26" t="str">
        <f>IFERROR(__xludf.DUMMYFUNCTION("""COMPUTED_VALUE"""),"No")</f>
        <v>No</v>
      </c>
      <c r="P199" s="26"/>
    </row>
    <row r="200">
      <c r="A200" s="13" t="str">
        <f>IFERROR(__xludf.DUMMYFUNCTION("""COMPUTED_VALUE"""),"Tennis World Tour 2")</f>
        <v>Tennis World Tour 2</v>
      </c>
      <c r="B200" s="15" t="str">
        <f>IFERROR(__xludf.DUMMYFUNCTION("""COMPUTED_VALUE"""),"PS4")</f>
        <v>PS4</v>
      </c>
      <c r="C200" s="16" t="str">
        <f>IFERROR(__xludf.DUMMYFUNCTION("""COMPUTED_VALUE"""),"Playstation Plus (Discontinued)")</f>
        <v>Playstation Plus (Discontinued)</v>
      </c>
      <c r="D200" s="15" t="str">
        <f>IFERROR(__xludf.DUMMYFUNCTION("""COMPUTED_VALUE"""),"Removed")</f>
        <v>Removed</v>
      </c>
      <c r="E200" s="17">
        <f>IFERROR(__xludf.DUMMYFUNCTION("""COMPUTED_VALUE"""),44411.0)</f>
        <v>44411</v>
      </c>
      <c r="F200" s="54">
        <f>IFERROR(__xludf.DUMMYFUNCTION("""COMPUTED_VALUE"""),44445.0)</f>
        <v>44445</v>
      </c>
      <c r="G200" s="19">
        <f>IFERROR(__xludf.DUMMYFUNCTION("""COMPUTED_VALUE"""),1.0999999999999999)</f>
        <v>1.1</v>
      </c>
      <c r="H200" s="17">
        <f>IFERROR(__xludf.DUMMYFUNCTION("""COMPUTED_VALUE"""),44098.0)</f>
        <v>44098</v>
      </c>
      <c r="I200" s="19">
        <f>IFERROR(__xludf.DUMMYFUNCTION("""COMPUTED_VALUE"""),0.8583333333333333)</f>
        <v>0.8583333333</v>
      </c>
      <c r="J200" s="21">
        <f>IFERROR(__xludf.DUMMYFUNCTION("""COMPUTED_VALUE"""),56.0)</f>
        <v>56</v>
      </c>
      <c r="K200" s="23">
        <f>IFERROR(__xludf.DUMMYFUNCTION("""COMPUTED_VALUE"""),5.9)</f>
        <v>5.9</v>
      </c>
      <c r="L200" s="24"/>
      <c r="M200" s="25" t="str">
        <f>IFERROR(__xludf.DUMMYFUNCTION("""COMPUTED_VALUE"""),"Sports")</f>
        <v>Sports</v>
      </c>
      <c r="N200" s="25"/>
      <c r="O200" s="26" t="str">
        <f>IFERROR(__xludf.DUMMYFUNCTION("""COMPUTED_VALUE"""),"No")</f>
        <v>No</v>
      </c>
      <c r="P200" s="26"/>
    </row>
    <row r="201">
      <c r="A201" s="13" t="str">
        <f>IFERROR(__xludf.DUMMYFUNCTION("""COMPUTED_VALUE"""),"Virtua Fighter 5 Ultimate Showdown")</f>
        <v>Virtua Fighter 5 Ultimate Showdown</v>
      </c>
      <c r="B201" s="15" t="str">
        <f>IFERROR(__xludf.DUMMYFUNCTION("""COMPUTED_VALUE"""),"PS4")</f>
        <v>PS4</v>
      </c>
      <c r="C201" s="16" t="str">
        <f>IFERROR(__xludf.DUMMYFUNCTION("""COMPUTED_VALUE"""),"Playstation Plus (Discontinued)")</f>
        <v>Playstation Plus (Discontinued)</v>
      </c>
      <c r="D201" s="15" t="str">
        <f>IFERROR(__xludf.DUMMYFUNCTION("""COMPUTED_VALUE"""),"Removed")</f>
        <v>Removed</v>
      </c>
      <c r="E201" s="17">
        <f>IFERROR(__xludf.DUMMYFUNCTION("""COMPUTED_VALUE"""),44383.0)</f>
        <v>44383</v>
      </c>
      <c r="F201" s="54">
        <f>IFERROR(__xludf.DUMMYFUNCTION("""COMPUTED_VALUE"""),44445.0)</f>
        <v>44445</v>
      </c>
      <c r="G201" s="19">
        <f>IFERROR(__xludf.DUMMYFUNCTION("""COMPUTED_VALUE"""),2.0)</f>
        <v>2</v>
      </c>
      <c r="H201" s="17">
        <f>IFERROR(__xludf.DUMMYFUNCTION("""COMPUTED_VALUE"""),44348.0)</f>
        <v>44348</v>
      </c>
      <c r="I201" s="19">
        <f>IFERROR(__xludf.DUMMYFUNCTION("""COMPUTED_VALUE"""),0.09722222222222222)</f>
        <v>0.09722222222</v>
      </c>
      <c r="J201" s="21">
        <f>IFERROR(__xludf.DUMMYFUNCTION("""COMPUTED_VALUE"""),78.0)</f>
        <v>78</v>
      </c>
      <c r="K201" s="23">
        <f>IFERROR(__xludf.DUMMYFUNCTION("""COMPUTED_VALUE"""),7.8)</f>
        <v>7.8</v>
      </c>
      <c r="L201" s="24"/>
      <c r="M201" s="25" t="str">
        <f>IFERROR(__xludf.DUMMYFUNCTION("""COMPUTED_VALUE"""),"Fighting")</f>
        <v>Fighting</v>
      </c>
      <c r="N201" s="25"/>
      <c r="O201" s="26" t="str">
        <f>IFERROR(__xludf.DUMMYFUNCTION("""COMPUTED_VALUE"""),"No")</f>
        <v>No</v>
      </c>
      <c r="P201" s="26"/>
    </row>
    <row r="202">
      <c r="A202" s="13" t="str">
        <f>IFERROR(__xludf.DUMMYFUNCTION("""COMPUTED_VALUE"""),"A Plague Tale: Innocence")</f>
        <v>A Plague Tale: Innocence</v>
      </c>
      <c r="B202" s="15" t="str">
        <f>IFERROR(__xludf.DUMMYFUNCTION("""COMPUTED_VALUE"""),"PS5")</f>
        <v>PS5</v>
      </c>
      <c r="C202" s="16" t="str">
        <f>IFERROR(__xludf.DUMMYFUNCTION("""COMPUTED_VALUE"""),"Playstation Plus (Discontinued)")</f>
        <v>Playstation Plus (Discontinued)</v>
      </c>
      <c r="D202" s="15" t="str">
        <f>IFERROR(__xludf.DUMMYFUNCTION("""COMPUTED_VALUE"""),"Removed")</f>
        <v>Removed</v>
      </c>
      <c r="E202" s="17">
        <f>IFERROR(__xludf.DUMMYFUNCTION("""COMPUTED_VALUE"""),44383.0)</f>
        <v>44383</v>
      </c>
      <c r="F202" s="54">
        <f>IFERROR(__xludf.DUMMYFUNCTION("""COMPUTED_VALUE"""),44410.0)</f>
        <v>44410</v>
      </c>
      <c r="G202" s="19">
        <f>IFERROR(__xludf.DUMMYFUNCTION("""COMPUTED_VALUE"""),0.8666666666666666)</f>
        <v>0.8666666667</v>
      </c>
      <c r="H202" s="17">
        <f>IFERROR(__xludf.DUMMYFUNCTION("""COMPUTED_VALUE"""),43599.0)</f>
        <v>43599</v>
      </c>
      <c r="I202" s="19">
        <f>IFERROR(__xludf.DUMMYFUNCTION("""COMPUTED_VALUE"""),2.1444444444444444)</f>
        <v>2.144444444</v>
      </c>
      <c r="J202" s="21">
        <f>IFERROR(__xludf.DUMMYFUNCTION("""COMPUTED_VALUE"""),81.0)</f>
        <v>81</v>
      </c>
      <c r="K202" s="23">
        <f>IFERROR(__xludf.DUMMYFUNCTION("""COMPUTED_VALUE"""),8.2)</f>
        <v>8.2</v>
      </c>
      <c r="L202" s="24">
        <f>IFERROR(__xludf.DUMMYFUNCTION("""COMPUTED_VALUE"""),11.0)</f>
        <v>11</v>
      </c>
      <c r="M202" s="25" t="str">
        <f>IFERROR(__xludf.DUMMYFUNCTION("""COMPUTED_VALUE"""),"Action-Adventure")</f>
        <v>Action-Adventure</v>
      </c>
      <c r="N202" s="25"/>
      <c r="O202" s="26" t="str">
        <f>IFERROR(__xludf.DUMMYFUNCTION("""COMPUTED_VALUE"""),"No")</f>
        <v>No</v>
      </c>
      <c r="P202" s="26"/>
    </row>
    <row r="203">
      <c r="A203" s="13" t="str">
        <f>IFERROR(__xludf.DUMMYFUNCTION("""COMPUTED_VALUE"""),"Call of Duty: Black Ops 4")</f>
        <v>Call of Duty: Black Ops 4</v>
      </c>
      <c r="B203" s="15" t="str">
        <f>IFERROR(__xludf.DUMMYFUNCTION("""COMPUTED_VALUE"""),"PS4")</f>
        <v>PS4</v>
      </c>
      <c r="C203" s="16" t="str">
        <f>IFERROR(__xludf.DUMMYFUNCTION("""COMPUTED_VALUE"""),"Playstation Plus (Discontinued)")</f>
        <v>Playstation Plus (Discontinued)</v>
      </c>
      <c r="D203" s="15" t="str">
        <f>IFERROR(__xludf.DUMMYFUNCTION("""COMPUTED_VALUE"""),"Removed")</f>
        <v>Removed</v>
      </c>
      <c r="E203" s="17">
        <f>IFERROR(__xludf.DUMMYFUNCTION("""COMPUTED_VALUE"""),44383.0)</f>
        <v>44383</v>
      </c>
      <c r="F203" s="54">
        <f>IFERROR(__xludf.DUMMYFUNCTION("""COMPUTED_VALUE"""),44410.0)</f>
        <v>44410</v>
      </c>
      <c r="G203" s="19">
        <f>IFERROR(__xludf.DUMMYFUNCTION("""COMPUTED_VALUE"""),0.8666666666666666)</f>
        <v>0.8666666667</v>
      </c>
      <c r="H203" s="17">
        <f>IFERROR(__xludf.DUMMYFUNCTION("""COMPUTED_VALUE"""),43385.0)</f>
        <v>43385</v>
      </c>
      <c r="I203" s="19">
        <f>IFERROR(__xludf.DUMMYFUNCTION("""COMPUTED_VALUE"""),2.7333333333333334)</f>
        <v>2.733333333</v>
      </c>
      <c r="J203" s="21">
        <f>IFERROR(__xludf.DUMMYFUNCTION("""COMPUTED_VALUE"""),83.0)</f>
        <v>83</v>
      </c>
      <c r="K203" s="23">
        <f>IFERROR(__xludf.DUMMYFUNCTION("""COMPUTED_VALUE"""),6.5)</f>
        <v>6.5</v>
      </c>
      <c r="L203" s="24">
        <f>IFERROR(__xludf.DUMMYFUNCTION("""COMPUTED_VALUE"""),6.0)</f>
        <v>6</v>
      </c>
      <c r="M203" s="25" t="str">
        <f>IFERROR(__xludf.DUMMYFUNCTION("""COMPUTED_VALUE"""),"Shooter")</f>
        <v>Shooter</v>
      </c>
      <c r="N203" s="25"/>
      <c r="O203" s="26" t="str">
        <f>IFERROR(__xludf.DUMMYFUNCTION("""COMPUTED_VALUE"""),"No")</f>
        <v>No</v>
      </c>
      <c r="P203" s="26"/>
    </row>
    <row r="204">
      <c r="A204" s="13" t="str">
        <f>IFERROR(__xludf.DUMMYFUNCTION("""COMPUTED_VALUE"""),"WWE 2K Battlegrounds")</f>
        <v>WWE 2K Battlegrounds</v>
      </c>
      <c r="B204" s="15" t="str">
        <f>IFERROR(__xludf.DUMMYFUNCTION("""COMPUTED_VALUE"""),"PS4")</f>
        <v>PS4</v>
      </c>
      <c r="C204" s="16" t="str">
        <f>IFERROR(__xludf.DUMMYFUNCTION("""COMPUTED_VALUE"""),"Playstation Plus (Discontinued)")</f>
        <v>Playstation Plus (Discontinued)</v>
      </c>
      <c r="D204" s="15" t="str">
        <f>IFERROR(__xludf.DUMMYFUNCTION("""COMPUTED_VALUE"""),"Removed")</f>
        <v>Removed</v>
      </c>
      <c r="E204" s="17">
        <f>IFERROR(__xludf.DUMMYFUNCTION("""COMPUTED_VALUE"""),44383.0)</f>
        <v>44383</v>
      </c>
      <c r="F204" s="54">
        <f>IFERROR(__xludf.DUMMYFUNCTION("""COMPUTED_VALUE"""),44410.0)</f>
        <v>44410</v>
      </c>
      <c r="G204" s="19">
        <f>IFERROR(__xludf.DUMMYFUNCTION("""COMPUTED_VALUE"""),0.8666666666666666)</f>
        <v>0.8666666667</v>
      </c>
      <c r="H204" s="17">
        <f>IFERROR(__xludf.DUMMYFUNCTION("""COMPUTED_VALUE"""),44092.0)</f>
        <v>44092</v>
      </c>
      <c r="I204" s="19">
        <f>IFERROR(__xludf.DUMMYFUNCTION("""COMPUTED_VALUE"""),0.8)</f>
        <v>0.8</v>
      </c>
      <c r="J204" s="21">
        <f>IFERROR(__xludf.DUMMYFUNCTION("""COMPUTED_VALUE"""),60.0)</f>
        <v>60</v>
      </c>
      <c r="K204" s="23">
        <f>IFERROR(__xludf.DUMMYFUNCTION("""COMPUTED_VALUE"""),5.8)</f>
        <v>5.8</v>
      </c>
      <c r="L204" s="24">
        <f>IFERROR(__xludf.DUMMYFUNCTION("""COMPUTED_VALUE"""),7.0)</f>
        <v>7</v>
      </c>
      <c r="M204" s="25" t="str">
        <f>IFERROR(__xludf.DUMMYFUNCTION("""COMPUTED_VALUE"""),"Fighting")</f>
        <v>Fighting</v>
      </c>
      <c r="N204" s="25"/>
      <c r="O204" s="26" t="str">
        <f>IFERROR(__xludf.DUMMYFUNCTION("""COMPUTED_VALUE"""),"No")</f>
        <v>No</v>
      </c>
      <c r="P204" s="26"/>
    </row>
    <row r="205">
      <c r="A205" s="13" t="str">
        <f>IFERROR(__xludf.DUMMYFUNCTION("""COMPUTED_VALUE"""),"Virtua Fighter 5 Ultimate Showdown")</f>
        <v>Virtua Fighter 5 Ultimate Showdown</v>
      </c>
      <c r="B205" s="15" t="str">
        <f>IFERROR(__xludf.DUMMYFUNCTION("""COMPUTED_VALUE"""),"PS4")</f>
        <v>PS4</v>
      </c>
      <c r="C205" s="16" t="str">
        <f>IFERROR(__xludf.DUMMYFUNCTION("""COMPUTED_VALUE"""),"Playstation Plus (Discontinued)")</f>
        <v>Playstation Plus (Discontinued)</v>
      </c>
      <c r="D205" s="15" t="str">
        <f>IFERROR(__xludf.DUMMYFUNCTION("""COMPUTED_VALUE"""),"Removed")</f>
        <v>Removed</v>
      </c>
      <c r="E205" s="17">
        <f>IFERROR(__xludf.DUMMYFUNCTION("""COMPUTED_VALUE"""),44348.0)</f>
        <v>44348</v>
      </c>
      <c r="F205" s="54">
        <f>IFERROR(__xludf.DUMMYFUNCTION("""COMPUTED_VALUE"""),44410.0)</f>
        <v>44410</v>
      </c>
      <c r="G205" s="19">
        <f>IFERROR(__xludf.DUMMYFUNCTION("""COMPUTED_VALUE"""),2.033333333333333)</f>
        <v>2.033333333</v>
      </c>
      <c r="H205" s="17">
        <f>IFERROR(__xludf.DUMMYFUNCTION("""COMPUTED_VALUE"""),44348.0)</f>
        <v>44348</v>
      </c>
      <c r="I205" s="19">
        <f>IFERROR(__xludf.DUMMYFUNCTION("""COMPUTED_VALUE"""),0.0)</f>
        <v>0</v>
      </c>
      <c r="J205" s="21">
        <f>IFERROR(__xludf.DUMMYFUNCTION("""COMPUTED_VALUE"""),78.0)</f>
        <v>78</v>
      </c>
      <c r="K205" s="23">
        <f>IFERROR(__xludf.DUMMYFUNCTION("""COMPUTED_VALUE"""),7.8)</f>
        <v>7.8</v>
      </c>
      <c r="L205" s="24"/>
      <c r="M205" s="25" t="str">
        <f>IFERROR(__xludf.DUMMYFUNCTION("""COMPUTED_VALUE"""),"Fighting")</f>
        <v>Fighting</v>
      </c>
      <c r="N205" s="25"/>
      <c r="O205" s="26" t="str">
        <f>IFERROR(__xludf.DUMMYFUNCTION("""COMPUTED_VALUE"""),"No")</f>
        <v>No</v>
      </c>
      <c r="P205" s="26"/>
    </row>
    <row r="206">
      <c r="A206" s="13" t="str">
        <f>IFERROR(__xludf.DUMMYFUNCTION("""COMPUTED_VALUE"""),"Operation: Tango")</f>
        <v>Operation: Tango</v>
      </c>
      <c r="B206" s="15" t="str">
        <f>IFERROR(__xludf.DUMMYFUNCTION("""COMPUTED_VALUE"""),"PS5")</f>
        <v>PS5</v>
      </c>
      <c r="C206" s="16" t="str">
        <f>IFERROR(__xludf.DUMMYFUNCTION("""COMPUTED_VALUE"""),"Playstation Plus (Discontinued)")</f>
        <v>Playstation Plus (Discontinued)</v>
      </c>
      <c r="D206" s="15" t="str">
        <f>IFERROR(__xludf.DUMMYFUNCTION("""COMPUTED_VALUE"""),"Removed")</f>
        <v>Removed</v>
      </c>
      <c r="E206" s="17">
        <f>IFERROR(__xludf.DUMMYFUNCTION("""COMPUTED_VALUE"""),44348.0)</f>
        <v>44348</v>
      </c>
      <c r="F206" s="54">
        <f>IFERROR(__xludf.DUMMYFUNCTION("""COMPUTED_VALUE"""),44382.0)</f>
        <v>44382</v>
      </c>
      <c r="G206" s="19">
        <f>IFERROR(__xludf.DUMMYFUNCTION("""COMPUTED_VALUE"""),1.1333333333333333)</f>
        <v>1.133333333</v>
      </c>
      <c r="H206" s="17">
        <f>IFERROR(__xludf.DUMMYFUNCTION("""COMPUTED_VALUE"""),44348.0)</f>
        <v>44348</v>
      </c>
      <c r="I206" s="19">
        <f>IFERROR(__xludf.DUMMYFUNCTION("""COMPUTED_VALUE"""),0.0)</f>
        <v>0</v>
      </c>
      <c r="J206" s="21">
        <f>IFERROR(__xludf.DUMMYFUNCTION("""COMPUTED_VALUE"""),72.0)</f>
        <v>72</v>
      </c>
      <c r="K206" s="23">
        <f>IFERROR(__xludf.DUMMYFUNCTION("""COMPUTED_VALUE"""),7.0)</f>
        <v>7</v>
      </c>
      <c r="L206" s="24">
        <f>IFERROR(__xludf.DUMMYFUNCTION("""COMPUTED_VALUE"""),5.0)</f>
        <v>5</v>
      </c>
      <c r="M206" s="25" t="str">
        <f>IFERROR(__xludf.DUMMYFUNCTION("""COMPUTED_VALUE"""),"Adventure")</f>
        <v>Adventure</v>
      </c>
      <c r="N206" s="25"/>
      <c r="O206" s="26" t="str">
        <f>IFERROR(__xludf.DUMMYFUNCTION("""COMPUTED_VALUE"""),"No")</f>
        <v>No</v>
      </c>
      <c r="P206" s="26"/>
    </row>
    <row r="207">
      <c r="A207" s="13" t="str">
        <f>IFERROR(__xludf.DUMMYFUNCTION("""COMPUTED_VALUE"""),"Star Wars: Squadrons")</f>
        <v>Star Wars: Squadrons</v>
      </c>
      <c r="B207" s="15" t="str">
        <f>IFERROR(__xludf.DUMMYFUNCTION("""COMPUTED_VALUE"""),"PS4/PSVR")</f>
        <v>PS4/PSVR</v>
      </c>
      <c r="C207" s="16" t="str">
        <f>IFERROR(__xludf.DUMMYFUNCTION("""COMPUTED_VALUE"""),"Playstation Plus (Discontinued)")</f>
        <v>Playstation Plus (Discontinued)</v>
      </c>
      <c r="D207" s="15" t="str">
        <f>IFERROR(__xludf.DUMMYFUNCTION("""COMPUTED_VALUE"""),"Removed")</f>
        <v>Removed</v>
      </c>
      <c r="E207" s="17">
        <f>IFERROR(__xludf.DUMMYFUNCTION("""COMPUTED_VALUE"""),44348.0)</f>
        <v>44348</v>
      </c>
      <c r="F207" s="54">
        <f>IFERROR(__xludf.DUMMYFUNCTION("""COMPUTED_VALUE"""),44382.0)</f>
        <v>44382</v>
      </c>
      <c r="G207" s="19">
        <f>IFERROR(__xludf.DUMMYFUNCTION("""COMPUTED_VALUE"""),1.1333333333333333)</f>
        <v>1.133333333</v>
      </c>
      <c r="H207" s="17">
        <f>IFERROR(__xludf.DUMMYFUNCTION("""COMPUTED_VALUE"""),44106.0)</f>
        <v>44106</v>
      </c>
      <c r="I207" s="19">
        <f>IFERROR(__xludf.DUMMYFUNCTION("""COMPUTED_VALUE"""),0.6638888888888889)</f>
        <v>0.6638888889</v>
      </c>
      <c r="J207" s="21">
        <f>IFERROR(__xludf.DUMMYFUNCTION("""COMPUTED_VALUE"""),79.0)</f>
        <v>79</v>
      </c>
      <c r="K207" s="23">
        <f>IFERROR(__xludf.DUMMYFUNCTION("""COMPUTED_VALUE"""),7.5)</f>
        <v>7.5</v>
      </c>
      <c r="L207" s="24">
        <f>IFERROR(__xludf.DUMMYFUNCTION("""COMPUTED_VALUE"""),8.0)</f>
        <v>8</v>
      </c>
      <c r="M207" s="25" t="str">
        <f>IFERROR(__xludf.DUMMYFUNCTION("""COMPUTED_VALUE"""),"Shooter")</f>
        <v>Shooter</v>
      </c>
      <c r="N207" s="25"/>
      <c r="O207" s="26" t="str">
        <f>IFERROR(__xludf.DUMMYFUNCTION("""COMPUTED_VALUE"""),"No")</f>
        <v>No</v>
      </c>
      <c r="P207" s="26"/>
    </row>
    <row r="208">
      <c r="A208" s="13" t="str">
        <f>IFERROR(__xludf.DUMMYFUNCTION("""COMPUTED_VALUE"""),"Wreckfest")</f>
        <v>Wreckfest</v>
      </c>
      <c r="B208" s="15" t="str">
        <f>IFERROR(__xludf.DUMMYFUNCTION("""COMPUTED_VALUE"""),"PS5")</f>
        <v>PS5</v>
      </c>
      <c r="C208" s="16" t="str">
        <f>IFERROR(__xludf.DUMMYFUNCTION("""COMPUTED_VALUE"""),"Playstation Plus (Discontinued)")</f>
        <v>Playstation Plus (Discontinued)</v>
      </c>
      <c r="D208" s="15" t="str">
        <f>IFERROR(__xludf.DUMMYFUNCTION("""COMPUTED_VALUE"""),"Removed")</f>
        <v>Removed</v>
      </c>
      <c r="E208" s="17">
        <f>IFERROR(__xludf.DUMMYFUNCTION("""COMPUTED_VALUE"""),44320.0)</f>
        <v>44320</v>
      </c>
      <c r="F208" s="54">
        <f>IFERROR(__xludf.DUMMYFUNCTION("""COMPUTED_VALUE"""),44347.0)</f>
        <v>44347</v>
      </c>
      <c r="G208" s="19">
        <f>IFERROR(__xludf.DUMMYFUNCTION("""COMPUTED_VALUE"""),0.8666666666666666)</f>
        <v>0.8666666667</v>
      </c>
      <c r="H208" s="17">
        <f>IFERROR(__xludf.DUMMYFUNCTION("""COMPUTED_VALUE"""),43704.0)</f>
        <v>43704</v>
      </c>
      <c r="I208" s="19">
        <f>IFERROR(__xludf.DUMMYFUNCTION("""COMPUTED_VALUE"""),1.6861111111111111)</f>
        <v>1.686111111</v>
      </c>
      <c r="J208" s="21">
        <f>IFERROR(__xludf.DUMMYFUNCTION("""COMPUTED_VALUE"""),79.0)</f>
        <v>79</v>
      </c>
      <c r="K208" s="23">
        <f>IFERROR(__xludf.DUMMYFUNCTION("""COMPUTED_VALUE"""),7.6)</f>
        <v>7.6</v>
      </c>
      <c r="L208" s="24">
        <f>IFERROR(__xludf.DUMMYFUNCTION("""COMPUTED_VALUE"""),14.0)</f>
        <v>14</v>
      </c>
      <c r="M208" s="25" t="str">
        <f>IFERROR(__xludf.DUMMYFUNCTION("""COMPUTED_VALUE"""),"Racing")</f>
        <v>Racing</v>
      </c>
      <c r="N208" s="25"/>
      <c r="O208" s="26" t="str">
        <f>IFERROR(__xludf.DUMMYFUNCTION("""COMPUTED_VALUE"""),"No")</f>
        <v>No</v>
      </c>
      <c r="P208" s="26"/>
    </row>
    <row r="209">
      <c r="A209" s="13" t="str">
        <f>IFERROR(__xludf.DUMMYFUNCTION("""COMPUTED_VALUE"""),"Battlefield V")</f>
        <v>Battlefield V</v>
      </c>
      <c r="B209" s="15" t="str">
        <f>IFERROR(__xludf.DUMMYFUNCTION("""COMPUTED_VALUE"""),"PS4")</f>
        <v>PS4</v>
      </c>
      <c r="C209" s="16" t="str">
        <f>IFERROR(__xludf.DUMMYFUNCTION("""COMPUTED_VALUE"""),"Playstation Plus (Discontinued)")</f>
        <v>Playstation Plus (Discontinued)</v>
      </c>
      <c r="D209" s="15" t="str">
        <f>IFERROR(__xludf.DUMMYFUNCTION("""COMPUTED_VALUE"""),"Removed")</f>
        <v>Removed</v>
      </c>
      <c r="E209" s="17">
        <f>IFERROR(__xludf.DUMMYFUNCTION("""COMPUTED_VALUE"""),44320.0)</f>
        <v>44320</v>
      </c>
      <c r="F209" s="54">
        <f>IFERROR(__xludf.DUMMYFUNCTION("""COMPUTED_VALUE"""),44347.0)</f>
        <v>44347</v>
      </c>
      <c r="G209" s="19">
        <f>IFERROR(__xludf.DUMMYFUNCTION("""COMPUTED_VALUE"""),0.8666666666666666)</f>
        <v>0.8666666667</v>
      </c>
      <c r="H209" s="17">
        <f>IFERROR(__xludf.DUMMYFUNCTION("""COMPUTED_VALUE"""),43424.0)</f>
        <v>43424</v>
      </c>
      <c r="I209" s="19">
        <f>IFERROR(__xludf.DUMMYFUNCTION("""COMPUTED_VALUE"""),2.4555555555555557)</f>
        <v>2.455555556</v>
      </c>
      <c r="J209" s="21">
        <f>IFERROR(__xludf.DUMMYFUNCTION("""COMPUTED_VALUE"""),73.0)</f>
        <v>73</v>
      </c>
      <c r="K209" s="23">
        <f>IFERROR(__xludf.DUMMYFUNCTION("""COMPUTED_VALUE"""),7.1)</f>
        <v>7.1</v>
      </c>
      <c r="L209" s="24">
        <f>IFERROR(__xludf.DUMMYFUNCTION("""COMPUTED_VALUE"""),6.0)</f>
        <v>6</v>
      </c>
      <c r="M209" s="25" t="str">
        <f>IFERROR(__xludf.DUMMYFUNCTION("""COMPUTED_VALUE"""),"Shooter")</f>
        <v>Shooter</v>
      </c>
      <c r="N209" s="25"/>
      <c r="O209" s="26" t="str">
        <f>IFERROR(__xludf.DUMMYFUNCTION("""COMPUTED_VALUE"""),"No")</f>
        <v>No</v>
      </c>
      <c r="P209" s="26"/>
    </row>
    <row r="210">
      <c r="A210" s="13" t="str">
        <f>IFERROR(__xludf.DUMMYFUNCTION("""COMPUTED_VALUE"""),"Stranded Deep")</f>
        <v>Stranded Deep</v>
      </c>
      <c r="B210" s="15" t="str">
        <f>IFERROR(__xludf.DUMMYFUNCTION("""COMPUTED_VALUE"""),"PS4")</f>
        <v>PS4</v>
      </c>
      <c r="C210" s="16" t="str">
        <f>IFERROR(__xludf.DUMMYFUNCTION("""COMPUTED_VALUE"""),"Playstation Plus (Discontinued)")</f>
        <v>Playstation Plus (Discontinued)</v>
      </c>
      <c r="D210" s="15" t="str">
        <f>IFERROR(__xludf.DUMMYFUNCTION("""COMPUTED_VALUE"""),"Removed")</f>
        <v>Removed</v>
      </c>
      <c r="E210" s="17">
        <f>IFERROR(__xludf.DUMMYFUNCTION("""COMPUTED_VALUE"""),44320.0)</f>
        <v>44320</v>
      </c>
      <c r="F210" s="54">
        <f>IFERROR(__xludf.DUMMYFUNCTION("""COMPUTED_VALUE"""),44347.0)</f>
        <v>44347</v>
      </c>
      <c r="G210" s="19">
        <f>IFERROR(__xludf.DUMMYFUNCTION("""COMPUTED_VALUE"""),0.8666666666666666)</f>
        <v>0.8666666667</v>
      </c>
      <c r="H210" s="17">
        <f>IFERROR(__xludf.DUMMYFUNCTION("""COMPUTED_VALUE"""),43942.0)</f>
        <v>43942</v>
      </c>
      <c r="I210" s="19">
        <f>IFERROR(__xludf.DUMMYFUNCTION("""COMPUTED_VALUE"""),1.0361111111111112)</f>
        <v>1.036111111</v>
      </c>
      <c r="J210" s="21">
        <f>IFERROR(__xludf.DUMMYFUNCTION("""COMPUTED_VALUE"""),64.0)</f>
        <v>64</v>
      </c>
      <c r="K210" s="23">
        <f>IFERROR(__xludf.DUMMYFUNCTION("""COMPUTED_VALUE"""),6.0)</f>
        <v>6</v>
      </c>
      <c r="L210" s="24">
        <f>IFERROR(__xludf.DUMMYFUNCTION("""COMPUTED_VALUE"""),23.0)</f>
        <v>23</v>
      </c>
      <c r="M210" s="25" t="str">
        <f>IFERROR(__xludf.DUMMYFUNCTION("""COMPUTED_VALUE"""),"Survival")</f>
        <v>Survival</v>
      </c>
      <c r="N210" s="25"/>
      <c r="O210" s="26" t="str">
        <f>IFERROR(__xludf.DUMMYFUNCTION("""COMPUTED_VALUE"""),"No")</f>
        <v>No</v>
      </c>
      <c r="P210" s="26"/>
    </row>
    <row r="211">
      <c r="A211" s="13" t="str">
        <f>IFERROR(__xludf.DUMMYFUNCTION("""COMPUTED_VALUE"""),"Oddworld: Soulstorm")</f>
        <v>Oddworld: Soulstorm</v>
      </c>
      <c r="B211" s="15" t="str">
        <f>IFERROR(__xludf.DUMMYFUNCTION("""COMPUTED_VALUE"""),"PS5")</f>
        <v>PS5</v>
      </c>
      <c r="C211" s="16" t="str">
        <f>IFERROR(__xludf.DUMMYFUNCTION("""COMPUTED_VALUE"""),"Playstation Plus (Discontinued)")</f>
        <v>Playstation Plus (Discontinued)</v>
      </c>
      <c r="D211" s="15" t="str">
        <f>IFERROR(__xludf.DUMMYFUNCTION("""COMPUTED_VALUE"""),"Removed")</f>
        <v>Removed</v>
      </c>
      <c r="E211" s="17">
        <f>IFERROR(__xludf.DUMMYFUNCTION("""COMPUTED_VALUE"""),44292.0)</f>
        <v>44292</v>
      </c>
      <c r="F211" s="54">
        <f>IFERROR(__xludf.DUMMYFUNCTION("""COMPUTED_VALUE"""),44319.0)</f>
        <v>44319</v>
      </c>
      <c r="G211" s="19">
        <f>IFERROR(__xludf.DUMMYFUNCTION("""COMPUTED_VALUE"""),0.8999999999999999)</f>
        <v>0.9</v>
      </c>
      <c r="H211" s="17">
        <f>IFERROR(__xludf.DUMMYFUNCTION("""COMPUTED_VALUE"""),44292.0)</f>
        <v>44292</v>
      </c>
      <c r="I211" s="19">
        <f>IFERROR(__xludf.DUMMYFUNCTION("""COMPUTED_VALUE"""),0.0)</f>
        <v>0</v>
      </c>
      <c r="J211" s="21">
        <f>IFERROR(__xludf.DUMMYFUNCTION("""COMPUTED_VALUE"""),66.0)</f>
        <v>66</v>
      </c>
      <c r="K211" s="23">
        <f>IFERROR(__xludf.DUMMYFUNCTION("""COMPUTED_VALUE"""),5.8)</f>
        <v>5.8</v>
      </c>
      <c r="L211" s="24">
        <f>IFERROR(__xludf.DUMMYFUNCTION("""COMPUTED_VALUE"""),13.0)</f>
        <v>13</v>
      </c>
      <c r="M211" s="25" t="str">
        <f>IFERROR(__xludf.DUMMYFUNCTION("""COMPUTED_VALUE"""),"Platformer")</f>
        <v>Platformer</v>
      </c>
      <c r="N211" s="25"/>
      <c r="O211" s="26" t="str">
        <f>IFERROR(__xludf.DUMMYFUNCTION("""COMPUTED_VALUE"""),"No")</f>
        <v>No</v>
      </c>
      <c r="P211" s="26"/>
    </row>
    <row r="212">
      <c r="A212" s="13" t="str">
        <f>IFERROR(__xludf.DUMMYFUNCTION("""COMPUTED_VALUE"""),"Days Gone")</f>
        <v>Days Gone</v>
      </c>
      <c r="B212" s="15" t="str">
        <f>IFERROR(__xludf.DUMMYFUNCTION("""COMPUTED_VALUE"""),"PS4")</f>
        <v>PS4</v>
      </c>
      <c r="C212" s="16" t="str">
        <f>IFERROR(__xludf.DUMMYFUNCTION("""COMPUTED_VALUE"""),"Playstation Plus (Discontinued)")</f>
        <v>Playstation Plus (Discontinued)</v>
      </c>
      <c r="D212" s="15" t="str">
        <f>IFERROR(__xludf.DUMMYFUNCTION("""COMPUTED_VALUE"""),"Removed")</f>
        <v>Removed</v>
      </c>
      <c r="E212" s="17">
        <f>IFERROR(__xludf.DUMMYFUNCTION("""COMPUTED_VALUE"""),44292.0)</f>
        <v>44292</v>
      </c>
      <c r="F212" s="54">
        <f>IFERROR(__xludf.DUMMYFUNCTION("""COMPUTED_VALUE"""),44319.0)</f>
        <v>44319</v>
      </c>
      <c r="G212" s="19">
        <f>IFERROR(__xludf.DUMMYFUNCTION("""COMPUTED_VALUE"""),0.8999999999999999)</f>
        <v>0.9</v>
      </c>
      <c r="H212" s="17">
        <f>IFERROR(__xludf.DUMMYFUNCTION("""COMPUTED_VALUE"""),43581.0)</f>
        <v>43581</v>
      </c>
      <c r="I212" s="19">
        <f>IFERROR(__xludf.DUMMYFUNCTION("""COMPUTED_VALUE"""),1.9444444444444444)</f>
        <v>1.944444444</v>
      </c>
      <c r="J212" s="21">
        <f>IFERROR(__xludf.DUMMYFUNCTION("""COMPUTED_VALUE"""),71.0)</f>
        <v>71</v>
      </c>
      <c r="K212" s="23">
        <f>IFERROR(__xludf.DUMMYFUNCTION("""COMPUTED_VALUE"""),8.2)</f>
        <v>8.2</v>
      </c>
      <c r="L212" s="24">
        <f>IFERROR(__xludf.DUMMYFUNCTION("""COMPUTED_VALUE"""),36.0)</f>
        <v>36</v>
      </c>
      <c r="M212" s="25" t="str">
        <f>IFERROR(__xludf.DUMMYFUNCTION("""COMPUTED_VALUE"""),"Action-Adventure")</f>
        <v>Action-Adventure</v>
      </c>
      <c r="N212" s="25"/>
      <c r="O212" s="26" t="str">
        <f>IFERROR(__xludf.DUMMYFUNCTION("""COMPUTED_VALUE"""),"No")</f>
        <v>No</v>
      </c>
      <c r="P212" s="26"/>
    </row>
    <row r="213">
      <c r="A213" s="13" t="str">
        <f>IFERROR(__xludf.DUMMYFUNCTION("""COMPUTED_VALUE"""),"Zombie Army 4: Dead War")</f>
        <v>Zombie Army 4: Dead War</v>
      </c>
      <c r="B213" s="15" t="str">
        <f>IFERROR(__xludf.DUMMYFUNCTION("""COMPUTED_VALUE"""),"PS4")</f>
        <v>PS4</v>
      </c>
      <c r="C213" s="16" t="str">
        <f>IFERROR(__xludf.DUMMYFUNCTION("""COMPUTED_VALUE"""),"Playstation Plus (Discontinued)")</f>
        <v>Playstation Plus (Discontinued)</v>
      </c>
      <c r="D213" s="15" t="str">
        <f>IFERROR(__xludf.DUMMYFUNCTION("""COMPUTED_VALUE"""),"Removed")</f>
        <v>Removed</v>
      </c>
      <c r="E213" s="17">
        <f>IFERROR(__xludf.DUMMYFUNCTION("""COMPUTED_VALUE"""),44292.0)</f>
        <v>44292</v>
      </c>
      <c r="F213" s="54">
        <f>IFERROR(__xludf.DUMMYFUNCTION("""COMPUTED_VALUE"""),44319.0)</f>
        <v>44319</v>
      </c>
      <c r="G213" s="19">
        <f>IFERROR(__xludf.DUMMYFUNCTION("""COMPUTED_VALUE"""),0.8999999999999999)</f>
        <v>0.9</v>
      </c>
      <c r="H213" s="17">
        <f>IFERROR(__xludf.DUMMYFUNCTION("""COMPUTED_VALUE"""),43865.0)</f>
        <v>43865</v>
      </c>
      <c r="I213" s="19">
        <f>IFERROR(__xludf.DUMMYFUNCTION("""COMPUTED_VALUE"""),1.1722222222222223)</f>
        <v>1.172222222</v>
      </c>
      <c r="J213" s="21">
        <f>IFERROR(__xludf.DUMMYFUNCTION("""COMPUTED_VALUE"""),72.0)</f>
        <v>72</v>
      </c>
      <c r="K213" s="23">
        <f>IFERROR(__xludf.DUMMYFUNCTION("""COMPUTED_VALUE"""),7.6)</f>
        <v>7.6</v>
      </c>
      <c r="L213" s="24">
        <f>IFERROR(__xludf.DUMMYFUNCTION("""COMPUTED_VALUE"""),9.0)</f>
        <v>9</v>
      </c>
      <c r="M213" s="25" t="str">
        <f>IFERROR(__xludf.DUMMYFUNCTION("""COMPUTED_VALUE"""),"Shooter")</f>
        <v>Shooter</v>
      </c>
      <c r="N213" s="25"/>
      <c r="O213" s="26" t="str">
        <f>IFERROR(__xludf.DUMMYFUNCTION("""COMPUTED_VALUE"""),"No")</f>
        <v>No</v>
      </c>
      <c r="P213" s="26"/>
    </row>
    <row r="214">
      <c r="A214" s="13" t="str">
        <f>IFERROR(__xludf.DUMMYFUNCTION("""COMPUTED_VALUE"""),"Final Fantasy VII Remake")</f>
        <v>Final Fantasy VII Remake</v>
      </c>
      <c r="B214" s="15" t="str">
        <f>IFERROR(__xludf.DUMMYFUNCTION("""COMPUTED_VALUE"""),"PS4")</f>
        <v>PS4</v>
      </c>
      <c r="C214" s="16" t="str">
        <f>IFERROR(__xludf.DUMMYFUNCTION("""COMPUTED_VALUE"""),"Playstation Plus (Discontinued)")</f>
        <v>Playstation Plus (Discontinued)</v>
      </c>
      <c r="D214" s="15" t="str">
        <f>IFERROR(__xludf.DUMMYFUNCTION("""COMPUTED_VALUE"""),"Removed")</f>
        <v>Removed</v>
      </c>
      <c r="E214" s="17">
        <f>IFERROR(__xludf.DUMMYFUNCTION("""COMPUTED_VALUE"""),44257.0)</f>
        <v>44257</v>
      </c>
      <c r="F214" s="54">
        <f>IFERROR(__xludf.DUMMYFUNCTION("""COMPUTED_VALUE"""),44291.0)</f>
        <v>44291</v>
      </c>
      <c r="G214" s="19">
        <f>IFERROR(__xludf.DUMMYFUNCTION("""COMPUTED_VALUE"""),1.0999999999999999)</f>
        <v>1.1</v>
      </c>
      <c r="H214" s="17">
        <f>IFERROR(__xludf.DUMMYFUNCTION("""COMPUTED_VALUE"""),43931.0)</f>
        <v>43931</v>
      </c>
      <c r="I214" s="19">
        <f>IFERROR(__xludf.DUMMYFUNCTION("""COMPUTED_VALUE"""),0.8944444444444445)</f>
        <v>0.8944444444</v>
      </c>
      <c r="J214" s="21">
        <f>IFERROR(__xludf.DUMMYFUNCTION("""COMPUTED_VALUE"""),87.0)</f>
        <v>87</v>
      </c>
      <c r="K214" s="23">
        <f>IFERROR(__xludf.DUMMYFUNCTION("""COMPUTED_VALUE"""),8.1)</f>
        <v>8.1</v>
      </c>
      <c r="L214" s="24">
        <f>IFERROR(__xludf.DUMMYFUNCTION("""COMPUTED_VALUE"""),35.0)</f>
        <v>35</v>
      </c>
      <c r="M214" s="25" t="str">
        <f>IFERROR(__xludf.DUMMYFUNCTION("""COMPUTED_VALUE"""),"RPG")</f>
        <v>RPG</v>
      </c>
      <c r="N214" s="25"/>
      <c r="O214" s="26" t="str">
        <f>IFERROR(__xludf.DUMMYFUNCTION("""COMPUTED_VALUE"""),"No")</f>
        <v>No</v>
      </c>
      <c r="P214" s="26"/>
    </row>
    <row r="215">
      <c r="A215" s="13" t="str">
        <f>IFERROR(__xludf.DUMMYFUNCTION("""COMPUTED_VALUE"""),"Remnant: From the Ashes")</f>
        <v>Remnant: From the Ashes</v>
      </c>
      <c r="B215" s="15" t="str">
        <f>IFERROR(__xludf.DUMMYFUNCTION("""COMPUTED_VALUE"""),"PS4")</f>
        <v>PS4</v>
      </c>
      <c r="C215" s="16" t="str">
        <f>IFERROR(__xludf.DUMMYFUNCTION("""COMPUTED_VALUE"""),"Playstation Plus (Discontinued)")</f>
        <v>Playstation Plus (Discontinued)</v>
      </c>
      <c r="D215" s="15" t="str">
        <f>IFERROR(__xludf.DUMMYFUNCTION("""COMPUTED_VALUE"""),"Removed")</f>
        <v>Removed</v>
      </c>
      <c r="E215" s="17">
        <f>IFERROR(__xludf.DUMMYFUNCTION("""COMPUTED_VALUE"""),44257.0)</f>
        <v>44257</v>
      </c>
      <c r="F215" s="54">
        <f>IFERROR(__xludf.DUMMYFUNCTION("""COMPUTED_VALUE"""),44291.0)</f>
        <v>44291</v>
      </c>
      <c r="G215" s="19">
        <f>IFERROR(__xludf.DUMMYFUNCTION("""COMPUTED_VALUE"""),1.0999999999999999)</f>
        <v>1.1</v>
      </c>
      <c r="H215" s="17">
        <f>IFERROR(__xludf.DUMMYFUNCTION("""COMPUTED_VALUE"""),43697.0)</f>
        <v>43697</v>
      </c>
      <c r="I215" s="19">
        <f>IFERROR(__xludf.DUMMYFUNCTION("""COMPUTED_VALUE"""),1.5333333333333334)</f>
        <v>1.533333333</v>
      </c>
      <c r="J215" s="21">
        <f>IFERROR(__xludf.DUMMYFUNCTION("""COMPUTED_VALUE"""),77.0)</f>
        <v>77</v>
      </c>
      <c r="K215" s="23">
        <f>IFERROR(__xludf.DUMMYFUNCTION("""COMPUTED_VALUE"""),7.9)</f>
        <v>7.9</v>
      </c>
      <c r="L215" s="24">
        <f>IFERROR(__xludf.DUMMYFUNCTION("""COMPUTED_VALUE"""),13.0)</f>
        <v>13</v>
      </c>
      <c r="M215" s="25" t="str">
        <f>IFERROR(__xludf.DUMMYFUNCTION("""COMPUTED_VALUE"""),"Shooter")</f>
        <v>Shooter</v>
      </c>
      <c r="N215" s="25"/>
      <c r="O215" s="26" t="str">
        <f>IFERROR(__xludf.DUMMYFUNCTION("""COMPUTED_VALUE"""),"No")</f>
        <v>No</v>
      </c>
      <c r="P215" s="26"/>
    </row>
    <row r="216">
      <c r="A216" s="13" t="str">
        <f>IFERROR(__xludf.DUMMYFUNCTION("""COMPUTED_VALUE"""),"Maquette")</f>
        <v>Maquette</v>
      </c>
      <c r="B216" s="15" t="str">
        <f>IFERROR(__xludf.DUMMYFUNCTION("""COMPUTED_VALUE"""),"PS5")</f>
        <v>PS5</v>
      </c>
      <c r="C216" s="16" t="str">
        <f>IFERROR(__xludf.DUMMYFUNCTION("""COMPUTED_VALUE"""),"Playstation Plus (Discontinued)")</f>
        <v>Playstation Plus (Discontinued)</v>
      </c>
      <c r="D216" s="15" t="str">
        <f>IFERROR(__xludf.DUMMYFUNCTION("""COMPUTED_VALUE"""),"Removed")</f>
        <v>Removed</v>
      </c>
      <c r="E216" s="17">
        <f>IFERROR(__xludf.DUMMYFUNCTION("""COMPUTED_VALUE"""),44257.0)</f>
        <v>44257</v>
      </c>
      <c r="F216" s="54">
        <f>IFERROR(__xludf.DUMMYFUNCTION("""COMPUTED_VALUE"""),44291.0)</f>
        <v>44291</v>
      </c>
      <c r="G216" s="19">
        <f>IFERROR(__xludf.DUMMYFUNCTION("""COMPUTED_VALUE"""),1.0999999999999999)</f>
        <v>1.1</v>
      </c>
      <c r="H216" s="17">
        <f>IFERROR(__xludf.DUMMYFUNCTION("""COMPUTED_VALUE"""),44257.0)</f>
        <v>44257</v>
      </c>
      <c r="I216" s="19">
        <f>IFERROR(__xludf.DUMMYFUNCTION("""COMPUTED_VALUE"""),0.0)</f>
        <v>0</v>
      </c>
      <c r="J216" s="21">
        <f>IFERROR(__xludf.DUMMYFUNCTION("""COMPUTED_VALUE"""),70.0)</f>
        <v>70</v>
      </c>
      <c r="K216" s="23">
        <f>IFERROR(__xludf.DUMMYFUNCTION("""COMPUTED_VALUE"""),6.8)</f>
        <v>6.8</v>
      </c>
      <c r="L216" s="24">
        <f>IFERROR(__xludf.DUMMYFUNCTION("""COMPUTED_VALUE"""),4.0)</f>
        <v>4</v>
      </c>
      <c r="M216" s="25" t="str">
        <f>IFERROR(__xludf.DUMMYFUNCTION("""COMPUTED_VALUE"""),"Puzzle")</f>
        <v>Puzzle</v>
      </c>
      <c r="N216" s="25"/>
      <c r="O216" s="26" t="str">
        <f>IFERROR(__xludf.DUMMYFUNCTION("""COMPUTED_VALUE"""),"No")</f>
        <v>No</v>
      </c>
      <c r="P216" s="26"/>
    </row>
    <row r="217">
      <c r="A217" s="13" t="str">
        <f>IFERROR(__xludf.DUMMYFUNCTION("""COMPUTED_VALUE"""),"Farpoint")</f>
        <v>Farpoint</v>
      </c>
      <c r="B217" s="15" t="str">
        <f>IFERROR(__xludf.DUMMYFUNCTION("""COMPUTED_VALUE"""),"PS4/PSVR")</f>
        <v>PS4/PSVR</v>
      </c>
      <c r="C217" s="16" t="str">
        <f>IFERROR(__xludf.DUMMYFUNCTION("""COMPUTED_VALUE"""),"Playstation Plus (Discontinued)")</f>
        <v>Playstation Plus (Discontinued)</v>
      </c>
      <c r="D217" s="15" t="str">
        <f>IFERROR(__xludf.DUMMYFUNCTION("""COMPUTED_VALUE"""),"Removed")</f>
        <v>Removed</v>
      </c>
      <c r="E217" s="17">
        <f>IFERROR(__xludf.DUMMYFUNCTION("""COMPUTED_VALUE"""),44257.0)</f>
        <v>44257</v>
      </c>
      <c r="F217" s="54">
        <f>IFERROR(__xludf.DUMMYFUNCTION("""COMPUTED_VALUE"""),44291.0)</f>
        <v>44291</v>
      </c>
      <c r="G217" s="19">
        <f>IFERROR(__xludf.DUMMYFUNCTION("""COMPUTED_VALUE"""),1.0999999999999999)</f>
        <v>1.1</v>
      </c>
      <c r="H217" s="17">
        <f>IFERROR(__xludf.DUMMYFUNCTION("""COMPUTED_VALUE"""),42871.0)</f>
        <v>42871</v>
      </c>
      <c r="I217" s="19">
        <f>IFERROR(__xludf.DUMMYFUNCTION("""COMPUTED_VALUE"""),3.7944444444444443)</f>
        <v>3.794444444</v>
      </c>
      <c r="J217" s="21">
        <f>IFERROR(__xludf.DUMMYFUNCTION("""COMPUTED_VALUE"""),71.0)</f>
        <v>71</v>
      </c>
      <c r="K217" s="23">
        <f>IFERROR(__xludf.DUMMYFUNCTION("""COMPUTED_VALUE"""),7.2)</f>
        <v>7.2</v>
      </c>
      <c r="L217" s="24">
        <f>IFERROR(__xludf.DUMMYFUNCTION("""COMPUTED_VALUE"""),6.0)</f>
        <v>6</v>
      </c>
      <c r="M217" s="25" t="str">
        <f>IFERROR(__xludf.DUMMYFUNCTION("""COMPUTED_VALUE"""),"Shooter")</f>
        <v>Shooter</v>
      </c>
      <c r="N217" s="25"/>
      <c r="O217" s="26" t="str">
        <f>IFERROR(__xludf.DUMMYFUNCTION("""COMPUTED_VALUE"""),"No")</f>
        <v>No</v>
      </c>
      <c r="P217" s="26"/>
    </row>
    <row r="218">
      <c r="A218" s="13" t="str">
        <f>IFERROR(__xludf.DUMMYFUNCTION("""COMPUTED_VALUE"""),"Destruction AllStars")</f>
        <v>Destruction AllStars</v>
      </c>
      <c r="B218" s="15" t="str">
        <f>IFERROR(__xludf.DUMMYFUNCTION("""COMPUTED_VALUE"""),"PS5")</f>
        <v>PS5</v>
      </c>
      <c r="C218" s="16" t="str">
        <f>IFERROR(__xludf.DUMMYFUNCTION("""COMPUTED_VALUE"""),"Playstation Plus (Discontinued)")</f>
        <v>Playstation Plus (Discontinued)</v>
      </c>
      <c r="D218" s="15" t="str">
        <f>IFERROR(__xludf.DUMMYFUNCTION("""COMPUTED_VALUE"""),"Removed")</f>
        <v>Removed</v>
      </c>
      <c r="E218" s="17">
        <f>IFERROR(__xludf.DUMMYFUNCTION("""COMPUTED_VALUE"""),44229.0)</f>
        <v>44229</v>
      </c>
      <c r="F218" s="54">
        <f>IFERROR(__xludf.DUMMYFUNCTION("""COMPUTED_VALUE"""),44319.0)</f>
        <v>44319</v>
      </c>
      <c r="G218" s="19">
        <f>IFERROR(__xludf.DUMMYFUNCTION("""COMPUTED_VALUE"""),3.033333333333333)</f>
        <v>3.033333333</v>
      </c>
      <c r="H218" s="17">
        <f>IFERROR(__xludf.DUMMYFUNCTION("""COMPUTED_VALUE"""),44229.0)</f>
        <v>44229</v>
      </c>
      <c r="I218" s="19">
        <f>IFERROR(__xludf.DUMMYFUNCTION("""COMPUTED_VALUE"""),0.0)</f>
        <v>0</v>
      </c>
      <c r="J218" s="21">
        <f>IFERROR(__xludf.DUMMYFUNCTION("""COMPUTED_VALUE"""),62.0)</f>
        <v>62</v>
      </c>
      <c r="K218" s="23">
        <f>IFERROR(__xludf.DUMMYFUNCTION("""COMPUTED_VALUE"""),6.3)</f>
        <v>6.3</v>
      </c>
      <c r="L218" s="24"/>
      <c r="M218" s="25" t="str">
        <f>IFERROR(__xludf.DUMMYFUNCTION("""COMPUTED_VALUE"""),"Driving")</f>
        <v>Driving</v>
      </c>
      <c r="N218" s="25"/>
      <c r="O218" s="26" t="str">
        <f>IFERROR(__xludf.DUMMYFUNCTION("""COMPUTED_VALUE"""),"No")</f>
        <v>No</v>
      </c>
      <c r="P218" s="26"/>
    </row>
    <row r="219">
      <c r="A219" s="13" t="str">
        <f>IFERROR(__xludf.DUMMYFUNCTION("""COMPUTED_VALUE"""),"Control: Ultimate Edition")</f>
        <v>Control: Ultimate Edition</v>
      </c>
      <c r="B219" s="15" t="str">
        <f>IFERROR(__xludf.DUMMYFUNCTION("""COMPUTED_VALUE"""),"PS5/PS4")</f>
        <v>PS5/PS4</v>
      </c>
      <c r="C219" s="16" t="str">
        <f>IFERROR(__xludf.DUMMYFUNCTION("""COMPUTED_VALUE"""),"Playstation Plus (Discontinued)")</f>
        <v>Playstation Plus (Discontinued)</v>
      </c>
      <c r="D219" s="15" t="str">
        <f>IFERROR(__xludf.DUMMYFUNCTION("""COMPUTED_VALUE"""),"Removed")</f>
        <v>Removed</v>
      </c>
      <c r="E219" s="17">
        <f>IFERROR(__xludf.DUMMYFUNCTION("""COMPUTED_VALUE"""),44229.0)</f>
        <v>44229</v>
      </c>
      <c r="F219" s="54">
        <f>IFERROR(__xludf.DUMMYFUNCTION("""COMPUTED_VALUE"""),44256.0)</f>
        <v>44256</v>
      </c>
      <c r="G219" s="19">
        <f>IFERROR(__xludf.DUMMYFUNCTION("""COMPUTED_VALUE"""),0.9666666666666668)</f>
        <v>0.9666666667</v>
      </c>
      <c r="H219" s="17">
        <f>IFERROR(__xludf.DUMMYFUNCTION("""COMPUTED_VALUE"""),44229.0)</f>
        <v>44229</v>
      </c>
      <c r="I219" s="19">
        <f>IFERROR(__xludf.DUMMYFUNCTION("""COMPUTED_VALUE"""),0.0)</f>
        <v>0</v>
      </c>
      <c r="J219" s="21">
        <f>IFERROR(__xludf.DUMMYFUNCTION("""COMPUTED_VALUE"""),82.0)</f>
        <v>82</v>
      </c>
      <c r="K219" s="23">
        <f>IFERROR(__xludf.DUMMYFUNCTION("""COMPUTED_VALUE"""),7.6)</f>
        <v>7.6</v>
      </c>
      <c r="L219" s="24">
        <f>IFERROR(__xludf.DUMMYFUNCTION("""COMPUTED_VALUE"""),11.0)</f>
        <v>11</v>
      </c>
      <c r="M219" s="25" t="str">
        <f>IFERROR(__xludf.DUMMYFUNCTION("""COMPUTED_VALUE"""),"Shooter")</f>
        <v>Shooter</v>
      </c>
      <c r="N219" s="25"/>
      <c r="O219" s="26" t="str">
        <f>IFERROR(__xludf.DUMMYFUNCTION("""COMPUTED_VALUE"""),"No")</f>
        <v>No</v>
      </c>
      <c r="P219" s="26"/>
    </row>
    <row r="220">
      <c r="A220" s="13" t="str">
        <f>IFERROR(__xludf.DUMMYFUNCTION("""COMPUTED_VALUE"""),"Concrete Genie")</f>
        <v>Concrete Genie</v>
      </c>
      <c r="B220" s="15" t="str">
        <f>IFERROR(__xludf.DUMMYFUNCTION("""COMPUTED_VALUE"""),"PS4")</f>
        <v>PS4</v>
      </c>
      <c r="C220" s="16" t="str">
        <f>IFERROR(__xludf.DUMMYFUNCTION("""COMPUTED_VALUE"""),"Playstation Plus (Discontinued)")</f>
        <v>Playstation Plus (Discontinued)</v>
      </c>
      <c r="D220" s="15" t="str">
        <f>IFERROR(__xludf.DUMMYFUNCTION("""COMPUTED_VALUE"""),"Removed")</f>
        <v>Removed</v>
      </c>
      <c r="E220" s="17">
        <f>IFERROR(__xludf.DUMMYFUNCTION("""COMPUTED_VALUE"""),44229.0)</f>
        <v>44229</v>
      </c>
      <c r="F220" s="54">
        <f>IFERROR(__xludf.DUMMYFUNCTION("""COMPUTED_VALUE"""),44256.0)</f>
        <v>44256</v>
      </c>
      <c r="G220" s="19">
        <f>IFERROR(__xludf.DUMMYFUNCTION("""COMPUTED_VALUE"""),0.9666666666666668)</f>
        <v>0.9666666667</v>
      </c>
      <c r="H220" s="17">
        <f>IFERROR(__xludf.DUMMYFUNCTION("""COMPUTED_VALUE"""),43746.0)</f>
        <v>43746</v>
      </c>
      <c r="I220" s="19">
        <f>IFERROR(__xludf.DUMMYFUNCTION("""COMPUTED_VALUE"""),1.3166666666666667)</f>
        <v>1.316666667</v>
      </c>
      <c r="J220" s="21">
        <f>IFERROR(__xludf.DUMMYFUNCTION("""COMPUTED_VALUE"""),75.0)</f>
        <v>75</v>
      </c>
      <c r="K220" s="23">
        <f>IFERROR(__xludf.DUMMYFUNCTION("""COMPUTED_VALUE"""),7.6)</f>
        <v>7.6</v>
      </c>
      <c r="L220" s="24">
        <f>IFERROR(__xludf.DUMMYFUNCTION("""COMPUTED_VALUE"""),5.0)</f>
        <v>5</v>
      </c>
      <c r="M220" s="25" t="str">
        <f>IFERROR(__xludf.DUMMYFUNCTION("""COMPUTED_VALUE"""),"Action-Adventure")</f>
        <v>Action-Adventure</v>
      </c>
      <c r="N220" s="25"/>
      <c r="O220" s="26" t="str">
        <f>IFERROR(__xludf.DUMMYFUNCTION("""COMPUTED_VALUE"""),"No")</f>
        <v>No</v>
      </c>
      <c r="P220" s="26"/>
    </row>
    <row r="221">
      <c r="A221" s="13" t="str">
        <f>IFERROR(__xludf.DUMMYFUNCTION("""COMPUTED_VALUE"""),"Maneater")</f>
        <v>Maneater</v>
      </c>
      <c r="B221" s="15" t="str">
        <f>IFERROR(__xludf.DUMMYFUNCTION("""COMPUTED_VALUE"""),"PS5")</f>
        <v>PS5</v>
      </c>
      <c r="C221" s="16" t="str">
        <f>IFERROR(__xludf.DUMMYFUNCTION("""COMPUTED_VALUE"""),"Playstation Plus (Discontinued)")</f>
        <v>Playstation Plus (Discontinued)</v>
      </c>
      <c r="D221" s="15" t="str">
        <f>IFERROR(__xludf.DUMMYFUNCTION("""COMPUTED_VALUE"""),"Removed")</f>
        <v>Removed</v>
      </c>
      <c r="E221" s="17">
        <f>IFERROR(__xludf.DUMMYFUNCTION("""COMPUTED_VALUE"""),44201.0)</f>
        <v>44201</v>
      </c>
      <c r="F221" s="54">
        <f>IFERROR(__xludf.DUMMYFUNCTION("""COMPUTED_VALUE"""),44228.0)</f>
        <v>44228</v>
      </c>
      <c r="G221" s="19">
        <f>IFERROR(__xludf.DUMMYFUNCTION("""COMPUTED_VALUE"""),0.8666666666666666)</f>
        <v>0.8666666667</v>
      </c>
      <c r="H221" s="17">
        <f>IFERROR(__xludf.DUMMYFUNCTION("""COMPUTED_VALUE"""),43973.0)</f>
        <v>43973</v>
      </c>
      <c r="I221" s="19">
        <f>IFERROR(__xludf.DUMMYFUNCTION("""COMPUTED_VALUE"""),0.6194444444444445)</f>
        <v>0.6194444444</v>
      </c>
      <c r="J221" s="21">
        <f>IFERROR(__xludf.DUMMYFUNCTION("""COMPUTED_VALUE"""),68.0)</f>
        <v>68</v>
      </c>
      <c r="K221" s="23">
        <f>IFERROR(__xludf.DUMMYFUNCTION("""COMPUTED_VALUE"""),7.3)</f>
        <v>7.3</v>
      </c>
      <c r="L221" s="24">
        <f>IFERROR(__xludf.DUMMYFUNCTION("""COMPUTED_VALUE"""),9.0)</f>
        <v>9</v>
      </c>
      <c r="M221" s="25" t="str">
        <f>IFERROR(__xludf.DUMMYFUNCTION("""COMPUTED_VALUE"""),"Action-Adventure")</f>
        <v>Action-Adventure</v>
      </c>
      <c r="N221" s="25"/>
      <c r="O221" s="26" t="str">
        <f>IFERROR(__xludf.DUMMYFUNCTION("""COMPUTED_VALUE"""),"No")</f>
        <v>No</v>
      </c>
      <c r="P221" s="26"/>
    </row>
    <row r="222">
      <c r="A222" s="13" t="str">
        <f>IFERROR(__xludf.DUMMYFUNCTION("""COMPUTED_VALUE"""),"Shadow of the Tomb Raider")</f>
        <v>Shadow of the Tomb Raider</v>
      </c>
      <c r="B222" s="15" t="str">
        <f>IFERROR(__xludf.DUMMYFUNCTION("""COMPUTED_VALUE"""),"PS4")</f>
        <v>PS4</v>
      </c>
      <c r="C222" s="16" t="str">
        <f>IFERROR(__xludf.DUMMYFUNCTION("""COMPUTED_VALUE"""),"Playstation Plus (Discontinued)")</f>
        <v>Playstation Plus (Discontinued)</v>
      </c>
      <c r="D222" s="15" t="str">
        <f>IFERROR(__xludf.DUMMYFUNCTION("""COMPUTED_VALUE"""),"Removed")</f>
        <v>Removed</v>
      </c>
      <c r="E222" s="17">
        <f>IFERROR(__xludf.DUMMYFUNCTION("""COMPUTED_VALUE"""),44201.0)</f>
        <v>44201</v>
      </c>
      <c r="F222" s="54">
        <f>IFERROR(__xludf.DUMMYFUNCTION("""COMPUTED_VALUE"""),44228.0)</f>
        <v>44228</v>
      </c>
      <c r="G222" s="19">
        <f>IFERROR(__xludf.DUMMYFUNCTION("""COMPUTED_VALUE"""),0.8666666666666666)</f>
        <v>0.8666666667</v>
      </c>
      <c r="H222" s="17">
        <f>IFERROR(__xludf.DUMMYFUNCTION("""COMPUTED_VALUE"""),43357.0)</f>
        <v>43357</v>
      </c>
      <c r="I222" s="19">
        <f>IFERROR(__xludf.DUMMYFUNCTION("""COMPUTED_VALUE"""),2.308333333333333)</f>
        <v>2.308333333</v>
      </c>
      <c r="J222" s="21">
        <f>IFERROR(__xludf.DUMMYFUNCTION("""COMPUTED_VALUE"""),75.0)</f>
        <v>75</v>
      </c>
      <c r="K222" s="23">
        <f>IFERROR(__xludf.DUMMYFUNCTION("""COMPUTED_VALUE"""),7.5)</f>
        <v>7.5</v>
      </c>
      <c r="L222" s="24">
        <f>IFERROR(__xludf.DUMMYFUNCTION("""COMPUTED_VALUE"""),13.0)</f>
        <v>13</v>
      </c>
      <c r="M222" s="25" t="str">
        <f>IFERROR(__xludf.DUMMYFUNCTION("""COMPUTED_VALUE"""),"Action-Adventure")</f>
        <v>Action-Adventure</v>
      </c>
      <c r="N222" s="25"/>
      <c r="O222" s="26" t="str">
        <f>IFERROR(__xludf.DUMMYFUNCTION("""COMPUTED_VALUE"""),"No")</f>
        <v>No</v>
      </c>
      <c r="P222" s="26"/>
    </row>
    <row r="223">
      <c r="A223" s="13" t="str">
        <f>IFERROR(__xludf.DUMMYFUNCTION("""COMPUTED_VALUE"""),"Greedfall")</f>
        <v>Greedfall</v>
      </c>
      <c r="B223" s="15" t="str">
        <f>IFERROR(__xludf.DUMMYFUNCTION("""COMPUTED_VALUE"""),"PS4")</f>
        <v>PS4</v>
      </c>
      <c r="C223" s="16" t="str">
        <f>IFERROR(__xludf.DUMMYFUNCTION("""COMPUTED_VALUE"""),"Playstation Plus (Discontinued)")</f>
        <v>Playstation Plus (Discontinued)</v>
      </c>
      <c r="D223" s="15" t="str">
        <f>IFERROR(__xludf.DUMMYFUNCTION("""COMPUTED_VALUE"""),"Removed")</f>
        <v>Removed</v>
      </c>
      <c r="E223" s="17">
        <f>IFERROR(__xludf.DUMMYFUNCTION("""COMPUTED_VALUE"""),44201.0)</f>
        <v>44201</v>
      </c>
      <c r="F223" s="54">
        <f>IFERROR(__xludf.DUMMYFUNCTION("""COMPUTED_VALUE"""),44228.0)</f>
        <v>44228</v>
      </c>
      <c r="G223" s="19">
        <f>IFERROR(__xludf.DUMMYFUNCTION("""COMPUTED_VALUE"""),0.8666666666666666)</f>
        <v>0.8666666667</v>
      </c>
      <c r="H223" s="17">
        <f>IFERROR(__xludf.DUMMYFUNCTION("""COMPUTED_VALUE"""),43718.0)</f>
        <v>43718</v>
      </c>
      <c r="I223" s="19">
        <f>IFERROR(__xludf.DUMMYFUNCTION("""COMPUTED_VALUE"""),1.3194444444444444)</f>
        <v>1.319444444</v>
      </c>
      <c r="J223" s="21">
        <f>IFERROR(__xludf.DUMMYFUNCTION("""COMPUTED_VALUE"""),72.0)</f>
        <v>72</v>
      </c>
      <c r="K223" s="23">
        <f>IFERROR(__xludf.DUMMYFUNCTION("""COMPUTED_VALUE"""),7.7)</f>
        <v>7.7</v>
      </c>
      <c r="L223" s="24">
        <f>IFERROR(__xludf.DUMMYFUNCTION("""COMPUTED_VALUE"""),30.0)</f>
        <v>30</v>
      </c>
      <c r="M223" s="25" t="str">
        <f>IFERROR(__xludf.DUMMYFUNCTION("""COMPUTED_VALUE"""),"RPG")</f>
        <v>RPG</v>
      </c>
      <c r="N223" s="25"/>
      <c r="O223" s="26" t="str">
        <f>IFERROR(__xludf.DUMMYFUNCTION("""COMPUTED_VALUE"""),"No")</f>
        <v>No</v>
      </c>
      <c r="P223" s="26"/>
    </row>
    <row r="224">
      <c r="A224" s="13" t="str">
        <f>IFERROR(__xludf.DUMMYFUNCTION("""COMPUTED_VALUE"""),"Just Cause 4")</f>
        <v>Just Cause 4</v>
      </c>
      <c r="B224" s="15" t="str">
        <f>IFERROR(__xludf.DUMMYFUNCTION("""COMPUTED_VALUE"""),"PS4")</f>
        <v>PS4</v>
      </c>
      <c r="C224" s="16" t="str">
        <f>IFERROR(__xludf.DUMMYFUNCTION("""COMPUTED_VALUE"""),"Playstation Plus (Discontinued)")</f>
        <v>Playstation Plus (Discontinued)</v>
      </c>
      <c r="D224" s="15" t="str">
        <f>IFERROR(__xludf.DUMMYFUNCTION("""COMPUTED_VALUE"""),"Removed")</f>
        <v>Removed</v>
      </c>
      <c r="E224" s="17">
        <f>IFERROR(__xludf.DUMMYFUNCTION("""COMPUTED_VALUE"""),44166.0)</f>
        <v>44166</v>
      </c>
      <c r="F224" s="54">
        <f>IFERROR(__xludf.DUMMYFUNCTION("""COMPUTED_VALUE"""),44200.0)</f>
        <v>44200</v>
      </c>
      <c r="G224" s="19">
        <f>IFERROR(__xludf.DUMMYFUNCTION("""COMPUTED_VALUE"""),1.0999999999999999)</f>
        <v>1.1</v>
      </c>
      <c r="H224" s="17">
        <f>IFERROR(__xludf.DUMMYFUNCTION("""COMPUTED_VALUE"""),43438.0)</f>
        <v>43438</v>
      </c>
      <c r="I224" s="19">
        <f>IFERROR(__xludf.DUMMYFUNCTION("""COMPUTED_VALUE"""),1.9916666666666667)</f>
        <v>1.991666667</v>
      </c>
      <c r="J224" s="21">
        <f>IFERROR(__xludf.DUMMYFUNCTION("""COMPUTED_VALUE"""),65.0)</f>
        <v>65</v>
      </c>
      <c r="K224" s="23">
        <f>IFERROR(__xludf.DUMMYFUNCTION("""COMPUTED_VALUE"""),5.8)</f>
        <v>5.8</v>
      </c>
      <c r="L224" s="24">
        <f>IFERROR(__xludf.DUMMYFUNCTION("""COMPUTED_VALUE"""),17.0)</f>
        <v>17</v>
      </c>
      <c r="M224" s="25" t="str">
        <f>IFERROR(__xludf.DUMMYFUNCTION("""COMPUTED_VALUE"""),"Action-Adventure")</f>
        <v>Action-Adventure</v>
      </c>
      <c r="N224" s="25"/>
      <c r="O224" s="26" t="str">
        <f>IFERROR(__xludf.DUMMYFUNCTION("""COMPUTED_VALUE"""),"No")</f>
        <v>No</v>
      </c>
      <c r="P224" s="26"/>
    </row>
    <row r="225">
      <c r="A225" s="13" t="str">
        <f>IFERROR(__xludf.DUMMYFUNCTION("""COMPUTED_VALUE"""),"Rocket Arena")</f>
        <v>Rocket Arena</v>
      </c>
      <c r="B225" s="15" t="str">
        <f>IFERROR(__xludf.DUMMYFUNCTION("""COMPUTED_VALUE"""),"PS4")</f>
        <v>PS4</v>
      </c>
      <c r="C225" s="16" t="str">
        <f>IFERROR(__xludf.DUMMYFUNCTION("""COMPUTED_VALUE"""),"Playstation Plus (Discontinued)")</f>
        <v>Playstation Plus (Discontinued)</v>
      </c>
      <c r="D225" s="15" t="str">
        <f>IFERROR(__xludf.DUMMYFUNCTION("""COMPUTED_VALUE"""),"Removed")</f>
        <v>Removed</v>
      </c>
      <c r="E225" s="17">
        <f>IFERROR(__xludf.DUMMYFUNCTION("""COMPUTED_VALUE"""),44166.0)</f>
        <v>44166</v>
      </c>
      <c r="F225" s="54">
        <f>IFERROR(__xludf.DUMMYFUNCTION("""COMPUTED_VALUE"""),44200.0)</f>
        <v>44200</v>
      </c>
      <c r="G225" s="19">
        <f>IFERROR(__xludf.DUMMYFUNCTION("""COMPUTED_VALUE"""),1.0999999999999999)</f>
        <v>1.1</v>
      </c>
      <c r="H225" s="17">
        <f>IFERROR(__xludf.DUMMYFUNCTION("""COMPUTED_VALUE"""),44026.0)</f>
        <v>44026</v>
      </c>
      <c r="I225" s="19">
        <f>IFERROR(__xludf.DUMMYFUNCTION("""COMPUTED_VALUE"""),0.38055555555555554)</f>
        <v>0.3805555556</v>
      </c>
      <c r="J225" s="21">
        <f>IFERROR(__xludf.DUMMYFUNCTION("""COMPUTED_VALUE"""),68.0)</f>
        <v>68</v>
      </c>
      <c r="K225" s="23">
        <f>IFERROR(__xludf.DUMMYFUNCTION("""COMPUTED_VALUE"""),5.8)</f>
        <v>5.8</v>
      </c>
      <c r="L225" s="24"/>
      <c r="M225" s="25" t="str">
        <f>IFERROR(__xludf.DUMMYFUNCTION("""COMPUTED_VALUE"""),"Shooter")</f>
        <v>Shooter</v>
      </c>
      <c r="N225" s="25"/>
      <c r="O225" s="26" t="str">
        <f>IFERROR(__xludf.DUMMYFUNCTION("""COMPUTED_VALUE"""),"No")</f>
        <v>No</v>
      </c>
      <c r="P225" s="26"/>
    </row>
    <row r="226">
      <c r="A226" s="13" t="str">
        <f>IFERROR(__xludf.DUMMYFUNCTION("""COMPUTED_VALUE"""),"Worms Rumble")</f>
        <v>Worms Rumble</v>
      </c>
      <c r="B226" s="15" t="str">
        <f>IFERROR(__xludf.DUMMYFUNCTION("""COMPUTED_VALUE"""),"PS5/PS4")</f>
        <v>PS5/PS4</v>
      </c>
      <c r="C226" s="16" t="str">
        <f>IFERROR(__xludf.DUMMYFUNCTION("""COMPUTED_VALUE"""),"Playstation Plus (Discontinued)")</f>
        <v>Playstation Plus (Discontinued)</v>
      </c>
      <c r="D226" s="15" t="str">
        <f>IFERROR(__xludf.DUMMYFUNCTION("""COMPUTED_VALUE"""),"Removed")</f>
        <v>Removed</v>
      </c>
      <c r="E226" s="17">
        <f>IFERROR(__xludf.DUMMYFUNCTION("""COMPUTED_VALUE"""),44166.0)</f>
        <v>44166</v>
      </c>
      <c r="F226" s="18">
        <f>IFERROR(__xludf.DUMMYFUNCTION("""COMPUTED_VALUE"""),44200.0)</f>
        <v>44200</v>
      </c>
      <c r="G226" s="19">
        <f>IFERROR(__xludf.DUMMYFUNCTION("""COMPUTED_VALUE"""),1.0999999999999999)</f>
        <v>1.1</v>
      </c>
      <c r="H226" s="17">
        <f>IFERROR(__xludf.DUMMYFUNCTION("""COMPUTED_VALUE"""),44166.0)</f>
        <v>44166</v>
      </c>
      <c r="I226" s="19">
        <f>IFERROR(__xludf.DUMMYFUNCTION("""COMPUTED_VALUE"""),0.0)</f>
        <v>0</v>
      </c>
      <c r="J226" s="21">
        <f>IFERROR(__xludf.DUMMYFUNCTION("""COMPUTED_VALUE"""),68.0)</f>
        <v>68</v>
      </c>
      <c r="K226" s="23">
        <f>IFERROR(__xludf.DUMMYFUNCTION("""COMPUTED_VALUE"""),5.9)</f>
        <v>5.9</v>
      </c>
      <c r="L226" s="24"/>
      <c r="M226" s="25" t="str">
        <f>IFERROR(__xludf.DUMMYFUNCTION("""COMPUTED_VALUE"""),"Shooter")</f>
        <v>Shooter</v>
      </c>
      <c r="N226" s="25"/>
      <c r="O226" s="26" t="str">
        <f>IFERROR(__xludf.DUMMYFUNCTION("""COMPUTED_VALUE"""),"No")</f>
        <v>No</v>
      </c>
      <c r="P226" s="26"/>
    </row>
    <row r="227">
      <c r="A227" s="13" t="str">
        <f>IFERROR(__xludf.DUMMYFUNCTION("""COMPUTED_VALUE"""),"Bugsnax")</f>
        <v>Bugsnax</v>
      </c>
      <c r="B227" s="15" t="str">
        <f>IFERROR(__xludf.DUMMYFUNCTION("""COMPUTED_VALUE"""),"PS5")</f>
        <v>PS5</v>
      </c>
      <c r="C227" s="16" t="str">
        <f>IFERROR(__xludf.DUMMYFUNCTION("""COMPUTED_VALUE"""),"Playstation Plus (Discontinued)")</f>
        <v>Playstation Plus (Discontinued)</v>
      </c>
      <c r="D227" s="15" t="str">
        <f>IFERROR(__xludf.DUMMYFUNCTION("""COMPUTED_VALUE"""),"Removed")</f>
        <v>Removed</v>
      </c>
      <c r="E227" s="17">
        <f>IFERROR(__xludf.DUMMYFUNCTION("""COMPUTED_VALUE"""),44147.0)</f>
        <v>44147</v>
      </c>
      <c r="F227" s="54">
        <f>IFERROR(__xludf.DUMMYFUNCTION("""COMPUTED_VALUE"""),44200.0)</f>
        <v>44200</v>
      </c>
      <c r="G227" s="19">
        <f>IFERROR(__xludf.DUMMYFUNCTION("""COMPUTED_VALUE"""),1.7333333333333332)</f>
        <v>1.733333333</v>
      </c>
      <c r="H227" s="17">
        <f>IFERROR(__xludf.DUMMYFUNCTION("""COMPUTED_VALUE"""),44147.0)</f>
        <v>44147</v>
      </c>
      <c r="I227" s="19">
        <f>IFERROR(__xludf.DUMMYFUNCTION("""COMPUTED_VALUE"""),0.0)</f>
        <v>0</v>
      </c>
      <c r="J227" s="21">
        <f>IFERROR(__xludf.DUMMYFUNCTION("""COMPUTED_VALUE"""),74.0)</f>
        <v>74</v>
      </c>
      <c r="K227" s="23">
        <f>IFERROR(__xludf.DUMMYFUNCTION("""COMPUTED_VALUE"""),7.7)</f>
        <v>7.7</v>
      </c>
      <c r="L227" s="24">
        <f>IFERROR(__xludf.DUMMYFUNCTION("""COMPUTED_VALUE"""),5.0)</f>
        <v>5</v>
      </c>
      <c r="M227" s="25" t="str">
        <f>IFERROR(__xludf.DUMMYFUNCTION("""COMPUTED_VALUE"""),"Action-Adventure")</f>
        <v>Action-Adventure</v>
      </c>
      <c r="N227" s="25"/>
      <c r="O227" s="26" t="str">
        <f>IFERROR(__xludf.DUMMYFUNCTION("""COMPUTED_VALUE"""),"No")</f>
        <v>No</v>
      </c>
      <c r="P227" s="26"/>
    </row>
    <row r="228">
      <c r="A228" s="13" t="str">
        <f>IFERROR(__xludf.DUMMYFUNCTION("""COMPUTED_VALUE"""),"Hollow Knight: Voidheart Edition")</f>
        <v>Hollow Knight: Voidheart Edition</v>
      </c>
      <c r="B228" s="15" t="str">
        <f>IFERROR(__xludf.DUMMYFUNCTION("""COMPUTED_VALUE"""),"PS4")</f>
        <v>PS4</v>
      </c>
      <c r="C228" s="16" t="str">
        <f>IFERROR(__xludf.DUMMYFUNCTION("""COMPUTED_VALUE"""),"Playstation Plus (Discontinued)")</f>
        <v>Playstation Plus (Discontinued)</v>
      </c>
      <c r="D228" s="15" t="str">
        <f>IFERROR(__xludf.DUMMYFUNCTION("""COMPUTED_VALUE"""),"Removed")</f>
        <v>Removed</v>
      </c>
      <c r="E228" s="17">
        <f>IFERROR(__xludf.DUMMYFUNCTION("""COMPUTED_VALUE"""),44138.0)</f>
        <v>44138</v>
      </c>
      <c r="F228" s="54">
        <f>IFERROR(__xludf.DUMMYFUNCTION("""COMPUTED_VALUE"""),44146.0)</f>
        <v>44146</v>
      </c>
      <c r="G228" s="19">
        <f>IFERROR(__xludf.DUMMYFUNCTION("""COMPUTED_VALUE"""),0.26666666666666666)</f>
        <v>0.2666666667</v>
      </c>
      <c r="H228" s="17">
        <f>IFERROR(__xludf.DUMMYFUNCTION("""COMPUTED_VALUE"""),43368.0)</f>
        <v>43368</v>
      </c>
      <c r="I228" s="19">
        <f>IFERROR(__xludf.DUMMYFUNCTION("""COMPUTED_VALUE"""),2.1055555555555556)</f>
        <v>2.105555556</v>
      </c>
      <c r="J228" s="21">
        <f>IFERROR(__xludf.DUMMYFUNCTION("""COMPUTED_VALUE"""),85.0)</f>
        <v>85</v>
      </c>
      <c r="K228" s="23">
        <f>IFERROR(__xludf.DUMMYFUNCTION("""COMPUTED_VALUE"""),8.5)</f>
        <v>8.5</v>
      </c>
      <c r="L228" s="24">
        <f>IFERROR(__xludf.DUMMYFUNCTION("""COMPUTED_VALUE"""),27.0)</f>
        <v>27</v>
      </c>
      <c r="M228" s="25" t="str">
        <f>IFERROR(__xludf.DUMMYFUNCTION("""COMPUTED_VALUE"""),"Platformer")</f>
        <v>Platformer</v>
      </c>
      <c r="N228" s="25"/>
      <c r="O228" s="26" t="str">
        <f>IFERROR(__xludf.DUMMYFUNCTION("""COMPUTED_VALUE"""),"No")</f>
        <v>No</v>
      </c>
      <c r="P228" s="26"/>
    </row>
    <row r="229">
      <c r="A229" s="13" t="str">
        <f>IFERROR(__xludf.DUMMYFUNCTION("""COMPUTED_VALUE"""),"Middle-Earth: Shadow of War")</f>
        <v>Middle-Earth: Shadow of War</v>
      </c>
      <c r="B229" s="15" t="str">
        <f>IFERROR(__xludf.DUMMYFUNCTION("""COMPUTED_VALUE"""),"PS4")</f>
        <v>PS4</v>
      </c>
      <c r="C229" s="16" t="str">
        <f>IFERROR(__xludf.DUMMYFUNCTION("""COMPUTED_VALUE"""),"Playstation Plus (Discontinued)")</f>
        <v>Playstation Plus (Discontinued)</v>
      </c>
      <c r="D229" s="15" t="str">
        <f>IFERROR(__xludf.DUMMYFUNCTION("""COMPUTED_VALUE"""),"Removed")</f>
        <v>Removed</v>
      </c>
      <c r="E229" s="17">
        <f>IFERROR(__xludf.DUMMYFUNCTION("""COMPUTED_VALUE"""),44138.0)</f>
        <v>44138</v>
      </c>
      <c r="F229" s="54">
        <f>IFERROR(__xludf.DUMMYFUNCTION("""COMPUTED_VALUE"""),44146.0)</f>
        <v>44146</v>
      </c>
      <c r="G229" s="19">
        <f>IFERROR(__xludf.DUMMYFUNCTION("""COMPUTED_VALUE"""),0.26666666666666666)</f>
        <v>0.2666666667</v>
      </c>
      <c r="H229" s="17">
        <f>IFERROR(__xludf.DUMMYFUNCTION("""COMPUTED_VALUE"""),43018.0)</f>
        <v>43018</v>
      </c>
      <c r="I229" s="19">
        <f>IFERROR(__xludf.DUMMYFUNCTION("""COMPUTED_VALUE"""),3.063888888888889)</f>
        <v>3.063888889</v>
      </c>
      <c r="J229" s="21">
        <f>IFERROR(__xludf.DUMMYFUNCTION("""COMPUTED_VALUE"""),80.0)</f>
        <v>80</v>
      </c>
      <c r="K229" s="23">
        <f>IFERROR(__xludf.DUMMYFUNCTION("""COMPUTED_VALUE"""),7.3)</f>
        <v>7.3</v>
      </c>
      <c r="L229" s="24">
        <f>IFERROR(__xludf.DUMMYFUNCTION("""COMPUTED_VALUE"""),20.0)</f>
        <v>20</v>
      </c>
      <c r="M229" s="25" t="str">
        <f>IFERROR(__xludf.DUMMYFUNCTION("""COMPUTED_VALUE"""),"Action-Adventure")</f>
        <v>Action-Adventure</v>
      </c>
      <c r="N229" s="25"/>
      <c r="O229" s="26" t="str">
        <f>IFERROR(__xludf.DUMMYFUNCTION("""COMPUTED_VALUE"""),"No")</f>
        <v>No</v>
      </c>
      <c r="P229" s="26"/>
    </row>
    <row r="230">
      <c r="A230" s="13" t="str">
        <f>IFERROR(__xludf.DUMMYFUNCTION("""COMPUTED_VALUE"""),"Need for Speed Payback")</f>
        <v>Need for Speed Payback</v>
      </c>
      <c r="B230" s="15" t="str">
        <f>IFERROR(__xludf.DUMMYFUNCTION("""COMPUTED_VALUE"""),"PS4")</f>
        <v>PS4</v>
      </c>
      <c r="C230" s="16" t="str">
        <f>IFERROR(__xludf.DUMMYFUNCTION("""COMPUTED_VALUE"""),"Playstation Plus (Discontinued)")</f>
        <v>Playstation Plus (Discontinued)</v>
      </c>
      <c r="D230" s="15" t="str">
        <f>IFERROR(__xludf.DUMMYFUNCTION("""COMPUTED_VALUE"""),"Removed")</f>
        <v>Removed</v>
      </c>
      <c r="E230" s="17">
        <f>IFERROR(__xludf.DUMMYFUNCTION("""COMPUTED_VALUE"""),44110.0)</f>
        <v>44110</v>
      </c>
      <c r="F230" s="54">
        <f>IFERROR(__xludf.DUMMYFUNCTION("""COMPUTED_VALUE"""),44137.0)</f>
        <v>44137</v>
      </c>
      <c r="G230" s="19">
        <f>IFERROR(__xludf.DUMMYFUNCTION("""COMPUTED_VALUE"""),0.8666666666666666)</f>
        <v>0.8666666667</v>
      </c>
      <c r="H230" s="17">
        <f>IFERROR(__xludf.DUMMYFUNCTION("""COMPUTED_VALUE"""),43049.0)</f>
        <v>43049</v>
      </c>
      <c r="I230" s="19">
        <f>IFERROR(__xludf.DUMMYFUNCTION("""COMPUTED_VALUE"""),2.9055555555555554)</f>
        <v>2.905555556</v>
      </c>
      <c r="J230" s="21">
        <f>IFERROR(__xludf.DUMMYFUNCTION("""COMPUTED_VALUE"""),61.0)</f>
        <v>61</v>
      </c>
      <c r="K230" s="23">
        <f>IFERROR(__xludf.DUMMYFUNCTION("""COMPUTED_VALUE"""),4.8)</f>
        <v>4.8</v>
      </c>
      <c r="L230" s="24">
        <f>IFERROR(__xludf.DUMMYFUNCTION("""COMPUTED_VALUE"""),18.0)</f>
        <v>18</v>
      </c>
      <c r="M230" s="25" t="str">
        <f>IFERROR(__xludf.DUMMYFUNCTION("""COMPUTED_VALUE"""),"Racing")</f>
        <v>Racing</v>
      </c>
      <c r="N230" s="25"/>
      <c r="O230" s="26" t="str">
        <f>IFERROR(__xludf.DUMMYFUNCTION("""COMPUTED_VALUE"""),"No")</f>
        <v>No</v>
      </c>
      <c r="P230" s="26"/>
    </row>
    <row r="231">
      <c r="A231" s="13" t="str">
        <f>IFERROR(__xludf.DUMMYFUNCTION("""COMPUTED_VALUE"""),"Vampyr")</f>
        <v>Vampyr</v>
      </c>
      <c r="B231" s="15" t="str">
        <f>IFERROR(__xludf.DUMMYFUNCTION("""COMPUTED_VALUE"""),"PS4")</f>
        <v>PS4</v>
      </c>
      <c r="C231" s="16" t="str">
        <f>IFERROR(__xludf.DUMMYFUNCTION("""COMPUTED_VALUE"""),"Playstation Plus (Discontinued)")</f>
        <v>Playstation Plus (Discontinued)</v>
      </c>
      <c r="D231" s="15" t="str">
        <f>IFERROR(__xludf.DUMMYFUNCTION("""COMPUTED_VALUE"""),"Removed")</f>
        <v>Removed</v>
      </c>
      <c r="E231" s="17">
        <f>IFERROR(__xludf.DUMMYFUNCTION("""COMPUTED_VALUE"""),44110.0)</f>
        <v>44110</v>
      </c>
      <c r="F231" s="54">
        <f>IFERROR(__xludf.DUMMYFUNCTION("""COMPUTED_VALUE"""),44137.0)</f>
        <v>44137</v>
      </c>
      <c r="G231" s="19">
        <f>IFERROR(__xludf.DUMMYFUNCTION("""COMPUTED_VALUE"""),0.8666666666666666)</f>
        <v>0.8666666667</v>
      </c>
      <c r="H231" s="17">
        <f>IFERROR(__xludf.DUMMYFUNCTION("""COMPUTED_VALUE"""),43256.0)</f>
        <v>43256</v>
      </c>
      <c r="I231" s="19">
        <f>IFERROR(__xludf.DUMMYFUNCTION("""COMPUTED_VALUE"""),2.3361111111111112)</f>
        <v>2.336111111</v>
      </c>
      <c r="J231" s="21">
        <f>IFERROR(__xludf.DUMMYFUNCTION("""COMPUTED_VALUE"""),70.0)</f>
        <v>70</v>
      </c>
      <c r="K231" s="23">
        <f>IFERROR(__xludf.DUMMYFUNCTION("""COMPUTED_VALUE"""),7.2)</f>
        <v>7.2</v>
      </c>
      <c r="L231" s="24">
        <f>IFERROR(__xludf.DUMMYFUNCTION("""COMPUTED_VALUE"""),16.0)</f>
        <v>16</v>
      </c>
      <c r="M231" s="25" t="str">
        <f>IFERROR(__xludf.DUMMYFUNCTION("""COMPUTED_VALUE"""),"RPG")</f>
        <v>RPG</v>
      </c>
      <c r="N231" s="25"/>
      <c r="O231" s="26" t="str">
        <f>IFERROR(__xludf.DUMMYFUNCTION("""COMPUTED_VALUE"""),"No")</f>
        <v>No</v>
      </c>
      <c r="P231" s="26"/>
    </row>
    <row r="232">
      <c r="A232" s="13" t="str">
        <f>IFERROR(__xludf.DUMMYFUNCTION("""COMPUTED_VALUE"""),"PlayerUnknown's Battlegrounds")</f>
        <v>PlayerUnknown's Battlegrounds</v>
      </c>
      <c r="B232" s="15" t="str">
        <f>IFERROR(__xludf.DUMMYFUNCTION("""COMPUTED_VALUE"""),"PS4")</f>
        <v>PS4</v>
      </c>
      <c r="C232" s="16" t="str">
        <f>IFERROR(__xludf.DUMMYFUNCTION("""COMPUTED_VALUE"""),"Playstation Plus (Discontinued)")</f>
        <v>Playstation Plus (Discontinued)</v>
      </c>
      <c r="D232" s="15" t="str">
        <f>IFERROR(__xludf.DUMMYFUNCTION("""COMPUTED_VALUE"""),"Removed")</f>
        <v>Removed</v>
      </c>
      <c r="E232" s="17">
        <f>IFERROR(__xludf.DUMMYFUNCTION("""COMPUTED_VALUE"""),44075.0)</f>
        <v>44075</v>
      </c>
      <c r="F232" s="54">
        <f>IFERROR(__xludf.DUMMYFUNCTION("""COMPUTED_VALUE"""),44109.0)</f>
        <v>44109</v>
      </c>
      <c r="G232" s="19">
        <f>IFERROR(__xludf.DUMMYFUNCTION("""COMPUTED_VALUE"""),1.1333333333333333)</f>
        <v>1.133333333</v>
      </c>
      <c r="H232" s="17">
        <f>IFERROR(__xludf.DUMMYFUNCTION("""COMPUTED_VALUE"""),43076.0)</f>
        <v>43076</v>
      </c>
      <c r="I232" s="19">
        <f>IFERROR(__xludf.DUMMYFUNCTION("""COMPUTED_VALUE"""),2.7333333333333334)</f>
        <v>2.733333333</v>
      </c>
      <c r="J232" s="21">
        <f>IFERROR(__xludf.DUMMYFUNCTION("""COMPUTED_VALUE"""),72.0)</f>
        <v>72</v>
      </c>
      <c r="K232" s="23">
        <f>IFERROR(__xludf.DUMMYFUNCTION("""COMPUTED_VALUE"""),5.9)</f>
        <v>5.9</v>
      </c>
      <c r="L232" s="24"/>
      <c r="M232" s="25" t="str">
        <f>IFERROR(__xludf.DUMMYFUNCTION("""COMPUTED_VALUE"""),"Shooter")</f>
        <v>Shooter</v>
      </c>
      <c r="N232" s="25"/>
      <c r="O232" s="26" t="str">
        <f>IFERROR(__xludf.DUMMYFUNCTION("""COMPUTED_VALUE"""),"No")</f>
        <v>No</v>
      </c>
      <c r="P232" s="26"/>
    </row>
    <row r="233">
      <c r="A233" s="13" t="str">
        <f>IFERROR(__xludf.DUMMYFUNCTION("""COMPUTED_VALUE"""),"Street Fighter V")</f>
        <v>Street Fighter V</v>
      </c>
      <c r="B233" s="15" t="str">
        <f>IFERROR(__xludf.DUMMYFUNCTION("""COMPUTED_VALUE"""),"PS4")</f>
        <v>PS4</v>
      </c>
      <c r="C233" s="16" t="str">
        <f>IFERROR(__xludf.DUMMYFUNCTION("""COMPUTED_VALUE"""),"Playstation Plus (Discontinued)")</f>
        <v>Playstation Plus (Discontinued)</v>
      </c>
      <c r="D233" s="15" t="str">
        <f>IFERROR(__xludf.DUMMYFUNCTION("""COMPUTED_VALUE"""),"Removed")</f>
        <v>Removed</v>
      </c>
      <c r="E233" s="17">
        <f>IFERROR(__xludf.DUMMYFUNCTION("""COMPUTED_VALUE"""),44075.0)</f>
        <v>44075</v>
      </c>
      <c r="F233" s="54">
        <f>IFERROR(__xludf.DUMMYFUNCTION("""COMPUTED_VALUE"""),44109.0)</f>
        <v>44109</v>
      </c>
      <c r="G233" s="19">
        <f>IFERROR(__xludf.DUMMYFUNCTION("""COMPUTED_VALUE"""),1.1333333333333333)</f>
        <v>1.133333333</v>
      </c>
      <c r="H233" s="17">
        <f>IFERROR(__xludf.DUMMYFUNCTION("""COMPUTED_VALUE"""),42416.0)</f>
        <v>42416</v>
      </c>
      <c r="I233" s="19">
        <f>IFERROR(__xludf.DUMMYFUNCTION("""COMPUTED_VALUE"""),4.541666666666667)</f>
        <v>4.541666667</v>
      </c>
      <c r="J233" s="21">
        <f>IFERROR(__xludf.DUMMYFUNCTION("""COMPUTED_VALUE"""),87.0)</f>
        <v>87</v>
      </c>
      <c r="K233" s="23">
        <f>IFERROR(__xludf.DUMMYFUNCTION("""COMPUTED_VALUE"""),6.8)</f>
        <v>6.8</v>
      </c>
      <c r="L233" s="24">
        <f>IFERROR(__xludf.DUMMYFUNCTION("""COMPUTED_VALUE"""),4.0)</f>
        <v>4</v>
      </c>
      <c r="M233" s="25" t="str">
        <f>IFERROR(__xludf.DUMMYFUNCTION("""COMPUTED_VALUE"""),"Fighting")</f>
        <v>Fighting</v>
      </c>
      <c r="N233" s="25"/>
      <c r="O233" s="26" t="str">
        <f>IFERROR(__xludf.DUMMYFUNCTION("""COMPUTED_VALUE"""),"No")</f>
        <v>No</v>
      </c>
      <c r="P233" s="26"/>
    </row>
    <row r="234">
      <c r="A234" s="13" t="str">
        <f>IFERROR(__xludf.DUMMYFUNCTION("""COMPUTED_VALUE"""),"Fall Guys")</f>
        <v>Fall Guys</v>
      </c>
      <c r="B234" s="15" t="str">
        <f>IFERROR(__xludf.DUMMYFUNCTION("""COMPUTED_VALUE"""),"PS4")</f>
        <v>PS4</v>
      </c>
      <c r="C234" s="16" t="str">
        <f>IFERROR(__xludf.DUMMYFUNCTION("""COMPUTED_VALUE"""),"Playstation Plus (Discontinued)")</f>
        <v>Playstation Plus (Discontinued)</v>
      </c>
      <c r="D234" s="15" t="str">
        <f>IFERROR(__xludf.DUMMYFUNCTION("""COMPUTED_VALUE"""),"Removed")</f>
        <v>Removed</v>
      </c>
      <c r="E234" s="17">
        <f>IFERROR(__xludf.DUMMYFUNCTION("""COMPUTED_VALUE"""),44047.0)</f>
        <v>44047</v>
      </c>
      <c r="F234" s="54">
        <f>IFERROR(__xludf.DUMMYFUNCTION("""COMPUTED_VALUE"""),44074.0)</f>
        <v>44074</v>
      </c>
      <c r="G234" s="19">
        <f>IFERROR(__xludf.DUMMYFUNCTION("""COMPUTED_VALUE"""),0.8666666666666666)</f>
        <v>0.8666666667</v>
      </c>
      <c r="H234" s="17">
        <f>IFERROR(__xludf.DUMMYFUNCTION("""COMPUTED_VALUE"""),44047.0)</f>
        <v>44047</v>
      </c>
      <c r="I234" s="19">
        <f>IFERROR(__xludf.DUMMYFUNCTION("""COMPUTED_VALUE"""),0.0)</f>
        <v>0</v>
      </c>
      <c r="J234" s="21">
        <f>IFERROR(__xludf.DUMMYFUNCTION("""COMPUTED_VALUE"""),79.0)</f>
        <v>79</v>
      </c>
      <c r="K234" s="23">
        <f>IFERROR(__xludf.DUMMYFUNCTION("""COMPUTED_VALUE"""),6.8)</f>
        <v>6.8</v>
      </c>
      <c r="L234" s="24"/>
      <c r="M234" s="25" t="str">
        <f>IFERROR(__xludf.DUMMYFUNCTION("""COMPUTED_VALUE"""),"Party")</f>
        <v>Party</v>
      </c>
      <c r="N234" s="25"/>
      <c r="O234" s="26" t="str">
        <f>IFERROR(__xludf.DUMMYFUNCTION("""COMPUTED_VALUE"""),"No")</f>
        <v>No</v>
      </c>
      <c r="P234" s="26"/>
    </row>
    <row r="235">
      <c r="A235" s="13" t="str">
        <f>IFERROR(__xludf.DUMMYFUNCTION("""COMPUTED_VALUE"""),"Call of Duty: Modern Warfare 2 Campaign Remastered")</f>
        <v>Call of Duty: Modern Warfare 2 Campaign Remastered</v>
      </c>
      <c r="B235" s="15" t="str">
        <f>IFERROR(__xludf.DUMMYFUNCTION("""COMPUTED_VALUE"""),"PS4")</f>
        <v>PS4</v>
      </c>
      <c r="C235" s="16" t="str">
        <f>IFERROR(__xludf.DUMMYFUNCTION("""COMPUTED_VALUE"""),"Playstation Plus (Discontinued)")</f>
        <v>Playstation Plus (Discontinued)</v>
      </c>
      <c r="D235" s="15" t="str">
        <f>IFERROR(__xludf.DUMMYFUNCTION("""COMPUTED_VALUE"""),"Removed")</f>
        <v>Removed</v>
      </c>
      <c r="E235" s="17">
        <f>IFERROR(__xludf.DUMMYFUNCTION("""COMPUTED_VALUE"""),44040.0)</f>
        <v>44040</v>
      </c>
      <c r="F235" s="54">
        <f>IFERROR(__xludf.DUMMYFUNCTION("""COMPUTED_VALUE"""),44046.0)</f>
        <v>44046</v>
      </c>
      <c r="G235" s="19">
        <f>IFERROR(__xludf.DUMMYFUNCTION("""COMPUTED_VALUE"""),0.16666666666666666)</f>
        <v>0.1666666667</v>
      </c>
      <c r="H235" s="17">
        <f>IFERROR(__xludf.DUMMYFUNCTION("""COMPUTED_VALUE"""),43921.0)</f>
        <v>43921</v>
      </c>
      <c r="I235" s="19">
        <f>IFERROR(__xludf.DUMMYFUNCTION("""COMPUTED_VALUE"""),0.3277777777777778)</f>
        <v>0.3277777778</v>
      </c>
      <c r="J235" s="21">
        <f>IFERROR(__xludf.DUMMYFUNCTION("""COMPUTED_VALUE"""),71.0)</f>
        <v>71</v>
      </c>
      <c r="K235" s="23">
        <f>IFERROR(__xludf.DUMMYFUNCTION("""COMPUTED_VALUE"""),7.7)</f>
        <v>7.7</v>
      </c>
      <c r="L235" s="24">
        <f>IFERROR(__xludf.DUMMYFUNCTION("""COMPUTED_VALUE"""),6.0)</f>
        <v>6</v>
      </c>
      <c r="M235" s="25" t="str">
        <f>IFERROR(__xludf.DUMMYFUNCTION("""COMPUTED_VALUE"""),"Shooter")</f>
        <v>Shooter</v>
      </c>
      <c r="N235" s="25"/>
      <c r="O235" s="26" t="str">
        <f>IFERROR(__xludf.DUMMYFUNCTION("""COMPUTED_VALUE"""),"No")</f>
        <v>No</v>
      </c>
      <c r="P235" s="26"/>
    </row>
    <row r="236">
      <c r="A236" s="13" t="str">
        <f>IFERROR(__xludf.DUMMYFUNCTION("""COMPUTED_VALUE"""),"NBA 2K20")</f>
        <v>NBA 2K20</v>
      </c>
      <c r="B236" s="15" t="str">
        <f>IFERROR(__xludf.DUMMYFUNCTION("""COMPUTED_VALUE"""),"PS4")</f>
        <v>PS4</v>
      </c>
      <c r="C236" s="16" t="str">
        <f>IFERROR(__xludf.DUMMYFUNCTION("""COMPUTED_VALUE"""),"Playstation Plus (Discontinued)")</f>
        <v>Playstation Plus (Discontinued)</v>
      </c>
      <c r="D236" s="15" t="str">
        <f>IFERROR(__xludf.DUMMYFUNCTION("""COMPUTED_VALUE"""),"Removed")</f>
        <v>Removed</v>
      </c>
      <c r="E236" s="17">
        <f>IFERROR(__xludf.DUMMYFUNCTION("""COMPUTED_VALUE"""),44019.0)</f>
        <v>44019</v>
      </c>
      <c r="F236" s="54">
        <f>IFERROR(__xludf.DUMMYFUNCTION("""COMPUTED_VALUE"""),44039.0)</f>
        <v>44039</v>
      </c>
      <c r="G236" s="19">
        <f>IFERROR(__xludf.DUMMYFUNCTION("""COMPUTED_VALUE"""),0.6666666666666666)</f>
        <v>0.6666666667</v>
      </c>
      <c r="H236" s="17">
        <f>IFERROR(__xludf.DUMMYFUNCTION("""COMPUTED_VALUE"""),43714.0)</f>
        <v>43714</v>
      </c>
      <c r="I236" s="19">
        <f>IFERROR(__xludf.DUMMYFUNCTION("""COMPUTED_VALUE"""),0.8361111111111111)</f>
        <v>0.8361111111</v>
      </c>
      <c r="J236" s="21">
        <f>IFERROR(__xludf.DUMMYFUNCTION("""COMPUTED_VALUE"""),78.0)</f>
        <v>78</v>
      </c>
      <c r="K236" s="23">
        <f>IFERROR(__xludf.DUMMYFUNCTION("""COMPUTED_VALUE"""),3.8)</f>
        <v>3.8</v>
      </c>
      <c r="L236" s="24"/>
      <c r="M236" s="25" t="str">
        <f>IFERROR(__xludf.DUMMYFUNCTION("""COMPUTED_VALUE"""),"Sports")</f>
        <v>Sports</v>
      </c>
      <c r="N236" s="25"/>
      <c r="O236" s="26" t="str">
        <f>IFERROR(__xludf.DUMMYFUNCTION("""COMPUTED_VALUE"""),"No")</f>
        <v>No</v>
      </c>
      <c r="P236" s="26"/>
    </row>
    <row r="237">
      <c r="A237" s="13" t="str">
        <f>IFERROR(__xludf.DUMMYFUNCTION("""COMPUTED_VALUE"""),"Rise of the Tomb Raider: 20 Year Celebration")</f>
        <v>Rise of the Tomb Raider: 20 Year Celebration</v>
      </c>
      <c r="B237" s="15" t="str">
        <f>IFERROR(__xludf.DUMMYFUNCTION("""COMPUTED_VALUE"""),"PS4")</f>
        <v>PS4</v>
      </c>
      <c r="C237" s="16" t="str">
        <f>IFERROR(__xludf.DUMMYFUNCTION("""COMPUTED_VALUE"""),"Playstation Plus (Discontinued)")</f>
        <v>Playstation Plus (Discontinued)</v>
      </c>
      <c r="D237" s="15" t="str">
        <f>IFERROR(__xludf.DUMMYFUNCTION("""COMPUTED_VALUE"""),"Removed")</f>
        <v>Removed</v>
      </c>
      <c r="E237" s="17">
        <f>IFERROR(__xludf.DUMMYFUNCTION("""COMPUTED_VALUE"""),44019.0)</f>
        <v>44019</v>
      </c>
      <c r="F237" s="54">
        <f>IFERROR(__xludf.DUMMYFUNCTION("""COMPUTED_VALUE"""),44039.0)</f>
        <v>44039</v>
      </c>
      <c r="G237" s="19">
        <f>IFERROR(__xludf.DUMMYFUNCTION("""COMPUTED_VALUE"""),0.6666666666666666)</f>
        <v>0.6666666667</v>
      </c>
      <c r="H237" s="17">
        <f>IFERROR(__xludf.DUMMYFUNCTION("""COMPUTED_VALUE"""),42654.0)</f>
        <v>42654</v>
      </c>
      <c r="I237" s="19">
        <f>IFERROR(__xludf.DUMMYFUNCTION("""COMPUTED_VALUE"""),3.738888888888889)</f>
        <v>3.738888889</v>
      </c>
      <c r="J237" s="21">
        <f>IFERROR(__xludf.DUMMYFUNCTION("""COMPUTED_VALUE"""),88.0)</f>
        <v>88</v>
      </c>
      <c r="K237" s="23">
        <f>IFERROR(__xludf.DUMMYFUNCTION("""COMPUTED_VALUE"""),8.1)</f>
        <v>8.1</v>
      </c>
      <c r="L237" s="24">
        <f>IFERROR(__xludf.DUMMYFUNCTION("""COMPUTED_VALUE"""),13.0)</f>
        <v>13</v>
      </c>
      <c r="M237" s="25" t="str">
        <f>IFERROR(__xludf.DUMMYFUNCTION("""COMPUTED_VALUE"""),"Action-Adventure")</f>
        <v>Action-Adventure</v>
      </c>
      <c r="N237" s="25"/>
      <c r="O237" s="26" t="str">
        <f>IFERROR(__xludf.DUMMYFUNCTION("""COMPUTED_VALUE"""),"No")</f>
        <v>No</v>
      </c>
      <c r="P237" s="26"/>
    </row>
    <row r="238">
      <c r="A238" s="13" t="str">
        <f>IFERROR(__xludf.DUMMYFUNCTION("""COMPUTED_VALUE"""),"Erica")</f>
        <v>Erica</v>
      </c>
      <c r="B238" s="15" t="str">
        <f>IFERROR(__xludf.DUMMYFUNCTION("""COMPUTED_VALUE"""),"PS4")</f>
        <v>PS4</v>
      </c>
      <c r="C238" s="16" t="str">
        <f>IFERROR(__xludf.DUMMYFUNCTION("""COMPUTED_VALUE"""),"Playstation Plus (Discontinued)")</f>
        <v>Playstation Plus (Discontinued)</v>
      </c>
      <c r="D238" s="15" t="str">
        <f>IFERROR(__xludf.DUMMYFUNCTION("""COMPUTED_VALUE"""),"Removed")</f>
        <v>Removed</v>
      </c>
      <c r="E238" s="17">
        <f>IFERROR(__xludf.DUMMYFUNCTION("""COMPUTED_VALUE"""),44019.0)</f>
        <v>44019</v>
      </c>
      <c r="F238" s="54">
        <f>IFERROR(__xludf.DUMMYFUNCTION("""COMPUTED_VALUE"""),44039.0)</f>
        <v>44039</v>
      </c>
      <c r="G238" s="19">
        <f>IFERROR(__xludf.DUMMYFUNCTION("""COMPUTED_VALUE"""),0.6666666666666666)</f>
        <v>0.6666666667</v>
      </c>
      <c r="H238" s="17">
        <f>IFERROR(__xludf.DUMMYFUNCTION("""COMPUTED_VALUE"""),43696.0)</f>
        <v>43696</v>
      </c>
      <c r="I238" s="19">
        <f>IFERROR(__xludf.DUMMYFUNCTION("""COMPUTED_VALUE"""),0.8833333333333333)</f>
        <v>0.8833333333</v>
      </c>
      <c r="J238" s="21">
        <f>IFERROR(__xludf.DUMMYFUNCTION("""COMPUTED_VALUE"""),69.0)</f>
        <v>69</v>
      </c>
      <c r="K238" s="23">
        <f>IFERROR(__xludf.DUMMYFUNCTION("""COMPUTED_VALUE"""),7.1)</f>
        <v>7.1</v>
      </c>
      <c r="L238" s="24">
        <f>IFERROR(__xludf.DUMMYFUNCTION("""COMPUTED_VALUE"""),2.0)</f>
        <v>2</v>
      </c>
      <c r="M238" s="25" t="str">
        <f>IFERROR(__xludf.DUMMYFUNCTION("""COMPUTED_VALUE"""),"Adventure")</f>
        <v>Adventure</v>
      </c>
      <c r="N238" s="25"/>
      <c r="O238" s="26" t="str">
        <f>IFERROR(__xludf.DUMMYFUNCTION("""COMPUTED_VALUE"""),"No")</f>
        <v>No</v>
      </c>
      <c r="P238" s="26"/>
    </row>
    <row r="239">
      <c r="A239" s="13" t="str">
        <f>IFERROR(__xludf.DUMMYFUNCTION("""COMPUTED_VALUE"""),"Star Wars Battlefront II")</f>
        <v>Star Wars Battlefront II</v>
      </c>
      <c r="B239" s="15" t="str">
        <f>IFERROR(__xludf.DUMMYFUNCTION("""COMPUTED_VALUE"""),"PS4")</f>
        <v>PS4</v>
      </c>
      <c r="C239" s="16" t="str">
        <f>IFERROR(__xludf.DUMMYFUNCTION("""COMPUTED_VALUE"""),"Playstation Plus (Discontinued)")</f>
        <v>Playstation Plus (Discontinued)</v>
      </c>
      <c r="D239" s="15" t="str">
        <f>IFERROR(__xludf.DUMMYFUNCTION("""COMPUTED_VALUE"""),"Removed")</f>
        <v>Removed</v>
      </c>
      <c r="E239" s="17">
        <f>IFERROR(__xludf.DUMMYFUNCTION("""COMPUTED_VALUE"""),43984.0)</f>
        <v>43984</v>
      </c>
      <c r="F239" s="54">
        <f>IFERROR(__xludf.DUMMYFUNCTION("""COMPUTED_VALUE"""),44018.0)</f>
        <v>44018</v>
      </c>
      <c r="G239" s="19">
        <f>IFERROR(__xludf.DUMMYFUNCTION("""COMPUTED_VALUE"""),1.1333333333333333)</f>
        <v>1.133333333</v>
      </c>
      <c r="H239" s="17">
        <f>IFERROR(__xludf.DUMMYFUNCTION("""COMPUTED_VALUE"""),43056.0)</f>
        <v>43056</v>
      </c>
      <c r="I239" s="19">
        <f>IFERROR(__xludf.DUMMYFUNCTION("""COMPUTED_VALUE"""),2.5416666666666665)</f>
        <v>2.541666667</v>
      </c>
      <c r="J239" s="21">
        <f>IFERROR(__xludf.DUMMYFUNCTION("""COMPUTED_VALUE"""),68.0)</f>
        <v>68</v>
      </c>
      <c r="K239" s="23">
        <f>IFERROR(__xludf.DUMMYFUNCTION("""COMPUTED_VALUE"""),3.6)</f>
        <v>3.6</v>
      </c>
      <c r="L239" s="24">
        <f>IFERROR(__xludf.DUMMYFUNCTION("""COMPUTED_VALUE"""),7.0)</f>
        <v>7</v>
      </c>
      <c r="M239" s="25" t="str">
        <f>IFERROR(__xludf.DUMMYFUNCTION("""COMPUTED_VALUE"""),"Shooter")</f>
        <v>Shooter</v>
      </c>
      <c r="N239" s="25"/>
      <c r="O239" s="26" t="str">
        <f>IFERROR(__xludf.DUMMYFUNCTION("""COMPUTED_VALUE"""),"No")</f>
        <v>No</v>
      </c>
      <c r="P239" s="26"/>
    </row>
    <row r="240">
      <c r="A240" s="13" t="str">
        <f>IFERROR(__xludf.DUMMYFUNCTION("""COMPUTED_VALUE"""),"Call of Duty: WWII")</f>
        <v>Call of Duty: WWII</v>
      </c>
      <c r="B240" s="15" t="str">
        <f>IFERROR(__xludf.DUMMYFUNCTION("""COMPUTED_VALUE"""),"PS4")</f>
        <v>PS4</v>
      </c>
      <c r="C240" s="16" t="str">
        <f>IFERROR(__xludf.DUMMYFUNCTION("""COMPUTED_VALUE"""),"Playstation Plus (Discontinued)")</f>
        <v>Playstation Plus (Discontinued)</v>
      </c>
      <c r="D240" s="15" t="str">
        <f>IFERROR(__xludf.DUMMYFUNCTION("""COMPUTED_VALUE"""),"Removed")</f>
        <v>Removed</v>
      </c>
      <c r="E240" s="17">
        <f>IFERROR(__xludf.DUMMYFUNCTION("""COMPUTED_VALUE"""),43977.0)</f>
        <v>43977</v>
      </c>
      <c r="F240" s="54">
        <f>IFERROR(__xludf.DUMMYFUNCTION("""COMPUTED_VALUE"""),43983.0)</f>
        <v>43983</v>
      </c>
      <c r="G240" s="19">
        <f>IFERROR(__xludf.DUMMYFUNCTION("""COMPUTED_VALUE"""),0.16666666666666666)</f>
        <v>0.1666666667</v>
      </c>
      <c r="H240" s="17">
        <f>IFERROR(__xludf.DUMMYFUNCTION("""COMPUTED_VALUE"""),43042.0)</f>
        <v>43042</v>
      </c>
      <c r="I240" s="19">
        <f>IFERROR(__xludf.DUMMYFUNCTION("""COMPUTED_VALUE"""),2.563888888888889)</f>
        <v>2.563888889</v>
      </c>
      <c r="J240" s="21">
        <f>IFERROR(__xludf.DUMMYFUNCTION("""COMPUTED_VALUE"""),79.0)</f>
        <v>79</v>
      </c>
      <c r="K240" s="23">
        <f>IFERROR(__xludf.DUMMYFUNCTION("""COMPUTED_VALUE"""),5.8)</f>
        <v>5.8</v>
      </c>
      <c r="L240" s="24">
        <f>IFERROR(__xludf.DUMMYFUNCTION("""COMPUTED_VALUE"""),7.0)</f>
        <v>7</v>
      </c>
      <c r="M240" s="25" t="str">
        <f>IFERROR(__xludf.DUMMYFUNCTION("""COMPUTED_VALUE"""),"Shooter")</f>
        <v>Shooter</v>
      </c>
      <c r="N240" s="25"/>
      <c r="O240" s="26" t="str">
        <f>IFERROR(__xludf.DUMMYFUNCTION("""COMPUTED_VALUE"""),"No")</f>
        <v>No</v>
      </c>
      <c r="P240" s="26"/>
    </row>
    <row r="241">
      <c r="A241" s="13" t="str">
        <f>IFERROR(__xludf.DUMMYFUNCTION("""COMPUTED_VALUE"""),"Cities: Skylines")</f>
        <v>Cities: Skylines</v>
      </c>
      <c r="B241" s="15" t="str">
        <f>IFERROR(__xludf.DUMMYFUNCTION("""COMPUTED_VALUE"""),"PS4")</f>
        <v>PS4</v>
      </c>
      <c r="C241" s="16" t="str">
        <f>IFERROR(__xludf.DUMMYFUNCTION("""COMPUTED_VALUE"""),"Playstation Plus (Discontinued)")</f>
        <v>Playstation Plus (Discontinued)</v>
      </c>
      <c r="D241" s="15" t="str">
        <f>IFERROR(__xludf.DUMMYFUNCTION("""COMPUTED_VALUE"""),"Removed")</f>
        <v>Removed</v>
      </c>
      <c r="E241" s="17">
        <f>IFERROR(__xludf.DUMMYFUNCTION("""COMPUTED_VALUE"""),43956.0)</f>
        <v>43956</v>
      </c>
      <c r="F241" s="54">
        <f>IFERROR(__xludf.DUMMYFUNCTION("""COMPUTED_VALUE"""),43976.0)</f>
        <v>43976</v>
      </c>
      <c r="G241" s="19">
        <f>IFERROR(__xludf.DUMMYFUNCTION("""COMPUTED_VALUE"""),0.6666666666666666)</f>
        <v>0.6666666667</v>
      </c>
      <c r="H241" s="17">
        <f>IFERROR(__xludf.DUMMYFUNCTION("""COMPUTED_VALUE"""),42962.0)</f>
        <v>42962</v>
      </c>
      <c r="I241" s="19">
        <f>IFERROR(__xludf.DUMMYFUNCTION("""COMPUTED_VALUE"""),2.7222222222222223)</f>
        <v>2.722222222</v>
      </c>
      <c r="J241" s="21">
        <f>IFERROR(__xludf.DUMMYFUNCTION("""COMPUTED_VALUE"""),81.0)</f>
        <v>81</v>
      </c>
      <c r="K241" s="23">
        <f>IFERROR(__xludf.DUMMYFUNCTION("""COMPUTED_VALUE"""),7.7)</f>
        <v>7.7</v>
      </c>
      <c r="L241" s="24"/>
      <c r="M241" s="25" t="str">
        <f>IFERROR(__xludf.DUMMYFUNCTION("""COMPUTED_VALUE"""),"Simulation")</f>
        <v>Simulation</v>
      </c>
      <c r="N241" s="25"/>
      <c r="O241" s="26" t="str">
        <f>IFERROR(__xludf.DUMMYFUNCTION("""COMPUTED_VALUE"""),"No")</f>
        <v>No</v>
      </c>
      <c r="P241" s="26"/>
    </row>
    <row r="242">
      <c r="A242" s="13" t="str">
        <f>IFERROR(__xludf.DUMMYFUNCTION("""COMPUTED_VALUE"""),"Farming Simulator 19")</f>
        <v>Farming Simulator 19</v>
      </c>
      <c r="B242" s="15" t="str">
        <f>IFERROR(__xludf.DUMMYFUNCTION("""COMPUTED_VALUE"""),"PS4")</f>
        <v>PS4</v>
      </c>
      <c r="C242" s="16" t="str">
        <f>IFERROR(__xludf.DUMMYFUNCTION("""COMPUTED_VALUE"""),"Playstation Plus (Discontinued)")</f>
        <v>Playstation Plus (Discontinued)</v>
      </c>
      <c r="D242" s="15" t="str">
        <f>IFERROR(__xludf.DUMMYFUNCTION("""COMPUTED_VALUE"""),"Removed")</f>
        <v>Removed</v>
      </c>
      <c r="E242" s="17">
        <f>IFERROR(__xludf.DUMMYFUNCTION("""COMPUTED_VALUE"""),43956.0)</f>
        <v>43956</v>
      </c>
      <c r="F242" s="71">
        <f>IFERROR(__xludf.DUMMYFUNCTION("""COMPUTED_VALUE"""),43976.0)</f>
        <v>43976</v>
      </c>
      <c r="G242" s="19">
        <f>IFERROR(__xludf.DUMMYFUNCTION("""COMPUTED_VALUE"""),0.6666666666666666)</f>
        <v>0.6666666667</v>
      </c>
      <c r="H242" s="17">
        <f>IFERROR(__xludf.DUMMYFUNCTION("""COMPUTED_VALUE"""),43424.0)</f>
        <v>43424</v>
      </c>
      <c r="I242" s="19">
        <f>IFERROR(__xludf.DUMMYFUNCTION("""COMPUTED_VALUE"""),1.4583333333333333)</f>
        <v>1.458333333</v>
      </c>
      <c r="J242" s="21">
        <f>IFERROR(__xludf.DUMMYFUNCTION("""COMPUTED_VALUE"""),64.0)</f>
        <v>64</v>
      </c>
      <c r="K242" s="23">
        <f>IFERROR(__xludf.DUMMYFUNCTION("""COMPUTED_VALUE"""),6.8)</f>
        <v>6.8</v>
      </c>
      <c r="L242" s="24"/>
      <c r="M242" s="25" t="str">
        <f>IFERROR(__xludf.DUMMYFUNCTION("""COMPUTED_VALUE"""),"Farming")</f>
        <v>Farming</v>
      </c>
      <c r="N242" s="25"/>
      <c r="O242" s="26" t="str">
        <f>IFERROR(__xludf.DUMMYFUNCTION("""COMPUTED_VALUE"""),"No")</f>
        <v>No</v>
      </c>
      <c r="P242" s="26"/>
    </row>
    <row r="243">
      <c r="A243" s="13" t="str">
        <f>IFERROR(__xludf.DUMMYFUNCTION("""COMPUTED_VALUE"""),"Uncharted 4: A Thief’s End")</f>
        <v>Uncharted 4: A Thief’s End</v>
      </c>
      <c r="B243" s="15" t="str">
        <f>IFERROR(__xludf.DUMMYFUNCTION("""COMPUTED_VALUE"""),"PS4")</f>
        <v>PS4</v>
      </c>
      <c r="C243" s="16" t="str">
        <f>IFERROR(__xludf.DUMMYFUNCTION("""COMPUTED_VALUE"""),"Playstation Plus (Discontinued)")</f>
        <v>Playstation Plus (Discontinued)</v>
      </c>
      <c r="D243" s="15" t="str">
        <f>IFERROR(__xludf.DUMMYFUNCTION("""COMPUTED_VALUE"""),"Removed")</f>
        <v>Removed</v>
      </c>
      <c r="E243" s="17">
        <f>IFERROR(__xludf.DUMMYFUNCTION("""COMPUTED_VALUE"""),43928.0)</f>
        <v>43928</v>
      </c>
      <c r="F243" s="54">
        <f>IFERROR(__xludf.DUMMYFUNCTION("""COMPUTED_VALUE"""),43955.0)</f>
        <v>43955</v>
      </c>
      <c r="G243" s="19">
        <f>IFERROR(__xludf.DUMMYFUNCTION("""COMPUTED_VALUE"""),0.8999999999999999)</f>
        <v>0.9</v>
      </c>
      <c r="H243" s="17">
        <f>IFERROR(__xludf.DUMMYFUNCTION("""COMPUTED_VALUE"""),42500.0)</f>
        <v>42500</v>
      </c>
      <c r="I243" s="19">
        <f>IFERROR(__xludf.DUMMYFUNCTION("""COMPUTED_VALUE"""),3.908333333333333)</f>
        <v>3.908333333</v>
      </c>
      <c r="J243" s="21">
        <f>IFERROR(__xludf.DUMMYFUNCTION("""COMPUTED_VALUE"""),93.0)</f>
        <v>93</v>
      </c>
      <c r="K243" s="23">
        <f>IFERROR(__xludf.DUMMYFUNCTION("""COMPUTED_VALUE"""),8.6)</f>
        <v>8.6</v>
      </c>
      <c r="L243" s="24">
        <f>IFERROR(__xludf.DUMMYFUNCTION("""COMPUTED_VALUE"""),15.0)</f>
        <v>15</v>
      </c>
      <c r="M243" s="25" t="str">
        <f>IFERROR(__xludf.DUMMYFUNCTION("""COMPUTED_VALUE"""),"Action-Adventure")</f>
        <v>Action-Adventure</v>
      </c>
      <c r="N243" s="25"/>
      <c r="O243" s="26" t="str">
        <f>IFERROR(__xludf.DUMMYFUNCTION("""COMPUTED_VALUE"""),"No")</f>
        <v>No</v>
      </c>
      <c r="P243" s="26"/>
    </row>
    <row r="244">
      <c r="A244" s="13" t="str">
        <f>IFERROR(__xludf.DUMMYFUNCTION("""COMPUTED_VALUE"""),"DiRT Rally 2.0")</f>
        <v>DiRT Rally 2.0</v>
      </c>
      <c r="B244" s="15" t="str">
        <f>IFERROR(__xludf.DUMMYFUNCTION("""COMPUTED_VALUE"""),"PS4")</f>
        <v>PS4</v>
      </c>
      <c r="C244" s="16" t="str">
        <f>IFERROR(__xludf.DUMMYFUNCTION("""COMPUTED_VALUE"""),"Playstation Plus (Discontinued)")</f>
        <v>Playstation Plus (Discontinued)</v>
      </c>
      <c r="D244" s="15" t="str">
        <f>IFERROR(__xludf.DUMMYFUNCTION("""COMPUTED_VALUE"""),"Removed")</f>
        <v>Removed</v>
      </c>
      <c r="E244" s="17">
        <f>IFERROR(__xludf.DUMMYFUNCTION("""COMPUTED_VALUE"""),43928.0)</f>
        <v>43928</v>
      </c>
      <c r="F244" s="54">
        <f>IFERROR(__xludf.DUMMYFUNCTION("""COMPUTED_VALUE"""),43955.0)</f>
        <v>43955</v>
      </c>
      <c r="G244" s="19">
        <f>IFERROR(__xludf.DUMMYFUNCTION("""COMPUTED_VALUE"""),0.8999999999999999)</f>
        <v>0.9</v>
      </c>
      <c r="H244" s="17">
        <f>IFERROR(__xludf.DUMMYFUNCTION("""COMPUTED_VALUE"""),43522.0)</f>
        <v>43522</v>
      </c>
      <c r="I244" s="19">
        <f>IFERROR(__xludf.DUMMYFUNCTION("""COMPUTED_VALUE"""),1.113888888888889)</f>
        <v>1.113888889</v>
      </c>
      <c r="J244" s="21">
        <f>IFERROR(__xludf.DUMMYFUNCTION("""COMPUTED_VALUE"""),84.0)</f>
        <v>84</v>
      </c>
      <c r="K244" s="23">
        <f>IFERROR(__xludf.DUMMYFUNCTION("""COMPUTED_VALUE"""),7.7)</f>
        <v>7.7</v>
      </c>
      <c r="L244" s="24"/>
      <c r="M244" s="25" t="str">
        <f>IFERROR(__xludf.DUMMYFUNCTION("""COMPUTED_VALUE"""),"Racing")</f>
        <v>Racing</v>
      </c>
      <c r="N244" s="25"/>
      <c r="O244" s="26" t="str">
        <f>IFERROR(__xludf.DUMMYFUNCTION("""COMPUTED_VALUE"""),"No")</f>
        <v>No</v>
      </c>
      <c r="P244" s="26"/>
    </row>
    <row r="245">
      <c r="A245" s="13" t="str">
        <f>IFERROR(__xludf.DUMMYFUNCTION("""COMPUTED_VALUE"""),"Shadow of the Colossus")</f>
        <v>Shadow of the Colossus</v>
      </c>
      <c r="B245" s="15" t="str">
        <f>IFERROR(__xludf.DUMMYFUNCTION("""COMPUTED_VALUE"""),"PS4")</f>
        <v>PS4</v>
      </c>
      <c r="C245" s="16" t="str">
        <f>IFERROR(__xludf.DUMMYFUNCTION("""COMPUTED_VALUE"""),"Playstation Plus (Discontinued)")</f>
        <v>Playstation Plus (Discontinued)</v>
      </c>
      <c r="D245" s="15" t="str">
        <f>IFERROR(__xludf.DUMMYFUNCTION("""COMPUTED_VALUE"""),"Removed")</f>
        <v>Removed</v>
      </c>
      <c r="E245" s="17">
        <f>IFERROR(__xludf.DUMMYFUNCTION("""COMPUTED_VALUE"""),43893.0)</f>
        <v>43893</v>
      </c>
      <c r="F245" s="54">
        <f>IFERROR(__xludf.DUMMYFUNCTION("""COMPUTED_VALUE"""),43927.0)</f>
        <v>43927</v>
      </c>
      <c r="G245" s="19">
        <f>IFERROR(__xludf.DUMMYFUNCTION("""COMPUTED_VALUE"""),1.0999999999999999)</f>
        <v>1.1</v>
      </c>
      <c r="H245" s="17">
        <f>IFERROR(__xludf.DUMMYFUNCTION("""COMPUTED_VALUE"""),43137.0)</f>
        <v>43137</v>
      </c>
      <c r="I245" s="19">
        <f>IFERROR(__xludf.DUMMYFUNCTION("""COMPUTED_VALUE"""),2.075)</f>
        <v>2.075</v>
      </c>
      <c r="J245" s="21">
        <f>IFERROR(__xludf.DUMMYFUNCTION("""COMPUTED_VALUE"""),91.0)</f>
        <v>91</v>
      </c>
      <c r="K245" s="23">
        <f>IFERROR(__xludf.DUMMYFUNCTION("""COMPUTED_VALUE"""),8.6)</f>
        <v>8.6</v>
      </c>
      <c r="L245" s="24">
        <f>IFERROR(__xludf.DUMMYFUNCTION("""COMPUTED_VALUE"""),8.0)</f>
        <v>8</v>
      </c>
      <c r="M245" s="25" t="str">
        <f>IFERROR(__xludf.DUMMYFUNCTION("""COMPUTED_VALUE"""),"Action-Adventure")</f>
        <v>Action-Adventure</v>
      </c>
      <c r="N245" s="25"/>
      <c r="O245" s="26" t="str">
        <f>IFERROR(__xludf.DUMMYFUNCTION("""COMPUTED_VALUE"""),"No")</f>
        <v>No</v>
      </c>
      <c r="P245" s="26"/>
    </row>
    <row r="246">
      <c r="A246" s="13" t="str">
        <f>IFERROR(__xludf.DUMMYFUNCTION("""COMPUTED_VALUE"""),"Sonic Forces")</f>
        <v>Sonic Forces</v>
      </c>
      <c r="B246" s="15" t="str">
        <f>IFERROR(__xludf.DUMMYFUNCTION("""COMPUTED_VALUE"""),"PS4")</f>
        <v>PS4</v>
      </c>
      <c r="C246" s="16" t="str">
        <f>IFERROR(__xludf.DUMMYFUNCTION("""COMPUTED_VALUE"""),"Playstation Plus (Discontinued)")</f>
        <v>Playstation Plus (Discontinued)</v>
      </c>
      <c r="D246" s="15" t="str">
        <f>IFERROR(__xludf.DUMMYFUNCTION("""COMPUTED_VALUE"""),"Removed")</f>
        <v>Removed</v>
      </c>
      <c r="E246" s="17">
        <f>IFERROR(__xludf.DUMMYFUNCTION("""COMPUTED_VALUE"""),43893.0)</f>
        <v>43893</v>
      </c>
      <c r="F246" s="54">
        <f>IFERROR(__xludf.DUMMYFUNCTION("""COMPUTED_VALUE"""),43927.0)</f>
        <v>43927</v>
      </c>
      <c r="G246" s="19">
        <f>IFERROR(__xludf.DUMMYFUNCTION("""COMPUTED_VALUE"""),1.0999999999999999)</f>
        <v>1.1</v>
      </c>
      <c r="H246" s="17">
        <f>IFERROR(__xludf.DUMMYFUNCTION("""COMPUTED_VALUE"""),43046.0)</f>
        <v>43046</v>
      </c>
      <c r="I246" s="19">
        <f>IFERROR(__xludf.DUMMYFUNCTION("""COMPUTED_VALUE"""),2.3222222222222224)</f>
        <v>2.322222222</v>
      </c>
      <c r="J246" s="21">
        <f>IFERROR(__xludf.DUMMYFUNCTION("""COMPUTED_VALUE"""),57.0)</f>
        <v>57</v>
      </c>
      <c r="K246" s="23">
        <f>IFERROR(__xludf.DUMMYFUNCTION("""COMPUTED_VALUE"""),6.0)</f>
        <v>6</v>
      </c>
      <c r="L246" s="24">
        <f>IFERROR(__xludf.DUMMYFUNCTION("""COMPUTED_VALUE"""),4.0)</f>
        <v>4</v>
      </c>
      <c r="M246" s="25" t="str">
        <f>IFERROR(__xludf.DUMMYFUNCTION("""COMPUTED_VALUE"""),"Platformer")</f>
        <v>Platformer</v>
      </c>
      <c r="N246" s="25"/>
      <c r="O246" s="26" t="str">
        <f>IFERROR(__xludf.DUMMYFUNCTION("""COMPUTED_VALUE"""),"No")</f>
        <v>No</v>
      </c>
      <c r="P246" s="26"/>
    </row>
    <row r="247">
      <c r="A247" s="13" t="str">
        <f>IFERROR(__xludf.DUMMYFUNCTION("""COMPUTED_VALUE"""),"Bioshock: The Collection")</f>
        <v>Bioshock: The Collection</v>
      </c>
      <c r="B247" s="15" t="str">
        <f>IFERROR(__xludf.DUMMYFUNCTION("""COMPUTED_VALUE"""),"PS4")</f>
        <v>PS4</v>
      </c>
      <c r="C247" s="16" t="str">
        <f>IFERROR(__xludf.DUMMYFUNCTION("""COMPUTED_VALUE"""),"Playstation Plus (Discontinued)")</f>
        <v>Playstation Plus (Discontinued)</v>
      </c>
      <c r="D247" s="15" t="str">
        <f>IFERROR(__xludf.DUMMYFUNCTION("""COMPUTED_VALUE"""),"Removed")</f>
        <v>Removed</v>
      </c>
      <c r="E247" s="17">
        <f>IFERROR(__xludf.DUMMYFUNCTION("""COMPUTED_VALUE"""),43865.0)</f>
        <v>43865</v>
      </c>
      <c r="F247" s="54">
        <f>IFERROR(__xludf.DUMMYFUNCTION("""COMPUTED_VALUE"""),43892.0)</f>
        <v>43892</v>
      </c>
      <c r="G247" s="19">
        <f>IFERROR(__xludf.DUMMYFUNCTION("""COMPUTED_VALUE"""),0.9333333333333333)</f>
        <v>0.9333333333</v>
      </c>
      <c r="H247" s="17">
        <f>IFERROR(__xludf.DUMMYFUNCTION("""COMPUTED_VALUE"""),42626.0)</f>
        <v>42626</v>
      </c>
      <c r="I247" s="19">
        <f>IFERROR(__xludf.DUMMYFUNCTION("""COMPUTED_VALUE"""),3.3916666666666666)</f>
        <v>3.391666667</v>
      </c>
      <c r="J247" s="21">
        <f>IFERROR(__xludf.DUMMYFUNCTION("""COMPUTED_VALUE"""),84.0)</f>
        <v>84</v>
      </c>
      <c r="K247" s="23">
        <f>IFERROR(__xludf.DUMMYFUNCTION("""COMPUTED_VALUE"""),7.9)</f>
        <v>7.9</v>
      </c>
      <c r="L247" s="24">
        <f>IFERROR(__xludf.DUMMYFUNCTION("""COMPUTED_VALUE"""),37.0)</f>
        <v>37</v>
      </c>
      <c r="M247" s="25" t="str">
        <f>IFERROR(__xludf.DUMMYFUNCTION("""COMPUTED_VALUE"""),"Shooter")</f>
        <v>Shooter</v>
      </c>
      <c r="N247" s="25"/>
      <c r="O247" s="26" t="str">
        <f>IFERROR(__xludf.DUMMYFUNCTION("""COMPUTED_VALUE"""),"No")</f>
        <v>No</v>
      </c>
      <c r="P247" s="26"/>
    </row>
    <row r="248">
      <c r="A248" s="13" t="str">
        <f>IFERROR(__xludf.DUMMYFUNCTION("""COMPUTED_VALUE"""),"The Sims 4")</f>
        <v>The Sims 4</v>
      </c>
      <c r="B248" s="15" t="str">
        <f>IFERROR(__xludf.DUMMYFUNCTION("""COMPUTED_VALUE"""),"PS4")</f>
        <v>PS4</v>
      </c>
      <c r="C248" s="16" t="str">
        <f>IFERROR(__xludf.DUMMYFUNCTION("""COMPUTED_VALUE"""),"Playstation Plus (Discontinued)")</f>
        <v>Playstation Plus (Discontinued)</v>
      </c>
      <c r="D248" s="15" t="str">
        <f>IFERROR(__xludf.DUMMYFUNCTION("""COMPUTED_VALUE"""),"Removed")</f>
        <v>Removed</v>
      </c>
      <c r="E248" s="17">
        <f>IFERROR(__xludf.DUMMYFUNCTION("""COMPUTED_VALUE"""),43865.0)</f>
        <v>43865</v>
      </c>
      <c r="F248" s="54">
        <f>IFERROR(__xludf.DUMMYFUNCTION("""COMPUTED_VALUE"""),43892.0)</f>
        <v>43892</v>
      </c>
      <c r="G248" s="19">
        <f>IFERROR(__xludf.DUMMYFUNCTION("""COMPUTED_VALUE"""),0.9333333333333333)</f>
        <v>0.9333333333</v>
      </c>
      <c r="H248" s="17">
        <f>IFERROR(__xludf.DUMMYFUNCTION("""COMPUTED_VALUE"""),43056.0)</f>
        <v>43056</v>
      </c>
      <c r="I248" s="19">
        <f>IFERROR(__xludf.DUMMYFUNCTION("""COMPUTED_VALUE"""),2.213888888888889)</f>
        <v>2.213888889</v>
      </c>
      <c r="J248" s="21">
        <f>IFERROR(__xludf.DUMMYFUNCTION("""COMPUTED_VALUE"""),66.0)</f>
        <v>66</v>
      </c>
      <c r="K248" s="23">
        <f>IFERROR(__xludf.DUMMYFUNCTION("""COMPUTED_VALUE"""),4.7)</f>
        <v>4.7</v>
      </c>
      <c r="L248" s="24"/>
      <c r="M248" s="25" t="str">
        <f>IFERROR(__xludf.DUMMYFUNCTION("""COMPUTED_VALUE"""),"Simulation")</f>
        <v>Simulation</v>
      </c>
      <c r="N248" s="25"/>
      <c r="O248" s="26" t="str">
        <f>IFERROR(__xludf.DUMMYFUNCTION("""COMPUTED_VALUE"""),"No")</f>
        <v>No</v>
      </c>
      <c r="P248" s="26"/>
    </row>
    <row r="249">
      <c r="A249" s="13" t="str">
        <f>IFERROR(__xludf.DUMMYFUNCTION("""COMPUTED_VALUE"""),"Firewall Zero Hour")</f>
        <v>Firewall Zero Hour</v>
      </c>
      <c r="B249" s="15" t="str">
        <f>IFERROR(__xludf.DUMMYFUNCTION("""COMPUTED_VALUE"""),"PS4/PSVR")</f>
        <v>PS4/PSVR</v>
      </c>
      <c r="C249" s="16" t="str">
        <f>IFERROR(__xludf.DUMMYFUNCTION("""COMPUTED_VALUE"""),"Playstation Plus (Discontinued)")</f>
        <v>Playstation Plus (Discontinued)</v>
      </c>
      <c r="D249" s="15" t="str">
        <f>IFERROR(__xludf.DUMMYFUNCTION("""COMPUTED_VALUE"""),"Removed")</f>
        <v>Removed</v>
      </c>
      <c r="E249" s="17">
        <f>IFERROR(__xludf.DUMMYFUNCTION("""COMPUTED_VALUE"""),43865.0)</f>
        <v>43865</v>
      </c>
      <c r="F249" s="18">
        <f>IFERROR(__xludf.DUMMYFUNCTION("""COMPUTED_VALUE"""),43892.0)</f>
        <v>43892</v>
      </c>
      <c r="G249" s="19">
        <f>IFERROR(__xludf.DUMMYFUNCTION("""COMPUTED_VALUE"""),0.9333333333333333)</f>
        <v>0.9333333333</v>
      </c>
      <c r="H249" s="17">
        <f>IFERROR(__xludf.DUMMYFUNCTION("""COMPUTED_VALUE"""),43340.0)</f>
        <v>43340</v>
      </c>
      <c r="I249" s="19">
        <f>IFERROR(__xludf.DUMMYFUNCTION("""COMPUTED_VALUE"""),1.4333333333333333)</f>
        <v>1.433333333</v>
      </c>
      <c r="J249" s="21">
        <f>IFERROR(__xludf.DUMMYFUNCTION("""COMPUTED_VALUE"""),79.0)</f>
        <v>79</v>
      </c>
      <c r="K249" s="23">
        <f>IFERROR(__xludf.DUMMYFUNCTION("""COMPUTED_VALUE"""),8.8)</f>
        <v>8.8</v>
      </c>
      <c r="L249" s="24"/>
      <c r="M249" s="25" t="str">
        <f>IFERROR(__xludf.DUMMYFUNCTION("""COMPUTED_VALUE"""),"Shooter")</f>
        <v>Shooter</v>
      </c>
      <c r="N249" s="25"/>
      <c r="O249" s="26" t="str">
        <f>IFERROR(__xludf.DUMMYFUNCTION("""COMPUTED_VALUE"""),"No")</f>
        <v>No</v>
      </c>
      <c r="P249" s="26"/>
    </row>
    <row r="250">
      <c r="A250" s="13" t="str">
        <f>IFERROR(__xludf.DUMMYFUNCTION("""COMPUTED_VALUE"""),"Uncharted: The Nathan Drake Collection")</f>
        <v>Uncharted: The Nathan Drake Collection</v>
      </c>
      <c r="B250" s="15" t="str">
        <f>IFERROR(__xludf.DUMMYFUNCTION("""COMPUTED_VALUE"""),"PS4")</f>
        <v>PS4</v>
      </c>
      <c r="C250" s="16" t="str">
        <f>IFERROR(__xludf.DUMMYFUNCTION("""COMPUTED_VALUE"""),"Playstation Plus (Discontinued)")</f>
        <v>Playstation Plus (Discontinued)</v>
      </c>
      <c r="D250" s="15" t="str">
        <f>IFERROR(__xludf.DUMMYFUNCTION("""COMPUTED_VALUE"""),"Removed")</f>
        <v>Removed</v>
      </c>
      <c r="E250" s="17">
        <f>IFERROR(__xludf.DUMMYFUNCTION("""COMPUTED_VALUE"""),43837.0)</f>
        <v>43837</v>
      </c>
      <c r="F250" s="54">
        <f>IFERROR(__xludf.DUMMYFUNCTION("""COMPUTED_VALUE"""),43864.0)</f>
        <v>43864</v>
      </c>
      <c r="G250" s="19">
        <f>IFERROR(__xludf.DUMMYFUNCTION("""COMPUTED_VALUE"""),0.8666666666666666)</f>
        <v>0.8666666667</v>
      </c>
      <c r="H250" s="17">
        <f>IFERROR(__xludf.DUMMYFUNCTION("""COMPUTED_VALUE"""),42286.0)</f>
        <v>42286</v>
      </c>
      <c r="I250" s="19">
        <f>IFERROR(__xludf.DUMMYFUNCTION("""COMPUTED_VALUE"""),4.2444444444444445)</f>
        <v>4.244444444</v>
      </c>
      <c r="J250" s="21">
        <f>IFERROR(__xludf.DUMMYFUNCTION("""COMPUTED_VALUE"""),86.0)</f>
        <v>86</v>
      </c>
      <c r="K250" s="23">
        <f>IFERROR(__xludf.DUMMYFUNCTION("""COMPUTED_VALUE"""),8.6)</f>
        <v>8.6</v>
      </c>
      <c r="L250" s="24">
        <f>IFERROR(__xludf.DUMMYFUNCTION("""COMPUTED_VALUE"""),36.0)</f>
        <v>36</v>
      </c>
      <c r="M250" s="25" t="str">
        <f>IFERROR(__xludf.DUMMYFUNCTION("""COMPUTED_VALUE"""),"Action-Adventure")</f>
        <v>Action-Adventure</v>
      </c>
      <c r="N250" s="25"/>
      <c r="O250" s="26" t="str">
        <f>IFERROR(__xludf.DUMMYFUNCTION("""COMPUTED_VALUE"""),"No")</f>
        <v>No</v>
      </c>
      <c r="P250" s="26"/>
    </row>
    <row r="251">
      <c r="A251" s="13" t="str">
        <f>IFERROR(__xludf.DUMMYFUNCTION("""COMPUTED_VALUE"""),"Goat Simulator")</f>
        <v>Goat Simulator</v>
      </c>
      <c r="B251" s="15" t="str">
        <f>IFERROR(__xludf.DUMMYFUNCTION("""COMPUTED_VALUE"""),"PS4")</f>
        <v>PS4</v>
      </c>
      <c r="C251" s="16" t="str">
        <f>IFERROR(__xludf.DUMMYFUNCTION("""COMPUTED_VALUE"""),"Playstation Plus (Discontinued)")</f>
        <v>Playstation Plus (Discontinued)</v>
      </c>
      <c r="D251" s="15" t="str">
        <f>IFERROR(__xludf.DUMMYFUNCTION("""COMPUTED_VALUE"""),"Removed")</f>
        <v>Removed</v>
      </c>
      <c r="E251" s="17">
        <f>IFERROR(__xludf.DUMMYFUNCTION("""COMPUTED_VALUE"""),43837.0)</f>
        <v>43837</v>
      </c>
      <c r="F251" s="54">
        <f>IFERROR(__xludf.DUMMYFUNCTION("""COMPUTED_VALUE"""),43864.0)</f>
        <v>43864</v>
      </c>
      <c r="G251" s="19">
        <f>IFERROR(__xludf.DUMMYFUNCTION("""COMPUTED_VALUE"""),0.8666666666666666)</f>
        <v>0.8666666667</v>
      </c>
      <c r="H251" s="17">
        <f>IFERROR(__xludf.DUMMYFUNCTION("""COMPUTED_VALUE"""),42108.0)</f>
        <v>42108</v>
      </c>
      <c r="I251" s="19">
        <f>IFERROR(__xludf.DUMMYFUNCTION("""COMPUTED_VALUE"""),4.730555555555555)</f>
        <v>4.730555556</v>
      </c>
      <c r="J251" s="21">
        <f>IFERROR(__xludf.DUMMYFUNCTION("""COMPUTED_VALUE"""),58.0)</f>
        <v>58</v>
      </c>
      <c r="K251" s="23">
        <f>IFERROR(__xludf.DUMMYFUNCTION("""COMPUTED_VALUE"""),7.1)</f>
        <v>7.1</v>
      </c>
      <c r="L251" s="24">
        <f>IFERROR(__xludf.DUMMYFUNCTION("""COMPUTED_VALUE"""),4.0)</f>
        <v>4</v>
      </c>
      <c r="M251" s="25" t="str">
        <f>IFERROR(__xludf.DUMMYFUNCTION("""COMPUTED_VALUE"""),"Simulation")</f>
        <v>Simulation</v>
      </c>
      <c r="N251" s="25"/>
      <c r="O251" s="26" t="str">
        <f>IFERROR(__xludf.DUMMYFUNCTION("""COMPUTED_VALUE"""),"No")</f>
        <v>No</v>
      </c>
      <c r="P251" s="26"/>
    </row>
    <row r="252">
      <c r="A252" s="13" t="str">
        <f>IFERROR(__xludf.DUMMYFUNCTION("""COMPUTED_VALUE"""),"Titanfall 2")</f>
        <v>Titanfall 2</v>
      </c>
      <c r="B252" s="15" t="str">
        <f>IFERROR(__xludf.DUMMYFUNCTION("""COMPUTED_VALUE"""),"PS4")</f>
        <v>PS4</v>
      </c>
      <c r="C252" s="16" t="str">
        <f>IFERROR(__xludf.DUMMYFUNCTION("""COMPUTED_VALUE"""),"Playstation Plus (Discontinued)")</f>
        <v>Playstation Plus (Discontinued)</v>
      </c>
      <c r="D252" s="15" t="str">
        <f>IFERROR(__xludf.DUMMYFUNCTION("""COMPUTED_VALUE"""),"Removed")</f>
        <v>Removed</v>
      </c>
      <c r="E252" s="17">
        <f>IFERROR(__xludf.DUMMYFUNCTION("""COMPUTED_VALUE"""),43802.0)</f>
        <v>43802</v>
      </c>
      <c r="F252" s="54">
        <f>IFERROR(__xludf.DUMMYFUNCTION("""COMPUTED_VALUE"""),43836.0)</f>
        <v>43836</v>
      </c>
      <c r="G252" s="19">
        <f>IFERROR(__xludf.DUMMYFUNCTION("""COMPUTED_VALUE"""),1.0999999999999999)</f>
        <v>1.1</v>
      </c>
      <c r="H252" s="17">
        <f>IFERROR(__xludf.DUMMYFUNCTION("""COMPUTED_VALUE"""),42671.0)</f>
        <v>42671</v>
      </c>
      <c r="I252" s="19">
        <f>IFERROR(__xludf.DUMMYFUNCTION("""COMPUTED_VALUE"""),3.0972222222222223)</f>
        <v>3.097222222</v>
      </c>
      <c r="J252" s="21">
        <f>IFERROR(__xludf.DUMMYFUNCTION("""COMPUTED_VALUE"""),89.0)</f>
        <v>89</v>
      </c>
      <c r="K252" s="23">
        <f>IFERROR(__xludf.DUMMYFUNCTION("""COMPUTED_VALUE"""),8.6)</f>
        <v>8.6</v>
      </c>
      <c r="L252" s="24">
        <f>IFERROR(__xludf.DUMMYFUNCTION("""COMPUTED_VALUE"""),8.0)</f>
        <v>8</v>
      </c>
      <c r="M252" s="25" t="str">
        <f>IFERROR(__xludf.DUMMYFUNCTION("""COMPUTED_VALUE"""),"Shooter")</f>
        <v>Shooter</v>
      </c>
      <c r="N252" s="25"/>
      <c r="O252" s="26" t="str">
        <f>IFERROR(__xludf.DUMMYFUNCTION("""COMPUTED_VALUE"""),"No")</f>
        <v>No</v>
      </c>
      <c r="P252" s="26"/>
    </row>
    <row r="253">
      <c r="A253" s="13" t="str">
        <f>IFERROR(__xludf.DUMMYFUNCTION("""COMPUTED_VALUE"""),"Monster Energy Supercross: The Game")</f>
        <v>Monster Energy Supercross: The Game</v>
      </c>
      <c r="B253" s="15" t="str">
        <f>IFERROR(__xludf.DUMMYFUNCTION("""COMPUTED_VALUE"""),"PS4")</f>
        <v>PS4</v>
      </c>
      <c r="C253" s="16" t="str">
        <f>IFERROR(__xludf.DUMMYFUNCTION("""COMPUTED_VALUE"""),"Playstation Plus (Discontinued)")</f>
        <v>Playstation Plus (Discontinued)</v>
      </c>
      <c r="D253" s="15" t="str">
        <f>IFERROR(__xludf.DUMMYFUNCTION("""COMPUTED_VALUE"""),"Removed")</f>
        <v>Removed</v>
      </c>
      <c r="E253" s="17">
        <f>IFERROR(__xludf.DUMMYFUNCTION("""COMPUTED_VALUE"""),43802.0)</f>
        <v>43802</v>
      </c>
      <c r="F253" s="54">
        <f>IFERROR(__xludf.DUMMYFUNCTION("""COMPUTED_VALUE"""),43836.0)</f>
        <v>43836</v>
      </c>
      <c r="G253" s="19">
        <f>IFERROR(__xludf.DUMMYFUNCTION("""COMPUTED_VALUE"""),1.0999999999999999)</f>
        <v>1.1</v>
      </c>
      <c r="H253" s="17">
        <f>IFERROR(__xludf.DUMMYFUNCTION("""COMPUTED_VALUE"""),43144.0)</f>
        <v>43144</v>
      </c>
      <c r="I253" s="19">
        <f>IFERROR(__xludf.DUMMYFUNCTION("""COMPUTED_VALUE"""),1.8055555555555556)</f>
        <v>1.805555556</v>
      </c>
      <c r="J253" s="21">
        <f>IFERROR(__xludf.DUMMYFUNCTION("""COMPUTED_VALUE"""),67.0)</f>
        <v>67</v>
      </c>
      <c r="K253" s="23">
        <f>IFERROR(__xludf.DUMMYFUNCTION("""COMPUTED_VALUE"""),5.9)</f>
        <v>5.9</v>
      </c>
      <c r="L253" s="24"/>
      <c r="M253" s="25" t="str">
        <f>IFERROR(__xludf.DUMMYFUNCTION("""COMPUTED_VALUE"""),"Racing")</f>
        <v>Racing</v>
      </c>
      <c r="N253" s="25"/>
      <c r="O253" s="26" t="str">
        <f>IFERROR(__xludf.DUMMYFUNCTION("""COMPUTED_VALUE"""),"No")</f>
        <v>No</v>
      </c>
      <c r="P253" s="26"/>
    </row>
    <row r="254">
      <c r="A254" s="13" t="str">
        <f>IFERROR(__xludf.DUMMYFUNCTION("""COMPUTED_VALUE"""),"Nioh")</f>
        <v>Nioh</v>
      </c>
      <c r="B254" s="15" t="str">
        <f>IFERROR(__xludf.DUMMYFUNCTION("""COMPUTED_VALUE"""),"PS4")</f>
        <v>PS4</v>
      </c>
      <c r="C254" s="16" t="str">
        <f>IFERROR(__xludf.DUMMYFUNCTION("""COMPUTED_VALUE"""),"Playstation Plus (Discontinued)")</f>
        <v>Playstation Plus (Discontinued)</v>
      </c>
      <c r="D254" s="15" t="str">
        <f>IFERROR(__xludf.DUMMYFUNCTION("""COMPUTED_VALUE"""),"Removed")</f>
        <v>Removed</v>
      </c>
      <c r="E254" s="17">
        <f>IFERROR(__xludf.DUMMYFUNCTION("""COMPUTED_VALUE"""),43774.0)</f>
        <v>43774</v>
      </c>
      <c r="F254" s="54">
        <f>IFERROR(__xludf.DUMMYFUNCTION("""COMPUTED_VALUE"""),43801.0)</f>
        <v>43801</v>
      </c>
      <c r="G254" s="19">
        <f>IFERROR(__xludf.DUMMYFUNCTION("""COMPUTED_VALUE"""),0.8999999999999999)</f>
        <v>0.9</v>
      </c>
      <c r="H254" s="17">
        <f>IFERROR(__xludf.DUMMYFUNCTION("""COMPUTED_VALUE"""),42773.0)</f>
        <v>42773</v>
      </c>
      <c r="I254" s="19">
        <f>IFERROR(__xludf.DUMMYFUNCTION("""COMPUTED_VALUE"""),2.7444444444444445)</f>
        <v>2.744444444</v>
      </c>
      <c r="J254" s="21">
        <f>IFERROR(__xludf.DUMMYFUNCTION("""COMPUTED_VALUE"""),88.0)</f>
        <v>88</v>
      </c>
      <c r="K254" s="23">
        <f>IFERROR(__xludf.DUMMYFUNCTION("""COMPUTED_VALUE"""),8.6)</f>
        <v>8.6</v>
      </c>
      <c r="L254" s="24">
        <f>IFERROR(__xludf.DUMMYFUNCTION("""COMPUTED_VALUE"""),35.0)</f>
        <v>35</v>
      </c>
      <c r="M254" s="25" t="str">
        <f>IFERROR(__xludf.DUMMYFUNCTION("""COMPUTED_VALUE"""),"Action-Adventure")</f>
        <v>Action-Adventure</v>
      </c>
      <c r="N254" s="25"/>
      <c r="O254" s="26" t="str">
        <f>IFERROR(__xludf.DUMMYFUNCTION("""COMPUTED_VALUE"""),"No")</f>
        <v>No</v>
      </c>
      <c r="P254" s="26"/>
    </row>
    <row r="255">
      <c r="A255" s="13" t="str">
        <f>IFERROR(__xludf.DUMMYFUNCTION("""COMPUTED_VALUE"""),"Outlast 2")</f>
        <v>Outlast 2</v>
      </c>
      <c r="B255" s="15" t="str">
        <f>IFERROR(__xludf.DUMMYFUNCTION("""COMPUTED_VALUE"""),"PS4")</f>
        <v>PS4</v>
      </c>
      <c r="C255" s="16" t="str">
        <f>IFERROR(__xludf.DUMMYFUNCTION("""COMPUTED_VALUE"""),"Playstation Plus (Discontinued)")</f>
        <v>Playstation Plus (Discontinued)</v>
      </c>
      <c r="D255" s="15" t="str">
        <f>IFERROR(__xludf.DUMMYFUNCTION("""COMPUTED_VALUE"""),"Removed")</f>
        <v>Removed</v>
      </c>
      <c r="E255" s="17">
        <f>IFERROR(__xludf.DUMMYFUNCTION("""COMPUTED_VALUE"""),43774.0)</f>
        <v>43774</v>
      </c>
      <c r="F255" s="54">
        <f>IFERROR(__xludf.DUMMYFUNCTION("""COMPUTED_VALUE"""),43801.0)</f>
        <v>43801</v>
      </c>
      <c r="G255" s="19">
        <f>IFERROR(__xludf.DUMMYFUNCTION("""COMPUTED_VALUE"""),0.8999999999999999)</f>
        <v>0.9</v>
      </c>
      <c r="H255" s="17">
        <f>IFERROR(__xludf.DUMMYFUNCTION("""COMPUTED_VALUE"""),42850.0)</f>
        <v>42850</v>
      </c>
      <c r="I255" s="19">
        <f>IFERROR(__xludf.DUMMYFUNCTION("""COMPUTED_VALUE"""),2.5277777777777777)</f>
        <v>2.527777778</v>
      </c>
      <c r="J255" s="21">
        <f>IFERROR(__xludf.DUMMYFUNCTION("""COMPUTED_VALUE"""),68.0)</f>
        <v>68</v>
      </c>
      <c r="K255" s="23">
        <f>IFERROR(__xludf.DUMMYFUNCTION("""COMPUTED_VALUE"""),6.8)</f>
        <v>6.8</v>
      </c>
      <c r="L255" s="24">
        <f>IFERROR(__xludf.DUMMYFUNCTION("""COMPUTED_VALUE"""),9.0)</f>
        <v>9</v>
      </c>
      <c r="M255" s="25" t="str">
        <f>IFERROR(__xludf.DUMMYFUNCTION("""COMPUTED_VALUE"""),"Horror")</f>
        <v>Horror</v>
      </c>
      <c r="N255" s="25"/>
      <c r="O255" s="26" t="str">
        <f>IFERROR(__xludf.DUMMYFUNCTION("""COMPUTED_VALUE"""),"No")</f>
        <v>No</v>
      </c>
      <c r="P255" s="26"/>
    </row>
    <row r="256">
      <c r="A256" s="13" t="str">
        <f>IFERROR(__xludf.DUMMYFUNCTION("""COMPUTED_VALUE"""),"The Last of Us Remastered")</f>
        <v>The Last of Us Remastered</v>
      </c>
      <c r="B256" s="15" t="str">
        <f>IFERROR(__xludf.DUMMYFUNCTION("""COMPUTED_VALUE"""),"PS4")</f>
        <v>PS4</v>
      </c>
      <c r="C256" s="16" t="str">
        <f>IFERROR(__xludf.DUMMYFUNCTION("""COMPUTED_VALUE"""),"Playstation Plus (Discontinued)")</f>
        <v>Playstation Plus (Discontinued)</v>
      </c>
      <c r="D256" s="15" t="str">
        <f>IFERROR(__xludf.DUMMYFUNCTION("""COMPUTED_VALUE"""),"Removed")</f>
        <v>Removed</v>
      </c>
      <c r="E256" s="17">
        <f>IFERROR(__xludf.DUMMYFUNCTION("""COMPUTED_VALUE"""),43739.0)</f>
        <v>43739</v>
      </c>
      <c r="F256" s="54">
        <f>IFERROR(__xludf.DUMMYFUNCTION("""COMPUTED_VALUE"""),43773.0)</f>
        <v>43773</v>
      </c>
      <c r="G256" s="19">
        <f>IFERROR(__xludf.DUMMYFUNCTION("""COMPUTED_VALUE"""),1.0999999999999999)</f>
        <v>1.1</v>
      </c>
      <c r="H256" s="17">
        <f>IFERROR(__xludf.DUMMYFUNCTION("""COMPUTED_VALUE"""),41849.0)</f>
        <v>41849</v>
      </c>
      <c r="I256" s="19">
        <f>IFERROR(__xludf.DUMMYFUNCTION("""COMPUTED_VALUE"""),5.1722222222222225)</f>
        <v>5.172222222</v>
      </c>
      <c r="J256" s="21">
        <f>IFERROR(__xludf.DUMMYFUNCTION("""COMPUTED_VALUE"""),95.0)</f>
        <v>95</v>
      </c>
      <c r="K256" s="23">
        <f>IFERROR(__xludf.DUMMYFUNCTION("""COMPUTED_VALUE"""),9.2)</f>
        <v>9.2</v>
      </c>
      <c r="L256" s="24">
        <f>IFERROR(__xludf.DUMMYFUNCTION("""COMPUTED_VALUE"""),15.0)</f>
        <v>15</v>
      </c>
      <c r="M256" s="25" t="str">
        <f>IFERROR(__xludf.DUMMYFUNCTION("""COMPUTED_VALUE"""),"Action-Adventure")</f>
        <v>Action-Adventure</v>
      </c>
      <c r="N256" s="25"/>
      <c r="O256" s="26" t="str">
        <f>IFERROR(__xludf.DUMMYFUNCTION("""COMPUTED_VALUE"""),"No")</f>
        <v>No</v>
      </c>
      <c r="P256" s="26"/>
    </row>
    <row r="257">
      <c r="A257" s="13" t="str">
        <f>IFERROR(__xludf.DUMMYFUNCTION("""COMPUTED_VALUE"""),"MLB The Show 19")</f>
        <v>MLB The Show 19</v>
      </c>
      <c r="B257" s="15" t="str">
        <f>IFERROR(__xludf.DUMMYFUNCTION("""COMPUTED_VALUE"""),"PS4")</f>
        <v>PS4</v>
      </c>
      <c r="C257" s="16" t="str">
        <f>IFERROR(__xludf.DUMMYFUNCTION("""COMPUTED_VALUE"""),"Playstation Plus (Discontinued)")</f>
        <v>Playstation Plus (Discontinued)</v>
      </c>
      <c r="D257" s="15" t="str">
        <f>IFERROR(__xludf.DUMMYFUNCTION("""COMPUTED_VALUE"""),"Removed")</f>
        <v>Removed</v>
      </c>
      <c r="E257" s="17">
        <f>IFERROR(__xludf.DUMMYFUNCTION("""COMPUTED_VALUE"""),43739.0)</f>
        <v>43739</v>
      </c>
      <c r="F257" s="54">
        <f>IFERROR(__xludf.DUMMYFUNCTION("""COMPUTED_VALUE"""),43773.0)</f>
        <v>43773</v>
      </c>
      <c r="G257" s="19">
        <f>IFERROR(__xludf.DUMMYFUNCTION("""COMPUTED_VALUE"""),1.0999999999999999)</f>
        <v>1.1</v>
      </c>
      <c r="H257" s="17">
        <f>IFERROR(__xludf.DUMMYFUNCTION("""COMPUTED_VALUE"""),43550.0)</f>
        <v>43550</v>
      </c>
      <c r="I257" s="19">
        <f>IFERROR(__xludf.DUMMYFUNCTION("""COMPUTED_VALUE"""),0.5138888888888888)</f>
        <v>0.5138888889</v>
      </c>
      <c r="J257" s="21">
        <f>IFERROR(__xludf.DUMMYFUNCTION("""COMPUTED_VALUE"""),86.0)</f>
        <v>86</v>
      </c>
      <c r="K257" s="23">
        <f>IFERROR(__xludf.DUMMYFUNCTION("""COMPUTED_VALUE"""),7.7)</f>
        <v>7.7</v>
      </c>
      <c r="L257" s="24"/>
      <c r="M257" s="25" t="str">
        <f>IFERROR(__xludf.DUMMYFUNCTION("""COMPUTED_VALUE"""),"Sports")</f>
        <v>Sports</v>
      </c>
      <c r="N257" s="25"/>
      <c r="O257" s="26" t="str">
        <f>IFERROR(__xludf.DUMMYFUNCTION("""COMPUTED_VALUE"""),"No")</f>
        <v>No</v>
      </c>
      <c r="P257" s="26"/>
    </row>
    <row r="258">
      <c r="A258" s="13" t="str">
        <f>IFERROR(__xludf.DUMMYFUNCTION("""COMPUTED_VALUE"""),"Batman Arkham Knight")</f>
        <v>Batman Arkham Knight</v>
      </c>
      <c r="B258" s="15" t="str">
        <f>IFERROR(__xludf.DUMMYFUNCTION("""COMPUTED_VALUE"""),"PS4")</f>
        <v>PS4</v>
      </c>
      <c r="C258" s="16" t="str">
        <f>IFERROR(__xludf.DUMMYFUNCTION("""COMPUTED_VALUE"""),"Playstation Plus (Discontinued)")</f>
        <v>Playstation Plus (Discontinued)</v>
      </c>
      <c r="D258" s="15" t="str">
        <f>IFERROR(__xludf.DUMMYFUNCTION("""COMPUTED_VALUE"""),"Removed")</f>
        <v>Removed</v>
      </c>
      <c r="E258" s="17">
        <f>IFERROR(__xludf.DUMMYFUNCTION("""COMPUTED_VALUE"""),43711.0)</f>
        <v>43711</v>
      </c>
      <c r="F258" s="54">
        <f>IFERROR(__xludf.DUMMYFUNCTION("""COMPUTED_VALUE"""),43738.0)</f>
        <v>43738</v>
      </c>
      <c r="G258" s="19">
        <f>IFERROR(__xludf.DUMMYFUNCTION("""COMPUTED_VALUE"""),0.8999999999999999)</f>
        <v>0.9</v>
      </c>
      <c r="H258" s="17">
        <f>IFERROR(__xludf.DUMMYFUNCTION("""COMPUTED_VALUE"""),42178.0)</f>
        <v>42178</v>
      </c>
      <c r="I258" s="19">
        <f>IFERROR(__xludf.DUMMYFUNCTION("""COMPUTED_VALUE"""),4.194444444444445)</f>
        <v>4.194444444</v>
      </c>
      <c r="J258" s="21">
        <f>IFERROR(__xludf.DUMMYFUNCTION("""COMPUTED_VALUE"""),87.0)</f>
        <v>87</v>
      </c>
      <c r="K258" s="23">
        <f>IFERROR(__xludf.DUMMYFUNCTION("""COMPUTED_VALUE"""),7.9)</f>
        <v>7.9</v>
      </c>
      <c r="L258" s="24">
        <f>IFERROR(__xludf.DUMMYFUNCTION("""COMPUTED_VALUE"""),16.0)</f>
        <v>16</v>
      </c>
      <c r="M258" s="25" t="str">
        <f>IFERROR(__xludf.DUMMYFUNCTION("""COMPUTED_VALUE"""),"Action-Adventure")</f>
        <v>Action-Adventure</v>
      </c>
      <c r="N258" s="25"/>
      <c r="O258" s="26" t="str">
        <f>IFERROR(__xludf.DUMMYFUNCTION("""COMPUTED_VALUE"""),"No")</f>
        <v>No</v>
      </c>
      <c r="P258" s="26"/>
    </row>
    <row r="259">
      <c r="A259" s="13" t="str">
        <f>IFERROR(__xludf.DUMMYFUNCTION("""COMPUTED_VALUE"""),"Darksiders III")</f>
        <v>Darksiders III</v>
      </c>
      <c r="B259" s="15" t="str">
        <f>IFERROR(__xludf.DUMMYFUNCTION("""COMPUTED_VALUE"""),"PS4")</f>
        <v>PS4</v>
      </c>
      <c r="C259" s="16" t="str">
        <f>IFERROR(__xludf.DUMMYFUNCTION("""COMPUTED_VALUE"""),"Playstation Plus (Discontinued)")</f>
        <v>Playstation Plus (Discontinued)</v>
      </c>
      <c r="D259" s="15" t="str">
        <f>IFERROR(__xludf.DUMMYFUNCTION("""COMPUTED_VALUE"""),"Removed")</f>
        <v>Removed</v>
      </c>
      <c r="E259" s="17">
        <f>IFERROR(__xludf.DUMMYFUNCTION("""COMPUTED_VALUE"""),43711.0)</f>
        <v>43711</v>
      </c>
      <c r="F259" s="54">
        <f>IFERROR(__xludf.DUMMYFUNCTION("""COMPUTED_VALUE"""),43738.0)</f>
        <v>43738</v>
      </c>
      <c r="G259" s="19">
        <f>IFERROR(__xludf.DUMMYFUNCTION("""COMPUTED_VALUE"""),0.8999999999999999)</f>
        <v>0.9</v>
      </c>
      <c r="H259" s="17">
        <f>IFERROR(__xludf.DUMMYFUNCTION("""COMPUTED_VALUE"""),43431.0)</f>
        <v>43431</v>
      </c>
      <c r="I259" s="19">
        <f>IFERROR(__xludf.DUMMYFUNCTION("""COMPUTED_VALUE"""),0.7666666666666667)</f>
        <v>0.7666666667</v>
      </c>
      <c r="J259" s="21">
        <f>IFERROR(__xludf.DUMMYFUNCTION("""COMPUTED_VALUE"""),64.0)</f>
        <v>64</v>
      </c>
      <c r="K259" s="23">
        <f>IFERROR(__xludf.DUMMYFUNCTION("""COMPUTED_VALUE"""),6.5)</f>
        <v>6.5</v>
      </c>
      <c r="L259" s="24">
        <f>IFERROR(__xludf.DUMMYFUNCTION("""COMPUTED_VALUE"""),15.0)</f>
        <v>15</v>
      </c>
      <c r="M259" s="25" t="str">
        <f>IFERROR(__xludf.DUMMYFUNCTION("""COMPUTED_VALUE"""),"Action-Adventure")</f>
        <v>Action-Adventure</v>
      </c>
      <c r="N259" s="25"/>
      <c r="O259" s="26" t="str">
        <f>IFERROR(__xludf.DUMMYFUNCTION("""COMPUTED_VALUE"""),"No")</f>
        <v>No</v>
      </c>
      <c r="P259" s="26"/>
    </row>
    <row r="260">
      <c r="A260" s="13" t="str">
        <f>IFERROR(__xludf.DUMMYFUNCTION("""COMPUTED_VALUE"""),"Wipeout Omega Collection")</f>
        <v>Wipeout Omega Collection</v>
      </c>
      <c r="B260" s="15" t="str">
        <f>IFERROR(__xludf.DUMMYFUNCTION("""COMPUTED_VALUE"""),"PS4/PSVR")</f>
        <v>PS4/PSVR</v>
      </c>
      <c r="C260" s="16" t="str">
        <f>IFERROR(__xludf.DUMMYFUNCTION("""COMPUTED_VALUE"""),"Playstation Plus (Discontinued)")</f>
        <v>Playstation Plus (Discontinued)</v>
      </c>
      <c r="D260" s="15" t="str">
        <f>IFERROR(__xludf.DUMMYFUNCTION("""COMPUTED_VALUE"""),"Removed")</f>
        <v>Removed</v>
      </c>
      <c r="E260" s="17">
        <f>IFERROR(__xludf.DUMMYFUNCTION("""COMPUTED_VALUE"""),43683.0)</f>
        <v>43683</v>
      </c>
      <c r="F260" s="54">
        <f>IFERROR(__xludf.DUMMYFUNCTION("""COMPUTED_VALUE"""),43710.0)</f>
        <v>43710</v>
      </c>
      <c r="G260" s="19">
        <f>IFERROR(__xludf.DUMMYFUNCTION("""COMPUTED_VALUE"""),0.8666666666666666)</f>
        <v>0.8666666667</v>
      </c>
      <c r="H260" s="17">
        <f>IFERROR(__xludf.DUMMYFUNCTION("""COMPUTED_VALUE"""),42892.0)</f>
        <v>42892</v>
      </c>
      <c r="I260" s="19">
        <f>IFERROR(__xludf.DUMMYFUNCTION("""COMPUTED_VALUE"""),2.1666666666666665)</f>
        <v>2.166666667</v>
      </c>
      <c r="J260" s="21">
        <f>IFERROR(__xludf.DUMMYFUNCTION("""COMPUTED_VALUE"""),85.0)</f>
        <v>85</v>
      </c>
      <c r="K260" s="23">
        <f>IFERROR(__xludf.DUMMYFUNCTION("""COMPUTED_VALUE"""),8.2)</f>
        <v>8.2</v>
      </c>
      <c r="L260" s="24">
        <f>IFERROR(__xludf.DUMMYFUNCTION("""COMPUTED_VALUE"""),8.0)</f>
        <v>8</v>
      </c>
      <c r="M260" s="25" t="str">
        <f>IFERROR(__xludf.DUMMYFUNCTION("""COMPUTED_VALUE"""),"Racing")</f>
        <v>Racing</v>
      </c>
      <c r="N260" s="25"/>
      <c r="O260" s="26" t="str">
        <f>IFERROR(__xludf.DUMMYFUNCTION("""COMPUTED_VALUE"""),"No")</f>
        <v>No</v>
      </c>
      <c r="P260" s="26"/>
    </row>
    <row r="261">
      <c r="A261" s="13" t="str">
        <f>IFERROR(__xludf.DUMMYFUNCTION("""COMPUTED_VALUE"""),"Sniper Elite 4")</f>
        <v>Sniper Elite 4</v>
      </c>
      <c r="B261" s="15" t="str">
        <f>IFERROR(__xludf.DUMMYFUNCTION("""COMPUTED_VALUE"""),"PS4")</f>
        <v>PS4</v>
      </c>
      <c r="C261" s="16" t="str">
        <f>IFERROR(__xludf.DUMMYFUNCTION("""COMPUTED_VALUE"""),"Playstation Plus (Discontinued)")</f>
        <v>Playstation Plus (Discontinued)</v>
      </c>
      <c r="D261" s="15" t="str">
        <f>IFERROR(__xludf.DUMMYFUNCTION("""COMPUTED_VALUE"""),"Removed")</f>
        <v>Removed</v>
      </c>
      <c r="E261" s="17">
        <f>IFERROR(__xludf.DUMMYFUNCTION("""COMPUTED_VALUE"""),43683.0)</f>
        <v>43683</v>
      </c>
      <c r="F261" s="54">
        <f>IFERROR(__xludf.DUMMYFUNCTION("""COMPUTED_VALUE"""),43710.0)</f>
        <v>43710</v>
      </c>
      <c r="G261" s="19">
        <f>IFERROR(__xludf.DUMMYFUNCTION("""COMPUTED_VALUE"""),0.8666666666666666)</f>
        <v>0.8666666667</v>
      </c>
      <c r="H261" s="17">
        <f>IFERROR(__xludf.DUMMYFUNCTION("""COMPUTED_VALUE"""),42780.0)</f>
        <v>42780</v>
      </c>
      <c r="I261" s="19">
        <f>IFERROR(__xludf.DUMMYFUNCTION("""COMPUTED_VALUE"""),2.477777777777778)</f>
        <v>2.477777778</v>
      </c>
      <c r="J261" s="21">
        <f>IFERROR(__xludf.DUMMYFUNCTION("""COMPUTED_VALUE"""),77.0)</f>
        <v>77</v>
      </c>
      <c r="K261" s="23">
        <f>IFERROR(__xludf.DUMMYFUNCTION("""COMPUTED_VALUE"""),7.6)</f>
        <v>7.6</v>
      </c>
      <c r="L261" s="24">
        <f>IFERROR(__xludf.DUMMYFUNCTION("""COMPUTED_VALUE"""),12.0)</f>
        <v>12</v>
      </c>
      <c r="M261" s="72" t="str">
        <f>IFERROR(__xludf.DUMMYFUNCTION("""COMPUTED_VALUE"""),"Shooter")</f>
        <v>Shooter</v>
      </c>
      <c r="N261" s="72"/>
      <c r="O261" s="73" t="str">
        <f>IFERROR(__xludf.DUMMYFUNCTION("""COMPUTED_VALUE"""),"No")</f>
        <v>No</v>
      </c>
      <c r="P261" s="73"/>
    </row>
    <row r="262">
      <c r="A262" s="13" t="str">
        <f>IFERROR(__xludf.DUMMYFUNCTION("""COMPUTED_VALUE"""),"Detroit: Become Human")</f>
        <v>Detroit: Become Human</v>
      </c>
      <c r="B262" s="15" t="str">
        <f>IFERROR(__xludf.DUMMYFUNCTION("""COMPUTED_VALUE"""),"PS4")</f>
        <v>PS4</v>
      </c>
      <c r="C262" s="16" t="str">
        <f>IFERROR(__xludf.DUMMYFUNCTION("""COMPUTED_VALUE"""),"Playstation Plus (Discontinued)")</f>
        <v>Playstation Plus (Discontinued)</v>
      </c>
      <c r="D262" s="15" t="str">
        <f>IFERROR(__xludf.DUMMYFUNCTION("""COMPUTED_VALUE"""),"Removed")</f>
        <v>Removed</v>
      </c>
      <c r="E262" s="17">
        <f>IFERROR(__xludf.DUMMYFUNCTION("""COMPUTED_VALUE"""),43648.0)</f>
        <v>43648</v>
      </c>
      <c r="F262" s="18">
        <f>IFERROR(__xludf.DUMMYFUNCTION("""COMPUTED_VALUE"""),43682.0)</f>
        <v>43682</v>
      </c>
      <c r="G262" s="19">
        <f>IFERROR(__xludf.DUMMYFUNCTION("""COMPUTED_VALUE"""),1.0999999999999999)</f>
        <v>1.1</v>
      </c>
      <c r="H262" s="17">
        <f>IFERROR(__xludf.DUMMYFUNCTION("""COMPUTED_VALUE"""),43245.0)</f>
        <v>43245</v>
      </c>
      <c r="I262" s="19">
        <f>IFERROR(__xludf.DUMMYFUNCTION("""COMPUTED_VALUE"""),1.1027777777777779)</f>
        <v>1.102777778</v>
      </c>
      <c r="J262" s="21">
        <f>IFERROR(__xludf.DUMMYFUNCTION("""COMPUTED_VALUE"""),78.0)</f>
        <v>78</v>
      </c>
      <c r="K262" s="23">
        <f>IFERROR(__xludf.DUMMYFUNCTION("""COMPUTED_VALUE"""),8.3)</f>
        <v>8.3</v>
      </c>
      <c r="L262" s="24">
        <f>IFERROR(__xludf.DUMMYFUNCTION("""COMPUTED_VALUE"""),10.0)</f>
        <v>10</v>
      </c>
      <c r="M262" s="25" t="str">
        <f>IFERROR(__xludf.DUMMYFUNCTION("""COMPUTED_VALUE"""),"Action-Adventure")</f>
        <v>Action-Adventure</v>
      </c>
      <c r="N262" s="25"/>
      <c r="O262" s="26" t="str">
        <f>IFERROR(__xludf.DUMMYFUNCTION("""COMPUTED_VALUE"""),"No")</f>
        <v>No</v>
      </c>
      <c r="P262" s="26"/>
    </row>
    <row r="263">
      <c r="A263" s="13" t="str">
        <f>IFERROR(__xludf.DUMMYFUNCTION("""COMPUTED_VALUE"""),"Heavy Rain")</f>
        <v>Heavy Rain</v>
      </c>
      <c r="B263" s="15" t="str">
        <f>IFERROR(__xludf.DUMMYFUNCTION("""COMPUTED_VALUE"""),"PS4")</f>
        <v>PS4</v>
      </c>
      <c r="C263" s="16" t="str">
        <f>IFERROR(__xludf.DUMMYFUNCTION("""COMPUTED_VALUE"""),"Playstation Plus (Discontinued)")</f>
        <v>Playstation Plus (Discontinued)</v>
      </c>
      <c r="D263" s="15" t="str">
        <f>IFERROR(__xludf.DUMMYFUNCTION("""COMPUTED_VALUE"""),"Removed")</f>
        <v>Removed</v>
      </c>
      <c r="E263" s="17">
        <f>IFERROR(__xludf.DUMMYFUNCTION("""COMPUTED_VALUE"""),43648.0)</f>
        <v>43648</v>
      </c>
      <c r="F263" s="54">
        <f>IFERROR(__xludf.DUMMYFUNCTION("""COMPUTED_VALUE"""),43682.0)</f>
        <v>43682</v>
      </c>
      <c r="G263" s="19">
        <f>IFERROR(__xludf.DUMMYFUNCTION("""COMPUTED_VALUE"""),1.0999999999999999)</f>
        <v>1.1</v>
      </c>
      <c r="H263" s="17">
        <f>IFERROR(__xludf.DUMMYFUNCTION("""COMPUTED_VALUE"""),40232.0)</f>
        <v>40232</v>
      </c>
      <c r="I263" s="19">
        <f>IFERROR(__xludf.DUMMYFUNCTION("""COMPUTED_VALUE"""),9.358333333333333)</f>
        <v>9.358333333</v>
      </c>
      <c r="J263" s="21">
        <f>IFERROR(__xludf.DUMMYFUNCTION("""COMPUTED_VALUE"""),78.0)</f>
        <v>78</v>
      </c>
      <c r="K263" s="23">
        <f>IFERROR(__xludf.DUMMYFUNCTION("""COMPUTED_VALUE"""),8.2)</f>
        <v>8.2</v>
      </c>
      <c r="L263" s="24">
        <f>IFERROR(__xludf.DUMMYFUNCTION("""COMPUTED_VALUE"""),10.0)</f>
        <v>10</v>
      </c>
      <c r="M263" s="25" t="str">
        <f>IFERROR(__xludf.DUMMYFUNCTION("""COMPUTED_VALUE"""),"Action-Adventure")</f>
        <v>Action-Adventure</v>
      </c>
      <c r="N263" s="25"/>
      <c r="O263" s="26" t="str">
        <f>IFERROR(__xludf.DUMMYFUNCTION("""COMPUTED_VALUE"""),"No")</f>
        <v>No</v>
      </c>
      <c r="P263" s="26"/>
    </row>
    <row r="264">
      <c r="A264" s="13" t="str">
        <f>IFERROR(__xludf.DUMMYFUNCTION("""COMPUTED_VALUE"""),"Horizon Chase Turbo")</f>
        <v>Horizon Chase Turbo</v>
      </c>
      <c r="B264" s="15" t="str">
        <f>IFERROR(__xludf.DUMMYFUNCTION("""COMPUTED_VALUE"""),"PS4")</f>
        <v>PS4</v>
      </c>
      <c r="C264" s="16" t="str">
        <f>IFERROR(__xludf.DUMMYFUNCTION("""COMPUTED_VALUE"""),"Playstation Plus (Discontinued)")</f>
        <v>Playstation Plus (Discontinued)</v>
      </c>
      <c r="D264" s="15" t="str">
        <f>IFERROR(__xludf.DUMMYFUNCTION("""COMPUTED_VALUE"""),"Removed")</f>
        <v>Removed</v>
      </c>
      <c r="E264" s="17">
        <f>IFERROR(__xludf.DUMMYFUNCTION("""COMPUTED_VALUE"""),43648.0)</f>
        <v>43648</v>
      </c>
      <c r="F264" s="54">
        <f>IFERROR(__xludf.DUMMYFUNCTION("""COMPUTED_VALUE"""),43682.0)</f>
        <v>43682</v>
      </c>
      <c r="G264" s="19">
        <f>IFERROR(__xludf.DUMMYFUNCTION("""COMPUTED_VALUE"""),1.0999999999999999)</f>
        <v>1.1</v>
      </c>
      <c r="H264" s="17">
        <f>IFERROR(__xludf.DUMMYFUNCTION("""COMPUTED_VALUE"""),43235.0)</f>
        <v>43235</v>
      </c>
      <c r="I264" s="19">
        <f>IFERROR(__xludf.DUMMYFUNCTION("""COMPUTED_VALUE"""),1.1305555555555555)</f>
        <v>1.130555556</v>
      </c>
      <c r="J264" s="21">
        <f>IFERROR(__xludf.DUMMYFUNCTION("""COMPUTED_VALUE"""),77.0)</f>
        <v>77</v>
      </c>
      <c r="K264" s="23">
        <f>IFERROR(__xludf.DUMMYFUNCTION("""COMPUTED_VALUE"""),7.7)</f>
        <v>7.7</v>
      </c>
      <c r="L264" s="24">
        <f>IFERROR(__xludf.DUMMYFUNCTION("""COMPUTED_VALUE"""),4.0)</f>
        <v>4</v>
      </c>
      <c r="M264" s="25" t="str">
        <f>IFERROR(__xludf.DUMMYFUNCTION("""COMPUTED_VALUE"""),"Racing")</f>
        <v>Racing</v>
      </c>
      <c r="N264" s="25"/>
      <c r="O264" s="26" t="str">
        <f>IFERROR(__xludf.DUMMYFUNCTION("""COMPUTED_VALUE"""),"No")</f>
        <v>No</v>
      </c>
      <c r="P264" s="26"/>
    </row>
    <row r="265">
      <c r="A265" s="13" t="str">
        <f>IFERROR(__xludf.DUMMYFUNCTION("""COMPUTED_VALUE"""),"Borderlands: The Handsome Collection")</f>
        <v>Borderlands: The Handsome Collection</v>
      </c>
      <c r="B265" s="15" t="str">
        <f>IFERROR(__xludf.DUMMYFUNCTION("""COMPUTED_VALUE"""),"PS4")</f>
        <v>PS4</v>
      </c>
      <c r="C265" s="16" t="str">
        <f>IFERROR(__xludf.DUMMYFUNCTION("""COMPUTED_VALUE"""),"Playstation Plus (Discontinued)")</f>
        <v>Playstation Plus (Discontinued)</v>
      </c>
      <c r="D265" s="15" t="str">
        <f>IFERROR(__xludf.DUMMYFUNCTION("""COMPUTED_VALUE"""),"Removed")</f>
        <v>Removed</v>
      </c>
      <c r="E265" s="17">
        <f>IFERROR(__xludf.DUMMYFUNCTION("""COMPUTED_VALUE"""),43620.0)</f>
        <v>43620</v>
      </c>
      <c r="F265" s="54">
        <f>IFERROR(__xludf.DUMMYFUNCTION("""COMPUTED_VALUE"""),43647.0)</f>
        <v>43647</v>
      </c>
      <c r="G265" s="19">
        <f>IFERROR(__xludf.DUMMYFUNCTION("""COMPUTED_VALUE"""),0.8999999999999999)</f>
        <v>0.9</v>
      </c>
      <c r="H265" s="17">
        <f>IFERROR(__xludf.DUMMYFUNCTION("""COMPUTED_VALUE"""),42087.0)</f>
        <v>42087</v>
      </c>
      <c r="I265" s="19">
        <f>IFERROR(__xludf.DUMMYFUNCTION("""COMPUTED_VALUE"""),4.194444444444445)</f>
        <v>4.194444444</v>
      </c>
      <c r="J265" s="21">
        <f>IFERROR(__xludf.DUMMYFUNCTION("""COMPUTED_VALUE"""),82.0)</f>
        <v>82</v>
      </c>
      <c r="K265" s="23">
        <f>IFERROR(__xludf.DUMMYFUNCTION("""COMPUTED_VALUE"""),7.8)</f>
        <v>7.8</v>
      </c>
      <c r="L265" s="24">
        <f>IFERROR(__xludf.DUMMYFUNCTION("""COMPUTED_VALUE"""),59.0)</f>
        <v>59</v>
      </c>
      <c r="M265" s="25" t="str">
        <f>IFERROR(__xludf.DUMMYFUNCTION("""COMPUTED_VALUE"""),"Shooter")</f>
        <v>Shooter</v>
      </c>
      <c r="N265" s="25"/>
      <c r="O265" s="26" t="str">
        <f>IFERROR(__xludf.DUMMYFUNCTION("""COMPUTED_VALUE"""),"No")</f>
        <v>No</v>
      </c>
      <c r="P265" s="26"/>
    </row>
    <row r="266">
      <c r="A266" s="13" t="str">
        <f>IFERROR(__xludf.DUMMYFUNCTION("""COMPUTED_VALUE"""),"Sonic Mania")</f>
        <v>Sonic Mania</v>
      </c>
      <c r="B266" s="15" t="str">
        <f>IFERROR(__xludf.DUMMYFUNCTION("""COMPUTED_VALUE"""),"PS4")</f>
        <v>PS4</v>
      </c>
      <c r="C266" s="16" t="str">
        <f>IFERROR(__xludf.DUMMYFUNCTION("""COMPUTED_VALUE"""),"Playstation Plus (Discontinued)")</f>
        <v>Playstation Plus (Discontinued)</v>
      </c>
      <c r="D266" s="15" t="str">
        <f>IFERROR(__xludf.DUMMYFUNCTION("""COMPUTED_VALUE"""),"Removed")</f>
        <v>Removed</v>
      </c>
      <c r="E266" s="17">
        <f>IFERROR(__xludf.DUMMYFUNCTION("""COMPUTED_VALUE"""),43620.0)</f>
        <v>43620</v>
      </c>
      <c r="F266" s="54">
        <f>IFERROR(__xludf.DUMMYFUNCTION("""COMPUTED_VALUE"""),43647.0)</f>
        <v>43647</v>
      </c>
      <c r="G266" s="19">
        <f>IFERROR(__xludf.DUMMYFUNCTION("""COMPUTED_VALUE"""),0.8999999999999999)</f>
        <v>0.9</v>
      </c>
      <c r="H266" s="17">
        <f>IFERROR(__xludf.DUMMYFUNCTION("""COMPUTED_VALUE"""),42962.0)</f>
        <v>42962</v>
      </c>
      <c r="I266" s="19">
        <f>IFERROR(__xludf.DUMMYFUNCTION("""COMPUTED_VALUE"""),1.8027777777777778)</f>
        <v>1.802777778</v>
      </c>
      <c r="J266" s="21">
        <f>IFERROR(__xludf.DUMMYFUNCTION("""COMPUTED_VALUE"""),86.0)</f>
        <v>86</v>
      </c>
      <c r="K266" s="23">
        <f>IFERROR(__xludf.DUMMYFUNCTION("""COMPUTED_VALUE"""),8.5)</f>
        <v>8.5</v>
      </c>
      <c r="L266" s="24">
        <f>IFERROR(__xludf.DUMMYFUNCTION("""COMPUTED_VALUE"""),6.0)</f>
        <v>6</v>
      </c>
      <c r="M266" s="25" t="str">
        <f>IFERROR(__xludf.DUMMYFUNCTION("""COMPUTED_VALUE"""),"Platformer")</f>
        <v>Platformer</v>
      </c>
      <c r="N266" s="25"/>
      <c r="O266" s="26" t="str">
        <f>IFERROR(__xludf.DUMMYFUNCTION("""COMPUTED_VALUE"""),"No")</f>
        <v>No</v>
      </c>
      <c r="P266" s="26"/>
    </row>
    <row r="267">
      <c r="A267" s="13" t="str">
        <f>IFERROR(__xludf.DUMMYFUNCTION("""COMPUTED_VALUE"""),"Overcooked")</f>
        <v>Overcooked</v>
      </c>
      <c r="B267" s="15" t="str">
        <f>IFERROR(__xludf.DUMMYFUNCTION("""COMPUTED_VALUE"""),"PS4")</f>
        <v>PS4</v>
      </c>
      <c r="C267" s="16" t="str">
        <f>IFERROR(__xludf.DUMMYFUNCTION("""COMPUTED_VALUE"""),"Playstation Plus (Discontinued)")</f>
        <v>Playstation Plus (Discontinued)</v>
      </c>
      <c r="D267" s="15" t="str">
        <f>IFERROR(__xludf.DUMMYFUNCTION("""COMPUTED_VALUE"""),"Removed")</f>
        <v>Removed</v>
      </c>
      <c r="E267" s="17">
        <f>IFERROR(__xludf.DUMMYFUNCTION("""COMPUTED_VALUE"""),43592.0)</f>
        <v>43592</v>
      </c>
      <c r="F267" s="54">
        <f>IFERROR(__xludf.DUMMYFUNCTION("""COMPUTED_VALUE"""),43619.0)</f>
        <v>43619</v>
      </c>
      <c r="G267" s="19">
        <f>IFERROR(__xludf.DUMMYFUNCTION("""COMPUTED_VALUE"""),0.8666666666666666)</f>
        <v>0.8666666667</v>
      </c>
      <c r="H267" s="17">
        <f>IFERROR(__xludf.DUMMYFUNCTION("""COMPUTED_VALUE"""),42585.0)</f>
        <v>42585</v>
      </c>
      <c r="I267" s="19">
        <f>IFERROR(__xludf.DUMMYFUNCTION("""COMPUTED_VALUE"""),2.761111111111111)</f>
        <v>2.761111111</v>
      </c>
      <c r="J267" s="21">
        <f>IFERROR(__xludf.DUMMYFUNCTION("""COMPUTED_VALUE"""),78.0)</f>
        <v>78</v>
      </c>
      <c r="K267" s="23">
        <f>IFERROR(__xludf.DUMMYFUNCTION("""COMPUTED_VALUE"""),7.6)</f>
        <v>7.6</v>
      </c>
      <c r="L267" s="24">
        <f>IFERROR(__xludf.DUMMYFUNCTION("""COMPUTED_VALUE"""),4.0)</f>
        <v>4</v>
      </c>
      <c r="M267" s="25" t="str">
        <f>IFERROR(__xludf.DUMMYFUNCTION("""COMPUTED_VALUE"""),"Simulation")</f>
        <v>Simulation</v>
      </c>
      <c r="N267" s="25"/>
      <c r="O267" s="26" t="str">
        <f>IFERROR(__xludf.DUMMYFUNCTION("""COMPUTED_VALUE"""),"No")</f>
        <v>No</v>
      </c>
      <c r="P267" s="26"/>
    </row>
    <row r="268">
      <c r="A268" s="13" t="str">
        <f>IFERROR(__xludf.DUMMYFUNCTION("""COMPUTED_VALUE"""),"What Remains of Edith Finch")</f>
        <v>What Remains of Edith Finch</v>
      </c>
      <c r="B268" s="15" t="str">
        <f>IFERROR(__xludf.DUMMYFUNCTION("""COMPUTED_VALUE"""),"PS4")</f>
        <v>PS4</v>
      </c>
      <c r="C268" s="16" t="str">
        <f>IFERROR(__xludf.DUMMYFUNCTION("""COMPUTED_VALUE"""),"Playstation Plus (Discontinued)")</f>
        <v>Playstation Plus (Discontinued)</v>
      </c>
      <c r="D268" s="15" t="str">
        <f>IFERROR(__xludf.DUMMYFUNCTION("""COMPUTED_VALUE"""),"Removed")</f>
        <v>Removed</v>
      </c>
      <c r="E268" s="17">
        <f>IFERROR(__xludf.DUMMYFUNCTION("""COMPUTED_VALUE"""),43592.0)</f>
        <v>43592</v>
      </c>
      <c r="F268" s="54">
        <f>IFERROR(__xludf.DUMMYFUNCTION("""COMPUTED_VALUE"""),43619.0)</f>
        <v>43619</v>
      </c>
      <c r="G268" s="19">
        <f>IFERROR(__xludf.DUMMYFUNCTION("""COMPUTED_VALUE"""),0.8666666666666666)</f>
        <v>0.8666666667</v>
      </c>
      <c r="H268" s="17">
        <f>IFERROR(__xludf.DUMMYFUNCTION("""COMPUTED_VALUE"""),42850.0)</f>
        <v>42850</v>
      </c>
      <c r="I268" s="19">
        <f>IFERROR(__xludf.DUMMYFUNCTION("""COMPUTED_VALUE"""),2.033333333333333)</f>
        <v>2.033333333</v>
      </c>
      <c r="J268" s="21">
        <f>IFERROR(__xludf.DUMMYFUNCTION("""COMPUTED_VALUE"""),88.0)</f>
        <v>88</v>
      </c>
      <c r="K268" s="23">
        <f>IFERROR(__xludf.DUMMYFUNCTION("""COMPUTED_VALUE"""),8.3)</f>
        <v>8.3</v>
      </c>
      <c r="L268" s="24">
        <f>IFERROR(__xludf.DUMMYFUNCTION("""COMPUTED_VALUE"""),2.0)</f>
        <v>2</v>
      </c>
      <c r="M268" s="25" t="str">
        <f>IFERROR(__xludf.DUMMYFUNCTION("""COMPUTED_VALUE"""),"Action-Adventure")</f>
        <v>Action-Adventure</v>
      </c>
      <c r="N268" s="25"/>
      <c r="O268" s="26" t="str">
        <f>IFERROR(__xludf.DUMMYFUNCTION("""COMPUTED_VALUE"""),"No")</f>
        <v>No</v>
      </c>
      <c r="P268" s="26"/>
    </row>
    <row r="269">
      <c r="A269" s="13" t="str">
        <f>IFERROR(__xludf.DUMMYFUNCTION("""COMPUTED_VALUE"""),"The Surge")</f>
        <v>The Surge</v>
      </c>
      <c r="B269" s="15" t="str">
        <f>IFERROR(__xludf.DUMMYFUNCTION("""COMPUTED_VALUE"""),"PS4")</f>
        <v>PS4</v>
      </c>
      <c r="C269" s="16" t="str">
        <f>IFERROR(__xludf.DUMMYFUNCTION("""COMPUTED_VALUE"""),"Playstation Plus (Discontinued)")</f>
        <v>Playstation Plus (Discontinued)</v>
      </c>
      <c r="D269" s="15" t="str">
        <f>IFERROR(__xludf.DUMMYFUNCTION("""COMPUTED_VALUE"""),"Removed")</f>
        <v>Removed</v>
      </c>
      <c r="E269" s="17">
        <f>IFERROR(__xludf.DUMMYFUNCTION("""COMPUTED_VALUE"""),43557.0)</f>
        <v>43557</v>
      </c>
      <c r="F269" s="54">
        <f>IFERROR(__xludf.DUMMYFUNCTION("""COMPUTED_VALUE"""),43591.0)</f>
        <v>43591</v>
      </c>
      <c r="G269" s="19">
        <f>IFERROR(__xludf.DUMMYFUNCTION("""COMPUTED_VALUE"""),1.1333333333333333)</f>
        <v>1.133333333</v>
      </c>
      <c r="H269" s="17">
        <f>IFERROR(__xludf.DUMMYFUNCTION("""COMPUTED_VALUE"""),42871.0)</f>
        <v>42871</v>
      </c>
      <c r="I269" s="19">
        <f>IFERROR(__xludf.DUMMYFUNCTION("""COMPUTED_VALUE"""),1.8777777777777778)</f>
        <v>1.877777778</v>
      </c>
      <c r="J269" s="21">
        <f>IFERROR(__xludf.DUMMYFUNCTION("""COMPUTED_VALUE"""),73.0)</f>
        <v>73</v>
      </c>
      <c r="K269" s="23">
        <f>IFERROR(__xludf.DUMMYFUNCTION("""COMPUTED_VALUE"""),7.3)</f>
        <v>7.3</v>
      </c>
      <c r="L269" s="24">
        <f>IFERROR(__xludf.DUMMYFUNCTION("""COMPUTED_VALUE"""),22.0)</f>
        <v>22</v>
      </c>
      <c r="M269" s="25" t="str">
        <f>IFERROR(__xludf.DUMMYFUNCTION("""COMPUTED_VALUE"""),"Action-Adventure")</f>
        <v>Action-Adventure</v>
      </c>
      <c r="N269" s="25"/>
      <c r="O269" s="26" t="str">
        <f>IFERROR(__xludf.DUMMYFUNCTION("""COMPUTED_VALUE"""),"No")</f>
        <v>No</v>
      </c>
      <c r="P269" s="26"/>
    </row>
    <row r="270">
      <c r="A270" s="13" t="str">
        <f>IFERROR(__xludf.DUMMYFUNCTION("""COMPUTED_VALUE"""),"Conan: Exiles")</f>
        <v>Conan: Exiles</v>
      </c>
      <c r="B270" s="15" t="str">
        <f>IFERROR(__xludf.DUMMYFUNCTION("""COMPUTED_VALUE"""),"PS4")</f>
        <v>PS4</v>
      </c>
      <c r="C270" s="16" t="str">
        <f>IFERROR(__xludf.DUMMYFUNCTION("""COMPUTED_VALUE"""),"Playstation Plus (Discontinued)")</f>
        <v>Playstation Plus (Discontinued)</v>
      </c>
      <c r="D270" s="15" t="str">
        <f>IFERROR(__xludf.DUMMYFUNCTION("""COMPUTED_VALUE"""),"Removed")</f>
        <v>Removed</v>
      </c>
      <c r="E270" s="17">
        <f>IFERROR(__xludf.DUMMYFUNCTION("""COMPUTED_VALUE"""),43557.0)</f>
        <v>43557</v>
      </c>
      <c r="F270" s="54">
        <f>IFERROR(__xludf.DUMMYFUNCTION("""COMPUTED_VALUE"""),43591.0)</f>
        <v>43591</v>
      </c>
      <c r="G270" s="19">
        <f>IFERROR(__xludf.DUMMYFUNCTION("""COMPUTED_VALUE"""),1.1333333333333333)</f>
        <v>1.133333333</v>
      </c>
      <c r="H270" s="17">
        <f>IFERROR(__xludf.DUMMYFUNCTION("""COMPUTED_VALUE"""),43228.0)</f>
        <v>43228</v>
      </c>
      <c r="I270" s="19">
        <f>IFERROR(__xludf.DUMMYFUNCTION("""COMPUTED_VALUE"""),0.9)</f>
        <v>0.9</v>
      </c>
      <c r="J270" s="21">
        <f>IFERROR(__xludf.DUMMYFUNCTION("""COMPUTED_VALUE"""),68.0)</f>
        <v>68</v>
      </c>
      <c r="K270" s="23">
        <f>IFERROR(__xludf.DUMMYFUNCTION("""COMPUTED_VALUE"""),6.3)</f>
        <v>6.3</v>
      </c>
      <c r="L270" s="24"/>
      <c r="M270" s="25" t="str">
        <f>IFERROR(__xludf.DUMMYFUNCTION("""COMPUTED_VALUE"""),"Survival")</f>
        <v>Survival</v>
      </c>
      <c r="N270" s="25"/>
      <c r="O270" s="26" t="str">
        <f>IFERROR(__xludf.DUMMYFUNCTION("""COMPUTED_VALUE"""),"No")</f>
        <v>No</v>
      </c>
      <c r="P270" s="26"/>
    </row>
    <row r="271">
      <c r="A271" s="13" t="str">
        <f>IFERROR(__xludf.DUMMYFUNCTION("""COMPUTED_VALUE"""),"Call of Duty: Modern Warfare Remastered")</f>
        <v>Call of Duty: Modern Warfare Remastered</v>
      </c>
      <c r="B271" s="15" t="str">
        <f>IFERROR(__xludf.DUMMYFUNCTION("""COMPUTED_VALUE"""),"PS4")</f>
        <v>PS4</v>
      </c>
      <c r="C271" s="16" t="str">
        <f>IFERROR(__xludf.DUMMYFUNCTION("""COMPUTED_VALUE"""),"Playstation Plus (Discontinued)")</f>
        <v>Playstation Plus (Discontinued)</v>
      </c>
      <c r="D271" s="15" t="str">
        <f>IFERROR(__xludf.DUMMYFUNCTION("""COMPUTED_VALUE"""),"Removed")</f>
        <v>Removed</v>
      </c>
      <c r="E271" s="17">
        <f>IFERROR(__xludf.DUMMYFUNCTION("""COMPUTED_VALUE"""),43529.0)</f>
        <v>43529</v>
      </c>
      <c r="F271" s="54">
        <f>IFERROR(__xludf.DUMMYFUNCTION("""COMPUTED_VALUE"""),43556.0)</f>
        <v>43556</v>
      </c>
      <c r="G271" s="19">
        <f>IFERROR(__xludf.DUMMYFUNCTION("""COMPUTED_VALUE"""),0.8666666666666666)</f>
        <v>0.8666666667</v>
      </c>
      <c r="H271" s="17">
        <f>IFERROR(__xludf.DUMMYFUNCTION("""COMPUTED_VALUE"""),42678.0)</f>
        <v>42678</v>
      </c>
      <c r="I271" s="19">
        <f>IFERROR(__xludf.DUMMYFUNCTION("""COMPUTED_VALUE"""),2.3361111111111112)</f>
        <v>2.336111111</v>
      </c>
      <c r="J271" s="21">
        <f>IFERROR(__xludf.DUMMYFUNCTION("""COMPUTED_VALUE"""),83.0)</f>
        <v>83</v>
      </c>
      <c r="K271" s="23">
        <f>IFERROR(__xludf.DUMMYFUNCTION("""COMPUTED_VALUE"""),7.7)</f>
        <v>7.7</v>
      </c>
      <c r="L271" s="24">
        <f>IFERROR(__xludf.DUMMYFUNCTION("""COMPUTED_VALUE"""),7.0)</f>
        <v>7</v>
      </c>
      <c r="M271" s="25" t="str">
        <f>IFERROR(__xludf.DUMMYFUNCTION("""COMPUTED_VALUE"""),"Shooter")</f>
        <v>Shooter</v>
      </c>
      <c r="N271" s="25"/>
      <c r="O271" s="26" t="str">
        <f>IFERROR(__xludf.DUMMYFUNCTION("""COMPUTED_VALUE"""),"No")</f>
        <v>No</v>
      </c>
      <c r="P271" s="26"/>
    </row>
    <row r="272">
      <c r="A272" s="13" t="str">
        <f>IFERROR(__xludf.DUMMYFUNCTION("""COMPUTED_VALUE"""),"The Witness")</f>
        <v>The Witness</v>
      </c>
      <c r="B272" s="15" t="str">
        <f>IFERROR(__xludf.DUMMYFUNCTION("""COMPUTED_VALUE"""),"PS4")</f>
        <v>PS4</v>
      </c>
      <c r="C272" s="16" t="str">
        <f>IFERROR(__xludf.DUMMYFUNCTION("""COMPUTED_VALUE"""),"Playstation Plus (Discontinued)")</f>
        <v>Playstation Plus (Discontinued)</v>
      </c>
      <c r="D272" s="15" t="str">
        <f>IFERROR(__xludf.DUMMYFUNCTION("""COMPUTED_VALUE"""),"Removed")</f>
        <v>Removed</v>
      </c>
      <c r="E272" s="17">
        <f>IFERROR(__xludf.DUMMYFUNCTION("""COMPUTED_VALUE"""),43529.0)</f>
        <v>43529</v>
      </c>
      <c r="F272" s="18">
        <f>IFERROR(__xludf.DUMMYFUNCTION("""COMPUTED_VALUE"""),43556.0)</f>
        <v>43556</v>
      </c>
      <c r="G272" s="19">
        <f>IFERROR(__xludf.DUMMYFUNCTION("""COMPUTED_VALUE"""),0.8666666666666666)</f>
        <v>0.8666666667</v>
      </c>
      <c r="H272" s="17">
        <f>IFERROR(__xludf.DUMMYFUNCTION("""COMPUTED_VALUE"""),42395.0)</f>
        <v>42395</v>
      </c>
      <c r="I272" s="19">
        <f>IFERROR(__xludf.DUMMYFUNCTION("""COMPUTED_VALUE"""),3.1083333333333334)</f>
        <v>3.108333333</v>
      </c>
      <c r="J272" s="21">
        <f>IFERROR(__xludf.DUMMYFUNCTION("""COMPUTED_VALUE"""),87.0)</f>
        <v>87</v>
      </c>
      <c r="K272" s="23">
        <f>IFERROR(__xludf.DUMMYFUNCTION("""COMPUTED_VALUE"""),8.0)</f>
        <v>8</v>
      </c>
      <c r="L272" s="24">
        <f>IFERROR(__xludf.DUMMYFUNCTION("""COMPUTED_VALUE"""),18.0)</f>
        <v>18</v>
      </c>
      <c r="M272" s="25" t="str">
        <f>IFERROR(__xludf.DUMMYFUNCTION("""COMPUTED_VALUE"""),"Puzzle")</f>
        <v>Puzzle</v>
      </c>
      <c r="N272" s="25"/>
      <c r="O272" s="26" t="str">
        <f>IFERROR(__xludf.DUMMYFUNCTION("""COMPUTED_VALUE"""),"No")</f>
        <v>No</v>
      </c>
      <c r="P272" s="26"/>
    </row>
    <row r="273">
      <c r="A273" s="13" t="str">
        <f>IFERROR(__xludf.DUMMYFUNCTION("""COMPUTED_VALUE"""),"For Honor")</f>
        <v>For Honor</v>
      </c>
      <c r="B273" s="15" t="str">
        <f>IFERROR(__xludf.DUMMYFUNCTION("""COMPUTED_VALUE"""),"PS4")</f>
        <v>PS4</v>
      </c>
      <c r="C273" s="16" t="str">
        <f>IFERROR(__xludf.DUMMYFUNCTION("""COMPUTED_VALUE"""),"Playstation Plus (Discontinued)")</f>
        <v>Playstation Plus (Discontinued)</v>
      </c>
      <c r="D273" s="15" t="str">
        <f>IFERROR(__xludf.DUMMYFUNCTION("""COMPUTED_VALUE"""),"Removed")</f>
        <v>Removed</v>
      </c>
      <c r="E273" s="17">
        <f>IFERROR(__xludf.DUMMYFUNCTION("""COMPUTED_VALUE"""),43501.0)</f>
        <v>43501</v>
      </c>
      <c r="F273" s="18">
        <f>IFERROR(__xludf.DUMMYFUNCTION("""COMPUTED_VALUE"""),43528.0)</f>
        <v>43528</v>
      </c>
      <c r="G273" s="19">
        <f>IFERROR(__xludf.DUMMYFUNCTION("""COMPUTED_VALUE"""),0.9666666666666668)</f>
        <v>0.9666666667</v>
      </c>
      <c r="H273" s="17">
        <f>IFERROR(__xludf.DUMMYFUNCTION("""COMPUTED_VALUE"""),42780.0)</f>
        <v>42780</v>
      </c>
      <c r="I273" s="19">
        <f>IFERROR(__xludf.DUMMYFUNCTION("""COMPUTED_VALUE"""),1.975)</f>
        <v>1.975</v>
      </c>
      <c r="J273" s="21">
        <f>IFERROR(__xludf.DUMMYFUNCTION("""COMPUTED_VALUE"""),78.0)</f>
        <v>78</v>
      </c>
      <c r="K273" s="23">
        <f>IFERROR(__xludf.DUMMYFUNCTION("""COMPUTED_VALUE"""),6.8)</f>
        <v>6.8</v>
      </c>
      <c r="L273" s="24">
        <f>IFERROR(__xludf.DUMMYFUNCTION("""COMPUTED_VALUE"""),6.0)</f>
        <v>6</v>
      </c>
      <c r="M273" s="25" t="str">
        <f>IFERROR(__xludf.DUMMYFUNCTION("""COMPUTED_VALUE"""),"Action-Adventure")</f>
        <v>Action-Adventure</v>
      </c>
      <c r="N273" s="25"/>
      <c r="O273" s="26" t="str">
        <f>IFERROR(__xludf.DUMMYFUNCTION("""COMPUTED_VALUE"""),"No")</f>
        <v>No</v>
      </c>
      <c r="P273" s="26"/>
    </row>
    <row r="274">
      <c r="A274" s="13" t="str">
        <f>IFERROR(__xludf.DUMMYFUNCTION("""COMPUTED_VALUE"""),"Hitman: The Complete First Season")</f>
        <v>Hitman: The Complete First Season</v>
      </c>
      <c r="B274" s="15" t="str">
        <f>IFERROR(__xludf.DUMMYFUNCTION("""COMPUTED_VALUE"""),"PS4")</f>
        <v>PS4</v>
      </c>
      <c r="C274" s="16" t="str">
        <f>IFERROR(__xludf.DUMMYFUNCTION("""COMPUTED_VALUE"""),"Playstation Plus (Discontinued)")</f>
        <v>Playstation Plus (Discontinued)</v>
      </c>
      <c r="D274" s="15" t="str">
        <f>IFERROR(__xludf.DUMMYFUNCTION("""COMPUTED_VALUE"""),"Removed")</f>
        <v>Removed</v>
      </c>
      <c r="E274" s="17">
        <f>IFERROR(__xludf.DUMMYFUNCTION("""COMPUTED_VALUE"""),43501.0)</f>
        <v>43501</v>
      </c>
      <c r="F274" s="54">
        <f>IFERROR(__xludf.DUMMYFUNCTION("""COMPUTED_VALUE"""),43528.0)</f>
        <v>43528</v>
      </c>
      <c r="G274" s="19">
        <f>IFERROR(__xludf.DUMMYFUNCTION("""COMPUTED_VALUE"""),0.9666666666666668)</f>
        <v>0.9666666667</v>
      </c>
      <c r="H274" s="17">
        <f>IFERROR(__xludf.DUMMYFUNCTION("""COMPUTED_VALUE"""),42766.0)</f>
        <v>42766</v>
      </c>
      <c r="I274" s="19">
        <f>IFERROR(__xludf.DUMMYFUNCTION("""COMPUTED_VALUE"""),2.013888888888889)</f>
        <v>2.013888889</v>
      </c>
      <c r="J274" s="21">
        <f>IFERROR(__xludf.DUMMYFUNCTION("""COMPUTED_VALUE"""),84.0)</f>
        <v>84</v>
      </c>
      <c r="K274" s="23">
        <f>IFERROR(__xludf.DUMMYFUNCTION("""COMPUTED_VALUE"""),7.8)</f>
        <v>7.8</v>
      </c>
      <c r="L274" s="24">
        <f>IFERROR(__xludf.DUMMYFUNCTION("""COMPUTED_VALUE"""),10.0)</f>
        <v>10</v>
      </c>
      <c r="M274" s="25" t="str">
        <f>IFERROR(__xludf.DUMMYFUNCTION("""COMPUTED_VALUE"""),"Action-Adventure")</f>
        <v>Action-Adventure</v>
      </c>
      <c r="N274" s="25"/>
      <c r="O274" s="26" t="str">
        <f>IFERROR(__xludf.DUMMYFUNCTION("""COMPUTED_VALUE"""),"No")</f>
        <v>No</v>
      </c>
      <c r="P274" s="26"/>
    </row>
    <row r="275">
      <c r="A275" s="13" t="str">
        <f>IFERROR(__xludf.DUMMYFUNCTION("""COMPUTED_VALUE"""),"Metal Gear Solid 4: Guns of the Patriots")</f>
        <v>Metal Gear Solid 4: Guns of the Patriots</v>
      </c>
      <c r="B275" s="15" t="str">
        <f>IFERROR(__xludf.DUMMYFUNCTION("""COMPUTED_VALUE"""),"PS3")</f>
        <v>PS3</v>
      </c>
      <c r="C275" s="16" t="str">
        <f>IFERROR(__xludf.DUMMYFUNCTION("""COMPUTED_VALUE"""),"Playstation Plus (Discontinued)")</f>
        <v>Playstation Plus (Discontinued)</v>
      </c>
      <c r="D275" s="15" t="str">
        <f>IFERROR(__xludf.DUMMYFUNCTION("""COMPUTED_VALUE"""),"Removed")</f>
        <v>Removed</v>
      </c>
      <c r="E275" s="17">
        <f>IFERROR(__xludf.DUMMYFUNCTION("""COMPUTED_VALUE"""),43501.0)</f>
        <v>43501</v>
      </c>
      <c r="F275" s="54">
        <f>IFERROR(__xludf.DUMMYFUNCTION("""COMPUTED_VALUE"""),43528.0)</f>
        <v>43528</v>
      </c>
      <c r="G275" s="19">
        <f>IFERROR(__xludf.DUMMYFUNCTION("""COMPUTED_VALUE"""),0.9666666666666668)</f>
        <v>0.9666666667</v>
      </c>
      <c r="H275" s="17">
        <f>IFERROR(__xludf.DUMMYFUNCTION("""COMPUTED_VALUE"""),39611.0)</f>
        <v>39611</v>
      </c>
      <c r="I275" s="19">
        <f>IFERROR(__xludf.DUMMYFUNCTION("""COMPUTED_VALUE"""),10.647222222222222)</f>
        <v>10.64722222</v>
      </c>
      <c r="J275" s="21">
        <f>IFERROR(__xludf.DUMMYFUNCTION("""COMPUTED_VALUE"""),94.0)</f>
        <v>94</v>
      </c>
      <c r="K275" s="23">
        <f>IFERROR(__xludf.DUMMYFUNCTION("""COMPUTED_VALUE"""),8.7)</f>
        <v>8.7</v>
      </c>
      <c r="L275" s="24">
        <f>IFERROR(__xludf.DUMMYFUNCTION("""COMPUTED_VALUE"""),18.0)</f>
        <v>18</v>
      </c>
      <c r="M275" s="25" t="str">
        <f>IFERROR(__xludf.DUMMYFUNCTION("""COMPUTED_VALUE"""),"Action-Adventure")</f>
        <v>Action-Adventure</v>
      </c>
      <c r="N275" s="25"/>
      <c r="O275" s="26" t="str">
        <f>IFERROR(__xludf.DUMMYFUNCTION("""COMPUTED_VALUE"""),"No")</f>
        <v>No</v>
      </c>
      <c r="P275" s="26"/>
    </row>
    <row r="276">
      <c r="A276" s="13" t="str">
        <f>IFERROR(__xludf.DUMMYFUNCTION("""COMPUTED_VALUE"""),"Divekick")</f>
        <v>Divekick</v>
      </c>
      <c r="B276" s="15" t="str">
        <f>IFERROR(__xludf.DUMMYFUNCTION("""COMPUTED_VALUE"""),"PS3/Vita")</f>
        <v>PS3/Vita</v>
      </c>
      <c r="C276" s="16" t="str">
        <f>IFERROR(__xludf.DUMMYFUNCTION("""COMPUTED_VALUE"""),"Playstation Plus (Discontinued)")</f>
        <v>Playstation Plus (Discontinued)</v>
      </c>
      <c r="D276" s="15" t="str">
        <f>IFERROR(__xludf.DUMMYFUNCTION("""COMPUTED_VALUE"""),"Removed")</f>
        <v>Removed</v>
      </c>
      <c r="E276" s="17">
        <f>IFERROR(__xludf.DUMMYFUNCTION("""COMPUTED_VALUE"""),43501.0)</f>
        <v>43501</v>
      </c>
      <c r="F276" s="54">
        <f>IFERROR(__xludf.DUMMYFUNCTION("""COMPUTED_VALUE"""),43528.0)</f>
        <v>43528</v>
      </c>
      <c r="G276" s="19">
        <f>IFERROR(__xludf.DUMMYFUNCTION("""COMPUTED_VALUE"""),0.9666666666666668)</f>
        <v>0.9666666667</v>
      </c>
      <c r="H276" s="17">
        <f>IFERROR(__xludf.DUMMYFUNCTION("""COMPUTED_VALUE"""),41506.0)</f>
        <v>41506</v>
      </c>
      <c r="I276" s="19">
        <f>IFERROR(__xludf.DUMMYFUNCTION("""COMPUTED_VALUE"""),5.458333333333333)</f>
        <v>5.458333333</v>
      </c>
      <c r="J276" s="21">
        <f>IFERROR(__xludf.DUMMYFUNCTION("""COMPUTED_VALUE"""),65.0)</f>
        <v>65</v>
      </c>
      <c r="K276" s="23">
        <f>IFERROR(__xludf.DUMMYFUNCTION("""COMPUTED_VALUE"""),7.1)</f>
        <v>7.1</v>
      </c>
      <c r="L276" s="24"/>
      <c r="M276" s="25" t="str">
        <f>IFERROR(__xludf.DUMMYFUNCTION("""COMPUTED_VALUE"""),"Fighting")</f>
        <v>Fighting</v>
      </c>
      <c r="N276" s="25"/>
      <c r="O276" s="26" t="str">
        <f>IFERROR(__xludf.DUMMYFUNCTION("""COMPUTED_VALUE"""),"No")</f>
        <v>No</v>
      </c>
      <c r="P276" s="26"/>
    </row>
    <row r="277">
      <c r="A277" s="13" t="str">
        <f>IFERROR(__xludf.DUMMYFUNCTION("""COMPUTED_VALUE"""),"Gunhouse")</f>
        <v>Gunhouse</v>
      </c>
      <c r="B277" s="15" t="str">
        <f>IFERROR(__xludf.DUMMYFUNCTION("""COMPUTED_VALUE"""),"PS4/Vita")</f>
        <v>PS4/Vita</v>
      </c>
      <c r="C277" s="16" t="str">
        <f>IFERROR(__xludf.DUMMYFUNCTION("""COMPUTED_VALUE"""),"Playstation Plus (Discontinued)")</f>
        <v>Playstation Plus (Discontinued)</v>
      </c>
      <c r="D277" s="15" t="str">
        <f>IFERROR(__xludf.DUMMYFUNCTION("""COMPUTED_VALUE"""),"Removed")</f>
        <v>Removed</v>
      </c>
      <c r="E277" s="17">
        <f>IFERROR(__xludf.DUMMYFUNCTION("""COMPUTED_VALUE"""),43501.0)</f>
        <v>43501</v>
      </c>
      <c r="F277" s="54">
        <f>IFERROR(__xludf.DUMMYFUNCTION("""COMPUTED_VALUE"""),43528.0)</f>
        <v>43528</v>
      </c>
      <c r="G277" s="19">
        <f>IFERROR(__xludf.DUMMYFUNCTION("""COMPUTED_VALUE"""),0.9666666666666668)</f>
        <v>0.9666666667</v>
      </c>
      <c r="H277" s="17">
        <f>IFERROR(__xludf.DUMMYFUNCTION("""COMPUTED_VALUE"""),42706.0)</f>
        <v>42706</v>
      </c>
      <c r="I277" s="19">
        <f>IFERROR(__xludf.DUMMYFUNCTION("""COMPUTED_VALUE"""),2.175)</f>
        <v>2.175</v>
      </c>
      <c r="J277" s="21">
        <f>IFERROR(__xludf.DUMMYFUNCTION("""COMPUTED_VALUE"""),63.0)</f>
        <v>63</v>
      </c>
      <c r="K277" s="23">
        <f>IFERROR(__xludf.DUMMYFUNCTION("""COMPUTED_VALUE"""),6.7)</f>
        <v>6.7</v>
      </c>
      <c r="L277" s="24"/>
      <c r="M277" s="26" t="str">
        <f>IFERROR(__xludf.DUMMYFUNCTION("""COMPUTED_VALUE"""),"Puzzle")</f>
        <v>Puzzle</v>
      </c>
      <c r="N277" s="25"/>
      <c r="O277" s="26" t="str">
        <f>IFERROR(__xludf.DUMMYFUNCTION("""COMPUTED_VALUE"""),"No")</f>
        <v>No</v>
      </c>
      <c r="P277" s="26"/>
    </row>
    <row r="278">
      <c r="A278" s="13" t="str">
        <f>IFERROR(__xludf.DUMMYFUNCTION("""COMPUTED_VALUE"""),"Rogue Aces")</f>
        <v>Rogue Aces</v>
      </c>
      <c r="B278" s="15" t="str">
        <f>IFERROR(__xludf.DUMMYFUNCTION("""COMPUTED_VALUE"""),"PS4/Vita")</f>
        <v>PS4/Vita</v>
      </c>
      <c r="C278" s="16" t="str">
        <f>IFERROR(__xludf.DUMMYFUNCTION("""COMPUTED_VALUE"""),"Playstation Plus (Discontinued)")</f>
        <v>Playstation Plus (Discontinued)</v>
      </c>
      <c r="D278" s="15" t="str">
        <f>IFERROR(__xludf.DUMMYFUNCTION("""COMPUTED_VALUE"""),"Removed")</f>
        <v>Removed</v>
      </c>
      <c r="E278" s="17">
        <f>IFERROR(__xludf.DUMMYFUNCTION("""COMPUTED_VALUE"""),43501.0)</f>
        <v>43501</v>
      </c>
      <c r="F278" s="54">
        <f>IFERROR(__xludf.DUMMYFUNCTION("""COMPUTED_VALUE"""),43528.0)</f>
        <v>43528</v>
      </c>
      <c r="G278" s="19">
        <f>IFERROR(__xludf.DUMMYFUNCTION("""COMPUTED_VALUE"""),0.9666666666666668)</f>
        <v>0.9666666667</v>
      </c>
      <c r="H278" s="17">
        <f>IFERROR(__xludf.DUMMYFUNCTION("""COMPUTED_VALUE"""),43172.0)</f>
        <v>43172</v>
      </c>
      <c r="I278" s="19">
        <f>IFERROR(__xludf.DUMMYFUNCTION("""COMPUTED_VALUE"""),0.8944444444444445)</f>
        <v>0.8944444444</v>
      </c>
      <c r="J278" s="21">
        <f>IFERROR(__xludf.DUMMYFUNCTION("""COMPUTED_VALUE"""),72.0)</f>
        <v>72</v>
      </c>
      <c r="K278" s="23">
        <f>IFERROR(__xludf.DUMMYFUNCTION("""COMPUTED_VALUE"""),6.9)</f>
        <v>6.9</v>
      </c>
      <c r="L278" s="24">
        <f>IFERROR(__xludf.DUMMYFUNCTION("""COMPUTED_VALUE"""),3.0)</f>
        <v>3</v>
      </c>
      <c r="M278" s="25" t="str">
        <f>IFERROR(__xludf.DUMMYFUNCTION("""COMPUTED_VALUE"""),"Shooter")</f>
        <v>Shooter</v>
      </c>
      <c r="N278" s="25"/>
      <c r="O278" s="26" t="str">
        <f>IFERROR(__xludf.DUMMYFUNCTION("""COMPUTED_VALUE"""),"No")</f>
        <v>No</v>
      </c>
      <c r="P278" s="26"/>
    </row>
    <row r="279">
      <c r="A279" s="13" t="str">
        <f>IFERROR(__xludf.DUMMYFUNCTION("""COMPUTED_VALUE"""),"Steep")</f>
        <v>Steep</v>
      </c>
      <c r="B279" s="15" t="str">
        <f>IFERROR(__xludf.DUMMYFUNCTION("""COMPUTED_VALUE"""),"PS4")</f>
        <v>PS4</v>
      </c>
      <c r="C279" s="16" t="str">
        <f>IFERROR(__xludf.DUMMYFUNCTION("""COMPUTED_VALUE"""),"Playstation Plus (Discontinued)")</f>
        <v>Playstation Plus (Discontinued)</v>
      </c>
      <c r="D279" s="15" t="str">
        <f>IFERROR(__xludf.DUMMYFUNCTION("""COMPUTED_VALUE"""),"Removed")</f>
        <v>Removed</v>
      </c>
      <c r="E279" s="17">
        <f>IFERROR(__xludf.DUMMYFUNCTION("""COMPUTED_VALUE"""),43466.0)</f>
        <v>43466</v>
      </c>
      <c r="F279" s="54">
        <f>IFERROR(__xludf.DUMMYFUNCTION("""COMPUTED_VALUE"""),43500.0)</f>
        <v>43500</v>
      </c>
      <c r="G279" s="19">
        <f>IFERROR(__xludf.DUMMYFUNCTION("""COMPUTED_VALUE"""),1.0999999999999999)</f>
        <v>1.1</v>
      </c>
      <c r="H279" s="17">
        <f>IFERROR(__xludf.DUMMYFUNCTION("""COMPUTED_VALUE"""),42706.0)</f>
        <v>42706</v>
      </c>
      <c r="I279" s="19">
        <f>IFERROR(__xludf.DUMMYFUNCTION("""COMPUTED_VALUE"""),2.0805555555555557)</f>
        <v>2.080555556</v>
      </c>
      <c r="J279" s="21">
        <f>IFERROR(__xludf.DUMMYFUNCTION("""COMPUTED_VALUE"""),71.0)</f>
        <v>71</v>
      </c>
      <c r="K279" s="23">
        <f>IFERROR(__xludf.DUMMYFUNCTION("""COMPUTED_VALUE"""),7.0)</f>
        <v>7</v>
      </c>
      <c r="L279" s="24">
        <f>IFERROR(__xludf.DUMMYFUNCTION("""COMPUTED_VALUE"""),12.0)</f>
        <v>12</v>
      </c>
      <c r="M279" s="25" t="str">
        <f>IFERROR(__xludf.DUMMYFUNCTION("""COMPUTED_VALUE"""),"Sports")</f>
        <v>Sports</v>
      </c>
      <c r="N279" s="25"/>
      <c r="O279" s="26" t="str">
        <f>IFERROR(__xludf.DUMMYFUNCTION("""COMPUTED_VALUE"""),"No")</f>
        <v>No</v>
      </c>
      <c r="P279" s="26"/>
    </row>
    <row r="280">
      <c r="A280" s="13" t="str">
        <f>IFERROR(__xludf.DUMMYFUNCTION("""COMPUTED_VALUE"""),"Portal Knights")</f>
        <v>Portal Knights</v>
      </c>
      <c r="B280" s="15" t="str">
        <f>IFERROR(__xludf.DUMMYFUNCTION("""COMPUTED_VALUE"""),"PS4")</f>
        <v>PS4</v>
      </c>
      <c r="C280" s="16" t="str">
        <f>IFERROR(__xludf.DUMMYFUNCTION("""COMPUTED_VALUE"""),"Playstation Plus (Discontinued)")</f>
        <v>Playstation Plus (Discontinued)</v>
      </c>
      <c r="D280" s="15" t="str">
        <f>IFERROR(__xludf.DUMMYFUNCTION("""COMPUTED_VALUE"""),"Removed")</f>
        <v>Removed</v>
      </c>
      <c r="E280" s="17">
        <f>IFERROR(__xludf.DUMMYFUNCTION("""COMPUTED_VALUE"""),43466.0)</f>
        <v>43466</v>
      </c>
      <c r="F280" s="54">
        <f>IFERROR(__xludf.DUMMYFUNCTION("""COMPUTED_VALUE"""),43500.0)</f>
        <v>43500</v>
      </c>
      <c r="G280" s="19">
        <f>IFERROR(__xludf.DUMMYFUNCTION("""COMPUTED_VALUE"""),1.0999999999999999)</f>
        <v>1.1</v>
      </c>
      <c r="H280" s="17">
        <f>IFERROR(__xludf.DUMMYFUNCTION("""COMPUTED_VALUE"""),42878.0)</f>
        <v>42878</v>
      </c>
      <c r="I280" s="19">
        <f>IFERROR(__xludf.DUMMYFUNCTION("""COMPUTED_VALUE"""),1.6055555555555556)</f>
        <v>1.605555556</v>
      </c>
      <c r="J280" s="21">
        <f>IFERROR(__xludf.DUMMYFUNCTION("""COMPUTED_VALUE"""),71.0)</f>
        <v>71</v>
      </c>
      <c r="K280" s="23">
        <f>IFERROR(__xludf.DUMMYFUNCTION("""COMPUTED_VALUE"""),7.3)</f>
        <v>7.3</v>
      </c>
      <c r="L280" s="24">
        <f>IFERROR(__xludf.DUMMYFUNCTION("""COMPUTED_VALUE"""),19.0)</f>
        <v>19</v>
      </c>
      <c r="M280" s="25" t="str">
        <f>IFERROR(__xludf.DUMMYFUNCTION("""COMPUTED_VALUE"""),"Action-Adventure")</f>
        <v>Action-Adventure</v>
      </c>
      <c r="N280" s="25"/>
      <c r="O280" s="26" t="str">
        <f>IFERROR(__xludf.DUMMYFUNCTION("""COMPUTED_VALUE"""),"No")</f>
        <v>No</v>
      </c>
      <c r="P280" s="26"/>
    </row>
    <row r="281">
      <c r="A281" s="13" t="str">
        <f>IFERROR(__xludf.DUMMYFUNCTION("""COMPUTED_VALUE"""),"Zone of the Enders HD Collection")</f>
        <v>Zone of the Enders HD Collection</v>
      </c>
      <c r="B281" s="15" t="str">
        <f>IFERROR(__xludf.DUMMYFUNCTION("""COMPUTED_VALUE"""),"PS3")</f>
        <v>PS3</v>
      </c>
      <c r="C281" s="16" t="str">
        <f>IFERROR(__xludf.DUMMYFUNCTION("""COMPUTED_VALUE"""),"Playstation Plus (Discontinued)")</f>
        <v>Playstation Plus (Discontinued)</v>
      </c>
      <c r="D281" s="15" t="str">
        <f>IFERROR(__xludf.DUMMYFUNCTION("""COMPUTED_VALUE"""),"Removed")</f>
        <v>Removed</v>
      </c>
      <c r="E281" s="17">
        <f>IFERROR(__xludf.DUMMYFUNCTION("""COMPUTED_VALUE"""),43466.0)</f>
        <v>43466</v>
      </c>
      <c r="F281" s="54">
        <f>IFERROR(__xludf.DUMMYFUNCTION("""COMPUTED_VALUE"""),43500.0)</f>
        <v>43500</v>
      </c>
      <c r="G281" s="19">
        <f>IFERROR(__xludf.DUMMYFUNCTION("""COMPUTED_VALUE"""),1.0999999999999999)</f>
        <v>1.1</v>
      </c>
      <c r="H281" s="17">
        <f>IFERROR(__xludf.DUMMYFUNCTION("""COMPUTED_VALUE"""),41212.0)</f>
        <v>41212</v>
      </c>
      <c r="I281" s="19">
        <f>IFERROR(__xludf.DUMMYFUNCTION("""COMPUTED_VALUE"""),6.169444444444444)</f>
        <v>6.169444444</v>
      </c>
      <c r="J281" s="21">
        <f>IFERROR(__xludf.DUMMYFUNCTION("""COMPUTED_VALUE"""),73.0)</f>
        <v>73</v>
      </c>
      <c r="K281" s="23">
        <f>IFERROR(__xludf.DUMMYFUNCTION("""COMPUTED_VALUE"""),7.8)</f>
        <v>7.8</v>
      </c>
      <c r="L281" s="24">
        <f>IFERROR(__xludf.DUMMYFUNCTION("""COMPUTED_VALUE"""),17.0)</f>
        <v>17</v>
      </c>
      <c r="M281" s="25" t="str">
        <f>IFERROR(__xludf.DUMMYFUNCTION("""COMPUTED_VALUE"""),"Action-Adventure")</f>
        <v>Action-Adventure</v>
      </c>
      <c r="N281" s="25"/>
      <c r="O281" s="26" t="str">
        <f>IFERROR(__xludf.DUMMYFUNCTION("""COMPUTED_VALUE"""),"No")</f>
        <v>No</v>
      </c>
      <c r="P281" s="26"/>
    </row>
    <row r="282">
      <c r="A282" s="13" t="str">
        <f>IFERROR(__xludf.DUMMYFUNCTION("""COMPUTED_VALUE"""),"Amplitude")</f>
        <v>Amplitude</v>
      </c>
      <c r="B282" s="15" t="str">
        <f>IFERROR(__xludf.DUMMYFUNCTION("""COMPUTED_VALUE"""),"PS4/PS3")</f>
        <v>PS4/PS3</v>
      </c>
      <c r="C282" s="16" t="str">
        <f>IFERROR(__xludf.DUMMYFUNCTION("""COMPUTED_VALUE"""),"Playstation Plus (Discontinued)")</f>
        <v>Playstation Plus (Discontinued)</v>
      </c>
      <c r="D282" s="15" t="str">
        <f>IFERROR(__xludf.DUMMYFUNCTION("""COMPUTED_VALUE"""),"Removed")</f>
        <v>Removed</v>
      </c>
      <c r="E282" s="17">
        <f>IFERROR(__xludf.DUMMYFUNCTION("""COMPUTED_VALUE"""),43466.0)</f>
        <v>43466</v>
      </c>
      <c r="F282" s="18">
        <f>IFERROR(__xludf.DUMMYFUNCTION("""COMPUTED_VALUE"""),43500.0)</f>
        <v>43500</v>
      </c>
      <c r="G282" s="19">
        <f>IFERROR(__xludf.DUMMYFUNCTION("""COMPUTED_VALUE"""),1.0999999999999999)</f>
        <v>1.1</v>
      </c>
      <c r="H282" s="17">
        <f>IFERROR(__xludf.DUMMYFUNCTION("""COMPUTED_VALUE"""),42374.0)</f>
        <v>42374</v>
      </c>
      <c r="I282" s="19">
        <f>IFERROR(__xludf.DUMMYFUNCTION("""COMPUTED_VALUE"""),2.988888888888889)</f>
        <v>2.988888889</v>
      </c>
      <c r="J282" s="21">
        <f>IFERROR(__xludf.DUMMYFUNCTION("""COMPUTED_VALUE"""),74.0)</f>
        <v>74</v>
      </c>
      <c r="K282" s="23">
        <f>IFERROR(__xludf.DUMMYFUNCTION("""COMPUTED_VALUE"""),7.6)</f>
        <v>7.6</v>
      </c>
      <c r="L282" s="24"/>
      <c r="M282" s="25" t="str">
        <f>IFERROR(__xludf.DUMMYFUNCTION("""COMPUTED_VALUE"""),"Sports")</f>
        <v>Sports</v>
      </c>
      <c r="N282" s="25"/>
      <c r="O282" s="26" t="str">
        <f>IFERROR(__xludf.DUMMYFUNCTION("""COMPUTED_VALUE"""),"No")</f>
        <v>No</v>
      </c>
      <c r="P282" s="26"/>
    </row>
    <row r="283">
      <c r="A283" s="13" t="str">
        <f>IFERROR(__xludf.DUMMYFUNCTION("""COMPUTED_VALUE"""),"Fallen Legion: Flames of Rebellion")</f>
        <v>Fallen Legion: Flames of Rebellion</v>
      </c>
      <c r="B283" s="15" t="str">
        <f>IFERROR(__xludf.DUMMYFUNCTION("""COMPUTED_VALUE"""),"PS4/Vita")</f>
        <v>PS4/Vita</v>
      </c>
      <c r="C283" s="16" t="str">
        <f>IFERROR(__xludf.DUMMYFUNCTION("""COMPUTED_VALUE"""),"Playstation Plus (Discontinued)")</f>
        <v>Playstation Plus (Discontinued)</v>
      </c>
      <c r="D283" s="15" t="str">
        <f>IFERROR(__xludf.DUMMYFUNCTION("""COMPUTED_VALUE"""),"Removed")</f>
        <v>Removed</v>
      </c>
      <c r="E283" s="17">
        <f>IFERROR(__xludf.DUMMYFUNCTION("""COMPUTED_VALUE"""),43466.0)</f>
        <v>43466</v>
      </c>
      <c r="F283" s="54">
        <f>IFERROR(__xludf.DUMMYFUNCTION("""COMPUTED_VALUE"""),43500.0)</f>
        <v>43500</v>
      </c>
      <c r="G283" s="19">
        <f>IFERROR(__xludf.DUMMYFUNCTION("""COMPUTED_VALUE"""),1.0999999999999999)</f>
        <v>1.1</v>
      </c>
      <c r="H283" s="17">
        <f>IFERROR(__xludf.DUMMYFUNCTION("""COMPUTED_VALUE"""),42934.0)</f>
        <v>42934</v>
      </c>
      <c r="I283" s="19">
        <f>IFERROR(__xludf.DUMMYFUNCTION("""COMPUTED_VALUE"""),1.4527777777777777)</f>
        <v>1.452777778</v>
      </c>
      <c r="J283" s="21">
        <f>IFERROR(__xludf.DUMMYFUNCTION("""COMPUTED_VALUE"""),63.0)</f>
        <v>63</v>
      </c>
      <c r="K283" s="23">
        <f>IFERROR(__xludf.DUMMYFUNCTION("""COMPUTED_VALUE"""),7.4)</f>
        <v>7.4</v>
      </c>
      <c r="L283" s="24">
        <f>IFERROR(__xludf.DUMMYFUNCTION("""COMPUTED_VALUE"""),20.0)</f>
        <v>20</v>
      </c>
      <c r="M283" s="25" t="str">
        <f>IFERROR(__xludf.DUMMYFUNCTION("""COMPUTED_VALUE"""),"RPG")</f>
        <v>RPG</v>
      </c>
      <c r="N283" s="25"/>
      <c r="O283" s="26" t="str">
        <f>IFERROR(__xludf.DUMMYFUNCTION("""COMPUTED_VALUE"""),"No")</f>
        <v>No</v>
      </c>
      <c r="P283" s="26"/>
    </row>
    <row r="284">
      <c r="A284" s="13" t="str">
        <f>IFERROR(__xludf.DUMMYFUNCTION("""COMPUTED_VALUE"""),"Super Mutant Alien Assault")</f>
        <v>Super Mutant Alien Assault</v>
      </c>
      <c r="B284" s="15" t="str">
        <f>IFERROR(__xludf.DUMMYFUNCTION("""COMPUTED_VALUE"""),"Vita")</f>
        <v>Vita</v>
      </c>
      <c r="C284" s="16" t="str">
        <f>IFERROR(__xludf.DUMMYFUNCTION("""COMPUTED_VALUE"""),"Playstation Plus (Discontinued)")</f>
        <v>Playstation Plus (Discontinued)</v>
      </c>
      <c r="D284" s="15" t="str">
        <f>IFERROR(__xludf.DUMMYFUNCTION("""COMPUTED_VALUE"""),"Removed")</f>
        <v>Removed</v>
      </c>
      <c r="E284" s="17">
        <f>IFERROR(__xludf.DUMMYFUNCTION("""COMPUTED_VALUE"""),43466.0)</f>
        <v>43466</v>
      </c>
      <c r="F284" s="54">
        <f>IFERROR(__xludf.DUMMYFUNCTION("""COMPUTED_VALUE"""),43500.0)</f>
        <v>43500</v>
      </c>
      <c r="G284" s="19">
        <f>IFERROR(__xludf.DUMMYFUNCTION("""COMPUTED_VALUE"""),1.0999999999999999)</f>
        <v>1.1</v>
      </c>
      <c r="H284" s="17">
        <f>IFERROR(__xludf.DUMMYFUNCTION("""COMPUTED_VALUE"""),42228.0)</f>
        <v>42228</v>
      </c>
      <c r="I284" s="19">
        <f>IFERROR(__xludf.DUMMYFUNCTION("""COMPUTED_VALUE"""),3.386111111111111)</f>
        <v>3.386111111</v>
      </c>
      <c r="J284" s="21">
        <f>IFERROR(__xludf.DUMMYFUNCTION("""COMPUTED_VALUE"""),65.0)</f>
        <v>65</v>
      </c>
      <c r="K284" s="23">
        <f>IFERROR(__xludf.DUMMYFUNCTION("""COMPUTED_VALUE"""),6.7)</f>
        <v>6.7</v>
      </c>
      <c r="L284" s="24">
        <f>IFERROR(__xludf.DUMMYFUNCTION("""COMPUTED_VALUE"""),3.0)</f>
        <v>3</v>
      </c>
      <c r="M284" s="25" t="str">
        <f>IFERROR(__xludf.DUMMYFUNCTION("""COMPUTED_VALUE"""),"Shooter")</f>
        <v>Shooter</v>
      </c>
      <c r="N284" s="25"/>
      <c r="O284" s="26" t="str">
        <f>IFERROR(__xludf.DUMMYFUNCTION("""COMPUTED_VALUE"""),"No")</f>
        <v>No</v>
      </c>
      <c r="P284" s="26"/>
    </row>
    <row r="285">
      <c r="A285" s="13" t="str">
        <f>IFERROR(__xludf.DUMMYFUNCTION("""COMPUTED_VALUE"""),"ONRUSH")</f>
        <v>ONRUSH</v>
      </c>
      <c r="B285" s="15" t="str">
        <f>IFERROR(__xludf.DUMMYFUNCTION("""COMPUTED_VALUE"""),"PS4")</f>
        <v>PS4</v>
      </c>
      <c r="C285" s="16" t="str">
        <f>IFERROR(__xludf.DUMMYFUNCTION("""COMPUTED_VALUE"""),"Playstation Plus (Discontinued)")</f>
        <v>Playstation Plus (Discontinued)</v>
      </c>
      <c r="D285" s="15" t="str">
        <f>IFERROR(__xludf.DUMMYFUNCTION("""COMPUTED_VALUE"""),"Removed")</f>
        <v>Removed</v>
      </c>
      <c r="E285" s="17">
        <f>IFERROR(__xludf.DUMMYFUNCTION("""COMPUTED_VALUE"""),43438.0)</f>
        <v>43438</v>
      </c>
      <c r="F285" s="54">
        <f>IFERROR(__xludf.DUMMYFUNCTION("""COMPUTED_VALUE"""),43465.0)</f>
        <v>43465</v>
      </c>
      <c r="G285" s="19">
        <f>IFERROR(__xludf.DUMMYFUNCTION("""COMPUTED_VALUE"""),0.8666666666666666)</f>
        <v>0.8666666667</v>
      </c>
      <c r="H285" s="17">
        <f>IFERROR(__xludf.DUMMYFUNCTION("""COMPUTED_VALUE"""),43256.0)</f>
        <v>43256</v>
      </c>
      <c r="I285" s="19">
        <f>IFERROR(__xludf.DUMMYFUNCTION("""COMPUTED_VALUE"""),0.49722222222222223)</f>
        <v>0.4972222222</v>
      </c>
      <c r="J285" s="21">
        <f>IFERROR(__xludf.DUMMYFUNCTION("""COMPUTED_VALUE"""),76.0)</f>
        <v>76</v>
      </c>
      <c r="K285" s="23">
        <f>IFERROR(__xludf.DUMMYFUNCTION("""COMPUTED_VALUE"""),7.0)</f>
        <v>7</v>
      </c>
      <c r="L285" s="24"/>
      <c r="M285" s="25" t="str">
        <f>IFERROR(__xludf.DUMMYFUNCTION("""COMPUTED_VALUE"""),"Racing")</f>
        <v>Racing</v>
      </c>
      <c r="N285" s="25"/>
      <c r="O285" s="26" t="str">
        <f>IFERROR(__xludf.DUMMYFUNCTION("""COMPUTED_VALUE"""),"No")</f>
        <v>No</v>
      </c>
      <c r="P285" s="26"/>
    </row>
    <row r="286">
      <c r="A286" s="13" t="str">
        <f>IFERROR(__xludf.DUMMYFUNCTION("""COMPUTED_VALUE"""),"SOMA")</f>
        <v>SOMA</v>
      </c>
      <c r="B286" s="15" t="str">
        <f>IFERROR(__xludf.DUMMYFUNCTION("""COMPUTED_VALUE"""),"PS4")</f>
        <v>PS4</v>
      </c>
      <c r="C286" s="16" t="str">
        <f>IFERROR(__xludf.DUMMYFUNCTION("""COMPUTED_VALUE"""),"Playstation Plus (Discontinued)")</f>
        <v>Playstation Plus (Discontinued)</v>
      </c>
      <c r="D286" s="15" t="str">
        <f>IFERROR(__xludf.DUMMYFUNCTION("""COMPUTED_VALUE"""),"Removed")</f>
        <v>Removed</v>
      </c>
      <c r="E286" s="17">
        <f>IFERROR(__xludf.DUMMYFUNCTION("""COMPUTED_VALUE"""),43438.0)</f>
        <v>43438</v>
      </c>
      <c r="F286" s="54">
        <f>IFERROR(__xludf.DUMMYFUNCTION("""COMPUTED_VALUE"""),43465.0)</f>
        <v>43465</v>
      </c>
      <c r="G286" s="19">
        <f>IFERROR(__xludf.DUMMYFUNCTION("""COMPUTED_VALUE"""),0.8666666666666666)</f>
        <v>0.8666666667</v>
      </c>
      <c r="H286" s="17">
        <f>IFERROR(__xludf.DUMMYFUNCTION("""COMPUTED_VALUE"""),42269.0)</f>
        <v>42269</v>
      </c>
      <c r="I286" s="19">
        <f>IFERROR(__xludf.DUMMYFUNCTION("""COMPUTED_VALUE"""),3.2)</f>
        <v>3.2</v>
      </c>
      <c r="J286" s="21">
        <f>IFERROR(__xludf.DUMMYFUNCTION("""COMPUTED_VALUE"""),79.0)</f>
        <v>79</v>
      </c>
      <c r="K286" s="23">
        <f>IFERROR(__xludf.DUMMYFUNCTION("""COMPUTED_VALUE"""),8.0)</f>
        <v>8</v>
      </c>
      <c r="L286" s="24">
        <f>IFERROR(__xludf.DUMMYFUNCTION("""COMPUTED_VALUE"""),10.0)</f>
        <v>10</v>
      </c>
      <c r="M286" s="25" t="str">
        <f>IFERROR(__xludf.DUMMYFUNCTION("""COMPUTED_VALUE"""),"Horror")</f>
        <v>Horror</v>
      </c>
      <c r="N286" s="25"/>
      <c r="O286" s="26" t="str">
        <f>IFERROR(__xludf.DUMMYFUNCTION("""COMPUTED_VALUE"""),"No")</f>
        <v>No</v>
      </c>
      <c r="P286" s="26"/>
    </row>
    <row r="287">
      <c r="A287" s="13" t="str">
        <f>IFERROR(__xludf.DUMMYFUNCTION("""COMPUTED_VALUE"""),"Steins;Gate")</f>
        <v>Steins;Gate</v>
      </c>
      <c r="B287" s="15" t="str">
        <f>IFERROR(__xludf.DUMMYFUNCTION("""COMPUTED_VALUE"""),"PS3")</f>
        <v>PS3</v>
      </c>
      <c r="C287" s="16" t="str">
        <f>IFERROR(__xludf.DUMMYFUNCTION("""COMPUTED_VALUE"""),"Playstation Plus (Discontinued)")</f>
        <v>Playstation Plus (Discontinued)</v>
      </c>
      <c r="D287" s="15" t="str">
        <f>IFERROR(__xludf.DUMMYFUNCTION("""COMPUTED_VALUE"""),"Removed")</f>
        <v>Removed</v>
      </c>
      <c r="E287" s="17">
        <f>IFERROR(__xludf.DUMMYFUNCTION("""COMPUTED_VALUE"""),43438.0)</f>
        <v>43438</v>
      </c>
      <c r="F287" s="54">
        <f>IFERROR(__xludf.DUMMYFUNCTION("""COMPUTED_VALUE"""),43465.0)</f>
        <v>43465</v>
      </c>
      <c r="G287" s="19">
        <f>IFERROR(__xludf.DUMMYFUNCTION("""COMPUTED_VALUE"""),0.8666666666666666)</f>
        <v>0.8666666667</v>
      </c>
      <c r="H287" s="17">
        <f>IFERROR(__xludf.DUMMYFUNCTION("""COMPUTED_VALUE"""),41536.0)</f>
        <v>41536</v>
      </c>
      <c r="I287" s="19">
        <f>IFERROR(__xludf.DUMMYFUNCTION("""COMPUTED_VALUE"""),5.208333333333333)</f>
        <v>5.208333333</v>
      </c>
      <c r="J287" s="21">
        <f>IFERROR(__xludf.DUMMYFUNCTION("""COMPUTED_VALUE"""),83.0)</f>
        <v>83</v>
      </c>
      <c r="K287" s="23">
        <f>IFERROR(__xludf.DUMMYFUNCTION("""COMPUTED_VALUE"""),8.8)</f>
        <v>8.8</v>
      </c>
      <c r="L287" s="24">
        <f>IFERROR(__xludf.DUMMYFUNCTION("""COMPUTED_VALUE"""),34.0)</f>
        <v>34</v>
      </c>
      <c r="M287" s="25" t="str">
        <f>IFERROR(__xludf.DUMMYFUNCTION("""COMPUTED_VALUE"""),"Visual Novel")</f>
        <v>Visual Novel</v>
      </c>
      <c r="N287" s="25"/>
      <c r="O287" s="26" t="str">
        <f>IFERROR(__xludf.DUMMYFUNCTION("""COMPUTED_VALUE"""),"No")</f>
        <v>No</v>
      </c>
      <c r="P287" s="26"/>
    </row>
    <row r="288">
      <c r="A288" s="13" t="str">
        <f>IFERROR(__xludf.DUMMYFUNCTION("""COMPUTED_VALUE"""),"Steredenn")</f>
        <v>Steredenn</v>
      </c>
      <c r="B288" s="15" t="str">
        <f>IFERROR(__xludf.DUMMYFUNCTION("""COMPUTED_VALUE"""),"PS3")</f>
        <v>PS3</v>
      </c>
      <c r="C288" s="16" t="str">
        <f>IFERROR(__xludf.DUMMYFUNCTION("""COMPUTED_VALUE"""),"Playstation Plus (Discontinued)")</f>
        <v>Playstation Plus (Discontinued)</v>
      </c>
      <c r="D288" s="15" t="str">
        <f>IFERROR(__xludf.DUMMYFUNCTION("""COMPUTED_VALUE"""),"Removed")</f>
        <v>Removed</v>
      </c>
      <c r="E288" s="17">
        <f>IFERROR(__xludf.DUMMYFUNCTION("""COMPUTED_VALUE"""),43438.0)</f>
        <v>43438</v>
      </c>
      <c r="F288" s="54">
        <f>IFERROR(__xludf.DUMMYFUNCTION("""COMPUTED_VALUE"""),43465.0)</f>
        <v>43465</v>
      </c>
      <c r="G288" s="19">
        <f>IFERROR(__xludf.DUMMYFUNCTION("""COMPUTED_VALUE"""),0.8666666666666666)</f>
        <v>0.8666666667</v>
      </c>
      <c r="H288" s="17">
        <f>IFERROR(__xludf.DUMMYFUNCTION("""COMPUTED_VALUE"""),42278.0)</f>
        <v>42278</v>
      </c>
      <c r="I288" s="19">
        <f>IFERROR(__xludf.DUMMYFUNCTION("""COMPUTED_VALUE"""),3.175)</f>
        <v>3.175</v>
      </c>
      <c r="J288" s="21">
        <f>IFERROR(__xludf.DUMMYFUNCTION("""COMPUTED_VALUE"""),79.0)</f>
        <v>79</v>
      </c>
      <c r="K288" s="23">
        <f>IFERROR(__xludf.DUMMYFUNCTION("""COMPUTED_VALUE"""),7.5)</f>
        <v>7.5</v>
      </c>
      <c r="L288" s="24">
        <f>IFERROR(__xludf.DUMMYFUNCTION("""COMPUTED_VALUE"""),5.0)</f>
        <v>5</v>
      </c>
      <c r="M288" s="25" t="str">
        <f>IFERROR(__xludf.DUMMYFUNCTION("""COMPUTED_VALUE"""),"Shooter")</f>
        <v>Shooter</v>
      </c>
      <c r="N288" s="25"/>
      <c r="O288" s="26" t="str">
        <f>IFERROR(__xludf.DUMMYFUNCTION("""COMPUTED_VALUE"""),"No")</f>
        <v>No</v>
      </c>
      <c r="P288" s="26"/>
    </row>
    <row r="289">
      <c r="A289" s="13" t="str">
        <f>IFERROR(__xludf.DUMMYFUNCTION("""COMPUTED_VALUE"""),"Iconoclasts")</f>
        <v>Iconoclasts</v>
      </c>
      <c r="B289" s="15" t="str">
        <f>IFERROR(__xludf.DUMMYFUNCTION("""COMPUTED_VALUE"""),"PS4/Vita")</f>
        <v>PS4/Vita</v>
      </c>
      <c r="C289" s="16" t="str">
        <f>IFERROR(__xludf.DUMMYFUNCTION("""COMPUTED_VALUE"""),"Playstation Plus (Discontinued)")</f>
        <v>Playstation Plus (Discontinued)</v>
      </c>
      <c r="D289" s="15" t="str">
        <f>IFERROR(__xludf.DUMMYFUNCTION("""COMPUTED_VALUE"""),"Removed")</f>
        <v>Removed</v>
      </c>
      <c r="E289" s="17">
        <f>IFERROR(__xludf.DUMMYFUNCTION("""COMPUTED_VALUE"""),43438.0)</f>
        <v>43438</v>
      </c>
      <c r="F289" s="54">
        <f>IFERROR(__xludf.DUMMYFUNCTION("""COMPUTED_VALUE"""),43465.0)</f>
        <v>43465</v>
      </c>
      <c r="G289" s="19">
        <f>IFERROR(__xludf.DUMMYFUNCTION("""COMPUTED_VALUE"""),0.8666666666666666)</f>
        <v>0.8666666667</v>
      </c>
      <c r="H289" s="17">
        <f>IFERROR(__xludf.DUMMYFUNCTION("""COMPUTED_VALUE"""),43123.0)</f>
        <v>43123</v>
      </c>
      <c r="I289" s="19">
        <f>IFERROR(__xludf.DUMMYFUNCTION("""COMPUTED_VALUE"""),0.8638888888888889)</f>
        <v>0.8638888889</v>
      </c>
      <c r="J289" s="21">
        <f>IFERROR(__xludf.DUMMYFUNCTION("""COMPUTED_VALUE"""),83.0)</f>
        <v>83</v>
      </c>
      <c r="K289" s="23">
        <f>IFERROR(__xludf.DUMMYFUNCTION("""COMPUTED_VALUE"""),8.0)</f>
        <v>8</v>
      </c>
      <c r="L289" s="24">
        <f>IFERROR(__xludf.DUMMYFUNCTION("""COMPUTED_VALUE"""),13.0)</f>
        <v>13</v>
      </c>
      <c r="M289" s="25" t="str">
        <f>IFERROR(__xludf.DUMMYFUNCTION("""COMPUTED_VALUE"""),"Platformer")</f>
        <v>Platformer</v>
      </c>
      <c r="N289" s="25"/>
      <c r="O289" s="26" t="str">
        <f>IFERROR(__xludf.DUMMYFUNCTION("""COMPUTED_VALUE"""),"No")</f>
        <v>No</v>
      </c>
      <c r="P289" s="26"/>
    </row>
    <row r="290">
      <c r="A290" s="13" t="str">
        <f>IFERROR(__xludf.DUMMYFUNCTION("""COMPUTED_VALUE"""),"Papers, Please")</f>
        <v>Papers, Please</v>
      </c>
      <c r="B290" s="15" t="str">
        <f>IFERROR(__xludf.DUMMYFUNCTION("""COMPUTED_VALUE"""),"Vita")</f>
        <v>Vita</v>
      </c>
      <c r="C290" s="16" t="str">
        <f>IFERROR(__xludf.DUMMYFUNCTION("""COMPUTED_VALUE"""),"Playstation Plus (Discontinued)")</f>
        <v>Playstation Plus (Discontinued)</v>
      </c>
      <c r="D290" s="15" t="str">
        <f>IFERROR(__xludf.DUMMYFUNCTION("""COMPUTED_VALUE"""),"Removed")</f>
        <v>Removed</v>
      </c>
      <c r="E290" s="17">
        <f>IFERROR(__xludf.DUMMYFUNCTION("""COMPUTED_VALUE"""),43438.0)</f>
        <v>43438</v>
      </c>
      <c r="F290" s="54">
        <f>IFERROR(__xludf.DUMMYFUNCTION("""COMPUTED_VALUE"""),43465.0)</f>
        <v>43465</v>
      </c>
      <c r="G290" s="19">
        <f>IFERROR(__xludf.DUMMYFUNCTION("""COMPUTED_VALUE"""),0.8666666666666666)</f>
        <v>0.8666666667</v>
      </c>
      <c r="H290" s="17">
        <f>IFERROR(__xludf.DUMMYFUNCTION("""COMPUTED_VALUE"""),41494.0)</f>
        <v>41494</v>
      </c>
      <c r="I290" s="19">
        <f>IFERROR(__xludf.DUMMYFUNCTION("""COMPUTED_VALUE"""),5.322222222222222)</f>
        <v>5.322222222</v>
      </c>
      <c r="J290" s="21">
        <f>IFERROR(__xludf.DUMMYFUNCTION("""COMPUTED_VALUE"""),85.0)</f>
        <v>85</v>
      </c>
      <c r="K290" s="23">
        <f>IFERROR(__xludf.DUMMYFUNCTION("""COMPUTED_VALUE"""),8.3)</f>
        <v>8.3</v>
      </c>
      <c r="L290" s="24">
        <f>IFERROR(__xludf.DUMMYFUNCTION("""COMPUTED_VALUE"""),4.0)</f>
        <v>4</v>
      </c>
      <c r="M290" s="25" t="str">
        <f>IFERROR(__xludf.DUMMYFUNCTION("""COMPUTED_VALUE"""),"Simulation")</f>
        <v>Simulation</v>
      </c>
      <c r="N290" s="25"/>
      <c r="O290" s="26" t="str">
        <f>IFERROR(__xludf.DUMMYFUNCTION("""COMPUTED_VALUE"""),"No")</f>
        <v>No</v>
      </c>
      <c r="P290" s="26"/>
    </row>
    <row r="291">
      <c r="A291" s="13" t="str">
        <f>IFERROR(__xludf.DUMMYFUNCTION("""COMPUTED_VALUE"""),"Bulletstorm: Full Clip Edition")</f>
        <v>Bulletstorm: Full Clip Edition</v>
      </c>
      <c r="B291" s="15" t="str">
        <f>IFERROR(__xludf.DUMMYFUNCTION("""COMPUTED_VALUE"""),"PS4")</f>
        <v>PS4</v>
      </c>
      <c r="C291" s="16" t="str">
        <f>IFERROR(__xludf.DUMMYFUNCTION("""COMPUTED_VALUE"""),"Playstation Plus (Discontinued)")</f>
        <v>Playstation Plus (Discontinued)</v>
      </c>
      <c r="D291" s="15" t="str">
        <f>IFERROR(__xludf.DUMMYFUNCTION("""COMPUTED_VALUE"""),"Removed")</f>
        <v>Removed</v>
      </c>
      <c r="E291" s="17">
        <f>IFERROR(__xludf.DUMMYFUNCTION("""COMPUTED_VALUE"""),43410.0)</f>
        <v>43410</v>
      </c>
      <c r="F291" s="54">
        <f>IFERROR(__xludf.DUMMYFUNCTION("""COMPUTED_VALUE"""),43437.0)</f>
        <v>43437</v>
      </c>
      <c r="G291" s="19">
        <f>IFERROR(__xludf.DUMMYFUNCTION("""COMPUTED_VALUE"""),0.8999999999999999)</f>
        <v>0.9</v>
      </c>
      <c r="H291" s="17">
        <f>IFERROR(__xludf.DUMMYFUNCTION("""COMPUTED_VALUE"""),42832.0)</f>
        <v>42832</v>
      </c>
      <c r="I291" s="19">
        <f>IFERROR(__xludf.DUMMYFUNCTION("""COMPUTED_VALUE"""),1.5805555555555555)</f>
        <v>1.580555556</v>
      </c>
      <c r="J291" s="21">
        <f>IFERROR(__xludf.DUMMYFUNCTION("""COMPUTED_VALUE"""),75.0)</f>
        <v>75</v>
      </c>
      <c r="K291" s="23">
        <f>IFERROR(__xludf.DUMMYFUNCTION("""COMPUTED_VALUE"""),7.7)</f>
        <v>7.7</v>
      </c>
      <c r="L291" s="24">
        <f>IFERROR(__xludf.DUMMYFUNCTION("""COMPUTED_VALUE"""),7.0)</f>
        <v>7</v>
      </c>
      <c r="M291" s="25" t="str">
        <f>IFERROR(__xludf.DUMMYFUNCTION("""COMPUTED_VALUE"""),"Shooter")</f>
        <v>Shooter</v>
      </c>
      <c r="N291" s="25"/>
      <c r="O291" s="26" t="str">
        <f>IFERROR(__xludf.DUMMYFUNCTION("""COMPUTED_VALUE"""),"No")</f>
        <v>No</v>
      </c>
      <c r="P291" s="26"/>
    </row>
    <row r="292">
      <c r="A292" s="13" t="str">
        <f>IFERROR(__xludf.DUMMYFUNCTION("""COMPUTED_VALUE"""),"Yakuza Kiwami")</f>
        <v>Yakuza Kiwami</v>
      </c>
      <c r="B292" s="15" t="str">
        <f>IFERROR(__xludf.DUMMYFUNCTION("""COMPUTED_VALUE"""),"PS4")</f>
        <v>PS4</v>
      </c>
      <c r="C292" s="16" t="str">
        <f>IFERROR(__xludf.DUMMYFUNCTION("""COMPUTED_VALUE"""),"Playstation Plus (Discontinued)")</f>
        <v>Playstation Plus (Discontinued)</v>
      </c>
      <c r="D292" s="15" t="str">
        <f>IFERROR(__xludf.DUMMYFUNCTION("""COMPUTED_VALUE"""),"Removed")</f>
        <v>Removed</v>
      </c>
      <c r="E292" s="17">
        <f>IFERROR(__xludf.DUMMYFUNCTION("""COMPUTED_VALUE"""),43410.0)</f>
        <v>43410</v>
      </c>
      <c r="F292" s="54">
        <f>IFERROR(__xludf.DUMMYFUNCTION("""COMPUTED_VALUE"""),43437.0)</f>
        <v>43437</v>
      </c>
      <c r="G292" s="19">
        <f>IFERROR(__xludf.DUMMYFUNCTION("""COMPUTED_VALUE"""),0.8999999999999999)</f>
        <v>0.9</v>
      </c>
      <c r="H292" s="17">
        <f>IFERROR(__xludf.DUMMYFUNCTION("""COMPUTED_VALUE"""),42976.0)</f>
        <v>42976</v>
      </c>
      <c r="I292" s="19">
        <f>IFERROR(__xludf.DUMMYFUNCTION("""COMPUTED_VALUE"""),1.1861111111111111)</f>
        <v>1.186111111</v>
      </c>
      <c r="J292" s="21">
        <f>IFERROR(__xludf.DUMMYFUNCTION("""COMPUTED_VALUE"""),80.0)</f>
        <v>80</v>
      </c>
      <c r="K292" s="23">
        <f>IFERROR(__xludf.DUMMYFUNCTION("""COMPUTED_VALUE"""),8.4)</f>
        <v>8.4</v>
      </c>
      <c r="L292" s="24">
        <f>IFERROR(__xludf.DUMMYFUNCTION("""COMPUTED_VALUE"""),17.0)</f>
        <v>17</v>
      </c>
      <c r="M292" s="25" t="str">
        <f>IFERROR(__xludf.DUMMYFUNCTION("""COMPUTED_VALUE"""),"Action-Adventure")</f>
        <v>Action-Adventure</v>
      </c>
      <c r="N292" s="25"/>
      <c r="O292" s="26" t="str">
        <f>IFERROR(__xludf.DUMMYFUNCTION("""COMPUTED_VALUE"""),"No")</f>
        <v>No</v>
      </c>
      <c r="P292" s="26"/>
    </row>
    <row r="293">
      <c r="A293" s="13" t="str">
        <f>IFERROR(__xludf.DUMMYFUNCTION("""COMPUTED_VALUE"""),"The Jackbox Party Pack 2")</f>
        <v>The Jackbox Party Pack 2</v>
      </c>
      <c r="B293" s="15" t="str">
        <f>IFERROR(__xludf.DUMMYFUNCTION("""COMPUTED_VALUE"""),"PS3")</f>
        <v>PS3</v>
      </c>
      <c r="C293" s="16" t="str">
        <f>IFERROR(__xludf.DUMMYFUNCTION("""COMPUTED_VALUE"""),"Playstation Plus (Discontinued)")</f>
        <v>Playstation Plus (Discontinued)</v>
      </c>
      <c r="D293" s="15" t="str">
        <f>IFERROR(__xludf.DUMMYFUNCTION("""COMPUTED_VALUE"""),"Removed")</f>
        <v>Removed</v>
      </c>
      <c r="E293" s="17">
        <f>IFERROR(__xludf.DUMMYFUNCTION("""COMPUTED_VALUE"""),43410.0)</f>
        <v>43410</v>
      </c>
      <c r="F293" s="54">
        <f>IFERROR(__xludf.DUMMYFUNCTION("""COMPUTED_VALUE"""),43437.0)</f>
        <v>43437</v>
      </c>
      <c r="G293" s="19">
        <f>IFERROR(__xludf.DUMMYFUNCTION("""COMPUTED_VALUE"""),0.8999999999999999)</f>
        <v>0.9</v>
      </c>
      <c r="H293" s="17">
        <f>IFERROR(__xludf.DUMMYFUNCTION("""COMPUTED_VALUE"""),42290.0)</f>
        <v>42290</v>
      </c>
      <c r="I293" s="19">
        <f>IFERROR(__xludf.DUMMYFUNCTION("""COMPUTED_VALUE"""),3.063888888888889)</f>
        <v>3.063888889</v>
      </c>
      <c r="J293" s="21">
        <f>IFERROR(__xludf.DUMMYFUNCTION("""COMPUTED_VALUE"""),71.0)</f>
        <v>71</v>
      </c>
      <c r="K293" s="23">
        <f>IFERROR(__xludf.DUMMYFUNCTION("""COMPUTED_VALUE"""),7.8)</f>
        <v>7.8</v>
      </c>
      <c r="L293" s="24"/>
      <c r="M293" s="25" t="str">
        <f>IFERROR(__xludf.DUMMYFUNCTION("""COMPUTED_VALUE"""),"Party")</f>
        <v>Party</v>
      </c>
      <c r="N293" s="25"/>
      <c r="O293" s="26" t="str">
        <f>IFERROR(__xludf.DUMMYFUNCTION("""COMPUTED_VALUE"""),"No")</f>
        <v>No</v>
      </c>
      <c r="P293" s="26"/>
    </row>
    <row r="294">
      <c r="A294" s="13" t="str">
        <f>IFERROR(__xludf.DUMMYFUNCTION("""COMPUTED_VALUE"""),"Arkedo Series")</f>
        <v>Arkedo Series</v>
      </c>
      <c r="B294" s="15" t="str">
        <f>IFERROR(__xludf.DUMMYFUNCTION("""COMPUTED_VALUE"""),"PS3")</f>
        <v>PS3</v>
      </c>
      <c r="C294" s="16" t="str">
        <f>IFERROR(__xludf.DUMMYFUNCTION("""COMPUTED_VALUE"""),"Playstation Plus (Discontinued)")</f>
        <v>Playstation Plus (Discontinued)</v>
      </c>
      <c r="D294" s="15" t="str">
        <f>IFERROR(__xludf.DUMMYFUNCTION("""COMPUTED_VALUE"""),"Removed")</f>
        <v>Removed</v>
      </c>
      <c r="E294" s="17">
        <f>IFERROR(__xludf.DUMMYFUNCTION("""COMPUTED_VALUE"""),43410.0)</f>
        <v>43410</v>
      </c>
      <c r="F294" s="54">
        <f>IFERROR(__xludf.DUMMYFUNCTION("""COMPUTED_VALUE"""),43437.0)</f>
        <v>43437</v>
      </c>
      <c r="G294" s="19">
        <f>IFERROR(__xludf.DUMMYFUNCTION("""COMPUTED_VALUE"""),0.8999999999999999)</f>
        <v>0.9</v>
      </c>
      <c r="H294" s="17">
        <f>IFERROR(__xludf.DUMMYFUNCTION("""COMPUTED_VALUE"""),41928.0)</f>
        <v>41928</v>
      </c>
      <c r="I294" s="19">
        <f>IFERROR(__xludf.DUMMYFUNCTION("""COMPUTED_VALUE"""),4.055555555555555)</f>
        <v>4.055555556</v>
      </c>
      <c r="J294" s="21"/>
      <c r="K294" s="23"/>
      <c r="L294" s="24">
        <f>IFERROR(__xludf.DUMMYFUNCTION("""COMPUTED_VALUE"""),5.0)</f>
        <v>5</v>
      </c>
      <c r="M294" s="25" t="str">
        <f>IFERROR(__xludf.DUMMYFUNCTION("""COMPUTED_VALUE"""),"Puzzle")</f>
        <v>Puzzle</v>
      </c>
      <c r="N294" s="25"/>
      <c r="O294" s="26" t="str">
        <f>IFERROR(__xludf.DUMMYFUNCTION("""COMPUTED_VALUE"""),"No")</f>
        <v>No</v>
      </c>
      <c r="P294" s="26"/>
    </row>
    <row r="295">
      <c r="A295" s="13" t="str">
        <f>IFERROR(__xludf.DUMMYFUNCTION("""COMPUTED_VALUE"""),"Burly Men at Sea")</f>
        <v>Burly Men at Sea</v>
      </c>
      <c r="B295" s="15" t="str">
        <f>IFERROR(__xludf.DUMMYFUNCTION("""COMPUTED_VALUE"""),"PS4/Vita")</f>
        <v>PS4/Vita</v>
      </c>
      <c r="C295" s="16" t="str">
        <f>IFERROR(__xludf.DUMMYFUNCTION("""COMPUTED_VALUE"""),"Playstation Plus (Discontinued)")</f>
        <v>Playstation Plus (Discontinued)</v>
      </c>
      <c r="D295" s="15" t="str">
        <f>IFERROR(__xludf.DUMMYFUNCTION("""COMPUTED_VALUE"""),"Removed")</f>
        <v>Removed</v>
      </c>
      <c r="E295" s="17">
        <f>IFERROR(__xludf.DUMMYFUNCTION("""COMPUTED_VALUE"""),43410.0)</f>
        <v>43410</v>
      </c>
      <c r="F295" s="54">
        <f>IFERROR(__xludf.DUMMYFUNCTION("""COMPUTED_VALUE"""),43437.0)</f>
        <v>43437</v>
      </c>
      <c r="G295" s="19">
        <f>IFERROR(__xludf.DUMMYFUNCTION("""COMPUTED_VALUE"""),0.8999999999999999)</f>
        <v>0.9</v>
      </c>
      <c r="H295" s="17">
        <f>IFERROR(__xludf.DUMMYFUNCTION("""COMPUTED_VALUE"""),43007.0)</f>
        <v>43007</v>
      </c>
      <c r="I295" s="19">
        <f>IFERROR(__xludf.DUMMYFUNCTION("""COMPUTED_VALUE"""),1.1027777777777779)</f>
        <v>1.102777778</v>
      </c>
      <c r="J295" s="21">
        <f>IFERROR(__xludf.DUMMYFUNCTION("""COMPUTED_VALUE"""),75.0)</f>
        <v>75</v>
      </c>
      <c r="K295" s="23">
        <f>IFERROR(__xludf.DUMMYFUNCTION("""COMPUTED_VALUE"""),7.3)</f>
        <v>7.3</v>
      </c>
      <c r="L295" s="24">
        <f>IFERROR(__xludf.DUMMYFUNCTION("""COMPUTED_VALUE"""),2.0)</f>
        <v>2</v>
      </c>
      <c r="M295" s="25" t="str">
        <f>IFERROR(__xludf.DUMMYFUNCTION("""COMPUTED_VALUE"""),"Adventure")</f>
        <v>Adventure</v>
      </c>
      <c r="N295" s="25"/>
      <c r="O295" s="26" t="str">
        <f>IFERROR(__xludf.DUMMYFUNCTION("""COMPUTED_VALUE"""),"No")</f>
        <v>No</v>
      </c>
      <c r="P295" s="26"/>
    </row>
    <row r="296">
      <c r="A296" s="13" t="str">
        <f>IFERROR(__xludf.DUMMYFUNCTION("""COMPUTED_VALUE"""),"Roundabout")</f>
        <v>Roundabout</v>
      </c>
      <c r="B296" s="15" t="str">
        <f>IFERROR(__xludf.DUMMYFUNCTION("""COMPUTED_VALUE"""),"PS4/Vita")</f>
        <v>PS4/Vita</v>
      </c>
      <c r="C296" s="16" t="str">
        <f>IFERROR(__xludf.DUMMYFUNCTION("""COMPUTED_VALUE"""),"Playstation Plus (Discontinued)")</f>
        <v>Playstation Plus (Discontinued)</v>
      </c>
      <c r="D296" s="15" t="str">
        <f>IFERROR(__xludf.DUMMYFUNCTION("""COMPUTED_VALUE"""),"Removed")</f>
        <v>Removed</v>
      </c>
      <c r="E296" s="17">
        <f>IFERROR(__xludf.DUMMYFUNCTION("""COMPUTED_VALUE"""),43410.0)</f>
        <v>43410</v>
      </c>
      <c r="F296" s="54">
        <f>IFERROR(__xludf.DUMMYFUNCTION("""COMPUTED_VALUE"""),43437.0)</f>
        <v>43437</v>
      </c>
      <c r="G296" s="19">
        <f>IFERROR(__xludf.DUMMYFUNCTION("""COMPUTED_VALUE"""),0.8999999999999999)</f>
        <v>0.9</v>
      </c>
      <c r="H296" s="17">
        <f>IFERROR(__xludf.DUMMYFUNCTION("""COMPUTED_VALUE"""),41900.0)</f>
        <v>41900</v>
      </c>
      <c r="I296" s="19">
        <f>IFERROR(__xludf.DUMMYFUNCTION("""COMPUTED_VALUE"""),4.133333333333334)</f>
        <v>4.133333333</v>
      </c>
      <c r="J296" s="21">
        <f>IFERROR(__xludf.DUMMYFUNCTION("""COMPUTED_VALUE"""),69.0)</f>
        <v>69</v>
      </c>
      <c r="K296" s="23">
        <f>IFERROR(__xludf.DUMMYFUNCTION("""COMPUTED_VALUE"""),7.2)</f>
        <v>7.2</v>
      </c>
      <c r="L296" s="24">
        <f>IFERROR(__xludf.DUMMYFUNCTION("""COMPUTED_VALUE"""),4.0)</f>
        <v>4</v>
      </c>
      <c r="M296" s="25" t="str">
        <f>IFERROR(__xludf.DUMMYFUNCTION("""COMPUTED_VALUE"""),"Racing")</f>
        <v>Racing</v>
      </c>
      <c r="N296" s="25"/>
      <c r="O296" s="26" t="str">
        <f>IFERROR(__xludf.DUMMYFUNCTION("""COMPUTED_VALUE"""),"No")</f>
        <v>No</v>
      </c>
      <c r="P296" s="26"/>
    </row>
    <row r="297">
      <c r="A297" s="13" t="str">
        <f>IFERROR(__xludf.DUMMYFUNCTION("""COMPUTED_VALUE"""),"Friday the 13th: The Game")</f>
        <v>Friday the 13th: The Game</v>
      </c>
      <c r="B297" s="15" t="str">
        <f>IFERROR(__xludf.DUMMYFUNCTION("""COMPUTED_VALUE"""),"PS4")</f>
        <v>PS4</v>
      </c>
      <c r="C297" s="16" t="str">
        <f>IFERROR(__xludf.DUMMYFUNCTION("""COMPUTED_VALUE"""),"Playstation Plus (Discontinued)")</f>
        <v>Playstation Plus (Discontinued)</v>
      </c>
      <c r="D297" s="15" t="str">
        <f>IFERROR(__xludf.DUMMYFUNCTION("""COMPUTED_VALUE"""),"Removed")</f>
        <v>Removed</v>
      </c>
      <c r="E297" s="17">
        <f>IFERROR(__xludf.DUMMYFUNCTION("""COMPUTED_VALUE"""),43375.0)</f>
        <v>43375</v>
      </c>
      <c r="F297" s="54">
        <f>IFERROR(__xludf.DUMMYFUNCTION("""COMPUTED_VALUE"""),43409.0)</f>
        <v>43409</v>
      </c>
      <c r="G297" s="19">
        <f>IFERROR(__xludf.DUMMYFUNCTION("""COMPUTED_VALUE"""),1.0999999999999999)</f>
        <v>1.1</v>
      </c>
      <c r="H297" s="17">
        <f>IFERROR(__xludf.DUMMYFUNCTION("""COMPUTED_VALUE"""),42881.0)</f>
        <v>42881</v>
      </c>
      <c r="I297" s="19">
        <f>IFERROR(__xludf.DUMMYFUNCTION("""COMPUTED_VALUE"""),1.35)</f>
        <v>1.35</v>
      </c>
      <c r="J297" s="21">
        <f>IFERROR(__xludf.DUMMYFUNCTION("""COMPUTED_VALUE"""),61.0)</f>
        <v>61</v>
      </c>
      <c r="K297" s="23">
        <f>IFERROR(__xludf.DUMMYFUNCTION("""COMPUTED_VALUE"""),6.3)</f>
        <v>6.3</v>
      </c>
      <c r="L297" s="24"/>
      <c r="M297" s="25" t="str">
        <f>IFERROR(__xludf.DUMMYFUNCTION("""COMPUTED_VALUE"""),"Survival")</f>
        <v>Survival</v>
      </c>
      <c r="N297" s="25"/>
      <c r="O297" s="26" t="str">
        <f>IFERROR(__xludf.DUMMYFUNCTION("""COMPUTED_VALUE"""),"No")</f>
        <v>No</v>
      </c>
      <c r="P297" s="26"/>
    </row>
    <row r="298">
      <c r="A298" s="13" t="str">
        <f>IFERROR(__xludf.DUMMYFUNCTION("""COMPUTED_VALUE"""),"Laser League")</f>
        <v>Laser League</v>
      </c>
      <c r="B298" s="15" t="str">
        <f>IFERROR(__xludf.DUMMYFUNCTION("""COMPUTED_VALUE"""),"PS4")</f>
        <v>PS4</v>
      </c>
      <c r="C298" s="16" t="str">
        <f>IFERROR(__xludf.DUMMYFUNCTION("""COMPUTED_VALUE"""),"Playstation Plus (Discontinued)")</f>
        <v>Playstation Plus (Discontinued)</v>
      </c>
      <c r="D298" s="15" t="str">
        <f>IFERROR(__xludf.DUMMYFUNCTION("""COMPUTED_VALUE"""),"Removed")</f>
        <v>Removed</v>
      </c>
      <c r="E298" s="17">
        <f>IFERROR(__xludf.DUMMYFUNCTION("""COMPUTED_VALUE"""),43375.0)</f>
        <v>43375</v>
      </c>
      <c r="F298" s="54">
        <f>IFERROR(__xludf.DUMMYFUNCTION("""COMPUTED_VALUE"""),43409.0)</f>
        <v>43409</v>
      </c>
      <c r="G298" s="19">
        <f>IFERROR(__xludf.DUMMYFUNCTION("""COMPUTED_VALUE"""),1.0999999999999999)</f>
        <v>1.1</v>
      </c>
      <c r="H298" s="17">
        <f>IFERROR(__xludf.DUMMYFUNCTION("""COMPUTED_VALUE"""),43230.0)</f>
        <v>43230</v>
      </c>
      <c r="I298" s="19">
        <f>IFERROR(__xludf.DUMMYFUNCTION("""COMPUTED_VALUE"""),0.39444444444444443)</f>
        <v>0.3944444444</v>
      </c>
      <c r="J298" s="21">
        <f>IFERROR(__xludf.DUMMYFUNCTION("""COMPUTED_VALUE"""),82.0)</f>
        <v>82</v>
      </c>
      <c r="K298" s="23">
        <f>IFERROR(__xludf.DUMMYFUNCTION("""COMPUTED_VALUE"""),6.4)</f>
        <v>6.4</v>
      </c>
      <c r="L298" s="24"/>
      <c r="M298" s="25" t="str">
        <f>IFERROR(__xludf.DUMMYFUNCTION("""COMPUTED_VALUE"""),"Arcade")</f>
        <v>Arcade</v>
      </c>
      <c r="N298" s="25"/>
      <c r="O298" s="26" t="str">
        <f>IFERROR(__xludf.DUMMYFUNCTION("""COMPUTED_VALUE"""),"No")</f>
        <v>No</v>
      </c>
      <c r="P298" s="26"/>
    </row>
    <row r="299">
      <c r="A299" s="13" t="str">
        <f>IFERROR(__xludf.DUMMYFUNCTION("""COMPUTED_VALUE"""),"Knowledge is Power")</f>
        <v>Knowledge is Power</v>
      </c>
      <c r="B299" s="15" t="str">
        <f>IFERROR(__xludf.DUMMYFUNCTION("""COMPUTED_VALUE"""),"PS4")</f>
        <v>PS4</v>
      </c>
      <c r="C299" s="16" t="str">
        <f>IFERROR(__xludf.DUMMYFUNCTION("""COMPUTED_VALUE"""),"Playstation Plus (Discontinued)")</f>
        <v>Playstation Plus (Discontinued)</v>
      </c>
      <c r="D299" s="15" t="str">
        <f>IFERROR(__xludf.DUMMYFUNCTION("""COMPUTED_VALUE"""),"Removed")</f>
        <v>Removed</v>
      </c>
      <c r="E299" s="17">
        <f>IFERROR(__xludf.DUMMYFUNCTION("""COMPUTED_VALUE"""),43375.0)</f>
        <v>43375</v>
      </c>
      <c r="F299" s="54">
        <f>IFERROR(__xludf.DUMMYFUNCTION("""COMPUTED_VALUE"""),43409.0)</f>
        <v>43409</v>
      </c>
      <c r="G299" s="19">
        <f>IFERROR(__xludf.DUMMYFUNCTION("""COMPUTED_VALUE"""),1.0999999999999999)</f>
        <v>1.1</v>
      </c>
      <c r="H299" s="17">
        <f>IFERROR(__xludf.DUMMYFUNCTION("""COMPUTED_VALUE"""),43060.0)</f>
        <v>43060</v>
      </c>
      <c r="I299" s="19">
        <f>IFERROR(__xludf.DUMMYFUNCTION("""COMPUTED_VALUE"""),0.8638888888888889)</f>
        <v>0.8638888889</v>
      </c>
      <c r="J299" s="21">
        <f>IFERROR(__xludf.DUMMYFUNCTION("""COMPUTED_VALUE"""),71.0)</f>
        <v>71</v>
      </c>
      <c r="K299" s="23">
        <f>IFERROR(__xludf.DUMMYFUNCTION("""COMPUTED_VALUE"""),7.4)</f>
        <v>7.4</v>
      </c>
      <c r="L299" s="24"/>
      <c r="M299" s="25" t="str">
        <f>IFERROR(__xludf.DUMMYFUNCTION("""COMPUTED_VALUE"""),"Party")</f>
        <v>Party</v>
      </c>
      <c r="N299" s="25"/>
      <c r="O299" s="26" t="str">
        <f>IFERROR(__xludf.DUMMYFUNCTION("""COMPUTED_VALUE"""),"No")</f>
        <v>No</v>
      </c>
      <c r="P299" s="26"/>
    </row>
    <row r="300">
      <c r="A300" s="13" t="str">
        <f>IFERROR(__xludf.DUMMYFUNCTION("""COMPUTED_VALUE"""),"Master Reboot")</f>
        <v>Master Reboot</v>
      </c>
      <c r="B300" s="15" t="str">
        <f>IFERROR(__xludf.DUMMYFUNCTION("""COMPUTED_VALUE"""),"PS3")</f>
        <v>PS3</v>
      </c>
      <c r="C300" s="16" t="str">
        <f>IFERROR(__xludf.DUMMYFUNCTION("""COMPUTED_VALUE"""),"Playstation Plus (Discontinued)")</f>
        <v>Playstation Plus (Discontinued)</v>
      </c>
      <c r="D300" s="15" t="str">
        <f>IFERROR(__xludf.DUMMYFUNCTION("""COMPUTED_VALUE"""),"Removed")</f>
        <v>Removed</v>
      </c>
      <c r="E300" s="17">
        <f>IFERROR(__xludf.DUMMYFUNCTION("""COMPUTED_VALUE"""),43375.0)</f>
        <v>43375</v>
      </c>
      <c r="F300" s="54">
        <f>IFERROR(__xludf.DUMMYFUNCTION("""COMPUTED_VALUE"""),43409.0)</f>
        <v>43409</v>
      </c>
      <c r="G300" s="19">
        <f>IFERROR(__xludf.DUMMYFUNCTION("""COMPUTED_VALUE"""),1.0999999999999999)</f>
        <v>1.1</v>
      </c>
      <c r="H300" s="17">
        <f>IFERROR(__xludf.DUMMYFUNCTION("""COMPUTED_VALUE"""),41835.0)</f>
        <v>41835</v>
      </c>
      <c r="I300" s="19">
        <f>IFERROR(__xludf.DUMMYFUNCTION("""COMPUTED_VALUE"""),4.213888888888889)</f>
        <v>4.213888889</v>
      </c>
      <c r="J300" s="21">
        <f>IFERROR(__xludf.DUMMYFUNCTION("""COMPUTED_VALUE"""),62.0)</f>
        <v>62</v>
      </c>
      <c r="K300" s="23">
        <f>IFERROR(__xludf.DUMMYFUNCTION("""COMPUTED_VALUE"""),5.9)</f>
        <v>5.9</v>
      </c>
      <c r="L300" s="24">
        <f>IFERROR(__xludf.DUMMYFUNCTION("""COMPUTED_VALUE"""),4.0)</f>
        <v>4</v>
      </c>
      <c r="M300" s="25" t="str">
        <f>IFERROR(__xludf.DUMMYFUNCTION("""COMPUTED_VALUE"""),"Adventure")</f>
        <v>Adventure</v>
      </c>
      <c r="N300" s="25"/>
      <c r="O300" s="26" t="str">
        <f>IFERROR(__xludf.DUMMYFUNCTION("""COMPUTED_VALUE"""),"No")</f>
        <v>No</v>
      </c>
      <c r="P300" s="26"/>
    </row>
    <row r="301">
      <c r="A301" s="13" t="str">
        <f>IFERROR(__xludf.DUMMYFUNCTION("""COMPUTED_VALUE"""),"The Bridge")</f>
        <v>The Bridge</v>
      </c>
      <c r="B301" s="15" t="str">
        <f>IFERROR(__xludf.DUMMYFUNCTION("""COMPUTED_VALUE"""),"PS4/PS3/Vita")</f>
        <v>PS4/PS3/Vita</v>
      </c>
      <c r="C301" s="16" t="str">
        <f>IFERROR(__xludf.DUMMYFUNCTION("""COMPUTED_VALUE"""),"Playstation Plus (Discontinued)")</f>
        <v>Playstation Plus (Discontinued)</v>
      </c>
      <c r="D301" s="15" t="str">
        <f>IFERROR(__xludf.DUMMYFUNCTION("""COMPUTED_VALUE"""),"Removed")</f>
        <v>Removed</v>
      </c>
      <c r="E301" s="17">
        <f>IFERROR(__xludf.DUMMYFUNCTION("""COMPUTED_VALUE"""),43375.0)</f>
        <v>43375</v>
      </c>
      <c r="F301" s="54">
        <f>IFERROR(__xludf.DUMMYFUNCTION("""COMPUTED_VALUE"""),43409.0)</f>
        <v>43409</v>
      </c>
      <c r="G301" s="19">
        <f>IFERROR(__xludf.DUMMYFUNCTION("""COMPUTED_VALUE"""),1.0999999999999999)</f>
        <v>1.1</v>
      </c>
      <c r="H301" s="17">
        <f>IFERROR(__xludf.DUMMYFUNCTION("""COMPUTED_VALUE"""),41590.0)</f>
        <v>41590</v>
      </c>
      <c r="I301" s="19">
        <f>IFERROR(__xludf.DUMMYFUNCTION("""COMPUTED_VALUE"""),4.888888888888889)</f>
        <v>4.888888889</v>
      </c>
      <c r="J301" s="21">
        <f>IFERROR(__xludf.DUMMYFUNCTION("""COMPUTED_VALUE"""),77.0)</f>
        <v>77</v>
      </c>
      <c r="K301" s="23">
        <f>IFERROR(__xludf.DUMMYFUNCTION("""COMPUTED_VALUE"""),7.5)</f>
        <v>7.5</v>
      </c>
      <c r="L301" s="24">
        <f>IFERROR(__xludf.DUMMYFUNCTION("""COMPUTED_VALUE"""),4.0)</f>
        <v>4</v>
      </c>
      <c r="M301" s="25" t="str">
        <f>IFERROR(__xludf.DUMMYFUNCTION("""COMPUTED_VALUE"""),"Puzzle")</f>
        <v>Puzzle</v>
      </c>
      <c r="N301" s="25"/>
      <c r="O301" s="26" t="str">
        <f>IFERROR(__xludf.DUMMYFUNCTION("""COMPUTED_VALUE"""),"No")</f>
        <v>No</v>
      </c>
      <c r="P301" s="26"/>
    </row>
    <row r="302">
      <c r="A302" s="13" t="str">
        <f>IFERROR(__xludf.DUMMYFUNCTION("""COMPUTED_VALUE"""),"2064: Read Only Memories")</f>
        <v>2064: Read Only Memories</v>
      </c>
      <c r="B302" s="15" t="str">
        <f>IFERROR(__xludf.DUMMYFUNCTION("""COMPUTED_VALUE"""),"PS4/Vita")</f>
        <v>PS4/Vita</v>
      </c>
      <c r="C302" s="16" t="str">
        <f>IFERROR(__xludf.DUMMYFUNCTION("""COMPUTED_VALUE"""),"Playstation Plus (Discontinued)")</f>
        <v>Playstation Plus (Discontinued)</v>
      </c>
      <c r="D302" s="15" t="str">
        <f>IFERROR(__xludf.DUMMYFUNCTION("""COMPUTED_VALUE"""),"Removed")</f>
        <v>Removed</v>
      </c>
      <c r="E302" s="17">
        <f>IFERROR(__xludf.DUMMYFUNCTION("""COMPUTED_VALUE"""),43375.0)</f>
        <v>43375</v>
      </c>
      <c r="F302" s="54">
        <f>IFERROR(__xludf.DUMMYFUNCTION("""COMPUTED_VALUE"""),43409.0)</f>
        <v>43409</v>
      </c>
      <c r="G302" s="19">
        <f>IFERROR(__xludf.DUMMYFUNCTION("""COMPUTED_VALUE"""),1.0999999999999999)</f>
        <v>1.1</v>
      </c>
      <c r="H302" s="17">
        <f>IFERROR(__xludf.DUMMYFUNCTION("""COMPUTED_VALUE"""),43025.0)</f>
        <v>43025</v>
      </c>
      <c r="I302" s="19">
        <f>IFERROR(__xludf.DUMMYFUNCTION("""COMPUTED_VALUE"""),0.9583333333333334)</f>
        <v>0.9583333333</v>
      </c>
      <c r="J302" s="21">
        <f>IFERROR(__xludf.DUMMYFUNCTION("""COMPUTED_VALUE"""),76.0)</f>
        <v>76</v>
      </c>
      <c r="K302" s="23">
        <f>IFERROR(__xludf.DUMMYFUNCTION("""COMPUTED_VALUE"""),7.3)</f>
        <v>7.3</v>
      </c>
      <c r="L302" s="24">
        <f>IFERROR(__xludf.DUMMYFUNCTION("""COMPUTED_VALUE"""),12.0)</f>
        <v>12</v>
      </c>
      <c r="M302" s="25" t="str">
        <f>IFERROR(__xludf.DUMMYFUNCTION("""COMPUTED_VALUE"""),"Adventure")</f>
        <v>Adventure</v>
      </c>
      <c r="N302" s="25"/>
      <c r="O302" s="26" t="str">
        <f>IFERROR(__xludf.DUMMYFUNCTION("""COMPUTED_VALUE"""),"No")</f>
        <v>No</v>
      </c>
      <c r="P302" s="26"/>
    </row>
    <row r="303">
      <c r="A303" s="13" t="str">
        <f>IFERROR(__xludf.DUMMYFUNCTION("""COMPUTED_VALUE"""),"Rocketbirds 2: Evolution")</f>
        <v>Rocketbirds 2: Evolution</v>
      </c>
      <c r="B303" s="15" t="str">
        <f>IFERROR(__xludf.DUMMYFUNCTION("""COMPUTED_VALUE"""),"PS4/Vita")</f>
        <v>PS4/Vita</v>
      </c>
      <c r="C303" s="16" t="str">
        <f>IFERROR(__xludf.DUMMYFUNCTION("""COMPUTED_VALUE"""),"Playstation Plus (Discontinued)")</f>
        <v>Playstation Plus (Discontinued)</v>
      </c>
      <c r="D303" s="15" t="str">
        <f>IFERROR(__xludf.DUMMYFUNCTION("""COMPUTED_VALUE"""),"Removed")</f>
        <v>Removed</v>
      </c>
      <c r="E303" s="17">
        <f>IFERROR(__xludf.DUMMYFUNCTION("""COMPUTED_VALUE"""),43375.0)</f>
        <v>43375</v>
      </c>
      <c r="F303" s="54">
        <f>IFERROR(__xludf.DUMMYFUNCTION("""COMPUTED_VALUE"""),43409.0)</f>
        <v>43409</v>
      </c>
      <c r="G303" s="19">
        <f>IFERROR(__xludf.DUMMYFUNCTION("""COMPUTED_VALUE"""),1.0999999999999999)</f>
        <v>1.1</v>
      </c>
      <c r="H303" s="17">
        <f>IFERROR(__xludf.DUMMYFUNCTION("""COMPUTED_VALUE"""),42486.0)</f>
        <v>42486</v>
      </c>
      <c r="I303" s="19">
        <f>IFERROR(__xludf.DUMMYFUNCTION("""COMPUTED_VALUE"""),2.433333333333333)</f>
        <v>2.433333333</v>
      </c>
      <c r="J303" s="21">
        <f>IFERROR(__xludf.DUMMYFUNCTION("""COMPUTED_VALUE"""),67.0)</f>
        <v>67</v>
      </c>
      <c r="K303" s="23">
        <f>IFERROR(__xludf.DUMMYFUNCTION("""COMPUTED_VALUE"""),6.7)</f>
        <v>6.7</v>
      </c>
      <c r="L303" s="24">
        <f>IFERROR(__xludf.DUMMYFUNCTION("""COMPUTED_VALUE"""),7.0)</f>
        <v>7</v>
      </c>
      <c r="M303" s="25" t="str">
        <f>IFERROR(__xludf.DUMMYFUNCTION("""COMPUTED_VALUE"""),"Shooter")</f>
        <v>Shooter</v>
      </c>
      <c r="N303" s="25"/>
      <c r="O303" s="26" t="str">
        <f>IFERROR(__xludf.DUMMYFUNCTION("""COMPUTED_VALUE"""),"No")</f>
        <v>No</v>
      </c>
      <c r="P303" s="26"/>
    </row>
    <row r="304">
      <c r="A304" s="13" t="str">
        <f>IFERROR(__xludf.DUMMYFUNCTION("""COMPUTED_VALUE"""),"Destiny 2")</f>
        <v>Destiny 2</v>
      </c>
      <c r="B304" s="15" t="str">
        <f>IFERROR(__xludf.DUMMYFUNCTION("""COMPUTED_VALUE"""),"PS4")</f>
        <v>PS4</v>
      </c>
      <c r="C304" s="16" t="str">
        <f>IFERROR(__xludf.DUMMYFUNCTION("""COMPUTED_VALUE"""),"Playstation Plus (Discontinued)")</f>
        <v>Playstation Plus (Discontinued)</v>
      </c>
      <c r="D304" s="15" t="str">
        <f>IFERROR(__xludf.DUMMYFUNCTION("""COMPUTED_VALUE"""),"Removed")</f>
        <v>Removed</v>
      </c>
      <c r="E304" s="17">
        <f>IFERROR(__xludf.DUMMYFUNCTION("""COMPUTED_VALUE"""),43347.0)</f>
        <v>43347</v>
      </c>
      <c r="F304" s="54">
        <f>IFERROR(__xludf.DUMMYFUNCTION("""COMPUTED_VALUE"""),43374.0)</f>
        <v>43374</v>
      </c>
      <c r="G304" s="19">
        <f>IFERROR(__xludf.DUMMYFUNCTION("""COMPUTED_VALUE"""),0.8999999999999999)</f>
        <v>0.9</v>
      </c>
      <c r="H304" s="17">
        <f>IFERROR(__xludf.DUMMYFUNCTION("""COMPUTED_VALUE"""),42984.0)</f>
        <v>42984</v>
      </c>
      <c r="I304" s="19">
        <f>IFERROR(__xludf.DUMMYFUNCTION("""COMPUTED_VALUE"""),0.9944444444444445)</f>
        <v>0.9944444444</v>
      </c>
      <c r="J304" s="21">
        <f>IFERROR(__xludf.DUMMYFUNCTION("""COMPUTED_VALUE"""),85.0)</f>
        <v>85</v>
      </c>
      <c r="K304" s="23">
        <f>IFERROR(__xludf.DUMMYFUNCTION("""COMPUTED_VALUE"""),5.4)</f>
        <v>5.4</v>
      </c>
      <c r="L304" s="24">
        <f>IFERROR(__xludf.DUMMYFUNCTION("""COMPUTED_VALUE"""),12.0)</f>
        <v>12</v>
      </c>
      <c r="M304" s="25" t="str">
        <f>IFERROR(__xludf.DUMMYFUNCTION("""COMPUTED_VALUE"""),"Shooter")</f>
        <v>Shooter</v>
      </c>
      <c r="N304" s="25"/>
      <c r="O304" s="26" t="str">
        <f>IFERROR(__xludf.DUMMYFUNCTION("""COMPUTED_VALUE"""),"No")</f>
        <v>No</v>
      </c>
      <c r="P304" s="26"/>
    </row>
    <row r="305">
      <c r="A305" s="13" t="str">
        <f>IFERROR(__xludf.DUMMYFUNCTION("""COMPUTED_VALUE"""),"God of War III: Remastered")</f>
        <v>God of War III: Remastered</v>
      </c>
      <c r="B305" s="15" t="str">
        <f>IFERROR(__xludf.DUMMYFUNCTION("""COMPUTED_VALUE"""),"PS4")</f>
        <v>PS4</v>
      </c>
      <c r="C305" s="16" t="str">
        <f>IFERROR(__xludf.DUMMYFUNCTION("""COMPUTED_VALUE"""),"Playstation Plus (Discontinued)")</f>
        <v>Playstation Plus (Discontinued)</v>
      </c>
      <c r="D305" s="15" t="str">
        <f>IFERROR(__xludf.DUMMYFUNCTION("""COMPUTED_VALUE"""),"Removed")</f>
        <v>Removed</v>
      </c>
      <c r="E305" s="17">
        <f>IFERROR(__xludf.DUMMYFUNCTION("""COMPUTED_VALUE"""),43347.0)</f>
        <v>43347</v>
      </c>
      <c r="F305" s="54">
        <f>IFERROR(__xludf.DUMMYFUNCTION("""COMPUTED_VALUE"""),43374.0)</f>
        <v>43374</v>
      </c>
      <c r="G305" s="19">
        <f>IFERROR(__xludf.DUMMYFUNCTION("""COMPUTED_VALUE"""),0.8999999999999999)</f>
        <v>0.9</v>
      </c>
      <c r="H305" s="17">
        <f>IFERROR(__xludf.DUMMYFUNCTION("""COMPUTED_VALUE"""),42199.0)</f>
        <v>42199</v>
      </c>
      <c r="I305" s="19">
        <f>IFERROR(__xludf.DUMMYFUNCTION("""COMPUTED_VALUE"""),3.138888888888889)</f>
        <v>3.138888889</v>
      </c>
      <c r="J305" s="21">
        <f>IFERROR(__xludf.DUMMYFUNCTION("""COMPUTED_VALUE"""),81.0)</f>
        <v>81</v>
      </c>
      <c r="K305" s="23">
        <f>IFERROR(__xludf.DUMMYFUNCTION("""COMPUTED_VALUE"""),8.4)</f>
        <v>8.4</v>
      </c>
      <c r="L305" s="24">
        <f>IFERROR(__xludf.DUMMYFUNCTION("""COMPUTED_VALUE"""),9.0)</f>
        <v>9</v>
      </c>
      <c r="M305" s="25" t="str">
        <f>IFERROR(__xludf.DUMMYFUNCTION("""COMPUTED_VALUE"""),"Action-Adventure")</f>
        <v>Action-Adventure</v>
      </c>
      <c r="N305" s="25"/>
      <c r="O305" s="26" t="str">
        <f>IFERROR(__xludf.DUMMYFUNCTION("""COMPUTED_VALUE"""),"No")</f>
        <v>No</v>
      </c>
      <c r="P305" s="26"/>
    </row>
    <row r="306">
      <c r="A306" s="13" t="str">
        <f>IFERROR(__xludf.DUMMYFUNCTION("""COMPUTED_VALUE"""),"Another World: 20th Anniversary Edition")</f>
        <v>Another World: 20th Anniversary Edition</v>
      </c>
      <c r="B306" s="15" t="str">
        <f>IFERROR(__xludf.DUMMYFUNCTION("""COMPUTED_VALUE"""),"PS4/PS3/Vita")</f>
        <v>PS4/PS3/Vita</v>
      </c>
      <c r="C306" s="16" t="str">
        <f>IFERROR(__xludf.DUMMYFUNCTION("""COMPUTED_VALUE"""),"Playstation Plus (Discontinued)")</f>
        <v>Playstation Plus (Discontinued)</v>
      </c>
      <c r="D306" s="15" t="str">
        <f>IFERROR(__xludf.DUMMYFUNCTION("""COMPUTED_VALUE"""),"Removed")</f>
        <v>Removed</v>
      </c>
      <c r="E306" s="17">
        <f>IFERROR(__xludf.DUMMYFUNCTION("""COMPUTED_VALUE"""),43347.0)</f>
        <v>43347</v>
      </c>
      <c r="F306" s="54">
        <f>IFERROR(__xludf.DUMMYFUNCTION("""COMPUTED_VALUE"""),43374.0)</f>
        <v>43374</v>
      </c>
      <c r="G306" s="19">
        <f>IFERROR(__xludf.DUMMYFUNCTION("""COMPUTED_VALUE"""),0.8999999999999999)</f>
        <v>0.9</v>
      </c>
      <c r="H306" s="17">
        <f>IFERROR(__xludf.DUMMYFUNCTION("""COMPUTED_VALUE"""),41815.0)</f>
        <v>41815</v>
      </c>
      <c r="I306" s="19">
        <f>IFERROR(__xludf.DUMMYFUNCTION("""COMPUTED_VALUE"""),4.191666666666666)</f>
        <v>4.191666667</v>
      </c>
      <c r="J306" s="21">
        <f>IFERROR(__xludf.DUMMYFUNCTION("""COMPUTED_VALUE"""),53.0)</f>
        <v>53</v>
      </c>
      <c r="K306" s="23">
        <f>IFERROR(__xludf.DUMMYFUNCTION("""COMPUTED_VALUE"""),7.0)</f>
        <v>7</v>
      </c>
      <c r="L306" s="24">
        <f>IFERROR(__xludf.DUMMYFUNCTION("""COMPUTED_VALUE"""),2.0)</f>
        <v>2</v>
      </c>
      <c r="M306" s="25" t="str">
        <f>IFERROR(__xludf.DUMMYFUNCTION("""COMPUTED_VALUE"""),"Action-Adventure")</f>
        <v>Action-Adventure</v>
      </c>
      <c r="N306" s="25"/>
      <c r="O306" s="26" t="str">
        <f>IFERROR(__xludf.DUMMYFUNCTION("""COMPUTED_VALUE"""),"No")</f>
        <v>No</v>
      </c>
      <c r="P306" s="26"/>
    </row>
    <row r="307">
      <c r="A307" s="13" t="str">
        <f>IFERROR(__xludf.DUMMYFUNCTION("""COMPUTED_VALUE"""),"Q.U.B.E Director's Cut")</f>
        <v>Q.U.B.E Director's Cut</v>
      </c>
      <c r="B307" s="15" t="str">
        <f>IFERROR(__xludf.DUMMYFUNCTION("""COMPUTED_VALUE"""),"PS4/PS3")</f>
        <v>PS4/PS3</v>
      </c>
      <c r="C307" s="16" t="str">
        <f>IFERROR(__xludf.DUMMYFUNCTION("""COMPUTED_VALUE"""),"Playstation Plus (Discontinued)")</f>
        <v>Playstation Plus (Discontinued)</v>
      </c>
      <c r="D307" s="15" t="str">
        <f>IFERROR(__xludf.DUMMYFUNCTION("""COMPUTED_VALUE"""),"Removed")</f>
        <v>Removed</v>
      </c>
      <c r="E307" s="17">
        <f>IFERROR(__xludf.DUMMYFUNCTION("""COMPUTED_VALUE"""),43347.0)</f>
        <v>43347</v>
      </c>
      <c r="F307" s="54">
        <f>IFERROR(__xludf.DUMMYFUNCTION("""COMPUTED_VALUE"""),43374.0)</f>
        <v>43374</v>
      </c>
      <c r="G307" s="19">
        <f>IFERROR(__xludf.DUMMYFUNCTION("""COMPUTED_VALUE"""),0.8999999999999999)</f>
        <v>0.9</v>
      </c>
      <c r="H307" s="17">
        <f>IFERROR(__xludf.DUMMYFUNCTION("""COMPUTED_VALUE"""),42206.0)</f>
        <v>42206</v>
      </c>
      <c r="I307" s="19">
        <f>IFERROR(__xludf.DUMMYFUNCTION("""COMPUTED_VALUE"""),3.1194444444444445)</f>
        <v>3.119444444</v>
      </c>
      <c r="J307" s="21">
        <f>IFERROR(__xludf.DUMMYFUNCTION("""COMPUTED_VALUE"""),76.0)</f>
        <v>76</v>
      </c>
      <c r="K307" s="23">
        <f>IFERROR(__xludf.DUMMYFUNCTION("""COMPUTED_VALUE"""),7.1)</f>
        <v>7.1</v>
      </c>
      <c r="L307" s="24">
        <f>IFERROR(__xludf.DUMMYFUNCTION("""COMPUTED_VALUE"""),4.0)</f>
        <v>4</v>
      </c>
      <c r="M307" s="25" t="str">
        <f>IFERROR(__xludf.DUMMYFUNCTION("""COMPUTED_VALUE"""),"Puzzle")</f>
        <v>Puzzle</v>
      </c>
      <c r="N307" s="25"/>
      <c r="O307" s="26" t="str">
        <f>IFERROR(__xludf.DUMMYFUNCTION("""COMPUTED_VALUE"""),"No")</f>
        <v>No</v>
      </c>
      <c r="P307" s="26"/>
    </row>
    <row r="308">
      <c r="A308" s="13" t="str">
        <f>IFERROR(__xludf.DUMMYFUNCTION("""COMPUTED_VALUE"""),"Sparkle 2")</f>
        <v>Sparkle 2</v>
      </c>
      <c r="B308" s="15" t="str">
        <f>IFERROR(__xludf.DUMMYFUNCTION("""COMPUTED_VALUE"""),"PS4/Vita")</f>
        <v>PS4/Vita</v>
      </c>
      <c r="C308" s="16" t="str">
        <f>IFERROR(__xludf.DUMMYFUNCTION("""COMPUTED_VALUE"""),"Playstation Plus (Discontinued)")</f>
        <v>Playstation Plus (Discontinued)</v>
      </c>
      <c r="D308" s="15" t="str">
        <f>IFERROR(__xludf.DUMMYFUNCTION("""COMPUTED_VALUE"""),"Removed")</f>
        <v>Removed</v>
      </c>
      <c r="E308" s="17">
        <f>IFERROR(__xludf.DUMMYFUNCTION("""COMPUTED_VALUE"""),43347.0)</f>
        <v>43347</v>
      </c>
      <c r="F308" s="54">
        <f>IFERROR(__xludf.DUMMYFUNCTION("""COMPUTED_VALUE"""),43374.0)</f>
        <v>43374</v>
      </c>
      <c r="G308" s="19">
        <f>IFERROR(__xludf.DUMMYFUNCTION("""COMPUTED_VALUE"""),0.8999999999999999)</f>
        <v>0.9</v>
      </c>
      <c r="H308" s="17">
        <f>IFERROR(__xludf.DUMMYFUNCTION("""COMPUTED_VALUE"""),41991.0)</f>
        <v>41991</v>
      </c>
      <c r="I308" s="19">
        <f>IFERROR(__xludf.DUMMYFUNCTION("""COMPUTED_VALUE"""),3.7111111111111112)</f>
        <v>3.711111111</v>
      </c>
      <c r="J308" s="21">
        <f>IFERROR(__xludf.DUMMYFUNCTION("""COMPUTED_VALUE"""),72.0)</f>
        <v>72</v>
      </c>
      <c r="K308" s="23">
        <f>IFERROR(__xludf.DUMMYFUNCTION("""COMPUTED_VALUE"""),7.3)</f>
        <v>7.3</v>
      </c>
      <c r="L308" s="24">
        <f>IFERROR(__xludf.DUMMYFUNCTION("""COMPUTED_VALUE"""),4.0)</f>
        <v>4</v>
      </c>
      <c r="M308" s="25" t="str">
        <f>IFERROR(__xludf.DUMMYFUNCTION("""COMPUTED_VALUE"""),"Puzzle")</f>
        <v>Puzzle</v>
      </c>
      <c r="N308" s="25"/>
      <c r="O308" s="26" t="str">
        <f>IFERROR(__xludf.DUMMYFUNCTION("""COMPUTED_VALUE"""),"No")</f>
        <v>No</v>
      </c>
      <c r="P308" s="26"/>
    </row>
    <row r="309">
      <c r="A309" s="13" t="str">
        <f>IFERROR(__xludf.DUMMYFUNCTION("""COMPUTED_VALUE"""),"Foul Play")</f>
        <v>Foul Play</v>
      </c>
      <c r="B309" s="15" t="str">
        <f>IFERROR(__xludf.DUMMYFUNCTION("""COMPUTED_VALUE"""),"PS4/Vita")</f>
        <v>PS4/Vita</v>
      </c>
      <c r="C309" s="16" t="str">
        <f>IFERROR(__xludf.DUMMYFUNCTION("""COMPUTED_VALUE"""),"Playstation Plus (Discontinued)")</f>
        <v>Playstation Plus (Discontinued)</v>
      </c>
      <c r="D309" s="15" t="str">
        <f>IFERROR(__xludf.DUMMYFUNCTION("""COMPUTED_VALUE"""),"Removed")</f>
        <v>Removed</v>
      </c>
      <c r="E309" s="17">
        <f>IFERROR(__xludf.DUMMYFUNCTION("""COMPUTED_VALUE"""),43347.0)</f>
        <v>43347</v>
      </c>
      <c r="F309" s="54">
        <f>IFERROR(__xludf.DUMMYFUNCTION("""COMPUTED_VALUE"""),43374.0)</f>
        <v>43374</v>
      </c>
      <c r="G309" s="19">
        <f>IFERROR(__xludf.DUMMYFUNCTION("""COMPUTED_VALUE"""),0.8999999999999999)</f>
        <v>0.9</v>
      </c>
      <c r="H309" s="17">
        <f>IFERROR(__xludf.DUMMYFUNCTION("""COMPUTED_VALUE"""),41535.0)</f>
        <v>41535</v>
      </c>
      <c r="I309" s="19">
        <f>IFERROR(__xludf.DUMMYFUNCTION("""COMPUTED_VALUE"""),4.961111111111111)</f>
        <v>4.961111111</v>
      </c>
      <c r="J309" s="21">
        <f>IFERROR(__xludf.DUMMYFUNCTION("""COMPUTED_VALUE"""),66.0)</f>
        <v>66</v>
      </c>
      <c r="K309" s="23">
        <f>IFERROR(__xludf.DUMMYFUNCTION("""COMPUTED_VALUE"""),6.8)</f>
        <v>6.8</v>
      </c>
      <c r="L309" s="24">
        <f>IFERROR(__xludf.DUMMYFUNCTION("""COMPUTED_VALUE"""),5.0)</f>
        <v>5</v>
      </c>
      <c r="M309" s="25" t="str">
        <f>IFERROR(__xludf.DUMMYFUNCTION("""COMPUTED_VALUE"""),"Action-Adventure")</f>
        <v>Action-Adventure</v>
      </c>
      <c r="N309" s="25"/>
      <c r="O309" s="26" t="str">
        <f>IFERROR(__xludf.DUMMYFUNCTION("""COMPUTED_VALUE"""),"No")</f>
        <v>No</v>
      </c>
      <c r="P309" s="26"/>
    </row>
    <row r="310">
      <c r="A310" s="13" t="str">
        <f>IFERROR(__xludf.DUMMYFUNCTION("""COMPUTED_VALUE"""),"Mafia III")</f>
        <v>Mafia III</v>
      </c>
      <c r="B310" s="15" t="str">
        <f>IFERROR(__xludf.DUMMYFUNCTION("""COMPUTED_VALUE"""),"PS4")</f>
        <v>PS4</v>
      </c>
      <c r="C310" s="16" t="str">
        <f>IFERROR(__xludf.DUMMYFUNCTION("""COMPUTED_VALUE"""),"Playstation Plus (Discontinued)")</f>
        <v>Playstation Plus (Discontinued)</v>
      </c>
      <c r="D310" s="15" t="str">
        <f>IFERROR(__xludf.DUMMYFUNCTION("""COMPUTED_VALUE"""),"Removed")</f>
        <v>Removed</v>
      </c>
      <c r="E310" s="17">
        <f>IFERROR(__xludf.DUMMYFUNCTION("""COMPUTED_VALUE"""),43319.0)</f>
        <v>43319</v>
      </c>
      <c r="F310" s="54">
        <f>IFERROR(__xludf.DUMMYFUNCTION("""COMPUTED_VALUE"""),43346.0)</f>
        <v>43346</v>
      </c>
      <c r="G310" s="19">
        <f>IFERROR(__xludf.DUMMYFUNCTION("""COMPUTED_VALUE"""),0.8666666666666666)</f>
        <v>0.8666666667</v>
      </c>
      <c r="H310" s="17">
        <f>IFERROR(__xludf.DUMMYFUNCTION("""COMPUTED_VALUE"""),42650.0)</f>
        <v>42650</v>
      </c>
      <c r="I310" s="19">
        <f>IFERROR(__xludf.DUMMYFUNCTION("""COMPUTED_VALUE"""),1.8333333333333333)</f>
        <v>1.833333333</v>
      </c>
      <c r="J310" s="21">
        <f>IFERROR(__xludf.DUMMYFUNCTION("""COMPUTED_VALUE"""),68.0)</f>
        <v>68</v>
      </c>
      <c r="K310" s="23">
        <f>IFERROR(__xludf.DUMMYFUNCTION("""COMPUTED_VALUE"""),5.1)</f>
        <v>5.1</v>
      </c>
      <c r="L310" s="24">
        <f>IFERROR(__xludf.DUMMYFUNCTION("""COMPUTED_VALUE"""),23.0)</f>
        <v>23</v>
      </c>
      <c r="M310" s="25" t="str">
        <f>IFERROR(__xludf.DUMMYFUNCTION("""COMPUTED_VALUE"""),"Action-Adventure")</f>
        <v>Action-Adventure</v>
      </c>
      <c r="N310" s="25"/>
      <c r="O310" s="26" t="str">
        <f>IFERROR(__xludf.DUMMYFUNCTION("""COMPUTED_VALUE"""),"No")</f>
        <v>No</v>
      </c>
      <c r="P310" s="26"/>
    </row>
    <row r="311">
      <c r="A311" s="13" t="str">
        <f>IFERROR(__xludf.DUMMYFUNCTION("""COMPUTED_VALUE"""),"Dead by Daylight")</f>
        <v>Dead by Daylight</v>
      </c>
      <c r="B311" s="15" t="str">
        <f>IFERROR(__xludf.DUMMYFUNCTION("""COMPUTED_VALUE"""),"PS4")</f>
        <v>PS4</v>
      </c>
      <c r="C311" s="16" t="str">
        <f>IFERROR(__xludf.DUMMYFUNCTION("""COMPUTED_VALUE"""),"Playstation Plus (Discontinued)")</f>
        <v>Playstation Plus (Discontinued)</v>
      </c>
      <c r="D311" s="15" t="str">
        <f>IFERROR(__xludf.DUMMYFUNCTION("""COMPUTED_VALUE"""),"Removed")</f>
        <v>Removed</v>
      </c>
      <c r="E311" s="17">
        <f>IFERROR(__xludf.DUMMYFUNCTION("""COMPUTED_VALUE"""),43319.0)</f>
        <v>43319</v>
      </c>
      <c r="F311" s="54">
        <f>IFERROR(__xludf.DUMMYFUNCTION("""COMPUTED_VALUE"""),43346.0)</f>
        <v>43346</v>
      </c>
      <c r="G311" s="19">
        <f>IFERROR(__xludf.DUMMYFUNCTION("""COMPUTED_VALUE"""),0.8666666666666666)</f>
        <v>0.8666666667</v>
      </c>
      <c r="H311" s="17">
        <f>IFERROR(__xludf.DUMMYFUNCTION("""COMPUTED_VALUE"""),42535.0)</f>
        <v>42535</v>
      </c>
      <c r="I311" s="19">
        <f>IFERROR(__xludf.DUMMYFUNCTION("""COMPUTED_VALUE"""),2.147222222222222)</f>
        <v>2.147222222</v>
      </c>
      <c r="J311" s="21">
        <f>IFERROR(__xludf.DUMMYFUNCTION("""COMPUTED_VALUE"""),64.0)</f>
        <v>64</v>
      </c>
      <c r="K311" s="23">
        <f>IFERROR(__xludf.DUMMYFUNCTION("""COMPUTED_VALUE"""),6.8)</f>
        <v>6.8</v>
      </c>
      <c r="L311" s="24"/>
      <c r="M311" s="25" t="str">
        <f>IFERROR(__xludf.DUMMYFUNCTION("""COMPUTED_VALUE"""),"Horror")</f>
        <v>Horror</v>
      </c>
      <c r="N311" s="25"/>
      <c r="O311" s="26" t="str">
        <f>IFERROR(__xludf.DUMMYFUNCTION("""COMPUTED_VALUE"""),"No")</f>
        <v>No</v>
      </c>
      <c r="P311" s="26"/>
    </row>
    <row r="312">
      <c r="A312" s="13" t="str">
        <f>IFERROR(__xludf.DUMMYFUNCTION("""COMPUTED_VALUE"""),"Bound by Flame")</f>
        <v>Bound by Flame</v>
      </c>
      <c r="B312" s="15" t="str">
        <f>IFERROR(__xludf.DUMMYFUNCTION("""COMPUTED_VALUE"""),"PS3")</f>
        <v>PS3</v>
      </c>
      <c r="C312" s="16" t="str">
        <f>IFERROR(__xludf.DUMMYFUNCTION("""COMPUTED_VALUE"""),"Playstation Plus (Discontinued)")</f>
        <v>Playstation Plus (Discontinued)</v>
      </c>
      <c r="D312" s="15" t="str">
        <f>IFERROR(__xludf.DUMMYFUNCTION("""COMPUTED_VALUE"""),"Removed")</f>
        <v>Removed</v>
      </c>
      <c r="E312" s="17">
        <f>IFERROR(__xludf.DUMMYFUNCTION("""COMPUTED_VALUE"""),43319.0)</f>
        <v>43319</v>
      </c>
      <c r="F312" s="54">
        <f>IFERROR(__xludf.DUMMYFUNCTION("""COMPUTED_VALUE"""),43346.0)</f>
        <v>43346</v>
      </c>
      <c r="G312" s="19">
        <f>IFERROR(__xludf.DUMMYFUNCTION("""COMPUTED_VALUE"""),0.8666666666666666)</f>
        <v>0.8666666667</v>
      </c>
      <c r="H312" s="17">
        <f>IFERROR(__xludf.DUMMYFUNCTION("""COMPUTED_VALUE"""),41768.0)</f>
        <v>41768</v>
      </c>
      <c r="I312" s="19">
        <f>IFERROR(__xludf.DUMMYFUNCTION("""COMPUTED_VALUE"""),4.2444444444444445)</f>
        <v>4.244444444</v>
      </c>
      <c r="J312" s="21">
        <f>IFERROR(__xludf.DUMMYFUNCTION("""COMPUTED_VALUE"""),53.0)</f>
        <v>53</v>
      </c>
      <c r="K312" s="23">
        <f>IFERROR(__xludf.DUMMYFUNCTION("""COMPUTED_VALUE"""),5.9)</f>
        <v>5.9</v>
      </c>
      <c r="L312" s="24">
        <f>IFERROR(__xludf.DUMMYFUNCTION("""COMPUTED_VALUE"""),20.0)</f>
        <v>20</v>
      </c>
      <c r="M312" s="75" t="str">
        <f>IFERROR(__xludf.DUMMYFUNCTION("""COMPUTED_VALUE"""),"RPG")</f>
        <v>RPG</v>
      </c>
      <c r="N312" s="25"/>
      <c r="O312" s="26" t="str">
        <f>IFERROR(__xludf.DUMMYFUNCTION("""COMPUTED_VALUE"""),"No")</f>
        <v>No</v>
      </c>
      <c r="P312" s="26"/>
    </row>
    <row r="313">
      <c r="A313" s="13" t="str">
        <f>IFERROR(__xludf.DUMMYFUNCTION("""COMPUTED_VALUE"""),"Serious Sam 3: BFE")</f>
        <v>Serious Sam 3: BFE</v>
      </c>
      <c r="B313" s="15" t="str">
        <f>IFERROR(__xludf.DUMMYFUNCTION("""COMPUTED_VALUE"""),"PS3")</f>
        <v>PS3</v>
      </c>
      <c r="C313" s="16" t="str">
        <f>IFERROR(__xludf.DUMMYFUNCTION("""COMPUTED_VALUE"""),"Playstation Plus (Discontinued)")</f>
        <v>Playstation Plus (Discontinued)</v>
      </c>
      <c r="D313" s="15" t="str">
        <f>IFERROR(__xludf.DUMMYFUNCTION("""COMPUTED_VALUE"""),"Removed")</f>
        <v>Removed</v>
      </c>
      <c r="E313" s="17">
        <f>IFERROR(__xludf.DUMMYFUNCTION("""COMPUTED_VALUE"""),43319.0)</f>
        <v>43319</v>
      </c>
      <c r="F313" s="54">
        <f>IFERROR(__xludf.DUMMYFUNCTION("""COMPUTED_VALUE"""),43346.0)</f>
        <v>43346</v>
      </c>
      <c r="G313" s="19">
        <f>IFERROR(__xludf.DUMMYFUNCTION("""COMPUTED_VALUE"""),0.8666666666666666)</f>
        <v>0.8666666667</v>
      </c>
      <c r="H313" s="17">
        <f>IFERROR(__xludf.DUMMYFUNCTION("""COMPUTED_VALUE"""),40869.0)</f>
        <v>40869</v>
      </c>
      <c r="I313" s="19">
        <f>IFERROR(__xludf.DUMMYFUNCTION("""COMPUTED_VALUE"""),6.708333333333333)</f>
        <v>6.708333333</v>
      </c>
      <c r="J313" s="21">
        <f>IFERROR(__xludf.DUMMYFUNCTION("""COMPUTED_VALUE"""),72.0)</f>
        <v>72</v>
      </c>
      <c r="K313" s="23">
        <f>IFERROR(__xludf.DUMMYFUNCTION("""COMPUTED_VALUE"""),7.6)</f>
        <v>7.6</v>
      </c>
      <c r="L313" s="24">
        <f>IFERROR(__xludf.DUMMYFUNCTION("""COMPUTED_VALUE"""),8.0)</f>
        <v>8</v>
      </c>
      <c r="M313" s="25" t="str">
        <f>IFERROR(__xludf.DUMMYFUNCTION("""COMPUTED_VALUE"""),"Shooter")</f>
        <v>Shooter</v>
      </c>
      <c r="N313" s="25"/>
      <c r="O313" s="26" t="str">
        <f>IFERROR(__xludf.DUMMYFUNCTION("""COMPUTED_VALUE"""),"No")</f>
        <v>No</v>
      </c>
      <c r="P313" s="26"/>
    </row>
    <row r="314">
      <c r="A314" s="13" t="str">
        <f>IFERROR(__xludf.DUMMYFUNCTION("""COMPUTED_VALUE"""),"Draw Slasher")</f>
        <v>Draw Slasher</v>
      </c>
      <c r="B314" s="15" t="str">
        <f>IFERROR(__xludf.DUMMYFUNCTION("""COMPUTED_VALUE"""),"Vita")</f>
        <v>Vita</v>
      </c>
      <c r="C314" s="16" t="str">
        <f>IFERROR(__xludf.DUMMYFUNCTION("""COMPUTED_VALUE"""),"Playstation Plus (Discontinued)")</f>
        <v>Playstation Plus (Discontinued)</v>
      </c>
      <c r="D314" s="15" t="str">
        <f>IFERROR(__xludf.DUMMYFUNCTION("""COMPUTED_VALUE"""),"Removed")</f>
        <v>Removed</v>
      </c>
      <c r="E314" s="17">
        <f>IFERROR(__xludf.DUMMYFUNCTION("""COMPUTED_VALUE"""),43319.0)</f>
        <v>43319</v>
      </c>
      <c r="F314" s="54">
        <f>IFERROR(__xludf.DUMMYFUNCTION("""COMPUTED_VALUE"""),43346.0)</f>
        <v>43346</v>
      </c>
      <c r="G314" s="19">
        <f>IFERROR(__xludf.DUMMYFUNCTION("""COMPUTED_VALUE"""),0.8666666666666666)</f>
        <v>0.8666666667</v>
      </c>
      <c r="H314" s="17">
        <f>IFERROR(__xludf.DUMMYFUNCTION("""COMPUTED_VALUE"""),41402.0)</f>
        <v>41402</v>
      </c>
      <c r="I314" s="19">
        <f>IFERROR(__xludf.DUMMYFUNCTION("""COMPUTED_VALUE"""),5.247222222222222)</f>
        <v>5.247222222</v>
      </c>
      <c r="J314" s="21">
        <f>IFERROR(__xludf.DUMMYFUNCTION("""COMPUTED_VALUE"""),69.0)</f>
        <v>69</v>
      </c>
      <c r="K314" s="23">
        <f>IFERROR(__xludf.DUMMYFUNCTION("""COMPUTED_VALUE"""),6.4)</f>
        <v>6.4</v>
      </c>
      <c r="L314" s="24">
        <f>IFERROR(__xludf.DUMMYFUNCTION("""COMPUTED_VALUE"""),3.0)</f>
        <v>3</v>
      </c>
      <c r="M314" s="25" t="str">
        <f>IFERROR(__xludf.DUMMYFUNCTION("""COMPUTED_VALUE"""),"Action-Adventure")</f>
        <v>Action-Adventure</v>
      </c>
      <c r="N314" s="25"/>
      <c r="O314" s="26" t="str">
        <f>IFERROR(__xludf.DUMMYFUNCTION("""COMPUTED_VALUE"""),"No")</f>
        <v>No</v>
      </c>
      <c r="P314" s="26"/>
    </row>
    <row r="315">
      <c r="A315" s="13" t="str">
        <f>IFERROR(__xludf.DUMMYFUNCTION("""COMPUTED_VALUE"""),"Space Hulk")</f>
        <v>Space Hulk</v>
      </c>
      <c r="B315" s="15" t="str">
        <f>IFERROR(__xludf.DUMMYFUNCTION("""COMPUTED_VALUE"""),"Vita")</f>
        <v>Vita</v>
      </c>
      <c r="C315" s="16" t="str">
        <f>IFERROR(__xludf.DUMMYFUNCTION("""COMPUTED_VALUE"""),"Playstation Plus (Discontinued)")</f>
        <v>Playstation Plus (Discontinued)</v>
      </c>
      <c r="D315" s="15" t="str">
        <f>IFERROR(__xludf.DUMMYFUNCTION("""COMPUTED_VALUE"""),"Removed")</f>
        <v>Removed</v>
      </c>
      <c r="E315" s="17">
        <f>IFERROR(__xludf.DUMMYFUNCTION("""COMPUTED_VALUE"""),43319.0)</f>
        <v>43319</v>
      </c>
      <c r="F315" s="54">
        <f>IFERROR(__xludf.DUMMYFUNCTION("""COMPUTED_VALUE"""),43346.0)</f>
        <v>43346</v>
      </c>
      <c r="G315" s="19">
        <f>IFERROR(__xludf.DUMMYFUNCTION("""COMPUTED_VALUE"""),0.8666666666666666)</f>
        <v>0.8666666667</v>
      </c>
      <c r="H315" s="17">
        <f>IFERROR(__xludf.DUMMYFUNCTION("""COMPUTED_VALUE"""),41501.0)</f>
        <v>41501</v>
      </c>
      <c r="I315" s="19">
        <f>IFERROR(__xludf.DUMMYFUNCTION("""COMPUTED_VALUE"""),4.977777777777778)</f>
        <v>4.977777778</v>
      </c>
      <c r="J315" s="21">
        <f>IFERROR(__xludf.DUMMYFUNCTION("""COMPUTED_VALUE"""),51.0)</f>
        <v>51</v>
      </c>
      <c r="K315" s="23">
        <f>IFERROR(__xludf.DUMMYFUNCTION("""COMPUTED_VALUE"""),5.3)</f>
        <v>5.3</v>
      </c>
      <c r="L315" s="24">
        <f>IFERROR(__xludf.DUMMYFUNCTION("""COMPUTED_VALUE"""),18.0)</f>
        <v>18</v>
      </c>
      <c r="M315" s="25" t="str">
        <f>IFERROR(__xludf.DUMMYFUNCTION("""COMPUTED_VALUE"""),"Strategy")</f>
        <v>Strategy</v>
      </c>
      <c r="N315" s="25"/>
      <c r="O315" s="26" t="str">
        <f>IFERROR(__xludf.DUMMYFUNCTION("""COMPUTED_VALUE"""),"No")</f>
        <v>No</v>
      </c>
      <c r="P315" s="26"/>
    </row>
    <row r="316">
      <c r="A316" s="13" t="str">
        <f>IFERROR(__xludf.DUMMYFUNCTION("""COMPUTED_VALUE"""),"Heavy Rain")</f>
        <v>Heavy Rain</v>
      </c>
      <c r="B316" s="15" t="str">
        <f>IFERROR(__xludf.DUMMYFUNCTION("""COMPUTED_VALUE"""),"PS4")</f>
        <v>PS4</v>
      </c>
      <c r="C316" s="16" t="str">
        <f>IFERROR(__xludf.DUMMYFUNCTION("""COMPUTED_VALUE"""),"Playstation Plus (Discontinued)")</f>
        <v>Playstation Plus (Discontinued)</v>
      </c>
      <c r="D316" s="15" t="str">
        <f>IFERROR(__xludf.DUMMYFUNCTION("""COMPUTED_VALUE"""),"Removed")</f>
        <v>Removed</v>
      </c>
      <c r="E316" s="17">
        <f>IFERROR(__xludf.DUMMYFUNCTION("""COMPUTED_VALUE"""),43284.0)</f>
        <v>43284</v>
      </c>
      <c r="F316" s="54">
        <f>IFERROR(__xludf.DUMMYFUNCTION("""COMPUTED_VALUE"""),43318.0)</f>
        <v>43318</v>
      </c>
      <c r="G316" s="19">
        <f>IFERROR(__xludf.DUMMYFUNCTION("""COMPUTED_VALUE"""),1.0999999999999999)</f>
        <v>1.1</v>
      </c>
      <c r="H316" s="17">
        <f>IFERROR(__xludf.DUMMYFUNCTION("""COMPUTED_VALUE"""),40232.0)</f>
        <v>40232</v>
      </c>
      <c r="I316" s="19">
        <f>IFERROR(__xludf.DUMMYFUNCTION("""COMPUTED_VALUE"""),8.36111111111111)</f>
        <v>8.361111111</v>
      </c>
      <c r="J316" s="21">
        <f>IFERROR(__xludf.DUMMYFUNCTION("""COMPUTED_VALUE"""),78.0)</f>
        <v>78</v>
      </c>
      <c r="K316" s="23">
        <f>IFERROR(__xludf.DUMMYFUNCTION("""COMPUTED_VALUE"""),8.2)</f>
        <v>8.2</v>
      </c>
      <c r="L316" s="24">
        <f>IFERROR(__xludf.DUMMYFUNCTION("""COMPUTED_VALUE"""),10.0)</f>
        <v>10</v>
      </c>
      <c r="M316" s="25" t="str">
        <f>IFERROR(__xludf.DUMMYFUNCTION("""COMPUTED_VALUE"""),"Action-Adventure")</f>
        <v>Action-Adventure</v>
      </c>
      <c r="N316" s="25"/>
      <c r="O316" s="26" t="str">
        <f>IFERROR(__xludf.DUMMYFUNCTION("""COMPUTED_VALUE"""),"No")</f>
        <v>No</v>
      </c>
      <c r="P316" s="26"/>
    </row>
    <row r="317">
      <c r="A317" s="13" t="str">
        <f>IFERROR(__xludf.DUMMYFUNCTION("""COMPUTED_VALUE"""),"Absolver")</f>
        <v>Absolver</v>
      </c>
      <c r="B317" s="15" t="str">
        <f>IFERROR(__xludf.DUMMYFUNCTION("""COMPUTED_VALUE"""),"PS4")</f>
        <v>PS4</v>
      </c>
      <c r="C317" s="16" t="str">
        <f>IFERROR(__xludf.DUMMYFUNCTION("""COMPUTED_VALUE"""),"Playstation Plus (Discontinued)")</f>
        <v>Playstation Plus (Discontinued)</v>
      </c>
      <c r="D317" s="15" t="str">
        <f>IFERROR(__xludf.DUMMYFUNCTION("""COMPUTED_VALUE"""),"Removed")</f>
        <v>Removed</v>
      </c>
      <c r="E317" s="17">
        <f>IFERROR(__xludf.DUMMYFUNCTION("""COMPUTED_VALUE"""),43284.0)</f>
        <v>43284</v>
      </c>
      <c r="F317" s="54">
        <f>IFERROR(__xludf.DUMMYFUNCTION("""COMPUTED_VALUE"""),43318.0)</f>
        <v>43318</v>
      </c>
      <c r="G317" s="19">
        <f>IFERROR(__xludf.DUMMYFUNCTION("""COMPUTED_VALUE"""),1.0999999999999999)</f>
        <v>1.1</v>
      </c>
      <c r="H317" s="17">
        <f>IFERROR(__xludf.DUMMYFUNCTION("""COMPUTED_VALUE"""),42976.0)</f>
        <v>42976</v>
      </c>
      <c r="I317" s="19">
        <f>IFERROR(__xludf.DUMMYFUNCTION("""COMPUTED_VALUE"""),0.8444444444444444)</f>
        <v>0.8444444444</v>
      </c>
      <c r="J317" s="21">
        <f>IFERROR(__xludf.DUMMYFUNCTION("""COMPUTED_VALUE"""),69.0)</f>
        <v>69</v>
      </c>
      <c r="K317" s="23">
        <f>IFERROR(__xludf.DUMMYFUNCTION("""COMPUTED_VALUE"""),6.6)</f>
        <v>6.6</v>
      </c>
      <c r="L317" s="24"/>
      <c r="M317" s="25" t="str">
        <f>IFERROR(__xludf.DUMMYFUNCTION("""COMPUTED_VALUE"""),"RPG")</f>
        <v>RPG</v>
      </c>
      <c r="N317" s="25"/>
      <c r="O317" s="26" t="str">
        <f>IFERROR(__xludf.DUMMYFUNCTION("""COMPUTED_VALUE"""),"No")</f>
        <v>No</v>
      </c>
      <c r="P317" s="26"/>
    </row>
    <row r="318">
      <c r="A318" s="13" t="str">
        <f>IFERROR(__xludf.DUMMYFUNCTION("""COMPUTED_VALUE"""),"Rayman 3 HD")</f>
        <v>Rayman 3 HD</v>
      </c>
      <c r="B318" s="15" t="str">
        <f>IFERROR(__xludf.DUMMYFUNCTION("""COMPUTED_VALUE"""),"PS3")</f>
        <v>PS3</v>
      </c>
      <c r="C318" s="16" t="str">
        <f>IFERROR(__xludf.DUMMYFUNCTION("""COMPUTED_VALUE"""),"Playstation Plus (Discontinued)")</f>
        <v>Playstation Plus (Discontinued)</v>
      </c>
      <c r="D318" s="15" t="str">
        <f>IFERROR(__xludf.DUMMYFUNCTION("""COMPUTED_VALUE"""),"Removed")</f>
        <v>Removed</v>
      </c>
      <c r="E318" s="17">
        <f>IFERROR(__xludf.DUMMYFUNCTION("""COMPUTED_VALUE"""),43284.0)</f>
        <v>43284</v>
      </c>
      <c r="F318" s="54">
        <f>IFERROR(__xludf.DUMMYFUNCTION("""COMPUTED_VALUE"""),43318.0)</f>
        <v>43318</v>
      </c>
      <c r="G318" s="19">
        <f>IFERROR(__xludf.DUMMYFUNCTION("""COMPUTED_VALUE"""),1.0999999999999999)</f>
        <v>1.1</v>
      </c>
      <c r="H318" s="17">
        <f>IFERROR(__xludf.DUMMYFUNCTION("""COMPUTED_VALUE"""),40989.0)</f>
        <v>40989</v>
      </c>
      <c r="I318" s="19">
        <f>IFERROR(__xludf.DUMMYFUNCTION("""COMPUTED_VALUE"""),6.283333333333333)</f>
        <v>6.283333333</v>
      </c>
      <c r="J318" s="21">
        <f>IFERROR(__xludf.DUMMYFUNCTION("""COMPUTED_VALUE"""),72.0)</f>
        <v>72</v>
      </c>
      <c r="K318" s="23">
        <f>IFERROR(__xludf.DUMMYFUNCTION("""COMPUTED_VALUE"""),7.9)</f>
        <v>7.9</v>
      </c>
      <c r="L318" s="24">
        <f>IFERROR(__xludf.DUMMYFUNCTION("""COMPUTED_VALUE"""),7.0)</f>
        <v>7</v>
      </c>
      <c r="M318" s="25" t="str">
        <f>IFERROR(__xludf.DUMMYFUNCTION("""COMPUTED_VALUE"""),"Platformer")</f>
        <v>Platformer</v>
      </c>
      <c r="N318" s="25"/>
      <c r="O318" s="26" t="str">
        <f>IFERROR(__xludf.DUMMYFUNCTION("""COMPUTED_VALUE"""),"No")</f>
        <v>No</v>
      </c>
      <c r="P318" s="26"/>
    </row>
    <row r="319">
      <c r="A319" s="13" t="str">
        <f>IFERROR(__xludf.DUMMYFUNCTION("""COMPUTED_VALUE"""),"Extreme Exorcism")</f>
        <v>Extreme Exorcism</v>
      </c>
      <c r="B319" s="15" t="str">
        <f>IFERROR(__xludf.DUMMYFUNCTION("""COMPUTED_VALUE"""),"PS4/PS3")</f>
        <v>PS4/PS3</v>
      </c>
      <c r="C319" s="16" t="str">
        <f>IFERROR(__xludf.DUMMYFUNCTION("""COMPUTED_VALUE"""),"Playstation Plus (Discontinued)")</f>
        <v>Playstation Plus (Discontinued)</v>
      </c>
      <c r="D319" s="15" t="str">
        <f>IFERROR(__xludf.DUMMYFUNCTION("""COMPUTED_VALUE"""),"Removed")</f>
        <v>Removed</v>
      </c>
      <c r="E319" s="17">
        <f>IFERROR(__xludf.DUMMYFUNCTION("""COMPUTED_VALUE"""),43284.0)</f>
        <v>43284</v>
      </c>
      <c r="F319" s="54">
        <f>IFERROR(__xludf.DUMMYFUNCTION("""COMPUTED_VALUE"""),43318.0)</f>
        <v>43318</v>
      </c>
      <c r="G319" s="19">
        <f>IFERROR(__xludf.DUMMYFUNCTION("""COMPUTED_VALUE"""),1.0999999999999999)</f>
        <v>1.1</v>
      </c>
      <c r="H319" s="17">
        <f>IFERROR(__xludf.DUMMYFUNCTION("""COMPUTED_VALUE"""),42270.0)</f>
        <v>42270</v>
      </c>
      <c r="I319" s="19">
        <f>IFERROR(__xludf.DUMMYFUNCTION("""COMPUTED_VALUE"""),2.7777777777777777)</f>
        <v>2.777777778</v>
      </c>
      <c r="J319" s="21">
        <f>IFERROR(__xludf.DUMMYFUNCTION("""COMPUTED_VALUE"""),74.0)</f>
        <v>74</v>
      </c>
      <c r="K319" s="23">
        <f>IFERROR(__xludf.DUMMYFUNCTION("""COMPUTED_VALUE"""),7.1)</f>
        <v>7.1</v>
      </c>
      <c r="L319" s="24">
        <f>IFERROR(__xludf.DUMMYFUNCTION("""COMPUTED_VALUE"""),4.0)</f>
        <v>4</v>
      </c>
      <c r="M319" s="25" t="str">
        <f>IFERROR(__xludf.DUMMYFUNCTION("""COMPUTED_VALUE"""),"Platformer")</f>
        <v>Platformer</v>
      </c>
      <c r="N319" s="25"/>
      <c r="O319" s="26" t="str">
        <f>IFERROR(__xludf.DUMMYFUNCTION("""COMPUTED_VALUE"""),"No")</f>
        <v>No</v>
      </c>
      <c r="P319" s="26"/>
    </row>
    <row r="320">
      <c r="A320" s="13" t="str">
        <f>IFERROR(__xludf.DUMMYFUNCTION("""COMPUTED_VALUE"""),"Space Overlords")</f>
        <v>Space Overlords</v>
      </c>
      <c r="B320" s="15" t="str">
        <f>IFERROR(__xludf.DUMMYFUNCTION("""COMPUTED_VALUE"""),"PS4/Vita")</f>
        <v>PS4/Vita</v>
      </c>
      <c r="C320" s="16" t="str">
        <f>IFERROR(__xludf.DUMMYFUNCTION("""COMPUTED_VALUE"""),"Playstation Plus (Discontinued)")</f>
        <v>Playstation Plus (Discontinued)</v>
      </c>
      <c r="D320" s="15" t="str">
        <f>IFERROR(__xludf.DUMMYFUNCTION("""COMPUTED_VALUE"""),"Removed")</f>
        <v>Removed</v>
      </c>
      <c r="E320" s="17">
        <f>IFERROR(__xludf.DUMMYFUNCTION("""COMPUTED_VALUE"""),43284.0)</f>
        <v>43284</v>
      </c>
      <c r="F320" s="54">
        <f>IFERROR(__xludf.DUMMYFUNCTION("""COMPUTED_VALUE"""),43318.0)</f>
        <v>43318</v>
      </c>
      <c r="G320" s="19">
        <f>IFERROR(__xludf.DUMMYFUNCTION("""COMPUTED_VALUE"""),1.0999999999999999)</f>
        <v>1.1</v>
      </c>
      <c r="H320" s="17">
        <f>IFERROR(__xludf.DUMMYFUNCTION("""COMPUTED_VALUE"""),42444.0)</f>
        <v>42444</v>
      </c>
      <c r="I320" s="19">
        <f>IFERROR(__xludf.DUMMYFUNCTION("""COMPUTED_VALUE"""),2.3)</f>
        <v>2.3</v>
      </c>
      <c r="J320" s="21">
        <f>IFERROR(__xludf.DUMMYFUNCTION("""COMPUTED_VALUE"""),42.0)</f>
        <v>42</v>
      </c>
      <c r="K320" s="23">
        <f>IFERROR(__xludf.DUMMYFUNCTION("""COMPUTED_VALUE"""),5.7)</f>
        <v>5.7</v>
      </c>
      <c r="L320" s="24">
        <f>IFERROR(__xludf.DUMMYFUNCTION("""COMPUTED_VALUE"""),3.0)</f>
        <v>3</v>
      </c>
      <c r="M320" s="25" t="str">
        <f>IFERROR(__xludf.DUMMYFUNCTION("""COMPUTED_VALUE"""),"Action-Adventure")</f>
        <v>Action-Adventure</v>
      </c>
      <c r="N320" s="25"/>
      <c r="O320" s="26" t="str">
        <f>IFERROR(__xludf.DUMMYFUNCTION("""COMPUTED_VALUE"""),"No")</f>
        <v>No</v>
      </c>
      <c r="P320" s="26"/>
    </row>
    <row r="321">
      <c r="A321" s="13" t="str">
        <f>IFERROR(__xludf.DUMMYFUNCTION("""COMPUTED_VALUE"""),"Zero Escape: Zero Time Dilemma")</f>
        <v>Zero Escape: Zero Time Dilemma</v>
      </c>
      <c r="B321" s="15" t="str">
        <f>IFERROR(__xludf.DUMMYFUNCTION("""COMPUTED_VALUE"""),"Vita")</f>
        <v>Vita</v>
      </c>
      <c r="C321" s="16" t="str">
        <f>IFERROR(__xludf.DUMMYFUNCTION("""COMPUTED_VALUE"""),"Playstation Plus (Discontinued)")</f>
        <v>Playstation Plus (Discontinued)</v>
      </c>
      <c r="D321" s="15" t="str">
        <f>IFERROR(__xludf.DUMMYFUNCTION("""COMPUTED_VALUE"""),"Removed")</f>
        <v>Removed</v>
      </c>
      <c r="E321" s="17">
        <f>IFERROR(__xludf.DUMMYFUNCTION("""COMPUTED_VALUE"""),43284.0)</f>
        <v>43284</v>
      </c>
      <c r="F321" s="54">
        <f>IFERROR(__xludf.DUMMYFUNCTION("""COMPUTED_VALUE"""),43318.0)</f>
        <v>43318</v>
      </c>
      <c r="G321" s="19">
        <f>IFERROR(__xludf.DUMMYFUNCTION("""COMPUTED_VALUE"""),1.0999999999999999)</f>
        <v>1.1</v>
      </c>
      <c r="H321" s="17">
        <f>IFERROR(__xludf.DUMMYFUNCTION("""COMPUTED_VALUE"""),42549.0)</f>
        <v>42549</v>
      </c>
      <c r="I321" s="19">
        <f>IFERROR(__xludf.DUMMYFUNCTION("""COMPUTED_VALUE"""),2.013888888888889)</f>
        <v>2.013888889</v>
      </c>
      <c r="J321" s="21">
        <f>IFERROR(__xludf.DUMMYFUNCTION("""COMPUTED_VALUE"""),83.0)</f>
        <v>83</v>
      </c>
      <c r="K321" s="23">
        <f>IFERROR(__xludf.DUMMYFUNCTION("""COMPUTED_VALUE"""),8.0)</f>
        <v>8</v>
      </c>
      <c r="L321" s="24">
        <f>IFERROR(__xludf.DUMMYFUNCTION("""COMPUTED_VALUE"""),20.0)</f>
        <v>20</v>
      </c>
      <c r="M321" s="25" t="str">
        <f>IFERROR(__xludf.DUMMYFUNCTION("""COMPUTED_VALUE"""),"Adventure")</f>
        <v>Adventure</v>
      </c>
      <c r="N321" s="25"/>
      <c r="O321" s="26" t="str">
        <f>IFERROR(__xludf.DUMMYFUNCTION("""COMPUTED_VALUE"""),"No")</f>
        <v>No</v>
      </c>
      <c r="P321" s="26"/>
    </row>
    <row r="322">
      <c r="A322" s="13" t="str">
        <f>IFERROR(__xludf.DUMMYFUNCTION("""COMPUTED_VALUE"""),"Call of Duty: Black Ops III")</f>
        <v>Call of Duty: Black Ops III</v>
      </c>
      <c r="B322" s="15" t="str">
        <f>IFERROR(__xludf.DUMMYFUNCTION("""COMPUTED_VALUE"""),"PS4")</f>
        <v>PS4</v>
      </c>
      <c r="C322" s="16" t="str">
        <f>IFERROR(__xludf.DUMMYFUNCTION("""COMPUTED_VALUE"""),"Playstation Plus (Discontinued)")</f>
        <v>Playstation Plus (Discontinued)</v>
      </c>
      <c r="D322" s="15" t="str">
        <f>IFERROR(__xludf.DUMMYFUNCTION("""COMPUTED_VALUE"""),"Removed")</f>
        <v>Removed</v>
      </c>
      <c r="E322" s="17">
        <f>IFERROR(__xludf.DUMMYFUNCTION("""COMPUTED_VALUE"""),43262.0)</f>
        <v>43262</v>
      </c>
      <c r="F322" s="54">
        <f>IFERROR(__xludf.DUMMYFUNCTION("""COMPUTED_VALUE"""),43292.0)</f>
        <v>43292</v>
      </c>
      <c r="G322" s="19">
        <f>IFERROR(__xludf.DUMMYFUNCTION("""COMPUTED_VALUE"""),1.0)</f>
        <v>1</v>
      </c>
      <c r="H322" s="17">
        <f>IFERROR(__xludf.DUMMYFUNCTION("""COMPUTED_VALUE"""),42314.0)</f>
        <v>42314</v>
      </c>
      <c r="I322" s="19">
        <f>IFERROR(__xludf.DUMMYFUNCTION("""COMPUTED_VALUE"""),2.5972222222222223)</f>
        <v>2.597222222</v>
      </c>
      <c r="J322" s="21">
        <f>IFERROR(__xludf.DUMMYFUNCTION("""COMPUTED_VALUE"""),81.0)</f>
        <v>81</v>
      </c>
      <c r="K322" s="23">
        <f>IFERROR(__xludf.DUMMYFUNCTION("""COMPUTED_VALUE"""),6.6)</f>
        <v>6.6</v>
      </c>
      <c r="L322" s="24">
        <f>IFERROR(__xludf.DUMMYFUNCTION("""COMPUTED_VALUE"""),8.0)</f>
        <v>8</v>
      </c>
      <c r="M322" s="25" t="str">
        <f>IFERROR(__xludf.DUMMYFUNCTION("""COMPUTED_VALUE"""),"Shooter")</f>
        <v>Shooter</v>
      </c>
      <c r="N322" s="25"/>
      <c r="O322" s="26" t="str">
        <f>IFERROR(__xludf.DUMMYFUNCTION("""COMPUTED_VALUE"""),"No")</f>
        <v>No</v>
      </c>
      <c r="P322" s="26"/>
    </row>
    <row r="323">
      <c r="A323" s="13" t="str">
        <f>IFERROR(__xludf.DUMMYFUNCTION("""COMPUTED_VALUE"""),"XCOM 2")</f>
        <v>XCOM 2</v>
      </c>
      <c r="B323" s="15" t="str">
        <f>IFERROR(__xludf.DUMMYFUNCTION("""COMPUTED_VALUE"""),"PS4")</f>
        <v>PS4</v>
      </c>
      <c r="C323" s="16" t="str">
        <f>IFERROR(__xludf.DUMMYFUNCTION("""COMPUTED_VALUE"""),"Playstation Plus (Discontinued)")</f>
        <v>Playstation Plus (Discontinued)</v>
      </c>
      <c r="D323" s="15" t="str">
        <f>IFERROR(__xludf.DUMMYFUNCTION("""COMPUTED_VALUE"""),"Removed")</f>
        <v>Removed</v>
      </c>
      <c r="E323" s="17">
        <f>IFERROR(__xludf.DUMMYFUNCTION("""COMPUTED_VALUE"""),43256.0)</f>
        <v>43256</v>
      </c>
      <c r="F323" s="54">
        <f>IFERROR(__xludf.DUMMYFUNCTION("""COMPUTED_VALUE"""),43261.0)</f>
        <v>43261</v>
      </c>
      <c r="G323" s="19">
        <f>IFERROR(__xludf.DUMMYFUNCTION("""COMPUTED_VALUE"""),0.16666666666666666)</f>
        <v>0.1666666667</v>
      </c>
      <c r="H323" s="17">
        <f>IFERROR(__xludf.DUMMYFUNCTION("""COMPUTED_VALUE"""),42405.0)</f>
        <v>42405</v>
      </c>
      <c r="I323" s="19">
        <f>IFERROR(__xludf.DUMMYFUNCTION("""COMPUTED_VALUE"""),2.3333333333333335)</f>
        <v>2.333333333</v>
      </c>
      <c r="J323" s="21">
        <f>IFERROR(__xludf.DUMMYFUNCTION("""COMPUTED_VALUE"""),87.0)</f>
        <v>87</v>
      </c>
      <c r="K323" s="23">
        <f>IFERROR(__xludf.DUMMYFUNCTION("""COMPUTED_VALUE"""),7.9)</f>
        <v>7.9</v>
      </c>
      <c r="L323" s="24">
        <f>IFERROR(__xludf.DUMMYFUNCTION("""COMPUTED_VALUE"""),33.0)</f>
        <v>33</v>
      </c>
      <c r="M323" s="25" t="str">
        <f>IFERROR(__xludf.DUMMYFUNCTION("""COMPUTED_VALUE"""),"Strategy")</f>
        <v>Strategy</v>
      </c>
      <c r="N323" s="25"/>
      <c r="O323" s="26" t="str">
        <f>IFERROR(__xludf.DUMMYFUNCTION("""COMPUTED_VALUE"""),"No")</f>
        <v>No</v>
      </c>
      <c r="P323" s="26"/>
    </row>
    <row r="324">
      <c r="A324" s="13" t="str">
        <f>IFERROR(__xludf.DUMMYFUNCTION("""COMPUTED_VALUE"""),"Trials Fusion")</f>
        <v>Trials Fusion</v>
      </c>
      <c r="B324" s="15" t="str">
        <f>IFERROR(__xludf.DUMMYFUNCTION("""COMPUTED_VALUE"""),"PS4")</f>
        <v>PS4</v>
      </c>
      <c r="C324" s="16" t="str">
        <f>IFERROR(__xludf.DUMMYFUNCTION("""COMPUTED_VALUE"""),"Playstation Plus (Discontinued)")</f>
        <v>Playstation Plus (Discontinued)</v>
      </c>
      <c r="D324" s="15" t="str">
        <f>IFERROR(__xludf.DUMMYFUNCTION("""COMPUTED_VALUE"""),"Removed")</f>
        <v>Removed</v>
      </c>
      <c r="E324" s="17">
        <f>IFERROR(__xludf.DUMMYFUNCTION("""COMPUTED_VALUE"""),43256.0)</f>
        <v>43256</v>
      </c>
      <c r="F324" s="54">
        <f>IFERROR(__xludf.DUMMYFUNCTION("""COMPUTED_VALUE"""),43261.0)</f>
        <v>43261</v>
      </c>
      <c r="G324" s="19">
        <f>IFERROR(__xludf.DUMMYFUNCTION("""COMPUTED_VALUE"""),0.16666666666666666)</f>
        <v>0.1666666667</v>
      </c>
      <c r="H324" s="17">
        <f>IFERROR(__xludf.DUMMYFUNCTION("""COMPUTED_VALUE"""),41745.0)</f>
        <v>41745</v>
      </c>
      <c r="I324" s="19">
        <f>IFERROR(__xludf.DUMMYFUNCTION("""COMPUTED_VALUE"""),4.136111111111111)</f>
        <v>4.136111111</v>
      </c>
      <c r="J324" s="21">
        <f>IFERROR(__xludf.DUMMYFUNCTION("""COMPUTED_VALUE"""),79.0)</f>
        <v>79</v>
      </c>
      <c r="K324" s="23">
        <f>IFERROR(__xludf.DUMMYFUNCTION("""COMPUTED_VALUE"""),7.1)</f>
        <v>7.1</v>
      </c>
      <c r="L324" s="24">
        <f>IFERROR(__xludf.DUMMYFUNCTION("""COMPUTED_VALUE"""),7.0)</f>
        <v>7</v>
      </c>
      <c r="M324" s="25" t="str">
        <f>IFERROR(__xludf.DUMMYFUNCTION("""COMPUTED_VALUE"""),"Racing")</f>
        <v>Racing</v>
      </c>
      <c r="N324" s="25"/>
      <c r="O324" s="26" t="str">
        <f>IFERROR(__xludf.DUMMYFUNCTION("""COMPUTED_VALUE"""),"No")</f>
        <v>No</v>
      </c>
      <c r="P324" s="26"/>
    </row>
    <row r="325">
      <c r="A325" s="13" t="str">
        <f>IFERROR(__xludf.DUMMYFUNCTION("""COMPUTED_VALUE"""),"Zombie Driver HD")</f>
        <v>Zombie Driver HD</v>
      </c>
      <c r="B325" s="15" t="str">
        <f>IFERROR(__xludf.DUMMYFUNCTION("""COMPUTED_VALUE"""),"PS3")</f>
        <v>PS3</v>
      </c>
      <c r="C325" s="16" t="str">
        <f>IFERROR(__xludf.DUMMYFUNCTION("""COMPUTED_VALUE"""),"Playstation Plus (Discontinued)")</f>
        <v>Playstation Plus (Discontinued)</v>
      </c>
      <c r="D325" s="15" t="str">
        <f>IFERROR(__xludf.DUMMYFUNCTION("""COMPUTED_VALUE"""),"Removed")</f>
        <v>Removed</v>
      </c>
      <c r="E325" s="17">
        <f>IFERROR(__xludf.DUMMYFUNCTION("""COMPUTED_VALUE"""),43256.0)</f>
        <v>43256</v>
      </c>
      <c r="F325" s="54">
        <f>IFERROR(__xludf.DUMMYFUNCTION("""COMPUTED_VALUE"""),43261.0)</f>
        <v>43261</v>
      </c>
      <c r="G325" s="19">
        <f>IFERROR(__xludf.DUMMYFUNCTION("""COMPUTED_VALUE"""),0.16666666666666666)</f>
        <v>0.1666666667</v>
      </c>
      <c r="H325" s="17">
        <f>IFERROR(__xludf.DUMMYFUNCTION("""COMPUTED_VALUE"""),41199.0)</f>
        <v>41199</v>
      </c>
      <c r="I325" s="19">
        <f>IFERROR(__xludf.DUMMYFUNCTION("""COMPUTED_VALUE"""),5.633333333333334)</f>
        <v>5.633333333</v>
      </c>
      <c r="J325" s="21">
        <f>IFERROR(__xludf.DUMMYFUNCTION("""COMPUTED_VALUE"""),70.0)</f>
        <v>70</v>
      </c>
      <c r="K325" s="23">
        <f>IFERROR(__xludf.DUMMYFUNCTION("""COMPUTED_VALUE"""),7.5)</f>
        <v>7.5</v>
      </c>
      <c r="L325" s="24">
        <f>IFERROR(__xludf.DUMMYFUNCTION("""COMPUTED_VALUE"""),4.0)</f>
        <v>4</v>
      </c>
      <c r="M325" s="25" t="str">
        <f>IFERROR(__xludf.DUMMYFUNCTION("""COMPUTED_VALUE"""),"Racing")</f>
        <v>Racing</v>
      </c>
      <c r="N325" s="25"/>
      <c r="O325" s="26" t="str">
        <f>IFERROR(__xludf.DUMMYFUNCTION("""COMPUTED_VALUE"""),"No")</f>
        <v>No</v>
      </c>
      <c r="P325" s="26"/>
    </row>
    <row r="326">
      <c r="A326" s="13" t="str">
        <f>IFERROR(__xludf.DUMMYFUNCTION("""COMPUTED_VALUE"""),"Tom Clancy’s Ghost Recon: Future Soldier")</f>
        <v>Tom Clancy’s Ghost Recon: Future Soldier</v>
      </c>
      <c r="B326" s="15" t="str">
        <f>IFERROR(__xludf.DUMMYFUNCTION("""COMPUTED_VALUE"""),"PS3")</f>
        <v>PS3</v>
      </c>
      <c r="C326" s="16" t="str">
        <f>IFERROR(__xludf.DUMMYFUNCTION("""COMPUTED_VALUE"""),"Playstation Plus (Discontinued)")</f>
        <v>Playstation Plus (Discontinued)</v>
      </c>
      <c r="D326" s="15" t="str">
        <f>IFERROR(__xludf.DUMMYFUNCTION("""COMPUTED_VALUE"""),"Removed")</f>
        <v>Removed</v>
      </c>
      <c r="E326" s="17">
        <f>IFERROR(__xludf.DUMMYFUNCTION("""COMPUTED_VALUE"""),43256.0)</f>
        <v>43256</v>
      </c>
      <c r="F326" s="54">
        <f>IFERROR(__xludf.DUMMYFUNCTION("""COMPUTED_VALUE"""),43261.0)</f>
        <v>43261</v>
      </c>
      <c r="G326" s="19">
        <f>IFERROR(__xludf.DUMMYFUNCTION("""COMPUTED_VALUE"""),0.16666666666666666)</f>
        <v>0.1666666667</v>
      </c>
      <c r="H326" s="17">
        <f>IFERROR(__xludf.DUMMYFUNCTION("""COMPUTED_VALUE"""),41051.0)</f>
        <v>41051</v>
      </c>
      <c r="I326" s="19">
        <f>IFERROR(__xludf.DUMMYFUNCTION("""COMPUTED_VALUE"""),6.036111111111111)</f>
        <v>6.036111111</v>
      </c>
      <c r="J326" s="21">
        <f>IFERROR(__xludf.DUMMYFUNCTION("""COMPUTED_VALUE"""),79.0)</f>
        <v>79</v>
      </c>
      <c r="K326" s="23">
        <f>IFERROR(__xludf.DUMMYFUNCTION("""COMPUTED_VALUE"""),7.6)</f>
        <v>7.6</v>
      </c>
      <c r="L326" s="24">
        <f>IFERROR(__xludf.DUMMYFUNCTION("""COMPUTED_VALUE"""),10.0)</f>
        <v>10</v>
      </c>
      <c r="M326" s="25" t="str">
        <f>IFERROR(__xludf.DUMMYFUNCTION("""COMPUTED_VALUE"""),"Shooter")</f>
        <v>Shooter</v>
      </c>
      <c r="N326" s="25"/>
      <c r="O326" s="26" t="str">
        <f>IFERROR(__xludf.DUMMYFUNCTION("""COMPUTED_VALUE"""),"No")</f>
        <v>No</v>
      </c>
      <c r="P326" s="26"/>
    </row>
    <row r="327">
      <c r="A327" s="13" t="str">
        <f>IFERROR(__xludf.DUMMYFUNCTION("""COMPUTED_VALUE"""),"Atomic Ninjas")</f>
        <v>Atomic Ninjas</v>
      </c>
      <c r="B327" s="15" t="str">
        <f>IFERROR(__xludf.DUMMYFUNCTION("""COMPUTED_VALUE"""),"Vita")</f>
        <v>Vita</v>
      </c>
      <c r="C327" s="16" t="str">
        <f>IFERROR(__xludf.DUMMYFUNCTION("""COMPUTED_VALUE"""),"Playstation Plus (Discontinued)")</f>
        <v>Playstation Plus (Discontinued)</v>
      </c>
      <c r="D327" s="15" t="str">
        <f>IFERROR(__xludf.DUMMYFUNCTION("""COMPUTED_VALUE"""),"Removed")</f>
        <v>Removed</v>
      </c>
      <c r="E327" s="17">
        <f>IFERROR(__xludf.DUMMYFUNCTION("""COMPUTED_VALUE"""),43256.0)</f>
        <v>43256</v>
      </c>
      <c r="F327" s="54">
        <f>IFERROR(__xludf.DUMMYFUNCTION("""COMPUTED_VALUE"""),43261.0)</f>
        <v>43261</v>
      </c>
      <c r="G327" s="19">
        <f>IFERROR(__xludf.DUMMYFUNCTION("""COMPUTED_VALUE"""),0.16666666666666666)</f>
        <v>0.1666666667</v>
      </c>
      <c r="H327" s="17">
        <f>IFERROR(__xludf.DUMMYFUNCTION("""COMPUTED_VALUE"""),41555.0)</f>
        <v>41555</v>
      </c>
      <c r="I327" s="19">
        <f>IFERROR(__xludf.DUMMYFUNCTION("""COMPUTED_VALUE"""),4.658333333333333)</f>
        <v>4.658333333</v>
      </c>
      <c r="J327" s="21">
        <f>IFERROR(__xludf.DUMMYFUNCTION("""COMPUTED_VALUE"""),58.0)</f>
        <v>58</v>
      </c>
      <c r="K327" s="23">
        <f>IFERROR(__xludf.DUMMYFUNCTION("""COMPUTED_VALUE"""),5.7)</f>
        <v>5.7</v>
      </c>
      <c r="L327" s="24"/>
      <c r="M327" s="25" t="str">
        <f>IFERROR(__xludf.DUMMYFUNCTION("""COMPUTED_VALUE"""),"Platformer")</f>
        <v>Platformer</v>
      </c>
      <c r="N327" s="25"/>
      <c r="O327" s="26" t="str">
        <f>IFERROR(__xludf.DUMMYFUNCTION("""COMPUTED_VALUE"""),"No")</f>
        <v>No</v>
      </c>
      <c r="P327" s="26"/>
    </row>
    <row r="328">
      <c r="A328" s="13" t="str">
        <f>IFERROR(__xludf.DUMMYFUNCTION("""COMPUTED_VALUE"""),"Squares")</f>
        <v>Squares</v>
      </c>
      <c r="B328" s="15" t="str">
        <f>IFERROR(__xludf.DUMMYFUNCTION("""COMPUTED_VALUE"""),"Vita")</f>
        <v>Vita</v>
      </c>
      <c r="C328" s="16" t="str">
        <f>IFERROR(__xludf.DUMMYFUNCTION("""COMPUTED_VALUE"""),"Playstation Plus (Discontinued)")</f>
        <v>Playstation Plus (Discontinued)</v>
      </c>
      <c r="D328" s="15" t="str">
        <f>IFERROR(__xludf.DUMMYFUNCTION("""COMPUTED_VALUE"""),"Removed")</f>
        <v>Removed</v>
      </c>
      <c r="E328" s="17">
        <f>IFERROR(__xludf.DUMMYFUNCTION("""COMPUTED_VALUE"""),43256.0)</f>
        <v>43256</v>
      </c>
      <c r="F328" s="54">
        <f>IFERROR(__xludf.DUMMYFUNCTION("""COMPUTED_VALUE"""),43261.0)</f>
        <v>43261</v>
      </c>
      <c r="G328" s="19">
        <f>IFERROR(__xludf.DUMMYFUNCTION("""COMPUTED_VALUE"""),0.16666666666666666)</f>
        <v>0.1666666667</v>
      </c>
      <c r="H328" s="17">
        <f>IFERROR(__xludf.DUMMYFUNCTION("""COMPUTED_VALUE"""),41334.0)</f>
        <v>41334</v>
      </c>
      <c r="I328" s="19">
        <f>IFERROR(__xludf.DUMMYFUNCTION("""COMPUTED_VALUE"""),5.261111111111111)</f>
        <v>5.261111111</v>
      </c>
      <c r="J328" s="21">
        <f>IFERROR(__xludf.DUMMYFUNCTION("""COMPUTED_VALUE"""),67.0)</f>
        <v>67</v>
      </c>
      <c r="K328" s="23"/>
      <c r="L328" s="24">
        <f>IFERROR(__xludf.DUMMYFUNCTION("""COMPUTED_VALUE"""),2.0)</f>
        <v>2</v>
      </c>
      <c r="M328" s="25" t="str">
        <f>IFERROR(__xludf.DUMMYFUNCTION("""COMPUTED_VALUE"""),"Puzzle")</f>
        <v>Puzzle</v>
      </c>
      <c r="N328" s="25"/>
      <c r="O328" s="26" t="str">
        <f>IFERROR(__xludf.DUMMYFUNCTION("""COMPUTED_VALUE"""),"No")</f>
        <v>No</v>
      </c>
      <c r="P328" s="26"/>
    </row>
    <row r="329">
      <c r="A329" s="13" t="str">
        <f>IFERROR(__xludf.DUMMYFUNCTION("""COMPUTED_VALUE"""),"Beyond: Two Souls")</f>
        <v>Beyond: Two Souls</v>
      </c>
      <c r="B329" s="15" t="str">
        <f>IFERROR(__xludf.DUMMYFUNCTION("""COMPUTED_VALUE"""),"PS4")</f>
        <v>PS4</v>
      </c>
      <c r="C329" s="16" t="str">
        <f>IFERROR(__xludf.DUMMYFUNCTION("""COMPUTED_VALUE"""),"Playstation Plus (Discontinued)")</f>
        <v>Playstation Plus (Discontinued)</v>
      </c>
      <c r="D329" s="15" t="str">
        <f>IFERROR(__xludf.DUMMYFUNCTION("""COMPUTED_VALUE"""),"Removed")</f>
        <v>Removed</v>
      </c>
      <c r="E329" s="17">
        <f>IFERROR(__xludf.DUMMYFUNCTION("""COMPUTED_VALUE"""),43221.0)</f>
        <v>43221</v>
      </c>
      <c r="F329" s="54">
        <f>IFERROR(__xludf.DUMMYFUNCTION("""COMPUTED_VALUE"""),43255.0)</f>
        <v>43255</v>
      </c>
      <c r="G329" s="19">
        <f>IFERROR(__xludf.DUMMYFUNCTION("""COMPUTED_VALUE"""),1.0999999999999999)</f>
        <v>1.1</v>
      </c>
      <c r="H329" s="17">
        <f>IFERROR(__xludf.DUMMYFUNCTION("""COMPUTED_VALUE"""),41555.0)</f>
        <v>41555</v>
      </c>
      <c r="I329" s="19">
        <f>IFERROR(__xludf.DUMMYFUNCTION("""COMPUTED_VALUE"""),4.563888888888889)</f>
        <v>4.563888889</v>
      </c>
      <c r="J329" s="21">
        <f>IFERROR(__xludf.DUMMYFUNCTION("""COMPUTED_VALUE"""),72.0)</f>
        <v>72</v>
      </c>
      <c r="K329" s="23">
        <f>IFERROR(__xludf.DUMMYFUNCTION("""COMPUTED_VALUE"""),7.2)</f>
        <v>7.2</v>
      </c>
      <c r="L329" s="24">
        <f>IFERROR(__xludf.DUMMYFUNCTION("""COMPUTED_VALUE"""),10.0)</f>
        <v>10</v>
      </c>
      <c r="M329" s="25" t="str">
        <f>IFERROR(__xludf.DUMMYFUNCTION("""COMPUTED_VALUE"""),"Action-Adventure")</f>
        <v>Action-Adventure</v>
      </c>
      <c r="N329" s="25"/>
      <c r="O329" s="26" t="str">
        <f>IFERROR(__xludf.DUMMYFUNCTION("""COMPUTED_VALUE"""),"No")</f>
        <v>No</v>
      </c>
      <c r="P329" s="26"/>
    </row>
    <row r="330">
      <c r="A330" s="13" t="str">
        <f>IFERROR(__xludf.DUMMYFUNCTION("""COMPUTED_VALUE"""),"Rayman Legends")</f>
        <v>Rayman Legends</v>
      </c>
      <c r="B330" s="15" t="str">
        <f>IFERROR(__xludf.DUMMYFUNCTION("""COMPUTED_VALUE"""),"PS4")</f>
        <v>PS4</v>
      </c>
      <c r="C330" s="16" t="str">
        <f>IFERROR(__xludf.DUMMYFUNCTION("""COMPUTED_VALUE"""),"Playstation Plus (Discontinued)")</f>
        <v>Playstation Plus (Discontinued)</v>
      </c>
      <c r="D330" s="15" t="str">
        <f>IFERROR(__xludf.DUMMYFUNCTION("""COMPUTED_VALUE"""),"Removed")</f>
        <v>Removed</v>
      </c>
      <c r="E330" s="17">
        <f>IFERROR(__xludf.DUMMYFUNCTION("""COMPUTED_VALUE"""),43221.0)</f>
        <v>43221</v>
      </c>
      <c r="F330" s="54">
        <f>IFERROR(__xludf.DUMMYFUNCTION("""COMPUTED_VALUE"""),43255.0)</f>
        <v>43255</v>
      </c>
      <c r="G330" s="19">
        <f>IFERROR(__xludf.DUMMYFUNCTION("""COMPUTED_VALUE"""),1.0999999999999999)</f>
        <v>1.1</v>
      </c>
      <c r="H330" s="17">
        <f>IFERROR(__xludf.DUMMYFUNCTION("""COMPUTED_VALUE"""),41513.0)</f>
        <v>41513</v>
      </c>
      <c r="I330" s="19">
        <f>IFERROR(__xludf.DUMMYFUNCTION("""COMPUTED_VALUE"""),4.677777777777778)</f>
        <v>4.677777778</v>
      </c>
      <c r="J330" s="21">
        <f>IFERROR(__xludf.DUMMYFUNCTION("""COMPUTED_VALUE"""),90.0)</f>
        <v>90</v>
      </c>
      <c r="K330" s="23">
        <f>IFERROR(__xludf.DUMMYFUNCTION("""COMPUTED_VALUE"""),8.0)</f>
        <v>8</v>
      </c>
      <c r="L330" s="24">
        <f>IFERROR(__xludf.DUMMYFUNCTION("""COMPUTED_VALUE"""),12.0)</f>
        <v>12</v>
      </c>
      <c r="M330" s="25" t="str">
        <f>IFERROR(__xludf.DUMMYFUNCTION("""COMPUTED_VALUE"""),"Platformer")</f>
        <v>Platformer</v>
      </c>
      <c r="N330" s="25"/>
      <c r="O330" s="26" t="str">
        <f>IFERROR(__xludf.DUMMYFUNCTION("""COMPUTED_VALUE"""),"No")</f>
        <v>No</v>
      </c>
      <c r="P330" s="26"/>
    </row>
    <row r="331">
      <c r="A331" s="13" t="str">
        <f>IFERROR(__xludf.DUMMYFUNCTION("""COMPUTED_VALUE"""),"Risen 3: Titan Lords")</f>
        <v>Risen 3: Titan Lords</v>
      </c>
      <c r="B331" s="15" t="str">
        <f>IFERROR(__xludf.DUMMYFUNCTION("""COMPUTED_VALUE"""),"PS3")</f>
        <v>PS3</v>
      </c>
      <c r="C331" s="16" t="str">
        <f>IFERROR(__xludf.DUMMYFUNCTION("""COMPUTED_VALUE"""),"Playstation Plus (Discontinued)")</f>
        <v>Playstation Plus (Discontinued)</v>
      </c>
      <c r="D331" s="15" t="str">
        <f>IFERROR(__xludf.DUMMYFUNCTION("""COMPUTED_VALUE"""),"Removed")</f>
        <v>Removed</v>
      </c>
      <c r="E331" s="17">
        <f>IFERROR(__xludf.DUMMYFUNCTION("""COMPUTED_VALUE"""),43221.0)</f>
        <v>43221</v>
      </c>
      <c r="F331" s="54">
        <f>IFERROR(__xludf.DUMMYFUNCTION("""COMPUTED_VALUE"""),43255.0)</f>
        <v>43255</v>
      </c>
      <c r="G331" s="19">
        <f>IFERROR(__xludf.DUMMYFUNCTION("""COMPUTED_VALUE"""),1.0999999999999999)</f>
        <v>1.1</v>
      </c>
      <c r="H331" s="17">
        <f>IFERROR(__xludf.DUMMYFUNCTION("""COMPUTED_VALUE"""),41863.0)</f>
        <v>41863</v>
      </c>
      <c r="I331" s="19">
        <f>IFERROR(__xludf.DUMMYFUNCTION("""COMPUTED_VALUE"""),3.7194444444444446)</f>
        <v>3.719444444</v>
      </c>
      <c r="J331" s="21">
        <f>IFERROR(__xludf.DUMMYFUNCTION("""COMPUTED_VALUE"""),51.0)</f>
        <v>51</v>
      </c>
      <c r="K331" s="23">
        <f>IFERROR(__xludf.DUMMYFUNCTION("""COMPUTED_VALUE"""),6.9)</f>
        <v>6.9</v>
      </c>
      <c r="L331" s="24">
        <f>IFERROR(__xludf.DUMMYFUNCTION("""COMPUTED_VALUE"""),36.0)</f>
        <v>36</v>
      </c>
      <c r="M331" s="25" t="str">
        <f>IFERROR(__xludf.DUMMYFUNCTION("""COMPUTED_VALUE"""),"RPG")</f>
        <v>RPG</v>
      </c>
      <c r="N331" s="25"/>
      <c r="O331" s="26" t="str">
        <f>IFERROR(__xludf.DUMMYFUNCTION("""COMPUTED_VALUE"""),"No")</f>
        <v>No</v>
      </c>
      <c r="P331" s="26"/>
    </row>
    <row r="332">
      <c r="A332" s="13" t="str">
        <f>IFERROR(__xludf.DUMMYFUNCTION("""COMPUTED_VALUE"""),"Eat Them")</f>
        <v>Eat Them</v>
      </c>
      <c r="B332" s="15" t="str">
        <f>IFERROR(__xludf.DUMMYFUNCTION("""COMPUTED_VALUE"""),"PS3")</f>
        <v>PS3</v>
      </c>
      <c r="C332" s="16" t="str">
        <f>IFERROR(__xludf.DUMMYFUNCTION("""COMPUTED_VALUE"""),"Playstation Plus (Discontinued)")</f>
        <v>Playstation Plus (Discontinued)</v>
      </c>
      <c r="D332" s="15" t="str">
        <f>IFERROR(__xludf.DUMMYFUNCTION("""COMPUTED_VALUE"""),"Removed")</f>
        <v>Removed</v>
      </c>
      <c r="E332" s="17">
        <f>IFERROR(__xludf.DUMMYFUNCTION("""COMPUTED_VALUE"""),43221.0)</f>
        <v>43221</v>
      </c>
      <c r="F332" s="54">
        <f>IFERROR(__xludf.DUMMYFUNCTION("""COMPUTED_VALUE"""),43255.0)</f>
        <v>43255</v>
      </c>
      <c r="G332" s="19">
        <f>IFERROR(__xludf.DUMMYFUNCTION("""COMPUTED_VALUE"""),1.0999999999999999)</f>
        <v>1.1</v>
      </c>
      <c r="H332" s="17">
        <f>IFERROR(__xludf.DUMMYFUNCTION("""COMPUTED_VALUE"""),40533.0)</f>
        <v>40533</v>
      </c>
      <c r="I332" s="19">
        <f>IFERROR(__xludf.DUMMYFUNCTION("""COMPUTED_VALUE"""),7.361111111111111)</f>
        <v>7.361111111</v>
      </c>
      <c r="J332" s="21">
        <f>IFERROR(__xludf.DUMMYFUNCTION("""COMPUTED_VALUE"""),65.0)</f>
        <v>65</v>
      </c>
      <c r="K332" s="23">
        <f>IFERROR(__xludf.DUMMYFUNCTION("""COMPUTED_VALUE"""),7.2)</f>
        <v>7.2</v>
      </c>
      <c r="L332" s="24">
        <f>IFERROR(__xludf.DUMMYFUNCTION("""COMPUTED_VALUE"""),6.0)</f>
        <v>6</v>
      </c>
      <c r="M332" s="25" t="str">
        <f>IFERROR(__xludf.DUMMYFUNCTION("""COMPUTED_VALUE"""),"Action-Adventure")</f>
        <v>Action-Adventure</v>
      </c>
      <c r="N332" s="25"/>
      <c r="O332" s="26" t="str">
        <f>IFERROR(__xludf.DUMMYFUNCTION("""COMPUTED_VALUE"""),"No")</f>
        <v>No</v>
      </c>
      <c r="P332" s="26"/>
    </row>
    <row r="333">
      <c r="A333" s="13" t="str">
        <f>IFERROR(__xludf.DUMMYFUNCTION("""COMPUTED_VALUE"""),"King Oddball")</f>
        <v>King Oddball</v>
      </c>
      <c r="B333" s="15" t="str">
        <f>IFERROR(__xludf.DUMMYFUNCTION("""COMPUTED_VALUE"""),"Vita")</f>
        <v>Vita</v>
      </c>
      <c r="C333" s="16" t="str">
        <f>IFERROR(__xludf.DUMMYFUNCTION("""COMPUTED_VALUE"""),"Playstation Plus (Discontinued)")</f>
        <v>Playstation Plus (Discontinued)</v>
      </c>
      <c r="D333" s="15" t="str">
        <f>IFERROR(__xludf.DUMMYFUNCTION("""COMPUTED_VALUE"""),"Removed")</f>
        <v>Removed</v>
      </c>
      <c r="E333" s="17">
        <f>IFERROR(__xludf.DUMMYFUNCTION("""COMPUTED_VALUE"""),43221.0)</f>
        <v>43221</v>
      </c>
      <c r="F333" s="54">
        <f>IFERROR(__xludf.DUMMYFUNCTION("""COMPUTED_VALUE"""),43255.0)</f>
        <v>43255</v>
      </c>
      <c r="G333" s="19">
        <f>IFERROR(__xludf.DUMMYFUNCTION("""COMPUTED_VALUE"""),1.0999999999999999)</f>
        <v>1.1</v>
      </c>
      <c r="H333" s="17">
        <f>IFERROR(__xludf.DUMMYFUNCTION("""COMPUTED_VALUE"""),41648.0)</f>
        <v>41648</v>
      </c>
      <c r="I333" s="19">
        <f>IFERROR(__xludf.DUMMYFUNCTION("""COMPUTED_VALUE"""),4.311111111111111)</f>
        <v>4.311111111</v>
      </c>
      <c r="J333" s="21">
        <f>IFERROR(__xludf.DUMMYFUNCTION("""COMPUTED_VALUE"""),66.0)</f>
        <v>66</v>
      </c>
      <c r="K333" s="23">
        <f>IFERROR(__xludf.DUMMYFUNCTION("""COMPUTED_VALUE"""),7.1)</f>
        <v>7.1</v>
      </c>
      <c r="L333" s="24">
        <f>IFERROR(__xludf.DUMMYFUNCTION("""COMPUTED_VALUE"""),3.0)</f>
        <v>3</v>
      </c>
      <c r="M333" s="25" t="str">
        <f>IFERROR(__xludf.DUMMYFUNCTION("""COMPUTED_VALUE"""),"Puzzle")</f>
        <v>Puzzle</v>
      </c>
      <c r="N333" s="25"/>
      <c r="O333" s="26" t="str">
        <f>IFERROR(__xludf.DUMMYFUNCTION("""COMPUTED_VALUE"""),"No")</f>
        <v>No</v>
      </c>
      <c r="P333" s="26"/>
    </row>
    <row r="334">
      <c r="A334" s="13" t="str">
        <f>IFERROR(__xludf.DUMMYFUNCTION("""COMPUTED_VALUE"""),"Furmins")</f>
        <v>Furmins</v>
      </c>
      <c r="B334" s="15" t="str">
        <f>IFERROR(__xludf.DUMMYFUNCTION("""COMPUTED_VALUE"""),"Vita")</f>
        <v>Vita</v>
      </c>
      <c r="C334" s="16" t="str">
        <f>IFERROR(__xludf.DUMMYFUNCTION("""COMPUTED_VALUE"""),"Playstation Plus (Discontinued)")</f>
        <v>Playstation Plus (Discontinued)</v>
      </c>
      <c r="D334" s="15" t="str">
        <f>IFERROR(__xludf.DUMMYFUNCTION("""COMPUTED_VALUE"""),"Removed")</f>
        <v>Removed</v>
      </c>
      <c r="E334" s="17">
        <f>IFERROR(__xludf.DUMMYFUNCTION("""COMPUTED_VALUE"""),43221.0)</f>
        <v>43221</v>
      </c>
      <c r="F334" s="54">
        <f>IFERROR(__xludf.DUMMYFUNCTION("""COMPUTED_VALUE"""),43255.0)</f>
        <v>43255</v>
      </c>
      <c r="G334" s="19">
        <f>IFERROR(__xludf.DUMMYFUNCTION("""COMPUTED_VALUE"""),1.0999999999999999)</f>
        <v>1.1</v>
      </c>
      <c r="H334" s="17">
        <f>IFERROR(__xludf.DUMMYFUNCTION("""COMPUTED_VALUE"""),41569.0)</f>
        <v>41569</v>
      </c>
      <c r="I334" s="19">
        <f>IFERROR(__xludf.DUMMYFUNCTION("""COMPUTED_VALUE"""),4.525)</f>
        <v>4.525</v>
      </c>
      <c r="J334" s="21">
        <f>IFERROR(__xludf.DUMMYFUNCTION("""COMPUTED_VALUE"""),69.0)</f>
        <v>69</v>
      </c>
      <c r="K334" s="23">
        <f>IFERROR(__xludf.DUMMYFUNCTION("""COMPUTED_VALUE"""),6.7)</f>
        <v>6.7</v>
      </c>
      <c r="L334" s="24">
        <f>IFERROR(__xludf.DUMMYFUNCTION("""COMPUTED_VALUE"""),4.0)</f>
        <v>4</v>
      </c>
      <c r="M334" s="25" t="str">
        <f>IFERROR(__xludf.DUMMYFUNCTION("""COMPUTED_VALUE"""),"Puzzle")</f>
        <v>Puzzle</v>
      </c>
      <c r="N334" s="25"/>
      <c r="O334" s="26" t="str">
        <f>IFERROR(__xludf.DUMMYFUNCTION("""COMPUTED_VALUE"""),"No")</f>
        <v>No</v>
      </c>
      <c r="P334" s="26"/>
    </row>
    <row r="335">
      <c r="A335" s="13" t="str">
        <f>IFERROR(__xludf.DUMMYFUNCTION("""COMPUTED_VALUE"""),"Mad Max")</f>
        <v>Mad Max</v>
      </c>
      <c r="B335" s="15" t="str">
        <f>IFERROR(__xludf.DUMMYFUNCTION("""COMPUTED_VALUE"""),"PS4")</f>
        <v>PS4</v>
      </c>
      <c r="C335" s="16" t="str">
        <f>IFERROR(__xludf.DUMMYFUNCTION("""COMPUTED_VALUE"""),"Playstation Plus (Discontinued)")</f>
        <v>Playstation Plus (Discontinued)</v>
      </c>
      <c r="D335" s="15" t="str">
        <f>IFERROR(__xludf.DUMMYFUNCTION("""COMPUTED_VALUE"""),"Removed")</f>
        <v>Removed</v>
      </c>
      <c r="E335" s="17">
        <f>IFERROR(__xludf.DUMMYFUNCTION("""COMPUTED_VALUE"""),43193.0)</f>
        <v>43193</v>
      </c>
      <c r="F335" s="54">
        <f>IFERROR(__xludf.DUMMYFUNCTION("""COMPUTED_VALUE"""),43220.0)</f>
        <v>43220</v>
      </c>
      <c r="G335" s="19">
        <f>IFERROR(__xludf.DUMMYFUNCTION("""COMPUTED_VALUE"""),0.8999999999999999)</f>
        <v>0.9</v>
      </c>
      <c r="H335" s="17">
        <f>IFERROR(__xludf.DUMMYFUNCTION("""COMPUTED_VALUE"""),42248.0)</f>
        <v>42248</v>
      </c>
      <c r="I335" s="19">
        <f>IFERROR(__xludf.DUMMYFUNCTION("""COMPUTED_VALUE"""),2.588888888888889)</f>
        <v>2.588888889</v>
      </c>
      <c r="J335" s="21">
        <f>IFERROR(__xludf.DUMMYFUNCTION("""COMPUTED_VALUE"""),69.0)</f>
        <v>69</v>
      </c>
      <c r="K335" s="23">
        <f>IFERROR(__xludf.DUMMYFUNCTION("""COMPUTED_VALUE"""),7.6)</f>
        <v>7.6</v>
      </c>
      <c r="L335" s="24">
        <f>IFERROR(__xludf.DUMMYFUNCTION("""COMPUTED_VALUE"""),20.0)</f>
        <v>20</v>
      </c>
      <c r="M335" s="25" t="str">
        <f>IFERROR(__xludf.DUMMYFUNCTION("""COMPUTED_VALUE"""),"Action-Adventure")</f>
        <v>Action-Adventure</v>
      </c>
      <c r="N335" s="25"/>
      <c r="O335" s="26" t="str">
        <f>IFERROR(__xludf.DUMMYFUNCTION("""COMPUTED_VALUE"""),"No")</f>
        <v>No</v>
      </c>
      <c r="P335" s="26"/>
    </row>
    <row r="336">
      <c r="A336" s="13" t="str">
        <f>IFERROR(__xludf.DUMMYFUNCTION("""COMPUTED_VALUE"""),"Trackmania Turbo")</f>
        <v>Trackmania Turbo</v>
      </c>
      <c r="B336" s="15" t="str">
        <f>IFERROR(__xludf.DUMMYFUNCTION("""COMPUTED_VALUE"""),"PS4")</f>
        <v>PS4</v>
      </c>
      <c r="C336" s="16" t="str">
        <f>IFERROR(__xludf.DUMMYFUNCTION("""COMPUTED_VALUE"""),"Playstation Plus (Discontinued)")</f>
        <v>Playstation Plus (Discontinued)</v>
      </c>
      <c r="D336" s="15" t="str">
        <f>IFERROR(__xludf.DUMMYFUNCTION("""COMPUTED_VALUE"""),"Removed")</f>
        <v>Removed</v>
      </c>
      <c r="E336" s="17">
        <f>IFERROR(__xludf.DUMMYFUNCTION("""COMPUTED_VALUE"""),43193.0)</f>
        <v>43193</v>
      </c>
      <c r="F336" s="54">
        <f>IFERROR(__xludf.DUMMYFUNCTION("""COMPUTED_VALUE"""),43220.0)</f>
        <v>43220</v>
      </c>
      <c r="G336" s="19">
        <f>IFERROR(__xludf.DUMMYFUNCTION("""COMPUTED_VALUE"""),0.8999999999999999)</f>
        <v>0.9</v>
      </c>
      <c r="H336" s="17">
        <f>IFERROR(__xludf.DUMMYFUNCTION("""COMPUTED_VALUE"""),42451.0)</f>
        <v>42451</v>
      </c>
      <c r="I336" s="19">
        <f>IFERROR(__xludf.DUMMYFUNCTION("""COMPUTED_VALUE"""),2.0305555555555554)</f>
        <v>2.030555556</v>
      </c>
      <c r="J336" s="21">
        <f>IFERROR(__xludf.DUMMYFUNCTION("""COMPUTED_VALUE"""),81.0)</f>
        <v>81</v>
      </c>
      <c r="K336" s="23">
        <f>IFERROR(__xludf.DUMMYFUNCTION("""COMPUTED_VALUE"""),7.5)</f>
        <v>7.5</v>
      </c>
      <c r="L336" s="24">
        <f>IFERROR(__xludf.DUMMYFUNCTION("""COMPUTED_VALUE"""),14.0)</f>
        <v>14</v>
      </c>
      <c r="M336" s="25" t="str">
        <f>IFERROR(__xludf.DUMMYFUNCTION("""COMPUTED_VALUE"""),"Racing")</f>
        <v>Racing</v>
      </c>
      <c r="N336" s="25"/>
      <c r="O336" s="26" t="str">
        <f>IFERROR(__xludf.DUMMYFUNCTION("""COMPUTED_VALUE"""),"No")</f>
        <v>No</v>
      </c>
      <c r="P336" s="26"/>
    </row>
    <row r="337">
      <c r="A337" s="13" t="str">
        <f>IFERROR(__xludf.DUMMYFUNCTION("""COMPUTED_VALUE"""),"In Space We Brawl")</f>
        <v>In Space We Brawl</v>
      </c>
      <c r="B337" s="15" t="str">
        <f>IFERROR(__xludf.DUMMYFUNCTION("""COMPUTED_VALUE"""),"PS4/PS3")</f>
        <v>PS4/PS3</v>
      </c>
      <c r="C337" s="16" t="str">
        <f>IFERROR(__xludf.DUMMYFUNCTION("""COMPUTED_VALUE"""),"Playstation Plus (Discontinued)")</f>
        <v>Playstation Plus (Discontinued)</v>
      </c>
      <c r="D337" s="15" t="str">
        <f>IFERROR(__xludf.DUMMYFUNCTION("""COMPUTED_VALUE"""),"Removed")</f>
        <v>Removed</v>
      </c>
      <c r="E337" s="17">
        <f>IFERROR(__xludf.DUMMYFUNCTION("""COMPUTED_VALUE"""),43193.0)</f>
        <v>43193</v>
      </c>
      <c r="F337" s="54">
        <f>IFERROR(__xludf.DUMMYFUNCTION("""COMPUTED_VALUE"""),43220.0)</f>
        <v>43220</v>
      </c>
      <c r="G337" s="19">
        <f>IFERROR(__xludf.DUMMYFUNCTION("""COMPUTED_VALUE"""),0.8999999999999999)</f>
        <v>0.9</v>
      </c>
      <c r="H337" s="17">
        <f>IFERROR(__xludf.DUMMYFUNCTION("""COMPUTED_VALUE"""),41926.0)</f>
        <v>41926</v>
      </c>
      <c r="I337" s="19">
        <f>IFERROR(__xludf.DUMMYFUNCTION("""COMPUTED_VALUE"""),3.4694444444444446)</f>
        <v>3.469444444</v>
      </c>
      <c r="J337" s="21">
        <f>IFERROR(__xludf.DUMMYFUNCTION("""COMPUTED_VALUE"""),65.0)</f>
        <v>65</v>
      </c>
      <c r="K337" s="23">
        <f>IFERROR(__xludf.DUMMYFUNCTION("""COMPUTED_VALUE"""),6.7)</f>
        <v>6.7</v>
      </c>
      <c r="L337" s="24"/>
      <c r="M337" s="25" t="str">
        <f>IFERROR(__xludf.DUMMYFUNCTION("""COMPUTED_VALUE"""),"Shooter")</f>
        <v>Shooter</v>
      </c>
      <c r="N337" s="25"/>
      <c r="O337" s="26" t="str">
        <f>IFERROR(__xludf.DUMMYFUNCTION("""COMPUTED_VALUE"""),"No")</f>
        <v>No</v>
      </c>
      <c r="P337" s="26"/>
    </row>
    <row r="338">
      <c r="A338" s="13" t="str">
        <f>IFERROR(__xludf.DUMMYFUNCTION("""COMPUTED_VALUE"""),"Toy Home")</f>
        <v>Toy Home</v>
      </c>
      <c r="B338" s="15" t="str">
        <f>IFERROR(__xludf.DUMMYFUNCTION("""COMPUTED_VALUE"""),"PS3")</f>
        <v>PS3</v>
      </c>
      <c r="C338" s="16" t="str">
        <f>IFERROR(__xludf.DUMMYFUNCTION("""COMPUTED_VALUE"""),"Playstation Plus (Discontinued)")</f>
        <v>Playstation Plus (Discontinued)</v>
      </c>
      <c r="D338" s="15" t="str">
        <f>IFERROR(__xludf.DUMMYFUNCTION("""COMPUTED_VALUE"""),"Removed")</f>
        <v>Removed</v>
      </c>
      <c r="E338" s="17">
        <f>IFERROR(__xludf.DUMMYFUNCTION("""COMPUTED_VALUE"""),43193.0)</f>
        <v>43193</v>
      </c>
      <c r="F338" s="18">
        <f>IFERROR(__xludf.DUMMYFUNCTION("""COMPUTED_VALUE"""),43220.0)</f>
        <v>43220</v>
      </c>
      <c r="G338" s="19">
        <f>IFERROR(__xludf.DUMMYFUNCTION("""COMPUTED_VALUE"""),0.8999999999999999)</f>
        <v>0.9</v>
      </c>
      <c r="H338" s="17">
        <f>IFERROR(__xludf.DUMMYFUNCTION("""COMPUTED_VALUE"""),39380.0)</f>
        <v>39380</v>
      </c>
      <c r="I338" s="19">
        <f>IFERROR(__xludf.DUMMYFUNCTION("""COMPUTED_VALUE"""),10.438888888888888)</f>
        <v>10.43888889</v>
      </c>
      <c r="J338" s="21">
        <f>IFERROR(__xludf.DUMMYFUNCTION("""COMPUTED_VALUE"""),57.0)</f>
        <v>57</v>
      </c>
      <c r="K338" s="23">
        <f>IFERROR(__xludf.DUMMYFUNCTION("""COMPUTED_VALUE"""),6.9)</f>
        <v>6.9</v>
      </c>
      <c r="L338" s="24">
        <f>IFERROR(__xludf.DUMMYFUNCTION("""COMPUTED_VALUE"""),3.0)</f>
        <v>3</v>
      </c>
      <c r="M338" s="25" t="str">
        <f>IFERROR(__xludf.DUMMYFUNCTION("""COMPUTED_VALUE"""),"Racing")</f>
        <v>Racing</v>
      </c>
      <c r="N338" s="25"/>
      <c r="O338" s="26" t="str">
        <f>IFERROR(__xludf.DUMMYFUNCTION("""COMPUTED_VALUE"""),"No")</f>
        <v>No</v>
      </c>
      <c r="P338" s="26"/>
    </row>
    <row r="339">
      <c r="A339" s="13" t="str">
        <f>IFERROR(__xludf.DUMMYFUNCTION("""COMPUTED_VALUE"""),"99Vidas")</f>
        <v>99Vidas</v>
      </c>
      <c r="B339" s="15" t="str">
        <f>IFERROR(__xludf.DUMMYFUNCTION("""COMPUTED_VALUE"""),"PS4/PS3/Vita")</f>
        <v>PS4/PS3/Vita</v>
      </c>
      <c r="C339" s="16" t="str">
        <f>IFERROR(__xludf.DUMMYFUNCTION("""COMPUTED_VALUE"""),"Playstation Plus (Discontinued)")</f>
        <v>Playstation Plus (Discontinued)</v>
      </c>
      <c r="D339" s="15" t="str">
        <f>IFERROR(__xludf.DUMMYFUNCTION("""COMPUTED_VALUE"""),"Removed")</f>
        <v>Removed</v>
      </c>
      <c r="E339" s="17">
        <f>IFERROR(__xludf.DUMMYFUNCTION("""COMPUTED_VALUE"""),43193.0)</f>
        <v>43193</v>
      </c>
      <c r="F339" s="54">
        <f>IFERROR(__xludf.DUMMYFUNCTION("""COMPUTED_VALUE"""),43220.0)</f>
        <v>43220</v>
      </c>
      <c r="G339" s="19">
        <f>IFERROR(__xludf.DUMMYFUNCTION("""COMPUTED_VALUE"""),0.8999999999999999)</f>
        <v>0.9</v>
      </c>
      <c r="H339" s="17">
        <f>IFERROR(__xludf.DUMMYFUNCTION("""COMPUTED_VALUE"""),42717.0)</f>
        <v>42717</v>
      </c>
      <c r="I339" s="19">
        <f>IFERROR(__xludf.DUMMYFUNCTION("""COMPUTED_VALUE"""),1.3055555555555556)</f>
        <v>1.305555556</v>
      </c>
      <c r="J339" s="21">
        <f>IFERROR(__xludf.DUMMYFUNCTION("""COMPUTED_VALUE"""),61.0)</f>
        <v>61</v>
      </c>
      <c r="K339" s="23">
        <f>IFERROR(__xludf.DUMMYFUNCTION("""COMPUTED_VALUE"""),7.1)</f>
        <v>7.1</v>
      </c>
      <c r="L339" s="24">
        <f>IFERROR(__xludf.DUMMYFUNCTION("""COMPUTED_VALUE"""),6.0)</f>
        <v>6</v>
      </c>
      <c r="M339" s="25" t="str">
        <f>IFERROR(__xludf.DUMMYFUNCTION("""COMPUTED_VALUE"""),"Action-Adventure")</f>
        <v>Action-Adventure</v>
      </c>
      <c r="N339" s="25"/>
      <c r="O339" s="26" t="str">
        <f>IFERROR(__xludf.DUMMYFUNCTION("""COMPUTED_VALUE"""),"No")</f>
        <v>No</v>
      </c>
      <c r="P339" s="26"/>
    </row>
    <row r="340">
      <c r="A340" s="13" t="str">
        <f>IFERROR(__xludf.DUMMYFUNCTION("""COMPUTED_VALUE"""),"Q*Bert Rebooted")</f>
        <v>Q*Bert Rebooted</v>
      </c>
      <c r="B340" s="15" t="str">
        <f>IFERROR(__xludf.DUMMYFUNCTION("""COMPUTED_VALUE"""),"PS4/PS3/Vita")</f>
        <v>PS4/PS3/Vita</v>
      </c>
      <c r="C340" s="16" t="str">
        <f>IFERROR(__xludf.DUMMYFUNCTION("""COMPUTED_VALUE"""),"Playstation Plus (Discontinued)")</f>
        <v>Playstation Plus (Discontinued)</v>
      </c>
      <c r="D340" s="15" t="str">
        <f>IFERROR(__xludf.DUMMYFUNCTION("""COMPUTED_VALUE"""),"Removed")</f>
        <v>Removed</v>
      </c>
      <c r="E340" s="17">
        <f>IFERROR(__xludf.DUMMYFUNCTION("""COMPUTED_VALUE"""),43193.0)</f>
        <v>43193</v>
      </c>
      <c r="F340" s="54">
        <f>IFERROR(__xludf.DUMMYFUNCTION("""COMPUTED_VALUE"""),43220.0)</f>
        <v>43220</v>
      </c>
      <c r="G340" s="19">
        <f>IFERROR(__xludf.DUMMYFUNCTION("""COMPUTED_VALUE"""),0.8999999999999999)</f>
        <v>0.9</v>
      </c>
      <c r="H340" s="17">
        <f>IFERROR(__xludf.DUMMYFUNCTION("""COMPUTED_VALUE"""),42052.0)</f>
        <v>42052</v>
      </c>
      <c r="I340" s="19">
        <f>IFERROR(__xludf.DUMMYFUNCTION("""COMPUTED_VALUE"""),3.1277777777777778)</f>
        <v>3.127777778</v>
      </c>
      <c r="J340" s="21">
        <f>IFERROR(__xludf.DUMMYFUNCTION("""COMPUTED_VALUE"""),44.0)</f>
        <v>44</v>
      </c>
      <c r="K340" s="23">
        <f>IFERROR(__xludf.DUMMYFUNCTION("""COMPUTED_VALUE"""),4.7)</f>
        <v>4.7</v>
      </c>
      <c r="L340" s="24"/>
      <c r="M340" s="25" t="str">
        <f>IFERROR(__xludf.DUMMYFUNCTION("""COMPUTED_VALUE"""),"Arcade")</f>
        <v>Arcade</v>
      </c>
      <c r="N340" s="25"/>
      <c r="O340" s="26" t="str">
        <f>IFERROR(__xludf.DUMMYFUNCTION("""COMPUTED_VALUE"""),"No")</f>
        <v>No</v>
      </c>
      <c r="P340" s="26"/>
    </row>
    <row r="341">
      <c r="A341" s="13" t="str">
        <f>IFERROR(__xludf.DUMMYFUNCTION("""COMPUTED_VALUE"""),"Bloodborne")</f>
        <v>Bloodborne</v>
      </c>
      <c r="B341" s="15" t="str">
        <f>IFERROR(__xludf.DUMMYFUNCTION("""COMPUTED_VALUE"""),"PS4")</f>
        <v>PS4</v>
      </c>
      <c r="C341" s="16" t="str">
        <f>IFERROR(__xludf.DUMMYFUNCTION("""COMPUTED_VALUE"""),"Playstation Plus (Discontinued)")</f>
        <v>Playstation Plus (Discontinued)</v>
      </c>
      <c r="D341" s="15" t="str">
        <f>IFERROR(__xludf.DUMMYFUNCTION("""COMPUTED_VALUE"""),"Removed")</f>
        <v>Removed</v>
      </c>
      <c r="E341" s="17">
        <f>IFERROR(__xludf.DUMMYFUNCTION("""COMPUTED_VALUE"""),43165.0)</f>
        <v>43165</v>
      </c>
      <c r="F341" s="54">
        <f>IFERROR(__xludf.DUMMYFUNCTION("""COMPUTED_VALUE"""),43192.0)</f>
        <v>43192</v>
      </c>
      <c r="G341" s="19">
        <f>IFERROR(__xludf.DUMMYFUNCTION("""COMPUTED_VALUE"""),0.8666666666666666)</f>
        <v>0.8666666667</v>
      </c>
      <c r="H341" s="17">
        <f>IFERROR(__xludf.DUMMYFUNCTION("""COMPUTED_VALUE"""),42087.0)</f>
        <v>42087</v>
      </c>
      <c r="I341" s="19">
        <f>IFERROR(__xludf.DUMMYFUNCTION("""COMPUTED_VALUE"""),2.95)</f>
        <v>2.95</v>
      </c>
      <c r="J341" s="21">
        <f>IFERROR(__xludf.DUMMYFUNCTION("""COMPUTED_VALUE"""),92.0)</f>
        <v>92</v>
      </c>
      <c r="K341" s="23">
        <f>IFERROR(__xludf.DUMMYFUNCTION("""COMPUTED_VALUE"""),9.1)</f>
        <v>9.1</v>
      </c>
      <c r="L341" s="24">
        <f>IFERROR(__xludf.DUMMYFUNCTION("""COMPUTED_VALUE"""),34.0)</f>
        <v>34</v>
      </c>
      <c r="M341" s="25" t="str">
        <f>IFERROR(__xludf.DUMMYFUNCTION("""COMPUTED_VALUE"""),"Action-Adventure")</f>
        <v>Action-Adventure</v>
      </c>
      <c r="N341" s="25"/>
      <c r="O341" s="26" t="str">
        <f>IFERROR(__xludf.DUMMYFUNCTION("""COMPUTED_VALUE"""),"No")</f>
        <v>No</v>
      </c>
      <c r="P341" s="26"/>
    </row>
    <row r="342">
      <c r="A342" s="13" t="str">
        <f>IFERROR(__xludf.DUMMYFUNCTION("""COMPUTED_VALUE"""),"Ratchet and Clank")</f>
        <v>Ratchet and Clank</v>
      </c>
      <c r="B342" s="15" t="str">
        <f>IFERROR(__xludf.DUMMYFUNCTION("""COMPUTED_VALUE"""),"PS4")</f>
        <v>PS4</v>
      </c>
      <c r="C342" s="16" t="str">
        <f>IFERROR(__xludf.DUMMYFUNCTION("""COMPUTED_VALUE"""),"Playstation Plus (Discontinued)")</f>
        <v>Playstation Plus (Discontinued)</v>
      </c>
      <c r="D342" s="15" t="str">
        <f>IFERROR(__xludf.DUMMYFUNCTION("""COMPUTED_VALUE"""),"Removed")</f>
        <v>Removed</v>
      </c>
      <c r="E342" s="17">
        <f>IFERROR(__xludf.DUMMYFUNCTION("""COMPUTED_VALUE"""),43165.0)</f>
        <v>43165</v>
      </c>
      <c r="F342" s="54">
        <f>IFERROR(__xludf.DUMMYFUNCTION("""COMPUTED_VALUE"""),43192.0)</f>
        <v>43192</v>
      </c>
      <c r="G342" s="19">
        <f>IFERROR(__xludf.DUMMYFUNCTION("""COMPUTED_VALUE"""),0.8666666666666666)</f>
        <v>0.8666666667</v>
      </c>
      <c r="H342" s="17">
        <f>IFERROR(__xludf.DUMMYFUNCTION("""COMPUTED_VALUE"""),42472.0)</f>
        <v>42472</v>
      </c>
      <c r="I342" s="19">
        <f>IFERROR(__xludf.DUMMYFUNCTION("""COMPUTED_VALUE"""),1.9)</f>
        <v>1.9</v>
      </c>
      <c r="J342" s="21">
        <f>IFERROR(__xludf.DUMMYFUNCTION("""COMPUTED_VALUE"""),85.0)</f>
        <v>85</v>
      </c>
      <c r="K342" s="23">
        <f>IFERROR(__xludf.DUMMYFUNCTION("""COMPUTED_VALUE"""),8.3)</f>
        <v>8.3</v>
      </c>
      <c r="L342" s="24">
        <f>IFERROR(__xludf.DUMMYFUNCTION("""COMPUTED_VALUE"""),11.0)</f>
        <v>11</v>
      </c>
      <c r="M342" s="25" t="str">
        <f>IFERROR(__xludf.DUMMYFUNCTION("""COMPUTED_VALUE"""),"Action-Adventure")</f>
        <v>Action-Adventure</v>
      </c>
      <c r="N342" s="25"/>
      <c r="O342" s="26" t="str">
        <f>IFERROR(__xludf.DUMMYFUNCTION("""COMPUTED_VALUE"""),"No")</f>
        <v>No</v>
      </c>
      <c r="P342" s="26"/>
    </row>
    <row r="343">
      <c r="A343" s="13" t="str">
        <f>IFERROR(__xludf.DUMMYFUNCTION("""COMPUTED_VALUE"""),"Legend of Kay Anniversary")</f>
        <v>Legend of Kay Anniversary</v>
      </c>
      <c r="B343" s="15" t="str">
        <f>IFERROR(__xludf.DUMMYFUNCTION("""COMPUTED_VALUE"""),"PS3")</f>
        <v>PS3</v>
      </c>
      <c r="C343" s="16" t="str">
        <f>IFERROR(__xludf.DUMMYFUNCTION("""COMPUTED_VALUE"""),"Playstation Plus (Discontinued)")</f>
        <v>Playstation Plus (Discontinued)</v>
      </c>
      <c r="D343" s="15" t="str">
        <f>IFERROR(__xludf.DUMMYFUNCTION("""COMPUTED_VALUE"""),"Removed")</f>
        <v>Removed</v>
      </c>
      <c r="E343" s="17">
        <f>IFERROR(__xludf.DUMMYFUNCTION("""COMPUTED_VALUE"""),43165.0)</f>
        <v>43165</v>
      </c>
      <c r="F343" s="54">
        <f>IFERROR(__xludf.DUMMYFUNCTION("""COMPUTED_VALUE"""),43192.0)</f>
        <v>43192</v>
      </c>
      <c r="G343" s="19">
        <f>IFERROR(__xludf.DUMMYFUNCTION("""COMPUTED_VALUE"""),0.8666666666666666)</f>
        <v>0.8666666667</v>
      </c>
      <c r="H343" s="17">
        <f>IFERROR(__xludf.DUMMYFUNCTION("""COMPUTED_VALUE"""),42213.0)</f>
        <v>42213</v>
      </c>
      <c r="I343" s="19">
        <f>IFERROR(__xludf.DUMMYFUNCTION("""COMPUTED_VALUE"""),2.6055555555555556)</f>
        <v>2.605555556</v>
      </c>
      <c r="J343" s="21">
        <f>IFERROR(__xludf.DUMMYFUNCTION("""COMPUTED_VALUE"""),70.0)</f>
        <v>70</v>
      </c>
      <c r="K343" s="23">
        <f>IFERROR(__xludf.DUMMYFUNCTION("""COMPUTED_VALUE"""),7.2)</f>
        <v>7.2</v>
      </c>
      <c r="L343" s="24">
        <f>IFERROR(__xludf.DUMMYFUNCTION("""COMPUTED_VALUE"""),10.0)</f>
        <v>10</v>
      </c>
      <c r="M343" s="25" t="str">
        <f>IFERROR(__xludf.DUMMYFUNCTION("""COMPUTED_VALUE"""),"Action-Adventure")</f>
        <v>Action-Adventure</v>
      </c>
      <c r="N343" s="25"/>
      <c r="O343" s="26" t="str">
        <f>IFERROR(__xludf.DUMMYFUNCTION("""COMPUTED_VALUE"""),"No")</f>
        <v>No</v>
      </c>
      <c r="P343" s="26"/>
    </row>
    <row r="344">
      <c r="A344" s="13" t="str">
        <f>IFERROR(__xludf.DUMMYFUNCTION("""COMPUTED_VALUE"""),"Mighty No. 9")</f>
        <v>Mighty No. 9</v>
      </c>
      <c r="B344" s="15" t="str">
        <f>IFERROR(__xludf.DUMMYFUNCTION("""COMPUTED_VALUE"""),"PS4/PS3")</f>
        <v>PS4/PS3</v>
      </c>
      <c r="C344" s="16" t="str">
        <f>IFERROR(__xludf.DUMMYFUNCTION("""COMPUTED_VALUE"""),"Playstation Plus (Discontinued)")</f>
        <v>Playstation Plus (Discontinued)</v>
      </c>
      <c r="D344" s="15" t="str">
        <f>IFERROR(__xludf.DUMMYFUNCTION("""COMPUTED_VALUE"""),"Removed")</f>
        <v>Removed</v>
      </c>
      <c r="E344" s="17">
        <f>IFERROR(__xludf.DUMMYFUNCTION("""COMPUTED_VALUE"""),43165.0)</f>
        <v>43165</v>
      </c>
      <c r="F344" s="54">
        <f>IFERROR(__xludf.DUMMYFUNCTION("""COMPUTED_VALUE"""),43192.0)</f>
        <v>43192</v>
      </c>
      <c r="G344" s="19">
        <f>IFERROR(__xludf.DUMMYFUNCTION("""COMPUTED_VALUE"""),0.8666666666666666)</f>
        <v>0.8666666667</v>
      </c>
      <c r="H344" s="17">
        <f>IFERROR(__xludf.DUMMYFUNCTION("""COMPUTED_VALUE"""),42542.0)</f>
        <v>42542</v>
      </c>
      <c r="I344" s="19">
        <f>IFERROR(__xludf.DUMMYFUNCTION("""COMPUTED_VALUE"""),1.7083333333333333)</f>
        <v>1.708333333</v>
      </c>
      <c r="J344" s="21">
        <f>IFERROR(__xludf.DUMMYFUNCTION("""COMPUTED_VALUE"""),52.0)</f>
        <v>52</v>
      </c>
      <c r="K344" s="23">
        <f>IFERROR(__xludf.DUMMYFUNCTION("""COMPUTED_VALUE"""),4.6)</f>
        <v>4.6</v>
      </c>
      <c r="L344" s="24">
        <f>IFERROR(__xludf.DUMMYFUNCTION("""COMPUTED_VALUE"""),4.0)</f>
        <v>4</v>
      </c>
      <c r="M344" s="25" t="str">
        <f>IFERROR(__xludf.DUMMYFUNCTION("""COMPUTED_VALUE"""),"Platformer")</f>
        <v>Platformer</v>
      </c>
      <c r="N344" s="25"/>
      <c r="O344" s="26" t="str">
        <f>IFERROR(__xludf.DUMMYFUNCTION("""COMPUTED_VALUE"""),"No")</f>
        <v>No</v>
      </c>
      <c r="P344" s="26"/>
    </row>
    <row r="345">
      <c r="A345" s="13" t="str">
        <f>IFERROR(__xludf.DUMMYFUNCTION("""COMPUTED_VALUE"""),"Claire: Extended Cut")</f>
        <v>Claire: Extended Cut</v>
      </c>
      <c r="B345" s="15" t="str">
        <f>IFERROR(__xludf.DUMMYFUNCTION("""COMPUTED_VALUE"""),"PS4/Vita")</f>
        <v>PS4/Vita</v>
      </c>
      <c r="C345" s="16" t="str">
        <f>IFERROR(__xludf.DUMMYFUNCTION("""COMPUTED_VALUE"""),"Playstation Plus (Discontinued)")</f>
        <v>Playstation Plus (Discontinued)</v>
      </c>
      <c r="D345" s="15" t="str">
        <f>IFERROR(__xludf.DUMMYFUNCTION("""COMPUTED_VALUE"""),"Removed")</f>
        <v>Removed</v>
      </c>
      <c r="E345" s="17">
        <f>IFERROR(__xludf.DUMMYFUNCTION("""COMPUTED_VALUE"""),43165.0)</f>
        <v>43165</v>
      </c>
      <c r="F345" s="54">
        <f>IFERROR(__xludf.DUMMYFUNCTION("""COMPUTED_VALUE"""),43192.0)</f>
        <v>43192</v>
      </c>
      <c r="G345" s="19">
        <f>IFERROR(__xludf.DUMMYFUNCTION("""COMPUTED_VALUE"""),0.8666666666666666)</f>
        <v>0.8666666667</v>
      </c>
      <c r="H345" s="17">
        <f>IFERROR(__xludf.DUMMYFUNCTION("""COMPUTED_VALUE"""),42955.0)</f>
        <v>42955</v>
      </c>
      <c r="I345" s="19">
        <f>IFERROR(__xludf.DUMMYFUNCTION("""COMPUTED_VALUE"""),0.5777777777777777)</f>
        <v>0.5777777778</v>
      </c>
      <c r="J345" s="21">
        <f>IFERROR(__xludf.DUMMYFUNCTION("""COMPUTED_VALUE"""),58.0)</f>
        <v>58</v>
      </c>
      <c r="K345" s="23">
        <f>IFERROR(__xludf.DUMMYFUNCTION("""COMPUTED_VALUE"""),6.8)</f>
        <v>6.8</v>
      </c>
      <c r="L345" s="24">
        <f>IFERROR(__xludf.DUMMYFUNCTION("""COMPUTED_VALUE"""),5.0)</f>
        <v>5</v>
      </c>
      <c r="M345" s="25" t="str">
        <f>IFERROR(__xludf.DUMMYFUNCTION("""COMPUTED_VALUE"""),"Horror")</f>
        <v>Horror</v>
      </c>
      <c r="N345" s="25"/>
      <c r="O345" s="26" t="str">
        <f>IFERROR(__xludf.DUMMYFUNCTION("""COMPUTED_VALUE"""),"No")</f>
        <v>No</v>
      </c>
      <c r="P345" s="26"/>
    </row>
    <row r="346">
      <c r="A346" s="13" t="str">
        <f>IFERROR(__xludf.DUMMYFUNCTION("""COMPUTED_VALUE"""),"Bombing Busters")</f>
        <v>Bombing Busters</v>
      </c>
      <c r="B346" s="15" t="str">
        <f>IFERROR(__xludf.DUMMYFUNCTION("""COMPUTED_VALUE"""),"PS4/Vita")</f>
        <v>PS4/Vita</v>
      </c>
      <c r="C346" s="16" t="str">
        <f>IFERROR(__xludf.DUMMYFUNCTION("""COMPUTED_VALUE"""),"Playstation Plus (Discontinued)")</f>
        <v>Playstation Plus (Discontinued)</v>
      </c>
      <c r="D346" s="15" t="str">
        <f>IFERROR(__xludf.DUMMYFUNCTION("""COMPUTED_VALUE"""),"Removed")</f>
        <v>Removed</v>
      </c>
      <c r="E346" s="17">
        <f>IFERROR(__xludf.DUMMYFUNCTION("""COMPUTED_VALUE"""),43165.0)</f>
        <v>43165</v>
      </c>
      <c r="F346" s="54">
        <f>IFERROR(__xludf.DUMMYFUNCTION("""COMPUTED_VALUE"""),43192.0)</f>
        <v>43192</v>
      </c>
      <c r="G346" s="19">
        <f>IFERROR(__xludf.DUMMYFUNCTION("""COMPUTED_VALUE"""),0.8666666666666666)</f>
        <v>0.8666666667</v>
      </c>
      <c r="H346" s="17">
        <f>IFERROR(__xludf.DUMMYFUNCTION("""COMPUTED_VALUE"""),42514.0)</f>
        <v>42514</v>
      </c>
      <c r="I346" s="19">
        <f>IFERROR(__xludf.DUMMYFUNCTION("""COMPUTED_VALUE"""),1.7833333333333334)</f>
        <v>1.783333333</v>
      </c>
      <c r="J346" s="21">
        <f>IFERROR(__xludf.DUMMYFUNCTION("""COMPUTED_VALUE"""),55.0)</f>
        <v>55</v>
      </c>
      <c r="K346" s="23">
        <f>IFERROR(__xludf.DUMMYFUNCTION("""COMPUTED_VALUE"""),6.2)</f>
        <v>6.2</v>
      </c>
      <c r="L346" s="24"/>
      <c r="M346" s="25" t="str">
        <f>IFERROR(__xludf.DUMMYFUNCTION("""COMPUTED_VALUE"""),"Puzzle")</f>
        <v>Puzzle</v>
      </c>
      <c r="N346" s="25"/>
      <c r="O346" s="26" t="str">
        <f>IFERROR(__xludf.DUMMYFUNCTION("""COMPUTED_VALUE"""),"No")</f>
        <v>No</v>
      </c>
      <c r="P346" s="26"/>
    </row>
    <row r="347">
      <c r="A347" s="13" t="str">
        <f>IFERROR(__xludf.DUMMYFUNCTION("""COMPUTED_VALUE"""),"Knack")</f>
        <v>Knack</v>
      </c>
      <c r="B347" s="15" t="str">
        <f>IFERROR(__xludf.DUMMYFUNCTION("""COMPUTED_VALUE"""),"PS4")</f>
        <v>PS4</v>
      </c>
      <c r="C347" s="16" t="str">
        <f>IFERROR(__xludf.DUMMYFUNCTION("""COMPUTED_VALUE"""),"Playstation Plus (Discontinued)")</f>
        <v>Playstation Plus (Discontinued)</v>
      </c>
      <c r="D347" s="15" t="str">
        <f>IFERROR(__xludf.DUMMYFUNCTION("""COMPUTED_VALUE"""),"Removed")</f>
        <v>Removed</v>
      </c>
      <c r="E347" s="17">
        <f>IFERROR(__xludf.DUMMYFUNCTION("""COMPUTED_VALUE"""),43137.0)</f>
        <v>43137</v>
      </c>
      <c r="F347" s="54">
        <f>IFERROR(__xludf.DUMMYFUNCTION("""COMPUTED_VALUE"""),43164.0)</f>
        <v>43164</v>
      </c>
      <c r="G347" s="19">
        <f>IFERROR(__xludf.DUMMYFUNCTION("""COMPUTED_VALUE"""),0.9666666666666668)</f>
        <v>0.9666666667</v>
      </c>
      <c r="H347" s="17">
        <f>IFERROR(__xludf.DUMMYFUNCTION("""COMPUTED_VALUE"""),41593.0)</f>
        <v>41593</v>
      </c>
      <c r="I347" s="19">
        <f>IFERROR(__xludf.DUMMYFUNCTION("""COMPUTED_VALUE"""),4.225)</f>
        <v>4.225</v>
      </c>
      <c r="J347" s="21">
        <f>IFERROR(__xludf.DUMMYFUNCTION("""COMPUTED_VALUE"""),54.0)</f>
        <v>54</v>
      </c>
      <c r="K347" s="23">
        <f>IFERROR(__xludf.DUMMYFUNCTION("""COMPUTED_VALUE"""),6.3)</f>
        <v>6.3</v>
      </c>
      <c r="L347" s="24">
        <f>IFERROR(__xludf.DUMMYFUNCTION("""COMPUTED_VALUE"""),11.0)</f>
        <v>11</v>
      </c>
      <c r="M347" s="25" t="str">
        <f>IFERROR(__xludf.DUMMYFUNCTION("""COMPUTED_VALUE"""),"Action-Adventure")</f>
        <v>Action-Adventure</v>
      </c>
      <c r="N347" s="25"/>
      <c r="O347" s="26" t="str">
        <f>IFERROR(__xludf.DUMMYFUNCTION("""COMPUTED_VALUE"""),"No")</f>
        <v>No</v>
      </c>
      <c r="P347" s="26"/>
    </row>
    <row r="348">
      <c r="A348" s="13" t="str">
        <f>IFERROR(__xludf.DUMMYFUNCTION("""COMPUTED_VALUE"""),"RiME")</f>
        <v>RiME</v>
      </c>
      <c r="B348" s="15" t="str">
        <f>IFERROR(__xludf.DUMMYFUNCTION("""COMPUTED_VALUE"""),"PS4")</f>
        <v>PS4</v>
      </c>
      <c r="C348" s="16" t="str">
        <f>IFERROR(__xludf.DUMMYFUNCTION("""COMPUTED_VALUE"""),"Playstation Plus (Discontinued)")</f>
        <v>Playstation Plus (Discontinued)</v>
      </c>
      <c r="D348" s="15" t="str">
        <f>IFERROR(__xludf.DUMMYFUNCTION("""COMPUTED_VALUE"""),"Removed")</f>
        <v>Removed</v>
      </c>
      <c r="E348" s="17">
        <f>IFERROR(__xludf.DUMMYFUNCTION("""COMPUTED_VALUE"""),43137.0)</f>
        <v>43137</v>
      </c>
      <c r="F348" s="54">
        <f>IFERROR(__xludf.DUMMYFUNCTION("""COMPUTED_VALUE"""),43164.0)</f>
        <v>43164</v>
      </c>
      <c r="G348" s="19">
        <f>IFERROR(__xludf.DUMMYFUNCTION("""COMPUTED_VALUE"""),0.9666666666666668)</f>
        <v>0.9666666667</v>
      </c>
      <c r="H348" s="17">
        <f>IFERROR(__xludf.DUMMYFUNCTION("""COMPUTED_VALUE"""),42881.0)</f>
        <v>42881</v>
      </c>
      <c r="I348" s="19">
        <f>IFERROR(__xludf.DUMMYFUNCTION("""COMPUTED_VALUE"""),0.6944444444444444)</f>
        <v>0.6944444444</v>
      </c>
      <c r="J348" s="21">
        <f>IFERROR(__xludf.DUMMYFUNCTION("""COMPUTED_VALUE"""),80.0)</f>
        <v>80</v>
      </c>
      <c r="K348" s="23">
        <f>IFERROR(__xludf.DUMMYFUNCTION("""COMPUTED_VALUE"""),7.5)</f>
        <v>7.5</v>
      </c>
      <c r="L348" s="24">
        <f>IFERROR(__xludf.DUMMYFUNCTION("""COMPUTED_VALUE"""),10.0)</f>
        <v>10</v>
      </c>
      <c r="M348" s="25" t="str">
        <f>IFERROR(__xludf.DUMMYFUNCTION("""COMPUTED_VALUE"""),"Action-Adventure")</f>
        <v>Action-Adventure</v>
      </c>
      <c r="N348" s="25"/>
      <c r="O348" s="26" t="str">
        <f>IFERROR(__xludf.DUMMYFUNCTION("""COMPUTED_VALUE"""),"No")</f>
        <v>No</v>
      </c>
      <c r="P348" s="26"/>
    </row>
    <row r="349">
      <c r="A349" s="13" t="str">
        <f>IFERROR(__xludf.DUMMYFUNCTION("""COMPUTED_VALUE"""),"Starblood Arena")</f>
        <v>Starblood Arena</v>
      </c>
      <c r="B349" s="15" t="str">
        <f>IFERROR(__xludf.DUMMYFUNCTION("""COMPUTED_VALUE"""),"PS4/PSVR")</f>
        <v>PS4/PSVR</v>
      </c>
      <c r="C349" s="16" t="str">
        <f>IFERROR(__xludf.DUMMYFUNCTION("""COMPUTED_VALUE"""),"Playstation Plus (Discontinued)")</f>
        <v>Playstation Plus (Discontinued)</v>
      </c>
      <c r="D349" s="15" t="str">
        <f>IFERROR(__xludf.DUMMYFUNCTION("""COMPUTED_VALUE"""),"Removed")</f>
        <v>Removed</v>
      </c>
      <c r="E349" s="17">
        <f>IFERROR(__xludf.DUMMYFUNCTION("""COMPUTED_VALUE"""),43137.0)</f>
        <v>43137</v>
      </c>
      <c r="F349" s="54">
        <f>IFERROR(__xludf.DUMMYFUNCTION("""COMPUTED_VALUE"""),43164.0)</f>
        <v>43164</v>
      </c>
      <c r="G349" s="19">
        <f>IFERROR(__xludf.DUMMYFUNCTION("""COMPUTED_VALUE"""),0.9666666666666668)</f>
        <v>0.9666666667</v>
      </c>
      <c r="H349" s="17">
        <f>IFERROR(__xludf.DUMMYFUNCTION("""COMPUTED_VALUE"""),42836.0)</f>
        <v>42836</v>
      </c>
      <c r="I349" s="19">
        <f>IFERROR(__xludf.DUMMYFUNCTION("""COMPUTED_VALUE"""),0.8194444444444444)</f>
        <v>0.8194444444</v>
      </c>
      <c r="J349" s="21">
        <f>IFERROR(__xludf.DUMMYFUNCTION("""COMPUTED_VALUE"""),68.0)</f>
        <v>68</v>
      </c>
      <c r="K349" s="23">
        <f>IFERROR(__xludf.DUMMYFUNCTION("""COMPUTED_VALUE"""),7.0)</f>
        <v>7</v>
      </c>
      <c r="L349" s="24"/>
      <c r="M349" s="25" t="str">
        <f>IFERROR(__xludf.DUMMYFUNCTION("""COMPUTED_VALUE"""),"Shooter")</f>
        <v>Shooter</v>
      </c>
      <c r="N349" s="25"/>
      <c r="O349" s="26" t="str">
        <f>IFERROR(__xludf.DUMMYFUNCTION("""COMPUTED_VALUE"""),"No")</f>
        <v>No</v>
      </c>
      <c r="P349" s="26"/>
    </row>
    <row r="350">
      <c r="A350" s="13" t="str">
        <f>IFERROR(__xludf.DUMMYFUNCTION("""COMPUTED_VALUE"""),"Spelunker HD")</f>
        <v>Spelunker HD</v>
      </c>
      <c r="B350" s="15" t="str">
        <f>IFERROR(__xludf.DUMMYFUNCTION("""COMPUTED_VALUE"""),"PS3")</f>
        <v>PS3</v>
      </c>
      <c r="C350" s="16" t="str">
        <f>IFERROR(__xludf.DUMMYFUNCTION("""COMPUTED_VALUE"""),"Playstation Plus (Discontinued)")</f>
        <v>Playstation Plus (Discontinued)</v>
      </c>
      <c r="D350" s="15" t="str">
        <f>IFERROR(__xludf.DUMMYFUNCTION("""COMPUTED_VALUE"""),"Removed")</f>
        <v>Removed</v>
      </c>
      <c r="E350" s="17">
        <f>IFERROR(__xludf.DUMMYFUNCTION("""COMPUTED_VALUE"""),43137.0)</f>
        <v>43137</v>
      </c>
      <c r="F350" s="54">
        <f>IFERROR(__xludf.DUMMYFUNCTION("""COMPUTED_VALUE"""),43164.0)</f>
        <v>43164</v>
      </c>
      <c r="G350" s="19">
        <f>IFERROR(__xludf.DUMMYFUNCTION("""COMPUTED_VALUE"""),0.9666666666666668)</f>
        <v>0.9666666667</v>
      </c>
      <c r="H350" s="17">
        <f>IFERROR(__xludf.DUMMYFUNCTION("""COMPUTED_VALUE"""),40290.0)</f>
        <v>40290</v>
      </c>
      <c r="I350" s="19">
        <f>IFERROR(__xludf.DUMMYFUNCTION("""COMPUTED_VALUE"""),7.788888888888889)</f>
        <v>7.788888889</v>
      </c>
      <c r="J350" s="21">
        <f>IFERROR(__xludf.DUMMYFUNCTION("""COMPUTED_VALUE"""),56.0)</f>
        <v>56</v>
      </c>
      <c r="K350" s="23">
        <f>IFERROR(__xludf.DUMMYFUNCTION("""COMPUTED_VALUE"""),6.8)</f>
        <v>6.8</v>
      </c>
      <c r="L350" s="24">
        <f>IFERROR(__xludf.DUMMYFUNCTION("""COMPUTED_VALUE"""),5.0)</f>
        <v>5</v>
      </c>
      <c r="M350" s="25" t="str">
        <f>IFERROR(__xludf.DUMMYFUNCTION("""COMPUTED_VALUE"""),"Platformer")</f>
        <v>Platformer</v>
      </c>
      <c r="N350" s="25"/>
      <c r="O350" s="26" t="str">
        <f>IFERROR(__xludf.DUMMYFUNCTION("""COMPUTED_VALUE"""),"No")</f>
        <v>No</v>
      </c>
      <c r="P350" s="26"/>
    </row>
    <row r="351">
      <c r="A351" s="13" t="str">
        <f>IFERROR(__xludf.DUMMYFUNCTION("""COMPUTED_VALUE"""),"Mugen Souls Z")</f>
        <v>Mugen Souls Z</v>
      </c>
      <c r="B351" s="15" t="str">
        <f>IFERROR(__xludf.DUMMYFUNCTION("""COMPUTED_VALUE"""),"PS3")</f>
        <v>PS3</v>
      </c>
      <c r="C351" s="16" t="str">
        <f>IFERROR(__xludf.DUMMYFUNCTION("""COMPUTED_VALUE"""),"Playstation Plus (Discontinued)")</f>
        <v>Playstation Plus (Discontinued)</v>
      </c>
      <c r="D351" s="15" t="str">
        <f>IFERROR(__xludf.DUMMYFUNCTION("""COMPUTED_VALUE"""),"Removed")</f>
        <v>Removed</v>
      </c>
      <c r="E351" s="17">
        <f>IFERROR(__xludf.DUMMYFUNCTION("""COMPUTED_VALUE"""),43137.0)</f>
        <v>43137</v>
      </c>
      <c r="F351" s="54">
        <f>IFERROR(__xludf.DUMMYFUNCTION("""COMPUTED_VALUE"""),43164.0)</f>
        <v>43164</v>
      </c>
      <c r="G351" s="19">
        <f>IFERROR(__xludf.DUMMYFUNCTION("""COMPUTED_VALUE"""),0.9666666666666668)</f>
        <v>0.9666666667</v>
      </c>
      <c r="H351" s="17">
        <f>IFERROR(__xludf.DUMMYFUNCTION("""COMPUTED_VALUE"""),41779.0)</f>
        <v>41779</v>
      </c>
      <c r="I351" s="19">
        <f>IFERROR(__xludf.DUMMYFUNCTION("""COMPUTED_VALUE"""),3.7111111111111112)</f>
        <v>3.711111111</v>
      </c>
      <c r="J351" s="21">
        <f>IFERROR(__xludf.DUMMYFUNCTION("""COMPUTED_VALUE"""),55.0)</f>
        <v>55</v>
      </c>
      <c r="K351" s="23">
        <f>IFERROR(__xludf.DUMMYFUNCTION("""COMPUTED_VALUE"""),7.3)</f>
        <v>7.3</v>
      </c>
      <c r="L351" s="24">
        <f>IFERROR(__xludf.DUMMYFUNCTION("""COMPUTED_VALUE"""),45.0)</f>
        <v>45</v>
      </c>
      <c r="M351" s="25" t="str">
        <f>IFERROR(__xludf.DUMMYFUNCTION("""COMPUTED_VALUE"""),"RPG")</f>
        <v>RPG</v>
      </c>
      <c r="N351" s="25"/>
      <c r="O351" s="26" t="str">
        <f>IFERROR(__xludf.DUMMYFUNCTION("""COMPUTED_VALUE"""),"No")</f>
        <v>No</v>
      </c>
      <c r="P351" s="26"/>
    </row>
    <row r="352">
      <c r="A352" s="13" t="str">
        <f>IFERROR(__xludf.DUMMYFUNCTION("""COMPUTED_VALUE"""),"Exiles End")</f>
        <v>Exiles End</v>
      </c>
      <c r="B352" s="15" t="str">
        <f>IFERROR(__xludf.DUMMYFUNCTION("""COMPUTED_VALUE"""),"Vita")</f>
        <v>Vita</v>
      </c>
      <c r="C352" s="16" t="str">
        <f>IFERROR(__xludf.DUMMYFUNCTION("""COMPUTED_VALUE"""),"Playstation Plus (Discontinued)")</f>
        <v>Playstation Plus (Discontinued)</v>
      </c>
      <c r="D352" s="15" t="str">
        <f>IFERROR(__xludf.DUMMYFUNCTION("""COMPUTED_VALUE"""),"Removed")</f>
        <v>Removed</v>
      </c>
      <c r="E352" s="17">
        <f>IFERROR(__xludf.DUMMYFUNCTION("""COMPUTED_VALUE"""),43137.0)</f>
        <v>43137</v>
      </c>
      <c r="F352" s="54">
        <f>IFERROR(__xludf.DUMMYFUNCTION("""COMPUTED_VALUE"""),43164.0)</f>
        <v>43164</v>
      </c>
      <c r="G352" s="19">
        <f>IFERROR(__xludf.DUMMYFUNCTION("""COMPUTED_VALUE"""),0.9666666666666668)</f>
        <v>0.9666666667</v>
      </c>
      <c r="H352" s="17">
        <f>IFERROR(__xludf.DUMMYFUNCTION("""COMPUTED_VALUE"""),42325.0)</f>
        <v>42325</v>
      </c>
      <c r="I352" s="19">
        <f>IFERROR(__xludf.DUMMYFUNCTION("""COMPUTED_VALUE"""),2.2194444444444446)</f>
        <v>2.219444444</v>
      </c>
      <c r="J352" s="21">
        <f>IFERROR(__xludf.DUMMYFUNCTION("""COMPUTED_VALUE"""),53.0)</f>
        <v>53</v>
      </c>
      <c r="K352" s="23">
        <f>IFERROR(__xludf.DUMMYFUNCTION("""COMPUTED_VALUE"""),6.8)</f>
        <v>6.8</v>
      </c>
      <c r="L352" s="24">
        <f>IFERROR(__xludf.DUMMYFUNCTION("""COMPUTED_VALUE"""),5.0)</f>
        <v>5</v>
      </c>
      <c r="M352" s="25" t="str">
        <f>IFERROR(__xludf.DUMMYFUNCTION("""COMPUTED_VALUE"""),"Platformer")</f>
        <v>Platformer</v>
      </c>
      <c r="N352" s="25"/>
      <c r="O352" s="26" t="str">
        <f>IFERROR(__xludf.DUMMYFUNCTION("""COMPUTED_VALUE"""),"No")</f>
        <v>No</v>
      </c>
      <c r="P352" s="26"/>
    </row>
    <row r="353">
      <c r="A353" s="13" t="str">
        <f>IFERROR(__xludf.DUMMYFUNCTION("""COMPUTED_VALUE"""),"Grand Kingdom")</f>
        <v>Grand Kingdom</v>
      </c>
      <c r="B353" s="15" t="str">
        <f>IFERROR(__xludf.DUMMYFUNCTION("""COMPUTED_VALUE"""),"PS4/Vita")</f>
        <v>PS4/Vita</v>
      </c>
      <c r="C353" s="16" t="str">
        <f>IFERROR(__xludf.DUMMYFUNCTION("""COMPUTED_VALUE"""),"Playstation Plus (Discontinued)")</f>
        <v>Playstation Plus (Discontinued)</v>
      </c>
      <c r="D353" s="15" t="str">
        <f>IFERROR(__xludf.DUMMYFUNCTION("""COMPUTED_VALUE"""),"Removed")</f>
        <v>Removed</v>
      </c>
      <c r="E353" s="17">
        <f>IFERROR(__xludf.DUMMYFUNCTION("""COMPUTED_VALUE"""),43137.0)</f>
        <v>43137</v>
      </c>
      <c r="F353" s="54">
        <f>IFERROR(__xludf.DUMMYFUNCTION("""COMPUTED_VALUE"""),43164.0)</f>
        <v>43164</v>
      </c>
      <c r="G353" s="19">
        <f>IFERROR(__xludf.DUMMYFUNCTION("""COMPUTED_VALUE"""),0.9666666666666668)</f>
        <v>0.9666666667</v>
      </c>
      <c r="H353" s="17">
        <f>IFERROR(__xludf.DUMMYFUNCTION("""COMPUTED_VALUE"""),42542.0)</f>
        <v>42542</v>
      </c>
      <c r="I353" s="19">
        <f>IFERROR(__xludf.DUMMYFUNCTION("""COMPUTED_VALUE"""),1.625)</f>
        <v>1.625</v>
      </c>
      <c r="J353" s="21">
        <f>IFERROR(__xludf.DUMMYFUNCTION("""COMPUTED_VALUE"""),78.0)</f>
        <v>78</v>
      </c>
      <c r="K353" s="23">
        <f>IFERROR(__xludf.DUMMYFUNCTION("""COMPUTED_VALUE"""),7.5)</f>
        <v>7.5</v>
      </c>
      <c r="L353" s="24">
        <f>IFERROR(__xludf.DUMMYFUNCTION("""COMPUTED_VALUE"""),40.0)</f>
        <v>40</v>
      </c>
      <c r="M353" s="25" t="str">
        <f>IFERROR(__xludf.DUMMYFUNCTION("""COMPUTED_VALUE"""),"RPG")</f>
        <v>RPG</v>
      </c>
      <c r="N353" s="25"/>
      <c r="O353" s="26" t="str">
        <f>IFERROR(__xludf.DUMMYFUNCTION("""COMPUTED_VALUE"""),"No")</f>
        <v>No</v>
      </c>
      <c r="P353" s="26"/>
    </row>
    <row r="354">
      <c r="A354" s="13" t="str">
        <f>IFERROR(__xludf.DUMMYFUNCTION("""COMPUTED_VALUE"""),"Deus Ex: Mankind Divided")</f>
        <v>Deus Ex: Mankind Divided</v>
      </c>
      <c r="B354" s="15" t="str">
        <f>IFERROR(__xludf.DUMMYFUNCTION("""COMPUTED_VALUE"""),"PS4")</f>
        <v>PS4</v>
      </c>
      <c r="C354" s="16" t="str">
        <f>IFERROR(__xludf.DUMMYFUNCTION("""COMPUTED_VALUE"""),"Playstation Plus (Discontinued)")</f>
        <v>Playstation Plus (Discontinued)</v>
      </c>
      <c r="D354" s="15" t="str">
        <f>IFERROR(__xludf.DUMMYFUNCTION("""COMPUTED_VALUE"""),"Removed")</f>
        <v>Removed</v>
      </c>
      <c r="E354" s="17">
        <f>IFERROR(__xludf.DUMMYFUNCTION("""COMPUTED_VALUE"""),43102.0)</f>
        <v>43102</v>
      </c>
      <c r="F354" s="18">
        <f>IFERROR(__xludf.DUMMYFUNCTION("""COMPUTED_VALUE"""),43136.0)</f>
        <v>43136</v>
      </c>
      <c r="G354" s="19">
        <f>IFERROR(__xludf.DUMMYFUNCTION("""COMPUTED_VALUE"""),1.0999999999999999)</f>
        <v>1.1</v>
      </c>
      <c r="H354" s="17">
        <f>IFERROR(__xludf.DUMMYFUNCTION("""COMPUTED_VALUE"""),42605.0)</f>
        <v>42605</v>
      </c>
      <c r="I354" s="19">
        <f>IFERROR(__xludf.DUMMYFUNCTION("""COMPUTED_VALUE"""),1.3583333333333334)</f>
        <v>1.358333333</v>
      </c>
      <c r="J354" s="21">
        <f>IFERROR(__xludf.DUMMYFUNCTION("""COMPUTED_VALUE"""),84.0)</f>
        <v>84</v>
      </c>
      <c r="K354" s="23">
        <f>IFERROR(__xludf.DUMMYFUNCTION("""COMPUTED_VALUE"""),7.7)</f>
        <v>7.7</v>
      </c>
      <c r="L354" s="24">
        <f>IFERROR(__xludf.DUMMYFUNCTION("""COMPUTED_VALUE"""),15.0)</f>
        <v>15</v>
      </c>
      <c r="M354" s="25" t="str">
        <f>IFERROR(__xludf.DUMMYFUNCTION("""COMPUTED_VALUE"""),"Action-Adventure")</f>
        <v>Action-Adventure</v>
      </c>
      <c r="N354" s="25"/>
      <c r="O354" s="26" t="str">
        <f>IFERROR(__xludf.DUMMYFUNCTION("""COMPUTED_VALUE"""),"No")</f>
        <v>No</v>
      </c>
      <c r="P354" s="26"/>
    </row>
    <row r="355">
      <c r="A355" s="13" t="str">
        <f>IFERROR(__xludf.DUMMYFUNCTION("""COMPUTED_VALUE"""),"Batman: The Telltale Series")</f>
        <v>Batman: The Telltale Series</v>
      </c>
      <c r="B355" s="15" t="str">
        <f>IFERROR(__xludf.DUMMYFUNCTION("""COMPUTED_VALUE"""),"PS4")</f>
        <v>PS4</v>
      </c>
      <c r="C355" s="16" t="str">
        <f>IFERROR(__xludf.DUMMYFUNCTION("""COMPUTED_VALUE"""),"Playstation Plus (Discontinued)")</f>
        <v>Playstation Plus (Discontinued)</v>
      </c>
      <c r="D355" s="15" t="str">
        <f>IFERROR(__xludf.DUMMYFUNCTION("""COMPUTED_VALUE"""),"Removed")</f>
        <v>Removed</v>
      </c>
      <c r="E355" s="17">
        <f>IFERROR(__xludf.DUMMYFUNCTION("""COMPUTED_VALUE"""),43102.0)</f>
        <v>43102</v>
      </c>
      <c r="F355" s="54">
        <f>IFERROR(__xludf.DUMMYFUNCTION("""COMPUTED_VALUE"""),43136.0)</f>
        <v>43136</v>
      </c>
      <c r="G355" s="19">
        <f>IFERROR(__xludf.DUMMYFUNCTION("""COMPUTED_VALUE"""),1.0999999999999999)</f>
        <v>1.1</v>
      </c>
      <c r="H355" s="17">
        <f>IFERROR(__xludf.DUMMYFUNCTION("""COMPUTED_VALUE"""),42584.0)</f>
        <v>42584</v>
      </c>
      <c r="I355" s="19">
        <f>IFERROR(__xludf.DUMMYFUNCTION("""COMPUTED_VALUE"""),1.4166666666666667)</f>
        <v>1.416666667</v>
      </c>
      <c r="J355" s="21">
        <f>IFERROR(__xludf.DUMMYFUNCTION("""COMPUTED_VALUE"""),68.0)</f>
        <v>68</v>
      </c>
      <c r="K355" s="23">
        <f>IFERROR(__xludf.DUMMYFUNCTION("""COMPUTED_VALUE"""),6.7)</f>
        <v>6.7</v>
      </c>
      <c r="L355" s="24">
        <f>IFERROR(__xludf.DUMMYFUNCTION("""COMPUTED_VALUE"""),12.0)</f>
        <v>12</v>
      </c>
      <c r="M355" s="25" t="str">
        <f>IFERROR(__xludf.DUMMYFUNCTION("""COMPUTED_VALUE"""),"Adventure")</f>
        <v>Adventure</v>
      </c>
      <c r="N355" s="25"/>
      <c r="O355" s="26" t="str">
        <f>IFERROR(__xludf.DUMMYFUNCTION("""COMPUTED_VALUE"""),"No")</f>
        <v>No</v>
      </c>
      <c r="P355" s="26"/>
    </row>
    <row r="356">
      <c r="A356" s="13" t="str">
        <f>IFERROR(__xludf.DUMMYFUNCTION("""COMPUTED_VALUE"""),"Starblood Arena")</f>
        <v>Starblood Arena</v>
      </c>
      <c r="B356" s="15" t="str">
        <f>IFERROR(__xludf.DUMMYFUNCTION("""COMPUTED_VALUE"""),"PS4/PSVR")</f>
        <v>PS4/PSVR</v>
      </c>
      <c r="C356" s="16" t="str">
        <f>IFERROR(__xludf.DUMMYFUNCTION("""COMPUTED_VALUE"""),"Playstation Plus (Discontinued)")</f>
        <v>Playstation Plus (Discontinued)</v>
      </c>
      <c r="D356" s="15" t="str">
        <f>IFERROR(__xludf.DUMMYFUNCTION("""COMPUTED_VALUE"""),"Removed")</f>
        <v>Removed</v>
      </c>
      <c r="E356" s="17">
        <f>IFERROR(__xludf.DUMMYFUNCTION("""COMPUTED_VALUE"""),43102.0)</f>
        <v>43102</v>
      </c>
      <c r="F356" s="18">
        <f>IFERROR(__xludf.DUMMYFUNCTION("""COMPUTED_VALUE"""),43136.0)</f>
        <v>43136</v>
      </c>
      <c r="G356" s="19">
        <f>IFERROR(__xludf.DUMMYFUNCTION("""COMPUTED_VALUE"""),1.0999999999999999)</f>
        <v>1.1</v>
      </c>
      <c r="H356" s="17">
        <f>IFERROR(__xludf.DUMMYFUNCTION("""COMPUTED_VALUE"""),42836.0)</f>
        <v>42836</v>
      </c>
      <c r="I356" s="19">
        <f>IFERROR(__xludf.DUMMYFUNCTION("""COMPUTED_VALUE"""),0.725)</f>
        <v>0.725</v>
      </c>
      <c r="J356" s="21">
        <f>IFERROR(__xludf.DUMMYFUNCTION("""COMPUTED_VALUE"""),68.0)</f>
        <v>68</v>
      </c>
      <c r="K356" s="23">
        <f>IFERROR(__xludf.DUMMYFUNCTION("""COMPUTED_VALUE"""),7.0)</f>
        <v>7</v>
      </c>
      <c r="L356" s="24"/>
      <c r="M356" s="25" t="str">
        <f>IFERROR(__xludf.DUMMYFUNCTION("""COMPUTED_VALUE"""),"Shooter")</f>
        <v>Shooter</v>
      </c>
      <c r="N356" s="25"/>
      <c r="O356" s="26" t="str">
        <f>IFERROR(__xludf.DUMMYFUNCTION("""COMPUTED_VALUE"""),"No")</f>
        <v>No</v>
      </c>
      <c r="P356" s="26"/>
    </row>
    <row r="357">
      <c r="A357" s="13" t="str">
        <f>IFERROR(__xludf.DUMMYFUNCTION("""COMPUTED_VALUE"""),"Sacred 3")</f>
        <v>Sacred 3</v>
      </c>
      <c r="B357" s="15" t="str">
        <f>IFERROR(__xludf.DUMMYFUNCTION("""COMPUTED_VALUE"""),"PS3")</f>
        <v>PS3</v>
      </c>
      <c r="C357" s="16" t="str">
        <f>IFERROR(__xludf.DUMMYFUNCTION("""COMPUTED_VALUE"""),"Playstation Plus (Discontinued)")</f>
        <v>Playstation Plus (Discontinued)</v>
      </c>
      <c r="D357" s="15" t="str">
        <f>IFERROR(__xludf.DUMMYFUNCTION("""COMPUTED_VALUE"""),"Removed")</f>
        <v>Removed</v>
      </c>
      <c r="E357" s="17">
        <f>IFERROR(__xludf.DUMMYFUNCTION("""COMPUTED_VALUE"""),43102.0)</f>
        <v>43102</v>
      </c>
      <c r="F357" s="54">
        <f>IFERROR(__xludf.DUMMYFUNCTION("""COMPUTED_VALUE"""),43136.0)</f>
        <v>43136</v>
      </c>
      <c r="G357" s="19">
        <f>IFERROR(__xludf.DUMMYFUNCTION("""COMPUTED_VALUE"""),1.0999999999999999)</f>
        <v>1.1</v>
      </c>
      <c r="H357" s="17">
        <f>IFERROR(__xludf.DUMMYFUNCTION("""COMPUTED_VALUE"""),41856.0)</f>
        <v>41856</v>
      </c>
      <c r="I357" s="19">
        <f>IFERROR(__xludf.DUMMYFUNCTION("""COMPUTED_VALUE"""),3.408333333333333)</f>
        <v>3.408333333</v>
      </c>
      <c r="J357" s="21">
        <f>IFERROR(__xludf.DUMMYFUNCTION("""COMPUTED_VALUE"""),56.0)</f>
        <v>56</v>
      </c>
      <c r="K357" s="23">
        <f>IFERROR(__xludf.DUMMYFUNCTION("""COMPUTED_VALUE"""),5.1)</f>
        <v>5.1</v>
      </c>
      <c r="L357" s="24">
        <f>IFERROR(__xludf.DUMMYFUNCTION("""COMPUTED_VALUE"""),10.0)</f>
        <v>10</v>
      </c>
      <c r="M357" s="25" t="str">
        <f>IFERROR(__xludf.DUMMYFUNCTION("""COMPUTED_VALUE"""),"Action-Adventure")</f>
        <v>Action-Adventure</v>
      </c>
      <c r="N357" s="25"/>
      <c r="O357" s="26" t="str">
        <f>IFERROR(__xludf.DUMMYFUNCTION("""COMPUTED_VALUE"""),"No")</f>
        <v>No</v>
      </c>
      <c r="P357" s="26"/>
    </row>
    <row r="358">
      <c r="A358" s="13" t="str">
        <f>IFERROR(__xludf.DUMMYFUNCTION("""COMPUTED_VALUE"""),"Book of Unwritten Tales 2")</f>
        <v>Book of Unwritten Tales 2</v>
      </c>
      <c r="B358" s="15" t="str">
        <f>IFERROR(__xludf.DUMMYFUNCTION("""COMPUTED_VALUE"""),"PS3")</f>
        <v>PS3</v>
      </c>
      <c r="C358" s="16" t="str">
        <f>IFERROR(__xludf.DUMMYFUNCTION("""COMPUTED_VALUE"""),"Playstation Plus (Discontinued)")</f>
        <v>Playstation Plus (Discontinued)</v>
      </c>
      <c r="D358" s="15" t="str">
        <f>IFERROR(__xludf.DUMMYFUNCTION("""COMPUTED_VALUE"""),"Removed")</f>
        <v>Removed</v>
      </c>
      <c r="E358" s="17">
        <f>IFERROR(__xludf.DUMMYFUNCTION("""COMPUTED_VALUE"""),43102.0)</f>
        <v>43102</v>
      </c>
      <c r="F358" s="54">
        <f>IFERROR(__xludf.DUMMYFUNCTION("""COMPUTED_VALUE"""),43136.0)</f>
        <v>43136</v>
      </c>
      <c r="G358" s="19">
        <f>IFERROR(__xludf.DUMMYFUNCTION("""COMPUTED_VALUE"""),1.0999999999999999)</f>
        <v>1.1</v>
      </c>
      <c r="H358" s="17">
        <f>IFERROR(__xludf.DUMMYFUNCTION("""COMPUTED_VALUE"""),42054.0)</f>
        <v>42054</v>
      </c>
      <c r="I358" s="19">
        <f>IFERROR(__xludf.DUMMYFUNCTION("""COMPUTED_VALUE"""),2.8694444444444445)</f>
        <v>2.869444444</v>
      </c>
      <c r="J358" s="21">
        <f>IFERROR(__xludf.DUMMYFUNCTION("""COMPUTED_VALUE"""),75.0)</f>
        <v>75</v>
      </c>
      <c r="K358" s="23">
        <f>IFERROR(__xludf.DUMMYFUNCTION("""COMPUTED_VALUE"""),7.6)</f>
        <v>7.6</v>
      </c>
      <c r="L358" s="24">
        <f>IFERROR(__xludf.DUMMYFUNCTION("""COMPUTED_VALUE"""),13.0)</f>
        <v>13</v>
      </c>
      <c r="M358" s="25" t="str">
        <f>IFERROR(__xludf.DUMMYFUNCTION("""COMPUTED_VALUE"""),"Adventure")</f>
        <v>Adventure</v>
      </c>
      <c r="N358" s="25"/>
      <c r="O358" s="26" t="str">
        <f>IFERROR(__xludf.DUMMYFUNCTION("""COMPUTED_VALUE"""),"No")</f>
        <v>No</v>
      </c>
      <c r="P358" s="26"/>
    </row>
    <row r="359">
      <c r="A359" s="13" t="str">
        <f>IFERROR(__xludf.DUMMYFUNCTION("""COMPUTED_VALUE"""),"Psycho-Pass: Mandatory Happiness")</f>
        <v>Psycho-Pass: Mandatory Happiness</v>
      </c>
      <c r="B359" s="15" t="str">
        <f>IFERROR(__xludf.DUMMYFUNCTION("""COMPUTED_VALUE"""),"PS4/Vita")</f>
        <v>PS4/Vita</v>
      </c>
      <c r="C359" s="16" t="str">
        <f>IFERROR(__xludf.DUMMYFUNCTION("""COMPUTED_VALUE"""),"Playstation Plus (Discontinued)")</f>
        <v>Playstation Plus (Discontinued)</v>
      </c>
      <c r="D359" s="15" t="str">
        <f>IFERROR(__xludf.DUMMYFUNCTION("""COMPUTED_VALUE"""),"Removed")</f>
        <v>Removed</v>
      </c>
      <c r="E359" s="17">
        <f>IFERROR(__xludf.DUMMYFUNCTION("""COMPUTED_VALUE"""),43102.0)</f>
        <v>43102</v>
      </c>
      <c r="F359" s="54">
        <f>IFERROR(__xludf.DUMMYFUNCTION("""COMPUTED_VALUE"""),43136.0)</f>
        <v>43136</v>
      </c>
      <c r="G359" s="19">
        <f>IFERROR(__xludf.DUMMYFUNCTION("""COMPUTED_VALUE"""),1.0999999999999999)</f>
        <v>1.1</v>
      </c>
      <c r="H359" s="17">
        <f>IFERROR(__xludf.DUMMYFUNCTION("""COMPUTED_VALUE"""),42626.0)</f>
        <v>42626</v>
      </c>
      <c r="I359" s="19">
        <f>IFERROR(__xludf.DUMMYFUNCTION("""COMPUTED_VALUE"""),1.3027777777777778)</f>
        <v>1.302777778</v>
      </c>
      <c r="J359" s="21">
        <f>IFERROR(__xludf.DUMMYFUNCTION("""COMPUTED_VALUE"""),64.0)</f>
        <v>64</v>
      </c>
      <c r="K359" s="23">
        <f>IFERROR(__xludf.DUMMYFUNCTION("""COMPUTED_VALUE"""),7.0)</f>
        <v>7</v>
      </c>
      <c r="L359" s="24">
        <f>IFERROR(__xludf.DUMMYFUNCTION("""COMPUTED_VALUE"""),12.0)</f>
        <v>12</v>
      </c>
      <c r="M359" s="25" t="str">
        <f>IFERROR(__xludf.DUMMYFUNCTION("""COMPUTED_VALUE"""),"Adventure")</f>
        <v>Adventure</v>
      </c>
      <c r="N359" s="25"/>
      <c r="O359" s="26" t="str">
        <f>IFERROR(__xludf.DUMMYFUNCTION("""COMPUTED_VALUE"""),"No")</f>
        <v>No</v>
      </c>
      <c r="P359" s="26"/>
    </row>
    <row r="360">
      <c r="A360" s="13" t="str">
        <f>IFERROR(__xludf.DUMMYFUNCTION("""COMPUTED_VALUE"""),"Uncanny Valley")</f>
        <v>Uncanny Valley</v>
      </c>
      <c r="B360" s="15" t="str">
        <f>IFERROR(__xludf.DUMMYFUNCTION("""COMPUTED_VALUE"""),"PS4/Vita")</f>
        <v>PS4/Vita</v>
      </c>
      <c r="C360" s="16" t="str">
        <f>IFERROR(__xludf.DUMMYFUNCTION("""COMPUTED_VALUE"""),"Playstation Plus (Discontinued)")</f>
        <v>Playstation Plus (Discontinued)</v>
      </c>
      <c r="D360" s="15" t="str">
        <f>IFERROR(__xludf.DUMMYFUNCTION("""COMPUTED_VALUE"""),"Removed")</f>
        <v>Removed</v>
      </c>
      <c r="E360" s="17">
        <f>IFERROR(__xludf.DUMMYFUNCTION("""COMPUTED_VALUE"""),43102.0)</f>
        <v>43102</v>
      </c>
      <c r="F360" s="18">
        <f>IFERROR(__xludf.DUMMYFUNCTION("""COMPUTED_VALUE"""),43136.0)</f>
        <v>43136</v>
      </c>
      <c r="G360" s="19">
        <f>IFERROR(__xludf.DUMMYFUNCTION("""COMPUTED_VALUE"""),1.0999999999999999)</f>
        <v>1.1</v>
      </c>
      <c r="H360" s="17">
        <f>IFERROR(__xludf.DUMMYFUNCTION("""COMPUTED_VALUE"""),42781.0)</f>
        <v>42781</v>
      </c>
      <c r="I360" s="19">
        <f>IFERROR(__xludf.DUMMYFUNCTION("""COMPUTED_VALUE"""),0.8805555555555555)</f>
        <v>0.8805555556</v>
      </c>
      <c r="J360" s="21">
        <f>IFERROR(__xludf.DUMMYFUNCTION("""COMPUTED_VALUE"""),52.0)</f>
        <v>52</v>
      </c>
      <c r="K360" s="23">
        <f>IFERROR(__xludf.DUMMYFUNCTION("""COMPUTED_VALUE"""),6.1)</f>
        <v>6.1</v>
      </c>
      <c r="L360" s="24">
        <f>IFERROR(__xludf.DUMMYFUNCTION("""COMPUTED_VALUE"""),5.0)</f>
        <v>5</v>
      </c>
      <c r="M360" s="25" t="str">
        <f>IFERROR(__xludf.DUMMYFUNCTION("""COMPUTED_VALUE"""),"Horror")</f>
        <v>Horror</v>
      </c>
      <c r="N360" s="25"/>
      <c r="O360" s="26" t="str">
        <f>IFERROR(__xludf.DUMMYFUNCTION("""COMPUTED_VALUE"""),"No")</f>
        <v>No</v>
      </c>
      <c r="P360" s="26"/>
    </row>
    <row r="361">
      <c r="A361" s="13" t="str">
        <f>IFERROR(__xludf.DUMMYFUNCTION("""COMPUTED_VALUE"""),"Darksiders II Deathinitive Edition")</f>
        <v>Darksiders II Deathinitive Edition</v>
      </c>
      <c r="B361" s="15" t="str">
        <f>IFERROR(__xludf.DUMMYFUNCTION("""COMPUTED_VALUE"""),"PS4")</f>
        <v>PS4</v>
      </c>
      <c r="C361" s="16" t="str">
        <f>IFERROR(__xludf.DUMMYFUNCTION("""COMPUTED_VALUE"""),"Playstation Plus (Discontinued)")</f>
        <v>Playstation Plus (Discontinued)</v>
      </c>
      <c r="D361" s="15" t="str">
        <f>IFERROR(__xludf.DUMMYFUNCTION("""COMPUTED_VALUE"""),"Removed")</f>
        <v>Removed</v>
      </c>
      <c r="E361" s="17">
        <f>IFERROR(__xludf.DUMMYFUNCTION("""COMPUTED_VALUE"""),43074.0)</f>
        <v>43074</v>
      </c>
      <c r="F361" s="54">
        <f>IFERROR(__xludf.DUMMYFUNCTION("""COMPUTED_VALUE"""),43101.0)</f>
        <v>43101</v>
      </c>
      <c r="G361" s="19">
        <f>IFERROR(__xludf.DUMMYFUNCTION("""COMPUTED_VALUE"""),0.8666666666666666)</f>
        <v>0.8666666667</v>
      </c>
      <c r="H361" s="17">
        <f>IFERROR(__xludf.DUMMYFUNCTION("""COMPUTED_VALUE"""),42304.0)</f>
        <v>42304</v>
      </c>
      <c r="I361" s="19">
        <f>IFERROR(__xludf.DUMMYFUNCTION("""COMPUTED_VALUE"""),2.1055555555555556)</f>
        <v>2.105555556</v>
      </c>
      <c r="J361" s="21">
        <f>IFERROR(__xludf.DUMMYFUNCTION("""COMPUTED_VALUE"""),72.0)</f>
        <v>72</v>
      </c>
      <c r="K361" s="23">
        <f>IFERROR(__xludf.DUMMYFUNCTION("""COMPUTED_VALUE"""),7.4)</f>
        <v>7.4</v>
      </c>
      <c r="L361" s="24">
        <f>IFERROR(__xludf.DUMMYFUNCTION("""COMPUTED_VALUE"""),25.0)</f>
        <v>25</v>
      </c>
      <c r="M361" s="25" t="str">
        <f>IFERROR(__xludf.DUMMYFUNCTION("""COMPUTED_VALUE"""),"Action-Adventure")</f>
        <v>Action-Adventure</v>
      </c>
      <c r="N361" s="25"/>
      <c r="O361" s="26" t="str">
        <f>IFERROR(__xludf.DUMMYFUNCTION("""COMPUTED_VALUE"""),"No")</f>
        <v>No</v>
      </c>
      <c r="P361" s="26"/>
    </row>
    <row r="362">
      <c r="A362" s="13" t="str">
        <f>IFERROR(__xludf.DUMMYFUNCTION("""COMPUTED_VALUE"""),"Kung Fu Panda: Showdown of Legendary Legends")</f>
        <v>Kung Fu Panda: Showdown of Legendary Legends</v>
      </c>
      <c r="B362" s="15" t="str">
        <f>IFERROR(__xludf.DUMMYFUNCTION("""COMPUTED_VALUE"""),"PS4")</f>
        <v>PS4</v>
      </c>
      <c r="C362" s="16" t="str">
        <f>IFERROR(__xludf.DUMMYFUNCTION("""COMPUTED_VALUE"""),"Playstation Plus (Discontinued)")</f>
        <v>Playstation Plus (Discontinued)</v>
      </c>
      <c r="D362" s="15" t="str">
        <f>IFERROR(__xludf.DUMMYFUNCTION("""COMPUTED_VALUE"""),"Removed")</f>
        <v>Removed</v>
      </c>
      <c r="E362" s="17">
        <f>IFERROR(__xludf.DUMMYFUNCTION("""COMPUTED_VALUE"""),43074.0)</f>
        <v>43074</v>
      </c>
      <c r="F362" s="54">
        <f>IFERROR(__xludf.DUMMYFUNCTION("""COMPUTED_VALUE"""),43101.0)</f>
        <v>43101</v>
      </c>
      <c r="G362" s="19">
        <f>IFERROR(__xludf.DUMMYFUNCTION("""COMPUTED_VALUE"""),0.8666666666666666)</f>
        <v>0.8666666667</v>
      </c>
      <c r="H362" s="17">
        <f>IFERROR(__xludf.DUMMYFUNCTION("""COMPUTED_VALUE"""),42325.0)</f>
        <v>42325</v>
      </c>
      <c r="I362" s="19">
        <f>IFERROR(__xludf.DUMMYFUNCTION("""COMPUTED_VALUE"""),2.05)</f>
        <v>2.05</v>
      </c>
      <c r="J362" s="21">
        <f>IFERROR(__xludf.DUMMYFUNCTION("""COMPUTED_VALUE"""),63.0)</f>
        <v>63</v>
      </c>
      <c r="K362" s="23">
        <f>IFERROR(__xludf.DUMMYFUNCTION("""COMPUTED_VALUE"""),6.5)</f>
        <v>6.5</v>
      </c>
      <c r="L362" s="24">
        <f>IFERROR(__xludf.DUMMYFUNCTION("""COMPUTED_VALUE"""),3.0)</f>
        <v>3</v>
      </c>
      <c r="M362" s="25" t="str">
        <f>IFERROR(__xludf.DUMMYFUNCTION("""COMPUTED_VALUE"""),"Fighting")</f>
        <v>Fighting</v>
      </c>
      <c r="N362" s="25"/>
      <c r="O362" s="26" t="str">
        <f>IFERROR(__xludf.DUMMYFUNCTION("""COMPUTED_VALUE"""),"No")</f>
        <v>No</v>
      </c>
      <c r="P362" s="26"/>
    </row>
    <row r="363">
      <c r="A363" s="13" t="str">
        <f>IFERROR(__xludf.DUMMYFUNCTION("""COMPUTED_VALUE"""),"Syberia Collection")</f>
        <v>Syberia Collection</v>
      </c>
      <c r="B363" s="15" t="str">
        <f>IFERROR(__xludf.DUMMYFUNCTION("""COMPUTED_VALUE"""),"PS3")</f>
        <v>PS3</v>
      </c>
      <c r="C363" s="16" t="str">
        <f>IFERROR(__xludf.DUMMYFUNCTION("""COMPUTED_VALUE"""),"Playstation Plus (Discontinued)")</f>
        <v>Playstation Plus (Discontinued)</v>
      </c>
      <c r="D363" s="15" t="str">
        <f>IFERROR(__xludf.DUMMYFUNCTION("""COMPUTED_VALUE"""),"Removed")</f>
        <v>Removed</v>
      </c>
      <c r="E363" s="17">
        <f>IFERROR(__xludf.DUMMYFUNCTION("""COMPUTED_VALUE"""),43074.0)</f>
        <v>43074</v>
      </c>
      <c r="F363" s="54">
        <f>IFERROR(__xludf.DUMMYFUNCTION("""COMPUTED_VALUE"""),43101.0)</f>
        <v>43101</v>
      </c>
      <c r="G363" s="19">
        <f>IFERROR(__xludf.DUMMYFUNCTION("""COMPUTED_VALUE"""),0.8666666666666666)</f>
        <v>0.8666666667</v>
      </c>
      <c r="H363" s="17">
        <f>IFERROR(__xludf.DUMMYFUNCTION("""COMPUTED_VALUE"""),42675.0)</f>
        <v>42675</v>
      </c>
      <c r="I363" s="19">
        <f>IFERROR(__xludf.DUMMYFUNCTION("""COMPUTED_VALUE"""),1.0944444444444446)</f>
        <v>1.094444444</v>
      </c>
      <c r="J363" s="21"/>
      <c r="K363" s="23"/>
      <c r="L363" s="24"/>
      <c r="M363" s="25" t="str">
        <f>IFERROR(__xludf.DUMMYFUNCTION("""COMPUTED_VALUE"""),"Adventure")</f>
        <v>Adventure</v>
      </c>
      <c r="N363" s="25"/>
      <c r="O363" s="26" t="str">
        <f>IFERROR(__xludf.DUMMYFUNCTION("""COMPUTED_VALUE"""),"No")</f>
        <v>No</v>
      </c>
      <c r="P363" s="26"/>
    </row>
    <row r="364">
      <c r="A364" s="13" t="str">
        <f>IFERROR(__xludf.DUMMYFUNCTION("""COMPUTED_VALUE"""),"Xblaze Lost: Memories")</f>
        <v>Xblaze Lost: Memories</v>
      </c>
      <c r="B364" s="15" t="str">
        <f>IFERROR(__xludf.DUMMYFUNCTION("""COMPUTED_VALUE"""),"PS3")</f>
        <v>PS3</v>
      </c>
      <c r="C364" s="16" t="str">
        <f>IFERROR(__xludf.DUMMYFUNCTION("""COMPUTED_VALUE"""),"Playstation Plus (Discontinued)")</f>
        <v>Playstation Plus (Discontinued)</v>
      </c>
      <c r="D364" s="15" t="str">
        <f>IFERROR(__xludf.DUMMYFUNCTION("""COMPUTED_VALUE"""),"Removed")</f>
        <v>Removed</v>
      </c>
      <c r="E364" s="17">
        <f>IFERROR(__xludf.DUMMYFUNCTION("""COMPUTED_VALUE"""),43074.0)</f>
        <v>43074</v>
      </c>
      <c r="F364" s="54">
        <f>IFERROR(__xludf.DUMMYFUNCTION("""COMPUTED_VALUE"""),43101.0)</f>
        <v>43101</v>
      </c>
      <c r="G364" s="19">
        <f>IFERROR(__xludf.DUMMYFUNCTION("""COMPUTED_VALUE"""),0.8666666666666666)</f>
        <v>0.8666666667</v>
      </c>
      <c r="H364" s="17">
        <f>IFERROR(__xludf.DUMMYFUNCTION("""COMPUTED_VALUE"""),42115.0)</f>
        <v>42115</v>
      </c>
      <c r="I364" s="19">
        <f>IFERROR(__xludf.DUMMYFUNCTION("""COMPUTED_VALUE"""),2.6222222222222222)</f>
        <v>2.622222222</v>
      </c>
      <c r="J364" s="21">
        <f>IFERROR(__xludf.DUMMYFUNCTION("""COMPUTED_VALUE"""),63.0)</f>
        <v>63</v>
      </c>
      <c r="K364" s="23">
        <f>IFERROR(__xludf.DUMMYFUNCTION("""COMPUTED_VALUE"""),7.0)</f>
        <v>7</v>
      </c>
      <c r="L364" s="24">
        <f>IFERROR(__xludf.DUMMYFUNCTION("""COMPUTED_VALUE"""),10.0)</f>
        <v>10</v>
      </c>
      <c r="M364" s="25" t="str">
        <f>IFERROR(__xludf.DUMMYFUNCTION("""COMPUTED_VALUE"""),"Visual Novel")</f>
        <v>Visual Novel</v>
      </c>
      <c r="N364" s="25"/>
      <c r="O364" s="26" t="str">
        <f>IFERROR(__xludf.DUMMYFUNCTION("""COMPUTED_VALUE"""),"No")</f>
        <v>No</v>
      </c>
      <c r="P364" s="26"/>
    </row>
    <row r="365">
      <c r="A365" s="13" t="str">
        <f>IFERROR(__xludf.DUMMYFUNCTION("""COMPUTED_VALUE"""),"Forma.8")</f>
        <v>Forma.8</v>
      </c>
      <c r="B365" s="15" t="str">
        <f>IFERROR(__xludf.DUMMYFUNCTION("""COMPUTED_VALUE"""),"PS4/Vita")</f>
        <v>PS4/Vita</v>
      </c>
      <c r="C365" s="16" t="str">
        <f>IFERROR(__xludf.DUMMYFUNCTION("""COMPUTED_VALUE"""),"Playstation Plus (Discontinued)")</f>
        <v>Playstation Plus (Discontinued)</v>
      </c>
      <c r="D365" s="15" t="str">
        <f>IFERROR(__xludf.DUMMYFUNCTION("""COMPUTED_VALUE"""),"Removed")</f>
        <v>Removed</v>
      </c>
      <c r="E365" s="17">
        <f>IFERROR(__xludf.DUMMYFUNCTION("""COMPUTED_VALUE"""),43074.0)</f>
        <v>43074</v>
      </c>
      <c r="F365" s="54">
        <f>IFERROR(__xludf.DUMMYFUNCTION("""COMPUTED_VALUE"""),43101.0)</f>
        <v>43101</v>
      </c>
      <c r="G365" s="19">
        <f>IFERROR(__xludf.DUMMYFUNCTION("""COMPUTED_VALUE"""),0.8666666666666666)</f>
        <v>0.8666666667</v>
      </c>
      <c r="H365" s="17">
        <f>IFERROR(__xludf.DUMMYFUNCTION("""COMPUTED_VALUE"""),42789.0)</f>
        <v>42789</v>
      </c>
      <c r="I365" s="19">
        <f>IFERROR(__xludf.DUMMYFUNCTION("""COMPUTED_VALUE"""),0.7833333333333333)</f>
        <v>0.7833333333</v>
      </c>
      <c r="J365" s="21">
        <f>IFERROR(__xludf.DUMMYFUNCTION("""COMPUTED_VALUE"""),78.0)</f>
        <v>78</v>
      </c>
      <c r="K365" s="23">
        <f>IFERROR(__xludf.DUMMYFUNCTION("""COMPUTED_VALUE"""),6.7)</f>
        <v>6.7</v>
      </c>
      <c r="L365" s="24">
        <f>IFERROR(__xludf.DUMMYFUNCTION("""COMPUTED_VALUE"""),7.0)</f>
        <v>7</v>
      </c>
      <c r="M365" s="25" t="str">
        <f>IFERROR(__xludf.DUMMYFUNCTION("""COMPUTED_VALUE"""),"Action-Adventure")</f>
        <v>Action-Adventure</v>
      </c>
      <c r="N365" s="25"/>
      <c r="O365" s="26" t="str">
        <f>IFERROR(__xludf.DUMMYFUNCTION("""COMPUTED_VALUE"""),"No")</f>
        <v>No</v>
      </c>
      <c r="P365" s="26"/>
    </row>
    <row r="366">
      <c r="A366" s="13" t="str">
        <f>IFERROR(__xludf.DUMMYFUNCTION("""COMPUTED_VALUE"""),"Wanted Corp")</f>
        <v>Wanted Corp</v>
      </c>
      <c r="B366" s="15" t="str">
        <f>IFERROR(__xludf.DUMMYFUNCTION("""COMPUTED_VALUE"""),"Vita")</f>
        <v>Vita</v>
      </c>
      <c r="C366" s="16" t="str">
        <f>IFERROR(__xludf.DUMMYFUNCTION("""COMPUTED_VALUE"""),"Playstation Plus (Discontinued)")</f>
        <v>Playstation Plus (Discontinued)</v>
      </c>
      <c r="D366" s="15" t="str">
        <f>IFERROR(__xludf.DUMMYFUNCTION("""COMPUTED_VALUE"""),"Removed")</f>
        <v>Removed</v>
      </c>
      <c r="E366" s="17">
        <f>IFERROR(__xludf.DUMMYFUNCTION("""COMPUTED_VALUE"""),43074.0)</f>
        <v>43074</v>
      </c>
      <c r="F366" s="54">
        <f>IFERROR(__xludf.DUMMYFUNCTION("""COMPUTED_VALUE"""),43101.0)</f>
        <v>43101</v>
      </c>
      <c r="G366" s="19">
        <f>IFERROR(__xludf.DUMMYFUNCTION("""COMPUTED_VALUE"""),0.8666666666666666)</f>
        <v>0.8666666667</v>
      </c>
      <c r="H366" s="17">
        <f>IFERROR(__xludf.DUMMYFUNCTION("""COMPUTED_VALUE"""),42416.0)</f>
        <v>42416</v>
      </c>
      <c r="I366" s="19">
        <f>IFERROR(__xludf.DUMMYFUNCTION("""COMPUTED_VALUE"""),1.8027777777777778)</f>
        <v>1.802777778</v>
      </c>
      <c r="J366" s="21">
        <f>IFERROR(__xludf.DUMMYFUNCTION("""COMPUTED_VALUE"""),59.0)</f>
        <v>59</v>
      </c>
      <c r="K366" s="23">
        <f>IFERROR(__xludf.DUMMYFUNCTION("""COMPUTED_VALUE"""),5.8)</f>
        <v>5.8</v>
      </c>
      <c r="L366" s="24">
        <f>IFERROR(__xludf.DUMMYFUNCTION("""COMPUTED_VALUE"""),4.0)</f>
        <v>4</v>
      </c>
      <c r="M366" s="25" t="str">
        <f>IFERROR(__xludf.DUMMYFUNCTION("""COMPUTED_VALUE"""),"Shooter")</f>
        <v>Shooter</v>
      </c>
      <c r="N366" s="25"/>
      <c r="O366" s="26" t="str">
        <f>IFERROR(__xludf.DUMMYFUNCTION("""COMPUTED_VALUE"""),"No")</f>
        <v>No</v>
      </c>
      <c r="P366" s="26"/>
    </row>
    <row r="367">
      <c r="A367" s="13" t="str">
        <f>IFERROR(__xludf.DUMMYFUNCTION("""COMPUTED_VALUE"""),"Worms Battlegrounds")</f>
        <v>Worms Battlegrounds</v>
      </c>
      <c r="B367" s="15" t="str">
        <f>IFERROR(__xludf.DUMMYFUNCTION("""COMPUTED_VALUE"""),"PS4")</f>
        <v>PS4</v>
      </c>
      <c r="C367" s="16" t="str">
        <f>IFERROR(__xludf.DUMMYFUNCTION("""COMPUTED_VALUE"""),"Playstation Plus (Discontinued)")</f>
        <v>Playstation Plus (Discontinued)</v>
      </c>
      <c r="D367" s="15" t="str">
        <f>IFERROR(__xludf.DUMMYFUNCTION("""COMPUTED_VALUE"""),"Removed")</f>
        <v>Removed</v>
      </c>
      <c r="E367" s="17">
        <f>IFERROR(__xludf.DUMMYFUNCTION("""COMPUTED_VALUE"""),43046.0)</f>
        <v>43046</v>
      </c>
      <c r="F367" s="54">
        <f>IFERROR(__xludf.DUMMYFUNCTION("""COMPUTED_VALUE"""),43073.0)</f>
        <v>43073</v>
      </c>
      <c r="G367" s="19">
        <f>IFERROR(__xludf.DUMMYFUNCTION("""COMPUTED_VALUE"""),0.8999999999999999)</f>
        <v>0.9</v>
      </c>
      <c r="H367" s="17">
        <f>IFERROR(__xludf.DUMMYFUNCTION("""COMPUTED_VALUE"""),41789.0)</f>
        <v>41789</v>
      </c>
      <c r="I367" s="19">
        <f>IFERROR(__xludf.DUMMYFUNCTION("""COMPUTED_VALUE"""),3.436111111111111)</f>
        <v>3.436111111</v>
      </c>
      <c r="J367" s="21">
        <f>IFERROR(__xludf.DUMMYFUNCTION("""COMPUTED_VALUE"""),62.0)</f>
        <v>62</v>
      </c>
      <c r="K367" s="23">
        <f>IFERROR(__xludf.DUMMYFUNCTION("""COMPUTED_VALUE"""),7.1)</f>
        <v>7.1</v>
      </c>
      <c r="L367" s="24">
        <f>IFERROR(__xludf.DUMMYFUNCTION("""COMPUTED_VALUE"""),8.0)</f>
        <v>8</v>
      </c>
      <c r="M367" s="25" t="str">
        <f>IFERROR(__xludf.DUMMYFUNCTION("""COMPUTED_VALUE"""),"Strategy")</f>
        <v>Strategy</v>
      </c>
      <c r="N367" s="25"/>
      <c r="O367" s="26" t="str">
        <f>IFERROR(__xludf.DUMMYFUNCTION("""COMPUTED_VALUE"""),"No")</f>
        <v>No</v>
      </c>
      <c r="P367" s="26"/>
    </row>
    <row r="368">
      <c r="A368" s="13" t="str">
        <f>IFERROR(__xludf.DUMMYFUNCTION("""COMPUTED_VALUE"""),"Bound")</f>
        <v>Bound</v>
      </c>
      <c r="B368" s="15" t="str">
        <f>IFERROR(__xludf.DUMMYFUNCTION("""COMPUTED_VALUE"""),"PS4/PSVR")</f>
        <v>PS4/PSVR</v>
      </c>
      <c r="C368" s="16" t="str">
        <f>IFERROR(__xludf.DUMMYFUNCTION("""COMPUTED_VALUE"""),"Playstation Plus (Discontinued)")</f>
        <v>Playstation Plus (Discontinued)</v>
      </c>
      <c r="D368" s="15" t="str">
        <f>IFERROR(__xludf.DUMMYFUNCTION("""COMPUTED_VALUE"""),"Removed")</f>
        <v>Removed</v>
      </c>
      <c r="E368" s="17">
        <f>IFERROR(__xludf.DUMMYFUNCTION("""COMPUTED_VALUE"""),43046.0)</f>
        <v>43046</v>
      </c>
      <c r="F368" s="54">
        <f>IFERROR(__xludf.DUMMYFUNCTION("""COMPUTED_VALUE"""),43073.0)</f>
        <v>43073</v>
      </c>
      <c r="G368" s="19">
        <f>IFERROR(__xludf.DUMMYFUNCTION("""COMPUTED_VALUE"""),0.8999999999999999)</f>
        <v>0.9</v>
      </c>
      <c r="H368" s="17">
        <f>IFERROR(__xludf.DUMMYFUNCTION("""COMPUTED_VALUE"""),42598.0)</f>
        <v>42598</v>
      </c>
      <c r="I368" s="19">
        <f>IFERROR(__xludf.DUMMYFUNCTION("""COMPUTED_VALUE"""),1.225)</f>
        <v>1.225</v>
      </c>
      <c r="J368" s="21">
        <f>IFERROR(__xludf.DUMMYFUNCTION("""COMPUTED_VALUE"""),71.0)</f>
        <v>71</v>
      </c>
      <c r="K368" s="23">
        <f>IFERROR(__xludf.DUMMYFUNCTION("""COMPUTED_VALUE"""),6.8)</f>
        <v>6.8</v>
      </c>
      <c r="L368" s="24">
        <f>IFERROR(__xludf.DUMMYFUNCTION("""COMPUTED_VALUE"""),2.0)</f>
        <v>2</v>
      </c>
      <c r="M368" s="25" t="str">
        <f>IFERROR(__xludf.DUMMYFUNCTION("""COMPUTED_VALUE"""),"Action-Adventure")</f>
        <v>Action-Adventure</v>
      </c>
      <c r="N368" s="25"/>
      <c r="O368" s="26" t="str">
        <f>IFERROR(__xludf.DUMMYFUNCTION("""COMPUTED_VALUE"""),"No")</f>
        <v>No</v>
      </c>
      <c r="P368" s="26"/>
    </row>
    <row r="369">
      <c r="A369" s="13" t="str">
        <f>IFERROR(__xludf.DUMMYFUNCTION("""COMPUTED_VALUE"""),"Until Dawn: Rush of Blood")</f>
        <v>Until Dawn: Rush of Blood</v>
      </c>
      <c r="B369" s="15" t="str">
        <f>IFERROR(__xludf.DUMMYFUNCTION("""COMPUTED_VALUE"""),"PS4/PSVR")</f>
        <v>PS4/PSVR</v>
      </c>
      <c r="C369" s="16" t="str">
        <f>IFERROR(__xludf.DUMMYFUNCTION("""COMPUTED_VALUE"""),"Playstation Plus (Discontinued)")</f>
        <v>Playstation Plus (Discontinued)</v>
      </c>
      <c r="D369" s="15" t="str">
        <f>IFERROR(__xludf.DUMMYFUNCTION("""COMPUTED_VALUE"""),"Removed")</f>
        <v>Removed</v>
      </c>
      <c r="E369" s="17">
        <f>IFERROR(__xludf.DUMMYFUNCTION("""COMPUTED_VALUE"""),43046.0)</f>
        <v>43046</v>
      </c>
      <c r="F369" s="54">
        <f>IFERROR(__xludf.DUMMYFUNCTION("""COMPUTED_VALUE"""),43073.0)</f>
        <v>43073</v>
      </c>
      <c r="G369" s="19">
        <f>IFERROR(__xludf.DUMMYFUNCTION("""COMPUTED_VALUE"""),0.8999999999999999)</f>
        <v>0.9</v>
      </c>
      <c r="H369" s="17">
        <f>IFERROR(__xludf.DUMMYFUNCTION("""COMPUTED_VALUE"""),42656.0)</f>
        <v>42656</v>
      </c>
      <c r="I369" s="19">
        <f>IFERROR(__xludf.DUMMYFUNCTION("""COMPUTED_VALUE"""),1.0666666666666667)</f>
        <v>1.066666667</v>
      </c>
      <c r="J369" s="21">
        <f>IFERROR(__xludf.DUMMYFUNCTION("""COMPUTED_VALUE"""),72.0)</f>
        <v>72</v>
      </c>
      <c r="K369" s="23">
        <f>IFERROR(__xludf.DUMMYFUNCTION("""COMPUTED_VALUE"""),7.7)</f>
        <v>7.7</v>
      </c>
      <c r="L369" s="24">
        <f>IFERROR(__xludf.DUMMYFUNCTION("""COMPUTED_VALUE"""),2.0)</f>
        <v>2</v>
      </c>
      <c r="M369" s="25" t="str">
        <f>IFERROR(__xludf.DUMMYFUNCTION("""COMPUTED_VALUE"""),"Shooter")</f>
        <v>Shooter</v>
      </c>
      <c r="N369" s="25"/>
      <c r="O369" s="26" t="str">
        <f>IFERROR(__xludf.DUMMYFUNCTION("""COMPUTED_VALUE"""),"No")</f>
        <v>No</v>
      </c>
      <c r="P369" s="26"/>
    </row>
    <row r="370">
      <c r="A370" s="13" t="str">
        <f>IFERROR(__xludf.DUMMYFUNCTION("""COMPUTED_VALUE"""),"R-Type Dimensions")</f>
        <v>R-Type Dimensions</v>
      </c>
      <c r="B370" s="15" t="str">
        <f>IFERROR(__xludf.DUMMYFUNCTION("""COMPUTED_VALUE"""),"PS3")</f>
        <v>PS3</v>
      </c>
      <c r="C370" s="16" t="str">
        <f>IFERROR(__xludf.DUMMYFUNCTION("""COMPUTED_VALUE"""),"Playstation Plus (Discontinued)")</f>
        <v>Playstation Plus (Discontinued)</v>
      </c>
      <c r="D370" s="15" t="str">
        <f>IFERROR(__xludf.DUMMYFUNCTION("""COMPUTED_VALUE"""),"Removed")</f>
        <v>Removed</v>
      </c>
      <c r="E370" s="17">
        <f>IFERROR(__xludf.DUMMYFUNCTION("""COMPUTED_VALUE"""),43046.0)</f>
        <v>43046</v>
      </c>
      <c r="F370" s="54">
        <f>IFERROR(__xludf.DUMMYFUNCTION("""COMPUTED_VALUE"""),43073.0)</f>
        <v>43073</v>
      </c>
      <c r="G370" s="19">
        <f>IFERROR(__xludf.DUMMYFUNCTION("""COMPUTED_VALUE"""),0.8999999999999999)</f>
        <v>0.9</v>
      </c>
      <c r="H370" s="17">
        <f>IFERROR(__xludf.DUMMYFUNCTION("""COMPUTED_VALUE"""),39848.0)</f>
        <v>39848</v>
      </c>
      <c r="I370" s="19">
        <f>IFERROR(__xludf.DUMMYFUNCTION("""COMPUTED_VALUE"""),8.758333333333333)</f>
        <v>8.758333333</v>
      </c>
      <c r="J370" s="21">
        <f>IFERROR(__xludf.DUMMYFUNCTION("""COMPUTED_VALUE"""),82.0)</f>
        <v>82</v>
      </c>
      <c r="K370" s="23">
        <f>IFERROR(__xludf.DUMMYFUNCTION("""COMPUTED_VALUE"""),6.4)</f>
        <v>6.4</v>
      </c>
      <c r="L370" s="24">
        <f>IFERROR(__xludf.DUMMYFUNCTION("""COMPUTED_VALUE"""),2.0)</f>
        <v>2</v>
      </c>
      <c r="M370" s="25" t="str">
        <f>IFERROR(__xludf.DUMMYFUNCTION("""COMPUTED_VALUE"""),"Shooter")</f>
        <v>Shooter</v>
      </c>
      <c r="N370" s="25"/>
      <c r="O370" s="26" t="str">
        <f>IFERROR(__xludf.DUMMYFUNCTION("""COMPUTED_VALUE"""),"No")</f>
        <v>No</v>
      </c>
      <c r="P370" s="26"/>
    </row>
    <row r="371">
      <c r="A371" s="13" t="str">
        <f>IFERROR(__xludf.DUMMYFUNCTION("""COMPUTED_VALUE"""),"Rag Doll Kung Fu: Fists of Plastic")</f>
        <v>Rag Doll Kung Fu: Fists of Plastic</v>
      </c>
      <c r="B371" s="15" t="str">
        <f>IFERROR(__xludf.DUMMYFUNCTION("""COMPUTED_VALUE"""),"PS3")</f>
        <v>PS3</v>
      </c>
      <c r="C371" s="16" t="str">
        <f>IFERROR(__xludf.DUMMYFUNCTION("""COMPUTED_VALUE"""),"Playstation Plus (Discontinued)")</f>
        <v>Playstation Plus (Discontinued)</v>
      </c>
      <c r="D371" s="15" t="str">
        <f>IFERROR(__xludf.DUMMYFUNCTION("""COMPUTED_VALUE"""),"Removed")</f>
        <v>Removed</v>
      </c>
      <c r="E371" s="17">
        <f>IFERROR(__xludf.DUMMYFUNCTION("""COMPUTED_VALUE"""),43046.0)</f>
        <v>43046</v>
      </c>
      <c r="F371" s="54">
        <f>IFERROR(__xludf.DUMMYFUNCTION("""COMPUTED_VALUE"""),43073.0)</f>
        <v>43073</v>
      </c>
      <c r="G371" s="19">
        <f>IFERROR(__xludf.DUMMYFUNCTION("""COMPUTED_VALUE"""),0.8999999999999999)</f>
        <v>0.9</v>
      </c>
      <c r="H371" s="17">
        <f>IFERROR(__xludf.DUMMYFUNCTION("""COMPUTED_VALUE"""),39912.0)</f>
        <v>39912</v>
      </c>
      <c r="I371" s="19">
        <f>IFERROR(__xludf.DUMMYFUNCTION("""COMPUTED_VALUE"""),8.577777777777778)</f>
        <v>8.577777778</v>
      </c>
      <c r="J371" s="21">
        <f>IFERROR(__xludf.DUMMYFUNCTION("""COMPUTED_VALUE"""),68.0)</f>
        <v>68</v>
      </c>
      <c r="K371" s="23">
        <f>IFERROR(__xludf.DUMMYFUNCTION("""COMPUTED_VALUE"""),6.6)</f>
        <v>6.6</v>
      </c>
      <c r="L371" s="24">
        <f>IFERROR(__xludf.DUMMYFUNCTION("""COMPUTED_VALUE"""),3.0)</f>
        <v>3</v>
      </c>
      <c r="M371" s="25" t="str">
        <f>IFERROR(__xludf.DUMMYFUNCTION("""COMPUTED_VALUE"""),"Fighting")</f>
        <v>Fighting</v>
      </c>
      <c r="N371" s="25"/>
      <c r="O371" s="26" t="str">
        <f>IFERROR(__xludf.DUMMYFUNCTION("""COMPUTED_VALUE"""),"No")</f>
        <v>No</v>
      </c>
      <c r="P371" s="26"/>
    </row>
    <row r="372">
      <c r="A372" s="13" t="str">
        <f>IFERROR(__xludf.DUMMYFUNCTION("""COMPUTED_VALUE"""),"Dungeon Punks")</f>
        <v>Dungeon Punks</v>
      </c>
      <c r="B372" s="15" t="str">
        <f>IFERROR(__xludf.DUMMYFUNCTION("""COMPUTED_VALUE"""),"PS4/Vita")</f>
        <v>PS4/Vita</v>
      </c>
      <c r="C372" s="16" t="str">
        <f>IFERROR(__xludf.DUMMYFUNCTION("""COMPUTED_VALUE"""),"Playstation Plus (Discontinued)")</f>
        <v>Playstation Plus (Discontinued)</v>
      </c>
      <c r="D372" s="15" t="str">
        <f>IFERROR(__xludf.DUMMYFUNCTION("""COMPUTED_VALUE"""),"Removed")</f>
        <v>Removed</v>
      </c>
      <c r="E372" s="17">
        <f>IFERROR(__xludf.DUMMYFUNCTION("""COMPUTED_VALUE"""),43046.0)</f>
        <v>43046</v>
      </c>
      <c r="F372" s="54">
        <f>IFERROR(__xludf.DUMMYFUNCTION("""COMPUTED_VALUE"""),43073.0)</f>
        <v>43073</v>
      </c>
      <c r="G372" s="19">
        <f>IFERROR(__xludf.DUMMYFUNCTION("""COMPUTED_VALUE"""),0.8999999999999999)</f>
        <v>0.9</v>
      </c>
      <c r="H372" s="17">
        <f>IFERROR(__xludf.DUMMYFUNCTION("""COMPUTED_VALUE"""),42577.0)</f>
        <v>42577</v>
      </c>
      <c r="I372" s="19">
        <f>IFERROR(__xludf.DUMMYFUNCTION("""COMPUTED_VALUE"""),1.2805555555555554)</f>
        <v>1.280555556</v>
      </c>
      <c r="J372" s="21">
        <f>IFERROR(__xludf.DUMMYFUNCTION("""COMPUTED_VALUE"""),63.0)</f>
        <v>63</v>
      </c>
      <c r="K372" s="23">
        <f>IFERROR(__xludf.DUMMYFUNCTION("""COMPUTED_VALUE"""),6.9)</f>
        <v>6.9</v>
      </c>
      <c r="L372" s="24">
        <f>IFERROR(__xludf.DUMMYFUNCTION("""COMPUTED_VALUE"""),10.0)</f>
        <v>10</v>
      </c>
      <c r="M372" s="25" t="str">
        <f>IFERROR(__xludf.DUMMYFUNCTION("""COMPUTED_VALUE"""),"RPG")</f>
        <v>RPG</v>
      </c>
      <c r="N372" s="25"/>
      <c r="O372" s="26" t="str">
        <f>IFERROR(__xludf.DUMMYFUNCTION("""COMPUTED_VALUE"""),"No")</f>
        <v>No</v>
      </c>
      <c r="P372" s="26"/>
    </row>
    <row r="373">
      <c r="A373" s="13" t="str">
        <f>IFERROR(__xludf.DUMMYFUNCTION("""COMPUTED_VALUE"""),"Broken Sword 5: The Serpent’s Curse (Episodes 1 &amp; 2)")</f>
        <v>Broken Sword 5: The Serpent’s Curse (Episodes 1 &amp; 2)</v>
      </c>
      <c r="B373" s="15" t="str">
        <f>IFERROR(__xludf.DUMMYFUNCTION("""COMPUTED_VALUE"""),"Vita")</f>
        <v>Vita</v>
      </c>
      <c r="C373" s="16" t="str">
        <f>IFERROR(__xludf.DUMMYFUNCTION("""COMPUTED_VALUE"""),"Playstation Plus (Discontinued)")</f>
        <v>Playstation Plus (Discontinued)</v>
      </c>
      <c r="D373" s="15" t="str">
        <f>IFERROR(__xludf.DUMMYFUNCTION("""COMPUTED_VALUE"""),"Removed")</f>
        <v>Removed</v>
      </c>
      <c r="E373" s="17">
        <f>IFERROR(__xludf.DUMMYFUNCTION("""COMPUTED_VALUE"""),43046.0)</f>
        <v>43046</v>
      </c>
      <c r="F373" s="54">
        <f>IFERROR(__xludf.DUMMYFUNCTION("""COMPUTED_VALUE"""),43073.0)</f>
        <v>43073</v>
      </c>
      <c r="G373" s="19">
        <f>IFERROR(__xludf.DUMMYFUNCTION("""COMPUTED_VALUE"""),0.8999999999999999)</f>
        <v>0.9</v>
      </c>
      <c r="H373" s="17">
        <f>IFERROR(__xludf.DUMMYFUNCTION("""COMPUTED_VALUE"""),42251.0)</f>
        <v>42251</v>
      </c>
      <c r="I373" s="19">
        <f>IFERROR(__xludf.DUMMYFUNCTION("""COMPUTED_VALUE"""),2.175)</f>
        <v>2.175</v>
      </c>
      <c r="J373" s="21">
        <f>IFERROR(__xludf.DUMMYFUNCTION("""COMPUTED_VALUE"""),67.0)</f>
        <v>67</v>
      </c>
      <c r="K373" s="23">
        <f>IFERROR(__xludf.DUMMYFUNCTION("""COMPUTED_VALUE"""),7.5)</f>
        <v>7.5</v>
      </c>
      <c r="L373" s="24">
        <f>IFERROR(__xludf.DUMMYFUNCTION("""COMPUTED_VALUE"""),11.0)</f>
        <v>11</v>
      </c>
      <c r="M373" s="25" t="str">
        <f>IFERROR(__xludf.DUMMYFUNCTION("""COMPUTED_VALUE"""),"Adventure")</f>
        <v>Adventure</v>
      </c>
      <c r="N373" s="25"/>
      <c r="O373" s="26" t="str">
        <f>IFERROR(__xludf.DUMMYFUNCTION("""COMPUTED_VALUE"""),"No")</f>
        <v>No</v>
      </c>
      <c r="P373" s="26"/>
    </row>
    <row r="374">
      <c r="A374" s="13" t="str">
        <f>IFERROR(__xludf.DUMMYFUNCTION("""COMPUTED_VALUE"""),"Metal Gear Solid V: The Phantom Pain")</f>
        <v>Metal Gear Solid V: The Phantom Pain</v>
      </c>
      <c r="B374" s="15" t="str">
        <f>IFERROR(__xludf.DUMMYFUNCTION("""COMPUTED_VALUE"""),"PS4")</f>
        <v>PS4</v>
      </c>
      <c r="C374" s="16" t="str">
        <f>IFERROR(__xludf.DUMMYFUNCTION("""COMPUTED_VALUE"""),"Playstation Plus (Discontinued)")</f>
        <v>Playstation Plus (Discontinued)</v>
      </c>
      <c r="D374" s="15" t="str">
        <f>IFERROR(__xludf.DUMMYFUNCTION("""COMPUTED_VALUE"""),"Removed")</f>
        <v>Removed</v>
      </c>
      <c r="E374" s="17">
        <f>IFERROR(__xludf.DUMMYFUNCTION("""COMPUTED_VALUE"""),43011.0)</f>
        <v>43011</v>
      </c>
      <c r="F374" s="54">
        <f>IFERROR(__xludf.DUMMYFUNCTION("""COMPUTED_VALUE"""),43045.0)</f>
        <v>43045</v>
      </c>
      <c r="G374" s="19">
        <f>IFERROR(__xludf.DUMMYFUNCTION("""COMPUTED_VALUE"""),1.0999999999999999)</f>
        <v>1.1</v>
      </c>
      <c r="H374" s="17">
        <f>IFERROR(__xludf.DUMMYFUNCTION("""COMPUTED_VALUE"""),42248.0)</f>
        <v>42248</v>
      </c>
      <c r="I374" s="19">
        <f>IFERROR(__xludf.DUMMYFUNCTION("""COMPUTED_VALUE"""),2.088888888888889)</f>
        <v>2.088888889</v>
      </c>
      <c r="J374" s="21">
        <f>IFERROR(__xludf.DUMMYFUNCTION("""COMPUTED_VALUE"""),93.0)</f>
        <v>93</v>
      </c>
      <c r="K374" s="23">
        <f>IFERROR(__xludf.DUMMYFUNCTION("""COMPUTED_VALUE"""),8.2)</f>
        <v>8.2</v>
      </c>
      <c r="L374" s="24">
        <f>IFERROR(__xludf.DUMMYFUNCTION("""COMPUTED_VALUE"""),45.0)</f>
        <v>45</v>
      </c>
      <c r="M374" s="25" t="str">
        <f>IFERROR(__xludf.DUMMYFUNCTION("""COMPUTED_VALUE"""),"Action-Adventure")</f>
        <v>Action-Adventure</v>
      </c>
      <c r="N374" s="25"/>
      <c r="O374" s="26" t="str">
        <f>IFERROR(__xludf.DUMMYFUNCTION("""COMPUTED_VALUE"""),"No")</f>
        <v>No</v>
      </c>
      <c r="P374" s="26"/>
    </row>
    <row r="375">
      <c r="A375" s="13" t="str">
        <f>IFERROR(__xludf.DUMMYFUNCTION("""COMPUTED_VALUE"""),"Amnesia: Collection")</f>
        <v>Amnesia: Collection</v>
      </c>
      <c r="B375" s="15" t="str">
        <f>IFERROR(__xludf.DUMMYFUNCTION("""COMPUTED_VALUE"""),"PS4")</f>
        <v>PS4</v>
      </c>
      <c r="C375" s="16" t="str">
        <f>IFERROR(__xludf.DUMMYFUNCTION("""COMPUTED_VALUE"""),"Playstation Plus (Discontinued)")</f>
        <v>Playstation Plus (Discontinued)</v>
      </c>
      <c r="D375" s="15" t="str">
        <f>IFERROR(__xludf.DUMMYFUNCTION("""COMPUTED_VALUE"""),"Removed")</f>
        <v>Removed</v>
      </c>
      <c r="E375" s="17">
        <f>IFERROR(__xludf.DUMMYFUNCTION("""COMPUTED_VALUE"""),43011.0)</f>
        <v>43011</v>
      </c>
      <c r="F375" s="54">
        <f>IFERROR(__xludf.DUMMYFUNCTION("""COMPUTED_VALUE"""),43045.0)</f>
        <v>43045</v>
      </c>
      <c r="G375" s="19">
        <f>IFERROR(__xludf.DUMMYFUNCTION("""COMPUTED_VALUE"""),1.0999999999999999)</f>
        <v>1.1</v>
      </c>
      <c r="H375" s="17">
        <f>IFERROR(__xludf.DUMMYFUNCTION("""COMPUTED_VALUE"""),42696.0)</f>
        <v>42696</v>
      </c>
      <c r="I375" s="19">
        <f>IFERROR(__xludf.DUMMYFUNCTION("""COMPUTED_VALUE"""),0.8638888888888889)</f>
        <v>0.8638888889</v>
      </c>
      <c r="J375" s="21">
        <f>IFERROR(__xludf.DUMMYFUNCTION("""COMPUTED_VALUE"""),78.0)</f>
        <v>78</v>
      </c>
      <c r="K375" s="23">
        <f>IFERROR(__xludf.DUMMYFUNCTION("""COMPUTED_VALUE"""),8.1)</f>
        <v>8.1</v>
      </c>
      <c r="L375" s="24">
        <f>IFERROR(__xludf.DUMMYFUNCTION("""COMPUTED_VALUE"""),17.0)</f>
        <v>17</v>
      </c>
      <c r="M375" s="25" t="str">
        <f>IFERROR(__xludf.DUMMYFUNCTION("""COMPUTED_VALUE"""),"Horror")</f>
        <v>Horror</v>
      </c>
      <c r="N375" s="25"/>
      <c r="O375" s="26" t="str">
        <f>IFERROR(__xludf.DUMMYFUNCTION("""COMPUTED_VALUE"""),"No")</f>
        <v>No</v>
      </c>
      <c r="P375" s="26"/>
    </row>
    <row r="376">
      <c r="A376" s="13" t="str">
        <f>IFERROR(__xludf.DUMMYFUNCTION("""COMPUTED_VALUE"""),"That’s You!")</f>
        <v>That’s You!</v>
      </c>
      <c r="B376" s="15" t="str">
        <f>IFERROR(__xludf.DUMMYFUNCTION("""COMPUTED_VALUE"""),"PS4")</f>
        <v>PS4</v>
      </c>
      <c r="C376" s="16" t="str">
        <f>IFERROR(__xludf.DUMMYFUNCTION("""COMPUTED_VALUE"""),"Playstation Plus (Discontinued)")</f>
        <v>Playstation Plus (Discontinued)</v>
      </c>
      <c r="D376" s="15" t="str">
        <f>IFERROR(__xludf.DUMMYFUNCTION("""COMPUTED_VALUE"""),"Removed")</f>
        <v>Removed</v>
      </c>
      <c r="E376" s="17">
        <f>IFERROR(__xludf.DUMMYFUNCTION("""COMPUTED_VALUE"""),43011.0)</f>
        <v>43011</v>
      </c>
      <c r="F376" s="54">
        <f>IFERROR(__xludf.DUMMYFUNCTION("""COMPUTED_VALUE"""),43045.0)</f>
        <v>43045</v>
      </c>
      <c r="G376" s="19">
        <f>IFERROR(__xludf.DUMMYFUNCTION("""COMPUTED_VALUE"""),1.0999999999999999)</f>
        <v>1.1</v>
      </c>
      <c r="H376" s="17">
        <f>IFERROR(__xludf.DUMMYFUNCTION("""COMPUTED_VALUE"""),42920.0)</f>
        <v>42920</v>
      </c>
      <c r="I376" s="19">
        <f>IFERROR(__xludf.DUMMYFUNCTION("""COMPUTED_VALUE"""),0.24722222222222223)</f>
        <v>0.2472222222</v>
      </c>
      <c r="J376" s="21">
        <f>IFERROR(__xludf.DUMMYFUNCTION("""COMPUTED_VALUE"""),69.0)</f>
        <v>69</v>
      </c>
      <c r="K376" s="23">
        <f>IFERROR(__xludf.DUMMYFUNCTION("""COMPUTED_VALUE"""),7.4)</f>
        <v>7.4</v>
      </c>
      <c r="L376" s="24"/>
      <c r="M376" s="25" t="str">
        <f>IFERROR(__xludf.DUMMYFUNCTION("""COMPUTED_VALUE"""),"Party")</f>
        <v>Party</v>
      </c>
      <c r="N376" s="25"/>
      <c r="O376" s="26" t="str">
        <f>IFERROR(__xludf.DUMMYFUNCTION("""COMPUTED_VALUE"""),"No")</f>
        <v>No</v>
      </c>
      <c r="P376" s="26"/>
    </row>
    <row r="377">
      <c r="A377" s="13" t="str">
        <f>IFERROR(__xludf.DUMMYFUNCTION("""COMPUTED_VALUE"""),"RIGS: Mechanised Combat League")</f>
        <v>RIGS: Mechanised Combat League</v>
      </c>
      <c r="B377" s="15" t="str">
        <f>IFERROR(__xludf.DUMMYFUNCTION("""COMPUTED_VALUE"""),"PS4/PSVR")</f>
        <v>PS4/PSVR</v>
      </c>
      <c r="C377" s="16" t="str">
        <f>IFERROR(__xludf.DUMMYFUNCTION("""COMPUTED_VALUE"""),"Playstation Plus (Discontinued)")</f>
        <v>Playstation Plus (Discontinued)</v>
      </c>
      <c r="D377" s="15" t="str">
        <f>IFERROR(__xludf.DUMMYFUNCTION("""COMPUTED_VALUE"""),"Removed")</f>
        <v>Removed</v>
      </c>
      <c r="E377" s="17">
        <f>IFERROR(__xludf.DUMMYFUNCTION("""COMPUTED_VALUE"""),43011.0)</f>
        <v>43011</v>
      </c>
      <c r="F377" s="54">
        <f>IFERROR(__xludf.DUMMYFUNCTION("""COMPUTED_VALUE"""),43045.0)</f>
        <v>43045</v>
      </c>
      <c r="G377" s="19">
        <f>IFERROR(__xludf.DUMMYFUNCTION("""COMPUTED_VALUE"""),1.0999999999999999)</f>
        <v>1.1</v>
      </c>
      <c r="H377" s="17">
        <f>IFERROR(__xludf.DUMMYFUNCTION("""COMPUTED_VALUE"""),42654.0)</f>
        <v>42654</v>
      </c>
      <c r="I377" s="19">
        <f>IFERROR(__xludf.DUMMYFUNCTION("""COMPUTED_VALUE"""),0.9777777777777777)</f>
        <v>0.9777777778</v>
      </c>
      <c r="J377" s="21">
        <f>IFERROR(__xludf.DUMMYFUNCTION("""COMPUTED_VALUE"""),78.0)</f>
        <v>78</v>
      </c>
      <c r="K377" s="23">
        <f>IFERROR(__xludf.DUMMYFUNCTION("""COMPUTED_VALUE"""),7.5)</f>
        <v>7.5</v>
      </c>
      <c r="L377" s="24"/>
      <c r="M377" s="25" t="str">
        <f>IFERROR(__xludf.DUMMYFUNCTION("""COMPUTED_VALUE"""),"Shooter")</f>
        <v>Shooter</v>
      </c>
      <c r="N377" s="25"/>
      <c r="O377" s="26" t="str">
        <f>IFERROR(__xludf.DUMMYFUNCTION("""COMPUTED_VALUE"""),"No")</f>
        <v>No</v>
      </c>
      <c r="P377" s="26"/>
    </row>
    <row r="378">
      <c r="A378" s="13" t="str">
        <f>IFERROR(__xludf.DUMMYFUNCTION("""COMPUTED_VALUE"""),"Monster Jam Battlegrounds")</f>
        <v>Monster Jam Battlegrounds</v>
      </c>
      <c r="B378" s="15" t="str">
        <f>IFERROR(__xludf.DUMMYFUNCTION("""COMPUTED_VALUE"""),"PS3")</f>
        <v>PS3</v>
      </c>
      <c r="C378" s="16" t="str">
        <f>IFERROR(__xludf.DUMMYFUNCTION("""COMPUTED_VALUE"""),"Playstation Plus (Discontinued)")</f>
        <v>Playstation Plus (Discontinued)</v>
      </c>
      <c r="D378" s="15" t="str">
        <f>IFERROR(__xludf.DUMMYFUNCTION("""COMPUTED_VALUE"""),"Removed")</f>
        <v>Removed</v>
      </c>
      <c r="E378" s="17">
        <f>IFERROR(__xludf.DUMMYFUNCTION("""COMPUTED_VALUE"""),43011.0)</f>
        <v>43011</v>
      </c>
      <c r="F378" s="54">
        <f>IFERROR(__xludf.DUMMYFUNCTION("""COMPUTED_VALUE"""),43045.0)</f>
        <v>43045</v>
      </c>
      <c r="G378" s="19">
        <f>IFERROR(__xludf.DUMMYFUNCTION("""COMPUTED_VALUE"""),1.0999999999999999)</f>
        <v>1.1</v>
      </c>
      <c r="H378" s="17">
        <f>IFERROR(__xludf.DUMMYFUNCTION("""COMPUTED_VALUE"""),42264.0)</f>
        <v>42264</v>
      </c>
      <c r="I378" s="19">
        <f>IFERROR(__xludf.DUMMYFUNCTION("""COMPUTED_VALUE"""),2.0444444444444443)</f>
        <v>2.044444444</v>
      </c>
      <c r="J378" s="21">
        <f>IFERROR(__xludf.DUMMYFUNCTION("""COMPUTED_VALUE"""),50.0)</f>
        <v>50</v>
      </c>
      <c r="K378" s="23">
        <f>IFERROR(__xludf.DUMMYFUNCTION("""COMPUTED_VALUE"""),5.4)</f>
        <v>5.4</v>
      </c>
      <c r="L378" s="24"/>
      <c r="M378" s="25" t="str">
        <f>IFERROR(__xludf.DUMMYFUNCTION("""COMPUTED_VALUE"""),"Racing")</f>
        <v>Racing</v>
      </c>
      <c r="N378" s="25"/>
      <c r="O378" s="26" t="str">
        <f>IFERROR(__xludf.DUMMYFUNCTION("""COMPUTED_VALUE"""),"No")</f>
        <v>No</v>
      </c>
      <c r="P378" s="26"/>
    </row>
    <row r="379">
      <c r="A379" s="13" t="str">
        <f>IFERROR(__xludf.DUMMYFUNCTION("""COMPUTED_VALUE"""),"Hustle Kings")</f>
        <v>Hustle Kings</v>
      </c>
      <c r="B379" s="15" t="str">
        <f>IFERROR(__xludf.DUMMYFUNCTION("""COMPUTED_VALUE"""),"PS3/Vita")</f>
        <v>PS3/Vita</v>
      </c>
      <c r="C379" s="16" t="str">
        <f>IFERROR(__xludf.DUMMYFUNCTION("""COMPUTED_VALUE"""),"Playstation Plus (Discontinued)")</f>
        <v>Playstation Plus (Discontinued)</v>
      </c>
      <c r="D379" s="15" t="str">
        <f>IFERROR(__xludf.DUMMYFUNCTION("""COMPUTED_VALUE"""),"Removed")</f>
        <v>Removed</v>
      </c>
      <c r="E379" s="17">
        <f>IFERROR(__xludf.DUMMYFUNCTION("""COMPUTED_VALUE"""),43011.0)</f>
        <v>43011</v>
      </c>
      <c r="F379" s="54">
        <f>IFERROR(__xludf.DUMMYFUNCTION("""COMPUTED_VALUE"""),43045.0)</f>
        <v>43045</v>
      </c>
      <c r="G379" s="19">
        <f>IFERROR(__xludf.DUMMYFUNCTION("""COMPUTED_VALUE"""),1.0999999999999999)</f>
        <v>1.1</v>
      </c>
      <c r="H379" s="17">
        <f>IFERROR(__xludf.DUMMYFUNCTION("""COMPUTED_VALUE"""),40213.0)</f>
        <v>40213</v>
      </c>
      <c r="I379" s="19">
        <f>IFERROR(__xludf.DUMMYFUNCTION("""COMPUTED_VALUE"""),7.663888888888889)</f>
        <v>7.663888889</v>
      </c>
      <c r="J379" s="21">
        <f>IFERROR(__xludf.DUMMYFUNCTION("""COMPUTED_VALUE"""),81.0)</f>
        <v>81</v>
      </c>
      <c r="K379" s="23">
        <f>IFERROR(__xludf.DUMMYFUNCTION("""COMPUTED_VALUE"""),7.8)</f>
        <v>7.8</v>
      </c>
      <c r="L379" s="24"/>
      <c r="M379" s="25" t="str">
        <f>IFERROR(__xludf.DUMMYFUNCTION("""COMPUTED_VALUE"""),"Billiards")</f>
        <v>Billiards</v>
      </c>
      <c r="N379" s="25"/>
      <c r="O379" s="26" t="str">
        <f>IFERROR(__xludf.DUMMYFUNCTION("""COMPUTED_VALUE"""),"No")</f>
        <v>No</v>
      </c>
      <c r="P379" s="26"/>
    </row>
    <row r="380">
      <c r="A380" s="13" t="str">
        <f>IFERROR(__xludf.DUMMYFUNCTION("""COMPUTED_VALUE"""),"Hue")</f>
        <v>Hue</v>
      </c>
      <c r="B380" s="15" t="str">
        <f>IFERROR(__xludf.DUMMYFUNCTION("""COMPUTED_VALUE"""),"PS4/Vita")</f>
        <v>PS4/Vita</v>
      </c>
      <c r="C380" s="16" t="str">
        <f>IFERROR(__xludf.DUMMYFUNCTION("""COMPUTED_VALUE"""),"Playstation Plus (Discontinued)")</f>
        <v>Playstation Plus (Discontinued)</v>
      </c>
      <c r="D380" s="15" t="str">
        <f>IFERROR(__xludf.DUMMYFUNCTION("""COMPUTED_VALUE"""),"Removed")</f>
        <v>Removed</v>
      </c>
      <c r="E380" s="17">
        <f>IFERROR(__xludf.DUMMYFUNCTION("""COMPUTED_VALUE"""),43011.0)</f>
        <v>43011</v>
      </c>
      <c r="F380" s="54">
        <f>IFERROR(__xludf.DUMMYFUNCTION("""COMPUTED_VALUE"""),43045.0)</f>
        <v>43045</v>
      </c>
      <c r="G380" s="19">
        <f>IFERROR(__xludf.DUMMYFUNCTION("""COMPUTED_VALUE"""),1.0999999999999999)</f>
        <v>1.1</v>
      </c>
      <c r="H380" s="17">
        <f>IFERROR(__xludf.DUMMYFUNCTION("""COMPUTED_VALUE"""),42612.0)</f>
        <v>42612</v>
      </c>
      <c r="I380" s="19">
        <f>IFERROR(__xludf.DUMMYFUNCTION("""COMPUTED_VALUE"""),1.0916666666666666)</f>
        <v>1.091666667</v>
      </c>
      <c r="J380" s="21">
        <f>IFERROR(__xludf.DUMMYFUNCTION("""COMPUTED_VALUE"""),77.0)</f>
        <v>77</v>
      </c>
      <c r="K380" s="23">
        <f>IFERROR(__xludf.DUMMYFUNCTION("""COMPUTED_VALUE"""),7.3)</f>
        <v>7.3</v>
      </c>
      <c r="L380" s="24">
        <f>IFERROR(__xludf.DUMMYFUNCTION("""COMPUTED_VALUE"""),5.0)</f>
        <v>5</v>
      </c>
      <c r="M380" s="25" t="str">
        <f>IFERROR(__xludf.DUMMYFUNCTION("""COMPUTED_VALUE"""),"Puzzle")</f>
        <v>Puzzle</v>
      </c>
      <c r="N380" s="25"/>
      <c r="O380" s="26" t="str">
        <f>IFERROR(__xludf.DUMMYFUNCTION("""COMPUTED_VALUE"""),"No")</f>
        <v>No</v>
      </c>
      <c r="P380" s="26"/>
    </row>
    <row r="381">
      <c r="A381" s="13" t="str">
        <f>IFERROR(__xludf.DUMMYFUNCTION("""COMPUTED_VALUE"""),"Sky Force Anniversary")</f>
        <v>Sky Force Anniversary</v>
      </c>
      <c r="B381" s="15" t="str">
        <f>IFERROR(__xludf.DUMMYFUNCTION("""COMPUTED_VALUE"""),"PS4/Vita")</f>
        <v>PS4/Vita</v>
      </c>
      <c r="C381" s="16" t="str">
        <f>IFERROR(__xludf.DUMMYFUNCTION("""COMPUTED_VALUE"""),"Playstation Plus (Discontinued)")</f>
        <v>Playstation Plus (Discontinued)</v>
      </c>
      <c r="D381" s="15" t="str">
        <f>IFERROR(__xludf.DUMMYFUNCTION("""COMPUTED_VALUE"""),"Removed")</f>
        <v>Removed</v>
      </c>
      <c r="E381" s="17">
        <f>IFERROR(__xludf.DUMMYFUNCTION("""COMPUTED_VALUE"""),43011.0)</f>
        <v>43011</v>
      </c>
      <c r="F381" s="54">
        <f>IFERROR(__xludf.DUMMYFUNCTION("""COMPUTED_VALUE"""),43045.0)</f>
        <v>43045</v>
      </c>
      <c r="G381" s="19">
        <f>IFERROR(__xludf.DUMMYFUNCTION("""COMPUTED_VALUE"""),1.0999999999999999)</f>
        <v>1.1</v>
      </c>
      <c r="H381" s="17">
        <f>IFERROR(__xludf.DUMMYFUNCTION("""COMPUTED_VALUE"""),42346.0)</f>
        <v>42346</v>
      </c>
      <c r="I381" s="19">
        <f>IFERROR(__xludf.DUMMYFUNCTION("""COMPUTED_VALUE"""),1.8194444444444444)</f>
        <v>1.819444444</v>
      </c>
      <c r="J381" s="21">
        <f>IFERROR(__xludf.DUMMYFUNCTION("""COMPUTED_VALUE"""),72.0)</f>
        <v>72</v>
      </c>
      <c r="K381" s="23">
        <f>IFERROR(__xludf.DUMMYFUNCTION("""COMPUTED_VALUE"""),7.1)</f>
        <v>7.1</v>
      </c>
      <c r="L381" s="24">
        <f>IFERROR(__xludf.DUMMYFUNCTION("""COMPUTED_VALUE"""),5.0)</f>
        <v>5</v>
      </c>
      <c r="M381" s="25" t="str">
        <f>IFERROR(__xludf.DUMMYFUNCTION("""COMPUTED_VALUE"""),"Shooter")</f>
        <v>Shooter</v>
      </c>
      <c r="N381" s="25"/>
      <c r="O381" s="26" t="str">
        <f>IFERROR(__xludf.DUMMYFUNCTION("""COMPUTED_VALUE"""),"No")</f>
        <v>No</v>
      </c>
      <c r="P381" s="26"/>
    </row>
    <row r="382">
      <c r="A382" s="13" t="str">
        <f>IFERROR(__xludf.DUMMYFUNCTION("""COMPUTED_VALUE"""),"inFAMOUS: Second Son")</f>
        <v>inFAMOUS: Second Son</v>
      </c>
      <c r="B382" s="15" t="str">
        <f>IFERROR(__xludf.DUMMYFUNCTION("""COMPUTED_VALUE"""),"PS4")</f>
        <v>PS4</v>
      </c>
      <c r="C382" s="16" t="str">
        <f>IFERROR(__xludf.DUMMYFUNCTION("""COMPUTED_VALUE"""),"Playstation Plus (Discontinued)")</f>
        <v>Playstation Plus (Discontinued)</v>
      </c>
      <c r="D382" s="15" t="str">
        <f>IFERROR(__xludf.DUMMYFUNCTION("""COMPUTED_VALUE"""),"Removed")</f>
        <v>Removed</v>
      </c>
      <c r="E382" s="17">
        <f>IFERROR(__xludf.DUMMYFUNCTION("""COMPUTED_VALUE"""),42983.0)</f>
        <v>42983</v>
      </c>
      <c r="F382" s="54">
        <f>IFERROR(__xludf.DUMMYFUNCTION("""COMPUTED_VALUE"""),43010.0)</f>
        <v>43010</v>
      </c>
      <c r="G382" s="19">
        <f>IFERROR(__xludf.DUMMYFUNCTION("""COMPUTED_VALUE"""),0.8999999999999999)</f>
        <v>0.9</v>
      </c>
      <c r="H382" s="17">
        <f>IFERROR(__xludf.DUMMYFUNCTION("""COMPUTED_VALUE"""),41719.0)</f>
        <v>41719</v>
      </c>
      <c r="I382" s="19">
        <f>IFERROR(__xludf.DUMMYFUNCTION("""COMPUTED_VALUE"""),3.4555555555555557)</f>
        <v>3.455555556</v>
      </c>
      <c r="J382" s="21">
        <f>IFERROR(__xludf.DUMMYFUNCTION("""COMPUTED_VALUE"""),80.0)</f>
        <v>80</v>
      </c>
      <c r="K382" s="23">
        <f>IFERROR(__xludf.DUMMYFUNCTION("""COMPUTED_VALUE"""),8.0)</f>
        <v>8</v>
      </c>
      <c r="L382" s="24">
        <f>IFERROR(__xludf.DUMMYFUNCTION("""COMPUTED_VALUE"""),10.0)</f>
        <v>10</v>
      </c>
      <c r="M382" s="25" t="str">
        <f>IFERROR(__xludf.DUMMYFUNCTION("""COMPUTED_VALUE"""),"Action-Adventure")</f>
        <v>Action-Adventure</v>
      </c>
      <c r="N382" s="25"/>
      <c r="O382" s="26" t="str">
        <f>IFERROR(__xludf.DUMMYFUNCTION("""COMPUTED_VALUE"""),"No")</f>
        <v>No</v>
      </c>
      <c r="P382" s="26"/>
    </row>
    <row r="383">
      <c r="A383" s="13" t="str">
        <f>IFERROR(__xludf.DUMMYFUNCTION("""COMPUTED_VALUE"""),"Strike Vector Ex")</f>
        <v>Strike Vector Ex</v>
      </c>
      <c r="B383" s="15" t="str">
        <f>IFERROR(__xludf.DUMMYFUNCTION("""COMPUTED_VALUE"""),"PS4")</f>
        <v>PS4</v>
      </c>
      <c r="C383" s="16" t="str">
        <f>IFERROR(__xludf.DUMMYFUNCTION("""COMPUTED_VALUE"""),"Playstation Plus (Discontinued)")</f>
        <v>Playstation Plus (Discontinued)</v>
      </c>
      <c r="D383" s="15" t="str">
        <f>IFERROR(__xludf.DUMMYFUNCTION("""COMPUTED_VALUE"""),"Removed")</f>
        <v>Removed</v>
      </c>
      <c r="E383" s="17">
        <f>IFERROR(__xludf.DUMMYFUNCTION("""COMPUTED_VALUE"""),42983.0)</f>
        <v>42983</v>
      </c>
      <c r="F383" s="54">
        <f>IFERROR(__xludf.DUMMYFUNCTION("""COMPUTED_VALUE"""),43010.0)</f>
        <v>43010</v>
      </c>
      <c r="G383" s="19">
        <f>IFERROR(__xludf.DUMMYFUNCTION("""COMPUTED_VALUE"""),0.8999999999999999)</f>
        <v>0.9</v>
      </c>
      <c r="H383" s="17">
        <f>IFERROR(__xludf.DUMMYFUNCTION("""COMPUTED_VALUE"""),42983.0)</f>
        <v>42983</v>
      </c>
      <c r="I383" s="19">
        <f>IFERROR(__xludf.DUMMYFUNCTION("""COMPUTED_VALUE"""),0.0)</f>
        <v>0</v>
      </c>
      <c r="J383" s="21">
        <f>IFERROR(__xludf.DUMMYFUNCTION("""COMPUTED_VALUE"""),75.0)</f>
        <v>75</v>
      </c>
      <c r="K383" s="23">
        <f>IFERROR(__xludf.DUMMYFUNCTION("""COMPUTED_VALUE"""),6.7)</f>
        <v>6.7</v>
      </c>
      <c r="L383" s="24"/>
      <c r="M383" s="25" t="str">
        <f>IFERROR(__xludf.DUMMYFUNCTION("""COMPUTED_VALUE"""),"Shooter")</f>
        <v>Shooter</v>
      </c>
      <c r="N383" s="25"/>
      <c r="O383" s="26" t="str">
        <f>IFERROR(__xludf.DUMMYFUNCTION("""COMPUTED_VALUE"""),"No")</f>
        <v>No</v>
      </c>
      <c r="P383" s="26"/>
    </row>
    <row r="384">
      <c r="A384" s="13" t="str">
        <f>IFERROR(__xludf.DUMMYFUNCTION("""COMPUTED_VALUE"""),"That’s You!")</f>
        <v>That’s You!</v>
      </c>
      <c r="B384" s="15" t="str">
        <f>IFERROR(__xludf.DUMMYFUNCTION("""COMPUTED_VALUE"""),"PS4")</f>
        <v>PS4</v>
      </c>
      <c r="C384" s="16" t="str">
        <f>IFERROR(__xludf.DUMMYFUNCTION("""COMPUTED_VALUE"""),"Playstation Plus (Discontinued)")</f>
        <v>Playstation Plus (Discontinued)</v>
      </c>
      <c r="D384" s="15" t="str">
        <f>IFERROR(__xludf.DUMMYFUNCTION("""COMPUTED_VALUE"""),"Removed")</f>
        <v>Removed</v>
      </c>
      <c r="E384" s="17">
        <f>IFERROR(__xludf.DUMMYFUNCTION("""COMPUTED_VALUE"""),42983.0)</f>
        <v>42983</v>
      </c>
      <c r="F384" s="54">
        <f>IFERROR(__xludf.DUMMYFUNCTION("""COMPUTED_VALUE"""),43010.0)</f>
        <v>43010</v>
      </c>
      <c r="G384" s="19">
        <f>IFERROR(__xludf.DUMMYFUNCTION("""COMPUTED_VALUE"""),0.8999999999999999)</f>
        <v>0.9</v>
      </c>
      <c r="H384" s="17">
        <f>IFERROR(__xludf.DUMMYFUNCTION("""COMPUTED_VALUE"""),42920.0)</f>
        <v>42920</v>
      </c>
      <c r="I384" s="19">
        <f>IFERROR(__xludf.DUMMYFUNCTION("""COMPUTED_VALUE"""),0.16944444444444445)</f>
        <v>0.1694444444</v>
      </c>
      <c r="J384" s="21">
        <f>IFERROR(__xludf.DUMMYFUNCTION("""COMPUTED_VALUE"""),69.0)</f>
        <v>69</v>
      </c>
      <c r="K384" s="23">
        <f>IFERROR(__xludf.DUMMYFUNCTION("""COMPUTED_VALUE"""),7.4)</f>
        <v>7.4</v>
      </c>
      <c r="L384" s="24"/>
      <c r="M384" s="25" t="str">
        <f>IFERROR(__xludf.DUMMYFUNCTION("""COMPUTED_VALUE"""),"Party")</f>
        <v>Party</v>
      </c>
      <c r="N384" s="25"/>
      <c r="O384" s="26" t="str">
        <f>IFERROR(__xludf.DUMMYFUNCTION("""COMPUTED_VALUE"""),"No")</f>
        <v>No</v>
      </c>
      <c r="P384" s="26"/>
    </row>
    <row r="385">
      <c r="A385" s="13" t="str">
        <f>IFERROR(__xludf.DUMMYFUNCTION("""COMPUTED_VALUE"""),"RIGS: Mechanised Combat League")</f>
        <v>RIGS: Mechanised Combat League</v>
      </c>
      <c r="B385" s="15" t="str">
        <f>IFERROR(__xludf.DUMMYFUNCTION("""COMPUTED_VALUE"""),"PS4/PSVR")</f>
        <v>PS4/PSVR</v>
      </c>
      <c r="C385" s="16" t="str">
        <f>IFERROR(__xludf.DUMMYFUNCTION("""COMPUTED_VALUE"""),"Playstation Plus (Discontinued)")</f>
        <v>Playstation Plus (Discontinued)</v>
      </c>
      <c r="D385" s="15" t="str">
        <f>IFERROR(__xludf.DUMMYFUNCTION("""COMPUTED_VALUE"""),"Removed")</f>
        <v>Removed</v>
      </c>
      <c r="E385" s="17">
        <f>IFERROR(__xludf.DUMMYFUNCTION("""COMPUTED_VALUE"""),42983.0)</f>
        <v>42983</v>
      </c>
      <c r="F385" s="54">
        <f>IFERROR(__xludf.DUMMYFUNCTION("""COMPUTED_VALUE"""),43010.0)</f>
        <v>43010</v>
      </c>
      <c r="G385" s="19">
        <f>IFERROR(__xludf.DUMMYFUNCTION("""COMPUTED_VALUE"""),0.8999999999999999)</f>
        <v>0.9</v>
      </c>
      <c r="H385" s="17">
        <f>IFERROR(__xludf.DUMMYFUNCTION("""COMPUTED_VALUE"""),42654.0)</f>
        <v>42654</v>
      </c>
      <c r="I385" s="19">
        <f>IFERROR(__xludf.DUMMYFUNCTION("""COMPUTED_VALUE"""),0.9)</f>
        <v>0.9</v>
      </c>
      <c r="J385" s="21">
        <f>IFERROR(__xludf.DUMMYFUNCTION("""COMPUTED_VALUE"""),78.0)</f>
        <v>78</v>
      </c>
      <c r="K385" s="23">
        <f>IFERROR(__xludf.DUMMYFUNCTION("""COMPUTED_VALUE"""),7.5)</f>
        <v>7.5</v>
      </c>
      <c r="L385" s="24"/>
      <c r="M385" s="25" t="str">
        <f>IFERROR(__xludf.DUMMYFUNCTION("""COMPUTED_VALUE"""),"Shooter")</f>
        <v>Shooter</v>
      </c>
      <c r="N385" s="25"/>
      <c r="O385" s="26" t="str">
        <f>IFERROR(__xludf.DUMMYFUNCTION("""COMPUTED_VALUE"""),"No")</f>
        <v>No</v>
      </c>
      <c r="P385" s="26"/>
    </row>
    <row r="386">
      <c r="A386" s="13" t="str">
        <f>IFERROR(__xludf.DUMMYFUNCTION("""COMPUTED_VALUE"""),"Truck Racer")</f>
        <v>Truck Racer</v>
      </c>
      <c r="B386" s="15" t="str">
        <f>IFERROR(__xludf.DUMMYFUNCTION("""COMPUTED_VALUE"""),"PS3")</f>
        <v>PS3</v>
      </c>
      <c r="C386" s="16" t="str">
        <f>IFERROR(__xludf.DUMMYFUNCTION("""COMPUTED_VALUE"""),"Playstation Plus (Discontinued)")</f>
        <v>Playstation Plus (Discontinued)</v>
      </c>
      <c r="D386" s="15" t="str">
        <f>IFERROR(__xludf.DUMMYFUNCTION("""COMPUTED_VALUE"""),"Removed")</f>
        <v>Removed</v>
      </c>
      <c r="E386" s="17">
        <f>IFERROR(__xludf.DUMMYFUNCTION("""COMPUTED_VALUE"""),42983.0)</f>
        <v>42983</v>
      </c>
      <c r="F386" s="54">
        <f>IFERROR(__xludf.DUMMYFUNCTION("""COMPUTED_VALUE"""),43010.0)</f>
        <v>43010</v>
      </c>
      <c r="G386" s="19">
        <f>IFERROR(__xludf.DUMMYFUNCTION("""COMPUTED_VALUE"""),0.8999999999999999)</f>
        <v>0.9</v>
      </c>
      <c r="H386" s="17">
        <f>IFERROR(__xludf.DUMMYFUNCTION("""COMPUTED_VALUE"""),41919.0)</f>
        <v>41919</v>
      </c>
      <c r="I386" s="19">
        <f>IFERROR(__xludf.DUMMYFUNCTION("""COMPUTED_VALUE"""),2.911111111111111)</f>
        <v>2.911111111</v>
      </c>
      <c r="J386" s="21">
        <f>IFERROR(__xludf.DUMMYFUNCTION("""COMPUTED_VALUE"""),49.0)</f>
        <v>49</v>
      </c>
      <c r="K386" s="23">
        <f>IFERROR(__xludf.DUMMYFUNCTION("""COMPUTED_VALUE"""),5.4)</f>
        <v>5.4</v>
      </c>
      <c r="L386" s="24">
        <f>IFERROR(__xludf.DUMMYFUNCTION("""COMPUTED_VALUE"""),5.0)</f>
        <v>5</v>
      </c>
      <c r="M386" s="25" t="str">
        <f>IFERROR(__xludf.DUMMYFUNCTION("""COMPUTED_VALUE"""),"Racing")</f>
        <v>Racing</v>
      </c>
      <c r="N386" s="25"/>
      <c r="O386" s="26" t="str">
        <f>IFERROR(__xludf.DUMMYFUNCTION("""COMPUTED_VALUE"""),"No")</f>
        <v>No</v>
      </c>
      <c r="P386" s="26"/>
    </row>
    <row r="387">
      <c r="A387" s="13" t="str">
        <f>IFERROR(__xludf.DUMMYFUNCTION("""COMPUTED_VALUE"""),"Handball 2016")</f>
        <v>Handball 2016</v>
      </c>
      <c r="B387" s="15" t="str">
        <f>IFERROR(__xludf.DUMMYFUNCTION("""COMPUTED_VALUE"""),"PS3")</f>
        <v>PS3</v>
      </c>
      <c r="C387" s="16" t="str">
        <f>IFERROR(__xludf.DUMMYFUNCTION("""COMPUTED_VALUE"""),"Playstation Plus (Discontinued)")</f>
        <v>Playstation Plus (Discontinued)</v>
      </c>
      <c r="D387" s="15" t="str">
        <f>IFERROR(__xludf.DUMMYFUNCTION("""COMPUTED_VALUE"""),"Removed")</f>
        <v>Removed</v>
      </c>
      <c r="E387" s="17">
        <f>IFERROR(__xludf.DUMMYFUNCTION("""COMPUTED_VALUE"""),42983.0)</f>
        <v>42983</v>
      </c>
      <c r="F387" s="54">
        <f>IFERROR(__xludf.DUMMYFUNCTION("""COMPUTED_VALUE"""),43010.0)</f>
        <v>43010</v>
      </c>
      <c r="G387" s="19">
        <f>IFERROR(__xludf.DUMMYFUNCTION("""COMPUTED_VALUE"""),0.8999999999999999)</f>
        <v>0.9</v>
      </c>
      <c r="H387" s="17">
        <f>IFERROR(__xludf.DUMMYFUNCTION("""COMPUTED_VALUE"""),42335.0)</f>
        <v>42335</v>
      </c>
      <c r="I387" s="19">
        <f>IFERROR(__xludf.DUMMYFUNCTION("""COMPUTED_VALUE"""),1.7722222222222221)</f>
        <v>1.772222222</v>
      </c>
      <c r="J387" s="21">
        <f>IFERROR(__xludf.DUMMYFUNCTION("""COMPUTED_VALUE"""),49.0)</f>
        <v>49</v>
      </c>
      <c r="K387" s="23">
        <f>IFERROR(__xludf.DUMMYFUNCTION("""COMPUTED_VALUE"""),5.5)</f>
        <v>5.5</v>
      </c>
      <c r="L387" s="24"/>
      <c r="M387" s="25" t="str">
        <f>IFERROR(__xludf.DUMMYFUNCTION("""COMPUTED_VALUE"""),"Sports")</f>
        <v>Sports</v>
      </c>
      <c r="N387" s="25"/>
      <c r="O387" s="26" t="str">
        <f>IFERROR(__xludf.DUMMYFUNCTION("""COMPUTED_VALUE"""),"No")</f>
        <v>No</v>
      </c>
      <c r="P387" s="26"/>
    </row>
    <row r="388">
      <c r="A388" s="13" t="str">
        <f>IFERROR(__xludf.DUMMYFUNCTION("""COMPUTED_VALUE"""),"We Are Doomed")</f>
        <v>We Are Doomed</v>
      </c>
      <c r="B388" s="15" t="str">
        <f>IFERROR(__xludf.DUMMYFUNCTION("""COMPUTED_VALUE"""),"PS4/Vita")</f>
        <v>PS4/Vita</v>
      </c>
      <c r="C388" s="16" t="str">
        <f>IFERROR(__xludf.DUMMYFUNCTION("""COMPUTED_VALUE"""),"Playstation Plus (Discontinued)")</f>
        <v>Playstation Plus (Discontinued)</v>
      </c>
      <c r="D388" s="15" t="str">
        <f>IFERROR(__xludf.DUMMYFUNCTION("""COMPUTED_VALUE"""),"Removed")</f>
        <v>Removed</v>
      </c>
      <c r="E388" s="17">
        <f>IFERROR(__xludf.DUMMYFUNCTION("""COMPUTED_VALUE"""),42983.0)</f>
        <v>42983</v>
      </c>
      <c r="F388" s="54">
        <f>IFERROR(__xludf.DUMMYFUNCTION("""COMPUTED_VALUE"""),43010.0)</f>
        <v>43010</v>
      </c>
      <c r="G388" s="19">
        <f>IFERROR(__xludf.DUMMYFUNCTION("""COMPUTED_VALUE"""),0.8999999999999999)</f>
        <v>0.9</v>
      </c>
      <c r="H388" s="17">
        <f>IFERROR(__xludf.DUMMYFUNCTION("""COMPUTED_VALUE"""),42108.0)</f>
        <v>42108</v>
      </c>
      <c r="I388" s="19">
        <f>IFERROR(__xludf.DUMMYFUNCTION("""COMPUTED_VALUE"""),2.3916666666666666)</f>
        <v>2.391666667</v>
      </c>
      <c r="J388" s="21">
        <f>IFERROR(__xludf.DUMMYFUNCTION("""COMPUTED_VALUE"""),61.0)</f>
        <v>61</v>
      </c>
      <c r="K388" s="23">
        <f>IFERROR(__xludf.DUMMYFUNCTION("""COMPUTED_VALUE"""),6.9)</f>
        <v>6.9</v>
      </c>
      <c r="L388" s="24">
        <f>IFERROR(__xludf.DUMMYFUNCTION("""COMPUTED_VALUE"""),2.0)</f>
        <v>2</v>
      </c>
      <c r="M388" s="25" t="str">
        <f>IFERROR(__xludf.DUMMYFUNCTION("""COMPUTED_VALUE"""),"Shooter")</f>
        <v>Shooter</v>
      </c>
      <c r="N388" s="25"/>
      <c r="O388" s="26" t="str">
        <f>IFERROR(__xludf.DUMMYFUNCTION("""COMPUTED_VALUE"""),"No")</f>
        <v>No</v>
      </c>
      <c r="P388" s="26"/>
    </row>
    <row r="389">
      <c r="A389" s="13" t="str">
        <f>IFERROR(__xludf.DUMMYFUNCTION("""COMPUTED_VALUE"""),"Hatoful Boyfriend")</f>
        <v>Hatoful Boyfriend</v>
      </c>
      <c r="B389" s="15" t="str">
        <f>IFERROR(__xludf.DUMMYFUNCTION("""COMPUTED_VALUE"""),"PS4/Vita")</f>
        <v>PS4/Vita</v>
      </c>
      <c r="C389" s="16" t="str">
        <f>IFERROR(__xludf.DUMMYFUNCTION("""COMPUTED_VALUE"""),"Playstation Plus (Discontinued)")</f>
        <v>Playstation Plus (Discontinued)</v>
      </c>
      <c r="D389" s="15" t="str">
        <f>IFERROR(__xludf.DUMMYFUNCTION("""COMPUTED_VALUE"""),"Removed")</f>
        <v>Removed</v>
      </c>
      <c r="E389" s="17">
        <f>IFERROR(__xludf.DUMMYFUNCTION("""COMPUTED_VALUE"""),42983.0)</f>
        <v>42983</v>
      </c>
      <c r="F389" s="54">
        <f>IFERROR(__xludf.DUMMYFUNCTION("""COMPUTED_VALUE"""),43010.0)</f>
        <v>43010</v>
      </c>
      <c r="G389" s="19">
        <f>IFERROR(__xludf.DUMMYFUNCTION("""COMPUTED_VALUE"""),0.8999999999999999)</f>
        <v>0.9</v>
      </c>
      <c r="H389" s="17">
        <f>IFERROR(__xludf.DUMMYFUNCTION("""COMPUTED_VALUE"""),41886.0)</f>
        <v>41886</v>
      </c>
      <c r="I389" s="19">
        <f>IFERROR(__xludf.DUMMYFUNCTION("""COMPUTED_VALUE"""),3.0027777777777778)</f>
        <v>3.002777778</v>
      </c>
      <c r="J389" s="21">
        <f>IFERROR(__xludf.DUMMYFUNCTION("""COMPUTED_VALUE"""),72.0)</f>
        <v>72</v>
      </c>
      <c r="K389" s="23">
        <f>IFERROR(__xludf.DUMMYFUNCTION("""COMPUTED_VALUE"""),7.4)</f>
        <v>7.4</v>
      </c>
      <c r="L389" s="24">
        <f>IFERROR(__xludf.DUMMYFUNCTION("""COMPUTED_VALUE"""),4.0)</f>
        <v>4</v>
      </c>
      <c r="M389" s="25" t="str">
        <f>IFERROR(__xludf.DUMMYFUNCTION("""COMPUTED_VALUE"""),"Visual Novel")</f>
        <v>Visual Novel</v>
      </c>
      <c r="N389" s="25"/>
      <c r="O389" s="26" t="str">
        <f>IFERROR(__xludf.DUMMYFUNCTION("""COMPUTED_VALUE"""),"No")</f>
        <v>No</v>
      </c>
      <c r="P389" s="26"/>
    </row>
    <row r="390">
      <c r="A390" s="13" t="str">
        <f>IFERROR(__xludf.DUMMYFUNCTION("""COMPUTED_VALUE"""),"Just Cause 3")</f>
        <v>Just Cause 3</v>
      </c>
      <c r="B390" s="15" t="str">
        <f>IFERROR(__xludf.DUMMYFUNCTION("""COMPUTED_VALUE"""),"PS4")</f>
        <v>PS4</v>
      </c>
      <c r="C390" s="16" t="str">
        <f>IFERROR(__xludf.DUMMYFUNCTION("""COMPUTED_VALUE"""),"Playstation Plus (Discontinued)")</f>
        <v>Playstation Plus (Discontinued)</v>
      </c>
      <c r="D390" s="15" t="str">
        <f>IFERROR(__xludf.DUMMYFUNCTION("""COMPUTED_VALUE"""),"Removed")</f>
        <v>Removed</v>
      </c>
      <c r="E390" s="17">
        <f>IFERROR(__xludf.DUMMYFUNCTION("""COMPUTED_VALUE"""),42948.0)</f>
        <v>42948</v>
      </c>
      <c r="F390" s="54">
        <f>IFERROR(__xludf.DUMMYFUNCTION("""COMPUTED_VALUE"""),42982.0)</f>
        <v>42982</v>
      </c>
      <c r="G390" s="19">
        <f>IFERROR(__xludf.DUMMYFUNCTION("""COMPUTED_VALUE"""),1.0999999999999999)</f>
        <v>1.1</v>
      </c>
      <c r="H390" s="17">
        <f>IFERROR(__xludf.DUMMYFUNCTION("""COMPUTED_VALUE"""),42339.0)</f>
        <v>42339</v>
      </c>
      <c r="I390" s="19">
        <f>IFERROR(__xludf.DUMMYFUNCTION("""COMPUTED_VALUE"""),1.6666666666666667)</f>
        <v>1.666666667</v>
      </c>
      <c r="J390" s="21">
        <f>IFERROR(__xludf.DUMMYFUNCTION("""COMPUTED_VALUE"""),73.0)</f>
        <v>73</v>
      </c>
      <c r="K390" s="23">
        <f>IFERROR(__xludf.DUMMYFUNCTION("""COMPUTED_VALUE"""),6.2)</f>
        <v>6.2</v>
      </c>
      <c r="L390" s="24">
        <f>IFERROR(__xludf.DUMMYFUNCTION("""COMPUTED_VALUE"""),18.0)</f>
        <v>18</v>
      </c>
      <c r="M390" s="25" t="str">
        <f>IFERROR(__xludf.DUMMYFUNCTION("""COMPUTED_VALUE"""),"Action-Adventure")</f>
        <v>Action-Adventure</v>
      </c>
      <c r="N390" s="25"/>
      <c r="O390" s="26" t="str">
        <f>IFERROR(__xludf.DUMMYFUNCTION("""COMPUTED_VALUE"""),"No")</f>
        <v>No</v>
      </c>
      <c r="P390" s="26"/>
    </row>
    <row r="391">
      <c r="A391" s="13" t="str">
        <f>IFERROR(__xludf.DUMMYFUNCTION("""COMPUTED_VALUE"""),"Assassin’s Creed Freedom Cry")</f>
        <v>Assassin’s Creed Freedom Cry</v>
      </c>
      <c r="B391" s="15" t="str">
        <f>IFERROR(__xludf.DUMMYFUNCTION("""COMPUTED_VALUE"""),"PS4")</f>
        <v>PS4</v>
      </c>
      <c r="C391" s="16" t="str">
        <f>IFERROR(__xludf.DUMMYFUNCTION("""COMPUTED_VALUE"""),"Playstation Plus (Discontinued)")</f>
        <v>Playstation Plus (Discontinued)</v>
      </c>
      <c r="D391" s="15" t="str">
        <f>IFERROR(__xludf.DUMMYFUNCTION("""COMPUTED_VALUE"""),"Removed")</f>
        <v>Removed</v>
      </c>
      <c r="E391" s="17">
        <f>IFERROR(__xludf.DUMMYFUNCTION("""COMPUTED_VALUE"""),42948.0)</f>
        <v>42948</v>
      </c>
      <c r="F391" s="54">
        <f>IFERROR(__xludf.DUMMYFUNCTION("""COMPUTED_VALUE"""),42982.0)</f>
        <v>42982</v>
      </c>
      <c r="G391" s="19">
        <f>IFERROR(__xludf.DUMMYFUNCTION("""COMPUTED_VALUE"""),1.0999999999999999)</f>
        <v>1.1</v>
      </c>
      <c r="H391" s="17">
        <f>IFERROR(__xludf.DUMMYFUNCTION("""COMPUTED_VALUE"""),41688.0)</f>
        <v>41688</v>
      </c>
      <c r="I391" s="19">
        <f>IFERROR(__xludf.DUMMYFUNCTION("""COMPUTED_VALUE"""),3.452777777777778)</f>
        <v>3.452777778</v>
      </c>
      <c r="J391" s="21">
        <f>IFERROR(__xludf.DUMMYFUNCTION("""COMPUTED_VALUE"""),71.0)</f>
        <v>71</v>
      </c>
      <c r="K391" s="23">
        <f>IFERROR(__xludf.DUMMYFUNCTION("""COMPUTED_VALUE"""),6.7)</f>
        <v>6.7</v>
      </c>
      <c r="L391" s="24">
        <f>IFERROR(__xludf.DUMMYFUNCTION("""COMPUTED_VALUE"""),6.0)</f>
        <v>6</v>
      </c>
      <c r="M391" s="25" t="str">
        <f>IFERROR(__xludf.DUMMYFUNCTION("""COMPUTED_VALUE"""),"Action-Adventure")</f>
        <v>Action-Adventure</v>
      </c>
      <c r="N391" s="25"/>
      <c r="O391" s="26" t="str">
        <f>IFERROR(__xludf.DUMMYFUNCTION("""COMPUTED_VALUE"""),"No")</f>
        <v>No</v>
      </c>
      <c r="P391" s="26"/>
    </row>
    <row r="392">
      <c r="A392" s="13" t="str">
        <f>IFERROR(__xludf.DUMMYFUNCTION("""COMPUTED_VALUE"""),"That’s You!")</f>
        <v>That’s You!</v>
      </c>
      <c r="B392" s="15" t="str">
        <f>IFERROR(__xludf.DUMMYFUNCTION("""COMPUTED_VALUE"""),"PS4")</f>
        <v>PS4</v>
      </c>
      <c r="C392" s="16" t="str">
        <f>IFERROR(__xludf.DUMMYFUNCTION("""COMPUTED_VALUE"""),"Playstation Plus (Discontinued)")</f>
        <v>Playstation Plus (Discontinued)</v>
      </c>
      <c r="D392" s="15" t="str">
        <f>IFERROR(__xludf.DUMMYFUNCTION("""COMPUTED_VALUE"""),"Removed")</f>
        <v>Removed</v>
      </c>
      <c r="E392" s="17">
        <f>IFERROR(__xludf.DUMMYFUNCTION("""COMPUTED_VALUE"""),42948.0)</f>
        <v>42948</v>
      </c>
      <c r="F392" s="54">
        <f>IFERROR(__xludf.DUMMYFUNCTION("""COMPUTED_VALUE"""),42982.0)</f>
        <v>42982</v>
      </c>
      <c r="G392" s="19">
        <f>IFERROR(__xludf.DUMMYFUNCTION("""COMPUTED_VALUE"""),1.0999999999999999)</f>
        <v>1.1</v>
      </c>
      <c r="H392" s="17">
        <f>IFERROR(__xludf.DUMMYFUNCTION("""COMPUTED_VALUE"""),42920.0)</f>
        <v>42920</v>
      </c>
      <c r="I392" s="19">
        <f>IFERROR(__xludf.DUMMYFUNCTION("""COMPUTED_VALUE"""),0.075)</f>
        <v>0.075</v>
      </c>
      <c r="J392" s="21">
        <f>IFERROR(__xludf.DUMMYFUNCTION("""COMPUTED_VALUE"""),69.0)</f>
        <v>69</v>
      </c>
      <c r="K392" s="23">
        <f>IFERROR(__xludf.DUMMYFUNCTION("""COMPUTED_VALUE"""),7.4)</f>
        <v>7.4</v>
      </c>
      <c r="L392" s="24"/>
      <c r="M392" s="25" t="str">
        <f>IFERROR(__xludf.DUMMYFUNCTION("""COMPUTED_VALUE"""),"Party")</f>
        <v>Party</v>
      </c>
      <c r="N392" s="25"/>
      <c r="O392" s="26" t="str">
        <f>IFERROR(__xludf.DUMMYFUNCTION("""COMPUTED_VALUE"""),"No")</f>
        <v>No</v>
      </c>
      <c r="P392" s="26"/>
    </row>
    <row r="393">
      <c r="A393" s="13" t="str">
        <f>IFERROR(__xludf.DUMMYFUNCTION("""COMPUTED_VALUE"""),"Super Motherload")</f>
        <v>Super Motherload</v>
      </c>
      <c r="B393" s="15" t="str">
        <f>IFERROR(__xludf.DUMMYFUNCTION("""COMPUTED_VALUE"""),"PS4/PS3")</f>
        <v>PS4/PS3</v>
      </c>
      <c r="C393" s="16" t="str">
        <f>IFERROR(__xludf.DUMMYFUNCTION("""COMPUTED_VALUE"""),"Playstation Plus (Discontinued)")</f>
        <v>Playstation Plus (Discontinued)</v>
      </c>
      <c r="D393" s="15" t="str">
        <f>IFERROR(__xludf.DUMMYFUNCTION("""COMPUTED_VALUE"""),"Removed")</f>
        <v>Removed</v>
      </c>
      <c r="E393" s="17">
        <f>IFERROR(__xludf.DUMMYFUNCTION("""COMPUTED_VALUE"""),42948.0)</f>
        <v>42948</v>
      </c>
      <c r="F393" s="54">
        <f>IFERROR(__xludf.DUMMYFUNCTION("""COMPUTED_VALUE"""),42982.0)</f>
        <v>42982</v>
      </c>
      <c r="G393" s="19">
        <f>IFERROR(__xludf.DUMMYFUNCTION("""COMPUTED_VALUE"""),1.0999999999999999)</f>
        <v>1.1</v>
      </c>
      <c r="H393" s="17">
        <f>IFERROR(__xludf.DUMMYFUNCTION("""COMPUTED_VALUE"""),41582.0)</f>
        <v>41582</v>
      </c>
      <c r="I393" s="19">
        <f>IFERROR(__xludf.DUMMYFUNCTION("""COMPUTED_VALUE"""),3.7416666666666667)</f>
        <v>3.741666667</v>
      </c>
      <c r="J393" s="21">
        <f>IFERROR(__xludf.DUMMYFUNCTION("""COMPUTED_VALUE"""),65.0)</f>
        <v>65</v>
      </c>
      <c r="K393" s="23">
        <f>IFERROR(__xludf.DUMMYFUNCTION("""COMPUTED_VALUE"""),7.1)</f>
        <v>7.1</v>
      </c>
      <c r="L393" s="24">
        <f>IFERROR(__xludf.DUMMYFUNCTION("""COMPUTED_VALUE"""),6.0)</f>
        <v>6</v>
      </c>
      <c r="M393" s="25" t="str">
        <f>IFERROR(__xludf.DUMMYFUNCTION("""COMPUTED_VALUE"""),"Action-Adventure")</f>
        <v>Action-Adventure</v>
      </c>
      <c r="N393" s="25"/>
      <c r="O393" s="26" t="str">
        <f>IFERROR(__xludf.DUMMYFUNCTION("""COMPUTED_VALUE"""),"No")</f>
        <v>No</v>
      </c>
      <c r="P393" s="26"/>
    </row>
    <row r="394">
      <c r="A394" s="13" t="str">
        <f>IFERROR(__xludf.DUMMYFUNCTION("""COMPUTED_VALUE"""),"Snake Ball")</f>
        <v>Snake Ball</v>
      </c>
      <c r="B394" s="15" t="str">
        <f>IFERROR(__xludf.DUMMYFUNCTION("""COMPUTED_VALUE"""),"PS3")</f>
        <v>PS3</v>
      </c>
      <c r="C394" s="16" t="str">
        <f>IFERROR(__xludf.DUMMYFUNCTION("""COMPUTED_VALUE"""),"Playstation Plus (Discontinued)")</f>
        <v>Playstation Plus (Discontinued)</v>
      </c>
      <c r="D394" s="15" t="str">
        <f>IFERROR(__xludf.DUMMYFUNCTION("""COMPUTED_VALUE"""),"Removed")</f>
        <v>Removed</v>
      </c>
      <c r="E394" s="17">
        <f>IFERROR(__xludf.DUMMYFUNCTION("""COMPUTED_VALUE"""),42948.0)</f>
        <v>42948</v>
      </c>
      <c r="F394" s="54">
        <f>IFERROR(__xludf.DUMMYFUNCTION("""COMPUTED_VALUE"""),42982.0)</f>
        <v>42982</v>
      </c>
      <c r="G394" s="19">
        <f>IFERROR(__xludf.DUMMYFUNCTION("""COMPUTED_VALUE"""),1.0999999999999999)</f>
        <v>1.1</v>
      </c>
      <c r="H394" s="17">
        <f>IFERROR(__xludf.DUMMYFUNCTION("""COMPUTED_VALUE"""),39408.0)</f>
        <v>39408</v>
      </c>
      <c r="I394" s="19">
        <f>IFERROR(__xludf.DUMMYFUNCTION("""COMPUTED_VALUE"""),9.691666666666666)</f>
        <v>9.691666667</v>
      </c>
      <c r="J394" s="21">
        <f>IFERROR(__xludf.DUMMYFUNCTION("""COMPUTED_VALUE"""),65.0)</f>
        <v>65</v>
      </c>
      <c r="K394" s="23">
        <f>IFERROR(__xludf.DUMMYFUNCTION("""COMPUTED_VALUE"""),6.8)</f>
        <v>6.8</v>
      </c>
      <c r="L394" s="24">
        <f>IFERROR(__xludf.DUMMYFUNCTION("""COMPUTED_VALUE"""),3.0)</f>
        <v>3</v>
      </c>
      <c r="M394" s="25" t="str">
        <f>IFERROR(__xludf.DUMMYFUNCTION("""COMPUTED_VALUE"""),"Arcade")</f>
        <v>Arcade</v>
      </c>
      <c r="N394" s="25"/>
      <c r="O394" s="26" t="str">
        <f>IFERROR(__xludf.DUMMYFUNCTION("""COMPUTED_VALUE"""),"No")</f>
        <v>No</v>
      </c>
      <c r="P394" s="26"/>
    </row>
    <row r="395">
      <c r="A395" s="13" t="str">
        <f>IFERROR(__xludf.DUMMYFUNCTION("""COMPUTED_VALUE"""),"Downwell")</f>
        <v>Downwell</v>
      </c>
      <c r="B395" s="15" t="str">
        <f>IFERROR(__xludf.DUMMYFUNCTION("""COMPUTED_VALUE"""),"PS4/Vita")</f>
        <v>PS4/Vita</v>
      </c>
      <c r="C395" s="16" t="str">
        <f>IFERROR(__xludf.DUMMYFUNCTION("""COMPUTED_VALUE"""),"Playstation Plus (Discontinued)")</f>
        <v>Playstation Plus (Discontinued)</v>
      </c>
      <c r="D395" s="15" t="str">
        <f>IFERROR(__xludf.DUMMYFUNCTION("""COMPUTED_VALUE"""),"Removed")</f>
        <v>Removed</v>
      </c>
      <c r="E395" s="17">
        <f>IFERROR(__xludf.DUMMYFUNCTION("""COMPUTED_VALUE"""),42948.0)</f>
        <v>42948</v>
      </c>
      <c r="F395" s="54">
        <f>IFERROR(__xludf.DUMMYFUNCTION("""COMPUTED_VALUE"""),42982.0)</f>
        <v>42982</v>
      </c>
      <c r="G395" s="19">
        <f>IFERROR(__xludf.DUMMYFUNCTION("""COMPUTED_VALUE"""),1.0999999999999999)</f>
        <v>1.1</v>
      </c>
      <c r="H395" s="17">
        <f>IFERROR(__xludf.DUMMYFUNCTION("""COMPUTED_VALUE"""),42514.0)</f>
        <v>42514</v>
      </c>
      <c r="I395" s="19">
        <f>IFERROR(__xludf.DUMMYFUNCTION("""COMPUTED_VALUE"""),1.1861111111111111)</f>
        <v>1.186111111</v>
      </c>
      <c r="J395" s="21">
        <f>IFERROR(__xludf.DUMMYFUNCTION("""COMPUTED_VALUE"""),85.0)</f>
        <v>85</v>
      </c>
      <c r="K395" s="23">
        <f>IFERROR(__xludf.DUMMYFUNCTION("""COMPUTED_VALUE"""),7.8)</f>
        <v>7.8</v>
      </c>
      <c r="L395" s="24">
        <f>IFERROR(__xludf.DUMMYFUNCTION("""COMPUTED_VALUE"""),3.0)</f>
        <v>3</v>
      </c>
      <c r="M395" s="25" t="str">
        <f>IFERROR(__xludf.DUMMYFUNCTION("""COMPUTED_VALUE"""),"Platformer")</f>
        <v>Platformer</v>
      </c>
      <c r="N395" s="25"/>
      <c r="O395" s="26" t="str">
        <f>IFERROR(__xludf.DUMMYFUNCTION("""COMPUTED_VALUE"""),"No")</f>
        <v>No</v>
      </c>
      <c r="P395" s="26"/>
    </row>
    <row r="396">
      <c r="A396" s="13" t="str">
        <f>IFERROR(__xludf.DUMMYFUNCTION("""COMPUTED_VALUE"""),"Level 22")</f>
        <v>Level 22</v>
      </c>
      <c r="B396" s="15" t="str">
        <f>IFERROR(__xludf.DUMMYFUNCTION("""COMPUTED_VALUE"""),"Vita")</f>
        <v>Vita</v>
      </c>
      <c r="C396" s="16" t="str">
        <f>IFERROR(__xludf.DUMMYFUNCTION("""COMPUTED_VALUE"""),"Playstation Plus (Discontinued)")</f>
        <v>Playstation Plus (Discontinued)</v>
      </c>
      <c r="D396" s="15" t="str">
        <f>IFERROR(__xludf.DUMMYFUNCTION("""COMPUTED_VALUE"""),"Removed")</f>
        <v>Removed</v>
      </c>
      <c r="E396" s="17">
        <f>IFERROR(__xludf.DUMMYFUNCTION("""COMPUTED_VALUE"""),42948.0)</f>
        <v>42948</v>
      </c>
      <c r="F396" s="54">
        <f>IFERROR(__xludf.DUMMYFUNCTION("""COMPUTED_VALUE"""),42982.0)</f>
        <v>42982</v>
      </c>
      <c r="G396" s="19">
        <f>IFERROR(__xludf.DUMMYFUNCTION("""COMPUTED_VALUE"""),1.0999999999999999)</f>
        <v>1.1</v>
      </c>
      <c r="H396" s="17">
        <f>IFERROR(__xludf.DUMMYFUNCTION("""COMPUTED_VALUE"""),42276.0)</f>
        <v>42276</v>
      </c>
      <c r="I396" s="19">
        <f>IFERROR(__xludf.DUMMYFUNCTION("""COMPUTED_VALUE"""),1.8388888888888888)</f>
        <v>1.838888889</v>
      </c>
      <c r="J396" s="21">
        <f>IFERROR(__xludf.DUMMYFUNCTION("""COMPUTED_VALUE"""),60.0)</f>
        <v>60</v>
      </c>
      <c r="K396" s="23">
        <f>IFERROR(__xludf.DUMMYFUNCTION("""COMPUTED_VALUE"""),6.7)</f>
        <v>6.7</v>
      </c>
      <c r="L396" s="24">
        <f>IFERROR(__xludf.DUMMYFUNCTION("""COMPUTED_VALUE"""),2.0)</f>
        <v>2</v>
      </c>
      <c r="M396" s="25" t="str">
        <f>IFERROR(__xludf.DUMMYFUNCTION("""COMPUTED_VALUE"""),"Strategy")</f>
        <v>Strategy</v>
      </c>
      <c r="N396" s="25"/>
      <c r="O396" s="26" t="str">
        <f>IFERROR(__xludf.DUMMYFUNCTION("""COMPUTED_VALUE"""),"No")</f>
        <v>No</v>
      </c>
      <c r="P396" s="26"/>
    </row>
    <row r="397">
      <c r="A397" s="13" t="str">
        <f>IFERROR(__xludf.DUMMYFUNCTION("""COMPUTED_VALUE"""),"Until Dawn")</f>
        <v>Until Dawn</v>
      </c>
      <c r="B397" s="15" t="str">
        <f>IFERROR(__xludf.DUMMYFUNCTION("""COMPUTED_VALUE"""),"PS4")</f>
        <v>PS4</v>
      </c>
      <c r="C397" s="16" t="str">
        <f>IFERROR(__xludf.DUMMYFUNCTION("""COMPUTED_VALUE"""),"Playstation Plus (Discontinued)")</f>
        <v>Playstation Plus (Discontinued)</v>
      </c>
      <c r="D397" s="15" t="str">
        <f>IFERROR(__xludf.DUMMYFUNCTION("""COMPUTED_VALUE"""),"Removed")</f>
        <v>Removed</v>
      </c>
      <c r="E397" s="17">
        <f>IFERROR(__xludf.DUMMYFUNCTION("""COMPUTED_VALUE"""),42920.0)</f>
        <v>42920</v>
      </c>
      <c r="F397" s="54">
        <f>IFERROR(__xludf.DUMMYFUNCTION("""COMPUTED_VALUE"""),42947.0)</f>
        <v>42947</v>
      </c>
      <c r="G397" s="19">
        <f>IFERROR(__xludf.DUMMYFUNCTION("""COMPUTED_VALUE"""),0.8666666666666666)</f>
        <v>0.8666666667</v>
      </c>
      <c r="H397" s="17">
        <f>IFERROR(__xludf.DUMMYFUNCTION("""COMPUTED_VALUE"""),42241.0)</f>
        <v>42241</v>
      </c>
      <c r="I397" s="19">
        <f>IFERROR(__xludf.DUMMYFUNCTION("""COMPUTED_VALUE"""),1.8583333333333334)</f>
        <v>1.858333333</v>
      </c>
      <c r="J397" s="21">
        <f>IFERROR(__xludf.DUMMYFUNCTION("""COMPUTED_VALUE"""),79.0)</f>
        <v>79</v>
      </c>
      <c r="K397" s="23">
        <f>IFERROR(__xludf.DUMMYFUNCTION("""COMPUTED_VALUE"""),8.3)</f>
        <v>8.3</v>
      </c>
      <c r="L397" s="24">
        <f>IFERROR(__xludf.DUMMYFUNCTION("""COMPUTED_VALUE"""),9.0)</f>
        <v>9</v>
      </c>
      <c r="M397" s="25" t="str">
        <f>IFERROR(__xludf.DUMMYFUNCTION("""COMPUTED_VALUE"""),"Horror")</f>
        <v>Horror</v>
      </c>
      <c r="N397" s="25"/>
      <c r="O397" s="26" t="str">
        <f>IFERROR(__xludf.DUMMYFUNCTION("""COMPUTED_VALUE"""),"No")</f>
        <v>No</v>
      </c>
      <c r="P397" s="26"/>
    </row>
    <row r="398">
      <c r="A398" s="13" t="str">
        <f>IFERROR(__xludf.DUMMYFUNCTION("""COMPUTED_VALUE"""),"Game of Thrones: A Telltale Games Series")</f>
        <v>Game of Thrones: A Telltale Games Series</v>
      </c>
      <c r="B398" s="15" t="str">
        <f>IFERROR(__xludf.DUMMYFUNCTION("""COMPUTED_VALUE"""),"PS4")</f>
        <v>PS4</v>
      </c>
      <c r="C398" s="16" t="str">
        <f>IFERROR(__xludf.DUMMYFUNCTION("""COMPUTED_VALUE"""),"Playstation Plus (Discontinued)")</f>
        <v>Playstation Plus (Discontinued)</v>
      </c>
      <c r="D398" s="15" t="str">
        <f>IFERROR(__xludf.DUMMYFUNCTION("""COMPUTED_VALUE"""),"Removed")</f>
        <v>Removed</v>
      </c>
      <c r="E398" s="17">
        <f>IFERROR(__xludf.DUMMYFUNCTION("""COMPUTED_VALUE"""),42920.0)</f>
        <v>42920</v>
      </c>
      <c r="F398" s="54">
        <f>IFERROR(__xludf.DUMMYFUNCTION("""COMPUTED_VALUE"""),42947.0)</f>
        <v>42947</v>
      </c>
      <c r="G398" s="19">
        <f>IFERROR(__xludf.DUMMYFUNCTION("""COMPUTED_VALUE"""),0.8666666666666666)</f>
        <v>0.8666666667</v>
      </c>
      <c r="H398" s="17">
        <f>IFERROR(__xludf.DUMMYFUNCTION("""COMPUTED_VALUE"""),41975.0)</f>
        <v>41975</v>
      </c>
      <c r="I398" s="19">
        <f>IFERROR(__xludf.DUMMYFUNCTION("""COMPUTED_VALUE"""),2.588888888888889)</f>
        <v>2.588888889</v>
      </c>
      <c r="J398" s="21">
        <f>IFERROR(__xludf.DUMMYFUNCTION("""COMPUTED_VALUE"""),69.0)</f>
        <v>69</v>
      </c>
      <c r="K398" s="23">
        <f>IFERROR(__xludf.DUMMYFUNCTION("""COMPUTED_VALUE"""),7.0)</f>
        <v>7</v>
      </c>
      <c r="L398" s="24">
        <f>IFERROR(__xludf.DUMMYFUNCTION("""COMPUTED_VALUE"""),11.0)</f>
        <v>11</v>
      </c>
      <c r="M398" s="25" t="str">
        <f>IFERROR(__xludf.DUMMYFUNCTION("""COMPUTED_VALUE"""),"Adventure")</f>
        <v>Adventure</v>
      </c>
      <c r="N398" s="25"/>
      <c r="O398" s="26" t="str">
        <f>IFERROR(__xludf.DUMMYFUNCTION("""COMPUTED_VALUE"""),"No")</f>
        <v>No</v>
      </c>
      <c r="P398" s="26"/>
    </row>
    <row r="399">
      <c r="A399" s="13" t="str">
        <f>IFERROR(__xludf.DUMMYFUNCTION("""COMPUTED_VALUE"""),"That’s You!")</f>
        <v>That’s You!</v>
      </c>
      <c r="B399" s="15" t="str">
        <f>IFERROR(__xludf.DUMMYFUNCTION("""COMPUTED_VALUE"""),"PS4")</f>
        <v>PS4</v>
      </c>
      <c r="C399" s="16" t="str">
        <f>IFERROR(__xludf.DUMMYFUNCTION("""COMPUTED_VALUE"""),"Playstation Plus (Discontinued)")</f>
        <v>Playstation Plus (Discontinued)</v>
      </c>
      <c r="D399" s="15" t="str">
        <f>IFERROR(__xludf.DUMMYFUNCTION("""COMPUTED_VALUE"""),"Removed")</f>
        <v>Removed</v>
      </c>
      <c r="E399" s="17">
        <f>IFERROR(__xludf.DUMMYFUNCTION("""COMPUTED_VALUE"""),42920.0)</f>
        <v>42920</v>
      </c>
      <c r="F399" s="54">
        <f>IFERROR(__xludf.DUMMYFUNCTION("""COMPUTED_VALUE"""),42947.0)</f>
        <v>42947</v>
      </c>
      <c r="G399" s="19">
        <f>IFERROR(__xludf.DUMMYFUNCTION("""COMPUTED_VALUE"""),0.8666666666666666)</f>
        <v>0.8666666667</v>
      </c>
      <c r="H399" s="17">
        <f>IFERROR(__xludf.DUMMYFUNCTION("""COMPUTED_VALUE"""),42920.0)</f>
        <v>42920</v>
      </c>
      <c r="I399" s="19">
        <f>IFERROR(__xludf.DUMMYFUNCTION("""COMPUTED_VALUE"""),0.0)</f>
        <v>0</v>
      </c>
      <c r="J399" s="21">
        <f>IFERROR(__xludf.DUMMYFUNCTION("""COMPUTED_VALUE"""),69.0)</f>
        <v>69</v>
      </c>
      <c r="K399" s="23">
        <f>IFERROR(__xludf.DUMMYFUNCTION("""COMPUTED_VALUE"""),7.4)</f>
        <v>7.4</v>
      </c>
      <c r="L399" s="24"/>
      <c r="M399" s="25" t="str">
        <f>IFERROR(__xludf.DUMMYFUNCTION("""COMPUTED_VALUE"""),"Party")</f>
        <v>Party</v>
      </c>
      <c r="N399" s="25"/>
      <c r="O399" s="26" t="str">
        <f>IFERROR(__xludf.DUMMYFUNCTION("""COMPUTED_VALUE"""),"No")</f>
        <v>No</v>
      </c>
      <c r="P399" s="26"/>
    </row>
    <row r="400">
      <c r="A400" s="13" t="str">
        <f>IFERROR(__xludf.DUMMYFUNCTION("""COMPUTED_VALUE"""),"Tokyo Jungle")</f>
        <v>Tokyo Jungle</v>
      </c>
      <c r="B400" s="15" t="str">
        <f>IFERROR(__xludf.DUMMYFUNCTION("""COMPUTED_VALUE"""),"PS3")</f>
        <v>PS3</v>
      </c>
      <c r="C400" s="16" t="str">
        <f>IFERROR(__xludf.DUMMYFUNCTION("""COMPUTED_VALUE"""),"Playstation Plus (Discontinued)")</f>
        <v>Playstation Plus (Discontinued)</v>
      </c>
      <c r="D400" s="15" t="str">
        <f>IFERROR(__xludf.DUMMYFUNCTION("""COMPUTED_VALUE"""),"Removed")</f>
        <v>Removed</v>
      </c>
      <c r="E400" s="17">
        <f>IFERROR(__xludf.DUMMYFUNCTION("""COMPUTED_VALUE"""),42920.0)</f>
        <v>42920</v>
      </c>
      <c r="F400" s="54">
        <f>IFERROR(__xludf.DUMMYFUNCTION("""COMPUTED_VALUE"""),42947.0)</f>
        <v>42947</v>
      </c>
      <c r="G400" s="19">
        <f>IFERROR(__xludf.DUMMYFUNCTION("""COMPUTED_VALUE"""),0.8666666666666666)</f>
        <v>0.8666666667</v>
      </c>
      <c r="H400" s="17">
        <f>IFERROR(__xludf.DUMMYFUNCTION("""COMPUTED_VALUE"""),41177.0)</f>
        <v>41177</v>
      </c>
      <c r="I400" s="19">
        <f>IFERROR(__xludf.DUMMYFUNCTION("""COMPUTED_VALUE"""),4.775)</f>
        <v>4.775</v>
      </c>
      <c r="J400" s="21">
        <f>IFERROR(__xludf.DUMMYFUNCTION("""COMPUTED_VALUE"""),74.0)</f>
        <v>74</v>
      </c>
      <c r="K400" s="23">
        <f>IFERROR(__xludf.DUMMYFUNCTION("""COMPUTED_VALUE"""),7.7)</f>
        <v>7.7</v>
      </c>
      <c r="L400" s="24">
        <f>IFERROR(__xludf.DUMMYFUNCTION("""COMPUTED_VALUE"""),10.0)</f>
        <v>10</v>
      </c>
      <c r="M400" s="25" t="str">
        <f>IFERROR(__xludf.DUMMYFUNCTION("""COMPUTED_VALUE"""),"Action-Adventure")</f>
        <v>Action-Adventure</v>
      </c>
      <c r="N400" s="25"/>
      <c r="O400" s="26" t="str">
        <f>IFERROR(__xludf.DUMMYFUNCTION("""COMPUTED_VALUE"""),"No")</f>
        <v>No</v>
      </c>
      <c r="P400" s="26"/>
    </row>
    <row r="401">
      <c r="A401" s="13" t="str">
        <f>IFERROR(__xludf.DUMMYFUNCTION("""COMPUTED_VALUE"""),"Darkstalkers Resurrection")</f>
        <v>Darkstalkers Resurrection</v>
      </c>
      <c r="B401" s="15" t="str">
        <f>IFERROR(__xludf.DUMMYFUNCTION("""COMPUTED_VALUE"""),"PS3")</f>
        <v>PS3</v>
      </c>
      <c r="C401" s="16" t="str">
        <f>IFERROR(__xludf.DUMMYFUNCTION("""COMPUTED_VALUE"""),"Playstation Plus (Discontinued)")</f>
        <v>Playstation Plus (Discontinued)</v>
      </c>
      <c r="D401" s="15" t="str">
        <f>IFERROR(__xludf.DUMMYFUNCTION("""COMPUTED_VALUE"""),"Removed")</f>
        <v>Removed</v>
      </c>
      <c r="E401" s="17">
        <f>IFERROR(__xludf.DUMMYFUNCTION("""COMPUTED_VALUE"""),42920.0)</f>
        <v>42920</v>
      </c>
      <c r="F401" s="54">
        <f>IFERROR(__xludf.DUMMYFUNCTION("""COMPUTED_VALUE"""),42947.0)</f>
        <v>42947</v>
      </c>
      <c r="G401" s="19">
        <f>IFERROR(__xludf.DUMMYFUNCTION("""COMPUTED_VALUE"""),0.8666666666666666)</f>
        <v>0.8666666667</v>
      </c>
      <c r="H401" s="17">
        <f>IFERROR(__xludf.DUMMYFUNCTION("""COMPUTED_VALUE"""),41345.0)</f>
        <v>41345</v>
      </c>
      <c r="I401" s="19">
        <f>IFERROR(__xludf.DUMMYFUNCTION("""COMPUTED_VALUE"""),4.311111111111111)</f>
        <v>4.311111111</v>
      </c>
      <c r="J401" s="21">
        <f>IFERROR(__xludf.DUMMYFUNCTION("""COMPUTED_VALUE"""),80.0)</f>
        <v>80</v>
      </c>
      <c r="K401" s="23">
        <f>IFERROR(__xludf.DUMMYFUNCTION("""COMPUTED_VALUE"""),7.6)</f>
        <v>7.6</v>
      </c>
      <c r="L401" s="24"/>
      <c r="M401" s="25" t="str">
        <f>IFERROR(__xludf.DUMMYFUNCTION("""COMPUTED_VALUE"""),"Fighting")</f>
        <v>Fighting</v>
      </c>
      <c r="N401" s="25"/>
      <c r="O401" s="26" t="str">
        <f>IFERROR(__xludf.DUMMYFUNCTION("""COMPUTED_VALUE"""),"No")</f>
        <v>No</v>
      </c>
      <c r="P401" s="26"/>
    </row>
    <row r="402">
      <c r="A402" s="13" t="str">
        <f>IFERROR(__xludf.DUMMYFUNCTION("""COMPUTED_VALUE"""),"Don’t Die, Mr. Robot")</f>
        <v>Don’t Die, Mr. Robot</v>
      </c>
      <c r="B402" s="15" t="str">
        <f>IFERROR(__xludf.DUMMYFUNCTION("""COMPUTED_VALUE"""),"PS4/Vita")</f>
        <v>PS4/Vita</v>
      </c>
      <c r="C402" s="16" t="str">
        <f>IFERROR(__xludf.DUMMYFUNCTION("""COMPUTED_VALUE"""),"Playstation Plus (Discontinued)")</f>
        <v>Playstation Plus (Discontinued)</v>
      </c>
      <c r="D402" s="15" t="str">
        <f>IFERROR(__xludf.DUMMYFUNCTION("""COMPUTED_VALUE"""),"Removed")</f>
        <v>Removed</v>
      </c>
      <c r="E402" s="17">
        <f>IFERROR(__xludf.DUMMYFUNCTION("""COMPUTED_VALUE"""),42920.0)</f>
        <v>42920</v>
      </c>
      <c r="F402" s="54">
        <f>IFERROR(__xludf.DUMMYFUNCTION("""COMPUTED_VALUE"""),42947.0)</f>
        <v>42947</v>
      </c>
      <c r="G402" s="19">
        <f>IFERROR(__xludf.DUMMYFUNCTION("""COMPUTED_VALUE"""),0.8666666666666666)</f>
        <v>0.8666666667</v>
      </c>
      <c r="H402" s="17">
        <f>IFERROR(__xludf.DUMMYFUNCTION("""COMPUTED_VALUE"""),42178.0)</f>
        <v>42178</v>
      </c>
      <c r="I402" s="19">
        <f>IFERROR(__xludf.DUMMYFUNCTION("""COMPUTED_VALUE"""),2.0305555555555554)</f>
        <v>2.030555556</v>
      </c>
      <c r="J402" s="21">
        <f>IFERROR(__xludf.DUMMYFUNCTION("""COMPUTED_VALUE"""),76.0)</f>
        <v>76</v>
      </c>
      <c r="K402" s="23">
        <f>IFERROR(__xludf.DUMMYFUNCTION("""COMPUTED_VALUE"""),6.8)</f>
        <v>6.8</v>
      </c>
      <c r="L402" s="24">
        <f>IFERROR(__xludf.DUMMYFUNCTION("""COMPUTED_VALUE"""),2.0)</f>
        <v>2</v>
      </c>
      <c r="M402" s="25" t="str">
        <f>IFERROR(__xludf.DUMMYFUNCTION("""COMPUTED_VALUE"""),"Arcade")</f>
        <v>Arcade</v>
      </c>
      <c r="N402" s="25"/>
      <c r="O402" s="26" t="str">
        <f>IFERROR(__xludf.DUMMYFUNCTION("""COMPUTED_VALUE"""),"No")</f>
        <v>No</v>
      </c>
      <c r="P402" s="26"/>
    </row>
    <row r="403">
      <c r="A403" s="13" t="str">
        <f>IFERROR(__xludf.DUMMYFUNCTION("""COMPUTED_VALUE"""),"Element4l")</f>
        <v>Element4l</v>
      </c>
      <c r="B403" s="15" t="str">
        <f>IFERROR(__xludf.DUMMYFUNCTION("""COMPUTED_VALUE"""),"Vita")</f>
        <v>Vita</v>
      </c>
      <c r="C403" s="16" t="str">
        <f>IFERROR(__xludf.DUMMYFUNCTION("""COMPUTED_VALUE"""),"Playstation Plus (Discontinued)")</f>
        <v>Playstation Plus (Discontinued)</v>
      </c>
      <c r="D403" s="15" t="str">
        <f>IFERROR(__xludf.DUMMYFUNCTION("""COMPUTED_VALUE"""),"Removed")</f>
        <v>Removed</v>
      </c>
      <c r="E403" s="17">
        <f>IFERROR(__xludf.DUMMYFUNCTION("""COMPUTED_VALUE"""),42920.0)</f>
        <v>42920</v>
      </c>
      <c r="F403" s="54">
        <f>IFERROR(__xludf.DUMMYFUNCTION("""COMPUTED_VALUE"""),42947.0)</f>
        <v>42947</v>
      </c>
      <c r="G403" s="19">
        <f>IFERROR(__xludf.DUMMYFUNCTION("""COMPUTED_VALUE"""),0.8666666666666666)</f>
        <v>0.8666666667</v>
      </c>
      <c r="H403" s="17">
        <f>IFERROR(__xludf.DUMMYFUNCTION("""COMPUTED_VALUE"""),42180.0)</f>
        <v>42180</v>
      </c>
      <c r="I403" s="19">
        <f>IFERROR(__xludf.DUMMYFUNCTION("""COMPUTED_VALUE"""),2.025)</f>
        <v>2.025</v>
      </c>
      <c r="J403" s="21">
        <f>IFERROR(__xludf.DUMMYFUNCTION("""COMPUTED_VALUE"""),62.0)</f>
        <v>62</v>
      </c>
      <c r="K403" s="23">
        <f>IFERROR(__xludf.DUMMYFUNCTION("""COMPUTED_VALUE"""),6.2)</f>
        <v>6.2</v>
      </c>
      <c r="L403" s="24">
        <f>IFERROR(__xludf.DUMMYFUNCTION("""COMPUTED_VALUE"""),3.0)</f>
        <v>3</v>
      </c>
      <c r="M403" s="25" t="str">
        <f>IFERROR(__xludf.DUMMYFUNCTION("""COMPUTED_VALUE"""),"Platformer")</f>
        <v>Platformer</v>
      </c>
      <c r="N403" s="25"/>
      <c r="O403" s="26" t="str">
        <f>IFERROR(__xludf.DUMMYFUNCTION("""COMPUTED_VALUE"""),"No")</f>
        <v>No</v>
      </c>
      <c r="P403" s="26"/>
    </row>
    <row r="404">
      <c r="A404" s="13" t="str">
        <f>IFERROR(__xludf.DUMMYFUNCTION("""COMPUTED_VALUE"""),"Killing Floor 2")</f>
        <v>Killing Floor 2</v>
      </c>
      <c r="B404" s="15" t="str">
        <f>IFERROR(__xludf.DUMMYFUNCTION("""COMPUTED_VALUE"""),"PS4")</f>
        <v>PS4</v>
      </c>
      <c r="C404" s="16" t="str">
        <f>IFERROR(__xludf.DUMMYFUNCTION("""COMPUTED_VALUE"""),"Playstation Plus (Discontinued)")</f>
        <v>Playstation Plus (Discontinued)</v>
      </c>
      <c r="D404" s="15" t="str">
        <f>IFERROR(__xludf.DUMMYFUNCTION("""COMPUTED_VALUE"""),"Removed")</f>
        <v>Removed</v>
      </c>
      <c r="E404" s="17">
        <f>IFERROR(__xludf.DUMMYFUNCTION("""COMPUTED_VALUE"""),42892.0)</f>
        <v>42892</v>
      </c>
      <c r="F404" s="54">
        <f>IFERROR(__xludf.DUMMYFUNCTION("""COMPUTED_VALUE"""),42919.0)</f>
        <v>42919</v>
      </c>
      <c r="G404" s="19">
        <f>IFERROR(__xludf.DUMMYFUNCTION("""COMPUTED_VALUE"""),0.8999999999999999)</f>
        <v>0.9</v>
      </c>
      <c r="H404" s="17">
        <f>IFERROR(__xludf.DUMMYFUNCTION("""COMPUTED_VALUE"""),42692.0)</f>
        <v>42692</v>
      </c>
      <c r="I404" s="19">
        <f>IFERROR(__xludf.DUMMYFUNCTION("""COMPUTED_VALUE"""),0.55)</f>
        <v>0.55</v>
      </c>
      <c r="J404" s="21">
        <f>IFERROR(__xludf.DUMMYFUNCTION("""COMPUTED_VALUE"""),75.0)</f>
        <v>75</v>
      </c>
      <c r="K404" s="23">
        <f>IFERROR(__xludf.DUMMYFUNCTION("""COMPUTED_VALUE"""),7.5)</f>
        <v>7.5</v>
      </c>
      <c r="L404" s="24">
        <f>IFERROR(__xludf.DUMMYFUNCTION("""COMPUTED_VALUE"""),16.0)</f>
        <v>16</v>
      </c>
      <c r="M404" s="25" t="str">
        <f>IFERROR(__xludf.DUMMYFUNCTION("""COMPUTED_VALUE"""),"Shooter")</f>
        <v>Shooter</v>
      </c>
      <c r="N404" s="25"/>
      <c r="O404" s="26" t="str">
        <f>IFERROR(__xludf.DUMMYFUNCTION("""COMPUTED_VALUE"""),"No")</f>
        <v>No</v>
      </c>
      <c r="P404" s="26"/>
    </row>
    <row r="405">
      <c r="A405" s="13" t="str">
        <f>IFERROR(__xludf.DUMMYFUNCTION("""COMPUTED_VALUE"""),"Life is Strange")</f>
        <v>Life is Strange</v>
      </c>
      <c r="B405" s="15" t="str">
        <f>IFERROR(__xludf.DUMMYFUNCTION("""COMPUTED_VALUE"""),"PS4")</f>
        <v>PS4</v>
      </c>
      <c r="C405" s="16" t="str">
        <f>IFERROR(__xludf.DUMMYFUNCTION("""COMPUTED_VALUE"""),"Playstation Plus (Discontinued)")</f>
        <v>Playstation Plus (Discontinued)</v>
      </c>
      <c r="D405" s="15" t="str">
        <f>IFERROR(__xludf.DUMMYFUNCTION("""COMPUTED_VALUE"""),"Removed")</f>
        <v>Removed</v>
      </c>
      <c r="E405" s="17">
        <f>IFERROR(__xludf.DUMMYFUNCTION("""COMPUTED_VALUE"""),42892.0)</f>
        <v>42892</v>
      </c>
      <c r="F405" s="54">
        <f>IFERROR(__xludf.DUMMYFUNCTION("""COMPUTED_VALUE"""),42919.0)</f>
        <v>42919</v>
      </c>
      <c r="G405" s="19">
        <f>IFERROR(__xludf.DUMMYFUNCTION("""COMPUTED_VALUE"""),0.8999999999999999)</f>
        <v>0.9</v>
      </c>
      <c r="H405" s="17">
        <f>IFERROR(__xludf.DUMMYFUNCTION("""COMPUTED_VALUE"""),42034.0)</f>
        <v>42034</v>
      </c>
      <c r="I405" s="19">
        <f>IFERROR(__xludf.DUMMYFUNCTION("""COMPUTED_VALUE"""),2.35)</f>
        <v>2.35</v>
      </c>
      <c r="J405" s="21">
        <f>IFERROR(__xludf.DUMMYFUNCTION("""COMPUTED_VALUE"""),85.0)</f>
        <v>85</v>
      </c>
      <c r="K405" s="23">
        <f>IFERROR(__xludf.DUMMYFUNCTION("""COMPUTED_VALUE"""),8.4)</f>
        <v>8.4</v>
      </c>
      <c r="L405" s="24">
        <f>IFERROR(__xludf.DUMMYFUNCTION("""COMPUTED_VALUE"""),14.0)</f>
        <v>14</v>
      </c>
      <c r="M405" s="25" t="str">
        <f>IFERROR(__xludf.DUMMYFUNCTION("""COMPUTED_VALUE"""),"Adventure")</f>
        <v>Adventure</v>
      </c>
      <c r="N405" s="25"/>
      <c r="O405" s="26" t="str">
        <f>IFERROR(__xludf.DUMMYFUNCTION("""COMPUTED_VALUE"""),"No")</f>
        <v>No</v>
      </c>
      <c r="P405" s="26"/>
    </row>
    <row r="406">
      <c r="A406" s="13" t="str">
        <f>IFERROR(__xludf.DUMMYFUNCTION("""COMPUTED_VALUE"""),"Abyss Odyssey")</f>
        <v>Abyss Odyssey</v>
      </c>
      <c r="B406" s="15" t="str">
        <f>IFERROR(__xludf.DUMMYFUNCTION("""COMPUTED_VALUE"""),"PS3")</f>
        <v>PS3</v>
      </c>
      <c r="C406" s="16" t="str">
        <f>IFERROR(__xludf.DUMMYFUNCTION("""COMPUTED_VALUE"""),"Playstation Plus (Discontinued)")</f>
        <v>Playstation Plus (Discontinued)</v>
      </c>
      <c r="D406" s="15" t="str">
        <f>IFERROR(__xludf.DUMMYFUNCTION("""COMPUTED_VALUE"""),"Removed")</f>
        <v>Removed</v>
      </c>
      <c r="E406" s="17">
        <f>IFERROR(__xludf.DUMMYFUNCTION("""COMPUTED_VALUE"""),42892.0)</f>
        <v>42892</v>
      </c>
      <c r="F406" s="54">
        <f>IFERROR(__xludf.DUMMYFUNCTION("""COMPUTED_VALUE"""),42919.0)</f>
        <v>42919</v>
      </c>
      <c r="G406" s="19">
        <f>IFERROR(__xludf.DUMMYFUNCTION("""COMPUTED_VALUE"""),0.8999999999999999)</f>
        <v>0.9</v>
      </c>
      <c r="H406" s="17">
        <f>IFERROR(__xludf.DUMMYFUNCTION("""COMPUTED_VALUE"""),41835.0)</f>
        <v>41835</v>
      </c>
      <c r="I406" s="19">
        <f>IFERROR(__xludf.DUMMYFUNCTION("""COMPUTED_VALUE"""),2.8916666666666666)</f>
        <v>2.891666667</v>
      </c>
      <c r="J406" s="21">
        <f>IFERROR(__xludf.DUMMYFUNCTION("""COMPUTED_VALUE"""),70.0)</f>
        <v>70</v>
      </c>
      <c r="K406" s="23">
        <f>IFERROR(__xludf.DUMMYFUNCTION("""COMPUTED_VALUE"""),6.5)</f>
        <v>6.5</v>
      </c>
      <c r="L406" s="24">
        <f>IFERROR(__xludf.DUMMYFUNCTION("""COMPUTED_VALUE"""),7.0)</f>
        <v>7</v>
      </c>
      <c r="M406" s="25" t="str">
        <f>IFERROR(__xludf.DUMMYFUNCTION("""COMPUTED_VALUE"""),"Action-Adventure")</f>
        <v>Action-Adventure</v>
      </c>
      <c r="N406" s="25"/>
      <c r="O406" s="26" t="str">
        <f>IFERROR(__xludf.DUMMYFUNCTION("""COMPUTED_VALUE"""),"No")</f>
        <v>No</v>
      </c>
      <c r="P406" s="26"/>
    </row>
    <row r="407">
      <c r="A407" s="13" t="str">
        <f>IFERROR(__xludf.DUMMYFUNCTION("""COMPUTED_VALUE"""),"WRC 5: World Rally Championship")</f>
        <v>WRC 5: World Rally Championship</v>
      </c>
      <c r="B407" s="15" t="str">
        <f>IFERROR(__xludf.DUMMYFUNCTION("""COMPUTED_VALUE"""),"PS3")</f>
        <v>PS3</v>
      </c>
      <c r="C407" s="16" t="str">
        <f>IFERROR(__xludf.DUMMYFUNCTION("""COMPUTED_VALUE"""),"Playstation Plus (Discontinued)")</f>
        <v>Playstation Plus (Discontinued)</v>
      </c>
      <c r="D407" s="15" t="str">
        <f>IFERROR(__xludf.DUMMYFUNCTION("""COMPUTED_VALUE"""),"Removed")</f>
        <v>Removed</v>
      </c>
      <c r="E407" s="17">
        <f>IFERROR(__xludf.DUMMYFUNCTION("""COMPUTED_VALUE"""),42892.0)</f>
        <v>42892</v>
      </c>
      <c r="F407" s="54">
        <f>IFERROR(__xludf.DUMMYFUNCTION("""COMPUTED_VALUE"""),42919.0)</f>
        <v>42919</v>
      </c>
      <c r="G407" s="19">
        <f>IFERROR(__xludf.DUMMYFUNCTION("""COMPUTED_VALUE"""),0.8999999999999999)</f>
        <v>0.9</v>
      </c>
      <c r="H407" s="17">
        <f>IFERROR(__xludf.DUMMYFUNCTION("""COMPUTED_VALUE"""),42290.0)</f>
        <v>42290</v>
      </c>
      <c r="I407" s="19">
        <f>IFERROR(__xludf.DUMMYFUNCTION("""COMPUTED_VALUE"""),1.6472222222222221)</f>
        <v>1.647222222</v>
      </c>
      <c r="J407" s="21">
        <f>IFERROR(__xludf.DUMMYFUNCTION("""COMPUTED_VALUE"""),62.0)</f>
        <v>62</v>
      </c>
      <c r="K407" s="23">
        <f>IFERROR(__xludf.DUMMYFUNCTION("""COMPUTED_VALUE"""),6.7)</f>
        <v>6.7</v>
      </c>
      <c r="L407" s="24"/>
      <c r="M407" s="25" t="str">
        <f>IFERROR(__xludf.DUMMYFUNCTION("""COMPUTED_VALUE"""),"Racing")</f>
        <v>Racing</v>
      </c>
      <c r="N407" s="25"/>
      <c r="O407" s="26" t="str">
        <f>IFERROR(__xludf.DUMMYFUNCTION("""COMPUTED_VALUE"""),"No")</f>
        <v>No</v>
      </c>
      <c r="P407" s="26"/>
    </row>
    <row r="408">
      <c r="A408" s="13" t="str">
        <f>IFERROR(__xludf.DUMMYFUNCTION("""COMPUTED_VALUE"""),"Neon Chrome")</f>
        <v>Neon Chrome</v>
      </c>
      <c r="B408" s="15" t="str">
        <f>IFERROR(__xludf.DUMMYFUNCTION("""COMPUTED_VALUE"""),"PS4/Vita")</f>
        <v>PS4/Vita</v>
      </c>
      <c r="C408" s="16" t="str">
        <f>IFERROR(__xludf.DUMMYFUNCTION("""COMPUTED_VALUE"""),"Playstation Plus (Discontinued)")</f>
        <v>Playstation Plus (Discontinued)</v>
      </c>
      <c r="D408" s="15" t="str">
        <f>IFERROR(__xludf.DUMMYFUNCTION("""COMPUTED_VALUE"""),"Removed")</f>
        <v>Removed</v>
      </c>
      <c r="E408" s="17">
        <f>IFERROR(__xludf.DUMMYFUNCTION("""COMPUTED_VALUE"""),42892.0)</f>
        <v>42892</v>
      </c>
      <c r="F408" s="54">
        <f>IFERROR(__xludf.DUMMYFUNCTION("""COMPUTED_VALUE"""),42919.0)</f>
        <v>42919</v>
      </c>
      <c r="G408" s="19">
        <f>IFERROR(__xludf.DUMMYFUNCTION("""COMPUTED_VALUE"""),0.8999999999999999)</f>
        <v>0.9</v>
      </c>
      <c r="H408" s="17">
        <f>IFERROR(__xludf.DUMMYFUNCTION("""COMPUTED_VALUE"""),42514.0)</f>
        <v>42514</v>
      </c>
      <c r="I408" s="19">
        <f>IFERROR(__xludf.DUMMYFUNCTION("""COMPUTED_VALUE"""),1.0333333333333334)</f>
        <v>1.033333333</v>
      </c>
      <c r="J408" s="21">
        <f>IFERROR(__xludf.DUMMYFUNCTION("""COMPUTED_VALUE"""),63.0)</f>
        <v>63</v>
      </c>
      <c r="K408" s="23">
        <f>IFERROR(__xludf.DUMMYFUNCTION("""COMPUTED_VALUE"""),6.9)</f>
        <v>6.9</v>
      </c>
      <c r="L408" s="24">
        <f>IFERROR(__xludf.DUMMYFUNCTION("""COMPUTED_VALUE"""),5.0)</f>
        <v>5</v>
      </c>
      <c r="M408" s="25" t="str">
        <f>IFERROR(__xludf.DUMMYFUNCTION("""COMPUTED_VALUE"""),"Shooter")</f>
        <v>Shooter</v>
      </c>
      <c r="N408" s="25"/>
      <c r="O408" s="26" t="str">
        <f>IFERROR(__xludf.DUMMYFUNCTION("""COMPUTED_VALUE"""),"No")</f>
        <v>No</v>
      </c>
      <c r="P408" s="26"/>
    </row>
    <row r="409">
      <c r="A409" s="13" t="str">
        <f>IFERROR(__xludf.DUMMYFUNCTION("""COMPUTED_VALUE"""),"Spy Chameleon")</f>
        <v>Spy Chameleon</v>
      </c>
      <c r="B409" s="15" t="str">
        <f>IFERROR(__xludf.DUMMYFUNCTION("""COMPUTED_VALUE"""),"PS4/Vita")</f>
        <v>PS4/Vita</v>
      </c>
      <c r="C409" s="16" t="str">
        <f>IFERROR(__xludf.DUMMYFUNCTION("""COMPUTED_VALUE"""),"Playstation Plus (Discontinued)")</f>
        <v>Playstation Plus (Discontinued)</v>
      </c>
      <c r="D409" s="15" t="str">
        <f>IFERROR(__xludf.DUMMYFUNCTION("""COMPUTED_VALUE"""),"Removed")</f>
        <v>Removed</v>
      </c>
      <c r="E409" s="17">
        <f>IFERROR(__xludf.DUMMYFUNCTION("""COMPUTED_VALUE"""),42892.0)</f>
        <v>42892</v>
      </c>
      <c r="F409" s="54">
        <f>IFERROR(__xludf.DUMMYFUNCTION("""COMPUTED_VALUE"""),42919.0)</f>
        <v>42919</v>
      </c>
      <c r="G409" s="19">
        <f>IFERROR(__xludf.DUMMYFUNCTION("""COMPUTED_VALUE"""),0.8999999999999999)</f>
        <v>0.9</v>
      </c>
      <c r="H409" s="17">
        <f>IFERROR(__xludf.DUMMYFUNCTION("""COMPUTED_VALUE"""),42166.0)</f>
        <v>42166</v>
      </c>
      <c r="I409" s="19">
        <f>IFERROR(__xludf.DUMMYFUNCTION("""COMPUTED_VALUE"""),1.9861111111111112)</f>
        <v>1.986111111</v>
      </c>
      <c r="J409" s="21">
        <f>IFERROR(__xludf.DUMMYFUNCTION("""COMPUTED_VALUE"""),65.0)</f>
        <v>65</v>
      </c>
      <c r="K409" s="23">
        <f>IFERROR(__xludf.DUMMYFUNCTION("""COMPUTED_VALUE"""),6.8)</f>
        <v>6.8</v>
      </c>
      <c r="L409" s="24">
        <f>IFERROR(__xludf.DUMMYFUNCTION("""COMPUTED_VALUE"""),3.0)</f>
        <v>3</v>
      </c>
      <c r="M409" s="25" t="str">
        <f>IFERROR(__xludf.DUMMYFUNCTION("""COMPUTED_VALUE"""),"Puzzle")</f>
        <v>Puzzle</v>
      </c>
      <c r="N409" s="25"/>
      <c r="O409" s="26" t="str">
        <f>IFERROR(__xludf.DUMMYFUNCTION("""COMPUTED_VALUE"""),"No")</f>
        <v>No</v>
      </c>
      <c r="P409" s="26"/>
    </row>
    <row r="410">
      <c r="A410" s="13" t="str">
        <f>IFERROR(__xludf.DUMMYFUNCTION("""COMPUTED_VALUE"""),"ABZU")</f>
        <v>ABZU</v>
      </c>
      <c r="B410" s="15" t="str">
        <f>IFERROR(__xludf.DUMMYFUNCTION("""COMPUTED_VALUE"""),"PS4")</f>
        <v>PS4</v>
      </c>
      <c r="C410" s="16" t="str">
        <f>IFERROR(__xludf.DUMMYFUNCTION("""COMPUTED_VALUE"""),"Playstation Plus (Discontinued)")</f>
        <v>Playstation Plus (Discontinued)</v>
      </c>
      <c r="D410" s="15" t="str">
        <f>IFERROR(__xludf.DUMMYFUNCTION("""COMPUTED_VALUE"""),"Removed")</f>
        <v>Removed</v>
      </c>
      <c r="E410" s="17">
        <f>IFERROR(__xludf.DUMMYFUNCTION("""COMPUTED_VALUE"""),42857.0)</f>
        <v>42857</v>
      </c>
      <c r="F410" s="54">
        <f>IFERROR(__xludf.DUMMYFUNCTION("""COMPUTED_VALUE"""),42891.0)</f>
        <v>42891</v>
      </c>
      <c r="G410" s="19">
        <f>IFERROR(__xludf.DUMMYFUNCTION("""COMPUTED_VALUE"""),1.0999999999999999)</f>
        <v>1.1</v>
      </c>
      <c r="H410" s="17">
        <f>IFERROR(__xludf.DUMMYFUNCTION("""COMPUTED_VALUE"""),42584.0)</f>
        <v>42584</v>
      </c>
      <c r="I410" s="19">
        <f>IFERROR(__xludf.DUMMYFUNCTION("""COMPUTED_VALUE"""),0.75)</f>
        <v>0.75</v>
      </c>
      <c r="J410" s="21">
        <f>IFERROR(__xludf.DUMMYFUNCTION("""COMPUTED_VALUE"""),78.0)</f>
        <v>78</v>
      </c>
      <c r="K410" s="23">
        <f>IFERROR(__xludf.DUMMYFUNCTION("""COMPUTED_VALUE"""),7.7)</f>
        <v>7.7</v>
      </c>
      <c r="L410" s="24">
        <f>IFERROR(__xludf.DUMMYFUNCTION("""COMPUTED_VALUE"""),2.0)</f>
        <v>2</v>
      </c>
      <c r="M410" s="25" t="str">
        <f>IFERROR(__xludf.DUMMYFUNCTION("""COMPUTED_VALUE"""),"Adventure")</f>
        <v>Adventure</v>
      </c>
      <c r="N410" s="25"/>
      <c r="O410" s="26" t="str">
        <f>IFERROR(__xludf.DUMMYFUNCTION("""COMPUTED_VALUE"""),"No")</f>
        <v>No</v>
      </c>
      <c r="P410" s="26"/>
    </row>
    <row r="411">
      <c r="A411" s="13" t="str">
        <f>IFERROR(__xludf.DUMMYFUNCTION("""COMPUTED_VALUE"""),"Tales from the Borderlands")</f>
        <v>Tales from the Borderlands</v>
      </c>
      <c r="B411" s="15" t="str">
        <f>IFERROR(__xludf.DUMMYFUNCTION("""COMPUTED_VALUE"""),"PS4")</f>
        <v>PS4</v>
      </c>
      <c r="C411" s="16" t="str">
        <f>IFERROR(__xludf.DUMMYFUNCTION("""COMPUTED_VALUE"""),"Playstation Plus (Discontinued)")</f>
        <v>Playstation Plus (Discontinued)</v>
      </c>
      <c r="D411" s="15" t="str">
        <f>IFERROR(__xludf.DUMMYFUNCTION("""COMPUTED_VALUE"""),"Removed")</f>
        <v>Removed</v>
      </c>
      <c r="E411" s="17">
        <f>IFERROR(__xludf.DUMMYFUNCTION("""COMPUTED_VALUE"""),42857.0)</f>
        <v>42857</v>
      </c>
      <c r="F411" s="54">
        <f>IFERROR(__xludf.DUMMYFUNCTION("""COMPUTED_VALUE"""),42891.0)</f>
        <v>42891</v>
      </c>
      <c r="G411" s="19">
        <f>IFERROR(__xludf.DUMMYFUNCTION("""COMPUTED_VALUE"""),1.0999999999999999)</f>
        <v>1.1</v>
      </c>
      <c r="H411" s="17">
        <f>IFERROR(__xludf.DUMMYFUNCTION("""COMPUTED_VALUE"""),41968.0)</f>
        <v>41968</v>
      </c>
      <c r="I411" s="19">
        <f>IFERROR(__xludf.DUMMYFUNCTION("""COMPUTED_VALUE"""),2.436111111111111)</f>
        <v>2.436111111</v>
      </c>
      <c r="J411" s="21">
        <f>IFERROR(__xludf.DUMMYFUNCTION("""COMPUTED_VALUE"""),86.0)</f>
        <v>86</v>
      </c>
      <c r="K411" s="23">
        <f>IFERROR(__xludf.DUMMYFUNCTION("""COMPUTED_VALUE"""),8.4)</f>
        <v>8.4</v>
      </c>
      <c r="L411" s="24">
        <f>IFERROR(__xludf.DUMMYFUNCTION("""COMPUTED_VALUE"""),12.0)</f>
        <v>12</v>
      </c>
      <c r="M411" s="25" t="str">
        <f>IFERROR(__xludf.DUMMYFUNCTION("""COMPUTED_VALUE"""),"Adventure")</f>
        <v>Adventure</v>
      </c>
      <c r="N411" s="25"/>
      <c r="O411" s="26" t="str">
        <f>IFERROR(__xludf.DUMMYFUNCTION("""COMPUTED_VALUE"""),"No")</f>
        <v>No</v>
      </c>
      <c r="P411" s="26"/>
    </row>
    <row r="412">
      <c r="A412" s="13" t="str">
        <f>IFERROR(__xludf.DUMMYFUNCTION("""COMPUTED_VALUE"""),"Blood Knights")</f>
        <v>Blood Knights</v>
      </c>
      <c r="B412" s="15" t="str">
        <f>IFERROR(__xludf.DUMMYFUNCTION("""COMPUTED_VALUE"""),"PS3")</f>
        <v>PS3</v>
      </c>
      <c r="C412" s="16" t="str">
        <f>IFERROR(__xludf.DUMMYFUNCTION("""COMPUTED_VALUE"""),"Playstation Plus (Discontinued)")</f>
        <v>Playstation Plus (Discontinued)</v>
      </c>
      <c r="D412" s="15" t="str">
        <f>IFERROR(__xludf.DUMMYFUNCTION("""COMPUTED_VALUE"""),"Removed")</f>
        <v>Removed</v>
      </c>
      <c r="E412" s="17">
        <f>IFERROR(__xludf.DUMMYFUNCTION("""COMPUTED_VALUE"""),42857.0)</f>
        <v>42857</v>
      </c>
      <c r="F412" s="54">
        <f>IFERROR(__xludf.DUMMYFUNCTION("""COMPUTED_VALUE"""),42891.0)</f>
        <v>42891</v>
      </c>
      <c r="G412" s="19">
        <f>IFERROR(__xludf.DUMMYFUNCTION("""COMPUTED_VALUE"""),1.0999999999999999)</f>
        <v>1.1</v>
      </c>
      <c r="H412" s="17">
        <f>IFERROR(__xludf.DUMMYFUNCTION("""COMPUTED_VALUE"""),41579.0)</f>
        <v>41579</v>
      </c>
      <c r="I412" s="19">
        <f>IFERROR(__xludf.DUMMYFUNCTION("""COMPUTED_VALUE"""),3.5027777777777778)</f>
        <v>3.502777778</v>
      </c>
      <c r="J412" s="21">
        <f>IFERROR(__xludf.DUMMYFUNCTION("""COMPUTED_VALUE"""),39.0)</f>
        <v>39</v>
      </c>
      <c r="K412" s="23">
        <f>IFERROR(__xludf.DUMMYFUNCTION("""COMPUTED_VALUE"""),4.8)</f>
        <v>4.8</v>
      </c>
      <c r="L412" s="24">
        <f>IFERROR(__xludf.DUMMYFUNCTION("""COMPUTED_VALUE"""),7.0)</f>
        <v>7</v>
      </c>
      <c r="M412" s="25" t="str">
        <f>IFERROR(__xludf.DUMMYFUNCTION("""COMPUTED_VALUE"""),"Action-Adventure")</f>
        <v>Action-Adventure</v>
      </c>
      <c r="N412" s="25"/>
      <c r="O412" s="26" t="str">
        <f>IFERROR(__xludf.DUMMYFUNCTION("""COMPUTED_VALUE"""),"No")</f>
        <v>No</v>
      </c>
      <c r="P412" s="26"/>
    </row>
    <row r="413">
      <c r="A413" s="13" t="str">
        <f>IFERROR(__xludf.DUMMYFUNCTION("""COMPUTED_VALUE"""),"Port Royale 3: Pirates and Merchants")</f>
        <v>Port Royale 3: Pirates and Merchants</v>
      </c>
      <c r="B413" s="15" t="str">
        <f>IFERROR(__xludf.DUMMYFUNCTION("""COMPUTED_VALUE"""),"PS3")</f>
        <v>PS3</v>
      </c>
      <c r="C413" s="16" t="str">
        <f>IFERROR(__xludf.DUMMYFUNCTION("""COMPUTED_VALUE"""),"Playstation Plus (Discontinued)")</f>
        <v>Playstation Plus (Discontinued)</v>
      </c>
      <c r="D413" s="15" t="str">
        <f>IFERROR(__xludf.DUMMYFUNCTION("""COMPUTED_VALUE"""),"Removed")</f>
        <v>Removed</v>
      </c>
      <c r="E413" s="17">
        <f>IFERROR(__xludf.DUMMYFUNCTION("""COMPUTED_VALUE"""),42857.0)</f>
        <v>42857</v>
      </c>
      <c r="F413" s="54">
        <f>IFERROR(__xludf.DUMMYFUNCTION("""COMPUTED_VALUE"""),42891.0)</f>
        <v>42891</v>
      </c>
      <c r="G413" s="19">
        <f>IFERROR(__xludf.DUMMYFUNCTION("""COMPUTED_VALUE"""),1.0999999999999999)</f>
        <v>1.1</v>
      </c>
      <c r="H413" s="17">
        <f>IFERROR(__xludf.DUMMYFUNCTION("""COMPUTED_VALUE"""),41157.0)</f>
        <v>41157</v>
      </c>
      <c r="I413" s="19">
        <f>IFERROR(__xludf.DUMMYFUNCTION("""COMPUTED_VALUE"""),4.658333333333333)</f>
        <v>4.658333333</v>
      </c>
      <c r="J413" s="21">
        <f>IFERROR(__xludf.DUMMYFUNCTION("""COMPUTED_VALUE"""),56.0)</f>
        <v>56</v>
      </c>
      <c r="K413" s="23">
        <f>IFERROR(__xludf.DUMMYFUNCTION("""COMPUTED_VALUE"""),6.6)</f>
        <v>6.6</v>
      </c>
      <c r="L413" s="24">
        <f>IFERROR(__xludf.DUMMYFUNCTION("""COMPUTED_VALUE"""),30.0)</f>
        <v>30</v>
      </c>
      <c r="M413" s="25" t="str">
        <f>IFERROR(__xludf.DUMMYFUNCTION("""COMPUTED_VALUE"""),"RPG")</f>
        <v>RPG</v>
      </c>
      <c r="N413" s="25"/>
      <c r="O413" s="26" t="str">
        <f>IFERROR(__xludf.DUMMYFUNCTION("""COMPUTED_VALUE"""),"No")</f>
        <v>No</v>
      </c>
      <c r="P413" s="26"/>
    </row>
    <row r="414">
      <c r="A414" s="13" t="str">
        <f>IFERROR(__xludf.DUMMYFUNCTION("""COMPUTED_VALUE"""),"Laser Disco Defenders")</f>
        <v>Laser Disco Defenders</v>
      </c>
      <c r="B414" s="15" t="str">
        <f>IFERROR(__xludf.DUMMYFUNCTION("""COMPUTED_VALUE"""),"PS4/Vita")</f>
        <v>PS4/Vita</v>
      </c>
      <c r="C414" s="16" t="str">
        <f>IFERROR(__xludf.DUMMYFUNCTION("""COMPUTED_VALUE"""),"Playstation Plus (Discontinued)")</f>
        <v>Playstation Plus (Discontinued)</v>
      </c>
      <c r="D414" s="15" t="str">
        <f>IFERROR(__xludf.DUMMYFUNCTION("""COMPUTED_VALUE"""),"Removed")</f>
        <v>Removed</v>
      </c>
      <c r="E414" s="17">
        <f>IFERROR(__xludf.DUMMYFUNCTION("""COMPUTED_VALUE"""),42857.0)</f>
        <v>42857</v>
      </c>
      <c r="F414" s="54">
        <f>IFERROR(__xludf.DUMMYFUNCTION("""COMPUTED_VALUE"""),42891.0)</f>
        <v>42891</v>
      </c>
      <c r="G414" s="19">
        <f>IFERROR(__xludf.DUMMYFUNCTION("""COMPUTED_VALUE"""),1.0999999999999999)</f>
        <v>1.1</v>
      </c>
      <c r="H414" s="17">
        <f>IFERROR(__xludf.DUMMYFUNCTION("""COMPUTED_VALUE"""),42502.0)</f>
        <v>42502</v>
      </c>
      <c r="I414" s="19">
        <f>IFERROR(__xludf.DUMMYFUNCTION("""COMPUTED_VALUE"""),0.9722222222222222)</f>
        <v>0.9722222222</v>
      </c>
      <c r="J414" s="21">
        <f>IFERROR(__xludf.DUMMYFUNCTION("""COMPUTED_VALUE"""),80.0)</f>
        <v>80</v>
      </c>
      <c r="K414" s="23">
        <f>IFERROR(__xludf.DUMMYFUNCTION("""COMPUTED_VALUE"""),6.2)</f>
        <v>6.2</v>
      </c>
      <c r="L414" s="24">
        <f>IFERROR(__xludf.DUMMYFUNCTION("""COMPUTED_VALUE"""),3.0)</f>
        <v>3</v>
      </c>
      <c r="M414" s="25" t="str">
        <f>IFERROR(__xludf.DUMMYFUNCTION("""COMPUTED_VALUE"""),"Shooter")</f>
        <v>Shooter</v>
      </c>
      <c r="N414" s="25"/>
      <c r="O414" s="26" t="str">
        <f>IFERROR(__xludf.DUMMYFUNCTION("""COMPUTED_VALUE"""),"No")</f>
        <v>No</v>
      </c>
      <c r="P414" s="26"/>
    </row>
    <row r="415">
      <c r="A415" s="13" t="str">
        <f>IFERROR(__xludf.DUMMYFUNCTION("""COMPUTED_VALUE"""),"Type:Rider")</f>
        <v>Type:Rider</v>
      </c>
      <c r="B415" s="15" t="str">
        <f>IFERROR(__xludf.DUMMYFUNCTION("""COMPUTED_VALUE"""),"PS4/Vita")</f>
        <v>PS4/Vita</v>
      </c>
      <c r="C415" s="16" t="str">
        <f>IFERROR(__xludf.DUMMYFUNCTION("""COMPUTED_VALUE"""),"Playstation Plus (Discontinued)")</f>
        <v>Playstation Plus (Discontinued)</v>
      </c>
      <c r="D415" s="15" t="str">
        <f>IFERROR(__xludf.DUMMYFUNCTION("""COMPUTED_VALUE"""),"Removed")</f>
        <v>Removed</v>
      </c>
      <c r="E415" s="17">
        <f>IFERROR(__xludf.DUMMYFUNCTION("""COMPUTED_VALUE"""),42857.0)</f>
        <v>42857</v>
      </c>
      <c r="F415" s="54">
        <f>IFERROR(__xludf.DUMMYFUNCTION("""COMPUTED_VALUE"""),42891.0)</f>
        <v>42891</v>
      </c>
      <c r="G415" s="19">
        <f>IFERROR(__xludf.DUMMYFUNCTION("""COMPUTED_VALUE"""),1.0999999999999999)</f>
        <v>1.1</v>
      </c>
      <c r="H415" s="17">
        <f>IFERROR(__xludf.DUMMYFUNCTION("""COMPUTED_VALUE"""),42283.0)</f>
        <v>42283</v>
      </c>
      <c r="I415" s="19">
        <f>IFERROR(__xludf.DUMMYFUNCTION("""COMPUTED_VALUE"""),1.5722222222222222)</f>
        <v>1.572222222</v>
      </c>
      <c r="J415" s="21">
        <f>IFERROR(__xludf.DUMMYFUNCTION("""COMPUTED_VALUE"""),68.0)</f>
        <v>68</v>
      </c>
      <c r="K415" s="23">
        <f>IFERROR(__xludf.DUMMYFUNCTION("""COMPUTED_VALUE"""),7.2)</f>
        <v>7.2</v>
      </c>
      <c r="L415" s="24">
        <f>IFERROR(__xludf.DUMMYFUNCTION("""COMPUTED_VALUE"""),2.0)</f>
        <v>2</v>
      </c>
      <c r="M415" s="25" t="str">
        <f>IFERROR(__xludf.DUMMYFUNCTION("""COMPUTED_VALUE"""),"Platformer")</f>
        <v>Platformer</v>
      </c>
      <c r="N415" s="25"/>
      <c r="O415" s="26" t="str">
        <f>IFERROR(__xludf.DUMMYFUNCTION("""COMPUTED_VALUE"""),"No")</f>
        <v>No</v>
      </c>
      <c r="P415" s="26"/>
    </row>
    <row r="416">
      <c r="A416" s="13" t="str">
        <f>IFERROR(__xludf.DUMMYFUNCTION("""COMPUTED_VALUE"""),"Drawn To Death")</f>
        <v>Drawn To Death</v>
      </c>
      <c r="B416" s="15" t="str">
        <f>IFERROR(__xludf.DUMMYFUNCTION("""COMPUTED_VALUE"""),"PS4")</f>
        <v>PS4</v>
      </c>
      <c r="C416" s="16" t="str">
        <f>IFERROR(__xludf.DUMMYFUNCTION("""COMPUTED_VALUE"""),"Playstation Plus (Discontinued)")</f>
        <v>Playstation Plus (Discontinued)</v>
      </c>
      <c r="D416" s="15" t="str">
        <f>IFERROR(__xludf.DUMMYFUNCTION("""COMPUTED_VALUE"""),"Removed")</f>
        <v>Removed</v>
      </c>
      <c r="E416" s="17">
        <f>IFERROR(__xludf.DUMMYFUNCTION("""COMPUTED_VALUE"""),42829.0)</f>
        <v>42829</v>
      </c>
      <c r="F416" s="54">
        <f>IFERROR(__xludf.DUMMYFUNCTION("""COMPUTED_VALUE"""),42856.0)</f>
        <v>42856</v>
      </c>
      <c r="G416" s="19">
        <f>IFERROR(__xludf.DUMMYFUNCTION("""COMPUTED_VALUE"""),0.8999999999999999)</f>
        <v>0.9</v>
      </c>
      <c r="H416" s="17">
        <f>IFERROR(__xludf.DUMMYFUNCTION("""COMPUTED_VALUE"""),42829.0)</f>
        <v>42829</v>
      </c>
      <c r="I416" s="19">
        <f>IFERROR(__xludf.DUMMYFUNCTION("""COMPUTED_VALUE"""),0.0)</f>
        <v>0</v>
      </c>
      <c r="J416" s="21">
        <f>IFERROR(__xludf.DUMMYFUNCTION("""COMPUTED_VALUE"""),54.0)</f>
        <v>54</v>
      </c>
      <c r="K416" s="23">
        <f>IFERROR(__xludf.DUMMYFUNCTION("""COMPUTED_VALUE"""),6.1)</f>
        <v>6.1</v>
      </c>
      <c r="L416" s="24"/>
      <c r="M416" s="25" t="str">
        <f>IFERROR(__xludf.DUMMYFUNCTION("""COMPUTED_VALUE"""),"Shooter")</f>
        <v>Shooter</v>
      </c>
      <c r="N416" s="25"/>
      <c r="O416" s="26" t="str">
        <f>IFERROR(__xludf.DUMMYFUNCTION("""COMPUTED_VALUE"""),"No")</f>
        <v>No</v>
      </c>
      <c r="P416" s="26"/>
    </row>
    <row r="417">
      <c r="A417" s="13" t="str">
        <f>IFERROR(__xludf.DUMMYFUNCTION("""COMPUTED_VALUE"""),"Lovers in a Dangerous Spacetime")</f>
        <v>Lovers in a Dangerous Spacetime</v>
      </c>
      <c r="B417" s="15" t="str">
        <f>IFERROR(__xludf.DUMMYFUNCTION("""COMPUTED_VALUE"""),"PS4")</f>
        <v>PS4</v>
      </c>
      <c r="C417" s="16" t="str">
        <f>IFERROR(__xludf.DUMMYFUNCTION("""COMPUTED_VALUE"""),"Playstation Plus (Discontinued)")</f>
        <v>Playstation Plus (Discontinued)</v>
      </c>
      <c r="D417" s="15" t="str">
        <f>IFERROR(__xludf.DUMMYFUNCTION("""COMPUTED_VALUE"""),"Removed")</f>
        <v>Removed</v>
      </c>
      <c r="E417" s="17">
        <f>IFERROR(__xludf.DUMMYFUNCTION("""COMPUTED_VALUE"""),42829.0)</f>
        <v>42829</v>
      </c>
      <c r="F417" s="54">
        <f>IFERROR(__xludf.DUMMYFUNCTION("""COMPUTED_VALUE"""),42856.0)</f>
        <v>42856</v>
      </c>
      <c r="G417" s="19">
        <f>IFERROR(__xludf.DUMMYFUNCTION("""COMPUTED_VALUE"""),0.8999999999999999)</f>
        <v>0.9</v>
      </c>
      <c r="H417" s="17">
        <f>IFERROR(__xludf.DUMMYFUNCTION("""COMPUTED_VALUE"""),42256.0)</f>
        <v>42256</v>
      </c>
      <c r="I417" s="19">
        <f>IFERROR(__xludf.DUMMYFUNCTION("""COMPUTED_VALUE"""),1.5694444444444444)</f>
        <v>1.569444444</v>
      </c>
      <c r="J417" s="21">
        <f>IFERROR(__xludf.DUMMYFUNCTION("""COMPUTED_VALUE"""),82.0)</f>
        <v>82</v>
      </c>
      <c r="K417" s="23">
        <f>IFERROR(__xludf.DUMMYFUNCTION("""COMPUTED_VALUE"""),7.7)</f>
        <v>7.7</v>
      </c>
      <c r="L417" s="24">
        <f>IFERROR(__xludf.DUMMYFUNCTION("""COMPUTED_VALUE"""),7.0)</f>
        <v>7</v>
      </c>
      <c r="M417" s="25" t="str">
        <f>IFERROR(__xludf.DUMMYFUNCTION("""COMPUTED_VALUE"""),"Action-Adventure")</f>
        <v>Action-Adventure</v>
      </c>
      <c r="N417" s="25"/>
      <c r="O417" s="26" t="str">
        <f>IFERROR(__xludf.DUMMYFUNCTION("""COMPUTED_VALUE"""),"No")</f>
        <v>No</v>
      </c>
      <c r="P417" s="26"/>
    </row>
    <row r="418">
      <c r="A418" s="13" t="str">
        <f>IFERROR(__xludf.DUMMYFUNCTION("""COMPUTED_VALUE"""),"Invizimals: The Lost Kingdom")</f>
        <v>Invizimals: The Lost Kingdom</v>
      </c>
      <c r="B418" s="15" t="str">
        <f>IFERROR(__xludf.DUMMYFUNCTION("""COMPUTED_VALUE"""),"PS3")</f>
        <v>PS3</v>
      </c>
      <c r="C418" s="16" t="str">
        <f>IFERROR(__xludf.DUMMYFUNCTION("""COMPUTED_VALUE"""),"Playstation Plus (Discontinued)")</f>
        <v>Playstation Plus (Discontinued)</v>
      </c>
      <c r="D418" s="15" t="str">
        <f>IFERROR(__xludf.DUMMYFUNCTION("""COMPUTED_VALUE"""),"Removed")</f>
        <v>Removed</v>
      </c>
      <c r="E418" s="17">
        <f>IFERROR(__xludf.DUMMYFUNCTION("""COMPUTED_VALUE"""),42829.0)</f>
        <v>42829</v>
      </c>
      <c r="F418" s="54">
        <f>IFERROR(__xludf.DUMMYFUNCTION("""COMPUTED_VALUE"""),42856.0)</f>
        <v>42856</v>
      </c>
      <c r="G418" s="19">
        <f>IFERROR(__xludf.DUMMYFUNCTION("""COMPUTED_VALUE"""),0.8999999999999999)</f>
        <v>0.9</v>
      </c>
      <c r="H418" s="17">
        <f>IFERROR(__xludf.DUMMYFUNCTION("""COMPUTED_VALUE"""),41901.0)</f>
        <v>41901</v>
      </c>
      <c r="I418" s="19">
        <f>IFERROR(__xludf.DUMMYFUNCTION("""COMPUTED_VALUE"""),2.5416666666666665)</f>
        <v>2.541666667</v>
      </c>
      <c r="J418" s="21">
        <f>IFERROR(__xludf.DUMMYFUNCTION("""COMPUTED_VALUE"""),50.0)</f>
        <v>50</v>
      </c>
      <c r="K418" s="23">
        <f>IFERROR(__xludf.DUMMYFUNCTION("""COMPUTED_VALUE"""),6.2)</f>
        <v>6.2</v>
      </c>
      <c r="L418" s="24">
        <f>IFERROR(__xludf.DUMMYFUNCTION("""COMPUTED_VALUE"""),8.0)</f>
        <v>8</v>
      </c>
      <c r="M418" s="25" t="str">
        <f>IFERROR(__xludf.DUMMYFUNCTION("""COMPUTED_VALUE"""),"Action-Adventure")</f>
        <v>Action-Adventure</v>
      </c>
      <c r="N418" s="25"/>
      <c r="O418" s="26" t="str">
        <f>IFERROR(__xludf.DUMMYFUNCTION("""COMPUTED_VALUE"""),"No")</f>
        <v>No</v>
      </c>
      <c r="P418" s="26"/>
    </row>
    <row r="419">
      <c r="A419" s="13" t="str">
        <f>IFERROR(__xludf.DUMMYFUNCTION("""COMPUTED_VALUE"""),"Alien Rage - Extended Edition")</f>
        <v>Alien Rage - Extended Edition</v>
      </c>
      <c r="B419" s="15" t="str">
        <f>IFERROR(__xludf.DUMMYFUNCTION("""COMPUTED_VALUE"""),"PS3")</f>
        <v>PS3</v>
      </c>
      <c r="C419" s="16" t="str">
        <f>IFERROR(__xludf.DUMMYFUNCTION("""COMPUTED_VALUE"""),"Playstation Plus (Discontinued)")</f>
        <v>Playstation Plus (Discontinued)</v>
      </c>
      <c r="D419" s="15" t="str">
        <f>IFERROR(__xludf.DUMMYFUNCTION("""COMPUTED_VALUE"""),"Removed")</f>
        <v>Removed</v>
      </c>
      <c r="E419" s="17">
        <f>IFERROR(__xludf.DUMMYFUNCTION("""COMPUTED_VALUE"""),42829.0)</f>
        <v>42829</v>
      </c>
      <c r="F419" s="54">
        <f>IFERROR(__xludf.DUMMYFUNCTION("""COMPUTED_VALUE"""),42856.0)</f>
        <v>42856</v>
      </c>
      <c r="G419" s="19">
        <f>IFERROR(__xludf.DUMMYFUNCTION("""COMPUTED_VALUE"""),0.8999999999999999)</f>
        <v>0.9</v>
      </c>
      <c r="H419" s="17">
        <f>IFERROR(__xludf.DUMMYFUNCTION("""COMPUTED_VALUE"""),41555.0)</f>
        <v>41555</v>
      </c>
      <c r="I419" s="19">
        <f>IFERROR(__xludf.DUMMYFUNCTION("""COMPUTED_VALUE"""),3.488888888888889)</f>
        <v>3.488888889</v>
      </c>
      <c r="J419" s="21">
        <f>IFERROR(__xludf.DUMMYFUNCTION("""COMPUTED_VALUE"""),45.0)</f>
        <v>45</v>
      </c>
      <c r="K419" s="23">
        <f>IFERROR(__xludf.DUMMYFUNCTION("""COMPUTED_VALUE"""),5.6)</f>
        <v>5.6</v>
      </c>
      <c r="L419" s="24">
        <f>IFERROR(__xludf.DUMMYFUNCTION("""COMPUTED_VALUE"""),5.0)</f>
        <v>5</v>
      </c>
      <c r="M419" s="25" t="str">
        <f>IFERROR(__xludf.DUMMYFUNCTION("""COMPUTED_VALUE"""),"Shooter")</f>
        <v>Shooter</v>
      </c>
      <c r="N419" s="25"/>
      <c r="O419" s="26" t="str">
        <f>IFERROR(__xludf.DUMMYFUNCTION("""COMPUTED_VALUE"""),"No")</f>
        <v>No</v>
      </c>
      <c r="P419" s="26"/>
    </row>
    <row r="420">
      <c r="A420" s="13" t="str">
        <f>IFERROR(__xludf.DUMMYFUNCTION("""COMPUTED_VALUE"""),"10 Second Ninja X")</f>
        <v>10 Second Ninja X</v>
      </c>
      <c r="B420" s="15" t="str">
        <f>IFERROR(__xludf.DUMMYFUNCTION("""COMPUTED_VALUE"""),"PS4/Vita")</f>
        <v>PS4/Vita</v>
      </c>
      <c r="C420" s="16" t="str">
        <f>IFERROR(__xludf.DUMMYFUNCTION("""COMPUTED_VALUE"""),"Playstation Plus (Discontinued)")</f>
        <v>Playstation Plus (Discontinued)</v>
      </c>
      <c r="D420" s="15" t="str">
        <f>IFERROR(__xludf.DUMMYFUNCTION("""COMPUTED_VALUE"""),"Removed")</f>
        <v>Removed</v>
      </c>
      <c r="E420" s="17">
        <f>IFERROR(__xludf.DUMMYFUNCTION("""COMPUTED_VALUE"""),42829.0)</f>
        <v>42829</v>
      </c>
      <c r="F420" s="54">
        <f>IFERROR(__xludf.DUMMYFUNCTION("""COMPUTED_VALUE"""),42856.0)</f>
        <v>42856</v>
      </c>
      <c r="G420" s="19">
        <f>IFERROR(__xludf.DUMMYFUNCTION("""COMPUTED_VALUE"""),0.8999999999999999)</f>
        <v>0.9</v>
      </c>
      <c r="H420" s="17">
        <f>IFERROR(__xludf.DUMMYFUNCTION("""COMPUTED_VALUE"""),42570.0)</f>
        <v>42570</v>
      </c>
      <c r="I420" s="19">
        <f>IFERROR(__xludf.DUMMYFUNCTION("""COMPUTED_VALUE"""),0.7083333333333334)</f>
        <v>0.7083333333</v>
      </c>
      <c r="J420" s="21">
        <f>IFERROR(__xludf.DUMMYFUNCTION("""COMPUTED_VALUE"""),76.0)</f>
        <v>76</v>
      </c>
      <c r="K420" s="23">
        <f>IFERROR(__xludf.DUMMYFUNCTION("""COMPUTED_VALUE"""),7.3)</f>
        <v>7.3</v>
      </c>
      <c r="L420" s="24">
        <f>IFERROR(__xludf.DUMMYFUNCTION("""COMPUTED_VALUE"""),2.0)</f>
        <v>2</v>
      </c>
      <c r="M420" s="25" t="str">
        <f>IFERROR(__xludf.DUMMYFUNCTION("""COMPUTED_VALUE"""),"Platformer")</f>
        <v>Platformer</v>
      </c>
      <c r="N420" s="25"/>
      <c r="O420" s="26" t="str">
        <f>IFERROR(__xludf.DUMMYFUNCTION("""COMPUTED_VALUE"""),"No")</f>
        <v>No</v>
      </c>
      <c r="P420" s="26"/>
    </row>
    <row r="421">
      <c r="A421" s="13" t="str">
        <f>IFERROR(__xludf.DUMMYFUNCTION("""COMPUTED_VALUE"""),"Curses ‘N Chaos")</f>
        <v>Curses ‘N Chaos</v>
      </c>
      <c r="B421" s="15" t="str">
        <f>IFERROR(__xludf.DUMMYFUNCTION("""COMPUTED_VALUE"""),"PS4/Vita")</f>
        <v>PS4/Vita</v>
      </c>
      <c r="C421" s="16" t="str">
        <f>IFERROR(__xludf.DUMMYFUNCTION("""COMPUTED_VALUE"""),"Playstation Plus (Discontinued)")</f>
        <v>Playstation Plus (Discontinued)</v>
      </c>
      <c r="D421" s="15" t="str">
        <f>IFERROR(__xludf.DUMMYFUNCTION("""COMPUTED_VALUE"""),"Removed")</f>
        <v>Removed</v>
      </c>
      <c r="E421" s="17">
        <f>IFERROR(__xludf.DUMMYFUNCTION("""COMPUTED_VALUE"""),42829.0)</f>
        <v>42829</v>
      </c>
      <c r="F421" s="54">
        <f>IFERROR(__xludf.DUMMYFUNCTION("""COMPUTED_VALUE"""),42856.0)</f>
        <v>42856</v>
      </c>
      <c r="G421" s="19">
        <f>IFERROR(__xludf.DUMMYFUNCTION("""COMPUTED_VALUE"""),0.8999999999999999)</f>
        <v>0.9</v>
      </c>
      <c r="H421" s="17">
        <f>IFERROR(__xludf.DUMMYFUNCTION("""COMPUTED_VALUE"""),42234.0)</f>
        <v>42234</v>
      </c>
      <c r="I421" s="19">
        <f>IFERROR(__xludf.DUMMYFUNCTION("""COMPUTED_VALUE"""),1.6277777777777778)</f>
        <v>1.627777778</v>
      </c>
      <c r="J421" s="21">
        <f>IFERROR(__xludf.DUMMYFUNCTION("""COMPUTED_VALUE"""),70.0)</f>
        <v>70</v>
      </c>
      <c r="K421" s="23">
        <f>IFERROR(__xludf.DUMMYFUNCTION("""COMPUTED_VALUE"""),7.0)</f>
        <v>7</v>
      </c>
      <c r="L421" s="24">
        <f>IFERROR(__xludf.DUMMYFUNCTION("""COMPUTED_VALUE"""),4.0)</f>
        <v>4</v>
      </c>
      <c r="M421" s="25" t="str">
        <f>IFERROR(__xludf.DUMMYFUNCTION("""COMPUTED_VALUE"""),"Platformer")</f>
        <v>Platformer</v>
      </c>
      <c r="N421" s="25"/>
      <c r="O421" s="26" t="str">
        <f>IFERROR(__xludf.DUMMYFUNCTION("""COMPUTED_VALUE"""),"No")</f>
        <v>No</v>
      </c>
      <c r="P421" s="26"/>
    </row>
    <row r="422">
      <c r="A422" s="13" t="str">
        <f>IFERROR(__xludf.DUMMYFUNCTION("""COMPUTED_VALUE"""),"Tearaway Unfolded")</f>
        <v>Tearaway Unfolded</v>
      </c>
      <c r="B422" s="15" t="str">
        <f>IFERROR(__xludf.DUMMYFUNCTION("""COMPUTED_VALUE"""),"PS4")</f>
        <v>PS4</v>
      </c>
      <c r="C422" s="16" t="str">
        <f>IFERROR(__xludf.DUMMYFUNCTION("""COMPUTED_VALUE"""),"Playstation Plus (Discontinued)")</f>
        <v>Playstation Plus (Discontinued)</v>
      </c>
      <c r="D422" s="15" t="str">
        <f>IFERROR(__xludf.DUMMYFUNCTION("""COMPUTED_VALUE"""),"Removed")</f>
        <v>Removed</v>
      </c>
      <c r="E422" s="17">
        <f>IFERROR(__xludf.DUMMYFUNCTION("""COMPUTED_VALUE"""),42801.0)</f>
        <v>42801</v>
      </c>
      <c r="F422" s="54">
        <f>IFERROR(__xludf.DUMMYFUNCTION("""COMPUTED_VALUE"""),42828.0)</f>
        <v>42828</v>
      </c>
      <c r="G422" s="19">
        <f>IFERROR(__xludf.DUMMYFUNCTION("""COMPUTED_VALUE"""),0.8666666666666666)</f>
        <v>0.8666666667</v>
      </c>
      <c r="H422" s="17">
        <f>IFERROR(__xludf.DUMMYFUNCTION("""COMPUTED_VALUE"""),42255.0)</f>
        <v>42255</v>
      </c>
      <c r="I422" s="19">
        <f>IFERROR(__xludf.DUMMYFUNCTION("""COMPUTED_VALUE"""),1.4972222222222222)</f>
        <v>1.497222222</v>
      </c>
      <c r="J422" s="21">
        <f>IFERROR(__xludf.DUMMYFUNCTION("""COMPUTED_VALUE"""),81.0)</f>
        <v>81</v>
      </c>
      <c r="K422" s="23">
        <f>IFERROR(__xludf.DUMMYFUNCTION("""COMPUTED_VALUE"""),7.8)</f>
        <v>7.8</v>
      </c>
      <c r="L422" s="24">
        <f>IFERROR(__xludf.DUMMYFUNCTION("""COMPUTED_VALUE"""),8.0)</f>
        <v>8</v>
      </c>
      <c r="M422" s="25" t="str">
        <f>IFERROR(__xludf.DUMMYFUNCTION("""COMPUTED_VALUE"""),"Platformer")</f>
        <v>Platformer</v>
      </c>
      <c r="N422" s="25"/>
      <c r="O422" s="26" t="str">
        <f>IFERROR(__xludf.DUMMYFUNCTION("""COMPUTED_VALUE"""),"No")</f>
        <v>No</v>
      </c>
      <c r="P422" s="26"/>
    </row>
    <row r="423">
      <c r="A423" s="13" t="str">
        <f>IFERROR(__xludf.DUMMYFUNCTION("""COMPUTED_VALUE"""),"Disc Jam")</f>
        <v>Disc Jam</v>
      </c>
      <c r="B423" s="15" t="str">
        <f>IFERROR(__xludf.DUMMYFUNCTION("""COMPUTED_VALUE"""),"PS4")</f>
        <v>PS4</v>
      </c>
      <c r="C423" s="16" t="str">
        <f>IFERROR(__xludf.DUMMYFUNCTION("""COMPUTED_VALUE"""),"Playstation Plus (Discontinued)")</f>
        <v>Playstation Plus (Discontinued)</v>
      </c>
      <c r="D423" s="15" t="str">
        <f>IFERROR(__xludf.DUMMYFUNCTION("""COMPUTED_VALUE"""),"Removed")</f>
        <v>Removed</v>
      </c>
      <c r="E423" s="17">
        <f>IFERROR(__xludf.DUMMYFUNCTION("""COMPUTED_VALUE"""),42801.0)</f>
        <v>42801</v>
      </c>
      <c r="F423" s="54">
        <f>IFERROR(__xludf.DUMMYFUNCTION("""COMPUTED_VALUE"""),42828.0)</f>
        <v>42828</v>
      </c>
      <c r="G423" s="19">
        <f>IFERROR(__xludf.DUMMYFUNCTION("""COMPUTED_VALUE"""),0.8666666666666666)</f>
        <v>0.8666666667</v>
      </c>
      <c r="H423" s="17">
        <f>IFERROR(__xludf.DUMMYFUNCTION("""COMPUTED_VALUE"""),42801.0)</f>
        <v>42801</v>
      </c>
      <c r="I423" s="19">
        <f>IFERROR(__xludf.DUMMYFUNCTION("""COMPUTED_VALUE"""),0.0)</f>
        <v>0</v>
      </c>
      <c r="J423" s="21">
        <f>IFERROR(__xludf.DUMMYFUNCTION("""COMPUTED_VALUE"""),71.0)</f>
        <v>71</v>
      </c>
      <c r="K423" s="23">
        <f>IFERROR(__xludf.DUMMYFUNCTION("""COMPUTED_VALUE"""),6.8)</f>
        <v>6.8</v>
      </c>
      <c r="L423" s="24"/>
      <c r="M423" s="25" t="str">
        <f>IFERROR(__xludf.DUMMYFUNCTION("""COMPUTED_VALUE"""),"Sports")</f>
        <v>Sports</v>
      </c>
      <c r="N423" s="25"/>
      <c r="O423" s="26" t="str">
        <f>IFERROR(__xludf.DUMMYFUNCTION("""COMPUTED_VALUE"""),"No")</f>
        <v>No</v>
      </c>
      <c r="P423" s="26"/>
    </row>
    <row r="424">
      <c r="A424" s="13" t="str">
        <f>IFERROR(__xludf.DUMMYFUNCTION("""COMPUTED_VALUE"""),"Lumo")</f>
        <v>Lumo</v>
      </c>
      <c r="B424" s="15" t="str">
        <f>IFERROR(__xludf.DUMMYFUNCTION("""COMPUTED_VALUE"""),"PS4/Vita")</f>
        <v>PS4/Vita</v>
      </c>
      <c r="C424" s="16" t="str">
        <f>IFERROR(__xludf.DUMMYFUNCTION("""COMPUTED_VALUE"""),"Playstation Plus (Discontinued)")</f>
        <v>Playstation Plus (Discontinued)</v>
      </c>
      <c r="D424" s="15" t="str">
        <f>IFERROR(__xludf.DUMMYFUNCTION("""COMPUTED_VALUE"""),"Removed")</f>
        <v>Removed</v>
      </c>
      <c r="E424" s="17">
        <f>IFERROR(__xludf.DUMMYFUNCTION("""COMPUTED_VALUE"""),42801.0)</f>
        <v>42801</v>
      </c>
      <c r="F424" s="54">
        <f>IFERROR(__xludf.DUMMYFUNCTION("""COMPUTED_VALUE"""),42828.0)</f>
        <v>42828</v>
      </c>
      <c r="G424" s="19">
        <f>IFERROR(__xludf.DUMMYFUNCTION("""COMPUTED_VALUE"""),0.8666666666666666)</f>
        <v>0.8666666667</v>
      </c>
      <c r="H424" s="17">
        <f>IFERROR(__xludf.DUMMYFUNCTION("""COMPUTED_VALUE"""),42514.0)</f>
        <v>42514</v>
      </c>
      <c r="I424" s="19">
        <f>IFERROR(__xludf.DUMMYFUNCTION("""COMPUTED_VALUE"""),0.7861111111111111)</f>
        <v>0.7861111111</v>
      </c>
      <c r="J424" s="21">
        <f>IFERROR(__xludf.DUMMYFUNCTION("""COMPUTED_VALUE"""),73.0)</f>
        <v>73</v>
      </c>
      <c r="K424" s="23">
        <f>IFERROR(__xludf.DUMMYFUNCTION("""COMPUTED_VALUE"""),7.0)</f>
        <v>7</v>
      </c>
      <c r="L424" s="24">
        <f>IFERROR(__xludf.DUMMYFUNCTION("""COMPUTED_VALUE"""),8.0)</f>
        <v>8</v>
      </c>
      <c r="M424" s="25" t="str">
        <f>IFERROR(__xludf.DUMMYFUNCTION("""COMPUTED_VALUE"""),"Action-Adventure")</f>
        <v>Action-Adventure</v>
      </c>
      <c r="N424" s="25"/>
      <c r="O424" s="26" t="str">
        <f>IFERROR(__xludf.DUMMYFUNCTION("""COMPUTED_VALUE"""),"No")</f>
        <v>No</v>
      </c>
      <c r="P424" s="26"/>
    </row>
    <row r="425">
      <c r="A425" s="13" t="str">
        <f>IFERROR(__xludf.DUMMYFUNCTION("""COMPUTED_VALUE"""),"Under Night In-Birth Exe:Late")</f>
        <v>Under Night In-Birth Exe:Late</v>
      </c>
      <c r="B425" s="15" t="str">
        <f>IFERROR(__xludf.DUMMYFUNCTION("""COMPUTED_VALUE"""),"PS3")</f>
        <v>PS3</v>
      </c>
      <c r="C425" s="16" t="str">
        <f>IFERROR(__xludf.DUMMYFUNCTION("""COMPUTED_VALUE"""),"Playstation Plus (Discontinued)")</f>
        <v>Playstation Plus (Discontinued)</v>
      </c>
      <c r="D425" s="15" t="str">
        <f>IFERROR(__xludf.DUMMYFUNCTION("""COMPUTED_VALUE"""),"Removed")</f>
        <v>Removed</v>
      </c>
      <c r="E425" s="17">
        <f>IFERROR(__xludf.DUMMYFUNCTION("""COMPUTED_VALUE"""),42801.0)</f>
        <v>42801</v>
      </c>
      <c r="F425" s="54">
        <f>IFERROR(__xludf.DUMMYFUNCTION("""COMPUTED_VALUE"""),42828.0)</f>
        <v>42828</v>
      </c>
      <c r="G425" s="19">
        <f>IFERROR(__xludf.DUMMYFUNCTION("""COMPUTED_VALUE"""),0.8666666666666666)</f>
        <v>0.8666666667</v>
      </c>
      <c r="H425" s="17">
        <f>IFERROR(__xludf.DUMMYFUNCTION("""COMPUTED_VALUE"""),42059.0)</f>
        <v>42059</v>
      </c>
      <c r="I425" s="19">
        <f>IFERROR(__xludf.DUMMYFUNCTION("""COMPUTED_VALUE"""),2.036111111111111)</f>
        <v>2.036111111</v>
      </c>
      <c r="J425" s="21">
        <f>IFERROR(__xludf.DUMMYFUNCTION("""COMPUTED_VALUE"""),80.0)</f>
        <v>80</v>
      </c>
      <c r="K425" s="23">
        <f>IFERROR(__xludf.DUMMYFUNCTION("""COMPUTED_VALUE"""),7.7)</f>
        <v>7.7</v>
      </c>
      <c r="L425" s="24"/>
      <c r="M425" s="25" t="str">
        <f>IFERROR(__xludf.DUMMYFUNCTION("""COMPUTED_VALUE"""),"Fighting")</f>
        <v>Fighting</v>
      </c>
      <c r="N425" s="25"/>
      <c r="O425" s="26" t="str">
        <f>IFERROR(__xludf.DUMMYFUNCTION("""COMPUTED_VALUE"""),"No")</f>
        <v>No</v>
      </c>
      <c r="P425" s="26"/>
    </row>
    <row r="426">
      <c r="A426" s="13" t="str">
        <f>IFERROR(__xludf.DUMMYFUNCTION("""COMPUTED_VALUE"""),"Earth Defense Force 2025")</f>
        <v>Earth Defense Force 2025</v>
      </c>
      <c r="B426" s="15" t="str">
        <f>IFERROR(__xludf.DUMMYFUNCTION("""COMPUTED_VALUE"""),"PS3")</f>
        <v>PS3</v>
      </c>
      <c r="C426" s="16" t="str">
        <f>IFERROR(__xludf.DUMMYFUNCTION("""COMPUTED_VALUE"""),"Playstation Plus (Discontinued)")</f>
        <v>Playstation Plus (Discontinued)</v>
      </c>
      <c r="D426" s="15" t="str">
        <f>IFERROR(__xludf.DUMMYFUNCTION("""COMPUTED_VALUE"""),"Removed")</f>
        <v>Removed</v>
      </c>
      <c r="E426" s="17">
        <f>IFERROR(__xludf.DUMMYFUNCTION("""COMPUTED_VALUE"""),42801.0)</f>
        <v>42801</v>
      </c>
      <c r="F426" s="54">
        <f>IFERROR(__xludf.DUMMYFUNCTION("""COMPUTED_VALUE"""),42828.0)</f>
        <v>42828</v>
      </c>
      <c r="G426" s="19">
        <f>IFERROR(__xludf.DUMMYFUNCTION("""COMPUTED_VALUE"""),0.8666666666666666)</f>
        <v>0.8666666667</v>
      </c>
      <c r="H426" s="17">
        <f>IFERROR(__xludf.DUMMYFUNCTION("""COMPUTED_VALUE"""),41688.0)</f>
        <v>41688</v>
      </c>
      <c r="I426" s="19">
        <f>IFERROR(__xludf.DUMMYFUNCTION("""COMPUTED_VALUE"""),3.0527777777777776)</f>
        <v>3.052777778</v>
      </c>
      <c r="J426" s="21">
        <f>IFERROR(__xludf.DUMMYFUNCTION("""COMPUTED_VALUE"""),69.0)</f>
        <v>69</v>
      </c>
      <c r="K426" s="23">
        <f>IFERROR(__xludf.DUMMYFUNCTION("""COMPUTED_VALUE"""),7.8)</f>
        <v>7.8</v>
      </c>
      <c r="L426" s="24">
        <f>IFERROR(__xludf.DUMMYFUNCTION("""COMPUTED_VALUE"""),15.0)</f>
        <v>15</v>
      </c>
      <c r="M426" s="25" t="str">
        <f>IFERROR(__xludf.DUMMYFUNCTION("""COMPUTED_VALUE"""),"Shooter")</f>
        <v>Shooter</v>
      </c>
      <c r="N426" s="25"/>
      <c r="O426" s="26" t="str">
        <f>IFERROR(__xludf.DUMMYFUNCTION("""COMPUTED_VALUE"""),"No")</f>
        <v>No</v>
      </c>
      <c r="P426" s="26"/>
    </row>
    <row r="427">
      <c r="A427" s="13" t="str">
        <f>IFERROR(__xludf.DUMMYFUNCTION("""COMPUTED_VALUE"""),"Severed")</f>
        <v>Severed</v>
      </c>
      <c r="B427" s="15" t="str">
        <f>IFERROR(__xludf.DUMMYFUNCTION("""COMPUTED_VALUE"""),"Vita")</f>
        <v>Vita</v>
      </c>
      <c r="C427" s="16" t="str">
        <f>IFERROR(__xludf.DUMMYFUNCTION("""COMPUTED_VALUE"""),"Playstation Plus (Discontinued)")</f>
        <v>Playstation Plus (Discontinued)</v>
      </c>
      <c r="D427" s="15" t="str">
        <f>IFERROR(__xludf.DUMMYFUNCTION("""COMPUTED_VALUE"""),"Removed")</f>
        <v>Removed</v>
      </c>
      <c r="E427" s="17">
        <f>IFERROR(__xludf.DUMMYFUNCTION("""COMPUTED_VALUE"""),42801.0)</f>
        <v>42801</v>
      </c>
      <c r="F427" s="54">
        <f>IFERROR(__xludf.DUMMYFUNCTION("""COMPUTED_VALUE"""),42828.0)</f>
        <v>42828</v>
      </c>
      <c r="G427" s="19">
        <f>IFERROR(__xludf.DUMMYFUNCTION("""COMPUTED_VALUE"""),0.8666666666666666)</f>
        <v>0.8666666667</v>
      </c>
      <c r="H427" s="17">
        <f>IFERROR(__xludf.DUMMYFUNCTION("""COMPUTED_VALUE"""),42486.0)</f>
        <v>42486</v>
      </c>
      <c r="I427" s="19">
        <f>IFERROR(__xludf.DUMMYFUNCTION("""COMPUTED_VALUE"""),0.8638888888888889)</f>
        <v>0.8638888889</v>
      </c>
      <c r="J427" s="21">
        <f>IFERROR(__xludf.DUMMYFUNCTION("""COMPUTED_VALUE"""),82.0)</f>
        <v>82</v>
      </c>
      <c r="K427" s="23">
        <f>IFERROR(__xludf.DUMMYFUNCTION("""COMPUTED_VALUE"""),7.7)</f>
        <v>7.7</v>
      </c>
      <c r="L427" s="24">
        <f>IFERROR(__xludf.DUMMYFUNCTION("""COMPUTED_VALUE"""),5.0)</f>
        <v>5</v>
      </c>
      <c r="M427" s="25" t="str">
        <f>IFERROR(__xludf.DUMMYFUNCTION("""COMPUTED_VALUE"""),"Action-Adventure")</f>
        <v>Action-Adventure</v>
      </c>
      <c r="N427" s="25"/>
      <c r="O427" s="26" t="str">
        <f>IFERROR(__xludf.DUMMYFUNCTION("""COMPUTED_VALUE"""),"No")</f>
        <v>No</v>
      </c>
      <c r="P427" s="26"/>
    </row>
    <row r="428">
      <c r="A428" s="13" t="str">
        <f>IFERROR(__xludf.DUMMYFUNCTION("""COMPUTED_VALUE"""),"LittleBigPlanet 3")</f>
        <v>LittleBigPlanet 3</v>
      </c>
      <c r="B428" s="15" t="str">
        <f>IFERROR(__xludf.DUMMYFUNCTION("""COMPUTED_VALUE"""),"PS4")</f>
        <v>PS4</v>
      </c>
      <c r="C428" s="16" t="str">
        <f>IFERROR(__xludf.DUMMYFUNCTION("""COMPUTED_VALUE"""),"Playstation Plus (Discontinued)")</f>
        <v>Playstation Plus (Discontinued)</v>
      </c>
      <c r="D428" s="15" t="str">
        <f>IFERROR(__xludf.DUMMYFUNCTION("""COMPUTED_VALUE"""),"Removed")</f>
        <v>Removed</v>
      </c>
      <c r="E428" s="17">
        <f>IFERROR(__xludf.DUMMYFUNCTION("""COMPUTED_VALUE"""),42773.0)</f>
        <v>42773</v>
      </c>
      <c r="F428" s="54">
        <f>IFERROR(__xludf.DUMMYFUNCTION("""COMPUTED_VALUE"""),42800.0)</f>
        <v>42800</v>
      </c>
      <c r="G428" s="19">
        <f>IFERROR(__xludf.DUMMYFUNCTION("""COMPUTED_VALUE"""),0.9666666666666668)</f>
        <v>0.9666666667</v>
      </c>
      <c r="H428" s="17">
        <f>IFERROR(__xludf.DUMMYFUNCTION("""COMPUTED_VALUE"""),41961.0)</f>
        <v>41961</v>
      </c>
      <c r="I428" s="19">
        <f>IFERROR(__xludf.DUMMYFUNCTION("""COMPUTED_VALUE"""),2.2194444444444446)</f>
        <v>2.219444444</v>
      </c>
      <c r="J428" s="21">
        <f>IFERROR(__xludf.DUMMYFUNCTION("""COMPUTED_VALUE"""),79.0)</f>
        <v>79</v>
      </c>
      <c r="K428" s="23">
        <f>IFERROR(__xludf.DUMMYFUNCTION("""COMPUTED_VALUE"""),7.5)</f>
        <v>7.5</v>
      </c>
      <c r="L428" s="24">
        <f>IFERROR(__xludf.DUMMYFUNCTION("""COMPUTED_VALUE"""),9.0)</f>
        <v>9</v>
      </c>
      <c r="M428" s="25" t="str">
        <f>IFERROR(__xludf.DUMMYFUNCTION("""COMPUTED_VALUE"""),"Platformer")</f>
        <v>Platformer</v>
      </c>
      <c r="N428" s="25"/>
      <c r="O428" s="26" t="str">
        <f>IFERROR(__xludf.DUMMYFUNCTION("""COMPUTED_VALUE"""),"No")</f>
        <v>No</v>
      </c>
      <c r="P428" s="26"/>
    </row>
    <row r="429">
      <c r="A429" s="13" t="str">
        <f>IFERROR(__xludf.DUMMYFUNCTION("""COMPUTED_VALUE"""),"Not a Hero")</f>
        <v>Not a Hero</v>
      </c>
      <c r="B429" s="15" t="str">
        <f>IFERROR(__xludf.DUMMYFUNCTION("""COMPUTED_VALUE"""),"PS4")</f>
        <v>PS4</v>
      </c>
      <c r="C429" s="16" t="str">
        <f>IFERROR(__xludf.DUMMYFUNCTION("""COMPUTED_VALUE"""),"Playstation Plus (Discontinued)")</f>
        <v>Playstation Plus (Discontinued)</v>
      </c>
      <c r="D429" s="15" t="str">
        <f>IFERROR(__xludf.DUMMYFUNCTION("""COMPUTED_VALUE"""),"Removed")</f>
        <v>Removed</v>
      </c>
      <c r="E429" s="17">
        <f>IFERROR(__xludf.DUMMYFUNCTION("""COMPUTED_VALUE"""),42773.0)</f>
        <v>42773</v>
      </c>
      <c r="F429" s="54">
        <f>IFERROR(__xludf.DUMMYFUNCTION("""COMPUTED_VALUE"""),42800.0)</f>
        <v>42800</v>
      </c>
      <c r="G429" s="19">
        <f>IFERROR(__xludf.DUMMYFUNCTION("""COMPUTED_VALUE"""),0.9666666666666668)</f>
        <v>0.9666666667</v>
      </c>
      <c r="H429" s="17">
        <f>IFERROR(__xludf.DUMMYFUNCTION("""COMPUTED_VALUE"""),42131.0)</f>
        <v>42131</v>
      </c>
      <c r="I429" s="19">
        <f>IFERROR(__xludf.DUMMYFUNCTION("""COMPUTED_VALUE"""),1.75)</f>
        <v>1.75</v>
      </c>
      <c r="J429" s="21">
        <f>IFERROR(__xludf.DUMMYFUNCTION("""COMPUTED_VALUE"""),74.0)</f>
        <v>74</v>
      </c>
      <c r="K429" s="23">
        <f>IFERROR(__xludf.DUMMYFUNCTION("""COMPUTED_VALUE"""),7.4)</f>
        <v>7.4</v>
      </c>
      <c r="L429" s="24">
        <f>IFERROR(__xludf.DUMMYFUNCTION("""COMPUTED_VALUE"""),4.0)</f>
        <v>4</v>
      </c>
      <c r="M429" s="25" t="str">
        <f>IFERROR(__xludf.DUMMYFUNCTION("""COMPUTED_VALUE"""),"Shooter")</f>
        <v>Shooter</v>
      </c>
      <c r="N429" s="25"/>
      <c r="O429" s="26" t="str">
        <f>IFERROR(__xludf.DUMMYFUNCTION("""COMPUTED_VALUE"""),"No")</f>
        <v>No</v>
      </c>
      <c r="P429" s="26"/>
    </row>
    <row r="430">
      <c r="A430" s="13" t="str">
        <f>IFERROR(__xludf.DUMMYFUNCTION("""COMPUTED_VALUE"""),"Starwhal")</f>
        <v>Starwhal</v>
      </c>
      <c r="B430" s="15" t="str">
        <f>IFERROR(__xludf.DUMMYFUNCTION("""COMPUTED_VALUE"""),"PS4/PS3")</f>
        <v>PS4/PS3</v>
      </c>
      <c r="C430" s="16" t="str">
        <f>IFERROR(__xludf.DUMMYFUNCTION("""COMPUTED_VALUE"""),"Playstation Plus (Discontinued)")</f>
        <v>Playstation Plus (Discontinued)</v>
      </c>
      <c r="D430" s="15" t="str">
        <f>IFERROR(__xludf.DUMMYFUNCTION("""COMPUTED_VALUE"""),"Removed")</f>
        <v>Removed</v>
      </c>
      <c r="E430" s="17">
        <f>IFERROR(__xludf.DUMMYFUNCTION("""COMPUTED_VALUE"""),42773.0)</f>
        <v>42773</v>
      </c>
      <c r="F430" s="54">
        <f>IFERROR(__xludf.DUMMYFUNCTION("""COMPUTED_VALUE"""),42800.0)</f>
        <v>42800</v>
      </c>
      <c r="G430" s="19">
        <f>IFERROR(__xludf.DUMMYFUNCTION("""COMPUTED_VALUE"""),0.9666666666666668)</f>
        <v>0.9666666667</v>
      </c>
      <c r="H430" s="17">
        <f>IFERROR(__xludf.DUMMYFUNCTION("""COMPUTED_VALUE"""),41906.0)</f>
        <v>41906</v>
      </c>
      <c r="I430" s="19">
        <f>IFERROR(__xludf.DUMMYFUNCTION("""COMPUTED_VALUE"""),2.3694444444444445)</f>
        <v>2.369444444</v>
      </c>
      <c r="J430" s="21">
        <f>IFERROR(__xludf.DUMMYFUNCTION("""COMPUTED_VALUE"""),78.0)</f>
        <v>78</v>
      </c>
      <c r="K430" s="23">
        <f>IFERROR(__xludf.DUMMYFUNCTION("""COMPUTED_VALUE"""),7.3)</f>
        <v>7.3</v>
      </c>
      <c r="L430" s="24"/>
      <c r="M430" s="25" t="str">
        <f>IFERROR(__xludf.DUMMYFUNCTION("""COMPUTED_VALUE"""),"Party")</f>
        <v>Party</v>
      </c>
      <c r="N430" s="25"/>
      <c r="O430" s="26" t="str">
        <f>IFERROR(__xludf.DUMMYFUNCTION("""COMPUTED_VALUE"""),"No")</f>
        <v>No</v>
      </c>
      <c r="P430" s="26"/>
    </row>
    <row r="431">
      <c r="A431" s="13" t="str">
        <f>IFERROR(__xludf.DUMMYFUNCTION("""COMPUTED_VALUE"""),"Anna: Extended Edition")</f>
        <v>Anna: Extended Edition</v>
      </c>
      <c r="B431" s="15" t="str">
        <f>IFERROR(__xludf.DUMMYFUNCTION("""COMPUTED_VALUE"""),"PS3")</f>
        <v>PS3</v>
      </c>
      <c r="C431" s="16" t="str">
        <f>IFERROR(__xludf.DUMMYFUNCTION("""COMPUTED_VALUE"""),"Playstation Plus (Discontinued)")</f>
        <v>Playstation Plus (Discontinued)</v>
      </c>
      <c r="D431" s="15" t="str">
        <f>IFERROR(__xludf.DUMMYFUNCTION("""COMPUTED_VALUE"""),"Removed")</f>
        <v>Removed</v>
      </c>
      <c r="E431" s="17">
        <f>IFERROR(__xludf.DUMMYFUNCTION("""COMPUTED_VALUE"""),42773.0)</f>
        <v>42773</v>
      </c>
      <c r="F431" s="54">
        <f>IFERROR(__xludf.DUMMYFUNCTION("""COMPUTED_VALUE"""),42800.0)</f>
        <v>42800</v>
      </c>
      <c r="G431" s="19">
        <f>IFERROR(__xludf.DUMMYFUNCTION("""COMPUTED_VALUE"""),0.9666666666666668)</f>
        <v>0.9666666667</v>
      </c>
      <c r="H431" s="17">
        <f>IFERROR(__xludf.DUMMYFUNCTION("""COMPUTED_VALUE"""),41548.0)</f>
        <v>41548</v>
      </c>
      <c r="I431" s="19">
        <f>IFERROR(__xludf.DUMMYFUNCTION("""COMPUTED_VALUE"""),3.35)</f>
        <v>3.35</v>
      </c>
      <c r="J431" s="21">
        <f>IFERROR(__xludf.DUMMYFUNCTION("""COMPUTED_VALUE"""),56.0)</f>
        <v>56</v>
      </c>
      <c r="K431" s="23">
        <f>IFERROR(__xludf.DUMMYFUNCTION("""COMPUTED_VALUE"""),6.0)</f>
        <v>6</v>
      </c>
      <c r="L431" s="24">
        <f>IFERROR(__xludf.DUMMYFUNCTION("""COMPUTED_VALUE"""),3.0)</f>
        <v>3</v>
      </c>
      <c r="M431" s="25" t="str">
        <f>IFERROR(__xludf.DUMMYFUNCTION("""COMPUTED_VALUE"""),"Horror")</f>
        <v>Horror</v>
      </c>
      <c r="N431" s="25"/>
      <c r="O431" s="26" t="str">
        <f>IFERROR(__xludf.DUMMYFUNCTION("""COMPUTED_VALUE"""),"No")</f>
        <v>No</v>
      </c>
      <c r="P431" s="26"/>
    </row>
    <row r="432">
      <c r="A432" s="13" t="str">
        <f>IFERROR(__xludf.DUMMYFUNCTION("""COMPUTED_VALUE"""),"Ninja Senki DX")</f>
        <v>Ninja Senki DX</v>
      </c>
      <c r="B432" s="15" t="str">
        <f>IFERROR(__xludf.DUMMYFUNCTION("""COMPUTED_VALUE"""),"PS4/Vita")</f>
        <v>PS4/Vita</v>
      </c>
      <c r="C432" s="16" t="str">
        <f>IFERROR(__xludf.DUMMYFUNCTION("""COMPUTED_VALUE"""),"Playstation Plus (Discontinued)")</f>
        <v>Playstation Plus (Discontinued)</v>
      </c>
      <c r="D432" s="15" t="str">
        <f>IFERROR(__xludf.DUMMYFUNCTION("""COMPUTED_VALUE"""),"Removed")</f>
        <v>Removed</v>
      </c>
      <c r="E432" s="17">
        <f>IFERROR(__xludf.DUMMYFUNCTION("""COMPUTED_VALUE"""),42773.0)</f>
        <v>42773</v>
      </c>
      <c r="F432" s="54">
        <f>IFERROR(__xludf.DUMMYFUNCTION("""COMPUTED_VALUE"""),42800.0)</f>
        <v>42800</v>
      </c>
      <c r="G432" s="19">
        <f>IFERROR(__xludf.DUMMYFUNCTION("""COMPUTED_VALUE"""),0.9666666666666668)</f>
        <v>0.9666666667</v>
      </c>
      <c r="H432" s="17">
        <f>IFERROR(__xludf.DUMMYFUNCTION("""COMPUTED_VALUE"""),42423.0)</f>
        <v>42423</v>
      </c>
      <c r="I432" s="19">
        <f>IFERROR(__xludf.DUMMYFUNCTION("""COMPUTED_VALUE"""),0.9555555555555556)</f>
        <v>0.9555555556</v>
      </c>
      <c r="J432" s="21">
        <f>IFERROR(__xludf.DUMMYFUNCTION("""COMPUTED_VALUE"""),64.0)</f>
        <v>64</v>
      </c>
      <c r="K432" s="23">
        <f>IFERROR(__xludf.DUMMYFUNCTION("""COMPUTED_VALUE"""),7.0)</f>
        <v>7</v>
      </c>
      <c r="L432" s="24">
        <f>IFERROR(__xludf.DUMMYFUNCTION("""COMPUTED_VALUE"""),3.0)</f>
        <v>3</v>
      </c>
      <c r="M432" s="25" t="str">
        <f>IFERROR(__xludf.DUMMYFUNCTION("""COMPUTED_VALUE"""),"Platformer")</f>
        <v>Platformer</v>
      </c>
      <c r="N432" s="25"/>
      <c r="O432" s="26" t="str">
        <f>IFERROR(__xludf.DUMMYFUNCTION("""COMPUTED_VALUE"""),"No")</f>
        <v>No</v>
      </c>
      <c r="P432" s="26"/>
    </row>
    <row r="433">
      <c r="A433" s="13" t="str">
        <f>IFERROR(__xludf.DUMMYFUNCTION("""COMPUTED_VALUE"""),"TorqueL")</f>
        <v>TorqueL</v>
      </c>
      <c r="B433" s="15" t="str">
        <f>IFERROR(__xludf.DUMMYFUNCTION("""COMPUTED_VALUE"""),"PS4/Vita")</f>
        <v>PS4/Vita</v>
      </c>
      <c r="C433" s="16" t="str">
        <f>IFERROR(__xludf.DUMMYFUNCTION("""COMPUTED_VALUE"""),"Playstation Plus (Discontinued)")</f>
        <v>Playstation Plus (Discontinued)</v>
      </c>
      <c r="D433" s="15" t="str">
        <f>IFERROR(__xludf.DUMMYFUNCTION("""COMPUTED_VALUE"""),"Removed")</f>
        <v>Removed</v>
      </c>
      <c r="E433" s="17">
        <f>IFERROR(__xludf.DUMMYFUNCTION("""COMPUTED_VALUE"""),42773.0)</f>
        <v>42773</v>
      </c>
      <c r="F433" s="54">
        <f>IFERROR(__xludf.DUMMYFUNCTION("""COMPUTED_VALUE"""),42800.0)</f>
        <v>42800</v>
      </c>
      <c r="G433" s="19">
        <f>IFERROR(__xludf.DUMMYFUNCTION("""COMPUTED_VALUE"""),0.9666666666666668)</f>
        <v>0.9666666667</v>
      </c>
      <c r="H433" s="17">
        <f>IFERROR(__xludf.DUMMYFUNCTION("""COMPUTED_VALUE"""),42018.0)</f>
        <v>42018</v>
      </c>
      <c r="I433" s="19">
        <f>IFERROR(__xludf.DUMMYFUNCTION("""COMPUTED_VALUE"""),2.063888888888889)</f>
        <v>2.063888889</v>
      </c>
      <c r="J433" s="21">
        <f>IFERROR(__xludf.DUMMYFUNCTION("""COMPUTED_VALUE"""),58.0)</f>
        <v>58</v>
      </c>
      <c r="K433" s="23">
        <f>IFERROR(__xludf.DUMMYFUNCTION("""COMPUTED_VALUE"""),6.5)</f>
        <v>6.5</v>
      </c>
      <c r="L433" s="24">
        <f>IFERROR(__xludf.DUMMYFUNCTION("""COMPUTED_VALUE"""),2.0)</f>
        <v>2</v>
      </c>
      <c r="M433" s="25" t="str">
        <f>IFERROR(__xludf.DUMMYFUNCTION("""COMPUTED_VALUE"""),"Puzzle")</f>
        <v>Puzzle</v>
      </c>
      <c r="N433" s="25"/>
      <c r="O433" s="26" t="str">
        <f>IFERROR(__xludf.DUMMYFUNCTION("""COMPUTED_VALUE"""),"No")</f>
        <v>No</v>
      </c>
      <c r="P433" s="26"/>
    </row>
    <row r="434">
      <c r="A434" s="13" t="str">
        <f>IFERROR(__xludf.DUMMYFUNCTION("""COMPUTED_VALUE"""),"Day of the Tentacle Remastered")</f>
        <v>Day of the Tentacle Remastered</v>
      </c>
      <c r="B434" s="15" t="str">
        <f>IFERROR(__xludf.DUMMYFUNCTION("""COMPUTED_VALUE"""),"PS4/Vita")</f>
        <v>PS4/Vita</v>
      </c>
      <c r="C434" s="16" t="str">
        <f>IFERROR(__xludf.DUMMYFUNCTION("""COMPUTED_VALUE"""),"Playstation Plus (Discontinued)")</f>
        <v>Playstation Plus (Discontinued)</v>
      </c>
      <c r="D434" s="15" t="str">
        <f>IFERROR(__xludf.DUMMYFUNCTION("""COMPUTED_VALUE"""),"Removed")</f>
        <v>Removed</v>
      </c>
      <c r="E434" s="17">
        <f>IFERROR(__xludf.DUMMYFUNCTION("""COMPUTED_VALUE"""),42738.0)</f>
        <v>42738</v>
      </c>
      <c r="F434" s="54">
        <f>IFERROR(__xludf.DUMMYFUNCTION("""COMPUTED_VALUE"""),42772.0)</f>
        <v>42772</v>
      </c>
      <c r="G434" s="19">
        <f>IFERROR(__xludf.DUMMYFUNCTION("""COMPUTED_VALUE"""),1.0999999999999999)</f>
        <v>1.1</v>
      </c>
      <c r="H434" s="17">
        <f>IFERROR(__xludf.DUMMYFUNCTION("""COMPUTED_VALUE"""),42450.0)</f>
        <v>42450</v>
      </c>
      <c r="I434" s="19">
        <f>IFERROR(__xludf.DUMMYFUNCTION("""COMPUTED_VALUE"""),0.7833333333333333)</f>
        <v>0.7833333333</v>
      </c>
      <c r="J434" s="21">
        <f>IFERROR(__xludf.DUMMYFUNCTION("""COMPUTED_VALUE"""),86.0)</f>
        <v>86</v>
      </c>
      <c r="K434" s="23">
        <f>IFERROR(__xludf.DUMMYFUNCTION("""COMPUTED_VALUE"""),8.0)</f>
        <v>8</v>
      </c>
      <c r="L434" s="24">
        <f>IFERROR(__xludf.DUMMYFUNCTION("""COMPUTED_VALUE"""),5.0)</f>
        <v>5</v>
      </c>
      <c r="M434" s="25" t="str">
        <f>IFERROR(__xludf.DUMMYFUNCTION("""COMPUTED_VALUE"""),"Adventure")</f>
        <v>Adventure</v>
      </c>
      <c r="N434" s="25"/>
      <c r="O434" s="26" t="str">
        <f>IFERROR(__xludf.DUMMYFUNCTION("""COMPUTED_VALUE"""),"No")</f>
        <v>No</v>
      </c>
      <c r="P434" s="26"/>
    </row>
    <row r="435">
      <c r="A435" s="13" t="str">
        <f>IFERROR(__xludf.DUMMYFUNCTION("""COMPUTED_VALUE"""),"This War of Mine: The Little Ones")</f>
        <v>This War of Mine: The Little Ones</v>
      </c>
      <c r="B435" s="15" t="str">
        <f>IFERROR(__xludf.DUMMYFUNCTION("""COMPUTED_VALUE"""),"PS4")</f>
        <v>PS4</v>
      </c>
      <c r="C435" s="16" t="str">
        <f>IFERROR(__xludf.DUMMYFUNCTION("""COMPUTED_VALUE"""),"Playstation Plus (Discontinued)")</f>
        <v>Playstation Plus (Discontinued)</v>
      </c>
      <c r="D435" s="15" t="str">
        <f>IFERROR(__xludf.DUMMYFUNCTION("""COMPUTED_VALUE"""),"Removed")</f>
        <v>Removed</v>
      </c>
      <c r="E435" s="17">
        <f>IFERROR(__xludf.DUMMYFUNCTION("""COMPUTED_VALUE"""),42738.0)</f>
        <v>42738</v>
      </c>
      <c r="F435" s="54">
        <f>IFERROR(__xludf.DUMMYFUNCTION("""COMPUTED_VALUE"""),42772.0)</f>
        <v>42772</v>
      </c>
      <c r="G435" s="19">
        <f>IFERROR(__xludf.DUMMYFUNCTION("""COMPUTED_VALUE"""),1.0999999999999999)</f>
        <v>1.1</v>
      </c>
      <c r="H435" s="17">
        <f>IFERROR(__xludf.DUMMYFUNCTION("""COMPUTED_VALUE"""),42522.0)</f>
        <v>42522</v>
      </c>
      <c r="I435" s="19">
        <f>IFERROR(__xludf.DUMMYFUNCTION("""COMPUTED_VALUE"""),0.5888888888888889)</f>
        <v>0.5888888889</v>
      </c>
      <c r="J435" s="21">
        <f>IFERROR(__xludf.DUMMYFUNCTION("""COMPUTED_VALUE"""),76.0)</f>
        <v>76</v>
      </c>
      <c r="K435" s="23">
        <f>IFERROR(__xludf.DUMMYFUNCTION("""COMPUTED_VALUE"""),6.9)</f>
        <v>6.9</v>
      </c>
      <c r="L435" s="24">
        <f>IFERROR(__xludf.DUMMYFUNCTION("""COMPUTED_VALUE"""),10.0)</f>
        <v>10</v>
      </c>
      <c r="M435" s="25" t="str">
        <f>IFERROR(__xludf.DUMMYFUNCTION("""COMPUTED_VALUE"""),"Survival")</f>
        <v>Survival</v>
      </c>
      <c r="N435" s="25"/>
      <c r="O435" s="26" t="str">
        <f>IFERROR(__xludf.DUMMYFUNCTION("""COMPUTED_VALUE"""),"No")</f>
        <v>No</v>
      </c>
      <c r="P435" s="26"/>
    </row>
    <row r="436">
      <c r="A436" s="13" t="str">
        <f>IFERROR(__xludf.DUMMYFUNCTION("""COMPUTED_VALUE"""),"Blazerush")</f>
        <v>Blazerush</v>
      </c>
      <c r="B436" s="15" t="str">
        <f>IFERROR(__xludf.DUMMYFUNCTION("""COMPUTED_VALUE"""),"PS3")</f>
        <v>PS3</v>
      </c>
      <c r="C436" s="16" t="str">
        <f>IFERROR(__xludf.DUMMYFUNCTION("""COMPUTED_VALUE"""),"Playstation Plus (Discontinued)")</f>
        <v>Playstation Plus (Discontinued)</v>
      </c>
      <c r="D436" s="15" t="str">
        <f>IFERROR(__xludf.DUMMYFUNCTION("""COMPUTED_VALUE"""),"Removed")</f>
        <v>Removed</v>
      </c>
      <c r="E436" s="17">
        <f>IFERROR(__xludf.DUMMYFUNCTION("""COMPUTED_VALUE"""),42738.0)</f>
        <v>42738</v>
      </c>
      <c r="F436" s="54">
        <f>IFERROR(__xludf.DUMMYFUNCTION("""COMPUTED_VALUE"""),42772.0)</f>
        <v>42772</v>
      </c>
      <c r="G436" s="19">
        <f>IFERROR(__xludf.DUMMYFUNCTION("""COMPUTED_VALUE"""),1.0999999999999999)</f>
        <v>1.1</v>
      </c>
      <c r="H436" s="17">
        <f>IFERROR(__xludf.DUMMYFUNCTION("""COMPUTED_VALUE"""),41940.0)</f>
        <v>41940</v>
      </c>
      <c r="I436" s="19">
        <f>IFERROR(__xludf.DUMMYFUNCTION("""COMPUTED_VALUE"""),2.1805555555555554)</f>
        <v>2.180555556</v>
      </c>
      <c r="J436" s="21">
        <f>IFERROR(__xludf.DUMMYFUNCTION("""COMPUTED_VALUE"""),66.0)</f>
        <v>66</v>
      </c>
      <c r="K436" s="23">
        <f>IFERROR(__xludf.DUMMYFUNCTION("""COMPUTED_VALUE"""),8.5)</f>
        <v>8.5</v>
      </c>
      <c r="L436" s="24"/>
      <c r="M436" s="25" t="str">
        <f>IFERROR(__xludf.DUMMYFUNCTION("""COMPUTED_VALUE"""),"Racing")</f>
        <v>Racing</v>
      </c>
      <c r="N436" s="25"/>
      <c r="O436" s="26" t="str">
        <f>IFERROR(__xludf.DUMMYFUNCTION("""COMPUTED_VALUE"""),"No")</f>
        <v>No</v>
      </c>
      <c r="P436" s="26"/>
    </row>
    <row r="437">
      <c r="A437" s="13" t="str">
        <f>IFERROR(__xludf.DUMMYFUNCTION("""COMPUTED_VALUE"""),"The Swindle")</f>
        <v>The Swindle</v>
      </c>
      <c r="B437" s="15" t="str">
        <f>IFERROR(__xludf.DUMMYFUNCTION("""COMPUTED_VALUE"""),"PS4/PS3/Vita")</f>
        <v>PS4/PS3/Vita</v>
      </c>
      <c r="C437" s="16" t="str">
        <f>IFERROR(__xludf.DUMMYFUNCTION("""COMPUTED_VALUE"""),"Playstation Plus (Discontinued)")</f>
        <v>Playstation Plus (Discontinued)</v>
      </c>
      <c r="D437" s="15" t="str">
        <f>IFERROR(__xludf.DUMMYFUNCTION("""COMPUTED_VALUE"""),"Removed")</f>
        <v>Removed</v>
      </c>
      <c r="E437" s="17">
        <f>IFERROR(__xludf.DUMMYFUNCTION("""COMPUTED_VALUE"""),42738.0)</f>
        <v>42738</v>
      </c>
      <c r="F437" s="54">
        <f>IFERROR(__xludf.DUMMYFUNCTION("""COMPUTED_VALUE"""),42772.0)</f>
        <v>42772</v>
      </c>
      <c r="G437" s="19">
        <f>IFERROR(__xludf.DUMMYFUNCTION("""COMPUTED_VALUE"""),1.0999999999999999)</f>
        <v>1.1</v>
      </c>
      <c r="H437" s="17">
        <f>IFERROR(__xludf.DUMMYFUNCTION("""COMPUTED_VALUE"""),42213.0)</f>
        <v>42213</v>
      </c>
      <c r="I437" s="19">
        <f>IFERROR(__xludf.DUMMYFUNCTION("""COMPUTED_VALUE"""),1.4305555555555556)</f>
        <v>1.430555556</v>
      </c>
      <c r="J437" s="21">
        <f>IFERROR(__xludf.DUMMYFUNCTION("""COMPUTED_VALUE"""),70.0)</f>
        <v>70</v>
      </c>
      <c r="K437" s="23">
        <f>IFERROR(__xludf.DUMMYFUNCTION("""COMPUTED_VALUE"""),7.0)</f>
        <v>7</v>
      </c>
      <c r="L437" s="24">
        <f>IFERROR(__xludf.DUMMYFUNCTION("""COMPUTED_VALUE"""),5.0)</f>
        <v>5</v>
      </c>
      <c r="M437" s="25" t="str">
        <f>IFERROR(__xludf.DUMMYFUNCTION("""COMPUTED_VALUE"""),"Platformer")</f>
        <v>Platformer</v>
      </c>
      <c r="N437" s="25"/>
      <c r="O437" s="26" t="str">
        <f>IFERROR(__xludf.DUMMYFUNCTION("""COMPUTED_VALUE"""),"No")</f>
        <v>No</v>
      </c>
      <c r="P437" s="26"/>
    </row>
    <row r="438">
      <c r="A438" s="13" t="str">
        <f>IFERROR(__xludf.DUMMYFUNCTION("""COMPUTED_VALUE"""),"Azkend 2")</f>
        <v>Azkend 2</v>
      </c>
      <c r="B438" s="15" t="str">
        <f>IFERROR(__xludf.DUMMYFUNCTION("""COMPUTED_VALUE"""),"PS4/Vita")</f>
        <v>PS4/Vita</v>
      </c>
      <c r="C438" s="16" t="str">
        <f>IFERROR(__xludf.DUMMYFUNCTION("""COMPUTED_VALUE"""),"Playstation Plus (Discontinued)")</f>
        <v>Playstation Plus (Discontinued)</v>
      </c>
      <c r="D438" s="15" t="str">
        <f>IFERROR(__xludf.DUMMYFUNCTION("""COMPUTED_VALUE"""),"Removed")</f>
        <v>Removed</v>
      </c>
      <c r="E438" s="17">
        <f>IFERROR(__xludf.DUMMYFUNCTION("""COMPUTED_VALUE"""),42738.0)</f>
        <v>42738</v>
      </c>
      <c r="F438" s="54">
        <f>IFERROR(__xludf.DUMMYFUNCTION("""COMPUTED_VALUE"""),42772.0)</f>
        <v>42772</v>
      </c>
      <c r="G438" s="19">
        <f>IFERROR(__xludf.DUMMYFUNCTION("""COMPUTED_VALUE"""),1.0999999999999999)</f>
        <v>1.1</v>
      </c>
      <c r="H438" s="17">
        <f>IFERROR(__xludf.DUMMYFUNCTION("""COMPUTED_VALUE"""),40982.0)</f>
        <v>40982</v>
      </c>
      <c r="I438" s="19">
        <f>IFERROR(__xludf.DUMMYFUNCTION("""COMPUTED_VALUE"""),4.802777777777778)</f>
        <v>4.802777778</v>
      </c>
      <c r="J438" s="21">
        <f>IFERROR(__xludf.DUMMYFUNCTION("""COMPUTED_VALUE"""),68.0)</f>
        <v>68</v>
      </c>
      <c r="K438" s="23"/>
      <c r="L438" s="24">
        <f>IFERROR(__xludf.DUMMYFUNCTION("""COMPUTED_VALUE"""),3.0)</f>
        <v>3</v>
      </c>
      <c r="M438" s="25" t="str">
        <f>IFERROR(__xludf.DUMMYFUNCTION("""COMPUTED_VALUE"""),"Matching Puzzle")</f>
        <v>Matching Puzzle</v>
      </c>
      <c r="N438" s="25"/>
      <c r="O438" s="26" t="str">
        <f>IFERROR(__xludf.DUMMYFUNCTION("""COMPUTED_VALUE"""),"No")</f>
        <v>No</v>
      </c>
      <c r="P438" s="26"/>
    </row>
    <row r="439">
      <c r="A439" s="13" t="str">
        <f>IFERROR(__xludf.DUMMYFUNCTION("""COMPUTED_VALUE"""),"Titan Souls")</f>
        <v>Titan Souls</v>
      </c>
      <c r="B439" s="15" t="str">
        <f>IFERROR(__xludf.DUMMYFUNCTION("""COMPUTED_VALUE"""),"PS4/Vita")</f>
        <v>PS4/Vita</v>
      </c>
      <c r="C439" s="16" t="str">
        <f>IFERROR(__xludf.DUMMYFUNCTION("""COMPUTED_VALUE"""),"Playstation Plus (Discontinued)")</f>
        <v>Playstation Plus (Discontinued)</v>
      </c>
      <c r="D439" s="15" t="str">
        <f>IFERROR(__xludf.DUMMYFUNCTION("""COMPUTED_VALUE"""),"Removed")</f>
        <v>Removed</v>
      </c>
      <c r="E439" s="17">
        <f>IFERROR(__xludf.DUMMYFUNCTION("""COMPUTED_VALUE"""),42738.0)</f>
        <v>42738</v>
      </c>
      <c r="F439" s="54">
        <f>IFERROR(__xludf.DUMMYFUNCTION("""COMPUTED_VALUE"""),42772.0)</f>
        <v>42772</v>
      </c>
      <c r="G439" s="19">
        <f>IFERROR(__xludf.DUMMYFUNCTION("""COMPUTED_VALUE"""),1.0999999999999999)</f>
        <v>1.1</v>
      </c>
      <c r="H439" s="17">
        <f>IFERROR(__xludf.DUMMYFUNCTION("""COMPUTED_VALUE"""),42108.0)</f>
        <v>42108</v>
      </c>
      <c r="I439" s="19">
        <f>IFERROR(__xludf.DUMMYFUNCTION("""COMPUTED_VALUE"""),1.7194444444444446)</f>
        <v>1.719444444</v>
      </c>
      <c r="J439" s="21">
        <f>IFERROR(__xludf.DUMMYFUNCTION("""COMPUTED_VALUE"""),74.0)</f>
        <v>74</v>
      </c>
      <c r="K439" s="23">
        <f>IFERROR(__xludf.DUMMYFUNCTION("""COMPUTED_VALUE"""),6.2)</f>
        <v>6.2</v>
      </c>
      <c r="L439" s="24">
        <f>IFERROR(__xludf.DUMMYFUNCTION("""COMPUTED_VALUE"""),3.0)</f>
        <v>3</v>
      </c>
      <c r="M439" s="25" t="str">
        <f>IFERROR(__xludf.DUMMYFUNCTION("""COMPUTED_VALUE"""),"Action-Adventure")</f>
        <v>Action-Adventure</v>
      </c>
      <c r="N439" s="25"/>
      <c r="O439" s="26" t="str">
        <f>IFERROR(__xludf.DUMMYFUNCTION("""COMPUTED_VALUE"""),"No")</f>
        <v>No</v>
      </c>
      <c r="P439" s="26"/>
    </row>
    <row r="440">
      <c r="A440" s="13" t="str">
        <f>IFERROR(__xludf.DUMMYFUNCTION("""COMPUTED_VALUE"""),"Stories: The Path of Destinies")</f>
        <v>Stories: The Path of Destinies</v>
      </c>
      <c r="B440" s="15" t="str">
        <f>IFERROR(__xludf.DUMMYFUNCTION("""COMPUTED_VALUE"""),"PS4")</f>
        <v>PS4</v>
      </c>
      <c r="C440" s="16" t="str">
        <f>IFERROR(__xludf.DUMMYFUNCTION("""COMPUTED_VALUE"""),"Playstation Plus (Discontinued)")</f>
        <v>Playstation Plus (Discontinued)</v>
      </c>
      <c r="D440" s="15" t="str">
        <f>IFERROR(__xludf.DUMMYFUNCTION("""COMPUTED_VALUE"""),"Removed")</f>
        <v>Removed</v>
      </c>
      <c r="E440" s="17">
        <f>IFERROR(__xludf.DUMMYFUNCTION("""COMPUTED_VALUE"""),42710.0)</f>
        <v>42710</v>
      </c>
      <c r="F440" s="54">
        <f>IFERROR(__xludf.DUMMYFUNCTION("""COMPUTED_VALUE"""),42737.0)</f>
        <v>42737</v>
      </c>
      <c r="G440" s="19">
        <f>IFERROR(__xludf.DUMMYFUNCTION("""COMPUTED_VALUE"""),0.8666666666666666)</f>
        <v>0.8666666667</v>
      </c>
      <c r="H440" s="17">
        <f>IFERROR(__xludf.DUMMYFUNCTION("""COMPUTED_VALUE"""),42472.0)</f>
        <v>42472</v>
      </c>
      <c r="I440" s="19">
        <f>IFERROR(__xludf.DUMMYFUNCTION("""COMPUTED_VALUE"""),0.65)</f>
        <v>0.65</v>
      </c>
      <c r="J440" s="21">
        <f>IFERROR(__xludf.DUMMYFUNCTION("""COMPUTED_VALUE"""),73.0)</f>
        <v>73</v>
      </c>
      <c r="K440" s="23">
        <f>IFERROR(__xludf.DUMMYFUNCTION("""COMPUTED_VALUE"""),7.3)</f>
        <v>7.3</v>
      </c>
      <c r="L440" s="24">
        <f>IFERROR(__xludf.DUMMYFUNCTION("""COMPUTED_VALUE"""),5.0)</f>
        <v>5</v>
      </c>
      <c r="M440" s="25" t="str">
        <f>IFERROR(__xludf.DUMMYFUNCTION("""COMPUTED_VALUE"""),"RPG")</f>
        <v>RPG</v>
      </c>
      <c r="N440" s="25"/>
      <c r="O440" s="26" t="str">
        <f>IFERROR(__xludf.DUMMYFUNCTION("""COMPUTED_VALUE"""),"No")</f>
        <v>No</v>
      </c>
      <c r="P440" s="26"/>
    </row>
    <row r="441">
      <c r="A441" s="13" t="str">
        <f>IFERROR(__xludf.DUMMYFUNCTION("""COMPUTED_VALUE"""),"Invisible, Inc.")</f>
        <v>Invisible, Inc.</v>
      </c>
      <c r="B441" s="15" t="str">
        <f>IFERROR(__xludf.DUMMYFUNCTION("""COMPUTED_VALUE"""),"PS4")</f>
        <v>PS4</v>
      </c>
      <c r="C441" s="16" t="str">
        <f>IFERROR(__xludf.DUMMYFUNCTION("""COMPUTED_VALUE"""),"Playstation Plus (Discontinued)")</f>
        <v>Playstation Plus (Discontinued)</v>
      </c>
      <c r="D441" s="15" t="str">
        <f>IFERROR(__xludf.DUMMYFUNCTION("""COMPUTED_VALUE"""),"Removed")</f>
        <v>Removed</v>
      </c>
      <c r="E441" s="17">
        <f>IFERROR(__xludf.DUMMYFUNCTION("""COMPUTED_VALUE"""),42710.0)</f>
        <v>42710</v>
      </c>
      <c r="F441" s="54">
        <f>IFERROR(__xludf.DUMMYFUNCTION("""COMPUTED_VALUE"""),42737.0)</f>
        <v>42737</v>
      </c>
      <c r="G441" s="19">
        <f>IFERROR(__xludf.DUMMYFUNCTION("""COMPUTED_VALUE"""),0.8666666666666666)</f>
        <v>0.8666666667</v>
      </c>
      <c r="H441" s="17">
        <f>IFERROR(__xludf.DUMMYFUNCTION("""COMPUTED_VALUE"""),42136.0)</f>
        <v>42136</v>
      </c>
      <c r="I441" s="19">
        <f>IFERROR(__xludf.DUMMYFUNCTION("""COMPUTED_VALUE"""),1.5666666666666667)</f>
        <v>1.566666667</v>
      </c>
      <c r="J441" s="21">
        <f>IFERROR(__xludf.DUMMYFUNCTION("""COMPUTED_VALUE"""),77.0)</f>
        <v>77</v>
      </c>
      <c r="K441" s="23">
        <f>IFERROR(__xludf.DUMMYFUNCTION("""COMPUTED_VALUE"""),7.6)</f>
        <v>7.6</v>
      </c>
      <c r="L441" s="24">
        <f>IFERROR(__xludf.DUMMYFUNCTION("""COMPUTED_VALUE"""),7.0)</f>
        <v>7</v>
      </c>
      <c r="M441" s="25" t="str">
        <f>IFERROR(__xludf.DUMMYFUNCTION("""COMPUTED_VALUE"""),"Strategy")</f>
        <v>Strategy</v>
      </c>
      <c r="N441" s="25"/>
      <c r="O441" s="26" t="str">
        <f>IFERROR(__xludf.DUMMYFUNCTION("""COMPUTED_VALUE"""),"No")</f>
        <v>No</v>
      </c>
      <c r="P441" s="26"/>
    </row>
    <row r="442">
      <c r="A442" s="13" t="str">
        <f>IFERROR(__xludf.DUMMYFUNCTION("""COMPUTED_VALUE"""),"Hyper Void")</f>
        <v>Hyper Void</v>
      </c>
      <c r="B442" s="15" t="str">
        <f>IFERROR(__xludf.DUMMYFUNCTION("""COMPUTED_VALUE"""),"PS4/PS3")</f>
        <v>PS4/PS3</v>
      </c>
      <c r="C442" s="16" t="str">
        <f>IFERROR(__xludf.DUMMYFUNCTION("""COMPUTED_VALUE"""),"Playstation Plus (Discontinued)")</f>
        <v>Playstation Plus (Discontinued)</v>
      </c>
      <c r="D442" s="15" t="str">
        <f>IFERROR(__xludf.DUMMYFUNCTION("""COMPUTED_VALUE"""),"Removed")</f>
        <v>Removed</v>
      </c>
      <c r="E442" s="17">
        <f>IFERROR(__xludf.DUMMYFUNCTION("""COMPUTED_VALUE"""),42710.0)</f>
        <v>42710</v>
      </c>
      <c r="F442" s="54">
        <f>IFERROR(__xludf.DUMMYFUNCTION("""COMPUTED_VALUE"""),42737.0)</f>
        <v>42737</v>
      </c>
      <c r="G442" s="19">
        <f>IFERROR(__xludf.DUMMYFUNCTION("""COMPUTED_VALUE"""),0.8666666666666666)</f>
        <v>0.8666666667</v>
      </c>
      <c r="H442" s="17">
        <f>IFERROR(__xludf.DUMMYFUNCTION("""COMPUTED_VALUE"""),42255.0)</f>
        <v>42255</v>
      </c>
      <c r="I442" s="19">
        <f>IFERROR(__xludf.DUMMYFUNCTION("""COMPUTED_VALUE"""),1.2444444444444445)</f>
        <v>1.244444444</v>
      </c>
      <c r="J442" s="21">
        <f>IFERROR(__xludf.DUMMYFUNCTION("""COMPUTED_VALUE"""),70.0)</f>
        <v>70</v>
      </c>
      <c r="K442" s="23">
        <f>IFERROR(__xludf.DUMMYFUNCTION("""COMPUTED_VALUE"""),6.8)</f>
        <v>6.8</v>
      </c>
      <c r="L442" s="24">
        <f>IFERROR(__xludf.DUMMYFUNCTION("""COMPUTED_VALUE"""),2.0)</f>
        <v>2</v>
      </c>
      <c r="M442" s="25" t="str">
        <f>IFERROR(__xludf.DUMMYFUNCTION("""COMPUTED_VALUE"""),"Shooter")</f>
        <v>Shooter</v>
      </c>
      <c r="N442" s="25"/>
      <c r="O442" s="26" t="str">
        <f>IFERROR(__xludf.DUMMYFUNCTION("""COMPUTED_VALUE"""),"No")</f>
        <v>No</v>
      </c>
      <c r="P442" s="26"/>
    </row>
    <row r="443">
      <c r="A443" s="13" t="str">
        <f>IFERROR(__xludf.DUMMYFUNCTION("""COMPUTED_VALUE"""),"Tiny Troopers Joint Ops")</f>
        <v>Tiny Troopers Joint Ops</v>
      </c>
      <c r="B443" s="15" t="str">
        <f>IFERROR(__xludf.DUMMYFUNCTION("""COMPUTED_VALUE"""),"PS4/PS3/Vita")</f>
        <v>PS4/PS3/Vita</v>
      </c>
      <c r="C443" s="16" t="str">
        <f>IFERROR(__xludf.DUMMYFUNCTION("""COMPUTED_VALUE"""),"Playstation Plus (Discontinued)")</f>
        <v>Playstation Plus (Discontinued)</v>
      </c>
      <c r="D443" s="15" t="str">
        <f>IFERROR(__xludf.DUMMYFUNCTION("""COMPUTED_VALUE"""),"Removed")</f>
        <v>Removed</v>
      </c>
      <c r="E443" s="17">
        <f>IFERROR(__xludf.DUMMYFUNCTION("""COMPUTED_VALUE"""),42710.0)</f>
        <v>42710</v>
      </c>
      <c r="F443" s="54">
        <f>IFERROR(__xludf.DUMMYFUNCTION("""COMPUTED_VALUE"""),42737.0)</f>
        <v>42737</v>
      </c>
      <c r="G443" s="19">
        <f>IFERROR(__xludf.DUMMYFUNCTION("""COMPUTED_VALUE"""),0.8666666666666666)</f>
        <v>0.8666666667</v>
      </c>
      <c r="H443" s="17">
        <f>IFERROR(__xludf.DUMMYFUNCTION("""COMPUTED_VALUE"""),42426.0)</f>
        <v>42426</v>
      </c>
      <c r="I443" s="19">
        <f>IFERROR(__xludf.DUMMYFUNCTION("""COMPUTED_VALUE"""),0.7777777777777778)</f>
        <v>0.7777777778</v>
      </c>
      <c r="J443" s="21">
        <f>IFERROR(__xludf.DUMMYFUNCTION("""COMPUTED_VALUE"""),62.0)</f>
        <v>62</v>
      </c>
      <c r="K443" s="23">
        <f>IFERROR(__xludf.DUMMYFUNCTION("""COMPUTED_VALUE"""),5.3)</f>
        <v>5.3</v>
      </c>
      <c r="L443" s="24">
        <f>IFERROR(__xludf.DUMMYFUNCTION("""COMPUTED_VALUE"""),3.0)</f>
        <v>3</v>
      </c>
      <c r="M443" s="25" t="str">
        <f>IFERROR(__xludf.DUMMYFUNCTION("""COMPUTED_VALUE"""),"Shooter")</f>
        <v>Shooter</v>
      </c>
      <c r="N443" s="25"/>
      <c r="O443" s="26" t="str">
        <f>IFERROR(__xludf.DUMMYFUNCTION("""COMPUTED_VALUE"""),"No")</f>
        <v>No</v>
      </c>
      <c r="P443" s="26"/>
    </row>
    <row r="444">
      <c r="A444" s="13" t="str">
        <f>IFERROR(__xludf.DUMMYFUNCTION("""COMPUTED_VALUE"""),"Color Guardians")</f>
        <v>Color Guardians</v>
      </c>
      <c r="B444" s="15" t="str">
        <f>IFERROR(__xludf.DUMMYFUNCTION("""COMPUTED_VALUE"""),"PS4/Vita")</f>
        <v>PS4/Vita</v>
      </c>
      <c r="C444" s="16" t="str">
        <f>IFERROR(__xludf.DUMMYFUNCTION("""COMPUTED_VALUE"""),"Playstation Plus (Discontinued)")</f>
        <v>Playstation Plus (Discontinued)</v>
      </c>
      <c r="D444" s="15" t="str">
        <f>IFERROR(__xludf.DUMMYFUNCTION("""COMPUTED_VALUE"""),"Removed")</f>
        <v>Removed</v>
      </c>
      <c r="E444" s="17">
        <f>IFERROR(__xludf.DUMMYFUNCTION("""COMPUTED_VALUE"""),42710.0)</f>
        <v>42710</v>
      </c>
      <c r="F444" s="54">
        <f>IFERROR(__xludf.DUMMYFUNCTION("""COMPUTED_VALUE"""),42737.0)</f>
        <v>42737</v>
      </c>
      <c r="G444" s="19">
        <f>IFERROR(__xludf.DUMMYFUNCTION("""COMPUTED_VALUE"""),0.8666666666666666)</f>
        <v>0.8666666667</v>
      </c>
      <c r="H444" s="17">
        <f>IFERROR(__xludf.DUMMYFUNCTION("""COMPUTED_VALUE"""),42136.0)</f>
        <v>42136</v>
      </c>
      <c r="I444" s="19">
        <f>IFERROR(__xludf.DUMMYFUNCTION("""COMPUTED_VALUE"""),1.5666666666666667)</f>
        <v>1.566666667</v>
      </c>
      <c r="J444" s="21">
        <f>IFERROR(__xludf.DUMMYFUNCTION("""COMPUTED_VALUE"""),59.0)</f>
        <v>59</v>
      </c>
      <c r="K444" s="23">
        <f>IFERROR(__xludf.DUMMYFUNCTION("""COMPUTED_VALUE"""),6.7)</f>
        <v>6.7</v>
      </c>
      <c r="L444" s="24">
        <f>IFERROR(__xludf.DUMMYFUNCTION("""COMPUTED_VALUE"""),3.0)</f>
        <v>3</v>
      </c>
      <c r="M444" s="25" t="str">
        <f>IFERROR(__xludf.DUMMYFUNCTION("""COMPUTED_VALUE"""),"Platformer")</f>
        <v>Platformer</v>
      </c>
      <c r="N444" s="25"/>
      <c r="O444" s="26" t="str">
        <f>IFERROR(__xludf.DUMMYFUNCTION("""COMPUTED_VALUE"""),"No")</f>
        <v>No</v>
      </c>
      <c r="P444" s="26"/>
    </row>
    <row r="445">
      <c r="A445" s="13" t="str">
        <f>IFERROR(__xludf.DUMMYFUNCTION("""COMPUTED_VALUE"""),"VVVVVV")</f>
        <v>VVVVVV</v>
      </c>
      <c r="B445" s="15" t="str">
        <f>IFERROR(__xludf.DUMMYFUNCTION("""COMPUTED_VALUE"""),"Vita")</f>
        <v>Vita</v>
      </c>
      <c r="C445" s="16" t="str">
        <f>IFERROR(__xludf.DUMMYFUNCTION("""COMPUTED_VALUE"""),"Playstation Plus (Discontinued)")</f>
        <v>Playstation Plus (Discontinued)</v>
      </c>
      <c r="D445" s="15" t="str">
        <f>IFERROR(__xludf.DUMMYFUNCTION("""COMPUTED_VALUE"""),"Removed")</f>
        <v>Removed</v>
      </c>
      <c r="E445" s="17">
        <f>IFERROR(__xludf.DUMMYFUNCTION("""COMPUTED_VALUE"""),42710.0)</f>
        <v>42710</v>
      </c>
      <c r="F445" s="54">
        <f>IFERROR(__xludf.DUMMYFUNCTION("""COMPUTED_VALUE"""),42737.0)</f>
        <v>42737</v>
      </c>
      <c r="G445" s="19">
        <f>IFERROR(__xludf.DUMMYFUNCTION("""COMPUTED_VALUE"""),0.8666666666666666)</f>
        <v>0.8666666667</v>
      </c>
      <c r="H445" s="17">
        <f>IFERROR(__xludf.DUMMYFUNCTION("""COMPUTED_VALUE"""),40188.0)</f>
        <v>40188</v>
      </c>
      <c r="I445" s="19">
        <f>IFERROR(__xludf.DUMMYFUNCTION("""COMPUTED_VALUE"""),6.905555555555556)</f>
        <v>6.905555556</v>
      </c>
      <c r="J445" s="21">
        <f>IFERROR(__xludf.DUMMYFUNCTION("""COMPUTED_VALUE"""),81.0)</f>
        <v>81</v>
      </c>
      <c r="K445" s="23">
        <f>IFERROR(__xludf.DUMMYFUNCTION("""COMPUTED_VALUE"""),7.9)</f>
        <v>7.9</v>
      </c>
      <c r="L445" s="24">
        <f>IFERROR(__xludf.DUMMYFUNCTION("""COMPUTED_VALUE"""),4.0)</f>
        <v>4</v>
      </c>
      <c r="M445" s="25" t="str">
        <f>IFERROR(__xludf.DUMMYFUNCTION("""COMPUTED_VALUE"""),"Platformer")</f>
        <v>Platformer</v>
      </c>
      <c r="N445" s="25"/>
      <c r="O445" s="26" t="str">
        <f>IFERROR(__xludf.DUMMYFUNCTION("""COMPUTED_VALUE"""),"No")</f>
        <v>No</v>
      </c>
      <c r="P445" s="26"/>
    </row>
    <row r="446">
      <c r="A446" s="13" t="str">
        <f>IFERROR(__xludf.DUMMYFUNCTION("""COMPUTED_VALUE"""),"Everybody’s Gone to the Rapture")</f>
        <v>Everybody’s Gone to the Rapture</v>
      </c>
      <c r="B446" s="15" t="str">
        <f>IFERROR(__xludf.DUMMYFUNCTION("""COMPUTED_VALUE"""),"PS4")</f>
        <v>PS4</v>
      </c>
      <c r="C446" s="16" t="str">
        <f>IFERROR(__xludf.DUMMYFUNCTION("""COMPUTED_VALUE"""),"Playstation Plus (Discontinued)")</f>
        <v>Playstation Plus (Discontinued)</v>
      </c>
      <c r="D446" s="15" t="str">
        <f>IFERROR(__xludf.DUMMYFUNCTION("""COMPUTED_VALUE"""),"Removed")</f>
        <v>Removed</v>
      </c>
      <c r="E446" s="17">
        <f>IFERROR(__xludf.DUMMYFUNCTION("""COMPUTED_VALUE"""),42675.0)</f>
        <v>42675</v>
      </c>
      <c r="F446" s="54">
        <f>IFERROR(__xludf.DUMMYFUNCTION("""COMPUTED_VALUE"""),42709.0)</f>
        <v>42709</v>
      </c>
      <c r="G446" s="19">
        <f>IFERROR(__xludf.DUMMYFUNCTION("""COMPUTED_VALUE"""),1.1333333333333333)</f>
        <v>1.133333333</v>
      </c>
      <c r="H446" s="17">
        <f>IFERROR(__xludf.DUMMYFUNCTION("""COMPUTED_VALUE"""),42227.0)</f>
        <v>42227</v>
      </c>
      <c r="I446" s="19">
        <f>IFERROR(__xludf.DUMMYFUNCTION("""COMPUTED_VALUE"""),1.2222222222222223)</f>
        <v>1.222222222</v>
      </c>
      <c r="J446" s="21">
        <f>IFERROR(__xludf.DUMMYFUNCTION("""COMPUTED_VALUE"""),76.0)</f>
        <v>76</v>
      </c>
      <c r="K446" s="23">
        <f>IFERROR(__xludf.DUMMYFUNCTION("""COMPUTED_VALUE"""),6.5)</f>
        <v>6.5</v>
      </c>
      <c r="L446" s="24">
        <f>IFERROR(__xludf.DUMMYFUNCTION("""COMPUTED_VALUE"""),5.0)</f>
        <v>5</v>
      </c>
      <c r="M446" s="25" t="str">
        <f>IFERROR(__xludf.DUMMYFUNCTION("""COMPUTED_VALUE"""),"Adventure")</f>
        <v>Adventure</v>
      </c>
      <c r="N446" s="25"/>
      <c r="O446" s="26" t="str">
        <f>IFERROR(__xludf.DUMMYFUNCTION("""COMPUTED_VALUE"""),"No")</f>
        <v>No</v>
      </c>
      <c r="P446" s="26"/>
    </row>
    <row r="447">
      <c r="A447" s="13" t="str">
        <f>IFERROR(__xludf.DUMMYFUNCTION("""COMPUTED_VALUE"""),"The Deadly Tower of Monsters")</f>
        <v>The Deadly Tower of Monsters</v>
      </c>
      <c r="B447" s="15" t="str">
        <f>IFERROR(__xludf.DUMMYFUNCTION("""COMPUTED_VALUE"""),"PS4")</f>
        <v>PS4</v>
      </c>
      <c r="C447" s="16" t="str">
        <f>IFERROR(__xludf.DUMMYFUNCTION("""COMPUTED_VALUE"""),"Playstation Plus (Discontinued)")</f>
        <v>Playstation Plus (Discontinued)</v>
      </c>
      <c r="D447" s="15" t="str">
        <f>IFERROR(__xludf.DUMMYFUNCTION("""COMPUTED_VALUE"""),"Removed")</f>
        <v>Removed</v>
      </c>
      <c r="E447" s="17">
        <f>IFERROR(__xludf.DUMMYFUNCTION("""COMPUTED_VALUE"""),42675.0)</f>
        <v>42675</v>
      </c>
      <c r="F447" s="54">
        <f>IFERROR(__xludf.DUMMYFUNCTION("""COMPUTED_VALUE"""),42709.0)</f>
        <v>42709</v>
      </c>
      <c r="G447" s="19">
        <f>IFERROR(__xludf.DUMMYFUNCTION("""COMPUTED_VALUE"""),1.1333333333333333)</f>
        <v>1.133333333</v>
      </c>
      <c r="H447" s="17">
        <f>IFERROR(__xludf.DUMMYFUNCTION("""COMPUTED_VALUE"""),42388.0)</f>
        <v>42388</v>
      </c>
      <c r="I447" s="19">
        <f>IFERROR(__xludf.DUMMYFUNCTION("""COMPUTED_VALUE"""),0.7833333333333333)</f>
        <v>0.7833333333</v>
      </c>
      <c r="J447" s="21">
        <f>IFERROR(__xludf.DUMMYFUNCTION("""COMPUTED_VALUE"""),76.0)</f>
        <v>76</v>
      </c>
      <c r="K447" s="23">
        <f>IFERROR(__xludf.DUMMYFUNCTION("""COMPUTED_VALUE"""),7.4)</f>
        <v>7.4</v>
      </c>
      <c r="L447" s="24">
        <f>IFERROR(__xludf.DUMMYFUNCTION("""COMPUTED_VALUE"""),5.0)</f>
        <v>5</v>
      </c>
      <c r="M447" s="25" t="str">
        <f>IFERROR(__xludf.DUMMYFUNCTION("""COMPUTED_VALUE"""),"Action-Adventure")</f>
        <v>Action-Adventure</v>
      </c>
      <c r="N447" s="25"/>
      <c r="O447" s="26" t="str">
        <f>IFERROR(__xludf.DUMMYFUNCTION("""COMPUTED_VALUE"""),"No")</f>
        <v>No</v>
      </c>
      <c r="P447" s="26"/>
    </row>
    <row r="448">
      <c r="A448" s="13" t="str">
        <f>IFERROR(__xludf.DUMMYFUNCTION("""COMPUTED_VALUE"""),"DiRT 3")</f>
        <v>DiRT 3</v>
      </c>
      <c r="B448" s="15" t="str">
        <f>IFERROR(__xludf.DUMMYFUNCTION("""COMPUTED_VALUE"""),"PS3")</f>
        <v>PS3</v>
      </c>
      <c r="C448" s="16" t="str">
        <f>IFERROR(__xludf.DUMMYFUNCTION("""COMPUTED_VALUE"""),"Playstation Plus (Discontinued)")</f>
        <v>Playstation Plus (Discontinued)</v>
      </c>
      <c r="D448" s="15" t="str">
        <f>IFERROR(__xludf.DUMMYFUNCTION("""COMPUTED_VALUE"""),"Removed")</f>
        <v>Removed</v>
      </c>
      <c r="E448" s="17">
        <f>IFERROR(__xludf.DUMMYFUNCTION("""COMPUTED_VALUE"""),42675.0)</f>
        <v>42675</v>
      </c>
      <c r="F448" s="54">
        <f>IFERROR(__xludf.DUMMYFUNCTION("""COMPUTED_VALUE"""),42709.0)</f>
        <v>42709</v>
      </c>
      <c r="G448" s="19">
        <f>IFERROR(__xludf.DUMMYFUNCTION("""COMPUTED_VALUE"""),1.1333333333333333)</f>
        <v>1.133333333</v>
      </c>
      <c r="H448" s="17">
        <f>IFERROR(__xludf.DUMMYFUNCTION("""COMPUTED_VALUE"""),40687.0)</f>
        <v>40687</v>
      </c>
      <c r="I448" s="19">
        <f>IFERROR(__xludf.DUMMYFUNCTION("""COMPUTED_VALUE"""),5.436111111111111)</f>
        <v>5.436111111</v>
      </c>
      <c r="J448" s="21">
        <f>IFERROR(__xludf.DUMMYFUNCTION("""COMPUTED_VALUE"""),87.0)</f>
        <v>87</v>
      </c>
      <c r="K448" s="23">
        <f>IFERROR(__xludf.DUMMYFUNCTION("""COMPUTED_VALUE"""),8.0)</f>
        <v>8</v>
      </c>
      <c r="L448" s="24">
        <f>IFERROR(__xludf.DUMMYFUNCTION("""COMPUTED_VALUE"""),8.0)</f>
        <v>8</v>
      </c>
      <c r="M448" s="25" t="str">
        <f>IFERROR(__xludf.DUMMYFUNCTION("""COMPUTED_VALUE"""),"Racing")</f>
        <v>Racing</v>
      </c>
      <c r="N448" s="25"/>
      <c r="O448" s="26" t="str">
        <f>IFERROR(__xludf.DUMMYFUNCTION("""COMPUTED_VALUE"""),"No")</f>
        <v>No</v>
      </c>
      <c r="P448" s="26"/>
    </row>
    <row r="449">
      <c r="A449" s="13" t="str">
        <f>IFERROR(__xludf.DUMMYFUNCTION("""COMPUTED_VALUE"""),"Costume Quest 2")</f>
        <v>Costume Quest 2</v>
      </c>
      <c r="B449" s="15" t="str">
        <f>IFERROR(__xludf.DUMMYFUNCTION("""COMPUTED_VALUE"""),"PS3")</f>
        <v>PS3</v>
      </c>
      <c r="C449" s="16" t="str">
        <f>IFERROR(__xludf.DUMMYFUNCTION("""COMPUTED_VALUE"""),"Playstation Plus (Discontinued)")</f>
        <v>Playstation Plus (Discontinued)</v>
      </c>
      <c r="D449" s="15" t="str">
        <f>IFERROR(__xludf.DUMMYFUNCTION("""COMPUTED_VALUE"""),"Removed")</f>
        <v>Removed</v>
      </c>
      <c r="E449" s="17">
        <f>IFERROR(__xludf.DUMMYFUNCTION("""COMPUTED_VALUE"""),42675.0)</f>
        <v>42675</v>
      </c>
      <c r="F449" s="54">
        <f>IFERROR(__xludf.DUMMYFUNCTION("""COMPUTED_VALUE"""),42709.0)</f>
        <v>42709</v>
      </c>
      <c r="G449" s="19">
        <f>IFERROR(__xludf.DUMMYFUNCTION("""COMPUTED_VALUE"""),1.1333333333333333)</f>
        <v>1.133333333</v>
      </c>
      <c r="H449" s="17">
        <f>IFERROR(__xludf.DUMMYFUNCTION("""COMPUTED_VALUE"""),41919.0)</f>
        <v>41919</v>
      </c>
      <c r="I449" s="19">
        <f>IFERROR(__xludf.DUMMYFUNCTION("""COMPUTED_VALUE"""),2.066666666666667)</f>
        <v>2.066666667</v>
      </c>
      <c r="J449" s="21">
        <f>IFERROR(__xludf.DUMMYFUNCTION("""COMPUTED_VALUE"""),72.0)</f>
        <v>72</v>
      </c>
      <c r="K449" s="23">
        <f>IFERROR(__xludf.DUMMYFUNCTION("""COMPUTED_VALUE"""),7.0)</f>
        <v>7</v>
      </c>
      <c r="L449" s="24">
        <f>IFERROR(__xludf.DUMMYFUNCTION("""COMPUTED_VALUE"""),7.0)</f>
        <v>7</v>
      </c>
      <c r="M449" s="25" t="str">
        <f>IFERROR(__xludf.DUMMYFUNCTION("""COMPUTED_VALUE"""),"RPG")</f>
        <v>RPG</v>
      </c>
      <c r="N449" s="25"/>
      <c r="O449" s="26" t="str">
        <f>IFERROR(__xludf.DUMMYFUNCTION("""COMPUTED_VALUE"""),"No")</f>
        <v>No</v>
      </c>
      <c r="P449" s="26"/>
    </row>
    <row r="450">
      <c r="A450" s="13" t="str">
        <f>IFERROR(__xludf.DUMMYFUNCTION("""COMPUTED_VALUE"""),"Letter Quest Remastered")</f>
        <v>Letter Quest Remastered</v>
      </c>
      <c r="B450" s="15" t="str">
        <f>IFERROR(__xludf.DUMMYFUNCTION("""COMPUTED_VALUE"""),"PS4/Vita")</f>
        <v>PS4/Vita</v>
      </c>
      <c r="C450" s="16" t="str">
        <f>IFERROR(__xludf.DUMMYFUNCTION("""COMPUTED_VALUE"""),"Playstation Plus (Discontinued)")</f>
        <v>Playstation Plus (Discontinued)</v>
      </c>
      <c r="D450" s="15" t="str">
        <f>IFERROR(__xludf.DUMMYFUNCTION("""COMPUTED_VALUE"""),"Removed")</f>
        <v>Removed</v>
      </c>
      <c r="E450" s="17">
        <f>IFERROR(__xludf.DUMMYFUNCTION("""COMPUTED_VALUE"""),42675.0)</f>
        <v>42675</v>
      </c>
      <c r="F450" s="54">
        <f>IFERROR(__xludf.DUMMYFUNCTION("""COMPUTED_VALUE"""),42709.0)</f>
        <v>42709</v>
      </c>
      <c r="G450" s="19">
        <f>IFERROR(__xludf.DUMMYFUNCTION("""COMPUTED_VALUE"""),1.1333333333333333)</f>
        <v>1.133333333</v>
      </c>
      <c r="H450" s="17">
        <f>IFERROR(__xludf.DUMMYFUNCTION("""COMPUTED_VALUE"""),42129.0)</f>
        <v>42129</v>
      </c>
      <c r="I450" s="19">
        <f>IFERROR(__xludf.DUMMYFUNCTION("""COMPUTED_VALUE"""),1.488888888888889)</f>
        <v>1.488888889</v>
      </c>
      <c r="J450" s="21">
        <f>IFERROR(__xludf.DUMMYFUNCTION("""COMPUTED_VALUE"""),70.0)</f>
        <v>70</v>
      </c>
      <c r="K450" s="23">
        <f>IFERROR(__xludf.DUMMYFUNCTION("""COMPUTED_VALUE"""),7.2)</f>
        <v>7.2</v>
      </c>
      <c r="L450" s="24">
        <f>IFERROR(__xludf.DUMMYFUNCTION("""COMPUTED_VALUE"""),4.0)</f>
        <v>4</v>
      </c>
      <c r="M450" s="25" t="str">
        <f>IFERROR(__xludf.DUMMYFUNCTION("""COMPUTED_VALUE"""),"Puzzle")</f>
        <v>Puzzle</v>
      </c>
      <c r="N450" s="25"/>
      <c r="O450" s="26" t="str">
        <f>IFERROR(__xludf.DUMMYFUNCTION("""COMPUTED_VALUE"""),"No")</f>
        <v>No</v>
      </c>
      <c r="P450" s="26"/>
    </row>
    <row r="451">
      <c r="A451" s="13" t="str">
        <f>IFERROR(__xludf.DUMMYFUNCTION("""COMPUTED_VALUE"""),"Pumped BMX+")</f>
        <v>Pumped BMX+</v>
      </c>
      <c r="B451" s="15" t="str">
        <f>IFERROR(__xludf.DUMMYFUNCTION("""COMPUTED_VALUE"""),"PS4/PS3/Vita")</f>
        <v>PS4/PS3/Vita</v>
      </c>
      <c r="C451" s="16" t="str">
        <f>IFERROR(__xludf.DUMMYFUNCTION("""COMPUTED_VALUE"""),"Playstation Plus (Discontinued)")</f>
        <v>Playstation Plus (Discontinued)</v>
      </c>
      <c r="D451" s="15" t="str">
        <f>IFERROR(__xludf.DUMMYFUNCTION("""COMPUTED_VALUE"""),"Removed")</f>
        <v>Removed</v>
      </c>
      <c r="E451" s="17">
        <f>IFERROR(__xludf.DUMMYFUNCTION("""COMPUTED_VALUE"""),42675.0)</f>
        <v>42675</v>
      </c>
      <c r="F451" s="54">
        <f>IFERROR(__xludf.DUMMYFUNCTION("""COMPUTED_VALUE"""),42709.0)</f>
        <v>42709</v>
      </c>
      <c r="G451" s="19">
        <f>IFERROR(__xludf.DUMMYFUNCTION("""COMPUTED_VALUE"""),1.1333333333333333)</f>
        <v>1.133333333</v>
      </c>
      <c r="H451" s="17">
        <f>IFERROR(__xludf.DUMMYFUNCTION("""COMPUTED_VALUE"""),42265.0)</f>
        <v>42265</v>
      </c>
      <c r="I451" s="19">
        <f>IFERROR(__xludf.DUMMYFUNCTION("""COMPUTED_VALUE"""),1.1194444444444445)</f>
        <v>1.119444444</v>
      </c>
      <c r="J451" s="21">
        <f>IFERROR(__xludf.DUMMYFUNCTION("""COMPUTED_VALUE"""),69.0)</f>
        <v>69</v>
      </c>
      <c r="K451" s="23">
        <f>IFERROR(__xludf.DUMMYFUNCTION("""COMPUTED_VALUE"""),7.0)</f>
        <v>7</v>
      </c>
      <c r="L451" s="24">
        <f>IFERROR(__xludf.DUMMYFUNCTION("""COMPUTED_VALUE"""),6.0)</f>
        <v>6</v>
      </c>
      <c r="M451" s="25" t="str">
        <f>IFERROR(__xludf.DUMMYFUNCTION("""COMPUTED_VALUE"""),"Sports")</f>
        <v>Sports</v>
      </c>
      <c r="N451" s="25"/>
      <c r="O451" s="26" t="str">
        <f>IFERROR(__xludf.DUMMYFUNCTION("""COMPUTED_VALUE"""),"No")</f>
        <v>No</v>
      </c>
      <c r="P451" s="26"/>
    </row>
    <row r="452">
      <c r="A452" s="13" t="str">
        <f>IFERROR(__xludf.DUMMYFUNCTION("""COMPUTED_VALUE"""),"Resident Evil")</f>
        <v>Resident Evil</v>
      </c>
      <c r="B452" s="15" t="str">
        <f>IFERROR(__xludf.DUMMYFUNCTION("""COMPUTED_VALUE"""),"PS4")</f>
        <v>PS4</v>
      </c>
      <c r="C452" s="16" t="str">
        <f>IFERROR(__xludf.DUMMYFUNCTION("""COMPUTED_VALUE"""),"Playstation Plus (Discontinued)")</f>
        <v>Playstation Plus (Discontinued)</v>
      </c>
      <c r="D452" s="15" t="str">
        <f>IFERROR(__xludf.DUMMYFUNCTION("""COMPUTED_VALUE"""),"Removed")</f>
        <v>Removed</v>
      </c>
      <c r="E452" s="17">
        <f>IFERROR(__xludf.DUMMYFUNCTION("""COMPUTED_VALUE"""),42647.0)</f>
        <v>42647</v>
      </c>
      <c r="F452" s="54">
        <f>IFERROR(__xludf.DUMMYFUNCTION("""COMPUTED_VALUE"""),42674.0)</f>
        <v>42674</v>
      </c>
      <c r="G452" s="19">
        <f>IFERROR(__xludf.DUMMYFUNCTION("""COMPUTED_VALUE"""),0.8666666666666666)</f>
        <v>0.8666666667</v>
      </c>
      <c r="H452" s="17">
        <f>IFERROR(__xludf.DUMMYFUNCTION("""COMPUTED_VALUE"""),38798.0)</f>
        <v>38798</v>
      </c>
      <c r="I452" s="19">
        <f>IFERROR(__xludf.DUMMYFUNCTION("""COMPUTED_VALUE"""),10.533333333333333)</f>
        <v>10.53333333</v>
      </c>
      <c r="J452" s="21">
        <f>IFERROR(__xludf.DUMMYFUNCTION("""COMPUTED_VALUE"""),91.0)</f>
        <v>91</v>
      </c>
      <c r="K452" s="23">
        <f>IFERROR(__xludf.DUMMYFUNCTION("""COMPUTED_VALUE"""),8.7)</f>
        <v>8.7</v>
      </c>
      <c r="L452" s="24">
        <f>IFERROR(__xludf.DUMMYFUNCTION("""COMPUTED_VALUE"""),13.0)</f>
        <v>13</v>
      </c>
      <c r="M452" s="25" t="str">
        <f>IFERROR(__xludf.DUMMYFUNCTION("""COMPUTED_VALUE"""),"Horror")</f>
        <v>Horror</v>
      </c>
      <c r="N452" s="25"/>
      <c r="O452" s="26" t="str">
        <f>IFERROR(__xludf.DUMMYFUNCTION("""COMPUTED_VALUE"""),"No")</f>
        <v>No</v>
      </c>
      <c r="P452" s="26"/>
    </row>
    <row r="453">
      <c r="A453" s="13" t="str">
        <f>IFERROR(__xludf.DUMMYFUNCTION("""COMPUTED_VALUE"""),"Transformers: Devastation")</f>
        <v>Transformers: Devastation</v>
      </c>
      <c r="B453" s="15" t="str">
        <f>IFERROR(__xludf.DUMMYFUNCTION("""COMPUTED_VALUE"""),"PS4/PS3")</f>
        <v>PS4/PS3</v>
      </c>
      <c r="C453" s="16" t="str">
        <f>IFERROR(__xludf.DUMMYFUNCTION("""COMPUTED_VALUE"""),"Playstation Plus (Discontinued)")</f>
        <v>Playstation Plus (Discontinued)</v>
      </c>
      <c r="D453" s="15" t="str">
        <f>IFERROR(__xludf.DUMMYFUNCTION("""COMPUTED_VALUE"""),"Removed")</f>
        <v>Removed</v>
      </c>
      <c r="E453" s="17">
        <f>IFERROR(__xludf.DUMMYFUNCTION("""COMPUTED_VALUE"""),42647.0)</f>
        <v>42647</v>
      </c>
      <c r="F453" s="54">
        <f>IFERROR(__xludf.DUMMYFUNCTION("""COMPUTED_VALUE"""),42674.0)</f>
        <v>42674</v>
      </c>
      <c r="G453" s="19">
        <f>IFERROR(__xludf.DUMMYFUNCTION("""COMPUTED_VALUE"""),0.8666666666666666)</f>
        <v>0.8666666667</v>
      </c>
      <c r="H453" s="17">
        <f>IFERROR(__xludf.DUMMYFUNCTION("""COMPUTED_VALUE"""),42283.0)</f>
        <v>42283</v>
      </c>
      <c r="I453" s="19">
        <f>IFERROR(__xludf.DUMMYFUNCTION("""COMPUTED_VALUE"""),0.9944444444444445)</f>
        <v>0.9944444444</v>
      </c>
      <c r="J453" s="21">
        <f>IFERROR(__xludf.DUMMYFUNCTION("""COMPUTED_VALUE"""),77.0)</f>
        <v>77</v>
      </c>
      <c r="K453" s="23">
        <f>IFERROR(__xludf.DUMMYFUNCTION("""COMPUTED_VALUE"""),8.0)</f>
        <v>8</v>
      </c>
      <c r="L453" s="24">
        <f>IFERROR(__xludf.DUMMYFUNCTION("""COMPUTED_VALUE"""),6.0)</f>
        <v>6</v>
      </c>
      <c r="M453" s="25" t="str">
        <f>IFERROR(__xludf.DUMMYFUNCTION("""COMPUTED_VALUE"""),"Action-Adventure")</f>
        <v>Action-Adventure</v>
      </c>
      <c r="N453" s="25"/>
      <c r="O453" s="26" t="str">
        <f>IFERROR(__xludf.DUMMYFUNCTION("""COMPUTED_VALUE"""),"No")</f>
        <v>No</v>
      </c>
      <c r="P453" s="26"/>
    </row>
    <row r="454">
      <c r="A454" s="13" t="str">
        <f>IFERROR(__xludf.DUMMYFUNCTION("""COMPUTED_VALUE"""),"Mad Riders")</f>
        <v>Mad Riders</v>
      </c>
      <c r="B454" s="15" t="str">
        <f>IFERROR(__xludf.DUMMYFUNCTION("""COMPUTED_VALUE"""),"PS3")</f>
        <v>PS3</v>
      </c>
      <c r="C454" s="16" t="str">
        <f>IFERROR(__xludf.DUMMYFUNCTION("""COMPUTED_VALUE"""),"Playstation Plus (Discontinued)")</f>
        <v>Playstation Plus (Discontinued)</v>
      </c>
      <c r="D454" s="15" t="str">
        <f>IFERROR(__xludf.DUMMYFUNCTION("""COMPUTED_VALUE"""),"Removed")</f>
        <v>Removed</v>
      </c>
      <c r="E454" s="17">
        <f>IFERROR(__xludf.DUMMYFUNCTION("""COMPUTED_VALUE"""),42647.0)</f>
        <v>42647</v>
      </c>
      <c r="F454" s="54">
        <f>IFERROR(__xludf.DUMMYFUNCTION("""COMPUTED_VALUE"""),42674.0)</f>
        <v>42674</v>
      </c>
      <c r="G454" s="19">
        <f>IFERROR(__xludf.DUMMYFUNCTION("""COMPUTED_VALUE"""),0.8666666666666666)</f>
        <v>0.8666666667</v>
      </c>
      <c r="H454" s="17">
        <f>IFERROR(__xludf.DUMMYFUNCTION("""COMPUTED_VALUE"""),41058.0)</f>
        <v>41058</v>
      </c>
      <c r="I454" s="19">
        <f>IFERROR(__xludf.DUMMYFUNCTION("""COMPUTED_VALUE"""),4.347222222222222)</f>
        <v>4.347222222</v>
      </c>
      <c r="J454" s="21">
        <f>IFERROR(__xludf.DUMMYFUNCTION("""COMPUTED_VALUE"""),62.0)</f>
        <v>62</v>
      </c>
      <c r="K454" s="23">
        <f>IFERROR(__xludf.DUMMYFUNCTION("""COMPUTED_VALUE"""),6.2)</f>
        <v>6.2</v>
      </c>
      <c r="L454" s="24">
        <f>IFERROR(__xludf.DUMMYFUNCTION("""COMPUTED_VALUE"""),4.0)</f>
        <v>4</v>
      </c>
      <c r="M454" s="25" t="str">
        <f>IFERROR(__xludf.DUMMYFUNCTION("""COMPUTED_VALUE"""),"Racing")</f>
        <v>Racing</v>
      </c>
      <c r="N454" s="25"/>
      <c r="O454" s="26" t="str">
        <f>IFERROR(__xludf.DUMMYFUNCTION("""COMPUTED_VALUE"""),"No")</f>
        <v>No</v>
      </c>
      <c r="P454" s="26"/>
    </row>
    <row r="455">
      <c r="A455" s="13" t="str">
        <f>IFERROR(__xludf.DUMMYFUNCTION("""COMPUTED_VALUE"""),"From Dust")</f>
        <v>From Dust</v>
      </c>
      <c r="B455" s="15" t="str">
        <f>IFERROR(__xludf.DUMMYFUNCTION("""COMPUTED_VALUE"""),"PS3")</f>
        <v>PS3</v>
      </c>
      <c r="C455" s="16" t="str">
        <f>IFERROR(__xludf.DUMMYFUNCTION("""COMPUTED_VALUE"""),"Playstation Plus (Discontinued)")</f>
        <v>Playstation Plus (Discontinued)</v>
      </c>
      <c r="D455" s="15" t="str">
        <f>IFERROR(__xludf.DUMMYFUNCTION("""COMPUTED_VALUE"""),"Removed")</f>
        <v>Removed</v>
      </c>
      <c r="E455" s="17">
        <f>IFERROR(__xludf.DUMMYFUNCTION("""COMPUTED_VALUE"""),42647.0)</f>
        <v>42647</v>
      </c>
      <c r="F455" s="54">
        <f>IFERROR(__xludf.DUMMYFUNCTION("""COMPUTED_VALUE"""),42674.0)</f>
        <v>42674</v>
      </c>
      <c r="G455" s="19">
        <f>IFERROR(__xludf.DUMMYFUNCTION("""COMPUTED_VALUE"""),0.8666666666666666)</f>
        <v>0.8666666667</v>
      </c>
      <c r="H455" s="17">
        <f>IFERROR(__xludf.DUMMYFUNCTION("""COMPUTED_VALUE"""),40751.0)</f>
        <v>40751</v>
      </c>
      <c r="I455" s="19">
        <f>IFERROR(__xludf.DUMMYFUNCTION("""COMPUTED_VALUE"""),5.186111111111111)</f>
        <v>5.186111111</v>
      </c>
      <c r="J455" s="21">
        <f>IFERROR(__xludf.DUMMYFUNCTION("""COMPUTED_VALUE"""),79.0)</f>
        <v>79</v>
      </c>
      <c r="K455" s="23">
        <f>IFERROR(__xludf.DUMMYFUNCTION("""COMPUTED_VALUE"""),7.2)</f>
        <v>7.2</v>
      </c>
      <c r="L455" s="24">
        <f>IFERROR(__xludf.DUMMYFUNCTION("""COMPUTED_VALUE"""),6.0)</f>
        <v>6</v>
      </c>
      <c r="M455" s="25" t="str">
        <f>IFERROR(__xludf.DUMMYFUNCTION("""COMPUTED_VALUE"""),"Strategy")</f>
        <v>Strategy</v>
      </c>
      <c r="N455" s="25"/>
      <c r="O455" s="26" t="str">
        <f>IFERROR(__xludf.DUMMYFUNCTION("""COMPUTED_VALUE"""),"No")</f>
        <v>No</v>
      </c>
      <c r="P455" s="26"/>
    </row>
    <row r="456">
      <c r="A456" s="13" t="str">
        <f>IFERROR(__xludf.DUMMYFUNCTION("""COMPUTED_VALUE"""),"Code:Realize - Guardian of Rebirth")</f>
        <v>Code:Realize - Guardian of Rebirth</v>
      </c>
      <c r="B456" s="15" t="str">
        <f>IFERROR(__xludf.DUMMYFUNCTION("""COMPUTED_VALUE"""),"Vita")</f>
        <v>Vita</v>
      </c>
      <c r="C456" s="16" t="str">
        <f>IFERROR(__xludf.DUMMYFUNCTION("""COMPUTED_VALUE"""),"Playstation Plus (Discontinued)")</f>
        <v>Playstation Plus (Discontinued)</v>
      </c>
      <c r="D456" s="15" t="str">
        <f>IFERROR(__xludf.DUMMYFUNCTION("""COMPUTED_VALUE"""),"Removed")</f>
        <v>Removed</v>
      </c>
      <c r="E456" s="17">
        <f>IFERROR(__xludf.DUMMYFUNCTION("""COMPUTED_VALUE"""),42647.0)</f>
        <v>42647</v>
      </c>
      <c r="F456" s="54">
        <f>IFERROR(__xludf.DUMMYFUNCTION("""COMPUTED_VALUE"""),42674.0)</f>
        <v>42674</v>
      </c>
      <c r="G456" s="19">
        <f>IFERROR(__xludf.DUMMYFUNCTION("""COMPUTED_VALUE"""),0.8666666666666666)</f>
        <v>0.8666666667</v>
      </c>
      <c r="H456" s="17">
        <f>IFERROR(__xludf.DUMMYFUNCTION("""COMPUTED_VALUE"""),42300.0)</f>
        <v>42300</v>
      </c>
      <c r="I456" s="19">
        <f>IFERROR(__xludf.DUMMYFUNCTION("""COMPUTED_VALUE"""),0.9472222222222222)</f>
        <v>0.9472222222</v>
      </c>
      <c r="J456" s="21">
        <f>IFERROR(__xludf.DUMMYFUNCTION("""COMPUTED_VALUE"""),81.0)</f>
        <v>81</v>
      </c>
      <c r="K456" s="23">
        <f>IFERROR(__xludf.DUMMYFUNCTION("""COMPUTED_VALUE"""),8.1)</f>
        <v>8.1</v>
      </c>
      <c r="L456" s="24">
        <f>IFERROR(__xludf.DUMMYFUNCTION("""COMPUTED_VALUE"""),18.0)</f>
        <v>18</v>
      </c>
      <c r="M456" s="25" t="str">
        <f>IFERROR(__xludf.DUMMYFUNCTION("""COMPUTED_VALUE"""),"Visual Novel")</f>
        <v>Visual Novel</v>
      </c>
      <c r="N456" s="25"/>
      <c r="O456" s="26" t="str">
        <f>IFERROR(__xludf.DUMMYFUNCTION("""COMPUTED_VALUE"""),"No")</f>
        <v>No</v>
      </c>
      <c r="P456" s="26"/>
    </row>
    <row r="457">
      <c r="A457" s="13" t="str">
        <f>IFERROR(__xludf.DUMMYFUNCTION("""COMPUTED_VALUE"""),"Actual Sunlight")</f>
        <v>Actual Sunlight</v>
      </c>
      <c r="B457" s="15" t="str">
        <f>IFERROR(__xludf.DUMMYFUNCTION("""COMPUTED_VALUE"""),"Vita")</f>
        <v>Vita</v>
      </c>
      <c r="C457" s="16" t="str">
        <f>IFERROR(__xludf.DUMMYFUNCTION("""COMPUTED_VALUE"""),"Playstation Plus (Discontinued)")</f>
        <v>Playstation Plus (Discontinued)</v>
      </c>
      <c r="D457" s="15" t="str">
        <f>IFERROR(__xludf.DUMMYFUNCTION("""COMPUTED_VALUE"""),"Removed")</f>
        <v>Removed</v>
      </c>
      <c r="E457" s="17">
        <f>IFERROR(__xludf.DUMMYFUNCTION("""COMPUTED_VALUE"""),42647.0)</f>
        <v>42647</v>
      </c>
      <c r="F457" s="54">
        <f>IFERROR(__xludf.DUMMYFUNCTION("""COMPUTED_VALUE"""),42674.0)</f>
        <v>42674</v>
      </c>
      <c r="G457" s="19">
        <f>IFERROR(__xludf.DUMMYFUNCTION("""COMPUTED_VALUE"""),0.8666666666666666)</f>
        <v>0.8666666667</v>
      </c>
      <c r="H457" s="17">
        <f>IFERROR(__xludf.DUMMYFUNCTION("""COMPUTED_VALUE"""),42097.0)</f>
        <v>42097</v>
      </c>
      <c r="I457" s="19">
        <f>IFERROR(__xludf.DUMMYFUNCTION("""COMPUTED_VALUE"""),1.5027777777777778)</f>
        <v>1.502777778</v>
      </c>
      <c r="J457" s="21">
        <f>IFERROR(__xludf.DUMMYFUNCTION("""COMPUTED_VALUE"""),63.0)</f>
        <v>63</v>
      </c>
      <c r="K457" s="23">
        <f>IFERROR(__xludf.DUMMYFUNCTION("""COMPUTED_VALUE"""),7.1)</f>
        <v>7.1</v>
      </c>
      <c r="L457" s="24">
        <f>IFERROR(__xludf.DUMMYFUNCTION("""COMPUTED_VALUE"""),2.0)</f>
        <v>2</v>
      </c>
      <c r="M457" s="25" t="str">
        <f>IFERROR(__xludf.DUMMYFUNCTION("""COMPUTED_VALUE"""),"Adventure")</f>
        <v>Adventure</v>
      </c>
      <c r="N457" s="25"/>
      <c r="O457" s="26" t="str">
        <f>IFERROR(__xludf.DUMMYFUNCTION("""COMPUTED_VALUE"""),"No")</f>
        <v>No</v>
      </c>
      <c r="P457" s="26"/>
    </row>
    <row r="458">
      <c r="A458" s="13" t="str">
        <f>IFERROR(__xludf.DUMMYFUNCTION("""COMPUTED_VALUE"""),"Lords of the Fallen")</f>
        <v>Lords of the Fallen</v>
      </c>
      <c r="B458" s="15" t="str">
        <f>IFERROR(__xludf.DUMMYFUNCTION("""COMPUTED_VALUE"""),"PS4")</f>
        <v>PS4</v>
      </c>
      <c r="C458" s="16" t="str">
        <f>IFERROR(__xludf.DUMMYFUNCTION("""COMPUTED_VALUE"""),"Playstation Plus (Discontinued)")</f>
        <v>Playstation Plus (Discontinued)</v>
      </c>
      <c r="D458" s="15" t="str">
        <f>IFERROR(__xludf.DUMMYFUNCTION("""COMPUTED_VALUE"""),"Removed")</f>
        <v>Removed</v>
      </c>
      <c r="E458" s="17">
        <f>IFERROR(__xludf.DUMMYFUNCTION("""COMPUTED_VALUE"""),42619.0)</f>
        <v>42619</v>
      </c>
      <c r="F458" s="54">
        <f>IFERROR(__xludf.DUMMYFUNCTION("""COMPUTED_VALUE"""),42646.0)</f>
        <v>42646</v>
      </c>
      <c r="G458" s="19">
        <f>IFERROR(__xludf.DUMMYFUNCTION("""COMPUTED_VALUE"""),0.8999999999999999)</f>
        <v>0.9</v>
      </c>
      <c r="H458" s="17">
        <f>IFERROR(__xludf.DUMMYFUNCTION("""COMPUTED_VALUE"""),41940.0)</f>
        <v>41940</v>
      </c>
      <c r="I458" s="19">
        <f>IFERROR(__xludf.DUMMYFUNCTION("""COMPUTED_VALUE"""),1.8555555555555556)</f>
        <v>1.855555556</v>
      </c>
      <c r="J458" s="21">
        <f>IFERROR(__xludf.DUMMYFUNCTION("""COMPUTED_VALUE"""),73.0)</f>
        <v>73</v>
      </c>
      <c r="K458" s="23">
        <f>IFERROR(__xludf.DUMMYFUNCTION("""COMPUTED_VALUE"""),6.6)</f>
        <v>6.6</v>
      </c>
      <c r="L458" s="24">
        <f>IFERROR(__xludf.DUMMYFUNCTION("""COMPUTED_VALUE"""),17.0)</f>
        <v>17</v>
      </c>
      <c r="M458" s="25" t="str">
        <f>IFERROR(__xludf.DUMMYFUNCTION("""COMPUTED_VALUE"""),"RPG")</f>
        <v>RPG</v>
      </c>
      <c r="N458" s="25"/>
      <c r="O458" s="26" t="str">
        <f>IFERROR(__xludf.DUMMYFUNCTION("""COMPUTED_VALUE"""),"No")</f>
        <v>No</v>
      </c>
      <c r="P458" s="26"/>
    </row>
    <row r="459">
      <c r="A459" s="13" t="str">
        <f>IFERROR(__xludf.DUMMYFUNCTION("""COMPUTED_VALUE"""),"Journey")</f>
        <v>Journey</v>
      </c>
      <c r="B459" s="15" t="str">
        <f>IFERROR(__xludf.DUMMYFUNCTION("""COMPUTED_VALUE"""),"PS4/PS3")</f>
        <v>PS4/PS3</v>
      </c>
      <c r="C459" s="16" t="str">
        <f>IFERROR(__xludf.DUMMYFUNCTION("""COMPUTED_VALUE"""),"Playstation Plus (Discontinued)")</f>
        <v>Playstation Plus (Discontinued)</v>
      </c>
      <c r="D459" s="15" t="str">
        <f>IFERROR(__xludf.DUMMYFUNCTION("""COMPUTED_VALUE"""),"Removed")</f>
        <v>Removed</v>
      </c>
      <c r="E459" s="17">
        <f>IFERROR(__xludf.DUMMYFUNCTION("""COMPUTED_VALUE"""),42619.0)</f>
        <v>42619</v>
      </c>
      <c r="F459" s="54">
        <f>IFERROR(__xludf.DUMMYFUNCTION("""COMPUTED_VALUE"""),42646.0)</f>
        <v>42646</v>
      </c>
      <c r="G459" s="19">
        <f>IFERROR(__xludf.DUMMYFUNCTION("""COMPUTED_VALUE"""),0.8999999999999999)</f>
        <v>0.9</v>
      </c>
      <c r="H459" s="17">
        <f>IFERROR(__xludf.DUMMYFUNCTION("""COMPUTED_VALUE"""),40981.0)</f>
        <v>40981</v>
      </c>
      <c r="I459" s="19">
        <f>IFERROR(__xludf.DUMMYFUNCTION("""COMPUTED_VALUE"""),4.480555555555555)</f>
        <v>4.480555556</v>
      </c>
      <c r="J459" s="21">
        <f>IFERROR(__xludf.DUMMYFUNCTION("""COMPUTED_VALUE"""),92.0)</f>
        <v>92</v>
      </c>
      <c r="K459" s="23">
        <f>IFERROR(__xludf.DUMMYFUNCTION("""COMPUTED_VALUE"""),8.5)</f>
        <v>8.5</v>
      </c>
      <c r="L459" s="24">
        <f>IFERROR(__xludf.DUMMYFUNCTION("""COMPUTED_VALUE"""),2.0)</f>
        <v>2</v>
      </c>
      <c r="M459" s="25" t="str">
        <f>IFERROR(__xludf.DUMMYFUNCTION("""COMPUTED_VALUE"""),"Adventure")</f>
        <v>Adventure</v>
      </c>
      <c r="N459" s="25"/>
      <c r="O459" s="26" t="str">
        <f>IFERROR(__xludf.DUMMYFUNCTION("""COMPUTED_VALUE"""),"No")</f>
        <v>No</v>
      </c>
      <c r="P459" s="26"/>
    </row>
    <row r="460">
      <c r="A460" s="13" t="str">
        <f>IFERROR(__xludf.DUMMYFUNCTION("""COMPUTED_VALUE"""),"Badland")</f>
        <v>Badland</v>
      </c>
      <c r="B460" s="15" t="str">
        <f>IFERROR(__xludf.DUMMYFUNCTION("""COMPUTED_VALUE"""),"PS4/PS3/Vita")</f>
        <v>PS4/PS3/Vita</v>
      </c>
      <c r="C460" s="16" t="str">
        <f>IFERROR(__xludf.DUMMYFUNCTION("""COMPUTED_VALUE"""),"Playstation Plus (Discontinued)")</f>
        <v>Playstation Plus (Discontinued)</v>
      </c>
      <c r="D460" s="15" t="str">
        <f>IFERROR(__xludf.DUMMYFUNCTION("""COMPUTED_VALUE"""),"Removed")</f>
        <v>Removed</v>
      </c>
      <c r="E460" s="17">
        <f>IFERROR(__xludf.DUMMYFUNCTION("""COMPUTED_VALUE"""),42619.0)</f>
        <v>42619</v>
      </c>
      <c r="F460" s="54">
        <f>IFERROR(__xludf.DUMMYFUNCTION("""COMPUTED_VALUE"""),42646.0)</f>
        <v>42646</v>
      </c>
      <c r="G460" s="19">
        <f>IFERROR(__xludf.DUMMYFUNCTION("""COMPUTED_VALUE"""),0.8999999999999999)</f>
        <v>0.9</v>
      </c>
      <c r="H460" s="17">
        <f>IFERROR(__xludf.DUMMYFUNCTION("""COMPUTED_VALUE"""),42130.0)</f>
        <v>42130</v>
      </c>
      <c r="I460" s="19">
        <f>IFERROR(__xludf.DUMMYFUNCTION("""COMPUTED_VALUE"""),1.3333333333333333)</f>
        <v>1.333333333</v>
      </c>
      <c r="J460" s="21">
        <f>IFERROR(__xludf.DUMMYFUNCTION("""COMPUTED_VALUE"""),79.0)</f>
        <v>79</v>
      </c>
      <c r="K460" s="23">
        <f>IFERROR(__xludf.DUMMYFUNCTION("""COMPUTED_VALUE"""),7.1)</f>
        <v>7.1</v>
      </c>
      <c r="L460" s="24">
        <f>IFERROR(__xludf.DUMMYFUNCTION("""COMPUTED_VALUE"""),3.0)</f>
        <v>3</v>
      </c>
      <c r="M460" s="25" t="str">
        <f>IFERROR(__xludf.DUMMYFUNCTION("""COMPUTED_VALUE"""),"Platformer")</f>
        <v>Platformer</v>
      </c>
      <c r="N460" s="25"/>
      <c r="O460" s="26" t="str">
        <f>IFERROR(__xludf.DUMMYFUNCTION("""COMPUTED_VALUE"""),"No")</f>
        <v>No</v>
      </c>
      <c r="P460" s="26"/>
    </row>
    <row r="461">
      <c r="A461" s="13" t="str">
        <f>IFERROR(__xludf.DUMMYFUNCTION("""COMPUTED_VALUE"""),"Prince of Persia: The Forgotten Sands")</f>
        <v>Prince of Persia: The Forgotten Sands</v>
      </c>
      <c r="B461" s="15" t="str">
        <f>IFERROR(__xludf.DUMMYFUNCTION("""COMPUTED_VALUE"""),"PS3")</f>
        <v>PS3</v>
      </c>
      <c r="C461" s="16" t="str">
        <f>IFERROR(__xludf.DUMMYFUNCTION("""COMPUTED_VALUE"""),"Playstation Plus (Discontinued)")</f>
        <v>Playstation Plus (Discontinued)</v>
      </c>
      <c r="D461" s="15" t="str">
        <f>IFERROR(__xludf.DUMMYFUNCTION("""COMPUTED_VALUE"""),"Removed")</f>
        <v>Removed</v>
      </c>
      <c r="E461" s="17">
        <f>IFERROR(__xludf.DUMMYFUNCTION("""COMPUTED_VALUE"""),42619.0)</f>
        <v>42619</v>
      </c>
      <c r="F461" s="54">
        <f>IFERROR(__xludf.DUMMYFUNCTION("""COMPUTED_VALUE"""),42646.0)</f>
        <v>42646</v>
      </c>
      <c r="G461" s="19">
        <f>IFERROR(__xludf.DUMMYFUNCTION("""COMPUTED_VALUE"""),0.8999999999999999)</f>
        <v>0.9</v>
      </c>
      <c r="H461" s="17">
        <f>IFERROR(__xludf.DUMMYFUNCTION("""COMPUTED_VALUE"""),40316.0)</f>
        <v>40316</v>
      </c>
      <c r="I461" s="19">
        <f>IFERROR(__xludf.DUMMYFUNCTION("""COMPUTED_VALUE"""),6.3)</f>
        <v>6.3</v>
      </c>
      <c r="J461" s="21">
        <f>IFERROR(__xludf.DUMMYFUNCTION("""COMPUTED_VALUE"""),75.0)</f>
        <v>75</v>
      </c>
      <c r="K461" s="23">
        <f>IFERROR(__xludf.DUMMYFUNCTION("""COMPUTED_VALUE"""),7.2)</f>
        <v>7.2</v>
      </c>
      <c r="L461" s="24">
        <f>IFERROR(__xludf.DUMMYFUNCTION("""COMPUTED_VALUE"""),7.0)</f>
        <v>7</v>
      </c>
      <c r="M461" s="25" t="str">
        <f>IFERROR(__xludf.DUMMYFUNCTION("""COMPUTED_VALUE"""),"Action-Adventure")</f>
        <v>Action-Adventure</v>
      </c>
      <c r="N461" s="25"/>
      <c r="O461" s="26" t="str">
        <f>IFERROR(__xludf.DUMMYFUNCTION("""COMPUTED_VALUE"""),"No")</f>
        <v>No</v>
      </c>
      <c r="P461" s="26"/>
    </row>
    <row r="462">
      <c r="A462" s="13" t="str">
        <f>IFERROR(__xludf.DUMMYFUNCTION("""COMPUTED_VALUE"""),"Datura")</f>
        <v>Datura</v>
      </c>
      <c r="B462" s="15" t="str">
        <f>IFERROR(__xludf.DUMMYFUNCTION("""COMPUTED_VALUE"""),"PS3")</f>
        <v>PS3</v>
      </c>
      <c r="C462" s="16" t="str">
        <f>IFERROR(__xludf.DUMMYFUNCTION("""COMPUTED_VALUE"""),"Playstation Plus (Discontinued)")</f>
        <v>Playstation Plus (Discontinued)</v>
      </c>
      <c r="D462" s="15" t="str">
        <f>IFERROR(__xludf.DUMMYFUNCTION("""COMPUTED_VALUE"""),"Removed")</f>
        <v>Removed</v>
      </c>
      <c r="E462" s="17">
        <f>IFERROR(__xludf.DUMMYFUNCTION("""COMPUTED_VALUE"""),42619.0)</f>
        <v>42619</v>
      </c>
      <c r="F462" s="54">
        <f>IFERROR(__xludf.DUMMYFUNCTION("""COMPUTED_VALUE"""),42646.0)</f>
        <v>42646</v>
      </c>
      <c r="G462" s="19">
        <f>IFERROR(__xludf.DUMMYFUNCTION("""COMPUTED_VALUE"""),0.8999999999999999)</f>
        <v>0.9</v>
      </c>
      <c r="H462" s="17">
        <f>IFERROR(__xludf.DUMMYFUNCTION("""COMPUTED_VALUE"""),41044.0)</f>
        <v>41044</v>
      </c>
      <c r="I462" s="19">
        <f>IFERROR(__xludf.DUMMYFUNCTION("""COMPUTED_VALUE"""),4.308333333333334)</f>
        <v>4.308333333</v>
      </c>
      <c r="J462" s="21">
        <f>IFERROR(__xludf.DUMMYFUNCTION("""COMPUTED_VALUE"""),59.0)</f>
        <v>59</v>
      </c>
      <c r="K462" s="23">
        <f>IFERROR(__xludf.DUMMYFUNCTION("""COMPUTED_VALUE"""),5.6)</f>
        <v>5.6</v>
      </c>
      <c r="L462" s="24">
        <f>IFERROR(__xludf.DUMMYFUNCTION("""COMPUTED_VALUE"""),2.0)</f>
        <v>2</v>
      </c>
      <c r="M462" s="25" t="str">
        <f>IFERROR(__xludf.DUMMYFUNCTION("""COMPUTED_VALUE"""),"Adventure")</f>
        <v>Adventure</v>
      </c>
      <c r="N462" s="25"/>
      <c r="O462" s="26" t="str">
        <f>IFERROR(__xludf.DUMMYFUNCTION("""COMPUTED_VALUE"""),"No")</f>
        <v>No</v>
      </c>
      <c r="P462" s="26"/>
    </row>
    <row r="463">
      <c r="A463" s="13" t="str">
        <f>IFERROR(__xludf.DUMMYFUNCTION("""COMPUTED_VALUE"""),"Amnesia: Memories")</f>
        <v>Amnesia: Memories</v>
      </c>
      <c r="B463" s="15" t="str">
        <f>IFERROR(__xludf.DUMMYFUNCTION("""COMPUTED_VALUE"""),"Vita")</f>
        <v>Vita</v>
      </c>
      <c r="C463" s="16" t="str">
        <f>IFERROR(__xludf.DUMMYFUNCTION("""COMPUTED_VALUE"""),"Playstation Plus (Discontinued)")</f>
        <v>Playstation Plus (Discontinued)</v>
      </c>
      <c r="D463" s="15" t="str">
        <f>IFERROR(__xludf.DUMMYFUNCTION("""COMPUTED_VALUE"""),"Removed")</f>
        <v>Removed</v>
      </c>
      <c r="E463" s="17">
        <f>IFERROR(__xludf.DUMMYFUNCTION("""COMPUTED_VALUE"""),42619.0)</f>
        <v>42619</v>
      </c>
      <c r="F463" s="54">
        <f>IFERROR(__xludf.DUMMYFUNCTION("""COMPUTED_VALUE"""),42646.0)</f>
        <v>42646</v>
      </c>
      <c r="G463" s="19">
        <f>IFERROR(__xludf.DUMMYFUNCTION("""COMPUTED_VALUE"""),0.8999999999999999)</f>
        <v>0.9</v>
      </c>
      <c r="H463" s="17">
        <f>IFERROR(__xludf.DUMMYFUNCTION("""COMPUTED_VALUE"""),42241.0)</f>
        <v>42241</v>
      </c>
      <c r="I463" s="19">
        <f>IFERROR(__xludf.DUMMYFUNCTION("""COMPUTED_VALUE"""),1.0305555555555554)</f>
        <v>1.030555556</v>
      </c>
      <c r="J463" s="21">
        <f>IFERROR(__xludf.DUMMYFUNCTION("""COMPUTED_VALUE"""),66.0)</f>
        <v>66</v>
      </c>
      <c r="K463" s="23">
        <f>IFERROR(__xludf.DUMMYFUNCTION("""COMPUTED_VALUE"""),7.3)</f>
        <v>7.3</v>
      </c>
      <c r="L463" s="24">
        <f>IFERROR(__xludf.DUMMYFUNCTION("""COMPUTED_VALUE"""),18.0)</f>
        <v>18</v>
      </c>
      <c r="M463" s="25" t="str">
        <f>IFERROR(__xludf.DUMMYFUNCTION("""COMPUTED_VALUE"""),"Visual Novel")</f>
        <v>Visual Novel</v>
      </c>
      <c r="N463" s="25"/>
      <c r="O463" s="26" t="str">
        <f>IFERROR(__xludf.DUMMYFUNCTION("""COMPUTED_VALUE"""),"No")</f>
        <v>No</v>
      </c>
      <c r="P463" s="26"/>
    </row>
    <row r="464">
      <c r="A464" s="13" t="str">
        <f>IFERROR(__xludf.DUMMYFUNCTION("""COMPUTED_VALUE"""),"Tricky Towers")</f>
        <v>Tricky Towers</v>
      </c>
      <c r="B464" s="15" t="str">
        <f>IFERROR(__xludf.DUMMYFUNCTION("""COMPUTED_VALUE"""),"PS4")</f>
        <v>PS4</v>
      </c>
      <c r="C464" s="16" t="str">
        <f>IFERROR(__xludf.DUMMYFUNCTION("""COMPUTED_VALUE"""),"Playstation Plus (Discontinued)")</f>
        <v>Playstation Plus (Discontinued)</v>
      </c>
      <c r="D464" s="15" t="str">
        <f>IFERROR(__xludf.DUMMYFUNCTION("""COMPUTED_VALUE"""),"Removed")</f>
        <v>Removed</v>
      </c>
      <c r="E464" s="17">
        <f>IFERROR(__xludf.DUMMYFUNCTION("""COMPUTED_VALUE"""),42584.0)</f>
        <v>42584</v>
      </c>
      <c r="F464" s="54">
        <f>IFERROR(__xludf.DUMMYFUNCTION("""COMPUTED_VALUE"""),42618.0)</f>
        <v>42618</v>
      </c>
      <c r="G464" s="19">
        <f>IFERROR(__xludf.DUMMYFUNCTION("""COMPUTED_VALUE"""),1.0999999999999999)</f>
        <v>1.1</v>
      </c>
      <c r="H464" s="17">
        <f>IFERROR(__xludf.DUMMYFUNCTION("""COMPUTED_VALUE"""),42584.0)</f>
        <v>42584</v>
      </c>
      <c r="I464" s="19">
        <f>IFERROR(__xludf.DUMMYFUNCTION("""COMPUTED_VALUE"""),0.0)</f>
        <v>0</v>
      </c>
      <c r="J464" s="21">
        <f>IFERROR(__xludf.DUMMYFUNCTION("""COMPUTED_VALUE"""),80.0)</f>
        <v>80</v>
      </c>
      <c r="K464" s="23">
        <f>IFERROR(__xludf.DUMMYFUNCTION("""COMPUTED_VALUE"""),7.2)</f>
        <v>7.2</v>
      </c>
      <c r="L464" s="24">
        <f>IFERROR(__xludf.DUMMYFUNCTION("""COMPUTED_VALUE"""),10.0)</f>
        <v>10</v>
      </c>
      <c r="M464" s="25" t="str">
        <f>IFERROR(__xludf.DUMMYFUNCTION("""COMPUTED_VALUE"""),"Puzzle")</f>
        <v>Puzzle</v>
      </c>
      <c r="N464" s="25"/>
      <c r="O464" s="26" t="str">
        <f>IFERROR(__xludf.DUMMYFUNCTION("""COMPUTED_VALUE"""),"No")</f>
        <v>No</v>
      </c>
      <c r="P464" s="26"/>
    </row>
    <row r="465">
      <c r="A465" s="13" t="str">
        <f>IFERROR(__xludf.DUMMYFUNCTION("""COMPUTED_VALUE"""),"Rebel Galaxy")</f>
        <v>Rebel Galaxy</v>
      </c>
      <c r="B465" s="15" t="str">
        <f>IFERROR(__xludf.DUMMYFUNCTION("""COMPUTED_VALUE"""),"PS4")</f>
        <v>PS4</v>
      </c>
      <c r="C465" s="16" t="str">
        <f>IFERROR(__xludf.DUMMYFUNCTION("""COMPUTED_VALUE"""),"Playstation Plus (Discontinued)")</f>
        <v>Playstation Plus (Discontinued)</v>
      </c>
      <c r="D465" s="15" t="str">
        <f>IFERROR(__xludf.DUMMYFUNCTION("""COMPUTED_VALUE"""),"Removed")</f>
        <v>Removed</v>
      </c>
      <c r="E465" s="17">
        <f>IFERROR(__xludf.DUMMYFUNCTION("""COMPUTED_VALUE"""),42584.0)</f>
        <v>42584</v>
      </c>
      <c r="F465" s="54">
        <f>IFERROR(__xludf.DUMMYFUNCTION("""COMPUTED_VALUE"""),42618.0)</f>
        <v>42618</v>
      </c>
      <c r="G465" s="19">
        <f>IFERROR(__xludf.DUMMYFUNCTION("""COMPUTED_VALUE"""),1.0999999999999999)</f>
        <v>1.1</v>
      </c>
      <c r="H465" s="17">
        <f>IFERROR(__xludf.DUMMYFUNCTION("""COMPUTED_VALUE"""),42290.0)</f>
        <v>42290</v>
      </c>
      <c r="I465" s="19">
        <f>IFERROR(__xludf.DUMMYFUNCTION("""COMPUTED_VALUE"""),0.8027777777777778)</f>
        <v>0.8027777778</v>
      </c>
      <c r="J465" s="21">
        <f>IFERROR(__xludf.DUMMYFUNCTION("""COMPUTED_VALUE"""),76.0)</f>
        <v>76</v>
      </c>
      <c r="K465" s="23">
        <f>IFERROR(__xludf.DUMMYFUNCTION("""COMPUTED_VALUE"""),7.4)</f>
        <v>7.4</v>
      </c>
      <c r="L465" s="24">
        <f>IFERROR(__xludf.DUMMYFUNCTION("""COMPUTED_VALUE"""),20.0)</f>
        <v>20</v>
      </c>
      <c r="M465" s="25" t="str">
        <f>IFERROR(__xludf.DUMMYFUNCTION("""COMPUTED_VALUE"""),"RPG")</f>
        <v>RPG</v>
      </c>
      <c r="N465" s="25"/>
      <c r="O465" s="26" t="str">
        <f>IFERROR(__xludf.DUMMYFUNCTION("""COMPUTED_VALUE"""),"No")</f>
        <v>No</v>
      </c>
      <c r="P465" s="26"/>
    </row>
    <row r="466">
      <c r="A466" s="13" t="str">
        <f>IFERROR(__xludf.DUMMYFUNCTION("""COMPUTED_VALUE"""),"Yakuza 5")</f>
        <v>Yakuza 5</v>
      </c>
      <c r="B466" s="15" t="str">
        <f>IFERROR(__xludf.DUMMYFUNCTION("""COMPUTED_VALUE"""),"PS3")</f>
        <v>PS3</v>
      </c>
      <c r="C466" s="16" t="str">
        <f>IFERROR(__xludf.DUMMYFUNCTION("""COMPUTED_VALUE"""),"Playstation Plus (Discontinued)")</f>
        <v>Playstation Plus (Discontinued)</v>
      </c>
      <c r="D466" s="15" t="str">
        <f>IFERROR(__xludf.DUMMYFUNCTION("""COMPUTED_VALUE"""),"Removed")</f>
        <v>Removed</v>
      </c>
      <c r="E466" s="17">
        <f>IFERROR(__xludf.DUMMYFUNCTION("""COMPUTED_VALUE"""),42584.0)</f>
        <v>42584</v>
      </c>
      <c r="F466" s="54">
        <f>IFERROR(__xludf.DUMMYFUNCTION("""COMPUTED_VALUE"""),42618.0)</f>
        <v>42618</v>
      </c>
      <c r="G466" s="19">
        <f>IFERROR(__xludf.DUMMYFUNCTION("""COMPUTED_VALUE"""),1.0999999999999999)</f>
        <v>1.1</v>
      </c>
      <c r="H466" s="17">
        <f>IFERROR(__xludf.DUMMYFUNCTION("""COMPUTED_VALUE"""),41249.0)</f>
        <v>41249</v>
      </c>
      <c r="I466" s="19">
        <f>IFERROR(__xludf.DUMMYFUNCTION("""COMPUTED_VALUE"""),3.6555555555555554)</f>
        <v>3.655555556</v>
      </c>
      <c r="J466" s="21">
        <f>IFERROR(__xludf.DUMMYFUNCTION("""COMPUTED_VALUE"""),83.0)</f>
        <v>83</v>
      </c>
      <c r="K466" s="23">
        <f>IFERROR(__xludf.DUMMYFUNCTION("""COMPUTED_VALUE"""),8.5)</f>
        <v>8.5</v>
      </c>
      <c r="L466" s="24">
        <f>IFERROR(__xludf.DUMMYFUNCTION("""COMPUTED_VALUE"""),37.0)</f>
        <v>37</v>
      </c>
      <c r="M466" s="25" t="str">
        <f>IFERROR(__xludf.DUMMYFUNCTION("""COMPUTED_VALUE"""),"Action-Adventure")</f>
        <v>Action-Adventure</v>
      </c>
      <c r="N466" s="25"/>
      <c r="O466" s="26" t="str">
        <f>IFERROR(__xludf.DUMMYFUNCTION("""COMPUTED_VALUE"""),"No")</f>
        <v>No</v>
      </c>
      <c r="P466" s="26"/>
    </row>
    <row r="467">
      <c r="A467" s="13" t="str">
        <f>IFERROR(__xludf.DUMMYFUNCTION("""COMPUTED_VALUE"""),"Retro/Grade")</f>
        <v>Retro/Grade</v>
      </c>
      <c r="B467" s="15" t="str">
        <f>IFERROR(__xludf.DUMMYFUNCTION("""COMPUTED_VALUE"""),"PS3")</f>
        <v>PS3</v>
      </c>
      <c r="C467" s="16" t="str">
        <f>IFERROR(__xludf.DUMMYFUNCTION("""COMPUTED_VALUE"""),"Playstation Plus (Discontinued)")</f>
        <v>Playstation Plus (Discontinued)</v>
      </c>
      <c r="D467" s="15" t="str">
        <f>IFERROR(__xludf.DUMMYFUNCTION("""COMPUTED_VALUE"""),"Removed")</f>
        <v>Removed</v>
      </c>
      <c r="E467" s="17">
        <f>IFERROR(__xludf.DUMMYFUNCTION("""COMPUTED_VALUE"""),42584.0)</f>
        <v>42584</v>
      </c>
      <c r="F467" s="54">
        <f>IFERROR(__xludf.DUMMYFUNCTION("""COMPUTED_VALUE"""),42618.0)</f>
        <v>42618</v>
      </c>
      <c r="G467" s="19">
        <f>IFERROR(__xludf.DUMMYFUNCTION("""COMPUTED_VALUE"""),1.0999999999999999)</f>
        <v>1.1</v>
      </c>
      <c r="H467" s="17">
        <f>IFERROR(__xludf.DUMMYFUNCTION("""COMPUTED_VALUE"""),41142.0)</f>
        <v>41142</v>
      </c>
      <c r="I467" s="19">
        <f>IFERROR(__xludf.DUMMYFUNCTION("""COMPUTED_VALUE"""),3.9472222222222224)</f>
        <v>3.947222222</v>
      </c>
      <c r="J467" s="21">
        <f>IFERROR(__xludf.DUMMYFUNCTION("""COMPUTED_VALUE"""),70.0)</f>
        <v>70</v>
      </c>
      <c r="K467" s="23">
        <f>IFERROR(__xludf.DUMMYFUNCTION("""COMPUTED_VALUE"""),6.8)</f>
        <v>6.8</v>
      </c>
      <c r="L467" s="24">
        <f>IFERROR(__xludf.DUMMYFUNCTION("""COMPUTED_VALUE"""),4.0)</f>
        <v>4</v>
      </c>
      <c r="M467" s="25" t="str">
        <f>IFERROR(__xludf.DUMMYFUNCTION("""COMPUTED_VALUE"""),"Shooter")</f>
        <v>Shooter</v>
      </c>
      <c r="N467" s="25"/>
      <c r="O467" s="26" t="str">
        <f>IFERROR(__xludf.DUMMYFUNCTION("""COMPUTED_VALUE"""),"No")</f>
        <v>No</v>
      </c>
      <c r="P467" s="26"/>
    </row>
    <row r="468">
      <c r="A468" s="13" t="str">
        <f>IFERROR(__xludf.DUMMYFUNCTION("""COMPUTED_VALUE"""),"Patapon 3")</f>
        <v>Patapon 3</v>
      </c>
      <c r="B468" s="15" t="str">
        <f>IFERROR(__xludf.DUMMYFUNCTION("""COMPUTED_VALUE"""),"Vita/PSP")</f>
        <v>Vita/PSP</v>
      </c>
      <c r="C468" s="16" t="str">
        <f>IFERROR(__xludf.DUMMYFUNCTION("""COMPUTED_VALUE"""),"Playstation Plus (Discontinued)")</f>
        <v>Playstation Plus (Discontinued)</v>
      </c>
      <c r="D468" s="15" t="str">
        <f>IFERROR(__xludf.DUMMYFUNCTION("""COMPUTED_VALUE"""),"Removed")</f>
        <v>Removed</v>
      </c>
      <c r="E468" s="17">
        <f>IFERROR(__xludf.DUMMYFUNCTION("""COMPUTED_VALUE"""),42584.0)</f>
        <v>42584</v>
      </c>
      <c r="F468" s="54">
        <f>IFERROR(__xludf.DUMMYFUNCTION("""COMPUTED_VALUE"""),42618.0)</f>
        <v>42618</v>
      </c>
      <c r="G468" s="19">
        <f>IFERROR(__xludf.DUMMYFUNCTION("""COMPUTED_VALUE"""),1.0999999999999999)</f>
        <v>1.1</v>
      </c>
      <c r="H468" s="17">
        <f>IFERROR(__xludf.DUMMYFUNCTION("""COMPUTED_VALUE"""),40645.0)</f>
        <v>40645</v>
      </c>
      <c r="I468" s="19">
        <f>IFERROR(__xludf.DUMMYFUNCTION("""COMPUTED_VALUE"""),5.305555555555555)</f>
        <v>5.305555556</v>
      </c>
      <c r="J468" s="21">
        <f>IFERROR(__xludf.DUMMYFUNCTION("""COMPUTED_VALUE"""),86.0)</f>
        <v>86</v>
      </c>
      <c r="K468" s="23">
        <f>IFERROR(__xludf.DUMMYFUNCTION("""COMPUTED_VALUE"""),8.1)</f>
        <v>8.1</v>
      </c>
      <c r="L468" s="24">
        <f>IFERROR(__xludf.DUMMYFUNCTION("""COMPUTED_VALUE"""),18.0)</f>
        <v>18</v>
      </c>
      <c r="M468" s="25" t="str">
        <f>IFERROR(__xludf.DUMMYFUNCTION("""COMPUTED_VALUE"""),"Strategy")</f>
        <v>Strategy</v>
      </c>
      <c r="N468" s="25"/>
      <c r="O468" s="26" t="str">
        <f>IFERROR(__xludf.DUMMYFUNCTION("""COMPUTED_VALUE"""),"No")</f>
        <v>No</v>
      </c>
      <c r="P468" s="26"/>
    </row>
    <row r="469">
      <c r="A469" s="13" t="str">
        <f>IFERROR(__xludf.DUMMYFUNCTION("""COMPUTED_VALUE"""),"Ultratron")</f>
        <v>Ultratron</v>
      </c>
      <c r="B469" s="15" t="str">
        <f>IFERROR(__xludf.DUMMYFUNCTION("""COMPUTED_VALUE"""),"PS4/PS3/Vita")</f>
        <v>PS4/PS3/Vita</v>
      </c>
      <c r="C469" s="16" t="str">
        <f>IFERROR(__xludf.DUMMYFUNCTION("""COMPUTED_VALUE"""),"Playstation Plus (Discontinued)")</f>
        <v>Playstation Plus (Discontinued)</v>
      </c>
      <c r="D469" s="15" t="str">
        <f>IFERROR(__xludf.DUMMYFUNCTION("""COMPUTED_VALUE"""),"Removed")</f>
        <v>Removed</v>
      </c>
      <c r="E469" s="17">
        <f>IFERROR(__xludf.DUMMYFUNCTION("""COMPUTED_VALUE"""),42584.0)</f>
        <v>42584</v>
      </c>
      <c r="F469" s="54">
        <f>IFERROR(__xludf.DUMMYFUNCTION("""COMPUTED_VALUE"""),42618.0)</f>
        <v>42618</v>
      </c>
      <c r="G469" s="19">
        <f>IFERROR(__xludf.DUMMYFUNCTION("""COMPUTED_VALUE"""),1.0999999999999999)</f>
        <v>1.1</v>
      </c>
      <c r="H469" s="17">
        <f>IFERROR(__xludf.DUMMYFUNCTION("""COMPUTED_VALUE"""),42136.0)</f>
        <v>42136</v>
      </c>
      <c r="I469" s="19">
        <f>IFERROR(__xludf.DUMMYFUNCTION("""COMPUTED_VALUE"""),1.2222222222222223)</f>
        <v>1.222222222</v>
      </c>
      <c r="J469" s="21">
        <f>IFERROR(__xludf.DUMMYFUNCTION("""COMPUTED_VALUE"""),72.0)</f>
        <v>72</v>
      </c>
      <c r="K469" s="23">
        <f>IFERROR(__xludf.DUMMYFUNCTION("""COMPUTED_VALUE"""),7.1)</f>
        <v>7.1</v>
      </c>
      <c r="L469" s="24">
        <f>IFERROR(__xludf.DUMMYFUNCTION("""COMPUTED_VALUE"""),5.0)</f>
        <v>5</v>
      </c>
      <c r="M469" s="25" t="str">
        <f>IFERROR(__xludf.DUMMYFUNCTION("""COMPUTED_VALUE"""),"Shooter")</f>
        <v>Shooter</v>
      </c>
      <c r="N469" s="25"/>
      <c r="O469" s="26" t="str">
        <f>IFERROR(__xludf.DUMMYFUNCTION("""COMPUTED_VALUE"""),"No")</f>
        <v>No</v>
      </c>
      <c r="P469" s="26"/>
    </row>
    <row r="470">
      <c r="A470" s="13" t="str">
        <f>IFERROR(__xludf.DUMMYFUNCTION("""COMPUTED_VALUE"""),"Furi")</f>
        <v>Furi</v>
      </c>
      <c r="B470" s="15" t="str">
        <f>IFERROR(__xludf.DUMMYFUNCTION("""COMPUTED_VALUE"""),"PS4")</f>
        <v>PS4</v>
      </c>
      <c r="C470" s="16" t="str">
        <f>IFERROR(__xludf.DUMMYFUNCTION("""COMPUTED_VALUE"""),"Playstation Plus (Discontinued)")</f>
        <v>Playstation Plus (Discontinued)</v>
      </c>
      <c r="D470" s="15" t="str">
        <f>IFERROR(__xludf.DUMMYFUNCTION("""COMPUTED_VALUE"""),"Removed")</f>
        <v>Removed</v>
      </c>
      <c r="E470" s="17">
        <f>IFERROR(__xludf.DUMMYFUNCTION("""COMPUTED_VALUE"""),42556.0)</f>
        <v>42556</v>
      </c>
      <c r="F470" s="54">
        <f>IFERROR(__xludf.DUMMYFUNCTION("""COMPUTED_VALUE"""),42583.0)</f>
        <v>42583</v>
      </c>
      <c r="G470" s="19">
        <f>IFERROR(__xludf.DUMMYFUNCTION("""COMPUTED_VALUE"""),0.8666666666666666)</f>
        <v>0.8666666667</v>
      </c>
      <c r="H470" s="17">
        <f>IFERROR(__xludf.DUMMYFUNCTION("""COMPUTED_VALUE"""),42555.0)</f>
        <v>42555</v>
      </c>
      <c r="I470" s="19">
        <f>IFERROR(__xludf.DUMMYFUNCTION("""COMPUTED_VALUE"""),0.002777777777777778)</f>
        <v>0.002777777778</v>
      </c>
      <c r="J470" s="21">
        <f>IFERROR(__xludf.DUMMYFUNCTION("""COMPUTED_VALUE"""),74.0)</f>
        <v>74</v>
      </c>
      <c r="K470" s="23">
        <f>IFERROR(__xludf.DUMMYFUNCTION("""COMPUTED_VALUE"""),7.8)</f>
        <v>7.8</v>
      </c>
      <c r="L470" s="24">
        <f>IFERROR(__xludf.DUMMYFUNCTION("""COMPUTED_VALUE"""),6.0)</f>
        <v>6</v>
      </c>
      <c r="M470" s="25" t="str">
        <f>IFERROR(__xludf.DUMMYFUNCTION("""COMPUTED_VALUE"""),"Action-Adventure")</f>
        <v>Action-Adventure</v>
      </c>
      <c r="N470" s="25"/>
      <c r="O470" s="26" t="str">
        <f>IFERROR(__xludf.DUMMYFUNCTION("""COMPUTED_VALUE"""),"No")</f>
        <v>No</v>
      </c>
      <c r="P470" s="26"/>
    </row>
    <row r="471">
      <c r="A471" s="13" t="str">
        <f>IFERROR(__xludf.DUMMYFUNCTION("""COMPUTED_VALUE"""),"Saint's Row: Gat Out of Hell")</f>
        <v>Saint's Row: Gat Out of Hell</v>
      </c>
      <c r="B471" s="15" t="str">
        <f>IFERROR(__xludf.DUMMYFUNCTION("""COMPUTED_VALUE"""),"PS4")</f>
        <v>PS4</v>
      </c>
      <c r="C471" s="16" t="str">
        <f>IFERROR(__xludf.DUMMYFUNCTION("""COMPUTED_VALUE"""),"Playstation Plus (Discontinued)")</f>
        <v>Playstation Plus (Discontinued)</v>
      </c>
      <c r="D471" s="15" t="str">
        <f>IFERROR(__xludf.DUMMYFUNCTION("""COMPUTED_VALUE"""),"Removed")</f>
        <v>Removed</v>
      </c>
      <c r="E471" s="17">
        <f>IFERROR(__xludf.DUMMYFUNCTION("""COMPUTED_VALUE"""),42556.0)</f>
        <v>42556</v>
      </c>
      <c r="F471" s="54">
        <f>IFERROR(__xludf.DUMMYFUNCTION("""COMPUTED_VALUE"""),42583.0)</f>
        <v>42583</v>
      </c>
      <c r="G471" s="19">
        <f>IFERROR(__xludf.DUMMYFUNCTION("""COMPUTED_VALUE"""),0.8666666666666666)</f>
        <v>0.8666666667</v>
      </c>
      <c r="H471" s="17">
        <f>IFERROR(__xludf.DUMMYFUNCTION("""COMPUTED_VALUE"""),42024.0)</f>
        <v>42024</v>
      </c>
      <c r="I471" s="19">
        <f>IFERROR(__xludf.DUMMYFUNCTION("""COMPUTED_VALUE"""),1.4583333333333333)</f>
        <v>1.458333333</v>
      </c>
      <c r="J471" s="21">
        <f>IFERROR(__xludf.DUMMYFUNCTION("""COMPUTED_VALUE"""),65.0)</f>
        <v>65</v>
      </c>
      <c r="K471" s="23">
        <f>IFERROR(__xludf.DUMMYFUNCTION("""COMPUTED_VALUE"""),7.1)</f>
        <v>7.1</v>
      </c>
      <c r="L471" s="24">
        <f>IFERROR(__xludf.DUMMYFUNCTION("""COMPUTED_VALUE"""),6.0)</f>
        <v>6</v>
      </c>
      <c r="M471" s="25" t="str">
        <f>IFERROR(__xludf.DUMMYFUNCTION("""COMPUTED_VALUE"""),"Action-Adventure")</f>
        <v>Action-Adventure</v>
      </c>
      <c r="N471" s="25"/>
      <c r="O471" s="26" t="str">
        <f>IFERROR(__xludf.DUMMYFUNCTION("""COMPUTED_VALUE"""),"No")</f>
        <v>No</v>
      </c>
      <c r="P471" s="26"/>
    </row>
    <row r="472">
      <c r="A472" s="13" t="str">
        <f>IFERROR(__xludf.DUMMYFUNCTION("""COMPUTED_VALUE"""),"Oreshika: Tainted Bloodlines")</f>
        <v>Oreshika: Tainted Bloodlines</v>
      </c>
      <c r="B472" s="15" t="str">
        <f>IFERROR(__xludf.DUMMYFUNCTION("""COMPUTED_VALUE"""),"Vita")</f>
        <v>Vita</v>
      </c>
      <c r="C472" s="16" t="str">
        <f>IFERROR(__xludf.DUMMYFUNCTION("""COMPUTED_VALUE"""),"Playstation Plus (Discontinued)")</f>
        <v>Playstation Plus (Discontinued)</v>
      </c>
      <c r="D472" s="15" t="str">
        <f>IFERROR(__xludf.DUMMYFUNCTION("""COMPUTED_VALUE"""),"Removed")</f>
        <v>Removed</v>
      </c>
      <c r="E472" s="17">
        <f>IFERROR(__xludf.DUMMYFUNCTION("""COMPUTED_VALUE"""),42556.0)</f>
        <v>42556</v>
      </c>
      <c r="F472" s="54">
        <f>IFERROR(__xludf.DUMMYFUNCTION("""COMPUTED_VALUE"""),42583.0)</f>
        <v>42583</v>
      </c>
      <c r="G472" s="19">
        <f>IFERROR(__xludf.DUMMYFUNCTION("""COMPUTED_VALUE"""),0.8666666666666666)</f>
        <v>0.8666666667</v>
      </c>
      <c r="H472" s="17">
        <f>IFERROR(__xludf.DUMMYFUNCTION("""COMPUTED_VALUE"""),42066.0)</f>
        <v>42066</v>
      </c>
      <c r="I472" s="19">
        <f>IFERROR(__xludf.DUMMYFUNCTION("""COMPUTED_VALUE"""),1.3388888888888888)</f>
        <v>1.338888889</v>
      </c>
      <c r="J472" s="21">
        <f>IFERROR(__xludf.DUMMYFUNCTION("""COMPUTED_VALUE"""),76.0)</f>
        <v>76</v>
      </c>
      <c r="K472" s="23">
        <f>IFERROR(__xludf.DUMMYFUNCTION("""COMPUTED_VALUE"""),7.8)</f>
        <v>7.8</v>
      </c>
      <c r="L472" s="24">
        <f>IFERROR(__xludf.DUMMYFUNCTION("""COMPUTED_VALUE"""),40.0)</f>
        <v>40</v>
      </c>
      <c r="M472" s="25" t="str">
        <f>IFERROR(__xludf.DUMMYFUNCTION("""COMPUTED_VALUE"""),"RPG")</f>
        <v>RPG</v>
      </c>
      <c r="N472" s="25"/>
      <c r="O472" s="26" t="str">
        <f>IFERROR(__xludf.DUMMYFUNCTION("""COMPUTED_VALUE"""),"No")</f>
        <v>No</v>
      </c>
      <c r="P472" s="26"/>
    </row>
    <row r="473">
      <c r="A473" s="13" t="str">
        <f>IFERROR(__xludf.DUMMYFUNCTION("""COMPUTED_VALUE"""),"Prince of Persia: Revelation")</f>
        <v>Prince of Persia: Revelation</v>
      </c>
      <c r="B473" s="15" t="str">
        <f>IFERROR(__xludf.DUMMYFUNCTION("""COMPUTED_VALUE"""),"Vita/PSP")</f>
        <v>Vita/PSP</v>
      </c>
      <c r="C473" s="16" t="str">
        <f>IFERROR(__xludf.DUMMYFUNCTION("""COMPUTED_VALUE"""),"Playstation Plus (Discontinued)")</f>
        <v>Playstation Plus (Discontinued)</v>
      </c>
      <c r="D473" s="15" t="str">
        <f>IFERROR(__xludf.DUMMYFUNCTION("""COMPUTED_VALUE"""),"Removed")</f>
        <v>Removed</v>
      </c>
      <c r="E473" s="17">
        <f>IFERROR(__xludf.DUMMYFUNCTION("""COMPUTED_VALUE"""),42556.0)</f>
        <v>42556</v>
      </c>
      <c r="F473" s="54">
        <f>IFERROR(__xludf.DUMMYFUNCTION("""COMPUTED_VALUE"""),42583.0)</f>
        <v>42583</v>
      </c>
      <c r="G473" s="19">
        <f>IFERROR(__xludf.DUMMYFUNCTION("""COMPUTED_VALUE"""),0.8666666666666666)</f>
        <v>0.8666666667</v>
      </c>
      <c r="H473" s="17">
        <f>IFERROR(__xludf.DUMMYFUNCTION("""COMPUTED_VALUE"""),38691.0)</f>
        <v>38691</v>
      </c>
      <c r="I473" s="19">
        <f>IFERROR(__xludf.DUMMYFUNCTION("""COMPUTED_VALUE"""),10.583333333333334)</f>
        <v>10.58333333</v>
      </c>
      <c r="J473" s="21">
        <f>IFERROR(__xludf.DUMMYFUNCTION("""COMPUTED_VALUE"""),82.0)</f>
        <v>82</v>
      </c>
      <c r="K473" s="23">
        <f>IFERROR(__xludf.DUMMYFUNCTION("""COMPUTED_VALUE"""),8.3)</f>
        <v>8.3</v>
      </c>
      <c r="L473" s="24">
        <f>IFERROR(__xludf.DUMMYFUNCTION("""COMPUTED_VALUE"""),10.0)</f>
        <v>10</v>
      </c>
      <c r="M473" s="25" t="str">
        <f>IFERROR(__xludf.DUMMYFUNCTION("""COMPUTED_VALUE"""),"Action-Adventure")</f>
        <v>Action-Adventure</v>
      </c>
      <c r="N473" s="25"/>
      <c r="O473" s="26" t="str">
        <f>IFERROR(__xludf.DUMMYFUNCTION("""COMPUTED_VALUE"""),"No")</f>
        <v>No</v>
      </c>
      <c r="P473" s="26"/>
    </row>
    <row r="474">
      <c r="A474" s="13" t="str">
        <f>IFERROR(__xludf.DUMMYFUNCTION("""COMPUTED_VALUE"""),"Fat Princess")</f>
        <v>Fat Princess</v>
      </c>
      <c r="B474" s="15" t="str">
        <f>IFERROR(__xludf.DUMMYFUNCTION("""COMPUTED_VALUE"""),"PS3")</f>
        <v>PS3</v>
      </c>
      <c r="C474" s="16" t="str">
        <f>IFERROR(__xludf.DUMMYFUNCTION("""COMPUTED_VALUE"""),"Playstation Plus (Discontinued)")</f>
        <v>Playstation Plus (Discontinued)</v>
      </c>
      <c r="D474" s="15" t="str">
        <f>IFERROR(__xludf.DUMMYFUNCTION("""COMPUTED_VALUE"""),"Removed")</f>
        <v>Removed</v>
      </c>
      <c r="E474" s="17">
        <f>IFERROR(__xludf.DUMMYFUNCTION("""COMPUTED_VALUE"""),42556.0)</f>
        <v>42556</v>
      </c>
      <c r="F474" s="54">
        <f>IFERROR(__xludf.DUMMYFUNCTION("""COMPUTED_VALUE"""),42583.0)</f>
        <v>42583</v>
      </c>
      <c r="G474" s="19">
        <f>IFERROR(__xludf.DUMMYFUNCTION("""COMPUTED_VALUE"""),0.8666666666666666)</f>
        <v>0.8666666667</v>
      </c>
      <c r="H474" s="17">
        <f>IFERROR(__xludf.DUMMYFUNCTION("""COMPUTED_VALUE"""),40024.0)</f>
        <v>40024</v>
      </c>
      <c r="I474" s="19">
        <f>IFERROR(__xludf.DUMMYFUNCTION("""COMPUTED_VALUE"""),6.930555555555555)</f>
        <v>6.930555556</v>
      </c>
      <c r="J474" s="21">
        <f>IFERROR(__xludf.DUMMYFUNCTION("""COMPUTED_VALUE"""),79.0)</f>
        <v>79</v>
      </c>
      <c r="K474" s="23">
        <f>IFERROR(__xludf.DUMMYFUNCTION("""COMPUTED_VALUE"""),7.7)</f>
        <v>7.7</v>
      </c>
      <c r="L474" s="24"/>
      <c r="M474" s="25" t="str">
        <f>IFERROR(__xludf.DUMMYFUNCTION("""COMPUTED_VALUE"""),"Strategy")</f>
        <v>Strategy</v>
      </c>
      <c r="N474" s="25"/>
      <c r="O474" s="26" t="str">
        <f>IFERROR(__xludf.DUMMYFUNCTION("""COMPUTED_VALUE"""),"No")</f>
        <v>No</v>
      </c>
      <c r="P474" s="26"/>
    </row>
    <row r="475">
      <c r="A475" s="13" t="str">
        <f>IFERROR(__xludf.DUMMYFUNCTION("""COMPUTED_VALUE"""),"Call of Juarez: Bound in Blood")</f>
        <v>Call of Juarez: Bound in Blood</v>
      </c>
      <c r="B475" s="15" t="str">
        <f>IFERROR(__xludf.DUMMYFUNCTION("""COMPUTED_VALUE"""),"PS3")</f>
        <v>PS3</v>
      </c>
      <c r="C475" s="16" t="str">
        <f>IFERROR(__xludf.DUMMYFUNCTION("""COMPUTED_VALUE"""),"Playstation Plus (Discontinued)")</f>
        <v>Playstation Plus (Discontinued)</v>
      </c>
      <c r="D475" s="15" t="str">
        <f>IFERROR(__xludf.DUMMYFUNCTION("""COMPUTED_VALUE"""),"Removed")</f>
        <v>Removed</v>
      </c>
      <c r="E475" s="17">
        <f>IFERROR(__xludf.DUMMYFUNCTION("""COMPUTED_VALUE"""),42556.0)</f>
        <v>42556</v>
      </c>
      <c r="F475" s="54">
        <f>IFERROR(__xludf.DUMMYFUNCTION("""COMPUTED_VALUE"""),42583.0)</f>
        <v>42583</v>
      </c>
      <c r="G475" s="19">
        <f>IFERROR(__xludf.DUMMYFUNCTION("""COMPUTED_VALUE"""),0.8666666666666666)</f>
        <v>0.8666666667</v>
      </c>
      <c r="H475" s="17">
        <f>IFERROR(__xludf.DUMMYFUNCTION("""COMPUTED_VALUE"""),39994.0)</f>
        <v>39994</v>
      </c>
      <c r="I475" s="19">
        <f>IFERROR(__xludf.DUMMYFUNCTION("""COMPUTED_VALUE"""),7.013888888888889)</f>
        <v>7.013888889</v>
      </c>
      <c r="J475" s="21">
        <f>IFERROR(__xludf.DUMMYFUNCTION("""COMPUTED_VALUE"""),78.0)</f>
        <v>78</v>
      </c>
      <c r="K475" s="23">
        <f>IFERROR(__xludf.DUMMYFUNCTION("""COMPUTED_VALUE"""),8.0)</f>
        <v>8</v>
      </c>
      <c r="L475" s="24">
        <f>IFERROR(__xludf.DUMMYFUNCTION("""COMPUTED_VALUE"""),7.0)</f>
        <v>7</v>
      </c>
      <c r="M475" s="25" t="str">
        <f>IFERROR(__xludf.DUMMYFUNCTION("""COMPUTED_VALUE"""),"Shooter")</f>
        <v>Shooter</v>
      </c>
      <c r="N475" s="25"/>
      <c r="O475" s="26" t="str">
        <f>IFERROR(__xludf.DUMMYFUNCTION("""COMPUTED_VALUE"""),"No")</f>
        <v>No</v>
      </c>
      <c r="P475" s="26"/>
    </row>
    <row r="476">
      <c r="A476" s="13" t="str">
        <f>IFERROR(__xludf.DUMMYFUNCTION("""COMPUTED_VALUE"""),"NBA 2K16")</f>
        <v>NBA 2K16</v>
      </c>
      <c r="B476" s="15" t="str">
        <f>IFERROR(__xludf.DUMMYFUNCTION("""COMPUTED_VALUE"""),"PS4")</f>
        <v>PS4</v>
      </c>
      <c r="C476" s="16" t="str">
        <f>IFERROR(__xludf.DUMMYFUNCTION("""COMPUTED_VALUE"""),"Playstation Plus (Discontinued)")</f>
        <v>Playstation Plus (Discontinued)</v>
      </c>
      <c r="D476" s="15" t="str">
        <f>IFERROR(__xludf.DUMMYFUNCTION("""COMPUTED_VALUE"""),"Removed")</f>
        <v>Removed</v>
      </c>
      <c r="E476" s="17">
        <f>IFERROR(__xludf.DUMMYFUNCTION("""COMPUTED_VALUE"""),42528.0)</f>
        <v>42528</v>
      </c>
      <c r="F476" s="54">
        <f>IFERROR(__xludf.DUMMYFUNCTION("""COMPUTED_VALUE"""),42555.0)</f>
        <v>42555</v>
      </c>
      <c r="G476" s="19">
        <f>IFERROR(__xludf.DUMMYFUNCTION("""COMPUTED_VALUE"""),0.8999999999999999)</f>
        <v>0.9</v>
      </c>
      <c r="H476" s="17">
        <f>IFERROR(__xludf.DUMMYFUNCTION("""COMPUTED_VALUE"""),42276.0)</f>
        <v>42276</v>
      </c>
      <c r="I476" s="19">
        <f>IFERROR(__xludf.DUMMYFUNCTION("""COMPUTED_VALUE"""),0.6888888888888889)</f>
        <v>0.6888888889</v>
      </c>
      <c r="J476" s="21">
        <f>IFERROR(__xludf.DUMMYFUNCTION("""COMPUTED_VALUE"""),87.0)</f>
        <v>87</v>
      </c>
      <c r="K476" s="23">
        <f>IFERROR(__xludf.DUMMYFUNCTION("""COMPUTED_VALUE"""),7.1)</f>
        <v>7.1</v>
      </c>
      <c r="L476" s="24"/>
      <c r="M476" s="25" t="str">
        <f>IFERROR(__xludf.DUMMYFUNCTION("""COMPUTED_VALUE"""),"Sports")</f>
        <v>Sports</v>
      </c>
      <c r="N476" s="25"/>
      <c r="O476" s="26" t="str">
        <f>IFERROR(__xludf.DUMMYFUNCTION("""COMPUTED_VALUE"""),"No")</f>
        <v>No</v>
      </c>
      <c r="P476" s="26"/>
    </row>
    <row r="477">
      <c r="A477" s="13" t="str">
        <f>IFERROR(__xludf.DUMMYFUNCTION("""COMPUTED_VALUE"""),"Gone Home")</f>
        <v>Gone Home</v>
      </c>
      <c r="B477" s="15" t="str">
        <f>IFERROR(__xludf.DUMMYFUNCTION("""COMPUTED_VALUE"""),"PS4")</f>
        <v>PS4</v>
      </c>
      <c r="C477" s="16" t="str">
        <f>IFERROR(__xludf.DUMMYFUNCTION("""COMPUTED_VALUE"""),"Playstation Plus (Discontinued)")</f>
        <v>Playstation Plus (Discontinued)</v>
      </c>
      <c r="D477" s="15" t="str">
        <f>IFERROR(__xludf.DUMMYFUNCTION("""COMPUTED_VALUE"""),"Removed")</f>
        <v>Removed</v>
      </c>
      <c r="E477" s="17">
        <f>IFERROR(__xludf.DUMMYFUNCTION("""COMPUTED_VALUE"""),42528.0)</f>
        <v>42528</v>
      </c>
      <c r="F477" s="54">
        <f>IFERROR(__xludf.DUMMYFUNCTION("""COMPUTED_VALUE"""),42555.0)</f>
        <v>42555</v>
      </c>
      <c r="G477" s="19">
        <f>IFERROR(__xludf.DUMMYFUNCTION("""COMPUTED_VALUE"""),0.8999999999999999)</f>
        <v>0.9</v>
      </c>
      <c r="H477" s="17">
        <f>IFERROR(__xludf.DUMMYFUNCTION("""COMPUTED_VALUE"""),41501.0)</f>
        <v>41501</v>
      </c>
      <c r="I477" s="19">
        <f>IFERROR(__xludf.DUMMYFUNCTION("""COMPUTED_VALUE"""),2.811111111111111)</f>
        <v>2.811111111</v>
      </c>
      <c r="J477" s="21">
        <f>IFERROR(__xludf.DUMMYFUNCTION("""COMPUTED_VALUE"""),86.0)</f>
        <v>86</v>
      </c>
      <c r="K477" s="23">
        <f>IFERROR(__xludf.DUMMYFUNCTION("""COMPUTED_VALUE"""),7.7)</f>
        <v>7.7</v>
      </c>
      <c r="L477" s="24">
        <f>IFERROR(__xludf.DUMMYFUNCTION("""COMPUTED_VALUE"""),2.0)</f>
        <v>2</v>
      </c>
      <c r="M477" s="25" t="str">
        <f>IFERROR(__xludf.DUMMYFUNCTION("""COMPUTED_VALUE"""),"Adventure")</f>
        <v>Adventure</v>
      </c>
      <c r="N477" s="25"/>
      <c r="O477" s="26" t="str">
        <f>IFERROR(__xludf.DUMMYFUNCTION("""COMPUTED_VALUE"""),"No")</f>
        <v>No</v>
      </c>
      <c r="P477" s="26"/>
    </row>
    <row r="478">
      <c r="A478" s="13" t="str">
        <f>IFERROR(__xludf.DUMMYFUNCTION("""COMPUTED_VALUE"""),"Little Deviants")</f>
        <v>Little Deviants</v>
      </c>
      <c r="B478" s="15" t="str">
        <f>IFERROR(__xludf.DUMMYFUNCTION("""COMPUTED_VALUE"""),"Vita")</f>
        <v>Vita</v>
      </c>
      <c r="C478" s="16" t="str">
        <f>IFERROR(__xludf.DUMMYFUNCTION("""COMPUTED_VALUE"""),"Playstation Plus (Discontinued)")</f>
        <v>Playstation Plus (Discontinued)</v>
      </c>
      <c r="D478" s="15" t="str">
        <f>IFERROR(__xludf.DUMMYFUNCTION("""COMPUTED_VALUE"""),"Removed")</f>
        <v>Removed</v>
      </c>
      <c r="E478" s="17">
        <f>IFERROR(__xludf.DUMMYFUNCTION("""COMPUTED_VALUE"""),42528.0)</f>
        <v>42528</v>
      </c>
      <c r="F478" s="54">
        <f>IFERROR(__xludf.DUMMYFUNCTION("""COMPUTED_VALUE"""),42555.0)</f>
        <v>42555</v>
      </c>
      <c r="G478" s="19">
        <f>IFERROR(__xludf.DUMMYFUNCTION("""COMPUTED_VALUE"""),0.8999999999999999)</f>
        <v>0.9</v>
      </c>
      <c r="H478" s="17">
        <f>IFERROR(__xludf.DUMMYFUNCTION("""COMPUTED_VALUE"""),40904.0)</f>
        <v>40904</v>
      </c>
      <c r="I478" s="19">
        <f>IFERROR(__xludf.DUMMYFUNCTION("""COMPUTED_VALUE"""),4.444444444444445)</f>
        <v>4.444444444</v>
      </c>
      <c r="J478" s="21">
        <f>IFERROR(__xludf.DUMMYFUNCTION("""COMPUTED_VALUE"""),64.0)</f>
        <v>64</v>
      </c>
      <c r="K478" s="23">
        <f>IFERROR(__xludf.DUMMYFUNCTION("""COMPUTED_VALUE"""),6.4)</f>
        <v>6.4</v>
      </c>
      <c r="L478" s="24">
        <f>IFERROR(__xludf.DUMMYFUNCTION("""COMPUTED_VALUE"""),4.0)</f>
        <v>4</v>
      </c>
      <c r="M478" s="25" t="str">
        <f>IFERROR(__xludf.DUMMYFUNCTION("""COMPUTED_VALUE"""),"Puzzle")</f>
        <v>Puzzle</v>
      </c>
      <c r="N478" s="25"/>
      <c r="O478" s="26" t="str">
        <f>IFERROR(__xludf.DUMMYFUNCTION("""COMPUTED_VALUE"""),"No")</f>
        <v>No</v>
      </c>
      <c r="P478" s="26"/>
    </row>
    <row r="479">
      <c r="A479" s="13" t="str">
        <f>IFERROR(__xludf.DUMMYFUNCTION("""COMPUTED_VALUE"""),"God of War: Chains of Olympus")</f>
        <v>God of War: Chains of Olympus</v>
      </c>
      <c r="B479" s="15" t="str">
        <f>IFERROR(__xludf.DUMMYFUNCTION("""COMPUTED_VALUE"""),"Vita/PSP")</f>
        <v>Vita/PSP</v>
      </c>
      <c r="C479" s="16" t="str">
        <f>IFERROR(__xludf.DUMMYFUNCTION("""COMPUTED_VALUE"""),"Playstation Plus (Discontinued)")</f>
        <v>Playstation Plus (Discontinued)</v>
      </c>
      <c r="D479" s="15" t="str">
        <f>IFERROR(__xludf.DUMMYFUNCTION("""COMPUTED_VALUE"""),"Removed")</f>
        <v>Removed</v>
      </c>
      <c r="E479" s="17">
        <f>IFERROR(__xludf.DUMMYFUNCTION("""COMPUTED_VALUE"""),42528.0)</f>
        <v>42528</v>
      </c>
      <c r="F479" s="54">
        <f>IFERROR(__xludf.DUMMYFUNCTION("""COMPUTED_VALUE"""),42555.0)</f>
        <v>42555</v>
      </c>
      <c r="G479" s="19">
        <f>IFERROR(__xludf.DUMMYFUNCTION("""COMPUTED_VALUE"""),0.8999999999999999)</f>
        <v>0.9</v>
      </c>
      <c r="H479" s="17">
        <f>IFERROR(__xludf.DUMMYFUNCTION("""COMPUTED_VALUE"""),39511.0)</f>
        <v>39511</v>
      </c>
      <c r="I479" s="19">
        <f>IFERROR(__xludf.DUMMYFUNCTION("""COMPUTED_VALUE"""),8.258333333333333)</f>
        <v>8.258333333</v>
      </c>
      <c r="J479" s="21">
        <f>IFERROR(__xludf.DUMMYFUNCTION("""COMPUTED_VALUE"""),91.0)</f>
        <v>91</v>
      </c>
      <c r="K479" s="23">
        <f>IFERROR(__xludf.DUMMYFUNCTION("""COMPUTED_VALUE"""),8.7)</f>
        <v>8.7</v>
      </c>
      <c r="L479" s="24">
        <f>IFERROR(__xludf.DUMMYFUNCTION("""COMPUTED_VALUE"""),5.0)</f>
        <v>5</v>
      </c>
      <c r="M479" s="25" t="str">
        <f>IFERROR(__xludf.DUMMYFUNCTION("""COMPUTED_VALUE"""),"Action-Adventure")</f>
        <v>Action-Adventure</v>
      </c>
      <c r="N479" s="25"/>
      <c r="O479" s="26" t="str">
        <f>IFERROR(__xludf.DUMMYFUNCTION("""COMPUTED_VALUE"""),"No")</f>
        <v>No</v>
      </c>
      <c r="P479" s="26"/>
    </row>
    <row r="480">
      <c r="A480" s="13" t="str">
        <f>IFERROR(__xludf.DUMMYFUNCTION("""COMPUTED_VALUE"""),"Siren: Blood Curse")</f>
        <v>Siren: Blood Curse</v>
      </c>
      <c r="B480" s="15" t="str">
        <f>IFERROR(__xludf.DUMMYFUNCTION("""COMPUTED_VALUE"""),"PS3")</f>
        <v>PS3</v>
      </c>
      <c r="C480" s="16" t="str">
        <f>IFERROR(__xludf.DUMMYFUNCTION("""COMPUTED_VALUE"""),"Playstation Plus (Discontinued)")</f>
        <v>Playstation Plus (Discontinued)</v>
      </c>
      <c r="D480" s="15" t="str">
        <f>IFERROR(__xludf.DUMMYFUNCTION("""COMPUTED_VALUE"""),"Removed")</f>
        <v>Removed</v>
      </c>
      <c r="E480" s="17">
        <f>IFERROR(__xludf.DUMMYFUNCTION("""COMPUTED_VALUE"""),42528.0)</f>
        <v>42528</v>
      </c>
      <c r="F480" s="54">
        <f>IFERROR(__xludf.DUMMYFUNCTION("""COMPUTED_VALUE"""),42555.0)</f>
        <v>42555</v>
      </c>
      <c r="G480" s="19">
        <f>IFERROR(__xludf.DUMMYFUNCTION("""COMPUTED_VALUE"""),0.8999999999999999)</f>
        <v>0.9</v>
      </c>
      <c r="H480" s="17">
        <f>IFERROR(__xludf.DUMMYFUNCTION("""COMPUTED_VALUE"""),39653.0)</f>
        <v>39653</v>
      </c>
      <c r="I480" s="19">
        <f>IFERROR(__xludf.DUMMYFUNCTION("""COMPUTED_VALUE"""),7.8694444444444445)</f>
        <v>7.869444444</v>
      </c>
      <c r="J480" s="21">
        <f>IFERROR(__xludf.DUMMYFUNCTION("""COMPUTED_VALUE"""),78.0)</f>
        <v>78</v>
      </c>
      <c r="K480" s="23">
        <f>IFERROR(__xludf.DUMMYFUNCTION("""COMPUTED_VALUE"""),8.0)</f>
        <v>8</v>
      </c>
      <c r="L480" s="24">
        <f>IFERROR(__xludf.DUMMYFUNCTION("""COMPUTED_VALUE"""),12.0)</f>
        <v>12</v>
      </c>
      <c r="M480" s="25" t="str">
        <f>IFERROR(__xludf.DUMMYFUNCTION("""COMPUTED_VALUE"""),"Horror")</f>
        <v>Horror</v>
      </c>
      <c r="N480" s="25"/>
      <c r="O480" s="26" t="str">
        <f>IFERROR(__xludf.DUMMYFUNCTION("""COMPUTED_VALUE"""),"No")</f>
        <v>No</v>
      </c>
      <c r="P480" s="26"/>
    </row>
    <row r="481">
      <c r="A481" s="13" t="str">
        <f>IFERROR(__xludf.DUMMYFUNCTION("""COMPUTED_VALUE"""),"Echochrome")</f>
        <v>Echochrome</v>
      </c>
      <c r="B481" s="15" t="str">
        <f>IFERROR(__xludf.DUMMYFUNCTION("""COMPUTED_VALUE"""),"PS3")</f>
        <v>PS3</v>
      </c>
      <c r="C481" s="16" t="str">
        <f>IFERROR(__xludf.DUMMYFUNCTION("""COMPUTED_VALUE"""),"Playstation Plus (Discontinued)")</f>
        <v>Playstation Plus (Discontinued)</v>
      </c>
      <c r="D481" s="15" t="str">
        <f>IFERROR(__xludf.DUMMYFUNCTION("""COMPUTED_VALUE"""),"Removed")</f>
        <v>Removed</v>
      </c>
      <c r="E481" s="17">
        <f>IFERROR(__xludf.DUMMYFUNCTION("""COMPUTED_VALUE"""),42528.0)</f>
        <v>42528</v>
      </c>
      <c r="F481" s="54">
        <f>IFERROR(__xludf.DUMMYFUNCTION("""COMPUTED_VALUE"""),42555.0)</f>
        <v>42555</v>
      </c>
      <c r="G481" s="19">
        <f>IFERROR(__xludf.DUMMYFUNCTION("""COMPUTED_VALUE"""),0.8999999999999999)</f>
        <v>0.9</v>
      </c>
      <c r="H481" s="17">
        <f>IFERROR(__xludf.DUMMYFUNCTION("""COMPUTED_VALUE"""),39569.0)</f>
        <v>39569</v>
      </c>
      <c r="I481" s="19">
        <f>IFERROR(__xludf.DUMMYFUNCTION("""COMPUTED_VALUE"""),8.1)</f>
        <v>8.1</v>
      </c>
      <c r="J481" s="21">
        <f>IFERROR(__xludf.DUMMYFUNCTION("""COMPUTED_VALUE"""),79.0)</f>
        <v>79</v>
      </c>
      <c r="K481" s="23">
        <f>IFERROR(__xludf.DUMMYFUNCTION("""COMPUTED_VALUE"""),7.6)</f>
        <v>7.6</v>
      </c>
      <c r="L481" s="24">
        <f>IFERROR(__xludf.DUMMYFUNCTION("""COMPUTED_VALUE"""),5.0)</f>
        <v>5</v>
      </c>
      <c r="M481" s="25" t="str">
        <f>IFERROR(__xludf.DUMMYFUNCTION("""COMPUTED_VALUE"""),"Puzzle")</f>
        <v>Puzzle</v>
      </c>
      <c r="N481" s="25"/>
      <c r="O481" s="26" t="str">
        <f>IFERROR(__xludf.DUMMYFUNCTION("""COMPUTED_VALUE"""),"No")</f>
        <v>No</v>
      </c>
      <c r="P481" s="26"/>
    </row>
    <row r="482">
      <c r="A482" s="13" t="str">
        <f>IFERROR(__xludf.DUMMYFUNCTION("""COMPUTED_VALUE"""),"Tropico 5")</f>
        <v>Tropico 5</v>
      </c>
      <c r="B482" s="15" t="str">
        <f>IFERROR(__xludf.DUMMYFUNCTION("""COMPUTED_VALUE"""),"PS4")</f>
        <v>PS4</v>
      </c>
      <c r="C482" s="16" t="str">
        <f>IFERROR(__xludf.DUMMYFUNCTION("""COMPUTED_VALUE"""),"Playstation Plus (Discontinued)")</f>
        <v>Playstation Plus (Discontinued)</v>
      </c>
      <c r="D482" s="15" t="str">
        <f>IFERROR(__xludf.DUMMYFUNCTION("""COMPUTED_VALUE"""),"Removed")</f>
        <v>Removed</v>
      </c>
      <c r="E482" s="17">
        <f>IFERROR(__xludf.DUMMYFUNCTION("""COMPUTED_VALUE"""),42493.0)</f>
        <v>42493</v>
      </c>
      <c r="F482" s="54">
        <f>IFERROR(__xludf.DUMMYFUNCTION("""COMPUTED_VALUE"""),42527.0)</f>
        <v>42527</v>
      </c>
      <c r="G482" s="19">
        <f>IFERROR(__xludf.DUMMYFUNCTION("""COMPUTED_VALUE"""),1.0999999999999999)</f>
        <v>1.1</v>
      </c>
      <c r="H482" s="17">
        <f>IFERROR(__xludf.DUMMYFUNCTION("""COMPUTED_VALUE"""),41782.0)</f>
        <v>41782</v>
      </c>
      <c r="I482" s="19">
        <f>IFERROR(__xludf.DUMMYFUNCTION("""COMPUTED_VALUE"""),1.9444444444444444)</f>
        <v>1.944444444</v>
      </c>
      <c r="J482" s="21">
        <f>IFERROR(__xludf.DUMMYFUNCTION("""COMPUTED_VALUE"""),75.0)</f>
        <v>75</v>
      </c>
      <c r="K482" s="23">
        <f>IFERROR(__xludf.DUMMYFUNCTION("""COMPUTED_VALUE"""),7.3)</f>
        <v>7.3</v>
      </c>
      <c r="L482" s="24">
        <f>IFERROR(__xludf.DUMMYFUNCTION("""COMPUTED_VALUE"""),20.0)</f>
        <v>20</v>
      </c>
      <c r="M482" s="25" t="str">
        <f>IFERROR(__xludf.DUMMYFUNCTION("""COMPUTED_VALUE"""),"Strategy")</f>
        <v>Strategy</v>
      </c>
      <c r="N482" s="25"/>
      <c r="O482" s="26" t="str">
        <f>IFERROR(__xludf.DUMMYFUNCTION("""COMPUTED_VALUE"""),"No")</f>
        <v>No</v>
      </c>
      <c r="P482" s="26"/>
    </row>
    <row r="483">
      <c r="A483" s="13" t="str">
        <f>IFERROR(__xludf.DUMMYFUNCTION("""COMPUTED_VALUE"""),"Table Top Racing: World Tour")</f>
        <v>Table Top Racing: World Tour</v>
      </c>
      <c r="B483" s="15" t="str">
        <f>IFERROR(__xludf.DUMMYFUNCTION("""COMPUTED_VALUE"""),"PS4")</f>
        <v>PS4</v>
      </c>
      <c r="C483" s="16" t="str">
        <f>IFERROR(__xludf.DUMMYFUNCTION("""COMPUTED_VALUE"""),"Playstation Plus (Discontinued)")</f>
        <v>Playstation Plus (Discontinued)</v>
      </c>
      <c r="D483" s="15" t="str">
        <f>IFERROR(__xludf.DUMMYFUNCTION("""COMPUTED_VALUE"""),"Removed")</f>
        <v>Removed</v>
      </c>
      <c r="E483" s="17">
        <f>IFERROR(__xludf.DUMMYFUNCTION("""COMPUTED_VALUE"""),42493.0)</f>
        <v>42493</v>
      </c>
      <c r="F483" s="54">
        <f>IFERROR(__xludf.DUMMYFUNCTION("""COMPUTED_VALUE"""),42527.0)</f>
        <v>42527</v>
      </c>
      <c r="G483" s="19">
        <f>IFERROR(__xludf.DUMMYFUNCTION("""COMPUTED_VALUE"""),1.0999999999999999)</f>
        <v>1.1</v>
      </c>
      <c r="H483" s="17">
        <f>IFERROR(__xludf.DUMMYFUNCTION("""COMPUTED_VALUE"""),42493.0)</f>
        <v>42493</v>
      </c>
      <c r="I483" s="19">
        <f>IFERROR(__xludf.DUMMYFUNCTION("""COMPUTED_VALUE"""),0.0)</f>
        <v>0</v>
      </c>
      <c r="J483" s="21">
        <f>IFERROR(__xludf.DUMMYFUNCTION("""COMPUTED_VALUE"""),56.0)</f>
        <v>56</v>
      </c>
      <c r="K483" s="23">
        <f>IFERROR(__xludf.DUMMYFUNCTION("""COMPUTED_VALUE"""),5.7)</f>
        <v>5.7</v>
      </c>
      <c r="L483" s="24"/>
      <c r="M483" s="25" t="str">
        <f>IFERROR(__xludf.DUMMYFUNCTION("""COMPUTED_VALUE"""),"Racing")</f>
        <v>Racing</v>
      </c>
      <c r="N483" s="25"/>
      <c r="O483" s="26" t="str">
        <f>IFERROR(__xludf.DUMMYFUNCTION("""COMPUTED_VALUE"""),"No")</f>
        <v>No</v>
      </c>
      <c r="P483" s="26"/>
    </row>
    <row r="484">
      <c r="A484" s="13" t="str">
        <f>IFERROR(__xludf.DUMMYFUNCTION("""COMPUTED_VALUE"""),"Switch Galaxy Ultra")</f>
        <v>Switch Galaxy Ultra</v>
      </c>
      <c r="B484" s="15" t="str">
        <f>IFERROR(__xludf.DUMMYFUNCTION("""COMPUTED_VALUE"""),"PS4/Vita")</f>
        <v>PS4/Vita</v>
      </c>
      <c r="C484" s="16" t="str">
        <f>IFERROR(__xludf.DUMMYFUNCTION("""COMPUTED_VALUE"""),"Playstation Plus (Discontinued)")</f>
        <v>Playstation Plus (Discontinued)</v>
      </c>
      <c r="D484" s="15" t="str">
        <f>IFERROR(__xludf.DUMMYFUNCTION("""COMPUTED_VALUE"""),"Removed")</f>
        <v>Removed</v>
      </c>
      <c r="E484" s="17">
        <f>IFERROR(__xludf.DUMMYFUNCTION("""COMPUTED_VALUE"""),42493.0)</f>
        <v>42493</v>
      </c>
      <c r="F484" s="54">
        <f>IFERROR(__xludf.DUMMYFUNCTION("""COMPUTED_VALUE"""),42527.0)</f>
        <v>42527</v>
      </c>
      <c r="G484" s="19">
        <f>IFERROR(__xludf.DUMMYFUNCTION("""COMPUTED_VALUE"""),1.0999999999999999)</f>
        <v>1.1</v>
      </c>
      <c r="H484" s="17">
        <f>IFERROR(__xludf.DUMMYFUNCTION("""COMPUTED_VALUE"""),42249.0)</f>
        <v>42249</v>
      </c>
      <c r="I484" s="19">
        <f>IFERROR(__xludf.DUMMYFUNCTION("""COMPUTED_VALUE"""),0.6694444444444444)</f>
        <v>0.6694444444</v>
      </c>
      <c r="J484" s="21">
        <f>IFERROR(__xludf.DUMMYFUNCTION("""COMPUTED_VALUE"""),72.0)</f>
        <v>72</v>
      </c>
      <c r="K484" s="23">
        <f>IFERROR(__xludf.DUMMYFUNCTION("""COMPUTED_VALUE"""),6.8)</f>
        <v>6.8</v>
      </c>
      <c r="L484" s="24">
        <f>IFERROR(__xludf.DUMMYFUNCTION("""COMPUTED_VALUE"""),4.0)</f>
        <v>4</v>
      </c>
      <c r="M484" s="25" t="str">
        <f>IFERROR(__xludf.DUMMYFUNCTION("""COMPUTED_VALUE"""),"Shooter")</f>
        <v>Shooter</v>
      </c>
      <c r="N484" s="25"/>
      <c r="O484" s="26" t="str">
        <f>IFERROR(__xludf.DUMMYFUNCTION("""COMPUTED_VALUE"""),"No")</f>
        <v>No</v>
      </c>
      <c r="P484" s="26"/>
    </row>
    <row r="485">
      <c r="A485" s="13" t="str">
        <f>IFERROR(__xludf.DUMMYFUNCTION("""COMPUTED_VALUE"""),"God of War: Ghost of Sparta")</f>
        <v>God of War: Ghost of Sparta</v>
      </c>
      <c r="B485" s="15" t="str">
        <f>IFERROR(__xludf.DUMMYFUNCTION("""COMPUTED_VALUE"""),"Vita/PSP")</f>
        <v>Vita/PSP</v>
      </c>
      <c r="C485" s="16" t="str">
        <f>IFERROR(__xludf.DUMMYFUNCTION("""COMPUTED_VALUE"""),"Playstation Plus (Discontinued)")</f>
        <v>Playstation Plus (Discontinued)</v>
      </c>
      <c r="D485" s="15" t="str">
        <f>IFERROR(__xludf.DUMMYFUNCTION("""COMPUTED_VALUE"""),"Removed")</f>
        <v>Removed</v>
      </c>
      <c r="E485" s="17">
        <f>IFERROR(__xludf.DUMMYFUNCTION("""COMPUTED_VALUE"""),42493.0)</f>
        <v>42493</v>
      </c>
      <c r="F485" s="54">
        <f>IFERROR(__xludf.DUMMYFUNCTION("""COMPUTED_VALUE"""),42527.0)</f>
        <v>42527</v>
      </c>
      <c r="G485" s="19">
        <f>IFERROR(__xludf.DUMMYFUNCTION("""COMPUTED_VALUE"""),1.0999999999999999)</f>
        <v>1.1</v>
      </c>
      <c r="H485" s="17">
        <f>IFERROR(__xludf.DUMMYFUNCTION("""COMPUTED_VALUE"""),40484.0)</f>
        <v>40484</v>
      </c>
      <c r="I485" s="19">
        <f>IFERROR(__xludf.DUMMYFUNCTION("""COMPUTED_VALUE"""),5.502777777777778)</f>
        <v>5.502777778</v>
      </c>
      <c r="J485" s="21">
        <f>IFERROR(__xludf.DUMMYFUNCTION("""COMPUTED_VALUE"""),86.0)</f>
        <v>86</v>
      </c>
      <c r="K485" s="23">
        <f>IFERROR(__xludf.DUMMYFUNCTION("""COMPUTED_VALUE"""),8.5)</f>
        <v>8.5</v>
      </c>
      <c r="L485" s="24">
        <f>IFERROR(__xludf.DUMMYFUNCTION("""COMPUTED_VALUE"""),5.0)</f>
        <v>5</v>
      </c>
      <c r="M485" s="25" t="str">
        <f>IFERROR(__xludf.DUMMYFUNCTION("""COMPUTED_VALUE"""),"Action-Adventure")</f>
        <v>Action-Adventure</v>
      </c>
      <c r="N485" s="25"/>
      <c r="O485" s="26" t="str">
        <f>IFERROR(__xludf.DUMMYFUNCTION("""COMPUTED_VALUE"""),"No")</f>
        <v>No</v>
      </c>
      <c r="P485" s="26"/>
    </row>
    <row r="486">
      <c r="A486" s="13" t="str">
        <f>IFERROR(__xludf.DUMMYFUNCTION("""COMPUTED_VALUE"""),"LocoRoco Cocoreccho!")</f>
        <v>LocoRoco Cocoreccho!</v>
      </c>
      <c r="B486" s="15" t="str">
        <f>IFERROR(__xludf.DUMMYFUNCTION("""COMPUTED_VALUE"""),"PS3")</f>
        <v>PS3</v>
      </c>
      <c r="C486" s="16" t="str">
        <f>IFERROR(__xludf.DUMMYFUNCTION("""COMPUTED_VALUE"""),"Playstation Plus (Discontinued)")</f>
        <v>Playstation Plus (Discontinued)</v>
      </c>
      <c r="D486" s="15" t="str">
        <f>IFERROR(__xludf.DUMMYFUNCTION("""COMPUTED_VALUE"""),"Removed")</f>
        <v>Removed</v>
      </c>
      <c r="E486" s="17">
        <f>IFERROR(__xludf.DUMMYFUNCTION("""COMPUTED_VALUE"""),42493.0)</f>
        <v>42493</v>
      </c>
      <c r="F486" s="54">
        <f>IFERROR(__xludf.DUMMYFUNCTION("""COMPUTED_VALUE"""),42527.0)</f>
        <v>42527</v>
      </c>
      <c r="G486" s="19">
        <f>IFERROR(__xludf.DUMMYFUNCTION("""COMPUTED_VALUE"""),1.0999999999999999)</f>
        <v>1.1</v>
      </c>
      <c r="H486" s="17">
        <f>IFERROR(__xludf.DUMMYFUNCTION("""COMPUTED_VALUE"""),39346.0)</f>
        <v>39346</v>
      </c>
      <c r="I486" s="19">
        <f>IFERROR(__xludf.DUMMYFUNCTION("""COMPUTED_VALUE"""),8.616666666666667)</f>
        <v>8.616666667</v>
      </c>
      <c r="J486" s="21">
        <f>IFERROR(__xludf.DUMMYFUNCTION("""COMPUTED_VALUE"""),76.0)</f>
        <v>76</v>
      </c>
      <c r="K486" s="23">
        <f>IFERROR(__xludf.DUMMYFUNCTION("""COMPUTED_VALUE"""),7.8)</f>
        <v>7.8</v>
      </c>
      <c r="L486" s="24">
        <f>IFERROR(__xludf.DUMMYFUNCTION("""COMPUTED_VALUE"""),2.0)</f>
        <v>2</v>
      </c>
      <c r="M486" s="25" t="str">
        <f>IFERROR(__xludf.DUMMYFUNCTION("""COMPUTED_VALUE"""),"Platformer")</f>
        <v>Platformer</v>
      </c>
      <c r="N486" s="25"/>
      <c r="O486" s="26" t="str">
        <f>IFERROR(__xludf.DUMMYFUNCTION("""COMPUTED_VALUE"""),"No")</f>
        <v>No</v>
      </c>
      <c r="P486" s="26"/>
    </row>
    <row r="487">
      <c r="A487" s="13" t="str">
        <f>IFERROR(__xludf.DUMMYFUNCTION("""COMPUTED_VALUE"""),"Bionic Commando Rearmed")</f>
        <v>Bionic Commando Rearmed</v>
      </c>
      <c r="B487" s="15" t="str">
        <f>IFERROR(__xludf.DUMMYFUNCTION("""COMPUTED_VALUE"""),"PS3")</f>
        <v>PS3</v>
      </c>
      <c r="C487" s="16" t="str">
        <f>IFERROR(__xludf.DUMMYFUNCTION("""COMPUTED_VALUE"""),"Playstation Plus (Discontinued)")</f>
        <v>Playstation Plus (Discontinued)</v>
      </c>
      <c r="D487" s="15" t="str">
        <f>IFERROR(__xludf.DUMMYFUNCTION("""COMPUTED_VALUE"""),"Removed")</f>
        <v>Removed</v>
      </c>
      <c r="E487" s="17">
        <f>IFERROR(__xludf.DUMMYFUNCTION("""COMPUTED_VALUE"""),42493.0)</f>
        <v>42493</v>
      </c>
      <c r="F487" s="54">
        <f>IFERROR(__xludf.DUMMYFUNCTION("""COMPUTED_VALUE"""),42527.0)</f>
        <v>42527</v>
      </c>
      <c r="G487" s="19">
        <f>IFERROR(__xludf.DUMMYFUNCTION("""COMPUTED_VALUE"""),1.0999999999999999)</f>
        <v>1.1</v>
      </c>
      <c r="H487" s="17">
        <f>IFERROR(__xludf.DUMMYFUNCTION("""COMPUTED_VALUE"""),39673.0)</f>
        <v>39673</v>
      </c>
      <c r="I487" s="19">
        <f>IFERROR(__xludf.DUMMYFUNCTION("""COMPUTED_VALUE"""),7.722222222222222)</f>
        <v>7.722222222</v>
      </c>
      <c r="J487" s="21">
        <f>IFERROR(__xludf.DUMMYFUNCTION("""COMPUTED_VALUE"""),85.0)</f>
        <v>85</v>
      </c>
      <c r="K487" s="23">
        <f>IFERROR(__xludf.DUMMYFUNCTION("""COMPUTED_VALUE"""),8.2)</f>
        <v>8.2</v>
      </c>
      <c r="L487" s="24">
        <f>IFERROR(__xludf.DUMMYFUNCTION("""COMPUTED_VALUE"""),5.0)</f>
        <v>5</v>
      </c>
      <c r="M487" s="25" t="str">
        <f>IFERROR(__xludf.DUMMYFUNCTION("""COMPUTED_VALUE"""),"Platformer")</f>
        <v>Platformer</v>
      </c>
      <c r="N487" s="25"/>
      <c r="O487" s="26" t="str">
        <f>IFERROR(__xludf.DUMMYFUNCTION("""COMPUTED_VALUE"""),"No")</f>
        <v>No</v>
      </c>
      <c r="P487" s="26"/>
    </row>
    <row r="488">
      <c r="A488" s="13" t="str">
        <f>IFERROR(__xludf.DUMMYFUNCTION("""COMPUTED_VALUE"""),"Dead Star")</f>
        <v>Dead Star</v>
      </c>
      <c r="B488" s="15" t="str">
        <f>IFERROR(__xludf.DUMMYFUNCTION("""COMPUTED_VALUE"""),"PS4")</f>
        <v>PS4</v>
      </c>
      <c r="C488" s="16" t="str">
        <f>IFERROR(__xludf.DUMMYFUNCTION("""COMPUTED_VALUE"""),"Playstation Plus (Discontinued)")</f>
        <v>Playstation Plus (Discontinued)</v>
      </c>
      <c r="D488" s="15" t="str">
        <f>IFERROR(__xludf.DUMMYFUNCTION("""COMPUTED_VALUE"""),"Removed")</f>
        <v>Removed</v>
      </c>
      <c r="E488" s="17">
        <f>IFERROR(__xludf.DUMMYFUNCTION("""COMPUTED_VALUE"""),42465.0)</f>
        <v>42465</v>
      </c>
      <c r="F488" s="54">
        <f>IFERROR(__xludf.DUMMYFUNCTION("""COMPUTED_VALUE"""),42492.0)</f>
        <v>42492</v>
      </c>
      <c r="G488" s="19">
        <f>IFERROR(__xludf.DUMMYFUNCTION("""COMPUTED_VALUE"""),0.8999999999999999)</f>
        <v>0.9</v>
      </c>
      <c r="H488" s="17">
        <f>IFERROR(__xludf.DUMMYFUNCTION("""COMPUTED_VALUE"""),42465.0)</f>
        <v>42465</v>
      </c>
      <c r="I488" s="19">
        <f>IFERROR(__xludf.DUMMYFUNCTION("""COMPUTED_VALUE"""),0.0)</f>
        <v>0</v>
      </c>
      <c r="J488" s="21">
        <f>IFERROR(__xludf.DUMMYFUNCTION("""COMPUTED_VALUE"""),61.0)</f>
        <v>61</v>
      </c>
      <c r="K488" s="23">
        <f>IFERROR(__xludf.DUMMYFUNCTION("""COMPUTED_VALUE"""),5.8)</f>
        <v>5.8</v>
      </c>
      <c r="L488" s="24"/>
      <c r="M488" s="25" t="str">
        <f>IFERROR(__xludf.DUMMYFUNCTION("""COMPUTED_VALUE"""),"Shooter")</f>
        <v>Shooter</v>
      </c>
      <c r="N488" s="25"/>
      <c r="O488" s="26" t="str">
        <f>IFERROR(__xludf.DUMMYFUNCTION("""COMPUTED_VALUE"""),"No")</f>
        <v>No</v>
      </c>
      <c r="P488" s="26"/>
    </row>
    <row r="489">
      <c r="A489" s="13" t="str">
        <f>IFERROR(__xludf.DUMMYFUNCTION("""COMPUTED_VALUE"""),"Zombi")</f>
        <v>Zombi</v>
      </c>
      <c r="B489" s="15" t="str">
        <f>IFERROR(__xludf.DUMMYFUNCTION("""COMPUTED_VALUE"""),"PS4")</f>
        <v>PS4</v>
      </c>
      <c r="C489" s="16" t="str">
        <f>IFERROR(__xludf.DUMMYFUNCTION("""COMPUTED_VALUE"""),"Playstation Plus (Discontinued)")</f>
        <v>Playstation Plus (Discontinued)</v>
      </c>
      <c r="D489" s="15" t="str">
        <f>IFERROR(__xludf.DUMMYFUNCTION("""COMPUTED_VALUE"""),"Removed")</f>
        <v>Removed</v>
      </c>
      <c r="E489" s="17">
        <f>IFERROR(__xludf.DUMMYFUNCTION("""COMPUTED_VALUE"""),42465.0)</f>
        <v>42465</v>
      </c>
      <c r="F489" s="54">
        <f>IFERROR(__xludf.DUMMYFUNCTION("""COMPUTED_VALUE"""),42492.0)</f>
        <v>42492</v>
      </c>
      <c r="G489" s="19">
        <f>IFERROR(__xludf.DUMMYFUNCTION("""COMPUTED_VALUE"""),0.8999999999999999)</f>
        <v>0.9</v>
      </c>
      <c r="H489" s="17">
        <f>IFERROR(__xludf.DUMMYFUNCTION("""COMPUTED_VALUE"""),42234.0)</f>
        <v>42234</v>
      </c>
      <c r="I489" s="19">
        <f>IFERROR(__xludf.DUMMYFUNCTION("""COMPUTED_VALUE"""),0.6305555555555555)</f>
        <v>0.6305555556</v>
      </c>
      <c r="J489" s="21">
        <f>IFERROR(__xludf.DUMMYFUNCTION("""COMPUTED_VALUE"""),77.0)</f>
        <v>77</v>
      </c>
      <c r="K489" s="23">
        <f>IFERROR(__xludf.DUMMYFUNCTION("""COMPUTED_VALUE"""),6.4)</f>
        <v>6.4</v>
      </c>
      <c r="L489" s="24">
        <f>IFERROR(__xludf.DUMMYFUNCTION("""COMPUTED_VALUE"""),9.0)</f>
        <v>9</v>
      </c>
      <c r="M489" s="25" t="str">
        <f>IFERROR(__xludf.DUMMYFUNCTION("""COMPUTED_VALUE"""),"Horror")</f>
        <v>Horror</v>
      </c>
      <c r="N489" s="25"/>
      <c r="O489" s="26" t="str">
        <f>IFERROR(__xludf.DUMMYFUNCTION("""COMPUTED_VALUE"""),"No")</f>
        <v>No</v>
      </c>
      <c r="P489" s="26"/>
    </row>
    <row r="490">
      <c r="A490" s="13" t="str">
        <f>IFERROR(__xludf.DUMMYFUNCTION("""COMPUTED_VALUE"""),"Shutshimi")</f>
        <v>Shutshimi</v>
      </c>
      <c r="B490" s="15" t="str">
        <f>IFERROR(__xludf.DUMMYFUNCTION("""COMPUTED_VALUE"""),"Vita")</f>
        <v>Vita</v>
      </c>
      <c r="C490" s="16" t="str">
        <f>IFERROR(__xludf.DUMMYFUNCTION("""COMPUTED_VALUE"""),"Playstation Plus (Discontinued)")</f>
        <v>Playstation Plus (Discontinued)</v>
      </c>
      <c r="D490" s="15" t="str">
        <f>IFERROR(__xludf.DUMMYFUNCTION("""COMPUTED_VALUE"""),"Removed")</f>
        <v>Removed</v>
      </c>
      <c r="E490" s="17">
        <f>IFERROR(__xludf.DUMMYFUNCTION("""COMPUTED_VALUE"""),42465.0)</f>
        <v>42465</v>
      </c>
      <c r="F490" s="54">
        <f>IFERROR(__xludf.DUMMYFUNCTION("""COMPUTED_VALUE"""),42492.0)</f>
        <v>42492</v>
      </c>
      <c r="G490" s="19">
        <f>IFERROR(__xludf.DUMMYFUNCTION("""COMPUTED_VALUE"""),0.8999999999999999)</f>
        <v>0.9</v>
      </c>
      <c r="H490" s="17">
        <f>IFERROR(__xludf.DUMMYFUNCTION("""COMPUTED_VALUE"""),42221.0)</f>
        <v>42221</v>
      </c>
      <c r="I490" s="19">
        <f>IFERROR(__xludf.DUMMYFUNCTION("""COMPUTED_VALUE"""),0.6666666666666666)</f>
        <v>0.6666666667</v>
      </c>
      <c r="J490" s="21">
        <f>IFERROR(__xludf.DUMMYFUNCTION("""COMPUTED_VALUE"""),62.0)</f>
        <v>62</v>
      </c>
      <c r="K490" s="23">
        <f>IFERROR(__xludf.DUMMYFUNCTION("""COMPUTED_VALUE"""),6.8)</f>
        <v>6.8</v>
      </c>
      <c r="L490" s="24">
        <f>IFERROR(__xludf.DUMMYFUNCTION("""COMPUTED_VALUE"""),1.0)</f>
        <v>1</v>
      </c>
      <c r="M490" s="25" t="str">
        <f>IFERROR(__xludf.DUMMYFUNCTION("""COMPUTED_VALUE"""),"Shooter")</f>
        <v>Shooter</v>
      </c>
      <c r="N490" s="25"/>
      <c r="O490" s="26" t="str">
        <f>IFERROR(__xludf.DUMMYFUNCTION("""COMPUTED_VALUE"""),"No")</f>
        <v>No</v>
      </c>
      <c r="P490" s="26"/>
    </row>
    <row r="491">
      <c r="A491" s="13" t="str">
        <f>IFERROR(__xludf.DUMMYFUNCTION("""COMPUTED_VALUE"""),"A Virus named Tom")</f>
        <v>A Virus named Tom</v>
      </c>
      <c r="B491" s="15" t="str">
        <f>IFERROR(__xludf.DUMMYFUNCTION("""COMPUTED_VALUE"""),"Vita")</f>
        <v>Vita</v>
      </c>
      <c r="C491" s="16" t="str">
        <f>IFERROR(__xludf.DUMMYFUNCTION("""COMPUTED_VALUE"""),"Playstation Plus (Discontinued)")</f>
        <v>Playstation Plus (Discontinued)</v>
      </c>
      <c r="D491" s="15" t="str">
        <f>IFERROR(__xludf.DUMMYFUNCTION("""COMPUTED_VALUE"""),"Removed")</f>
        <v>Removed</v>
      </c>
      <c r="E491" s="17">
        <f>IFERROR(__xludf.DUMMYFUNCTION("""COMPUTED_VALUE"""),42465.0)</f>
        <v>42465</v>
      </c>
      <c r="F491" s="54">
        <f>IFERROR(__xludf.DUMMYFUNCTION("""COMPUTED_VALUE"""),42492.0)</f>
        <v>42492</v>
      </c>
      <c r="G491" s="19">
        <f>IFERROR(__xludf.DUMMYFUNCTION("""COMPUTED_VALUE"""),0.8999999999999999)</f>
        <v>0.9</v>
      </c>
      <c r="H491" s="17">
        <f>IFERROR(__xludf.DUMMYFUNCTION("""COMPUTED_VALUE"""),41337.0)</f>
        <v>41337</v>
      </c>
      <c r="I491" s="19">
        <f>IFERROR(__xludf.DUMMYFUNCTION("""COMPUTED_VALUE"""),3.0861111111111112)</f>
        <v>3.086111111</v>
      </c>
      <c r="J491" s="21">
        <f>IFERROR(__xludf.DUMMYFUNCTION("""COMPUTED_VALUE"""),69.0)</f>
        <v>69</v>
      </c>
      <c r="K491" s="23">
        <f>IFERROR(__xludf.DUMMYFUNCTION("""COMPUTED_VALUE"""),6.9)</f>
        <v>6.9</v>
      </c>
      <c r="L491" s="24">
        <f>IFERROR(__xludf.DUMMYFUNCTION("""COMPUTED_VALUE"""),4.0)</f>
        <v>4</v>
      </c>
      <c r="M491" s="25" t="str">
        <f>IFERROR(__xludf.DUMMYFUNCTION("""COMPUTED_VALUE"""),"Puzzle")</f>
        <v>Puzzle</v>
      </c>
      <c r="N491" s="25"/>
      <c r="O491" s="26" t="str">
        <f>IFERROR(__xludf.DUMMYFUNCTION("""COMPUTED_VALUE"""),"No")</f>
        <v>No</v>
      </c>
      <c r="P491" s="26"/>
    </row>
    <row r="492">
      <c r="A492" s="13" t="str">
        <f>IFERROR(__xludf.DUMMYFUNCTION("""COMPUTED_VALUE"""),"I am Alive")</f>
        <v>I am Alive</v>
      </c>
      <c r="B492" s="15" t="str">
        <f>IFERROR(__xludf.DUMMYFUNCTION("""COMPUTED_VALUE"""),"PS3")</f>
        <v>PS3</v>
      </c>
      <c r="C492" s="16" t="str">
        <f>IFERROR(__xludf.DUMMYFUNCTION("""COMPUTED_VALUE"""),"Playstation Plus (Discontinued)")</f>
        <v>Playstation Plus (Discontinued)</v>
      </c>
      <c r="D492" s="15" t="str">
        <f>IFERROR(__xludf.DUMMYFUNCTION("""COMPUTED_VALUE"""),"Removed")</f>
        <v>Removed</v>
      </c>
      <c r="E492" s="17">
        <f>IFERROR(__xludf.DUMMYFUNCTION("""COMPUTED_VALUE"""),42465.0)</f>
        <v>42465</v>
      </c>
      <c r="F492" s="54">
        <f>IFERROR(__xludf.DUMMYFUNCTION("""COMPUTED_VALUE"""),42492.0)</f>
        <v>42492</v>
      </c>
      <c r="G492" s="19">
        <f>IFERROR(__xludf.DUMMYFUNCTION("""COMPUTED_VALUE"""),0.8999999999999999)</f>
        <v>0.9</v>
      </c>
      <c r="H492" s="17">
        <f>IFERROR(__xludf.DUMMYFUNCTION("""COMPUTED_VALUE"""),40974.0)</f>
        <v>40974</v>
      </c>
      <c r="I492" s="19">
        <f>IFERROR(__xludf.DUMMYFUNCTION("""COMPUTED_VALUE"""),4.080555555555556)</f>
        <v>4.080555556</v>
      </c>
      <c r="J492" s="21">
        <f>IFERROR(__xludf.DUMMYFUNCTION("""COMPUTED_VALUE"""),75.0)</f>
        <v>75</v>
      </c>
      <c r="K492" s="23">
        <f>IFERROR(__xludf.DUMMYFUNCTION("""COMPUTED_VALUE"""),6.8)</f>
        <v>6.8</v>
      </c>
      <c r="L492" s="24">
        <f>IFERROR(__xludf.DUMMYFUNCTION("""COMPUTED_VALUE"""),6.0)</f>
        <v>6</v>
      </c>
      <c r="M492" s="25" t="str">
        <f>IFERROR(__xludf.DUMMYFUNCTION("""COMPUTED_VALUE"""),"Action-Adventure")</f>
        <v>Action-Adventure</v>
      </c>
      <c r="N492" s="25"/>
      <c r="O492" s="26" t="str">
        <f>IFERROR(__xludf.DUMMYFUNCTION("""COMPUTED_VALUE"""),"No")</f>
        <v>No</v>
      </c>
      <c r="P492" s="26"/>
    </row>
    <row r="493">
      <c r="A493" s="13" t="str">
        <f>IFERROR(__xludf.DUMMYFUNCTION("""COMPUTED_VALUE"""),"Savage Moon")</f>
        <v>Savage Moon</v>
      </c>
      <c r="B493" s="15" t="str">
        <f>IFERROR(__xludf.DUMMYFUNCTION("""COMPUTED_VALUE"""),"PS3")</f>
        <v>PS3</v>
      </c>
      <c r="C493" s="16" t="str">
        <f>IFERROR(__xludf.DUMMYFUNCTION("""COMPUTED_VALUE"""),"Playstation Plus (Discontinued)")</f>
        <v>Playstation Plus (Discontinued)</v>
      </c>
      <c r="D493" s="15" t="str">
        <f>IFERROR(__xludf.DUMMYFUNCTION("""COMPUTED_VALUE"""),"Removed")</f>
        <v>Removed</v>
      </c>
      <c r="E493" s="17">
        <f>IFERROR(__xludf.DUMMYFUNCTION("""COMPUTED_VALUE"""),42465.0)</f>
        <v>42465</v>
      </c>
      <c r="F493" s="54">
        <f>IFERROR(__xludf.DUMMYFUNCTION("""COMPUTED_VALUE"""),42492.0)</f>
        <v>42492</v>
      </c>
      <c r="G493" s="19">
        <f>IFERROR(__xludf.DUMMYFUNCTION("""COMPUTED_VALUE"""),0.8999999999999999)</f>
        <v>0.9</v>
      </c>
      <c r="H493" s="17">
        <f>IFERROR(__xludf.DUMMYFUNCTION("""COMPUTED_VALUE"""),39870.0)</f>
        <v>39870</v>
      </c>
      <c r="I493" s="19">
        <f>IFERROR(__xludf.DUMMYFUNCTION("""COMPUTED_VALUE"""),7.108333333333333)</f>
        <v>7.108333333</v>
      </c>
      <c r="J493" s="21">
        <f>IFERROR(__xludf.DUMMYFUNCTION("""COMPUTED_VALUE"""),72.0)</f>
        <v>72</v>
      </c>
      <c r="K493" s="23">
        <f>IFERROR(__xludf.DUMMYFUNCTION("""COMPUTED_VALUE"""),7.7)</f>
        <v>7.7</v>
      </c>
      <c r="L493" s="24">
        <f>IFERROR(__xludf.DUMMYFUNCTION("""COMPUTED_VALUE"""),6.0)</f>
        <v>6</v>
      </c>
      <c r="M493" s="25" t="str">
        <f>IFERROR(__xludf.DUMMYFUNCTION("""COMPUTED_VALUE"""),"Strategy")</f>
        <v>Strategy</v>
      </c>
      <c r="N493" s="25"/>
      <c r="O493" s="26" t="str">
        <f>IFERROR(__xludf.DUMMYFUNCTION("""COMPUTED_VALUE"""),"No")</f>
        <v>No</v>
      </c>
      <c r="P493" s="26"/>
    </row>
    <row r="494">
      <c r="A494" s="13" t="str">
        <f>IFERROR(__xludf.DUMMYFUNCTION("""COMPUTED_VALUE"""),"Broforce")</f>
        <v>Broforce</v>
      </c>
      <c r="B494" s="15" t="str">
        <f>IFERROR(__xludf.DUMMYFUNCTION("""COMPUTED_VALUE"""),"PS4")</f>
        <v>PS4</v>
      </c>
      <c r="C494" s="16" t="str">
        <f>IFERROR(__xludf.DUMMYFUNCTION("""COMPUTED_VALUE"""),"Playstation Plus (Discontinued)")</f>
        <v>Playstation Plus (Discontinued)</v>
      </c>
      <c r="D494" s="15" t="str">
        <f>IFERROR(__xludf.DUMMYFUNCTION("""COMPUTED_VALUE"""),"Removed")</f>
        <v>Removed</v>
      </c>
      <c r="E494" s="17">
        <f>IFERROR(__xludf.DUMMYFUNCTION("""COMPUTED_VALUE"""),42430.0)</f>
        <v>42430</v>
      </c>
      <c r="F494" s="54">
        <f>IFERROR(__xludf.DUMMYFUNCTION("""COMPUTED_VALUE"""),42464.0)</f>
        <v>42464</v>
      </c>
      <c r="G494" s="19">
        <f>IFERROR(__xludf.DUMMYFUNCTION("""COMPUTED_VALUE"""),1.0999999999999999)</f>
        <v>1.1</v>
      </c>
      <c r="H494" s="17">
        <f>IFERROR(__xludf.DUMMYFUNCTION("""COMPUTED_VALUE"""),42292.0)</f>
        <v>42292</v>
      </c>
      <c r="I494" s="19">
        <f>IFERROR(__xludf.DUMMYFUNCTION("""COMPUTED_VALUE"""),0.37777777777777777)</f>
        <v>0.3777777778</v>
      </c>
      <c r="J494" s="21">
        <f>IFERROR(__xludf.DUMMYFUNCTION("""COMPUTED_VALUE"""),83.0)</f>
        <v>83</v>
      </c>
      <c r="K494" s="23">
        <f>IFERROR(__xludf.DUMMYFUNCTION("""COMPUTED_VALUE"""),8.2)</f>
        <v>8.2</v>
      </c>
      <c r="L494" s="24">
        <f>IFERROR(__xludf.DUMMYFUNCTION("""COMPUTED_VALUE"""),5.0)</f>
        <v>5</v>
      </c>
      <c r="M494" s="25" t="str">
        <f>IFERROR(__xludf.DUMMYFUNCTION("""COMPUTED_VALUE"""),"Platformer")</f>
        <v>Platformer</v>
      </c>
      <c r="N494" s="25"/>
      <c r="O494" s="26" t="str">
        <f>IFERROR(__xludf.DUMMYFUNCTION("""COMPUTED_VALUE"""),"No")</f>
        <v>No</v>
      </c>
      <c r="P494" s="26"/>
    </row>
    <row r="495">
      <c r="A495" s="13" t="str">
        <f>IFERROR(__xludf.DUMMYFUNCTION("""COMPUTED_VALUE"""),"Galak-Z")</f>
        <v>Galak-Z</v>
      </c>
      <c r="B495" s="15" t="str">
        <f>IFERROR(__xludf.DUMMYFUNCTION("""COMPUTED_VALUE"""),"PS4")</f>
        <v>PS4</v>
      </c>
      <c r="C495" s="16" t="str">
        <f>IFERROR(__xludf.DUMMYFUNCTION("""COMPUTED_VALUE"""),"Playstation Plus (Discontinued)")</f>
        <v>Playstation Plus (Discontinued)</v>
      </c>
      <c r="D495" s="15" t="str">
        <f>IFERROR(__xludf.DUMMYFUNCTION("""COMPUTED_VALUE"""),"Removed")</f>
        <v>Removed</v>
      </c>
      <c r="E495" s="17">
        <f>IFERROR(__xludf.DUMMYFUNCTION("""COMPUTED_VALUE"""),42430.0)</f>
        <v>42430</v>
      </c>
      <c r="F495" s="54">
        <f>IFERROR(__xludf.DUMMYFUNCTION("""COMPUTED_VALUE"""),42464.0)</f>
        <v>42464</v>
      </c>
      <c r="G495" s="19">
        <f>IFERROR(__xludf.DUMMYFUNCTION("""COMPUTED_VALUE"""),1.0999999999999999)</f>
        <v>1.1</v>
      </c>
      <c r="H495" s="17">
        <f>IFERROR(__xludf.DUMMYFUNCTION("""COMPUTED_VALUE"""),42220.0)</f>
        <v>42220</v>
      </c>
      <c r="I495" s="19">
        <f>IFERROR(__xludf.DUMMYFUNCTION("""COMPUTED_VALUE"""),0.575)</f>
        <v>0.575</v>
      </c>
      <c r="J495" s="21">
        <f>IFERROR(__xludf.DUMMYFUNCTION("""COMPUTED_VALUE"""),76.0)</f>
        <v>76</v>
      </c>
      <c r="K495" s="23">
        <f>IFERROR(__xludf.DUMMYFUNCTION("""COMPUTED_VALUE"""),7.5)</f>
        <v>7.5</v>
      </c>
      <c r="L495" s="24">
        <f>IFERROR(__xludf.DUMMYFUNCTION("""COMPUTED_VALUE"""),10.0)</f>
        <v>10</v>
      </c>
      <c r="M495" s="25" t="str">
        <f>IFERROR(__xludf.DUMMYFUNCTION("""COMPUTED_VALUE"""),"Shooter")</f>
        <v>Shooter</v>
      </c>
      <c r="N495" s="25"/>
      <c r="O495" s="26" t="str">
        <f>IFERROR(__xludf.DUMMYFUNCTION("""COMPUTED_VALUE"""),"No")</f>
        <v>No</v>
      </c>
      <c r="P495" s="26"/>
    </row>
    <row r="496">
      <c r="A496" s="13" t="str">
        <f>IFERROR(__xludf.DUMMYFUNCTION("""COMPUTED_VALUE"""),"Flame Over")</f>
        <v>Flame Over</v>
      </c>
      <c r="B496" s="15" t="str">
        <f>IFERROR(__xludf.DUMMYFUNCTION("""COMPUTED_VALUE"""),"Vita")</f>
        <v>Vita</v>
      </c>
      <c r="C496" s="16" t="str">
        <f>IFERROR(__xludf.DUMMYFUNCTION("""COMPUTED_VALUE"""),"Playstation Plus (Discontinued)")</f>
        <v>Playstation Plus (Discontinued)</v>
      </c>
      <c r="D496" s="15" t="str">
        <f>IFERROR(__xludf.DUMMYFUNCTION("""COMPUTED_VALUE"""),"Removed")</f>
        <v>Removed</v>
      </c>
      <c r="E496" s="17">
        <f>IFERROR(__xludf.DUMMYFUNCTION("""COMPUTED_VALUE"""),42430.0)</f>
        <v>42430</v>
      </c>
      <c r="F496" s="54">
        <f>IFERROR(__xludf.DUMMYFUNCTION("""COMPUTED_VALUE"""),42464.0)</f>
        <v>42464</v>
      </c>
      <c r="G496" s="19">
        <f>IFERROR(__xludf.DUMMYFUNCTION("""COMPUTED_VALUE"""),1.0999999999999999)</f>
        <v>1.1</v>
      </c>
      <c r="H496" s="17">
        <f>IFERROR(__xludf.DUMMYFUNCTION("""COMPUTED_VALUE"""),42052.0)</f>
        <v>42052</v>
      </c>
      <c r="I496" s="19">
        <f>IFERROR(__xludf.DUMMYFUNCTION("""COMPUTED_VALUE"""),1.038888888888889)</f>
        <v>1.038888889</v>
      </c>
      <c r="J496" s="21">
        <f>IFERROR(__xludf.DUMMYFUNCTION("""COMPUTED_VALUE"""),65.0)</f>
        <v>65</v>
      </c>
      <c r="K496" s="23">
        <f>IFERROR(__xludf.DUMMYFUNCTION("""COMPUTED_VALUE"""),6.9)</f>
        <v>6.9</v>
      </c>
      <c r="L496" s="24">
        <f>IFERROR(__xludf.DUMMYFUNCTION("""COMPUTED_VALUE"""),6.0)</f>
        <v>6</v>
      </c>
      <c r="M496" s="25" t="str">
        <f>IFERROR(__xludf.DUMMYFUNCTION("""COMPUTED_VALUE"""),"Action-Adventure")</f>
        <v>Action-Adventure</v>
      </c>
      <c r="N496" s="25"/>
      <c r="O496" s="26" t="str">
        <f>IFERROR(__xludf.DUMMYFUNCTION("""COMPUTED_VALUE"""),"No")</f>
        <v>No</v>
      </c>
      <c r="P496" s="26"/>
    </row>
    <row r="497">
      <c r="A497" s="13" t="str">
        <f>IFERROR(__xludf.DUMMYFUNCTION("""COMPUTED_VALUE"""),"Reality Fighters")</f>
        <v>Reality Fighters</v>
      </c>
      <c r="B497" s="15" t="str">
        <f>IFERROR(__xludf.DUMMYFUNCTION("""COMPUTED_VALUE"""),"Vita")</f>
        <v>Vita</v>
      </c>
      <c r="C497" s="16" t="str">
        <f>IFERROR(__xludf.DUMMYFUNCTION("""COMPUTED_VALUE"""),"Playstation Plus (Discontinued)")</f>
        <v>Playstation Plus (Discontinued)</v>
      </c>
      <c r="D497" s="15" t="str">
        <f>IFERROR(__xludf.DUMMYFUNCTION("""COMPUTED_VALUE"""),"Removed")</f>
        <v>Removed</v>
      </c>
      <c r="E497" s="17">
        <f>IFERROR(__xludf.DUMMYFUNCTION("""COMPUTED_VALUE"""),42430.0)</f>
        <v>42430</v>
      </c>
      <c r="F497" s="54">
        <f>IFERROR(__xludf.DUMMYFUNCTION("""COMPUTED_VALUE"""),42464.0)</f>
        <v>42464</v>
      </c>
      <c r="G497" s="19">
        <f>IFERROR(__xludf.DUMMYFUNCTION("""COMPUTED_VALUE"""),1.0999999999999999)</f>
        <v>1.1</v>
      </c>
      <c r="H497" s="17">
        <f>IFERROR(__xludf.DUMMYFUNCTION("""COMPUTED_VALUE"""),40960.0)</f>
        <v>40960</v>
      </c>
      <c r="I497" s="19">
        <f>IFERROR(__xludf.DUMMYFUNCTION("""COMPUTED_VALUE"""),4.027777777777778)</f>
        <v>4.027777778</v>
      </c>
      <c r="J497" s="21">
        <f>IFERROR(__xludf.DUMMYFUNCTION("""COMPUTED_VALUE"""),54.0)</f>
        <v>54</v>
      </c>
      <c r="K497" s="23">
        <f>IFERROR(__xludf.DUMMYFUNCTION("""COMPUTED_VALUE"""),6.6)</f>
        <v>6.6</v>
      </c>
      <c r="L497" s="24"/>
      <c r="M497" s="25" t="str">
        <f>IFERROR(__xludf.DUMMYFUNCTION("""COMPUTED_VALUE"""),"Fighting")</f>
        <v>Fighting</v>
      </c>
      <c r="N497" s="25"/>
      <c r="O497" s="26" t="str">
        <f>IFERROR(__xludf.DUMMYFUNCTION("""COMPUTED_VALUE"""),"No")</f>
        <v>No</v>
      </c>
      <c r="P497" s="26"/>
    </row>
    <row r="498">
      <c r="A498" s="13" t="str">
        <f>IFERROR(__xludf.DUMMYFUNCTION("""COMPUTED_VALUE"""),"Super Stardust HD")</f>
        <v>Super Stardust HD</v>
      </c>
      <c r="B498" s="15" t="str">
        <f>IFERROR(__xludf.DUMMYFUNCTION("""COMPUTED_VALUE"""),"PS3")</f>
        <v>PS3</v>
      </c>
      <c r="C498" s="16" t="str">
        <f>IFERROR(__xludf.DUMMYFUNCTION("""COMPUTED_VALUE"""),"Playstation Plus (Discontinued)")</f>
        <v>Playstation Plus (Discontinued)</v>
      </c>
      <c r="D498" s="15" t="str">
        <f>IFERROR(__xludf.DUMMYFUNCTION("""COMPUTED_VALUE"""),"Removed")</f>
        <v>Removed</v>
      </c>
      <c r="E498" s="17">
        <f>IFERROR(__xludf.DUMMYFUNCTION("""COMPUTED_VALUE"""),42430.0)</f>
        <v>42430</v>
      </c>
      <c r="F498" s="54">
        <f>IFERROR(__xludf.DUMMYFUNCTION("""COMPUTED_VALUE"""),42464.0)</f>
        <v>42464</v>
      </c>
      <c r="G498" s="19">
        <f>IFERROR(__xludf.DUMMYFUNCTION("""COMPUTED_VALUE"""),1.0999999999999999)</f>
        <v>1.1</v>
      </c>
      <c r="H498" s="17">
        <f>IFERROR(__xludf.DUMMYFUNCTION("""COMPUTED_VALUE"""),39261.0)</f>
        <v>39261</v>
      </c>
      <c r="I498" s="19">
        <f>IFERROR(__xludf.DUMMYFUNCTION("""COMPUTED_VALUE"""),8.675)</f>
        <v>8.675</v>
      </c>
      <c r="J498" s="21">
        <f>IFERROR(__xludf.DUMMYFUNCTION("""COMPUTED_VALUE"""),86.0)</f>
        <v>86</v>
      </c>
      <c r="K498" s="23">
        <f>IFERROR(__xludf.DUMMYFUNCTION("""COMPUTED_VALUE"""),8.2)</f>
        <v>8.2</v>
      </c>
      <c r="L498" s="24"/>
      <c r="M498" s="25" t="str">
        <f>IFERROR(__xludf.DUMMYFUNCTION("""COMPUTED_VALUE"""),"Shooter")</f>
        <v>Shooter</v>
      </c>
      <c r="N498" s="25"/>
      <c r="O498" s="26" t="str">
        <f>IFERROR(__xludf.DUMMYFUNCTION("""COMPUTED_VALUE"""),"No")</f>
        <v>No</v>
      </c>
      <c r="P498" s="26"/>
    </row>
    <row r="499">
      <c r="A499" s="13" t="str">
        <f>IFERROR(__xludf.DUMMYFUNCTION("""COMPUTED_VALUE"""),"The Last Guy")</f>
        <v>The Last Guy</v>
      </c>
      <c r="B499" s="15" t="str">
        <f>IFERROR(__xludf.DUMMYFUNCTION("""COMPUTED_VALUE"""),"PS3")</f>
        <v>PS3</v>
      </c>
      <c r="C499" s="16" t="str">
        <f>IFERROR(__xludf.DUMMYFUNCTION("""COMPUTED_VALUE"""),"Playstation Plus (Discontinued)")</f>
        <v>Playstation Plus (Discontinued)</v>
      </c>
      <c r="D499" s="15" t="str">
        <f>IFERROR(__xludf.DUMMYFUNCTION("""COMPUTED_VALUE"""),"Removed")</f>
        <v>Removed</v>
      </c>
      <c r="E499" s="17">
        <f>IFERROR(__xludf.DUMMYFUNCTION("""COMPUTED_VALUE"""),42430.0)</f>
        <v>42430</v>
      </c>
      <c r="F499" s="54">
        <f>IFERROR(__xludf.DUMMYFUNCTION("""COMPUTED_VALUE"""),42464.0)</f>
        <v>42464</v>
      </c>
      <c r="G499" s="19">
        <f>IFERROR(__xludf.DUMMYFUNCTION("""COMPUTED_VALUE"""),1.0999999999999999)</f>
        <v>1.1</v>
      </c>
      <c r="H499" s="17">
        <f>IFERROR(__xludf.DUMMYFUNCTION("""COMPUTED_VALUE"""),39688.0)</f>
        <v>39688</v>
      </c>
      <c r="I499" s="19">
        <f>IFERROR(__xludf.DUMMYFUNCTION("""COMPUTED_VALUE"""),7.508333333333334)</f>
        <v>7.508333333</v>
      </c>
      <c r="J499" s="21">
        <f>IFERROR(__xludf.DUMMYFUNCTION("""COMPUTED_VALUE"""),81.0)</f>
        <v>81</v>
      </c>
      <c r="K499" s="23">
        <f>IFERROR(__xludf.DUMMYFUNCTION("""COMPUTED_VALUE"""),7.5)</f>
        <v>7.5</v>
      </c>
      <c r="L499" s="24">
        <f>IFERROR(__xludf.DUMMYFUNCTION("""COMPUTED_VALUE"""),8.0)</f>
        <v>8</v>
      </c>
      <c r="M499" s="25" t="str">
        <f>IFERROR(__xludf.DUMMYFUNCTION("""COMPUTED_VALUE"""),"Strategy")</f>
        <v>Strategy</v>
      </c>
      <c r="N499" s="25"/>
      <c r="O499" s="26" t="str">
        <f>IFERROR(__xludf.DUMMYFUNCTION("""COMPUTED_VALUE"""),"No")</f>
        <v>No</v>
      </c>
      <c r="P499" s="26"/>
    </row>
    <row r="500">
      <c r="A500" s="13" t="str">
        <f>IFERROR(__xludf.DUMMYFUNCTION("""COMPUTED_VALUE"""),"Helldivers")</f>
        <v>Helldivers</v>
      </c>
      <c r="B500" s="15" t="str">
        <f>IFERROR(__xludf.DUMMYFUNCTION("""COMPUTED_VALUE"""),"PS4/PS3/Vita")</f>
        <v>PS4/PS3/Vita</v>
      </c>
      <c r="C500" s="16" t="str">
        <f>IFERROR(__xludf.DUMMYFUNCTION("""COMPUTED_VALUE"""),"Playstation Plus (Discontinued)")</f>
        <v>Playstation Plus (Discontinued)</v>
      </c>
      <c r="D500" s="15" t="str">
        <f>IFERROR(__xludf.DUMMYFUNCTION("""COMPUTED_VALUE"""),"Removed")</f>
        <v>Removed</v>
      </c>
      <c r="E500" s="17">
        <f>IFERROR(__xludf.DUMMYFUNCTION("""COMPUTED_VALUE"""),42402.0)</f>
        <v>42402</v>
      </c>
      <c r="F500" s="54">
        <f>IFERROR(__xludf.DUMMYFUNCTION("""COMPUTED_VALUE"""),42429.0)</f>
        <v>42429</v>
      </c>
      <c r="G500" s="19">
        <f>IFERROR(__xludf.DUMMYFUNCTION("""COMPUTED_VALUE"""),0.8999999999999999)</f>
        <v>0.9</v>
      </c>
      <c r="H500" s="17">
        <f>IFERROR(__xludf.DUMMYFUNCTION("""COMPUTED_VALUE"""),42066.0)</f>
        <v>42066</v>
      </c>
      <c r="I500" s="19">
        <f>IFERROR(__xludf.DUMMYFUNCTION("""COMPUTED_VALUE"""),0.9138888888888889)</f>
        <v>0.9138888889</v>
      </c>
      <c r="J500" s="21">
        <f>IFERROR(__xludf.DUMMYFUNCTION("""COMPUTED_VALUE"""),83.0)</f>
        <v>83</v>
      </c>
      <c r="K500" s="23">
        <f>IFERROR(__xludf.DUMMYFUNCTION("""COMPUTED_VALUE"""),7.8)</f>
        <v>7.8</v>
      </c>
      <c r="L500" s="24">
        <f>IFERROR(__xludf.DUMMYFUNCTION("""COMPUTED_VALUE"""),6.0)</f>
        <v>6</v>
      </c>
      <c r="M500" s="25" t="str">
        <f>IFERROR(__xludf.DUMMYFUNCTION("""COMPUTED_VALUE"""),"Shooter")</f>
        <v>Shooter</v>
      </c>
      <c r="N500" s="25"/>
      <c r="O500" s="26" t="str">
        <f>IFERROR(__xludf.DUMMYFUNCTION("""COMPUTED_VALUE"""),"No")</f>
        <v>No</v>
      </c>
      <c r="P500" s="26"/>
    </row>
    <row r="501">
      <c r="A501" s="13" t="str">
        <f>IFERROR(__xludf.DUMMYFUNCTION("""COMPUTED_VALUE"""),"Nom Nom Galaxy")</f>
        <v>Nom Nom Galaxy</v>
      </c>
      <c r="B501" s="15" t="str">
        <f>IFERROR(__xludf.DUMMYFUNCTION("""COMPUTED_VALUE"""),"PS4")</f>
        <v>PS4</v>
      </c>
      <c r="C501" s="16" t="str">
        <f>IFERROR(__xludf.DUMMYFUNCTION("""COMPUTED_VALUE"""),"Playstation Plus (Discontinued)")</f>
        <v>Playstation Plus (Discontinued)</v>
      </c>
      <c r="D501" s="15" t="str">
        <f>IFERROR(__xludf.DUMMYFUNCTION("""COMPUTED_VALUE"""),"Removed")</f>
        <v>Removed</v>
      </c>
      <c r="E501" s="17">
        <f>IFERROR(__xludf.DUMMYFUNCTION("""COMPUTED_VALUE"""),42402.0)</f>
        <v>42402</v>
      </c>
      <c r="F501" s="54">
        <f>IFERROR(__xludf.DUMMYFUNCTION("""COMPUTED_VALUE"""),42429.0)</f>
        <v>42429</v>
      </c>
      <c r="G501" s="19">
        <f>IFERROR(__xludf.DUMMYFUNCTION("""COMPUTED_VALUE"""),0.8999999999999999)</f>
        <v>0.9</v>
      </c>
      <c r="H501" s="17">
        <f>IFERROR(__xludf.DUMMYFUNCTION("""COMPUTED_VALUE"""),42136.0)</f>
        <v>42136</v>
      </c>
      <c r="I501" s="19">
        <f>IFERROR(__xludf.DUMMYFUNCTION("""COMPUTED_VALUE"""),0.7222222222222222)</f>
        <v>0.7222222222</v>
      </c>
      <c r="J501" s="21">
        <f>IFERROR(__xludf.DUMMYFUNCTION("""COMPUTED_VALUE"""),70.0)</f>
        <v>70</v>
      </c>
      <c r="K501" s="23">
        <f>IFERROR(__xludf.DUMMYFUNCTION("""COMPUTED_VALUE"""),6.7)</f>
        <v>6.7</v>
      </c>
      <c r="L501" s="24">
        <f>IFERROR(__xludf.DUMMYFUNCTION("""COMPUTED_VALUE"""),9.0)</f>
        <v>9</v>
      </c>
      <c r="M501" s="25" t="str">
        <f>IFERROR(__xludf.DUMMYFUNCTION("""COMPUTED_VALUE"""),"Action-Adventure")</f>
        <v>Action-Adventure</v>
      </c>
      <c r="N501" s="25"/>
      <c r="O501" s="26" t="str">
        <f>IFERROR(__xludf.DUMMYFUNCTION("""COMPUTED_VALUE"""),"No")</f>
        <v>No</v>
      </c>
      <c r="P501" s="26"/>
    </row>
    <row r="502">
      <c r="A502" s="13" t="str">
        <f>IFERROR(__xludf.DUMMYFUNCTION("""COMPUTED_VALUE"""),"Nova-111")</f>
        <v>Nova-111</v>
      </c>
      <c r="B502" s="15" t="str">
        <f>IFERROR(__xludf.DUMMYFUNCTION("""COMPUTED_VALUE"""),"Vita")</f>
        <v>Vita</v>
      </c>
      <c r="C502" s="16" t="str">
        <f>IFERROR(__xludf.DUMMYFUNCTION("""COMPUTED_VALUE"""),"Playstation Plus (Discontinued)")</f>
        <v>Playstation Plus (Discontinued)</v>
      </c>
      <c r="D502" s="15" t="str">
        <f>IFERROR(__xludf.DUMMYFUNCTION("""COMPUTED_VALUE"""),"Removed")</f>
        <v>Removed</v>
      </c>
      <c r="E502" s="17">
        <f>IFERROR(__xludf.DUMMYFUNCTION("""COMPUTED_VALUE"""),42402.0)</f>
        <v>42402</v>
      </c>
      <c r="F502" s="54">
        <f>IFERROR(__xludf.DUMMYFUNCTION("""COMPUTED_VALUE"""),42429.0)</f>
        <v>42429</v>
      </c>
      <c r="G502" s="19">
        <f>IFERROR(__xludf.DUMMYFUNCTION("""COMPUTED_VALUE"""),0.8999999999999999)</f>
        <v>0.9</v>
      </c>
      <c r="H502" s="17">
        <f>IFERROR(__xludf.DUMMYFUNCTION("""COMPUTED_VALUE"""),42241.0)</f>
        <v>42241</v>
      </c>
      <c r="I502" s="19">
        <f>IFERROR(__xludf.DUMMYFUNCTION("""COMPUTED_VALUE"""),0.4361111111111111)</f>
        <v>0.4361111111</v>
      </c>
      <c r="J502" s="21">
        <f>IFERROR(__xludf.DUMMYFUNCTION("""COMPUTED_VALUE"""),75.0)</f>
        <v>75</v>
      </c>
      <c r="K502" s="23">
        <f>IFERROR(__xludf.DUMMYFUNCTION("""COMPUTED_VALUE"""),7.1)</f>
        <v>7.1</v>
      </c>
      <c r="L502" s="24">
        <f>IFERROR(__xludf.DUMMYFUNCTION("""COMPUTED_VALUE"""),5.0)</f>
        <v>5</v>
      </c>
      <c r="M502" s="25" t="str">
        <f>IFERROR(__xludf.DUMMYFUNCTION("""COMPUTED_VALUE"""),"Strategy")</f>
        <v>Strategy</v>
      </c>
      <c r="N502" s="25"/>
      <c r="O502" s="26" t="str">
        <f>IFERROR(__xludf.DUMMYFUNCTION("""COMPUTED_VALUE"""),"No")</f>
        <v>No</v>
      </c>
      <c r="P502" s="26"/>
    </row>
    <row r="503">
      <c r="A503" s="13" t="str">
        <f>IFERROR(__xludf.DUMMYFUNCTION("""COMPUTED_VALUE"""),"Lemmings Touch")</f>
        <v>Lemmings Touch</v>
      </c>
      <c r="B503" s="15" t="str">
        <f>IFERROR(__xludf.DUMMYFUNCTION("""COMPUTED_VALUE"""),"Vita")</f>
        <v>Vita</v>
      </c>
      <c r="C503" s="16" t="str">
        <f>IFERROR(__xludf.DUMMYFUNCTION("""COMPUTED_VALUE"""),"Playstation Plus (Discontinued)")</f>
        <v>Playstation Plus (Discontinued)</v>
      </c>
      <c r="D503" s="15" t="str">
        <f>IFERROR(__xludf.DUMMYFUNCTION("""COMPUTED_VALUE"""),"Removed")</f>
        <v>Removed</v>
      </c>
      <c r="E503" s="17">
        <f>IFERROR(__xludf.DUMMYFUNCTION("""COMPUTED_VALUE"""),42402.0)</f>
        <v>42402</v>
      </c>
      <c r="F503" s="54">
        <f>IFERROR(__xludf.DUMMYFUNCTION("""COMPUTED_VALUE"""),42429.0)</f>
        <v>42429</v>
      </c>
      <c r="G503" s="19">
        <f>IFERROR(__xludf.DUMMYFUNCTION("""COMPUTED_VALUE"""),0.8999999999999999)</f>
        <v>0.9</v>
      </c>
      <c r="H503" s="17">
        <f>IFERROR(__xludf.DUMMYFUNCTION("""COMPUTED_VALUE"""),41976.0)</f>
        <v>41976</v>
      </c>
      <c r="I503" s="19">
        <f>IFERROR(__xludf.DUMMYFUNCTION("""COMPUTED_VALUE"""),1.163888888888889)</f>
        <v>1.163888889</v>
      </c>
      <c r="J503" s="21">
        <f>IFERROR(__xludf.DUMMYFUNCTION("""COMPUTED_VALUE"""),68.0)</f>
        <v>68</v>
      </c>
      <c r="K503" s="23">
        <f>IFERROR(__xludf.DUMMYFUNCTION("""COMPUTED_VALUE"""),6.8)</f>
        <v>6.8</v>
      </c>
      <c r="L503" s="24">
        <f>IFERROR(__xludf.DUMMYFUNCTION("""COMPUTED_VALUE"""),5.0)</f>
        <v>5</v>
      </c>
      <c r="M503" s="25" t="str">
        <f>IFERROR(__xludf.DUMMYFUNCTION("""COMPUTED_VALUE"""),"Puzzle")</f>
        <v>Puzzle</v>
      </c>
      <c r="N503" s="25"/>
      <c r="O503" s="26" t="str">
        <f>IFERROR(__xludf.DUMMYFUNCTION("""COMPUTED_VALUE"""),"No")</f>
        <v>No</v>
      </c>
      <c r="P503" s="26"/>
    </row>
    <row r="504">
      <c r="A504" s="13" t="str">
        <f>IFERROR(__xludf.DUMMYFUNCTION("""COMPUTED_VALUE"""),"Persona 4 Arena Ultimax")</f>
        <v>Persona 4 Arena Ultimax</v>
      </c>
      <c r="B504" s="15" t="str">
        <f>IFERROR(__xludf.DUMMYFUNCTION("""COMPUTED_VALUE"""),"PS3")</f>
        <v>PS3</v>
      </c>
      <c r="C504" s="16" t="str">
        <f>IFERROR(__xludf.DUMMYFUNCTION("""COMPUTED_VALUE"""),"Playstation Plus (Discontinued)")</f>
        <v>Playstation Plus (Discontinued)</v>
      </c>
      <c r="D504" s="15" t="str">
        <f>IFERROR(__xludf.DUMMYFUNCTION("""COMPUTED_VALUE"""),"Removed")</f>
        <v>Removed</v>
      </c>
      <c r="E504" s="17">
        <f>IFERROR(__xludf.DUMMYFUNCTION("""COMPUTED_VALUE"""),42402.0)</f>
        <v>42402</v>
      </c>
      <c r="F504" s="54">
        <f>IFERROR(__xludf.DUMMYFUNCTION("""COMPUTED_VALUE"""),42429.0)</f>
        <v>42429</v>
      </c>
      <c r="G504" s="19">
        <f>IFERROR(__xludf.DUMMYFUNCTION("""COMPUTED_VALUE"""),0.8999999999999999)</f>
        <v>0.9</v>
      </c>
      <c r="H504" s="17">
        <f>IFERROR(__xludf.DUMMYFUNCTION("""COMPUTED_VALUE"""),41912.0)</f>
        <v>41912</v>
      </c>
      <c r="I504" s="19">
        <f>IFERROR(__xludf.DUMMYFUNCTION("""COMPUTED_VALUE"""),1.3388888888888888)</f>
        <v>1.338888889</v>
      </c>
      <c r="J504" s="21">
        <f>IFERROR(__xludf.DUMMYFUNCTION("""COMPUTED_VALUE"""),84.0)</f>
        <v>84</v>
      </c>
      <c r="K504" s="23">
        <f>IFERROR(__xludf.DUMMYFUNCTION("""COMPUTED_VALUE"""),8.0)</f>
        <v>8</v>
      </c>
      <c r="L504" s="24"/>
      <c r="M504" s="25" t="str">
        <f>IFERROR(__xludf.DUMMYFUNCTION("""COMPUTED_VALUE"""),"Fighting")</f>
        <v>Fighting</v>
      </c>
      <c r="N504" s="25"/>
      <c r="O504" s="26" t="str">
        <f>IFERROR(__xludf.DUMMYFUNCTION("""COMPUTED_VALUE"""),"No")</f>
        <v>No</v>
      </c>
      <c r="P504" s="26"/>
    </row>
    <row r="505">
      <c r="A505" s="13" t="str">
        <f>IFERROR(__xludf.DUMMYFUNCTION("""COMPUTED_VALUE"""),"Grid Autosport")</f>
        <v>Grid Autosport</v>
      </c>
      <c r="B505" s="15" t="str">
        <f>IFERROR(__xludf.DUMMYFUNCTION("""COMPUTED_VALUE"""),"PS3")</f>
        <v>PS3</v>
      </c>
      <c r="C505" s="16" t="str">
        <f>IFERROR(__xludf.DUMMYFUNCTION("""COMPUTED_VALUE"""),"Playstation Plus (Discontinued)")</f>
        <v>Playstation Plus (Discontinued)</v>
      </c>
      <c r="D505" s="15" t="str">
        <f>IFERROR(__xludf.DUMMYFUNCTION("""COMPUTED_VALUE"""),"Removed")</f>
        <v>Removed</v>
      </c>
      <c r="E505" s="17">
        <f>IFERROR(__xludf.DUMMYFUNCTION("""COMPUTED_VALUE"""),42402.0)</f>
        <v>42402</v>
      </c>
      <c r="F505" s="54">
        <f>IFERROR(__xludf.DUMMYFUNCTION("""COMPUTED_VALUE"""),42429.0)</f>
        <v>42429</v>
      </c>
      <c r="G505" s="19">
        <f>IFERROR(__xludf.DUMMYFUNCTION("""COMPUTED_VALUE"""),0.8999999999999999)</f>
        <v>0.9</v>
      </c>
      <c r="H505" s="17">
        <f>IFERROR(__xludf.DUMMYFUNCTION("""COMPUTED_VALUE"""),41814.0)</f>
        <v>41814</v>
      </c>
      <c r="I505" s="19">
        <f>IFERROR(__xludf.DUMMYFUNCTION("""COMPUTED_VALUE"""),1.6055555555555556)</f>
        <v>1.605555556</v>
      </c>
      <c r="J505" s="21">
        <f>IFERROR(__xludf.DUMMYFUNCTION("""COMPUTED_VALUE"""),78.0)</f>
        <v>78</v>
      </c>
      <c r="K505" s="23">
        <f>IFERROR(__xludf.DUMMYFUNCTION("""COMPUTED_VALUE"""),7.6)</f>
        <v>7.6</v>
      </c>
      <c r="L505" s="24">
        <f>IFERROR(__xludf.DUMMYFUNCTION("""COMPUTED_VALUE"""),32.0)</f>
        <v>32</v>
      </c>
      <c r="M505" s="25" t="str">
        <f>IFERROR(__xludf.DUMMYFUNCTION("""COMPUTED_VALUE"""),"Racing")</f>
        <v>Racing</v>
      </c>
      <c r="N505" s="25"/>
      <c r="O505" s="26" t="str">
        <f>IFERROR(__xludf.DUMMYFUNCTION("""COMPUTED_VALUE"""),"No")</f>
        <v>No</v>
      </c>
      <c r="P505" s="26"/>
    </row>
    <row r="506">
      <c r="A506" s="13" t="str">
        <f>IFERROR(__xludf.DUMMYFUNCTION("""COMPUTED_VALUE"""),"Hardware: Rivals")</f>
        <v>Hardware: Rivals</v>
      </c>
      <c r="B506" s="15" t="str">
        <f>IFERROR(__xludf.DUMMYFUNCTION("""COMPUTED_VALUE"""),"PS4")</f>
        <v>PS4</v>
      </c>
      <c r="C506" s="16" t="str">
        <f>IFERROR(__xludf.DUMMYFUNCTION("""COMPUTED_VALUE"""),"Playstation Plus (Discontinued)")</f>
        <v>Playstation Plus (Discontinued)</v>
      </c>
      <c r="D506" s="15" t="str">
        <f>IFERROR(__xludf.DUMMYFUNCTION("""COMPUTED_VALUE"""),"Removed")</f>
        <v>Removed</v>
      </c>
      <c r="E506" s="17">
        <f>IFERROR(__xludf.DUMMYFUNCTION("""COMPUTED_VALUE"""),42374.0)</f>
        <v>42374</v>
      </c>
      <c r="F506" s="54">
        <f>IFERROR(__xludf.DUMMYFUNCTION("""COMPUTED_VALUE"""),42401.0)</f>
        <v>42401</v>
      </c>
      <c r="G506" s="19">
        <f>IFERROR(__xludf.DUMMYFUNCTION("""COMPUTED_VALUE"""),0.8666666666666666)</f>
        <v>0.8666666667</v>
      </c>
      <c r="H506" s="17">
        <f>IFERROR(__xludf.DUMMYFUNCTION("""COMPUTED_VALUE"""),42374.0)</f>
        <v>42374</v>
      </c>
      <c r="I506" s="19">
        <f>IFERROR(__xludf.DUMMYFUNCTION("""COMPUTED_VALUE"""),0.0)</f>
        <v>0</v>
      </c>
      <c r="J506" s="21">
        <f>IFERROR(__xludf.DUMMYFUNCTION("""COMPUTED_VALUE"""),56.0)</f>
        <v>56</v>
      </c>
      <c r="K506" s="23">
        <f>IFERROR(__xludf.DUMMYFUNCTION("""COMPUTED_VALUE"""),5.9)</f>
        <v>5.9</v>
      </c>
      <c r="L506" s="24"/>
      <c r="M506" s="25" t="str">
        <f>IFERROR(__xludf.DUMMYFUNCTION("""COMPUTED_VALUE"""),"Shooter")</f>
        <v>Shooter</v>
      </c>
      <c r="N506" s="25"/>
      <c r="O506" s="26" t="str">
        <f>IFERROR(__xludf.DUMMYFUNCTION("""COMPUTED_VALUE"""),"No")</f>
        <v>No</v>
      </c>
      <c r="P506" s="26"/>
    </row>
    <row r="507">
      <c r="A507" s="13" t="str">
        <f>IFERROR(__xludf.DUMMYFUNCTION("""COMPUTED_VALUE"""),"Grim Fandango Remastered")</f>
        <v>Grim Fandango Remastered</v>
      </c>
      <c r="B507" s="15" t="str">
        <f>IFERROR(__xludf.DUMMYFUNCTION("""COMPUTED_VALUE"""),"PS4/Vita")</f>
        <v>PS4/Vita</v>
      </c>
      <c r="C507" s="16" t="str">
        <f>IFERROR(__xludf.DUMMYFUNCTION("""COMPUTED_VALUE"""),"Playstation Plus (Discontinued)")</f>
        <v>Playstation Plus (Discontinued)</v>
      </c>
      <c r="D507" s="15" t="str">
        <f>IFERROR(__xludf.DUMMYFUNCTION("""COMPUTED_VALUE"""),"Removed")</f>
        <v>Removed</v>
      </c>
      <c r="E507" s="17">
        <f>IFERROR(__xludf.DUMMYFUNCTION("""COMPUTED_VALUE"""),42374.0)</f>
        <v>42374</v>
      </c>
      <c r="F507" s="54">
        <f>IFERROR(__xludf.DUMMYFUNCTION("""COMPUTED_VALUE"""),42401.0)</f>
        <v>42401</v>
      </c>
      <c r="G507" s="19">
        <f>IFERROR(__xludf.DUMMYFUNCTION("""COMPUTED_VALUE"""),0.8666666666666666)</f>
        <v>0.8666666667</v>
      </c>
      <c r="H507" s="17">
        <f>IFERROR(__xludf.DUMMYFUNCTION("""COMPUTED_VALUE"""),42031.0)</f>
        <v>42031</v>
      </c>
      <c r="I507" s="19">
        <f>IFERROR(__xludf.DUMMYFUNCTION("""COMPUTED_VALUE"""),0.9388888888888889)</f>
        <v>0.9388888889</v>
      </c>
      <c r="J507" s="21">
        <f>IFERROR(__xludf.DUMMYFUNCTION("""COMPUTED_VALUE"""),80.0)</f>
        <v>80</v>
      </c>
      <c r="K507" s="23">
        <f>IFERROR(__xludf.DUMMYFUNCTION("""COMPUTED_VALUE"""),8.2)</f>
        <v>8.2</v>
      </c>
      <c r="L507" s="24">
        <f>IFERROR(__xludf.DUMMYFUNCTION("""COMPUTED_VALUE"""),11.0)</f>
        <v>11</v>
      </c>
      <c r="M507" s="25" t="str">
        <f>IFERROR(__xludf.DUMMYFUNCTION("""COMPUTED_VALUE"""),"Adventure")</f>
        <v>Adventure</v>
      </c>
      <c r="N507" s="25"/>
      <c r="O507" s="26" t="str">
        <f>IFERROR(__xludf.DUMMYFUNCTION("""COMPUTED_VALUE"""),"No")</f>
        <v>No</v>
      </c>
      <c r="P507" s="26"/>
    </row>
    <row r="508">
      <c r="A508" s="13" t="str">
        <f>IFERROR(__xludf.DUMMYFUNCTION("""COMPUTED_VALUE"""),"Nihilumbra")</f>
        <v>Nihilumbra</v>
      </c>
      <c r="B508" s="15" t="str">
        <f>IFERROR(__xludf.DUMMYFUNCTION("""COMPUTED_VALUE"""),"Vita")</f>
        <v>Vita</v>
      </c>
      <c r="C508" s="16" t="str">
        <f>IFERROR(__xludf.DUMMYFUNCTION("""COMPUTED_VALUE"""),"Playstation Plus (Discontinued)")</f>
        <v>Playstation Plus (Discontinued)</v>
      </c>
      <c r="D508" s="15" t="str">
        <f>IFERROR(__xludf.DUMMYFUNCTION("""COMPUTED_VALUE"""),"Removed")</f>
        <v>Removed</v>
      </c>
      <c r="E508" s="17">
        <f>IFERROR(__xludf.DUMMYFUNCTION("""COMPUTED_VALUE"""),42374.0)</f>
        <v>42374</v>
      </c>
      <c r="F508" s="54">
        <f>IFERROR(__xludf.DUMMYFUNCTION("""COMPUTED_VALUE"""),42401.0)</f>
        <v>42401</v>
      </c>
      <c r="G508" s="19">
        <f>IFERROR(__xludf.DUMMYFUNCTION("""COMPUTED_VALUE"""),0.8666666666666666)</f>
        <v>0.8666666667</v>
      </c>
      <c r="H508" s="17">
        <f>IFERROR(__xludf.DUMMYFUNCTION("""COMPUTED_VALUE"""),41817.0)</f>
        <v>41817</v>
      </c>
      <c r="I508" s="19">
        <f>IFERROR(__xludf.DUMMYFUNCTION("""COMPUTED_VALUE"""),1.5222222222222221)</f>
        <v>1.522222222</v>
      </c>
      <c r="J508" s="21">
        <f>IFERROR(__xludf.DUMMYFUNCTION("""COMPUTED_VALUE"""),75.0)</f>
        <v>75</v>
      </c>
      <c r="K508" s="23">
        <f>IFERROR(__xludf.DUMMYFUNCTION("""COMPUTED_VALUE"""),7.2)</f>
        <v>7.2</v>
      </c>
      <c r="L508" s="24">
        <f>IFERROR(__xludf.DUMMYFUNCTION("""COMPUTED_VALUE"""),5.0)</f>
        <v>5</v>
      </c>
      <c r="M508" s="25" t="str">
        <f>IFERROR(__xludf.DUMMYFUNCTION("""COMPUTED_VALUE"""),"Platformer")</f>
        <v>Platformer</v>
      </c>
      <c r="N508" s="25"/>
      <c r="O508" s="26" t="str">
        <f>IFERROR(__xludf.DUMMYFUNCTION("""COMPUTED_VALUE"""),"No")</f>
        <v>No</v>
      </c>
      <c r="P508" s="26"/>
    </row>
    <row r="509">
      <c r="A509" s="13" t="str">
        <f>IFERROR(__xludf.DUMMYFUNCTION("""COMPUTED_VALUE"""),"History Legends of War: Patton")</f>
        <v>History Legends of War: Patton</v>
      </c>
      <c r="B509" s="15" t="str">
        <f>IFERROR(__xludf.DUMMYFUNCTION("""COMPUTED_VALUE"""),"Vita")</f>
        <v>Vita</v>
      </c>
      <c r="C509" s="16" t="str">
        <f>IFERROR(__xludf.DUMMYFUNCTION("""COMPUTED_VALUE"""),"Playstation Plus (Discontinued)")</f>
        <v>Playstation Plus (Discontinued)</v>
      </c>
      <c r="D509" s="15" t="str">
        <f>IFERROR(__xludf.DUMMYFUNCTION("""COMPUTED_VALUE"""),"Removed")</f>
        <v>Removed</v>
      </c>
      <c r="E509" s="17">
        <f>IFERROR(__xludf.DUMMYFUNCTION("""COMPUTED_VALUE"""),42374.0)</f>
        <v>42374</v>
      </c>
      <c r="F509" s="54">
        <f>IFERROR(__xludf.DUMMYFUNCTION("""COMPUTED_VALUE"""),42401.0)</f>
        <v>42401</v>
      </c>
      <c r="G509" s="19">
        <f>IFERROR(__xludf.DUMMYFUNCTION("""COMPUTED_VALUE"""),0.8666666666666666)</f>
        <v>0.8666666667</v>
      </c>
      <c r="H509" s="17">
        <f>IFERROR(__xludf.DUMMYFUNCTION("""COMPUTED_VALUE"""),41801.0)</f>
        <v>41801</v>
      </c>
      <c r="I509" s="19">
        <f>IFERROR(__xludf.DUMMYFUNCTION("""COMPUTED_VALUE"""),1.5666666666666667)</f>
        <v>1.566666667</v>
      </c>
      <c r="J509" s="21">
        <f>IFERROR(__xludf.DUMMYFUNCTION("""COMPUTED_VALUE"""),58.0)</f>
        <v>58</v>
      </c>
      <c r="K509" s="23">
        <f>IFERROR(__xludf.DUMMYFUNCTION("""COMPUTED_VALUE"""),6.8)</f>
        <v>6.8</v>
      </c>
      <c r="L509" s="24">
        <f>IFERROR(__xludf.DUMMYFUNCTION("""COMPUTED_VALUE"""),15.0)</f>
        <v>15</v>
      </c>
      <c r="M509" s="25" t="str">
        <f>IFERROR(__xludf.DUMMYFUNCTION("""COMPUTED_VALUE"""),"Strategy")</f>
        <v>Strategy</v>
      </c>
      <c r="N509" s="25"/>
      <c r="O509" s="26" t="str">
        <f>IFERROR(__xludf.DUMMYFUNCTION("""COMPUTED_VALUE"""),"No")</f>
        <v>No</v>
      </c>
      <c r="P509" s="26"/>
    </row>
    <row r="510">
      <c r="A510" s="13" t="str">
        <f>IFERROR(__xludf.DUMMYFUNCTION("""COMPUTED_VALUE"""),"Dragon Age: Origins")</f>
        <v>Dragon Age: Origins</v>
      </c>
      <c r="B510" s="15" t="str">
        <f>IFERROR(__xludf.DUMMYFUNCTION("""COMPUTED_VALUE"""),"PS3")</f>
        <v>PS3</v>
      </c>
      <c r="C510" s="16" t="str">
        <f>IFERROR(__xludf.DUMMYFUNCTION("""COMPUTED_VALUE"""),"Playstation Plus (Discontinued)")</f>
        <v>Playstation Plus (Discontinued)</v>
      </c>
      <c r="D510" s="15" t="str">
        <f>IFERROR(__xludf.DUMMYFUNCTION("""COMPUTED_VALUE"""),"Removed")</f>
        <v>Removed</v>
      </c>
      <c r="E510" s="17">
        <f>IFERROR(__xludf.DUMMYFUNCTION("""COMPUTED_VALUE"""),42374.0)</f>
        <v>42374</v>
      </c>
      <c r="F510" s="54">
        <f>IFERROR(__xludf.DUMMYFUNCTION("""COMPUTED_VALUE"""),42401.0)</f>
        <v>42401</v>
      </c>
      <c r="G510" s="19">
        <f>IFERROR(__xludf.DUMMYFUNCTION("""COMPUTED_VALUE"""),0.8666666666666666)</f>
        <v>0.8666666667</v>
      </c>
      <c r="H510" s="17">
        <f>IFERROR(__xludf.DUMMYFUNCTION("""COMPUTED_VALUE"""),40120.0)</f>
        <v>40120</v>
      </c>
      <c r="I510" s="19">
        <f>IFERROR(__xludf.DUMMYFUNCTION("""COMPUTED_VALUE"""),6.1722222222222225)</f>
        <v>6.172222222</v>
      </c>
      <c r="J510" s="21">
        <f>IFERROR(__xludf.DUMMYFUNCTION("""COMPUTED_VALUE"""),91.0)</f>
        <v>91</v>
      </c>
      <c r="K510" s="23">
        <f>IFERROR(__xludf.DUMMYFUNCTION("""COMPUTED_VALUE"""),8.9)</f>
        <v>8.9</v>
      </c>
      <c r="L510" s="24">
        <f>IFERROR(__xludf.DUMMYFUNCTION("""COMPUTED_VALUE"""),40.0)</f>
        <v>40</v>
      </c>
      <c r="M510" s="25" t="str">
        <f>IFERROR(__xludf.DUMMYFUNCTION("""COMPUTED_VALUE"""),"RPG")</f>
        <v>RPG</v>
      </c>
      <c r="N510" s="25"/>
      <c r="O510" s="26" t="str">
        <f>IFERROR(__xludf.DUMMYFUNCTION("""COMPUTED_VALUE"""),"No")</f>
        <v>No</v>
      </c>
      <c r="P510" s="26"/>
    </row>
    <row r="511">
      <c r="A511" s="13" t="str">
        <f>IFERROR(__xludf.DUMMYFUNCTION("""COMPUTED_VALUE"""),"Medal of Honor: Warfighter")</f>
        <v>Medal of Honor: Warfighter</v>
      </c>
      <c r="B511" s="15" t="str">
        <f>IFERROR(__xludf.DUMMYFUNCTION("""COMPUTED_VALUE"""),"PS3")</f>
        <v>PS3</v>
      </c>
      <c r="C511" s="16" t="str">
        <f>IFERROR(__xludf.DUMMYFUNCTION("""COMPUTED_VALUE"""),"Playstation Plus (Discontinued)")</f>
        <v>Playstation Plus (Discontinued)</v>
      </c>
      <c r="D511" s="15" t="str">
        <f>IFERROR(__xludf.DUMMYFUNCTION("""COMPUTED_VALUE"""),"Removed")</f>
        <v>Removed</v>
      </c>
      <c r="E511" s="17">
        <f>IFERROR(__xludf.DUMMYFUNCTION("""COMPUTED_VALUE"""),42374.0)</f>
        <v>42374</v>
      </c>
      <c r="F511" s="54">
        <f>IFERROR(__xludf.DUMMYFUNCTION("""COMPUTED_VALUE"""),42401.0)</f>
        <v>42401</v>
      </c>
      <c r="G511" s="19">
        <f>IFERROR(__xludf.DUMMYFUNCTION("""COMPUTED_VALUE"""),0.8666666666666666)</f>
        <v>0.8666666667</v>
      </c>
      <c r="H511" s="17">
        <f>IFERROR(__xludf.DUMMYFUNCTION("""COMPUTED_VALUE"""),41205.0)</f>
        <v>41205</v>
      </c>
      <c r="I511" s="19">
        <f>IFERROR(__xludf.DUMMYFUNCTION("""COMPUTED_VALUE"""),3.2)</f>
        <v>3.2</v>
      </c>
      <c r="J511" s="21">
        <f>IFERROR(__xludf.DUMMYFUNCTION("""COMPUTED_VALUE"""),53.0)</f>
        <v>53</v>
      </c>
      <c r="K511" s="23">
        <f>IFERROR(__xludf.DUMMYFUNCTION("""COMPUTED_VALUE"""),5.9)</f>
        <v>5.9</v>
      </c>
      <c r="L511" s="24">
        <f>IFERROR(__xludf.DUMMYFUNCTION("""COMPUTED_VALUE"""),6.0)</f>
        <v>6</v>
      </c>
      <c r="M511" s="25" t="str">
        <f>IFERROR(__xludf.DUMMYFUNCTION("""COMPUTED_VALUE"""),"Shooter")</f>
        <v>Shooter</v>
      </c>
      <c r="N511" s="25"/>
      <c r="O511" s="26" t="str">
        <f>IFERROR(__xludf.DUMMYFUNCTION("""COMPUTED_VALUE"""),"No")</f>
        <v>No</v>
      </c>
      <c r="P511" s="26"/>
    </row>
    <row r="512">
      <c r="A512" s="13" t="str">
        <f>IFERROR(__xludf.DUMMYFUNCTION("""COMPUTED_VALUE"""),"Gauntlet: Slayer Edition")</f>
        <v>Gauntlet: Slayer Edition</v>
      </c>
      <c r="B512" s="15" t="str">
        <f>IFERROR(__xludf.DUMMYFUNCTION("""COMPUTED_VALUE"""),"PS4")</f>
        <v>PS4</v>
      </c>
      <c r="C512" s="16" t="str">
        <f>IFERROR(__xludf.DUMMYFUNCTION("""COMPUTED_VALUE"""),"Playstation Plus (Discontinued)")</f>
        <v>Playstation Plus (Discontinued)</v>
      </c>
      <c r="D512" s="15" t="str">
        <f>IFERROR(__xludf.DUMMYFUNCTION("""COMPUTED_VALUE"""),"Removed")</f>
        <v>Removed</v>
      </c>
      <c r="E512" s="17">
        <f>IFERROR(__xludf.DUMMYFUNCTION("""COMPUTED_VALUE"""),42339.0)</f>
        <v>42339</v>
      </c>
      <c r="F512" s="54">
        <f>IFERROR(__xludf.DUMMYFUNCTION("""COMPUTED_VALUE"""),42373.0)</f>
        <v>42373</v>
      </c>
      <c r="G512" s="19">
        <f>IFERROR(__xludf.DUMMYFUNCTION("""COMPUTED_VALUE"""),1.0999999999999999)</f>
        <v>1.1</v>
      </c>
      <c r="H512" s="17">
        <f>IFERROR(__xludf.DUMMYFUNCTION("""COMPUTED_VALUE"""),42250.0)</f>
        <v>42250</v>
      </c>
      <c r="I512" s="19">
        <f>IFERROR(__xludf.DUMMYFUNCTION("""COMPUTED_VALUE"""),0.24444444444444444)</f>
        <v>0.2444444444</v>
      </c>
      <c r="J512" s="21">
        <f>IFERROR(__xludf.DUMMYFUNCTION("""COMPUTED_VALUE"""),65.0)</f>
        <v>65</v>
      </c>
      <c r="K512" s="23">
        <f>IFERROR(__xludf.DUMMYFUNCTION("""COMPUTED_VALUE"""),6.8)</f>
        <v>6.8</v>
      </c>
      <c r="L512" s="24">
        <f>IFERROR(__xludf.DUMMYFUNCTION("""COMPUTED_VALUE"""),9.0)</f>
        <v>9</v>
      </c>
      <c r="M512" s="25" t="str">
        <f>IFERROR(__xludf.DUMMYFUNCTION("""COMPUTED_VALUE"""),"Action-Adventure")</f>
        <v>Action-Adventure</v>
      </c>
      <c r="N512" s="25"/>
      <c r="O512" s="26" t="str">
        <f>IFERROR(__xludf.DUMMYFUNCTION("""COMPUTED_VALUE"""),"No")</f>
        <v>No</v>
      </c>
      <c r="P512" s="26"/>
    </row>
    <row r="513">
      <c r="A513" s="13" t="str">
        <f>IFERROR(__xludf.DUMMYFUNCTION("""COMPUTED_VALUE"""),"King's Quest - Chapter 1: A Knight to Remember")</f>
        <v>King's Quest - Chapter 1: A Knight to Remember</v>
      </c>
      <c r="B513" s="15" t="str">
        <f>IFERROR(__xludf.DUMMYFUNCTION("""COMPUTED_VALUE"""),"PS4")</f>
        <v>PS4</v>
      </c>
      <c r="C513" s="16" t="str">
        <f>IFERROR(__xludf.DUMMYFUNCTION("""COMPUTED_VALUE"""),"Playstation Plus (Discontinued)")</f>
        <v>Playstation Plus (Discontinued)</v>
      </c>
      <c r="D513" s="15" t="str">
        <f>IFERROR(__xludf.DUMMYFUNCTION("""COMPUTED_VALUE"""),"Removed")</f>
        <v>Removed</v>
      </c>
      <c r="E513" s="17">
        <f>IFERROR(__xludf.DUMMYFUNCTION("""COMPUTED_VALUE"""),42339.0)</f>
        <v>42339</v>
      </c>
      <c r="F513" s="54">
        <f>IFERROR(__xludf.DUMMYFUNCTION("""COMPUTED_VALUE"""),42373.0)</f>
        <v>42373</v>
      </c>
      <c r="G513" s="19">
        <f>IFERROR(__xludf.DUMMYFUNCTION("""COMPUTED_VALUE"""),1.0999999999999999)</f>
        <v>1.1</v>
      </c>
      <c r="H513" s="17">
        <f>IFERROR(__xludf.DUMMYFUNCTION("""COMPUTED_VALUE"""),42213.0)</f>
        <v>42213</v>
      </c>
      <c r="I513" s="19">
        <f>IFERROR(__xludf.DUMMYFUNCTION("""COMPUTED_VALUE"""),0.3416666666666667)</f>
        <v>0.3416666667</v>
      </c>
      <c r="J513" s="21">
        <f>IFERROR(__xludf.DUMMYFUNCTION("""COMPUTED_VALUE"""),82.0)</f>
        <v>82</v>
      </c>
      <c r="K513" s="23">
        <f>IFERROR(__xludf.DUMMYFUNCTION("""COMPUTED_VALUE"""),7.6)</f>
        <v>7.6</v>
      </c>
      <c r="L513" s="24">
        <f>IFERROR(__xludf.DUMMYFUNCTION("""COMPUTED_VALUE"""),3.0)</f>
        <v>3</v>
      </c>
      <c r="M513" s="25" t="str">
        <f>IFERROR(__xludf.DUMMYFUNCTION("""COMPUTED_VALUE"""),"Adventure")</f>
        <v>Adventure</v>
      </c>
      <c r="N513" s="25"/>
      <c r="O513" s="26" t="str">
        <f>IFERROR(__xludf.DUMMYFUNCTION("""COMPUTED_VALUE"""),"No")</f>
        <v>No</v>
      </c>
      <c r="P513" s="26"/>
    </row>
    <row r="514">
      <c r="A514" s="13" t="str">
        <f>IFERROR(__xludf.DUMMYFUNCTION("""COMPUTED_VALUE"""),"Freedom Wars")</f>
        <v>Freedom Wars</v>
      </c>
      <c r="B514" s="15" t="str">
        <f>IFERROR(__xludf.DUMMYFUNCTION("""COMPUTED_VALUE"""),"Vita")</f>
        <v>Vita</v>
      </c>
      <c r="C514" s="16" t="str">
        <f>IFERROR(__xludf.DUMMYFUNCTION("""COMPUTED_VALUE"""),"Playstation Plus (Discontinued)")</f>
        <v>Playstation Plus (Discontinued)</v>
      </c>
      <c r="D514" s="15" t="str">
        <f>IFERROR(__xludf.DUMMYFUNCTION("""COMPUTED_VALUE"""),"Removed")</f>
        <v>Removed</v>
      </c>
      <c r="E514" s="17">
        <f>IFERROR(__xludf.DUMMYFUNCTION("""COMPUTED_VALUE"""),42339.0)</f>
        <v>42339</v>
      </c>
      <c r="F514" s="54">
        <f>IFERROR(__xludf.DUMMYFUNCTION("""COMPUTED_VALUE"""),42373.0)</f>
        <v>42373</v>
      </c>
      <c r="G514" s="19">
        <f>IFERROR(__xludf.DUMMYFUNCTION("""COMPUTED_VALUE"""),1.0999999999999999)</f>
        <v>1.1</v>
      </c>
      <c r="H514" s="17">
        <f>IFERROR(__xludf.DUMMYFUNCTION("""COMPUTED_VALUE"""),41940.0)</f>
        <v>41940</v>
      </c>
      <c r="I514" s="19">
        <f>IFERROR(__xludf.DUMMYFUNCTION("""COMPUTED_VALUE"""),1.0916666666666666)</f>
        <v>1.091666667</v>
      </c>
      <c r="J514" s="21">
        <f>IFERROR(__xludf.DUMMYFUNCTION("""COMPUTED_VALUE"""),73.0)</f>
        <v>73</v>
      </c>
      <c r="K514" s="23">
        <f>IFERROR(__xludf.DUMMYFUNCTION("""COMPUTED_VALUE"""),7.8)</f>
        <v>7.8</v>
      </c>
      <c r="L514" s="24">
        <f>IFERROR(__xludf.DUMMYFUNCTION("""COMPUTED_VALUE"""),22.0)</f>
        <v>22</v>
      </c>
      <c r="M514" s="25" t="str">
        <f>IFERROR(__xludf.DUMMYFUNCTION("""COMPUTED_VALUE"""),"Action-Adventure")</f>
        <v>Action-Adventure</v>
      </c>
      <c r="N514" s="25"/>
      <c r="O514" s="26" t="str">
        <f>IFERROR(__xludf.DUMMYFUNCTION("""COMPUTED_VALUE"""),"No")</f>
        <v>No</v>
      </c>
      <c r="P514" s="26"/>
    </row>
    <row r="515">
      <c r="A515" s="13" t="str">
        <f>IFERROR(__xludf.DUMMYFUNCTION("""COMPUTED_VALUE"""),"Rocketbirds: Hardboiled Chicken")</f>
        <v>Rocketbirds: Hardboiled Chicken</v>
      </c>
      <c r="B515" s="15" t="str">
        <f>IFERROR(__xludf.DUMMYFUNCTION("""COMPUTED_VALUE"""),"Vita")</f>
        <v>Vita</v>
      </c>
      <c r="C515" s="16" t="str">
        <f>IFERROR(__xludf.DUMMYFUNCTION("""COMPUTED_VALUE"""),"Playstation Plus (Discontinued)")</f>
        <v>Playstation Plus (Discontinued)</v>
      </c>
      <c r="D515" s="15" t="str">
        <f>IFERROR(__xludf.DUMMYFUNCTION("""COMPUTED_VALUE"""),"Removed")</f>
        <v>Removed</v>
      </c>
      <c r="E515" s="17">
        <f>IFERROR(__xludf.DUMMYFUNCTION("""COMPUTED_VALUE"""),42339.0)</f>
        <v>42339</v>
      </c>
      <c r="F515" s="54">
        <f>IFERROR(__xludf.DUMMYFUNCTION("""COMPUTED_VALUE"""),42373.0)</f>
        <v>42373</v>
      </c>
      <c r="G515" s="19">
        <f>IFERROR(__xludf.DUMMYFUNCTION("""COMPUTED_VALUE"""),1.0999999999999999)</f>
        <v>1.1</v>
      </c>
      <c r="H515" s="17">
        <f>IFERROR(__xludf.DUMMYFUNCTION("""COMPUTED_VALUE"""),40834.0)</f>
        <v>40834</v>
      </c>
      <c r="I515" s="19">
        <f>IFERROR(__xludf.DUMMYFUNCTION("""COMPUTED_VALUE"""),4.1194444444444445)</f>
        <v>4.119444444</v>
      </c>
      <c r="J515" s="21">
        <f>IFERROR(__xludf.DUMMYFUNCTION("""COMPUTED_VALUE"""),70.0)</f>
        <v>70</v>
      </c>
      <c r="K515" s="23">
        <f>IFERROR(__xludf.DUMMYFUNCTION("""COMPUTED_VALUE"""),7.2)</f>
        <v>7.2</v>
      </c>
      <c r="L515" s="24">
        <f>IFERROR(__xludf.DUMMYFUNCTION("""COMPUTED_VALUE"""),5.0)</f>
        <v>5</v>
      </c>
      <c r="M515" s="25" t="str">
        <f>IFERROR(__xludf.DUMMYFUNCTION("""COMPUTED_VALUE"""),"Shooter")</f>
        <v>Shooter</v>
      </c>
      <c r="N515" s="25"/>
      <c r="O515" s="26" t="str">
        <f>IFERROR(__xludf.DUMMYFUNCTION("""COMPUTED_VALUE"""),"No")</f>
        <v>No</v>
      </c>
      <c r="P515" s="26"/>
    </row>
    <row r="516">
      <c r="A516" s="13" t="str">
        <f>IFERROR(__xludf.DUMMYFUNCTION("""COMPUTED_VALUE"""),"Far Cry 3: Blood Dragon")</f>
        <v>Far Cry 3: Blood Dragon</v>
      </c>
      <c r="B516" s="15" t="str">
        <f>IFERROR(__xludf.DUMMYFUNCTION("""COMPUTED_VALUE"""),"PS3")</f>
        <v>PS3</v>
      </c>
      <c r="C516" s="16" t="str">
        <f>IFERROR(__xludf.DUMMYFUNCTION("""COMPUTED_VALUE"""),"Playstation Plus (Discontinued)")</f>
        <v>Playstation Plus (Discontinued)</v>
      </c>
      <c r="D516" s="15" t="str">
        <f>IFERROR(__xludf.DUMMYFUNCTION("""COMPUTED_VALUE"""),"Removed")</f>
        <v>Removed</v>
      </c>
      <c r="E516" s="17">
        <f>IFERROR(__xludf.DUMMYFUNCTION("""COMPUTED_VALUE"""),42339.0)</f>
        <v>42339</v>
      </c>
      <c r="F516" s="54">
        <f>IFERROR(__xludf.DUMMYFUNCTION("""COMPUTED_VALUE"""),42373.0)</f>
        <v>42373</v>
      </c>
      <c r="G516" s="19">
        <f>IFERROR(__xludf.DUMMYFUNCTION("""COMPUTED_VALUE"""),1.0999999999999999)</f>
        <v>1.1</v>
      </c>
      <c r="H516" s="17">
        <f>IFERROR(__xludf.DUMMYFUNCTION("""COMPUTED_VALUE"""),41394.0)</f>
        <v>41394</v>
      </c>
      <c r="I516" s="19">
        <f>IFERROR(__xludf.DUMMYFUNCTION("""COMPUTED_VALUE"""),2.5861111111111112)</f>
        <v>2.586111111</v>
      </c>
      <c r="J516" s="21">
        <f>IFERROR(__xludf.DUMMYFUNCTION("""COMPUTED_VALUE"""),82.0)</f>
        <v>82</v>
      </c>
      <c r="K516" s="23">
        <f>IFERROR(__xludf.DUMMYFUNCTION("""COMPUTED_VALUE"""),8.2)</f>
        <v>8.2</v>
      </c>
      <c r="L516" s="24">
        <f>IFERROR(__xludf.DUMMYFUNCTION("""COMPUTED_VALUE"""),6.0)</f>
        <v>6</v>
      </c>
      <c r="M516" s="25" t="str">
        <f>IFERROR(__xludf.DUMMYFUNCTION("""COMPUTED_VALUE"""),"Shooter")</f>
        <v>Shooter</v>
      </c>
      <c r="N516" s="25"/>
      <c r="O516" s="26" t="str">
        <f>IFERROR(__xludf.DUMMYFUNCTION("""COMPUTED_VALUE"""),"No")</f>
        <v>No</v>
      </c>
      <c r="P516" s="26"/>
    </row>
    <row r="517">
      <c r="A517" s="13" t="str">
        <f>IFERROR(__xludf.DUMMYFUNCTION("""COMPUTED_VALUE"""),"SSX")</f>
        <v>SSX</v>
      </c>
      <c r="B517" s="15" t="str">
        <f>IFERROR(__xludf.DUMMYFUNCTION("""COMPUTED_VALUE"""),"PS3")</f>
        <v>PS3</v>
      </c>
      <c r="C517" s="16" t="str">
        <f>IFERROR(__xludf.DUMMYFUNCTION("""COMPUTED_VALUE"""),"Playstation Plus (Discontinued)")</f>
        <v>Playstation Plus (Discontinued)</v>
      </c>
      <c r="D517" s="15" t="str">
        <f>IFERROR(__xludf.DUMMYFUNCTION("""COMPUTED_VALUE"""),"Removed")</f>
        <v>Removed</v>
      </c>
      <c r="E517" s="17">
        <f>IFERROR(__xludf.DUMMYFUNCTION("""COMPUTED_VALUE"""),42339.0)</f>
        <v>42339</v>
      </c>
      <c r="F517" s="54">
        <f>IFERROR(__xludf.DUMMYFUNCTION("""COMPUTED_VALUE"""),42373.0)</f>
        <v>42373</v>
      </c>
      <c r="G517" s="19">
        <f>IFERROR(__xludf.DUMMYFUNCTION("""COMPUTED_VALUE"""),1.0999999999999999)</f>
        <v>1.1</v>
      </c>
      <c r="H517" s="17">
        <f>IFERROR(__xludf.DUMMYFUNCTION("""COMPUTED_VALUE"""),40967.0)</f>
        <v>40967</v>
      </c>
      <c r="I517" s="19">
        <f>IFERROR(__xludf.DUMMYFUNCTION("""COMPUTED_VALUE"""),3.7583333333333333)</f>
        <v>3.758333333</v>
      </c>
      <c r="J517" s="21">
        <f>IFERROR(__xludf.DUMMYFUNCTION("""COMPUTED_VALUE"""),81.0)</f>
        <v>81</v>
      </c>
      <c r="K517" s="23">
        <f>IFERROR(__xludf.DUMMYFUNCTION("""COMPUTED_VALUE"""),7.7)</f>
        <v>7.7</v>
      </c>
      <c r="L517" s="24"/>
      <c r="M517" s="25" t="str">
        <f>IFERROR(__xludf.DUMMYFUNCTION("""COMPUTED_VALUE"""),"Sports")</f>
        <v>Sports</v>
      </c>
      <c r="N517" s="25"/>
      <c r="O517" s="26" t="str">
        <f>IFERROR(__xludf.DUMMYFUNCTION("""COMPUTED_VALUE"""),"No")</f>
        <v>No</v>
      </c>
      <c r="P517" s="26"/>
    </row>
    <row r="518">
      <c r="A518" s="13" t="str">
        <f>IFERROR(__xludf.DUMMYFUNCTION("""COMPUTED_VALUE"""),"The Walking Dead: Season 2")</f>
        <v>The Walking Dead: Season 2</v>
      </c>
      <c r="B518" s="15" t="str">
        <f>IFERROR(__xludf.DUMMYFUNCTION("""COMPUTED_VALUE"""),"PS4")</f>
        <v>PS4</v>
      </c>
      <c r="C518" s="16" t="str">
        <f>IFERROR(__xludf.DUMMYFUNCTION("""COMPUTED_VALUE"""),"Playstation Plus (Discontinued)")</f>
        <v>Playstation Plus (Discontinued)</v>
      </c>
      <c r="D518" s="15" t="str">
        <f>IFERROR(__xludf.DUMMYFUNCTION("""COMPUTED_VALUE"""),"Removed")</f>
        <v>Removed</v>
      </c>
      <c r="E518" s="17">
        <f>IFERROR(__xludf.DUMMYFUNCTION("""COMPUTED_VALUE"""),42311.0)</f>
        <v>42311</v>
      </c>
      <c r="F518" s="54">
        <f>IFERROR(__xludf.DUMMYFUNCTION("""COMPUTED_VALUE"""),42338.0)</f>
        <v>42338</v>
      </c>
      <c r="G518" s="19">
        <f>IFERROR(__xludf.DUMMYFUNCTION("""COMPUTED_VALUE"""),0.8999999999999999)</f>
        <v>0.9</v>
      </c>
      <c r="H518" s="17">
        <f>IFERROR(__xludf.DUMMYFUNCTION("""COMPUTED_VALUE"""),41625.0)</f>
        <v>41625</v>
      </c>
      <c r="I518" s="19">
        <f>IFERROR(__xludf.DUMMYFUNCTION("""COMPUTED_VALUE"""),1.8777777777777778)</f>
        <v>1.877777778</v>
      </c>
      <c r="J518" s="21">
        <f>IFERROR(__xludf.DUMMYFUNCTION("""COMPUTED_VALUE"""),80.0)</f>
        <v>80</v>
      </c>
      <c r="K518" s="23">
        <f>IFERROR(__xludf.DUMMYFUNCTION("""COMPUTED_VALUE"""),7.9)</f>
        <v>7.9</v>
      </c>
      <c r="L518" s="24">
        <f>IFERROR(__xludf.DUMMYFUNCTION("""COMPUTED_VALUE"""),10.0)</f>
        <v>10</v>
      </c>
      <c r="M518" s="25" t="str">
        <f>IFERROR(__xludf.DUMMYFUNCTION("""COMPUTED_VALUE"""),"Adventure")</f>
        <v>Adventure</v>
      </c>
      <c r="N518" s="25"/>
      <c r="O518" s="26" t="str">
        <f>IFERROR(__xludf.DUMMYFUNCTION("""COMPUTED_VALUE"""),"No")</f>
        <v>No</v>
      </c>
      <c r="P518" s="26"/>
    </row>
    <row r="519">
      <c r="A519" s="13" t="str">
        <f>IFERROR(__xludf.DUMMYFUNCTION("""COMPUTED_VALUE"""),"Magicka 2")</f>
        <v>Magicka 2</v>
      </c>
      <c r="B519" s="15" t="str">
        <f>IFERROR(__xludf.DUMMYFUNCTION("""COMPUTED_VALUE"""),"PS4")</f>
        <v>PS4</v>
      </c>
      <c r="C519" s="16" t="str">
        <f>IFERROR(__xludf.DUMMYFUNCTION("""COMPUTED_VALUE"""),"Playstation Plus (Discontinued)")</f>
        <v>Playstation Plus (Discontinued)</v>
      </c>
      <c r="D519" s="15" t="str">
        <f>IFERROR(__xludf.DUMMYFUNCTION("""COMPUTED_VALUE"""),"Removed")</f>
        <v>Removed</v>
      </c>
      <c r="E519" s="17">
        <f>IFERROR(__xludf.DUMMYFUNCTION("""COMPUTED_VALUE"""),42311.0)</f>
        <v>42311</v>
      </c>
      <c r="F519" s="54">
        <f>IFERROR(__xludf.DUMMYFUNCTION("""COMPUTED_VALUE"""),42338.0)</f>
        <v>42338</v>
      </c>
      <c r="G519" s="19">
        <f>IFERROR(__xludf.DUMMYFUNCTION("""COMPUTED_VALUE"""),0.8999999999999999)</f>
        <v>0.9</v>
      </c>
      <c r="H519" s="17">
        <f>IFERROR(__xludf.DUMMYFUNCTION("""COMPUTED_VALUE"""),42150.0)</f>
        <v>42150</v>
      </c>
      <c r="I519" s="19">
        <f>IFERROR(__xludf.DUMMYFUNCTION("""COMPUTED_VALUE"""),0.4361111111111111)</f>
        <v>0.4361111111</v>
      </c>
      <c r="J519" s="21">
        <f>IFERROR(__xludf.DUMMYFUNCTION("""COMPUTED_VALUE"""),74.0)</f>
        <v>74</v>
      </c>
      <c r="K519" s="23">
        <f>IFERROR(__xludf.DUMMYFUNCTION("""COMPUTED_VALUE"""),7.1)</f>
        <v>7.1</v>
      </c>
      <c r="L519" s="24">
        <f>IFERROR(__xludf.DUMMYFUNCTION("""COMPUTED_VALUE"""),10.0)</f>
        <v>10</v>
      </c>
      <c r="M519" s="25" t="str">
        <f>IFERROR(__xludf.DUMMYFUNCTION("""COMPUTED_VALUE"""),"Action-Adventure")</f>
        <v>Action-Adventure</v>
      </c>
      <c r="N519" s="25"/>
      <c r="O519" s="26" t="str">
        <f>IFERROR(__xludf.DUMMYFUNCTION("""COMPUTED_VALUE"""),"No")</f>
        <v>No</v>
      </c>
      <c r="P519" s="26"/>
    </row>
    <row r="520">
      <c r="A520" s="13" t="str">
        <f>IFERROR(__xludf.DUMMYFUNCTION("""COMPUTED_VALUE"""),"Mass Effect 2")</f>
        <v>Mass Effect 2</v>
      </c>
      <c r="B520" s="15" t="str">
        <f>IFERROR(__xludf.DUMMYFUNCTION("""COMPUTED_VALUE"""),"PS3")</f>
        <v>PS3</v>
      </c>
      <c r="C520" s="16" t="str">
        <f>IFERROR(__xludf.DUMMYFUNCTION("""COMPUTED_VALUE"""),"Playstation Plus (Discontinued)")</f>
        <v>Playstation Plus (Discontinued)</v>
      </c>
      <c r="D520" s="15" t="str">
        <f>IFERROR(__xludf.DUMMYFUNCTION("""COMPUTED_VALUE"""),"Removed")</f>
        <v>Removed</v>
      </c>
      <c r="E520" s="17">
        <f>IFERROR(__xludf.DUMMYFUNCTION("""COMPUTED_VALUE"""),42311.0)</f>
        <v>42311</v>
      </c>
      <c r="F520" s="54">
        <f>IFERROR(__xludf.DUMMYFUNCTION("""COMPUTED_VALUE"""),42338.0)</f>
        <v>42338</v>
      </c>
      <c r="G520" s="19">
        <f>IFERROR(__xludf.DUMMYFUNCTION("""COMPUTED_VALUE"""),0.8999999999999999)</f>
        <v>0.9</v>
      </c>
      <c r="H520" s="17">
        <f>IFERROR(__xludf.DUMMYFUNCTION("""COMPUTED_VALUE"""),40204.0)</f>
        <v>40204</v>
      </c>
      <c r="I520" s="19">
        <f>IFERROR(__xludf.DUMMYFUNCTION("""COMPUTED_VALUE"""),5.769444444444445)</f>
        <v>5.769444444</v>
      </c>
      <c r="J520" s="21">
        <f>IFERROR(__xludf.DUMMYFUNCTION("""COMPUTED_VALUE"""),96.0)</f>
        <v>96</v>
      </c>
      <c r="K520" s="23">
        <f>IFERROR(__xludf.DUMMYFUNCTION("""COMPUTED_VALUE"""),9.0)</f>
        <v>9</v>
      </c>
      <c r="L520" s="24">
        <f>IFERROR(__xludf.DUMMYFUNCTION("""COMPUTED_VALUE"""),30.0)</f>
        <v>30</v>
      </c>
      <c r="M520" s="25" t="str">
        <f>IFERROR(__xludf.DUMMYFUNCTION("""COMPUTED_VALUE"""),"RPG")</f>
        <v>RPG</v>
      </c>
      <c r="N520" s="25"/>
      <c r="O520" s="26" t="str">
        <f>IFERROR(__xludf.DUMMYFUNCTION("""COMPUTED_VALUE"""),"No")</f>
        <v>No</v>
      </c>
      <c r="P520" s="26"/>
    </row>
    <row r="521">
      <c r="A521" s="13" t="str">
        <f>IFERROR(__xludf.DUMMYFUNCTION("""COMPUTED_VALUE"""),"Beyond Good &amp; Evil HD")</f>
        <v>Beyond Good &amp; Evil HD</v>
      </c>
      <c r="B521" s="15" t="str">
        <f>IFERROR(__xludf.DUMMYFUNCTION("""COMPUTED_VALUE"""),"PS3")</f>
        <v>PS3</v>
      </c>
      <c r="C521" s="16" t="str">
        <f>IFERROR(__xludf.DUMMYFUNCTION("""COMPUTED_VALUE"""),"Playstation Plus (Discontinued)")</f>
        <v>Playstation Plus (Discontinued)</v>
      </c>
      <c r="D521" s="15" t="str">
        <f>IFERROR(__xludf.DUMMYFUNCTION("""COMPUTED_VALUE"""),"Removed")</f>
        <v>Removed</v>
      </c>
      <c r="E521" s="17">
        <f>IFERROR(__xludf.DUMMYFUNCTION("""COMPUTED_VALUE"""),42311.0)</f>
        <v>42311</v>
      </c>
      <c r="F521" s="54">
        <f>IFERROR(__xludf.DUMMYFUNCTION("""COMPUTED_VALUE"""),42338.0)</f>
        <v>42338</v>
      </c>
      <c r="G521" s="19">
        <f>IFERROR(__xludf.DUMMYFUNCTION("""COMPUTED_VALUE"""),0.8999999999999999)</f>
        <v>0.9</v>
      </c>
      <c r="H521" s="17">
        <f>IFERROR(__xludf.DUMMYFUNCTION("""COMPUTED_VALUE"""),40604.0)</f>
        <v>40604</v>
      </c>
      <c r="I521" s="19">
        <f>IFERROR(__xludf.DUMMYFUNCTION("""COMPUTED_VALUE"""),4.669444444444444)</f>
        <v>4.669444444</v>
      </c>
      <c r="J521" s="21">
        <f>IFERROR(__xludf.DUMMYFUNCTION("""COMPUTED_VALUE"""),85.0)</f>
        <v>85</v>
      </c>
      <c r="K521" s="23">
        <f>IFERROR(__xludf.DUMMYFUNCTION("""COMPUTED_VALUE"""),8.4)</f>
        <v>8.4</v>
      </c>
      <c r="L521" s="24">
        <f>IFERROR(__xludf.DUMMYFUNCTION("""COMPUTED_VALUE"""),12.0)</f>
        <v>12</v>
      </c>
      <c r="M521" s="25" t="str">
        <f>IFERROR(__xludf.DUMMYFUNCTION("""COMPUTED_VALUE"""),"Action-Adventure")</f>
        <v>Action-Adventure</v>
      </c>
      <c r="N521" s="25"/>
      <c r="O521" s="26" t="str">
        <f>IFERROR(__xludf.DUMMYFUNCTION("""COMPUTED_VALUE"""),"No")</f>
        <v>No</v>
      </c>
      <c r="P521" s="26"/>
    </row>
    <row r="522">
      <c r="A522" s="13" t="str">
        <f>IFERROR(__xludf.DUMMYFUNCTION("""COMPUTED_VALUE"""),"Dragon Fin Soup")</f>
        <v>Dragon Fin Soup</v>
      </c>
      <c r="B522" s="15" t="str">
        <f>IFERROR(__xludf.DUMMYFUNCTION("""COMPUTED_VALUE"""),"PS4/PS3/Vita")</f>
        <v>PS4/PS3/Vita</v>
      </c>
      <c r="C522" s="16" t="str">
        <f>IFERROR(__xludf.DUMMYFUNCTION("""COMPUTED_VALUE"""),"Playstation Plus (Discontinued)")</f>
        <v>Playstation Plus (Discontinued)</v>
      </c>
      <c r="D522" s="15" t="str">
        <f>IFERROR(__xludf.DUMMYFUNCTION("""COMPUTED_VALUE"""),"Removed")</f>
        <v>Removed</v>
      </c>
      <c r="E522" s="17">
        <f>IFERROR(__xludf.DUMMYFUNCTION("""COMPUTED_VALUE"""),42311.0)</f>
        <v>42311</v>
      </c>
      <c r="F522" s="54">
        <f>IFERROR(__xludf.DUMMYFUNCTION("""COMPUTED_VALUE"""),42338.0)</f>
        <v>42338</v>
      </c>
      <c r="G522" s="19">
        <f>IFERROR(__xludf.DUMMYFUNCTION("""COMPUTED_VALUE"""),0.8999999999999999)</f>
        <v>0.9</v>
      </c>
      <c r="H522" s="17">
        <f>IFERROR(__xludf.DUMMYFUNCTION("""COMPUTED_VALUE"""),42311.0)</f>
        <v>42311</v>
      </c>
      <c r="I522" s="19">
        <f>IFERROR(__xludf.DUMMYFUNCTION("""COMPUTED_VALUE"""),0.0)</f>
        <v>0</v>
      </c>
      <c r="J522" s="21">
        <f>IFERROR(__xludf.DUMMYFUNCTION("""COMPUTED_VALUE"""),59.0)</f>
        <v>59</v>
      </c>
      <c r="K522" s="23">
        <f>IFERROR(__xludf.DUMMYFUNCTION("""COMPUTED_VALUE"""),5.8)</f>
        <v>5.8</v>
      </c>
      <c r="L522" s="24">
        <f>IFERROR(__xludf.DUMMYFUNCTION("""COMPUTED_VALUE"""),15.0)</f>
        <v>15</v>
      </c>
      <c r="M522" s="25" t="str">
        <f>IFERROR(__xludf.DUMMYFUNCTION("""COMPUTED_VALUE"""),"RPG")</f>
        <v>RPG</v>
      </c>
      <c r="N522" s="25"/>
      <c r="O522" s="26" t="str">
        <f>IFERROR(__xludf.DUMMYFUNCTION("""COMPUTED_VALUE"""),"No")</f>
        <v>No</v>
      </c>
      <c r="P522" s="26"/>
    </row>
    <row r="523">
      <c r="A523" s="13" t="str">
        <f>IFERROR(__xludf.DUMMYFUNCTION("""COMPUTED_VALUE"""),"Invizimals")</f>
        <v>Invizimals</v>
      </c>
      <c r="B523" s="15" t="str">
        <f>IFERROR(__xludf.DUMMYFUNCTION("""COMPUTED_VALUE"""),"PSP")</f>
        <v>PSP</v>
      </c>
      <c r="C523" s="16" t="str">
        <f>IFERROR(__xludf.DUMMYFUNCTION("""COMPUTED_VALUE"""),"Playstation Plus (Discontinued)")</f>
        <v>Playstation Plus (Discontinued)</v>
      </c>
      <c r="D523" s="15" t="str">
        <f>IFERROR(__xludf.DUMMYFUNCTION("""COMPUTED_VALUE"""),"Removed")</f>
        <v>Removed</v>
      </c>
      <c r="E523" s="17">
        <f>IFERROR(__xludf.DUMMYFUNCTION("""COMPUTED_VALUE"""),42311.0)</f>
        <v>42311</v>
      </c>
      <c r="F523" s="54">
        <f>IFERROR(__xludf.DUMMYFUNCTION("""COMPUTED_VALUE"""),42338.0)</f>
        <v>42338</v>
      </c>
      <c r="G523" s="19">
        <f>IFERROR(__xludf.DUMMYFUNCTION("""COMPUTED_VALUE"""),0.8999999999999999)</f>
        <v>0.9</v>
      </c>
      <c r="H523" s="17">
        <f>IFERROR(__xludf.DUMMYFUNCTION("""COMPUTED_VALUE"""),40120.0)</f>
        <v>40120</v>
      </c>
      <c r="I523" s="19">
        <f>IFERROR(__xludf.DUMMYFUNCTION("""COMPUTED_VALUE"""),6.0)</f>
        <v>6</v>
      </c>
      <c r="J523" s="21">
        <f>IFERROR(__xludf.DUMMYFUNCTION("""COMPUTED_VALUE"""),74.0)</f>
        <v>74</v>
      </c>
      <c r="K523" s="23">
        <f>IFERROR(__xludf.DUMMYFUNCTION("""COMPUTED_VALUE"""),7.6)</f>
        <v>7.6</v>
      </c>
      <c r="L523" s="24">
        <f>IFERROR(__xludf.DUMMYFUNCTION("""COMPUTED_VALUE"""),10.0)</f>
        <v>10</v>
      </c>
      <c r="M523" s="25" t="str">
        <f>IFERROR(__xludf.DUMMYFUNCTION("""COMPUTED_VALUE"""),"Action-Adventure")</f>
        <v>Action-Adventure</v>
      </c>
      <c r="N523" s="25"/>
      <c r="O523" s="26" t="str">
        <f>IFERROR(__xludf.DUMMYFUNCTION("""COMPUTED_VALUE"""),"No")</f>
        <v>No</v>
      </c>
      <c r="P523" s="26"/>
    </row>
    <row r="524">
      <c r="A524" s="13" t="str">
        <f>IFERROR(__xludf.DUMMYFUNCTION("""COMPUTED_VALUE"""),"Broken Age")</f>
        <v>Broken Age</v>
      </c>
      <c r="B524" s="15" t="str">
        <f>IFERROR(__xludf.DUMMYFUNCTION("""COMPUTED_VALUE"""),"PS4/Vita")</f>
        <v>PS4/Vita</v>
      </c>
      <c r="C524" s="16" t="str">
        <f>IFERROR(__xludf.DUMMYFUNCTION("""COMPUTED_VALUE"""),"Playstation Plus (Discontinued)")</f>
        <v>Playstation Plus (Discontinued)</v>
      </c>
      <c r="D524" s="15" t="str">
        <f>IFERROR(__xludf.DUMMYFUNCTION("""COMPUTED_VALUE"""),"Removed")</f>
        <v>Removed</v>
      </c>
      <c r="E524" s="17">
        <f>IFERROR(__xludf.DUMMYFUNCTION("""COMPUTED_VALUE"""),42283.0)</f>
        <v>42283</v>
      </c>
      <c r="F524" s="54">
        <f>IFERROR(__xludf.DUMMYFUNCTION("""COMPUTED_VALUE"""),42310.0)</f>
        <v>42310</v>
      </c>
      <c r="G524" s="19">
        <f>IFERROR(__xludf.DUMMYFUNCTION("""COMPUTED_VALUE"""),0.8666666666666666)</f>
        <v>0.8666666667</v>
      </c>
      <c r="H524" s="17">
        <f>IFERROR(__xludf.DUMMYFUNCTION("""COMPUTED_VALUE"""),41667.0)</f>
        <v>41667</v>
      </c>
      <c r="I524" s="19">
        <f>IFERROR(__xludf.DUMMYFUNCTION("""COMPUTED_VALUE"""),1.6888888888888889)</f>
        <v>1.688888889</v>
      </c>
      <c r="J524" s="21">
        <f>IFERROR(__xludf.DUMMYFUNCTION("""COMPUTED_VALUE"""),81.0)</f>
        <v>81</v>
      </c>
      <c r="K524" s="23">
        <f>IFERROR(__xludf.DUMMYFUNCTION("""COMPUTED_VALUE"""),7.7)</f>
        <v>7.7</v>
      </c>
      <c r="L524" s="24">
        <f>IFERROR(__xludf.DUMMYFUNCTION("""COMPUTED_VALUE"""),12.0)</f>
        <v>12</v>
      </c>
      <c r="M524" s="25" t="str">
        <f>IFERROR(__xludf.DUMMYFUNCTION("""COMPUTED_VALUE"""),"Adventure")</f>
        <v>Adventure</v>
      </c>
      <c r="N524" s="25"/>
      <c r="O524" s="26" t="str">
        <f>IFERROR(__xludf.DUMMYFUNCTION("""COMPUTED_VALUE"""),"No")</f>
        <v>No</v>
      </c>
      <c r="P524" s="26"/>
    </row>
    <row r="525">
      <c r="A525" s="13" t="str">
        <f>IFERROR(__xludf.DUMMYFUNCTION("""COMPUTED_VALUE"""),"Super Meat Boy")</f>
        <v>Super Meat Boy</v>
      </c>
      <c r="B525" s="15" t="str">
        <f>IFERROR(__xludf.DUMMYFUNCTION("""COMPUTED_VALUE"""),"PS4/Vita")</f>
        <v>PS4/Vita</v>
      </c>
      <c r="C525" s="16" t="str">
        <f>IFERROR(__xludf.DUMMYFUNCTION("""COMPUTED_VALUE"""),"Playstation Plus (Discontinued)")</f>
        <v>Playstation Plus (Discontinued)</v>
      </c>
      <c r="D525" s="15" t="str">
        <f>IFERROR(__xludf.DUMMYFUNCTION("""COMPUTED_VALUE"""),"Removed")</f>
        <v>Removed</v>
      </c>
      <c r="E525" s="17">
        <f>IFERROR(__xludf.DUMMYFUNCTION("""COMPUTED_VALUE"""),42283.0)</f>
        <v>42283</v>
      </c>
      <c r="F525" s="54">
        <f>IFERROR(__xludf.DUMMYFUNCTION("""COMPUTED_VALUE"""),42310.0)</f>
        <v>42310</v>
      </c>
      <c r="G525" s="19">
        <f>IFERROR(__xludf.DUMMYFUNCTION("""COMPUTED_VALUE"""),0.8666666666666666)</f>
        <v>0.8666666667</v>
      </c>
      <c r="H525" s="17">
        <f>IFERROR(__xludf.DUMMYFUNCTION("""COMPUTED_VALUE"""),40471.0)</f>
        <v>40471</v>
      </c>
      <c r="I525" s="19">
        <f>IFERROR(__xludf.DUMMYFUNCTION("""COMPUTED_VALUE"""),4.961111111111111)</f>
        <v>4.961111111</v>
      </c>
      <c r="J525" s="21">
        <f>IFERROR(__xludf.DUMMYFUNCTION("""COMPUTED_VALUE"""),90.0)</f>
        <v>90</v>
      </c>
      <c r="K525" s="23">
        <f>IFERROR(__xludf.DUMMYFUNCTION("""COMPUTED_VALUE"""),8.3)</f>
        <v>8.3</v>
      </c>
      <c r="L525" s="24">
        <f>IFERROR(__xludf.DUMMYFUNCTION("""COMPUTED_VALUE"""),8.0)</f>
        <v>8</v>
      </c>
      <c r="M525" s="25" t="str">
        <f>IFERROR(__xludf.DUMMYFUNCTION("""COMPUTED_VALUE"""),"Platformer")</f>
        <v>Platformer</v>
      </c>
      <c r="N525" s="25"/>
      <c r="O525" s="26" t="str">
        <f>IFERROR(__xludf.DUMMYFUNCTION("""COMPUTED_VALUE"""),"No")</f>
        <v>No</v>
      </c>
      <c r="P525" s="26"/>
    </row>
    <row r="526">
      <c r="A526" s="13" t="str">
        <f>IFERROR(__xludf.DUMMYFUNCTION("""COMPUTED_VALUE"""),"Unmechanical Extended")</f>
        <v>Unmechanical Extended</v>
      </c>
      <c r="B526" s="15" t="str">
        <f>IFERROR(__xludf.DUMMYFUNCTION("""COMPUTED_VALUE"""),"PS4/PS3")</f>
        <v>PS4/PS3</v>
      </c>
      <c r="C526" s="16" t="str">
        <f>IFERROR(__xludf.DUMMYFUNCTION("""COMPUTED_VALUE"""),"Playstation Plus (Discontinued)")</f>
        <v>Playstation Plus (Discontinued)</v>
      </c>
      <c r="D526" s="15" t="str">
        <f>IFERROR(__xludf.DUMMYFUNCTION("""COMPUTED_VALUE"""),"Removed")</f>
        <v>Removed</v>
      </c>
      <c r="E526" s="17">
        <f>IFERROR(__xludf.DUMMYFUNCTION("""COMPUTED_VALUE"""),42283.0)</f>
        <v>42283</v>
      </c>
      <c r="F526" s="54">
        <f>IFERROR(__xludf.DUMMYFUNCTION("""COMPUTED_VALUE"""),42310.0)</f>
        <v>42310</v>
      </c>
      <c r="G526" s="19">
        <f>IFERROR(__xludf.DUMMYFUNCTION("""COMPUTED_VALUE"""),0.8666666666666666)</f>
        <v>0.8666666667</v>
      </c>
      <c r="H526" s="17">
        <f>IFERROR(__xludf.DUMMYFUNCTION("""COMPUTED_VALUE"""),41234.0)</f>
        <v>41234</v>
      </c>
      <c r="I526" s="19">
        <f>IFERROR(__xludf.DUMMYFUNCTION("""COMPUTED_VALUE"""),2.875)</f>
        <v>2.875</v>
      </c>
      <c r="J526" s="21">
        <f>IFERROR(__xludf.DUMMYFUNCTION("""COMPUTED_VALUE"""),68.0)</f>
        <v>68</v>
      </c>
      <c r="K526" s="23">
        <f>IFERROR(__xludf.DUMMYFUNCTION("""COMPUTED_VALUE"""),6.7)</f>
        <v>6.7</v>
      </c>
      <c r="L526" s="24">
        <f>IFERROR(__xludf.DUMMYFUNCTION("""COMPUTED_VALUE"""),4.0)</f>
        <v>4</v>
      </c>
      <c r="M526" s="25" t="str">
        <f>IFERROR(__xludf.DUMMYFUNCTION("""COMPUTED_VALUE"""),"Puzzle")</f>
        <v>Puzzle</v>
      </c>
      <c r="N526" s="25"/>
      <c r="O526" s="26" t="str">
        <f>IFERROR(__xludf.DUMMYFUNCTION("""COMPUTED_VALUE"""),"No")</f>
        <v>No</v>
      </c>
      <c r="P526" s="26"/>
    </row>
    <row r="527">
      <c r="A527" s="13" t="str">
        <f>IFERROR(__xludf.DUMMYFUNCTION("""COMPUTED_VALUE"""),"Kickbeat")</f>
        <v>Kickbeat</v>
      </c>
      <c r="B527" s="15" t="str">
        <f>IFERROR(__xludf.DUMMYFUNCTION("""COMPUTED_VALUE"""),"PS3/Vita")</f>
        <v>PS3/Vita</v>
      </c>
      <c r="C527" s="16" t="str">
        <f>IFERROR(__xludf.DUMMYFUNCTION("""COMPUTED_VALUE"""),"Playstation Plus (Discontinued)")</f>
        <v>Playstation Plus (Discontinued)</v>
      </c>
      <c r="D527" s="15" t="str">
        <f>IFERROR(__xludf.DUMMYFUNCTION("""COMPUTED_VALUE"""),"Removed")</f>
        <v>Removed</v>
      </c>
      <c r="E527" s="17">
        <f>IFERROR(__xludf.DUMMYFUNCTION("""COMPUTED_VALUE"""),42283.0)</f>
        <v>42283</v>
      </c>
      <c r="F527" s="54">
        <f>IFERROR(__xludf.DUMMYFUNCTION("""COMPUTED_VALUE"""),42310.0)</f>
        <v>42310</v>
      </c>
      <c r="G527" s="19">
        <f>IFERROR(__xludf.DUMMYFUNCTION("""COMPUTED_VALUE"""),0.8666666666666666)</f>
        <v>0.8666666667</v>
      </c>
      <c r="H527" s="17">
        <f>IFERROR(__xludf.DUMMYFUNCTION("""COMPUTED_VALUE"""),41520.0)</f>
        <v>41520</v>
      </c>
      <c r="I527" s="19">
        <f>IFERROR(__xludf.DUMMYFUNCTION("""COMPUTED_VALUE"""),2.091666666666667)</f>
        <v>2.091666667</v>
      </c>
      <c r="J527" s="21">
        <f>IFERROR(__xludf.DUMMYFUNCTION("""COMPUTED_VALUE"""),71.0)</f>
        <v>71</v>
      </c>
      <c r="K527" s="23">
        <f>IFERROR(__xludf.DUMMYFUNCTION("""COMPUTED_VALUE"""),7.2)</f>
        <v>7.2</v>
      </c>
      <c r="L527" s="24">
        <f>IFERROR(__xludf.DUMMYFUNCTION("""COMPUTED_VALUE"""),5.0)</f>
        <v>5</v>
      </c>
      <c r="M527" s="25" t="str">
        <f>IFERROR(__xludf.DUMMYFUNCTION("""COMPUTED_VALUE"""),"Rhythm")</f>
        <v>Rhythm</v>
      </c>
      <c r="N527" s="25"/>
      <c r="O527" s="26" t="str">
        <f>IFERROR(__xludf.DUMMYFUNCTION("""COMPUTED_VALUE"""),"No")</f>
        <v>No</v>
      </c>
      <c r="P527" s="26"/>
    </row>
    <row r="528">
      <c r="A528" s="13" t="str">
        <f>IFERROR(__xludf.DUMMYFUNCTION("""COMPUTED_VALUE"""),"Kung Fu Rabbit")</f>
        <v>Kung Fu Rabbit</v>
      </c>
      <c r="B528" s="15" t="str">
        <f>IFERROR(__xludf.DUMMYFUNCTION("""COMPUTED_VALUE"""),"PS3/Vita")</f>
        <v>PS3/Vita</v>
      </c>
      <c r="C528" s="16" t="str">
        <f>IFERROR(__xludf.DUMMYFUNCTION("""COMPUTED_VALUE"""),"Playstation Plus (Discontinued)")</f>
        <v>Playstation Plus (Discontinued)</v>
      </c>
      <c r="D528" s="15" t="str">
        <f>IFERROR(__xludf.DUMMYFUNCTION("""COMPUTED_VALUE"""),"Removed")</f>
        <v>Removed</v>
      </c>
      <c r="E528" s="17">
        <f>IFERROR(__xludf.DUMMYFUNCTION("""COMPUTED_VALUE"""),42283.0)</f>
        <v>42283</v>
      </c>
      <c r="F528" s="54">
        <f>IFERROR(__xludf.DUMMYFUNCTION("""COMPUTED_VALUE"""),42310.0)</f>
        <v>42310</v>
      </c>
      <c r="G528" s="19">
        <f>IFERROR(__xludf.DUMMYFUNCTION("""COMPUTED_VALUE"""),0.8666666666666666)</f>
        <v>0.8666666667</v>
      </c>
      <c r="H528" s="17">
        <f>IFERROR(__xludf.DUMMYFUNCTION("""COMPUTED_VALUE"""),41394.0)</f>
        <v>41394</v>
      </c>
      <c r="I528" s="19">
        <f>IFERROR(__xludf.DUMMYFUNCTION("""COMPUTED_VALUE"""),2.433333333333333)</f>
        <v>2.433333333</v>
      </c>
      <c r="J528" s="21">
        <f>IFERROR(__xludf.DUMMYFUNCTION("""COMPUTED_VALUE"""),61.0)</f>
        <v>61</v>
      </c>
      <c r="K528" s="23">
        <f>IFERROR(__xludf.DUMMYFUNCTION("""COMPUTED_VALUE"""),6.3)</f>
        <v>6.3</v>
      </c>
      <c r="L528" s="24">
        <f>IFERROR(__xludf.DUMMYFUNCTION("""COMPUTED_VALUE"""),4.0)</f>
        <v>4</v>
      </c>
      <c r="M528" s="25" t="str">
        <f>IFERROR(__xludf.DUMMYFUNCTION("""COMPUTED_VALUE"""),"Platformer")</f>
        <v>Platformer</v>
      </c>
      <c r="N528" s="25"/>
      <c r="O528" s="26" t="str">
        <f>IFERROR(__xludf.DUMMYFUNCTION("""COMPUTED_VALUE"""),"No")</f>
        <v>No</v>
      </c>
      <c r="P528" s="26"/>
    </row>
    <row r="529">
      <c r="A529" s="13" t="str">
        <f>IFERROR(__xludf.DUMMYFUNCTION("""COMPUTED_VALUE"""),"Chariot")</f>
        <v>Chariot</v>
      </c>
      <c r="B529" s="15" t="str">
        <f>IFERROR(__xludf.DUMMYFUNCTION("""COMPUTED_VALUE"""),"PS3")</f>
        <v>PS3</v>
      </c>
      <c r="C529" s="16" t="str">
        <f>IFERROR(__xludf.DUMMYFUNCTION("""COMPUTED_VALUE"""),"Playstation Plus (Discontinued)")</f>
        <v>Playstation Plus (Discontinued)</v>
      </c>
      <c r="D529" s="15" t="str">
        <f>IFERROR(__xludf.DUMMYFUNCTION("""COMPUTED_VALUE"""),"Removed")</f>
        <v>Removed</v>
      </c>
      <c r="E529" s="17">
        <f>IFERROR(__xludf.DUMMYFUNCTION("""COMPUTED_VALUE"""),42283.0)</f>
        <v>42283</v>
      </c>
      <c r="F529" s="54">
        <f>IFERROR(__xludf.DUMMYFUNCTION("""COMPUTED_VALUE"""),42310.0)</f>
        <v>42310</v>
      </c>
      <c r="G529" s="19">
        <f>IFERROR(__xludf.DUMMYFUNCTION("""COMPUTED_VALUE"""),0.8666666666666666)</f>
        <v>0.8666666667</v>
      </c>
      <c r="H529" s="17">
        <f>IFERROR(__xludf.DUMMYFUNCTION("""COMPUTED_VALUE"""),41913.0)</f>
        <v>41913</v>
      </c>
      <c r="I529" s="19">
        <f>IFERROR(__xludf.DUMMYFUNCTION("""COMPUTED_VALUE"""),1.0138888888888888)</f>
        <v>1.013888889</v>
      </c>
      <c r="J529" s="21">
        <f>IFERROR(__xludf.DUMMYFUNCTION("""COMPUTED_VALUE"""),70.0)</f>
        <v>70</v>
      </c>
      <c r="K529" s="23">
        <f>IFERROR(__xludf.DUMMYFUNCTION("""COMPUTED_VALUE"""),6.9)</f>
        <v>6.9</v>
      </c>
      <c r="L529" s="24">
        <f>IFERROR(__xludf.DUMMYFUNCTION("""COMPUTED_VALUE"""),5.0)</f>
        <v>5</v>
      </c>
      <c r="M529" s="25" t="str">
        <f>IFERROR(__xludf.DUMMYFUNCTION("""COMPUTED_VALUE"""),"Platformer")</f>
        <v>Platformer</v>
      </c>
      <c r="N529" s="25"/>
      <c r="O529" s="26" t="str">
        <f>IFERROR(__xludf.DUMMYFUNCTION("""COMPUTED_VALUE"""),"No")</f>
        <v>No</v>
      </c>
      <c r="P529" s="26"/>
    </row>
    <row r="530">
      <c r="A530" s="13" t="str">
        <f>IFERROR(__xludf.DUMMYFUNCTION("""COMPUTED_VALUE"""),"Super Time Force Ultra")</f>
        <v>Super Time Force Ultra</v>
      </c>
      <c r="B530" s="15" t="str">
        <f>IFERROR(__xludf.DUMMYFUNCTION("""COMPUTED_VALUE"""),"PS4/Vita")</f>
        <v>PS4/Vita</v>
      </c>
      <c r="C530" s="16" t="str">
        <f>IFERROR(__xludf.DUMMYFUNCTION("""COMPUTED_VALUE"""),"Playstation Plus (Discontinued)")</f>
        <v>Playstation Plus (Discontinued)</v>
      </c>
      <c r="D530" s="15" t="str">
        <f>IFERROR(__xludf.DUMMYFUNCTION("""COMPUTED_VALUE"""),"Removed")</f>
        <v>Removed</v>
      </c>
      <c r="E530" s="17">
        <f>IFERROR(__xludf.DUMMYFUNCTION("""COMPUTED_VALUE"""),42248.0)</f>
        <v>42248</v>
      </c>
      <c r="F530" s="54">
        <f>IFERROR(__xludf.DUMMYFUNCTION("""COMPUTED_VALUE"""),42282.0)</f>
        <v>42282</v>
      </c>
      <c r="G530" s="19">
        <f>IFERROR(__xludf.DUMMYFUNCTION("""COMPUTED_VALUE"""),1.1333333333333333)</f>
        <v>1.133333333</v>
      </c>
      <c r="H530" s="17">
        <f>IFERROR(__xludf.DUMMYFUNCTION("""COMPUTED_VALUE"""),42241.0)</f>
        <v>42241</v>
      </c>
      <c r="I530" s="19">
        <f>IFERROR(__xludf.DUMMYFUNCTION("""COMPUTED_VALUE"""),0.016666666666666666)</f>
        <v>0.01666666667</v>
      </c>
      <c r="J530" s="21">
        <f>IFERROR(__xludf.DUMMYFUNCTION("""COMPUTED_VALUE"""),80.0)</f>
        <v>80</v>
      </c>
      <c r="K530" s="23">
        <f>IFERROR(__xludf.DUMMYFUNCTION("""COMPUTED_VALUE"""),7.8)</f>
        <v>7.8</v>
      </c>
      <c r="L530" s="24">
        <f>IFERROR(__xludf.DUMMYFUNCTION("""COMPUTED_VALUE"""),6.0)</f>
        <v>6</v>
      </c>
      <c r="M530" s="25" t="str">
        <f>IFERROR(__xludf.DUMMYFUNCTION("""COMPUTED_VALUE"""),"Platformer")</f>
        <v>Platformer</v>
      </c>
      <c r="N530" s="25"/>
      <c r="O530" s="26" t="str">
        <f>IFERROR(__xludf.DUMMYFUNCTION("""COMPUTED_VALUE"""),"No")</f>
        <v>No</v>
      </c>
      <c r="P530" s="26"/>
    </row>
    <row r="531">
      <c r="A531" s="13" t="str">
        <f>IFERROR(__xludf.DUMMYFUNCTION("""COMPUTED_VALUE"""),"Xeodrifter")</f>
        <v>Xeodrifter</v>
      </c>
      <c r="B531" s="15" t="str">
        <f>IFERROR(__xludf.DUMMYFUNCTION("""COMPUTED_VALUE"""),"PS4/Vita")</f>
        <v>PS4/Vita</v>
      </c>
      <c r="C531" s="16" t="str">
        <f>IFERROR(__xludf.DUMMYFUNCTION("""COMPUTED_VALUE"""),"Playstation Plus (Discontinued)")</f>
        <v>Playstation Plus (Discontinued)</v>
      </c>
      <c r="D531" s="15" t="str">
        <f>IFERROR(__xludf.DUMMYFUNCTION("""COMPUTED_VALUE"""),"Removed")</f>
        <v>Removed</v>
      </c>
      <c r="E531" s="17">
        <f>IFERROR(__xludf.DUMMYFUNCTION("""COMPUTED_VALUE"""),42248.0)</f>
        <v>42248</v>
      </c>
      <c r="F531" s="54">
        <f>IFERROR(__xludf.DUMMYFUNCTION("""COMPUTED_VALUE"""),42282.0)</f>
        <v>42282</v>
      </c>
      <c r="G531" s="19">
        <f>IFERROR(__xludf.DUMMYFUNCTION("""COMPUTED_VALUE"""),1.1333333333333333)</f>
        <v>1.133333333</v>
      </c>
      <c r="H531" s="17">
        <f>IFERROR(__xludf.DUMMYFUNCTION("""COMPUTED_VALUE"""),41984.0)</f>
        <v>41984</v>
      </c>
      <c r="I531" s="19">
        <f>IFERROR(__xludf.DUMMYFUNCTION("""COMPUTED_VALUE"""),0.7222222222222222)</f>
        <v>0.7222222222</v>
      </c>
      <c r="J531" s="21">
        <f>IFERROR(__xludf.DUMMYFUNCTION("""COMPUTED_VALUE"""),76.0)</f>
        <v>76</v>
      </c>
      <c r="K531" s="23">
        <f>IFERROR(__xludf.DUMMYFUNCTION("""COMPUTED_VALUE"""),7.3)</f>
        <v>7.3</v>
      </c>
      <c r="L531" s="24">
        <f>IFERROR(__xludf.DUMMYFUNCTION("""COMPUTED_VALUE"""),3.0)</f>
        <v>3</v>
      </c>
      <c r="M531" s="25" t="str">
        <f>IFERROR(__xludf.DUMMYFUNCTION("""COMPUTED_VALUE"""),"Platformer")</f>
        <v>Platformer</v>
      </c>
      <c r="N531" s="25"/>
      <c r="O531" s="26" t="str">
        <f>IFERROR(__xludf.DUMMYFUNCTION("""COMPUTED_VALUE"""),"No")</f>
        <v>No</v>
      </c>
      <c r="P531" s="26"/>
    </row>
    <row r="532">
      <c r="A532" s="13" t="str">
        <f>IFERROR(__xludf.DUMMYFUNCTION("""COMPUTED_VALUE"""),"Teslagrad")</f>
        <v>Teslagrad</v>
      </c>
      <c r="B532" s="15" t="str">
        <f>IFERROR(__xludf.DUMMYFUNCTION("""COMPUTED_VALUE"""),"PS4/PS3")</f>
        <v>PS4/PS3</v>
      </c>
      <c r="C532" s="16" t="str">
        <f>IFERROR(__xludf.DUMMYFUNCTION("""COMPUTED_VALUE"""),"Playstation Plus (Discontinued)")</f>
        <v>Playstation Plus (Discontinued)</v>
      </c>
      <c r="D532" s="15" t="str">
        <f>IFERROR(__xludf.DUMMYFUNCTION("""COMPUTED_VALUE"""),"Removed")</f>
        <v>Removed</v>
      </c>
      <c r="E532" s="17">
        <f>IFERROR(__xludf.DUMMYFUNCTION("""COMPUTED_VALUE"""),42248.0)</f>
        <v>42248</v>
      </c>
      <c r="F532" s="54">
        <f>IFERROR(__xludf.DUMMYFUNCTION("""COMPUTED_VALUE"""),42282.0)</f>
        <v>42282</v>
      </c>
      <c r="G532" s="19">
        <f>IFERROR(__xludf.DUMMYFUNCTION("""COMPUTED_VALUE"""),1.1333333333333333)</f>
        <v>1.133333333</v>
      </c>
      <c r="H532" s="17">
        <f>IFERROR(__xludf.DUMMYFUNCTION("""COMPUTED_VALUE"""),41621.0)</f>
        <v>41621</v>
      </c>
      <c r="I532" s="19">
        <f>IFERROR(__xludf.DUMMYFUNCTION("""COMPUTED_VALUE"""),1.7166666666666666)</f>
        <v>1.716666667</v>
      </c>
      <c r="J532" s="21">
        <f>IFERROR(__xludf.DUMMYFUNCTION("""COMPUTED_VALUE"""),78.0)</f>
        <v>78</v>
      </c>
      <c r="K532" s="23">
        <f>IFERROR(__xludf.DUMMYFUNCTION("""COMPUTED_VALUE"""),7.3)</f>
        <v>7.3</v>
      </c>
      <c r="L532" s="24">
        <f>IFERROR(__xludf.DUMMYFUNCTION("""COMPUTED_VALUE"""),5.0)</f>
        <v>5</v>
      </c>
      <c r="M532" s="25" t="str">
        <f>IFERROR(__xludf.DUMMYFUNCTION("""COMPUTED_VALUE"""),"Platformer")</f>
        <v>Platformer</v>
      </c>
      <c r="N532" s="25"/>
      <c r="O532" s="26" t="str">
        <f>IFERROR(__xludf.DUMMYFUNCTION("""COMPUTED_VALUE"""),"No")</f>
        <v>No</v>
      </c>
      <c r="P532" s="26"/>
    </row>
    <row r="533">
      <c r="A533" s="13" t="str">
        <f>IFERROR(__xludf.DUMMYFUNCTION("""COMPUTED_VALUE"""),"Grow Home")</f>
        <v>Grow Home</v>
      </c>
      <c r="B533" s="15" t="str">
        <f>IFERROR(__xludf.DUMMYFUNCTION("""COMPUTED_VALUE"""),"PS4")</f>
        <v>PS4</v>
      </c>
      <c r="C533" s="16" t="str">
        <f>IFERROR(__xludf.DUMMYFUNCTION("""COMPUTED_VALUE"""),"Playstation Plus (Discontinued)")</f>
        <v>Playstation Plus (Discontinued)</v>
      </c>
      <c r="D533" s="15" t="str">
        <f>IFERROR(__xludf.DUMMYFUNCTION("""COMPUTED_VALUE"""),"Removed")</f>
        <v>Removed</v>
      </c>
      <c r="E533" s="17">
        <f>IFERROR(__xludf.DUMMYFUNCTION("""COMPUTED_VALUE"""),42248.0)</f>
        <v>42248</v>
      </c>
      <c r="F533" s="54">
        <f>IFERROR(__xludf.DUMMYFUNCTION("""COMPUTED_VALUE"""),42282.0)</f>
        <v>42282</v>
      </c>
      <c r="G533" s="19">
        <f>IFERROR(__xludf.DUMMYFUNCTION("""COMPUTED_VALUE"""),1.1333333333333333)</f>
        <v>1.133333333</v>
      </c>
      <c r="H533" s="17">
        <f>IFERROR(__xludf.DUMMYFUNCTION("""COMPUTED_VALUE"""),42039.0)</f>
        <v>42039</v>
      </c>
      <c r="I533" s="19">
        <f>IFERROR(__xludf.DUMMYFUNCTION("""COMPUTED_VALUE"""),0.575)</f>
        <v>0.575</v>
      </c>
      <c r="J533" s="21">
        <f>IFERROR(__xludf.DUMMYFUNCTION("""COMPUTED_VALUE"""),75.0)</f>
        <v>75</v>
      </c>
      <c r="K533" s="23">
        <f>IFERROR(__xludf.DUMMYFUNCTION("""COMPUTED_VALUE"""),7.4)</f>
        <v>7.4</v>
      </c>
      <c r="L533" s="24">
        <f>IFERROR(__xludf.DUMMYFUNCTION("""COMPUTED_VALUE"""),3.0)</f>
        <v>3</v>
      </c>
      <c r="M533" s="25" t="str">
        <f>IFERROR(__xludf.DUMMYFUNCTION("""COMPUTED_VALUE"""),"Platformer")</f>
        <v>Platformer</v>
      </c>
      <c r="N533" s="25"/>
      <c r="O533" s="26" t="str">
        <f>IFERROR(__xludf.DUMMYFUNCTION("""COMPUTED_VALUE"""),"No")</f>
        <v>No</v>
      </c>
      <c r="P533" s="26"/>
    </row>
    <row r="534">
      <c r="A534" s="13" t="str">
        <f>IFERROR(__xludf.DUMMYFUNCTION("""COMPUTED_VALUE"""),"La-Mulana EX")</f>
        <v>La-Mulana EX</v>
      </c>
      <c r="B534" s="15" t="str">
        <f>IFERROR(__xludf.DUMMYFUNCTION("""COMPUTED_VALUE"""),"Vita")</f>
        <v>Vita</v>
      </c>
      <c r="C534" s="16" t="str">
        <f>IFERROR(__xludf.DUMMYFUNCTION("""COMPUTED_VALUE"""),"Playstation Plus (Discontinued)")</f>
        <v>Playstation Plus (Discontinued)</v>
      </c>
      <c r="D534" s="15" t="str">
        <f>IFERROR(__xludf.DUMMYFUNCTION("""COMPUTED_VALUE"""),"Removed")</f>
        <v>Removed</v>
      </c>
      <c r="E534" s="17">
        <f>IFERROR(__xludf.DUMMYFUNCTION("""COMPUTED_VALUE"""),42248.0)</f>
        <v>42248</v>
      </c>
      <c r="F534" s="54">
        <f>IFERROR(__xludf.DUMMYFUNCTION("""COMPUTED_VALUE"""),42282.0)</f>
        <v>42282</v>
      </c>
      <c r="G534" s="19">
        <f>IFERROR(__xludf.DUMMYFUNCTION("""COMPUTED_VALUE"""),1.1333333333333333)</f>
        <v>1.133333333</v>
      </c>
      <c r="H534" s="17">
        <f>IFERROR(__xludf.DUMMYFUNCTION("""COMPUTED_VALUE"""),42158.0)</f>
        <v>42158</v>
      </c>
      <c r="I534" s="19">
        <f>IFERROR(__xludf.DUMMYFUNCTION("""COMPUTED_VALUE"""),0.24444444444444444)</f>
        <v>0.2444444444</v>
      </c>
      <c r="J534" s="21">
        <f>IFERROR(__xludf.DUMMYFUNCTION("""COMPUTED_VALUE"""),72.0)</f>
        <v>72</v>
      </c>
      <c r="K534" s="23">
        <f>IFERROR(__xludf.DUMMYFUNCTION("""COMPUTED_VALUE"""),7.2)</f>
        <v>7.2</v>
      </c>
      <c r="L534" s="24">
        <f>IFERROR(__xludf.DUMMYFUNCTION("""COMPUTED_VALUE"""),15.0)</f>
        <v>15</v>
      </c>
      <c r="M534" s="25" t="str">
        <f>IFERROR(__xludf.DUMMYFUNCTION("""COMPUTED_VALUE"""),"Action-Adventure")</f>
        <v>Action-Adventure</v>
      </c>
      <c r="N534" s="25"/>
      <c r="O534" s="26" t="str">
        <f>IFERROR(__xludf.DUMMYFUNCTION("""COMPUTED_VALUE"""),"No")</f>
        <v>No</v>
      </c>
      <c r="P534" s="26"/>
    </row>
    <row r="535">
      <c r="A535" s="13" t="str">
        <f>IFERROR(__xludf.DUMMYFUNCTION("""COMPUTED_VALUE"""),"Twisted Metal")</f>
        <v>Twisted Metal</v>
      </c>
      <c r="B535" s="15" t="str">
        <f>IFERROR(__xludf.DUMMYFUNCTION("""COMPUTED_VALUE"""),"PS3")</f>
        <v>PS3</v>
      </c>
      <c r="C535" s="16" t="str">
        <f>IFERROR(__xludf.DUMMYFUNCTION("""COMPUTED_VALUE"""),"Playstation Plus (Discontinued)")</f>
        <v>Playstation Plus (Discontinued)</v>
      </c>
      <c r="D535" s="15" t="str">
        <f>IFERROR(__xludf.DUMMYFUNCTION("""COMPUTED_VALUE"""),"Removed")</f>
        <v>Removed</v>
      </c>
      <c r="E535" s="17">
        <f>IFERROR(__xludf.DUMMYFUNCTION("""COMPUTED_VALUE"""),42248.0)</f>
        <v>42248</v>
      </c>
      <c r="F535" s="54">
        <f>IFERROR(__xludf.DUMMYFUNCTION("""COMPUTED_VALUE"""),42282.0)</f>
        <v>42282</v>
      </c>
      <c r="G535" s="19">
        <f>IFERROR(__xludf.DUMMYFUNCTION("""COMPUTED_VALUE"""),1.1333333333333333)</f>
        <v>1.133333333</v>
      </c>
      <c r="H535" s="17">
        <f>IFERROR(__xludf.DUMMYFUNCTION("""COMPUTED_VALUE"""),40820.0)</f>
        <v>40820</v>
      </c>
      <c r="I535" s="19">
        <f>IFERROR(__xludf.DUMMYFUNCTION("""COMPUTED_VALUE"""),3.908333333333333)</f>
        <v>3.908333333</v>
      </c>
      <c r="J535" s="21">
        <f>IFERROR(__xludf.DUMMYFUNCTION("""COMPUTED_VALUE"""),76.0)</f>
        <v>76</v>
      </c>
      <c r="K535" s="23">
        <f>IFERROR(__xludf.DUMMYFUNCTION("""COMPUTED_VALUE"""),7.5)</f>
        <v>7.5</v>
      </c>
      <c r="L535" s="24"/>
      <c r="M535" s="25" t="str">
        <f>IFERROR(__xludf.DUMMYFUNCTION("""COMPUTED_VALUE"""),"Shooter")</f>
        <v>Shooter</v>
      </c>
      <c r="N535" s="25"/>
      <c r="O535" s="26" t="str">
        <f>IFERROR(__xludf.DUMMYFUNCTION("""COMPUTED_VALUE"""),"No")</f>
        <v>No</v>
      </c>
      <c r="P535" s="26"/>
    </row>
    <row r="536">
      <c r="A536" s="13" t="str">
        <f>IFERROR(__xludf.DUMMYFUNCTION("""COMPUTED_VALUE"""),"Lara Croft and the Temple of Osiris")</f>
        <v>Lara Croft and the Temple of Osiris</v>
      </c>
      <c r="B536" s="15" t="str">
        <f>IFERROR(__xludf.DUMMYFUNCTION("""COMPUTED_VALUE"""),"PS4")</f>
        <v>PS4</v>
      </c>
      <c r="C536" s="16" t="str">
        <f>IFERROR(__xludf.DUMMYFUNCTION("""COMPUTED_VALUE"""),"Playstation Plus (Discontinued)")</f>
        <v>Playstation Plus (Discontinued)</v>
      </c>
      <c r="D536" s="15" t="str">
        <f>IFERROR(__xludf.DUMMYFUNCTION("""COMPUTED_VALUE"""),"Removed")</f>
        <v>Removed</v>
      </c>
      <c r="E536" s="17">
        <f>IFERROR(__xludf.DUMMYFUNCTION("""COMPUTED_VALUE"""),42220.0)</f>
        <v>42220</v>
      </c>
      <c r="F536" s="54">
        <f>IFERROR(__xludf.DUMMYFUNCTION("""COMPUTED_VALUE"""),42247.0)</f>
        <v>42247</v>
      </c>
      <c r="G536" s="19">
        <f>IFERROR(__xludf.DUMMYFUNCTION("""COMPUTED_VALUE"""),0.8666666666666666)</f>
        <v>0.8666666667</v>
      </c>
      <c r="H536" s="17">
        <f>IFERROR(__xludf.DUMMYFUNCTION("""COMPUTED_VALUE"""),41982.0)</f>
        <v>41982</v>
      </c>
      <c r="I536" s="19">
        <f>IFERROR(__xludf.DUMMYFUNCTION("""COMPUTED_VALUE"""),0.6527777777777778)</f>
        <v>0.6527777778</v>
      </c>
      <c r="J536" s="21">
        <f>IFERROR(__xludf.DUMMYFUNCTION("""COMPUTED_VALUE"""),74.0)</f>
        <v>74</v>
      </c>
      <c r="K536" s="23">
        <f>IFERROR(__xludf.DUMMYFUNCTION("""COMPUTED_VALUE"""),7.1)</f>
        <v>7.1</v>
      </c>
      <c r="L536" s="24">
        <f>IFERROR(__xludf.DUMMYFUNCTION("""COMPUTED_VALUE"""),7.0)</f>
        <v>7</v>
      </c>
      <c r="M536" s="25" t="str">
        <f>IFERROR(__xludf.DUMMYFUNCTION("""COMPUTED_VALUE"""),"Action-Adventure")</f>
        <v>Action-Adventure</v>
      </c>
      <c r="N536" s="25"/>
      <c r="O536" s="26" t="str">
        <f>IFERROR(__xludf.DUMMYFUNCTION("""COMPUTED_VALUE"""),"No")</f>
        <v>No</v>
      </c>
      <c r="P536" s="26"/>
    </row>
    <row r="537">
      <c r="A537" s="13" t="str">
        <f>IFERROR(__xludf.DUMMYFUNCTION("""COMPUTED_VALUE"""),"Limbo")</f>
        <v>Limbo</v>
      </c>
      <c r="B537" s="15" t="str">
        <f>IFERROR(__xludf.DUMMYFUNCTION("""COMPUTED_VALUE"""),"PS4")</f>
        <v>PS4</v>
      </c>
      <c r="C537" s="16" t="str">
        <f>IFERROR(__xludf.DUMMYFUNCTION("""COMPUTED_VALUE"""),"Playstation Plus (Discontinued)")</f>
        <v>Playstation Plus (Discontinued)</v>
      </c>
      <c r="D537" s="15" t="str">
        <f>IFERROR(__xludf.DUMMYFUNCTION("""COMPUTED_VALUE"""),"Removed")</f>
        <v>Removed</v>
      </c>
      <c r="E537" s="17">
        <f>IFERROR(__xludf.DUMMYFUNCTION("""COMPUTED_VALUE"""),42220.0)</f>
        <v>42220</v>
      </c>
      <c r="F537" s="54">
        <f>IFERROR(__xludf.DUMMYFUNCTION("""COMPUTED_VALUE"""),42247.0)</f>
        <v>42247</v>
      </c>
      <c r="G537" s="19">
        <f>IFERROR(__xludf.DUMMYFUNCTION("""COMPUTED_VALUE"""),0.8666666666666666)</f>
        <v>0.8666666667</v>
      </c>
      <c r="H537" s="17">
        <f>IFERROR(__xludf.DUMMYFUNCTION("""COMPUTED_VALUE"""),40378.0)</f>
        <v>40378</v>
      </c>
      <c r="I537" s="19">
        <f>IFERROR(__xludf.DUMMYFUNCTION("""COMPUTED_VALUE"""),5.041666666666667)</f>
        <v>5.041666667</v>
      </c>
      <c r="J537" s="21">
        <f>IFERROR(__xludf.DUMMYFUNCTION("""COMPUTED_VALUE"""),90.0)</f>
        <v>90</v>
      </c>
      <c r="K537" s="23">
        <f>IFERROR(__xludf.DUMMYFUNCTION("""COMPUTED_VALUE"""),8.2)</f>
        <v>8.2</v>
      </c>
      <c r="L537" s="24">
        <f>IFERROR(__xludf.DUMMYFUNCTION("""COMPUTED_VALUE"""),4.0)</f>
        <v>4</v>
      </c>
      <c r="M537" s="25" t="str">
        <f>IFERROR(__xludf.DUMMYFUNCTION("""COMPUTED_VALUE"""),"Platformer")</f>
        <v>Platformer</v>
      </c>
      <c r="N537" s="25"/>
      <c r="O537" s="26" t="str">
        <f>IFERROR(__xludf.DUMMYFUNCTION("""COMPUTED_VALUE"""),"No")</f>
        <v>No</v>
      </c>
      <c r="P537" s="26"/>
    </row>
    <row r="538">
      <c r="A538" s="13" t="str">
        <f>IFERROR(__xludf.DUMMYFUNCTION("""COMPUTED_VALUE"""),"Sound Shapes")</f>
        <v>Sound Shapes</v>
      </c>
      <c r="B538" s="15" t="str">
        <f>IFERROR(__xludf.DUMMYFUNCTION("""COMPUTED_VALUE"""),"PS4/PS3/Vita")</f>
        <v>PS4/PS3/Vita</v>
      </c>
      <c r="C538" s="16" t="str">
        <f>IFERROR(__xludf.DUMMYFUNCTION("""COMPUTED_VALUE"""),"Playstation Plus (Discontinued)")</f>
        <v>Playstation Plus (Discontinued)</v>
      </c>
      <c r="D538" s="15" t="str">
        <f>IFERROR(__xludf.DUMMYFUNCTION("""COMPUTED_VALUE"""),"Removed")</f>
        <v>Removed</v>
      </c>
      <c r="E538" s="17">
        <f>IFERROR(__xludf.DUMMYFUNCTION("""COMPUTED_VALUE"""),42220.0)</f>
        <v>42220</v>
      </c>
      <c r="F538" s="54">
        <f>IFERROR(__xludf.DUMMYFUNCTION("""COMPUTED_VALUE"""),42247.0)</f>
        <v>42247</v>
      </c>
      <c r="G538" s="19">
        <f>IFERROR(__xludf.DUMMYFUNCTION("""COMPUTED_VALUE"""),0.8666666666666666)</f>
        <v>0.8666666667</v>
      </c>
      <c r="H538" s="17">
        <f>IFERROR(__xludf.DUMMYFUNCTION("""COMPUTED_VALUE"""),41128.0)</f>
        <v>41128</v>
      </c>
      <c r="I538" s="19">
        <f>IFERROR(__xludf.DUMMYFUNCTION("""COMPUTED_VALUE"""),2.9916666666666667)</f>
        <v>2.991666667</v>
      </c>
      <c r="J538" s="21">
        <f>IFERROR(__xludf.DUMMYFUNCTION("""COMPUTED_VALUE"""),86.0)</f>
        <v>86</v>
      </c>
      <c r="K538" s="23">
        <f>IFERROR(__xludf.DUMMYFUNCTION("""COMPUTED_VALUE"""),7.9)</f>
        <v>7.9</v>
      </c>
      <c r="L538" s="24">
        <f>IFERROR(__xludf.DUMMYFUNCTION("""COMPUTED_VALUE"""),6.0)</f>
        <v>6</v>
      </c>
      <c r="M538" s="25" t="str">
        <f>IFERROR(__xludf.DUMMYFUNCTION("""COMPUTED_VALUE"""),"Platformer")</f>
        <v>Platformer</v>
      </c>
      <c r="N538" s="25"/>
      <c r="O538" s="26" t="str">
        <f>IFERROR(__xludf.DUMMYFUNCTION("""COMPUTED_VALUE"""),"No")</f>
        <v>No</v>
      </c>
      <c r="P538" s="26"/>
    </row>
    <row r="539">
      <c r="A539" s="13" t="str">
        <f>IFERROR(__xludf.DUMMYFUNCTION("""COMPUTED_VALUE"""),"Stealth Inc 2: A Game of Clones")</f>
        <v>Stealth Inc 2: A Game of Clones</v>
      </c>
      <c r="B539" s="15" t="str">
        <f>IFERROR(__xludf.DUMMYFUNCTION("""COMPUTED_VALUE"""),"PS4/PS3/Vita")</f>
        <v>PS4/PS3/Vita</v>
      </c>
      <c r="C539" s="16" t="str">
        <f>IFERROR(__xludf.DUMMYFUNCTION("""COMPUTED_VALUE"""),"Playstation Plus (Discontinued)")</f>
        <v>Playstation Plus (Discontinued)</v>
      </c>
      <c r="D539" s="15" t="str">
        <f>IFERROR(__xludf.DUMMYFUNCTION("""COMPUTED_VALUE"""),"Removed")</f>
        <v>Removed</v>
      </c>
      <c r="E539" s="17">
        <f>IFERROR(__xludf.DUMMYFUNCTION("""COMPUTED_VALUE"""),42220.0)</f>
        <v>42220</v>
      </c>
      <c r="F539" s="54">
        <f>IFERROR(__xludf.DUMMYFUNCTION("""COMPUTED_VALUE"""),42247.0)</f>
        <v>42247</v>
      </c>
      <c r="G539" s="19">
        <f>IFERROR(__xludf.DUMMYFUNCTION("""COMPUTED_VALUE"""),0.8666666666666666)</f>
        <v>0.8666666667</v>
      </c>
      <c r="H539" s="17">
        <f>IFERROR(__xludf.DUMMYFUNCTION("""COMPUTED_VALUE"""),41919.0)</f>
        <v>41919</v>
      </c>
      <c r="I539" s="19">
        <f>IFERROR(__xludf.DUMMYFUNCTION("""COMPUTED_VALUE"""),0.825)</f>
        <v>0.825</v>
      </c>
      <c r="J539" s="21">
        <f>IFERROR(__xludf.DUMMYFUNCTION("""COMPUTED_VALUE"""),80.0)</f>
        <v>80</v>
      </c>
      <c r="K539" s="23">
        <f>IFERROR(__xludf.DUMMYFUNCTION("""COMPUTED_VALUE"""),7.4)</f>
        <v>7.4</v>
      </c>
      <c r="L539" s="24">
        <f>IFERROR(__xludf.DUMMYFUNCTION("""COMPUTED_VALUE"""),6.0)</f>
        <v>6</v>
      </c>
      <c r="M539" s="25" t="str">
        <f>IFERROR(__xludf.DUMMYFUNCTION("""COMPUTED_VALUE"""),"Platformer")</f>
        <v>Platformer</v>
      </c>
      <c r="N539" s="25"/>
      <c r="O539" s="26" t="str">
        <f>IFERROR(__xludf.DUMMYFUNCTION("""COMPUTED_VALUE"""),"No")</f>
        <v>No</v>
      </c>
      <c r="P539" s="26"/>
    </row>
    <row r="540">
      <c r="A540" s="13" t="str">
        <f>IFERROR(__xludf.DUMMYFUNCTION("""COMPUTED_VALUE"""),"God of War: Ascension")</f>
        <v>God of War: Ascension</v>
      </c>
      <c r="B540" s="15" t="str">
        <f>IFERROR(__xludf.DUMMYFUNCTION("""COMPUTED_VALUE"""),"PS3")</f>
        <v>PS3</v>
      </c>
      <c r="C540" s="16" t="str">
        <f>IFERROR(__xludf.DUMMYFUNCTION("""COMPUTED_VALUE"""),"Playstation Plus (Discontinued)")</f>
        <v>Playstation Plus (Discontinued)</v>
      </c>
      <c r="D540" s="15" t="str">
        <f>IFERROR(__xludf.DUMMYFUNCTION("""COMPUTED_VALUE"""),"Removed")</f>
        <v>Removed</v>
      </c>
      <c r="E540" s="17">
        <f>IFERROR(__xludf.DUMMYFUNCTION("""COMPUTED_VALUE"""),42220.0)</f>
        <v>42220</v>
      </c>
      <c r="F540" s="54">
        <f>IFERROR(__xludf.DUMMYFUNCTION("""COMPUTED_VALUE"""),42247.0)</f>
        <v>42247</v>
      </c>
      <c r="G540" s="19">
        <f>IFERROR(__xludf.DUMMYFUNCTION("""COMPUTED_VALUE"""),0.8666666666666666)</f>
        <v>0.8666666667</v>
      </c>
      <c r="H540" s="17">
        <f>IFERROR(__xludf.DUMMYFUNCTION("""COMPUTED_VALUE"""),41345.0)</f>
        <v>41345</v>
      </c>
      <c r="I540" s="19">
        <f>IFERROR(__xludf.DUMMYFUNCTION("""COMPUTED_VALUE"""),2.3944444444444444)</f>
        <v>2.394444444</v>
      </c>
      <c r="J540" s="21">
        <f>IFERROR(__xludf.DUMMYFUNCTION("""COMPUTED_VALUE"""),80.0)</f>
        <v>80</v>
      </c>
      <c r="K540" s="23">
        <f>IFERROR(__xludf.DUMMYFUNCTION("""COMPUTED_VALUE"""),7.8)</f>
        <v>7.8</v>
      </c>
      <c r="L540" s="24">
        <f>IFERROR(__xludf.DUMMYFUNCTION("""COMPUTED_VALUE"""),8.0)</f>
        <v>8</v>
      </c>
      <c r="M540" s="25" t="str">
        <f>IFERROR(__xludf.DUMMYFUNCTION("""COMPUTED_VALUE"""),"Action-Adventure")</f>
        <v>Action-Adventure</v>
      </c>
      <c r="N540" s="25"/>
      <c r="O540" s="26" t="str">
        <f>IFERROR(__xludf.DUMMYFUNCTION("""COMPUTED_VALUE"""),"No")</f>
        <v>No</v>
      </c>
      <c r="P540" s="26"/>
    </row>
    <row r="541">
      <c r="A541" s="13" t="str">
        <f>IFERROR(__xludf.DUMMYFUNCTION("""COMPUTED_VALUE"""),"CastleStorm")</f>
        <v>CastleStorm</v>
      </c>
      <c r="B541" s="15" t="str">
        <f>IFERROR(__xludf.DUMMYFUNCTION("""COMPUTED_VALUE"""),"PS3/Vita")</f>
        <v>PS3/Vita</v>
      </c>
      <c r="C541" s="16" t="str">
        <f>IFERROR(__xludf.DUMMYFUNCTION("""COMPUTED_VALUE"""),"Playstation Plus (Discontinued)")</f>
        <v>Playstation Plus (Discontinued)</v>
      </c>
      <c r="D541" s="15" t="str">
        <f>IFERROR(__xludf.DUMMYFUNCTION("""COMPUTED_VALUE"""),"Removed")</f>
        <v>Removed</v>
      </c>
      <c r="E541" s="17">
        <f>IFERROR(__xludf.DUMMYFUNCTION("""COMPUTED_VALUE"""),42220.0)</f>
        <v>42220</v>
      </c>
      <c r="F541" s="54">
        <f>IFERROR(__xludf.DUMMYFUNCTION("""COMPUTED_VALUE"""),42247.0)</f>
        <v>42247</v>
      </c>
      <c r="G541" s="19">
        <f>IFERROR(__xludf.DUMMYFUNCTION("""COMPUTED_VALUE"""),0.8666666666666666)</f>
        <v>0.8666666667</v>
      </c>
      <c r="H541" s="17">
        <f>IFERROR(__xludf.DUMMYFUNCTION("""COMPUTED_VALUE"""),41423.0)</f>
        <v>41423</v>
      </c>
      <c r="I541" s="19">
        <f>IFERROR(__xludf.DUMMYFUNCTION("""COMPUTED_VALUE"""),2.1805555555555554)</f>
        <v>2.180555556</v>
      </c>
      <c r="J541" s="21">
        <f>IFERROR(__xludf.DUMMYFUNCTION("""COMPUTED_VALUE"""),73.0)</f>
        <v>73</v>
      </c>
      <c r="K541" s="23">
        <f>IFERROR(__xludf.DUMMYFUNCTION("""COMPUTED_VALUE"""),7.3)</f>
        <v>7.3</v>
      </c>
      <c r="L541" s="24">
        <f>IFERROR(__xludf.DUMMYFUNCTION("""COMPUTED_VALUE"""),7.0)</f>
        <v>7</v>
      </c>
      <c r="M541" s="25" t="str">
        <f>IFERROR(__xludf.DUMMYFUNCTION("""COMPUTED_VALUE"""),"Strategy")</f>
        <v>Strategy</v>
      </c>
      <c r="N541" s="25"/>
      <c r="O541" s="26" t="str">
        <f>IFERROR(__xludf.DUMMYFUNCTION("""COMPUTED_VALUE"""),"No")</f>
        <v>No</v>
      </c>
      <c r="P541" s="26"/>
    </row>
    <row r="542">
      <c r="A542" s="13" t="str">
        <f>IFERROR(__xludf.DUMMYFUNCTION("""COMPUTED_VALUE"""),"Mousecraft")</f>
        <v>Mousecraft</v>
      </c>
      <c r="B542" s="15" t="str">
        <f>IFERROR(__xludf.DUMMYFUNCTION("""COMPUTED_VALUE"""),"PS4/PS3/Vita")</f>
        <v>PS4/PS3/Vita</v>
      </c>
      <c r="C542" s="16" t="str">
        <f>IFERROR(__xludf.DUMMYFUNCTION("""COMPUTED_VALUE"""),"Playstation Plus (Discontinued)")</f>
        <v>Playstation Plus (Discontinued)</v>
      </c>
      <c r="D542" s="15" t="str">
        <f>IFERROR(__xludf.DUMMYFUNCTION("""COMPUTED_VALUE"""),"Removed")</f>
        <v>Removed</v>
      </c>
      <c r="E542" s="17">
        <f>IFERROR(__xludf.DUMMYFUNCTION("""COMPUTED_VALUE"""),42192.0)</f>
        <v>42192</v>
      </c>
      <c r="F542" s="54">
        <f>IFERROR(__xludf.DUMMYFUNCTION("""COMPUTED_VALUE"""),42219.0)</f>
        <v>42219</v>
      </c>
      <c r="G542" s="19">
        <f>IFERROR(__xludf.DUMMYFUNCTION("""COMPUTED_VALUE"""),0.8666666666666666)</f>
        <v>0.8666666667</v>
      </c>
      <c r="H542" s="17">
        <f>IFERROR(__xludf.DUMMYFUNCTION("""COMPUTED_VALUE"""),41828.0)</f>
        <v>41828</v>
      </c>
      <c r="I542" s="19">
        <f>IFERROR(__xludf.DUMMYFUNCTION("""COMPUTED_VALUE"""),0.9972222222222222)</f>
        <v>0.9972222222</v>
      </c>
      <c r="J542" s="21">
        <f>IFERROR(__xludf.DUMMYFUNCTION("""COMPUTED_VALUE"""),72.0)</f>
        <v>72</v>
      </c>
      <c r="K542" s="23">
        <f>IFERROR(__xludf.DUMMYFUNCTION("""COMPUTED_VALUE"""),6.8)</f>
        <v>6.8</v>
      </c>
      <c r="L542" s="24">
        <f>IFERROR(__xludf.DUMMYFUNCTION("""COMPUTED_VALUE"""),6.0)</f>
        <v>6</v>
      </c>
      <c r="M542" s="25" t="str">
        <f>IFERROR(__xludf.DUMMYFUNCTION("""COMPUTED_VALUE"""),"Puzzle")</f>
        <v>Puzzle</v>
      </c>
      <c r="N542" s="25"/>
      <c r="O542" s="26" t="str">
        <f>IFERROR(__xludf.DUMMYFUNCTION("""COMPUTED_VALUE"""),"No")</f>
        <v>No</v>
      </c>
      <c r="P542" s="26"/>
    </row>
    <row r="543">
      <c r="A543" s="13" t="str">
        <f>IFERROR(__xludf.DUMMYFUNCTION("""COMPUTED_VALUE"""),"Entwined")</f>
        <v>Entwined</v>
      </c>
      <c r="B543" s="15" t="str">
        <f>IFERROR(__xludf.DUMMYFUNCTION("""COMPUTED_VALUE"""),"PS4/PS3/Vita")</f>
        <v>PS4/PS3/Vita</v>
      </c>
      <c r="C543" s="16" t="str">
        <f>IFERROR(__xludf.DUMMYFUNCTION("""COMPUTED_VALUE"""),"Playstation Plus (Discontinued)")</f>
        <v>Playstation Plus (Discontinued)</v>
      </c>
      <c r="D543" s="15" t="str">
        <f>IFERROR(__xludf.DUMMYFUNCTION("""COMPUTED_VALUE"""),"Removed")</f>
        <v>Removed</v>
      </c>
      <c r="E543" s="17">
        <f>IFERROR(__xludf.DUMMYFUNCTION("""COMPUTED_VALUE"""),42192.0)</f>
        <v>42192</v>
      </c>
      <c r="F543" s="54">
        <f>IFERROR(__xludf.DUMMYFUNCTION("""COMPUTED_VALUE"""),42219.0)</f>
        <v>42219</v>
      </c>
      <c r="G543" s="19">
        <f>IFERROR(__xludf.DUMMYFUNCTION("""COMPUTED_VALUE"""),0.8666666666666666)</f>
        <v>0.8666666667</v>
      </c>
      <c r="H543" s="17">
        <f>IFERROR(__xludf.DUMMYFUNCTION("""COMPUTED_VALUE"""),41807.0)</f>
        <v>41807</v>
      </c>
      <c r="I543" s="19">
        <f>IFERROR(__xludf.DUMMYFUNCTION("""COMPUTED_VALUE"""),1.0555555555555556)</f>
        <v>1.055555556</v>
      </c>
      <c r="J543" s="21">
        <f>IFERROR(__xludf.DUMMYFUNCTION("""COMPUTED_VALUE"""),61.0)</f>
        <v>61</v>
      </c>
      <c r="K543" s="23">
        <f>IFERROR(__xludf.DUMMYFUNCTION("""COMPUTED_VALUE"""),6.2)</f>
        <v>6.2</v>
      </c>
      <c r="L543" s="24">
        <f>IFERROR(__xludf.DUMMYFUNCTION("""COMPUTED_VALUE"""),2.0)</f>
        <v>2</v>
      </c>
      <c r="M543" s="25" t="str">
        <f>IFERROR(__xludf.DUMMYFUNCTION("""COMPUTED_VALUE"""),"Adventure")</f>
        <v>Adventure</v>
      </c>
      <c r="N543" s="25"/>
      <c r="O543" s="26" t="str">
        <f>IFERROR(__xludf.DUMMYFUNCTION("""COMPUTED_VALUE"""),"No")</f>
        <v>No</v>
      </c>
      <c r="P543" s="26"/>
    </row>
    <row r="544">
      <c r="A544" s="13" t="str">
        <f>IFERROR(__xludf.DUMMYFUNCTION("""COMPUTED_VALUE"""),"Rocket League")</f>
        <v>Rocket League</v>
      </c>
      <c r="B544" s="15" t="str">
        <f>IFERROR(__xludf.DUMMYFUNCTION("""COMPUTED_VALUE"""),"PS4")</f>
        <v>PS4</v>
      </c>
      <c r="C544" s="16" t="str">
        <f>IFERROR(__xludf.DUMMYFUNCTION("""COMPUTED_VALUE"""),"Playstation Plus (Discontinued)")</f>
        <v>Playstation Plus (Discontinued)</v>
      </c>
      <c r="D544" s="15" t="str">
        <f>IFERROR(__xludf.DUMMYFUNCTION("""COMPUTED_VALUE"""),"Removed")</f>
        <v>Removed</v>
      </c>
      <c r="E544" s="17">
        <f>IFERROR(__xludf.DUMMYFUNCTION("""COMPUTED_VALUE"""),42192.0)</f>
        <v>42192</v>
      </c>
      <c r="F544" s="54">
        <f>IFERROR(__xludf.DUMMYFUNCTION("""COMPUTED_VALUE"""),42219.0)</f>
        <v>42219</v>
      </c>
      <c r="G544" s="19">
        <f>IFERROR(__xludf.DUMMYFUNCTION("""COMPUTED_VALUE"""),0.8666666666666666)</f>
        <v>0.8666666667</v>
      </c>
      <c r="H544" s="17">
        <f>IFERROR(__xludf.DUMMYFUNCTION("""COMPUTED_VALUE"""),42192.0)</f>
        <v>42192</v>
      </c>
      <c r="I544" s="19">
        <f>IFERROR(__xludf.DUMMYFUNCTION("""COMPUTED_VALUE"""),0.0)</f>
        <v>0</v>
      </c>
      <c r="J544" s="21">
        <f>IFERROR(__xludf.DUMMYFUNCTION("""COMPUTED_VALUE"""),86.0)</f>
        <v>86</v>
      </c>
      <c r="K544" s="23">
        <f>IFERROR(__xludf.DUMMYFUNCTION("""COMPUTED_VALUE"""),8.4)</f>
        <v>8.4</v>
      </c>
      <c r="L544" s="24"/>
      <c r="M544" s="25" t="str">
        <f>IFERROR(__xludf.DUMMYFUNCTION("""COMPUTED_VALUE"""),"Racing")</f>
        <v>Racing</v>
      </c>
      <c r="N544" s="25"/>
      <c r="O544" s="26" t="str">
        <f>IFERROR(__xludf.DUMMYFUNCTION("""COMPUTED_VALUE"""),"No")</f>
        <v>No</v>
      </c>
      <c r="P544" s="26"/>
    </row>
    <row r="545">
      <c r="A545" s="13" t="str">
        <f>IFERROR(__xludf.DUMMYFUNCTION("""COMPUTED_VALUE"""),"Styx: Master of Shadows")</f>
        <v>Styx: Master of Shadows</v>
      </c>
      <c r="B545" s="15" t="str">
        <f>IFERROR(__xludf.DUMMYFUNCTION("""COMPUTED_VALUE"""),"PS4")</f>
        <v>PS4</v>
      </c>
      <c r="C545" s="16" t="str">
        <f>IFERROR(__xludf.DUMMYFUNCTION("""COMPUTED_VALUE"""),"Playstation Plus (Discontinued)")</f>
        <v>Playstation Plus (Discontinued)</v>
      </c>
      <c r="D545" s="15" t="str">
        <f>IFERROR(__xludf.DUMMYFUNCTION("""COMPUTED_VALUE"""),"Removed")</f>
        <v>Removed</v>
      </c>
      <c r="E545" s="17">
        <f>IFERROR(__xludf.DUMMYFUNCTION("""COMPUTED_VALUE"""),42192.0)</f>
        <v>42192</v>
      </c>
      <c r="F545" s="54">
        <f>IFERROR(__xludf.DUMMYFUNCTION("""COMPUTED_VALUE"""),42219.0)</f>
        <v>42219</v>
      </c>
      <c r="G545" s="19">
        <f>IFERROR(__xludf.DUMMYFUNCTION("""COMPUTED_VALUE"""),0.8666666666666666)</f>
        <v>0.8666666667</v>
      </c>
      <c r="H545" s="17">
        <f>IFERROR(__xludf.DUMMYFUNCTION("""COMPUTED_VALUE"""),41919.0)</f>
        <v>41919</v>
      </c>
      <c r="I545" s="19">
        <f>IFERROR(__xludf.DUMMYFUNCTION("""COMPUTED_VALUE"""),0.75)</f>
        <v>0.75</v>
      </c>
      <c r="J545" s="21">
        <f>IFERROR(__xludf.DUMMYFUNCTION("""COMPUTED_VALUE"""),71.0)</f>
        <v>71</v>
      </c>
      <c r="K545" s="23">
        <f>IFERROR(__xludf.DUMMYFUNCTION("""COMPUTED_VALUE"""),7.3)</f>
        <v>7.3</v>
      </c>
      <c r="L545" s="24">
        <f>IFERROR(__xludf.DUMMYFUNCTION("""COMPUTED_VALUE"""),14.0)</f>
        <v>14</v>
      </c>
      <c r="M545" s="25" t="str">
        <f>IFERROR(__xludf.DUMMYFUNCTION("""COMPUTED_VALUE"""),"Action-Adventure")</f>
        <v>Action-Adventure</v>
      </c>
      <c r="N545" s="25"/>
      <c r="O545" s="26" t="str">
        <f>IFERROR(__xludf.DUMMYFUNCTION("""COMPUTED_VALUE"""),"No")</f>
        <v>No</v>
      </c>
      <c r="P545" s="26"/>
    </row>
    <row r="546">
      <c r="A546" s="13" t="str">
        <f>IFERROR(__xludf.DUMMYFUNCTION("""COMPUTED_VALUE"""),"Geometry Wars 3: Dimensions")</f>
        <v>Geometry Wars 3: Dimensions</v>
      </c>
      <c r="B546" s="15" t="str">
        <f>IFERROR(__xludf.DUMMYFUNCTION("""COMPUTED_VALUE"""),"Vita")</f>
        <v>Vita</v>
      </c>
      <c r="C546" s="16" t="str">
        <f>IFERROR(__xludf.DUMMYFUNCTION("""COMPUTED_VALUE"""),"Playstation Plus (Discontinued)")</f>
        <v>Playstation Plus (Discontinued)</v>
      </c>
      <c r="D546" s="15" t="str">
        <f>IFERROR(__xludf.DUMMYFUNCTION("""COMPUTED_VALUE"""),"Removed")</f>
        <v>Removed</v>
      </c>
      <c r="E546" s="17">
        <f>IFERROR(__xludf.DUMMYFUNCTION("""COMPUTED_VALUE"""),42192.0)</f>
        <v>42192</v>
      </c>
      <c r="F546" s="54">
        <f>IFERROR(__xludf.DUMMYFUNCTION("""COMPUTED_VALUE"""),42219.0)</f>
        <v>42219</v>
      </c>
      <c r="G546" s="19">
        <f>IFERROR(__xludf.DUMMYFUNCTION("""COMPUTED_VALUE"""),0.8666666666666666)</f>
        <v>0.8666666667</v>
      </c>
      <c r="H546" s="17">
        <f>IFERROR(__xludf.DUMMYFUNCTION("""COMPUTED_VALUE"""),41968.0)</f>
        <v>41968</v>
      </c>
      <c r="I546" s="19">
        <f>IFERROR(__xludf.DUMMYFUNCTION("""COMPUTED_VALUE"""),0.6166666666666667)</f>
        <v>0.6166666667</v>
      </c>
      <c r="J546" s="21">
        <f>IFERROR(__xludf.DUMMYFUNCTION("""COMPUTED_VALUE"""),82.0)</f>
        <v>82</v>
      </c>
      <c r="K546" s="23">
        <f>IFERROR(__xludf.DUMMYFUNCTION("""COMPUTED_VALUE"""),7.7)</f>
        <v>7.7</v>
      </c>
      <c r="L546" s="24"/>
      <c r="M546" s="25" t="str">
        <f>IFERROR(__xludf.DUMMYFUNCTION("""COMPUTED_VALUE"""),"Shooter")</f>
        <v>Shooter</v>
      </c>
      <c r="N546" s="25"/>
      <c r="O546" s="26" t="str">
        <f>IFERROR(__xludf.DUMMYFUNCTION("""COMPUTED_VALUE"""),"No")</f>
        <v>No</v>
      </c>
      <c r="P546" s="26"/>
    </row>
    <row r="547">
      <c r="A547" s="13" t="str">
        <f>IFERROR(__xludf.DUMMYFUNCTION("""COMPUTED_VALUE"""),"Rain")</f>
        <v>Rain</v>
      </c>
      <c r="B547" s="15" t="str">
        <f>IFERROR(__xludf.DUMMYFUNCTION("""COMPUTED_VALUE"""),"PS3")</f>
        <v>PS3</v>
      </c>
      <c r="C547" s="16" t="str">
        <f>IFERROR(__xludf.DUMMYFUNCTION("""COMPUTED_VALUE"""),"Playstation Plus (Discontinued)")</f>
        <v>Playstation Plus (Discontinued)</v>
      </c>
      <c r="D547" s="15" t="str">
        <f>IFERROR(__xludf.DUMMYFUNCTION("""COMPUTED_VALUE"""),"Removed")</f>
        <v>Removed</v>
      </c>
      <c r="E547" s="17">
        <f>IFERROR(__xludf.DUMMYFUNCTION("""COMPUTED_VALUE"""),42192.0)</f>
        <v>42192</v>
      </c>
      <c r="F547" s="54">
        <f>IFERROR(__xludf.DUMMYFUNCTION("""COMPUTED_VALUE"""),42219.0)</f>
        <v>42219</v>
      </c>
      <c r="G547" s="19">
        <f>IFERROR(__xludf.DUMMYFUNCTION("""COMPUTED_VALUE"""),0.8666666666666666)</f>
        <v>0.8666666667</v>
      </c>
      <c r="H547" s="17">
        <f>IFERROR(__xludf.DUMMYFUNCTION("""COMPUTED_VALUE"""),41548.0)</f>
        <v>41548</v>
      </c>
      <c r="I547" s="19">
        <f>IFERROR(__xludf.DUMMYFUNCTION("""COMPUTED_VALUE"""),1.7666666666666666)</f>
        <v>1.766666667</v>
      </c>
      <c r="J547" s="21">
        <f>IFERROR(__xludf.DUMMYFUNCTION("""COMPUTED_VALUE"""),72.0)</f>
        <v>72</v>
      </c>
      <c r="K547" s="23">
        <f>IFERROR(__xludf.DUMMYFUNCTION("""COMPUTED_VALUE"""),6.9)</f>
        <v>6.9</v>
      </c>
      <c r="L547" s="24">
        <f>IFERROR(__xludf.DUMMYFUNCTION("""COMPUTED_VALUE"""),3.0)</f>
        <v>3</v>
      </c>
      <c r="M547" s="25" t="str">
        <f>IFERROR(__xludf.DUMMYFUNCTION("""COMPUTED_VALUE"""),"Adventure")</f>
        <v>Adventure</v>
      </c>
      <c r="N547" s="25"/>
      <c r="O547" s="26" t="str">
        <f>IFERROR(__xludf.DUMMYFUNCTION("""COMPUTED_VALUE"""),"No")</f>
        <v>No</v>
      </c>
      <c r="P547" s="26"/>
    </row>
    <row r="548">
      <c r="A548" s="13" t="str">
        <f>IFERROR(__xludf.DUMMYFUNCTION("""COMPUTED_VALUE"""),"Super Exploding Zoo")</f>
        <v>Super Exploding Zoo</v>
      </c>
      <c r="B548" s="15" t="str">
        <f>IFERROR(__xludf.DUMMYFUNCTION("""COMPUTED_VALUE"""),"PS4/Vita")</f>
        <v>PS4/Vita</v>
      </c>
      <c r="C548" s="16" t="str">
        <f>IFERROR(__xludf.DUMMYFUNCTION("""COMPUTED_VALUE"""),"Playstation Plus (Discontinued)")</f>
        <v>Playstation Plus (Discontinued)</v>
      </c>
      <c r="D548" s="15" t="str">
        <f>IFERROR(__xludf.DUMMYFUNCTION("""COMPUTED_VALUE"""),"Removed")</f>
        <v>Removed</v>
      </c>
      <c r="E548" s="17">
        <f>IFERROR(__xludf.DUMMYFUNCTION("""COMPUTED_VALUE"""),42157.0)</f>
        <v>42157</v>
      </c>
      <c r="F548" s="54">
        <f>IFERROR(__xludf.DUMMYFUNCTION("""COMPUTED_VALUE"""),42191.0)</f>
        <v>42191</v>
      </c>
      <c r="G548" s="19">
        <f>IFERROR(__xludf.DUMMYFUNCTION("""COMPUTED_VALUE"""),1.1333333333333333)</f>
        <v>1.133333333</v>
      </c>
      <c r="H548" s="17">
        <f>IFERROR(__xludf.DUMMYFUNCTION("""COMPUTED_VALUE"""),42157.0)</f>
        <v>42157</v>
      </c>
      <c r="I548" s="19">
        <f>IFERROR(__xludf.DUMMYFUNCTION("""COMPUTED_VALUE"""),0.0)</f>
        <v>0</v>
      </c>
      <c r="J548" s="21">
        <f>IFERROR(__xludf.DUMMYFUNCTION("""COMPUTED_VALUE"""),64.0)</f>
        <v>64</v>
      </c>
      <c r="K548" s="23">
        <f>IFERROR(__xludf.DUMMYFUNCTION("""COMPUTED_VALUE"""),6.9)</f>
        <v>6.9</v>
      </c>
      <c r="L548" s="24">
        <f>IFERROR(__xludf.DUMMYFUNCTION("""COMPUTED_VALUE"""),5.0)</f>
        <v>5</v>
      </c>
      <c r="M548" s="25" t="str">
        <f>IFERROR(__xludf.DUMMYFUNCTION("""COMPUTED_VALUE"""),"Strategy")</f>
        <v>Strategy</v>
      </c>
      <c r="N548" s="25"/>
      <c r="O548" s="26" t="str">
        <f>IFERROR(__xludf.DUMMYFUNCTION("""COMPUTED_VALUE"""),"No")</f>
        <v>No</v>
      </c>
      <c r="P548" s="26"/>
    </row>
    <row r="549">
      <c r="A549" s="13" t="str">
        <f>IFERROR(__xludf.DUMMYFUNCTION("""COMPUTED_VALUE"""),"Futuridum")</f>
        <v>Futuridum</v>
      </c>
      <c r="B549" s="15" t="str">
        <f>IFERROR(__xludf.DUMMYFUNCTION("""COMPUTED_VALUE"""),"PS4/Vita")</f>
        <v>PS4/Vita</v>
      </c>
      <c r="C549" s="16" t="str">
        <f>IFERROR(__xludf.DUMMYFUNCTION("""COMPUTED_VALUE"""),"Playstation Plus (Discontinued)")</f>
        <v>Playstation Plus (Discontinued)</v>
      </c>
      <c r="D549" s="15" t="str">
        <f>IFERROR(__xludf.DUMMYFUNCTION("""COMPUTED_VALUE"""),"Removed")</f>
        <v>Removed</v>
      </c>
      <c r="E549" s="17">
        <f>IFERROR(__xludf.DUMMYFUNCTION("""COMPUTED_VALUE"""),42157.0)</f>
        <v>42157</v>
      </c>
      <c r="F549" s="54">
        <f>IFERROR(__xludf.DUMMYFUNCTION("""COMPUTED_VALUE"""),42191.0)</f>
        <v>42191</v>
      </c>
      <c r="G549" s="19">
        <f>IFERROR(__xludf.DUMMYFUNCTION("""COMPUTED_VALUE"""),1.1333333333333333)</f>
        <v>1.133333333</v>
      </c>
      <c r="H549" s="17">
        <f>IFERROR(__xludf.DUMMYFUNCTION("""COMPUTED_VALUE"""),41913.0)</f>
        <v>41913</v>
      </c>
      <c r="I549" s="19">
        <f>IFERROR(__xludf.DUMMYFUNCTION("""COMPUTED_VALUE"""),0.6694444444444444)</f>
        <v>0.6694444444</v>
      </c>
      <c r="J549" s="21">
        <f>IFERROR(__xludf.DUMMYFUNCTION("""COMPUTED_VALUE"""),68.0)</f>
        <v>68</v>
      </c>
      <c r="K549" s="23">
        <f>IFERROR(__xludf.DUMMYFUNCTION("""COMPUTED_VALUE"""),6.8)</f>
        <v>6.8</v>
      </c>
      <c r="L549" s="24"/>
      <c r="M549" s="25" t="str">
        <f>IFERROR(__xludf.DUMMYFUNCTION("""COMPUTED_VALUE"""),"Shooter")</f>
        <v>Shooter</v>
      </c>
      <c r="N549" s="25"/>
      <c r="O549" s="26" t="str">
        <f>IFERROR(__xludf.DUMMYFUNCTION("""COMPUTED_VALUE"""),"No")</f>
        <v>No</v>
      </c>
      <c r="P549" s="26"/>
    </row>
    <row r="550">
      <c r="A550" s="13" t="str">
        <f>IFERROR(__xludf.DUMMYFUNCTION("""COMPUTED_VALUE"""),"Skulls of the Shogun: Bone-A-Fide Edition")</f>
        <v>Skulls of the Shogun: Bone-A-Fide Edition</v>
      </c>
      <c r="B550" s="15" t="str">
        <f>IFERROR(__xludf.DUMMYFUNCTION("""COMPUTED_VALUE"""),"PS4")</f>
        <v>PS4</v>
      </c>
      <c r="C550" s="16" t="str">
        <f>IFERROR(__xludf.DUMMYFUNCTION("""COMPUTED_VALUE"""),"Playstation Plus (Discontinued)")</f>
        <v>Playstation Plus (Discontinued)</v>
      </c>
      <c r="D550" s="15" t="str">
        <f>IFERROR(__xludf.DUMMYFUNCTION("""COMPUTED_VALUE"""),"Removed")</f>
        <v>Removed</v>
      </c>
      <c r="E550" s="17">
        <f>IFERROR(__xludf.DUMMYFUNCTION("""COMPUTED_VALUE"""),42157.0)</f>
        <v>42157</v>
      </c>
      <c r="F550" s="54">
        <f>IFERROR(__xludf.DUMMYFUNCTION("""COMPUTED_VALUE"""),42191.0)</f>
        <v>42191</v>
      </c>
      <c r="G550" s="19">
        <f>IFERROR(__xludf.DUMMYFUNCTION("""COMPUTED_VALUE"""),1.1333333333333333)</f>
        <v>1.133333333</v>
      </c>
      <c r="H550" s="17">
        <f>IFERROR(__xludf.DUMMYFUNCTION("""COMPUTED_VALUE"""),41954.0)</f>
        <v>41954</v>
      </c>
      <c r="I550" s="19">
        <f>IFERROR(__xludf.DUMMYFUNCTION("""COMPUTED_VALUE"""),0.5583333333333333)</f>
        <v>0.5583333333</v>
      </c>
      <c r="J550" s="21">
        <f>IFERROR(__xludf.DUMMYFUNCTION("""COMPUTED_VALUE"""),77.0)</f>
        <v>77</v>
      </c>
      <c r="K550" s="23">
        <f>IFERROR(__xludf.DUMMYFUNCTION("""COMPUTED_VALUE"""),7.7)</f>
        <v>7.7</v>
      </c>
      <c r="L550" s="24">
        <f>IFERROR(__xludf.DUMMYFUNCTION("""COMPUTED_VALUE"""),11.0)</f>
        <v>11</v>
      </c>
      <c r="M550" s="25" t="str">
        <f>IFERROR(__xludf.DUMMYFUNCTION("""COMPUTED_VALUE"""),"Strategy")</f>
        <v>Strategy</v>
      </c>
      <c r="N550" s="25"/>
      <c r="O550" s="26" t="str">
        <f>IFERROR(__xludf.DUMMYFUNCTION("""COMPUTED_VALUE"""),"No")</f>
        <v>No</v>
      </c>
      <c r="P550" s="26"/>
    </row>
    <row r="551">
      <c r="A551" s="13" t="str">
        <f>IFERROR(__xludf.DUMMYFUNCTION("""COMPUTED_VALUE"""),"Metal Gear Solid V: Ground Zeroes")</f>
        <v>Metal Gear Solid V: Ground Zeroes</v>
      </c>
      <c r="B551" s="15" t="str">
        <f>IFERROR(__xludf.DUMMYFUNCTION("""COMPUTED_VALUE"""),"PS4")</f>
        <v>PS4</v>
      </c>
      <c r="C551" s="16" t="str">
        <f>IFERROR(__xludf.DUMMYFUNCTION("""COMPUTED_VALUE"""),"Playstation Plus (Discontinued)")</f>
        <v>Playstation Plus (Discontinued)</v>
      </c>
      <c r="D551" s="15" t="str">
        <f>IFERROR(__xludf.DUMMYFUNCTION("""COMPUTED_VALUE"""),"Removed")</f>
        <v>Removed</v>
      </c>
      <c r="E551" s="17">
        <f>IFERROR(__xludf.DUMMYFUNCTION("""COMPUTED_VALUE"""),42157.0)</f>
        <v>42157</v>
      </c>
      <c r="F551" s="54">
        <f>IFERROR(__xludf.DUMMYFUNCTION("""COMPUTED_VALUE"""),42191.0)</f>
        <v>42191</v>
      </c>
      <c r="G551" s="19">
        <f>IFERROR(__xludf.DUMMYFUNCTION("""COMPUTED_VALUE"""),1.1333333333333333)</f>
        <v>1.133333333</v>
      </c>
      <c r="H551" s="17">
        <f>IFERROR(__xludf.DUMMYFUNCTION("""COMPUTED_VALUE"""),41716.0)</f>
        <v>41716</v>
      </c>
      <c r="I551" s="19">
        <f>IFERROR(__xludf.DUMMYFUNCTION("""COMPUTED_VALUE"""),1.2055555555555555)</f>
        <v>1.205555556</v>
      </c>
      <c r="J551" s="21">
        <f>IFERROR(__xludf.DUMMYFUNCTION("""COMPUTED_VALUE"""),80.0)</f>
        <v>80</v>
      </c>
      <c r="K551" s="23">
        <f>IFERROR(__xludf.DUMMYFUNCTION("""COMPUTED_VALUE"""),7.6)</f>
        <v>7.6</v>
      </c>
      <c r="L551" s="24">
        <f>IFERROR(__xludf.DUMMYFUNCTION("""COMPUTED_VALUE"""),2.0)</f>
        <v>2</v>
      </c>
      <c r="M551" s="25" t="str">
        <f>IFERROR(__xludf.DUMMYFUNCTION("""COMPUTED_VALUE"""),"Action-Adventure")</f>
        <v>Action-Adventure</v>
      </c>
      <c r="N551" s="25"/>
      <c r="O551" s="26" t="str">
        <f>IFERROR(__xludf.DUMMYFUNCTION("""COMPUTED_VALUE"""),"No")</f>
        <v>No</v>
      </c>
      <c r="P551" s="26"/>
    </row>
    <row r="552">
      <c r="A552" s="13" t="str">
        <f>IFERROR(__xludf.DUMMYFUNCTION("""COMPUTED_VALUE"""),"Call of Juarez: Gunslinger")</f>
        <v>Call of Juarez: Gunslinger</v>
      </c>
      <c r="B552" s="15" t="str">
        <f>IFERROR(__xludf.DUMMYFUNCTION("""COMPUTED_VALUE"""),"PS3")</f>
        <v>PS3</v>
      </c>
      <c r="C552" s="16" t="str">
        <f>IFERROR(__xludf.DUMMYFUNCTION("""COMPUTED_VALUE"""),"Playstation Plus (Discontinued)")</f>
        <v>Playstation Plus (Discontinued)</v>
      </c>
      <c r="D552" s="15" t="str">
        <f>IFERROR(__xludf.DUMMYFUNCTION("""COMPUTED_VALUE"""),"Removed")</f>
        <v>Removed</v>
      </c>
      <c r="E552" s="17">
        <f>IFERROR(__xludf.DUMMYFUNCTION("""COMPUTED_VALUE"""),42157.0)</f>
        <v>42157</v>
      </c>
      <c r="F552" s="54">
        <f>IFERROR(__xludf.DUMMYFUNCTION("""COMPUTED_VALUE"""),42191.0)</f>
        <v>42191</v>
      </c>
      <c r="G552" s="19">
        <f>IFERROR(__xludf.DUMMYFUNCTION("""COMPUTED_VALUE"""),1.1333333333333333)</f>
        <v>1.133333333</v>
      </c>
      <c r="H552" s="17">
        <f>IFERROR(__xludf.DUMMYFUNCTION("""COMPUTED_VALUE"""),41416.0)</f>
        <v>41416</v>
      </c>
      <c r="I552" s="19">
        <f>IFERROR(__xludf.DUMMYFUNCTION("""COMPUTED_VALUE"""),2.0277777777777777)</f>
        <v>2.027777778</v>
      </c>
      <c r="J552" s="21">
        <f>IFERROR(__xludf.DUMMYFUNCTION("""COMPUTED_VALUE"""),79.0)</f>
        <v>79</v>
      </c>
      <c r="K552" s="23">
        <f>IFERROR(__xludf.DUMMYFUNCTION("""COMPUTED_VALUE"""),8.1)</f>
        <v>8.1</v>
      </c>
      <c r="L552" s="24">
        <f>IFERROR(__xludf.DUMMYFUNCTION("""COMPUTED_VALUE"""),5.0)</f>
        <v>5</v>
      </c>
      <c r="M552" s="25" t="str">
        <f>IFERROR(__xludf.DUMMYFUNCTION("""COMPUTED_VALUE"""),"Shooter")</f>
        <v>Shooter</v>
      </c>
      <c r="N552" s="25"/>
      <c r="O552" s="26" t="str">
        <f>IFERROR(__xludf.DUMMYFUNCTION("""COMPUTED_VALUE"""),"No")</f>
        <v>No</v>
      </c>
      <c r="P552" s="26"/>
    </row>
    <row r="553">
      <c r="A553" s="13" t="str">
        <f>IFERROR(__xludf.DUMMYFUNCTION("""COMPUTED_VALUE"""),"Cloudberry Kingdom")</f>
        <v>Cloudberry Kingdom</v>
      </c>
      <c r="B553" s="15" t="str">
        <f>IFERROR(__xludf.DUMMYFUNCTION("""COMPUTED_VALUE"""),"PS3")</f>
        <v>PS3</v>
      </c>
      <c r="C553" s="16" t="str">
        <f>IFERROR(__xludf.DUMMYFUNCTION("""COMPUTED_VALUE"""),"Playstation Plus (Discontinued)")</f>
        <v>Playstation Plus (Discontinued)</v>
      </c>
      <c r="D553" s="15" t="str">
        <f>IFERROR(__xludf.DUMMYFUNCTION("""COMPUTED_VALUE"""),"Removed")</f>
        <v>Removed</v>
      </c>
      <c r="E553" s="17">
        <f>IFERROR(__xludf.DUMMYFUNCTION("""COMPUTED_VALUE"""),42157.0)</f>
        <v>42157</v>
      </c>
      <c r="F553" s="54">
        <f>IFERROR(__xludf.DUMMYFUNCTION("""COMPUTED_VALUE"""),42191.0)</f>
        <v>42191</v>
      </c>
      <c r="G553" s="19">
        <f>IFERROR(__xludf.DUMMYFUNCTION("""COMPUTED_VALUE"""),1.1333333333333333)</f>
        <v>1.133333333</v>
      </c>
      <c r="H553" s="17">
        <f>IFERROR(__xludf.DUMMYFUNCTION("""COMPUTED_VALUE"""),41485.0)</f>
        <v>41485</v>
      </c>
      <c r="I553" s="19">
        <f>IFERROR(__xludf.DUMMYFUNCTION("""COMPUTED_VALUE"""),1.8388888888888888)</f>
        <v>1.838888889</v>
      </c>
      <c r="J553" s="21">
        <f>IFERROR(__xludf.DUMMYFUNCTION("""COMPUTED_VALUE"""),71.0)</f>
        <v>71</v>
      </c>
      <c r="K553" s="23">
        <f>IFERROR(__xludf.DUMMYFUNCTION("""COMPUTED_VALUE"""),7.4)</f>
        <v>7.4</v>
      </c>
      <c r="L553" s="24">
        <f>IFERROR(__xludf.DUMMYFUNCTION("""COMPUTED_VALUE"""),6.0)</f>
        <v>6</v>
      </c>
      <c r="M553" s="25" t="str">
        <f>IFERROR(__xludf.DUMMYFUNCTION("""COMPUTED_VALUE"""),"Platformer")</f>
        <v>Platformer</v>
      </c>
      <c r="N553" s="25"/>
      <c r="O553" s="26" t="str">
        <f>IFERROR(__xludf.DUMMYFUNCTION("""COMPUTED_VALUE"""),"No")</f>
        <v>No</v>
      </c>
      <c r="P553" s="26"/>
    </row>
    <row r="554">
      <c r="A554" s="13" t="str">
        <f>IFERROR(__xludf.DUMMYFUNCTION("""COMPUTED_VALUE"""),"Ether One")</f>
        <v>Ether One</v>
      </c>
      <c r="B554" s="15" t="str">
        <f>IFERROR(__xludf.DUMMYFUNCTION("""COMPUTED_VALUE"""),"PS4")</f>
        <v>PS4</v>
      </c>
      <c r="C554" s="16" t="str">
        <f>IFERROR(__xludf.DUMMYFUNCTION("""COMPUTED_VALUE"""),"Playstation Plus (Discontinued)")</f>
        <v>Playstation Plus (Discontinued)</v>
      </c>
      <c r="D554" s="15" t="str">
        <f>IFERROR(__xludf.DUMMYFUNCTION("""COMPUTED_VALUE"""),"Removed")</f>
        <v>Removed</v>
      </c>
      <c r="E554" s="17">
        <f>IFERROR(__xludf.DUMMYFUNCTION("""COMPUTED_VALUE"""),42129.0)</f>
        <v>42129</v>
      </c>
      <c r="F554" s="54">
        <f>IFERROR(__xludf.DUMMYFUNCTION("""COMPUTED_VALUE"""),42156.0)</f>
        <v>42156</v>
      </c>
      <c r="G554" s="19">
        <f>IFERROR(__xludf.DUMMYFUNCTION("""COMPUTED_VALUE"""),0.8666666666666666)</f>
        <v>0.8666666667</v>
      </c>
      <c r="H554" s="17">
        <f>IFERROR(__xludf.DUMMYFUNCTION("""COMPUTED_VALUE"""),42094.0)</f>
        <v>42094</v>
      </c>
      <c r="I554" s="19">
        <f>IFERROR(__xludf.DUMMYFUNCTION("""COMPUTED_VALUE"""),0.09722222222222222)</f>
        <v>0.09722222222</v>
      </c>
      <c r="J554" s="21">
        <f>IFERROR(__xludf.DUMMYFUNCTION("""COMPUTED_VALUE"""),74.0)</f>
        <v>74</v>
      </c>
      <c r="K554" s="23">
        <f>IFERROR(__xludf.DUMMYFUNCTION("""COMPUTED_VALUE"""),6.8)</f>
        <v>6.8</v>
      </c>
      <c r="L554" s="24">
        <f>IFERROR(__xludf.DUMMYFUNCTION("""COMPUTED_VALUE"""),5.0)</f>
        <v>5</v>
      </c>
      <c r="M554" s="25" t="str">
        <f>IFERROR(__xludf.DUMMYFUNCTION("""COMPUTED_VALUE"""),"Adventure")</f>
        <v>Adventure</v>
      </c>
      <c r="N554" s="25"/>
      <c r="O554" s="26" t="str">
        <f>IFERROR(__xludf.DUMMYFUNCTION("""COMPUTED_VALUE"""),"No")</f>
        <v>No</v>
      </c>
      <c r="P554" s="26"/>
    </row>
    <row r="555">
      <c r="A555" s="13" t="str">
        <f>IFERROR(__xludf.DUMMYFUNCTION("""COMPUTED_VALUE"""),"Hohokum")</f>
        <v>Hohokum</v>
      </c>
      <c r="B555" s="15" t="str">
        <f>IFERROR(__xludf.DUMMYFUNCTION("""COMPUTED_VALUE"""),"PS4/PS3/Vita")</f>
        <v>PS4/PS3/Vita</v>
      </c>
      <c r="C555" s="16" t="str">
        <f>IFERROR(__xludf.DUMMYFUNCTION("""COMPUTED_VALUE"""),"Playstation Plus (Discontinued)")</f>
        <v>Playstation Plus (Discontinued)</v>
      </c>
      <c r="D555" s="15" t="str">
        <f>IFERROR(__xludf.DUMMYFUNCTION("""COMPUTED_VALUE"""),"Removed")</f>
        <v>Removed</v>
      </c>
      <c r="E555" s="17">
        <f>IFERROR(__xludf.DUMMYFUNCTION("""COMPUTED_VALUE"""),42129.0)</f>
        <v>42129</v>
      </c>
      <c r="F555" s="54">
        <f>IFERROR(__xludf.DUMMYFUNCTION("""COMPUTED_VALUE"""),42156.0)</f>
        <v>42156</v>
      </c>
      <c r="G555" s="19">
        <f>IFERROR(__xludf.DUMMYFUNCTION("""COMPUTED_VALUE"""),0.8666666666666666)</f>
        <v>0.8666666667</v>
      </c>
      <c r="H555" s="17">
        <f>IFERROR(__xludf.DUMMYFUNCTION("""COMPUTED_VALUE"""),41863.0)</f>
        <v>41863</v>
      </c>
      <c r="I555" s="19">
        <f>IFERROR(__xludf.DUMMYFUNCTION("""COMPUTED_VALUE"""),0.7305555555555555)</f>
        <v>0.7305555556</v>
      </c>
      <c r="J555" s="21">
        <f>IFERROR(__xludf.DUMMYFUNCTION("""COMPUTED_VALUE"""),70.0)</f>
        <v>70</v>
      </c>
      <c r="K555" s="23">
        <f>IFERROR(__xludf.DUMMYFUNCTION("""COMPUTED_VALUE"""),6.7)</f>
        <v>6.7</v>
      </c>
      <c r="L555" s="24">
        <f>IFERROR(__xludf.DUMMYFUNCTION("""COMPUTED_VALUE"""),4.0)</f>
        <v>4</v>
      </c>
      <c r="M555" s="25" t="str">
        <f>IFERROR(__xludf.DUMMYFUNCTION("""COMPUTED_VALUE"""),"Adventure")</f>
        <v>Adventure</v>
      </c>
      <c r="N555" s="25"/>
      <c r="O555" s="26" t="str">
        <f>IFERROR(__xludf.DUMMYFUNCTION("""COMPUTED_VALUE"""),"No")</f>
        <v>No</v>
      </c>
      <c r="P555" s="26"/>
    </row>
    <row r="556">
      <c r="A556" s="13" t="str">
        <f>IFERROR(__xludf.DUMMYFUNCTION("""COMPUTED_VALUE"""),"Guacamelee! Super Turbo Championship Edition")</f>
        <v>Guacamelee! Super Turbo Championship Edition</v>
      </c>
      <c r="B556" s="15" t="str">
        <f>IFERROR(__xludf.DUMMYFUNCTION("""COMPUTED_VALUE"""),"PS4")</f>
        <v>PS4</v>
      </c>
      <c r="C556" s="16" t="str">
        <f>IFERROR(__xludf.DUMMYFUNCTION("""COMPUTED_VALUE"""),"Playstation Plus (Discontinued)")</f>
        <v>Playstation Plus (Discontinued)</v>
      </c>
      <c r="D556" s="15" t="str">
        <f>IFERROR(__xludf.DUMMYFUNCTION("""COMPUTED_VALUE"""),"Removed")</f>
        <v>Removed</v>
      </c>
      <c r="E556" s="17">
        <f>IFERROR(__xludf.DUMMYFUNCTION("""COMPUTED_VALUE"""),42129.0)</f>
        <v>42129</v>
      </c>
      <c r="F556" s="54">
        <f>IFERROR(__xludf.DUMMYFUNCTION("""COMPUTED_VALUE"""),42156.0)</f>
        <v>42156</v>
      </c>
      <c r="G556" s="19">
        <f>IFERROR(__xludf.DUMMYFUNCTION("""COMPUTED_VALUE"""),0.8666666666666666)</f>
        <v>0.8666666667</v>
      </c>
      <c r="H556" s="17">
        <f>IFERROR(__xludf.DUMMYFUNCTION("""COMPUTED_VALUE"""),41821.0)</f>
        <v>41821</v>
      </c>
      <c r="I556" s="19">
        <f>IFERROR(__xludf.DUMMYFUNCTION("""COMPUTED_VALUE"""),0.8444444444444444)</f>
        <v>0.8444444444</v>
      </c>
      <c r="J556" s="21">
        <f>IFERROR(__xludf.DUMMYFUNCTION("""COMPUTED_VALUE"""),86.0)</f>
        <v>86</v>
      </c>
      <c r="K556" s="23">
        <f>IFERROR(__xludf.DUMMYFUNCTION("""COMPUTED_VALUE"""),8.0)</f>
        <v>8</v>
      </c>
      <c r="L556" s="24">
        <f>IFERROR(__xludf.DUMMYFUNCTION("""COMPUTED_VALUE"""),7.0)</f>
        <v>7</v>
      </c>
      <c r="M556" s="25" t="str">
        <f>IFERROR(__xludf.DUMMYFUNCTION("""COMPUTED_VALUE"""),"Platformer")</f>
        <v>Platformer</v>
      </c>
      <c r="N556" s="25"/>
      <c r="O556" s="26" t="str">
        <f>IFERROR(__xludf.DUMMYFUNCTION("""COMPUTED_VALUE"""),"No")</f>
        <v>No</v>
      </c>
      <c r="P556" s="26"/>
    </row>
    <row r="557">
      <c r="A557" s="13" t="str">
        <f>IFERROR(__xludf.DUMMYFUNCTION("""COMPUTED_VALUE"""),"The Unfinished Swan")</f>
        <v>The Unfinished Swan</v>
      </c>
      <c r="B557" s="15" t="str">
        <f>IFERROR(__xludf.DUMMYFUNCTION("""COMPUTED_VALUE"""),"PS4/PS3/Vita")</f>
        <v>PS4/PS3/Vita</v>
      </c>
      <c r="C557" s="16" t="str">
        <f>IFERROR(__xludf.DUMMYFUNCTION("""COMPUTED_VALUE"""),"Playstation Plus (Discontinued)")</f>
        <v>Playstation Plus (Discontinued)</v>
      </c>
      <c r="D557" s="15" t="str">
        <f>IFERROR(__xludf.DUMMYFUNCTION("""COMPUTED_VALUE"""),"Removed")</f>
        <v>Removed</v>
      </c>
      <c r="E557" s="17">
        <f>IFERROR(__xludf.DUMMYFUNCTION("""COMPUTED_VALUE"""),42129.0)</f>
        <v>42129</v>
      </c>
      <c r="F557" s="54">
        <f>IFERROR(__xludf.DUMMYFUNCTION("""COMPUTED_VALUE"""),42156.0)</f>
        <v>42156</v>
      </c>
      <c r="G557" s="19">
        <f>IFERROR(__xludf.DUMMYFUNCTION("""COMPUTED_VALUE"""),0.8666666666666666)</f>
        <v>0.8666666667</v>
      </c>
      <c r="H557" s="17">
        <f>IFERROR(__xludf.DUMMYFUNCTION("""COMPUTED_VALUE"""),41205.0)</f>
        <v>41205</v>
      </c>
      <c r="I557" s="19">
        <f>IFERROR(__xludf.DUMMYFUNCTION("""COMPUTED_VALUE"""),2.533333333333333)</f>
        <v>2.533333333</v>
      </c>
      <c r="J557" s="21">
        <f>IFERROR(__xludf.DUMMYFUNCTION("""COMPUTED_VALUE"""),79.0)</f>
        <v>79</v>
      </c>
      <c r="K557" s="23">
        <f>IFERROR(__xludf.DUMMYFUNCTION("""COMPUTED_VALUE"""),7.6)</f>
        <v>7.6</v>
      </c>
      <c r="L557" s="24">
        <f>IFERROR(__xludf.DUMMYFUNCTION("""COMPUTED_VALUE"""),3.0)</f>
        <v>3</v>
      </c>
      <c r="M557" s="25" t="str">
        <f>IFERROR(__xludf.DUMMYFUNCTION("""COMPUTED_VALUE"""),"Adventure")</f>
        <v>Adventure</v>
      </c>
      <c r="N557" s="25"/>
      <c r="O557" s="26" t="str">
        <f>IFERROR(__xludf.DUMMYFUNCTION("""COMPUTED_VALUE"""),"No")</f>
        <v>No</v>
      </c>
      <c r="P557" s="26"/>
    </row>
    <row r="558">
      <c r="A558" s="13" t="str">
        <f>IFERROR(__xludf.DUMMYFUNCTION("""COMPUTED_VALUE"""),"Race the Sun")</f>
        <v>Race the Sun</v>
      </c>
      <c r="B558" s="15" t="str">
        <f>IFERROR(__xludf.DUMMYFUNCTION("""COMPUTED_VALUE"""),"PS4/PS3/Vita")</f>
        <v>PS4/PS3/Vita</v>
      </c>
      <c r="C558" s="16" t="str">
        <f>IFERROR(__xludf.DUMMYFUNCTION("""COMPUTED_VALUE"""),"Playstation Plus (Discontinued)")</f>
        <v>Playstation Plus (Discontinued)</v>
      </c>
      <c r="D558" s="15" t="str">
        <f>IFERROR(__xludf.DUMMYFUNCTION("""COMPUTED_VALUE"""),"Removed")</f>
        <v>Removed</v>
      </c>
      <c r="E558" s="17">
        <f>IFERROR(__xludf.DUMMYFUNCTION("""COMPUTED_VALUE"""),42129.0)</f>
        <v>42129</v>
      </c>
      <c r="F558" s="54">
        <f>IFERROR(__xludf.DUMMYFUNCTION("""COMPUTED_VALUE"""),42156.0)</f>
        <v>42156</v>
      </c>
      <c r="G558" s="19">
        <f>IFERROR(__xludf.DUMMYFUNCTION("""COMPUTED_VALUE"""),0.8666666666666666)</f>
        <v>0.8666666667</v>
      </c>
      <c r="H558" s="17">
        <f>IFERROR(__xludf.DUMMYFUNCTION("""COMPUTED_VALUE"""),41982.0)</f>
        <v>41982</v>
      </c>
      <c r="I558" s="19">
        <f>IFERROR(__xludf.DUMMYFUNCTION("""COMPUTED_VALUE"""),0.40555555555555556)</f>
        <v>0.4055555556</v>
      </c>
      <c r="J558" s="21">
        <f>IFERROR(__xludf.DUMMYFUNCTION("""COMPUTED_VALUE"""),88.0)</f>
        <v>88</v>
      </c>
      <c r="K558" s="23">
        <f>IFERROR(__xludf.DUMMYFUNCTION("""COMPUTED_VALUE"""),7.5)</f>
        <v>7.5</v>
      </c>
      <c r="L558" s="24"/>
      <c r="M558" s="25" t="str">
        <f>IFERROR(__xludf.DUMMYFUNCTION("""COMPUTED_VALUE"""),"Racing")</f>
        <v>Racing</v>
      </c>
      <c r="N558" s="25"/>
      <c r="O558" s="26" t="str">
        <f>IFERROR(__xludf.DUMMYFUNCTION("""COMPUTED_VALUE"""),"No")</f>
        <v>No</v>
      </c>
      <c r="P558" s="26"/>
    </row>
    <row r="559">
      <c r="A559" s="13" t="str">
        <f>IFERROR(__xludf.DUMMYFUNCTION("""COMPUTED_VALUE"""),"Murasaki Baby")</f>
        <v>Murasaki Baby</v>
      </c>
      <c r="B559" s="15" t="str">
        <f>IFERROR(__xludf.DUMMYFUNCTION("""COMPUTED_VALUE"""),"Vita")</f>
        <v>Vita</v>
      </c>
      <c r="C559" s="16" t="str">
        <f>IFERROR(__xludf.DUMMYFUNCTION("""COMPUTED_VALUE"""),"Playstation Plus (Discontinued)")</f>
        <v>Playstation Plus (Discontinued)</v>
      </c>
      <c r="D559" s="15" t="str">
        <f>IFERROR(__xludf.DUMMYFUNCTION("""COMPUTED_VALUE"""),"Removed")</f>
        <v>Removed</v>
      </c>
      <c r="E559" s="17">
        <f>IFERROR(__xludf.DUMMYFUNCTION("""COMPUTED_VALUE"""),42129.0)</f>
        <v>42129</v>
      </c>
      <c r="F559" s="54">
        <f>IFERROR(__xludf.DUMMYFUNCTION("""COMPUTED_VALUE"""),42156.0)</f>
        <v>42156</v>
      </c>
      <c r="G559" s="19">
        <f>IFERROR(__xludf.DUMMYFUNCTION("""COMPUTED_VALUE"""),0.8666666666666666)</f>
        <v>0.8666666667</v>
      </c>
      <c r="H559" s="17">
        <f>IFERROR(__xludf.DUMMYFUNCTION("""COMPUTED_VALUE"""),41898.0)</f>
        <v>41898</v>
      </c>
      <c r="I559" s="19">
        <f>IFERROR(__xludf.DUMMYFUNCTION("""COMPUTED_VALUE"""),0.6361111111111111)</f>
        <v>0.6361111111</v>
      </c>
      <c r="J559" s="21">
        <f>IFERROR(__xludf.DUMMYFUNCTION("""COMPUTED_VALUE"""),62.0)</f>
        <v>62</v>
      </c>
      <c r="K559" s="23">
        <f>IFERROR(__xludf.DUMMYFUNCTION("""COMPUTED_VALUE"""),6.4)</f>
        <v>6.4</v>
      </c>
      <c r="L559" s="24">
        <f>IFERROR(__xludf.DUMMYFUNCTION("""COMPUTED_VALUE"""),2.0)</f>
        <v>2</v>
      </c>
      <c r="M559" s="25" t="str">
        <f>IFERROR(__xludf.DUMMYFUNCTION("""COMPUTED_VALUE"""),"Adventure")</f>
        <v>Adventure</v>
      </c>
      <c r="N559" s="25"/>
      <c r="O559" s="26" t="str">
        <f>IFERROR(__xludf.DUMMYFUNCTION("""COMPUTED_VALUE"""),"No")</f>
        <v>No</v>
      </c>
      <c r="P559" s="26"/>
    </row>
    <row r="560">
      <c r="A560" s="13" t="str">
        <f>IFERROR(__xludf.DUMMYFUNCTION("""COMPUTED_VALUE"""),"MonsterBag")</f>
        <v>MonsterBag</v>
      </c>
      <c r="B560" s="15" t="str">
        <f>IFERROR(__xludf.DUMMYFUNCTION("""COMPUTED_VALUE"""),"Vita")</f>
        <v>Vita</v>
      </c>
      <c r="C560" s="16" t="str">
        <f>IFERROR(__xludf.DUMMYFUNCTION("""COMPUTED_VALUE"""),"Playstation Plus (Discontinued)")</f>
        <v>Playstation Plus (Discontinued)</v>
      </c>
      <c r="D560" s="15" t="str">
        <f>IFERROR(__xludf.DUMMYFUNCTION("""COMPUTED_VALUE"""),"Removed")</f>
        <v>Removed</v>
      </c>
      <c r="E560" s="17">
        <f>IFERROR(__xludf.DUMMYFUNCTION("""COMPUTED_VALUE"""),42101.0)</f>
        <v>42101</v>
      </c>
      <c r="F560" s="54">
        <f>IFERROR(__xludf.DUMMYFUNCTION("""COMPUTED_VALUE"""),42128.0)</f>
        <v>42128</v>
      </c>
      <c r="G560" s="19">
        <f>IFERROR(__xludf.DUMMYFUNCTION("""COMPUTED_VALUE"""),0.8999999999999999)</f>
        <v>0.9</v>
      </c>
      <c r="H560" s="17">
        <f>IFERROR(__xludf.DUMMYFUNCTION("""COMPUTED_VALUE"""),42101.0)</f>
        <v>42101</v>
      </c>
      <c r="I560" s="19">
        <f>IFERROR(__xludf.DUMMYFUNCTION("""COMPUTED_VALUE"""),0.0)</f>
        <v>0</v>
      </c>
      <c r="J560" s="21">
        <f>IFERROR(__xludf.DUMMYFUNCTION("""COMPUTED_VALUE"""),61.0)</f>
        <v>61</v>
      </c>
      <c r="K560" s="23">
        <f>IFERROR(__xludf.DUMMYFUNCTION("""COMPUTED_VALUE"""),6.3)</f>
        <v>6.3</v>
      </c>
      <c r="L560" s="24">
        <f>IFERROR(__xludf.DUMMYFUNCTION("""COMPUTED_VALUE"""),4.0)</f>
        <v>4</v>
      </c>
      <c r="M560" s="25" t="str">
        <f>IFERROR(__xludf.DUMMYFUNCTION("""COMPUTED_VALUE"""),"Platformer")</f>
        <v>Platformer</v>
      </c>
      <c r="N560" s="25"/>
      <c r="O560" s="26" t="str">
        <f>IFERROR(__xludf.DUMMYFUNCTION("""COMPUTED_VALUE"""),"No")</f>
        <v>No</v>
      </c>
      <c r="P560" s="26"/>
    </row>
    <row r="561">
      <c r="A561" s="13" t="str">
        <f>IFERROR(__xludf.DUMMYFUNCTION("""COMPUTED_VALUE"""),"Killzone Mercenary")</f>
        <v>Killzone Mercenary</v>
      </c>
      <c r="B561" s="15" t="str">
        <f>IFERROR(__xludf.DUMMYFUNCTION("""COMPUTED_VALUE"""),"Vita")</f>
        <v>Vita</v>
      </c>
      <c r="C561" s="16" t="str">
        <f>IFERROR(__xludf.DUMMYFUNCTION("""COMPUTED_VALUE"""),"Playstation Plus (Discontinued)")</f>
        <v>Playstation Plus (Discontinued)</v>
      </c>
      <c r="D561" s="15" t="str">
        <f>IFERROR(__xludf.DUMMYFUNCTION("""COMPUTED_VALUE"""),"Removed")</f>
        <v>Removed</v>
      </c>
      <c r="E561" s="17">
        <f>IFERROR(__xludf.DUMMYFUNCTION("""COMPUTED_VALUE"""),42101.0)</f>
        <v>42101</v>
      </c>
      <c r="F561" s="54">
        <f>IFERROR(__xludf.DUMMYFUNCTION("""COMPUTED_VALUE"""),42128.0)</f>
        <v>42128</v>
      </c>
      <c r="G561" s="19">
        <f>IFERROR(__xludf.DUMMYFUNCTION("""COMPUTED_VALUE"""),0.8999999999999999)</f>
        <v>0.9</v>
      </c>
      <c r="H561" s="17">
        <f>IFERROR(__xludf.DUMMYFUNCTION("""COMPUTED_VALUE"""),41527.0)</f>
        <v>41527</v>
      </c>
      <c r="I561" s="19">
        <f>IFERROR(__xludf.DUMMYFUNCTION("""COMPUTED_VALUE"""),1.575)</f>
        <v>1.575</v>
      </c>
      <c r="J561" s="21">
        <f>IFERROR(__xludf.DUMMYFUNCTION("""COMPUTED_VALUE"""),78.0)</f>
        <v>78</v>
      </c>
      <c r="K561" s="23">
        <f>IFERROR(__xludf.DUMMYFUNCTION("""COMPUTED_VALUE"""),8.0)</f>
        <v>8</v>
      </c>
      <c r="L561" s="24">
        <f>IFERROR(__xludf.DUMMYFUNCTION("""COMPUTED_VALUE"""),5.0)</f>
        <v>5</v>
      </c>
      <c r="M561" s="25" t="str">
        <f>IFERROR(__xludf.DUMMYFUNCTION("""COMPUTED_VALUE"""),"Shooter")</f>
        <v>Shooter</v>
      </c>
      <c r="N561" s="25"/>
      <c r="O561" s="26" t="str">
        <f>IFERROR(__xludf.DUMMYFUNCTION("""COMPUTED_VALUE"""),"No")</f>
        <v>No</v>
      </c>
      <c r="P561" s="26"/>
    </row>
    <row r="562">
      <c r="A562" s="13" t="str">
        <f>IFERROR(__xludf.DUMMYFUNCTION("""COMPUTED_VALUE"""),"Dishonored")</f>
        <v>Dishonored</v>
      </c>
      <c r="B562" s="15" t="str">
        <f>IFERROR(__xludf.DUMMYFUNCTION("""COMPUTED_VALUE"""),"PS3")</f>
        <v>PS3</v>
      </c>
      <c r="C562" s="16" t="str">
        <f>IFERROR(__xludf.DUMMYFUNCTION("""COMPUTED_VALUE"""),"Playstation Plus (Discontinued)")</f>
        <v>Playstation Plus (Discontinued)</v>
      </c>
      <c r="D562" s="15" t="str">
        <f>IFERROR(__xludf.DUMMYFUNCTION("""COMPUTED_VALUE"""),"Removed")</f>
        <v>Removed</v>
      </c>
      <c r="E562" s="17">
        <f>IFERROR(__xludf.DUMMYFUNCTION("""COMPUTED_VALUE"""),42101.0)</f>
        <v>42101</v>
      </c>
      <c r="F562" s="54">
        <f>IFERROR(__xludf.DUMMYFUNCTION("""COMPUTED_VALUE"""),42128.0)</f>
        <v>42128</v>
      </c>
      <c r="G562" s="19">
        <f>IFERROR(__xludf.DUMMYFUNCTION("""COMPUTED_VALUE"""),0.8999999999999999)</f>
        <v>0.9</v>
      </c>
      <c r="H562" s="17">
        <f>IFERROR(__xludf.DUMMYFUNCTION("""COMPUTED_VALUE"""),41191.0)</f>
        <v>41191</v>
      </c>
      <c r="I562" s="19">
        <f>IFERROR(__xludf.DUMMYFUNCTION("""COMPUTED_VALUE"""),2.4944444444444445)</f>
        <v>2.494444444</v>
      </c>
      <c r="J562" s="21">
        <f>IFERROR(__xludf.DUMMYFUNCTION("""COMPUTED_VALUE"""),88.0)</f>
        <v>88</v>
      </c>
      <c r="K562" s="23">
        <f>IFERROR(__xludf.DUMMYFUNCTION("""COMPUTED_VALUE"""),8.6)</f>
        <v>8.6</v>
      </c>
      <c r="L562" s="24">
        <f>IFERROR(__xludf.DUMMYFUNCTION("""COMPUTED_VALUE"""),12.0)</f>
        <v>12</v>
      </c>
      <c r="M562" s="25" t="str">
        <f>IFERROR(__xludf.DUMMYFUNCTION("""COMPUTED_VALUE"""),"Action-Adventure")</f>
        <v>Action-Adventure</v>
      </c>
      <c r="N562" s="25"/>
      <c r="O562" s="26" t="str">
        <f>IFERROR(__xludf.DUMMYFUNCTION("""COMPUTED_VALUE"""),"No")</f>
        <v>No</v>
      </c>
      <c r="P562" s="26"/>
    </row>
    <row r="563">
      <c r="A563" s="13" t="str">
        <f>IFERROR(__xludf.DUMMYFUNCTION("""COMPUTED_VALUE"""),"Never Alone")</f>
        <v>Never Alone</v>
      </c>
      <c r="B563" s="15" t="str">
        <f>IFERROR(__xludf.DUMMYFUNCTION("""COMPUTED_VALUE"""),"PS4")</f>
        <v>PS4</v>
      </c>
      <c r="C563" s="16" t="str">
        <f>IFERROR(__xludf.DUMMYFUNCTION("""COMPUTED_VALUE"""),"Playstation Plus (Discontinued)")</f>
        <v>Playstation Plus (Discontinued)</v>
      </c>
      <c r="D563" s="15" t="str">
        <f>IFERROR(__xludf.DUMMYFUNCTION("""COMPUTED_VALUE"""),"Removed")</f>
        <v>Removed</v>
      </c>
      <c r="E563" s="17">
        <f>IFERROR(__xludf.DUMMYFUNCTION("""COMPUTED_VALUE"""),42101.0)</f>
        <v>42101</v>
      </c>
      <c r="F563" s="54">
        <f>IFERROR(__xludf.DUMMYFUNCTION("""COMPUTED_VALUE"""),42128.0)</f>
        <v>42128</v>
      </c>
      <c r="G563" s="19">
        <f>IFERROR(__xludf.DUMMYFUNCTION("""COMPUTED_VALUE"""),0.8999999999999999)</f>
        <v>0.9</v>
      </c>
      <c r="H563" s="17">
        <f>IFERROR(__xludf.DUMMYFUNCTION("""COMPUTED_VALUE"""),41961.0)</f>
        <v>41961</v>
      </c>
      <c r="I563" s="19">
        <f>IFERROR(__xludf.DUMMYFUNCTION("""COMPUTED_VALUE"""),0.3861111111111111)</f>
        <v>0.3861111111</v>
      </c>
      <c r="J563" s="21">
        <f>IFERROR(__xludf.DUMMYFUNCTION("""COMPUTED_VALUE"""),69.0)</f>
        <v>69</v>
      </c>
      <c r="K563" s="23">
        <f>IFERROR(__xludf.DUMMYFUNCTION("""COMPUTED_VALUE"""),6.6)</f>
        <v>6.6</v>
      </c>
      <c r="L563" s="24">
        <f>IFERROR(__xludf.DUMMYFUNCTION("""COMPUTED_VALUE"""),4.0)</f>
        <v>4</v>
      </c>
      <c r="M563" s="25" t="str">
        <f>IFERROR(__xludf.DUMMYFUNCTION("""COMPUTED_VALUE"""),"Platformer")</f>
        <v>Platformer</v>
      </c>
      <c r="N563" s="25"/>
      <c r="O563" s="26" t="str">
        <f>IFERROR(__xludf.DUMMYFUNCTION("""COMPUTED_VALUE"""),"No")</f>
        <v>No</v>
      </c>
      <c r="P563" s="26"/>
    </row>
    <row r="564">
      <c r="A564" s="13" t="str">
        <f>IFERROR(__xludf.DUMMYFUNCTION("""COMPUTED_VALUE"""),"Aaru's Awakening")</f>
        <v>Aaru's Awakening</v>
      </c>
      <c r="B564" s="15" t="str">
        <f>IFERROR(__xludf.DUMMYFUNCTION("""COMPUTED_VALUE"""),"PS4/PS3")</f>
        <v>PS4/PS3</v>
      </c>
      <c r="C564" s="16" t="str">
        <f>IFERROR(__xludf.DUMMYFUNCTION("""COMPUTED_VALUE"""),"Playstation Plus (Discontinued)")</f>
        <v>Playstation Plus (Discontinued)</v>
      </c>
      <c r="D564" s="15" t="str">
        <f>IFERROR(__xludf.DUMMYFUNCTION("""COMPUTED_VALUE"""),"Removed")</f>
        <v>Removed</v>
      </c>
      <c r="E564" s="17">
        <f>IFERROR(__xludf.DUMMYFUNCTION("""COMPUTED_VALUE"""),42101.0)</f>
        <v>42101</v>
      </c>
      <c r="F564" s="54">
        <f>IFERROR(__xludf.DUMMYFUNCTION("""COMPUTED_VALUE"""),42128.0)</f>
        <v>42128</v>
      </c>
      <c r="G564" s="19">
        <f>IFERROR(__xludf.DUMMYFUNCTION("""COMPUTED_VALUE"""),0.8999999999999999)</f>
        <v>0.9</v>
      </c>
      <c r="H564" s="17">
        <f>IFERROR(__xludf.DUMMYFUNCTION("""COMPUTED_VALUE"""),42094.0)</f>
        <v>42094</v>
      </c>
      <c r="I564" s="19">
        <f>IFERROR(__xludf.DUMMYFUNCTION("""COMPUTED_VALUE"""),0.019444444444444445)</f>
        <v>0.01944444444</v>
      </c>
      <c r="J564" s="21">
        <f>IFERROR(__xludf.DUMMYFUNCTION("""COMPUTED_VALUE"""),65.0)</f>
        <v>65</v>
      </c>
      <c r="K564" s="23">
        <f>IFERROR(__xludf.DUMMYFUNCTION("""COMPUTED_VALUE"""),6.6)</f>
        <v>6.6</v>
      </c>
      <c r="L564" s="24">
        <f>IFERROR(__xludf.DUMMYFUNCTION("""COMPUTED_VALUE"""),4.0)</f>
        <v>4</v>
      </c>
      <c r="M564" s="25" t="str">
        <f>IFERROR(__xludf.DUMMYFUNCTION("""COMPUTED_VALUE"""),"Platformer")</f>
        <v>Platformer</v>
      </c>
      <c r="N564" s="25"/>
      <c r="O564" s="26" t="str">
        <f>IFERROR(__xludf.DUMMYFUNCTION("""COMPUTED_VALUE"""),"No")</f>
        <v>No</v>
      </c>
      <c r="P564" s="26"/>
    </row>
    <row r="565">
      <c r="A565" s="13" t="str">
        <f>IFERROR(__xludf.DUMMYFUNCTION("""COMPUTED_VALUE"""),"Tower of Guns")</f>
        <v>Tower of Guns</v>
      </c>
      <c r="B565" s="15" t="str">
        <f>IFERROR(__xludf.DUMMYFUNCTION("""COMPUTED_VALUE"""),"PS4/PS3")</f>
        <v>PS4/PS3</v>
      </c>
      <c r="C565" s="16" t="str">
        <f>IFERROR(__xludf.DUMMYFUNCTION("""COMPUTED_VALUE"""),"Playstation Plus (Discontinued)")</f>
        <v>Playstation Plus (Discontinued)</v>
      </c>
      <c r="D565" s="15" t="str">
        <f>IFERROR(__xludf.DUMMYFUNCTION("""COMPUTED_VALUE"""),"Removed")</f>
        <v>Removed</v>
      </c>
      <c r="E565" s="17">
        <f>IFERROR(__xludf.DUMMYFUNCTION("""COMPUTED_VALUE"""),42101.0)</f>
        <v>42101</v>
      </c>
      <c r="F565" s="54">
        <f>IFERROR(__xludf.DUMMYFUNCTION("""COMPUTED_VALUE"""),42128.0)</f>
        <v>42128</v>
      </c>
      <c r="G565" s="19">
        <f>IFERROR(__xludf.DUMMYFUNCTION("""COMPUTED_VALUE"""),0.8999999999999999)</f>
        <v>0.9</v>
      </c>
      <c r="H565" s="17">
        <f>IFERROR(__xludf.DUMMYFUNCTION("""COMPUTED_VALUE"""),42073.0)</f>
        <v>42073</v>
      </c>
      <c r="I565" s="19">
        <f>IFERROR(__xludf.DUMMYFUNCTION("""COMPUTED_VALUE"""),0.075)</f>
        <v>0.075</v>
      </c>
      <c r="J565" s="21">
        <f>IFERROR(__xludf.DUMMYFUNCTION("""COMPUTED_VALUE"""),72.0)</f>
        <v>72</v>
      </c>
      <c r="K565" s="23">
        <f>IFERROR(__xludf.DUMMYFUNCTION("""COMPUTED_VALUE"""),6.9)</f>
        <v>6.9</v>
      </c>
      <c r="L565" s="24">
        <f>IFERROR(__xludf.DUMMYFUNCTION("""COMPUTED_VALUE"""),4.0)</f>
        <v>4</v>
      </c>
      <c r="M565" s="25" t="str">
        <f>IFERROR(__xludf.DUMMYFUNCTION("""COMPUTED_VALUE"""),"Shooter")</f>
        <v>Shooter</v>
      </c>
      <c r="N565" s="25"/>
      <c r="O565" s="26" t="str">
        <f>IFERROR(__xludf.DUMMYFUNCTION("""COMPUTED_VALUE"""),"No")</f>
        <v>No</v>
      </c>
      <c r="P565" s="26"/>
    </row>
    <row r="566">
      <c r="A566" s="13" t="str">
        <f>IFERROR(__xludf.DUMMYFUNCTION("""COMPUTED_VALUE"""),"Mighty Flip Champs! DX")</f>
        <v>Mighty Flip Champs! DX</v>
      </c>
      <c r="B566" s="15" t="str">
        <f>IFERROR(__xludf.DUMMYFUNCTION("""COMPUTED_VALUE"""),"PS3/Vita")</f>
        <v>PS3/Vita</v>
      </c>
      <c r="C566" s="16" t="str">
        <f>IFERROR(__xludf.DUMMYFUNCTION("""COMPUTED_VALUE"""),"Playstation Plus (Discontinued)")</f>
        <v>Playstation Plus (Discontinued)</v>
      </c>
      <c r="D566" s="15" t="str">
        <f>IFERROR(__xludf.DUMMYFUNCTION("""COMPUTED_VALUE"""),"Removed")</f>
        <v>Removed</v>
      </c>
      <c r="E566" s="17">
        <f>IFERROR(__xludf.DUMMYFUNCTION("""COMPUTED_VALUE"""),42074.0)</f>
        <v>42074</v>
      </c>
      <c r="F566" s="54">
        <f>IFERROR(__xludf.DUMMYFUNCTION("""COMPUTED_VALUE"""),42100.0)</f>
        <v>42100</v>
      </c>
      <c r="G566" s="19">
        <f>IFERROR(__xludf.DUMMYFUNCTION("""COMPUTED_VALUE"""),0.8333333333333334)</f>
        <v>0.8333333333</v>
      </c>
      <c r="H566" s="17">
        <f>IFERROR(__xludf.DUMMYFUNCTION("""COMPUTED_VALUE"""),41859.0)</f>
        <v>41859</v>
      </c>
      <c r="I566" s="19">
        <f>IFERROR(__xludf.DUMMYFUNCTION("""COMPUTED_VALUE"""),0.5916666666666667)</f>
        <v>0.5916666667</v>
      </c>
      <c r="J566" s="21">
        <f>IFERROR(__xludf.DUMMYFUNCTION("""COMPUTED_VALUE"""),76.0)</f>
        <v>76</v>
      </c>
      <c r="K566" s="23">
        <f>IFERROR(__xludf.DUMMYFUNCTION("""COMPUTED_VALUE"""),7.0)</f>
        <v>7</v>
      </c>
      <c r="L566" s="24">
        <f>IFERROR(__xludf.DUMMYFUNCTION("""COMPUTED_VALUE"""),2.0)</f>
        <v>2</v>
      </c>
      <c r="M566" s="25" t="str">
        <f>IFERROR(__xludf.DUMMYFUNCTION("""COMPUTED_VALUE"""),"Platformer")</f>
        <v>Platformer</v>
      </c>
      <c r="N566" s="25"/>
      <c r="O566" s="26" t="str">
        <f>IFERROR(__xludf.DUMMYFUNCTION("""COMPUTED_VALUE"""),"No")</f>
        <v>No</v>
      </c>
      <c r="P566" s="26"/>
    </row>
    <row r="567">
      <c r="A567" s="13" t="str">
        <f>IFERROR(__xludf.DUMMYFUNCTION("""COMPUTED_VALUE"""),"OlliOlli2: Welcome to Olliwood")</f>
        <v>OlliOlli2: Welcome to Olliwood</v>
      </c>
      <c r="B567" s="15" t="str">
        <f>IFERROR(__xludf.DUMMYFUNCTION("""COMPUTED_VALUE"""),"PS4/Vita")</f>
        <v>PS4/Vita</v>
      </c>
      <c r="C567" s="16" t="str">
        <f>IFERROR(__xludf.DUMMYFUNCTION("""COMPUTED_VALUE"""),"Playstation Plus (Discontinued)")</f>
        <v>Playstation Plus (Discontinued)</v>
      </c>
      <c r="D567" s="15" t="str">
        <f>IFERROR(__xludf.DUMMYFUNCTION("""COMPUTED_VALUE"""),"Removed")</f>
        <v>Removed</v>
      </c>
      <c r="E567" s="17">
        <f>IFERROR(__xludf.DUMMYFUNCTION("""COMPUTED_VALUE"""),42066.0)</f>
        <v>42066</v>
      </c>
      <c r="F567" s="54">
        <f>IFERROR(__xludf.DUMMYFUNCTION("""COMPUTED_VALUE"""),42073.0)</f>
        <v>42073</v>
      </c>
      <c r="G567" s="19">
        <f>IFERROR(__xludf.DUMMYFUNCTION("""COMPUTED_VALUE"""),0.23333333333333334)</f>
        <v>0.2333333333</v>
      </c>
      <c r="H567" s="17">
        <f>IFERROR(__xludf.DUMMYFUNCTION("""COMPUTED_VALUE"""),42066.0)</f>
        <v>42066</v>
      </c>
      <c r="I567" s="19">
        <f>IFERROR(__xludf.DUMMYFUNCTION("""COMPUTED_VALUE"""),0.0)</f>
        <v>0</v>
      </c>
      <c r="J567" s="21">
        <f>IFERROR(__xludf.DUMMYFUNCTION("""COMPUTED_VALUE"""),79.0)</f>
        <v>79</v>
      </c>
      <c r="K567" s="23">
        <f>IFERROR(__xludf.DUMMYFUNCTION("""COMPUTED_VALUE"""),7.8)</f>
        <v>7.8</v>
      </c>
      <c r="L567" s="24">
        <f>IFERROR(__xludf.DUMMYFUNCTION("""COMPUTED_VALUE"""),5.0)</f>
        <v>5</v>
      </c>
      <c r="M567" s="25" t="str">
        <f>IFERROR(__xludf.DUMMYFUNCTION("""COMPUTED_VALUE"""),"Sports")</f>
        <v>Sports</v>
      </c>
      <c r="N567" s="25"/>
      <c r="O567" s="26" t="str">
        <f>IFERROR(__xludf.DUMMYFUNCTION("""COMPUTED_VALUE"""),"No")</f>
        <v>No</v>
      </c>
      <c r="P567" s="26"/>
    </row>
    <row r="568">
      <c r="A568" s="13" t="str">
        <f>IFERROR(__xludf.DUMMYFUNCTION("""COMPUTED_VALUE"""),"CounterSpy")</f>
        <v>CounterSpy</v>
      </c>
      <c r="B568" s="15" t="str">
        <f>IFERROR(__xludf.DUMMYFUNCTION("""COMPUTED_VALUE"""),"PS4/PS3/Vita")</f>
        <v>PS4/PS3/Vita</v>
      </c>
      <c r="C568" s="16" t="str">
        <f>IFERROR(__xludf.DUMMYFUNCTION("""COMPUTED_VALUE"""),"Playstation Plus (Discontinued)")</f>
        <v>Playstation Plus (Discontinued)</v>
      </c>
      <c r="D568" s="15" t="str">
        <f>IFERROR(__xludf.DUMMYFUNCTION("""COMPUTED_VALUE"""),"Removed")</f>
        <v>Removed</v>
      </c>
      <c r="E568" s="17">
        <f>IFERROR(__xludf.DUMMYFUNCTION("""COMPUTED_VALUE"""),42066.0)</f>
        <v>42066</v>
      </c>
      <c r="F568" s="54">
        <f>IFERROR(__xludf.DUMMYFUNCTION("""COMPUTED_VALUE"""),42073.0)</f>
        <v>42073</v>
      </c>
      <c r="G568" s="19">
        <f>IFERROR(__xludf.DUMMYFUNCTION("""COMPUTED_VALUE"""),0.23333333333333334)</f>
        <v>0.2333333333</v>
      </c>
      <c r="H568" s="17">
        <f>IFERROR(__xludf.DUMMYFUNCTION("""COMPUTED_VALUE"""),41870.0)</f>
        <v>41870</v>
      </c>
      <c r="I568" s="19">
        <f>IFERROR(__xludf.DUMMYFUNCTION("""COMPUTED_VALUE"""),0.5388888888888889)</f>
        <v>0.5388888889</v>
      </c>
      <c r="J568" s="21">
        <f>IFERROR(__xludf.DUMMYFUNCTION("""COMPUTED_VALUE"""),71.0)</f>
        <v>71</v>
      </c>
      <c r="K568" s="23">
        <f>IFERROR(__xludf.DUMMYFUNCTION("""COMPUTED_VALUE"""),7.0)</f>
        <v>7</v>
      </c>
      <c r="L568" s="24">
        <f>IFERROR(__xludf.DUMMYFUNCTION("""COMPUTED_VALUE"""),5.0)</f>
        <v>5</v>
      </c>
      <c r="M568" s="25" t="str">
        <f>IFERROR(__xludf.DUMMYFUNCTION("""COMPUTED_VALUE"""),"Shooter")</f>
        <v>Shooter</v>
      </c>
      <c r="N568" s="25"/>
      <c r="O568" s="26" t="str">
        <f>IFERROR(__xludf.DUMMYFUNCTION("""COMPUTED_VALUE"""),"No")</f>
        <v>No</v>
      </c>
      <c r="P568" s="26"/>
    </row>
    <row r="569">
      <c r="A569" s="13" t="str">
        <f>IFERROR(__xludf.DUMMYFUNCTION("""COMPUTED_VALUE"""),"Sherlock Holmes: Crimes and Punishments")</f>
        <v>Sherlock Holmes: Crimes and Punishments</v>
      </c>
      <c r="B569" s="15" t="str">
        <f>IFERROR(__xludf.DUMMYFUNCTION("""COMPUTED_VALUE"""),"PS3")</f>
        <v>PS3</v>
      </c>
      <c r="C569" s="16" t="str">
        <f>IFERROR(__xludf.DUMMYFUNCTION("""COMPUTED_VALUE"""),"Playstation Plus (Discontinued)")</f>
        <v>Playstation Plus (Discontinued)</v>
      </c>
      <c r="D569" s="15" t="str">
        <f>IFERROR(__xludf.DUMMYFUNCTION("""COMPUTED_VALUE"""),"Removed")</f>
        <v>Removed</v>
      </c>
      <c r="E569" s="17">
        <f>IFERROR(__xludf.DUMMYFUNCTION("""COMPUTED_VALUE"""),42066.0)</f>
        <v>42066</v>
      </c>
      <c r="F569" s="54">
        <f>IFERROR(__xludf.DUMMYFUNCTION("""COMPUTED_VALUE"""),42073.0)</f>
        <v>42073</v>
      </c>
      <c r="G569" s="19">
        <f>IFERROR(__xludf.DUMMYFUNCTION("""COMPUTED_VALUE"""),0.23333333333333334)</f>
        <v>0.2333333333</v>
      </c>
      <c r="H569" s="17">
        <f>IFERROR(__xludf.DUMMYFUNCTION("""COMPUTED_VALUE"""),41912.0)</f>
        <v>41912</v>
      </c>
      <c r="I569" s="19">
        <f>IFERROR(__xludf.DUMMYFUNCTION("""COMPUTED_VALUE"""),0.425)</f>
        <v>0.425</v>
      </c>
      <c r="J569" s="21">
        <f>IFERROR(__xludf.DUMMYFUNCTION("""COMPUTED_VALUE"""),77.0)</f>
        <v>77</v>
      </c>
      <c r="K569" s="23">
        <f>IFERROR(__xludf.DUMMYFUNCTION("""COMPUTED_VALUE"""),7.7)</f>
        <v>7.7</v>
      </c>
      <c r="L569" s="24">
        <f>IFERROR(__xludf.DUMMYFUNCTION("""COMPUTED_VALUE"""),15.0)</f>
        <v>15</v>
      </c>
      <c r="M569" s="25" t="str">
        <f>IFERROR(__xludf.DUMMYFUNCTION("""COMPUTED_VALUE"""),"Adventure")</f>
        <v>Adventure</v>
      </c>
      <c r="N569" s="25"/>
      <c r="O569" s="26" t="str">
        <f>IFERROR(__xludf.DUMMYFUNCTION("""COMPUTED_VALUE"""),"No")</f>
        <v>No</v>
      </c>
      <c r="P569" s="26"/>
    </row>
    <row r="570">
      <c r="A570" s="13" t="str">
        <f>IFERROR(__xludf.DUMMYFUNCTION("""COMPUTED_VALUE"""),"Papo &amp; Yo")</f>
        <v>Papo &amp; Yo</v>
      </c>
      <c r="B570" s="15" t="str">
        <f>IFERROR(__xludf.DUMMYFUNCTION("""COMPUTED_VALUE"""),"PS3")</f>
        <v>PS3</v>
      </c>
      <c r="C570" s="16" t="str">
        <f>IFERROR(__xludf.DUMMYFUNCTION("""COMPUTED_VALUE"""),"Playstation Plus (Discontinued)")</f>
        <v>Playstation Plus (Discontinued)</v>
      </c>
      <c r="D570" s="15" t="str">
        <f>IFERROR(__xludf.DUMMYFUNCTION("""COMPUTED_VALUE"""),"Removed")</f>
        <v>Removed</v>
      </c>
      <c r="E570" s="17">
        <f>IFERROR(__xludf.DUMMYFUNCTION("""COMPUTED_VALUE"""),42066.0)</f>
        <v>42066</v>
      </c>
      <c r="F570" s="54">
        <f>IFERROR(__xludf.DUMMYFUNCTION("""COMPUTED_VALUE"""),42073.0)</f>
        <v>42073</v>
      </c>
      <c r="G570" s="19">
        <f>IFERROR(__xludf.DUMMYFUNCTION("""COMPUTED_VALUE"""),0.23333333333333334)</f>
        <v>0.2333333333</v>
      </c>
      <c r="H570" s="17">
        <f>IFERROR(__xludf.DUMMYFUNCTION("""COMPUTED_VALUE"""),41135.0)</f>
        <v>41135</v>
      </c>
      <c r="I570" s="19">
        <f>IFERROR(__xludf.DUMMYFUNCTION("""COMPUTED_VALUE"""),2.5527777777777776)</f>
        <v>2.552777778</v>
      </c>
      <c r="J570" s="21">
        <f>IFERROR(__xludf.DUMMYFUNCTION("""COMPUTED_VALUE"""),72.0)</f>
        <v>72</v>
      </c>
      <c r="K570" s="23">
        <f>IFERROR(__xludf.DUMMYFUNCTION("""COMPUTED_VALUE"""),7.4)</f>
        <v>7.4</v>
      </c>
      <c r="L570" s="24">
        <f>IFERROR(__xludf.DUMMYFUNCTION("""COMPUTED_VALUE"""),3.0)</f>
        <v>3</v>
      </c>
      <c r="M570" s="25" t="str">
        <f>IFERROR(__xludf.DUMMYFUNCTION("""COMPUTED_VALUE"""),"Adventure")</f>
        <v>Adventure</v>
      </c>
      <c r="N570" s="25"/>
      <c r="O570" s="26" t="str">
        <f>IFERROR(__xludf.DUMMYFUNCTION("""COMPUTED_VALUE"""),"No")</f>
        <v>No</v>
      </c>
      <c r="P570" s="26"/>
    </row>
    <row r="571">
      <c r="A571" s="13" t="str">
        <f>IFERROR(__xludf.DUMMYFUNCTION("""COMPUTED_VALUE"""),"Oddworld: New 'n' Tasty")</f>
        <v>Oddworld: New 'n' Tasty</v>
      </c>
      <c r="B571" s="15" t="str">
        <f>IFERROR(__xludf.DUMMYFUNCTION("""COMPUTED_VALUE"""),"PS4")</f>
        <v>PS4</v>
      </c>
      <c r="C571" s="16" t="str">
        <f>IFERROR(__xludf.DUMMYFUNCTION("""COMPUTED_VALUE"""),"Playstation Plus (Discontinued)")</f>
        <v>Playstation Plus (Discontinued)</v>
      </c>
      <c r="D571" s="15" t="str">
        <f>IFERROR(__xludf.DUMMYFUNCTION("""COMPUTED_VALUE"""),"Removed")</f>
        <v>Removed</v>
      </c>
      <c r="E571" s="17">
        <f>IFERROR(__xludf.DUMMYFUNCTION("""COMPUTED_VALUE"""),42066.0)</f>
        <v>42066</v>
      </c>
      <c r="F571" s="54">
        <f>IFERROR(__xludf.DUMMYFUNCTION("""COMPUTED_VALUE"""),42073.0)</f>
        <v>42073</v>
      </c>
      <c r="G571" s="19">
        <f>IFERROR(__xludf.DUMMYFUNCTION("""COMPUTED_VALUE"""),0.23333333333333334)</f>
        <v>0.2333333333</v>
      </c>
      <c r="H571" s="17">
        <f>IFERROR(__xludf.DUMMYFUNCTION("""COMPUTED_VALUE"""),41842.0)</f>
        <v>41842</v>
      </c>
      <c r="I571" s="19">
        <f>IFERROR(__xludf.DUMMYFUNCTION("""COMPUTED_VALUE"""),0.6138888888888889)</f>
        <v>0.6138888889</v>
      </c>
      <c r="J571" s="21">
        <f>IFERROR(__xludf.DUMMYFUNCTION("""COMPUTED_VALUE"""),84.0)</f>
        <v>84</v>
      </c>
      <c r="K571" s="23">
        <f>IFERROR(__xludf.DUMMYFUNCTION("""COMPUTED_VALUE"""),7.7)</f>
        <v>7.7</v>
      </c>
      <c r="L571" s="24">
        <f>IFERROR(__xludf.DUMMYFUNCTION("""COMPUTED_VALUE"""),9.0)</f>
        <v>9</v>
      </c>
      <c r="M571" s="25" t="str">
        <f>IFERROR(__xludf.DUMMYFUNCTION("""COMPUTED_VALUE"""),"Platformer")</f>
        <v>Platformer</v>
      </c>
      <c r="N571" s="25"/>
      <c r="O571" s="26" t="str">
        <f>IFERROR(__xludf.DUMMYFUNCTION("""COMPUTED_VALUE"""),"No")</f>
        <v>No</v>
      </c>
      <c r="P571" s="26"/>
    </row>
    <row r="572">
      <c r="A572" s="13" t="str">
        <f>IFERROR(__xludf.DUMMYFUNCTION("""COMPUTED_VALUE"""),"Valiant Hearts")</f>
        <v>Valiant Hearts</v>
      </c>
      <c r="B572" s="15" t="str">
        <f>IFERROR(__xludf.DUMMYFUNCTION("""COMPUTED_VALUE"""),"PS4")</f>
        <v>PS4</v>
      </c>
      <c r="C572" s="16" t="str">
        <f>IFERROR(__xludf.DUMMYFUNCTION("""COMPUTED_VALUE"""),"Playstation Plus (Discontinued)")</f>
        <v>Playstation Plus (Discontinued)</v>
      </c>
      <c r="D572" s="15" t="str">
        <f>IFERROR(__xludf.DUMMYFUNCTION("""COMPUTED_VALUE"""),"Removed")</f>
        <v>Removed</v>
      </c>
      <c r="E572" s="17">
        <f>IFERROR(__xludf.DUMMYFUNCTION("""COMPUTED_VALUE"""),42066.0)</f>
        <v>42066</v>
      </c>
      <c r="F572" s="54">
        <f>IFERROR(__xludf.DUMMYFUNCTION("""COMPUTED_VALUE"""),42073.0)</f>
        <v>42073</v>
      </c>
      <c r="G572" s="19">
        <f>IFERROR(__xludf.DUMMYFUNCTION("""COMPUTED_VALUE"""),0.23333333333333334)</f>
        <v>0.2333333333</v>
      </c>
      <c r="H572" s="17">
        <f>IFERROR(__xludf.DUMMYFUNCTION("""COMPUTED_VALUE"""),41815.0)</f>
        <v>41815</v>
      </c>
      <c r="I572" s="19">
        <f>IFERROR(__xludf.DUMMYFUNCTION("""COMPUTED_VALUE"""),0.6888888888888889)</f>
        <v>0.6888888889</v>
      </c>
      <c r="J572" s="21">
        <f>IFERROR(__xludf.DUMMYFUNCTION("""COMPUTED_VALUE"""),77.0)</f>
        <v>77</v>
      </c>
      <c r="K572" s="23">
        <f>IFERROR(__xludf.DUMMYFUNCTION("""COMPUTED_VALUE"""),8.0)</f>
        <v>8</v>
      </c>
      <c r="L572" s="24">
        <f>IFERROR(__xludf.DUMMYFUNCTION("""COMPUTED_VALUE"""),7.0)</f>
        <v>7</v>
      </c>
      <c r="M572" s="25" t="str">
        <f>IFERROR(__xludf.DUMMYFUNCTION("""COMPUTED_VALUE"""),"Adventure")</f>
        <v>Adventure</v>
      </c>
      <c r="N572" s="25"/>
      <c r="O572" s="26" t="str">
        <f>IFERROR(__xludf.DUMMYFUNCTION("""COMPUTED_VALUE"""),"No")</f>
        <v>No</v>
      </c>
      <c r="P572" s="26"/>
    </row>
    <row r="573">
      <c r="A573" s="13" t="str">
        <f>IFERROR(__xludf.DUMMYFUNCTION("""COMPUTED_VALUE"""),"Rogue Legacy")</f>
        <v>Rogue Legacy</v>
      </c>
      <c r="B573" s="15" t="str">
        <f>IFERROR(__xludf.DUMMYFUNCTION("""COMPUTED_VALUE"""),"PS4/PS3/Vita")</f>
        <v>PS4/PS3/Vita</v>
      </c>
      <c r="C573" s="16" t="str">
        <f>IFERROR(__xludf.DUMMYFUNCTION("""COMPUTED_VALUE"""),"Playstation Plus (Discontinued)")</f>
        <v>Playstation Plus (Discontinued)</v>
      </c>
      <c r="D573" s="15" t="str">
        <f>IFERROR(__xludf.DUMMYFUNCTION("""COMPUTED_VALUE"""),"Removed")</f>
        <v>Removed</v>
      </c>
      <c r="E573" s="17">
        <f>IFERROR(__xludf.DUMMYFUNCTION("""COMPUTED_VALUE"""),42038.0)</f>
        <v>42038</v>
      </c>
      <c r="F573" s="54">
        <f>IFERROR(__xludf.DUMMYFUNCTION("""COMPUTED_VALUE"""),42065.0)</f>
        <v>42065</v>
      </c>
      <c r="G573" s="19">
        <f>IFERROR(__xludf.DUMMYFUNCTION("""COMPUTED_VALUE"""),0.9666666666666668)</f>
        <v>0.9666666667</v>
      </c>
      <c r="H573" s="17">
        <f>IFERROR(__xludf.DUMMYFUNCTION("""COMPUTED_VALUE"""),41452.0)</f>
        <v>41452</v>
      </c>
      <c r="I573" s="19">
        <f>IFERROR(__xludf.DUMMYFUNCTION("""COMPUTED_VALUE"""),1.6)</f>
        <v>1.6</v>
      </c>
      <c r="J573" s="21">
        <f>IFERROR(__xludf.DUMMYFUNCTION("""COMPUTED_VALUE"""),85.0)</f>
        <v>85</v>
      </c>
      <c r="K573" s="23">
        <f>IFERROR(__xludf.DUMMYFUNCTION("""COMPUTED_VALUE"""),8.4)</f>
        <v>8.4</v>
      </c>
      <c r="L573" s="24">
        <f>IFERROR(__xludf.DUMMYFUNCTION("""COMPUTED_VALUE"""),13.0)</f>
        <v>13</v>
      </c>
      <c r="M573" s="25" t="str">
        <f>IFERROR(__xludf.DUMMYFUNCTION("""COMPUTED_VALUE"""),"Platformer")</f>
        <v>Platformer</v>
      </c>
      <c r="N573" s="25"/>
      <c r="O573" s="26" t="str">
        <f>IFERROR(__xludf.DUMMYFUNCTION("""COMPUTED_VALUE"""),"No")</f>
        <v>No</v>
      </c>
      <c r="P573" s="26"/>
    </row>
    <row r="574">
      <c r="A574" s="13" t="str">
        <f>IFERROR(__xludf.DUMMYFUNCTION("""COMPUTED_VALUE"""),"Transistor")</f>
        <v>Transistor</v>
      </c>
      <c r="B574" s="15" t="str">
        <f>IFERROR(__xludf.DUMMYFUNCTION("""COMPUTED_VALUE"""),"PS4")</f>
        <v>PS4</v>
      </c>
      <c r="C574" s="16" t="str">
        <f>IFERROR(__xludf.DUMMYFUNCTION("""COMPUTED_VALUE"""),"Playstation Plus (Discontinued)")</f>
        <v>Playstation Plus (Discontinued)</v>
      </c>
      <c r="D574" s="15" t="str">
        <f>IFERROR(__xludf.DUMMYFUNCTION("""COMPUTED_VALUE"""),"Removed")</f>
        <v>Removed</v>
      </c>
      <c r="E574" s="17">
        <f>IFERROR(__xludf.DUMMYFUNCTION("""COMPUTED_VALUE"""),42038.0)</f>
        <v>42038</v>
      </c>
      <c r="F574" s="54">
        <f>IFERROR(__xludf.DUMMYFUNCTION("""COMPUTED_VALUE"""),42065.0)</f>
        <v>42065</v>
      </c>
      <c r="G574" s="19">
        <f>IFERROR(__xludf.DUMMYFUNCTION("""COMPUTED_VALUE"""),0.9666666666666668)</f>
        <v>0.9666666667</v>
      </c>
      <c r="H574" s="17">
        <f>IFERROR(__xludf.DUMMYFUNCTION("""COMPUTED_VALUE"""),41779.0)</f>
        <v>41779</v>
      </c>
      <c r="I574" s="19">
        <f>IFERROR(__xludf.DUMMYFUNCTION("""COMPUTED_VALUE"""),0.7027777777777777)</f>
        <v>0.7027777778</v>
      </c>
      <c r="J574" s="21">
        <f>IFERROR(__xludf.DUMMYFUNCTION("""COMPUTED_VALUE"""),83.0)</f>
        <v>83</v>
      </c>
      <c r="K574" s="23">
        <f>IFERROR(__xludf.DUMMYFUNCTION("""COMPUTED_VALUE"""),8.3)</f>
        <v>8.3</v>
      </c>
      <c r="L574" s="24">
        <f>IFERROR(__xludf.DUMMYFUNCTION("""COMPUTED_VALUE"""),5.0)</f>
        <v>5</v>
      </c>
      <c r="M574" s="25" t="str">
        <f>IFERROR(__xludf.DUMMYFUNCTION("""COMPUTED_VALUE"""),"RPG")</f>
        <v>RPG</v>
      </c>
      <c r="N574" s="25"/>
      <c r="O574" s="26" t="str">
        <f>IFERROR(__xludf.DUMMYFUNCTION("""COMPUTED_VALUE"""),"No")</f>
        <v>No</v>
      </c>
      <c r="P574" s="26"/>
    </row>
    <row r="575">
      <c r="A575" s="13" t="str">
        <f>IFERROR(__xludf.DUMMYFUNCTION("""COMPUTED_VALUE"""),"Apotheon")</f>
        <v>Apotheon</v>
      </c>
      <c r="B575" s="15" t="str">
        <f>IFERROR(__xludf.DUMMYFUNCTION("""COMPUTED_VALUE"""),"PS4")</f>
        <v>PS4</v>
      </c>
      <c r="C575" s="16" t="str">
        <f>IFERROR(__xludf.DUMMYFUNCTION("""COMPUTED_VALUE"""),"Playstation Plus (Discontinued)")</f>
        <v>Playstation Plus (Discontinued)</v>
      </c>
      <c r="D575" s="15" t="str">
        <f>IFERROR(__xludf.DUMMYFUNCTION("""COMPUTED_VALUE"""),"Removed")</f>
        <v>Removed</v>
      </c>
      <c r="E575" s="17">
        <f>IFERROR(__xludf.DUMMYFUNCTION("""COMPUTED_VALUE"""),42038.0)</f>
        <v>42038</v>
      </c>
      <c r="F575" s="54">
        <f>IFERROR(__xludf.DUMMYFUNCTION("""COMPUTED_VALUE"""),42065.0)</f>
        <v>42065</v>
      </c>
      <c r="G575" s="19">
        <f>IFERROR(__xludf.DUMMYFUNCTION("""COMPUTED_VALUE"""),0.9666666666666668)</f>
        <v>0.9666666667</v>
      </c>
      <c r="H575" s="17">
        <f>IFERROR(__xludf.DUMMYFUNCTION("""COMPUTED_VALUE"""),42038.0)</f>
        <v>42038</v>
      </c>
      <c r="I575" s="19">
        <f>IFERROR(__xludf.DUMMYFUNCTION("""COMPUTED_VALUE"""),0.0)</f>
        <v>0</v>
      </c>
      <c r="J575" s="21">
        <f>IFERROR(__xludf.DUMMYFUNCTION("""COMPUTED_VALUE"""),77.0)</f>
        <v>77</v>
      </c>
      <c r="K575" s="23">
        <f>IFERROR(__xludf.DUMMYFUNCTION("""COMPUTED_VALUE"""),7.6)</f>
        <v>7.6</v>
      </c>
      <c r="L575" s="24">
        <f>IFERROR(__xludf.DUMMYFUNCTION("""COMPUTED_VALUE"""),8.0)</f>
        <v>8</v>
      </c>
      <c r="M575" s="25" t="str">
        <f>IFERROR(__xludf.DUMMYFUNCTION("""COMPUTED_VALUE"""),"Platformer")</f>
        <v>Platformer</v>
      </c>
      <c r="N575" s="25"/>
      <c r="O575" s="26" t="str">
        <f>IFERROR(__xludf.DUMMYFUNCTION("""COMPUTED_VALUE"""),"No")</f>
        <v>No</v>
      </c>
      <c r="P575" s="26"/>
    </row>
    <row r="576">
      <c r="A576" s="13" t="str">
        <f>IFERROR(__xludf.DUMMYFUNCTION("""COMPUTED_VALUE"""),"Yakuza 4")</f>
        <v>Yakuza 4</v>
      </c>
      <c r="B576" s="15" t="str">
        <f>IFERROR(__xludf.DUMMYFUNCTION("""COMPUTED_VALUE"""),"PS3")</f>
        <v>PS3</v>
      </c>
      <c r="C576" s="16" t="str">
        <f>IFERROR(__xludf.DUMMYFUNCTION("""COMPUTED_VALUE"""),"Playstation Plus (Discontinued)")</f>
        <v>Playstation Plus (Discontinued)</v>
      </c>
      <c r="D576" s="15" t="str">
        <f>IFERROR(__xludf.DUMMYFUNCTION("""COMPUTED_VALUE"""),"Removed")</f>
        <v>Removed</v>
      </c>
      <c r="E576" s="17">
        <f>IFERROR(__xludf.DUMMYFUNCTION("""COMPUTED_VALUE"""),42038.0)</f>
        <v>42038</v>
      </c>
      <c r="F576" s="54">
        <f>IFERROR(__xludf.DUMMYFUNCTION("""COMPUTED_VALUE"""),42065.0)</f>
        <v>42065</v>
      </c>
      <c r="G576" s="19">
        <f>IFERROR(__xludf.DUMMYFUNCTION("""COMPUTED_VALUE"""),0.9666666666666668)</f>
        <v>0.9666666667</v>
      </c>
      <c r="H576" s="17">
        <f>IFERROR(__xludf.DUMMYFUNCTION("""COMPUTED_VALUE"""),40617.0)</f>
        <v>40617</v>
      </c>
      <c r="I576" s="19">
        <f>IFERROR(__xludf.DUMMYFUNCTION("""COMPUTED_VALUE"""),3.8833333333333333)</f>
        <v>3.883333333</v>
      </c>
      <c r="J576" s="21">
        <f>IFERROR(__xludf.DUMMYFUNCTION("""COMPUTED_VALUE"""),78.0)</f>
        <v>78</v>
      </c>
      <c r="K576" s="23">
        <f>IFERROR(__xludf.DUMMYFUNCTION("""COMPUTED_VALUE"""),8.4)</f>
        <v>8.4</v>
      </c>
      <c r="L576" s="24">
        <f>IFERROR(__xludf.DUMMYFUNCTION("""COMPUTED_VALUE"""),28.0)</f>
        <v>28</v>
      </c>
      <c r="M576" s="25" t="str">
        <f>IFERROR(__xludf.DUMMYFUNCTION("""COMPUTED_VALUE"""),"Action-Adventure")</f>
        <v>Action-Adventure</v>
      </c>
      <c r="N576" s="25"/>
      <c r="O576" s="26" t="str">
        <f>IFERROR(__xludf.DUMMYFUNCTION("""COMPUTED_VALUE"""),"No")</f>
        <v>No</v>
      </c>
      <c r="P576" s="26"/>
    </row>
    <row r="577">
      <c r="A577" s="13" t="str">
        <f>IFERROR(__xludf.DUMMYFUNCTION("""COMPUTED_VALUE"""),"Thief")</f>
        <v>Thief</v>
      </c>
      <c r="B577" s="15" t="str">
        <f>IFERROR(__xludf.DUMMYFUNCTION("""COMPUTED_VALUE"""),"PS3")</f>
        <v>PS3</v>
      </c>
      <c r="C577" s="16" t="str">
        <f>IFERROR(__xludf.DUMMYFUNCTION("""COMPUTED_VALUE"""),"Playstation Plus (Discontinued)")</f>
        <v>Playstation Plus (Discontinued)</v>
      </c>
      <c r="D577" s="15" t="str">
        <f>IFERROR(__xludf.DUMMYFUNCTION("""COMPUTED_VALUE"""),"Removed")</f>
        <v>Removed</v>
      </c>
      <c r="E577" s="17">
        <f>IFERROR(__xludf.DUMMYFUNCTION("""COMPUTED_VALUE"""),42038.0)</f>
        <v>42038</v>
      </c>
      <c r="F577" s="54">
        <f>IFERROR(__xludf.DUMMYFUNCTION("""COMPUTED_VALUE"""),42065.0)</f>
        <v>42065</v>
      </c>
      <c r="G577" s="19">
        <f>IFERROR(__xludf.DUMMYFUNCTION("""COMPUTED_VALUE"""),0.9666666666666668)</f>
        <v>0.9666666667</v>
      </c>
      <c r="H577" s="17">
        <f>IFERROR(__xludf.DUMMYFUNCTION("""COMPUTED_VALUE"""),41695.0)</f>
        <v>41695</v>
      </c>
      <c r="I577" s="19">
        <f>IFERROR(__xludf.DUMMYFUNCTION("""COMPUTED_VALUE"""),0.9388888888888889)</f>
        <v>0.9388888889</v>
      </c>
      <c r="J577" s="21">
        <f>IFERROR(__xludf.DUMMYFUNCTION("""COMPUTED_VALUE"""),70.0)</f>
        <v>70</v>
      </c>
      <c r="K577" s="23">
        <f>IFERROR(__xludf.DUMMYFUNCTION("""COMPUTED_VALUE"""),7.1)</f>
        <v>7.1</v>
      </c>
      <c r="L577" s="24">
        <f>IFERROR(__xludf.DUMMYFUNCTION("""COMPUTED_VALUE"""),15.0)</f>
        <v>15</v>
      </c>
      <c r="M577" s="25" t="str">
        <f>IFERROR(__xludf.DUMMYFUNCTION("""COMPUTED_VALUE"""),"Action-Adventure")</f>
        <v>Action-Adventure</v>
      </c>
      <c r="N577" s="25"/>
      <c r="O577" s="26" t="str">
        <f>IFERROR(__xludf.DUMMYFUNCTION("""COMPUTED_VALUE"""),"No")</f>
        <v>No</v>
      </c>
      <c r="P577" s="26"/>
    </row>
    <row r="578">
      <c r="A578" s="13" t="str">
        <f>IFERROR(__xludf.DUMMYFUNCTION("""COMPUTED_VALUE"""),"Kick &amp; Fennick")</f>
        <v>Kick &amp; Fennick</v>
      </c>
      <c r="B578" s="15" t="str">
        <f>IFERROR(__xludf.DUMMYFUNCTION("""COMPUTED_VALUE"""),"Vita")</f>
        <v>Vita</v>
      </c>
      <c r="C578" s="16" t="str">
        <f>IFERROR(__xludf.DUMMYFUNCTION("""COMPUTED_VALUE"""),"Playstation Plus (Discontinued)")</f>
        <v>Playstation Plus (Discontinued)</v>
      </c>
      <c r="D578" s="15" t="str">
        <f>IFERROR(__xludf.DUMMYFUNCTION("""COMPUTED_VALUE"""),"Removed")</f>
        <v>Removed</v>
      </c>
      <c r="E578" s="17">
        <f>IFERROR(__xludf.DUMMYFUNCTION("""COMPUTED_VALUE"""),42038.0)</f>
        <v>42038</v>
      </c>
      <c r="F578" s="54">
        <f>IFERROR(__xludf.DUMMYFUNCTION("""COMPUTED_VALUE"""),42065.0)</f>
        <v>42065</v>
      </c>
      <c r="G578" s="19">
        <f>IFERROR(__xludf.DUMMYFUNCTION("""COMPUTED_VALUE"""),0.9666666666666668)</f>
        <v>0.9666666667</v>
      </c>
      <c r="H578" s="17">
        <f>IFERROR(__xludf.DUMMYFUNCTION("""COMPUTED_VALUE"""),42038.0)</f>
        <v>42038</v>
      </c>
      <c r="I578" s="19">
        <f>IFERROR(__xludf.DUMMYFUNCTION("""COMPUTED_VALUE"""),0.0)</f>
        <v>0</v>
      </c>
      <c r="J578" s="21">
        <f>IFERROR(__xludf.DUMMYFUNCTION("""COMPUTED_VALUE"""),52.0)</f>
        <v>52</v>
      </c>
      <c r="K578" s="23">
        <f>IFERROR(__xludf.DUMMYFUNCTION("""COMPUTED_VALUE"""),6.1)</f>
        <v>6.1</v>
      </c>
      <c r="L578" s="24">
        <f>IFERROR(__xludf.DUMMYFUNCTION("""COMPUTED_VALUE"""),4.0)</f>
        <v>4</v>
      </c>
      <c r="M578" s="25" t="str">
        <f>IFERROR(__xludf.DUMMYFUNCTION("""COMPUTED_VALUE"""),"Platformer")</f>
        <v>Platformer</v>
      </c>
      <c r="N578" s="25"/>
      <c r="O578" s="26" t="str">
        <f>IFERROR(__xludf.DUMMYFUNCTION("""COMPUTED_VALUE"""),"No")</f>
        <v>No</v>
      </c>
      <c r="P578" s="26"/>
    </row>
    <row r="579">
      <c r="A579" s="13" t="str">
        <f>IFERROR(__xludf.DUMMYFUNCTION("""COMPUTED_VALUE"""),"The Swapper")</f>
        <v>The Swapper</v>
      </c>
      <c r="B579" s="15" t="str">
        <f>IFERROR(__xludf.DUMMYFUNCTION("""COMPUTED_VALUE"""),"PS4/PS3/Vita")</f>
        <v>PS4/PS3/Vita</v>
      </c>
      <c r="C579" s="16" t="str">
        <f>IFERROR(__xludf.DUMMYFUNCTION("""COMPUTED_VALUE"""),"Playstation Plus (Discontinued)")</f>
        <v>Playstation Plus (Discontinued)</v>
      </c>
      <c r="D579" s="15" t="str">
        <f>IFERROR(__xludf.DUMMYFUNCTION("""COMPUTED_VALUE"""),"Removed")</f>
        <v>Removed</v>
      </c>
      <c r="E579" s="17">
        <f>IFERROR(__xludf.DUMMYFUNCTION("""COMPUTED_VALUE"""),42010.0)</f>
        <v>42010</v>
      </c>
      <c r="F579" s="54">
        <f>IFERROR(__xludf.DUMMYFUNCTION("""COMPUTED_VALUE"""),42037.0)</f>
        <v>42037</v>
      </c>
      <c r="G579" s="19">
        <f>IFERROR(__xludf.DUMMYFUNCTION("""COMPUTED_VALUE"""),0.8666666666666666)</f>
        <v>0.8666666667</v>
      </c>
      <c r="H579" s="17">
        <f>IFERROR(__xludf.DUMMYFUNCTION("""COMPUTED_VALUE"""),41807.0)</f>
        <v>41807</v>
      </c>
      <c r="I579" s="19">
        <f>IFERROR(__xludf.DUMMYFUNCTION("""COMPUTED_VALUE"""),0.5527777777777778)</f>
        <v>0.5527777778</v>
      </c>
      <c r="J579" s="21">
        <f>IFERROR(__xludf.DUMMYFUNCTION("""COMPUTED_VALUE"""),87.0)</f>
        <v>87</v>
      </c>
      <c r="K579" s="23">
        <f>IFERROR(__xludf.DUMMYFUNCTION("""COMPUTED_VALUE"""),7.8)</f>
        <v>7.8</v>
      </c>
      <c r="L579" s="24">
        <f>IFERROR(__xludf.DUMMYFUNCTION("""COMPUTED_VALUE"""),5.0)</f>
        <v>5</v>
      </c>
      <c r="M579" s="25" t="str">
        <f>IFERROR(__xludf.DUMMYFUNCTION("""COMPUTED_VALUE"""),"Puzzle")</f>
        <v>Puzzle</v>
      </c>
      <c r="N579" s="25"/>
      <c r="O579" s="26" t="str">
        <f>IFERROR(__xludf.DUMMYFUNCTION("""COMPUTED_VALUE"""),"No")</f>
        <v>No</v>
      </c>
      <c r="P579" s="26"/>
    </row>
    <row r="580">
      <c r="A580" s="13" t="str">
        <f>IFERROR(__xludf.DUMMYFUNCTION("""COMPUTED_VALUE"""),"Whoa Dave!")</f>
        <v>Whoa Dave!</v>
      </c>
      <c r="B580" s="15" t="str">
        <f>IFERROR(__xludf.DUMMYFUNCTION("""COMPUTED_VALUE"""),"PS4/Vita")</f>
        <v>PS4/Vita</v>
      </c>
      <c r="C580" s="16" t="str">
        <f>IFERROR(__xludf.DUMMYFUNCTION("""COMPUTED_VALUE"""),"Playstation Plus (Discontinued)")</f>
        <v>Playstation Plus (Discontinued)</v>
      </c>
      <c r="D580" s="15" t="str">
        <f>IFERROR(__xludf.DUMMYFUNCTION("""COMPUTED_VALUE"""),"Removed")</f>
        <v>Removed</v>
      </c>
      <c r="E580" s="17">
        <f>IFERROR(__xludf.DUMMYFUNCTION("""COMPUTED_VALUE"""),42010.0)</f>
        <v>42010</v>
      </c>
      <c r="F580" s="54">
        <f>IFERROR(__xludf.DUMMYFUNCTION("""COMPUTED_VALUE"""),42037.0)</f>
        <v>42037</v>
      </c>
      <c r="G580" s="19">
        <f>IFERROR(__xludf.DUMMYFUNCTION("""COMPUTED_VALUE"""),0.8666666666666666)</f>
        <v>0.8666666667</v>
      </c>
      <c r="H580" s="17">
        <f>IFERROR(__xludf.DUMMYFUNCTION("""COMPUTED_VALUE"""),42010.0)</f>
        <v>42010</v>
      </c>
      <c r="I580" s="19">
        <f>IFERROR(__xludf.DUMMYFUNCTION("""COMPUTED_VALUE"""),0.0)</f>
        <v>0</v>
      </c>
      <c r="J580" s="21">
        <f>IFERROR(__xludf.DUMMYFUNCTION("""COMPUTED_VALUE"""),66.0)</f>
        <v>66</v>
      </c>
      <c r="K580" s="23">
        <f>IFERROR(__xludf.DUMMYFUNCTION("""COMPUTED_VALUE"""),6.8)</f>
        <v>6.8</v>
      </c>
      <c r="L580" s="24">
        <f>IFERROR(__xludf.DUMMYFUNCTION("""COMPUTED_VALUE"""),1.0)</f>
        <v>1</v>
      </c>
      <c r="M580" s="25" t="str">
        <f>IFERROR(__xludf.DUMMYFUNCTION("""COMPUTED_VALUE"""),"Arcade")</f>
        <v>Arcade</v>
      </c>
      <c r="N580" s="25"/>
      <c r="O580" s="26" t="str">
        <f>IFERROR(__xludf.DUMMYFUNCTION("""COMPUTED_VALUE"""),"No")</f>
        <v>No</v>
      </c>
      <c r="P580" s="26"/>
    </row>
    <row r="581">
      <c r="A581" s="13" t="str">
        <f>IFERROR(__xludf.DUMMYFUNCTION("""COMPUTED_VALUE"""),"InFamous: First Light")</f>
        <v>InFamous: First Light</v>
      </c>
      <c r="B581" s="15" t="str">
        <f>IFERROR(__xludf.DUMMYFUNCTION("""COMPUTED_VALUE"""),"PS4")</f>
        <v>PS4</v>
      </c>
      <c r="C581" s="16" t="str">
        <f>IFERROR(__xludf.DUMMYFUNCTION("""COMPUTED_VALUE"""),"Playstation Plus (Discontinued)")</f>
        <v>Playstation Plus (Discontinued)</v>
      </c>
      <c r="D581" s="15" t="str">
        <f>IFERROR(__xludf.DUMMYFUNCTION("""COMPUTED_VALUE"""),"Removed")</f>
        <v>Removed</v>
      </c>
      <c r="E581" s="17">
        <f>IFERROR(__xludf.DUMMYFUNCTION("""COMPUTED_VALUE"""),42010.0)</f>
        <v>42010</v>
      </c>
      <c r="F581" s="54">
        <f>IFERROR(__xludf.DUMMYFUNCTION("""COMPUTED_VALUE"""),42037.0)</f>
        <v>42037</v>
      </c>
      <c r="G581" s="19">
        <f>IFERROR(__xludf.DUMMYFUNCTION("""COMPUTED_VALUE"""),0.8666666666666666)</f>
        <v>0.8666666667</v>
      </c>
      <c r="H581" s="17">
        <f>IFERROR(__xludf.DUMMYFUNCTION("""COMPUTED_VALUE"""),41877.0)</f>
        <v>41877</v>
      </c>
      <c r="I581" s="19">
        <f>IFERROR(__xludf.DUMMYFUNCTION("""COMPUTED_VALUE"""),0.3611111111111111)</f>
        <v>0.3611111111</v>
      </c>
      <c r="J581" s="21">
        <f>IFERROR(__xludf.DUMMYFUNCTION("""COMPUTED_VALUE"""),73.0)</f>
        <v>73</v>
      </c>
      <c r="K581" s="23">
        <f>IFERROR(__xludf.DUMMYFUNCTION("""COMPUTED_VALUE"""),7.3)</f>
        <v>7.3</v>
      </c>
      <c r="L581" s="24">
        <f>IFERROR(__xludf.DUMMYFUNCTION("""COMPUTED_VALUE"""),4.0)</f>
        <v>4</v>
      </c>
      <c r="M581" s="25" t="str">
        <f>IFERROR(__xludf.DUMMYFUNCTION("""COMPUTED_VALUE"""),"Action-Adventure")</f>
        <v>Action-Adventure</v>
      </c>
      <c r="N581" s="25"/>
      <c r="O581" s="26" t="str">
        <f>IFERROR(__xludf.DUMMYFUNCTION("""COMPUTED_VALUE"""),"No")</f>
        <v>No</v>
      </c>
      <c r="P581" s="26"/>
    </row>
    <row r="582">
      <c r="A582" s="13" t="str">
        <f>IFERROR(__xludf.DUMMYFUNCTION("""COMPUTED_VALUE"""),"Prototype 2")</f>
        <v>Prototype 2</v>
      </c>
      <c r="B582" s="15" t="str">
        <f>IFERROR(__xludf.DUMMYFUNCTION("""COMPUTED_VALUE"""),"PS3")</f>
        <v>PS3</v>
      </c>
      <c r="C582" s="16" t="str">
        <f>IFERROR(__xludf.DUMMYFUNCTION("""COMPUTED_VALUE"""),"Playstation Plus (Discontinued)")</f>
        <v>Playstation Plus (Discontinued)</v>
      </c>
      <c r="D582" s="15" t="str">
        <f>IFERROR(__xludf.DUMMYFUNCTION("""COMPUTED_VALUE"""),"Removed")</f>
        <v>Removed</v>
      </c>
      <c r="E582" s="17">
        <f>IFERROR(__xludf.DUMMYFUNCTION("""COMPUTED_VALUE"""),42010.0)</f>
        <v>42010</v>
      </c>
      <c r="F582" s="54">
        <f>IFERROR(__xludf.DUMMYFUNCTION("""COMPUTED_VALUE"""),42037.0)</f>
        <v>42037</v>
      </c>
      <c r="G582" s="19">
        <f>IFERROR(__xludf.DUMMYFUNCTION("""COMPUTED_VALUE"""),0.8666666666666666)</f>
        <v>0.8666666667</v>
      </c>
      <c r="H582" s="17">
        <f>IFERROR(__xludf.DUMMYFUNCTION("""COMPUTED_VALUE"""),41023.0)</f>
        <v>41023</v>
      </c>
      <c r="I582" s="19">
        <f>IFERROR(__xludf.DUMMYFUNCTION("""COMPUTED_VALUE"""),2.7)</f>
        <v>2.7</v>
      </c>
      <c r="J582" s="21">
        <f>IFERROR(__xludf.DUMMYFUNCTION("""COMPUTED_VALUE"""),79.0)</f>
        <v>79</v>
      </c>
      <c r="K582" s="23">
        <f>IFERROR(__xludf.DUMMYFUNCTION("""COMPUTED_VALUE"""),7.8)</f>
        <v>7.8</v>
      </c>
      <c r="L582" s="24">
        <f>IFERROR(__xludf.DUMMYFUNCTION("""COMPUTED_VALUE"""),13.0)</f>
        <v>13</v>
      </c>
      <c r="M582" s="25" t="str">
        <f>IFERROR(__xludf.DUMMYFUNCTION("""COMPUTED_VALUE"""),"Action-Adventure")</f>
        <v>Action-Adventure</v>
      </c>
      <c r="N582" s="25"/>
      <c r="O582" s="26" t="str">
        <f>IFERROR(__xludf.DUMMYFUNCTION("""COMPUTED_VALUE"""),"No")</f>
        <v>No</v>
      </c>
      <c r="P582" s="26"/>
    </row>
    <row r="583">
      <c r="A583" s="13" t="str">
        <f>IFERROR(__xludf.DUMMYFUNCTION("""COMPUTED_VALUE"""),"DuckTales Remastered")</f>
        <v>DuckTales Remastered</v>
      </c>
      <c r="B583" s="15" t="str">
        <f>IFERROR(__xludf.DUMMYFUNCTION("""COMPUTED_VALUE"""),"PS3")</f>
        <v>PS3</v>
      </c>
      <c r="C583" s="16" t="str">
        <f>IFERROR(__xludf.DUMMYFUNCTION("""COMPUTED_VALUE"""),"Playstation Plus (Discontinued)")</f>
        <v>Playstation Plus (Discontinued)</v>
      </c>
      <c r="D583" s="15" t="str">
        <f>IFERROR(__xludf.DUMMYFUNCTION("""COMPUTED_VALUE"""),"Removed")</f>
        <v>Removed</v>
      </c>
      <c r="E583" s="17">
        <f>IFERROR(__xludf.DUMMYFUNCTION("""COMPUTED_VALUE"""),42010.0)</f>
        <v>42010</v>
      </c>
      <c r="F583" s="54">
        <f>IFERROR(__xludf.DUMMYFUNCTION("""COMPUTED_VALUE"""),42037.0)</f>
        <v>42037</v>
      </c>
      <c r="G583" s="19">
        <f>IFERROR(__xludf.DUMMYFUNCTION("""COMPUTED_VALUE"""),0.8666666666666666)</f>
        <v>0.8666666667</v>
      </c>
      <c r="H583" s="17">
        <f>IFERROR(__xludf.DUMMYFUNCTION("""COMPUTED_VALUE"""),41499.0)</f>
        <v>41499</v>
      </c>
      <c r="I583" s="19">
        <f>IFERROR(__xludf.DUMMYFUNCTION("""COMPUTED_VALUE"""),1.3972222222222221)</f>
        <v>1.397222222</v>
      </c>
      <c r="J583" s="21">
        <f>IFERROR(__xludf.DUMMYFUNCTION("""COMPUTED_VALUE"""),74.0)</f>
        <v>74</v>
      </c>
      <c r="K583" s="23">
        <f>IFERROR(__xludf.DUMMYFUNCTION("""COMPUTED_VALUE"""),7.8)</f>
        <v>7.8</v>
      </c>
      <c r="L583" s="24">
        <f>IFERROR(__xludf.DUMMYFUNCTION("""COMPUTED_VALUE"""),5.0)</f>
        <v>5</v>
      </c>
      <c r="M583" s="25" t="str">
        <f>IFERROR(__xludf.DUMMYFUNCTION("""COMPUTED_VALUE"""),"Platformer")</f>
        <v>Platformer</v>
      </c>
      <c r="N583" s="25"/>
      <c r="O583" s="26" t="str">
        <f>IFERROR(__xludf.DUMMYFUNCTION("""COMPUTED_VALUE"""),"No")</f>
        <v>No</v>
      </c>
      <c r="P583" s="26"/>
    </row>
    <row r="584">
      <c r="A584" s="13" t="str">
        <f>IFERROR(__xludf.DUMMYFUNCTION("""COMPUTED_VALUE"""),"Duke Nukem 3D: Megaton Edition")</f>
        <v>Duke Nukem 3D: Megaton Edition</v>
      </c>
      <c r="B584" s="15" t="str">
        <f>IFERROR(__xludf.DUMMYFUNCTION("""COMPUTED_VALUE"""),"PS3/Vita")</f>
        <v>PS3/Vita</v>
      </c>
      <c r="C584" s="16" t="str">
        <f>IFERROR(__xludf.DUMMYFUNCTION("""COMPUTED_VALUE"""),"Playstation Plus (Discontinued)")</f>
        <v>Playstation Plus (Discontinued)</v>
      </c>
      <c r="D584" s="15" t="str">
        <f>IFERROR(__xludf.DUMMYFUNCTION("""COMPUTED_VALUE"""),"Removed")</f>
        <v>Removed</v>
      </c>
      <c r="E584" s="17">
        <f>IFERROR(__xludf.DUMMYFUNCTION("""COMPUTED_VALUE"""),42010.0)</f>
        <v>42010</v>
      </c>
      <c r="F584" s="54">
        <f>IFERROR(__xludf.DUMMYFUNCTION("""COMPUTED_VALUE"""),42037.0)</f>
        <v>42037</v>
      </c>
      <c r="G584" s="19">
        <f>IFERROR(__xludf.DUMMYFUNCTION("""COMPUTED_VALUE"""),0.8666666666666666)</f>
        <v>0.8666666667</v>
      </c>
      <c r="H584" s="17">
        <f>IFERROR(__xludf.DUMMYFUNCTION("""COMPUTED_VALUE"""),41294.0)</f>
        <v>41294</v>
      </c>
      <c r="I584" s="19">
        <f>IFERROR(__xludf.DUMMYFUNCTION("""COMPUTED_VALUE"""),1.961111111111111)</f>
        <v>1.961111111</v>
      </c>
      <c r="J584" s="21">
        <f>IFERROR(__xludf.DUMMYFUNCTION("""COMPUTED_VALUE"""),79.0)</f>
        <v>79</v>
      </c>
      <c r="K584" s="23">
        <f>IFERROR(__xludf.DUMMYFUNCTION("""COMPUTED_VALUE"""),8.3)</f>
        <v>8.3</v>
      </c>
      <c r="L584" s="24">
        <f>IFERROR(__xludf.DUMMYFUNCTION("""COMPUTED_VALUE"""),4.0)</f>
        <v>4</v>
      </c>
      <c r="M584" s="25" t="str">
        <f>IFERROR(__xludf.DUMMYFUNCTION("""COMPUTED_VALUE"""),"Shooter")</f>
        <v>Shooter</v>
      </c>
      <c r="N584" s="25"/>
      <c r="O584" s="26" t="str">
        <f>IFERROR(__xludf.DUMMYFUNCTION("""COMPUTED_VALUE"""),"No")</f>
        <v>No</v>
      </c>
      <c r="P584" s="26"/>
    </row>
    <row r="585">
      <c r="A585" s="13" t="str">
        <f>IFERROR(__xludf.DUMMYFUNCTION("""COMPUTED_VALUE"""),"Final Horizon")</f>
        <v>Final Horizon</v>
      </c>
      <c r="B585" s="15" t="str">
        <f>IFERROR(__xludf.DUMMYFUNCTION("""COMPUTED_VALUE"""),"Vita")</f>
        <v>Vita</v>
      </c>
      <c r="C585" s="16" t="str">
        <f>IFERROR(__xludf.DUMMYFUNCTION("""COMPUTED_VALUE"""),"Playstation Plus (Discontinued)")</f>
        <v>Playstation Plus (Discontinued)</v>
      </c>
      <c r="D585" s="15" t="str">
        <f>IFERROR(__xludf.DUMMYFUNCTION("""COMPUTED_VALUE"""),"Removed")</f>
        <v>Removed</v>
      </c>
      <c r="E585" s="17">
        <f>IFERROR(__xludf.DUMMYFUNCTION("""COMPUTED_VALUE"""),41975.0)</f>
        <v>41975</v>
      </c>
      <c r="F585" s="54">
        <f>IFERROR(__xludf.DUMMYFUNCTION("""COMPUTED_VALUE"""),42009.0)</f>
        <v>42009</v>
      </c>
      <c r="G585" s="19">
        <f>IFERROR(__xludf.DUMMYFUNCTION("""COMPUTED_VALUE"""),1.0999999999999999)</f>
        <v>1.1</v>
      </c>
      <c r="H585" s="17">
        <f>IFERROR(__xludf.DUMMYFUNCTION("""COMPUTED_VALUE"""),41947.0)</f>
        <v>41947</v>
      </c>
      <c r="I585" s="19">
        <f>IFERROR(__xludf.DUMMYFUNCTION("""COMPUTED_VALUE"""),0.07777777777777778)</f>
        <v>0.07777777778</v>
      </c>
      <c r="J585" s="21">
        <f>IFERROR(__xludf.DUMMYFUNCTION("""COMPUTED_VALUE"""),68.0)</f>
        <v>68</v>
      </c>
      <c r="K585" s="23">
        <f>IFERROR(__xludf.DUMMYFUNCTION("""COMPUTED_VALUE"""),6.9)</f>
        <v>6.9</v>
      </c>
      <c r="L585" s="24">
        <f>IFERROR(__xludf.DUMMYFUNCTION("""COMPUTED_VALUE"""),6.0)</f>
        <v>6</v>
      </c>
      <c r="M585" s="25" t="str">
        <f>IFERROR(__xludf.DUMMYFUNCTION("""COMPUTED_VALUE"""),"Strategy")</f>
        <v>Strategy</v>
      </c>
      <c r="N585" s="25"/>
      <c r="O585" s="26" t="str">
        <f>IFERROR(__xludf.DUMMYFUNCTION("""COMPUTED_VALUE"""),"No")</f>
        <v>No</v>
      </c>
      <c r="P585" s="26"/>
    </row>
    <row r="586">
      <c r="A586" s="13" t="str">
        <f>IFERROR(__xludf.DUMMYFUNCTION("""COMPUTED_VALUE"""),"Titan Attacks!")</f>
        <v>Titan Attacks!</v>
      </c>
      <c r="B586" s="15" t="str">
        <f>IFERROR(__xludf.DUMMYFUNCTION("""COMPUTED_VALUE"""),"PS4/PS3/Vita")</f>
        <v>PS4/PS3/Vita</v>
      </c>
      <c r="C586" s="16" t="str">
        <f>IFERROR(__xludf.DUMMYFUNCTION("""COMPUTED_VALUE"""),"Playstation Plus (Discontinued)")</f>
        <v>Playstation Plus (Discontinued)</v>
      </c>
      <c r="D586" s="15" t="str">
        <f>IFERROR(__xludf.DUMMYFUNCTION("""COMPUTED_VALUE"""),"Removed")</f>
        <v>Removed</v>
      </c>
      <c r="E586" s="17">
        <f>IFERROR(__xludf.DUMMYFUNCTION("""COMPUTED_VALUE"""),41975.0)</f>
        <v>41975</v>
      </c>
      <c r="F586" s="54">
        <f>IFERROR(__xludf.DUMMYFUNCTION("""COMPUTED_VALUE"""),42009.0)</f>
        <v>42009</v>
      </c>
      <c r="G586" s="19">
        <f>IFERROR(__xludf.DUMMYFUNCTION("""COMPUTED_VALUE"""),1.0999999999999999)</f>
        <v>1.1</v>
      </c>
      <c r="H586" s="17">
        <f>IFERROR(__xludf.DUMMYFUNCTION("""COMPUTED_VALUE"""),38789.0)</f>
        <v>38789</v>
      </c>
      <c r="I586" s="19">
        <f>IFERROR(__xludf.DUMMYFUNCTION("""COMPUTED_VALUE"""),8.719444444444445)</f>
        <v>8.719444444</v>
      </c>
      <c r="J586" s="21">
        <f>IFERROR(__xludf.DUMMYFUNCTION("""COMPUTED_VALUE"""),77.0)</f>
        <v>77</v>
      </c>
      <c r="K586" s="23">
        <f>IFERROR(__xludf.DUMMYFUNCTION("""COMPUTED_VALUE"""),7.0)</f>
        <v>7</v>
      </c>
      <c r="L586" s="24">
        <f>IFERROR(__xludf.DUMMYFUNCTION("""COMPUTED_VALUE"""),5.0)</f>
        <v>5</v>
      </c>
      <c r="M586" s="25" t="str">
        <f>IFERROR(__xludf.DUMMYFUNCTION("""COMPUTED_VALUE"""),"Shooter")</f>
        <v>Shooter</v>
      </c>
      <c r="N586" s="25"/>
      <c r="O586" s="26" t="str">
        <f>IFERROR(__xludf.DUMMYFUNCTION("""COMPUTED_VALUE"""),"No")</f>
        <v>No</v>
      </c>
      <c r="P586" s="26"/>
    </row>
    <row r="587">
      <c r="A587" s="13" t="str">
        <f>IFERROR(__xludf.DUMMYFUNCTION("""COMPUTED_VALUE"""),"Secret Ponchos")</f>
        <v>Secret Ponchos</v>
      </c>
      <c r="B587" s="15" t="str">
        <f>IFERROR(__xludf.DUMMYFUNCTION("""COMPUTED_VALUE"""),"PS4")</f>
        <v>PS4</v>
      </c>
      <c r="C587" s="16" t="str">
        <f>IFERROR(__xludf.DUMMYFUNCTION("""COMPUTED_VALUE"""),"Playstation Plus (Discontinued)")</f>
        <v>Playstation Plus (Discontinued)</v>
      </c>
      <c r="D587" s="15" t="str">
        <f>IFERROR(__xludf.DUMMYFUNCTION("""COMPUTED_VALUE"""),"Removed")</f>
        <v>Removed</v>
      </c>
      <c r="E587" s="17">
        <f>IFERROR(__xludf.DUMMYFUNCTION("""COMPUTED_VALUE"""),41975.0)</f>
        <v>41975</v>
      </c>
      <c r="F587" s="54">
        <f>IFERROR(__xludf.DUMMYFUNCTION("""COMPUTED_VALUE"""),42009.0)</f>
        <v>42009</v>
      </c>
      <c r="G587" s="19">
        <f>IFERROR(__xludf.DUMMYFUNCTION("""COMPUTED_VALUE"""),1.0999999999999999)</f>
        <v>1.1</v>
      </c>
      <c r="H587" s="17">
        <f>IFERROR(__xludf.DUMMYFUNCTION("""COMPUTED_VALUE"""),41975.0)</f>
        <v>41975</v>
      </c>
      <c r="I587" s="19">
        <f>IFERROR(__xludf.DUMMYFUNCTION("""COMPUTED_VALUE"""),0.0)</f>
        <v>0</v>
      </c>
      <c r="J587" s="21">
        <f>IFERROR(__xludf.DUMMYFUNCTION("""COMPUTED_VALUE"""),71.0)</f>
        <v>71</v>
      </c>
      <c r="K587" s="23">
        <f>IFERROR(__xludf.DUMMYFUNCTION("""COMPUTED_VALUE"""),7.0)</f>
        <v>7</v>
      </c>
      <c r="L587" s="24"/>
      <c r="M587" s="25" t="str">
        <f>IFERROR(__xludf.DUMMYFUNCTION("""COMPUTED_VALUE"""),"Shooter")</f>
        <v>Shooter</v>
      </c>
      <c r="N587" s="25"/>
      <c r="O587" s="26" t="str">
        <f>IFERROR(__xludf.DUMMYFUNCTION("""COMPUTED_VALUE"""),"No")</f>
        <v>No</v>
      </c>
      <c r="P587" s="26"/>
    </row>
    <row r="588">
      <c r="A588" s="13" t="str">
        <f>IFERROR(__xludf.DUMMYFUNCTION("""COMPUTED_VALUE"""),"Deadly Premonition: The Director’s Cut")</f>
        <v>Deadly Premonition: The Director’s Cut</v>
      </c>
      <c r="B588" s="15" t="str">
        <f>IFERROR(__xludf.DUMMYFUNCTION("""COMPUTED_VALUE"""),"PS3")</f>
        <v>PS3</v>
      </c>
      <c r="C588" s="16" t="str">
        <f>IFERROR(__xludf.DUMMYFUNCTION("""COMPUTED_VALUE"""),"Playstation Plus (Discontinued)")</f>
        <v>Playstation Plus (Discontinued)</v>
      </c>
      <c r="D588" s="15" t="str">
        <f>IFERROR(__xludf.DUMMYFUNCTION("""COMPUTED_VALUE"""),"Removed")</f>
        <v>Removed</v>
      </c>
      <c r="E588" s="17">
        <f>IFERROR(__xludf.DUMMYFUNCTION("""COMPUTED_VALUE"""),41975.0)</f>
        <v>41975</v>
      </c>
      <c r="F588" s="54">
        <f>IFERROR(__xludf.DUMMYFUNCTION("""COMPUTED_VALUE"""),42009.0)</f>
        <v>42009</v>
      </c>
      <c r="G588" s="19">
        <f>IFERROR(__xludf.DUMMYFUNCTION("""COMPUTED_VALUE"""),1.0999999999999999)</f>
        <v>1.1</v>
      </c>
      <c r="H588" s="17">
        <f>IFERROR(__xludf.DUMMYFUNCTION("""COMPUTED_VALUE"""),41394.0)</f>
        <v>41394</v>
      </c>
      <c r="I588" s="19">
        <f>IFERROR(__xludf.DUMMYFUNCTION("""COMPUTED_VALUE"""),1.5888888888888888)</f>
        <v>1.588888889</v>
      </c>
      <c r="J588" s="21">
        <f>IFERROR(__xludf.DUMMYFUNCTION("""COMPUTED_VALUE"""),70.0)</f>
        <v>70</v>
      </c>
      <c r="K588" s="23">
        <f>IFERROR(__xludf.DUMMYFUNCTION("""COMPUTED_VALUE"""),8.1)</f>
        <v>8.1</v>
      </c>
      <c r="L588" s="24">
        <f>IFERROR(__xludf.DUMMYFUNCTION("""COMPUTED_VALUE"""),19.0)</f>
        <v>19</v>
      </c>
      <c r="M588" s="25" t="str">
        <f>IFERROR(__xludf.DUMMYFUNCTION("""COMPUTED_VALUE"""),"Horror")</f>
        <v>Horror</v>
      </c>
      <c r="N588" s="25"/>
      <c r="O588" s="26" t="str">
        <f>IFERROR(__xludf.DUMMYFUNCTION("""COMPUTED_VALUE"""),"No")</f>
        <v>No</v>
      </c>
      <c r="P588" s="26"/>
    </row>
    <row r="589">
      <c r="A589" s="13" t="str">
        <f>IFERROR(__xludf.DUMMYFUNCTION("""COMPUTED_VALUE"""),"Hitman HD Trilogy")</f>
        <v>Hitman HD Trilogy</v>
      </c>
      <c r="B589" s="15" t="str">
        <f>IFERROR(__xludf.DUMMYFUNCTION("""COMPUTED_VALUE"""),"PS3")</f>
        <v>PS3</v>
      </c>
      <c r="C589" s="16" t="str">
        <f>IFERROR(__xludf.DUMMYFUNCTION("""COMPUTED_VALUE"""),"Playstation Plus (Discontinued)")</f>
        <v>Playstation Plus (Discontinued)</v>
      </c>
      <c r="D589" s="15" t="str">
        <f>IFERROR(__xludf.DUMMYFUNCTION("""COMPUTED_VALUE"""),"Removed")</f>
        <v>Removed</v>
      </c>
      <c r="E589" s="17">
        <f>IFERROR(__xludf.DUMMYFUNCTION("""COMPUTED_VALUE"""),41975.0)</f>
        <v>41975</v>
      </c>
      <c r="F589" s="54">
        <f>IFERROR(__xludf.DUMMYFUNCTION("""COMPUTED_VALUE"""),42009.0)</f>
        <v>42009</v>
      </c>
      <c r="G589" s="19">
        <f>IFERROR(__xludf.DUMMYFUNCTION("""COMPUTED_VALUE"""),1.0999999999999999)</f>
        <v>1.1</v>
      </c>
      <c r="H589" s="17">
        <f>IFERROR(__xludf.DUMMYFUNCTION("""COMPUTED_VALUE"""),41303.0)</f>
        <v>41303</v>
      </c>
      <c r="I589" s="19">
        <f>IFERROR(__xludf.DUMMYFUNCTION("""COMPUTED_VALUE"""),1.8416666666666666)</f>
        <v>1.841666667</v>
      </c>
      <c r="J589" s="21">
        <f>IFERROR(__xludf.DUMMYFUNCTION("""COMPUTED_VALUE"""),67.0)</f>
        <v>67</v>
      </c>
      <c r="K589" s="23">
        <f>IFERROR(__xludf.DUMMYFUNCTION("""COMPUTED_VALUE"""),7.9)</f>
        <v>7.9</v>
      </c>
      <c r="L589" s="24">
        <f>IFERROR(__xludf.DUMMYFUNCTION("""COMPUTED_VALUE"""),30.0)</f>
        <v>30</v>
      </c>
      <c r="M589" s="25" t="str">
        <f>IFERROR(__xludf.DUMMYFUNCTION("""COMPUTED_VALUE"""),"Action-Adventure")</f>
        <v>Action-Adventure</v>
      </c>
      <c r="N589" s="25"/>
      <c r="O589" s="26" t="str">
        <f>IFERROR(__xludf.DUMMYFUNCTION("""COMPUTED_VALUE"""),"No")</f>
        <v>No</v>
      </c>
      <c r="P589" s="26"/>
    </row>
    <row r="590">
      <c r="A590" s="13" t="str">
        <f>IFERROR(__xludf.DUMMYFUNCTION("""COMPUTED_VALUE"""),"Injustice: Gods Among Us")</f>
        <v>Injustice: Gods Among Us</v>
      </c>
      <c r="B590" s="15" t="str">
        <f>IFERROR(__xludf.DUMMYFUNCTION("""COMPUTED_VALUE"""),"PS4")</f>
        <v>PS4</v>
      </c>
      <c r="C590" s="16" t="str">
        <f>IFERROR(__xludf.DUMMYFUNCTION("""COMPUTED_VALUE"""),"Playstation Plus (Discontinued)")</f>
        <v>Playstation Plus (Discontinued)</v>
      </c>
      <c r="D590" s="15" t="str">
        <f>IFERROR(__xludf.DUMMYFUNCTION("""COMPUTED_VALUE"""),"Removed")</f>
        <v>Removed</v>
      </c>
      <c r="E590" s="17">
        <f>IFERROR(__xludf.DUMMYFUNCTION("""COMPUTED_VALUE"""),41975.0)</f>
        <v>41975</v>
      </c>
      <c r="F590" s="54">
        <f>IFERROR(__xludf.DUMMYFUNCTION("""COMPUTED_VALUE"""),42009.0)</f>
        <v>42009</v>
      </c>
      <c r="G590" s="19">
        <f>IFERROR(__xludf.DUMMYFUNCTION("""COMPUTED_VALUE"""),1.0999999999999999)</f>
        <v>1.1</v>
      </c>
      <c r="H590" s="17">
        <f>IFERROR(__xludf.DUMMYFUNCTION("""COMPUTED_VALUE"""),41380.0)</f>
        <v>41380</v>
      </c>
      <c r="I590" s="19">
        <f>IFERROR(__xludf.DUMMYFUNCTION("""COMPUTED_VALUE"""),1.6277777777777778)</f>
        <v>1.627777778</v>
      </c>
      <c r="J590" s="21">
        <f>IFERROR(__xludf.DUMMYFUNCTION("""COMPUTED_VALUE"""),81.0)</f>
        <v>81</v>
      </c>
      <c r="K590" s="23">
        <f>IFERROR(__xludf.DUMMYFUNCTION("""COMPUTED_VALUE"""),7.9)</f>
        <v>7.9</v>
      </c>
      <c r="L590" s="24">
        <f>IFERROR(__xludf.DUMMYFUNCTION("""COMPUTED_VALUE"""),8.0)</f>
        <v>8</v>
      </c>
      <c r="M590" s="25" t="str">
        <f>IFERROR(__xludf.DUMMYFUNCTION("""COMPUTED_VALUE"""),"Fighting")</f>
        <v>Fighting</v>
      </c>
      <c r="N590" s="25"/>
      <c r="O590" s="26" t="str">
        <f>IFERROR(__xludf.DUMMYFUNCTION("""COMPUTED_VALUE"""),"No")</f>
        <v>No</v>
      </c>
      <c r="P590" s="26"/>
    </row>
    <row r="591">
      <c r="A591" s="13" t="str">
        <f>IFERROR(__xludf.DUMMYFUNCTION("""COMPUTED_VALUE"""),"The Binding of Isaac Rebirth")</f>
        <v>The Binding of Isaac Rebirth</v>
      </c>
      <c r="B591" s="15" t="str">
        <f>IFERROR(__xludf.DUMMYFUNCTION("""COMPUTED_VALUE"""),"PS4/Vita")</f>
        <v>PS4/Vita</v>
      </c>
      <c r="C591" s="16" t="str">
        <f>IFERROR(__xludf.DUMMYFUNCTION("""COMPUTED_VALUE"""),"Playstation Plus (Discontinued)")</f>
        <v>Playstation Plus (Discontinued)</v>
      </c>
      <c r="D591" s="15" t="str">
        <f>IFERROR(__xludf.DUMMYFUNCTION("""COMPUTED_VALUE"""),"Removed")</f>
        <v>Removed</v>
      </c>
      <c r="E591" s="17">
        <f>IFERROR(__xludf.DUMMYFUNCTION("""COMPUTED_VALUE"""),41947.0)</f>
        <v>41947</v>
      </c>
      <c r="F591" s="54">
        <f>IFERROR(__xludf.DUMMYFUNCTION("""COMPUTED_VALUE"""),41974.0)</f>
        <v>41974</v>
      </c>
      <c r="G591" s="19">
        <f>IFERROR(__xludf.DUMMYFUNCTION("""COMPUTED_VALUE"""),0.8999999999999999)</f>
        <v>0.9</v>
      </c>
      <c r="H591" s="17">
        <f>IFERROR(__xludf.DUMMYFUNCTION("""COMPUTED_VALUE"""),41947.0)</f>
        <v>41947</v>
      </c>
      <c r="I591" s="19">
        <f>IFERROR(__xludf.DUMMYFUNCTION("""COMPUTED_VALUE"""),0.0)</f>
        <v>0</v>
      </c>
      <c r="J591" s="21">
        <f>IFERROR(__xludf.DUMMYFUNCTION("""COMPUTED_VALUE"""),86.0)</f>
        <v>86</v>
      </c>
      <c r="K591" s="23">
        <f>IFERROR(__xludf.DUMMYFUNCTION("""COMPUTED_VALUE"""),8.5)</f>
        <v>8.5</v>
      </c>
      <c r="L591" s="24">
        <f>IFERROR(__xludf.DUMMYFUNCTION("""COMPUTED_VALUE"""),7.0)</f>
        <v>7</v>
      </c>
      <c r="M591" s="25" t="str">
        <f>IFERROR(__xludf.DUMMYFUNCTION("""COMPUTED_VALUE"""),"Action-Adventure")</f>
        <v>Action-Adventure</v>
      </c>
      <c r="N591" s="25"/>
      <c r="O591" s="26" t="str">
        <f>IFERROR(__xludf.DUMMYFUNCTION("""COMPUTED_VALUE"""),"No")</f>
        <v>No</v>
      </c>
      <c r="P591" s="26"/>
    </row>
    <row r="592">
      <c r="A592" s="13" t="str">
        <f>IFERROR(__xludf.DUMMYFUNCTION("""COMPUTED_VALUE"""),"SteamWorld Dig: A Fistful of Dirt")</f>
        <v>SteamWorld Dig: A Fistful of Dirt</v>
      </c>
      <c r="B592" s="15" t="str">
        <f>IFERROR(__xludf.DUMMYFUNCTION("""COMPUTED_VALUE"""),"PS4/Vita")</f>
        <v>PS4/Vita</v>
      </c>
      <c r="C592" s="16" t="str">
        <f>IFERROR(__xludf.DUMMYFUNCTION("""COMPUTED_VALUE"""),"Playstation Plus (Discontinued)")</f>
        <v>Playstation Plus (Discontinued)</v>
      </c>
      <c r="D592" s="15" t="str">
        <f>IFERROR(__xludf.DUMMYFUNCTION("""COMPUTED_VALUE"""),"Removed")</f>
        <v>Removed</v>
      </c>
      <c r="E592" s="17">
        <f>IFERROR(__xludf.DUMMYFUNCTION("""COMPUTED_VALUE"""),41947.0)</f>
        <v>41947</v>
      </c>
      <c r="F592" s="54">
        <f>IFERROR(__xludf.DUMMYFUNCTION("""COMPUTED_VALUE"""),41974.0)</f>
        <v>41974</v>
      </c>
      <c r="G592" s="19">
        <f>IFERROR(__xludf.DUMMYFUNCTION("""COMPUTED_VALUE"""),0.8999999999999999)</f>
        <v>0.9</v>
      </c>
      <c r="H592" s="17">
        <f>IFERROR(__xludf.DUMMYFUNCTION("""COMPUTED_VALUE"""),41869.0)</f>
        <v>41869</v>
      </c>
      <c r="I592" s="19">
        <f>IFERROR(__xludf.DUMMYFUNCTION("""COMPUTED_VALUE"""),0.2111111111111111)</f>
        <v>0.2111111111</v>
      </c>
      <c r="J592" s="21">
        <f>IFERROR(__xludf.DUMMYFUNCTION("""COMPUTED_VALUE"""),76.0)</f>
        <v>76</v>
      </c>
      <c r="K592" s="23">
        <f>IFERROR(__xludf.DUMMYFUNCTION("""COMPUTED_VALUE"""),7.9)</f>
        <v>7.9</v>
      </c>
      <c r="L592" s="24">
        <f>IFERROR(__xludf.DUMMYFUNCTION("""COMPUTED_VALUE"""),5.0)</f>
        <v>5</v>
      </c>
      <c r="M592" s="25" t="str">
        <f>IFERROR(__xludf.DUMMYFUNCTION("""COMPUTED_VALUE"""),"Platformer")</f>
        <v>Platformer</v>
      </c>
      <c r="N592" s="25"/>
      <c r="O592" s="26" t="str">
        <f>IFERROR(__xludf.DUMMYFUNCTION("""COMPUTED_VALUE"""),"No")</f>
        <v>No</v>
      </c>
      <c r="P592" s="26"/>
    </row>
    <row r="593">
      <c r="A593" s="13" t="str">
        <f>IFERROR(__xludf.DUMMYFUNCTION("""COMPUTED_VALUE"""),"Escape Plan")</f>
        <v>Escape Plan</v>
      </c>
      <c r="B593" s="15" t="str">
        <f>IFERROR(__xludf.DUMMYFUNCTION("""COMPUTED_VALUE"""),"PS4/Vita")</f>
        <v>PS4/Vita</v>
      </c>
      <c r="C593" s="16" t="str">
        <f>IFERROR(__xludf.DUMMYFUNCTION("""COMPUTED_VALUE"""),"Playstation Plus (Discontinued)")</f>
        <v>Playstation Plus (Discontinued)</v>
      </c>
      <c r="D593" s="15" t="str">
        <f>IFERROR(__xludf.DUMMYFUNCTION("""COMPUTED_VALUE"""),"Removed")</f>
        <v>Removed</v>
      </c>
      <c r="E593" s="17">
        <f>IFERROR(__xludf.DUMMYFUNCTION("""COMPUTED_VALUE"""),41947.0)</f>
        <v>41947</v>
      </c>
      <c r="F593" s="54">
        <f>IFERROR(__xludf.DUMMYFUNCTION("""COMPUTED_VALUE"""),41974.0)</f>
        <v>41974</v>
      </c>
      <c r="G593" s="19">
        <f>IFERROR(__xludf.DUMMYFUNCTION("""COMPUTED_VALUE"""),0.8999999999999999)</f>
        <v>0.9</v>
      </c>
      <c r="H593" s="17">
        <f>IFERROR(__xludf.DUMMYFUNCTION("""COMPUTED_VALUE"""),40961.0)</f>
        <v>40961</v>
      </c>
      <c r="I593" s="19">
        <f>IFERROR(__xludf.DUMMYFUNCTION("""COMPUTED_VALUE"""),2.7)</f>
        <v>2.7</v>
      </c>
      <c r="J593" s="21">
        <f>IFERROR(__xludf.DUMMYFUNCTION("""COMPUTED_VALUE"""),62.0)</f>
        <v>62</v>
      </c>
      <c r="K593" s="23">
        <f>IFERROR(__xludf.DUMMYFUNCTION("""COMPUTED_VALUE"""),6.7)</f>
        <v>6.7</v>
      </c>
      <c r="L593" s="24">
        <f>IFERROR(__xludf.DUMMYFUNCTION("""COMPUTED_VALUE"""),3.0)</f>
        <v>3</v>
      </c>
      <c r="M593" s="25" t="str">
        <f>IFERROR(__xludf.DUMMYFUNCTION("""COMPUTED_VALUE"""),"Puzzle")</f>
        <v>Puzzle</v>
      </c>
      <c r="N593" s="25"/>
      <c r="O593" s="26" t="str">
        <f>IFERROR(__xludf.DUMMYFUNCTION("""COMPUTED_VALUE"""),"No")</f>
        <v>No</v>
      </c>
      <c r="P593" s="26"/>
    </row>
    <row r="594">
      <c r="A594" s="13" t="str">
        <f>IFERROR(__xludf.DUMMYFUNCTION("""COMPUTED_VALUE"""),"Luftrausers")</f>
        <v>Luftrausers</v>
      </c>
      <c r="B594" s="15" t="str">
        <f>IFERROR(__xludf.DUMMYFUNCTION("""COMPUTED_VALUE"""),"PS3/Vita")</f>
        <v>PS3/Vita</v>
      </c>
      <c r="C594" s="16" t="str">
        <f>IFERROR(__xludf.DUMMYFUNCTION("""COMPUTED_VALUE"""),"Playstation Plus (Discontinued)")</f>
        <v>Playstation Plus (Discontinued)</v>
      </c>
      <c r="D594" s="15" t="str">
        <f>IFERROR(__xludf.DUMMYFUNCTION("""COMPUTED_VALUE"""),"Removed")</f>
        <v>Removed</v>
      </c>
      <c r="E594" s="17">
        <f>IFERROR(__xludf.DUMMYFUNCTION("""COMPUTED_VALUE"""),41947.0)</f>
        <v>41947</v>
      </c>
      <c r="F594" s="54">
        <f>IFERROR(__xludf.DUMMYFUNCTION("""COMPUTED_VALUE"""),41974.0)</f>
        <v>41974</v>
      </c>
      <c r="G594" s="19">
        <f>IFERROR(__xludf.DUMMYFUNCTION("""COMPUTED_VALUE"""),0.8999999999999999)</f>
        <v>0.9</v>
      </c>
      <c r="H594" s="17">
        <f>IFERROR(__xludf.DUMMYFUNCTION("""COMPUTED_VALUE"""),41716.0)</f>
        <v>41716</v>
      </c>
      <c r="I594" s="19">
        <f>IFERROR(__xludf.DUMMYFUNCTION("""COMPUTED_VALUE"""),0.6277777777777778)</f>
        <v>0.6277777778</v>
      </c>
      <c r="J594" s="21">
        <f>IFERROR(__xludf.DUMMYFUNCTION("""COMPUTED_VALUE"""),80.0)</f>
        <v>80</v>
      </c>
      <c r="K594" s="23">
        <f>IFERROR(__xludf.DUMMYFUNCTION("""COMPUTED_VALUE"""),7.7)</f>
        <v>7.7</v>
      </c>
      <c r="L594" s="24">
        <f>IFERROR(__xludf.DUMMYFUNCTION("""COMPUTED_VALUE"""),3.0)</f>
        <v>3</v>
      </c>
      <c r="M594" s="25" t="str">
        <f>IFERROR(__xludf.DUMMYFUNCTION("""COMPUTED_VALUE"""),"Shooter")</f>
        <v>Shooter</v>
      </c>
      <c r="N594" s="25"/>
      <c r="O594" s="26" t="str">
        <f>IFERROR(__xludf.DUMMYFUNCTION("""COMPUTED_VALUE"""),"No")</f>
        <v>No</v>
      </c>
      <c r="P594" s="26"/>
    </row>
    <row r="595">
      <c r="A595" s="13" t="str">
        <f>IFERROR(__xludf.DUMMYFUNCTION("""COMPUTED_VALUE"""),"Frozen Synapse Prime")</f>
        <v>Frozen Synapse Prime</v>
      </c>
      <c r="B595" s="15" t="str">
        <f>IFERROR(__xludf.DUMMYFUNCTION("""COMPUTED_VALUE"""),"PS3")</f>
        <v>PS3</v>
      </c>
      <c r="C595" s="16" t="str">
        <f>IFERROR(__xludf.DUMMYFUNCTION("""COMPUTED_VALUE"""),"Playstation Plus (Discontinued)")</f>
        <v>Playstation Plus (Discontinued)</v>
      </c>
      <c r="D595" s="15" t="str">
        <f>IFERROR(__xludf.DUMMYFUNCTION("""COMPUTED_VALUE"""),"Removed")</f>
        <v>Removed</v>
      </c>
      <c r="E595" s="17">
        <f>IFERROR(__xludf.DUMMYFUNCTION("""COMPUTED_VALUE"""),41947.0)</f>
        <v>41947</v>
      </c>
      <c r="F595" s="54">
        <f>IFERROR(__xludf.DUMMYFUNCTION("""COMPUTED_VALUE"""),41974.0)</f>
        <v>41974</v>
      </c>
      <c r="G595" s="19">
        <f>IFERROR(__xludf.DUMMYFUNCTION("""COMPUTED_VALUE"""),0.8999999999999999)</f>
        <v>0.9</v>
      </c>
      <c r="H595" s="17">
        <f>IFERROR(__xludf.DUMMYFUNCTION("""COMPUTED_VALUE"""),41541.0)</f>
        <v>41541</v>
      </c>
      <c r="I595" s="19">
        <f>IFERROR(__xludf.DUMMYFUNCTION("""COMPUTED_VALUE"""),1.1111111111111112)</f>
        <v>1.111111111</v>
      </c>
      <c r="J595" s="21">
        <f>IFERROR(__xludf.DUMMYFUNCTION("""COMPUTED_VALUE"""),69.0)</f>
        <v>69</v>
      </c>
      <c r="K595" s="23">
        <f>IFERROR(__xludf.DUMMYFUNCTION("""COMPUTED_VALUE"""),6.6)</f>
        <v>6.6</v>
      </c>
      <c r="L595" s="24">
        <f>IFERROR(__xludf.DUMMYFUNCTION("""COMPUTED_VALUE"""),8.0)</f>
        <v>8</v>
      </c>
      <c r="M595" s="25" t="str">
        <f>IFERROR(__xludf.DUMMYFUNCTION("""COMPUTED_VALUE"""),"Strategy")</f>
        <v>Strategy</v>
      </c>
      <c r="N595" s="25"/>
      <c r="O595" s="26" t="str">
        <f>IFERROR(__xludf.DUMMYFUNCTION("""COMPUTED_VALUE"""),"No")</f>
        <v>No</v>
      </c>
      <c r="P595" s="26"/>
    </row>
    <row r="596">
      <c r="A596" s="13" t="str">
        <f>IFERROR(__xludf.DUMMYFUNCTION("""COMPUTED_VALUE"""),"The Hungry Horde")</f>
        <v>The Hungry Horde</v>
      </c>
      <c r="B596" s="15" t="str">
        <f>IFERROR(__xludf.DUMMYFUNCTION("""COMPUTED_VALUE"""),"Vita")</f>
        <v>Vita</v>
      </c>
      <c r="C596" s="16" t="str">
        <f>IFERROR(__xludf.DUMMYFUNCTION("""COMPUTED_VALUE"""),"Playstation Plus (Discontinued)")</f>
        <v>Playstation Plus (Discontinued)</v>
      </c>
      <c r="D596" s="15" t="str">
        <f>IFERROR(__xludf.DUMMYFUNCTION("""COMPUTED_VALUE"""),"Removed")</f>
        <v>Removed</v>
      </c>
      <c r="E596" s="17">
        <f>IFERROR(__xludf.DUMMYFUNCTION("""COMPUTED_VALUE"""),41947.0)</f>
        <v>41947</v>
      </c>
      <c r="F596" s="54">
        <f>IFERROR(__xludf.DUMMYFUNCTION("""COMPUTED_VALUE"""),41974.0)</f>
        <v>41974</v>
      </c>
      <c r="G596" s="19">
        <f>IFERROR(__xludf.DUMMYFUNCTION("""COMPUTED_VALUE"""),0.8999999999999999)</f>
        <v>0.9</v>
      </c>
      <c r="H596" s="17">
        <f>IFERROR(__xludf.DUMMYFUNCTION("""COMPUTED_VALUE"""),41947.0)</f>
        <v>41947</v>
      </c>
      <c r="I596" s="19">
        <f>IFERROR(__xludf.DUMMYFUNCTION("""COMPUTED_VALUE"""),0.0)</f>
        <v>0</v>
      </c>
      <c r="J596" s="21">
        <f>IFERROR(__xludf.DUMMYFUNCTION("""COMPUTED_VALUE"""),68.0)</f>
        <v>68</v>
      </c>
      <c r="K596" s="23">
        <f>IFERROR(__xludf.DUMMYFUNCTION("""COMPUTED_VALUE"""),6.6)</f>
        <v>6.6</v>
      </c>
      <c r="L596" s="24">
        <f>IFERROR(__xludf.DUMMYFUNCTION("""COMPUTED_VALUE"""),3.0)</f>
        <v>3</v>
      </c>
      <c r="M596" s="25" t="str">
        <f>IFERROR(__xludf.DUMMYFUNCTION("""COMPUTED_VALUE"""),"Strategy")</f>
        <v>Strategy</v>
      </c>
      <c r="N596" s="25"/>
      <c r="O596" s="26" t="str">
        <f>IFERROR(__xludf.DUMMYFUNCTION("""COMPUTED_VALUE"""),"No")</f>
        <v>No</v>
      </c>
      <c r="P596" s="26"/>
    </row>
    <row r="597">
      <c r="A597" s="13" t="str">
        <f>IFERROR(__xludf.DUMMYFUNCTION("""COMPUTED_VALUE"""),"Spelunky")</f>
        <v>Spelunky</v>
      </c>
      <c r="B597" s="15" t="str">
        <f>IFERROR(__xludf.DUMMYFUNCTION("""COMPUTED_VALUE"""),"PS4/PS3/Vita")</f>
        <v>PS4/PS3/Vita</v>
      </c>
      <c r="C597" s="16" t="str">
        <f>IFERROR(__xludf.DUMMYFUNCTION("""COMPUTED_VALUE"""),"Playstation Plus (Discontinued)")</f>
        <v>Playstation Plus (Discontinued)</v>
      </c>
      <c r="D597" s="15" t="str">
        <f>IFERROR(__xludf.DUMMYFUNCTION("""COMPUTED_VALUE"""),"Removed")</f>
        <v>Removed</v>
      </c>
      <c r="E597" s="17">
        <f>IFERROR(__xludf.DUMMYFUNCTION("""COMPUTED_VALUE"""),41919.0)</f>
        <v>41919</v>
      </c>
      <c r="F597" s="54">
        <f>IFERROR(__xludf.DUMMYFUNCTION("""COMPUTED_VALUE"""),41946.0)</f>
        <v>41946</v>
      </c>
      <c r="G597" s="19">
        <f>IFERROR(__xludf.DUMMYFUNCTION("""COMPUTED_VALUE"""),0.8666666666666666)</f>
        <v>0.8666666667</v>
      </c>
      <c r="H597" s="17">
        <f>IFERROR(__xludf.DUMMYFUNCTION("""COMPUTED_VALUE"""),41094.0)</f>
        <v>41094</v>
      </c>
      <c r="I597" s="19">
        <f>IFERROR(__xludf.DUMMYFUNCTION("""COMPUTED_VALUE"""),2.2583333333333333)</f>
        <v>2.258333333</v>
      </c>
      <c r="J597" s="21">
        <f>IFERROR(__xludf.DUMMYFUNCTION("""COMPUTED_VALUE"""),90.0)</f>
        <v>90</v>
      </c>
      <c r="K597" s="23">
        <f>IFERROR(__xludf.DUMMYFUNCTION("""COMPUTED_VALUE"""),8.5)</f>
        <v>8.5</v>
      </c>
      <c r="L597" s="24">
        <f>IFERROR(__xludf.DUMMYFUNCTION("""COMPUTED_VALUE"""),5.0)</f>
        <v>5</v>
      </c>
      <c r="M597" s="25" t="str">
        <f>IFERROR(__xludf.DUMMYFUNCTION("""COMPUTED_VALUE"""),"Platformer")</f>
        <v>Platformer</v>
      </c>
      <c r="N597" s="25"/>
      <c r="O597" s="26" t="str">
        <f>IFERROR(__xludf.DUMMYFUNCTION("""COMPUTED_VALUE"""),"No")</f>
        <v>No</v>
      </c>
      <c r="P597" s="26"/>
    </row>
    <row r="598">
      <c r="A598" s="13" t="str">
        <f>IFERROR(__xludf.DUMMYFUNCTION("""COMPUTED_VALUE"""),"Pix the Cat")</f>
        <v>Pix the Cat</v>
      </c>
      <c r="B598" s="15" t="str">
        <f>IFERROR(__xludf.DUMMYFUNCTION("""COMPUTED_VALUE"""),"PS4/Vita")</f>
        <v>PS4/Vita</v>
      </c>
      <c r="C598" s="16" t="str">
        <f>IFERROR(__xludf.DUMMYFUNCTION("""COMPUTED_VALUE"""),"Playstation Plus (Discontinued)")</f>
        <v>Playstation Plus (Discontinued)</v>
      </c>
      <c r="D598" s="15" t="str">
        <f>IFERROR(__xludf.DUMMYFUNCTION("""COMPUTED_VALUE"""),"Removed")</f>
        <v>Removed</v>
      </c>
      <c r="E598" s="17">
        <f>IFERROR(__xludf.DUMMYFUNCTION("""COMPUTED_VALUE"""),41919.0)</f>
        <v>41919</v>
      </c>
      <c r="F598" s="54">
        <f>IFERROR(__xludf.DUMMYFUNCTION("""COMPUTED_VALUE"""),41946.0)</f>
        <v>41946</v>
      </c>
      <c r="G598" s="19">
        <f>IFERROR(__xludf.DUMMYFUNCTION("""COMPUTED_VALUE"""),0.8666666666666666)</f>
        <v>0.8666666667</v>
      </c>
      <c r="H598" s="17">
        <f>IFERROR(__xludf.DUMMYFUNCTION("""COMPUTED_VALUE"""),41919.0)</f>
        <v>41919</v>
      </c>
      <c r="I598" s="19">
        <f>IFERROR(__xludf.DUMMYFUNCTION("""COMPUTED_VALUE"""),0.0)</f>
        <v>0</v>
      </c>
      <c r="J598" s="21">
        <f>IFERROR(__xludf.DUMMYFUNCTION("""COMPUTED_VALUE"""),73.0)</f>
        <v>73</v>
      </c>
      <c r="K598" s="23">
        <f>IFERROR(__xludf.DUMMYFUNCTION("""COMPUTED_VALUE"""),7.1)</f>
        <v>7.1</v>
      </c>
      <c r="L598" s="24">
        <f>IFERROR(__xludf.DUMMYFUNCTION("""COMPUTED_VALUE"""),4.0)</f>
        <v>4</v>
      </c>
      <c r="M598" s="25" t="str">
        <f>IFERROR(__xludf.DUMMYFUNCTION("""COMPUTED_VALUE"""),"Arcade")</f>
        <v>Arcade</v>
      </c>
      <c r="N598" s="25"/>
      <c r="O598" s="26" t="str">
        <f>IFERROR(__xludf.DUMMYFUNCTION("""COMPUTED_VALUE"""),"No")</f>
        <v>No</v>
      </c>
      <c r="P598" s="26"/>
    </row>
    <row r="599">
      <c r="A599" s="13" t="str">
        <f>IFERROR(__xludf.DUMMYFUNCTION("""COMPUTED_VALUE"""),"Dust: An Elysian Tail")</f>
        <v>Dust: An Elysian Tail</v>
      </c>
      <c r="B599" s="15" t="str">
        <f>IFERROR(__xludf.DUMMYFUNCTION("""COMPUTED_VALUE"""),"PS4")</f>
        <v>PS4</v>
      </c>
      <c r="C599" s="16" t="str">
        <f>IFERROR(__xludf.DUMMYFUNCTION("""COMPUTED_VALUE"""),"Playstation Plus (Discontinued)")</f>
        <v>Playstation Plus (Discontinued)</v>
      </c>
      <c r="D599" s="15" t="str">
        <f>IFERROR(__xludf.DUMMYFUNCTION("""COMPUTED_VALUE"""),"Removed")</f>
        <v>Removed</v>
      </c>
      <c r="E599" s="17">
        <f>IFERROR(__xludf.DUMMYFUNCTION("""COMPUTED_VALUE"""),41919.0)</f>
        <v>41919</v>
      </c>
      <c r="F599" s="54">
        <f>IFERROR(__xludf.DUMMYFUNCTION("""COMPUTED_VALUE"""),41946.0)</f>
        <v>41946</v>
      </c>
      <c r="G599" s="19">
        <f>IFERROR(__xludf.DUMMYFUNCTION("""COMPUTED_VALUE"""),0.8666666666666666)</f>
        <v>0.8666666667</v>
      </c>
      <c r="H599" s="17">
        <f>IFERROR(__xludf.DUMMYFUNCTION("""COMPUTED_VALUE"""),41410.0)</f>
        <v>41410</v>
      </c>
      <c r="I599" s="19">
        <f>IFERROR(__xludf.DUMMYFUNCTION("""COMPUTED_VALUE"""),1.3916666666666666)</f>
        <v>1.391666667</v>
      </c>
      <c r="J599" s="21">
        <f>IFERROR(__xludf.DUMMYFUNCTION("""COMPUTED_VALUE"""),77.0)</f>
        <v>77</v>
      </c>
      <c r="K599" s="23">
        <f>IFERROR(__xludf.DUMMYFUNCTION("""COMPUTED_VALUE"""),8.0)</f>
        <v>8</v>
      </c>
      <c r="L599" s="24">
        <f>IFERROR(__xludf.DUMMYFUNCTION("""COMPUTED_VALUE"""),12.0)</f>
        <v>12</v>
      </c>
      <c r="M599" s="25" t="str">
        <f>IFERROR(__xludf.DUMMYFUNCTION("""COMPUTED_VALUE"""),"Platformer")</f>
        <v>Platformer</v>
      </c>
      <c r="N599" s="25"/>
      <c r="O599" s="26" t="str">
        <f>IFERROR(__xludf.DUMMYFUNCTION("""COMPUTED_VALUE"""),"No")</f>
        <v>No</v>
      </c>
      <c r="P599" s="26"/>
    </row>
    <row r="600">
      <c r="A600" s="13" t="str">
        <f>IFERROR(__xludf.DUMMYFUNCTION("""COMPUTED_VALUE"""),"Rainbow Moon")</f>
        <v>Rainbow Moon</v>
      </c>
      <c r="B600" s="15" t="str">
        <f>IFERROR(__xludf.DUMMYFUNCTION("""COMPUTED_VALUE"""),"PS3/Vita")</f>
        <v>PS3/Vita</v>
      </c>
      <c r="C600" s="16" t="str">
        <f>IFERROR(__xludf.DUMMYFUNCTION("""COMPUTED_VALUE"""),"Playstation Plus (Discontinued)")</f>
        <v>Playstation Plus (Discontinued)</v>
      </c>
      <c r="D600" s="15" t="str">
        <f>IFERROR(__xludf.DUMMYFUNCTION("""COMPUTED_VALUE"""),"Removed")</f>
        <v>Removed</v>
      </c>
      <c r="E600" s="17">
        <f>IFERROR(__xludf.DUMMYFUNCTION("""COMPUTED_VALUE"""),41919.0)</f>
        <v>41919</v>
      </c>
      <c r="F600" s="54">
        <f>IFERROR(__xludf.DUMMYFUNCTION("""COMPUTED_VALUE"""),41946.0)</f>
        <v>41946</v>
      </c>
      <c r="G600" s="19">
        <f>IFERROR(__xludf.DUMMYFUNCTION("""COMPUTED_VALUE"""),0.8666666666666666)</f>
        <v>0.8666666667</v>
      </c>
      <c r="H600" s="17">
        <f>IFERROR(__xludf.DUMMYFUNCTION("""COMPUTED_VALUE"""),41226.0)</f>
        <v>41226</v>
      </c>
      <c r="I600" s="19">
        <f>IFERROR(__xludf.DUMMYFUNCTION("""COMPUTED_VALUE"""),1.9)</f>
        <v>1.9</v>
      </c>
      <c r="J600" s="21">
        <f>IFERROR(__xludf.DUMMYFUNCTION("""COMPUTED_VALUE"""),81.0)</f>
        <v>81</v>
      </c>
      <c r="K600" s="23">
        <f>IFERROR(__xludf.DUMMYFUNCTION("""COMPUTED_VALUE"""),7.9)</f>
        <v>7.9</v>
      </c>
      <c r="L600" s="24">
        <f>IFERROR(__xludf.DUMMYFUNCTION("""COMPUTED_VALUE"""),35.0)</f>
        <v>35</v>
      </c>
      <c r="M600" s="25" t="str">
        <f>IFERROR(__xludf.DUMMYFUNCTION("""COMPUTED_VALUE"""),"RPG")</f>
        <v>RPG</v>
      </c>
      <c r="N600" s="25"/>
      <c r="O600" s="26" t="str">
        <f>IFERROR(__xludf.DUMMYFUNCTION("""COMPUTED_VALUE"""),"No")</f>
        <v>No</v>
      </c>
      <c r="P600" s="26"/>
    </row>
    <row r="601">
      <c r="A601" s="13" t="str">
        <f>IFERROR(__xludf.DUMMYFUNCTION("""COMPUTED_VALUE"""),"Batman: Arkham Asylum")</f>
        <v>Batman: Arkham Asylum</v>
      </c>
      <c r="B601" s="15" t="str">
        <f>IFERROR(__xludf.DUMMYFUNCTION("""COMPUTED_VALUE"""),"PS3")</f>
        <v>PS3</v>
      </c>
      <c r="C601" s="16" t="str">
        <f>IFERROR(__xludf.DUMMYFUNCTION("""COMPUTED_VALUE"""),"Playstation Plus (Discontinued)")</f>
        <v>Playstation Plus (Discontinued)</v>
      </c>
      <c r="D601" s="15" t="str">
        <f>IFERROR(__xludf.DUMMYFUNCTION("""COMPUTED_VALUE"""),"Removed")</f>
        <v>Removed</v>
      </c>
      <c r="E601" s="17">
        <f>IFERROR(__xludf.DUMMYFUNCTION("""COMPUTED_VALUE"""),41919.0)</f>
        <v>41919</v>
      </c>
      <c r="F601" s="54">
        <f>IFERROR(__xludf.DUMMYFUNCTION("""COMPUTED_VALUE"""),41946.0)</f>
        <v>41946</v>
      </c>
      <c r="G601" s="19">
        <f>IFERROR(__xludf.DUMMYFUNCTION("""COMPUTED_VALUE"""),0.8666666666666666)</f>
        <v>0.8666666667</v>
      </c>
      <c r="H601" s="17">
        <f>IFERROR(__xludf.DUMMYFUNCTION("""COMPUTED_VALUE"""),40050.0)</f>
        <v>40050</v>
      </c>
      <c r="I601" s="19">
        <f>IFERROR(__xludf.DUMMYFUNCTION("""COMPUTED_VALUE"""),5.116666666666666)</f>
        <v>5.116666667</v>
      </c>
      <c r="J601" s="21">
        <f>IFERROR(__xludf.DUMMYFUNCTION("""COMPUTED_VALUE"""),92.0)</f>
        <v>92</v>
      </c>
      <c r="K601" s="23">
        <f>IFERROR(__xludf.DUMMYFUNCTION("""COMPUTED_VALUE"""),8.8)</f>
        <v>8.8</v>
      </c>
      <c r="L601" s="24">
        <f>IFERROR(__xludf.DUMMYFUNCTION("""COMPUTED_VALUE"""),12.0)</f>
        <v>12</v>
      </c>
      <c r="M601" s="25" t="str">
        <f>IFERROR(__xludf.DUMMYFUNCTION("""COMPUTED_VALUE"""),"Action-Adventure")</f>
        <v>Action-Adventure</v>
      </c>
      <c r="N601" s="25"/>
      <c r="O601" s="26" t="str">
        <f>IFERROR(__xludf.DUMMYFUNCTION("""COMPUTED_VALUE"""),"No")</f>
        <v>No</v>
      </c>
      <c r="P601" s="26"/>
    </row>
    <row r="602">
      <c r="A602" s="13" t="str">
        <f>IFERROR(__xludf.DUMMYFUNCTION("""COMPUTED_VALUE"""),"Dungeons &amp; Dragons: Chronicles of Mystara")</f>
        <v>Dungeons &amp; Dragons: Chronicles of Mystara</v>
      </c>
      <c r="B602" s="15" t="str">
        <f>IFERROR(__xludf.DUMMYFUNCTION("""COMPUTED_VALUE"""),"PS3")</f>
        <v>PS3</v>
      </c>
      <c r="C602" s="16" t="str">
        <f>IFERROR(__xludf.DUMMYFUNCTION("""COMPUTED_VALUE"""),"Playstation Plus (Discontinued)")</f>
        <v>Playstation Plus (Discontinued)</v>
      </c>
      <c r="D602" s="15" t="str">
        <f>IFERROR(__xludf.DUMMYFUNCTION("""COMPUTED_VALUE"""),"Removed")</f>
        <v>Removed</v>
      </c>
      <c r="E602" s="17">
        <f>IFERROR(__xludf.DUMMYFUNCTION("""COMPUTED_VALUE"""),41919.0)</f>
        <v>41919</v>
      </c>
      <c r="F602" s="54">
        <f>IFERROR(__xludf.DUMMYFUNCTION("""COMPUTED_VALUE"""),41946.0)</f>
        <v>41946</v>
      </c>
      <c r="G602" s="19">
        <f>IFERROR(__xludf.DUMMYFUNCTION("""COMPUTED_VALUE"""),0.8666666666666666)</f>
        <v>0.8666666667</v>
      </c>
      <c r="H602" s="17">
        <f>IFERROR(__xludf.DUMMYFUNCTION("""COMPUTED_VALUE"""),41443.0)</f>
        <v>41443</v>
      </c>
      <c r="I602" s="19">
        <f>IFERROR(__xludf.DUMMYFUNCTION("""COMPUTED_VALUE"""),1.3027777777777778)</f>
        <v>1.302777778</v>
      </c>
      <c r="J602" s="21">
        <f>IFERROR(__xludf.DUMMYFUNCTION("""COMPUTED_VALUE"""),77.0)</f>
        <v>77</v>
      </c>
      <c r="K602" s="23">
        <f>IFERROR(__xludf.DUMMYFUNCTION("""COMPUTED_VALUE"""),7.6)</f>
        <v>7.6</v>
      </c>
      <c r="L602" s="24">
        <f>IFERROR(__xludf.DUMMYFUNCTION("""COMPUTED_VALUE"""),5.0)</f>
        <v>5</v>
      </c>
      <c r="M602" s="25" t="str">
        <f>IFERROR(__xludf.DUMMYFUNCTION("""COMPUTED_VALUE"""),"Action-Adventure")</f>
        <v>Action-Adventure</v>
      </c>
      <c r="N602" s="25"/>
      <c r="O602" s="26" t="str">
        <f>IFERROR(__xludf.DUMMYFUNCTION("""COMPUTED_VALUE"""),"No")</f>
        <v>No</v>
      </c>
      <c r="P602" s="26"/>
    </row>
    <row r="603">
      <c r="A603" s="13" t="str">
        <f>IFERROR(__xludf.DUMMYFUNCTION("""COMPUTED_VALUE"""),"Velocity 2X")</f>
        <v>Velocity 2X</v>
      </c>
      <c r="B603" s="15" t="str">
        <f>IFERROR(__xludf.DUMMYFUNCTION("""COMPUTED_VALUE"""),"PS4/Vita")</f>
        <v>PS4/Vita</v>
      </c>
      <c r="C603" s="16" t="str">
        <f>IFERROR(__xludf.DUMMYFUNCTION("""COMPUTED_VALUE"""),"Playstation Plus (Discontinued)")</f>
        <v>Playstation Plus (Discontinued)</v>
      </c>
      <c r="D603" s="15" t="str">
        <f>IFERROR(__xludf.DUMMYFUNCTION("""COMPUTED_VALUE"""),"Removed")</f>
        <v>Removed</v>
      </c>
      <c r="E603" s="17">
        <f>IFERROR(__xludf.DUMMYFUNCTION("""COMPUTED_VALUE"""),41884.0)</f>
        <v>41884</v>
      </c>
      <c r="F603" s="54">
        <f>IFERROR(__xludf.DUMMYFUNCTION("""COMPUTED_VALUE"""),41918.0)</f>
        <v>41918</v>
      </c>
      <c r="G603" s="19">
        <f>IFERROR(__xludf.DUMMYFUNCTION("""COMPUTED_VALUE"""),1.1333333333333333)</f>
        <v>1.133333333</v>
      </c>
      <c r="H603" s="17">
        <f>IFERROR(__xludf.DUMMYFUNCTION("""COMPUTED_VALUE"""),41884.0)</f>
        <v>41884</v>
      </c>
      <c r="I603" s="19">
        <f>IFERROR(__xludf.DUMMYFUNCTION("""COMPUTED_VALUE"""),0.0)</f>
        <v>0</v>
      </c>
      <c r="J603" s="21">
        <f>IFERROR(__xludf.DUMMYFUNCTION("""COMPUTED_VALUE"""),86.0)</f>
        <v>86</v>
      </c>
      <c r="K603" s="23">
        <f>IFERROR(__xludf.DUMMYFUNCTION("""COMPUTED_VALUE"""),8.0)</f>
        <v>8</v>
      </c>
      <c r="L603" s="24">
        <f>IFERROR(__xludf.DUMMYFUNCTION("""COMPUTED_VALUE"""),6.0)</f>
        <v>6</v>
      </c>
      <c r="M603" s="25" t="str">
        <f>IFERROR(__xludf.DUMMYFUNCTION("""COMPUTED_VALUE"""),"Shooter")</f>
        <v>Shooter</v>
      </c>
      <c r="N603" s="25"/>
      <c r="O603" s="26" t="str">
        <f>IFERROR(__xludf.DUMMYFUNCTION("""COMPUTED_VALUE"""),"No")</f>
        <v>No</v>
      </c>
      <c r="P603" s="26"/>
    </row>
    <row r="604">
      <c r="A604" s="13" t="str">
        <f>IFERROR(__xludf.DUMMYFUNCTION("""COMPUTED_VALUE"""),"Sportsfriends")</f>
        <v>Sportsfriends</v>
      </c>
      <c r="B604" s="15" t="str">
        <f>IFERROR(__xludf.DUMMYFUNCTION("""COMPUTED_VALUE"""),"PS4/PS3")</f>
        <v>PS4/PS3</v>
      </c>
      <c r="C604" s="16" t="str">
        <f>IFERROR(__xludf.DUMMYFUNCTION("""COMPUTED_VALUE"""),"Playstation Plus (Discontinued)")</f>
        <v>Playstation Plus (Discontinued)</v>
      </c>
      <c r="D604" s="15" t="str">
        <f>IFERROR(__xludf.DUMMYFUNCTION("""COMPUTED_VALUE"""),"Removed")</f>
        <v>Removed</v>
      </c>
      <c r="E604" s="17">
        <f>IFERROR(__xludf.DUMMYFUNCTION("""COMPUTED_VALUE"""),41884.0)</f>
        <v>41884</v>
      </c>
      <c r="F604" s="54">
        <f>IFERROR(__xludf.DUMMYFUNCTION("""COMPUTED_VALUE"""),41918.0)</f>
        <v>41918</v>
      </c>
      <c r="G604" s="19">
        <f>IFERROR(__xludf.DUMMYFUNCTION("""COMPUTED_VALUE"""),1.1333333333333333)</f>
        <v>1.133333333</v>
      </c>
      <c r="H604" s="17">
        <f>IFERROR(__xludf.DUMMYFUNCTION("""COMPUTED_VALUE"""),41765.0)</f>
        <v>41765</v>
      </c>
      <c r="I604" s="19">
        <f>IFERROR(__xludf.DUMMYFUNCTION("""COMPUTED_VALUE"""),0.32222222222222224)</f>
        <v>0.3222222222</v>
      </c>
      <c r="J604" s="21">
        <f>IFERROR(__xludf.DUMMYFUNCTION("""COMPUTED_VALUE"""),69.0)</f>
        <v>69</v>
      </c>
      <c r="K604" s="23">
        <f>IFERROR(__xludf.DUMMYFUNCTION("""COMPUTED_VALUE"""),6.7)</f>
        <v>6.7</v>
      </c>
      <c r="L604" s="24"/>
      <c r="M604" s="25" t="str">
        <f>IFERROR(__xludf.DUMMYFUNCTION("""COMPUTED_VALUE"""),"Sports")</f>
        <v>Sports</v>
      </c>
      <c r="N604" s="25"/>
      <c r="O604" s="26" t="str">
        <f>IFERROR(__xludf.DUMMYFUNCTION("""COMPUTED_VALUE"""),"No")</f>
        <v>No</v>
      </c>
      <c r="P604" s="26"/>
    </row>
    <row r="605">
      <c r="A605" s="13" t="str">
        <f>IFERROR(__xludf.DUMMYFUNCTION("""COMPUTED_VALUE"""),"Playstation All-Stars Battle Royale")</f>
        <v>Playstation All-Stars Battle Royale</v>
      </c>
      <c r="B605" s="15" t="str">
        <f>IFERROR(__xludf.DUMMYFUNCTION("""COMPUTED_VALUE"""),"PS3/Vita")</f>
        <v>PS3/Vita</v>
      </c>
      <c r="C605" s="16" t="str">
        <f>IFERROR(__xludf.DUMMYFUNCTION("""COMPUTED_VALUE"""),"Playstation Plus (Discontinued)")</f>
        <v>Playstation Plus (Discontinued)</v>
      </c>
      <c r="D605" s="15" t="str">
        <f>IFERROR(__xludf.DUMMYFUNCTION("""COMPUTED_VALUE"""),"Removed")</f>
        <v>Removed</v>
      </c>
      <c r="E605" s="17">
        <f>IFERROR(__xludf.DUMMYFUNCTION("""COMPUTED_VALUE"""),41884.0)</f>
        <v>41884</v>
      </c>
      <c r="F605" s="54">
        <f>IFERROR(__xludf.DUMMYFUNCTION("""COMPUTED_VALUE"""),41918.0)</f>
        <v>41918</v>
      </c>
      <c r="G605" s="19">
        <f>IFERROR(__xludf.DUMMYFUNCTION("""COMPUTED_VALUE"""),1.1333333333333333)</f>
        <v>1.133333333</v>
      </c>
      <c r="H605" s="17">
        <f>IFERROR(__xludf.DUMMYFUNCTION("""COMPUTED_VALUE"""),41233.0)</f>
        <v>41233</v>
      </c>
      <c r="I605" s="19">
        <f>IFERROR(__xludf.DUMMYFUNCTION("""COMPUTED_VALUE"""),1.7833333333333334)</f>
        <v>1.783333333</v>
      </c>
      <c r="J605" s="21">
        <f>IFERROR(__xludf.DUMMYFUNCTION("""COMPUTED_VALUE"""),74.0)</f>
        <v>74</v>
      </c>
      <c r="K605" s="23">
        <f>IFERROR(__xludf.DUMMYFUNCTION("""COMPUTED_VALUE"""),7.4)</f>
        <v>7.4</v>
      </c>
      <c r="L605" s="24">
        <f>IFERROR(__xludf.DUMMYFUNCTION("""COMPUTED_VALUE"""),12.0)</f>
        <v>12</v>
      </c>
      <c r="M605" s="25" t="str">
        <f>IFERROR(__xludf.DUMMYFUNCTION("""COMPUTED_VALUE"""),"Fighting")</f>
        <v>Fighting</v>
      </c>
      <c r="N605" s="25"/>
      <c r="O605" s="26" t="str">
        <f>IFERROR(__xludf.DUMMYFUNCTION("""COMPUTED_VALUE"""),"No")</f>
        <v>No</v>
      </c>
      <c r="P605" s="26"/>
    </row>
    <row r="606">
      <c r="A606" s="13" t="str">
        <f>IFERROR(__xludf.DUMMYFUNCTION("""COMPUTED_VALUE"""),"Hoard")</f>
        <v>Hoard</v>
      </c>
      <c r="B606" s="15" t="str">
        <f>IFERROR(__xludf.DUMMYFUNCTION("""COMPUTED_VALUE"""),"PS3")</f>
        <v>PS3</v>
      </c>
      <c r="C606" s="16" t="str">
        <f>IFERROR(__xludf.DUMMYFUNCTION("""COMPUTED_VALUE"""),"Playstation Plus (Discontinued)")</f>
        <v>Playstation Plus (Discontinued)</v>
      </c>
      <c r="D606" s="15" t="str">
        <f>IFERROR(__xludf.DUMMYFUNCTION("""COMPUTED_VALUE"""),"Removed")</f>
        <v>Removed</v>
      </c>
      <c r="E606" s="17">
        <f>IFERROR(__xludf.DUMMYFUNCTION("""COMPUTED_VALUE"""),41884.0)</f>
        <v>41884</v>
      </c>
      <c r="F606" s="54">
        <f>IFERROR(__xludf.DUMMYFUNCTION("""COMPUTED_VALUE"""),41918.0)</f>
        <v>41918</v>
      </c>
      <c r="G606" s="19">
        <f>IFERROR(__xludf.DUMMYFUNCTION("""COMPUTED_VALUE"""),1.1333333333333333)</f>
        <v>1.133333333</v>
      </c>
      <c r="H606" s="17">
        <f>IFERROR(__xludf.DUMMYFUNCTION("""COMPUTED_VALUE"""),40122.0)</f>
        <v>40122</v>
      </c>
      <c r="I606" s="19">
        <f>IFERROR(__xludf.DUMMYFUNCTION("""COMPUTED_VALUE"""),4.825)</f>
        <v>4.825</v>
      </c>
      <c r="J606" s="21">
        <f>IFERROR(__xludf.DUMMYFUNCTION("""COMPUTED_VALUE"""),71.0)</f>
        <v>71</v>
      </c>
      <c r="K606" s="23">
        <f>IFERROR(__xludf.DUMMYFUNCTION("""COMPUTED_VALUE"""),6.8)</f>
        <v>6.8</v>
      </c>
      <c r="L606" s="24"/>
      <c r="M606" s="25" t="str">
        <f>IFERROR(__xludf.DUMMYFUNCTION("""COMPUTED_VALUE"""),"Strategy")</f>
        <v>Strategy</v>
      </c>
      <c r="N606" s="25"/>
      <c r="O606" s="26" t="str">
        <f>IFERROR(__xludf.DUMMYFUNCTION("""COMPUTED_VALUE"""),"No")</f>
        <v>No</v>
      </c>
      <c r="P606" s="26"/>
    </row>
    <row r="607">
      <c r="A607" s="13" t="str">
        <f>IFERROR(__xludf.DUMMYFUNCTION("""COMPUTED_VALUE"""),"Joe Danger")</f>
        <v>Joe Danger</v>
      </c>
      <c r="B607" s="15" t="str">
        <f>IFERROR(__xludf.DUMMYFUNCTION("""COMPUTED_VALUE"""),"Vita")</f>
        <v>Vita</v>
      </c>
      <c r="C607" s="16" t="str">
        <f>IFERROR(__xludf.DUMMYFUNCTION("""COMPUTED_VALUE"""),"Playstation Plus (Discontinued)")</f>
        <v>Playstation Plus (Discontinued)</v>
      </c>
      <c r="D607" s="15" t="str">
        <f>IFERROR(__xludf.DUMMYFUNCTION("""COMPUTED_VALUE"""),"Removed")</f>
        <v>Removed</v>
      </c>
      <c r="E607" s="17">
        <f>IFERROR(__xludf.DUMMYFUNCTION("""COMPUTED_VALUE"""),41884.0)</f>
        <v>41884</v>
      </c>
      <c r="F607" s="54">
        <f>IFERROR(__xludf.DUMMYFUNCTION("""COMPUTED_VALUE"""),41918.0)</f>
        <v>41918</v>
      </c>
      <c r="G607" s="19">
        <f>IFERROR(__xludf.DUMMYFUNCTION("""COMPUTED_VALUE"""),1.1333333333333333)</f>
        <v>1.133333333</v>
      </c>
      <c r="H607" s="17">
        <f>IFERROR(__xludf.DUMMYFUNCTION("""COMPUTED_VALUE"""),40703.0)</f>
        <v>40703</v>
      </c>
      <c r="I607" s="19">
        <f>IFERROR(__xludf.DUMMYFUNCTION("""COMPUTED_VALUE"""),3.2305555555555556)</f>
        <v>3.230555556</v>
      </c>
      <c r="J607" s="21">
        <f>IFERROR(__xludf.DUMMYFUNCTION("""COMPUTED_VALUE"""),74.0)</f>
        <v>74</v>
      </c>
      <c r="K607" s="23">
        <f>IFERROR(__xludf.DUMMYFUNCTION("""COMPUTED_VALUE"""),7.7)</f>
        <v>7.7</v>
      </c>
      <c r="L607" s="24">
        <f>IFERROR(__xludf.DUMMYFUNCTION("""COMPUTED_VALUE"""),7.0)</f>
        <v>7</v>
      </c>
      <c r="M607" s="25" t="str">
        <f>IFERROR(__xludf.DUMMYFUNCTION("""COMPUTED_VALUE"""),"Racing")</f>
        <v>Racing</v>
      </c>
      <c r="N607" s="25"/>
      <c r="O607" s="26" t="str">
        <f>IFERROR(__xludf.DUMMYFUNCTION("""COMPUTED_VALUE"""),"No")</f>
        <v>No</v>
      </c>
      <c r="P607" s="26"/>
    </row>
    <row r="608">
      <c r="A608" s="13" t="str">
        <f>IFERROR(__xludf.DUMMYFUNCTION("""COMPUTED_VALUE"""),"TxK")</f>
        <v>TxK</v>
      </c>
      <c r="B608" s="15" t="str">
        <f>IFERROR(__xludf.DUMMYFUNCTION("""COMPUTED_VALUE"""),"Vita")</f>
        <v>Vita</v>
      </c>
      <c r="C608" s="16" t="str">
        <f>IFERROR(__xludf.DUMMYFUNCTION("""COMPUTED_VALUE"""),"Playstation Plus (Discontinued)")</f>
        <v>Playstation Plus (Discontinued)</v>
      </c>
      <c r="D608" s="15" t="str">
        <f>IFERROR(__xludf.DUMMYFUNCTION("""COMPUTED_VALUE"""),"Removed")</f>
        <v>Removed</v>
      </c>
      <c r="E608" s="17">
        <f>IFERROR(__xludf.DUMMYFUNCTION("""COMPUTED_VALUE"""),41884.0)</f>
        <v>41884</v>
      </c>
      <c r="F608" s="54">
        <f>IFERROR(__xludf.DUMMYFUNCTION("""COMPUTED_VALUE"""),41918.0)</f>
        <v>41918</v>
      </c>
      <c r="G608" s="19">
        <f>IFERROR(__xludf.DUMMYFUNCTION("""COMPUTED_VALUE"""),1.1333333333333333)</f>
        <v>1.133333333</v>
      </c>
      <c r="H608" s="17">
        <f>IFERROR(__xludf.DUMMYFUNCTION("""COMPUTED_VALUE"""),41681.0)</f>
        <v>41681</v>
      </c>
      <c r="I608" s="19">
        <f>IFERROR(__xludf.DUMMYFUNCTION("""COMPUTED_VALUE"""),0.5583333333333333)</f>
        <v>0.5583333333</v>
      </c>
      <c r="J608" s="21">
        <f>IFERROR(__xludf.DUMMYFUNCTION("""COMPUTED_VALUE"""),80.0)</f>
        <v>80</v>
      </c>
      <c r="K608" s="23">
        <f>IFERROR(__xludf.DUMMYFUNCTION("""COMPUTED_VALUE"""),7.8)</f>
        <v>7.8</v>
      </c>
      <c r="L608" s="24"/>
      <c r="M608" s="25" t="str">
        <f>IFERROR(__xludf.DUMMYFUNCTION("""COMPUTED_VALUE"""),"Shooter")</f>
        <v>Shooter</v>
      </c>
      <c r="N608" s="25"/>
      <c r="O608" s="26" t="str">
        <f>IFERROR(__xludf.DUMMYFUNCTION("""COMPUTED_VALUE"""),"No")</f>
        <v>No</v>
      </c>
      <c r="P608" s="26"/>
    </row>
    <row r="609">
      <c r="A609" s="13" t="str">
        <f>IFERROR(__xludf.DUMMYFUNCTION("""COMPUTED_VALUE"""),"Fez")</f>
        <v>Fez</v>
      </c>
      <c r="B609" s="15" t="str">
        <f>IFERROR(__xludf.DUMMYFUNCTION("""COMPUTED_VALUE"""),"PS4/PS3/Vita")</f>
        <v>PS4/PS3/Vita</v>
      </c>
      <c r="C609" s="16" t="str">
        <f>IFERROR(__xludf.DUMMYFUNCTION("""COMPUTED_VALUE"""),"Playstation Plus (Discontinued)")</f>
        <v>Playstation Plus (Discontinued)</v>
      </c>
      <c r="D609" s="15" t="str">
        <f>IFERROR(__xludf.DUMMYFUNCTION("""COMPUTED_VALUE"""),"Removed")</f>
        <v>Removed</v>
      </c>
      <c r="E609" s="17">
        <f>IFERROR(__xludf.DUMMYFUNCTION("""COMPUTED_VALUE"""),41856.0)</f>
        <v>41856</v>
      </c>
      <c r="F609" s="54">
        <f>IFERROR(__xludf.DUMMYFUNCTION("""COMPUTED_VALUE"""),41883.0)</f>
        <v>41883</v>
      </c>
      <c r="G609" s="19">
        <f>IFERROR(__xludf.DUMMYFUNCTION("""COMPUTED_VALUE"""),0.8666666666666666)</f>
        <v>0.8666666667</v>
      </c>
      <c r="H609" s="17">
        <f>IFERROR(__xludf.DUMMYFUNCTION("""COMPUTED_VALUE"""),41012.0)</f>
        <v>41012</v>
      </c>
      <c r="I609" s="19">
        <f>IFERROR(__xludf.DUMMYFUNCTION("""COMPUTED_VALUE"""),2.311111111111111)</f>
        <v>2.311111111</v>
      </c>
      <c r="J609" s="21">
        <f>IFERROR(__xludf.DUMMYFUNCTION("""COMPUTED_VALUE"""),91.0)</f>
        <v>91</v>
      </c>
      <c r="K609" s="23">
        <f>IFERROR(__xludf.DUMMYFUNCTION("""COMPUTED_VALUE"""),8.4)</f>
        <v>8.4</v>
      </c>
      <c r="L609" s="24">
        <f>IFERROR(__xludf.DUMMYFUNCTION("""COMPUTED_VALUE"""),5.0)</f>
        <v>5</v>
      </c>
      <c r="M609" s="25" t="str">
        <f>IFERROR(__xludf.DUMMYFUNCTION("""COMPUTED_VALUE"""),"Platformer")</f>
        <v>Platformer</v>
      </c>
      <c r="N609" s="25"/>
      <c r="O609" s="26" t="str">
        <f>IFERROR(__xludf.DUMMYFUNCTION("""COMPUTED_VALUE"""),"No")</f>
        <v>No</v>
      </c>
      <c r="P609" s="26"/>
    </row>
    <row r="610">
      <c r="A610" s="13" t="str">
        <f>IFERROR(__xludf.DUMMYFUNCTION("""COMPUTED_VALUE"""),"Road Not Taken")</f>
        <v>Road Not Taken</v>
      </c>
      <c r="B610" s="15" t="str">
        <f>IFERROR(__xludf.DUMMYFUNCTION("""COMPUTED_VALUE"""),"PS4")</f>
        <v>PS4</v>
      </c>
      <c r="C610" s="16" t="str">
        <f>IFERROR(__xludf.DUMMYFUNCTION("""COMPUTED_VALUE"""),"Playstation Plus (Discontinued)")</f>
        <v>Playstation Plus (Discontinued)</v>
      </c>
      <c r="D610" s="15" t="str">
        <f>IFERROR(__xludf.DUMMYFUNCTION("""COMPUTED_VALUE"""),"Removed")</f>
        <v>Removed</v>
      </c>
      <c r="E610" s="17">
        <f>IFERROR(__xludf.DUMMYFUNCTION("""COMPUTED_VALUE"""),41856.0)</f>
        <v>41856</v>
      </c>
      <c r="F610" s="54">
        <f>IFERROR(__xludf.DUMMYFUNCTION("""COMPUTED_VALUE"""),41883.0)</f>
        <v>41883</v>
      </c>
      <c r="G610" s="19">
        <f>IFERROR(__xludf.DUMMYFUNCTION("""COMPUTED_VALUE"""),0.8666666666666666)</f>
        <v>0.8666666667</v>
      </c>
      <c r="H610" s="17">
        <f>IFERROR(__xludf.DUMMYFUNCTION("""COMPUTED_VALUE"""),41856.0)</f>
        <v>41856</v>
      </c>
      <c r="I610" s="19">
        <f>IFERROR(__xludf.DUMMYFUNCTION("""COMPUTED_VALUE"""),0.0)</f>
        <v>0</v>
      </c>
      <c r="J610" s="21">
        <f>IFERROR(__xludf.DUMMYFUNCTION("""COMPUTED_VALUE"""),68.0)</f>
        <v>68</v>
      </c>
      <c r="K610" s="23">
        <f>IFERROR(__xludf.DUMMYFUNCTION("""COMPUTED_VALUE"""),6.6)</f>
        <v>6.6</v>
      </c>
      <c r="L610" s="24">
        <f>IFERROR(__xludf.DUMMYFUNCTION("""COMPUTED_VALUE"""),6.0)</f>
        <v>6</v>
      </c>
      <c r="M610" s="25" t="str">
        <f>IFERROR(__xludf.DUMMYFUNCTION("""COMPUTED_VALUE"""),"Puzzle")</f>
        <v>Puzzle</v>
      </c>
      <c r="N610" s="25"/>
      <c r="O610" s="26" t="str">
        <f>IFERROR(__xludf.DUMMYFUNCTION("""COMPUTED_VALUE"""),"No")</f>
        <v>No</v>
      </c>
      <c r="P610" s="26"/>
    </row>
    <row r="611">
      <c r="A611" s="13" t="str">
        <f>IFERROR(__xludf.DUMMYFUNCTION("""COMPUTED_VALUE"""),"Dragon's Crown")</f>
        <v>Dragon's Crown</v>
      </c>
      <c r="B611" s="15" t="str">
        <f>IFERROR(__xludf.DUMMYFUNCTION("""COMPUTED_VALUE"""),"PS3/Vita")</f>
        <v>PS3/Vita</v>
      </c>
      <c r="C611" s="16" t="str">
        <f>IFERROR(__xludf.DUMMYFUNCTION("""COMPUTED_VALUE"""),"Playstation Plus (Discontinued)")</f>
        <v>Playstation Plus (Discontinued)</v>
      </c>
      <c r="D611" s="15" t="str">
        <f>IFERROR(__xludf.DUMMYFUNCTION("""COMPUTED_VALUE"""),"Removed")</f>
        <v>Removed</v>
      </c>
      <c r="E611" s="17">
        <f>IFERROR(__xludf.DUMMYFUNCTION("""COMPUTED_VALUE"""),41856.0)</f>
        <v>41856</v>
      </c>
      <c r="F611" s="54">
        <f>IFERROR(__xludf.DUMMYFUNCTION("""COMPUTED_VALUE"""),41883.0)</f>
        <v>41883</v>
      </c>
      <c r="G611" s="19">
        <f>IFERROR(__xludf.DUMMYFUNCTION("""COMPUTED_VALUE"""),0.8666666666666666)</f>
        <v>0.8666666667</v>
      </c>
      <c r="H611" s="17">
        <f>IFERROR(__xludf.DUMMYFUNCTION("""COMPUTED_VALUE"""),41492.0)</f>
        <v>41492</v>
      </c>
      <c r="I611" s="19">
        <f>IFERROR(__xludf.DUMMYFUNCTION("""COMPUTED_VALUE"""),0.9972222222222222)</f>
        <v>0.9972222222</v>
      </c>
      <c r="J611" s="21">
        <f>IFERROR(__xludf.DUMMYFUNCTION("""COMPUTED_VALUE"""),87.0)</f>
        <v>87</v>
      </c>
      <c r="K611" s="23">
        <f>IFERROR(__xludf.DUMMYFUNCTION("""COMPUTED_VALUE"""),8.3)</f>
        <v>8.3</v>
      </c>
      <c r="L611" s="24">
        <f>IFERROR(__xludf.DUMMYFUNCTION("""COMPUTED_VALUE"""),20.0)</f>
        <v>20</v>
      </c>
      <c r="M611" s="25" t="str">
        <f>IFERROR(__xludf.DUMMYFUNCTION("""COMPUTED_VALUE"""),"RPG")</f>
        <v>RPG</v>
      </c>
      <c r="N611" s="25"/>
      <c r="O611" s="26" t="str">
        <f>IFERROR(__xludf.DUMMYFUNCTION("""COMPUTED_VALUE"""),"No")</f>
        <v>No</v>
      </c>
      <c r="P611" s="26"/>
    </row>
    <row r="612">
      <c r="A612" s="13" t="str">
        <f>IFERROR(__xludf.DUMMYFUNCTION("""COMPUTED_VALUE"""),"Proteus")</f>
        <v>Proteus</v>
      </c>
      <c r="B612" s="15" t="str">
        <f>IFERROR(__xludf.DUMMYFUNCTION("""COMPUTED_VALUE"""),"PS3/Vita")</f>
        <v>PS3/Vita</v>
      </c>
      <c r="C612" s="16" t="str">
        <f>IFERROR(__xludf.DUMMYFUNCTION("""COMPUTED_VALUE"""),"Playstation Plus (Discontinued)")</f>
        <v>Playstation Plus (Discontinued)</v>
      </c>
      <c r="D612" s="15" t="str">
        <f>IFERROR(__xludf.DUMMYFUNCTION("""COMPUTED_VALUE"""),"Removed")</f>
        <v>Removed</v>
      </c>
      <c r="E612" s="17">
        <f>IFERROR(__xludf.DUMMYFUNCTION("""COMPUTED_VALUE"""),41856.0)</f>
        <v>41856</v>
      </c>
      <c r="F612" s="54">
        <f>IFERROR(__xludf.DUMMYFUNCTION("""COMPUTED_VALUE"""),41883.0)</f>
        <v>41883</v>
      </c>
      <c r="G612" s="19">
        <f>IFERROR(__xludf.DUMMYFUNCTION("""COMPUTED_VALUE"""),0.8666666666666666)</f>
        <v>0.8666666667</v>
      </c>
      <c r="H612" s="17">
        <f>IFERROR(__xludf.DUMMYFUNCTION("""COMPUTED_VALUE"""),41306.0)</f>
        <v>41306</v>
      </c>
      <c r="I612" s="19">
        <f>IFERROR(__xludf.DUMMYFUNCTION("""COMPUTED_VALUE"""),1.511111111111111)</f>
        <v>1.511111111</v>
      </c>
      <c r="J612" s="21">
        <f>IFERROR(__xludf.DUMMYFUNCTION("""COMPUTED_VALUE"""),80.0)</f>
        <v>80</v>
      </c>
      <c r="K612" s="23">
        <f>IFERROR(__xludf.DUMMYFUNCTION("""COMPUTED_VALUE"""),7.1)</f>
        <v>7.1</v>
      </c>
      <c r="L612" s="24">
        <f>IFERROR(__xludf.DUMMYFUNCTION("""COMPUTED_VALUE"""),1.0)</f>
        <v>1</v>
      </c>
      <c r="M612" s="25" t="str">
        <f>IFERROR(__xludf.DUMMYFUNCTION("""COMPUTED_VALUE"""),"Adventure")</f>
        <v>Adventure</v>
      </c>
      <c r="N612" s="25"/>
      <c r="O612" s="26" t="str">
        <f>IFERROR(__xludf.DUMMYFUNCTION("""COMPUTED_VALUE"""),"No")</f>
        <v>No</v>
      </c>
      <c r="P612" s="26"/>
    </row>
    <row r="613">
      <c r="A613" s="13" t="str">
        <f>IFERROR(__xludf.DUMMYFUNCTION("""COMPUTED_VALUE"""),"Crysis 3")</f>
        <v>Crysis 3</v>
      </c>
      <c r="B613" s="15" t="str">
        <f>IFERROR(__xludf.DUMMYFUNCTION("""COMPUTED_VALUE"""),"PS3")</f>
        <v>PS3</v>
      </c>
      <c r="C613" s="16" t="str">
        <f>IFERROR(__xludf.DUMMYFUNCTION("""COMPUTED_VALUE"""),"Playstation Plus (Discontinued)")</f>
        <v>Playstation Plus (Discontinued)</v>
      </c>
      <c r="D613" s="15" t="str">
        <f>IFERROR(__xludf.DUMMYFUNCTION("""COMPUTED_VALUE"""),"Removed")</f>
        <v>Removed</v>
      </c>
      <c r="E613" s="17">
        <f>IFERROR(__xludf.DUMMYFUNCTION("""COMPUTED_VALUE"""),41856.0)</f>
        <v>41856</v>
      </c>
      <c r="F613" s="54">
        <f>IFERROR(__xludf.DUMMYFUNCTION("""COMPUTED_VALUE"""),41883.0)</f>
        <v>41883</v>
      </c>
      <c r="G613" s="19">
        <f>IFERROR(__xludf.DUMMYFUNCTION("""COMPUTED_VALUE"""),0.8666666666666666)</f>
        <v>0.8666666667</v>
      </c>
      <c r="H613" s="17">
        <f>IFERROR(__xludf.DUMMYFUNCTION("""COMPUTED_VALUE"""),41324.0)</f>
        <v>41324</v>
      </c>
      <c r="I613" s="19">
        <f>IFERROR(__xludf.DUMMYFUNCTION("""COMPUTED_VALUE"""),1.461111111111111)</f>
        <v>1.461111111</v>
      </c>
      <c r="J613" s="21">
        <f>IFERROR(__xludf.DUMMYFUNCTION("""COMPUTED_VALUE"""),76.0)</f>
        <v>76</v>
      </c>
      <c r="K613" s="23">
        <f>IFERROR(__xludf.DUMMYFUNCTION("""COMPUTED_VALUE"""),7.2)</f>
        <v>7.2</v>
      </c>
      <c r="L613" s="24">
        <f>IFERROR(__xludf.DUMMYFUNCTION("""COMPUTED_VALUE"""),7.0)</f>
        <v>7</v>
      </c>
      <c r="M613" s="25" t="str">
        <f>IFERROR(__xludf.DUMMYFUNCTION("""COMPUTED_VALUE"""),"Shooter")</f>
        <v>Shooter</v>
      </c>
      <c r="N613" s="25"/>
      <c r="O613" s="26" t="str">
        <f>IFERROR(__xludf.DUMMYFUNCTION("""COMPUTED_VALUE"""),"No")</f>
        <v>No</v>
      </c>
      <c r="P613" s="26"/>
    </row>
    <row r="614">
      <c r="A614" s="13" t="str">
        <f>IFERROR(__xludf.DUMMYFUNCTION("""COMPUTED_VALUE"""),"Metrico")</f>
        <v>Metrico</v>
      </c>
      <c r="B614" s="15" t="str">
        <f>IFERROR(__xludf.DUMMYFUNCTION("""COMPUTED_VALUE"""),"Vita")</f>
        <v>Vita</v>
      </c>
      <c r="C614" s="16" t="str">
        <f>IFERROR(__xludf.DUMMYFUNCTION("""COMPUTED_VALUE"""),"Playstation Plus (Discontinued)")</f>
        <v>Playstation Plus (Discontinued)</v>
      </c>
      <c r="D614" s="15" t="str">
        <f>IFERROR(__xludf.DUMMYFUNCTION("""COMPUTED_VALUE"""),"Removed")</f>
        <v>Removed</v>
      </c>
      <c r="E614" s="17">
        <f>IFERROR(__xludf.DUMMYFUNCTION("""COMPUTED_VALUE"""),41856.0)</f>
        <v>41856</v>
      </c>
      <c r="F614" s="54">
        <f>IFERROR(__xludf.DUMMYFUNCTION("""COMPUTED_VALUE"""),41883.0)</f>
        <v>41883</v>
      </c>
      <c r="G614" s="19">
        <f>IFERROR(__xludf.DUMMYFUNCTION("""COMPUTED_VALUE"""),0.8666666666666666)</f>
        <v>0.8666666667</v>
      </c>
      <c r="H614" s="17">
        <f>IFERROR(__xludf.DUMMYFUNCTION("""COMPUTED_VALUE"""),41856.0)</f>
        <v>41856</v>
      </c>
      <c r="I614" s="19">
        <f>IFERROR(__xludf.DUMMYFUNCTION("""COMPUTED_VALUE"""),0.0)</f>
        <v>0</v>
      </c>
      <c r="J614" s="21">
        <f>IFERROR(__xludf.DUMMYFUNCTION("""COMPUTED_VALUE"""),68.0)</f>
        <v>68</v>
      </c>
      <c r="K614" s="23">
        <f>IFERROR(__xludf.DUMMYFUNCTION("""COMPUTED_VALUE"""),6.8)</f>
        <v>6.8</v>
      </c>
      <c r="L614" s="24">
        <f>IFERROR(__xludf.DUMMYFUNCTION("""COMPUTED_VALUE"""),3.0)</f>
        <v>3</v>
      </c>
      <c r="M614" s="25" t="str">
        <f>IFERROR(__xludf.DUMMYFUNCTION("""COMPUTED_VALUE"""),"Puzzle")</f>
        <v>Puzzle</v>
      </c>
      <c r="N614" s="25"/>
      <c r="O614" s="26" t="str">
        <f>IFERROR(__xludf.DUMMYFUNCTION("""COMPUTED_VALUE"""),"No")</f>
        <v>No</v>
      </c>
      <c r="P614" s="26"/>
    </row>
    <row r="615">
      <c r="A615" s="13" t="str">
        <f>IFERROR(__xludf.DUMMYFUNCTION("""COMPUTED_VALUE"""),"Doki-Doki Universe")</f>
        <v>Doki-Doki Universe</v>
      </c>
      <c r="B615" s="15" t="str">
        <f>IFERROR(__xludf.DUMMYFUNCTION("""COMPUTED_VALUE"""),"PS4/PS3/Vita")</f>
        <v>PS4/PS3/Vita</v>
      </c>
      <c r="C615" s="16" t="str">
        <f>IFERROR(__xludf.DUMMYFUNCTION("""COMPUTED_VALUE"""),"Playstation Plus (Discontinued)")</f>
        <v>Playstation Plus (Discontinued)</v>
      </c>
      <c r="D615" s="15" t="str">
        <f>IFERROR(__xludf.DUMMYFUNCTION("""COMPUTED_VALUE"""),"Removed")</f>
        <v>Removed</v>
      </c>
      <c r="E615" s="17">
        <f>IFERROR(__xludf.DUMMYFUNCTION("""COMPUTED_VALUE"""),41821.0)</f>
        <v>41821</v>
      </c>
      <c r="F615" s="54">
        <f>IFERROR(__xludf.DUMMYFUNCTION("""COMPUTED_VALUE"""),41855.0)</f>
        <v>41855</v>
      </c>
      <c r="G615" s="19">
        <f>IFERROR(__xludf.DUMMYFUNCTION("""COMPUTED_VALUE"""),1.0999999999999999)</f>
        <v>1.1</v>
      </c>
      <c r="H615" s="17">
        <f>IFERROR(__xludf.DUMMYFUNCTION("""COMPUTED_VALUE"""),41618.0)</f>
        <v>41618</v>
      </c>
      <c r="I615" s="19">
        <f>IFERROR(__xludf.DUMMYFUNCTION("""COMPUTED_VALUE"""),0.5583333333333333)</f>
        <v>0.5583333333</v>
      </c>
      <c r="J615" s="21">
        <f>IFERROR(__xludf.DUMMYFUNCTION("""COMPUTED_VALUE"""),70.0)</f>
        <v>70</v>
      </c>
      <c r="K615" s="23">
        <f>IFERROR(__xludf.DUMMYFUNCTION("""COMPUTED_VALUE"""),7.1)</f>
        <v>7.1</v>
      </c>
      <c r="L615" s="24"/>
      <c r="M615" s="25" t="str">
        <f>IFERROR(__xludf.DUMMYFUNCTION("""COMPUTED_VALUE"""),"Adventure")</f>
        <v>Adventure</v>
      </c>
      <c r="N615" s="25"/>
      <c r="O615" s="26" t="str">
        <f>IFERROR(__xludf.DUMMYFUNCTION("""COMPUTED_VALUE"""),"No")</f>
        <v>No</v>
      </c>
      <c r="P615" s="26"/>
    </row>
    <row r="616">
      <c r="A616" s="13" t="str">
        <f>IFERROR(__xludf.DUMMYFUNCTION("""COMPUTED_VALUE"""),"Towerfall Ascension")</f>
        <v>Towerfall Ascension</v>
      </c>
      <c r="B616" s="15" t="str">
        <f>IFERROR(__xludf.DUMMYFUNCTION("""COMPUTED_VALUE"""),"PS4")</f>
        <v>PS4</v>
      </c>
      <c r="C616" s="16" t="str">
        <f>IFERROR(__xludf.DUMMYFUNCTION("""COMPUTED_VALUE"""),"Playstation Plus (Discontinued)")</f>
        <v>Playstation Plus (Discontinued)</v>
      </c>
      <c r="D616" s="15" t="str">
        <f>IFERROR(__xludf.DUMMYFUNCTION("""COMPUTED_VALUE"""),"Removed")</f>
        <v>Removed</v>
      </c>
      <c r="E616" s="17">
        <f>IFERROR(__xludf.DUMMYFUNCTION("""COMPUTED_VALUE"""),41821.0)</f>
        <v>41821</v>
      </c>
      <c r="F616" s="54">
        <f>IFERROR(__xludf.DUMMYFUNCTION("""COMPUTED_VALUE"""),41855.0)</f>
        <v>41855</v>
      </c>
      <c r="G616" s="19">
        <f>IFERROR(__xludf.DUMMYFUNCTION("""COMPUTED_VALUE"""),1.0999999999999999)</f>
        <v>1.1</v>
      </c>
      <c r="H616" s="17">
        <f>IFERROR(__xludf.DUMMYFUNCTION("""COMPUTED_VALUE"""),41709.0)</f>
        <v>41709</v>
      </c>
      <c r="I616" s="19">
        <f>IFERROR(__xludf.DUMMYFUNCTION("""COMPUTED_VALUE"""),0.3055555555555556)</f>
        <v>0.3055555556</v>
      </c>
      <c r="J616" s="21">
        <f>IFERROR(__xludf.DUMMYFUNCTION("""COMPUTED_VALUE"""),87.0)</f>
        <v>87</v>
      </c>
      <c r="K616" s="23">
        <f>IFERROR(__xludf.DUMMYFUNCTION("""COMPUTED_VALUE"""),8.4)</f>
        <v>8.4</v>
      </c>
      <c r="L616" s="24">
        <f>IFERROR(__xludf.DUMMYFUNCTION("""COMPUTED_VALUE"""),4.0)</f>
        <v>4</v>
      </c>
      <c r="M616" s="25" t="str">
        <f>IFERROR(__xludf.DUMMYFUNCTION("""COMPUTED_VALUE"""),"Platformer")</f>
        <v>Platformer</v>
      </c>
      <c r="N616" s="25"/>
      <c r="O616" s="26" t="str">
        <f>IFERROR(__xludf.DUMMYFUNCTION("""COMPUTED_VALUE"""),"No")</f>
        <v>No</v>
      </c>
      <c r="P616" s="26"/>
    </row>
    <row r="617">
      <c r="A617" s="13" t="str">
        <f>IFERROR(__xludf.DUMMYFUNCTION("""COMPUTED_VALUE"""),"Strider")</f>
        <v>Strider</v>
      </c>
      <c r="B617" s="15" t="str">
        <f>IFERROR(__xludf.DUMMYFUNCTION("""COMPUTED_VALUE"""),"PS4")</f>
        <v>PS4</v>
      </c>
      <c r="C617" s="16" t="str">
        <f>IFERROR(__xludf.DUMMYFUNCTION("""COMPUTED_VALUE"""),"Playstation Plus (Discontinued)")</f>
        <v>Playstation Plus (Discontinued)</v>
      </c>
      <c r="D617" s="15" t="str">
        <f>IFERROR(__xludf.DUMMYFUNCTION("""COMPUTED_VALUE"""),"Removed")</f>
        <v>Removed</v>
      </c>
      <c r="E617" s="17">
        <f>IFERROR(__xludf.DUMMYFUNCTION("""COMPUTED_VALUE"""),41821.0)</f>
        <v>41821</v>
      </c>
      <c r="F617" s="54">
        <f>IFERROR(__xludf.DUMMYFUNCTION("""COMPUTED_VALUE"""),41855.0)</f>
        <v>41855</v>
      </c>
      <c r="G617" s="19">
        <f>IFERROR(__xludf.DUMMYFUNCTION("""COMPUTED_VALUE"""),1.0999999999999999)</f>
        <v>1.1</v>
      </c>
      <c r="H617" s="17">
        <f>IFERROR(__xludf.DUMMYFUNCTION("""COMPUTED_VALUE"""),41688.0)</f>
        <v>41688</v>
      </c>
      <c r="I617" s="19">
        <f>IFERROR(__xludf.DUMMYFUNCTION("""COMPUTED_VALUE"""),0.36944444444444446)</f>
        <v>0.3694444444</v>
      </c>
      <c r="J617" s="21">
        <f>IFERROR(__xludf.DUMMYFUNCTION("""COMPUTED_VALUE"""),78.0)</f>
        <v>78</v>
      </c>
      <c r="K617" s="23">
        <f>IFERROR(__xludf.DUMMYFUNCTION("""COMPUTED_VALUE"""),7.6)</f>
        <v>7.6</v>
      </c>
      <c r="L617" s="24">
        <f>IFERROR(__xludf.DUMMYFUNCTION("""COMPUTED_VALUE"""),5.0)</f>
        <v>5</v>
      </c>
      <c r="M617" s="25" t="str">
        <f>IFERROR(__xludf.DUMMYFUNCTION("""COMPUTED_VALUE"""),"Platformer")</f>
        <v>Platformer</v>
      </c>
      <c r="N617" s="25"/>
      <c r="O617" s="26" t="str">
        <f>IFERROR(__xludf.DUMMYFUNCTION("""COMPUTED_VALUE"""),"No")</f>
        <v>No</v>
      </c>
      <c r="P617" s="26"/>
    </row>
    <row r="618">
      <c r="A618" s="13" t="str">
        <f>IFERROR(__xludf.DUMMYFUNCTION("""COMPUTED_VALUE"""),"Dead Space 3")</f>
        <v>Dead Space 3</v>
      </c>
      <c r="B618" s="15" t="str">
        <f>IFERROR(__xludf.DUMMYFUNCTION("""COMPUTED_VALUE"""),"PS3")</f>
        <v>PS3</v>
      </c>
      <c r="C618" s="16" t="str">
        <f>IFERROR(__xludf.DUMMYFUNCTION("""COMPUTED_VALUE"""),"Playstation Plus (Discontinued)")</f>
        <v>Playstation Plus (Discontinued)</v>
      </c>
      <c r="D618" s="15" t="str">
        <f>IFERROR(__xludf.DUMMYFUNCTION("""COMPUTED_VALUE"""),"Removed")</f>
        <v>Removed</v>
      </c>
      <c r="E618" s="17">
        <f>IFERROR(__xludf.DUMMYFUNCTION("""COMPUTED_VALUE"""),41821.0)</f>
        <v>41821</v>
      </c>
      <c r="F618" s="54">
        <f>IFERROR(__xludf.DUMMYFUNCTION("""COMPUTED_VALUE"""),41855.0)</f>
        <v>41855</v>
      </c>
      <c r="G618" s="19">
        <f>IFERROR(__xludf.DUMMYFUNCTION("""COMPUTED_VALUE"""),1.0999999999999999)</f>
        <v>1.1</v>
      </c>
      <c r="H618" s="17">
        <f>IFERROR(__xludf.DUMMYFUNCTION("""COMPUTED_VALUE"""),41310.0)</f>
        <v>41310</v>
      </c>
      <c r="I618" s="19">
        <f>IFERROR(__xludf.DUMMYFUNCTION("""COMPUTED_VALUE"""),1.4055555555555554)</f>
        <v>1.405555556</v>
      </c>
      <c r="J618" s="21">
        <f>IFERROR(__xludf.DUMMYFUNCTION("""COMPUTED_VALUE"""),78.0)</f>
        <v>78</v>
      </c>
      <c r="K618" s="23">
        <f>IFERROR(__xludf.DUMMYFUNCTION("""COMPUTED_VALUE"""),6.6)</f>
        <v>6.6</v>
      </c>
      <c r="L618" s="24">
        <f>IFERROR(__xludf.DUMMYFUNCTION("""COMPUTED_VALUE"""),13.0)</f>
        <v>13</v>
      </c>
      <c r="M618" s="25" t="str">
        <f>IFERROR(__xludf.DUMMYFUNCTION("""COMPUTED_VALUE"""),"Horror")</f>
        <v>Horror</v>
      </c>
      <c r="N618" s="25"/>
      <c r="O618" s="26" t="str">
        <f>IFERROR(__xludf.DUMMYFUNCTION("""COMPUTED_VALUE"""),"No")</f>
        <v>No</v>
      </c>
      <c r="P618" s="26"/>
    </row>
    <row r="619">
      <c r="A619" s="13" t="str">
        <f>IFERROR(__xludf.DUMMYFUNCTION("""COMPUTED_VALUE"""),"Vessel")</f>
        <v>Vessel</v>
      </c>
      <c r="B619" s="15" t="str">
        <f>IFERROR(__xludf.DUMMYFUNCTION("""COMPUTED_VALUE"""),"PS3")</f>
        <v>PS3</v>
      </c>
      <c r="C619" s="16" t="str">
        <f>IFERROR(__xludf.DUMMYFUNCTION("""COMPUTED_VALUE"""),"Playstation Plus (Discontinued)")</f>
        <v>Playstation Plus (Discontinued)</v>
      </c>
      <c r="D619" s="15" t="str">
        <f>IFERROR(__xludf.DUMMYFUNCTION("""COMPUTED_VALUE"""),"Removed")</f>
        <v>Removed</v>
      </c>
      <c r="E619" s="17">
        <f>IFERROR(__xludf.DUMMYFUNCTION("""COMPUTED_VALUE"""),41821.0)</f>
        <v>41821</v>
      </c>
      <c r="F619" s="54">
        <f>IFERROR(__xludf.DUMMYFUNCTION("""COMPUTED_VALUE"""),41855.0)</f>
        <v>41855</v>
      </c>
      <c r="G619" s="19">
        <f>IFERROR(__xludf.DUMMYFUNCTION("""COMPUTED_VALUE"""),1.0999999999999999)</f>
        <v>1.1</v>
      </c>
      <c r="H619" s="17">
        <f>IFERROR(__xludf.DUMMYFUNCTION("""COMPUTED_VALUE"""),40969.0)</f>
        <v>40969</v>
      </c>
      <c r="I619" s="19">
        <f>IFERROR(__xludf.DUMMYFUNCTION("""COMPUTED_VALUE"""),2.3333333333333335)</f>
        <v>2.333333333</v>
      </c>
      <c r="J619" s="21">
        <f>IFERROR(__xludf.DUMMYFUNCTION("""COMPUTED_VALUE"""),79.0)</f>
        <v>79</v>
      </c>
      <c r="K619" s="23">
        <f>IFERROR(__xludf.DUMMYFUNCTION("""COMPUTED_VALUE"""),7.4)</f>
        <v>7.4</v>
      </c>
      <c r="L619" s="24">
        <f>IFERROR(__xludf.DUMMYFUNCTION("""COMPUTED_VALUE"""),6.0)</f>
        <v>6</v>
      </c>
      <c r="M619" s="25" t="str">
        <f>IFERROR(__xludf.DUMMYFUNCTION("""COMPUTED_VALUE"""),"Platformer")</f>
        <v>Platformer</v>
      </c>
      <c r="N619" s="25"/>
      <c r="O619" s="26" t="str">
        <f>IFERROR(__xludf.DUMMYFUNCTION("""COMPUTED_VALUE"""),"No")</f>
        <v>No</v>
      </c>
      <c r="P619" s="26"/>
    </row>
    <row r="620">
      <c r="A620" s="13" t="str">
        <f>IFERROR(__xludf.DUMMYFUNCTION("""COMPUTED_VALUE"""),"Muramasa Rebirth")</f>
        <v>Muramasa Rebirth</v>
      </c>
      <c r="B620" s="15" t="str">
        <f>IFERROR(__xludf.DUMMYFUNCTION("""COMPUTED_VALUE"""),"Vita")</f>
        <v>Vita</v>
      </c>
      <c r="C620" s="16" t="str">
        <f>IFERROR(__xludf.DUMMYFUNCTION("""COMPUTED_VALUE"""),"Playstation Plus (Discontinued)")</f>
        <v>Playstation Plus (Discontinued)</v>
      </c>
      <c r="D620" s="15" t="str">
        <f>IFERROR(__xludf.DUMMYFUNCTION("""COMPUTED_VALUE"""),"Removed")</f>
        <v>Removed</v>
      </c>
      <c r="E620" s="17">
        <f>IFERROR(__xludf.DUMMYFUNCTION("""COMPUTED_VALUE"""),41821.0)</f>
        <v>41821</v>
      </c>
      <c r="F620" s="54">
        <f>IFERROR(__xludf.DUMMYFUNCTION("""COMPUTED_VALUE"""),41855.0)</f>
        <v>41855</v>
      </c>
      <c r="G620" s="19">
        <f>IFERROR(__xludf.DUMMYFUNCTION("""COMPUTED_VALUE"""),1.0999999999999999)</f>
        <v>1.1</v>
      </c>
      <c r="H620" s="17">
        <f>IFERROR(__xludf.DUMMYFUNCTION("""COMPUTED_VALUE"""),41450.0)</f>
        <v>41450</v>
      </c>
      <c r="I620" s="19">
        <f>IFERROR(__xludf.DUMMYFUNCTION("""COMPUTED_VALUE"""),1.0166666666666666)</f>
        <v>1.016666667</v>
      </c>
      <c r="J620" s="21">
        <f>IFERROR(__xludf.DUMMYFUNCTION("""COMPUTED_VALUE"""),81.0)</f>
        <v>81</v>
      </c>
      <c r="K620" s="23">
        <f>IFERROR(__xludf.DUMMYFUNCTION("""COMPUTED_VALUE"""),8.3)</f>
        <v>8.3</v>
      </c>
      <c r="L620" s="24">
        <f>IFERROR(__xludf.DUMMYFUNCTION("""COMPUTED_VALUE"""),15.0)</f>
        <v>15</v>
      </c>
      <c r="M620" s="25" t="str">
        <f>IFERROR(__xludf.DUMMYFUNCTION("""COMPUTED_VALUE"""),"Platformer")</f>
        <v>Platformer</v>
      </c>
      <c r="N620" s="25"/>
      <c r="O620" s="26" t="str">
        <f>IFERROR(__xludf.DUMMYFUNCTION("""COMPUTED_VALUE"""),"No")</f>
        <v>No</v>
      </c>
      <c r="P620" s="26"/>
    </row>
    <row r="621">
      <c r="A621" s="13" t="str">
        <f>IFERROR(__xludf.DUMMYFUNCTION("""COMPUTED_VALUE"""),"Mutant Mudds Deluxe")</f>
        <v>Mutant Mudds Deluxe</v>
      </c>
      <c r="B621" s="15" t="str">
        <f>IFERROR(__xludf.DUMMYFUNCTION("""COMPUTED_VALUE"""),"PS3/Vita")</f>
        <v>PS3/Vita</v>
      </c>
      <c r="C621" s="16" t="str">
        <f>IFERROR(__xludf.DUMMYFUNCTION("""COMPUTED_VALUE"""),"Playstation Plus (Discontinued)")</f>
        <v>Playstation Plus (Discontinued)</v>
      </c>
      <c r="D621" s="15" t="str">
        <f>IFERROR(__xludf.DUMMYFUNCTION("""COMPUTED_VALUE"""),"Removed")</f>
        <v>Removed</v>
      </c>
      <c r="E621" s="17">
        <f>IFERROR(__xludf.DUMMYFUNCTION("""COMPUTED_VALUE"""),41814.0)</f>
        <v>41814</v>
      </c>
      <c r="F621" s="54">
        <f>IFERROR(__xludf.DUMMYFUNCTION("""COMPUTED_VALUE"""),41820.0)</f>
        <v>41820</v>
      </c>
      <c r="G621" s="19">
        <f>IFERROR(__xludf.DUMMYFUNCTION("""COMPUTED_VALUE"""),0.2)</f>
        <v>0.2</v>
      </c>
      <c r="H621" s="17">
        <f>IFERROR(__xludf.DUMMYFUNCTION("""COMPUTED_VALUE"""),41499.0)</f>
        <v>41499</v>
      </c>
      <c r="I621" s="19">
        <f>IFERROR(__xludf.DUMMYFUNCTION("""COMPUTED_VALUE"""),0.8638888888888889)</f>
        <v>0.8638888889</v>
      </c>
      <c r="J621" s="21">
        <f>IFERROR(__xludf.DUMMYFUNCTION("""COMPUTED_VALUE"""),79.0)</f>
        <v>79</v>
      </c>
      <c r="K621" s="23">
        <f>IFERROR(__xludf.DUMMYFUNCTION("""COMPUTED_VALUE"""),7.6)</f>
        <v>7.6</v>
      </c>
      <c r="L621" s="24">
        <f>IFERROR(__xludf.DUMMYFUNCTION("""COMPUTED_VALUE"""),5.0)</f>
        <v>5</v>
      </c>
      <c r="M621" s="25" t="str">
        <f>IFERROR(__xludf.DUMMYFUNCTION("""COMPUTED_VALUE"""),"Platformer")</f>
        <v>Platformer</v>
      </c>
      <c r="N621" s="25"/>
      <c r="O621" s="26" t="str">
        <f>IFERROR(__xludf.DUMMYFUNCTION("""COMPUTED_VALUE"""),"No")</f>
        <v>No</v>
      </c>
      <c r="P621" s="26"/>
    </row>
    <row r="622">
      <c r="A622" s="13" t="str">
        <f>IFERROR(__xludf.DUMMYFUNCTION("""COMPUTED_VALUE"""),"Terraria")</f>
        <v>Terraria</v>
      </c>
      <c r="B622" s="15" t="str">
        <f>IFERROR(__xludf.DUMMYFUNCTION("""COMPUTED_VALUE"""),"Vita")</f>
        <v>Vita</v>
      </c>
      <c r="C622" s="16" t="str">
        <f>IFERROR(__xludf.DUMMYFUNCTION("""COMPUTED_VALUE"""),"Playstation Plus (Discontinued)")</f>
        <v>Playstation Plus (Discontinued)</v>
      </c>
      <c r="D622" s="15" t="str">
        <f>IFERROR(__xludf.DUMMYFUNCTION("""COMPUTED_VALUE"""),"Removed")</f>
        <v>Removed</v>
      </c>
      <c r="E622" s="17">
        <f>IFERROR(__xludf.DUMMYFUNCTION("""COMPUTED_VALUE"""),41807.0)</f>
        <v>41807</v>
      </c>
      <c r="F622" s="54">
        <f>IFERROR(__xludf.DUMMYFUNCTION("""COMPUTED_VALUE"""),41813.0)</f>
        <v>41813</v>
      </c>
      <c r="G622" s="19">
        <f>IFERROR(__xludf.DUMMYFUNCTION("""COMPUTED_VALUE"""),0.2)</f>
        <v>0.2</v>
      </c>
      <c r="H622" s="17">
        <f>IFERROR(__xludf.DUMMYFUNCTION("""COMPUTED_VALUE"""),41359.0)</f>
        <v>41359</v>
      </c>
      <c r="I622" s="19">
        <f>IFERROR(__xludf.DUMMYFUNCTION("""COMPUTED_VALUE"""),1.225)</f>
        <v>1.225</v>
      </c>
      <c r="J622" s="21">
        <f>IFERROR(__xludf.DUMMYFUNCTION("""COMPUTED_VALUE"""),83.0)</f>
        <v>83</v>
      </c>
      <c r="K622" s="23">
        <f>IFERROR(__xludf.DUMMYFUNCTION("""COMPUTED_VALUE"""),8.2)</f>
        <v>8.2</v>
      </c>
      <c r="L622" s="24">
        <f>IFERROR(__xludf.DUMMYFUNCTION("""COMPUTED_VALUE"""),50.0)</f>
        <v>50</v>
      </c>
      <c r="M622" s="25" t="str">
        <f>IFERROR(__xludf.DUMMYFUNCTION("""COMPUTED_VALUE"""),"Action-Adventure")</f>
        <v>Action-Adventure</v>
      </c>
      <c r="N622" s="25"/>
      <c r="O622" s="26" t="str">
        <f>IFERROR(__xludf.DUMMYFUNCTION("""COMPUTED_VALUE"""),"No")</f>
        <v>No</v>
      </c>
      <c r="P622" s="26"/>
    </row>
    <row r="623">
      <c r="A623" s="13" t="str">
        <f>IFERROR(__xludf.DUMMYFUNCTION("""COMPUTED_VALUE"""),"Sly Cooper: Thieves in Time")</f>
        <v>Sly Cooper: Thieves in Time</v>
      </c>
      <c r="B623" s="15" t="str">
        <f>IFERROR(__xludf.DUMMYFUNCTION("""COMPUTED_VALUE"""),"PS3/Vita")</f>
        <v>PS3/Vita</v>
      </c>
      <c r="C623" s="16" t="str">
        <f>IFERROR(__xludf.DUMMYFUNCTION("""COMPUTED_VALUE"""),"Playstation Plus (Discontinued)")</f>
        <v>Playstation Plus (Discontinued)</v>
      </c>
      <c r="D623" s="15" t="str">
        <f>IFERROR(__xludf.DUMMYFUNCTION("""COMPUTED_VALUE"""),"Removed")</f>
        <v>Removed</v>
      </c>
      <c r="E623" s="17">
        <f>IFERROR(__xludf.DUMMYFUNCTION("""COMPUTED_VALUE"""),41799.0)</f>
        <v>41799</v>
      </c>
      <c r="F623" s="54">
        <f>IFERROR(__xludf.DUMMYFUNCTION("""COMPUTED_VALUE"""),41806.0)</f>
        <v>41806</v>
      </c>
      <c r="G623" s="19">
        <f>IFERROR(__xludf.DUMMYFUNCTION("""COMPUTED_VALUE"""),0.23333333333333334)</f>
        <v>0.2333333333</v>
      </c>
      <c r="H623" s="17">
        <f>IFERROR(__xludf.DUMMYFUNCTION("""COMPUTED_VALUE"""),41310.0)</f>
        <v>41310</v>
      </c>
      <c r="I623" s="19">
        <f>IFERROR(__xludf.DUMMYFUNCTION("""COMPUTED_VALUE"""),1.3444444444444446)</f>
        <v>1.344444444</v>
      </c>
      <c r="J623" s="21">
        <f>IFERROR(__xludf.DUMMYFUNCTION("""COMPUTED_VALUE"""),75.0)</f>
        <v>75</v>
      </c>
      <c r="K623" s="23">
        <f>IFERROR(__xludf.DUMMYFUNCTION("""COMPUTED_VALUE"""),8.0)</f>
        <v>8</v>
      </c>
      <c r="L623" s="24">
        <f>IFERROR(__xludf.DUMMYFUNCTION("""COMPUTED_VALUE"""),13.0)</f>
        <v>13</v>
      </c>
      <c r="M623" s="25" t="str">
        <f>IFERROR(__xludf.DUMMYFUNCTION("""COMPUTED_VALUE"""),"Platformer")</f>
        <v>Platformer</v>
      </c>
      <c r="N623" s="25"/>
      <c r="O623" s="26" t="str">
        <f>IFERROR(__xludf.DUMMYFUNCTION("""COMPUTED_VALUE"""),"No")</f>
        <v>No</v>
      </c>
      <c r="P623" s="26"/>
    </row>
    <row r="624">
      <c r="A624" s="13" t="str">
        <f>IFERROR(__xludf.DUMMYFUNCTION("""COMPUTED_VALUE"""),"PixelJunk Shooter Ultimate")</f>
        <v>PixelJunk Shooter Ultimate</v>
      </c>
      <c r="B624" s="15" t="str">
        <f>IFERROR(__xludf.DUMMYFUNCTION("""COMPUTED_VALUE"""),"PS4/Vita")</f>
        <v>PS4/Vita</v>
      </c>
      <c r="C624" s="16" t="str">
        <f>IFERROR(__xludf.DUMMYFUNCTION("""COMPUTED_VALUE"""),"Playstation Plus (Discontinued)")</f>
        <v>Playstation Plus (Discontinued)</v>
      </c>
      <c r="D624" s="15" t="str">
        <f>IFERROR(__xludf.DUMMYFUNCTION("""COMPUTED_VALUE"""),"Removed")</f>
        <v>Removed</v>
      </c>
      <c r="E624" s="17">
        <f>IFERROR(__xludf.DUMMYFUNCTION("""COMPUTED_VALUE"""),41793.0)</f>
        <v>41793</v>
      </c>
      <c r="F624" s="54">
        <f>IFERROR(__xludf.DUMMYFUNCTION("""COMPUTED_VALUE"""),41798.0)</f>
        <v>41798</v>
      </c>
      <c r="G624" s="19">
        <f>IFERROR(__xludf.DUMMYFUNCTION("""COMPUTED_VALUE"""),0.16666666666666666)</f>
        <v>0.1666666667</v>
      </c>
      <c r="H624" s="17">
        <f>IFERROR(__xludf.DUMMYFUNCTION("""COMPUTED_VALUE"""),41793.0)</f>
        <v>41793</v>
      </c>
      <c r="I624" s="19">
        <f>IFERROR(__xludf.DUMMYFUNCTION("""COMPUTED_VALUE"""),0.0)</f>
        <v>0</v>
      </c>
      <c r="J624" s="21">
        <f>IFERROR(__xludf.DUMMYFUNCTION("""COMPUTED_VALUE"""),84.0)</f>
        <v>84</v>
      </c>
      <c r="K624" s="23">
        <f>IFERROR(__xludf.DUMMYFUNCTION("""COMPUTED_VALUE"""),7.5)</f>
        <v>7.5</v>
      </c>
      <c r="L624" s="24">
        <f>IFERROR(__xludf.DUMMYFUNCTION("""COMPUTED_VALUE"""),7.0)</f>
        <v>7</v>
      </c>
      <c r="M624" s="25" t="str">
        <f>IFERROR(__xludf.DUMMYFUNCTION("""COMPUTED_VALUE"""),"Shooter")</f>
        <v>Shooter</v>
      </c>
      <c r="N624" s="25"/>
      <c r="O624" s="26" t="str">
        <f>IFERROR(__xludf.DUMMYFUNCTION("""COMPUTED_VALUE"""),"No")</f>
        <v>No</v>
      </c>
      <c r="P624" s="26"/>
    </row>
    <row r="625">
      <c r="A625" s="13" t="str">
        <f>IFERROR(__xludf.DUMMYFUNCTION("""COMPUTED_VALUE"""),"Trine 2: Complete Story")</f>
        <v>Trine 2: Complete Story</v>
      </c>
      <c r="B625" s="15" t="str">
        <f>IFERROR(__xludf.DUMMYFUNCTION("""COMPUTED_VALUE"""),"PS4")</f>
        <v>PS4</v>
      </c>
      <c r="C625" s="16" t="str">
        <f>IFERROR(__xludf.DUMMYFUNCTION("""COMPUTED_VALUE"""),"Playstation Plus (Discontinued)")</f>
        <v>Playstation Plus (Discontinued)</v>
      </c>
      <c r="D625" s="15" t="str">
        <f>IFERROR(__xludf.DUMMYFUNCTION("""COMPUTED_VALUE"""),"Removed")</f>
        <v>Removed</v>
      </c>
      <c r="E625" s="17">
        <f>IFERROR(__xludf.DUMMYFUNCTION("""COMPUTED_VALUE"""),41793.0)</f>
        <v>41793</v>
      </c>
      <c r="F625" s="54">
        <f>IFERROR(__xludf.DUMMYFUNCTION("""COMPUTED_VALUE"""),41798.0)</f>
        <v>41798</v>
      </c>
      <c r="G625" s="19">
        <f>IFERROR(__xludf.DUMMYFUNCTION("""COMPUTED_VALUE"""),0.16666666666666666)</f>
        <v>0.1666666667</v>
      </c>
      <c r="H625" s="17">
        <f>IFERROR(__xludf.DUMMYFUNCTION("""COMPUTED_VALUE"""),41625.0)</f>
        <v>41625</v>
      </c>
      <c r="I625" s="19">
        <f>IFERROR(__xludf.DUMMYFUNCTION("""COMPUTED_VALUE"""),0.46111111111111114)</f>
        <v>0.4611111111</v>
      </c>
      <c r="J625" s="21">
        <f>IFERROR(__xludf.DUMMYFUNCTION("""COMPUTED_VALUE"""),85.0)</f>
        <v>85</v>
      </c>
      <c r="K625" s="23">
        <f>IFERROR(__xludf.DUMMYFUNCTION("""COMPUTED_VALUE"""),8.2)</f>
        <v>8.2</v>
      </c>
      <c r="L625" s="24">
        <f>IFERROR(__xludf.DUMMYFUNCTION("""COMPUTED_VALUE"""),10.0)</f>
        <v>10</v>
      </c>
      <c r="M625" s="25" t="str">
        <f>IFERROR(__xludf.DUMMYFUNCTION("""COMPUTED_VALUE"""),"Platformer")</f>
        <v>Platformer</v>
      </c>
      <c r="N625" s="25"/>
      <c r="O625" s="26" t="str">
        <f>IFERROR(__xludf.DUMMYFUNCTION("""COMPUTED_VALUE"""),"No")</f>
        <v>No</v>
      </c>
      <c r="P625" s="26"/>
    </row>
    <row r="626">
      <c r="A626" s="13" t="str">
        <f>IFERROR(__xludf.DUMMYFUNCTION("""COMPUTED_VALUE"""),"NBA 2K14")</f>
        <v>NBA 2K14</v>
      </c>
      <c r="B626" s="15" t="str">
        <f>IFERROR(__xludf.DUMMYFUNCTION("""COMPUTED_VALUE"""),"PS3")</f>
        <v>PS3</v>
      </c>
      <c r="C626" s="16" t="str">
        <f>IFERROR(__xludf.DUMMYFUNCTION("""COMPUTED_VALUE"""),"Playstation Plus (Discontinued)")</f>
        <v>Playstation Plus (Discontinued)</v>
      </c>
      <c r="D626" s="15" t="str">
        <f>IFERROR(__xludf.DUMMYFUNCTION("""COMPUTED_VALUE"""),"Removed")</f>
        <v>Removed</v>
      </c>
      <c r="E626" s="17">
        <f>IFERROR(__xludf.DUMMYFUNCTION("""COMPUTED_VALUE"""),41793.0)</f>
        <v>41793</v>
      </c>
      <c r="F626" s="54">
        <f>IFERROR(__xludf.DUMMYFUNCTION("""COMPUTED_VALUE"""),41798.0)</f>
        <v>41798</v>
      </c>
      <c r="G626" s="19">
        <f>IFERROR(__xludf.DUMMYFUNCTION("""COMPUTED_VALUE"""),0.16666666666666666)</f>
        <v>0.1666666667</v>
      </c>
      <c r="H626" s="17">
        <f>IFERROR(__xludf.DUMMYFUNCTION("""COMPUTED_VALUE"""),41548.0)</f>
        <v>41548</v>
      </c>
      <c r="I626" s="19">
        <f>IFERROR(__xludf.DUMMYFUNCTION("""COMPUTED_VALUE"""),0.6722222222222223)</f>
        <v>0.6722222222</v>
      </c>
      <c r="J626" s="21">
        <f>IFERROR(__xludf.DUMMYFUNCTION("""COMPUTED_VALUE"""),85.0)</f>
        <v>85</v>
      </c>
      <c r="K626" s="23">
        <f>IFERROR(__xludf.DUMMYFUNCTION("""COMPUTED_VALUE"""),7.1)</f>
        <v>7.1</v>
      </c>
      <c r="L626" s="24"/>
      <c r="M626" s="25" t="str">
        <f>IFERROR(__xludf.DUMMYFUNCTION("""COMPUTED_VALUE"""),"Sports")</f>
        <v>Sports</v>
      </c>
      <c r="N626" s="25"/>
      <c r="O626" s="26" t="str">
        <f>IFERROR(__xludf.DUMMYFUNCTION("""COMPUTED_VALUE"""),"No")</f>
        <v>No</v>
      </c>
      <c r="P626" s="26"/>
    </row>
    <row r="627">
      <c r="A627" s="13" t="str">
        <f>IFERROR(__xludf.DUMMYFUNCTION("""COMPUTED_VALUE"""),"Limbo")</f>
        <v>Limbo</v>
      </c>
      <c r="B627" s="15" t="str">
        <f>IFERROR(__xludf.DUMMYFUNCTION("""COMPUTED_VALUE"""),"Vita")</f>
        <v>Vita</v>
      </c>
      <c r="C627" s="16" t="str">
        <f>IFERROR(__xludf.DUMMYFUNCTION("""COMPUTED_VALUE"""),"Playstation Plus (Discontinued)")</f>
        <v>Playstation Plus (Discontinued)</v>
      </c>
      <c r="D627" s="15" t="str">
        <f>IFERROR(__xludf.DUMMYFUNCTION("""COMPUTED_VALUE"""),"Removed")</f>
        <v>Removed</v>
      </c>
      <c r="E627" s="17">
        <f>IFERROR(__xludf.DUMMYFUNCTION("""COMPUTED_VALUE"""),41786.0)</f>
        <v>41786</v>
      </c>
      <c r="F627" s="54">
        <f>IFERROR(__xludf.DUMMYFUNCTION("""COMPUTED_VALUE"""),41792.0)</f>
        <v>41792</v>
      </c>
      <c r="G627" s="19">
        <f>IFERROR(__xludf.DUMMYFUNCTION("""COMPUTED_VALUE"""),0.16666666666666666)</f>
        <v>0.1666666667</v>
      </c>
      <c r="H627" s="17">
        <f>IFERROR(__xludf.DUMMYFUNCTION("""COMPUTED_VALUE"""),40378.0)</f>
        <v>40378</v>
      </c>
      <c r="I627" s="19">
        <f>IFERROR(__xludf.DUMMYFUNCTION("""COMPUTED_VALUE"""),3.8555555555555556)</f>
        <v>3.855555556</v>
      </c>
      <c r="J627" s="21">
        <f>IFERROR(__xludf.DUMMYFUNCTION("""COMPUTED_VALUE"""),90.0)</f>
        <v>90</v>
      </c>
      <c r="K627" s="23">
        <f>IFERROR(__xludf.DUMMYFUNCTION("""COMPUTED_VALUE"""),8.2)</f>
        <v>8.2</v>
      </c>
      <c r="L627" s="24">
        <f>IFERROR(__xludf.DUMMYFUNCTION("""COMPUTED_VALUE"""),4.0)</f>
        <v>4</v>
      </c>
      <c r="M627" s="25" t="str">
        <f>IFERROR(__xludf.DUMMYFUNCTION("""COMPUTED_VALUE"""),"Platformer")</f>
        <v>Platformer</v>
      </c>
      <c r="N627" s="25"/>
      <c r="O627" s="26" t="str">
        <f>IFERROR(__xludf.DUMMYFUNCTION("""COMPUTED_VALUE"""),"No")</f>
        <v>No</v>
      </c>
      <c r="P627" s="26"/>
    </row>
    <row r="628">
      <c r="A628" s="13" t="str">
        <f>IFERROR(__xludf.DUMMYFUNCTION("""COMPUTED_VALUE"""),"Puppeteer")</f>
        <v>Puppeteer</v>
      </c>
      <c r="B628" s="15" t="str">
        <f>IFERROR(__xludf.DUMMYFUNCTION("""COMPUTED_VALUE"""),"PS3")</f>
        <v>PS3</v>
      </c>
      <c r="C628" s="16" t="str">
        <f>IFERROR(__xludf.DUMMYFUNCTION("""COMPUTED_VALUE"""),"Playstation Plus (Discontinued)")</f>
        <v>Playstation Plus (Discontinued)</v>
      </c>
      <c r="D628" s="15" t="str">
        <f>IFERROR(__xludf.DUMMYFUNCTION("""COMPUTED_VALUE"""),"Removed")</f>
        <v>Removed</v>
      </c>
      <c r="E628" s="17">
        <f>IFERROR(__xludf.DUMMYFUNCTION("""COMPUTED_VALUE"""),41779.0)</f>
        <v>41779</v>
      </c>
      <c r="F628" s="54">
        <f>IFERROR(__xludf.DUMMYFUNCTION("""COMPUTED_VALUE"""),41785.0)</f>
        <v>41785</v>
      </c>
      <c r="G628" s="19">
        <f>IFERROR(__xludf.DUMMYFUNCTION("""COMPUTED_VALUE"""),0.2)</f>
        <v>0.2</v>
      </c>
      <c r="H628" s="17">
        <f>IFERROR(__xludf.DUMMYFUNCTION("""COMPUTED_VALUE"""),41527.0)</f>
        <v>41527</v>
      </c>
      <c r="I628" s="19">
        <f>IFERROR(__xludf.DUMMYFUNCTION("""COMPUTED_VALUE"""),0.6944444444444444)</f>
        <v>0.6944444444</v>
      </c>
      <c r="J628" s="21">
        <f>IFERROR(__xludf.DUMMYFUNCTION("""COMPUTED_VALUE"""),80.0)</f>
        <v>80</v>
      </c>
      <c r="K628" s="23">
        <f>IFERROR(__xludf.DUMMYFUNCTION("""COMPUTED_VALUE"""),8.2)</f>
        <v>8.2</v>
      </c>
      <c r="L628" s="24">
        <f>IFERROR(__xludf.DUMMYFUNCTION("""COMPUTED_VALUE"""),8.0)</f>
        <v>8</v>
      </c>
      <c r="M628" s="25" t="str">
        <f>IFERROR(__xludf.DUMMYFUNCTION("""COMPUTED_VALUE"""),"Platformer")</f>
        <v>Platformer</v>
      </c>
      <c r="N628" s="25"/>
      <c r="O628" s="26" t="str">
        <f>IFERROR(__xludf.DUMMYFUNCTION("""COMPUTED_VALUE"""),"No")</f>
        <v>No</v>
      </c>
      <c r="P628" s="26"/>
    </row>
    <row r="629">
      <c r="A629" s="13" t="str">
        <f>IFERROR(__xludf.DUMMYFUNCTION("""COMPUTED_VALUE"""),"Surge Deluxe")</f>
        <v>Surge Deluxe</v>
      </c>
      <c r="B629" s="15" t="str">
        <f>IFERROR(__xludf.DUMMYFUNCTION("""COMPUTED_VALUE"""),"Vita")</f>
        <v>Vita</v>
      </c>
      <c r="C629" s="16" t="str">
        <f>IFERROR(__xludf.DUMMYFUNCTION("""COMPUTED_VALUE"""),"Playstation Plus (Discontinued)")</f>
        <v>Playstation Plus (Discontinued)</v>
      </c>
      <c r="D629" s="15" t="str">
        <f>IFERROR(__xludf.DUMMYFUNCTION("""COMPUTED_VALUE"""),"Removed")</f>
        <v>Removed</v>
      </c>
      <c r="E629" s="17">
        <f>IFERROR(__xludf.DUMMYFUNCTION("""COMPUTED_VALUE"""),41779.0)</f>
        <v>41779</v>
      </c>
      <c r="F629" s="54">
        <f>IFERROR(__xludf.DUMMYFUNCTION("""COMPUTED_VALUE"""),41785.0)</f>
        <v>41785</v>
      </c>
      <c r="G629" s="19">
        <f>IFERROR(__xludf.DUMMYFUNCTION("""COMPUTED_VALUE"""),0.2)</f>
        <v>0.2</v>
      </c>
      <c r="H629" s="17">
        <f>IFERROR(__xludf.DUMMYFUNCTION("""COMPUTED_VALUE"""),41674.0)</f>
        <v>41674</v>
      </c>
      <c r="I629" s="19">
        <f>IFERROR(__xludf.DUMMYFUNCTION("""COMPUTED_VALUE"""),0.29444444444444445)</f>
        <v>0.2944444444</v>
      </c>
      <c r="J629" s="21">
        <f>IFERROR(__xludf.DUMMYFUNCTION("""COMPUTED_VALUE"""),64.0)</f>
        <v>64</v>
      </c>
      <c r="K629" s="23">
        <f>IFERROR(__xludf.DUMMYFUNCTION("""COMPUTED_VALUE"""),6.8)</f>
        <v>6.8</v>
      </c>
      <c r="L629" s="24">
        <f>IFERROR(__xludf.DUMMYFUNCTION("""COMPUTED_VALUE"""),4.0)</f>
        <v>4</v>
      </c>
      <c r="M629" s="25" t="str">
        <f>IFERROR(__xludf.DUMMYFUNCTION("""COMPUTED_VALUE"""),"Puzzle")</f>
        <v>Puzzle</v>
      </c>
      <c r="N629" s="25"/>
      <c r="O629" s="26" t="str">
        <f>IFERROR(__xludf.DUMMYFUNCTION("""COMPUTED_VALUE"""),"No")</f>
        <v>No</v>
      </c>
      <c r="P629" s="26"/>
    </row>
    <row r="630">
      <c r="A630" s="13" t="str">
        <f>IFERROR(__xludf.DUMMYFUNCTION("""COMPUTED_VALUE"""),"Skullgirls Encore")</f>
        <v>Skullgirls Encore</v>
      </c>
      <c r="B630" s="15" t="str">
        <f>IFERROR(__xludf.DUMMYFUNCTION("""COMPUTED_VALUE"""),"PS3")</f>
        <v>PS3</v>
      </c>
      <c r="C630" s="16" t="str">
        <f>IFERROR(__xludf.DUMMYFUNCTION("""COMPUTED_VALUE"""),"Playstation Plus (Discontinued)")</f>
        <v>Playstation Plus (Discontinued)</v>
      </c>
      <c r="D630" s="15" t="str">
        <f>IFERROR(__xludf.DUMMYFUNCTION("""COMPUTED_VALUE"""),"Removed")</f>
        <v>Removed</v>
      </c>
      <c r="E630" s="17">
        <f>IFERROR(__xludf.DUMMYFUNCTION("""COMPUTED_VALUE"""),41772.0)</f>
        <v>41772</v>
      </c>
      <c r="F630" s="54">
        <f>IFERROR(__xludf.DUMMYFUNCTION("""COMPUTED_VALUE"""),41778.0)</f>
        <v>41778</v>
      </c>
      <c r="G630" s="19">
        <f>IFERROR(__xludf.DUMMYFUNCTION("""COMPUTED_VALUE"""),0.2)</f>
        <v>0.2</v>
      </c>
      <c r="H630" s="17">
        <f>IFERROR(__xludf.DUMMYFUNCTION("""COMPUTED_VALUE"""),41681.0)</f>
        <v>41681</v>
      </c>
      <c r="I630" s="19">
        <f>IFERROR(__xludf.DUMMYFUNCTION("""COMPUTED_VALUE"""),0.25555555555555554)</f>
        <v>0.2555555556</v>
      </c>
      <c r="J630" s="21">
        <f>IFERROR(__xludf.DUMMYFUNCTION("""COMPUTED_VALUE"""),80.0)</f>
        <v>80</v>
      </c>
      <c r="K630" s="23">
        <f>IFERROR(__xludf.DUMMYFUNCTION("""COMPUTED_VALUE"""),7.7)</f>
        <v>7.7</v>
      </c>
      <c r="L630" s="24"/>
      <c r="M630" s="25" t="str">
        <f>IFERROR(__xludf.DUMMYFUNCTION("""COMPUTED_VALUE"""),"Fighting")</f>
        <v>Fighting</v>
      </c>
      <c r="N630" s="25"/>
      <c r="O630" s="26" t="str">
        <f>IFERROR(__xludf.DUMMYFUNCTION("""COMPUTED_VALUE"""),"No")</f>
        <v>No</v>
      </c>
      <c r="P630" s="26"/>
    </row>
    <row r="631">
      <c r="A631" s="13" t="str">
        <f>IFERROR(__xludf.DUMMYFUNCTION("""COMPUTED_VALUE"""),"Stick It to the Man")</f>
        <v>Stick It to the Man</v>
      </c>
      <c r="B631" s="15" t="str">
        <f>IFERROR(__xludf.DUMMYFUNCTION("""COMPUTED_VALUE"""),"PS4")</f>
        <v>PS4</v>
      </c>
      <c r="C631" s="16" t="str">
        <f>IFERROR(__xludf.DUMMYFUNCTION("""COMPUTED_VALUE"""),"Playstation Plus (Discontinued)")</f>
        <v>Playstation Plus (Discontinued)</v>
      </c>
      <c r="D631" s="15" t="str">
        <f>IFERROR(__xludf.DUMMYFUNCTION("""COMPUTED_VALUE"""),"Removed")</f>
        <v>Removed</v>
      </c>
      <c r="E631" s="17">
        <f>IFERROR(__xludf.DUMMYFUNCTION("""COMPUTED_VALUE"""),41765.0)</f>
        <v>41765</v>
      </c>
      <c r="F631" s="54">
        <f>IFERROR(__xludf.DUMMYFUNCTION("""COMPUTED_VALUE"""),41771.0)</f>
        <v>41771</v>
      </c>
      <c r="G631" s="19">
        <f>IFERROR(__xludf.DUMMYFUNCTION("""COMPUTED_VALUE"""),0.2)</f>
        <v>0.2</v>
      </c>
      <c r="H631" s="17">
        <f>IFERROR(__xludf.DUMMYFUNCTION("""COMPUTED_VALUE"""),41597.0)</f>
        <v>41597</v>
      </c>
      <c r="I631" s="19">
        <f>IFERROR(__xludf.DUMMYFUNCTION("""COMPUTED_VALUE"""),0.4638888888888889)</f>
        <v>0.4638888889</v>
      </c>
      <c r="J631" s="21">
        <f>IFERROR(__xludf.DUMMYFUNCTION("""COMPUTED_VALUE"""),82.0)</f>
        <v>82</v>
      </c>
      <c r="K631" s="23">
        <f>IFERROR(__xludf.DUMMYFUNCTION("""COMPUTED_VALUE"""),7.8)</f>
        <v>7.8</v>
      </c>
      <c r="L631" s="24">
        <f>IFERROR(__xludf.DUMMYFUNCTION("""COMPUTED_VALUE"""),5.0)</f>
        <v>5</v>
      </c>
      <c r="M631" s="25" t="str">
        <f>IFERROR(__xludf.DUMMYFUNCTION("""COMPUTED_VALUE"""),"Platformer")</f>
        <v>Platformer</v>
      </c>
      <c r="N631" s="25"/>
      <c r="O631" s="26" t="str">
        <f>IFERROR(__xludf.DUMMYFUNCTION("""COMPUTED_VALUE"""),"No")</f>
        <v>No</v>
      </c>
      <c r="P631" s="26"/>
    </row>
    <row r="632">
      <c r="A632" s="13" t="str">
        <f>IFERROR(__xludf.DUMMYFUNCTION("""COMPUTED_VALUE"""),"Pro Evolution Soccer 2014")</f>
        <v>Pro Evolution Soccer 2014</v>
      </c>
      <c r="B632" s="15" t="str">
        <f>IFERROR(__xludf.DUMMYFUNCTION("""COMPUTED_VALUE"""),"PS3")</f>
        <v>PS3</v>
      </c>
      <c r="C632" s="16" t="str">
        <f>IFERROR(__xludf.DUMMYFUNCTION("""COMPUTED_VALUE"""),"Playstation Plus (Discontinued)")</f>
        <v>Playstation Plus (Discontinued)</v>
      </c>
      <c r="D632" s="15" t="str">
        <f>IFERROR(__xludf.DUMMYFUNCTION("""COMPUTED_VALUE"""),"Removed")</f>
        <v>Removed</v>
      </c>
      <c r="E632" s="17">
        <f>IFERROR(__xludf.DUMMYFUNCTION("""COMPUTED_VALUE"""),41765.0)</f>
        <v>41765</v>
      </c>
      <c r="F632" s="54">
        <f>IFERROR(__xludf.DUMMYFUNCTION("""COMPUTED_VALUE"""),41771.0)</f>
        <v>41771</v>
      </c>
      <c r="G632" s="19">
        <f>IFERROR(__xludf.DUMMYFUNCTION("""COMPUTED_VALUE"""),0.2)</f>
        <v>0.2</v>
      </c>
      <c r="H632" s="17">
        <f>IFERROR(__xludf.DUMMYFUNCTION("""COMPUTED_VALUE"""),41541.0)</f>
        <v>41541</v>
      </c>
      <c r="I632" s="19">
        <f>IFERROR(__xludf.DUMMYFUNCTION("""COMPUTED_VALUE"""),0.6166666666666667)</f>
        <v>0.6166666667</v>
      </c>
      <c r="J632" s="21">
        <f>IFERROR(__xludf.DUMMYFUNCTION("""COMPUTED_VALUE"""),82.0)</f>
        <v>82</v>
      </c>
      <c r="K632" s="23">
        <f>IFERROR(__xludf.DUMMYFUNCTION("""COMPUTED_VALUE"""),7.1)</f>
        <v>7.1</v>
      </c>
      <c r="L632" s="24"/>
      <c r="M632" s="25" t="str">
        <f>IFERROR(__xludf.DUMMYFUNCTION("""COMPUTED_VALUE"""),"Sports")</f>
        <v>Sports</v>
      </c>
      <c r="N632" s="25"/>
      <c r="O632" s="26" t="str">
        <f>IFERROR(__xludf.DUMMYFUNCTION("""COMPUTED_VALUE"""),"No")</f>
        <v>No</v>
      </c>
      <c r="P632" s="26"/>
    </row>
    <row r="633">
      <c r="A633" s="13" t="str">
        <f>IFERROR(__xludf.DUMMYFUNCTION("""COMPUTED_VALUE"""),"Velocity Ultra")</f>
        <v>Velocity Ultra</v>
      </c>
      <c r="B633" s="15" t="str">
        <f>IFERROR(__xludf.DUMMYFUNCTION("""COMPUTED_VALUE"""),"Vita")</f>
        <v>Vita</v>
      </c>
      <c r="C633" s="16" t="str">
        <f>IFERROR(__xludf.DUMMYFUNCTION("""COMPUTED_VALUE"""),"Playstation Plus (Discontinued)")</f>
        <v>Playstation Plus (Discontinued)</v>
      </c>
      <c r="D633" s="15" t="str">
        <f>IFERROR(__xludf.DUMMYFUNCTION("""COMPUTED_VALUE"""),"Removed")</f>
        <v>Removed</v>
      </c>
      <c r="E633" s="17">
        <f>IFERROR(__xludf.DUMMYFUNCTION("""COMPUTED_VALUE"""),41758.0)</f>
        <v>41758</v>
      </c>
      <c r="F633" s="54">
        <f>IFERROR(__xludf.DUMMYFUNCTION("""COMPUTED_VALUE"""),41764.0)</f>
        <v>41764</v>
      </c>
      <c r="G633" s="19">
        <f>IFERROR(__xludf.DUMMYFUNCTION("""COMPUTED_VALUE"""),0.2)</f>
        <v>0.2</v>
      </c>
      <c r="H633" s="17">
        <f>IFERROR(__xludf.DUMMYFUNCTION("""COMPUTED_VALUE"""),41485.0)</f>
        <v>41485</v>
      </c>
      <c r="I633" s="19">
        <f>IFERROR(__xludf.DUMMYFUNCTION("""COMPUTED_VALUE"""),0.7472222222222222)</f>
        <v>0.7472222222</v>
      </c>
      <c r="J633" s="21">
        <f>IFERROR(__xludf.DUMMYFUNCTION("""COMPUTED_VALUE"""),87.0)</f>
        <v>87</v>
      </c>
      <c r="K633" s="23">
        <f>IFERROR(__xludf.DUMMYFUNCTION("""COMPUTED_VALUE"""),8.1)</f>
        <v>8.1</v>
      </c>
      <c r="L633" s="24">
        <f>IFERROR(__xludf.DUMMYFUNCTION("""COMPUTED_VALUE"""),5.0)</f>
        <v>5</v>
      </c>
      <c r="M633" s="25" t="str">
        <f>IFERROR(__xludf.DUMMYFUNCTION("""COMPUTED_VALUE"""),"Shooter")</f>
        <v>Shooter</v>
      </c>
      <c r="N633" s="25"/>
      <c r="O633" s="26" t="str">
        <f>IFERROR(__xludf.DUMMYFUNCTION("""COMPUTED_VALUE"""),"No")</f>
        <v>No</v>
      </c>
      <c r="P633" s="26"/>
    </row>
    <row r="634">
      <c r="A634" s="13" t="str">
        <f>IFERROR(__xludf.DUMMYFUNCTION("""COMPUTED_VALUE"""),"PixelJunk Monsters Ultimate HD")</f>
        <v>PixelJunk Monsters Ultimate HD</v>
      </c>
      <c r="B634" s="15" t="str">
        <f>IFERROR(__xludf.DUMMYFUNCTION("""COMPUTED_VALUE"""),"Vita")</f>
        <v>Vita</v>
      </c>
      <c r="C634" s="16" t="str">
        <f>IFERROR(__xludf.DUMMYFUNCTION("""COMPUTED_VALUE"""),"Playstation Plus (Discontinued)")</f>
        <v>Playstation Plus (Discontinued)</v>
      </c>
      <c r="D634" s="15" t="str">
        <f>IFERROR(__xludf.DUMMYFUNCTION("""COMPUTED_VALUE"""),"Removed")</f>
        <v>Removed</v>
      </c>
      <c r="E634" s="17">
        <f>IFERROR(__xludf.DUMMYFUNCTION("""COMPUTED_VALUE"""),41751.0)</f>
        <v>41751</v>
      </c>
      <c r="F634" s="54">
        <f>IFERROR(__xludf.DUMMYFUNCTION("""COMPUTED_VALUE"""),41757.0)</f>
        <v>41757</v>
      </c>
      <c r="G634" s="19">
        <f>IFERROR(__xludf.DUMMYFUNCTION("""COMPUTED_VALUE"""),0.2)</f>
        <v>0.2</v>
      </c>
      <c r="H634" s="17">
        <f>IFERROR(__xludf.DUMMYFUNCTION("""COMPUTED_VALUE"""),41485.0)</f>
        <v>41485</v>
      </c>
      <c r="I634" s="19">
        <f>IFERROR(__xludf.DUMMYFUNCTION("""COMPUTED_VALUE"""),0.7277777777777777)</f>
        <v>0.7277777778</v>
      </c>
      <c r="J634" s="21">
        <f>IFERROR(__xludf.DUMMYFUNCTION("""COMPUTED_VALUE"""),84.0)</f>
        <v>84</v>
      </c>
      <c r="K634" s="23">
        <f>IFERROR(__xludf.DUMMYFUNCTION("""COMPUTED_VALUE"""),7.7)</f>
        <v>7.7</v>
      </c>
      <c r="L634" s="24">
        <f>IFERROR(__xludf.DUMMYFUNCTION("""COMPUTED_VALUE"""),15.0)</f>
        <v>15</v>
      </c>
      <c r="M634" s="25" t="str">
        <f>IFERROR(__xludf.DUMMYFUNCTION("""COMPUTED_VALUE"""),"Tower Defense")</f>
        <v>Tower Defense</v>
      </c>
      <c r="N634" s="25"/>
      <c r="O634" s="26" t="str">
        <f>IFERROR(__xludf.DUMMYFUNCTION("""COMPUTED_VALUE"""),"No")</f>
        <v>No</v>
      </c>
      <c r="P634" s="26"/>
    </row>
    <row r="635">
      <c r="A635" s="13" t="str">
        <f>IFERROR(__xludf.DUMMYFUNCTION("""COMPUTED_VALUE"""),"Castle of Illusion Starring Mickey Mouse")</f>
        <v>Castle of Illusion Starring Mickey Mouse</v>
      </c>
      <c r="B635" s="15" t="str">
        <f>IFERROR(__xludf.DUMMYFUNCTION("""COMPUTED_VALUE"""),"PS3")</f>
        <v>PS3</v>
      </c>
      <c r="C635" s="16" t="str">
        <f>IFERROR(__xludf.DUMMYFUNCTION("""COMPUTED_VALUE"""),"Playstation Plus (Discontinued)")</f>
        <v>Playstation Plus (Discontinued)</v>
      </c>
      <c r="D635" s="15" t="str">
        <f>IFERROR(__xludf.DUMMYFUNCTION("""COMPUTED_VALUE"""),"Removed")</f>
        <v>Removed</v>
      </c>
      <c r="E635" s="17">
        <f>IFERROR(__xludf.DUMMYFUNCTION("""COMPUTED_VALUE"""),41744.0)</f>
        <v>41744</v>
      </c>
      <c r="F635" s="54">
        <f>IFERROR(__xludf.DUMMYFUNCTION("""COMPUTED_VALUE"""),41750.0)</f>
        <v>41750</v>
      </c>
      <c r="G635" s="19">
        <f>IFERROR(__xludf.DUMMYFUNCTION("""COMPUTED_VALUE"""),0.2)</f>
        <v>0.2</v>
      </c>
      <c r="H635" s="17">
        <f>IFERROR(__xludf.DUMMYFUNCTION("""COMPUTED_VALUE"""),41506.0)</f>
        <v>41506</v>
      </c>
      <c r="I635" s="19">
        <f>IFERROR(__xludf.DUMMYFUNCTION("""COMPUTED_VALUE"""),0.6527777777777778)</f>
        <v>0.6527777778</v>
      </c>
      <c r="J635" s="21">
        <f>IFERROR(__xludf.DUMMYFUNCTION("""COMPUTED_VALUE"""),67.0)</f>
        <v>67</v>
      </c>
      <c r="K635" s="23">
        <f>IFERROR(__xludf.DUMMYFUNCTION("""COMPUTED_VALUE"""),7.5)</f>
        <v>7.5</v>
      </c>
      <c r="L635" s="24">
        <f>IFERROR(__xludf.DUMMYFUNCTION("""COMPUTED_VALUE"""),3.0)</f>
        <v>3</v>
      </c>
      <c r="M635" s="25" t="str">
        <f>IFERROR(__xludf.DUMMYFUNCTION("""COMPUTED_VALUE"""),"Platformer")</f>
        <v>Platformer</v>
      </c>
      <c r="N635" s="25"/>
      <c r="O635" s="26" t="str">
        <f>IFERROR(__xludf.DUMMYFUNCTION("""COMPUTED_VALUE"""),"No")</f>
        <v>No</v>
      </c>
      <c r="P635" s="26"/>
    </row>
    <row r="636">
      <c r="A636" s="13" t="str">
        <f>IFERROR(__xludf.DUMMYFUNCTION("""COMPUTED_VALUE"""),"Stealth Inc. A Clone in the Dark")</f>
        <v>Stealth Inc. A Clone in the Dark</v>
      </c>
      <c r="B636" s="15" t="str">
        <f>IFERROR(__xludf.DUMMYFUNCTION("""COMPUTED_VALUE"""),"PS3/Vita")</f>
        <v>PS3/Vita</v>
      </c>
      <c r="C636" s="16" t="str">
        <f>IFERROR(__xludf.DUMMYFUNCTION("""COMPUTED_VALUE"""),"Playstation Plus (Discontinued)")</f>
        <v>Playstation Plus (Discontinued)</v>
      </c>
      <c r="D636" s="15" t="str">
        <f>IFERROR(__xludf.DUMMYFUNCTION("""COMPUTED_VALUE"""),"Removed")</f>
        <v>Removed</v>
      </c>
      <c r="E636" s="17">
        <f>IFERROR(__xludf.DUMMYFUNCTION("""COMPUTED_VALUE"""),41737.0)</f>
        <v>41737</v>
      </c>
      <c r="F636" s="54">
        <f>IFERROR(__xludf.DUMMYFUNCTION("""COMPUTED_VALUE"""),41743.0)</f>
        <v>41743</v>
      </c>
      <c r="G636" s="19">
        <f>IFERROR(__xludf.DUMMYFUNCTION("""COMPUTED_VALUE"""),0.2)</f>
        <v>0.2</v>
      </c>
      <c r="H636" s="17">
        <f>IFERROR(__xludf.DUMMYFUNCTION("""COMPUTED_VALUE"""),41478.0)</f>
        <v>41478</v>
      </c>
      <c r="I636" s="19">
        <f>IFERROR(__xludf.DUMMYFUNCTION("""COMPUTED_VALUE"""),0.7083333333333334)</f>
        <v>0.7083333333</v>
      </c>
      <c r="J636" s="21">
        <f>IFERROR(__xludf.DUMMYFUNCTION("""COMPUTED_VALUE"""),78.0)</f>
        <v>78</v>
      </c>
      <c r="K636" s="23">
        <f>IFERROR(__xludf.DUMMYFUNCTION("""COMPUTED_VALUE"""),7.3)</f>
        <v>7.3</v>
      </c>
      <c r="L636" s="24">
        <f>IFERROR(__xludf.DUMMYFUNCTION("""COMPUTED_VALUE"""),5.0)</f>
        <v>5</v>
      </c>
      <c r="M636" s="25" t="str">
        <f>IFERROR(__xludf.DUMMYFUNCTION("""COMPUTED_VALUE"""),"Platformer")</f>
        <v>Platformer</v>
      </c>
      <c r="N636" s="25"/>
      <c r="O636" s="26" t="str">
        <f>IFERROR(__xludf.DUMMYFUNCTION("""COMPUTED_VALUE"""),"No")</f>
        <v>No</v>
      </c>
      <c r="P636" s="26"/>
    </row>
    <row r="637">
      <c r="A637" s="13" t="str">
        <f>IFERROR(__xludf.DUMMYFUNCTION("""COMPUTED_VALUE"""),"Mercenary Kings")</f>
        <v>Mercenary Kings</v>
      </c>
      <c r="B637" s="15" t="str">
        <f>IFERROR(__xludf.DUMMYFUNCTION("""COMPUTED_VALUE"""),"PS4")</f>
        <v>PS4</v>
      </c>
      <c r="C637" s="16" t="str">
        <f>IFERROR(__xludf.DUMMYFUNCTION("""COMPUTED_VALUE"""),"Playstation Plus (Discontinued)")</f>
        <v>Playstation Plus (Discontinued)</v>
      </c>
      <c r="D637" s="15" t="str">
        <f>IFERROR(__xludf.DUMMYFUNCTION("""COMPUTED_VALUE"""),"Removed")</f>
        <v>Removed</v>
      </c>
      <c r="E637" s="17">
        <f>IFERROR(__xludf.DUMMYFUNCTION("""COMPUTED_VALUE"""),41730.0)</f>
        <v>41730</v>
      </c>
      <c r="F637" s="54">
        <f>IFERROR(__xludf.DUMMYFUNCTION("""COMPUTED_VALUE"""),41736.0)</f>
        <v>41736</v>
      </c>
      <c r="G637" s="19">
        <f>IFERROR(__xludf.DUMMYFUNCTION("""COMPUTED_VALUE"""),0.2)</f>
        <v>0.2</v>
      </c>
      <c r="H637" s="17">
        <f>IFERROR(__xludf.DUMMYFUNCTION("""COMPUTED_VALUE"""),41730.0)</f>
        <v>41730</v>
      </c>
      <c r="I637" s="19">
        <f>IFERROR(__xludf.DUMMYFUNCTION("""COMPUTED_VALUE"""),0.0)</f>
        <v>0</v>
      </c>
      <c r="J637" s="21">
        <f>IFERROR(__xludf.DUMMYFUNCTION("""COMPUTED_VALUE"""),68.0)</f>
        <v>68</v>
      </c>
      <c r="K637" s="23">
        <f>IFERROR(__xludf.DUMMYFUNCTION("""COMPUTED_VALUE"""),7.1)</f>
        <v>7.1</v>
      </c>
      <c r="L637" s="24">
        <f>IFERROR(__xludf.DUMMYFUNCTION("""COMPUTED_VALUE"""),8.0)</f>
        <v>8</v>
      </c>
      <c r="M637" s="25" t="str">
        <f>IFERROR(__xludf.DUMMYFUNCTION("""COMPUTED_VALUE"""),"Shooter")</f>
        <v>Shooter</v>
      </c>
      <c r="N637" s="25"/>
      <c r="O637" s="26" t="str">
        <f>IFERROR(__xludf.DUMMYFUNCTION("""COMPUTED_VALUE"""),"No")</f>
        <v>No</v>
      </c>
      <c r="P637" s="26"/>
    </row>
    <row r="638">
      <c r="A638" s="13" t="str">
        <f>IFERROR(__xludf.DUMMYFUNCTION("""COMPUTED_VALUE"""),"Batman: Arkham City")</f>
        <v>Batman: Arkham City</v>
      </c>
      <c r="B638" s="15" t="str">
        <f>IFERROR(__xludf.DUMMYFUNCTION("""COMPUTED_VALUE"""),"PS3")</f>
        <v>PS3</v>
      </c>
      <c r="C638" s="16" t="str">
        <f>IFERROR(__xludf.DUMMYFUNCTION("""COMPUTED_VALUE"""),"Playstation Plus (Discontinued)")</f>
        <v>Playstation Plus (Discontinued)</v>
      </c>
      <c r="D638" s="15" t="str">
        <f>IFERROR(__xludf.DUMMYFUNCTION("""COMPUTED_VALUE"""),"Removed")</f>
        <v>Removed</v>
      </c>
      <c r="E638" s="17">
        <f>IFERROR(__xludf.DUMMYFUNCTION("""COMPUTED_VALUE"""),41730.0)</f>
        <v>41730</v>
      </c>
      <c r="F638" s="54">
        <f>IFERROR(__xludf.DUMMYFUNCTION("""COMPUTED_VALUE"""),41736.0)</f>
        <v>41736</v>
      </c>
      <c r="G638" s="19">
        <f>IFERROR(__xludf.DUMMYFUNCTION("""COMPUTED_VALUE"""),0.2)</f>
        <v>0.2</v>
      </c>
      <c r="H638" s="17">
        <f>IFERROR(__xludf.DUMMYFUNCTION("""COMPUTED_VALUE"""),40834.0)</f>
        <v>40834</v>
      </c>
      <c r="I638" s="19">
        <f>IFERROR(__xludf.DUMMYFUNCTION("""COMPUTED_VALUE"""),2.452777777777778)</f>
        <v>2.452777778</v>
      </c>
      <c r="J638" s="21">
        <f>IFERROR(__xludf.DUMMYFUNCTION("""COMPUTED_VALUE"""),94.0)</f>
        <v>94</v>
      </c>
      <c r="K638" s="23">
        <f>IFERROR(__xludf.DUMMYFUNCTION("""COMPUTED_VALUE"""),8.8)</f>
        <v>8.8</v>
      </c>
      <c r="L638" s="24">
        <f>IFERROR(__xludf.DUMMYFUNCTION("""COMPUTED_VALUE"""),12.0)</f>
        <v>12</v>
      </c>
      <c r="M638" s="25" t="str">
        <f>IFERROR(__xludf.DUMMYFUNCTION("""COMPUTED_VALUE"""),"Action-Adventure")</f>
        <v>Action-Adventure</v>
      </c>
      <c r="N638" s="25"/>
      <c r="O638" s="26" t="str">
        <f>IFERROR(__xludf.DUMMYFUNCTION("""COMPUTED_VALUE"""),"No")</f>
        <v>No</v>
      </c>
      <c r="P638" s="26"/>
    </row>
    <row r="639">
      <c r="A639" s="13" t="str">
        <f>IFERROR(__xludf.DUMMYFUNCTION("""COMPUTED_VALUE"""),"Monster Hunter: Freedom Unite")</f>
        <v>Monster Hunter: Freedom Unite</v>
      </c>
      <c r="B639" s="15" t="str">
        <f>IFERROR(__xludf.DUMMYFUNCTION("""COMPUTED_VALUE"""),"PSP")</f>
        <v>PSP</v>
      </c>
      <c r="C639" s="16" t="str">
        <f>IFERROR(__xludf.DUMMYFUNCTION("""COMPUTED_VALUE"""),"Playstation Plus (Discontinued)")</f>
        <v>Playstation Plus (Discontinued)</v>
      </c>
      <c r="D639" s="15" t="str">
        <f>IFERROR(__xludf.DUMMYFUNCTION("""COMPUTED_VALUE"""),"Removed")</f>
        <v>Removed</v>
      </c>
      <c r="E639" s="17">
        <f>IFERROR(__xludf.DUMMYFUNCTION("""COMPUTED_VALUE"""),41723.0)</f>
        <v>41723</v>
      </c>
      <c r="F639" s="54">
        <f>IFERROR(__xludf.DUMMYFUNCTION("""COMPUTED_VALUE"""),41729.0)</f>
        <v>41729</v>
      </c>
      <c r="G639" s="19">
        <f>IFERROR(__xludf.DUMMYFUNCTION("""COMPUTED_VALUE"""),0.16666666666666666)</f>
        <v>0.1666666667</v>
      </c>
      <c r="H639" s="17">
        <f>IFERROR(__xludf.DUMMYFUNCTION("""COMPUTED_VALUE"""),39986.0)</f>
        <v>39986</v>
      </c>
      <c r="I639" s="19">
        <f>IFERROR(__xludf.DUMMYFUNCTION("""COMPUTED_VALUE"""),4.758333333333334)</f>
        <v>4.758333333</v>
      </c>
      <c r="J639" s="21">
        <f>IFERROR(__xludf.DUMMYFUNCTION("""COMPUTED_VALUE"""),81.0)</f>
        <v>81</v>
      </c>
      <c r="K639" s="23">
        <f>IFERROR(__xludf.DUMMYFUNCTION("""COMPUTED_VALUE"""),8.5)</f>
        <v>8.5</v>
      </c>
      <c r="L639" s="24">
        <f>IFERROR(__xludf.DUMMYFUNCTION("""COMPUTED_VALUE"""),45.0)</f>
        <v>45</v>
      </c>
      <c r="M639" s="25" t="str">
        <f>IFERROR(__xludf.DUMMYFUNCTION("""COMPUTED_VALUE"""),"RPG")</f>
        <v>RPG</v>
      </c>
      <c r="N639" s="25"/>
      <c r="O639" s="26" t="str">
        <f>IFERROR(__xludf.DUMMYFUNCTION("""COMPUTED_VALUE"""),"No")</f>
        <v>No</v>
      </c>
      <c r="P639" s="26"/>
    </row>
    <row r="640">
      <c r="A640" s="13" t="str">
        <f>IFERROR(__xludf.DUMMYFUNCTION("""COMPUTED_VALUE"""),"Thomas Was Alone")</f>
        <v>Thomas Was Alone</v>
      </c>
      <c r="B640" s="15" t="str">
        <f>IFERROR(__xludf.DUMMYFUNCTION("""COMPUTED_VALUE"""),"PS4/PS3/Vita")</f>
        <v>PS4/PS3/Vita</v>
      </c>
      <c r="C640" s="16" t="str">
        <f>IFERROR(__xludf.DUMMYFUNCTION("""COMPUTED_VALUE"""),"Playstation Plus (Discontinued)")</f>
        <v>Playstation Plus (Discontinued)</v>
      </c>
      <c r="D640" s="15" t="str">
        <f>IFERROR(__xludf.DUMMYFUNCTION("""COMPUTED_VALUE"""),"Removed")</f>
        <v>Removed</v>
      </c>
      <c r="E640" s="17">
        <f>IFERROR(__xludf.DUMMYFUNCTION("""COMPUTED_VALUE"""),41716.0)</f>
        <v>41716</v>
      </c>
      <c r="F640" s="54">
        <f>IFERROR(__xludf.DUMMYFUNCTION("""COMPUTED_VALUE"""),41722.0)</f>
        <v>41722</v>
      </c>
      <c r="G640" s="19">
        <f>IFERROR(__xludf.DUMMYFUNCTION("""COMPUTED_VALUE"""),0.2)</f>
        <v>0.2</v>
      </c>
      <c r="H640" s="17">
        <f>IFERROR(__xludf.DUMMYFUNCTION("""COMPUTED_VALUE"""),41387.0)</f>
        <v>41387</v>
      </c>
      <c r="I640" s="19">
        <f>IFERROR(__xludf.DUMMYFUNCTION("""COMPUTED_VALUE"""),0.9027777777777778)</f>
        <v>0.9027777778</v>
      </c>
      <c r="J640" s="21">
        <f>IFERROR(__xludf.DUMMYFUNCTION("""COMPUTED_VALUE"""),75.0)</f>
        <v>75</v>
      </c>
      <c r="K640" s="23">
        <f>IFERROR(__xludf.DUMMYFUNCTION("""COMPUTED_VALUE"""),7.7)</f>
        <v>7.7</v>
      </c>
      <c r="L640" s="24">
        <f>IFERROR(__xludf.DUMMYFUNCTION("""COMPUTED_VALUE"""),3.0)</f>
        <v>3</v>
      </c>
      <c r="M640" s="25" t="str">
        <f>IFERROR(__xludf.DUMMYFUNCTION("""COMPUTED_VALUE"""),"Platformer")</f>
        <v>Platformer</v>
      </c>
      <c r="N640" s="25"/>
      <c r="O640" s="26" t="str">
        <f>IFERROR(__xludf.DUMMYFUNCTION("""COMPUTED_VALUE"""),"No")</f>
        <v>No</v>
      </c>
      <c r="P640" s="26"/>
    </row>
    <row r="641">
      <c r="A641" s="13" t="str">
        <f>IFERROR(__xludf.DUMMYFUNCTION("""COMPUTED_VALUE"""),"Unit 13")</f>
        <v>Unit 13</v>
      </c>
      <c r="B641" s="15" t="str">
        <f>IFERROR(__xludf.DUMMYFUNCTION("""COMPUTED_VALUE"""),"Vita")</f>
        <v>Vita</v>
      </c>
      <c r="C641" s="16" t="str">
        <f>IFERROR(__xludf.DUMMYFUNCTION("""COMPUTED_VALUE"""),"Playstation Plus (Discontinued)")</f>
        <v>Playstation Plus (Discontinued)</v>
      </c>
      <c r="D641" s="15" t="str">
        <f>IFERROR(__xludf.DUMMYFUNCTION("""COMPUTED_VALUE"""),"Removed")</f>
        <v>Removed</v>
      </c>
      <c r="E641" s="17">
        <f>IFERROR(__xludf.DUMMYFUNCTION("""COMPUTED_VALUE"""),41716.0)</f>
        <v>41716</v>
      </c>
      <c r="F641" s="54">
        <f>IFERROR(__xludf.DUMMYFUNCTION("""COMPUTED_VALUE"""),41722.0)</f>
        <v>41722</v>
      </c>
      <c r="G641" s="19">
        <f>IFERROR(__xludf.DUMMYFUNCTION("""COMPUTED_VALUE"""),0.2)</f>
        <v>0.2</v>
      </c>
      <c r="H641" s="17">
        <f>IFERROR(__xludf.DUMMYFUNCTION("""COMPUTED_VALUE"""),40974.0)</f>
        <v>40974</v>
      </c>
      <c r="I641" s="19">
        <f>IFERROR(__xludf.DUMMYFUNCTION("""COMPUTED_VALUE"""),2.033333333333333)</f>
        <v>2.033333333</v>
      </c>
      <c r="J641" s="21">
        <f>IFERROR(__xludf.DUMMYFUNCTION("""COMPUTED_VALUE"""),80.0)</f>
        <v>80</v>
      </c>
      <c r="K641" s="23">
        <f>IFERROR(__xludf.DUMMYFUNCTION("""COMPUTED_VALUE"""),7.7)</f>
        <v>7.7</v>
      </c>
      <c r="L641" s="24">
        <f>IFERROR(__xludf.DUMMYFUNCTION("""COMPUTED_VALUE"""),7.0)</f>
        <v>7</v>
      </c>
      <c r="M641" s="25" t="str">
        <f>IFERROR(__xludf.DUMMYFUNCTION("""COMPUTED_VALUE"""),"Shooter")</f>
        <v>Shooter</v>
      </c>
      <c r="N641" s="25"/>
      <c r="O641" s="26" t="str">
        <f>IFERROR(__xludf.DUMMYFUNCTION("""COMPUTED_VALUE"""),"No")</f>
        <v>No</v>
      </c>
      <c r="P641" s="26"/>
    </row>
    <row r="642">
      <c r="A642" s="13" t="str">
        <f>IFERROR(__xludf.DUMMYFUNCTION("""COMPUTED_VALUE"""),"Lone Survivor: The Director’s Cut")</f>
        <v>Lone Survivor: The Director’s Cut</v>
      </c>
      <c r="B642" s="15" t="str">
        <f>IFERROR(__xludf.DUMMYFUNCTION("""COMPUTED_VALUE"""),"PS3/Vita")</f>
        <v>PS3/Vita</v>
      </c>
      <c r="C642" s="16" t="str">
        <f>IFERROR(__xludf.DUMMYFUNCTION("""COMPUTED_VALUE"""),"Playstation Plus (Discontinued)")</f>
        <v>Playstation Plus (Discontinued)</v>
      </c>
      <c r="D642" s="15" t="str">
        <f>IFERROR(__xludf.DUMMYFUNCTION("""COMPUTED_VALUE"""),"Removed")</f>
        <v>Removed</v>
      </c>
      <c r="E642" s="17">
        <f>IFERROR(__xludf.DUMMYFUNCTION("""COMPUTED_VALUE"""),41709.0)</f>
        <v>41709</v>
      </c>
      <c r="F642" s="54">
        <f>IFERROR(__xludf.DUMMYFUNCTION("""COMPUTED_VALUE"""),41715.0)</f>
        <v>41715</v>
      </c>
      <c r="G642" s="19">
        <f>IFERROR(__xludf.DUMMYFUNCTION("""COMPUTED_VALUE"""),0.2)</f>
        <v>0.2</v>
      </c>
      <c r="H642" s="17">
        <f>IFERROR(__xludf.DUMMYFUNCTION("""COMPUTED_VALUE"""),41534.0)</f>
        <v>41534</v>
      </c>
      <c r="I642" s="19">
        <f>IFERROR(__xludf.DUMMYFUNCTION("""COMPUTED_VALUE"""),0.48333333333333334)</f>
        <v>0.4833333333</v>
      </c>
      <c r="J642" s="21">
        <f>IFERROR(__xludf.DUMMYFUNCTION("""COMPUTED_VALUE"""),76.0)</f>
        <v>76</v>
      </c>
      <c r="K642" s="23">
        <f>IFERROR(__xludf.DUMMYFUNCTION("""COMPUTED_VALUE"""),7.4)</f>
        <v>7.4</v>
      </c>
      <c r="L642" s="24">
        <f>IFERROR(__xludf.DUMMYFUNCTION("""COMPUTED_VALUE"""),5.0)</f>
        <v>5</v>
      </c>
      <c r="M642" s="25" t="str">
        <f>IFERROR(__xludf.DUMMYFUNCTION("""COMPUTED_VALUE"""),"Horror")</f>
        <v>Horror</v>
      </c>
      <c r="N642" s="25"/>
      <c r="O642" s="26" t="str">
        <f>IFERROR(__xludf.DUMMYFUNCTION("""COMPUTED_VALUE"""),"No")</f>
        <v>No</v>
      </c>
      <c r="P642" s="26"/>
    </row>
    <row r="643">
      <c r="A643" s="13" t="str">
        <f>IFERROR(__xludf.DUMMYFUNCTION("""COMPUTED_VALUE"""),"Dead Nation: Apocalypse Edition")</f>
        <v>Dead Nation: Apocalypse Edition</v>
      </c>
      <c r="B643" s="15" t="str">
        <f>IFERROR(__xludf.DUMMYFUNCTION("""COMPUTED_VALUE"""),"PS4")</f>
        <v>PS4</v>
      </c>
      <c r="C643" s="16" t="str">
        <f>IFERROR(__xludf.DUMMYFUNCTION("""COMPUTED_VALUE"""),"Playstation Plus (Discontinued)")</f>
        <v>Playstation Plus (Discontinued)</v>
      </c>
      <c r="D643" s="15" t="str">
        <f>IFERROR(__xludf.DUMMYFUNCTION("""COMPUTED_VALUE"""),"Removed")</f>
        <v>Removed</v>
      </c>
      <c r="E643" s="17">
        <f>IFERROR(__xludf.DUMMYFUNCTION("""COMPUTED_VALUE"""),41702.0)</f>
        <v>41702</v>
      </c>
      <c r="F643" s="54">
        <f>IFERROR(__xludf.DUMMYFUNCTION("""COMPUTED_VALUE"""),41708.0)</f>
        <v>41708</v>
      </c>
      <c r="G643" s="19">
        <f>IFERROR(__xludf.DUMMYFUNCTION("""COMPUTED_VALUE"""),0.2)</f>
        <v>0.2</v>
      </c>
      <c r="H643" s="17">
        <f>IFERROR(__xludf.DUMMYFUNCTION("""COMPUTED_VALUE"""),41702.0)</f>
        <v>41702</v>
      </c>
      <c r="I643" s="19">
        <f>IFERROR(__xludf.DUMMYFUNCTION("""COMPUTED_VALUE"""),0.0)</f>
        <v>0</v>
      </c>
      <c r="J643" s="21">
        <f>IFERROR(__xludf.DUMMYFUNCTION("""COMPUTED_VALUE"""),74.0)</f>
        <v>74</v>
      </c>
      <c r="K643" s="23">
        <f>IFERROR(__xludf.DUMMYFUNCTION("""COMPUTED_VALUE"""),7.2)</f>
        <v>7.2</v>
      </c>
      <c r="L643" s="24">
        <f>IFERROR(__xludf.DUMMYFUNCTION("""COMPUTED_VALUE"""),7.0)</f>
        <v>7</v>
      </c>
      <c r="M643" s="25" t="str">
        <f>IFERROR(__xludf.DUMMYFUNCTION("""COMPUTED_VALUE"""),"Shooter")</f>
        <v>Shooter</v>
      </c>
      <c r="N643" s="25"/>
      <c r="O643" s="26" t="str">
        <f>IFERROR(__xludf.DUMMYFUNCTION("""COMPUTED_VALUE"""),"No")</f>
        <v>No</v>
      </c>
      <c r="P643" s="26"/>
    </row>
    <row r="644">
      <c r="A644" s="13" t="str">
        <f>IFERROR(__xludf.DUMMYFUNCTION("""COMPUTED_VALUE"""),"Tomb Raider")</f>
        <v>Tomb Raider</v>
      </c>
      <c r="B644" s="15" t="str">
        <f>IFERROR(__xludf.DUMMYFUNCTION("""COMPUTED_VALUE"""),"PS3")</f>
        <v>PS3</v>
      </c>
      <c r="C644" s="16" t="str">
        <f>IFERROR(__xludf.DUMMYFUNCTION("""COMPUTED_VALUE"""),"Playstation Plus (Discontinued)")</f>
        <v>Playstation Plus (Discontinued)</v>
      </c>
      <c r="D644" s="15" t="str">
        <f>IFERROR(__xludf.DUMMYFUNCTION("""COMPUTED_VALUE"""),"Removed")</f>
        <v>Removed</v>
      </c>
      <c r="E644" s="17">
        <f>IFERROR(__xludf.DUMMYFUNCTION("""COMPUTED_VALUE"""),41702.0)</f>
        <v>41702</v>
      </c>
      <c r="F644" s="54">
        <f>IFERROR(__xludf.DUMMYFUNCTION("""COMPUTED_VALUE"""),41708.0)</f>
        <v>41708</v>
      </c>
      <c r="G644" s="19">
        <f>IFERROR(__xludf.DUMMYFUNCTION("""COMPUTED_VALUE"""),0.2)</f>
        <v>0.2</v>
      </c>
      <c r="H644" s="17">
        <f>IFERROR(__xludf.DUMMYFUNCTION("""COMPUTED_VALUE"""),41338.0)</f>
        <v>41338</v>
      </c>
      <c r="I644" s="19">
        <f>IFERROR(__xludf.DUMMYFUNCTION("""COMPUTED_VALUE"""),0.9972222222222222)</f>
        <v>0.9972222222</v>
      </c>
      <c r="J644" s="21">
        <f>IFERROR(__xludf.DUMMYFUNCTION("""COMPUTED_VALUE"""),86.0)</f>
        <v>86</v>
      </c>
      <c r="K644" s="23">
        <f>IFERROR(__xludf.DUMMYFUNCTION("""COMPUTED_VALUE"""),8.2)</f>
        <v>8.2</v>
      </c>
      <c r="L644" s="24">
        <f>IFERROR(__xludf.DUMMYFUNCTION("""COMPUTED_VALUE"""),12.0)</f>
        <v>12</v>
      </c>
      <c r="M644" s="25" t="str">
        <f>IFERROR(__xludf.DUMMYFUNCTION("""COMPUTED_VALUE"""),"Action-Adventure")</f>
        <v>Action-Adventure</v>
      </c>
      <c r="N644" s="25"/>
      <c r="O644" s="26" t="str">
        <f>IFERROR(__xludf.DUMMYFUNCTION("""COMPUTED_VALUE"""),"No")</f>
        <v>No</v>
      </c>
      <c r="P644" s="26"/>
    </row>
    <row r="645">
      <c r="A645" s="13" t="str">
        <f>IFERROR(__xludf.DUMMYFUNCTION("""COMPUTED_VALUE"""),"ModNation Racers: Road Trip")</f>
        <v>ModNation Racers: Road Trip</v>
      </c>
      <c r="B645" s="15" t="str">
        <f>IFERROR(__xludf.DUMMYFUNCTION("""COMPUTED_VALUE"""),"Vita")</f>
        <v>Vita</v>
      </c>
      <c r="C645" s="16" t="str">
        <f>IFERROR(__xludf.DUMMYFUNCTION("""COMPUTED_VALUE"""),"Playstation Plus (Discontinued)")</f>
        <v>Playstation Plus (Discontinued)</v>
      </c>
      <c r="D645" s="15" t="str">
        <f>IFERROR(__xludf.DUMMYFUNCTION("""COMPUTED_VALUE"""),"Removed")</f>
        <v>Removed</v>
      </c>
      <c r="E645" s="17">
        <f>IFERROR(__xludf.DUMMYFUNCTION("""COMPUTED_VALUE"""),41695.0)</f>
        <v>41695</v>
      </c>
      <c r="F645" s="54">
        <f>IFERROR(__xludf.DUMMYFUNCTION("""COMPUTED_VALUE"""),41701.0)</f>
        <v>41701</v>
      </c>
      <c r="G645" s="19">
        <f>IFERROR(__xludf.DUMMYFUNCTION("""COMPUTED_VALUE"""),0.26666666666666666)</f>
        <v>0.2666666667</v>
      </c>
      <c r="H645" s="17">
        <f>IFERROR(__xludf.DUMMYFUNCTION("""COMPUTED_VALUE"""),40946.0)</f>
        <v>40946</v>
      </c>
      <c r="I645" s="19">
        <f>IFERROR(__xludf.DUMMYFUNCTION("""COMPUTED_VALUE"""),2.05)</f>
        <v>2.05</v>
      </c>
      <c r="J645" s="21">
        <f>IFERROR(__xludf.DUMMYFUNCTION("""COMPUTED_VALUE"""),62.0)</f>
        <v>62</v>
      </c>
      <c r="K645" s="23">
        <f>IFERROR(__xludf.DUMMYFUNCTION("""COMPUTED_VALUE"""),6.2)</f>
        <v>6.2</v>
      </c>
      <c r="L645" s="24">
        <f>IFERROR(__xludf.DUMMYFUNCTION("""COMPUTED_VALUE"""),12.0)</f>
        <v>12</v>
      </c>
      <c r="M645" s="25" t="str">
        <f>IFERROR(__xludf.DUMMYFUNCTION("""COMPUTED_VALUE"""),"Racing")</f>
        <v>Racing</v>
      </c>
      <c r="N645" s="25"/>
      <c r="O645" s="26" t="str">
        <f>IFERROR(__xludf.DUMMYFUNCTION("""COMPUTED_VALUE"""),"No")</f>
        <v>No</v>
      </c>
      <c r="P645" s="26"/>
    </row>
    <row r="646">
      <c r="A646" s="13" t="str">
        <f>IFERROR(__xludf.DUMMYFUNCTION("""COMPUTED_VALUE"""),"Remember Me")</f>
        <v>Remember Me</v>
      </c>
      <c r="B646" s="15" t="str">
        <f>IFERROR(__xludf.DUMMYFUNCTION("""COMPUTED_VALUE"""),"PS3")</f>
        <v>PS3</v>
      </c>
      <c r="C646" s="16" t="str">
        <f>IFERROR(__xludf.DUMMYFUNCTION("""COMPUTED_VALUE"""),"Playstation Plus (Discontinued)")</f>
        <v>Playstation Plus (Discontinued)</v>
      </c>
      <c r="D646" s="15" t="str">
        <f>IFERROR(__xludf.DUMMYFUNCTION("""COMPUTED_VALUE"""),"Removed")</f>
        <v>Removed</v>
      </c>
      <c r="E646" s="17">
        <f>IFERROR(__xludf.DUMMYFUNCTION("""COMPUTED_VALUE"""),41688.0)</f>
        <v>41688</v>
      </c>
      <c r="F646" s="54">
        <f>IFERROR(__xludf.DUMMYFUNCTION("""COMPUTED_VALUE"""),41694.0)</f>
        <v>41694</v>
      </c>
      <c r="G646" s="19">
        <f>IFERROR(__xludf.DUMMYFUNCTION("""COMPUTED_VALUE"""),0.2)</f>
        <v>0.2</v>
      </c>
      <c r="H646" s="17">
        <f>IFERROR(__xludf.DUMMYFUNCTION("""COMPUTED_VALUE"""),41429.0)</f>
        <v>41429</v>
      </c>
      <c r="I646" s="19">
        <f>IFERROR(__xludf.DUMMYFUNCTION("""COMPUTED_VALUE"""),0.7055555555555556)</f>
        <v>0.7055555556</v>
      </c>
      <c r="J646" s="21">
        <f>IFERROR(__xludf.DUMMYFUNCTION("""COMPUTED_VALUE"""),70.0)</f>
        <v>70</v>
      </c>
      <c r="K646" s="23">
        <f>IFERROR(__xludf.DUMMYFUNCTION("""COMPUTED_VALUE"""),7.5)</f>
        <v>7.5</v>
      </c>
      <c r="L646" s="24">
        <f>IFERROR(__xludf.DUMMYFUNCTION("""COMPUTED_VALUE"""),12.0)</f>
        <v>12</v>
      </c>
      <c r="M646" s="25" t="str">
        <f>IFERROR(__xludf.DUMMYFUNCTION("""COMPUTED_VALUE"""),"Action-Adventure")</f>
        <v>Action-Adventure</v>
      </c>
      <c r="N646" s="25"/>
      <c r="O646" s="26" t="str">
        <f>IFERROR(__xludf.DUMMYFUNCTION("""COMPUTED_VALUE"""),"No")</f>
        <v>No</v>
      </c>
      <c r="P646" s="26"/>
    </row>
    <row r="647">
      <c r="A647" s="13" t="str">
        <f>IFERROR(__xludf.DUMMYFUNCTION("""COMPUTED_VALUE"""),"Street Fighter X Tekken")</f>
        <v>Street Fighter X Tekken</v>
      </c>
      <c r="B647" s="15" t="str">
        <f>IFERROR(__xludf.DUMMYFUNCTION("""COMPUTED_VALUE"""),"Vita")</f>
        <v>Vita</v>
      </c>
      <c r="C647" s="16" t="str">
        <f>IFERROR(__xludf.DUMMYFUNCTION("""COMPUTED_VALUE"""),"Playstation Plus (Discontinued)")</f>
        <v>Playstation Plus (Discontinued)</v>
      </c>
      <c r="D647" s="15" t="str">
        <f>IFERROR(__xludf.DUMMYFUNCTION("""COMPUTED_VALUE"""),"Removed")</f>
        <v>Removed</v>
      </c>
      <c r="E647" s="17">
        <f>IFERROR(__xludf.DUMMYFUNCTION("""COMPUTED_VALUE"""),41688.0)</f>
        <v>41688</v>
      </c>
      <c r="F647" s="54">
        <f>IFERROR(__xludf.DUMMYFUNCTION("""COMPUTED_VALUE"""),41694.0)</f>
        <v>41694</v>
      </c>
      <c r="G647" s="19">
        <f>IFERROR(__xludf.DUMMYFUNCTION("""COMPUTED_VALUE"""),0.2)</f>
        <v>0.2</v>
      </c>
      <c r="H647" s="17">
        <f>IFERROR(__xludf.DUMMYFUNCTION("""COMPUTED_VALUE"""),40974.0)</f>
        <v>40974</v>
      </c>
      <c r="I647" s="19">
        <f>IFERROR(__xludf.DUMMYFUNCTION("""COMPUTED_VALUE"""),1.95)</f>
        <v>1.95</v>
      </c>
      <c r="J647" s="21">
        <f>IFERROR(__xludf.DUMMYFUNCTION("""COMPUTED_VALUE"""),84.0)</f>
        <v>84</v>
      </c>
      <c r="K647" s="23">
        <f>IFERROR(__xludf.DUMMYFUNCTION("""COMPUTED_VALUE"""),5.8)</f>
        <v>5.8</v>
      </c>
      <c r="L647" s="24"/>
      <c r="M647" s="25" t="str">
        <f>IFERROR(__xludf.DUMMYFUNCTION("""COMPUTED_VALUE"""),"Fighting")</f>
        <v>Fighting</v>
      </c>
      <c r="N647" s="25"/>
      <c r="O647" s="26" t="str">
        <f>IFERROR(__xludf.DUMMYFUNCTION("""COMPUTED_VALUE"""),"No")</f>
        <v>No</v>
      </c>
      <c r="P647" s="26"/>
    </row>
    <row r="648">
      <c r="A648" s="13" t="str">
        <f>IFERROR(__xludf.DUMMYFUNCTION("""COMPUTED_VALUE"""),"Payday 2")</f>
        <v>Payday 2</v>
      </c>
      <c r="B648" s="15" t="str">
        <f>IFERROR(__xludf.DUMMYFUNCTION("""COMPUTED_VALUE"""),"PS3")</f>
        <v>PS3</v>
      </c>
      <c r="C648" s="16" t="str">
        <f>IFERROR(__xludf.DUMMYFUNCTION("""COMPUTED_VALUE"""),"Playstation Plus (Discontinued)")</f>
        <v>Playstation Plus (Discontinued)</v>
      </c>
      <c r="D648" s="15" t="str">
        <f>IFERROR(__xludf.DUMMYFUNCTION("""COMPUTED_VALUE"""),"Removed")</f>
        <v>Removed</v>
      </c>
      <c r="E648" s="17">
        <f>IFERROR(__xludf.DUMMYFUNCTION("""COMPUTED_VALUE"""),41681.0)</f>
        <v>41681</v>
      </c>
      <c r="F648" s="54">
        <f>IFERROR(__xludf.DUMMYFUNCTION("""COMPUTED_VALUE"""),41687.0)</f>
        <v>41687</v>
      </c>
      <c r="G648" s="19">
        <f>IFERROR(__xludf.DUMMYFUNCTION("""COMPUTED_VALUE"""),0.2)</f>
        <v>0.2</v>
      </c>
      <c r="H648" s="17">
        <f>IFERROR(__xludf.DUMMYFUNCTION("""COMPUTED_VALUE"""),41499.0)</f>
        <v>41499</v>
      </c>
      <c r="I648" s="19">
        <f>IFERROR(__xludf.DUMMYFUNCTION("""COMPUTED_VALUE"""),0.49444444444444446)</f>
        <v>0.4944444444</v>
      </c>
      <c r="J648" s="21">
        <f>IFERROR(__xludf.DUMMYFUNCTION("""COMPUTED_VALUE"""),79.0)</f>
        <v>79</v>
      </c>
      <c r="K648" s="23">
        <f>IFERROR(__xludf.DUMMYFUNCTION("""COMPUTED_VALUE"""),7.6)</f>
        <v>7.6</v>
      </c>
      <c r="L648" s="24">
        <f>IFERROR(__xludf.DUMMYFUNCTION("""COMPUTED_VALUE"""),17.0)</f>
        <v>17</v>
      </c>
      <c r="M648" s="25" t="str">
        <f>IFERROR(__xludf.DUMMYFUNCTION("""COMPUTED_VALUE"""),"Shooter")</f>
        <v>Shooter</v>
      </c>
      <c r="N648" s="25"/>
      <c r="O648" s="26" t="str">
        <f>IFERROR(__xludf.DUMMYFUNCTION("""COMPUTED_VALUE"""),"No")</f>
        <v>No</v>
      </c>
      <c r="P648" s="26"/>
    </row>
    <row r="649">
      <c r="A649" s="13" t="str">
        <f>IFERROR(__xludf.DUMMYFUNCTION("""COMPUTED_VALUE"""),"Outlast")</f>
        <v>Outlast</v>
      </c>
      <c r="B649" s="15" t="str">
        <f>IFERROR(__xludf.DUMMYFUNCTION("""COMPUTED_VALUE"""),"PS4")</f>
        <v>PS4</v>
      </c>
      <c r="C649" s="16" t="str">
        <f>IFERROR(__xludf.DUMMYFUNCTION("""COMPUTED_VALUE"""),"Playstation Plus (Discontinued)")</f>
        <v>Playstation Plus (Discontinued)</v>
      </c>
      <c r="D649" s="15" t="str">
        <f>IFERROR(__xludf.DUMMYFUNCTION("""COMPUTED_VALUE"""),"Removed")</f>
        <v>Removed</v>
      </c>
      <c r="E649" s="17">
        <f>IFERROR(__xludf.DUMMYFUNCTION("""COMPUTED_VALUE"""),41674.0)</f>
        <v>41674</v>
      </c>
      <c r="F649" s="54">
        <f>IFERROR(__xludf.DUMMYFUNCTION("""COMPUTED_VALUE"""),41680.0)</f>
        <v>41680</v>
      </c>
      <c r="G649" s="19">
        <f>IFERROR(__xludf.DUMMYFUNCTION("""COMPUTED_VALUE"""),0.2)</f>
        <v>0.2</v>
      </c>
      <c r="H649" s="17">
        <f>IFERROR(__xludf.DUMMYFUNCTION("""COMPUTED_VALUE"""),41674.0)</f>
        <v>41674</v>
      </c>
      <c r="I649" s="19">
        <f>IFERROR(__xludf.DUMMYFUNCTION("""COMPUTED_VALUE"""),0.0)</f>
        <v>0</v>
      </c>
      <c r="J649" s="21">
        <f>IFERROR(__xludf.DUMMYFUNCTION("""COMPUTED_VALUE"""),78.0)</f>
        <v>78</v>
      </c>
      <c r="K649" s="23">
        <f>IFERROR(__xludf.DUMMYFUNCTION("""COMPUTED_VALUE"""),7.7)</f>
        <v>7.7</v>
      </c>
      <c r="L649" s="24">
        <f>IFERROR(__xludf.DUMMYFUNCTION("""COMPUTED_VALUE"""),5.0)</f>
        <v>5</v>
      </c>
      <c r="M649" s="25" t="str">
        <f>IFERROR(__xludf.DUMMYFUNCTION("""COMPUTED_VALUE"""),"Horror")</f>
        <v>Horror</v>
      </c>
      <c r="N649" s="25"/>
      <c r="O649" s="26" t="str">
        <f>IFERROR(__xludf.DUMMYFUNCTION("""COMPUTED_VALUE"""),"No")</f>
        <v>No</v>
      </c>
      <c r="P649" s="26"/>
    </row>
    <row r="650">
      <c r="A650" s="13" t="str">
        <f>IFERROR(__xludf.DUMMYFUNCTION("""COMPUTED_VALUE"""),"Metro: Last Light")</f>
        <v>Metro: Last Light</v>
      </c>
      <c r="B650" s="15" t="str">
        <f>IFERROR(__xludf.DUMMYFUNCTION("""COMPUTED_VALUE"""),"PS3")</f>
        <v>PS3</v>
      </c>
      <c r="C650" s="16" t="str">
        <f>IFERROR(__xludf.DUMMYFUNCTION("""COMPUTED_VALUE"""),"Playstation Plus (Discontinued)")</f>
        <v>Playstation Plus (Discontinued)</v>
      </c>
      <c r="D650" s="15" t="str">
        <f>IFERROR(__xludf.DUMMYFUNCTION("""COMPUTED_VALUE"""),"Removed")</f>
        <v>Removed</v>
      </c>
      <c r="E650" s="17">
        <f>IFERROR(__xludf.DUMMYFUNCTION("""COMPUTED_VALUE"""),41674.0)</f>
        <v>41674</v>
      </c>
      <c r="F650" s="54">
        <f>IFERROR(__xludf.DUMMYFUNCTION("""COMPUTED_VALUE"""),41680.0)</f>
        <v>41680</v>
      </c>
      <c r="G650" s="19">
        <f>IFERROR(__xludf.DUMMYFUNCTION("""COMPUTED_VALUE"""),0.2)</f>
        <v>0.2</v>
      </c>
      <c r="H650" s="17">
        <f>IFERROR(__xludf.DUMMYFUNCTION("""COMPUTED_VALUE"""),41408.0)</f>
        <v>41408</v>
      </c>
      <c r="I650" s="19">
        <f>IFERROR(__xludf.DUMMYFUNCTION("""COMPUTED_VALUE"""),0.7222222222222222)</f>
        <v>0.7222222222</v>
      </c>
      <c r="J650" s="21">
        <f>IFERROR(__xludf.DUMMYFUNCTION("""COMPUTED_VALUE"""),81.0)</f>
        <v>81</v>
      </c>
      <c r="K650" s="23">
        <f>IFERROR(__xludf.DUMMYFUNCTION("""COMPUTED_VALUE"""),8.1)</f>
        <v>8.1</v>
      </c>
      <c r="L650" s="24">
        <f>IFERROR(__xludf.DUMMYFUNCTION("""COMPUTED_VALUE"""),10.0)</f>
        <v>10</v>
      </c>
      <c r="M650" s="25" t="str">
        <f>IFERROR(__xludf.DUMMYFUNCTION("""COMPUTED_VALUE"""),"Shooter")</f>
        <v>Shooter</v>
      </c>
      <c r="N650" s="25"/>
      <c r="O650" s="26" t="str">
        <f>IFERROR(__xludf.DUMMYFUNCTION("""COMPUTED_VALUE"""),"No")</f>
        <v>No</v>
      </c>
      <c r="P650" s="26"/>
    </row>
    <row r="651">
      <c r="A651" s="13" t="str">
        <f>IFERROR(__xludf.DUMMYFUNCTION("""COMPUTED_VALUE"""),"Smart As")</f>
        <v>Smart As</v>
      </c>
      <c r="B651" s="15" t="str">
        <f>IFERROR(__xludf.DUMMYFUNCTION("""COMPUTED_VALUE"""),"Vita")</f>
        <v>Vita</v>
      </c>
      <c r="C651" s="16" t="str">
        <f>IFERROR(__xludf.DUMMYFUNCTION("""COMPUTED_VALUE"""),"Playstation Plus (Discontinued)")</f>
        <v>Playstation Plus (Discontinued)</v>
      </c>
      <c r="D651" s="15" t="str">
        <f>IFERROR(__xludf.DUMMYFUNCTION("""COMPUTED_VALUE"""),"Removed")</f>
        <v>Removed</v>
      </c>
      <c r="E651" s="17">
        <f>IFERROR(__xludf.DUMMYFUNCTION("""COMPUTED_VALUE"""),41667.0)</f>
        <v>41667</v>
      </c>
      <c r="F651" s="54">
        <f>IFERROR(__xludf.DUMMYFUNCTION("""COMPUTED_VALUE"""),41673.0)</f>
        <v>41673</v>
      </c>
      <c r="G651" s="19">
        <f>IFERROR(__xludf.DUMMYFUNCTION("""COMPUTED_VALUE"""),0.16666666666666666)</f>
        <v>0.1666666667</v>
      </c>
      <c r="H651" s="17">
        <f>IFERROR(__xludf.DUMMYFUNCTION("""COMPUTED_VALUE"""),41233.0)</f>
        <v>41233</v>
      </c>
      <c r="I651" s="19">
        <f>IFERROR(__xludf.DUMMYFUNCTION("""COMPUTED_VALUE"""),1.1888888888888889)</f>
        <v>1.188888889</v>
      </c>
      <c r="J651" s="21">
        <f>IFERROR(__xludf.DUMMYFUNCTION("""COMPUTED_VALUE"""),69.0)</f>
        <v>69</v>
      </c>
      <c r="K651" s="23">
        <f>IFERROR(__xludf.DUMMYFUNCTION("""COMPUTED_VALUE"""),6.8)</f>
        <v>6.8</v>
      </c>
      <c r="L651" s="24">
        <f>IFERROR(__xludf.DUMMYFUNCTION("""COMPUTED_VALUE"""),5.0)</f>
        <v>5</v>
      </c>
      <c r="M651" s="25" t="str">
        <f>IFERROR(__xludf.DUMMYFUNCTION("""COMPUTED_VALUE"""),"Puzzle")</f>
        <v>Puzzle</v>
      </c>
      <c r="N651" s="25"/>
      <c r="O651" s="26" t="str">
        <f>IFERROR(__xludf.DUMMYFUNCTION("""COMPUTED_VALUE"""),"No")</f>
        <v>No</v>
      </c>
      <c r="P651" s="26"/>
    </row>
    <row r="652">
      <c r="A652" s="13" t="str">
        <f>IFERROR(__xludf.DUMMYFUNCTION("""COMPUTED_VALUE"""),"Worms Battle Islands")</f>
        <v>Worms Battle Islands</v>
      </c>
      <c r="B652" s="15" t="str">
        <f>IFERROR(__xludf.DUMMYFUNCTION("""COMPUTED_VALUE"""),"PSP")</f>
        <v>PSP</v>
      </c>
      <c r="C652" s="16" t="str">
        <f>IFERROR(__xludf.DUMMYFUNCTION("""COMPUTED_VALUE"""),"Playstation Plus (Discontinued)")</f>
        <v>Playstation Plus (Discontinued)</v>
      </c>
      <c r="D652" s="15" t="str">
        <f>IFERROR(__xludf.DUMMYFUNCTION("""COMPUTED_VALUE"""),"Removed")</f>
        <v>Removed</v>
      </c>
      <c r="E652" s="17">
        <f>IFERROR(__xludf.DUMMYFUNCTION("""COMPUTED_VALUE"""),41660.0)</f>
        <v>41660</v>
      </c>
      <c r="F652" s="54">
        <f>IFERROR(__xludf.DUMMYFUNCTION("""COMPUTED_VALUE"""),41666.0)</f>
        <v>41666</v>
      </c>
      <c r="G652" s="19">
        <f>IFERROR(__xludf.DUMMYFUNCTION("""COMPUTED_VALUE"""),0.2)</f>
        <v>0.2</v>
      </c>
      <c r="H652" s="17">
        <f>IFERROR(__xludf.DUMMYFUNCTION("""COMPUTED_VALUE"""),40512.0)</f>
        <v>40512</v>
      </c>
      <c r="I652" s="19">
        <f>IFERROR(__xludf.DUMMYFUNCTION("""COMPUTED_VALUE"""),3.1416666666666666)</f>
        <v>3.141666667</v>
      </c>
      <c r="J652" s="21">
        <f>IFERROR(__xludf.DUMMYFUNCTION("""COMPUTED_VALUE"""),62.0)</f>
        <v>62</v>
      </c>
      <c r="K652" s="23">
        <f>IFERROR(__xludf.DUMMYFUNCTION("""COMPUTED_VALUE"""),6.4)</f>
        <v>6.4</v>
      </c>
      <c r="L652" s="24"/>
      <c r="M652" s="25" t="str">
        <f>IFERROR(__xludf.DUMMYFUNCTION("""COMPUTED_VALUE"""),"Strategy")</f>
        <v>Strategy</v>
      </c>
      <c r="N652" s="25"/>
      <c r="O652" s="26" t="str">
        <f>IFERROR(__xludf.DUMMYFUNCTION("""COMPUTED_VALUE"""),"No")</f>
        <v>No</v>
      </c>
      <c r="P652" s="26"/>
    </row>
    <row r="653">
      <c r="A653" s="13" t="str">
        <f>IFERROR(__xludf.DUMMYFUNCTION("""COMPUTED_VALUE"""),"Brothers: A Tale of Two Sons")</f>
        <v>Brothers: A Tale of Two Sons</v>
      </c>
      <c r="B653" s="15" t="str">
        <f>IFERROR(__xludf.DUMMYFUNCTION("""COMPUTED_VALUE"""),"PS3")</f>
        <v>PS3</v>
      </c>
      <c r="C653" s="16" t="str">
        <f>IFERROR(__xludf.DUMMYFUNCTION("""COMPUTED_VALUE"""),"Playstation Plus (Discontinued)")</f>
        <v>Playstation Plus (Discontinued)</v>
      </c>
      <c r="D653" s="15" t="str">
        <f>IFERROR(__xludf.DUMMYFUNCTION("""COMPUTED_VALUE"""),"Removed")</f>
        <v>Removed</v>
      </c>
      <c r="E653" s="17">
        <f>IFERROR(__xludf.DUMMYFUNCTION("""COMPUTED_VALUE"""),41660.0)</f>
        <v>41660</v>
      </c>
      <c r="F653" s="54">
        <f>IFERROR(__xludf.DUMMYFUNCTION("""COMPUTED_VALUE"""),41666.0)</f>
        <v>41666</v>
      </c>
      <c r="G653" s="19">
        <f>IFERROR(__xludf.DUMMYFUNCTION("""COMPUTED_VALUE"""),0.2)</f>
        <v>0.2</v>
      </c>
      <c r="H653" s="17">
        <f>IFERROR(__xludf.DUMMYFUNCTION("""COMPUTED_VALUE"""),41493.0)</f>
        <v>41493</v>
      </c>
      <c r="I653" s="19">
        <f>IFERROR(__xludf.DUMMYFUNCTION("""COMPUTED_VALUE"""),0.45555555555555555)</f>
        <v>0.4555555556</v>
      </c>
      <c r="J653" s="21">
        <f>IFERROR(__xludf.DUMMYFUNCTION("""COMPUTED_VALUE"""),90.0)</f>
        <v>90</v>
      </c>
      <c r="K653" s="23">
        <f>IFERROR(__xludf.DUMMYFUNCTION("""COMPUTED_VALUE"""),8.5)</f>
        <v>8.5</v>
      </c>
      <c r="L653" s="24">
        <f>IFERROR(__xludf.DUMMYFUNCTION("""COMPUTED_VALUE"""),3.0)</f>
        <v>3</v>
      </c>
      <c r="M653" s="25" t="str">
        <f>IFERROR(__xludf.DUMMYFUNCTION("""COMPUTED_VALUE"""),"Adventure")</f>
        <v>Adventure</v>
      </c>
      <c r="N653" s="25"/>
      <c r="O653" s="26" t="str">
        <f>IFERROR(__xludf.DUMMYFUNCTION("""COMPUTED_VALUE"""),"No")</f>
        <v>No</v>
      </c>
      <c r="P653" s="26"/>
    </row>
    <row r="654">
      <c r="A654" s="13" t="str">
        <f>IFERROR(__xludf.DUMMYFUNCTION("""COMPUTED_VALUE"""),"BioShock Infinite")</f>
        <v>BioShock Infinite</v>
      </c>
      <c r="B654" s="15" t="str">
        <f>IFERROR(__xludf.DUMMYFUNCTION("""COMPUTED_VALUE"""),"PS3")</f>
        <v>PS3</v>
      </c>
      <c r="C654" s="16" t="str">
        <f>IFERROR(__xludf.DUMMYFUNCTION("""COMPUTED_VALUE"""),"Playstation Plus (Discontinued)")</f>
        <v>Playstation Plus (Discontinued)</v>
      </c>
      <c r="D654" s="15" t="str">
        <f>IFERROR(__xludf.DUMMYFUNCTION("""COMPUTED_VALUE"""),"Removed")</f>
        <v>Removed</v>
      </c>
      <c r="E654" s="17">
        <f>IFERROR(__xludf.DUMMYFUNCTION("""COMPUTED_VALUE"""),41653.0)</f>
        <v>41653</v>
      </c>
      <c r="F654" s="54">
        <f>IFERROR(__xludf.DUMMYFUNCTION("""COMPUTED_VALUE"""),41659.0)</f>
        <v>41659</v>
      </c>
      <c r="G654" s="19">
        <f>IFERROR(__xludf.DUMMYFUNCTION("""COMPUTED_VALUE"""),0.2)</f>
        <v>0.2</v>
      </c>
      <c r="H654" s="17">
        <f>IFERROR(__xludf.DUMMYFUNCTION("""COMPUTED_VALUE"""),41359.0)</f>
        <v>41359</v>
      </c>
      <c r="I654" s="19">
        <f>IFERROR(__xludf.DUMMYFUNCTION("""COMPUTED_VALUE"""),0.8)</f>
        <v>0.8</v>
      </c>
      <c r="J654" s="21">
        <f>IFERROR(__xludf.DUMMYFUNCTION("""COMPUTED_VALUE"""),94.0)</f>
        <v>94</v>
      </c>
      <c r="K654" s="23">
        <f>IFERROR(__xludf.DUMMYFUNCTION("""COMPUTED_VALUE"""),8.5)</f>
        <v>8.5</v>
      </c>
      <c r="L654" s="24">
        <f>IFERROR(__xludf.DUMMYFUNCTION("""COMPUTED_VALUE"""),11.0)</f>
        <v>11</v>
      </c>
      <c r="M654" s="25" t="str">
        <f>IFERROR(__xludf.DUMMYFUNCTION("""COMPUTED_VALUE"""),"Shooter")</f>
        <v>Shooter</v>
      </c>
      <c r="N654" s="25"/>
      <c r="O654" s="26" t="str">
        <f>IFERROR(__xludf.DUMMYFUNCTION("""COMPUTED_VALUE"""),"No")</f>
        <v>No</v>
      </c>
      <c r="P654" s="26"/>
    </row>
    <row r="655">
      <c r="A655" s="13" t="str">
        <f>IFERROR(__xludf.DUMMYFUNCTION("""COMPUTED_VALUE"""),"DmC: Devil May Cry")</f>
        <v>DmC: Devil May Cry</v>
      </c>
      <c r="B655" s="15" t="str">
        <f>IFERROR(__xludf.DUMMYFUNCTION("""COMPUTED_VALUE"""),"PS3")</f>
        <v>PS3</v>
      </c>
      <c r="C655" s="16" t="str">
        <f>IFERROR(__xludf.DUMMYFUNCTION("""COMPUTED_VALUE"""),"Playstation Plus (Discontinued)")</f>
        <v>Playstation Plus (Discontinued)</v>
      </c>
      <c r="D655" s="15" t="str">
        <f>IFERROR(__xludf.DUMMYFUNCTION("""COMPUTED_VALUE"""),"Removed")</f>
        <v>Removed</v>
      </c>
      <c r="E655" s="17">
        <f>IFERROR(__xludf.DUMMYFUNCTION("""COMPUTED_VALUE"""),41646.0)</f>
        <v>41646</v>
      </c>
      <c r="F655" s="54">
        <f>IFERROR(__xludf.DUMMYFUNCTION("""COMPUTED_VALUE"""),41652.0)</f>
        <v>41652</v>
      </c>
      <c r="G655" s="19">
        <f>IFERROR(__xludf.DUMMYFUNCTION("""COMPUTED_VALUE"""),0.2)</f>
        <v>0.2</v>
      </c>
      <c r="H655" s="17">
        <f>IFERROR(__xludf.DUMMYFUNCTION("""COMPUTED_VALUE"""),41289.0)</f>
        <v>41289</v>
      </c>
      <c r="I655" s="19">
        <f>IFERROR(__xludf.DUMMYFUNCTION("""COMPUTED_VALUE"""),0.9777777777777777)</f>
        <v>0.9777777778</v>
      </c>
      <c r="J655" s="21">
        <f>IFERROR(__xludf.DUMMYFUNCTION("""COMPUTED_VALUE"""),85.0)</f>
        <v>85</v>
      </c>
      <c r="K655" s="23">
        <f>IFERROR(__xludf.DUMMYFUNCTION("""COMPUTED_VALUE"""),8.1)</f>
        <v>8.1</v>
      </c>
      <c r="L655" s="24">
        <f>IFERROR(__xludf.DUMMYFUNCTION("""COMPUTED_VALUE"""),9.0)</f>
        <v>9</v>
      </c>
      <c r="M655" s="25" t="str">
        <f>IFERROR(__xludf.DUMMYFUNCTION("""COMPUTED_VALUE"""),"Action-Adventure")</f>
        <v>Action-Adventure</v>
      </c>
      <c r="N655" s="25"/>
      <c r="O655" s="26" t="str">
        <f>IFERROR(__xludf.DUMMYFUNCTION("""COMPUTED_VALUE"""),"No")</f>
        <v>No</v>
      </c>
      <c r="P655" s="26"/>
    </row>
    <row r="656">
      <c r="A656" s="13" t="str">
        <f>IFERROR(__xludf.DUMMYFUNCTION("""COMPUTED_VALUE"""),"Don’t Starve")</f>
        <v>Don’t Starve</v>
      </c>
      <c r="B656" s="15" t="str">
        <f>IFERROR(__xludf.DUMMYFUNCTION("""COMPUTED_VALUE"""),"PS4")</f>
        <v>PS4</v>
      </c>
      <c r="C656" s="16" t="str">
        <f>IFERROR(__xludf.DUMMYFUNCTION("""COMPUTED_VALUE"""),"Playstation Plus (Discontinued)")</f>
        <v>Playstation Plus (Discontinued)</v>
      </c>
      <c r="D656" s="15" t="str">
        <f>IFERROR(__xludf.DUMMYFUNCTION("""COMPUTED_VALUE"""),"Removed")</f>
        <v>Removed</v>
      </c>
      <c r="E656" s="17">
        <f>IFERROR(__xludf.DUMMYFUNCTION("""COMPUTED_VALUE"""),41646.0)</f>
        <v>41646</v>
      </c>
      <c r="F656" s="54">
        <f>IFERROR(__xludf.DUMMYFUNCTION("""COMPUTED_VALUE"""),41652.0)</f>
        <v>41652</v>
      </c>
      <c r="G656" s="19">
        <f>IFERROR(__xludf.DUMMYFUNCTION("""COMPUTED_VALUE"""),0.2)</f>
        <v>0.2</v>
      </c>
      <c r="H656" s="17">
        <f>IFERROR(__xludf.DUMMYFUNCTION("""COMPUTED_VALUE"""),41646.0)</f>
        <v>41646</v>
      </c>
      <c r="I656" s="19">
        <f>IFERROR(__xludf.DUMMYFUNCTION("""COMPUTED_VALUE"""),0.0)</f>
        <v>0</v>
      </c>
      <c r="J656" s="21">
        <f>IFERROR(__xludf.DUMMYFUNCTION("""COMPUTED_VALUE"""),79.0)</f>
        <v>79</v>
      </c>
      <c r="K656" s="23">
        <f>IFERROR(__xludf.DUMMYFUNCTION("""COMPUTED_VALUE"""),8.2)</f>
        <v>8.2</v>
      </c>
      <c r="L656" s="24">
        <f>IFERROR(__xludf.DUMMYFUNCTION("""COMPUTED_VALUE"""),16.0)</f>
        <v>16</v>
      </c>
      <c r="M656" s="25" t="str">
        <f>IFERROR(__xludf.DUMMYFUNCTION("""COMPUTED_VALUE"""),"Survival")</f>
        <v>Survival</v>
      </c>
      <c r="N656" s="25"/>
      <c r="O656" s="26" t="str">
        <f>IFERROR(__xludf.DUMMYFUNCTION("""COMPUTED_VALUE"""),"No")</f>
        <v>No</v>
      </c>
      <c r="P656" s="26"/>
    </row>
    <row r="657">
      <c r="A657" s="13" t="str">
        <f>IFERROR(__xludf.DUMMYFUNCTION("""COMPUTED_VALUE"""),"Urban Trial Freestyle")</f>
        <v>Urban Trial Freestyle</v>
      </c>
      <c r="B657" s="15" t="str">
        <f>IFERROR(__xludf.DUMMYFUNCTION("""COMPUTED_VALUE"""),"Vita")</f>
        <v>Vita</v>
      </c>
      <c r="C657" s="16" t="str">
        <f>IFERROR(__xludf.DUMMYFUNCTION("""COMPUTED_VALUE"""),"Playstation Plus (Discontinued)")</f>
        <v>Playstation Plus (Discontinued)</v>
      </c>
      <c r="D657" s="15" t="str">
        <f>IFERROR(__xludf.DUMMYFUNCTION("""COMPUTED_VALUE"""),"Removed")</f>
        <v>Removed</v>
      </c>
      <c r="E657" s="17">
        <f>IFERROR(__xludf.DUMMYFUNCTION("""COMPUTED_VALUE"""),41611.0)</f>
        <v>41611</v>
      </c>
      <c r="F657" s="54">
        <f>IFERROR(__xludf.DUMMYFUNCTION("""COMPUTED_VALUE"""),41645.0)</f>
        <v>41645</v>
      </c>
      <c r="G657" s="19">
        <f>IFERROR(__xludf.DUMMYFUNCTION("""COMPUTED_VALUE"""),1.0999999999999999)</f>
        <v>1.1</v>
      </c>
      <c r="H657" s="17">
        <f>IFERROR(__xludf.DUMMYFUNCTION("""COMPUTED_VALUE"""),41324.0)</f>
        <v>41324</v>
      </c>
      <c r="I657" s="19">
        <f>IFERROR(__xludf.DUMMYFUNCTION("""COMPUTED_VALUE"""),0.7888888888888889)</f>
        <v>0.7888888889</v>
      </c>
      <c r="J657" s="21">
        <f>IFERROR(__xludf.DUMMYFUNCTION("""COMPUTED_VALUE"""),60.0)</f>
        <v>60</v>
      </c>
      <c r="K657" s="23">
        <f>IFERROR(__xludf.DUMMYFUNCTION("""COMPUTED_VALUE"""),6.7)</f>
        <v>6.7</v>
      </c>
      <c r="L657" s="24">
        <f>IFERROR(__xludf.DUMMYFUNCTION("""COMPUTED_VALUE"""),4.0)</f>
        <v>4</v>
      </c>
      <c r="M657" s="25" t="str">
        <f>IFERROR(__xludf.DUMMYFUNCTION("""COMPUTED_VALUE"""),"Racing")</f>
        <v>Racing</v>
      </c>
      <c r="N657" s="25"/>
      <c r="O657" s="26" t="str">
        <f>IFERROR(__xludf.DUMMYFUNCTION("""COMPUTED_VALUE"""),"No")</f>
        <v>No</v>
      </c>
      <c r="P657" s="26"/>
    </row>
    <row r="658">
      <c r="A658" s="13" t="str">
        <f>IFERROR(__xludf.DUMMYFUNCTION("""COMPUTED_VALUE"""),"Sonic &amp; All-Stars Racing Transformed")</f>
        <v>Sonic &amp; All-Stars Racing Transformed</v>
      </c>
      <c r="B658" s="15" t="str">
        <f>IFERROR(__xludf.DUMMYFUNCTION("""COMPUTED_VALUE"""),"Vita")</f>
        <v>Vita</v>
      </c>
      <c r="C658" s="16" t="str">
        <f>IFERROR(__xludf.DUMMYFUNCTION("""COMPUTED_VALUE"""),"Playstation Plus (Discontinued)")</f>
        <v>Playstation Plus (Discontinued)</v>
      </c>
      <c r="D658" s="15" t="str">
        <f>IFERROR(__xludf.DUMMYFUNCTION("""COMPUTED_VALUE"""),"Removed")</f>
        <v>Removed</v>
      </c>
      <c r="E658" s="17">
        <f>IFERROR(__xludf.DUMMYFUNCTION("""COMPUTED_VALUE"""),41611.0)</f>
        <v>41611</v>
      </c>
      <c r="F658" s="54">
        <f>IFERROR(__xludf.DUMMYFUNCTION("""COMPUTED_VALUE"""),41645.0)</f>
        <v>41645</v>
      </c>
      <c r="G658" s="19">
        <f>IFERROR(__xludf.DUMMYFUNCTION("""COMPUTED_VALUE"""),1.0999999999999999)</f>
        <v>1.1</v>
      </c>
      <c r="H658" s="17">
        <f>IFERROR(__xludf.DUMMYFUNCTION("""COMPUTED_VALUE"""),41233.0)</f>
        <v>41233</v>
      </c>
      <c r="I658" s="19">
        <f>IFERROR(__xludf.DUMMYFUNCTION("""COMPUTED_VALUE"""),1.0361111111111112)</f>
        <v>1.036111111</v>
      </c>
      <c r="J658" s="21">
        <f>IFERROR(__xludf.DUMMYFUNCTION("""COMPUTED_VALUE"""),82.0)</f>
        <v>82</v>
      </c>
      <c r="K658" s="23">
        <f>IFERROR(__xludf.DUMMYFUNCTION("""COMPUTED_VALUE"""),8.1)</f>
        <v>8.1</v>
      </c>
      <c r="L658" s="24"/>
      <c r="M658" s="25" t="str">
        <f>IFERROR(__xludf.DUMMYFUNCTION("""COMPUTED_VALUE"""),"Racing")</f>
        <v>Racing</v>
      </c>
      <c r="N658" s="25"/>
      <c r="O658" s="26" t="str">
        <f>IFERROR(__xludf.DUMMYFUNCTION("""COMPUTED_VALUE"""),"No")</f>
        <v>No</v>
      </c>
      <c r="P658" s="26"/>
    </row>
    <row r="659">
      <c r="A659" s="13" t="str">
        <f>IFERROR(__xludf.DUMMYFUNCTION("""COMPUTED_VALUE"""),"Dyad")</f>
        <v>Dyad</v>
      </c>
      <c r="B659" s="15" t="str">
        <f>IFERROR(__xludf.DUMMYFUNCTION("""COMPUTED_VALUE"""),"PS3")</f>
        <v>PS3</v>
      </c>
      <c r="C659" s="16" t="str">
        <f>IFERROR(__xludf.DUMMYFUNCTION("""COMPUTED_VALUE"""),"Playstation Plus (Discontinued)")</f>
        <v>Playstation Plus (Discontinued)</v>
      </c>
      <c r="D659" s="15" t="str">
        <f>IFERROR(__xludf.DUMMYFUNCTION("""COMPUTED_VALUE"""),"Removed")</f>
        <v>Removed</v>
      </c>
      <c r="E659" s="17">
        <f>IFERROR(__xludf.DUMMYFUNCTION("""COMPUTED_VALUE"""),41611.0)</f>
        <v>41611</v>
      </c>
      <c r="F659" s="54">
        <f>IFERROR(__xludf.DUMMYFUNCTION("""COMPUTED_VALUE"""),41645.0)</f>
        <v>41645</v>
      </c>
      <c r="G659" s="19">
        <f>IFERROR(__xludf.DUMMYFUNCTION("""COMPUTED_VALUE"""),1.0999999999999999)</f>
        <v>1.1</v>
      </c>
      <c r="H659" s="17">
        <f>IFERROR(__xludf.DUMMYFUNCTION("""COMPUTED_VALUE"""),41107.0)</f>
        <v>41107</v>
      </c>
      <c r="I659" s="19">
        <f>IFERROR(__xludf.DUMMYFUNCTION("""COMPUTED_VALUE"""),1.3777777777777778)</f>
        <v>1.377777778</v>
      </c>
      <c r="J659" s="21">
        <f>IFERROR(__xludf.DUMMYFUNCTION("""COMPUTED_VALUE"""),79.0)</f>
        <v>79</v>
      </c>
      <c r="K659" s="23">
        <f>IFERROR(__xludf.DUMMYFUNCTION("""COMPUTED_VALUE"""),7.5)</f>
        <v>7.5</v>
      </c>
      <c r="L659" s="24">
        <f>IFERROR(__xludf.DUMMYFUNCTION("""COMPUTED_VALUE"""),3.0)</f>
        <v>3</v>
      </c>
      <c r="M659" s="25" t="str">
        <f>IFERROR(__xludf.DUMMYFUNCTION("""COMPUTED_VALUE"""),"Racing")</f>
        <v>Racing</v>
      </c>
      <c r="N659" s="25"/>
      <c r="O659" s="26" t="str">
        <f>IFERROR(__xludf.DUMMYFUNCTION("""COMPUTED_VALUE"""),"No")</f>
        <v>No</v>
      </c>
      <c r="P659" s="26"/>
    </row>
    <row r="660">
      <c r="A660" s="13" t="str">
        <f>IFERROR(__xludf.DUMMYFUNCTION("""COMPUTED_VALUE"""),"GRID 2")</f>
        <v>GRID 2</v>
      </c>
      <c r="B660" s="15" t="str">
        <f>IFERROR(__xludf.DUMMYFUNCTION("""COMPUTED_VALUE"""),"PS3")</f>
        <v>PS3</v>
      </c>
      <c r="C660" s="16" t="str">
        <f>IFERROR(__xludf.DUMMYFUNCTION("""COMPUTED_VALUE"""),"Playstation Plus (Discontinued)")</f>
        <v>Playstation Plus (Discontinued)</v>
      </c>
      <c r="D660" s="15" t="str">
        <f>IFERROR(__xludf.DUMMYFUNCTION("""COMPUTED_VALUE"""),"Removed")</f>
        <v>Removed</v>
      </c>
      <c r="E660" s="17">
        <f>IFERROR(__xludf.DUMMYFUNCTION("""COMPUTED_VALUE"""),41611.0)</f>
        <v>41611</v>
      </c>
      <c r="F660" s="54">
        <f>IFERROR(__xludf.DUMMYFUNCTION("""COMPUTED_VALUE"""),41645.0)</f>
        <v>41645</v>
      </c>
      <c r="G660" s="19">
        <f>IFERROR(__xludf.DUMMYFUNCTION("""COMPUTED_VALUE"""),1.0999999999999999)</f>
        <v>1.1</v>
      </c>
      <c r="H660" s="17">
        <f>IFERROR(__xludf.DUMMYFUNCTION("""COMPUTED_VALUE"""),41422.0)</f>
        <v>41422</v>
      </c>
      <c r="I660" s="19">
        <f>IFERROR(__xludf.DUMMYFUNCTION("""COMPUTED_VALUE"""),0.5138888888888888)</f>
        <v>0.5138888889</v>
      </c>
      <c r="J660" s="21">
        <f>IFERROR(__xludf.DUMMYFUNCTION("""COMPUTED_VALUE"""),80.0)</f>
        <v>80</v>
      </c>
      <c r="K660" s="23">
        <f>IFERROR(__xludf.DUMMYFUNCTION("""COMPUTED_VALUE"""),7.4)</f>
        <v>7.4</v>
      </c>
      <c r="L660" s="24"/>
      <c r="M660" s="25" t="str">
        <f>IFERROR(__xludf.DUMMYFUNCTION("""COMPUTED_VALUE"""),"Racing")</f>
        <v>Racing</v>
      </c>
      <c r="N660" s="25"/>
      <c r="O660" s="26" t="str">
        <f>IFERROR(__xludf.DUMMYFUNCTION("""COMPUTED_VALUE"""),"No")</f>
        <v>No</v>
      </c>
      <c r="P660" s="26"/>
    </row>
    <row r="661">
      <c r="A661" s="13" t="str">
        <f>IFERROR(__xludf.DUMMYFUNCTION("""COMPUTED_VALUE"""),"Borderlands 2")</f>
        <v>Borderlands 2</v>
      </c>
      <c r="B661" s="15" t="str">
        <f>IFERROR(__xludf.DUMMYFUNCTION("""COMPUTED_VALUE"""),"PS3")</f>
        <v>PS3</v>
      </c>
      <c r="C661" s="16" t="str">
        <f>IFERROR(__xludf.DUMMYFUNCTION("""COMPUTED_VALUE"""),"Playstation Plus (Discontinued)")</f>
        <v>Playstation Plus (Discontinued)</v>
      </c>
      <c r="D661" s="15" t="str">
        <f>IFERROR(__xludf.DUMMYFUNCTION("""COMPUTED_VALUE"""),"Removed")</f>
        <v>Removed</v>
      </c>
      <c r="E661" s="17">
        <f>IFERROR(__xludf.DUMMYFUNCTION("""COMPUTED_VALUE"""),41611.0)</f>
        <v>41611</v>
      </c>
      <c r="F661" s="54">
        <f>IFERROR(__xludf.DUMMYFUNCTION("""COMPUTED_VALUE"""),41645.0)</f>
        <v>41645</v>
      </c>
      <c r="G661" s="19">
        <f>IFERROR(__xludf.DUMMYFUNCTION("""COMPUTED_VALUE"""),1.0999999999999999)</f>
        <v>1.1</v>
      </c>
      <c r="H661" s="17">
        <f>IFERROR(__xludf.DUMMYFUNCTION("""COMPUTED_VALUE"""),41170.0)</f>
        <v>41170</v>
      </c>
      <c r="I661" s="19">
        <f>IFERROR(__xludf.DUMMYFUNCTION("""COMPUTED_VALUE"""),1.2083333333333333)</f>
        <v>1.208333333</v>
      </c>
      <c r="J661" s="21">
        <f>IFERROR(__xludf.DUMMYFUNCTION("""COMPUTED_VALUE"""),89.0)</f>
        <v>89</v>
      </c>
      <c r="K661" s="23">
        <f>IFERROR(__xludf.DUMMYFUNCTION("""COMPUTED_VALUE"""),8.3)</f>
        <v>8.3</v>
      </c>
      <c r="L661" s="24">
        <f>IFERROR(__xludf.DUMMYFUNCTION("""COMPUTED_VALUE"""),22.0)</f>
        <v>22</v>
      </c>
      <c r="M661" s="25" t="str">
        <f>IFERROR(__xludf.DUMMYFUNCTION("""COMPUTED_VALUE"""),"Shooter")</f>
        <v>Shooter</v>
      </c>
      <c r="N661" s="25"/>
      <c r="O661" s="26" t="str">
        <f>IFERROR(__xludf.DUMMYFUNCTION("""COMPUTED_VALUE"""),"No")</f>
        <v>No</v>
      </c>
      <c r="P661" s="26"/>
    </row>
    <row r="662">
      <c r="A662" s="13" t="str">
        <f>IFERROR(__xludf.DUMMYFUNCTION("""COMPUTED_VALUE"""),"Resogun")</f>
        <v>Resogun</v>
      </c>
      <c r="B662" s="15" t="str">
        <f>IFERROR(__xludf.DUMMYFUNCTION("""COMPUTED_VALUE"""),"PS4")</f>
        <v>PS4</v>
      </c>
      <c r="C662" s="16" t="str">
        <f>IFERROR(__xludf.DUMMYFUNCTION("""COMPUTED_VALUE"""),"Playstation Plus (Discontinued)")</f>
        <v>Playstation Plus (Discontinued)</v>
      </c>
      <c r="D662" s="15" t="str">
        <f>IFERROR(__xludf.DUMMYFUNCTION("""COMPUTED_VALUE"""),"Removed")</f>
        <v>Removed</v>
      </c>
      <c r="E662" s="17">
        <f>IFERROR(__xludf.DUMMYFUNCTION("""COMPUTED_VALUE"""),41593.0)</f>
        <v>41593</v>
      </c>
      <c r="F662" s="54">
        <f>IFERROR(__xludf.DUMMYFUNCTION("""COMPUTED_VALUE"""),41610.0)</f>
        <v>41610</v>
      </c>
      <c r="G662" s="19">
        <f>IFERROR(__xludf.DUMMYFUNCTION("""COMPUTED_VALUE"""),0.5666666666666667)</f>
        <v>0.5666666667</v>
      </c>
      <c r="H662" s="17">
        <f>IFERROR(__xludf.DUMMYFUNCTION("""COMPUTED_VALUE"""),41593.0)</f>
        <v>41593</v>
      </c>
      <c r="I662" s="19">
        <f>IFERROR(__xludf.DUMMYFUNCTION("""COMPUTED_VALUE"""),0.0)</f>
        <v>0</v>
      </c>
      <c r="J662" s="21">
        <f>IFERROR(__xludf.DUMMYFUNCTION("""COMPUTED_VALUE"""),84.0)</f>
        <v>84</v>
      </c>
      <c r="K662" s="23">
        <f>IFERROR(__xludf.DUMMYFUNCTION("""COMPUTED_VALUE"""),8.1)</f>
        <v>8.1</v>
      </c>
      <c r="L662" s="24">
        <f>IFERROR(__xludf.DUMMYFUNCTION("""COMPUTED_VALUE"""),4.0)</f>
        <v>4</v>
      </c>
      <c r="M662" s="25" t="str">
        <f>IFERROR(__xludf.DUMMYFUNCTION("""COMPUTED_VALUE"""),"Shooter")</f>
        <v>Shooter</v>
      </c>
      <c r="N662" s="25"/>
      <c r="O662" s="26" t="str">
        <f>IFERROR(__xludf.DUMMYFUNCTION("""COMPUTED_VALUE"""),"No")</f>
        <v>No</v>
      </c>
      <c r="P662" s="26"/>
    </row>
    <row r="663">
      <c r="A663" s="13" t="str">
        <f>IFERROR(__xludf.DUMMYFUNCTION("""COMPUTED_VALUE"""),"Contrast")</f>
        <v>Contrast</v>
      </c>
      <c r="B663" s="15" t="str">
        <f>IFERROR(__xludf.DUMMYFUNCTION("""COMPUTED_VALUE"""),"PS4")</f>
        <v>PS4</v>
      </c>
      <c r="C663" s="16" t="str">
        <f>IFERROR(__xludf.DUMMYFUNCTION("""COMPUTED_VALUE"""),"Playstation Plus (Discontinued)")</f>
        <v>Playstation Plus (Discontinued)</v>
      </c>
      <c r="D663" s="15" t="str">
        <f>IFERROR(__xludf.DUMMYFUNCTION("""COMPUTED_VALUE"""),"Removed")</f>
        <v>Removed</v>
      </c>
      <c r="E663" s="17">
        <f>IFERROR(__xludf.DUMMYFUNCTION("""COMPUTED_VALUE"""),41593.0)</f>
        <v>41593</v>
      </c>
      <c r="F663" s="54">
        <f>IFERROR(__xludf.DUMMYFUNCTION("""COMPUTED_VALUE"""),41610.0)</f>
        <v>41610</v>
      </c>
      <c r="G663" s="19">
        <f>IFERROR(__xludf.DUMMYFUNCTION("""COMPUTED_VALUE"""),0.5666666666666667)</f>
        <v>0.5666666667</v>
      </c>
      <c r="H663" s="17">
        <f>IFERROR(__xludf.DUMMYFUNCTION("""COMPUTED_VALUE"""),41593.0)</f>
        <v>41593</v>
      </c>
      <c r="I663" s="19">
        <f>IFERROR(__xludf.DUMMYFUNCTION("""COMPUTED_VALUE"""),0.0)</f>
        <v>0</v>
      </c>
      <c r="J663" s="21">
        <f>IFERROR(__xludf.DUMMYFUNCTION("""COMPUTED_VALUE"""),62.0)</f>
        <v>62</v>
      </c>
      <c r="K663" s="23">
        <f>IFERROR(__xludf.DUMMYFUNCTION("""COMPUTED_VALUE"""),6.9)</f>
        <v>6.9</v>
      </c>
      <c r="L663" s="24">
        <f>IFERROR(__xludf.DUMMYFUNCTION("""COMPUTED_VALUE"""),3.0)</f>
        <v>3</v>
      </c>
      <c r="M663" s="25" t="str">
        <f>IFERROR(__xludf.DUMMYFUNCTION("""COMPUTED_VALUE"""),"Platformer")</f>
        <v>Platformer</v>
      </c>
      <c r="N663" s="25"/>
      <c r="O663" s="26" t="str">
        <f>IFERROR(__xludf.DUMMYFUNCTION("""COMPUTED_VALUE"""),"No")</f>
        <v>No</v>
      </c>
      <c r="P663" s="26"/>
    </row>
    <row r="664">
      <c r="A664" s="13" t="str">
        <f>IFERROR(__xludf.DUMMYFUNCTION("""COMPUTED_VALUE"""),"Soul Sacrifice")</f>
        <v>Soul Sacrifice</v>
      </c>
      <c r="B664" s="15" t="str">
        <f>IFERROR(__xludf.DUMMYFUNCTION("""COMPUTED_VALUE"""),"Vita")</f>
        <v>Vita</v>
      </c>
      <c r="C664" s="16" t="str">
        <f>IFERROR(__xludf.DUMMYFUNCTION("""COMPUTED_VALUE"""),"Playstation Plus (Discontinued)")</f>
        <v>Playstation Plus (Discontinued)</v>
      </c>
      <c r="D664" s="15" t="str">
        <f>IFERROR(__xludf.DUMMYFUNCTION("""COMPUTED_VALUE"""),"Removed")</f>
        <v>Removed</v>
      </c>
      <c r="E664" s="17">
        <f>IFERROR(__xludf.DUMMYFUNCTION("""COMPUTED_VALUE"""),41583.0)</f>
        <v>41583</v>
      </c>
      <c r="F664" s="54">
        <f>IFERROR(__xludf.DUMMYFUNCTION("""COMPUTED_VALUE"""),41610.0)</f>
        <v>41610</v>
      </c>
      <c r="G664" s="19">
        <f>IFERROR(__xludf.DUMMYFUNCTION("""COMPUTED_VALUE"""),0.8999999999999999)</f>
        <v>0.9</v>
      </c>
      <c r="H664" s="17">
        <f>IFERROR(__xludf.DUMMYFUNCTION("""COMPUTED_VALUE"""),41394.0)</f>
        <v>41394</v>
      </c>
      <c r="I664" s="19">
        <f>IFERROR(__xludf.DUMMYFUNCTION("""COMPUTED_VALUE"""),0.5138888888888888)</f>
        <v>0.5138888889</v>
      </c>
      <c r="J664" s="21">
        <f>IFERROR(__xludf.DUMMYFUNCTION("""COMPUTED_VALUE"""),76.0)</f>
        <v>76</v>
      </c>
      <c r="K664" s="23">
        <f>IFERROR(__xludf.DUMMYFUNCTION("""COMPUTED_VALUE"""),7.8)</f>
        <v>7.8</v>
      </c>
      <c r="L664" s="24">
        <f>IFERROR(__xludf.DUMMYFUNCTION("""COMPUTED_VALUE"""),21.0)</f>
        <v>21</v>
      </c>
      <c r="M664" s="25" t="str">
        <f>IFERROR(__xludf.DUMMYFUNCTION("""COMPUTED_VALUE"""),"RPG")</f>
        <v>RPG</v>
      </c>
      <c r="N664" s="25"/>
      <c r="O664" s="26" t="str">
        <f>IFERROR(__xludf.DUMMYFUNCTION("""COMPUTED_VALUE"""),"No")</f>
        <v>No</v>
      </c>
      <c r="P664" s="26"/>
    </row>
    <row r="665">
      <c r="A665" s="13" t="str">
        <f>IFERROR(__xludf.DUMMYFUNCTION("""COMPUTED_VALUE"""),"Oddworld: Stranger's Wrath")</f>
        <v>Oddworld: Stranger's Wrath</v>
      </c>
      <c r="B665" s="15" t="str">
        <f>IFERROR(__xludf.DUMMYFUNCTION("""COMPUTED_VALUE"""),"Vita")</f>
        <v>Vita</v>
      </c>
      <c r="C665" s="16" t="str">
        <f>IFERROR(__xludf.DUMMYFUNCTION("""COMPUTED_VALUE"""),"Playstation Plus (Discontinued)")</f>
        <v>Playstation Plus (Discontinued)</v>
      </c>
      <c r="D665" s="15" t="str">
        <f>IFERROR(__xludf.DUMMYFUNCTION("""COMPUTED_VALUE"""),"Removed")</f>
        <v>Removed</v>
      </c>
      <c r="E665" s="17">
        <f>IFERROR(__xludf.DUMMYFUNCTION("""COMPUTED_VALUE"""),41583.0)</f>
        <v>41583</v>
      </c>
      <c r="F665" s="54">
        <f>IFERROR(__xludf.DUMMYFUNCTION("""COMPUTED_VALUE"""),41610.0)</f>
        <v>41610</v>
      </c>
      <c r="G665" s="19">
        <f>IFERROR(__xludf.DUMMYFUNCTION("""COMPUTED_VALUE"""),0.8999999999999999)</f>
        <v>0.9</v>
      </c>
      <c r="H665" s="17">
        <f>IFERROR(__xludf.DUMMYFUNCTION("""COMPUTED_VALUE"""),38713.0)</f>
        <v>38713</v>
      </c>
      <c r="I665" s="19">
        <f>IFERROR(__xludf.DUMMYFUNCTION("""COMPUTED_VALUE"""),7.855555555555555)</f>
        <v>7.855555556</v>
      </c>
      <c r="J665" s="21">
        <f>IFERROR(__xludf.DUMMYFUNCTION("""COMPUTED_VALUE"""),88.0)</f>
        <v>88</v>
      </c>
      <c r="K665" s="23">
        <f>IFERROR(__xludf.DUMMYFUNCTION("""COMPUTED_VALUE"""),8.6)</f>
        <v>8.6</v>
      </c>
      <c r="L665" s="24">
        <f>IFERROR(__xludf.DUMMYFUNCTION("""COMPUTED_VALUE"""),11.0)</f>
        <v>11</v>
      </c>
      <c r="M665" s="25" t="str">
        <f>IFERROR(__xludf.DUMMYFUNCTION("""COMPUTED_VALUE"""),"Shooter")</f>
        <v>Shooter</v>
      </c>
      <c r="N665" s="25"/>
      <c r="O665" s="26" t="str">
        <f>IFERROR(__xludf.DUMMYFUNCTION("""COMPUTED_VALUE"""),"No")</f>
        <v>No</v>
      </c>
      <c r="P665" s="26"/>
    </row>
    <row r="666">
      <c r="A666" s="13" t="str">
        <f>IFERROR(__xludf.DUMMYFUNCTION("""COMPUTED_VALUE"""),"Binary Domain")</f>
        <v>Binary Domain</v>
      </c>
      <c r="B666" s="15" t="str">
        <f>IFERROR(__xludf.DUMMYFUNCTION("""COMPUTED_VALUE"""),"PS3")</f>
        <v>PS3</v>
      </c>
      <c r="C666" s="16" t="str">
        <f>IFERROR(__xludf.DUMMYFUNCTION("""COMPUTED_VALUE"""),"Playstation Plus (Discontinued)")</f>
        <v>Playstation Plus (Discontinued)</v>
      </c>
      <c r="D666" s="15" t="str">
        <f>IFERROR(__xludf.DUMMYFUNCTION("""COMPUTED_VALUE"""),"Removed")</f>
        <v>Removed</v>
      </c>
      <c r="E666" s="17">
        <f>IFERROR(__xludf.DUMMYFUNCTION("""COMPUTED_VALUE"""),41583.0)</f>
        <v>41583</v>
      </c>
      <c r="F666" s="54">
        <f>IFERROR(__xludf.DUMMYFUNCTION("""COMPUTED_VALUE"""),41610.0)</f>
        <v>41610</v>
      </c>
      <c r="G666" s="19">
        <f>IFERROR(__xludf.DUMMYFUNCTION("""COMPUTED_VALUE"""),0.8999999999999999)</f>
        <v>0.9</v>
      </c>
      <c r="H666" s="17">
        <f>IFERROR(__xludf.DUMMYFUNCTION("""COMPUTED_VALUE"""),40967.0)</f>
        <v>40967</v>
      </c>
      <c r="I666" s="19">
        <f>IFERROR(__xludf.DUMMYFUNCTION("""COMPUTED_VALUE"""),1.6861111111111111)</f>
        <v>1.686111111</v>
      </c>
      <c r="J666" s="21">
        <f>IFERROR(__xludf.DUMMYFUNCTION("""COMPUTED_VALUE"""),74.0)</f>
        <v>74</v>
      </c>
      <c r="K666" s="23">
        <f>IFERROR(__xludf.DUMMYFUNCTION("""COMPUTED_VALUE"""),7.5)</f>
        <v>7.5</v>
      </c>
      <c r="L666" s="24">
        <f>IFERROR(__xludf.DUMMYFUNCTION("""COMPUTED_VALUE"""),10.0)</f>
        <v>10</v>
      </c>
      <c r="M666" s="25" t="str">
        <f>IFERROR(__xludf.DUMMYFUNCTION("""COMPUTED_VALUE"""),"Shooter")</f>
        <v>Shooter</v>
      </c>
      <c r="N666" s="25"/>
      <c r="O666" s="26" t="str">
        <f>IFERROR(__xludf.DUMMYFUNCTION("""COMPUTED_VALUE"""),"No")</f>
        <v>No</v>
      </c>
      <c r="P666" s="26"/>
    </row>
    <row r="667">
      <c r="A667" s="13" t="str">
        <f>IFERROR(__xludf.DUMMYFUNCTION("""COMPUTED_VALUE"""),"Dragon’s Dogma: Dark Arisen")</f>
        <v>Dragon’s Dogma: Dark Arisen</v>
      </c>
      <c r="B667" s="15" t="str">
        <f>IFERROR(__xludf.DUMMYFUNCTION("""COMPUTED_VALUE"""),"PS3")</f>
        <v>PS3</v>
      </c>
      <c r="C667" s="16" t="str">
        <f>IFERROR(__xludf.DUMMYFUNCTION("""COMPUTED_VALUE"""),"Playstation Plus (Discontinued)")</f>
        <v>Playstation Plus (Discontinued)</v>
      </c>
      <c r="D667" s="15" t="str">
        <f>IFERROR(__xludf.DUMMYFUNCTION("""COMPUTED_VALUE"""),"Removed")</f>
        <v>Removed</v>
      </c>
      <c r="E667" s="17">
        <f>IFERROR(__xludf.DUMMYFUNCTION("""COMPUTED_VALUE"""),41583.0)</f>
        <v>41583</v>
      </c>
      <c r="F667" s="54">
        <f>IFERROR(__xludf.DUMMYFUNCTION("""COMPUTED_VALUE"""),41610.0)</f>
        <v>41610</v>
      </c>
      <c r="G667" s="19">
        <f>IFERROR(__xludf.DUMMYFUNCTION("""COMPUTED_VALUE"""),0.8999999999999999)</f>
        <v>0.9</v>
      </c>
      <c r="H667" s="17">
        <f>IFERROR(__xludf.DUMMYFUNCTION("""COMPUTED_VALUE"""),41387.0)</f>
        <v>41387</v>
      </c>
      <c r="I667" s="19">
        <f>IFERROR(__xludf.DUMMYFUNCTION("""COMPUTED_VALUE"""),0.5333333333333333)</f>
        <v>0.5333333333</v>
      </c>
      <c r="J667" s="21">
        <f>IFERROR(__xludf.DUMMYFUNCTION("""COMPUTED_VALUE"""),78.0)</f>
        <v>78</v>
      </c>
      <c r="K667" s="23">
        <f>IFERROR(__xludf.DUMMYFUNCTION("""COMPUTED_VALUE"""),8.2)</f>
        <v>8.2</v>
      </c>
      <c r="L667" s="24">
        <f>IFERROR(__xludf.DUMMYFUNCTION("""COMPUTED_VALUE"""),35.0)</f>
        <v>35</v>
      </c>
      <c r="M667" s="25" t="str">
        <f>IFERROR(__xludf.DUMMYFUNCTION("""COMPUTED_VALUE"""),"RPG")</f>
        <v>RPG</v>
      </c>
      <c r="N667" s="25"/>
      <c r="O667" s="26" t="str">
        <f>IFERROR(__xludf.DUMMYFUNCTION("""COMPUTED_VALUE"""),"No")</f>
        <v>No</v>
      </c>
      <c r="P667" s="26"/>
    </row>
    <row r="668">
      <c r="A668" s="13" t="str">
        <f>IFERROR(__xludf.DUMMYFUNCTION("""COMPUTED_VALUE"""),"Ibb &amp; obb")</f>
        <v>Ibb &amp; obb</v>
      </c>
      <c r="B668" s="15" t="str">
        <f>IFERROR(__xludf.DUMMYFUNCTION("""COMPUTED_VALUE"""),"PS3")</f>
        <v>PS3</v>
      </c>
      <c r="C668" s="16" t="str">
        <f>IFERROR(__xludf.DUMMYFUNCTION("""COMPUTED_VALUE"""),"Playstation Plus (Discontinued)")</f>
        <v>Playstation Plus (Discontinued)</v>
      </c>
      <c r="D668" s="15" t="str">
        <f>IFERROR(__xludf.DUMMYFUNCTION("""COMPUTED_VALUE"""),"Removed")</f>
        <v>Removed</v>
      </c>
      <c r="E668" s="17">
        <f>IFERROR(__xludf.DUMMYFUNCTION("""COMPUTED_VALUE"""),41583.0)</f>
        <v>41583</v>
      </c>
      <c r="F668" s="54">
        <f>IFERROR(__xludf.DUMMYFUNCTION("""COMPUTED_VALUE"""),41610.0)</f>
        <v>41610</v>
      </c>
      <c r="G668" s="19">
        <f>IFERROR(__xludf.DUMMYFUNCTION("""COMPUTED_VALUE"""),0.8999999999999999)</f>
        <v>0.9</v>
      </c>
      <c r="H668" s="17">
        <f>IFERROR(__xludf.DUMMYFUNCTION("""COMPUTED_VALUE"""),41492.0)</f>
        <v>41492</v>
      </c>
      <c r="I668" s="19">
        <f>IFERROR(__xludf.DUMMYFUNCTION("""COMPUTED_VALUE"""),0.24722222222222223)</f>
        <v>0.2472222222</v>
      </c>
      <c r="J668" s="21">
        <f>IFERROR(__xludf.DUMMYFUNCTION("""COMPUTED_VALUE"""),77.0)</f>
        <v>77</v>
      </c>
      <c r="K668" s="23">
        <f>IFERROR(__xludf.DUMMYFUNCTION("""COMPUTED_VALUE"""),7.4)</f>
        <v>7.4</v>
      </c>
      <c r="L668" s="24">
        <f>IFERROR(__xludf.DUMMYFUNCTION("""COMPUTED_VALUE"""),3.0)</f>
        <v>3</v>
      </c>
      <c r="M668" s="25" t="str">
        <f>IFERROR(__xludf.DUMMYFUNCTION("""COMPUTED_VALUE"""),"Puzzle")</f>
        <v>Puzzle</v>
      </c>
      <c r="N668" s="25"/>
      <c r="O668" s="26" t="str">
        <f>IFERROR(__xludf.DUMMYFUNCTION("""COMPUTED_VALUE"""),"No")</f>
        <v>No</v>
      </c>
      <c r="P668" s="26"/>
    </row>
    <row r="669">
      <c r="A669" s="13" t="str">
        <f>IFERROR(__xludf.DUMMYFUNCTION("""COMPUTED_VALUE"""),"Sine Mora")</f>
        <v>Sine Mora</v>
      </c>
      <c r="B669" s="15" t="str">
        <f>IFERROR(__xludf.DUMMYFUNCTION("""COMPUTED_VALUE"""),"Vita")</f>
        <v>Vita</v>
      </c>
      <c r="C669" s="16" t="str">
        <f>IFERROR(__xludf.DUMMYFUNCTION("""COMPUTED_VALUE"""),"Playstation Plus (Discontinued)")</f>
        <v>Playstation Plus (Discontinued)</v>
      </c>
      <c r="D669" s="15" t="str">
        <f>IFERROR(__xludf.DUMMYFUNCTION("""COMPUTED_VALUE"""),"Removed")</f>
        <v>Removed</v>
      </c>
      <c r="E669" s="17">
        <f>IFERROR(__xludf.DUMMYFUNCTION("""COMPUTED_VALUE"""),41548.0)</f>
        <v>41548</v>
      </c>
      <c r="F669" s="54">
        <f>IFERROR(__xludf.DUMMYFUNCTION("""COMPUTED_VALUE"""),41582.0)</f>
        <v>41582</v>
      </c>
      <c r="G669" s="19">
        <f>IFERROR(__xludf.DUMMYFUNCTION("""COMPUTED_VALUE"""),1.0999999999999999)</f>
        <v>1.1</v>
      </c>
      <c r="H669" s="17">
        <f>IFERROR(__xludf.DUMMYFUNCTION("""COMPUTED_VALUE"""),41177.0)</f>
        <v>41177</v>
      </c>
      <c r="I669" s="19">
        <f>IFERROR(__xludf.DUMMYFUNCTION("""COMPUTED_VALUE"""),1.0166666666666666)</f>
        <v>1.016666667</v>
      </c>
      <c r="J669" s="21">
        <f>IFERROR(__xludf.DUMMYFUNCTION("""COMPUTED_VALUE"""),77.0)</f>
        <v>77</v>
      </c>
      <c r="K669" s="23">
        <f>IFERROR(__xludf.DUMMYFUNCTION("""COMPUTED_VALUE"""),7.8)</f>
        <v>7.8</v>
      </c>
      <c r="L669" s="24">
        <f>IFERROR(__xludf.DUMMYFUNCTION("""COMPUTED_VALUE"""),4.0)</f>
        <v>4</v>
      </c>
      <c r="M669" s="25" t="str">
        <f>IFERROR(__xludf.DUMMYFUNCTION("""COMPUTED_VALUE"""),"Shooter")</f>
        <v>Shooter</v>
      </c>
      <c r="N669" s="25"/>
      <c r="O669" s="26" t="str">
        <f>IFERROR(__xludf.DUMMYFUNCTION("""COMPUTED_VALUE"""),"No")</f>
        <v>No</v>
      </c>
      <c r="P669" s="26"/>
    </row>
    <row r="670">
      <c r="A670" s="13" t="str">
        <f>IFERROR(__xludf.DUMMYFUNCTION("""COMPUTED_VALUE"""),"Hotline Miami")</f>
        <v>Hotline Miami</v>
      </c>
      <c r="B670" s="15" t="str">
        <f>IFERROR(__xludf.DUMMYFUNCTION("""COMPUTED_VALUE"""),"PS3/Vita")</f>
        <v>PS3/Vita</v>
      </c>
      <c r="C670" s="16" t="str">
        <f>IFERROR(__xludf.DUMMYFUNCTION("""COMPUTED_VALUE"""),"Playstation Plus (Discontinued)")</f>
        <v>Playstation Plus (Discontinued)</v>
      </c>
      <c r="D670" s="15" t="str">
        <f>IFERROR(__xludf.DUMMYFUNCTION("""COMPUTED_VALUE"""),"Removed")</f>
        <v>Removed</v>
      </c>
      <c r="E670" s="17">
        <f>IFERROR(__xludf.DUMMYFUNCTION("""COMPUTED_VALUE"""),41548.0)</f>
        <v>41548</v>
      </c>
      <c r="F670" s="54">
        <f>IFERROR(__xludf.DUMMYFUNCTION("""COMPUTED_VALUE"""),41582.0)</f>
        <v>41582</v>
      </c>
      <c r="G670" s="19">
        <f>IFERROR(__xludf.DUMMYFUNCTION("""COMPUTED_VALUE"""),1.0999999999999999)</f>
        <v>1.1</v>
      </c>
      <c r="H670" s="17">
        <f>IFERROR(__xludf.DUMMYFUNCTION("""COMPUTED_VALUE"""),41205.0)</f>
        <v>41205</v>
      </c>
      <c r="I670" s="19">
        <f>IFERROR(__xludf.DUMMYFUNCTION("""COMPUTED_VALUE"""),0.9388888888888889)</f>
        <v>0.9388888889</v>
      </c>
      <c r="J670" s="21">
        <f>IFERROR(__xludf.DUMMYFUNCTION("""COMPUTED_VALUE"""),85.0)</f>
        <v>85</v>
      </c>
      <c r="K670" s="23">
        <f>IFERROR(__xludf.DUMMYFUNCTION("""COMPUTED_VALUE"""),8.4)</f>
        <v>8.4</v>
      </c>
      <c r="L670" s="24">
        <f>IFERROR(__xludf.DUMMYFUNCTION("""COMPUTED_VALUE"""),4.0)</f>
        <v>4</v>
      </c>
      <c r="M670" s="25" t="str">
        <f>IFERROR(__xludf.DUMMYFUNCTION("""COMPUTED_VALUE"""),"Action-Adventure")</f>
        <v>Action-Adventure</v>
      </c>
      <c r="N670" s="25"/>
      <c r="O670" s="26" t="str">
        <f>IFERROR(__xludf.DUMMYFUNCTION("""COMPUTED_VALUE"""),"No")</f>
        <v>No</v>
      </c>
      <c r="P670" s="26"/>
    </row>
    <row r="671">
      <c r="A671" s="13" t="str">
        <f>IFERROR(__xludf.DUMMYFUNCTION("""COMPUTED_VALUE"""),"Poker Night 2")</f>
        <v>Poker Night 2</v>
      </c>
      <c r="B671" s="15" t="str">
        <f>IFERROR(__xludf.DUMMYFUNCTION("""COMPUTED_VALUE"""),"PS3")</f>
        <v>PS3</v>
      </c>
      <c r="C671" s="16" t="str">
        <f>IFERROR(__xludf.DUMMYFUNCTION("""COMPUTED_VALUE"""),"Playstation Plus (Discontinued)")</f>
        <v>Playstation Plus (Discontinued)</v>
      </c>
      <c r="D671" s="15" t="str">
        <f>IFERROR(__xludf.DUMMYFUNCTION("""COMPUTED_VALUE"""),"Removed")</f>
        <v>Removed</v>
      </c>
      <c r="E671" s="17">
        <f>IFERROR(__xludf.DUMMYFUNCTION("""COMPUTED_VALUE"""),41548.0)</f>
        <v>41548</v>
      </c>
      <c r="F671" s="54">
        <f>IFERROR(__xludf.DUMMYFUNCTION("""COMPUTED_VALUE"""),41582.0)</f>
        <v>41582</v>
      </c>
      <c r="G671" s="19">
        <f>IFERROR(__xludf.DUMMYFUNCTION("""COMPUTED_VALUE"""),1.0999999999999999)</f>
        <v>1.1</v>
      </c>
      <c r="H671" s="17">
        <f>IFERROR(__xludf.DUMMYFUNCTION("""COMPUTED_VALUE"""),41390.0)</f>
        <v>41390</v>
      </c>
      <c r="I671" s="19">
        <f>IFERROR(__xludf.DUMMYFUNCTION("""COMPUTED_VALUE"""),0.4305555555555556)</f>
        <v>0.4305555556</v>
      </c>
      <c r="J671" s="21">
        <f>IFERROR(__xludf.DUMMYFUNCTION("""COMPUTED_VALUE"""),66.0)</f>
        <v>66</v>
      </c>
      <c r="K671" s="23">
        <f>IFERROR(__xludf.DUMMYFUNCTION("""COMPUTED_VALUE"""),7.5)</f>
        <v>7.5</v>
      </c>
      <c r="L671" s="24">
        <f>IFERROR(__xludf.DUMMYFUNCTION("""COMPUTED_VALUE"""),3.0)</f>
        <v>3</v>
      </c>
      <c r="M671" s="25" t="str">
        <f>IFERROR(__xludf.DUMMYFUNCTION("""COMPUTED_VALUE"""),"Card &amp; Board")</f>
        <v>Card &amp; Board</v>
      </c>
      <c r="N671" s="25"/>
      <c r="O671" s="26" t="str">
        <f>IFERROR(__xludf.DUMMYFUNCTION("""COMPUTED_VALUE"""),"No")</f>
        <v>No</v>
      </c>
      <c r="P671" s="26"/>
    </row>
    <row r="672">
      <c r="A672" s="13" t="str">
        <f>IFERROR(__xludf.DUMMYFUNCTION("""COMPUTED_VALUE"""),"Shadow of the Colossus")</f>
        <v>Shadow of the Colossus</v>
      </c>
      <c r="B672" s="15" t="str">
        <f>IFERROR(__xludf.DUMMYFUNCTION("""COMPUTED_VALUE"""),"PS3")</f>
        <v>PS3</v>
      </c>
      <c r="C672" s="16" t="str">
        <f>IFERROR(__xludf.DUMMYFUNCTION("""COMPUTED_VALUE"""),"Playstation Plus (Discontinued)")</f>
        <v>Playstation Plus (Discontinued)</v>
      </c>
      <c r="D672" s="15" t="str">
        <f>IFERROR(__xludf.DUMMYFUNCTION("""COMPUTED_VALUE"""),"Removed")</f>
        <v>Removed</v>
      </c>
      <c r="E672" s="17">
        <f>IFERROR(__xludf.DUMMYFUNCTION("""COMPUTED_VALUE"""),41548.0)</f>
        <v>41548</v>
      </c>
      <c r="F672" s="54">
        <f>IFERROR(__xludf.DUMMYFUNCTION("""COMPUTED_VALUE"""),41582.0)</f>
        <v>41582</v>
      </c>
      <c r="G672" s="19">
        <f>IFERROR(__xludf.DUMMYFUNCTION("""COMPUTED_VALUE"""),1.0999999999999999)</f>
        <v>1.1</v>
      </c>
      <c r="H672" s="17">
        <f>IFERROR(__xludf.DUMMYFUNCTION("""COMPUTED_VALUE"""),38643.0)</f>
        <v>38643</v>
      </c>
      <c r="I672" s="19">
        <f>IFERROR(__xludf.DUMMYFUNCTION("""COMPUTED_VALUE"""),7.9527777777777775)</f>
        <v>7.952777778</v>
      </c>
      <c r="J672" s="21">
        <f>IFERROR(__xludf.DUMMYFUNCTION("""COMPUTED_VALUE"""),91.0)</f>
        <v>91</v>
      </c>
      <c r="K672" s="23">
        <f>IFERROR(__xludf.DUMMYFUNCTION("""COMPUTED_VALUE"""),8.8)</f>
        <v>8.8</v>
      </c>
      <c r="L672" s="24">
        <f>IFERROR(__xludf.DUMMYFUNCTION("""COMPUTED_VALUE"""),8.0)</f>
        <v>8</v>
      </c>
      <c r="M672" s="25" t="str">
        <f>IFERROR(__xludf.DUMMYFUNCTION("""COMPUTED_VALUE"""),"Action-Adventure")</f>
        <v>Action-Adventure</v>
      </c>
      <c r="N672" s="25"/>
      <c r="O672" s="26" t="str">
        <f>IFERROR(__xludf.DUMMYFUNCTION("""COMPUTED_VALUE"""),"No")</f>
        <v>No</v>
      </c>
      <c r="P672" s="26"/>
    </row>
    <row r="673">
      <c r="A673" s="13" t="str">
        <f>IFERROR(__xludf.DUMMYFUNCTION("""COMPUTED_VALUE"""),"Kingdoms of Amalur: Reckoning")</f>
        <v>Kingdoms of Amalur: Reckoning</v>
      </c>
      <c r="B673" s="15" t="str">
        <f>IFERROR(__xludf.DUMMYFUNCTION("""COMPUTED_VALUE"""),"PS3")</f>
        <v>PS3</v>
      </c>
      <c r="C673" s="16" t="str">
        <f>IFERROR(__xludf.DUMMYFUNCTION("""COMPUTED_VALUE"""),"Playstation Plus (Discontinued)")</f>
        <v>Playstation Plus (Discontinued)</v>
      </c>
      <c r="D673" s="15" t="str">
        <f>IFERROR(__xludf.DUMMYFUNCTION("""COMPUTED_VALUE"""),"Removed")</f>
        <v>Removed</v>
      </c>
      <c r="E673" s="17">
        <f>IFERROR(__xludf.DUMMYFUNCTION("""COMPUTED_VALUE"""),41548.0)</f>
        <v>41548</v>
      </c>
      <c r="F673" s="54">
        <f>IFERROR(__xludf.DUMMYFUNCTION("""COMPUTED_VALUE"""),41582.0)</f>
        <v>41582</v>
      </c>
      <c r="G673" s="19">
        <f>IFERROR(__xludf.DUMMYFUNCTION("""COMPUTED_VALUE"""),1.0999999999999999)</f>
        <v>1.1</v>
      </c>
      <c r="H673" s="17">
        <f>IFERROR(__xludf.DUMMYFUNCTION("""COMPUTED_VALUE"""),40946.0)</f>
        <v>40946</v>
      </c>
      <c r="I673" s="19">
        <f>IFERROR(__xludf.DUMMYFUNCTION("""COMPUTED_VALUE"""),1.65)</f>
        <v>1.65</v>
      </c>
      <c r="J673" s="21">
        <f>IFERROR(__xludf.DUMMYFUNCTION("""COMPUTED_VALUE"""),81.0)</f>
        <v>81</v>
      </c>
      <c r="K673" s="23">
        <f>IFERROR(__xludf.DUMMYFUNCTION("""COMPUTED_VALUE"""),8.2)</f>
        <v>8.2</v>
      </c>
      <c r="L673" s="24">
        <f>IFERROR(__xludf.DUMMYFUNCTION("""COMPUTED_VALUE"""),31.0)</f>
        <v>31</v>
      </c>
      <c r="M673" s="25" t="str">
        <f>IFERROR(__xludf.DUMMYFUNCTION("""COMPUTED_VALUE"""),"RPG")</f>
        <v>RPG</v>
      </c>
      <c r="N673" s="25"/>
      <c r="O673" s="26" t="str">
        <f>IFERROR(__xludf.DUMMYFUNCTION("""COMPUTED_VALUE"""),"No")</f>
        <v>No</v>
      </c>
      <c r="P673" s="26"/>
    </row>
    <row r="674">
      <c r="A674" s="13" t="str">
        <f>IFERROR(__xludf.DUMMYFUNCTION("""COMPUTED_VALUE"""),"Rayman Origins")</f>
        <v>Rayman Origins</v>
      </c>
      <c r="B674" s="15" t="str">
        <f>IFERROR(__xludf.DUMMYFUNCTION("""COMPUTED_VALUE"""),"Vita")</f>
        <v>Vita</v>
      </c>
      <c r="C674" s="16" t="str">
        <f>IFERROR(__xludf.DUMMYFUNCTION("""COMPUTED_VALUE"""),"Playstation Plus (Discontinued)")</f>
        <v>Playstation Plus (Discontinued)</v>
      </c>
      <c r="D674" s="15" t="str">
        <f>IFERROR(__xludf.DUMMYFUNCTION("""COMPUTED_VALUE"""),"Removed")</f>
        <v>Removed</v>
      </c>
      <c r="E674" s="17">
        <f>IFERROR(__xludf.DUMMYFUNCTION("""COMPUTED_VALUE"""),41520.0)</f>
        <v>41520</v>
      </c>
      <c r="F674" s="54">
        <f>IFERROR(__xludf.DUMMYFUNCTION("""COMPUTED_VALUE"""),41547.0)</f>
        <v>41547</v>
      </c>
      <c r="G674" s="19">
        <f>IFERROR(__xludf.DUMMYFUNCTION("""COMPUTED_VALUE"""),0.8999999999999999)</f>
        <v>0.9</v>
      </c>
      <c r="H674" s="17">
        <f>IFERROR(__xludf.DUMMYFUNCTION("""COMPUTED_VALUE"""),40862.0)</f>
        <v>40862</v>
      </c>
      <c r="I674" s="19">
        <f>IFERROR(__xludf.DUMMYFUNCTION("""COMPUTED_VALUE"""),1.8)</f>
        <v>1.8</v>
      </c>
      <c r="J674" s="21">
        <f>IFERROR(__xludf.DUMMYFUNCTION("""COMPUTED_VALUE"""),87.0)</f>
        <v>87</v>
      </c>
      <c r="K674" s="23">
        <f>IFERROR(__xludf.DUMMYFUNCTION("""COMPUTED_VALUE"""),8.6)</f>
        <v>8.6</v>
      </c>
      <c r="L674" s="24">
        <f>IFERROR(__xludf.DUMMYFUNCTION("""COMPUTED_VALUE"""),9.0)</f>
        <v>9</v>
      </c>
      <c r="M674" s="25" t="str">
        <f>IFERROR(__xludf.DUMMYFUNCTION("""COMPUTED_VALUE"""),"Platformer")</f>
        <v>Platformer</v>
      </c>
      <c r="N674" s="25"/>
      <c r="O674" s="26" t="str">
        <f>IFERROR(__xludf.DUMMYFUNCTION("""COMPUTED_VALUE"""),"No")</f>
        <v>No</v>
      </c>
      <c r="P674" s="26"/>
    </row>
    <row r="675">
      <c r="A675" s="13" t="str">
        <f>IFERROR(__xludf.DUMMYFUNCTION("""COMPUTED_VALUE"""),"Grand Theft Auto: Liberty City Stories")</f>
        <v>Grand Theft Auto: Liberty City Stories</v>
      </c>
      <c r="B675" s="15" t="str">
        <f>IFERROR(__xludf.DUMMYFUNCTION("""COMPUTED_VALUE"""),"PSP")</f>
        <v>PSP</v>
      </c>
      <c r="C675" s="16" t="str">
        <f>IFERROR(__xludf.DUMMYFUNCTION("""COMPUTED_VALUE"""),"Playstation Plus (Discontinued)")</f>
        <v>Playstation Plus (Discontinued)</v>
      </c>
      <c r="D675" s="15" t="str">
        <f>IFERROR(__xludf.DUMMYFUNCTION("""COMPUTED_VALUE"""),"Removed")</f>
        <v>Removed</v>
      </c>
      <c r="E675" s="17">
        <f>IFERROR(__xludf.DUMMYFUNCTION("""COMPUTED_VALUE"""),41520.0)</f>
        <v>41520</v>
      </c>
      <c r="F675" s="54">
        <f>IFERROR(__xludf.DUMMYFUNCTION("""COMPUTED_VALUE"""),41547.0)</f>
        <v>41547</v>
      </c>
      <c r="G675" s="19">
        <f>IFERROR(__xludf.DUMMYFUNCTION("""COMPUTED_VALUE"""),0.8999999999999999)</f>
        <v>0.9</v>
      </c>
      <c r="H675" s="17">
        <f>IFERROR(__xludf.DUMMYFUNCTION("""COMPUTED_VALUE"""),38650.0)</f>
        <v>38650</v>
      </c>
      <c r="I675" s="19">
        <f>IFERROR(__xludf.DUMMYFUNCTION("""COMPUTED_VALUE"""),7.855555555555555)</f>
        <v>7.855555556</v>
      </c>
      <c r="J675" s="21">
        <f>IFERROR(__xludf.DUMMYFUNCTION("""COMPUTED_VALUE"""),88.0)</f>
        <v>88</v>
      </c>
      <c r="K675" s="23">
        <f>IFERROR(__xludf.DUMMYFUNCTION("""COMPUTED_VALUE"""),8.7)</f>
        <v>8.7</v>
      </c>
      <c r="L675" s="24">
        <f>IFERROR(__xludf.DUMMYFUNCTION("""COMPUTED_VALUE"""),22.0)</f>
        <v>22</v>
      </c>
      <c r="M675" s="25" t="str">
        <f>IFERROR(__xludf.DUMMYFUNCTION("""COMPUTED_VALUE"""),"Action-Adventure")</f>
        <v>Action-Adventure</v>
      </c>
      <c r="N675" s="25"/>
      <c r="O675" s="26" t="str">
        <f>IFERROR(__xludf.DUMMYFUNCTION("""COMPUTED_VALUE"""),"No")</f>
        <v>No</v>
      </c>
      <c r="P675" s="26"/>
    </row>
    <row r="676">
      <c r="A676" s="13" t="str">
        <f>IFERROR(__xludf.DUMMYFUNCTION("""COMPUTED_VALUE"""),"Galaga Legions DX")</f>
        <v>Galaga Legions DX</v>
      </c>
      <c r="B676" s="15" t="str">
        <f>IFERROR(__xludf.DUMMYFUNCTION("""COMPUTED_VALUE"""),"PS3")</f>
        <v>PS3</v>
      </c>
      <c r="C676" s="16" t="str">
        <f>IFERROR(__xludf.DUMMYFUNCTION("""COMPUTED_VALUE"""),"Playstation Plus (Discontinued)")</f>
        <v>Playstation Plus (Discontinued)</v>
      </c>
      <c r="D676" s="15" t="str">
        <f>IFERROR(__xludf.DUMMYFUNCTION("""COMPUTED_VALUE"""),"Removed")</f>
        <v>Removed</v>
      </c>
      <c r="E676" s="17">
        <f>IFERROR(__xludf.DUMMYFUNCTION("""COMPUTED_VALUE"""),41520.0)</f>
        <v>41520</v>
      </c>
      <c r="F676" s="54">
        <f>IFERROR(__xludf.DUMMYFUNCTION("""COMPUTED_VALUE"""),41547.0)</f>
        <v>41547</v>
      </c>
      <c r="G676" s="19">
        <f>IFERROR(__xludf.DUMMYFUNCTION("""COMPUTED_VALUE"""),0.8999999999999999)</f>
        <v>0.9</v>
      </c>
      <c r="H676" s="17">
        <f>IFERROR(__xludf.DUMMYFUNCTION("""COMPUTED_VALUE"""),40729.0)</f>
        <v>40729</v>
      </c>
      <c r="I676" s="19">
        <f>IFERROR(__xludf.DUMMYFUNCTION("""COMPUTED_VALUE"""),2.161111111111111)</f>
        <v>2.161111111</v>
      </c>
      <c r="J676" s="21">
        <f>IFERROR(__xludf.DUMMYFUNCTION("""COMPUTED_VALUE"""),75.0)</f>
        <v>75</v>
      </c>
      <c r="K676" s="23">
        <f>IFERROR(__xludf.DUMMYFUNCTION("""COMPUTED_VALUE"""),7.8)</f>
        <v>7.8</v>
      </c>
      <c r="L676" s="24"/>
      <c r="M676" s="25" t="str">
        <f>IFERROR(__xludf.DUMMYFUNCTION("""COMPUTED_VALUE"""),"Shooter")</f>
        <v>Shooter</v>
      </c>
      <c r="N676" s="25"/>
      <c r="O676" s="26" t="str">
        <f>IFERROR(__xludf.DUMMYFUNCTION("""COMPUTED_VALUE"""),"No")</f>
        <v>No</v>
      </c>
      <c r="P676" s="26"/>
    </row>
    <row r="677">
      <c r="A677" s="13" t="str">
        <f>IFERROR(__xludf.DUMMYFUNCTION("""COMPUTED_VALUE"""),"Resident Evil Chronicles HD Collection")</f>
        <v>Resident Evil Chronicles HD Collection</v>
      </c>
      <c r="B677" s="15" t="str">
        <f>IFERROR(__xludf.DUMMYFUNCTION("""COMPUTED_VALUE"""),"PS3")</f>
        <v>PS3</v>
      </c>
      <c r="C677" s="16" t="str">
        <f>IFERROR(__xludf.DUMMYFUNCTION("""COMPUTED_VALUE"""),"Playstation Plus (Discontinued)")</f>
        <v>Playstation Plus (Discontinued)</v>
      </c>
      <c r="D677" s="15" t="str">
        <f>IFERROR(__xludf.DUMMYFUNCTION("""COMPUTED_VALUE"""),"Removed")</f>
        <v>Removed</v>
      </c>
      <c r="E677" s="17">
        <f>IFERROR(__xludf.DUMMYFUNCTION("""COMPUTED_VALUE"""),41520.0)</f>
        <v>41520</v>
      </c>
      <c r="F677" s="54">
        <f>IFERROR(__xludf.DUMMYFUNCTION("""COMPUTED_VALUE"""),41547.0)</f>
        <v>41547</v>
      </c>
      <c r="G677" s="19">
        <f>IFERROR(__xludf.DUMMYFUNCTION("""COMPUTED_VALUE"""),0.8999999999999999)</f>
        <v>0.9</v>
      </c>
      <c r="H677" s="17">
        <f>IFERROR(__xludf.DUMMYFUNCTION("""COMPUTED_VALUE"""),41086.0)</f>
        <v>41086</v>
      </c>
      <c r="I677" s="19">
        <f>IFERROR(__xludf.DUMMYFUNCTION("""COMPUTED_VALUE"""),1.1861111111111111)</f>
        <v>1.186111111</v>
      </c>
      <c r="J677" s="21">
        <f>IFERROR(__xludf.DUMMYFUNCTION("""COMPUTED_VALUE"""),65.0)</f>
        <v>65</v>
      </c>
      <c r="K677" s="23">
        <f>IFERROR(__xludf.DUMMYFUNCTION("""COMPUTED_VALUE"""),7.5)</f>
        <v>7.5</v>
      </c>
      <c r="L677" s="24">
        <f>IFERROR(__xludf.DUMMYFUNCTION("""COMPUTED_VALUE"""),13.0)</f>
        <v>13</v>
      </c>
      <c r="M677" s="25" t="str">
        <f>IFERROR(__xludf.DUMMYFUNCTION("""COMPUTED_VALUE"""),"Shooter")</f>
        <v>Shooter</v>
      </c>
      <c r="N677" s="25"/>
      <c r="O677" s="26" t="str">
        <f>IFERROR(__xludf.DUMMYFUNCTION("""COMPUTED_VALUE"""),"No")</f>
        <v>No</v>
      </c>
      <c r="P677" s="26"/>
    </row>
    <row r="678">
      <c r="A678" s="13" t="str">
        <f>IFERROR(__xludf.DUMMYFUNCTION("""COMPUTED_VALUE"""),"ICO HD")</f>
        <v>ICO HD</v>
      </c>
      <c r="B678" s="15" t="str">
        <f>IFERROR(__xludf.DUMMYFUNCTION("""COMPUTED_VALUE"""),"PS3")</f>
        <v>PS3</v>
      </c>
      <c r="C678" s="16" t="str">
        <f>IFERROR(__xludf.DUMMYFUNCTION("""COMPUTED_VALUE"""),"Playstation Plus (Discontinued)")</f>
        <v>Playstation Plus (Discontinued)</v>
      </c>
      <c r="D678" s="15" t="str">
        <f>IFERROR(__xludf.DUMMYFUNCTION("""COMPUTED_VALUE"""),"Removed")</f>
        <v>Removed</v>
      </c>
      <c r="E678" s="17">
        <f>IFERROR(__xludf.DUMMYFUNCTION("""COMPUTED_VALUE"""),41520.0)</f>
        <v>41520</v>
      </c>
      <c r="F678" s="54">
        <f>IFERROR(__xludf.DUMMYFUNCTION("""COMPUTED_VALUE"""),41547.0)</f>
        <v>41547</v>
      </c>
      <c r="G678" s="19">
        <f>IFERROR(__xludf.DUMMYFUNCTION("""COMPUTED_VALUE"""),0.8999999999999999)</f>
        <v>0.9</v>
      </c>
      <c r="H678" s="17">
        <f>IFERROR(__xludf.DUMMYFUNCTION("""COMPUTED_VALUE"""),40813.0)</f>
        <v>40813</v>
      </c>
      <c r="I678" s="19">
        <f>IFERROR(__xludf.DUMMYFUNCTION("""COMPUTED_VALUE"""),1.9333333333333333)</f>
        <v>1.933333333</v>
      </c>
      <c r="J678" s="21">
        <f>IFERROR(__xludf.DUMMYFUNCTION("""COMPUTED_VALUE"""),90.0)</f>
        <v>90</v>
      </c>
      <c r="K678" s="23">
        <f>IFERROR(__xludf.DUMMYFUNCTION("""COMPUTED_VALUE"""),8.8)</f>
        <v>8.8</v>
      </c>
      <c r="L678" s="24">
        <f>IFERROR(__xludf.DUMMYFUNCTION("""COMPUTED_VALUE"""),7.0)</f>
        <v>7</v>
      </c>
      <c r="M678" s="25" t="str">
        <f>IFERROR(__xludf.DUMMYFUNCTION("""COMPUTED_VALUE"""),"Action-Adventure")</f>
        <v>Action-Adventure</v>
      </c>
      <c r="N678" s="25"/>
      <c r="O678" s="26" t="str">
        <f>IFERROR(__xludf.DUMMYFUNCTION("""COMPUTED_VALUE"""),"No")</f>
        <v>No</v>
      </c>
      <c r="P678" s="26"/>
    </row>
    <row r="679">
      <c r="A679" s="13" t="str">
        <f>IFERROR(__xludf.DUMMYFUNCTION("""COMPUTED_VALUE"""),"Machinarium")</f>
        <v>Machinarium</v>
      </c>
      <c r="B679" s="15" t="str">
        <f>IFERROR(__xludf.DUMMYFUNCTION("""COMPUTED_VALUE"""),"Vita")</f>
        <v>Vita</v>
      </c>
      <c r="C679" s="16" t="str">
        <f>IFERROR(__xludf.DUMMYFUNCTION("""COMPUTED_VALUE"""),"Playstation Plus (Discontinued)")</f>
        <v>Playstation Plus (Discontinued)</v>
      </c>
      <c r="D679" s="15" t="str">
        <f>IFERROR(__xludf.DUMMYFUNCTION("""COMPUTED_VALUE"""),"Removed")</f>
        <v>Removed</v>
      </c>
      <c r="E679" s="17">
        <f>IFERROR(__xludf.DUMMYFUNCTION("""COMPUTED_VALUE"""),41492.0)</f>
        <v>41492</v>
      </c>
      <c r="F679" s="54">
        <f>IFERROR(__xludf.DUMMYFUNCTION("""COMPUTED_VALUE"""),41519.0)</f>
        <v>41519</v>
      </c>
      <c r="G679" s="19">
        <f>IFERROR(__xludf.DUMMYFUNCTION("""COMPUTED_VALUE"""),0.8666666666666666)</f>
        <v>0.8666666667</v>
      </c>
      <c r="H679" s="17">
        <f>IFERROR(__xludf.DUMMYFUNCTION("""COMPUTED_VALUE"""),40102.0)</f>
        <v>40102</v>
      </c>
      <c r="I679" s="19">
        <f>IFERROR(__xludf.DUMMYFUNCTION("""COMPUTED_VALUE"""),3.8055555555555554)</f>
        <v>3.805555556</v>
      </c>
      <c r="J679" s="21">
        <f>IFERROR(__xludf.DUMMYFUNCTION("""COMPUTED_VALUE"""),85.0)</f>
        <v>85</v>
      </c>
      <c r="K679" s="23">
        <f>IFERROR(__xludf.DUMMYFUNCTION("""COMPUTED_VALUE"""),8.4)</f>
        <v>8.4</v>
      </c>
      <c r="L679" s="24">
        <f>IFERROR(__xludf.DUMMYFUNCTION("""COMPUTED_VALUE"""),6.0)</f>
        <v>6</v>
      </c>
      <c r="M679" s="25" t="str">
        <f>IFERROR(__xludf.DUMMYFUNCTION("""COMPUTED_VALUE"""),"Adventure")</f>
        <v>Adventure</v>
      </c>
      <c r="N679" s="25"/>
      <c r="O679" s="26" t="str">
        <f>IFERROR(__xludf.DUMMYFUNCTION("""COMPUTED_VALUE"""),"No")</f>
        <v>No</v>
      </c>
      <c r="P679" s="26"/>
    </row>
    <row r="680">
      <c r="A680" s="13" t="str">
        <f>IFERROR(__xludf.DUMMYFUNCTION("""COMPUTED_VALUE"""),"Darkstalkers Chronicle: The Chaos Tower")</f>
        <v>Darkstalkers Chronicle: The Chaos Tower</v>
      </c>
      <c r="B680" s="15" t="str">
        <f>IFERROR(__xludf.DUMMYFUNCTION("""COMPUTED_VALUE"""),"PSP")</f>
        <v>PSP</v>
      </c>
      <c r="C680" s="16" t="str">
        <f>IFERROR(__xludf.DUMMYFUNCTION("""COMPUTED_VALUE"""),"Playstation Plus (Discontinued)")</f>
        <v>Playstation Plus (Discontinued)</v>
      </c>
      <c r="D680" s="15" t="str">
        <f>IFERROR(__xludf.DUMMYFUNCTION("""COMPUTED_VALUE"""),"Removed")</f>
        <v>Removed</v>
      </c>
      <c r="E680" s="17">
        <f>IFERROR(__xludf.DUMMYFUNCTION("""COMPUTED_VALUE"""),41492.0)</f>
        <v>41492</v>
      </c>
      <c r="F680" s="54">
        <f>IFERROR(__xludf.DUMMYFUNCTION("""COMPUTED_VALUE"""),41519.0)</f>
        <v>41519</v>
      </c>
      <c r="G680" s="19">
        <f>IFERROR(__xludf.DUMMYFUNCTION("""COMPUTED_VALUE"""),0.8666666666666666)</f>
        <v>0.8666666667</v>
      </c>
      <c r="H680" s="17">
        <f>IFERROR(__xludf.DUMMYFUNCTION("""COMPUTED_VALUE"""),38407.0)</f>
        <v>38407</v>
      </c>
      <c r="I680" s="19">
        <f>IFERROR(__xludf.DUMMYFUNCTION("""COMPUTED_VALUE"""),8.45)</f>
        <v>8.45</v>
      </c>
      <c r="J680" s="21">
        <f>IFERROR(__xludf.DUMMYFUNCTION("""COMPUTED_VALUE"""),76.0)</f>
        <v>76</v>
      </c>
      <c r="K680" s="23">
        <f>IFERROR(__xludf.DUMMYFUNCTION("""COMPUTED_VALUE"""),8.0)</f>
        <v>8</v>
      </c>
      <c r="L680" s="24"/>
      <c r="M680" s="25" t="str">
        <f>IFERROR(__xludf.DUMMYFUNCTION("""COMPUTED_VALUE"""),"Fighting")</f>
        <v>Fighting</v>
      </c>
      <c r="N680" s="25"/>
      <c r="O680" s="26" t="str">
        <f>IFERROR(__xludf.DUMMYFUNCTION("""COMPUTED_VALUE"""),"No")</f>
        <v>No</v>
      </c>
      <c r="P680" s="26"/>
    </row>
    <row r="681">
      <c r="A681" s="13" t="str">
        <f>IFERROR(__xludf.DUMMYFUNCTION("""COMPUTED_VALUE"""),"Zen Pinball 2: Star Wars Pinball")</f>
        <v>Zen Pinball 2: Star Wars Pinball</v>
      </c>
      <c r="B681" s="15" t="str">
        <f>IFERROR(__xludf.DUMMYFUNCTION("""COMPUTED_VALUE"""),"PS3/Vita")</f>
        <v>PS3/Vita</v>
      </c>
      <c r="C681" s="16" t="str">
        <f>IFERROR(__xludf.DUMMYFUNCTION("""COMPUTED_VALUE"""),"Playstation Plus (Discontinued)")</f>
        <v>Playstation Plus (Discontinued)</v>
      </c>
      <c r="D681" s="15" t="str">
        <f>IFERROR(__xludf.DUMMYFUNCTION("""COMPUTED_VALUE"""),"Removed")</f>
        <v>Removed</v>
      </c>
      <c r="E681" s="17">
        <f>IFERROR(__xludf.DUMMYFUNCTION("""COMPUTED_VALUE"""),41492.0)</f>
        <v>41492</v>
      </c>
      <c r="F681" s="54">
        <f>IFERROR(__xludf.DUMMYFUNCTION("""COMPUTED_VALUE"""),41519.0)</f>
        <v>41519</v>
      </c>
      <c r="G681" s="19">
        <f>IFERROR(__xludf.DUMMYFUNCTION("""COMPUTED_VALUE"""),0.8666666666666666)</f>
        <v>0.8666666667</v>
      </c>
      <c r="H681" s="17">
        <f>IFERROR(__xludf.DUMMYFUNCTION("""COMPUTED_VALUE"""),41331.0)</f>
        <v>41331</v>
      </c>
      <c r="I681" s="19">
        <f>IFERROR(__xludf.DUMMYFUNCTION("""COMPUTED_VALUE"""),0.4444444444444444)</f>
        <v>0.4444444444</v>
      </c>
      <c r="J681" s="21">
        <f>IFERROR(__xludf.DUMMYFUNCTION("""COMPUTED_VALUE"""),73.0)</f>
        <v>73</v>
      </c>
      <c r="K681" s="23">
        <f>IFERROR(__xludf.DUMMYFUNCTION("""COMPUTED_VALUE"""),7.7)</f>
        <v>7.7</v>
      </c>
      <c r="L681" s="24"/>
      <c r="M681" s="25" t="str">
        <f>IFERROR(__xludf.DUMMYFUNCTION("""COMPUTED_VALUE"""),"Pinball")</f>
        <v>Pinball</v>
      </c>
      <c r="N681" s="25"/>
      <c r="O681" s="26" t="str">
        <f>IFERROR(__xludf.DUMMYFUNCTION("""COMPUTED_VALUE"""),"No")</f>
        <v>No</v>
      </c>
      <c r="P681" s="26"/>
    </row>
    <row r="682">
      <c r="A682" s="13" t="str">
        <f>IFERROR(__xludf.DUMMYFUNCTION("""COMPUTED_VALUE"""),"Bit.Trip Presents...Runner2: Future Legend of Rhythm Alien")</f>
        <v>Bit.Trip Presents...Runner2: Future Legend of Rhythm Alien</v>
      </c>
      <c r="B682" s="15" t="str">
        <f>IFERROR(__xludf.DUMMYFUNCTION("""COMPUTED_VALUE"""),"PS3")</f>
        <v>PS3</v>
      </c>
      <c r="C682" s="16" t="str">
        <f>IFERROR(__xludf.DUMMYFUNCTION("""COMPUTED_VALUE"""),"Playstation Plus (Discontinued)")</f>
        <v>Playstation Plus (Discontinued)</v>
      </c>
      <c r="D682" s="15" t="str">
        <f>IFERROR(__xludf.DUMMYFUNCTION("""COMPUTED_VALUE"""),"Removed")</f>
        <v>Removed</v>
      </c>
      <c r="E682" s="17">
        <f>IFERROR(__xludf.DUMMYFUNCTION("""COMPUTED_VALUE"""),41492.0)</f>
        <v>41492</v>
      </c>
      <c r="F682" s="54">
        <f>IFERROR(__xludf.DUMMYFUNCTION("""COMPUTED_VALUE"""),41519.0)</f>
        <v>41519</v>
      </c>
      <c r="G682" s="19">
        <f>IFERROR(__xludf.DUMMYFUNCTION("""COMPUTED_VALUE"""),0.8666666666666666)</f>
        <v>0.8666666667</v>
      </c>
      <c r="H682" s="17">
        <f>IFERROR(__xludf.DUMMYFUNCTION("""COMPUTED_VALUE"""),41331.0)</f>
        <v>41331</v>
      </c>
      <c r="I682" s="19">
        <f>IFERROR(__xludf.DUMMYFUNCTION("""COMPUTED_VALUE"""),0.4444444444444444)</f>
        <v>0.4444444444</v>
      </c>
      <c r="J682" s="21">
        <f>IFERROR(__xludf.DUMMYFUNCTION("""COMPUTED_VALUE"""),85.0)</f>
        <v>85</v>
      </c>
      <c r="K682" s="23">
        <f>IFERROR(__xludf.DUMMYFUNCTION("""COMPUTED_VALUE"""),8.0)</f>
        <v>8</v>
      </c>
      <c r="L682" s="24">
        <f>IFERROR(__xludf.DUMMYFUNCTION("""COMPUTED_VALUE"""),6.0)</f>
        <v>6</v>
      </c>
      <c r="M682" s="25" t="str">
        <f>IFERROR(__xludf.DUMMYFUNCTION("""COMPUTED_VALUE"""),"Platformer")</f>
        <v>Platformer</v>
      </c>
      <c r="N682" s="25"/>
      <c r="O682" s="26" t="str">
        <f>IFERROR(__xludf.DUMMYFUNCTION("""COMPUTED_VALUE"""),"No")</f>
        <v>No</v>
      </c>
      <c r="P682" s="26"/>
    </row>
    <row r="683">
      <c r="A683" s="13" t="str">
        <f>IFERROR(__xludf.DUMMYFUNCTION("""COMPUTED_VALUE"""),"Hitman: Absolution")</f>
        <v>Hitman: Absolution</v>
      </c>
      <c r="B683" s="15" t="str">
        <f>IFERROR(__xludf.DUMMYFUNCTION("""COMPUTED_VALUE"""),"PS3")</f>
        <v>PS3</v>
      </c>
      <c r="C683" s="16" t="str">
        <f>IFERROR(__xludf.DUMMYFUNCTION("""COMPUTED_VALUE"""),"Playstation Plus (Discontinued)")</f>
        <v>Playstation Plus (Discontinued)</v>
      </c>
      <c r="D683" s="15" t="str">
        <f>IFERROR(__xludf.DUMMYFUNCTION("""COMPUTED_VALUE"""),"Removed")</f>
        <v>Removed</v>
      </c>
      <c r="E683" s="17">
        <f>IFERROR(__xludf.DUMMYFUNCTION("""COMPUTED_VALUE"""),41492.0)</f>
        <v>41492</v>
      </c>
      <c r="F683" s="54">
        <f>IFERROR(__xludf.DUMMYFUNCTION("""COMPUTED_VALUE"""),41519.0)</f>
        <v>41519</v>
      </c>
      <c r="G683" s="19">
        <f>IFERROR(__xludf.DUMMYFUNCTION("""COMPUTED_VALUE"""),0.8666666666666666)</f>
        <v>0.8666666667</v>
      </c>
      <c r="H683" s="17">
        <f>IFERROR(__xludf.DUMMYFUNCTION("""COMPUTED_VALUE"""),41233.0)</f>
        <v>41233</v>
      </c>
      <c r="I683" s="19">
        <f>IFERROR(__xludf.DUMMYFUNCTION("""COMPUTED_VALUE"""),0.7111111111111111)</f>
        <v>0.7111111111</v>
      </c>
      <c r="J683" s="21">
        <f>IFERROR(__xludf.DUMMYFUNCTION("""COMPUTED_VALUE"""),79.0)</f>
        <v>79</v>
      </c>
      <c r="K683" s="23">
        <f>IFERROR(__xludf.DUMMYFUNCTION("""COMPUTED_VALUE"""),7.6)</f>
        <v>7.6</v>
      </c>
      <c r="L683" s="24">
        <f>IFERROR(__xludf.DUMMYFUNCTION("""COMPUTED_VALUE"""),11.0)</f>
        <v>11</v>
      </c>
      <c r="M683" s="25" t="str">
        <f>IFERROR(__xludf.DUMMYFUNCTION("""COMPUTED_VALUE"""),"Action-Adventure")</f>
        <v>Action-Adventure</v>
      </c>
      <c r="N683" s="25"/>
      <c r="O683" s="26" t="str">
        <f>IFERROR(__xludf.DUMMYFUNCTION("""COMPUTED_VALUE"""),"No")</f>
        <v>No</v>
      </c>
      <c r="P683" s="26"/>
    </row>
    <row r="684">
      <c r="A684" s="13" t="str">
        <f>IFERROR(__xludf.DUMMYFUNCTION("""COMPUTED_VALUE"""),"Oddworld: Munch's Oddysey HD")</f>
        <v>Oddworld: Munch's Oddysey HD</v>
      </c>
      <c r="B684" s="15" t="str">
        <f>IFERROR(__xludf.DUMMYFUNCTION("""COMPUTED_VALUE"""),"PS3")</f>
        <v>PS3</v>
      </c>
      <c r="C684" s="16" t="str">
        <f>IFERROR(__xludf.DUMMYFUNCTION("""COMPUTED_VALUE"""),"Playstation Plus (Discontinued)")</f>
        <v>Playstation Plus (Discontinued)</v>
      </c>
      <c r="D684" s="15" t="str">
        <f>IFERROR(__xludf.DUMMYFUNCTION("""COMPUTED_VALUE"""),"Removed")</f>
        <v>Removed</v>
      </c>
      <c r="E684" s="17">
        <f>IFERROR(__xludf.DUMMYFUNCTION("""COMPUTED_VALUE"""),41457.0)</f>
        <v>41457</v>
      </c>
      <c r="F684" s="54">
        <f>IFERROR(__xludf.DUMMYFUNCTION("""COMPUTED_VALUE"""),41491.0)</f>
        <v>41491</v>
      </c>
      <c r="G684" s="19">
        <f>IFERROR(__xludf.DUMMYFUNCTION("""COMPUTED_VALUE"""),1.0999999999999999)</f>
        <v>1.1</v>
      </c>
      <c r="H684" s="17">
        <f>IFERROR(__xludf.DUMMYFUNCTION("""COMPUTED_VALUE"""),40896.0)</f>
        <v>40896</v>
      </c>
      <c r="I684" s="19">
        <f>IFERROR(__xludf.DUMMYFUNCTION("""COMPUTED_VALUE"""),1.5361111111111112)</f>
        <v>1.536111111</v>
      </c>
      <c r="J684" s="21">
        <f>IFERROR(__xludf.DUMMYFUNCTION("""COMPUTED_VALUE"""),66.0)</f>
        <v>66</v>
      </c>
      <c r="K684" s="23">
        <f>IFERROR(__xludf.DUMMYFUNCTION("""COMPUTED_VALUE"""),7.5)</f>
        <v>7.5</v>
      </c>
      <c r="L684" s="24">
        <f>IFERROR(__xludf.DUMMYFUNCTION("""COMPUTED_VALUE"""),11.0)</f>
        <v>11</v>
      </c>
      <c r="M684" s="25" t="str">
        <f>IFERROR(__xludf.DUMMYFUNCTION("""COMPUTED_VALUE"""),"Action-Adventure")</f>
        <v>Action-Adventure</v>
      </c>
      <c r="N684" s="25"/>
      <c r="O684" s="26" t="str">
        <f>IFERROR(__xludf.DUMMYFUNCTION("""COMPUTED_VALUE"""),"No")</f>
        <v>No</v>
      </c>
      <c r="P684" s="26"/>
    </row>
    <row r="685">
      <c r="A685" s="13" t="str">
        <f>IFERROR(__xludf.DUMMYFUNCTION("""COMPUTED_VALUE"""),"Dokuro")</f>
        <v>Dokuro</v>
      </c>
      <c r="B685" s="15" t="str">
        <f>IFERROR(__xludf.DUMMYFUNCTION("""COMPUTED_VALUE"""),"Vita")</f>
        <v>Vita</v>
      </c>
      <c r="C685" s="16" t="str">
        <f>IFERROR(__xludf.DUMMYFUNCTION("""COMPUTED_VALUE"""),"Playstation Plus (Discontinued)")</f>
        <v>Playstation Plus (Discontinued)</v>
      </c>
      <c r="D685" s="15" t="str">
        <f>IFERROR(__xludf.DUMMYFUNCTION("""COMPUTED_VALUE"""),"Removed")</f>
        <v>Removed</v>
      </c>
      <c r="E685" s="17">
        <f>IFERROR(__xludf.DUMMYFUNCTION("""COMPUTED_VALUE"""),41457.0)</f>
        <v>41457</v>
      </c>
      <c r="F685" s="54">
        <f>IFERROR(__xludf.DUMMYFUNCTION("""COMPUTED_VALUE"""),41491.0)</f>
        <v>41491</v>
      </c>
      <c r="G685" s="19">
        <f>IFERROR(__xludf.DUMMYFUNCTION("""COMPUTED_VALUE"""),1.0999999999999999)</f>
        <v>1.1</v>
      </c>
      <c r="H685" s="17">
        <f>IFERROR(__xludf.DUMMYFUNCTION("""COMPUTED_VALUE"""),41219.0)</f>
        <v>41219</v>
      </c>
      <c r="I685" s="19">
        <f>IFERROR(__xludf.DUMMYFUNCTION("""COMPUTED_VALUE"""),0.6555555555555556)</f>
        <v>0.6555555556</v>
      </c>
      <c r="J685" s="21">
        <f>IFERROR(__xludf.DUMMYFUNCTION("""COMPUTED_VALUE"""),76.0)</f>
        <v>76</v>
      </c>
      <c r="K685" s="23">
        <f>IFERROR(__xludf.DUMMYFUNCTION("""COMPUTED_VALUE"""),7.6)</f>
        <v>7.6</v>
      </c>
      <c r="L685" s="24">
        <f>IFERROR(__xludf.DUMMYFUNCTION("""COMPUTED_VALUE"""),6.0)</f>
        <v>6</v>
      </c>
      <c r="M685" s="25" t="str">
        <f>IFERROR(__xludf.DUMMYFUNCTION("""COMPUTED_VALUE"""),"Platformer")</f>
        <v>Platformer</v>
      </c>
      <c r="N685" s="25"/>
      <c r="O685" s="26" t="str">
        <f>IFERROR(__xludf.DUMMYFUNCTION("""COMPUTED_VALUE"""),"No")</f>
        <v>No</v>
      </c>
      <c r="P685" s="26"/>
    </row>
    <row r="686">
      <c r="A686" s="13" t="str">
        <f>IFERROR(__xludf.DUMMYFUNCTION("""COMPUTED_VALUE"""),"Jet Set Radio")</f>
        <v>Jet Set Radio</v>
      </c>
      <c r="B686" s="15" t="str">
        <f>IFERROR(__xludf.DUMMYFUNCTION("""COMPUTED_VALUE"""),"PS3")</f>
        <v>PS3</v>
      </c>
      <c r="C686" s="16" t="str">
        <f>IFERROR(__xludf.DUMMYFUNCTION("""COMPUTED_VALUE"""),"Playstation Plus (Discontinued)")</f>
        <v>Playstation Plus (Discontinued)</v>
      </c>
      <c r="D686" s="15" t="str">
        <f>IFERROR(__xludf.DUMMYFUNCTION("""COMPUTED_VALUE"""),"Removed")</f>
        <v>Removed</v>
      </c>
      <c r="E686" s="17">
        <f>IFERROR(__xludf.DUMMYFUNCTION("""COMPUTED_VALUE"""),41457.0)</f>
        <v>41457</v>
      </c>
      <c r="F686" s="54">
        <f>IFERROR(__xludf.DUMMYFUNCTION("""COMPUTED_VALUE"""),41491.0)</f>
        <v>41491</v>
      </c>
      <c r="G686" s="19">
        <f>IFERROR(__xludf.DUMMYFUNCTION("""COMPUTED_VALUE"""),1.0999999999999999)</f>
        <v>1.1</v>
      </c>
      <c r="H686" s="17">
        <f>IFERROR(__xludf.DUMMYFUNCTION("""COMPUTED_VALUE"""),41170.0)</f>
        <v>41170</v>
      </c>
      <c r="I686" s="19">
        <f>IFERROR(__xludf.DUMMYFUNCTION("""COMPUTED_VALUE"""),0.7888888888888889)</f>
        <v>0.7888888889</v>
      </c>
      <c r="J686" s="21">
        <f>IFERROR(__xludf.DUMMYFUNCTION("""COMPUTED_VALUE"""),78.0)</f>
        <v>78</v>
      </c>
      <c r="K686" s="23">
        <f>IFERROR(__xludf.DUMMYFUNCTION("""COMPUTED_VALUE"""),7.7)</f>
        <v>7.7</v>
      </c>
      <c r="L686" s="24">
        <f>IFERROR(__xludf.DUMMYFUNCTION("""COMPUTED_VALUE"""),9.0)</f>
        <v>9</v>
      </c>
      <c r="M686" s="25" t="str">
        <f>IFERROR(__xludf.DUMMYFUNCTION("""COMPUTED_VALUE"""),"Action-Adventure")</f>
        <v>Action-Adventure</v>
      </c>
      <c r="N686" s="25"/>
      <c r="O686" s="26" t="str">
        <f>IFERROR(__xludf.DUMMYFUNCTION("""COMPUTED_VALUE"""),"No")</f>
        <v>No</v>
      </c>
      <c r="P686" s="26"/>
    </row>
    <row r="687">
      <c r="A687" s="13" t="str">
        <f>IFERROR(__xludf.DUMMYFUNCTION("""COMPUTED_VALUE"""),"Metal Slug XX")</f>
        <v>Metal Slug XX</v>
      </c>
      <c r="B687" s="15" t="str">
        <f>IFERROR(__xludf.DUMMYFUNCTION("""COMPUTED_VALUE"""),"PSP")</f>
        <v>PSP</v>
      </c>
      <c r="C687" s="16" t="str">
        <f>IFERROR(__xludf.DUMMYFUNCTION("""COMPUTED_VALUE"""),"Playstation Plus (Discontinued)")</f>
        <v>Playstation Plus (Discontinued)</v>
      </c>
      <c r="D687" s="15" t="str">
        <f>IFERROR(__xludf.DUMMYFUNCTION("""COMPUTED_VALUE"""),"Removed")</f>
        <v>Removed</v>
      </c>
      <c r="E687" s="17">
        <f>IFERROR(__xludf.DUMMYFUNCTION("""COMPUTED_VALUE"""),41457.0)</f>
        <v>41457</v>
      </c>
      <c r="F687" s="54">
        <f>IFERROR(__xludf.DUMMYFUNCTION("""COMPUTED_VALUE"""),41491.0)</f>
        <v>41491</v>
      </c>
      <c r="G687" s="19">
        <f>IFERROR(__xludf.DUMMYFUNCTION("""COMPUTED_VALUE"""),1.0999999999999999)</f>
        <v>1.1</v>
      </c>
      <c r="H687" s="17">
        <f>IFERROR(__xludf.DUMMYFUNCTION("""COMPUTED_VALUE"""),40109.0)</f>
        <v>40109</v>
      </c>
      <c r="I687" s="19">
        <f>IFERROR(__xludf.DUMMYFUNCTION("""COMPUTED_VALUE"""),3.691666666666667)</f>
        <v>3.691666667</v>
      </c>
      <c r="J687" s="21">
        <f>IFERROR(__xludf.DUMMYFUNCTION("""COMPUTED_VALUE"""),79.0)</f>
        <v>79</v>
      </c>
      <c r="K687" s="23">
        <f>IFERROR(__xludf.DUMMYFUNCTION("""COMPUTED_VALUE"""),7.9)</f>
        <v>7.9</v>
      </c>
      <c r="L687" s="24">
        <f>IFERROR(__xludf.DUMMYFUNCTION("""COMPUTED_VALUE"""),3.0)</f>
        <v>3</v>
      </c>
      <c r="M687" s="25" t="str">
        <f>IFERROR(__xludf.DUMMYFUNCTION("""COMPUTED_VALUE"""),"Shooter")</f>
        <v>Shooter</v>
      </c>
      <c r="N687" s="25"/>
      <c r="O687" s="26" t="str">
        <f>IFERROR(__xludf.DUMMYFUNCTION("""COMPUTED_VALUE"""),"No")</f>
        <v>No</v>
      </c>
      <c r="P687" s="26"/>
    </row>
    <row r="688">
      <c r="A688" s="13" t="str">
        <f>IFERROR(__xludf.DUMMYFUNCTION("""COMPUTED_VALUE"""),"Battlefield 3")</f>
        <v>Battlefield 3</v>
      </c>
      <c r="B688" s="15" t="str">
        <f>IFERROR(__xludf.DUMMYFUNCTION("""COMPUTED_VALUE"""),"PS3")</f>
        <v>PS3</v>
      </c>
      <c r="C688" s="16" t="str">
        <f>IFERROR(__xludf.DUMMYFUNCTION("""COMPUTED_VALUE"""),"Playstation Plus (Discontinued)")</f>
        <v>Playstation Plus (Discontinued)</v>
      </c>
      <c r="D688" s="15" t="str">
        <f>IFERROR(__xludf.DUMMYFUNCTION("""COMPUTED_VALUE"""),"Removed")</f>
        <v>Removed</v>
      </c>
      <c r="E688" s="17">
        <f>IFERROR(__xludf.DUMMYFUNCTION("""COMPUTED_VALUE"""),41457.0)</f>
        <v>41457</v>
      </c>
      <c r="F688" s="54">
        <f>IFERROR(__xludf.DUMMYFUNCTION("""COMPUTED_VALUE"""),41491.0)</f>
        <v>41491</v>
      </c>
      <c r="G688" s="19">
        <f>IFERROR(__xludf.DUMMYFUNCTION("""COMPUTED_VALUE"""),1.0999999999999999)</f>
        <v>1.1</v>
      </c>
      <c r="H688" s="17">
        <f>IFERROR(__xludf.DUMMYFUNCTION("""COMPUTED_VALUE"""),40841.0)</f>
        <v>40841</v>
      </c>
      <c r="I688" s="19">
        <f>IFERROR(__xludf.DUMMYFUNCTION("""COMPUTED_VALUE"""),1.6861111111111111)</f>
        <v>1.686111111</v>
      </c>
      <c r="J688" s="21">
        <f>IFERROR(__xludf.DUMMYFUNCTION("""COMPUTED_VALUE"""),85.0)</f>
        <v>85</v>
      </c>
      <c r="K688" s="23">
        <f>IFERROR(__xludf.DUMMYFUNCTION("""COMPUTED_VALUE"""),7.4)</f>
        <v>7.4</v>
      </c>
      <c r="L688" s="24">
        <f>IFERROR(__xludf.DUMMYFUNCTION("""COMPUTED_VALUE"""),6.0)</f>
        <v>6</v>
      </c>
      <c r="M688" s="25" t="str">
        <f>IFERROR(__xludf.DUMMYFUNCTION("""COMPUTED_VALUE"""),"Shooter")</f>
        <v>Shooter</v>
      </c>
      <c r="N688" s="25"/>
      <c r="O688" s="26" t="str">
        <f>IFERROR(__xludf.DUMMYFUNCTION("""COMPUTED_VALUE"""),"No")</f>
        <v>No</v>
      </c>
      <c r="P688" s="26"/>
    </row>
    <row r="689">
      <c r="A689" s="13" t="str">
        <f>IFERROR(__xludf.DUMMYFUNCTION("""COMPUTED_VALUE"""),"LittleBigPlanet Karting")</f>
        <v>LittleBigPlanet Karting</v>
      </c>
      <c r="B689" s="15" t="str">
        <f>IFERROR(__xludf.DUMMYFUNCTION("""COMPUTED_VALUE"""),"PS3")</f>
        <v>PS3</v>
      </c>
      <c r="C689" s="16" t="str">
        <f>IFERROR(__xludf.DUMMYFUNCTION("""COMPUTED_VALUE"""),"Playstation Plus (Discontinued)")</f>
        <v>Playstation Plus (Discontinued)</v>
      </c>
      <c r="D689" s="15" t="str">
        <f>IFERROR(__xludf.DUMMYFUNCTION("""COMPUTED_VALUE"""),"Removed")</f>
        <v>Removed</v>
      </c>
      <c r="E689" s="17">
        <f>IFERROR(__xludf.DUMMYFUNCTION("""COMPUTED_VALUE"""),41429.0)</f>
        <v>41429</v>
      </c>
      <c r="F689" s="54">
        <f>IFERROR(__xludf.DUMMYFUNCTION("""COMPUTED_VALUE"""),41456.0)</f>
        <v>41456</v>
      </c>
      <c r="G689" s="19">
        <f>IFERROR(__xludf.DUMMYFUNCTION("""COMPUTED_VALUE"""),0.8999999999999999)</f>
        <v>0.9</v>
      </c>
      <c r="H689" s="17">
        <f>IFERROR(__xludf.DUMMYFUNCTION("""COMPUTED_VALUE"""),41219.0)</f>
        <v>41219</v>
      </c>
      <c r="I689" s="19">
        <f>IFERROR(__xludf.DUMMYFUNCTION("""COMPUTED_VALUE"""),0.5777777777777777)</f>
        <v>0.5777777778</v>
      </c>
      <c r="J689" s="21">
        <f>IFERROR(__xludf.DUMMYFUNCTION("""COMPUTED_VALUE"""),68.0)</f>
        <v>68</v>
      </c>
      <c r="K689" s="23">
        <f>IFERROR(__xludf.DUMMYFUNCTION("""COMPUTED_VALUE"""),6.8)</f>
        <v>6.8</v>
      </c>
      <c r="L689" s="24">
        <f>IFERROR(__xludf.DUMMYFUNCTION("""COMPUTED_VALUE"""),10.0)</f>
        <v>10</v>
      </c>
      <c r="M689" s="25" t="str">
        <f>IFERROR(__xludf.DUMMYFUNCTION("""COMPUTED_VALUE"""),"Racing")</f>
        <v>Racing</v>
      </c>
      <c r="N689" s="25"/>
      <c r="O689" s="26" t="str">
        <f>IFERROR(__xludf.DUMMYFUNCTION("""COMPUTED_VALUE"""),"No")</f>
        <v>No</v>
      </c>
      <c r="P689" s="26"/>
    </row>
    <row r="690">
      <c r="A690" s="13" t="str">
        <f>IFERROR(__xludf.DUMMYFUNCTION("""COMPUTED_VALUE"""),"XCOM: Enemy Unknown")</f>
        <v>XCOM: Enemy Unknown</v>
      </c>
      <c r="B690" s="15" t="str">
        <f>IFERROR(__xludf.DUMMYFUNCTION("""COMPUTED_VALUE"""),"PS3")</f>
        <v>PS3</v>
      </c>
      <c r="C690" s="16" t="str">
        <f>IFERROR(__xludf.DUMMYFUNCTION("""COMPUTED_VALUE"""),"Playstation Plus (Discontinued)")</f>
        <v>Playstation Plus (Discontinued)</v>
      </c>
      <c r="D690" s="15" t="str">
        <f>IFERROR(__xludf.DUMMYFUNCTION("""COMPUTED_VALUE"""),"Removed")</f>
        <v>Removed</v>
      </c>
      <c r="E690" s="17">
        <f>IFERROR(__xludf.DUMMYFUNCTION("""COMPUTED_VALUE"""),41429.0)</f>
        <v>41429</v>
      </c>
      <c r="F690" s="54">
        <f>IFERROR(__xludf.DUMMYFUNCTION("""COMPUTED_VALUE"""),41456.0)</f>
        <v>41456</v>
      </c>
      <c r="G690" s="19">
        <f>IFERROR(__xludf.DUMMYFUNCTION("""COMPUTED_VALUE"""),0.8999999999999999)</f>
        <v>0.9</v>
      </c>
      <c r="H690" s="17">
        <f>IFERROR(__xludf.DUMMYFUNCTION("""COMPUTED_VALUE"""),41191.0)</f>
        <v>41191</v>
      </c>
      <c r="I690" s="19">
        <f>IFERROR(__xludf.DUMMYFUNCTION("""COMPUTED_VALUE"""),0.6527777777777778)</f>
        <v>0.6527777778</v>
      </c>
      <c r="J690" s="21">
        <f>IFERROR(__xludf.DUMMYFUNCTION("""COMPUTED_VALUE"""),89.0)</f>
        <v>89</v>
      </c>
      <c r="K690" s="23">
        <f>IFERROR(__xludf.DUMMYFUNCTION("""COMPUTED_VALUE"""),8.7)</f>
        <v>8.7</v>
      </c>
      <c r="L690" s="24">
        <f>IFERROR(__xludf.DUMMYFUNCTION("""COMPUTED_VALUE"""),26.0)</f>
        <v>26</v>
      </c>
      <c r="M690" s="25" t="str">
        <f>IFERROR(__xludf.DUMMYFUNCTION("""COMPUTED_VALUE"""),"Strategy")</f>
        <v>Strategy</v>
      </c>
      <c r="N690" s="25"/>
      <c r="O690" s="26" t="str">
        <f>IFERROR(__xludf.DUMMYFUNCTION("""COMPUTED_VALUE"""),"No")</f>
        <v>No</v>
      </c>
      <c r="P690" s="26"/>
    </row>
    <row r="691">
      <c r="A691" s="13" t="str">
        <f>IFERROR(__xludf.DUMMYFUNCTION("""COMPUTED_VALUE"""),"Uncharted 3: Drake's Deception (single-player)")</f>
        <v>Uncharted 3: Drake's Deception (single-player)</v>
      </c>
      <c r="B691" s="15" t="str">
        <f>IFERROR(__xludf.DUMMYFUNCTION("""COMPUTED_VALUE"""),"PS3")</f>
        <v>PS3</v>
      </c>
      <c r="C691" s="16" t="str">
        <f>IFERROR(__xludf.DUMMYFUNCTION("""COMPUTED_VALUE"""),"Playstation Plus (Discontinued)")</f>
        <v>Playstation Plus (Discontinued)</v>
      </c>
      <c r="D691" s="15" t="str">
        <f>IFERROR(__xludf.DUMMYFUNCTION("""COMPUTED_VALUE"""),"Removed")</f>
        <v>Removed</v>
      </c>
      <c r="E691" s="17">
        <f>IFERROR(__xludf.DUMMYFUNCTION("""COMPUTED_VALUE"""),41429.0)</f>
        <v>41429</v>
      </c>
      <c r="F691" s="54">
        <f>IFERROR(__xludf.DUMMYFUNCTION("""COMPUTED_VALUE"""),41456.0)</f>
        <v>41456</v>
      </c>
      <c r="G691" s="19">
        <f>IFERROR(__xludf.DUMMYFUNCTION("""COMPUTED_VALUE"""),0.8999999999999999)</f>
        <v>0.9</v>
      </c>
      <c r="H691" s="17">
        <f>IFERROR(__xludf.DUMMYFUNCTION("""COMPUTED_VALUE"""),40848.0)</f>
        <v>40848</v>
      </c>
      <c r="I691" s="19">
        <f>IFERROR(__xludf.DUMMYFUNCTION("""COMPUTED_VALUE"""),1.5916666666666666)</f>
        <v>1.591666667</v>
      </c>
      <c r="J691" s="21">
        <f>IFERROR(__xludf.DUMMYFUNCTION("""COMPUTED_VALUE"""),92.0)</f>
        <v>92</v>
      </c>
      <c r="K691" s="23">
        <f>IFERROR(__xludf.DUMMYFUNCTION("""COMPUTED_VALUE"""),8.3)</f>
        <v>8.3</v>
      </c>
      <c r="L691" s="24">
        <f>IFERROR(__xludf.DUMMYFUNCTION("""COMPUTED_VALUE"""),9.0)</f>
        <v>9</v>
      </c>
      <c r="M691" s="25" t="str">
        <f>IFERROR(__xludf.DUMMYFUNCTION("""COMPUTED_VALUE"""),"Action-Adventure")</f>
        <v>Action-Adventure</v>
      </c>
      <c r="N691" s="25"/>
      <c r="O691" s="26" t="str">
        <f>IFERROR(__xludf.DUMMYFUNCTION("""COMPUTED_VALUE"""),"No")</f>
        <v>No</v>
      </c>
      <c r="P691" s="26"/>
    </row>
    <row r="692">
      <c r="A692" s="13" t="str">
        <f>IFERROR(__xludf.DUMMYFUNCTION("""COMPUTED_VALUE"""),"Zero Escape: Virtue's Last Reward")</f>
        <v>Zero Escape: Virtue's Last Reward</v>
      </c>
      <c r="B692" s="15" t="str">
        <f>IFERROR(__xludf.DUMMYFUNCTION("""COMPUTED_VALUE"""),"Vita")</f>
        <v>Vita</v>
      </c>
      <c r="C692" s="16" t="str">
        <f>IFERROR(__xludf.DUMMYFUNCTION("""COMPUTED_VALUE"""),"Playstation Plus (Discontinued)")</f>
        <v>Playstation Plus (Discontinued)</v>
      </c>
      <c r="D692" s="15" t="str">
        <f>IFERROR(__xludf.DUMMYFUNCTION("""COMPUTED_VALUE"""),"Removed")</f>
        <v>Removed</v>
      </c>
      <c r="E692" s="17">
        <f>IFERROR(__xludf.DUMMYFUNCTION("""COMPUTED_VALUE"""),41429.0)</f>
        <v>41429</v>
      </c>
      <c r="F692" s="54">
        <f>IFERROR(__xludf.DUMMYFUNCTION("""COMPUTED_VALUE"""),41456.0)</f>
        <v>41456</v>
      </c>
      <c r="G692" s="19">
        <f>IFERROR(__xludf.DUMMYFUNCTION("""COMPUTED_VALUE"""),0.8999999999999999)</f>
        <v>0.9</v>
      </c>
      <c r="H692" s="17">
        <f>IFERROR(__xludf.DUMMYFUNCTION("""COMPUTED_VALUE"""),41205.0)</f>
        <v>41205</v>
      </c>
      <c r="I692" s="19">
        <f>IFERROR(__xludf.DUMMYFUNCTION("""COMPUTED_VALUE"""),0.6138888888888889)</f>
        <v>0.6138888889</v>
      </c>
      <c r="J692" s="21">
        <f>IFERROR(__xludf.DUMMYFUNCTION("""COMPUTED_VALUE"""),84.0)</f>
        <v>84</v>
      </c>
      <c r="K692" s="23">
        <f>IFERROR(__xludf.DUMMYFUNCTION("""COMPUTED_VALUE"""),8.8)</f>
        <v>8.8</v>
      </c>
      <c r="L692" s="24">
        <f>IFERROR(__xludf.DUMMYFUNCTION("""COMPUTED_VALUE"""),36.0)</f>
        <v>36</v>
      </c>
      <c r="M692" s="25" t="str">
        <f>IFERROR(__xludf.DUMMYFUNCTION("""COMPUTED_VALUE"""),"Adventure")</f>
        <v>Adventure</v>
      </c>
      <c r="N692" s="25"/>
      <c r="O692" s="26" t="str">
        <f>IFERROR(__xludf.DUMMYFUNCTION("""COMPUTED_VALUE"""),"No")</f>
        <v>No</v>
      </c>
      <c r="P692" s="26"/>
    </row>
    <row r="693">
      <c r="A693" s="13" t="str">
        <f>IFERROR(__xludf.DUMMYFUNCTION("""COMPUTED_VALUE"""),"Gods Eater Burst")</f>
        <v>Gods Eater Burst</v>
      </c>
      <c r="B693" s="15" t="str">
        <f>IFERROR(__xludf.DUMMYFUNCTION("""COMPUTED_VALUE"""),"PSP")</f>
        <v>PSP</v>
      </c>
      <c r="C693" s="16" t="str">
        <f>IFERROR(__xludf.DUMMYFUNCTION("""COMPUTED_VALUE"""),"Playstation Plus (Discontinued)")</f>
        <v>Playstation Plus (Discontinued)</v>
      </c>
      <c r="D693" s="15" t="str">
        <f>IFERROR(__xludf.DUMMYFUNCTION("""COMPUTED_VALUE"""),"Removed")</f>
        <v>Removed</v>
      </c>
      <c r="E693" s="17">
        <f>IFERROR(__xludf.DUMMYFUNCTION("""COMPUTED_VALUE"""),41429.0)</f>
        <v>41429</v>
      </c>
      <c r="F693" s="54">
        <f>IFERROR(__xludf.DUMMYFUNCTION("""COMPUTED_VALUE"""),41456.0)</f>
        <v>41456</v>
      </c>
      <c r="G693" s="19">
        <f>IFERROR(__xludf.DUMMYFUNCTION("""COMPUTED_VALUE"""),0.8999999999999999)</f>
        <v>0.9</v>
      </c>
      <c r="H693" s="17">
        <f>IFERROR(__xludf.DUMMYFUNCTION("""COMPUTED_VALUE"""),40620.0)</f>
        <v>40620</v>
      </c>
      <c r="I693" s="19">
        <f>IFERROR(__xludf.DUMMYFUNCTION("""COMPUTED_VALUE"""),2.2111111111111112)</f>
        <v>2.211111111</v>
      </c>
      <c r="J693" s="21">
        <f>IFERROR(__xludf.DUMMYFUNCTION("""COMPUTED_VALUE"""),71.0)</f>
        <v>71</v>
      </c>
      <c r="K693" s="23">
        <f>IFERROR(__xludf.DUMMYFUNCTION("""COMPUTED_VALUE"""),7.7)</f>
        <v>7.7</v>
      </c>
      <c r="L693" s="24">
        <f>IFERROR(__xludf.DUMMYFUNCTION("""COMPUTED_VALUE"""),47.0)</f>
        <v>47</v>
      </c>
      <c r="M693" s="25" t="str">
        <f>IFERROR(__xludf.DUMMYFUNCTION("""COMPUTED_VALUE"""),"RPG")</f>
        <v>RPG</v>
      </c>
      <c r="N693" s="25"/>
      <c r="O693" s="26" t="str">
        <f>IFERROR(__xludf.DUMMYFUNCTION("""COMPUTED_VALUE"""),"No")</f>
        <v>No</v>
      </c>
      <c r="P693" s="26"/>
    </row>
    <row r="694">
      <c r="A694" s="13" t="str">
        <f>IFERROR(__xludf.DUMMYFUNCTION("""COMPUTED_VALUE"""),"Saints Row: The Third")</f>
        <v>Saints Row: The Third</v>
      </c>
      <c r="B694" s="15" t="str">
        <f>IFERROR(__xludf.DUMMYFUNCTION("""COMPUTED_VALUE"""),"PS3")</f>
        <v>PS3</v>
      </c>
      <c r="C694" s="16" t="str">
        <f>IFERROR(__xludf.DUMMYFUNCTION("""COMPUTED_VALUE"""),"Playstation Plus (Discontinued)")</f>
        <v>Playstation Plus (Discontinued)</v>
      </c>
      <c r="D694" s="15" t="str">
        <f>IFERROR(__xludf.DUMMYFUNCTION("""COMPUTED_VALUE"""),"Removed")</f>
        <v>Removed</v>
      </c>
      <c r="E694" s="17">
        <f>IFERROR(__xludf.DUMMYFUNCTION("""COMPUTED_VALUE"""),41429.0)</f>
        <v>41429</v>
      </c>
      <c r="F694" s="54">
        <f>IFERROR(__xludf.DUMMYFUNCTION("""COMPUTED_VALUE"""),41456.0)</f>
        <v>41456</v>
      </c>
      <c r="G694" s="19">
        <f>IFERROR(__xludf.DUMMYFUNCTION("""COMPUTED_VALUE"""),0.8999999999999999)</f>
        <v>0.9</v>
      </c>
      <c r="H694" s="17">
        <f>IFERROR(__xludf.DUMMYFUNCTION("""COMPUTED_VALUE"""),40862.0)</f>
        <v>40862</v>
      </c>
      <c r="I694" s="19">
        <f>IFERROR(__xludf.DUMMYFUNCTION("""COMPUTED_VALUE"""),1.5527777777777778)</f>
        <v>1.552777778</v>
      </c>
      <c r="J694" s="21">
        <f>IFERROR(__xludf.DUMMYFUNCTION("""COMPUTED_VALUE"""),84.0)</f>
        <v>84</v>
      </c>
      <c r="K694" s="23">
        <f>IFERROR(__xludf.DUMMYFUNCTION("""COMPUTED_VALUE"""),8.3)</f>
        <v>8.3</v>
      </c>
      <c r="L694" s="24">
        <f>IFERROR(__xludf.DUMMYFUNCTION("""COMPUTED_VALUE"""),16.0)</f>
        <v>16</v>
      </c>
      <c r="M694" s="25" t="str">
        <f>IFERROR(__xludf.DUMMYFUNCTION("""COMPUTED_VALUE"""),"Action-Adventure")</f>
        <v>Action-Adventure</v>
      </c>
      <c r="N694" s="25"/>
      <c r="O694" s="26" t="str">
        <f>IFERROR(__xludf.DUMMYFUNCTION("""COMPUTED_VALUE"""),"No")</f>
        <v>No</v>
      </c>
      <c r="P694" s="26"/>
    </row>
    <row r="695">
      <c r="A695" s="13" t="str">
        <f>IFERROR(__xludf.DUMMYFUNCTION("""COMPUTED_VALUE"""),"Machinarium")</f>
        <v>Machinarium</v>
      </c>
      <c r="B695" s="15" t="str">
        <f>IFERROR(__xludf.DUMMYFUNCTION("""COMPUTED_VALUE"""),"PS3/Vita")</f>
        <v>PS3/Vita</v>
      </c>
      <c r="C695" s="16" t="str">
        <f>IFERROR(__xludf.DUMMYFUNCTION("""COMPUTED_VALUE"""),"Playstation Plus (Discontinued)")</f>
        <v>Playstation Plus (Discontinued)</v>
      </c>
      <c r="D695" s="15" t="str">
        <f>IFERROR(__xludf.DUMMYFUNCTION("""COMPUTED_VALUE"""),"Removed")</f>
        <v>Removed</v>
      </c>
      <c r="E695" s="17">
        <f>IFERROR(__xludf.DUMMYFUNCTION("""COMPUTED_VALUE"""),41429.0)</f>
        <v>41429</v>
      </c>
      <c r="F695" s="54">
        <f>IFERROR(__xludf.DUMMYFUNCTION("""COMPUTED_VALUE"""),41456.0)</f>
        <v>41456</v>
      </c>
      <c r="G695" s="19">
        <f>IFERROR(__xludf.DUMMYFUNCTION("""COMPUTED_VALUE"""),0.8999999999999999)</f>
        <v>0.9</v>
      </c>
      <c r="H695" s="17">
        <f>IFERROR(__xludf.DUMMYFUNCTION("""COMPUTED_VALUE"""),40102.0)</f>
        <v>40102</v>
      </c>
      <c r="I695" s="19">
        <f>IFERROR(__xludf.DUMMYFUNCTION("""COMPUTED_VALUE"""),3.6333333333333333)</f>
        <v>3.633333333</v>
      </c>
      <c r="J695" s="21">
        <f>IFERROR(__xludf.DUMMYFUNCTION("""COMPUTED_VALUE"""),85.0)</f>
        <v>85</v>
      </c>
      <c r="K695" s="23">
        <f>IFERROR(__xludf.DUMMYFUNCTION("""COMPUTED_VALUE"""),8.4)</f>
        <v>8.4</v>
      </c>
      <c r="L695" s="24">
        <f>IFERROR(__xludf.DUMMYFUNCTION("""COMPUTED_VALUE"""),6.0)</f>
        <v>6</v>
      </c>
      <c r="M695" s="25" t="str">
        <f>IFERROR(__xludf.DUMMYFUNCTION("""COMPUTED_VALUE"""),"Adventure")</f>
        <v>Adventure</v>
      </c>
      <c r="N695" s="25"/>
      <c r="O695" s="26" t="str">
        <f>IFERROR(__xludf.DUMMYFUNCTION("""COMPUTED_VALUE"""),"No")</f>
        <v>No</v>
      </c>
      <c r="P695" s="26"/>
    </row>
    <row r="696">
      <c r="A696" s="13" t="str">
        <f>IFERROR(__xludf.DUMMYFUNCTION("""COMPUTED_VALUE"""),"Deus Ex: Human Revolution")</f>
        <v>Deus Ex: Human Revolution</v>
      </c>
      <c r="B696" s="15" t="str">
        <f>IFERROR(__xludf.DUMMYFUNCTION("""COMPUTED_VALUE"""),"PS3")</f>
        <v>PS3</v>
      </c>
      <c r="C696" s="16" t="str">
        <f>IFERROR(__xludf.DUMMYFUNCTION("""COMPUTED_VALUE"""),"Playstation Plus (Discontinued)")</f>
        <v>Playstation Plus (Discontinued)</v>
      </c>
      <c r="D696" s="15" t="str">
        <f>IFERROR(__xludf.DUMMYFUNCTION("""COMPUTED_VALUE"""),"Removed")</f>
        <v>Removed</v>
      </c>
      <c r="E696" s="17">
        <f>IFERROR(__xludf.DUMMYFUNCTION("""COMPUTED_VALUE"""),41429.0)</f>
        <v>41429</v>
      </c>
      <c r="F696" s="54">
        <f>IFERROR(__xludf.DUMMYFUNCTION("""COMPUTED_VALUE"""),41456.0)</f>
        <v>41456</v>
      </c>
      <c r="G696" s="19">
        <f>IFERROR(__xludf.DUMMYFUNCTION("""COMPUTED_VALUE"""),0.8999999999999999)</f>
        <v>0.9</v>
      </c>
      <c r="H696" s="17">
        <f>IFERROR(__xludf.DUMMYFUNCTION("""COMPUTED_VALUE"""),40778.0)</f>
        <v>40778</v>
      </c>
      <c r="I696" s="19">
        <f>IFERROR(__xludf.DUMMYFUNCTION("""COMPUTED_VALUE"""),1.7805555555555554)</f>
        <v>1.780555556</v>
      </c>
      <c r="J696" s="21">
        <f>IFERROR(__xludf.DUMMYFUNCTION("""COMPUTED_VALUE"""),89.0)</f>
        <v>89</v>
      </c>
      <c r="K696" s="23">
        <f>IFERROR(__xludf.DUMMYFUNCTION("""COMPUTED_VALUE"""),8.7)</f>
        <v>8.7</v>
      </c>
      <c r="L696" s="24">
        <f>IFERROR(__xludf.DUMMYFUNCTION("""COMPUTED_VALUE"""),22.0)</f>
        <v>22</v>
      </c>
      <c r="M696" s="25" t="str">
        <f>IFERROR(__xludf.DUMMYFUNCTION("""COMPUTED_VALUE"""),"Action-Adventure")</f>
        <v>Action-Adventure</v>
      </c>
      <c r="N696" s="25"/>
      <c r="O696" s="26" t="str">
        <f>IFERROR(__xludf.DUMMYFUNCTION("""COMPUTED_VALUE"""),"No")</f>
        <v>No</v>
      </c>
      <c r="P696" s="26"/>
    </row>
    <row r="697">
      <c r="A697" s="13" t="str">
        <f>IFERROR(__xludf.DUMMYFUNCTION("""COMPUTED_VALUE"""),"Germinator")</f>
        <v>Germinator</v>
      </c>
      <c r="B697" s="15" t="str">
        <f>IFERROR(__xludf.DUMMYFUNCTION("""COMPUTED_VALUE"""),"Vita")</f>
        <v>Vita</v>
      </c>
      <c r="C697" s="16" t="str">
        <f>IFERROR(__xludf.DUMMYFUNCTION("""COMPUTED_VALUE"""),"Playstation Plus (Discontinued)")</f>
        <v>Playstation Plus (Discontinued)</v>
      </c>
      <c r="D697" s="15" t="str">
        <f>IFERROR(__xludf.DUMMYFUNCTION("""COMPUTED_VALUE"""),"Removed")</f>
        <v>Removed</v>
      </c>
      <c r="E697" s="17">
        <f>IFERROR(__xludf.DUMMYFUNCTION("""COMPUTED_VALUE"""),41401.0)</f>
        <v>41401</v>
      </c>
      <c r="F697" s="54">
        <f>IFERROR(__xludf.DUMMYFUNCTION("""COMPUTED_VALUE"""),41428.0)</f>
        <v>41428</v>
      </c>
      <c r="G697" s="19">
        <f>IFERROR(__xludf.DUMMYFUNCTION("""COMPUTED_VALUE"""),0.8666666666666666)</f>
        <v>0.8666666667</v>
      </c>
      <c r="H697" s="17">
        <f>IFERROR(__xludf.DUMMYFUNCTION("""COMPUTED_VALUE"""),41303.0)</f>
        <v>41303</v>
      </c>
      <c r="I697" s="19">
        <f>IFERROR(__xludf.DUMMYFUNCTION("""COMPUTED_VALUE"""),0.2722222222222222)</f>
        <v>0.2722222222</v>
      </c>
      <c r="J697" s="21">
        <f>IFERROR(__xludf.DUMMYFUNCTION("""COMPUTED_VALUE"""),59.0)</f>
        <v>59</v>
      </c>
      <c r="K697" s="23">
        <f>IFERROR(__xludf.DUMMYFUNCTION("""COMPUTED_VALUE"""),6.7)</f>
        <v>6.7</v>
      </c>
      <c r="L697" s="24"/>
      <c r="M697" s="25" t="str">
        <f>IFERROR(__xludf.DUMMYFUNCTION("""COMPUTED_VALUE"""),"Shooter")</f>
        <v>Shooter</v>
      </c>
      <c r="N697" s="25"/>
      <c r="O697" s="26" t="str">
        <f>IFERROR(__xludf.DUMMYFUNCTION("""COMPUTED_VALUE"""),"No")</f>
        <v>No</v>
      </c>
      <c r="P697" s="26"/>
    </row>
    <row r="698">
      <c r="A698" s="13" t="str">
        <f>IFERROR(__xludf.DUMMYFUNCTION("""COMPUTED_VALUE"""),"Pinball Arcade")</f>
        <v>Pinball Arcade</v>
      </c>
      <c r="B698" s="15" t="str">
        <f>IFERROR(__xludf.DUMMYFUNCTION("""COMPUTED_VALUE"""),"PS3/Vita")</f>
        <v>PS3/Vita</v>
      </c>
      <c r="C698" s="16" t="str">
        <f>IFERROR(__xludf.DUMMYFUNCTION("""COMPUTED_VALUE"""),"Playstation Plus (Discontinued)")</f>
        <v>Playstation Plus (Discontinued)</v>
      </c>
      <c r="D698" s="15" t="str">
        <f>IFERROR(__xludf.DUMMYFUNCTION("""COMPUTED_VALUE"""),"Removed")</f>
        <v>Removed</v>
      </c>
      <c r="E698" s="17">
        <f>IFERROR(__xludf.DUMMYFUNCTION("""COMPUTED_VALUE"""),41401.0)</f>
        <v>41401</v>
      </c>
      <c r="F698" s="54">
        <f>IFERROR(__xludf.DUMMYFUNCTION("""COMPUTED_VALUE"""),41428.0)</f>
        <v>41428</v>
      </c>
      <c r="G698" s="19">
        <f>IFERROR(__xludf.DUMMYFUNCTION("""COMPUTED_VALUE"""),0.8666666666666666)</f>
        <v>0.8666666667</v>
      </c>
      <c r="H698" s="17">
        <f>IFERROR(__xludf.DUMMYFUNCTION("""COMPUTED_VALUE"""),41262.0)</f>
        <v>41262</v>
      </c>
      <c r="I698" s="19">
        <f>IFERROR(__xludf.DUMMYFUNCTION("""COMPUTED_VALUE"""),0.38333333333333336)</f>
        <v>0.3833333333</v>
      </c>
      <c r="J698" s="21">
        <f>IFERROR(__xludf.DUMMYFUNCTION("""COMPUTED_VALUE"""),73.0)</f>
        <v>73</v>
      </c>
      <c r="K698" s="23">
        <f>IFERROR(__xludf.DUMMYFUNCTION("""COMPUTED_VALUE"""),7.8)</f>
        <v>7.8</v>
      </c>
      <c r="L698" s="24"/>
      <c r="M698" s="25" t="str">
        <f>IFERROR(__xludf.DUMMYFUNCTION("""COMPUTED_VALUE"""),"Pinball")</f>
        <v>Pinball</v>
      </c>
      <c r="N698" s="25"/>
      <c r="O698" s="26" t="str">
        <f>IFERROR(__xludf.DUMMYFUNCTION("""COMPUTED_VALUE"""),"No")</f>
        <v>No</v>
      </c>
      <c r="P698" s="26"/>
    </row>
    <row r="699">
      <c r="A699" s="13" t="str">
        <f>IFERROR(__xludf.DUMMYFUNCTION("""COMPUTED_VALUE"""),"BlazBlue: Continuum Shift Extend")</f>
        <v>BlazBlue: Continuum Shift Extend</v>
      </c>
      <c r="B699" s="15" t="str">
        <f>IFERROR(__xludf.DUMMYFUNCTION("""COMPUTED_VALUE"""),"Vita")</f>
        <v>Vita</v>
      </c>
      <c r="C699" s="16" t="str">
        <f>IFERROR(__xludf.DUMMYFUNCTION("""COMPUTED_VALUE"""),"Playstation Plus (Discontinued)")</f>
        <v>Playstation Plus (Discontinued)</v>
      </c>
      <c r="D699" s="15" t="str">
        <f>IFERROR(__xludf.DUMMYFUNCTION("""COMPUTED_VALUE"""),"Removed")</f>
        <v>Removed</v>
      </c>
      <c r="E699" s="17">
        <f>IFERROR(__xludf.DUMMYFUNCTION("""COMPUTED_VALUE"""),41401.0)</f>
        <v>41401</v>
      </c>
      <c r="F699" s="54">
        <f>IFERROR(__xludf.DUMMYFUNCTION("""COMPUTED_VALUE"""),41428.0)</f>
        <v>41428</v>
      </c>
      <c r="G699" s="19">
        <f>IFERROR(__xludf.DUMMYFUNCTION("""COMPUTED_VALUE"""),0.8666666666666666)</f>
        <v>0.8666666667</v>
      </c>
      <c r="H699" s="17">
        <f>IFERROR(__xludf.DUMMYFUNCTION("""COMPUTED_VALUE"""),40908.0)</f>
        <v>40908</v>
      </c>
      <c r="I699" s="19">
        <f>IFERROR(__xludf.DUMMYFUNCTION("""COMPUTED_VALUE"""),1.3527777777777779)</f>
        <v>1.352777778</v>
      </c>
      <c r="J699" s="21">
        <f>IFERROR(__xludf.DUMMYFUNCTION("""COMPUTED_VALUE"""),83.0)</f>
        <v>83</v>
      </c>
      <c r="K699" s="23">
        <f>IFERROR(__xludf.DUMMYFUNCTION("""COMPUTED_VALUE"""),7.9)</f>
        <v>7.9</v>
      </c>
      <c r="L699" s="24"/>
      <c r="M699" s="25" t="str">
        <f>IFERROR(__xludf.DUMMYFUNCTION("""COMPUTED_VALUE"""),"Fighting")</f>
        <v>Fighting</v>
      </c>
      <c r="N699" s="25"/>
      <c r="O699" s="26" t="str">
        <f>IFERROR(__xludf.DUMMYFUNCTION("""COMPUTED_VALUE"""),"No")</f>
        <v>No</v>
      </c>
      <c r="P699" s="26"/>
    </row>
    <row r="700">
      <c r="A700" s="13" t="str">
        <f>IFERROR(__xludf.DUMMYFUNCTION("""COMPUTED_VALUE"""),"Knytt Underground")</f>
        <v>Knytt Underground</v>
      </c>
      <c r="B700" s="15" t="str">
        <f>IFERROR(__xludf.DUMMYFUNCTION("""COMPUTED_VALUE"""),"PS3/Vita")</f>
        <v>PS3/Vita</v>
      </c>
      <c r="C700" s="16" t="str">
        <f>IFERROR(__xludf.DUMMYFUNCTION("""COMPUTED_VALUE"""),"Playstation Plus (Discontinued)")</f>
        <v>Playstation Plus (Discontinued)</v>
      </c>
      <c r="D700" s="15" t="str">
        <f>IFERROR(__xludf.DUMMYFUNCTION("""COMPUTED_VALUE"""),"Removed")</f>
        <v>Removed</v>
      </c>
      <c r="E700" s="17">
        <f>IFERROR(__xludf.DUMMYFUNCTION("""COMPUTED_VALUE"""),41401.0)</f>
        <v>41401</v>
      </c>
      <c r="F700" s="54">
        <f>IFERROR(__xludf.DUMMYFUNCTION("""COMPUTED_VALUE"""),41428.0)</f>
        <v>41428</v>
      </c>
      <c r="G700" s="19">
        <f>IFERROR(__xludf.DUMMYFUNCTION("""COMPUTED_VALUE"""),0.8666666666666666)</f>
        <v>0.8666666667</v>
      </c>
      <c r="H700" s="17">
        <f>IFERROR(__xludf.DUMMYFUNCTION("""COMPUTED_VALUE"""),41264.0)</f>
        <v>41264</v>
      </c>
      <c r="I700" s="19">
        <f>IFERROR(__xludf.DUMMYFUNCTION("""COMPUTED_VALUE"""),0.37777777777777777)</f>
        <v>0.3777777778</v>
      </c>
      <c r="J700" s="21">
        <f>IFERROR(__xludf.DUMMYFUNCTION("""COMPUTED_VALUE"""),68.0)</f>
        <v>68</v>
      </c>
      <c r="K700" s="23">
        <f>IFERROR(__xludf.DUMMYFUNCTION("""COMPUTED_VALUE"""),7.2)</f>
        <v>7.2</v>
      </c>
      <c r="L700" s="24">
        <f>IFERROR(__xludf.DUMMYFUNCTION("""COMPUTED_VALUE"""),20.0)</f>
        <v>20</v>
      </c>
      <c r="M700" s="25" t="str">
        <f>IFERROR(__xludf.DUMMYFUNCTION("""COMPUTED_VALUE"""),"Platformer")</f>
        <v>Platformer</v>
      </c>
      <c r="N700" s="25"/>
      <c r="O700" s="26" t="str">
        <f>IFERROR(__xludf.DUMMYFUNCTION("""COMPUTED_VALUE"""),"No")</f>
        <v>No</v>
      </c>
      <c r="P700" s="26"/>
    </row>
    <row r="701">
      <c r="A701" s="13" t="str">
        <f>IFERROR(__xludf.DUMMYFUNCTION("""COMPUTED_VALUE"""),"Sleeping Dogs")</f>
        <v>Sleeping Dogs</v>
      </c>
      <c r="B701" s="15" t="str">
        <f>IFERROR(__xludf.DUMMYFUNCTION("""COMPUTED_VALUE"""),"PS3")</f>
        <v>PS3</v>
      </c>
      <c r="C701" s="16" t="str">
        <f>IFERROR(__xludf.DUMMYFUNCTION("""COMPUTED_VALUE"""),"Playstation Plus (Discontinued)")</f>
        <v>Playstation Plus (Discontinued)</v>
      </c>
      <c r="D701" s="15" t="str">
        <f>IFERROR(__xludf.DUMMYFUNCTION("""COMPUTED_VALUE"""),"Removed")</f>
        <v>Removed</v>
      </c>
      <c r="E701" s="17">
        <f>IFERROR(__xludf.DUMMYFUNCTION("""COMPUTED_VALUE"""),41401.0)</f>
        <v>41401</v>
      </c>
      <c r="F701" s="54">
        <f>IFERROR(__xludf.DUMMYFUNCTION("""COMPUTED_VALUE"""),41428.0)</f>
        <v>41428</v>
      </c>
      <c r="G701" s="19">
        <f>IFERROR(__xludf.DUMMYFUNCTION("""COMPUTED_VALUE"""),0.8666666666666666)</f>
        <v>0.8666666667</v>
      </c>
      <c r="H701" s="17">
        <f>IFERROR(__xludf.DUMMYFUNCTION("""COMPUTED_VALUE"""),41135.0)</f>
        <v>41135</v>
      </c>
      <c r="I701" s="19">
        <f>IFERROR(__xludf.DUMMYFUNCTION("""COMPUTED_VALUE"""),0.7305555555555555)</f>
        <v>0.7305555556</v>
      </c>
      <c r="J701" s="21">
        <f>IFERROR(__xludf.DUMMYFUNCTION("""COMPUTED_VALUE"""),80.0)</f>
        <v>80</v>
      </c>
      <c r="K701" s="23">
        <f>IFERROR(__xludf.DUMMYFUNCTION("""COMPUTED_VALUE"""),8.1)</f>
        <v>8.1</v>
      </c>
      <c r="L701" s="24">
        <f>IFERROR(__xludf.DUMMYFUNCTION("""COMPUTED_VALUE"""),15.0)</f>
        <v>15</v>
      </c>
      <c r="M701" s="25" t="str">
        <f>IFERROR(__xludf.DUMMYFUNCTION("""COMPUTED_VALUE"""),"Action-Adventure")</f>
        <v>Action-Adventure</v>
      </c>
      <c r="N701" s="25"/>
      <c r="O701" s="26" t="str">
        <f>IFERROR(__xludf.DUMMYFUNCTION("""COMPUTED_VALUE"""),"No")</f>
        <v>No</v>
      </c>
      <c r="P701" s="26"/>
    </row>
    <row r="702">
      <c r="A702" s="13" t="str">
        <f>IFERROR(__xludf.DUMMYFUNCTION("""COMPUTED_VALUE"""),"Zombie Tycoon 2")</f>
        <v>Zombie Tycoon 2</v>
      </c>
      <c r="B702" s="15" t="str">
        <f>IFERROR(__xludf.DUMMYFUNCTION("""COMPUTED_VALUE"""),"PS3/Vita")</f>
        <v>PS3/Vita</v>
      </c>
      <c r="C702" s="16" t="str">
        <f>IFERROR(__xludf.DUMMYFUNCTION("""COMPUTED_VALUE"""),"Playstation Plus (Discontinued)")</f>
        <v>Playstation Plus (Discontinued)</v>
      </c>
      <c r="D702" s="15" t="str">
        <f>IFERROR(__xludf.DUMMYFUNCTION("""COMPUTED_VALUE"""),"Removed")</f>
        <v>Removed</v>
      </c>
      <c r="E702" s="17">
        <f>IFERROR(__xludf.DUMMYFUNCTION("""COMPUTED_VALUE"""),41394.0)</f>
        <v>41394</v>
      </c>
      <c r="F702" s="54">
        <f>IFERROR(__xludf.DUMMYFUNCTION("""COMPUTED_VALUE"""),41400.0)</f>
        <v>41400</v>
      </c>
      <c r="G702" s="19">
        <f>IFERROR(__xludf.DUMMYFUNCTION("""COMPUTED_VALUE"""),0.2)</f>
        <v>0.2</v>
      </c>
      <c r="H702" s="17">
        <f>IFERROR(__xludf.DUMMYFUNCTION("""COMPUTED_VALUE"""),41394.0)</f>
        <v>41394</v>
      </c>
      <c r="I702" s="19">
        <f>IFERROR(__xludf.DUMMYFUNCTION("""COMPUTED_VALUE"""),0.0)</f>
        <v>0</v>
      </c>
      <c r="J702" s="21">
        <f>IFERROR(__xludf.DUMMYFUNCTION("""COMPUTED_VALUE"""),59.0)</f>
        <v>59</v>
      </c>
      <c r="K702" s="23">
        <f>IFERROR(__xludf.DUMMYFUNCTION("""COMPUTED_VALUE"""),6.5)</f>
        <v>6.5</v>
      </c>
      <c r="L702" s="24">
        <f>IFERROR(__xludf.DUMMYFUNCTION("""COMPUTED_VALUE"""),6.0)</f>
        <v>6</v>
      </c>
      <c r="M702" s="25" t="str">
        <f>IFERROR(__xludf.DUMMYFUNCTION("""COMPUTED_VALUE"""),"Strategy")</f>
        <v>Strategy</v>
      </c>
      <c r="N702" s="25"/>
      <c r="O702" s="26" t="str">
        <f>IFERROR(__xludf.DUMMYFUNCTION("""COMPUTED_VALUE"""),"No")</f>
        <v>No</v>
      </c>
      <c r="P702" s="26"/>
    </row>
    <row r="703">
      <c r="A703" s="13" t="str">
        <f>IFERROR(__xludf.DUMMYFUNCTION("""COMPUTED_VALUE"""),"SoulCalibur: Broken Destiny")</f>
        <v>SoulCalibur: Broken Destiny</v>
      </c>
      <c r="B703" s="15" t="str">
        <f>IFERROR(__xludf.DUMMYFUNCTION("""COMPUTED_VALUE"""),"PSP")</f>
        <v>PSP</v>
      </c>
      <c r="C703" s="16" t="str">
        <f>IFERROR(__xludf.DUMMYFUNCTION("""COMPUTED_VALUE"""),"Playstation Plus (Discontinued)")</f>
        <v>Playstation Plus (Discontinued)</v>
      </c>
      <c r="D703" s="15" t="str">
        <f>IFERROR(__xludf.DUMMYFUNCTION("""COMPUTED_VALUE"""),"Removed")</f>
        <v>Removed</v>
      </c>
      <c r="E703" s="17">
        <f>IFERROR(__xludf.DUMMYFUNCTION("""COMPUTED_VALUE"""),41366.0)</f>
        <v>41366</v>
      </c>
      <c r="F703" s="54">
        <f>IFERROR(__xludf.DUMMYFUNCTION("""COMPUTED_VALUE"""),41400.0)</f>
        <v>41400</v>
      </c>
      <c r="G703" s="19">
        <f>IFERROR(__xludf.DUMMYFUNCTION("""COMPUTED_VALUE"""),1.1333333333333333)</f>
        <v>1.133333333</v>
      </c>
      <c r="H703" s="17">
        <f>IFERROR(__xludf.DUMMYFUNCTION("""COMPUTED_VALUE"""),40052.0)</f>
        <v>40052</v>
      </c>
      <c r="I703" s="19">
        <f>IFERROR(__xludf.DUMMYFUNCTION("""COMPUTED_VALUE"""),3.5972222222222223)</f>
        <v>3.597222222</v>
      </c>
      <c r="J703" s="21">
        <f>IFERROR(__xludf.DUMMYFUNCTION("""COMPUTED_VALUE"""),79.0)</f>
        <v>79</v>
      </c>
      <c r="K703" s="23">
        <f>IFERROR(__xludf.DUMMYFUNCTION("""COMPUTED_VALUE"""),7.9)</f>
        <v>7.9</v>
      </c>
      <c r="L703" s="24"/>
      <c r="M703" s="25" t="str">
        <f>IFERROR(__xludf.DUMMYFUNCTION("""COMPUTED_VALUE"""),"Fighting")</f>
        <v>Fighting</v>
      </c>
      <c r="N703" s="25"/>
      <c r="O703" s="26" t="str">
        <f>IFERROR(__xludf.DUMMYFUNCTION("""COMPUTED_VALUE"""),"No")</f>
        <v>No</v>
      </c>
      <c r="P703" s="26"/>
    </row>
    <row r="704">
      <c r="A704" s="13" t="str">
        <f>IFERROR(__xludf.DUMMYFUNCTION("""COMPUTED_VALUE"""),"Labyrinth Legends")</f>
        <v>Labyrinth Legends</v>
      </c>
      <c r="B704" s="15" t="str">
        <f>IFERROR(__xludf.DUMMYFUNCTION("""COMPUTED_VALUE"""),"PS3")</f>
        <v>PS3</v>
      </c>
      <c r="C704" s="16" t="str">
        <f>IFERROR(__xludf.DUMMYFUNCTION("""COMPUTED_VALUE"""),"Playstation Plus (Discontinued)")</f>
        <v>Playstation Plus (Discontinued)</v>
      </c>
      <c r="D704" s="15" t="str">
        <f>IFERROR(__xludf.DUMMYFUNCTION("""COMPUTED_VALUE"""),"Removed")</f>
        <v>Removed</v>
      </c>
      <c r="E704" s="17">
        <f>IFERROR(__xludf.DUMMYFUNCTION("""COMPUTED_VALUE"""),41366.0)</f>
        <v>41366</v>
      </c>
      <c r="F704" s="54">
        <f>IFERROR(__xludf.DUMMYFUNCTION("""COMPUTED_VALUE"""),41400.0)</f>
        <v>41400</v>
      </c>
      <c r="G704" s="19">
        <f>IFERROR(__xludf.DUMMYFUNCTION("""COMPUTED_VALUE"""),1.1333333333333333)</f>
        <v>1.133333333</v>
      </c>
      <c r="H704" s="17">
        <f>IFERROR(__xludf.DUMMYFUNCTION("""COMPUTED_VALUE"""),41261.0)</f>
        <v>41261</v>
      </c>
      <c r="I704" s="19">
        <f>IFERROR(__xludf.DUMMYFUNCTION("""COMPUTED_VALUE"""),0.28888888888888886)</f>
        <v>0.2888888889</v>
      </c>
      <c r="J704" s="21">
        <f>IFERROR(__xludf.DUMMYFUNCTION("""COMPUTED_VALUE"""),64.0)</f>
        <v>64</v>
      </c>
      <c r="K704" s="23">
        <f>IFERROR(__xludf.DUMMYFUNCTION("""COMPUTED_VALUE"""),6.8)</f>
        <v>6.8</v>
      </c>
      <c r="L704" s="24">
        <f>IFERROR(__xludf.DUMMYFUNCTION("""COMPUTED_VALUE"""),6.0)</f>
        <v>6</v>
      </c>
      <c r="M704" s="25" t="str">
        <f>IFERROR(__xludf.DUMMYFUNCTION("""COMPUTED_VALUE"""),"Action-Adventure")</f>
        <v>Action-Adventure</v>
      </c>
      <c r="N704" s="25"/>
      <c r="O704" s="26" t="str">
        <f>IFERROR(__xludf.DUMMYFUNCTION("""COMPUTED_VALUE"""),"No")</f>
        <v>No</v>
      </c>
      <c r="P704" s="26"/>
    </row>
    <row r="705">
      <c r="A705" s="13" t="str">
        <f>IFERROR(__xludf.DUMMYFUNCTION("""COMPUTED_VALUE"""),"Malicious")</f>
        <v>Malicious</v>
      </c>
      <c r="B705" s="15" t="str">
        <f>IFERROR(__xludf.DUMMYFUNCTION("""COMPUTED_VALUE"""),"PS3")</f>
        <v>PS3</v>
      </c>
      <c r="C705" s="16" t="str">
        <f>IFERROR(__xludf.DUMMYFUNCTION("""COMPUTED_VALUE"""),"Playstation Plus (Discontinued)")</f>
        <v>Playstation Plus (Discontinued)</v>
      </c>
      <c r="D705" s="15" t="str">
        <f>IFERROR(__xludf.DUMMYFUNCTION("""COMPUTED_VALUE"""),"Removed")</f>
        <v>Removed</v>
      </c>
      <c r="E705" s="17">
        <f>IFERROR(__xludf.DUMMYFUNCTION("""COMPUTED_VALUE"""),41366.0)</f>
        <v>41366</v>
      </c>
      <c r="F705" s="54">
        <f>IFERROR(__xludf.DUMMYFUNCTION("""COMPUTED_VALUE"""),41400.0)</f>
        <v>41400</v>
      </c>
      <c r="G705" s="19">
        <f>IFERROR(__xludf.DUMMYFUNCTION("""COMPUTED_VALUE"""),1.1333333333333333)</f>
        <v>1.133333333</v>
      </c>
      <c r="H705" s="17">
        <f>IFERROR(__xludf.DUMMYFUNCTION("""COMPUTED_VALUE"""),40478.0)</f>
        <v>40478</v>
      </c>
      <c r="I705" s="19">
        <f>IFERROR(__xludf.DUMMYFUNCTION("""COMPUTED_VALUE"""),2.4305555555555554)</f>
        <v>2.430555556</v>
      </c>
      <c r="J705" s="21">
        <f>IFERROR(__xludf.DUMMYFUNCTION("""COMPUTED_VALUE"""),68.0)</f>
        <v>68</v>
      </c>
      <c r="K705" s="23">
        <f>IFERROR(__xludf.DUMMYFUNCTION("""COMPUTED_VALUE"""),7.2)</f>
        <v>7.2</v>
      </c>
      <c r="L705" s="24">
        <f>IFERROR(__xludf.DUMMYFUNCTION("""COMPUTED_VALUE"""),5.0)</f>
        <v>5</v>
      </c>
      <c r="M705" s="25" t="str">
        <f>IFERROR(__xludf.DUMMYFUNCTION("""COMPUTED_VALUE"""),"Action-Adventure")</f>
        <v>Action-Adventure</v>
      </c>
      <c r="N705" s="25"/>
      <c r="O705" s="26" t="str">
        <f>IFERROR(__xludf.DUMMYFUNCTION("""COMPUTED_VALUE"""),"No")</f>
        <v>No</v>
      </c>
      <c r="P705" s="26"/>
    </row>
    <row r="706">
      <c r="A706" s="13" t="str">
        <f>IFERROR(__xludf.DUMMYFUNCTION("""COMPUTED_VALUE"""),"Demon’s Souls")</f>
        <v>Demon’s Souls</v>
      </c>
      <c r="B706" s="15" t="str">
        <f>IFERROR(__xludf.DUMMYFUNCTION("""COMPUTED_VALUE"""),"PS3")</f>
        <v>PS3</v>
      </c>
      <c r="C706" s="16" t="str">
        <f>IFERROR(__xludf.DUMMYFUNCTION("""COMPUTED_VALUE"""),"Playstation Plus (Discontinued)")</f>
        <v>Playstation Plus (Discontinued)</v>
      </c>
      <c r="D706" s="15" t="str">
        <f>IFERROR(__xludf.DUMMYFUNCTION("""COMPUTED_VALUE"""),"Removed")</f>
        <v>Removed</v>
      </c>
      <c r="E706" s="17">
        <f>IFERROR(__xludf.DUMMYFUNCTION("""COMPUTED_VALUE"""),41366.0)</f>
        <v>41366</v>
      </c>
      <c r="F706" s="54">
        <f>IFERROR(__xludf.DUMMYFUNCTION("""COMPUTED_VALUE"""),41400.0)</f>
        <v>41400</v>
      </c>
      <c r="G706" s="19">
        <f>IFERROR(__xludf.DUMMYFUNCTION("""COMPUTED_VALUE"""),1.1333333333333333)</f>
        <v>1.133333333</v>
      </c>
      <c r="H706" s="17">
        <f>IFERROR(__xludf.DUMMYFUNCTION("""COMPUTED_VALUE"""),40092.0)</f>
        <v>40092</v>
      </c>
      <c r="I706" s="19">
        <f>IFERROR(__xludf.DUMMYFUNCTION("""COMPUTED_VALUE"""),3.488888888888889)</f>
        <v>3.488888889</v>
      </c>
      <c r="J706" s="21">
        <f>IFERROR(__xludf.DUMMYFUNCTION("""COMPUTED_VALUE"""),92.0)</f>
        <v>92</v>
      </c>
      <c r="K706" s="23">
        <f>IFERROR(__xludf.DUMMYFUNCTION("""COMPUTED_VALUE"""),8.9)</f>
        <v>8.9</v>
      </c>
      <c r="L706" s="24">
        <f>IFERROR(__xludf.DUMMYFUNCTION("""COMPUTED_VALUE"""),25.0)</f>
        <v>25</v>
      </c>
      <c r="M706" s="25" t="str">
        <f>IFERROR(__xludf.DUMMYFUNCTION("""COMPUTED_VALUE"""),"RPG")</f>
        <v>RPG</v>
      </c>
      <c r="N706" s="25"/>
      <c r="O706" s="26" t="str">
        <f>IFERROR(__xludf.DUMMYFUNCTION("""COMPUTED_VALUE"""),"No")</f>
        <v>No</v>
      </c>
      <c r="P706" s="26"/>
    </row>
    <row r="707">
      <c r="A707" s="13" t="str">
        <f>IFERROR(__xludf.DUMMYFUNCTION("""COMPUTED_VALUE"""),"The Cave")</f>
        <v>The Cave</v>
      </c>
      <c r="B707" s="15" t="str">
        <f>IFERROR(__xludf.DUMMYFUNCTION("""COMPUTED_VALUE"""),"PS3")</f>
        <v>PS3</v>
      </c>
      <c r="C707" s="16" t="str">
        <f>IFERROR(__xludf.DUMMYFUNCTION("""COMPUTED_VALUE"""),"Playstation Plus (Discontinued)")</f>
        <v>Playstation Plus (Discontinued)</v>
      </c>
      <c r="D707" s="15" t="str">
        <f>IFERROR(__xludf.DUMMYFUNCTION("""COMPUTED_VALUE"""),"Removed")</f>
        <v>Removed</v>
      </c>
      <c r="E707" s="17">
        <f>IFERROR(__xludf.DUMMYFUNCTION("""COMPUTED_VALUE"""),41338.0)</f>
        <v>41338</v>
      </c>
      <c r="F707" s="54">
        <f>IFERROR(__xludf.DUMMYFUNCTION("""COMPUTED_VALUE"""),41365.0)</f>
        <v>41365</v>
      </c>
      <c r="G707" s="19">
        <f>IFERROR(__xludf.DUMMYFUNCTION("""COMPUTED_VALUE"""),0.8666666666666666)</f>
        <v>0.8666666667</v>
      </c>
      <c r="H707" s="17">
        <f>IFERROR(__xludf.DUMMYFUNCTION("""COMPUTED_VALUE"""),41296.0)</f>
        <v>41296</v>
      </c>
      <c r="I707" s="19">
        <f>IFERROR(__xludf.DUMMYFUNCTION("""COMPUTED_VALUE"""),0.11944444444444445)</f>
        <v>0.1194444444</v>
      </c>
      <c r="J707" s="21">
        <f>IFERROR(__xludf.DUMMYFUNCTION("""COMPUTED_VALUE"""),72.0)</f>
        <v>72</v>
      </c>
      <c r="K707" s="23">
        <f>IFERROR(__xludf.DUMMYFUNCTION("""COMPUTED_VALUE"""),7.0)</f>
        <v>7</v>
      </c>
      <c r="L707" s="24">
        <f>IFERROR(__xludf.DUMMYFUNCTION("""COMPUTED_VALUE"""),6.0)</f>
        <v>6</v>
      </c>
      <c r="M707" s="25" t="str">
        <f>IFERROR(__xludf.DUMMYFUNCTION("""COMPUTED_VALUE"""),"Adventure")</f>
        <v>Adventure</v>
      </c>
      <c r="N707" s="25"/>
      <c r="O707" s="26" t="str">
        <f>IFERROR(__xludf.DUMMYFUNCTION("""COMPUTED_VALUE"""),"No")</f>
        <v>No</v>
      </c>
      <c r="P707" s="26"/>
    </row>
    <row r="708">
      <c r="A708" s="13" t="str">
        <f>IFERROR(__xludf.DUMMYFUNCTION("""COMPUTED_VALUE"""),"Tekken VI")</f>
        <v>Tekken VI</v>
      </c>
      <c r="B708" s="15" t="str">
        <f>IFERROR(__xludf.DUMMYFUNCTION("""COMPUTED_VALUE"""),"PSP")</f>
        <v>PSP</v>
      </c>
      <c r="C708" s="16" t="str">
        <f>IFERROR(__xludf.DUMMYFUNCTION("""COMPUTED_VALUE"""),"Playstation Plus (Discontinued)")</f>
        <v>Playstation Plus (Discontinued)</v>
      </c>
      <c r="D708" s="15" t="str">
        <f>IFERROR(__xludf.DUMMYFUNCTION("""COMPUTED_VALUE"""),"Removed")</f>
        <v>Removed</v>
      </c>
      <c r="E708" s="17">
        <f>IFERROR(__xludf.DUMMYFUNCTION("""COMPUTED_VALUE"""),41338.0)</f>
        <v>41338</v>
      </c>
      <c r="F708" s="54">
        <f>IFERROR(__xludf.DUMMYFUNCTION("""COMPUTED_VALUE"""),41365.0)</f>
        <v>41365</v>
      </c>
      <c r="G708" s="19">
        <f>IFERROR(__xludf.DUMMYFUNCTION("""COMPUTED_VALUE"""),0.8666666666666666)</f>
        <v>0.8666666667</v>
      </c>
      <c r="H708" s="17">
        <f>IFERROR(__xludf.DUMMYFUNCTION("""COMPUTED_VALUE"""),40113.0)</f>
        <v>40113</v>
      </c>
      <c r="I708" s="19">
        <f>IFERROR(__xludf.DUMMYFUNCTION("""COMPUTED_VALUE"""),3.3555555555555556)</f>
        <v>3.355555556</v>
      </c>
      <c r="J708" s="21">
        <f>IFERROR(__xludf.DUMMYFUNCTION("""COMPUTED_VALUE"""),82.0)</f>
        <v>82</v>
      </c>
      <c r="K708" s="23">
        <f>IFERROR(__xludf.DUMMYFUNCTION("""COMPUTED_VALUE"""),8.2)</f>
        <v>8.2</v>
      </c>
      <c r="L708" s="24"/>
      <c r="M708" s="25" t="str">
        <f>IFERROR(__xludf.DUMMYFUNCTION("""COMPUTED_VALUE"""),"Fighting")</f>
        <v>Fighting</v>
      </c>
      <c r="N708" s="25"/>
      <c r="O708" s="26" t="str">
        <f>IFERROR(__xludf.DUMMYFUNCTION("""COMPUTED_VALUE"""),"No")</f>
        <v>No</v>
      </c>
      <c r="P708" s="26"/>
    </row>
    <row r="709">
      <c r="A709" s="13" t="str">
        <f>IFERROR(__xludf.DUMMYFUNCTION("""COMPUTED_VALUE"""),"Disgaea 3: Absence of Detention")</f>
        <v>Disgaea 3: Absence of Detention</v>
      </c>
      <c r="B709" s="15" t="str">
        <f>IFERROR(__xludf.DUMMYFUNCTION("""COMPUTED_VALUE"""),"Vita")</f>
        <v>Vita</v>
      </c>
      <c r="C709" s="16" t="str">
        <f>IFERROR(__xludf.DUMMYFUNCTION("""COMPUTED_VALUE"""),"Playstation Plus (Discontinued)")</f>
        <v>Playstation Plus (Discontinued)</v>
      </c>
      <c r="D709" s="15" t="str">
        <f>IFERROR(__xludf.DUMMYFUNCTION("""COMPUTED_VALUE"""),"Removed")</f>
        <v>Removed</v>
      </c>
      <c r="E709" s="17">
        <f>IFERROR(__xludf.DUMMYFUNCTION("""COMPUTED_VALUE"""),41338.0)</f>
        <v>41338</v>
      </c>
      <c r="F709" s="54">
        <f>IFERROR(__xludf.DUMMYFUNCTION("""COMPUTED_VALUE"""),41365.0)</f>
        <v>41365</v>
      </c>
      <c r="G709" s="19">
        <f>IFERROR(__xludf.DUMMYFUNCTION("""COMPUTED_VALUE"""),0.8666666666666666)</f>
        <v>0.8666666667</v>
      </c>
      <c r="H709" s="17">
        <f>IFERROR(__xludf.DUMMYFUNCTION("""COMPUTED_VALUE"""),41142.0)</f>
        <v>41142</v>
      </c>
      <c r="I709" s="19">
        <f>IFERROR(__xludf.DUMMYFUNCTION("""COMPUTED_VALUE"""),0.5388888888888889)</f>
        <v>0.5388888889</v>
      </c>
      <c r="J709" s="21">
        <f>IFERROR(__xludf.DUMMYFUNCTION("""COMPUTED_VALUE"""),78.0)</f>
        <v>78</v>
      </c>
      <c r="K709" s="23">
        <f>IFERROR(__xludf.DUMMYFUNCTION("""COMPUTED_VALUE"""),8.1)</f>
        <v>8.1</v>
      </c>
      <c r="L709" s="24">
        <f>IFERROR(__xludf.DUMMYFUNCTION("""COMPUTED_VALUE"""),40.0)</f>
        <v>40</v>
      </c>
      <c r="M709" s="25" t="str">
        <f>IFERROR(__xludf.DUMMYFUNCTION("""COMPUTED_VALUE"""),"RPG")</f>
        <v>RPG</v>
      </c>
      <c r="N709" s="25"/>
      <c r="O709" s="26" t="str">
        <f>IFERROR(__xludf.DUMMYFUNCTION("""COMPUTED_VALUE"""),"No")</f>
        <v>No</v>
      </c>
      <c r="P709" s="26"/>
    </row>
    <row r="710">
      <c r="A710" s="13" t="str">
        <f>IFERROR(__xludf.DUMMYFUNCTION("""COMPUTED_VALUE"""),"Joe Danger 2: The Movie")</f>
        <v>Joe Danger 2: The Movie</v>
      </c>
      <c r="B710" s="15" t="str">
        <f>IFERROR(__xludf.DUMMYFUNCTION("""COMPUTED_VALUE"""),"PS3")</f>
        <v>PS3</v>
      </c>
      <c r="C710" s="16" t="str">
        <f>IFERROR(__xludf.DUMMYFUNCTION("""COMPUTED_VALUE"""),"Playstation Plus (Discontinued)")</f>
        <v>Playstation Plus (Discontinued)</v>
      </c>
      <c r="D710" s="15" t="str">
        <f>IFERROR(__xludf.DUMMYFUNCTION("""COMPUTED_VALUE"""),"Removed")</f>
        <v>Removed</v>
      </c>
      <c r="E710" s="17">
        <f>IFERROR(__xludf.DUMMYFUNCTION("""COMPUTED_VALUE"""),41338.0)</f>
        <v>41338</v>
      </c>
      <c r="F710" s="54">
        <f>IFERROR(__xludf.DUMMYFUNCTION("""COMPUTED_VALUE"""),41365.0)</f>
        <v>41365</v>
      </c>
      <c r="G710" s="19">
        <f>IFERROR(__xludf.DUMMYFUNCTION("""COMPUTED_VALUE"""),0.8666666666666666)</f>
        <v>0.8666666667</v>
      </c>
      <c r="H710" s="17">
        <f>IFERROR(__xludf.DUMMYFUNCTION("""COMPUTED_VALUE"""),41165.0)</f>
        <v>41165</v>
      </c>
      <c r="I710" s="19">
        <f>IFERROR(__xludf.DUMMYFUNCTION("""COMPUTED_VALUE"""),0.4777777777777778)</f>
        <v>0.4777777778</v>
      </c>
      <c r="J710" s="21">
        <f>IFERROR(__xludf.DUMMYFUNCTION("""COMPUTED_VALUE"""),82.0)</f>
        <v>82</v>
      </c>
      <c r="K710" s="23">
        <f>IFERROR(__xludf.DUMMYFUNCTION("""COMPUTED_VALUE"""),7.7)</f>
        <v>7.7</v>
      </c>
      <c r="L710" s="24">
        <f>IFERROR(__xludf.DUMMYFUNCTION("""COMPUTED_VALUE"""),7.0)</f>
        <v>7</v>
      </c>
      <c r="M710" s="25" t="str">
        <f>IFERROR(__xludf.DUMMYFUNCTION("""COMPUTED_VALUE"""),"Racing")</f>
        <v>Racing</v>
      </c>
      <c r="N710" s="25"/>
      <c r="O710" s="26" t="str">
        <f>IFERROR(__xludf.DUMMYFUNCTION("""COMPUTED_VALUE"""),"No")</f>
        <v>No</v>
      </c>
      <c r="P710" s="26"/>
    </row>
    <row r="711">
      <c r="A711" s="13" t="str">
        <f>IFERROR(__xludf.DUMMYFUNCTION("""COMPUTED_VALUE"""),"Spec Ops: The Line")</f>
        <v>Spec Ops: The Line</v>
      </c>
      <c r="B711" s="15" t="str">
        <f>IFERROR(__xludf.DUMMYFUNCTION("""COMPUTED_VALUE"""),"PS3")</f>
        <v>PS3</v>
      </c>
      <c r="C711" s="16" t="str">
        <f>IFERROR(__xludf.DUMMYFUNCTION("""COMPUTED_VALUE"""),"Playstation Plus (Discontinued)")</f>
        <v>Playstation Plus (Discontinued)</v>
      </c>
      <c r="D711" s="15" t="str">
        <f>IFERROR(__xludf.DUMMYFUNCTION("""COMPUTED_VALUE"""),"Removed")</f>
        <v>Removed</v>
      </c>
      <c r="E711" s="17">
        <f>IFERROR(__xludf.DUMMYFUNCTION("""COMPUTED_VALUE"""),41338.0)</f>
        <v>41338</v>
      </c>
      <c r="F711" s="54">
        <f>IFERROR(__xludf.DUMMYFUNCTION("""COMPUTED_VALUE"""),41365.0)</f>
        <v>41365</v>
      </c>
      <c r="G711" s="19">
        <f>IFERROR(__xludf.DUMMYFUNCTION("""COMPUTED_VALUE"""),0.8666666666666666)</f>
        <v>0.8666666667</v>
      </c>
      <c r="H711" s="17">
        <f>IFERROR(__xludf.DUMMYFUNCTION("""COMPUTED_VALUE"""),41086.0)</f>
        <v>41086</v>
      </c>
      <c r="I711" s="19">
        <f>IFERROR(__xludf.DUMMYFUNCTION("""COMPUTED_VALUE"""),0.6916666666666667)</f>
        <v>0.6916666667</v>
      </c>
      <c r="J711" s="21">
        <f>IFERROR(__xludf.DUMMYFUNCTION("""COMPUTED_VALUE"""),76.0)</f>
        <v>76</v>
      </c>
      <c r="K711" s="23">
        <f>IFERROR(__xludf.DUMMYFUNCTION("""COMPUTED_VALUE"""),8.2)</f>
        <v>8.2</v>
      </c>
      <c r="L711" s="24">
        <f>IFERROR(__xludf.DUMMYFUNCTION("""COMPUTED_VALUE"""),7.0)</f>
        <v>7</v>
      </c>
      <c r="M711" s="25" t="str">
        <f>IFERROR(__xludf.DUMMYFUNCTION("""COMPUTED_VALUE"""),"Shooter")</f>
        <v>Shooter</v>
      </c>
      <c r="N711" s="25"/>
      <c r="O711" s="26" t="str">
        <f>IFERROR(__xludf.DUMMYFUNCTION("""COMPUTED_VALUE"""),"No")</f>
        <v>No</v>
      </c>
      <c r="P711" s="26"/>
    </row>
    <row r="712">
      <c r="A712" s="13" t="str">
        <f>IFERROR(__xludf.DUMMYFUNCTION("""COMPUTED_VALUE"""),"Plants vs. Zombies")</f>
        <v>Plants vs. Zombies</v>
      </c>
      <c r="B712" s="15" t="str">
        <f>IFERROR(__xludf.DUMMYFUNCTION("""COMPUTED_VALUE"""),"Vita")</f>
        <v>Vita</v>
      </c>
      <c r="C712" s="16" t="str">
        <f>IFERROR(__xludf.DUMMYFUNCTION("""COMPUTED_VALUE"""),"Playstation Plus (Discontinued)")</f>
        <v>Playstation Plus (Discontinued)</v>
      </c>
      <c r="D712" s="15" t="str">
        <f>IFERROR(__xludf.DUMMYFUNCTION("""COMPUTED_VALUE"""),"Removed")</f>
        <v>Removed</v>
      </c>
      <c r="E712" s="17">
        <f>IFERROR(__xludf.DUMMYFUNCTION("""COMPUTED_VALUE"""),41310.0)</f>
        <v>41310</v>
      </c>
      <c r="F712" s="54">
        <f>IFERROR(__xludf.DUMMYFUNCTION("""COMPUTED_VALUE"""),41337.0)</f>
        <v>41337</v>
      </c>
      <c r="G712" s="19">
        <f>IFERROR(__xludf.DUMMYFUNCTION("""COMPUTED_VALUE"""),0.9666666666666668)</f>
        <v>0.9666666667</v>
      </c>
      <c r="H712" s="17">
        <f>IFERROR(__xludf.DUMMYFUNCTION("""COMPUTED_VALUE"""),39938.0)</f>
        <v>39938</v>
      </c>
      <c r="I712" s="19">
        <f>IFERROR(__xludf.DUMMYFUNCTION("""COMPUTED_VALUE"""),3.75)</f>
        <v>3.75</v>
      </c>
      <c r="J712" s="21">
        <f>IFERROR(__xludf.DUMMYFUNCTION("""COMPUTED_VALUE"""),87.0)</f>
        <v>87</v>
      </c>
      <c r="K712" s="23">
        <f>IFERROR(__xludf.DUMMYFUNCTION("""COMPUTED_VALUE"""),8.7)</f>
        <v>8.7</v>
      </c>
      <c r="L712" s="24">
        <f>IFERROR(__xludf.DUMMYFUNCTION("""COMPUTED_VALUE"""),6.0)</f>
        <v>6</v>
      </c>
      <c r="M712" s="25" t="str">
        <f>IFERROR(__xludf.DUMMYFUNCTION("""COMPUTED_VALUE"""),"Strategy")</f>
        <v>Strategy</v>
      </c>
      <c r="N712" s="25"/>
      <c r="O712" s="26" t="str">
        <f>IFERROR(__xludf.DUMMYFUNCTION("""COMPUTED_VALUE"""),"No")</f>
        <v>No</v>
      </c>
      <c r="P712" s="26"/>
    </row>
    <row r="713">
      <c r="A713" s="13" t="str">
        <f>IFERROR(__xludf.DUMMYFUNCTION("""COMPUTED_VALUE"""),"Vanquish")</f>
        <v>Vanquish</v>
      </c>
      <c r="B713" s="15" t="str">
        <f>IFERROR(__xludf.DUMMYFUNCTION("""COMPUTED_VALUE"""),"PS3")</f>
        <v>PS3</v>
      </c>
      <c r="C713" s="16" t="str">
        <f>IFERROR(__xludf.DUMMYFUNCTION("""COMPUTED_VALUE"""),"Playstation Plus (Discontinued)")</f>
        <v>Playstation Plus (Discontinued)</v>
      </c>
      <c r="D713" s="15" t="str">
        <f>IFERROR(__xludf.DUMMYFUNCTION("""COMPUTED_VALUE"""),"Removed")</f>
        <v>Removed</v>
      </c>
      <c r="E713" s="17">
        <f>IFERROR(__xludf.DUMMYFUNCTION("""COMPUTED_VALUE"""),41310.0)</f>
        <v>41310</v>
      </c>
      <c r="F713" s="54">
        <f>IFERROR(__xludf.DUMMYFUNCTION("""COMPUTED_VALUE"""),41337.0)</f>
        <v>41337</v>
      </c>
      <c r="G713" s="19">
        <f>IFERROR(__xludf.DUMMYFUNCTION("""COMPUTED_VALUE"""),0.9666666666666668)</f>
        <v>0.9666666667</v>
      </c>
      <c r="H713" s="17">
        <f>IFERROR(__xludf.DUMMYFUNCTION("""COMPUTED_VALUE"""),40470.0)</f>
        <v>40470</v>
      </c>
      <c r="I713" s="19">
        <f>IFERROR(__xludf.DUMMYFUNCTION("""COMPUTED_VALUE"""),2.2944444444444443)</f>
        <v>2.294444444</v>
      </c>
      <c r="J713" s="21">
        <f>IFERROR(__xludf.DUMMYFUNCTION("""COMPUTED_VALUE"""),78.0)</f>
        <v>78</v>
      </c>
      <c r="K713" s="23">
        <f>IFERROR(__xludf.DUMMYFUNCTION("""COMPUTED_VALUE"""),8.5)</f>
        <v>8.5</v>
      </c>
      <c r="L713" s="24">
        <f>IFERROR(__xludf.DUMMYFUNCTION("""COMPUTED_VALUE"""),6.0)</f>
        <v>6</v>
      </c>
      <c r="M713" s="25" t="str">
        <f>IFERROR(__xludf.DUMMYFUNCTION("""COMPUTED_VALUE"""),"Shooter")</f>
        <v>Shooter</v>
      </c>
      <c r="N713" s="25"/>
      <c r="O713" s="26" t="str">
        <f>IFERROR(__xludf.DUMMYFUNCTION("""COMPUTED_VALUE"""),"No")</f>
        <v>No</v>
      </c>
      <c r="P713" s="26"/>
    </row>
    <row r="714">
      <c r="A714" s="13" t="str">
        <f>IFERROR(__xludf.DUMMYFUNCTION("""COMPUTED_VALUE"""),"Mega Man Maverick Hunter X")</f>
        <v>Mega Man Maverick Hunter X</v>
      </c>
      <c r="B714" s="15" t="str">
        <f>IFERROR(__xludf.DUMMYFUNCTION("""COMPUTED_VALUE"""),"PSP")</f>
        <v>PSP</v>
      </c>
      <c r="C714" s="16" t="str">
        <f>IFERROR(__xludf.DUMMYFUNCTION("""COMPUTED_VALUE"""),"Playstation Plus (Discontinued)")</f>
        <v>Playstation Plus (Discontinued)</v>
      </c>
      <c r="D714" s="15" t="str">
        <f>IFERROR(__xludf.DUMMYFUNCTION("""COMPUTED_VALUE"""),"Removed")</f>
        <v>Removed</v>
      </c>
      <c r="E714" s="17">
        <f>IFERROR(__xludf.DUMMYFUNCTION("""COMPUTED_VALUE"""),41310.0)</f>
        <v>41310</v>
      </c>
      <c r="F714" s="54">
        <f>IFERROR(__xludf.DUMMYFUNCTION("""COMPUTED_VALUE"""),41337.0)</f>
        <v>41337</v>
      </c>
      <c r="G714" s="19">
        <f>IFERROR(__xludf.DUMMYFUNCTION("""COMPUTED_VALUE"""),0.9666666666666668)</f>
        <v>0.9666666667</v>
      </c>
      <c r="H714" s="17">
        <f>IFERROR(__xludf.DUMMYFUNCTION("""COMPUTED_VALUE"""),38705.0)</f>
        <v>38705</v>
      </c>
      <c r="I714" s="19">
        <f>IFERROR(__xludf.DUMMYFUNCTION("""COMPUTED_VALUE"""),7.127777777777778)</f>
        <v>7.127777778</v>
      </c>
      <c r="J714" s="21">
        <f>IFERROR(__xludf.DUMMYFUNCTION("""COMPUTED_VALUE"""),79.0)</f>
        <v>79</v>
      </c>
      <c r="K714" s="23">
        <f>IFERROR(__xludf.DUMMYFUNCTION("""COMPUTED_VALUE"""),8.0)</f>
        <v>8</v>
      </c>
      <c r="L714" s="24">
        <f>IFERROR(__xludf.DUMMYFUNCTION("""COMPUTED_VALUE"""),4.0)</f>
        <v>4</v>
      </c>
      <c r="M714" s="25" t="str">
        <f>IFERROR(__xludf.DUMMYFUNCTION("""COMPUTED_VALUE"""),"Platformer")</f>
        <v>Platformer</v>
      </c>
      <c r="N714" s="25"/>
      <c r="O714" s="26" t="str">
        <f>IFERROR(__xludf.DUMMYFUNCTION("""COMPUTED_VALUE"""),"No")</f>
        <v>No</v>
      </c>
      <c r="P714" s="26"/>
    </row>
    <row r="715">
      <c r="A715" s="13" t="str">
        <f>IFERROR(__xludf.DUMMYFUNCTION("""COMPUTED_VALUE"""),"Closure")</f>
        <v>Closure</v>
      </c>
      <c r="B715" s="15" t="str">
        <f>IFERROR(__xludf.DUMMYFUNCTION("""COMPUTED_VALUE"""),"PS3")</f>
        <v>PS3</v>
      </c>
      <c r="C715" s="16" t="str">
        <f>IFERROR(__xludf.DUMMYFUNCTION("""COMPUTED_VALUE"""),"Playstation Plus (Discontinued)")</f>
        <v>Playstation Plus (Discontinued)</v>
      </c>
      <c r="D715" s="15" t="str">
        <f>IFERROR(__xludf.DUMMYFUNCTION("""COMPUTED_VALUE"""),"Removed")</f>
        <v>Removed</v>
      </c>
      <c r="E715" s="17">
        <f>IFERROR(__xludf.DUMMYFUNCTION("""COMPUTED_VALUE"""),41310.0)</f>
        <v>41310</v>
      </c>
      <c r="F715" s="54">
        <f>IFERROR(__xludf.DUMMYFUNCTION("""COMPUTED_VALUE"""),41337.0)</f>
        <v>41337</v>
      </c>
      <c r="G715" s="19">
        <f>IFERROR(__xludf.DUMMYFUNCTION("""COMPUTED_VALUE"""),0.9666666666666668)</f>
        <v>0.9666666667</v>
      </c>
      <c r="H715" s="17">
        <f>IFERROR(__xludf.DUMMYFUNCTION("""COMPUTED_VALUE"""),40995.0)</f>
        <v>40995</v>
      </c>
      <c r="I715" s="19">
        <f>IFERROR(__xludf.DUMMYFUNCTION("""COMPUTED_VALUE"""),0.8555555555555555)</f>
        <v>0.8555555556</v>
      </c>
      <c r="J715" s="21">
        <f>IFERROR(__xludf.DUMMYFUNCTION("""COMPUTED_VALUE"""),79.0)</f>
        <v>79</v>
      </c>
      <c r="K715" s="23">
        <f>IFERROR(__xludf.DUMMYFUNCTION("""COMPUTED_VALUE"""),7.4)</f>
        <v>7.4</v>
      </c>
      <c r="L715" s="24">
        <f>IFERROR(__xludf.DUMMYFUNCTION("""COMPUTED_VALUE"""),5.0)</f>
        <v>5</v>
      </c>
      <c r="M715" s="25" t="str">
        <f>IFERROR(__xludf.DUMMYFUNCTION("""COMPUTED_VALUE"""),"Puzzle")</f>
        <v>Puzzle</v>
      </c>
      <c r="N715" s="25"/>
      <c r="O715" s="26" t="str">
        <f>IFERROR(__xludf.DUMMYFUNCTION("""COMPUTED_VALUE"""),"No")</f>
        <v>No</v>
      </c>
      <c r="P715" s="26"/>
    </row>
    <row r="716">
      <c r="A716" s="13" t="str">
        <f>IFERROR(__xludf.DUMMYFUNCTION("""COMPUTED_VALUE"""),"Guardians of Middle Earth")</f>
        <v>Guardians of Middle Earth</v>
      </c>
      <c r="B716" s="15" t="str">
        <f>IFERROR(__xludf.DUMMYFUNCTION("""COMPUTED_VALUE"""),"PS3")</f>
        <v>PS3</v>
      </c>
      <c r="C716" s="16" t="str">
        <f>IFERROR(__xludf.DUMMYFUNCTION("""COMPUTED_VALUE"""),"Playstation Plus (Discontinued)")</f>
        <v>Playstation Plus (Discontinued)</v>
      </c>
      <c r="D716" s="15" t="str">
        <f>IFERROR(__xludf.DUMMYFUNCTION("""COMPUTED_VALUE"""),"Removed")</f>
        <v>Removed</v>
      </c>
      <c r="E716" s="17">
        <f>IFERROR(__xludf.DUMMYFUNCTION("""COMPUTED_VALUE"""),41310.0)</f>
        <v>41310</v>
      </c>
      <c r="F716" s="54">
        <f>IFERROR(__xludf.DUMMYFUNCTION("""COMPUTED_VALUE"""),41337.0)</f>
        <v>41337</v>
      </c>
      <c r="G716" s="19">
        <f>IFERROR(__xludf.DUMMYFUNCTION("""COMPUTED_VALUE"""),0.9666666666666668)</f>
        <v>0.9666666667</v>
      </c>
      <c r="H716" s="17">
        <f>IFERROR(__xludf.DUMMYFUNCTION("""COMPUTED_VALUE"""),41247.0)</f>
        <v>41247</v>
      </c>
      <c r="I716" s="19">
        <f>IFERROR(__xludf.DUMMYFUNCTION("""COMPUTED_VALUE"""),0.16944444444444445)</f>
        <v>0.1694444444</v>
      </c>
      <c r="J716" s="21">
        <f>IFERROR(__xludf.DUMMYFUNCTION("""COMPUTED_VALUE"""),56.0)</f>
        <v>56</v>
      </c>
      <c r="K716" s="23">
        <f>IFERROR(__xludf.DUMMYFUNCTION("""COMPUTED_VALUE"""),5.8)</f>
        <v>5.8</v>
      </c>
      <c r="L716" s="24"/>
      <c r="M716" s="25" t="str">
        <f>IFERROR(__xludf.DUMMYFUNCTION("""COMPUTED_VALUE"""),"Strategy")</f>
        <v>Strategy</v>
      </c>
      <c r="N716" s="25"/>
      <c r="O716" s="26" t="str">
        <f>IFERROR(__xludf.DUMMYFUNCTION("""COMPUTED_VALUE"""),"No")</f>
        <v>No</v>
      </c>
      <c r="P716" s="26"/>
    </row>
    <row r="717">
      <c r="A717" s="13" t="str">
        <f>IFERROR(__xludf.DUMMYFUNCTION("""COMPUTED_VALUE"""),"Ninja Gaiden Sigma Plus")</f>
        <v>Ninja Gaiden Sigma Plus</v>
      </c>
      <c r="B717" s="15" t="str">
        <f>IFERROR(__xludf.DUMMYFUNCTION("""COMPUTED_VALUE"""),"Vita")</f>
        <v>Vita</v>
      </c>
      <c r="C717" s="16" t="str">
        <f>IFERROR(__xludf.DUMMYFUNCTION("""COMPUTED_VALUE"""),"Playstation Plus (Discontinued)")</f>
        <v>Playstation Plus (Discontinued)</v>
      </c>
      <c r="D717" s="15" t="str">
        <f>IFERROR(__xludf.DUMMYFUNCTION("""COMPUTED_VALUE"""),"Removed")</f>
        <v>Removed</v>
      </c>
      <c r="E717" s="17">
        <f>IFERROR(__xludf.DUMMYFUNCTION("""COMPUTED_VALUE"""),41275.0)</f>
        <v>41275</v>
      </c>
      <c r="F717" s="54">
        <f>IFERROR(__xludf.DUMMYFUNCTION("""COMPUTED_VALUE"""),41309.0)</f>
        <v>41309</v>
      </c>
      <c r="G717" s="19">
        <f>IFERROR(__xludf.DUMMYFUNCTION("""COMPUTED_VALUE"""),1.0999999999999999)</f>
        <v>1.1</v>
      </c>
      <c r="H717" s="17">
        <f>IFERROR(__xludf.DUMMYFUNCTION("""COMPUTED_VALUE"""),40960.0)</f>
        <v>40960</v>
      </c>
      <c r="I717" s="19">
        <f>IFERROR(__xludf.DUMMYFUNCTION("""COMPUTED_VALUE"""),0.8611111111111112)</f>
        <v>0.8611111111</v>
      </c>
      <c r="J717" s="21">
        <f>IFERROR(__xludf.DUMMYFUNCTION("""COMPUTED_VALUE"""),72.0)</f>
        <v>72</v>
      </c>
      <c r="K717" s="23">
        <f>IFERROR(__xludf.DUMMYFUNCTION("""COMPUTED_VALUE"""),7.7)</f>
        <v>7.7</v>
      </c>
      <c r="L717" s="24">
        <f>IFERROR(__xludf.DUMMYFUNCTION("""COMPUTED_VALUE"""),16.0)</f>
        <v>16</v>
      </c>
      <c r="M717" s="25" t="str">
        <f>IFERROR(__xludf.DUMMYFUNCTION("""COMPUTED_VALUE"""),"Action-Adventure")</f>
        <v>Action-Adventure</v>
      </c>
      <c r="N717" s="25"/>
      <c r="O717" s="26" t="str">
        <f>IFERROR(__xludf.DUMMYFUNCTION("""COMPUTED_VALUE"""),"No")</f>
        <v>No</v>
      </c>
      <c r="P717" s="26"/>
    </row>
    <row r="718">
      <c r="A718" s="13" t="str">
        <f>IFERROR(__xludf.DUMMYFUNCTION("""COMPUTED_VALUE"""),"Foosball 2012")</f>
        <v>Foosball 2012</v>
      </c>
      <c r="B718" s="15" t="str">
        <f>IFERROR(__xludf.DUMMYFUNCTION("""COMPUTED_VALUE"""),"PS3/Vita")</f>
        <v>PS3/Vita</v>
      </c>
      <c r="C718" s="16" t="str">
        <f>IFERROR(__xludf.DUMMYFUNCTION("""COMPUTED_VALUE"""),"Playstation Plus (Discontinued)")</f>
        <v>Playstation Plus (Discontinued)</v>
      </c>
      <c r="D718" s="15" t="str">
        <f>IFERROR(__xludf.DUMMYFUNCTION("""COMPUTED_VALUE"""),"Removed")</f>
        <v>Removed</v>
      </c>
      <c r="E718" s="17">
        <f>IFERROR(__xludf.DUMMYFUNCTION("""COMPUTED_VALUE"""),41275.0)</f>
        <v>41275</v>
      </c>
      <c r="F718" s="54">
        <f>IFERROR(__xludf.DUMMYFUNCTION("""COMPUTED_VALUE"""),41309.0)</f>
        <v>41309</v>
      </c>
      <c r="G718" s="19">
        <f>IFERROR(__xludf.DUMMYFUNCTION("""COMPUTED_VALUE"""),1.0999999999999999)</f>
        <v>1.1</v>
      </c>
      <c r="H718" s="17">
        <f>IFERROR(__xludf.DUMMYFUNCTION("""COMPUTED_VALUE"""),41170.0)</f>
        <v>41170</v>
      </c>
      <c r="I718" s="19">
        <f>IFERROR(__xludf.DUMMYFUNCTION("""COMPUTED_VALUE"""),0.2861111111111111)</f>
        <v>0.2861111111</v>
      </c>
      <c r="J718" s="21">
        <f>IFERROR(__xludf.DUMMYFUNCTION("""COMPUTED_VALUE"""),65.0)</f>
        <v>65</v>
      </c>
      <c r="K718" s="23">
        <f>IFERROR(__xludf.DUMMYFUNCTION("""COMPUTED_VALUE"""),6.7)</f>
        <v>6.7</v>
      </c>
      <c r="L718" s="24"/>
      <c r="M718" s="25" t="str">
        <f>IFERROR(__xludf.DUMMYFUNCTION("""COMPUTED_VALUE"""),"Sports")</f>
        <v>Sports</v>
      </c>
      <c r="N718" s="25"/>
      <c r="O718" s="26" t="str">
        <f>IFERROR(__xludf.DUMMYFUNCTION("""COMPUTED_VALUE"""),"No")</f>
        <v>No</v>
      </c>
      <c r="P718" s="26"/>
    </row>
    <row r="719">
      <c r="A719" s="13" t="str">
        <f>IFERROR(__xludf.DUMMYFUNCTION("""COMPUTED_VALUE"""),"Darksiders")</f>
        <v>Darksiders</v>
      </c>
      <c r="B719" s="15" t="str">
        <f>IFERROR(__xludf.DUMMYFUNCTION("""COMPUTED_VALUE"""),"PS3")</f>
        <v>PS3</v>
      </c>
      <c r="C719" s="16" t="str">
        <f>IFERROR(__xludf.DUMMYFUNCTION("""COMPUTED_VALUE"""),"Playstation Plus (Discontinued)")</f>
        <v>Playstation Plus (Discontinued)</v>
      </c>
      <c r="D719" s="15" t="str">
        <f>IFERROR(__xludf.DUMMYFUNCTION("""COMPUTED_VALUE"""),"Removed")</f>
        <v>Removed</v>
      </c>
      <c r="E719" s="17">
        <f>IFERROR(__xludf.DUMMYFUNCTION("""COMPUTED_VALUE"""),41275.0)</f>
        <v>41275</v>
      </c>
      <c r="F719" s="54">
        <f>IFERROR(__xludf.DUMMYFUNCTION("""COMPUTED_VALUE"""),41309.0)</f>
        <v>41309</v>
      </c>
      <c r="G719" s="19">
        <f>IFERROR(__xludf.DUMMYFUNCTION("""COMPUTED_VALUE"""),1.0999999999999999)</f>
        <v>1.1</v>
      </c>
      <c r="H719" s="17">
        <f>IFERROR(__xludf.DUMMYFUNCTION("""COMPUTED_VALUE"""),40183.0)</f>
        <v>40183</v>
      </c>
      <c r="I719" s="19">
        <f>IFERROR(__xludf.DUMMYFUNCTION("""COMPUTED_VALUE"""),2.988888888888889)</f>
        <v>2.988888889</v>
      </c>
      <c r="J719" s="21">
        <f>IFERROR(__xludf.DUMMYFUNCTION("""COMPUTED_VALUE"""),83.0)</f>
        <v>83</v>
      </c>
      <c r="K719" s="23">
        <f>IFERROR(__xludf.DUMMYFUNCTION("""COMPUTED_VALUE"""),8.1)</f>
        <v>8.1</v>
      </c>
      <c r="L719" s="24">
        <f>IFERROR(__xludf.DUMMYFUNCTION("""COMPUTED_VALUE"""),17.0)</f>
        <v>17</v>
      </c>
      <c r="M719" s="25" t="str">
        <f>IFERROR(__xludf.DUMMYFUNCTION("""COMPUTED_VALUE"""),"Action-Adventure")</f>
        <v>Action-Adventure</v>
      </c>
      <c r="N719" s="25"/>
      <c r="O719" s="26" t="str">
        <f>IFERROR(__xludf.DUMMYFUNCTION("""COMPUTED_VALUE"""),"No")</f>
        <v>No</v>
      </c>
      <c r="P719" s="26"/>
    </row>
    <row r="720">
      <c r="A720" s="13" t="str">
        <f>IFERROR(__xludf.DUMMYFUNCTION("""COMPUTED_VALUE"""),"Mega Man 10")</f>
        <v>Mega Man 10</v>
      </c>
      <c r="B720" s="15" t="str">
        <f>IFERROR(__xludf.DUMMYFUNCTION("""COMPUTED_VALUE"""),"PS3")</f>
        <v>PS3</v>
      </c>
      <c r="C720" s="16" t="str">
        <f>IFERROR(__xludf.DUMMYFUNCTION("""COMPUTED_VALUE"""),"Playstation Plus (Discontinued)")</f>
        <v>Playstation Plus (Discontinued)</v>
      </c>
      <c r="D720" s="15" t="str">
        <f>IFERROR(__xludf.DUMMYFUNCTION("""COMPUTED_VALUE"""),"Removed")</f>
        <v>Removed</v>
      </c>
      <c r="E720" s="17">
        <f>IFERROR(__xludf.DUMMYFUNCTION("""COMPUTED_VALUE"""),41275.0)</f>
        <v>41275</v>
      </c>
      <c r="F720" s="54">
        <f>IFERROR(__xludf.DUMMYFUNCTION("""COMPUTED_VALUE"""),41309.0)</f>
        <v>41309</v>
      </c>
      <c r="G720" s="19">
        <f>IFERROR(__xludf.DUMMYFUNCTION("""COMPUTED_VALUE"""),1.0999999999999999)</f>
        <v>1.1</v>
      </c>
      <c r="H720" s="17">
        <f>IFERROR(__xludf.DUMMYFUNCTION("""COMPUTED_VALUE"""),40242.0)</f>
        <v>40242</v>
      </c>
      <c r="I720" s="19">
        <f>IFERROR(__xludf.DUMMYFUNCTION("""COMPUTED_VALUE"""),2.8222222222222224)</f>
        <v>2.822222222</v>
      </c>
      <c r="J720" s="21">
        <f>IFERROR(__xludf.DUMMYFUNCTION("""COMPUTED_VALUE"""),82.0)</f>
        <v>82</v>
      </c>
      <c r="K720" s="23">
        <f>IFERROR(__xludf.DUMMYFUNCTION("""COMPUTED_VALUE"""),7.8)</f>
        <v>7.8</v>
      </c>
      <c r="L720" s="24">
        <f>IFERROR(__xludf.DUMMYFUNCTION("""COMPUTED_VALUE"""),5.0)</f>
        <v>5</v>
      </c>
      <c r="M720" s="25" t="str">
        <f>IFERROR(__xludf.DUMMYFUNCTION("""COMPUTED_VALUE"""),"Platformer")</f>
        <v>Platformer</v>
      </c>
      <c r="N720" s="25"/>
      <c r="O720" s="26" t="str">
        <f>IFERROR(__xludf.DUMMYFUNCTION("""COMPUTED_VALUE"""),"No")</f>
        <v>No</v>
      </c>
      <c r="P720" s="26"/>
    </row>
    <row r="721">
      <c r="A721" s="13" t="str">
        <f>IFERROR(__xludf.DUMMYFUNCTION("""COMPUTED_VALUE"""),"Mega Man 9")</f>
        <v>Mega Man 9</v>
      </c>
      <c r="B721" s="15" t="str">
        <f>IFERROR(__xludf.DUMMYFUNCTION("""COMPUTED_VALUE"""),"PS3")</f>
        <v>PS3</v>
      </c>
      <c r="C721" s="16" t="str">
        <f>IFERROR(__xludf.DUMMYFUNCTION("""COMPUTED_VALUE"""),"Playstation Plus (Discontinued)")</f>
        <v>Playstation Plus (Discontinued)</v>
      </c>
      <c r="D721" s="15" t="str">
        <f>IFERROR(__xludf.DUMMYFUNCTION("""COMPUTED_VALUE"""),"Removed")</f>
        <v>Removed</v>
      </c>
      <c r="E721" s="17">
        <f>IFERROR(__xludf.DUMMYFUNCTION("""COMPUTED_VALUE"""),41275.0)</f>
        <v>41275</v>
      </c>
      <c r="F721" s="54">
        <f>IFERROR(__xludf.DUMMYFUNCTION("""COMPUTED_VALUE"""),41309.0)</f>
        <v>41309</v>
      </c>
      <c r="G721" s="19">
        <f>IFERROR(__xludf.DUMMYFUNCTION("""COMPUTED_VALUE"""),1.0999999999999999)</f>
        <v>1.1</v>
      </c>
      <c r="H721" s="17">
        <f>IFERROR(__xludf.DUMMYFUNCTION("""COMPUTED_VALUE"""),39713.0)</f>
        <v>39713</v>
      </c>
      <c r="I721" s="19">
        <f>IFERROR(__xludf.DUMMYFUNCTION("""COMPUTED_VALUE"""),4.275)</f>
        <v>4.275</v>
      </c>
      <c r="J721" s="21">
        <f>IFERROR(__xludf.DUMMYFUNCTION("""COMPUTED_VALUE"""),82.0)</f>
        <v>82</v>
      </c>
      <c r="K721" s="23">
        <f>IFERROR(__xludf.DUMMYFUNCTION("""COMPUTED_VALUE"""),7.8)</f>
        <v>7.8</v>
      </c>
      <c r="L721" s="24">
        <f>IFERROR(__xludf.DUMMYFUNCTION("""COMPUTED_VALUE"""),5.0)</f>
        <v>5</v>
      </c>
      <c r="M721" s="25" t="str">
        <f>IFERROR(__xludf.DUMMYFUNCTION("""COMPUTED_VALUE"""),"Platformer")</f>
        <v>Platformer</v>
      </c>
      <c r="N721" s="25"/>
      <c r="O721" s="26" t="str">
        <f>IFERROR(__xludf.DUMMYFUNCTION("""COMPUTED_VALUE"""),"No")</f>
        <v>No</v>
      </c>
      <c r="P721" s="26"/>
    </row>
    <row r="722">
      <c r="A722" s="13" t="str">
        <f>IFERROR(__xludf.DUMMYFUNCTION("""COMPUTED_VALUE"""),"Chronovolt")</f>
        <v>Chronovolt</v>
      </c>
      <c r="B722" s="15" t="str">
        <f>IFERROR(__xludf.DUMMYFUNCTION("""COMPUTED_VALUE"""),"Vita")</f>
        <v>Vita</v>
      </c>
      <c r="C722" s="16" t="str">
        <f>IFERROR(__xludf.DUMMYFUNCTION("""COMPUTED_VALUE"""),"Playstation Plus (Discontinued)")</f>
        <v>Playstation Plus (Discontinued)</v>
      </c>
      <c r="D722" s="15" t="str">
        <f>IFERROR(__xludf.DUMMYFUNCTION("""COMPUTED_VALUE"""),"Removed")</f>
        <v>Removed</v>
      </c>
      <c r="E722" s="17">
        <f>IFERROR(__xludf.DUMMYFUNCTION("""COMPUTED_VALUE"""),41247.0)</f>
        <v>41247</v>
      </c>
      <c r="F722" s="54">
        <f>IFERROR(__xludf.DUMMYFUNCTION("""COMPUTED_VALUE"""),41274.0)</f>
        <v>41274</v>
      </c>
      <c r="G722" s="19">
        <f>IFERROR(__xludf.DUMMYFUNCTION("""COMPUTED_VALUE"""),0.8666666666666666)</f>
        <v>0.8666666667</v>
      </c>
      <c r="H722" s="17">
        <f>IFERROR(__xludf.DUMMYFUNCTION("""COMPUTED_VALUE"""),41226.0)</f>
        <v>41226</v>
      </c>
      <c r="I722" s="19">
        <f>IFERROR(__xludf.DUMMYFUNCTION("""COMPUTED_VALUE"""),0.058333333333333334)</f>
        <v>0.05833333333</v>
      </c>
      <c r="J722" s="21">
        <f>IFERROR(__xludf.DUMMYFUNCTION("""COMPUTED_VALUE"""),51.0)</f>
        <v>51</v>
      </c>
      <c r="K722" s="23">
        <f>IFERROR(__xludf.DUMMYFUNCTION("""COMPUTED_VALUE"""),5.8)</f>
        <v>5.8</v>
      </c>
      <c r="L722" s="24">
        <f>IFERROR(__xludf.DUMMYFUNCTION("""COMPUTED_VALUE"""),4.0)</f>
        <v>4</v>
      </c>
      <c r="M722" s="25" t="str">
        <f>IFERROR(__xludf.DUMMYFUNCTION("""COMPUTED_VALUE"""),"Puzzle")</f>
        <v>Puzzle</v>
      </c>
      <c r="N722" s="25"/>
      <c r="O722" s="26" t="str">
        <f>IFERROR(__xludf.DUMMYFUNCTION("""COMPUTED_VALUE"""),"No")</f>
        <v>No</v>
      </c>
      <c r="P722" s="26"/>
    </row>
    <row r="723">
      <c r="A723" s="13" t="str">
        <f>IFERROR(__xludf.DUMMYFUNCTION("""COMPUTED_VALUE"""),"NBA Jam: On Fire")</f>
        <v>NBA Jam: On Fire</v>
      </c>
      <c r="B723" s="15" t="str">
        <f>IFERROR(__xludf.DUMMYFUNCTION("""COMPUTED_VALUE"""),"PS3")</f>
        <v>PS3</v>
      </c>
      <c r="C723" s="16" t="str">
        <f>IFERROR(__xludf.DUMMYFUNCTION("""COMPUTED_VALUE"""),"Playstation Plus (Discontinued)")</f>
        <v>Playstation Plus (Discontinued)</v>
      </c>
      <c r="D723" s="15" t="str">
        <f>IFERROR(__xludf.DUMMYFUNCTION("""COMPUTED_VALUE"""),"Removed")</f>
        <v>Removed</v>
      </c>
      <c r="E723" s="17">
        <f>IFERROR(__xludf.DUMMYFUNCTION("""COMPUTED_VALUE"""),41247.0)</f>
        <v>41247</v>
      </c>
      <c r="F723" s="54">
        <f>IFERROR(__xludf.DUMMYFUNCTION("""COMPUTED_VALUE"""),41274.0)</f>
        <v>41274</v>
      </c>
      <c r="G723" s="19">
        <f>IFERROR(__xludf.DUMMYFUNCTION("""COMPUTED_VALUE"""),0.8666666666666666)</f>
        <v>0.8666666667</v>
      </c>
      <c r="H723" s="17">
        <f>IFERROR(__xludf.DUMMYFUNCTION("""COMPUTED_VALUE"""),40820.0)</f>
        <v>40820</v>
      </c>
      <c r="I723" s="19">
        <f>IFERROR(__xludf.DUMMYFUNCTION("""COMPUTED_VALUE"""),1.1666666666666667)</f>
        <v>1.166666667</v>
      </c>
      <c r="J723" s="21">
        <f>IFERROR(__xludf.DUMMYFUNCTION("""COMPUTED_VALUE"""),82.0)</f>
        <v>82</v>
      </c>
      <c r="K723" s="23">
        <f>IFERROR(__xludf.DUMMYFUNCTION("""COMPUTED_VALUE"""),8.3)</f>
        <v>8.3</v>
      </c>
      <c r="L723" s="24"/>
      <c r="M723" s="25" t="str">
        <f>IFERROR(__xludf.DUMMYFUNCTION("""COMPUTED_VALUE"""),"Sports")</f>
        <v>Sports</v>
      </c>
      <c r="N723" s="25"/>
      <c r="O723" s="26" t="str">
        <f>IFERROR(__xludf.DUMMYFUNCTION("""COMPUTED_VALUE"""),"No")</f>
        <v>No</v>
      </c>
      <c r="P723" s="26"/>
    </row>
    <row r="724">
      <c r="A724" s="13" t="str">
        <f>IFERROR(__xludf.DUMMYFUNCTION("""COMPUTED_VALUE"""),"Retro City Rampage")</f>
        <v>Retro City Rampage</v>
      </c>
      <c r="B724" s="15" t="str">
        <f>IFERROR(__xludf.DUMMYFUNCTION("""COMPUTED_VALUE"""),"PS3/Vita")</f>
        <v>PS3/Vita</v>
      </c>
      <c r="C724" s="16" t="str">
        <f>IFERROR(__xludf.DUMMYFUNCTION("""COMPUTED_VALUE"""),"Playstation Plus (Discontinued)")</f>
        <v>Playstation Plus (Discontinued)</v>
      </c>
      <c r="D724" s="15" t="str">
        <f>IFERROR(__xludf.DUMMYFUNCTION("""COMPUTED_VALUE"""),"Removed")</f>
        <v>Removed</v>
      </c>
      <c r="E724" s="17">
        <f>IFERROR(__xludf.DUMMYFUNCTION("""COMPUTED_VALUE"""),41247.0)</f>
        <v>41247</v>
      </c>
      <c r="F724" s="54">
        <f>IFERROR(__xludf.DUMMYFUNCTION("""COMPUTED_VALUE"""),41274.0)</f>
        <v>41274</v>
      </c>
      <c r="G724" s="19">
        <f>IFERROR(__xludf.DUMMYFUNCTION("""COMPUTED_VALUE"""),0.8666666666666666)</f>
        <v>0.8666666667</v>
      </c>
      <c r="H724" s="17">
        <f>IFERROR(__xludf.DUMMYFUNCTION("""COMPUTED_VALUE"""),41191.0)</f>
        <v>41191</v>
      </c>
      <c r="I724" s="19">
        <f>IFERROR(__xludf.DUMMYFUNCTION("""COMPUTED_VALUE"""),0.1527777777777778)</f>
        <v>0.1527777778</v>
      </c>
      <c r="J724" s="21">
        <f>IFERROR(__xludf.DUMMYFUNCTION("""COMPUTED_VALUE"""),79.0)</f>
        <v>79</v>
      </c>
      <c r="K724" s="23">
        <f>IFERROR(__xludf.DUMMYFUNCTION("""COMPUTED_VALUE"""),7.7)</f>
        <v>7.7</v>
      </c>
      <c r="L724" s="24">
        <f>IFERROR(__xludf.DUMMYFUNCTION("""COMPUTED_VALUE"""),5.0)</f>
        <v>5</v>
      </c>
      <c r="M724" s="25" t="str">
        <f>IFERROR(__xludf.DUMMYFUNCTION("""COMPUTED_VALUE"""),"Action-Adventure")</f>
        <v>Action-Adventure</v>
      </c>
      <c r="N724" s="25"/>
      <c r="O724" s="26" t="str">
        <f>IFERROR(__xludf.DUMMYFUNCTION("""COMPUTED_VALUE"""),"No")</f>
        <v>No</v>
      </c>
      <c r="P724" s="26"/>
    </row>
    <row r="725">
      <c r="A725" s="13" t="str">
        <f>IFERROR(__xludf.DUMMYFUNCTION("""COMPUTED_VALUE"""),"Anomaly: Warzone Earth")</f>
        <v>Anomaly: Warzone Earth</v>
      </c>
      <c r="B725" s="15" t="str">
        <f>IFERROR(__xludf.DUMMYFUNCTION("""COMPUTED_VALUE"""),"PS3")</f>
        <v>PS3</v>
      </c>
      <c r="C725" s="16" t="str">
        <f>IFERROR(__xludf.DUMMYFUNCTION("""COMPUTED_VALUE"""),"Playstation Plus (Discontinued)")</f>
        <v>Playstation Plus (Discontinued)</v>
      </c>
      <c r="D725" s="15" t="str">
        <f>IFERROR(__xludf.DUMMYFUNCTION("""COMPUTED_VALUE"""),"Removed")</f>
        <v>Removed</v>
      </c>
      <c r="E725" s="17">
        <f>IFERROR(__xludf.DUMMYFUNCTION("""COMPUTED_VALUE"""),41247.0)</f>
        <v>41247</v>
      </c>
      <c r="F725" s="54">
        <f>IFERROR(__xludf.DUMMYFUNCTION("""COMPUTED_VALUE"""),41274.0)</f>
        <v>41274</v>
      </c>
      <c r="G725" s="19">
        <f>IFERROR(__xludf.DUMMYFUNCTION("""COMPUTED_VALUE"""),0.8666666666666666)</f>
        <v>0.8666666667</v>
      </c>
      <c r="H725" s="17">
        <f>IFERROR(__xludf.DUMMYFUNCTION("""COMPUTED_VALUE"""),40641.0)</f>
        <v>40641</v>
      </c>
      <c r="I725" s="19">
        <f>IFERROR(__xludf.DUMMYFUNCTION("""COMPUTED_VALUE"""),1.6555555555555554)</f>
        <v>1.655555556</v>
      </c>
      <c r="J725" s="21">
        <f>IFERROR(__xludf.DUMMYFUNCTION("""COMPUTED_VALUE"""),80.0)</f>
        <v>80</v>
      </c>
      <c r="K725" s="23">
        <f>IFERROR(__xludf.DUMMYFUNCTION("""COMPUTED_VALUE"""),7.7)</f>
        <v>7.7</v>
      </c>
      <c r="L725" s="24">
        <f>IFERROR(__xludf.DUMMYFUNCTION("""COMPUTED_VALUE"""),7.0)</f>
        <v>7</v>
      </c>
      <c r="M725" s="25" t="str">
        <f>IFERROR(__xludf.DUMMYFUNCTION("""COMPUTED_VALUE"""),"Strategy")</f>
        <v>Strategy</v>
      </c>
      <c r="N725" s="25"/>
      <c r="O725" s="26" t="str">
        <f>IFERROR(__xludf.DUMMYFUNCTION("""COMPUTED_VALUE"""),"No")</f>
        <v>No</v>
      </c>
      <c r="P725" s="26"/>
    </row>
    <row r="726">
      <c r="A726" s="13" t="str">
        <f>IFERROR(__xludf.DUMMYFUNCTION("""COMPUTED_VALUE"""),"Rochard")</f>
        <v>Rochard</v>
      </c>
      <c r="B726" s="15" t="str">
        <f>IFERROR(__xludf.DUMMYFUNCTION("""COMPUTED_VALUE"""),"PS3")</f>
        <v>PS3</v>
      </c>
      <c r="C726" s="16" t="str">
        <f>IFERROR(__xludf.DUMMYFUNCTION("""COMPUTED_VALUE"""),"Playstation Plus (Discontinued)")</f>
        <v>Playstation Plus (Discontinued)</v>
      </c>
      <c r="D726" s="15" t="str">
        <f>IFERROR(__xludf.DUMMYFUNCTION("""COMPUTED_VALUE"""),"Removed")</f>
        <v>Removed</v>
      </c>
      <c r="E726" s="17">
        <f>IFERROR(__xludf.DUMMYFUNCTION("""COMPUTED_VALUE"""),41247.0)</f>
        <v>41247</v>
      </c>
      <c r="F726" s="54">
        <f>IFERROR(__xludf.DUMMYFUNCTION("""COMPUTED_VALUE"""),41274.0)</f>
        <v>41274</v>
      </c>
      <c r="G726" s="19">
        <f>IFERROR(__xludf.DUMMYFUNCTION("""COMPUTED_VALUE"""),0.8666666666666666)</f>
        <v>0.8666666667</v>
      </c>
      <c r="H726" s="17">
        <f>IFERROR(__xludf.DUMMYFUNCTION("""COMPUTED_VALUE"""),40862.0)</f>
        <v>40862</v>
      </c>
      <c r="I726" s="19">
        <f>IFERROR(__xludf.DUMMYFUNCTION("""COMPUTED_VALUE"""),1.0527777777777778)</f>
        <v>1.052777778</v>
      </c>
      <c r="J726" s="21">
        <f>IFERROR(__xludf.DUMMYFUNCTION("""COMPUTED_VALUE"""),75.0)</f>
        <v>75</v>
      </c>
      <c r="K726" s="23">
        <f>IFERROR(__xludf.DUMMYFUNCTION("""COMPUTED_VALUE"""),7.3)</f>
        <v>7.3</v>
      </c>
      <c r="L726" s="24">
        <f>IFERROR(__xludf.DUMMYFUNCTION("""COMPUTED_VALUE"""),5.0)</f>
        <v>5</v>
      </c>
      <c r="M726" s="25" t="str">
        <f>IFERROR(__xludf.DUMMYFUNCTION("""COMPUTED_VALUE"""),"Platformer")</f>
        <v>Platformer</v>
      </c>
      <c r="N726" s="25"/>
      <c r="O726" s="26" t="str">
        <f>IFERROR(__xludf.DUMMYFUNCTION("""COMPUTED_VALUE"""),"No")</f>
        <v>No</v>
      </c>
      <c r="P726" s="26"/>
    </row>
    <row r="727">
      <c r="A727" s="13" t="str">
        <f>IFERROR(__xludf.DUMMYFUNCTION("""COMPUTED_VALUE"""),"Street Fighter IV: Arcade Edition")</f>
        <v>Street Fighter IV: Arcade Edition</v>
      </c>
      <c r="B727" s="15" t="str">
        <f>IFERROR(__xludf.DUMMYFUNCTION("""COMPUTED_VALUE"""),"PS3")</f>
        <v>PS3</v>
      </c>
      <c r="C727" s="16" t="str">
        <f>IFERROR(__xludf.DUMMYFUNCTION("""COMPUTED_VALUE"""),"Playstation Plus (Discontinued)")</f>
        <v>Playstation Plus (Discontinued)</v>
      </c>
      <c r="D727" s="15" t="str">
        <f>IFERROR(__xludf.DUMMYFUNCTION("""COMPUTED_VALUE"""),"Removed")</f>
        <v>Removed</v>
      </c>
      <c r="E727" s="17">
        <f>IFERROR(__xludf.DUMMYFUNCTION("""COMPUTED_VALUE"""),41247.0)</f>
        <v>41247</v>
      </c>
      <c r="F727" s="54">
        <f>IFERROR(__xludf.DUMMYFUNCTION("""COMPUTED_VALUE"""),41274.0)</f>
        <v>41274</v>
      </c>
      <c r="G727" s="19">
        <f>IFERROR(__xludf.DUMMYFUNCTION("""COMPUTED_VALUE"""),0.8666666666666666)</f>
        <v>0.8666666667</v>
      </c>
      <c r="H727" s="17">
        <f>IFERROR(__xludf.DUMMYFUNCTION("""COMPUTED_VALUE"""),40701.0)</f>
        <v>40701</v>
      </c>
      <c r="I727" s="19">
        <f>IFERROR(__xludf.DUMMYFUNCTION("""COMPUTED_VALUE"""),1.4916666666666667)</f>
        <v>1.491666667</v>
      </c>
      <c r="J727" s="21">
        <f>IFERROR(__xludf.DUMMYFUNCTION("""COMPUTED_VALUE"""),84.0)</f>
        <v>84</v>
      </c>
      <c r="K727" s="23">
        <f>IFERROR(__xludf.DUMMYFUNCTION("""COMPUTED_VALUE"""),7.9)</f>
        <v>7.9</v>
      </c>
      <c r="L727" s="24"/>
      <c r="M727" s="25" t="str">
        <f>IFERROR(__xludf.DUMMYFUNCTION("""COMPUTED_VALUE"""),"Fighting")</f>
        <v>Fighting</v>
      </c>
      <c r="N727" s="25"/>
      <c r="O727" s="26" t="str">
        <f>IFERROR(__xludf.DUMMYFUNCTION("""COMPUTED_VALUE"""),"No")</f>
        <v>No</v>
      </c>
      <c r="P727" s="26"/>
    </row>
    <row r="728">
      <c r="A728" s="13" t="str">
        <f>IFERROR(__xludf.DUMMYFUNCTION("""COMPUTED_VALUE"""),"Bioshock 2")</f>
        <v>Bioshock 2</v>
      </c>
      <c r="B728" s="15" t="str">
        <f>IFERROR(__xludf.DUMMYFUNCTION("""COMPUTED_VALUE"""),"PS3")</f>
        <v>PS3</v>
      </c>
      <c r="C728" s="16" t="str">
        <f>IFERROR(__xludf.DUMMYFUNCTION("""COMPUTED_VALUE"""),"Playstation Plus (Discontinued)")</f>
        <v>Playstation Plus (Discontinued)</v>
      </c>
      <c r="D728" s="15" t="str">
        <f>IFERROR(__xludf.DUMMYFUNCTION("""COMPUTED_VALUE"""),"Removed")</f>
        <v>Removed</v>
      </c>
      <c r="E728" s="17">
        <f>IFERROR(__xludf.DUMMYFUNCTION("""COMPUTED_VALUE"""),41247.0)</f>
        <v>41247</v>
      </c>
      <c r="F728" s="54">
        <f>IFERROR(__xludf.DUMMYFUNCTION("""COMPUTED_VALUE"""),41274.0)</f>
        <v>41274</v>
      </c>
      <c r="G728" s="19">
        <f>IFERROR(__xludf.DUMMYFUNCTION("""COMPUTED_VALUE"""),0.8666666666666666)</f>
        <v>0.8666666667</v>
      </c>
      <c r="H728" s="17">
        <f>IFERROR(__xludf.DUMMYFUNCTION("""COMPUTED_VALUE"""),40218.0)</f>
        <v>40218</v>
      </c>
      <c r="I728" s="19">
        <f>IFERROR(__xludf.DUMMYFUNCTION("""COMPUTED_VALUE"""),2.8194444444444446)</f>
        <v>2.819444444</v>
      </c>
      <c r="J728" s="21">
        <f>IFERROR(__xludf.DUMMYFUNCTION("""COMPUTED_VALUE"""),88.0)</f>
        <v>88</v>
      </c>
      <c r="K728" s="23">
        <f>IFERROR(__xludf.DUMMYFUNCTION("""COMPUTED_VALUE"""),8.0)</f>
        <v>8</v>
      </c>
      <c r="L728" s="24">
        <f>IFERROR(__xludf.DUMMYFUNCTION("""COMPUTED_VALUE"""),11.0)</f>
        <v>11</v>
      </c>
      <c r="M728" s="25" t="str">
        <f>IFERROR(__xludf.DUMMYFUNCTION("""COMPUTED_VALUE"""),"Shooter")</f>
        <v>Shooter</v>
      </c>
      <c r="N728" s="25"/>
      <c r="O728" s="26" t="str">
        <f>IFERROR(__xludf.DUMMYFUNCTION("""COMPUTED_VALUE"""),"No")</f>
        <v>No</v>
      </c>
      <c r="P728" s="26"/>
    </row>
    <row r="729">
      <c r="A729" s="13" t="str">
        <f>IFERROR(__xludf.DUMMYFUNCTION("""COMPUTED_VALUE"""),"Sonic the Hedgehog 2")</f>
        <v>Sonic the Hedgehog 2</v>
      </c>
      <c r="B729" s="15" t="str">
        <f>IFERROR(__xludf.DUMMYFUNCTION("""COMPUTED_VALUE"""),"PS3")</f>
        <v>PS3</v>
      </c>
      <c r="C729" s="16" t="str">
        <f>IFERROR(__xludf.DUMMYFUNCTION("""COMPUTED_VALUE"""),"Playstation Plus (Discontinued)")</f>
        <v>Playstation Plus (Discontinued)</v>
      </c>
      <c r="D729" s="15" t="str">
        <f>IFERROR(__xludf.DUMMYFUNCTION("""COMPUTED_VALUE"""),"Removed")</f>
        <v>Removed</v>
      </c>
      <c r="E729" s="17">
        <f>IFERROR(__xludf.DUMMYFUNCTION("""COMPUTED_VALUE"""),41219.0)</f>
        <v>41219</v>
      </c>
      <c r="F729" s="54">
        <f>IFERROR(__xludf.DUMMYFUNCTION("""COMPUTED_VALUE"""),41246.0)</f>
        <v>41246</v>
      </c>
      <c r="G729" s="19">
        <f>IFERROR(__xludf.DUMMYFUNCTION("""COMPUTED_VALUE"""),0.8999999999999999)</f>
        <v>0.9</v>
      </c>
      <c r="H729" s="17">
        <f>IFERROR(__xludf.DUMMYFUNCTION("""COMPUTED_VALUE"""),40715.0)</f>
        <v>40715</v>
      </c>
      <c r="I729" s="19">
        <f>IFERROR(__xludf.DUMMYFUNCTION("""COMPUTED_VALUE"""),1.375)</f>
        <v>1.375</v>
      </c>
      <c r="J729" s="21">
        <f>IFERROR(__xludf.DUMMYFUNCTION("""COMPUTED_VALUE"""),69.0)</f>
        <v>69</v>
      </c>
      <c r="K729" s="23">
        <f>IFERROR(__xludf.DUMMYFUNCTION("""COMPUTED_VALUE"""),7.9)</f>
        <v>7.9</v>
      </c>
      <c r="L729" s="24">
        <f>IFERROR(__xludf.DUMMYFUNCTION("""COMPUTED_VALUE"""),4.0)</f>
        <v>4</v>
      </c>
      <c r="M729" s="25" t="str">
        <f>IFERROR(__xludf.DUMMYFUNCTION("""COMPUTED_VALUE"""),"Platformer")</f>
        <v>Platformer</v>
      </c>
      <c r="N729" s="25"/>
      <c r="O729" s="26" t="str">
        <f>IFERROR(__xludf.DUMMYFUNCTION("""COMPUTED_VALUE"""),"No")</f>
        <v>No</v>
      </c>
      <c r="P729" s="26"/>
    </row>
    <row r="730">
      <c r="A730" s="13" t="str">
        <f>IFERROR(__xludf.DUMMYFUNCTION("""COMPUTED_VALUE"""),"Sonic the Hedgehog")</f>
        <v>Sonic the Hedgehog</v>
      </c>
      <c r="B730" s="15" t="str">
        <f>IFERROR(__xludf.DUMMYFUNCTION("""COMPUTED_VALUE"""),"PS3")</f>
        <v>PS3</v>
      </c>
      <c r="C730" s="16" t="str">
        <f>IFERROR(__xludf.DUMMYFUNCTION("""COMPUTED_VALUE"""),"Playstation Plus (Discontinued)")</f>
        <v>Playstation Plus (Discontinued)</v>
      </c>
      <c r="D730" s="15" t="str">
        <f>IFERROR(__xludf.DUMMYFUNCTION("""COMPUTED_VALUE"""),"Removed")</f>
        <v>Removed</v>
      </c>
      <c r="E730" s="17">
        <f>IFERROR(__xludf.DUMMYFUNCTION("""COMPUTED_VALUE"""),41219.0)</f>
        <v>41219</v>
      </c>
      <c r="F730" s="54">
        <f>IFERROR(__xludf.DUMMYFUNCTION("""COMPUTED_VALUE"""),41246.0)</f>
        <v>41246</v>
      </c>
      <c r="G730" s="19">
        <f>IFERROR(__xludf.DUMMYFUNCTION("""COMPUTED_VALUE"""),0.8999999999999999)</f>
        <v>0.9</v>
      </c>
      <c r="H730" s="17">
        <f>IFERROR(__xludf.DUMMYFUNCTION("""COMPUTED_VALUE"""),40714.0)</f>
        <v>40714</v>
      </c>
      <c r="I730" s="19">
        <f>IFERROR(__xludf.DUMMYFUNCTION("""COMPUTED_VALUE"""),1.3777777777777778)</f>
        <v>1.377777778</v>
      </c>
      <c r="J730" s="21">
        <f>IFERROR(__xludf.DUMMYFUNCTION("""COMPUTED_VALUE"""),50.0)</f>
        <v>50</v>
      </c>
      <c r="K730" s="23">
        <f>IFERROR(__xludf.DUMMYFUNCTION("""COMPUTED_VALUE"""),7.2)</f>
        <v>7.2</v>
      </c>
      <c r="L730" s="24">
        <f>IFERROR(__xludf.DUMMYFUNCTION("""COMPUTED_VALUE"""),3.0)</f>
        <v>3</v>
      </c>
      <c r="M730" s="25" t="str">
        <f>IFERROR(__xludf.DUMMYFUNCTION("""COMPUTED_VALUE"""),"Platformer")</f>
        <v>Platformer</v>
      </c>
      <c r="N730" s="25"/>
      <c r="O730" s="26" t="str">
        <f>IFERROR(__xludf.DUMMYFUNCTION("""COMPUTED_VALUE"""),"No")</f>
        <v>No</v>
      </c>
      <c r="P730" s="26"/>
    </row>
    <row r="731">
      <c r="A731" s="13" t="str">
        <f>IFERROR(__xludf.DUMMYFUNCTION("""COMPUTED_VALUE"""),"Final Fantasy Tactics: The War of the Lions")</f>
        <v>Final Fantasy Tactics: The War of the Lions</v>
      </c>
      <c r="B731" s="15" t="str">
        <f>IFERROR(__xludf.DUMMYFUNCTION("""COMPUTED_VALUE"""),"PSP")</f>
        <v>PSP</v>
      </c>
      <c r="C731" s="16" t="str">
        <f>IFERROR(__xludf.DUMMYFUNCTION("""COMPUTED_VALUE"""),"Playstation Plus (Discontinued)")</f>
        <v>Playstation Plus (Discontinued)</v>
      </c>
      <c r="D731" s="15" t="str">
        <f>IFERROR(__xludf.DUMMYFUNCTION("""COMPUTED_VALUE"""),"Removed")</f>
        <v>Removed</v>
      </c>
      <c r="E731" s="17">
        <f>IFERROR(__xludf.DUMMYFUNCTION("""COMPUTED_VALUE"""),41219.0)</f>
        <v>41219</v>
      </c>
      <c r="F731" s="54">
        <f>IFERROR(__xludf.DUMMYFUNCTION("""COMPUTED_VALUE"""),41246.0)</f>
        <v>41246</v>
      </c>
      <c r="G731" s="19">
        <f>IFERROR(__xludf.DUMMYFUNCTION("""COMPUTED_VALUE"""),0.8999999999999999)</f>
        <v>0.9</v>
      </c>
      <c r="H731" s="17">
        <f>IFERROR(__xludf.DUMMYFUNCTION("""COMPUTED_VALUE"""),39212.0)</f>
        <v>39212</v>
      </c>
      <c r="I731" s="19">
        <f>IFERROR(__xludf.DUMMYFUNCTION("""COMPUTED_VALUE"""),5.488888888888889)</f>
        <v>5.488888889</v>
      </c>
      <c r="J731" s="21">
        <f>IFERROR(__xludf.DUMMYFUNCTION("""COMPUTED_VALUE"""),88.0)</f>
        <v>88</v>
      </c>
      <c r="K731" s="23">
        <f>IFERROR(__xludf.DUMMYFUNCTION("""COMPUTED_VALUE"""),8.8)</f>
        <v>8.8</v>
      </c>
      <c r="L731" s="24">
        <f>IFERROR(__xludf.DUMMYFUNCTION("""COMPUTED_VALUE"""),40.0)</f>
        <v>40</v>
      </c>
      <c r="M731" s="25" t="str">
        <f>IFERROR(__xludf.DUMMYFUNCTION("""COMPUTED_VALUE"""),"RPG")</f>
        <v>RPG</v>
      </c>
      <c r="N731" s="25"/>
      <c r="O731" s="26" t="str">
        <f>IFERROR(__xludf.DUMMYFUNCTION("""COMPUTED_VALUE"""),"No")</f>
        <v>No</v>
      </c>
      <c r="P731" s="26"/>
    </row>
    <row r="732">
      <c r="A732" s="13" t="str">
        <f>IFERROR(__xludf.DUMMYFUNCTION("""COMPUTED_VALUE"""),"WipEout 2048")</f>
        <v>WipEout 2048</v>
      </c>
      <c r="B732" s="15" t="str">
        <f>IFERROR(__xludf.DUMMYFUNCTION("""COMPUTED_VALUE"""),"Vita")</f>
        <v>Vita</v>
      </c>
      <c r="C732" s="16" t="str">
        <f>IFERROR(__xludf.DUMMYFUNCTION("""COMPUTED_VALUE"""),"Playstation Plus (Discontinued)")</f>
        <v>Playstation Plus (Discontinued)</v>
      </c>
      <c r="D732" s="15" t="str">
        <f>IFERROR(__xludf.DUMMYFUNCTION("""COMPUTED_VALUE"""),"Removed")</f>
        <v>Removed</v>
      </c>
      <c r="E732" s="17">
        <f>IFERROR(__xludf.DUMMYFUNCTION("""COMPUTED_VALUE"""),41219.0)</f>
        <v>41219</v>
      </c>
      <c r="F732" s="54">
        <f>IFERROR(__xludf.DUMMYFUNCTION("""COMPUTED_VALUE"""),41246.0)</f>
        <v>41246</v>
      </c>
      <c r="G732" s="19">
        <f>IFERROR(__xludf.DUMMYFUNCTION("""COMPUTED_VALUE"""),0.8999999999999999)</f>
        <v>0.9</v>
      </c>
      <c r="H732" s="17">
        <f>IFERROR(__xludf.DUMMYFUNCTION("""COMPUTED_VALUE"""),40953.0)</f>
        <v>40953</v>
      </c>
      <c r="I732" s="19">
        <f>IFERROR(__xludf.DUMMYFUNCTION("""COMPUTED_VALUE"""),0.7277777777777777)</f>
        <v>0.7277777778</v>
      </c>
      <c r="J732" s="21">
        <f>IFERROR(__xludf.DUMMYFUNCTION("""COMPUTED_VALUE"""),79.0)</f>
        <v>79</v>
      </c>
      <c r="K732" s="23">
        <f>IFERROR(__xludf.DUMMYFUNCTION("""COMPUTED_VALUE"""),7.7)</f>
        <v>7.7</v>
      </c>
      <c r="L732" s="24">
        <f>IFERROR(__xludf.DUMMYFUNCTION("""COMPUTED_VALUE"""),10.0)</f>
        <v>10</v>
      </c>
      <c r="M732" s="25" t="str">
        <f>IFERROR(__xludf.DUMMYFUNCTION("""COMPUTED_VALUE"""),"Racing")</f>
        <v>Racing</v>
      </c>
      <c r="N732" s="25"/>
      <c r="O732" s="26" t="str">
        <f>IFERROR(__xludf.DUMMYFUNCTION("""COMPUTED_VALUE"""),"No")</f>
        <v>No</v>
      </c>
      <c r="P732" s="26"/>
    </row>
    <row r="733">
      <c r="A733" s="13" t="str">
        <f>IFERROR(__xludf.DUMMYFUNCTION("""COMPUTED_VALUE"""),"Uncharted: Golden Abyss")</f>
        <v>Uncharted: Golden Abyss</v>
      </c>
      <c r="B733" s="15" t="str">
        <f>IFERROR(__xludf.DUMMYFUNCTION("""COMPUTED_VALUE"""),"Vita")</f>
        <v>Vita</v>
      </c>
      <c r="C733" s="16" t="str">
        <f>IFERROR(__xludf.DUMMYFUNCTION("""COMPUTED_VALUE"""),"Playstation Plus (Discontinued)")</f>
        <v>Playstation Plus (Discontinued)</v>
      </c>
      <c r="D733" s="15" t="str">
        <f>IFERROR(__xludf.DUMMYFUNCTION("""COMPUTED_VALUE"""),"Removed")</f>
        <v>Removed</v>
      </c>
      <c r="E733" s="17">
        <f>IFERROR(__xludf.DUMMYFUNCTION("""COMPUTED_VALUE"""),41219.0)</f>
        <v>41219</v>
      </c>
      <c r="F733" s="54">
        <f>IFERROR(__xludf.DUMMYFUNCTION("""COMPUTED_VALUE"""),41246.0)</f>
        <v>41246</v>
      </c>
      <c r="G733" s="19">
        <f>IFERROR(__xludf.DUMMYFUNCTION("""COMPUTED_VALUE"""),0.8999999999999999)</f>
        <v>0.9</v>
      </c>
      <c r="H733" s="17">
        <f>IFERROR(__xludf.DUMMYFUNCTION("""COMPUTED_VALUE"""),40954.0)</f>
        <v>40954</v>
      </c>
      <c r="I733" s="19">
        <f>IFERROR(__xludf.DUMMYFUNCTION("""COMPUTED_VALUE"""),0.725)</f>
        <v>0.725</v>
      </c>
      <c r="J733" s="21">
        <f>IFERROR(__xludf.DUMMYFUNCTION("""COMPUTED_VALUE"""),80.0)</f>
        <v>80</v>
      </c>
      <c r="K733" s="23">
        <f>IFERROR(__xludf.DUMMYFUNCTION("""COMPUTED_VALUE"""),8.0)</f>
        <v>8</v>
      </c>
      <c r="L733" s="24">
        <f>IFERROR(__xludf.DUMMYFUNCTION("""COMPUTED_VALUE"""),12.0)</f>
        <v>12</v>
      </c>
      <c r="M733" s="25" t="str">
        <f>IFERROR(__xludf.DUMMYFUNCTION("""COMPUTED_VALUE"""),"Action-Adventure")</f>
        <v>Action-Adventure</v>
      </c>
      <c r="N733" s="25"/>
      <c r="O733" s="26" t="str">
        <f>IFERROR(__xludf.DUMMYFUNCTION("""COMPUTED_VALUE"""),"No")</f>
        <v>No</v>
      </c>
      <c r="P733" s="26"/>
    </row>
    <row r="734">
      <c r="A734" s="13" t="str">
        <f>IFERROR(__xludf.DUMMYFUNCTION("""COMPUTED_VALUE"""),"Tales from Space: Mutant Blobs Attack")</f>
        <v>Tales from Space: Mutant Blobs Attack</v>
      </c>
      <c r="B734" s="15" t="str">
        <f>IFERROR(__xludf.DUMMYFUNCTION("""COMPUTED_VALUE"""),"Vita")</f>
        <v>Vita</v>
      </c>
      <c r="C734" s="16" t="str">
        <f>IFERROR(__xludf.DUMMYFUNCTION("""COMPUTED_VALUE"""),"Playstation Plus (Discontinued)")</f>
        <v>Playstation Plus (Discontinued)</v>
      </c>
      <c r="D734" s="15" t="str">
        <f>IFERROR(__xludf.DUMMYFUNCTION("""COMPUTED_VALUE"""),"Removed")</f>
        <v>Removed</v>
      </c>
      <c r="E734" s="17">
        <f>IFERROR(__xludf.DUMMYFUNCTION("""COMPUTED_VALUE"""),41219.0)</f>
        <v>41219</v>
      </c>
      <c r="F734" s="54">
        <f>IFERROR(__xludf.DUMMYFUNCTION("""COMPUTED_VALUE"""),41246.0)</f>
        <v>41246</v>
      </c>
      <c r="G734" s="19">
        <f>IFERROR(__xludf.DUMMYFUNCTION("""COMPUTED_VALUE"""),0.8999999999999999)</f>
        <v>0.9</v>
      </c>
      <c r="H734" s="17">
        <f>IFERROR(__xludf.DUMMYFUNCTION("""COMPUTED_VALUE"""),40960.0)</f>
        <v>40960</v>
      </c>
      <c r="I734" s="19">
        <f>IFERROR(__xludf.DUMMYFUNCTION("""COMPUTED_VALUE"""),0.7083333333333334)</f>
        <v>0.7083333333</v>
      </c>
      <c r="J734" s="21">
        <f>IFERROR(__xludf.DUMMYFUNCTION("""COMPUTED_VALUE"""),83.0)</f>
        <v>83</v>
      </c>
      <c r="K734" s="23">
        <f>IFERROR(__xludf.DUMMYFUNCTION("""COMPUTED_VALUE"""),7.7)</f>
        <v>7.7</v>
      </c>
      <c r="L734" s="24">
        <f>IFERROR(__xludf.DUMMYFUNCTION("""COMPUTED_VALUE"""),4.0)</f>
        <v>4</v>
      </c>
      <c r="M734" s="25" t="str">
        <f>IFERROR(__xludf.DUMMYFUNCTION("""COMPUTED_VALUE"""),"Platformer")</f>
        <v>Platformer</v>
      </c>
      <c r="N734" s="25"/>
      <c r="O734" s="26" t="str">
        <f>IFERROR(__xludf.DUMMYFUNCTION("""COMPUTED_VALUE"""),"No")</f>
        <v>No</v>
      </c>
      <c r="P734" s="26"/>
    </row>
    <row r="735">
      <c r="A735" s="13" t="str">
        <f>IFERROR(__xludf.DUMMYFUNCTION("""COMPUTED_VALUE"""),"Jet Set Radio")</f>
        <v>Jet Set Radio</v>
      </c>
      <c r="B735" s="15" t="str">
        <f>IFERROR(__xludf.DUMMYFUNCTION("""COMPUTED_VALUE"""),"Vita")</f>
        <v>Vita</v>
      </c>
      <c r="C735" s="16" t="str">
        <f>IFERROR(__xludf.DUMMYFUNCTION("""COMPUTED_VALUE"""),"Playstation Plus (Discontinued)")</f>
        <v>Playstation Plus (Discontinued)</v>
      </c>
      <c r="D735" s="15" t="str">
        <f>IFERROR(__xludf.DUMMYFUNCTION("""COMPUTED_VALUE"""),"Removed")</f>
        <v>Removed</v>
      </c>
      <c r="E735" s="17">
        <f>IFERROR(__xludf.DUMMYFUNCTION("""COMPUTED_VALUE"""),41219.0)</f>
        <v>41219</v>
      </c>
      <c r="F735" s="54">
        <f>IFERROR(__xludf.DUMMYFUNCTION("""COMPUTED_VALUE"""),41246.0)</f>
        <v>41246</v>
      </c>
      <c r="G735" s="19">
        <f>IFERROR(__xludf.DUMMYFUNCTION("""COMPUTED_VALUE"""),0.8999999999999999)</f>
        <v>0.9</v>
      </c>
      <c r="H735" s="17">
        <f>IFERROR(__xludf.DUMMYFUNCTION("""COMPUTED_VALUE"""),41170.0)</f>
        <v>41170</v>
      </c>
      <c r="I735" s="19">
        <f>IFERROR(__xludf.DUMMYFUNCTION("""COMPUTED_VALUE"""),0.13333333333333333)</f>
        <v>0.1333333333</v>
      </c>
      <c r="J735" s="21">
        <f>IFERROR(__xludf.DUMMYFUNCTION("""COMPUTED_VALUE"""),78.0)</f>
        <v>78</v>
      </c>
      <c r="K735" s="23">
        <f>IFERROR(__xludf.DUMMYFUNCTION("""COMPUTED_VALUE"""),7.7)</f>
        <v>7.7</v>
      </c>
      <c r="L735" s="24">
        <f>IFERROR(__xludf.DUMMYFUNCTION("""COMPUTED_VALUE"""),9.0)</f>
        <v>9</v>
      </c>
      <c r="M735" s="25" t="str">
        <f>IFERROR(__xludf.DUMMYFUNCTION("""COMPUTED_VALUE"""),"Action-Adventure")</f>
        <v>Action-Adventure</v>
      </c>
      <c r="N735" s="25"/>
      <c r="O735" s="26" t="str">
        <f>IFERROR(__xludf.DUMMYFUNCTION("""COMPUTED_VALUE"""),"No")</f>
        <v>No</v>
      </c>
      <c r="P735" s="26"/>
    </row>
    <row r="736">
      <c r="A736" s="13" t="str">
        <f>IFERROR(__xludf.DUMMYFUNCTION("""COMPUTED_VALUE"""),"Gravity Rush")</f>
        <v>Gravity Rush</v>
      </c>
      <c r="B736" s="15" t="str">
        <f>IFERROR(__xludf.DUMMYFUNCTION("""COMPUTED_VALUE"""),"Vita")</f>
        <v>Vita</v>
      </c>
      <c r="C736" s="16" t="str">
        <f>IFERROR(__xludf.DUMMYFUNCTION("""COMPUTED_VALUE"""),"Playstation Plus (Discontinued)")</f>
        <v>Playstation Plus (Discontinued)</v>
      </c>
      <c r="D736" s="15" t="str">
        <f>IFERROR(__xludf.DUMMYFUNCTION("""COMPUTED_VALUE"""),"Removed")</f>
        <v>Removed</v>
      </c>
      <c r="E736" s="17">
        <f>IFERROR(__xludf.DUMMYFUNCTION("""COMPUTED_VALUE"""),41219.0)</f>
        <v>41219</v>
      </c>
      <c r="F736" s="54">
        <f>IFERROR(__xludf.DUMMYFUNCTION("""COMPUTED_VALUE"""),41246.0)</f>
        <v>41246</v>
      </c>
      <c r="G736" s="19">
        <f>IFERROR(__xludf.DUMMYFUNCTION("""COMPUTED_VALUE"""),0.8999999999999999)</f>
        <v>0.9</v>
      </c>
      <c r="H736" s="17">
        <f>IFERROR(__xludf.DUMMYFUNCTION("""COMPUTED_VALUE"""),41072.0)</f>
        <v>41072</v>
      </c>
      <c r="I736" s="19">
        <f>IFERROR(__xludf.DUMMYFUNCTION("""COMPUTED_VALUE"""),0.4)</f>
        <v>0.4</v>
      </c>
      <c r="J736" s="21">
        <f>IFERROR(__xludf.DUMMYFUNCTION("""COMPUTED_VALUE"""),83.0)</f>
        <v>83</v>
      </c>
      <c r="K736" s="23">
        <f>IFERROR(__xludf.DUMMYFUNCTION("""COMPUTED_VALUE"""),8.2)</f>
        <v>8.2</v>
      </c>
      <c r="L736" s="24">
        <f>IFERROR(__xludf.DUMMYFUNCTION("""COMPUTED_VALUE"""),12.0)</f>
        <v>12</v>
      </c>
      <c r="M736" s="25" t="str">
        <f>IFERROR(__xludf.DUMMYFUNCTION("""COMPUTED_VALUE"""),"Action-Adventure")</f>
        <v>Action-Adventure</v>
      </c>
      <c r="N736" s="25"/>
      <c r="O736" s="26" t="str">
        <f>IFERROR(__xludf.DUMMYFUNCTION("""COMPUTED_VALUE"""),"No")</f>
        <v>No</v>
      </c>
      <c r="P736" s="26"/>
    </row>
    <row r="737">
      <c r="A737" s="13" t="str">
        <f>IFERROR(__xludf.DUMMYFUNCTION("""COMPUTED_VALUE"""),"Resident Evil 5: Gold Edition")</f>
        <v>Resident Evil 5: Gold Edition</v>
      </c>
      <c r="B737" s="15" t="str">
        <f>IFERROR(__xludf.DUMMYFUNCTION("""COMPUTED_VALUE"""),"PS3")</f>
        <v>PS3</v>
      </c>
      <c r="C737" s="16" t="str">
        <f>IFERROR(__xludf.DUMMYFUNCTION("""COMPUTED_VALUE"""),"Playstation Plus (Discontinued)")</f>
        <v>Playstation Plus (Discontinued)</v>
      </c>
      <c r="D737" s="15" t="str">
        <f>IFERROR(__xludf.DUMMYFUNCTION("""COMPUTED_VALUE"""),"Removed")</f>
        <v>Removed</v>
      </c>
      <c r="E737" s="17">
        <f>IFERROR(__xludf.DUMMYFUNCTION("""COMPUTED_VALUE"""),41219.0)</f>
        <v>41219</v>
      </c>
      <c r="F737" s="54">
        <f>IFERROR(__xludf.DUMMYFUNCTION("""COMPUTED_VALUE"""),41246.0)</f>
        <v>41246</v>
      </c>
      <c r="G737" s="19">
        <f>IFERROR(__xludf.DUMMYFUNCTION("""COMPUTED_VALUE"""),0.8999999999999999)</f>
        <v>0.9</v>
      </c>
      <c r="H737" s="17">
        <f>IFERROR(__xludf.DUMMYFUNCTION("""COMPUTED_VALUE"""),40610.0)</f>
        <v>40610</v>
      </c>
      <c r="I737" s="19">
        <f>IFERROR(__xludf.DUMMYFUNCTION("""COMPUTED_VALUE"""),1.6611111111111112)</f>
        <v>1.661111111</v>
      </c>
      <c r="J737" s="21">
        <f>IFERROR(__xludf.DUMMYFUNCTION("""COMPUTED_VALUE"""),84.0)</f>
        <v>84</v>
      </c>
      <c r="K737" s="23">
        <f>IFERROR(__xludf.DUMMYFUNCTION("""COMPUTED_VALUE"""),7.8)</f>
        <v>7.8</v>
      </c>
      <c r="L737" s="24">
        <f>IFERROR(__xludf.DUMMYFUNCTION("""COMPUTED_VALUE"""),16.0)</f>
        <v>16</v>
      </c>
      <c r="M737" s="25" t="str">
        <f>IFERROR(__xludf.DUMMYFUNCTION("""COMPUTED_VALUE"""),"Horror")</f>
        <v>Horror</v>
      </c>
      <c r="N737" s="25"/>
      <c r="O737" s="26" t="str">
        <f>IFERROR(__xludf.DUMMYFUNCTION("""COMPUTED_VALUE"""),"No")</f>
        <v>No</v>
      </c>
      <c r="P737" s="26"/>
    </row>
    <row r="738">
      <c r="A738" s="13" t="str">
        <f>IFERROR(__xludf.DUMMYFUNCTION("""COMPUTED_VALUE"""),"Quantum Conundrum")</f>
        <v>Quantum Conundrum</v>
      </c>
      <c r="B738" s="15" t="str">
        <f>IFERROR(__xludf.DUMMYFUNCTION("""COMPUTED_VALUE"""),"PS3")</f>
        <v>PS3</v>
      </c>
      <c r="C738" s="16" t="str">
        <f>IFERROR(__xludf.DUMMYFUNCTION("""COMPUTED_VALUE"""),"Playstation Plus (Discontinued)")</f>
        <v>Playstation Plus (Discontinued)</v>
      </c>
      <c r="D738" s="15" t="str">
        <f>IFERROR(__xludf.DUMMYFUNCTION("""COMPUTED_VALUE"""),"Removed")</f>
        <v>Removed</v>
      </c>
      <c r="E738" s="17">
        <f>IFERROR(__xludf.DUMMYFUNCTION("""COMPUTED_VALUE"""),41219.0)</f>
        <v>41219</v>
      </c>
      <c r="F738" s="54">
        <f>IFERROR(__xludf.DUMMYFUNCTION("""COMPUTED_VALUE"""),41246.0)</f>
        <v>41246</v>
      </c>
      <c r="G738" s="19">
        <f>IFERROR(__xludf.DUMMYFUNCTION("""COMPUTED_VALUE"""),0.8999999999999999)</f>
        <v>0.9</v>
      </c>
      <c r="H738" s="17">
        <f>IFERROR(__xludf.DUMMYFUNCTION("""COMPUTED_VALUE"""),41081.0)</f>
        <v>41081</v>
      </c>
      <c r="I738" s="19">
        <f>IFERROR(__xludf.DUMMYFUNCTION("""COMPUTED_VALUE"""),0.375)</f>
        <v>0.375</v>
      </c>
      <c r="J738" s="21">
        <f>IFERROR(__xludf.DUMMYFUNCTION("""COMPUTED_VALUE"""),77.0)</f>
        <v>77</v>
      </c>
      <c r="K738" s="23">
        <f>IFERROR(__xludf.DUMMYFUNCTION("""COMPUTED_VALUE"""),7.1)</f>
        <v>7.1</v>
      </c>
      <c r="L738" s="24">
        <f>IFERROR(__xludf.DUMMYFUNCTION("""COMPUTED_VALUE"""),6.0)</f>
        <v>6</v>
      </c>
      <c r="M738" s="25" t="str">
        <f>IFERROR(__xludf.DUMMYFUNCTION("""COMPUTED_VALUE"""),"Puzzle")</f>
        <v>Puzzle</v>
      </c>
      <c r="N738" s="25"/>
      <c r="O738" s="26" t="str">
        <f>IFERROR(__xludf.DUMMYFUNCTION("""COMPUTED_VALUE"""),"No")</f>
        <v>No</v>
      </c>
      <c r="P738" s="26"/>
    </row>
    <row r="739">
      <c r="A739" s="13" t="str">
        <f>IFERROR(__xludf.DUMMYFUNCTION("""COMPUTED_VALUE"""),"Dungeon Defenders")</f>
        <v>Dungeon Defenders</v>
      </c>
      <c r="B739" s="15" t="str">
        <f>IFERROR(__xludf.DUMMYFUNCTION("""COMPUTED_VALUE"""),"PS3")</f>
        <v>PS3</v>
      </c>
      <c r="C739" s="16" t="str">
        <f>IFERROR(__xludf.DUMMYFUNCTION("""COMPUTED_VALUE"""),"Playstation Plus (Discontinued)")</f>
        <v>Playstation Plus (Discontinued)</v>
      </c>
      <c r="D739" s="15" t="str">
        <f>IFERROR(__xludf.DUMMYFUNCTION("""COMPUTED_VALUE"""),"Removed")</f>
        <v>Removed</v>
      </c>
      <c r="E739" s="17">
        <f>IFERROR(__xludf.DUMMYFUNCTION("""COMPUTED_VALUE"""),41219.0)</f>
        <v>41219</v>
      </c>
      <c r="F739" s="54">
        <f>IFERROR(__xludf.DUMMYFUNCTION("""COMPUTED_VALUE"""),41246.0)</f>
        <v>41246</v>
      </c>
      <c r="G739" s="19">
        <f>IFERROR(__xludf.DUMMYFUNCTION("""COMPUTED_VALUE"""),0.8999999999999999)</f>
        <v>0.9</v>
      </c>
      <c r="H739" s="17">
        <f>IFERROR(__xludf.DUMMYFUNCTION("""COMPUTED_VALUE"""),40834.0)</f>
        <v>40834</v>
      </c>
      <c r="I739" s="19">
        <f>IFERROR(__xludf.DUMMYFUNCTION("""COMPUTED_VALUE"""),1.05)</f>
        <v>1.05</v>
      </c>
      <c r="J739" s="21">
        <f>IFERROR(__xludf.DUMMYFUNCTION("""COMPUTED_VALUE"""),81.0)</f>
        <v>81</v>
      </c>
      <c r="K739" s="23">
        <f>IFERROR(__xludf.DUMMYFUNCTION("""COMPUTED_VALUE"""),7.6)</f>
        <v>7.6</v>
      </c>
      <c r="L739" s="24">
        <f>IFERROR(__xludf.DUMMYFUNCTION("""COMPUTED_VALUE"""),20.0)</f>
        <v>20</v>
      </c>
      <c r="M739" s="25" t="str">
        <f>IFERROR(__xludf.DUMMYFUNCTION("""COMPUTED_VALUE"""),"Strategy")</f>
        <v>Strategy</v>
      </c>
      <c r="N739" s="25"/>
      <c r="O739" s="26" t="str">
        <f>IFERROR(__xludf.DUMMYFUNCTION("""COMPUTED_VALUE"""),"No")</f>
        <v>No</v>
      </c>
      <c r="P739" s="26"/>
    </row>
    <row r="740">
      <c r="A740" s="13" t="str">
        <f>IFERROR(__xludf.DUMMYFUNCTION("""COMPUTED_VALUE"""),"King of Fighters XIII")</f>
        <v>King of Fighters XIII</v>
      </c>
      <c r="B740" s="15" t="str">
        <f>IFERROR(__xludf.DUMMYFUNCTION("""COMPUTED_VALUE"""),"PS3")</f>
        <v>PS3</v>
      </c>
      <c r="C740" s="16" t="str">
        <f>IFERROR(__xludf.DUMMYFUNCTION("""COMPUTED_VALUE"""),"Playstation Plus (Discontinued)")</f>
        <v>Playstation Plus (Discontinued)</v>
      </c>
      <c r="D740" s="15" t="str">
        <f>IFERROR(__xludf.DUMMYFUNCTION("""COMPUTED_VALUE"""),"Removed")</f>
        <v>Removed</v>
      </c>
      <c r="E740" s="17">
        <f>IFERROR(__xludf.DUMMYFUNCTION("""COMPUTED_VALUE"""),41184.0)</f>
        <v>41184</v>
      </c>
      <c r="F740" s="54">
        <f>IFERROR(__xludf.DUMMYFUNCTION("""COMPUTED_VALUE"""),41218.0)</f>
        <v>41218</v>
      </c>
      <c r="G740" s="19">
        <f>IFERROR(__xludf.DUMMYFUNCTION("""COMPUTED_VALUE"""),1.0999999999999999)</f>
        <v>1.1</v>
      </c>
      <c r="H740" s="17">
        <f>IFERROR(__xludf.DUMMYFUNCTION("""COMPUTED_VALUE"""),40869.0)</f>
        <v>40869</v>
      </c>
      <c r="I740" s="19">
        <f>IFERROR(__xludf.DUMMYFUNCTION("""COMPUTED_VALUE"""),0.8611111111111112)</f>
        <v>0.8611111111</v>
      </c>
      <c r="J740" s="21">
        <f>IFERROR(__xludf.DUMMYFUNCTION("""COMPUTED_VALUE"""),77.0)</f>
        <v>77</v>
      </c>
      <c r="K740" s="23">
        <f>IFERROR(__xludf.DUMMYFUNCTION("""COMPUTED_VALUE"""),7.8)</f>
        <v>7.8</v>
      </c>
      <c r="L740" s="24"/>
      <c r="M740" s="25" t="str">
        <f>IFERROR(__xludf.DUMMYFUNCTION("""COMPUTED_VALUE"""),"Fighting")</f>
        <v>Fighting</v>
      </c>
      <c r="N740" s="25"/>
      <c r="O740" s="26" t="str">
        <f>IFERROR(__xludf.DUMMYFUNCTION("""COMPUTED_VALUE"""),"No")</f>
        <v>No</v>
      </c>
      <c r="P740" s="26"/>
    </row>
    <row r="741">
      <c r="A741" s="13" t="str">
        <f>IFERROR(__xludf.DUMMYFUNCTION("""COMPUTED_VALUE"""),"PAYDAY: The Heist")</f>
        <v>PAYDAY: The Heist</v>
      </c>
      <c r="B741" s="15" t="str">
        <f>IFERROR(__xludf.DUMMYFUNCTION("""COMPUTED_VALUE"""),"PS3")</f>
        <v>PS3</v>
      </c>
      <c r="C741" s="16" t="str">
        <f>IFERROR(__xludf.DUMMYFUNCTION("""COMPUTED_VALUE"""),"Playstation Plus (Discontinued)")</f>
        <v>Playstation Plus (Discontinued)</v>
      </c>
      <c r="D741" s="15" t="str">
        <f>IFERROR(__xludf.DUMMYFUNCTION("""COMPUTED_VALUE"""),"Removed")</f>
        <v>Removed</v>
      </c>
      <c r="E741" s="17">
        <f>IFERROR(__xludf.DUMMYFUNCTION("""COMPUTED_VALUE"""),41184.0)</f>
        <v>41184</v>
      </c>
      <c r="F741" s="54">
        <f>IFERROR(__xludf.DUMMYFUNCTION("""COMPUTED_VALUE"""),41218.0)</f>
        <v>41218</v>
      </c>
      <c r="G741" s="19">
        <f>IFERROR(__xludf.DUMMYFUNCTION("""COMPUTED_VALUE"""),1.0999999999999999)</f>
        <v>1.1</v>
      </c>
      <c r="H741" s="17">
        <f>IFERROR(__xludf.DUMMYFUNCTION("""COMPUTED_VALUE"""),40834.0)</f>
        <v>40834</v>
      </c>
      <c r="I741" s="19">
        <f>IFERROR(__xludf.DUMMYFUNCTION("""COMPUTED_VALUE"""),0.9555555555555556)</f>
        <v>0.9555555556</v>
      </c>
      <c r="J741" s="21">
        <f>IFERROR(__xludf.DUMMYFUNCTION("""COMPUTED_VALUE"""),77.0)</f>
        <v>77</v>
      </c>
      <c r="K741" s="23">
        <f>IFERROR(__xludf.DUMMYFUNCTION("""COMPUTED_VALUE"""),7.8)</f>
        <v>7.8</v>
      </c>
      <c r="L741" s="24">
        <f>IFERROR(__xludf.DUMMYFUNCTION("""COMPUTED_VALUE"""),14.0)</f>
        <v>14</v>
      </c>
      <c r="M741" s="25" t="str">
        <f>IFERROR(__xludf.DUMMYFUNCTION("""COMPUTED_VALUE"""),"Shooter")</f>
        <v>Shooter</v>
      </c>
      <c r="N741" s="25"/>
      <c r="O741" s="26" t="str">
        <f>IFERROR(__xludf.DUMMYFUNCTION("""COMPUTED_VALUE"""),"No")</f>
        <v>No</v>
      </c>
      <c r="P741" s="26"/>
    </row>
    <row r="742">
      <c r="A742" s="13" t="str">
        <f>IFERROR(__xludf.DUMMYFUNCTION("""COMPUTED_VALUE"""),"NFL Blitz")</f>
        <v>NFL Blitz</v>
      </c>
      <c r="B742" s="15" t="str">
        <f>IFERROR(__xludf.DUMMYFUNCTION("""COMPUTED_VALUE"""),"PS3")</f>
        <v>PS3</v>
      </c>
      <c r="C742" s="16" t="str">
        <f>IFERROR(__xludf.DUMMYFUNCTION("""COMPUTED_VALUE"""),"Playstation Plus (Discontinued)")</f>
        <v>Playstation Plus (Discontinued)</v>
      </c>
      <c r="D742" s="15" t="str">
        <f>IFERROR(__xludf.DUMMYFUNCTION("""COMPUTED_VALUE"""),"Removed")</f>
        <v>Removed</v>
      </c>
      <c r="E742" s="17">
        <f>IFERROR(__xludf.DUMMYFUNCTION("""COMPUTED_VALUE"""),41184.0)</f>
        <v>41184</v>
      </c>
      <c r="F742" s="54">
        <f>IFERROR(__xludf.DUMMYFUNCTION("""COMPUTED_VALUE"""),41218.0)</f>
        <v>41218</v>
      </c>
      <c r="G742" s="19">
        <f>IFERROR(__xludf.DUMMYFUNCTION("""COMPUTED_VALUE"""),1.0999999999999999)</f>
        <v>1.1</v>
      </c>
      <c r="H742" s="17">
        <f>IFERROR(__xludf.DUMMYFUNCTION("""COMPUTED_VALUE"""),40911.0)</f>
        <v>40911</v>
      </c>
      <c r="I742" s="19">
        <f>IFERROR(__xludf.DUMMYFUNCTION("""COMPUTED_VALUE"""),0.7472222222222222)</f>
        <v>0.7472222222</v>
      </c>
      <c r="J742" s="21">
        <f>IFERROR(__xludf.DUMMYFUNCTION("""COMPUTED_VALUE"""),76.0)</f>
        <v>76</v>
      </c>
      <c r="K742" s="23">
        <f>IFERROR(__xludf.DUMMYFUNCTION("""COMPUTED_VALUE"""),7.5)</f>
        <v>7.5</v>
      </c>
      <c r="L742" s="24"/>
      <c r="M742" s="25" t="str">
        <f>IFERROR(__xludf.DUMMYFUNCTION("""COMPUTED_VALUE"""),"Sports")</f>
        <v>Sports</v>
      </c>
      <c r="N742" s="25"/>
      <c r="O742" s="26" t="str">
        <f>IFERROR(__xludf.DUMMYFUNCTION("""COMPUTED_VALUE"""),"No")</f>
        <v>No</v>
      </c>
      <c r="P742" s="26"/>
    </row>
    <row r="743">
      <c r="A743" s="13" t="str">
        <f>IFERROR(__xludf.DUMMYFUNCTION("""COMPUTED_VALUE"""),"Double Dragon Neon")</f>
        <v>Double Dragon Neon</v>
      </c>
      <c r="B743" s="15" t="str">
        <f>IFERROR(__xludf.DUMMYFUNCTION("""COMPUTED_VALUE"""),"PS3")</f>
        <v>PS3</v>
      </c>
      <c r="C743" s="16" t="str">
        <f>IFERROR(__xludf.DUMMYFUNCTION("""COMPUTED_VALUE"""),"Playstation Plus (Discontinued)")</f>
        <v>Playstation Plus (Discontinued)</v>
      </c>
      <c r="D743" s="15" t="str">
        <f>IFERROR(__xludf.DUMMYFUNCTION("""COMPUTED_VALUE"""),"Removed")</f>
        <v>Removed</v>
      </c>
      <c r="E743" s="17">
        <f>IFERROR(__xludf.DUMMYFUNCTION("""COMPUTED_VALUE"""),41163.0)</f>
        <v>41163</v>
      </c>
      <c r="F743" s="54">
        <f>IFERROR(__xludf.DUMMYFUNCTION("""COMPUTED_VALUE"""),41183.0)</f>
        <v>41183</v>
      </c>
      <c r="G743" s="19">
        <f>IFERROR(__xludf.DUMMYFUNCTION("""COMPUTED_VALUE"""),0.6666666666666666)</f>
        <v>0.6666666667</v>
      </c>
      <c r="H743" s="17">
        <f>IFERROR(__xludf.DUMMYFUNCTION("""COMPUTED_VALUE"""),41163.0)</f>
        <v>41163</v>
      </c>
      <c r="I743" s="19">
        <f>IFERROR(__xludf.DUMMYFUNCTION("""COMPUTED_VALUE"""),0.0)</f>
        <v>0</v>
      </c>
      <c r="J743" s="21">
        <f>IFERROR(__xludf.DUMMYFUNCTION("""COMPUTED_VALUE"""),70.0)</f>
        <v>70</v>
      </c>
      <c r="K743" s="23">
        <f>IFERROR(__xludf.DUMMYFUNCTION("""COMPUTED_VALUE"""),7.5)</f>
        <v>7.5</v>
      </c>
      <c r="L743" s="24">
        <f>IFERROR(__xludf.DUMMYFUNCTION("""COMPUTED_VALUE"""),4.0)</f>
        <v>4</v>
      </c>
      <c r="M743" s="25" t="str">
        <f>IFERROR(__xludf.DUMMYFUNCTION("""COMPUTED_VALUE"""),"Platformer")</f>
        <v>Platformer</v>
      </c>
      <c r="N743" s="25"/>
      <c r="O743" s="26" t="str">
        <f>IFERROR(__xludf.DUMMYFUNCTION("""COMPUTED_VALUE"""),"No")</f>
        <v>No</v>
      </c>
      <c r="P743" s="26"/>
    </row>
    <row r="744">
      <c r="A744" s="13" t="str">
        <f>IFERROR(__xludf.DUMMYFUNCTION("""COMPUTED_VALUE"""),"Ronnie O'Sullivan's Snooker")</f>
        <v>Ronnie O'Sullivan's Snooker</v>
      </c>
      <c r="B744" s="15" t="str">
        <f>IFERROR(__xludf.DUMMYFUNCTION("""COMPUTED_VALUE"""),"PS3")</f>
        <v>PS3</v>
      </c>
      <c r="C744" s="16" t="str">
        <f>IFERROR(__xludf.DUMMYFUNCTION("""COMPUTED_VALUE"""),"Playstation Plus (Discontinued)")</f>
        <v>Playstation Plus (Discontinued)</v>
      </c>
      <c r="D744" s="15" t="str">
        <f>IFERROR(__xludf.DUMMYFUNCTION("""COMPUTED_VALUE"""),"Removed")</f>
        <v>Removed</v>
      </c>
      <c r="E744" s="17">
        <f>IFERROR(__xludf.DUMMYFUNCTION("""COMPUTED_VALUE"""),41156.0)</f>
        <v>41156</v>
      </c>
      <c r="F744" s="54">
        <f>IFERROR(__xludf.DUMMYFUNCTION("""COMPUTED_VALUE"""),41183.0)</f>
        <v>41183</v>
      </c>
      <c r="G744" s="19">
        <f>IFERROR(__xludf.DUMMYFUNCTION("""COMPUTED_VALUE"""),0.8999999999999999)</f>
        <v>0.9</v>
      </c>
      <c r="H744" s="17">
        <f>IFERROR(__xludf.DUMMYFUNCTION("""COMPUTED_VALUE"""),41149.0)</f>
        <v>41149</v>
      </c>
      <c r="I744" s="19">
        <f>IFERROR(__xludf.DUMMYFUNCTION("""COMPUTED_VALUE"""),0.016666666666666666)</f>
        <v>0.01666666667</v>
      </c>
      <c r="J744" s="21">
        <f>IFERROR(__xludf.DUMMYFUNCTION("""COMPUTED_VALUE"""),68.0)</f>
        <v>68</v>
      </c>
      <c r="K744" s="23">
        <f>IFERROR(__xludf.DUMMYFUNCTION("""COMPUTED_VALUE"""),7.1)</f>
        <v>7.1</v>
      </c>
      <c r="L744" s="24"/>
      <c r="M744" s="25" t="str">
        <f>IFERROR(__xludf.DUMMYFUNCTION("""COMPUTED_VALUE"""),"Sports")</f>
        <v>Sports</v>
      </c>
      <c r="N744" s="25" t="str">
        <f>IFERROR(__xludf.DUMMYFUNCTION("""COMPUTED_VALUE"""),"PS Minis")</f>
        <v>PS Minis</v>
      </c>
      <c r="O744" s="26" t="str">
        <f>IFERROR(__xludf.DUMMYFUNCTION("""COMPUTED_VALUE"""),"No")</f>
        <v>No</v>
      </c>
      <c r="P744" s="26"/>
    </row>
    <row r="745">
      <c r="A745" s="13" t="str">
        <f>IFERROR(__xludf.DUMMYFUNCTION("""COMPUTED_VALUE"""),"Starhawk (single-player ONLY)")</f>
        <v>Starhawk (single-player ONLY)</v>
      </c>
      <c r="B745" s="15" t="str">
        <f>IFERROR(__xludf.DUMMYFUNCTION("""COMPUTED_VALUE"""),"PS3")</f>
        <v>PS3</v>
      </c>
      <c r="C745" s="16" t="str">
        <f>IFERROR(__xludf.DUMMYFUNCTION("""COMPUTED_VALUE"""),"Playstation Plus (Discontinued)")</f>
        <v>Playstation Plus (Discontinued)</v>
      </c>
      <c r="D745" s="15" t="str">
        <f>IFERROR(__xludf.DUMMYFUNCTION("""COMPUTED_VALUE"""),"Removed")</f>
        <v>Removed</v>
      </c>
      <c r="E745" s="17">
        <f>IFERROR(__xludf.DUMMYFUNCTION("""COMPUTED_VALUE"""),41156.0)</f>
        <v>41156</v>
      </c>
      <c r="F745" s="54">
        <f>IFERROR(__xludf.DUMMYFUNCTION("""COMPUTED_VALUE"""),41183.0)</f>
        <v>41183</v>
      </c>
      <c r="G745" s="19">
        <f>IFERROR(__xludf.DUMMYFUNCTION("""COMPUTED_VALUE"""),0.8999999999999999)</f>
        <v>0.9</v>
      </c>
      <c r="H745" s="17">
        <f>IFERROR(__xludf.DUMMYFUNCTION("""COMPUTED_VALUE"""),41037.0)</f>
        <v>41037</v>
      </c>
      <c r="I745" s="19">
        <f>IFERROR(__xludf.DUMMYFUNCTION("""COMPUTED_VALUE"""),0.32222222222222224)</f>
        <v>0.3222222222</v>
      </c>
      <c r="J745" s="21">
        <f>IFERROR(__xludf.DUMMYFUNCTION("""COMPUTED_VALUE"""),75.0)</f>
        <v>75</v>
      </c>
      <c r="K745" s="23">
        <f>IFERROR(__xludf.DUMMYFUNCTION("""COMPUTED_VALUE"""),7.4)</f>
        <v>7.4</v>
      </c>
      <c r="L745" s="24">
        <f>IFERROR(__xludf.DUMMYFUNCTION("""COMPUTED_VALUE"""),8.0)</f>
        <v>8</v>
      </c>
      <c r="M745" s="25" t="str">
        <f>IFERROR(__xludf.DUMMYFUNCTION("""COMPUTED_VALUE"""),"Shooter")</f>
        <v>Shooter</v>
      </c>
      <c r="N745" s="25"/>
      <c r="O745" s="26" t="str">
        <f>IFERROR(__xludf.DUMMYFUNCTION("""COMPUTED_VALUE"""),"No")</f>
        <v>No</v>
      </c>
      <c r="P745" s="26"/>
    </row>
    <row r="746">
      <c r="A746" s="13" t="str">
        <f>IFERROR(__xludf.DUMMYFUNCTION("""COMPUTED_VALUE"""),"Scott Pilgrim vs. The World")</f>
        <v>Scott Pilgrim vs. The World</v>
      </c>
      <c r="B746" s="15" t="str">
        <f>IFERROR(__xludf.DUMMYFUNCTION("""COMPUTED_VALUE"""),"PS3")</f>
        <v>PS3</v>
      </c>
      <c r="C746" s="16" t="str">
        <f>IFERROR(__xludf.DUMMYFUNCTION("""COMPUTED_VALUE"""),"Playstation Plus (Discontinued)")</f>
        <v>Playstation Plus (Discontinued)</v>
      </c>
      <c r="D746" s="15" t="str">
        <f>IFERROR(__xludf.DUMMYFUNCTION("""COMPUTED_VALUE"""),"Removed")</f>
        <v>Removed</v>
      </c>
      <c r="E746" s="17">
        <f>IFERROR(__xludf.DUMMYFUNCTION("""COMPUTED_VALUE"""),41156.0)</f>
        <v>41156</v>
      </c>
      <c r="F746" s="54">
        <f>IFERROR(__xludf.DUMMYFUNCTION("""COMPUTED_VALUE"""),41183.0)</f>
        <v>41183</v>
      </c>
      <c r="G746" s="19">
        <f>IFERROR(__xludf.DUMMYFUNCTION("""COMPUTED_VALUE"""),0.8999999999999999)</f>
        <v>0.9</v>
      </c>
      <c r="H746" s="17">
        <f>IFERROR(__xludf.DUMMYFUNCTION("""COMPUTED_VALUE"""),40415.0)</f>
        <v>40415</v>
      </c>
      <c r="I746" s="19">
        <f>IFERROR(__xludf.DUMMYFUNCTION("""COMPUTED_VALUE"""),2.025)</f>
        <v>2.025</v>
      </c>
      <c r="J746" s="21">
        <f>IFERROR(__xludf.DUMMYFUNCTION("""COMPUTED_VALUE"""),78.0)</f>
        <v>78</v>
      </c>
      <c r="K746" s="23">
        <f>IFERROR(__xludf.DUMMYFUNCTION("""COMPUTED_VALUE"""),8.0)</f>
        <v>8</v>
      </c>
      <c r="L746" s="24">
        <f>IFERROR(__xludf.DUMMYFUNCTION("""COMPUTED_VALUE"""),5.0)</f>
        <v>5</v>
      </c>
      <c r="M746" s="25" t="str">
        <f>IFERROR(__xludf.DUMMYFUNCTION("""COMPUTED_VALUE"""),"Platformer")</f>
        <v>Platformer</v>
      </c>
      <c r="N746" s="25"/>
      <c r="O746" s="26" t="str">
        <f>IFERROR(__xludf.DUMMYFUNCTION("""COMPUTED_VALUE"""),"No")</f>
        <v>No</v>
      </c>
      <c r="P746" s="26"/>
    </row>
    <row r="747">
      <c r="A747" s="35" t="str">
        <f>IFERROR(__xludf.DUMMYFUNCTION("""COMPUTED_VALUE"""),"Borderlands")</f>
        <v>Borderlands</v>
      </c>
      <c r="B747" s="15" t="str">
        <f>IFERROR(__xludf.DUMMYFUNCTION("""COMPUTED_VALUE"""),"PS3")</f>
        <v>PS3</v>
      </c>
      <c r="C747" s="16" t="str">
        <f>IFERROR(__xludf.DUMMYFUNCTION("""COMPUTED_VALUE"""),"Playstation Plus (Discontinued)")</f>
        <v>Playstation Plus (Discontinued)</v>
      </c>
      <c r="D747" s="15" t="str">
        <f>IFERROR(__xludf.DUMMYFUNCTION("""COMPUTED_VALUE"""),"Removed")</f>
        <v>Removed</v>
      </c>
      <c r="E747" s="17">
        <f>IFERROR(__xludf.DUMMYFUNCTION("""COMPUTED_VALUE"""),41156.0)</f>
        <v>41156</v>
      </c>
      <c r="F747" s="54">
        <f>IFERROR(__xludf.DUMMYFUNCTION("""COMPUTED_VALUE"""),41183.0)</f>
        <v>41183</v>
      </c>
      <c r="G747" s="19">
        <f>IFERROR(__xludf.DUMMYFUNCTION("""COMPUTED_VALUE"""),0.8999999999999999)</f>
        <v>0.9</v>
      </c>
      <c r="H747" s="17">
        <f>IFERROR(__xludf.DUMMYFUNCTION("""COMPUTED_VALUE"""),40106.0)</f>
        <v>40106</v>
      </c>
      <c r="I747" s="19">
        <f>IFERROR(__xludf.DUMMYFUNCTION("""COMPUTED_VALUE"""),2.8722222222222222)</f>
        <v>2.872222222</v>
      </c>
      <c r="J747" s="21">
        <f>IFERROR(__xludf.DUMMYFUNCTION("""COMPUTED_VALUE"""),81.0)</f>
        <v>81</v>
      </c>
      <c r="K747" s="23">
        <f>IFERROR(__xludf.DUMMYFUNCTION("""COMPUTED_VALUE"""),8.1)</f>
        <v>8.1</v>
      </c>
      <c r="L747" s="24">
        <f>IFERROR(__xludf.DUMMYFUNCTION("""COMPUTED_VALUE"""),23.0)</f>
        <v>23</v>
      </c>
      <c r="M747" s="25" t="str">
        <f>IFERROR(__xludf.DUMMYFUNCTION("""COMPUTED_VALUE"""),"Shooter")</f>
        <v>Shooter</v>
      </c>
      <c r="N747" s="25"/>
      <c r="O747" s="26" t="str">
        <f>IFERROR(__xludf.DUMMYFUNCTION("""COMPUTED_VALUE"""),"No")</f>
        <v>No</v>
      </c>
      <c r="P747" s="26"/>
    </row>
    <row r="748">
      <c r="A748" s="35" t="str">
        <f>IFERROR(__xludf.DUMMYFUNCTION("""COMPUTED_VALUE"""),"Outland")</f>
        <v>Outland</v>
      </c>
      <c r="B748" s="15" t="str">
        <f>IFERROR(__xludf.DUMMYFUNCTION("""COMPUTED_VALUE"""),"PS3")</f>
        <v>PS3</v>
      </c>
      <c r="C748" s="16" t="str">
        <f>IFERROR(__xludf.DUMMYFUNCTION("""COMPUTED_VALUE"""),"Playstation Plus (Discontinued)")</f>
        <v>Playstation Plus (Discontinued)</v>
      </c>
      <c r="D748" s="15" t="str">
        <f>IFERROR(__xludf.DUMMYFUNCTION("""COMPUTED_VALUE"""),"Removed")</f>
        <v>Removed</v>
      </c>
      <c r="E748" s="17">
        <f>IFERROR(__xludf.DUMMYFUNCTION("""COMPUTED_VALUE"""),41128.0)</f>
        <v>41128</v>
      </c>
      <c r="F748" s="54">
        <f>IFERROR(__xludf.DUMMYFUNCTION("""COMPUTED_VALUE"""),41155.0)</f>
        <v>41155</v>
      </c>
      <c r="G748" s="19">
        <f>IFERROR(__xludf.DUMMYFUNCTION("""COMPUTED_VALUE"""),0.8666666666666666)</f>
        <v>0.8666666667</v>
      </c>
      <c r="H748" s="17">
        <f>IFERROR(__xludf.DUMMYFUNCTION("""COMPUTED_VALUE"""),40659.0)</f>
        <v>40659</v>
      </c>
      <c r="I748" s="19">
        <f>IFERROR(__xludf.DUMMYFUNCTION("""COMPUTED_VALUE"""),1.2805555555555554)</f>
        <v>1.280555556</v>
      </c>
      <c r="J748" s="21">
        <f>IFERROR(__xludf.DUMMYFUNCTION("""COMPUTED_VALUE"""),83.0)</f>
        <v>83</v>
      </c>
      <c r="K748" s="23">
        <f>IFERROR(__xludf.DUMMYFUNCTION("""COMPUTED_VALUE"""),8.0)</f>
        <v>8</v>
      </c>
      <c r="L748" s="24">
        <f>IFERROR(__xludf.DUMMYFUNCTION("""COMPUTED_VALUE"""),8.0)</f>
        <v>8</v>
      </c>
      <c r="M748" s="25" t="str">
        <f>IFERROR(__xludf.DUMMYFUNCTION("""COMPUTED_VALUE"""),"Platformer")</f>
        <v>Platformer</v>
      </c>
      <c r="N748" s="25"/>
      <c r="O748" s="26" t="str">
        <f>IFERROR(__xludf.DUMMYFUNCTION("""COMPUTED_VALUE"""),"No")</f>
        <v>No</v>
      </c>
      <c r="P748" s="26"/>
    </row>
    <row r="749">
      <c r="A749" s="35" t="str">
        <f>IFERROR(__xludf.DUMMYFUNCTION("""COMPUTED_VALUE"""),"Bloodrayne Betrayal")</f>
        <v>Bloodrayne Betrayal</v>
      </c>
      <c r="B749" s="15" t="str">
        <f>IFERROR(__xludf.DUMMYFUNCTION("""COMPUTED_VALUE"""),"PS3")</f>
        <v>PS3</v>
      </c>
      <c r="C749" s="16" t="str">
        <f>IFERROR(__xludf.DUMMYFUNCTION("""COMPUTED_VALUE"""),"Playstation Plus (Discontinued)")</f>
        <v>Playstation Plus (Discontinued)</v>
      </c>
      <c r="D749" s="15" t="str">
        <f>IFERROR(__xludf.DUMMYFUNCTION("""COMPUTED_VALUE"""),"Removed")</f>
        <v>Removed</v>
      </c>
      <c r="E749" s="17">
        <f>IFERROR(__xludf.DUMMYFUNCTION("""COMPUTED_VALUE"""),41128.0)</f>
        <v>41128</v>
      </c>
      <c r="F749" s="54">
        <f>IFERROR(__xludf.DUMMYFUNCTION("""COMPUTED_VALUE"""),41155.0)</f>
        <v>41155</v>
      </c>
      <c r="G749" s="19">
        <f>IFERROR(__xludf.DUMMYFUNCTION("""COMPUTED_VALUE"""),0.8666666666666666)</f>
        <v>0.8666666667</v>
      </c>
      <c r="H749" s="17">
        <f>IFERROR(__xludf.DUMMYFUNCTION("""COMPUTED_VALUE"""),40786.0)</f>
        <v>40786</v>
      </c>
      <c r="I749" s="19">
        <f>IFERROR(__xludf.DUMMYFUNCTION("""COMPUTED_VALUE"""),0.9361111111111111)</f>
        <v>0.9361111111</v>
      </c>
      <c r="J749" s="21">
        <f>IFERROR(__xludf.DUMMYFUNCTION("""COMPUTED_VALUE"""),52.0)</f>
        <v>52</v>
      </c>
      <c r="K749" s="23">
        <f>IFERROR(__xludf.DUMMYFUNCTION("""COMPUTED_VALUE"""),6.4)</f>
        <v>6.4</v>
      </c>
      <c r="L749" s="24">
        <f>IFERROR(__xludf.DUMMYFUNCTION("""COMPUTED_VALUE"""),6.0)</f>
        <v>6</v>
      </c>
      <c r="M749" s="25" t="str">
        <f>IFERROR(__xludf.DUMMYFUNCTION("""COMPUTED_VALUE"""),"Platformer")</f>
        <v>Platformer</v>
      </c>
      <c r="N749" s="25"/>
      <c r="O749" s="26" t="str">
        <f>IFERROR(__xludf.DUMMYFUNCTION("""COMPUTED_VALUE"""),"No")</f>
        <v>No</v>
      </c>
      <c r="P749" s="26"/>
    </row>
    <row r="750">
      <c r="A750" s="35" t="str">
        <f>IFERROR(__xludf.DUMMYFUNCTION("""COMPUTED_VALUE"""),"Farm Frenzy 2")</f>
        <v>Farm Frenzy 2</v>
      </c>
      <c r="B750" s="15" t="str">
        <f>IFERROR(__xludf.DUMMYFUNCTION("""COMPUTED_VALUE"""),"PS3")</f>
        <v>PS3</v>
      </c>
      <c r="C750" s="16" t="str">
        <f>IFERROR(__xludf.DUMMYFUNCTION("""COMPUTED_VALUE"""),"Playstation Plus (Discontinued)")</f>
        <v>Playstation Plus (Discontinued)</v>
      </c>
      <c r="D750" s="15" t="str">
        <f>IFERROR(__xludf.DUMMYFUNCTION("""COMPUTED_VALUE"""),"Removed")</f>
        <v>Removed</v>
      </c>
      <c r="E750" s="17">
        <f>IFERROR(__xludf.DUMMYFUNCTION("""COMPUTED_VALUE"""),41128.0)</f>
        <v>41128</v>
      </c>
      <c r="F750" s="54">
        <f>IFERROR(__xludf.DUMMYFUNCTION("""COMPUTED_VALUE"""),41155.0)</f>
        <v>41155</v>
      </c>
      <c r="G750" s="19">
        <f>IFERROR(__xludf.DUMMYFUNCTION("""COMPUTED_VALUE"""),0.8666666666666666)</f>
        <v>0.8666666667</v>
      </c>
      <c r="H750" s="17">
        <f>IFERROR(__xludf.DUMMYFUNCTION("""COMPUTED_VALUE"""),40478.0)</f>
        <v>40478</v>
      </c>
      <c r="I750" s="19">
        <f>IFERROR(__xludf.DUMMYFUNCTION("""COMPUTED_VALUE"""),1.7777777777777777)</f>
        <v>1.777777778</v>
      </c>
      <c r="J750" s="21">
        <f>IFERROR(__xludf.DUMMYFUNCTION("""COMPUTED_VALUE"""),62.0)</f>
        <v>62</v>
      </c>
      <c r="K750" s="23">
        <f>IFERROR(__xludf.DUMMYFUNCTION("""COMPUTED_VALUE"""),7.0)</f>
        <v>7</v>
      </c>
      <c r="L750" s="24">
        <f>IFERROR(__xludf.DUMMYFUNCTION("""COMPUTED_VALUE"""),6.0)</f>
        <v>6</v>
      </c>
      <c r="M750" s="25" t="str">
        <f>IFERROR(__xludf.DUMMYFUNCTION("""COMPUTED_VALUE"""),"Strategy")</f>
        <v>Strategy</v>
      </c>
      <c r="N750" s="25" t="str">
        <f>IFERROR(__xludf.DUMMYFUNCTION("""COMPUTED_VALUE"""),"PS Minis")</f>
        <v>PS Minis</v>
      </c>
      <c r="O750" s="26" t="str">
        <f>IFERROR(__xludf.DUMMYFUNCTION("""COMPUTED_VALUE"""),"No")</f>
        <v>No</v>
      </c>
      <c r="P750" s="26"/>
    </row>
    <row r="751">
      <c r="A751" s="13" t="str">
        <f>IFERROR(__xludf.DUMMYFUNCTION("""COMPUTED_VALUE"""),"The Walking Dead (Ep. 1 &amp; 2)")</f>
        <v>The Walking Dead (Ep. 1 &amp; 2)</v>
      </c>
      <c r="B751" s="15" t="str">
        <f>IFERROR(__xludf.DUMMYFUNCTION("""COMPUTED_VALUE"""),"PS3")</f>
        <v>PS3</v>
      </c>
      <c r="C751" s="16" t="str">
        <f>IFERROR(__xludf.DUMMYFUNCTION("""COMPUTED_VALUE"""),"Playstation Plus (Discontinued)")</f>
        <v>Playstation Plus (Discontinued)</v>
      </c>
      <c r="D751" s="15" t="str">
        <f>IFERROR(__xludf.DUMMYFUNCTION("""COMPUTED_VALUE"""),"Removed")</f>
        <v>Removed</v>
      </c>
      <c r="E751" s="17">
        <f>IFERROR(__xludf.DUMMYFUNCTION("""COMPUTED_VALUE"""),41128.0)</f>
        <v>41128</v>
      </c>
      <c r="F751" s="54">
        <f>IFERROR(__xludf.DUMMYFUNCTION("""COMPUTED_VALUE"""),41155.0)</f>
        <v>41155</v>
      </c>
      <c r="G751" s="19">
        <f>IFERROR(__xludf.DUMMYFUNCTION("""COMPUTED_VALUE"""),0.8666666666666666)</f>
        <v>0.8666666667</v>
      </c>
      <c r="H751" s="17">
        <f>IFERROR(__xludf.DUMMYFUNCTION("""COMPUTED_VALUE"""),41023.0)</f>
        <v>41023</v>
      </c>
      <c r="I751" s="19">
        <f>IFERROR(__xludf.DUMMYFUNCTION("""COMPUTED_VALUE"""),0.2861111111111111)</f>
        <v>0.2861111111</v>
      </c>
      <c r="J751" s="21">
        <f>IFERROR(__xludf.DUMMYFUNCTION("""COMPUTED_VALUE"""),89.0)</f>
        <v>89</v>
      </c>
      <c r="K751" s="23">
        <f>IFERROR(__xludf.DUMMYFUNCTION("""COMPUTED_VALUE"""),8.8)</f>
        <v>8.8</v>
      </c>
      <c r="L751" s="24">
        <f>IFERROR(__xludf.DUMMYFUNCTION("""COMPUTED_VALUE"""),5.0)</f>
        <v>5</v>
      </c>
      <c r="M751" s="25" t="str">
        <f>IFERROR(__xludf.DUMMYFUNCTION("""COMPUTED_VALUE"""),"Adventure")</f>
        <v>Adventure</v>
      </c>
      <c r="N751" s="25"/>
      <c r="O751" s="26" t="str">
        <f>IFERROR(__xludf.DUMMYFUNCTION("""COMPUTED_VALUE"""),"No")</f>
        <v>No</v>
      </c>
      <c r="P751" s="26"/>
    </row>
    <row r="752">
      <c r="A752" s="13" t="str">
        <f>IFERROR(__xludf.DUMMYFUNCTION("""COMPUTED_VALUE"""),"Renegade Ops")</f>
        <v>Renegade Ops</v>
      </c>
      <c r="B752" s="15" t="str">
        <f>IFERROR(__xludf.DUMMYFUNCTION("""COMPUTED_VALUE"""),"PS3")</f>
        <v>PS3</v>
      </c>
      <c r="C752" s="16" t="str">
        <f>IFERROR(__xludf.DUMMYFUNCTION("""COMPUTED_VALUE"""),"Playstation Plus (Discontinued)")</f>
        <v>Playstation Plus (Discontinued)</v>
      </c>
      <c r="D752" s="15" t="str">
        <f>IFERROR(__xludf.DUMMYFUNCTION("""COMPUTED_VALUE"""),"Removed")</f>
        <v>Removed</v>
      </c>
      <c r="E752" s="17">
        <f>IFERROR(__xludf.DUMMYFUNCTION("""COMPUTED_VALUE"""),41093.0)</f>
        <v>41093</v>
      </c>
      <c r="F752" s="54">
        <f>IFERROR(__xludf.DUMMYFUNCTION("""COMPUTED_VALUE"""),41127.0)</f>
        <v>41127</v>
      </c>
      <c r="G752" s="19">
        <f>IFERROR(__xludf.DUMMYFUNCTION("""COMPUTED_VALUE"""),1.0999999999999999)</f>
        <v>1.1</v>
      </c>
      <c r="H752" s="17">
        <f>IFERROR(__xludf.DUMMYFUNCTION("""COMPUTED_VALUE"""),40800.0)</f>
        <v>40800</v>
      </c>
      <c r="I752" s="19">
        <f>IFERROR(__xludf.DUMMYFUNCTION("""COMPUTED_VALUE"""),0.8027777777777778)</f>
        <v>0.8027777778</v>
      </c>
      <c r="J752" s="21">
        <f>IFERROR(__xludf.DUMMYFUNCTION("""COMPUTED_VALUE"""),76.0)</f>
        <v>76</v>
      </c>
      <c r="K752" s="23">
        <f>IFERROR(__xludf.DUMMYFUNCTION("""COMPUTED_VALUE"""),7.6)</f>
        <v>7.6</v>
      </c>
      <c r="L752" s="24">
        <f>IFERROR(__xludf.DUMMYFUNCTION("""COMPUTED_VALUE"""),6.0)</f>
        <v>6</v>
      </c>
      <c r="M752" s="25" t="str">
        <f>IFERROR(__xludf.DUMMYFUNCTION("""COMPUTED_VALUE"""),"Shooter")</f>
        <v>Shooter</v>
      </c>
      <c r="N752" s="25"/>
      <c r="O752" s="26" t="str">
        <f>IFERROR(__xludf.DUMMYFUNCTION("""COMPUTED_VALUE"""),"No")</f>
        <v>No</v>
      </c>
      <c r="P752" s="26"/>
    </row>
    <row r="753">
      <c r="A753" s="13" t="str">
        <f>IFERROR(__xludf.DUMMYFUNCTION("""COMPUTED_VALUE"""),"Gotham City Imposters")</f>
        <v>Gotham City Imposters</v>
      </c>
      <c r="B753" s="15" t="str">
        <f>IFERROR(__xludf.DUMMYFUNCTION("""COMPUTED_VALUE"""),"PS3")</f>
        <v>PS3</v>
      </c>
      <c r="C753" s="16" t="str">
        <f>IFERROR(__xludf.DUMMYFUNCTION("""COMPUTED_VALUE"""),"Playstation Plus (Discontinued)")</f>
        <v>Playstation Plus (Discontinued)</v>
      </c>
      <c r="D753" s="15" t="str">
        <f>IFERROR(__xludf.DUMMYFUNCTION("""COMPUTED_VALUE"""),"Removed")</f>
        <v>Removed</v>
      </c>
      <c r="E753" s="17">
        <f>IFERROR(__xludf.DUMMYFUNCTION("""COMPUTED_VALUE"""),41093.0)</f>
        <v>41093</v>
      </c>
      <c r="F753" s="54">
        <f>IFERROR(__xludf.DUMMYFUNCTION("""COMPUTED_VALUE"""),41127.0)</f>
        <v>41127</v>
      </c>
      <c r="G753" s="19">
        <f>IFERROR(__xludf.DUMMYFUNCTION("""COMPUTED_VALUE"""),1.0999999999999999)</f>
        <v>1.1</v>
      </c>
      <c r="H753" s="17">
        <f>IFERROR(__xludf.DUMMYFUNCTION("""COMPUTED_VALUE"""),40946.0)</f>
        <v>40946</v>
      </c>
      <c r="I753" s="19">
        <f>IFERROR(__xludf.DUMMYFUNCTION("""COMPUTED_VALUE"""),0.40555555555555556)</f>
        <v>0.4055555556</v>
      </c>
      <c r="J753" s="21">
        <f>IFERROR(__xludf.DUMMYFUNCTION("""COMPUTED_VALUE"""),61.0)</f>
        <v>61</v>
      </c>
      <c r="K753" s="23">
        <f>IFERROR(__xludf.DUMMYFUNCTION("""COMPUTED_VALUE"""),6.6)</f>
        <v>6.6</v>
      </c>
      <c r="L753" s="24"/>
      <c r="M753" s="25" t="str">
        <f>IFERROR(__xludf.DUMMYFUNCTION("""COMPUTED_VALUE"""),"Shooter")</f>
        <v>Shooter</v>
      </c>
      <c r="N753" s="25"/>
      <c r="O753" s="26" t="str">
        <f>IFERROR(__xludf.DUMMYFUNCTION("""COMPUTED_VALUE"""),"No")</f>
        <v>No</v>
      </c>
      <c r="P753" s="26"/>
    </row>
    <row r="754">
      <c r="A754" s="13" t="str">
        <f>IFERROR(__xludf.DUMMYFUNCTION("""COMPUTED_VALUE"""),"Pac-Man Championship Edition DX")</f>
        <v>Pac-Man Championship Edition DX</v>
      </c>
      <c r="B754" s="15" t="str">
        <f>IFERROR(__xludf.DUMMYFUNCTION("""COMPUTED_VALUE"""),"PS3")</f>
        <v>PS3</v>
      </c>
      <c r="C754" s="16" t="str">
        <f>IFERROR(__xludf.DUMMYFUNCTION("""COMPUTED_VALUE"""),"Playstation Plus (Discontinued)")</f>
        <v>Playstation Plus (Discontinued)</v>
      </c>
      <c r="D754" s="15" t="str">
        <f>IFERROR(__xludf.DUMMYFUNCTION("""COMPUTED_VALUE"""),"Removed")</f>
        <v>Removed</v>
      </c>
      <c r="E754" s="17">
        <f>IFERROR(__xludf.DUMMYFUNCTION("""COMPUTED_VALUE"""),41093.0)</f>
        <v>41093</v>
      </c>
      <c r="F754" s="54">
        <f>IFERROR(__xludf.DUMMYFUNCTION("""COMPUTED_VALUE"""),41127.0)</f>
        <v>41127</v>
      </c>
      <c r="G754" s="19">
        <f>IFERROR(__xludf.DUMMYFUNCTION("""COMPUTED_VALUE"""),1.0999999999999999)</f>
        <v>1.1</v>
      </c>
      <c r="H754" s="17">
        <f>IFERROR(__xludf.DUMMYFUNCTION("""COMPUTED_VALUE"""),40499.0)</f>
        <v>40499</v>
      </c>
      <c r="I754" s="19">
        <f>IFERROR(__xludf.DUMMYFUNCTION("""COMPUTED_VALUE"""),1.6277777777777778)</f>
        <v>1.627777778</v>
      </c>
      <c r="J754" s="21">
        <f>IFERROR(__xludf.DUMMYFUNCTION("""COMPUTED_VALUE"""),93.0)</f>
        <v>93</v>
      </c>
      <c r="K754" s="23">
        <f>IFERROR(__xludf.DUMMYFUNCTION("""COMPUTED_VALUE"""),8.6)</f>
        <v>8.6</v>
      </c>
      <c r="L754" s="24"/>
      <c r="M754" s="25" t="str">
        <f>IFERROR(__xludf.DUMMYFUNCTION("""COMPUTED_VALUE"""),"Arcade")</f>
        <v>Arcade</v>
      </c>
      <c r="N754" s="25"/>
      <c r="O754" s="26" t="str">
        <f>IFERROR(__xludf.DUMMYFUNCTION("""COMPUTED_VALUE"""),"No")</f>
        <v>No</v>
      </c>
      <c r="P754" s="26"/>
    </row>
    <row r="755">
      <c r="A755" s="13" t="str">
        <f>IFERROR(__xludf.DUMMYFUNCTION("""COMPUTED_VALUE"""),"Hot Shots Golf 2")</f>
        <v>Hot Shots Golf 2</v>
      </c>
      <c r="B755" s="15" t="str">
        <f>IFERROR(__xludf.DUMMYFUNCTION("""COMPUTED_VALUE"""),"PS3")</f>
        <v>PS3</v>
      </c>
      <c r="C755" s="16" t="str">
        <f>IFERROR(__xludf.DUMMYFUNCTION("""COMPUTED_VALUE"""),"Playstation Plus (Discontinued)")</f>
        <v>Playstation Plus (Discontinued)</v>
      </c>
      <c r="D755" s="15" t="str">
        <f>IFERROR(__xludf.DUMMYFUNCTION("""COMPUTED_VALUE"""),"Removed")</f>
        <v>Removed</v>
      </c>
      <c r="E755" s="17">
        <f>IFERROR(__xludf.DUMMYFUNCTION("""COMPUTED_VALUE"""),41093.0)</f>
        <v>41093</v>
      </c>
      <c r="F755" s="54">
        <f>IFERROR(__xludf.DUMMYFUNCTION("""COMPUTED_VALUE"""),41127.0)</f>
        <v>41127</v>
      </c>
      <c r="G755" s="19">
        <f>IFERROR(__xludf.DUMMYFUNCTION("""COMPUTED_VALUE"""),1.0999999999999999)</f>
        <v>1.1</v>
      </c>
      <c r="H755" s="17">
        <f>IFERROR(__xludf.DUMMYFUNCTION("""COMPUTED_VALUE"""),36278.0)</f>
        <v>36278</v>
      </c>
      <c r="I755" s="19">
        <f>IFERROR(__xludf.DUMMYFUNCTION("""COMPUTED_VALUE"""),13.180555555555555)</f>
        <v>13.18055556</v>
      </c>
      <c r="J755" s="21">
        <f>IFERROR(__xludf.DUMMYFUNCTION("""COMPUTED_VALUE"""),88.0)</f>
        <v>88</v>
      </c>
      <c r="K755" s="23">
        <f>IFERROR(__xludf.DUMMYFUNCTION("""COMPUTED_VALUE"""),8.7)</f>
        <v>8.7</v>
      </c>
      <c r="L755" s="24"/>
      <c r="M755" s="25" t="str">
        <f>IFERROR(__xludf.DUMMYFUNCTION("""COMPUTED_VALUE"""),"Sports")</f>
        <v>Sports</v>
      </c>
      <c r="N755" s="25" t="str">
        <f>IFERROR(__xludf.DUMMYFUNCTION("""COMPUTED_VALUE"""),"PS1")</f>
        <v>PS1</v>
      </c>
      <c r="O755" s="26" t="str">
        <f>IFERROR(__xludf.DUMMYFUNCTION("""COMPUTED_VALUE"""),"No")</f>
        <v>No</v>
      </c>
      <c r="P755" s="26"/>
    </row>
    <row r="756">
      <c r="A756" s="13" t="str">
        <f>IFERROR(__xludf.DUMMYFUNCTION("""COMPUTED_VALUE"""),"International Track and Field")</f>
        <v>International Track and Field</v>
      </c>
      <c r="B756" s="15" t="str">
        <f>IFERROR(__xludf.DUMMYFUNCTION("""COMPUTED_VALUE"""),"PS3")</f>
        <v>PS3</v>
      </c>
      <c r="C756" s="16" t="str">
        <f>IFERROR(__xludf.DUMMYFUNCTION("""COMPUTED_VALUE"""),"Playstation Plus (Discontinued)")</f>
        <v>Playstation Plus (Discontinued)</v>
      </c>
      <c r="D756" s="15" t="str">
        <f>IFERROR(__xludf.DUMMYFUNCTION("""COMPUTED_VALUE"""),"Removed")</f>
        <v>Removed</v>
      </c>
      <c r="E756" s="17">
        <f>IFERROR(__xludf.DUMMYFUNCTION("""COMPUTED_VALUE"""),41093.0)</f>
        <v>41093</v>
      </c>
      <c r="F756" s="54">
        <f>IFERROR(__xludf.DUMMYFUNCTION("""COMPUTED_VALUE"""),41127.0)</f>
        <v>41127</v>
      </c>
      <c r="G756" s="19">
        <f>IFERROR(__xludf.DUMMYFUNCTION("""COMPUTED_VALUE"""),1.0999999999999999)</f>
        <v>1.1</v>
      </c>
      <c r="H756" s="17">
        <f>IFERROR(__xludf.DUMMYFUNCTION("""COMPUTED_VALUE"""),36796.0)</f>
        <v>36796</v>
      </c>
      <c r="I756" s="19">
        <f>IFERROR(__xludf.DUMMYFUNCTION("""COMPUTED_VALUE"""),11.766666666666667)</f>
        <v>11.76666667</v>
      </c>
      <c r="J756" s="21">
        <f>IFERROR(__xludf.DUMMYFUNCTION("""COMPUTED_VALUE"""),78.0)</f>
        <v>78</v>
      </c>
      <c r="K756" s="23">
        <f>IFERROR(__xludf.DUMMYFUNCTION("""COMPUTED_VALUE"""),8.2)</f>
        <v>8.2</v>
      </c>
      <c r="L756" s="24"/>
      <c r="M756" s="25" t="str">
        <f>IFERROR(__xludf.DUMMYFUNCTION("""COMPUTED_VALUE"""),"Sports")</f>
        <v>Sports</v>
      </c>
      <c r="N756" s="25" t="str">
        <f>IFERROR(__xludf.DUMMYFUNCTION("""COMPUTED_VALUE"""),"PS1")</f>
        <v>PS1</v>
      </c>
      <c r="O756" s="26" t="str">
        <f>IFERROR(__xludf.DUMMYFUNCTION("""COMPUTED_VALUE"""),"No")</f>
        <v>No</v>
      </c>
      <c r="P756" s="26"/>
    </row>
    <row r="757">
      <c r="A757" s="13" t="str">
        <f>IFERROR(__xludf.DUMMYFUNCTION("""COMPUTED_VALUE"""),"Kaleidoscope")</f>
        <v>Kaleidoscope</v>
      </c>
      <c r="B757" s="15" t="str">
        <f>IFERROR(__xludf.DUMMYFUNCTION("""COMPUTED_VALUE"""),"PS3")</f>
        <v>PS3</v>
      </c>
      <c r="C757" s="16" t="str">
        <f>IFERROR(__xludf.DUMMYFUNCTION("""COMPUTED_VALUE"""),"Playstation Plus (Discontinued)")</f>
        <v>Playstation Plus (Discontinued)</v>
      </c>
      <c r="D757" s="15" t="str">
        <f>IFERROR(__xludf.DUMMYFUNCTION("""COMPUTED_VALUE"""),"Removed")</f>
        <v>Removed</v>
      </c>
      <c r="E757" s="17">
        <f>IFERROR(__xludf.DUMMYFUNCTION("""COMPUTED_VALUE"""),41065.0)</f>
        <v>41065</v>
      </c>
      <c r="F757" s="54">
        <f>IFERROR(__xludf.DUMMYFUNCTION("""COMPUTED_VALUE"""),41092.0)</f>
        <v>41092</v>
      </c>
      <c r="G757" s="19">
        <f>IFERROR(__xludf.DUMMYFUNCTION("""COMPUTED_VALUE"""),0.8999999999999999)</f>
        <v>0.9</v>
      </c>
      <c r="H757" s="17">
        <f>IFERROR(__xludf.DUMMYFUNCTION("""COMPUTED_VALUE"""),40771.0)</f>
        <v>40771</v>
      </c>
      <c r="I757" s="19">
        <f>IFERROR(__xludf.DUMMYFUNCTION("""COMPUTED_VALUE"""),0.8027777777777778)</f>
        <v>0.8027777778</v>
      </c>
      <c r="J757" s="21">
        <f>IFERROR(__xludf.DUMMYFUNCTION("""COMPUTED_VALUE"""),67.0)</f>
        <v>67</v>
      </c>
      <c r="K757" s="23">
        <f>IFERROR(__xludf.DUMMYFUNCTION("""COMPUTED_VALUE"""),6.9)</f>
        <v>6.9</v>
      </c>
      <c r="L757" s="24"/>
      <c r="M757" s="25" t="str">
        <f>IFERROR(__xludf.DUMMYFUNCTION("""COMPUTED_VALUE"""),"Puzzle")</f>
        <v>Puzzle</v>
      </c>
      <c r="N757" s="25" t="str">
        <f>IFERROR(__xludf.DUMMYFUNCTION("""COMPUTED_VALUE"""),"PS Minis")</f>
        <v>PS Minis</v>
      </c>
      <c r="O757" s="26" t="str">
        <f>IFERROR(__xludf.DUMMYFUNCTION("""COMPUTED_VALUE"""),"No")</f>
        <v>No</v>
      </c>
      <c r="P757" s="26"/>
    </row>
    <row r="758">
      <c r="A758" s="13" t="str">
        <f>IFERROR(__xludf.DUMMYFUNCTION("""COMPUTED_VALUE"""),"Virtua Fighter 5 Final Showdown")</f>
        <v>Virtua Fighter 5 Final Showdown</v>
      </c>
      <c r="B758" s="15" t="str">
        <f>IFERROR(__xludf.DUMMYFUNCTION("""COMPUTED_VALUE"""),"PS3")</f>
        <v>PS3</v>
      </c>
      <c r="C758" s="16" t="str">
        <f>IFERROR(__xludf.DUMMYFUNCTION("""COMPUTED_VALUE"""),"Playstation Plus (Discontinued)")</f>
        <v>Playstation Plus (Discontinued)</v>
      </c>
      <c r="D758" s="15" t="str">
        <f>IFERROR(__xludf.DUMMYFUNCTION("""COMPUTED_VALUE"""),"Removed")</f>
        <v>Removed</v>
      </c>
      <c r="E758" s="17">
        <f>IFERROR(__xludf.DUMMYFUNCTION("""COMPUTED_VALUE"""),41065.0)</f>
        <v>41065</v>
      </c>
      <c r="F758" s="54">
        <f>IFERROR(__xludf.DUMMYFUNCTION("""COMPUTED_VALUE"""),41092.0)</f>
        <v>41092</v>
      </c>
      <c r="G758" s="19">
        <f>IFERROR(__xludf.DUMMYFUNCTION("""COMPUTED_VALUE"""),0.8999999999999999)</f>
        <v>0.9</v>
      </c>
      <c r="H758" s="17">
        <f>IFERROR(__xludf.DUMMYFUNCTION("""COMPUTED_VALUE"""),41065.0)</f>
        <v>41065</v>
      </c>
      <c r="I758" s="19">
        <f>IFERROR(__xludf.DUMMYFUNCTION("""COMPUTED_VALUE"""),0.0)</f>
        <v>0</v>
      </c>
      <c r="J758" s="21">
        <f>IFERROR(__xludf.DUMMYFUNCTION("""COMPUTED_VALUE"""),84.0)</f>
        <v>84</v>
      </c>
      <c r="K758" s="23">
        <f>IFERROR(__xludf.DUMMYFUNCTION("""COMPUTED_VALUE"""),8.0)</f>
        <v>8</v>
      </c>
      <c r="L758" s="24"/>
      <c r="M758" s="25" t="str">
        <f>IFERROR(__xludf.DUMMYFUNCTION("""COMPUTED_VALUE"""),"Fighting")</f>
        <v>Fighting</v>
      </c>
      <c r="N758" s="25"/>
      <c r="O758" s="26" t="str">
        <f>IFERROR(__xludf.DUMMYFUNCTION("""COMPUTED_VALUE"""),"No")</f>
        <v>No</v>
      </c>
      <c r="P758" s="26"/>
    </row>
    <row r="759">
      <c r="A759" s="13" t="str">
        <f>IFERROR(__xludf.DUMMYFUNCTION("""COMPUTED_VALUE"""),"Lara Croft and the Guardian of Light")</f>
        <v>Lara Croft and the Guardian of Light</v>
      </c>
      <c r="B759" s="15" t="str">
        <f>IFERROR(__xludf.DUMMYFUNCTION("""COMPUTED_VALUE"""),"PS3")</f>
        <v>PS3</v>
      </c>
      <c r="C759" s="16" t="str">
        <f>IFERROR(__xludf.DUMMYFUNCTION("""COMPUTED_VALUE"""),"Playstation Plus (Discontinued)")</f>
        <v>Playstation Plus (Discontinued)</v>
      </c>
      <c r="D759" s="15" t="str">
        <f>IFERROR(__xludf.DUMMYFUNCTION("""COMPUTED_VALUE"""),"Removed")</f>
        <v>Removed</v>
      </c>
      <c r="E759" s="17">
        <f>IFERROR(__xludf.DUMMYFUNCTION("""COMPUTED_VALUE"""),41065.0)</f>
        <v>41065</v>
      </c>
      <c r="F759" s="54">
        <f>IFERROR(__xludf.DUMMYFUNCTION("""COMPUTED_VALUE"""),41092.0)</f>
        <v>41092</v>
      </c>
      <c r="G759" s="19">
        <f>IFERROR(__xludf.DUMMYFUNCTION("""COMPUTED_VALUE"""),0.8999999999999999)</f>
        <v>0.9</v>
      </c>
      <c r="H759" s="17">
        <f>IFERROR(__xludf.DUMMYFUNCTION("""COMPUTED_VALUE"""),40408.0)</f>
        <v>40408</v>
      </c>
      <c r="I759" s="19">
        <f>IFERROR(__xludf.DUMMYFUNCTION("""COMPUTED_VALUE"""),1.7972222222222223)</f>
        <v>1.797222222</v>
      </c>
      <c r="J759" s="21">
        <f>IFERROR(__xludf.DUMMYFUNCTION("""COMPUTED_VALUE"""),85.0)</f>
        <v>85</v>
      </c>
      <c r="K759" s="23">
        <f>IFERROR(__xludf.DUMMYFUNCTION("""COMPUTED_VALUE"""),8.0)</f>
        <v>8</v>
      </c>
      <c r="L759" s="24">
        <f>IFERROR(__xludf.DUMMYFUNCTION("""COMPUTED_VALUE"""),6.0)</f>
        <v>6</v>
      </c>
      <c r="M759" s="25" t="str">
        <f>IFERROR(__xludf.DUMMYFUNCTION("""COMPUTED_VALUE"""),"Action-Adventure")</f>
        <v>Action-Adventure</v>
      </c>
      <c r="N759" s="25"/>
      <c r="O759" s="26" t="str">
        <f>IFERROR(__xludf.DUMMYFUNCTION("""COMPUTED_VALUE"""),"No")</f>
        <v>No</v>
      </c>
      <c r="P759" s="26"/>
    </row>
    <row r="760">
      <c r="A760" s="13" t="str">
        <f>IFERROR(__xludf.DUMMYFUNCTION("""COMPUTED_VALUE"""),"Warhammer 40,000: Space Marine")</f>
        <v>Warhammer 40,000: Space Marine</v>
      </c>
      <c r="B760" s="15" t="str">
        <f>IFERROR(__xludf.DUMMYFUNCTION("""COMPUTED_VALUE"""),"PS3")</f>
        <v>PS3</v>
      </c>
      <c r="C760" s="16" t="str">
        <f>IFERROR(__xludf.DUMMYFUNCTION("""COMPUTED_VALUE"""),"Playstation Plus (Discontinued)")</f>
        <v>Playstation Plus (Discontinued)</v>
      </c>
      <c r="D760" s="15" t="str">
        <f>IFERROR(__xludf.DUMMYFUNCTION("""COMPUTED_VALUE"""),"Removed")</f>
        <v>Removed</v>
      </c>
      <c r="E760" s="17">
        <f>IFERROR(__xludf.DUMMYFUNCTION("""COMPUTED_VALUE"""),41065.0)</f>
        <v>41065</v>
      </c>
      <c r="F760" s="54">
        <f>IFERROR(__xludf.DUMMYFUNCTION("""COMPUTED_VALUE"""),41092.0)</f>
        <v>41092</v>
      </c>
      <c r="G760" s="19">
        <f>IFERROR(__xludf.DUMMYFUNCTION("""COMPUTED_VALUE"""),0.8999999999999999)</f>
        <v>0.9</v>
      </c>
      <c r="H760" s="17">
        <f>IFERROR(__xludf.DUMMYFUNCTION("""COMPUTED_VALUE"""),40792.0)</f>
        <v>40792</v>
      </c>
      <c r="I760" s="19">
        <f>IFERROR(__xludf.DUMMYFUNCTION("""COMPUTED_VALUE"""),0.7472222222222222)</f>
        <v>0.7472222222</v>
      </c>
      <c r="J760" s="21">
        <f>IFERROR(__xludf.DUMMYFUNCTION("""COMPUTED_VALUE"""),74.0)</f>
        <v>74</v>
      </c>
      <c r="K760" s="23">
        <f>IFERROR(__xludf.DUMMYFUNCTION("""COMPUTED_VALUE"""),7.7)</f>
        <v>7.7</v>
      </c>
      <c r="L760" s="24">
        <f>IFERROR(__xludf.DUMMYFUNCTION("""COMPUTED_VALUE"""),10.0)</f>
        <v>10</v>
      </c>
      <c r="M760" s="25" t="str">
        <f>IFERROR(__xludf.DUMMYFUNCTION("""COMPUTED_VALUE"""),"Shooter")</f>
        <v>Shooter</v>
      </c>
      <c r="N760" s="25"/>
      <c r="O760" s="26" t="str">
        <f>IFERROR(__xludf.DUMMYFUNCTION("""COMPUTED_VALUE"""),"No")</f>
        <v>No</v>
      </c>
      <c r="P760" s="26"/>
    </row>
    <row r="761">
      <c r="A761" s="13" t="str">
        <f>IFERROR(__xludf.DUMMYFUNCTION("""COMPUTED_VALUE"""),"Ratchet and Clank: All 4 One")</f>
        <v>Ratchet and Clank: All 4 One</v>
      </c>
      <c r="B761" s="15" t="str">
        <f>IFERROR(__xludf.DUMMYFUNCTION("""COMPUTED_VALUE"""),"PS3")</f>
        <v>PS3</v>
      </c>
      <c r="C761" s="16" t="str">
        <f>IFERROR(__xludf.DUMMYFUNCTION("""COMPUTED_VALUE"""),"Playstation Plus (Discontinued)")</f>
        <v>Playstation Plus (Discontinued)</v>
      </c>
      <c r="D761" s="15" t="str">
        <f>IFERROR(__xludf.DUMMYFUNCTION("""COMPUTED_VALUE"""),"Removed")</f>
        <v>Removed</v>
      </c>
      <c r="E761" s="17">
        <f>IFERROR(__xludf.DUMMYFUNCTION("""COMPUTED_VALUE"""),41065.0)</f>
        <v>41065</v>
      </c>
      <c r="F761" s="54">
        <f>IFERROR(__xludf.DUMMYFUNCTION("""COMPUTED_VALUE"""),41092.0)</f>
        <v>41092</v>
      </c>
      <c r="G761" s="19">
        <f>IFERROR(__xludf.DUMMYFUNCTION("""COMPUTED_VALUE"""),0.8999999999999999)</f>
        <v>0.9</v>
      </c>
      <c r="H761" s="17">
        <f>IFERROR(__xludf.DUMMYFUNCTION("""COMPUTED_VALUE"""),40834.0)</f>
        <v>40834</v>
      </c>
      <c r="I761" s="19">
        <f>IFERROR(__xludf.DUMMYFUNCTION("""COMPUTED_VALUE"""),0.6305555555555555)</f>
        <v>0.6305555556</v>
      </c>
      <c r="J761" s="21">
        <f>IFERROR(__xludf.DUMMYFUNCTION("""COMPUTED_VALUE"""),70.0)</f>
        <v>70</v>
      </c>
      <c r="K761" s="23">
        <f>IFERROR(__xludf.DUMMYFUNCTION("""COMPUTED_VALUE"""),7.0)</f>
        <v>7</v>
      </c>
      <c r="L761" s="24">
        <f>IFERROR(__xludf.DUMMYFUNCTION("""COMPUTED_VALUE"""),10.0)</f>
        <v>10</v>
      </c>
      <c r="M761" s="25" t="str">
        <f>IFERROR(__xludf.DUMMYFUNCTION("""COMPUTED_VALUE"""),"Platformer")</f>
        <v>Platformer</v>
      </c>
      <c r="N761" s="25"/>
      <c r="O761" s="26" t="str">
        <f>IFERROR(__xludf.DUMMYFUNCTION("""COMPUTED_VALUE"""),"No")</f>
        <v>No</v>
      </c>
      <c r="P761" s="26"/>
    </row>
    <row r="762">
      <c r="A762" s="13" t="str">
        <f>IFERROR(__xludf.DUMMYFUNCTION("""COMPUTED_VALUE"""),"Saints Row 2")</f>
        <v>Saints Row 2</v>
      </c>
      <c r="B762" s="15" t="str">
        <f>IFERROR(__xludf.DUMMYFUNCTION("""COMPUTED_VALUE"""),"PS3")</f>
        <v>PS3</v>
      </c>
      <c r="C762" s="16" t="str">
        <f>IFERROR(__xludf.DUMMYFUNCTION("""COMPUTED_VALUE"""),"Playstation Plus (Discontinued)")</f>
        <v>Playstation Plus (Discontinued)</v>
      </c>
      <c r="D762" s="15" t="str">
        <f>IFERROR(__xludf.DUMMYFUNCTION("""COMPUTED_VALUE"""),"Removed")</f>
        <v>Removed</v>
      </c>
      <c r="E762" s="17">
        <f>IFERROR(__xludf.DUMMYFUNCTION("""COMPUTED_VALUE"""),41065.0)</f>
        <v>41065</v>
      </c>
      <c r="F762" s="54">
        <f>IFERROR(__xludf.DUMMYFUNCTION("""COMPUTED_VALUE"""),41092.0)</f>
        <v>41092</v>
      </c>
      <c r="G762" s="19">
        <f>IFERROR(__xludf.DUMMYFUNCTION("""COMPUTED_VALUE"""),0.8999999999999999)</f>
        <v>0.9</v>
      </c>
      <c r="H762" s="17">
        <f>IFERROR(__xludf.DUMMYFUNCTION("""COMPUTED_VALUE"""),39735.0)</f>
        <v>39735</v>
      </c>
      <c r="I762" s="19">
        <f>IFERROR(__xludf.DUMMYFUNCTION("""COMPUTED_VALUE"""),3.6416666666666666)</f>
        <v>3.641666667</v>
      </c>
      <c r="J762" s="21">
        <f>IFERROR(__xludf.DUMMYFUNCTION("""COMPUTED_VALUE"""),82.0)</f>
        <v>82</v>
      </c>
      <c r="K762" s="23">
        <f>IFERROR(__xludf.DUMMYFUNCTION("""COMPUTED_VALUE"""),8.1)</f>
        <v>8.1</v>
      </c>
      <c r="L762" s="24">
        <f>IFERROR(__xludf.DUMMYFUNCTION("""COMPUTED_VALUE"""),19.0)</f>
        <v>19</v>
      </c>
      <c r="M762" s="25" t="str">
        <f>IFERROR(__xludf.DUMMYFUNCTION("""COMPUTED_VALUE"""),"Action-Adventure")</f>
        <v>Action-Adventure</v>
      </c>
      <c r="N762" s="25"/>
      <c r="O762" s="26" t="str">
        <f>IFERROR(__xludf.DUMMYFUNCTION("""COMPUTED_VALUE"""),"No")</f>
        <v>No</v>
      </c>
      <c r="P762" s="26"/>
    </row>
    <row r="763">
      <c r="A763" s="13" t="str">
        <f>IFERROR(__xludf.DUMMYFUNCTION("""COMPUTED_VALUE"""),"Just Cause 2")</f>
        <v>Just Cause 2</v>
      </c>
      <c r="B763" s="15" t="str">
        <f>IFERROR(__xludf.DUMMYFUNCTION("""COMPUTED_VALUE"""),"PS3")</f>
        <v>PS3</v>
      </c>
      <c r="C763" s="16" t="str">
        <f>IFERROR(__xludf.DUMMYFUNCTION("""COMPUTED_VALUE"""),"Playstation Plus (Discontinued)")</f>
        <v>Playstation Plus (Discontinued)</v>
      </c>
      <c r="D763" s="15" t="str">
        <f>IFERROR(__xludf.DUMMYFUNCTION("""COMPUTED_VALUE"""),"Removed")</f>
        <v>Removed</v>
      </c>
      <c r="E763" s="17">
        <f>IFERROR(__xludf.DUMMYFUNCTION("""COMPUTED_VALUE"""),41065.0)</f>
        <v>41065</v>
      </c>
      <c r="F763" s="54">
        <f>IFERROR(__xludf.DUMMYFUNCTION("""COMPUTED_VALUE"""),41092.0)</f>
        <v>41092</v>
      </c>
      <c r="G763" s="19">
        <f>IFERROR(__xludf.DUMMYFUNCTION("""COMPUTED_VALUE"""),0.8999999999999999)</f>
        <v>0.9</v>
      </c>
      <c r="H763" s="17">
        <f>IFERROR(__xludf.DUMMYFUNCTION("""COMPUTED_VALUE"""),40260.0)</f>
        <v>40260</v>
      </c>
      <c r="I763" s="19">
        <f>IFERROR(__xludf.DUMMYFUNCTION("""COMPUTED_VALUE"""),2.2)</f>
        <v>2.2</v>
      </c>
      <c r="J763" s="21">
        <f>IFERROR(__xludf.DUMMYFUNCTION("""COMPUTED_VALUE"""),84.0)</f>
        <v>84</v>
      </c>
      <c r="K763" s="23">
        <f>IFERROR(__xludf.DUMMYFUNCTION("""COMPUTED_VALUE"""),8.5)</f>
        <v>8.5</v>
      </c>
      <c r="L763" s="24">
        <f>IFERROR(__xludf.DUMMYFUNCTION("""COMPUTED_VALUE"""),18.0)</f>
        <v>18</v>
      </c>
      <c r="M763" s="25" t="str">
        <f>IFERROR(__xludf.DUMMYFUNCTION("""COMPUTED_VALUE"""),"Action-Adventure")</f>
        <v>Action-Adventure</v>
      </c>
      <c r="N763" s="25"/>
      <c r="O763" s="26" t="str">
        <f>IFERROR(__xludf.DUMMYFUNCTION("""COMPUTED_VALUE"""),"No")</f>
        <v>No</v>
      </c>
      <c r="P763" s="26"/>
    </row>
    <row r="764">
      <c r="A764" s="13" t="str">
        <f>IFERROR(__xludf.DUMMYFUNCTION("""COMPUTED_VALUE"""),"inFAMOUS 2")</f>
        <v>inFAMOUS 2</v>
      </c>
      <c r="B764" s="15" t="str">
        <f>IFERROR(__xludf.DUMMYFUNCTION("""COMPUTED_VALUE"""),"PS3")</f>
        <v>PS3</v>
      </c>
      <c r="C764" s="16" t="str">
        <f>IFERROR(__xludf.DUMMYFUNCTION("""COMPUTED_VALUE"""),"Playstation Plus (Discontinued)")</f>
        <v>Playstation Plus (Discontinued)</v>
      </c>
      <c r="D764" s="15" t="str">
        <f>IFERROR(__xludf.DUMMYFUNCTION("""COMPUTED_VALUE"""),"Removed")</f>
        <v>Removed</v>
      </c>
      <c r="E764" s="17">
        <f>IFERROR(__xludf.DUMMYFUNCTION("""COMPUTED_VALUE"""),41065.0)</f>
        <v>41065</v>
      </c>
      <c r="F764" s="54">
        <f>IFERROR(__xludf.DUMMYFUNCTION("""COMPUTED_VALUE"""),41092.0)</f>
        <v>41092</v>
      </c>
      <c r="G764" s="19">
        <f>IFERROR(__xludf.DUMMYFUNCTION("""COMPUTED_VALUE"""),0.8999999999999999)</f>
        <v>0.9</v>
      </c>
      <c r="H764" s="17">
        <f>IFERROR(__xludf.DUMMYFUNCTION("""COMPUTED_VALUE"""),40701.0)</f>
        <v>40701</v>
      </c>
      <c r="I764" s="19">
        <f>IFERROR(__xludf.DUMMYFUNCTION("""COMPUTED_VALUE"""),0.9944444444444445)</f>
        <v>0.9944444444</v>
      </c>
      <c r="J764" s="21">
        <f>IFERROR(__xludf.DUMMYFUNCTION("""COMPUTED_VALUE"""),83.0)</f>
        <v>83</v>
      </c>
      <c r="K764" s="23">
        <f>IFERROR(__xludf.DUMMYFUNCTION("""COMPUTED_VALUE"""),8.1)</f>
        <v>8.1</v>
      </c>
      <c r="L764" s="24">
        <f>IFERROR(__xludf.DUMMYFUNCTION("""COMPUTED_VALUE"""),13.0)</f>
        <v>13</v>
      </c>
      <c r="M764" s="25" t="str">
        <f>IFERROR(__xludf.DUMMYFUNCTION("""COMPUTED_VALUE"""),"Action-Adventure")</f>
        <v>Action-Adventure</v>
      </c>
      <c r="N764" s="25"/>
      <c r="O764" s="26" t="str">
        <f>IFERROR(__xludf.DUMMYFUNCTION("""COMPUTED_VALUE"""),"No")</f>
        <v>No</v>
      </c>
      <c r="P764" s="26"/>
    </row>
    <row r="765">
      <c r="A765" s="13" t="str">
        <f>IFERROR(__xludf.DUMMYFUNCTION("""COMPUTED_VALUE"""),"Little Big Planet 2")</f>
        <v>Little Big Planet 2</v>
      </c>
      <c r="B765" s="15" t="str">
        <f>IFERROR(__xludf.DUMMYFUNCTION("""COMPUTED_VALUE"""),"PS3")</f>
        <v>PS3</v>
      </c>
      <c r="C765" s="16" t="str">
        <f>IFERROR(__xludf.DUMMYFUNCTION("""COMPUTED_VALUE"""),"Playstation Plus (Discontinued)")</f>
        <v>Playstation Plus (Discontinued)</v>
      </c>
      <c r="D765" s="15" t="str">
        <f>IFERROR(__xludf.DUMMYFUNCTION("""COMPUTED_VALUE"""),"Removed")</f>
        <v>Removed</v>
      </c>
      <c r="E765" s="17">
        <f>IFERROR(__xludf.DUMMYFUNCTION("""COMPUTED_VALUE"""),41065.0)</f>
        <v>41065</v>
      </c>
      <c r="F765" s="54">
        <f>IFERROR(__xludf.DUMMYFUNCTION("""COMPUTED_VALUE"""),41092.0)</f>
        <v>41092</v>
      </c>
      <c r="G765" s="19">
        <f>IFERROR(__xludf.DUMMYFUNCTION("""COMPUTED_VALUE"""),0.8999999999999999)</f>
        <v>0.9</v>
      </c>
      <c r="H765" s="17">
        <f>IFERROR(__xludf.DUMMYFUNCTION("""COMPUTED_VALUE"""),40561.0)</f>
        <v>40561</v>
      </c>
      <c r="I765" s="19">
        <f>IFERROR(__xludf.DUMMYFUNCTION("""COMPUTED_VALUE"""),1.3805555555555555)</f>
        <v>1.380555556</v>
      </c>
      <c r="J765" s="21">
        <f>IFERROR(__xludf.DUMMYFUNCTION("""COMPUTED_VALUE"""),91.0)</f>
        <v>91</v>
      </c>
      <c r="K765" s="23">
        <f>IFERROR(__xludf.DUMMYFUNCTION("""COMPUTED_VALUE"""),8.4)</f>
        <v>8.4</v>
      </c>
      <c r="L765" s="24">
        <f>IFERROR(__xludf.DUMMYFUNCTION("""COMPUTED_VALUE"""),9.0)</f>
        <v>9</v>
      </c>
      <c r="M765" s="25" t="str">
        <f>IFERROR(__xludf.DUMMYFUNCTION("""COMPUTED_VALUE"""),"Platformer")</f>
        <v>Platformer</v>
      </c>
      <c r="N765" s="25"/>
      <c r="O765" s="26" t="str">
        <f>IFERROR(__xludf.DUMMYFUNCTION("""COMPUTED_VALUE"""),"No")</f>
        <v>No</v>
      </c>
      <c r="P765" s="26"/>
    </row>
    <row r="766">
      <c r="A766" s="13" t="str">
        <f>IFERROR(__xludf.DUMMYFUNCTION("""COMPUTED_VALUE"""),"Zombie Apocalypse: Never Die Alone")</f>
        <v>Zombie Apocalypse: Never Die Alone</v>
      </c>
      <c r="B766" s="15" t="str">
        <f>IFERROR(__xludf.DUMMYFUNCTION("""COMPUTED_VALUE"""),"PS3")</f>
        <v>PS3</v>
      </c>
      <c r="C766" s="16" t="str">
        <f>IFERROR(__xludf.DUMMYFUNCTION("""COMPUTED_VALUE"""),"Playstation Plus (Discontinued)")</f>
        <v>Playstation Plus (Discontinued)</v>
      </c>
      <c r="D766" s="15" t="str">
        <f>IFERROR(__xludf.DUMMYFUNCTION("""COMPUTED_VALUE"""),"Removed")</f>
        <v>Removed</v>
      </c>
      <c r="E766" s="17">
        <f>IFERROR(__xludf.DUMMYFUNCTION("""COMPUTED_VALUE"""),41065.0)</f>
        <v>41065</v>
      </c>
      <c r="F766" s="54">
        <f>IFERROR(__xludf.DUMMYFUNCTION("""COMPUTED_VALUE"""),41092.0)</f>
        <v>41092</v>
      </c>
      <c r="G766" s="19">
        <f>IFERROR(__xludf.DUMMYFUNCTION("""COMPUTED_VALUE"""),0.8999999999999999)</f>
        <v>0.9</v>
      </c>
      <c r="H766" s="17">
        <f>IFERROR(__xludf.DUMMYFUNCTION("""COMPUTED_VALUE"""),40820.0)</f>
        <v>40820</v>
      </c>
      <c r="I766" s="19">
        <f>IFERROR(__xludf.DUMMYFUNCTION("""COMPUTED_VALUE"""),0.6694444444444444)</f>
        <v>0.6694444444</v>
      </c>
      <c r="J766" s="21">
        <f>IFERROR(__xludf.DUMMYFUNCTION("""COMPUTED_VALUE"""),58.0)</f>
        <v>58</v>
      </c>
      <c r="K766" s="23">
        <f>IFERROR(__xludf.DUMMYFUNCTION("""COMPUTED_VALUE"""),6.4)</f>
        <v>6.4</v>
      </c>
      <c r="L766" s="24">
        <f>IFERROR(__xludf.DUMMYFUNCTION("""COMPUTED_VALUE"""),5.0)</f>
        <v>5</v>
      </c>
      <c r="M766" s="25" t="str">
        <f>IFERROR(__xludf.DUMMYFUNCTION("""COMPUTED_VALUE"""),"Shooter")</f>
        <v>Shooter</v>
      </c>
      <c r="N766" s="25"/>
      <c r="O766" s="26" t="str">
        <f>IFERROR(__xludf.DUMMYFUNCTION("""COMPUTED_VALUE"""),"No")</f>
        <v>No</v>
      </c>
      <c r="P766" s="26"/>
    </row>
    <row r="767">
      <c r="A767" s="13" t="str">
        <f>IFERROR(__xludf.DUMMYFUNCTION("""COMPUTED_VALUE"""),"Choplifter HD")</f>
        <v>Choplifter HD</v>
      </c>
      <c r="B767" s="15" t="str">
        <f>IFERROR(__xludf.DUMMYFUNCTION("""COMPUTED_VALUE"""),"PS3")</f>
        <v>PS3</v>
      </c>
      <c r="C767" s="16" t="str">
        <f>IFERROR(__xludf.DUMMYFUNCTION("""COMPUTED_VALUE"""),"Playstation Plus (Discontinued)")</f>
        <v>Playstation Plus (Discontinued)</v>
      </c>
      <c r="D767" s="15" t="str">
        <f>IFERROR(__xludf.DUMMYFUNCTION("""COMPUTED_VALUE"""),"Removed")</f>
        <v>Removed</v>
      </c>
      <c r="E767" s="17">
        <f>IFERROR(__xludf.DUMMYFUNCTION("""COMPUTED_VALUE"""),41065.0)</f>
        <v>41065</v>
      </c>
      <c r="F767" s="54">
        <f>IFERROR(__xludf.DUMMYFUNCTION("""COMPUTED_VALUE"""),41092.0)</f>
        <v>41092</v>
      </c>
      <c r="G767" s="19">
        <f>IFERROR(__xludf.DUMMYFUNCTION("""COMPUTED_VALUE"""),0.8999999999999999)</f>
        <v>0.9</v>
      </c>
      <c r="H767" s="17">
        <f>IFERROR(__xludf.DUMMYFUNCTION("""COMPUTED_VALUE"""),40919.0)</f>
        <v>40919</v>
      </c>
      <c r="I767" s="19">
        <f>IFERROR(__xludf.DUMMYFUNCTION("""COMPUTED_VALUE"""),0.4)</f>
        <v>0.4</v>
      </c>
      <c r="J767" s="21">
        <f>IFERROR(__xludf.DUMMYFUNCTION("""COMPUTED_VALUE"""),62.0)</f>
        <v>62</v>
      </c>
      <c r="K767" s="23">
        <f>IFERROR(__xludf.DUMMYFUNCTION("""COMPUTED_VALUE"""),6.8)</f>
        <v>6.8</v>
      </c>
      <c r="L767" s="24">
        <f>IFERROR(__xludf.DUMMYFUNCTION("""COMPUTED_VALUE"""),5.0)</f>
        <v>5</v>
      </c>
      <c r="M767" s="25" t="str">
        <f>IFERROR(__xludf.DUMMYFUNCTION("""COMPUTED_VALUE"""),"Shooter")</f>
        <v>Shooter</v>
      </c>
      <c r="N767" s="25"/>
      <c r="O767" s="26" t="str">
        <f>IFERROR(__xludf.DUMMYFUNCTION("""COMPUTED_VALUE"""),"No")</f>
        <v>No</v>
      </c>
      <c r="P767" s="26"/>
    </row>
    <row r="768">
      <c r="A768" s="13" t="str">
        <f>IFERROR(__xludf.DUMMYFUNCTION("""COMPUTED_VALUE"""),"Sideway: New York")</f>
        <v>Sideway: New York</v>
      </c>
      <c r="B768" s="15" t="str">
        <f>IFERROR(__xludf.DUMMYFUNCTION("""COMPUTED_VALUE"""),"PS3")</f>
        <v>PS3</v>
      </c>
      <c r="C768" s="16" t="str">
        <f>IFERROR(__xludf.DUMMYFUNCTION("""COMPUTED_VALUE"""),"Playstation Plus (Discontinued)")</f>
        <v>Playstation Plus (Discontinued)</v>
      </c>
      <c r="D768" s="15" t="str">
        <f>IFERROR(__xludf.DUMMYFUNCTION("""COMPUTED_VALUE"""),"Removed")</f>
        <v>Removed</v>
      </c>
      <c r="E768" s="17">
        <f>IFERROR(__xludf.DUMMYFUNCTION("""COMPUTED_VALUE"""),41065.0)</f>
        <v>41065</v>
      </c>
      <c r="F768" s="54">
        <f>IFERROR(__xludf.DUMMYFUNCTION("""COMPUTED_VALUE"""),41092.0)</f>
        <v>41092</v>
      </c>
      <c r="G768" s="19">
        <f>IFERROR(__xludf.DUMMYFUNCTION("""COMPUTED_VALUE"""),0.8999999999999999)</f>
        <v>0.9</v>
      </c>
      <c r="H768" s="17">
        <f>IFERROR(__xludf.DUMMYFUNCTION("""COMPUTED_VALUE"""),40827.0)</f>
        <v>40827</v>
      </c>
      <c r="I768" s="19">
        <f>IFERROR(__xludf.DUMMYFUNCTION("""COMPUTED_VALUE"""),0.65)</f>
        <v>0.65</v>
      </c>
      <c r="J768" s="21">
        <f>IFERROR(__xludf.DUMMYFUNCTION("""COMPUTED_VALUE"""),71.0)</f>
        <v>71</v>
      </c>
      <c r="K768" s="23">
        <f>IFERROR(__xludf.DUMMYFUNCTION("""COMPUTED_VALUE"""),7.1)</f>
        <v>7.1</v>
      </c>
      <c r="L768" s="24">
        <f>IFERROR(__xludf.DUMMYFUNCTION("""COMPUTED_VALUE"""),4.0)</f>
        <v>4</v>
      </c>
      <c r="M768" s="25" t="str">
        <f>IFERROR(__xludf.DUMMYFUNCTION("""COMPUTED_VALUE"""),"Platformer")</f>
        <v>Platformer</v>
      </c>
      <c r="N768" s="25"/>
      <c r="O768" s="26" t="str">
        <f>IFERROR(__xludf.DUMMYFUNCTION("""COMPUTED_VALUE"""),"No")</f>
        <v>No</v>
      </c>
      <c r="P768" s="26"/>
    </row>
    <row r="769">
      <c r="A769" s="13" t="str">
        <f>IFERROR(__xludf.DUMMYFUNCTION("""COMPUTED_VALUE"""),"Hard Corps: Uprising")</f>
        <v>Hard Corps: Uprising</v>
      </c>
      <c r="B769" s="15" t="str">
        <f>IFERROR(__xludf.DUMMYFUNCTION("""COMPUTED_VALUE"""),"PS3")</f>
        <v>PS3</v>
      </c>
      <c r="C769" s="16" t="str">
        <f>IFERROR(__xludf.DUMMYFUNCTION("""COMPUTED_VALUE"""),"Playstation Plus (Discontinued)")</f>
        <v>Playstation Plus (Discontinued)</v>
      </c>
      <c r="D769" s="15" t="str">
        <f>IFERROR(__xludf.DUMMYFUNCTION("""COMPUTED_VALUE"""),"Removed")</f>
        <v>Removed</v>
      </c>
      <c r="E769" s="17">
        <f>IFERROR(__xludf.DUMMYFUNCTION("""COMPUTED_VALUE"""),41065.0)</f>
        <v>41065</v>
      </c>
      <c r="F769" s="54">
        <f>IFERROR(__xludf.DUMMYFUNCTION("""COMPUTED_VALUE"""),41092.0)</f>
        <v>41092</v>
      </c>
      <c r="G769" s="19">
        <f>IFERROR(__xludf.DUMMYFUNCTION("""COMPUTED_VALUE"""),0.8999999999999999)</f>
        <v>0.9</v>
      </c>
      <c r="H769" s="17">
        <f>IFERROR(__xludf.DUMMYFUNCTION("""COMPUTED_VALUE"""),40590.0)</f>
        <v>40590</v>
      </c>
      <c r="I769" s="19">
        <f>IFERROR(__xludf.DUMMYFUNCTION("""COMPUTED_VALUE"""),1.3027777777777778)</f>
        <v>1.302777778</v>
      </c>
      <c r="J769" s="21">
        <f>IFERROR(__xludf.DUMMYFUNCTION("""COMPUTED_VALUE"""),78.0)</f>
        <v>78</v>
      </c>
      <c r="K769" s="23">
        <f>IFERROR(__xludf.DUMMYFUNCTION("""COMPUTED_VALUE"""),7.8)</f>
        <v>7.8</v>
      </c>
      <c r="L769" s="24">
        <f>IFERROR(__xludf.DUMMYFUNCTION("""COMPUTED_VALUE"""),5.0)</f>
        <v>5</v>
      </c>
      <c r="M769" s="25" t="str">
        <f>IFERROR(__xludf.DUMMYFUNCTION("""COMPUTED_VALUE"""),"Platformer")</f>
        <v>Platformer</v>
      </c>
      <c r="N769" s="25"/>
      <c r="O769" s="26" t="str">
        <f>IFERROR(__xludf.DUMMYFUNCTION("""COMPUTED_VALUE"""),"No")</f>
        <v>No</v>
      </c>
      <c r="P769" s="26"/>
    </row>
    <row r="770">
      <c r="A770" s="13" t="str">
        <f>IFERROR(__xludf.DUMMYFUNCTION("""COMPUTED_VALUE"""),"Awesomenauts")</f>
        <v>Awesomenauts</v>
      </c>
      <c r="B770" s="15" t="str">
        <f>IFERROR(__xludf.DUMMYFUNCTION("""COMPUTED_VALUE"""),"PS3")</f>
        <v>PS3</v>
      </c>
      <c r="C770" s="16" t="str">
        <f>IFERROR(__xludf.DUMMYFUNCTION("""COMPUTED_VALUE"""),"Playstation Plus (Discontinued)")</f>
        <v>Playstation Plus (Discontinued)</v>
      </c>
      <c r="D770" s="15" t="str">
        <f>IFERROR(__xludf.DUMMYFUNCTION("""COMPUTED_VALUE"""),"Removed")</f>
        <v>Removed</v>
      </c>
      <c r="E770" s="17">
        <f>IFERROR(__xludf.DUMMYFUNCTION("""COMPUTED_VALUE"""),41030.0)</f>
        <v>41030</v>
      </c>
      <c r="F770" s="54">
        <f>IFERROR(__xludf.DUMMYFUNCTION("""COMPUTED_VALUE"""),41064.0)</f>
        <v>41064</v>
      </c>
      <c r="G770" s="19">
        <f>IFERROR(__xludf.DUMMYFUNCTION("""COMPUTED_VALUE"""),1.0999999999999999)</f>
        <v>1.1</v>
      </c>
      <c r="H770" s="17">
        <f>IFERROR(__xludf.DUMMYFUNCTION("""COMPUTED_VALUE"""),41030.0)</f>
        <v>41030</v>
      </c>
      <c r="I770" s="19">
        <f>IFERROR(__xludf.DUMMYFUNCTION("""COMPUTED_VALUE"""),0.0)</f>
        <v>0</v>
      </c>
      <c r="J770" s="21">
        <f>IFERROR(__xludf.DUMMYFUNCTION("""COMPUTED_VALUE"""),77.0)</f>
        <v>77</v>
      </c>
      <c r="K770" s="23">
        <f>IFERROR(__xludf.DUMMYFUNCTION("""COMPUTED_VALUE"""),7.8)</f>
        <v>7.8</v>
      </c>
      <c r="L770" s="24"/>
      <c r="M770" s="25" t="str">
        <f>IFERROR(__xludf.DUMMYFUNCTION("""COMPUTED_VALUE"""),"Strategy")</f>
        <v>Strategy</v>
      </c>
      <c r="N770" s="25"/>
      <c r="O770" s="26" t="str">
        <f>IFERROR(__xludf.DUMMYFUNCTION("""COMPUTED_VALUE"""),"No")</f>
        <v>No</v>
      </c>
      <c r="P770" s="26"/>
    </row>
    <row r="771">
      <c r="A771" s="13" t="str">
        <f>IFERROR(__xludf.DUMMYFUNCTION("""COMPUTED_VALUE"""),"Velocity")</f>
        <v>Velocity</v>
      </c>
      <c r="B771" s="15" t="str">
        <f>IFERROR(__xludf.DUMMYFUNCTION("""COMPUTED_VALUE"""),"PS3")</f>
        <v>PS3</v>
      </c>
      <c r="C771" s="16" t="str">
        <f>IFERROR(__xludf.DUMMYFUNCTION("""COMPUTED_VALUE"""),"Playstation Plus (Discontinued)")</f>
        <v>Playstation Plus (Discontinued)</v>
      </c>
      <c r="D771" s="15" t="str">
        <f>IFERROR(__xludf.DUMMYFUNCTION("""COMPUTED_VALUE"""),"Removed")</f>
        <v>Removed</v>
      </c>
      <c r="E771" s="17">
        <f>IFERROR(__xludf.DUMMYFUNCTION("""COMPUTED_VALUE"""),41030.0)</f>
        <v>41030</v>
      </c>
      <c r="F771" s="54">
        <f>IFERROR(__xludf.DUMMYFUNCTION("""COMPUTED_VALUE"""),41064.0)</f>
        <v>41064</v>
      </c>
      <c r="G771" s="19">
        <f>IFERROR(__xludf.DUMMYFUNCTION("""COMPUTED_VALUE"""),1.0999999999999999)</f>
        <v>1.1</v>
      </c>
      <c r="H771" s="17">
        <f>IFERROR(__xludf.DUMMYFUNCTION("""COMPUTED_VALUE"""),40933.0)</f>
        <v>40933</v>
      </c>
      <c r="I771" s="19">
        <f>IFERROR(__xludf.DUMMYFUNCTION("""COMPUTED_VALUE"""),0.26666666666666666)</f>
        <v>0.2666666667</v>
      </c>
      <c r="J771" s="21">
        <f>IFERROR(__xludf.DUMMYFUNCTION("""COMPUTED_VALUE"""),78.0)</f>
        <v>78</v>
      </c>
      <c r="K771" s="23">
        <f>IFERROR(__xludf.DUMMYFUNCTION("""COMPUTED_VALUE"""),7.7)</f>
        <v>7.7</v>
      </c>
      <c r="L771" s="24">
        <f>IFERROR(__xludf.DUMMYFUNCTION("""COMPUTED_VALUE"""),4.0)</f>
        <v>4</v>
      </c>
      <c r="M771" s="25" t="str">
        <f>IFERROR(__xludf.DUMMYFUNCTION("""COMPUTED_VALUE"""),"Shooter")</f>
        <v>Shooter</v>
      </c>
      <c r="N771" s="25" t="str">
        <f>IFERROR(__xludf.DUMMYFUNCTION("""COMPUTED_VALUE"""),"PS Minis")</f>
        <v>PS Minis</v>
      </c>
      <c r="O771" s="26" t="str">
        <f>IFERROR(__xludf.DUMMYFUNCTION("""COMPUTED_VALUE"""),"No")</f>
        <v>No</v>
      </c>
      <c r="P771" s="26"/>
    </row>
    <row r="772">
      <c r="A772" s="13" t="str">
        <f>IFERROR(__xludf.DUMMYFUNCTION("""COMPUTED_VALUE"""),"Floating Cloud God Saves The Pilgrims")</f>
        <v>Floating Cloud God Saves The Pilgrims</v>
      </c>
      <c r="B772" s="15" t="str">
        <f>IFERROR(__xludf.DUMMYFUNCTION("""COMPUTED_VALUE"""),"PS3")</f>
        <v>PS3</v>
      </c>
      <c r="C772" s="16" t="str">
        <f>IFERROR(__xludf.DUMMYFUNCTION("""COMPUTED_VALUE"""),"Playstation Plus (Discontinued)")</f>
        <v>Playstation Plus (Discontinued)</v>
      </c>
      <c r="D772" s="15" t="str">
        <f>IFERROR(__xludf.DUMMYFUNCTION("""COMPUTED_VALUE"""),"Removed")</f>
        <v>Removed</v>
      </c>
      <c r="E772" s="17">
        <f>IFERROR(__xludf.DUMMYFUNCTION("""COMPUTED_VALUE"""),41030.0)</f>
        <v>41030</v>
      </c>
      <c r="F772" s="54">
        <f>IFERROR(__xludf.DUMMYFUNCTION("""COMPUTED_VALUE"""),41064.0)</f>
        <v>41064</v>
      </c>
      <c r="G772" s="19">
        <f>IFERROR(__xludf.DUMMYFUNCTION("""COMPUTED_VALUE"""),1.0999999999999999)</f>
        <v>1.1</v>
      </c>
      <c r="H772" s="17">
        <f>IFERROR(__xludf.DUMMYFUNCTION("""COMPUTED_VALUE"""),40806.0)</f>
        <v>40806</v>
      </c>
      <c r="I772" s="19">
        <f>IFERROR(__xludf.DUMMYFUNCTION("""COMPUTED_VALUE"""),0.6138888888888889)</f>
        <v>0.6138888889</v>
      </c>
      <c r="J772" s="21">
        <f>IFERROR(__xludf.DUMMYFUNCTION("""COMPUTED_VALUE"""),55.0)</f>
        <v>55</v>
      </c>
      <c r="K772" s="23">
        <f>IFERROR(__xludf.DUMMYFUNCTION("""COMPUTED_VALUE"""),6.2)</f>
        <v>6.2</v>
      </c>
      <c r="L772" s="24">
        <f>IFERROR(__xludf.DUMMYFUNCTION("""COMPUTED_VALUE"""),3.0)</f>
        <v>3</v>
      </c>
      <c r="M772" s="25" t="str">
        <f>IFERROR(__xludf.DUMMYFUNCTION("""COMPUTED_VALUE"""),"Shooter")</f>
        <v>Shooter</v>
      </c>
      <c r="N772" s="25" t="str">
        <f>IFERROR(__xludf.DUMMYFUNCTION("""COMPUTED_VALUE"""),"PS Minis")</f>
        <v>PS Minis</v>
      </c>
      <c r="O772" s="26" t="str">
        <f>IFERROR(__xludf.DUMMYFUNCTION("""COMPUTED_VALUE"""),"No")</f>
        <v>No</v>
      </c>
      <c r="P772" s="26"/>
    </row>
    <row r="773">
      <c r="A773" s="13" t="str">
        <f>IFERROR(__xludf.DUMMYFUNCTION("""COMPUTED_VALUE"""),"Trine 2")</f>
        <v>Trine 2</v>
      </c>
      <c r="B773" s="15" t="str">
        <f>IFERROR(__xludf.DUMMYFUNCTION("""COMPUTED_VALUE"""),"PS3")</f>
        <v>PS3</v>
      </c>
      <c r="C773" s="16" t="str">
        <f>IFERROR(__xludf.DUMMYFUNCTION("""COMPUTED_VALUE"""),"Playstation Plus (Discontinued)")</f>
        <v>Playstation Plus (Discontinued)</v>
      </c>
      <c r="D773" s="15" t="str">
        <f>IFERROR(__xludf.DUMMYFUNCTION("""COMPUTED_VALUE"""),"Removed")</f>
        <v>Removed</v>
      </c>
      <c r="E773" s="17">
        <f>IFERROR(__xludf.DUMMYFUNCTION("""COMPUTED_VALUE"""),41030.0)</f>
        <v>41030</v>
      </c>
      <c r="F773" s="54">
        <f>IFERROR(__xludf.DUMMYFUNCTION("""COMPUTED_VALUE"""),41064.0)</f>
        <v>41064</v>
      </c>
      <c r="G773" s="19">
        <f>IFERROR(__xludf.DUMMYFUNCTION("""COMPUTED_VALUE"""),1.0999999999999999)</f>
        <v>1.1</v>
      </c>
      <c r="H773" s="17">
        <f>IFERROR(__xludf.DUMMYFUNCTION("""COMPUTED_VALUE"""),40884.0)</f>
        <v>40884</v>
      </c>
      <c r="I773" s="19">
        <f>IFERROR(__xludf.DUMMYFUNCTION("""COMPUTED_VALUE"""),0.4)</f>
        <v>0.4</v>
      </c>
      <c r="J773" s="21">
        <f>IFERROR(__xludf.DUMMYFUNCTION("""COMPUTED_VALUE"""),84.0)</f>
        <v>84</v>
      </c>
      <c r="K773" s="23">
        <f>IFERROR(__xludf.DUMMYFUNCTION("""COMPUTED_VALUE"""),8.2)</f>
        <v>8.2</v>
      </c>
      <c r="L773" s="24">
        <f>IFERROR(__xludf.DUMMYFUNCTION("""COMPUTED_VALUE"""),10.0)</f>
        <v>10</v>
      </c>
      <c r="M773" s="25" t="str">
        <f>IFERROR(__xludf.DUMMYFUNCTION("""COMPUTED_VALUE"""),"Platformer")</f>
        <v>Platformer</v>
      </c>
      <c r="N773" s="25"/>
      <c r="O773" s="26" t="str">
        <f>IFERROR(__xludf.DUMMYFUNCTION("""COMPUTED_VALUE"""),"No")</f>
        <v>No</v>
      </c>
      <c r="P773" s="26"/>
    </row>
    <row r="774">
      <c r="A774" s="13" t="str">
        <f>IFERROR(__xludf.DUMMYFUNCTION("""COMPUTED_VALUE"""),"Rock of Ages")</f>
        <v>Rock of Ages</v>
      </c>
      <c r="B774" s="15" t="str">
        <f>IFERROR(__xludf.DUMMYFUNCTION("""COMPUTED_VALUE"""),"PS3")</f>
        <v>PS3</v>
      </c>
      <c r="C774" s="16" t="str">
        <f>IFERROR(__xludf.DUMMYFUNCTION("""COMPUTED_VALUE"""),"Playstation Plus (Discontinued)")</f>
        <v>Playstation Plus (Discontinued)</v>
      </c>
      <c r="D774" s="15" t="str">
        <f>IFERROR(__xludf.DUMMYFUNCTION("""COMPUTED_VALUE"""),"Removed")</f>
        <v>Removed</v>
      </c>
      <c r="E774" s="17">
        <f>IFERROR(__xludf.DUMMYFUNCTION("""COMPUTED_VALUE"""),41030.0)</f>
        <v>41030</v>
      </c>
      <c r="F774" s="54">
        <f>IFERROR(__xludf.DUMMYFUNCTION("""COMPUTED_VALUE"""),41064.0)</f>
        <v>41064</v>
      </c>
      <c r="G774" s="19">
        <f>IFERROR(__xludf.DUMMYFUNCTION("""COMPUTED_VALUE"""),1.0999999999999999)</f>
        <v>1.1</v>
      </c>
      <c r="H774" s="17">
        <f>IFERROR(__xludf.DUMMYFUNCTION("""COMPUTED_VALUE"""),40786.0)</f>
        <v>40786</v>
      </c>
      <c r="I774" s="19">
        <f>IFERROR(__xludf.DUMMYFUNCTION("""COMPUTED_VALUE"""),0.6694444444444444)</f>
        <v>0.6694444444</v>
      </c>
      <c r="J774" s="21">
        <f>IFERROR(__xludf.DUMMYFUNCTION("""COMPUTED_VALUE"""),76.0)</f>
        <v>76</v>
      </c>
      <c r="K774" s="23">
        <f>IFERROR(__xludf.DUMMYFUNCTION("""COMPUTED_VALUE"""),7.6)</f>
        <v>7.6</v>
      </c>
      <c r="L774" s="24">
        <f>IFERROR(__xludf.DUMMYFUNCTION("""COMPUTED_VALUE"""),4.0)</f>
        <v>4</v>
      </c>
      <c r="M774" s="25" t="str">
        <f>IFERROR(__xludf.DUMMYFUNCTION("""COMPUTED_VALUE"""),"Strategy")</f>
        <v>Strategy</v>
      </c>
      <c r="N774" s="25"/>
      <c r="O774" s="26" t="str">
        <f>IFERROR(__xludf.DUMMYFUNCTION("""COMPUTED_VALUE"""),"No")</f>
        <v>No</v>
      </c>
      <c r="P774" s="26"/>
    </row>
    <row r="775">
      <c r="A775" s="13" t="str">
        <f>IFERROR(__xludf.DUMMYFUNCTION("""COMPUTED_VALUE"""),"Castlevania: Symphony of the Night")</f>
        <v>Castlevania: Symphony of the Night</v>
      </c>
      <c r="B775" s="15" t="str">
        <f>IFERROR(__xludf.DUMMYFUNCTION("""COMPUTED_VALUE"""),"PS3")</f>
        <v>PS3</v>
      </c>
      <c r="C775" s="16" t="str">
        <f>IFERROR(__xludf.DUMMYFUNCTION("""COMPUTED_VALUE"""),"Playstation Plus (Discontinued)")</f>
        <v>Playstation Plus (Discontinued)</v>
      </c>
      <c r="D775" s="15" t="str">
        <f>IFERROR(__xludf.DUMMYFUNCTION("""COMPUTED_VALUE"""),"Removed")</f>
        <v>Removed</v>
      </c>
      <c r="E775" s="17">
        <f>IFERROR(__xludf.DUMMYFUNCTION("""COMPUTED_VALUE"""),41030.0)</f>
        <v>41030</v>
      </c>
      <c r="F775" s="54">
        <f>IFERROR(__xludf.DUMMYFUNCTION("""COMPUTED_VALUE"""),41064.0)</f>
        <v>41064</v>
      </c>
      <c r="G775" s="19">
        <f>IFERROR(__xludf.DUMMYFUNCTION("""COMPUTED_VALUE"""),1.0999999999999999)</f>
        <v>1.1</v>
      </c>
      <c r="H775" s="17">
        <f>IFERROR(__xludf.DUMMYFUNCTION("""COMPUTED_VALUE"""),39357.0)</f>
        <v>39357</v>
      </c>
      <c r="I775" s="19">
        <f>IFERROR(__xludf.DUMMYFUNCTION("""COMPUTED_VALUE"""),4.580555555555556)</f>
        <v>4.580555556</v>
      </c>
      <c r="J775" s="21">
        <f>IFERROR(__xludf.DUMMYFUNCTION("""COMPUTED_VALUE"""),89.0)</f>
        <v>89</v>
      </c>
      <c r="K775" s="23">
        <f>IFERROR(__xludf.DUMMYFUNCTION("""COMPUTED_VALUE"""),9.2)</f>
        <v>9.2</v>
      </c>
      <c r="L775" s="24">
        <f>IFERROR(__xludf.DUMMYFUNCTION("""COMPUTED_VALUE"""),9.0)</f>
        <v>9</v>
      </c>
      <c r="M775" s="25" t="str">
        <f>IFERROR(__xludf.DUMMYFUNCTION("""COMPUTED_VALUE"""),"Action-Adventure")</f>
        <v>Action-Adventure</v>
      </c>
      <c r="N775" s="25" t="str">
        <f>IFERROR(__xludf.DUMMYFUNCTION("""COMPUTED_VALUE"""),"PS1")</f>
        <v>PS1</v>
      </c>
      <c r="O775" s="26" t="str">
        <f>IFERROR(__xludf.DUMMYFUNCTION("""COMPUTED_VALUE"""),"No")</f>
        <v>No</v>
      </c>
      <c r="P775" s="26"/>
    </row>
    <row r="776">
      <c r="A776" s="13" t="str">
        <f>IFERROR(__xludf.DUMMYFUNCTION("""COMPUTED_VALUE"""),"Castlevania: Chronicles")</f>
        <v>Castlevania: Chronicles</v>
      </c>
      <c r="B776" s="15" t="str">
        <f>IFERROR(__xludf.DUMMYFUNCTION("""COMPUTED_VALUE"""),"PS3")</f>
        <v>PS3</v>
      </c>
      <c r="C776" s="16" t="str">
        <f>IFERROR(__xludf.DUMMYFUNCTION("""COMPUTED_VALUE"""),"Playstation Plus (Discontinued)")</f>
        <v>Playstation Plus (Discontinued)</v>
      </c>
      <c r="D776" s="15" t="str">
        <f>IFERROR(__xludf.DUMMYFUNCTION("""COMPUTED_VALUE"""),"Removed")</f>
        <v>Removed</v>
      </c>
      <c r="E776" s="17">
        <f>IFERROR(__xludf.DUMMYFUNCTION("""COMPUTED_VALUE"""),41030.0)</f>
        <v>41030</v>
      </c>
      <c r="F776" s="54">
        <f>IFERROR(__xludf.DUMMYFUNCTION("""COMPUTED_VALUE"""),41064.0)</f>
        <v>41064</v>
      </c>
      <c r="G776" s="19">
        <f>IFERROR(__xludf.DUMMYFUNCTION("""COMPUTED_VALUE"""),1.0999999999999999)</f>
        <v>1.1</v>
      </c>
      <c r="H776" s="17">
        <f>IFERROR(__xludf.DUMMYFUNCTION("""COMPUTED_VALUE"""),37110.0)</f>
        <v>37110</v>
      </c>
      <c r="I776" s="19">
        <f>IFERROR(__xludf.DUMMYFUNCTION("""COMPUTED_VALUE"""),10.733333333333333)</f>
        <v>10.73333333</v>
      </c>
      <c r="J776" s="21">
        <f>IFERROR(__xludf.DUMMYFUNCTION("""COMPUTED_VALUE"""),73.0)</f>
        <v>73</v>
      </c>
      <c r="K776" s="23">
        <f>IFERROR(__xludf.DUMMYFUNCTION("""COMPUTED_VALUE"""),8.0)</f>
        <v>8</v>
      </c>
      <c r="L776" s="24">
        <f>IFERROR(__xludf.DUMMYFUNCTION("""COMPUTED_VALUE"""),6.0)</f>
        <v>6</v>
      </c>
      <c r="M776" s="25" t="str">
        <f>IFERROR(__xludf.DUMMYFUNCTION("""COMPUTED_VALUE"""),"Platformer")</f>
        <v>Platformer</v>
      </c>
      <c r="N776" s="25" t="str">
        <f>IFERROR(__xludf.DUMMYFUNCTION("""COMPUTED_VALUE"""),"PS1")</f>
        <v>PS1</v>
      </c>
      <c r="O776" s="26" t="str">
        <f>IFERROR(__xludf.DUMMYFUNCTION("""COMPUTED_VALUE"""),"No")</f>
        <v>No</v>
      </c>
      <c r="P776" s="26"/>
    </row>
    <row r="777">
      <c r="A777" s="13" t="str">
        <f>IFERROR(__xludf.DUMMYFUNCTION("""COMPUTED_VALUE"""),"Defenders of the Mystic Garden")</f>
        <v>Defenders of the Mystic Garden</v>
      </c>
      <c r="B777" s="15" t="str">
        <f>IFERROR(__xludf.DUMMYFUNCTION("""COMPUTED_VALUE"""),"PS3")</f>
        <v>PS3</v>
      </c>
      <c r="C777" s="16" t="str">
        <f>IFERROR(__xludf.DUMMYFUNCTION("""COMPUTED_VALUE"""),"Playstation Plus (Discontinued)")</f>
        <v>Playstation Plus (Discontinued)</v>
      </c>
      <c r="D777" s="15" t="str">
        <f>IFERROR(__xludf.DUMMYFUNCTION("""COMPUTED_VALUE"""),"Removed")</f>
        <v>Removed</v>
      </c>
      <c r="E777" s="17">
        <f>IFERROR(__xludf.DUMMYFUNCTION("""COMPUTED_VALUE"""),41002.0)</f>
        <v>41002</v>
      </c>
      <c r="F777" s="54">
        <f>IFERROR(__xludf.DUMMYFUNCTION("""COMPUTED_VALUE"""),41029.0)</f>
        <v>41029</v>
      </c>
      <c r="G777" s="19">
        <f>IFERROR(__xludf.DUMMYFUNCTION("""COMPUTED_VALUE"""),0.8999999999999999)</f>
        <v>0.9</v>
      </c>
      <c r="H777" s="17">
        <f>IFERROR(__xludf.DUMMYFUNCTION("""COMPUTED_VALUE"""),40800.0)</f>
        <v>40800</v>
      </c>
      <c r="I777" s="19">
        <f>IFERROR(__xludf.DUMMYFUNCTION("""COMPUTED_VALUE"""),0.5527777777777778)</f>
        <v>0.5527777778</v>
      </c>
      <c r="J777" s="21">
        <f>IFERROR(__xludf.DUMMYFUNCTION("""COMPUTED_VALUE"""),52.0)</f>
        <v>52</v>
      </c>
      <c r="K777" s="23">
        <f>IFERROR(__xludf.DUMMYFUNCTION("""COMPUTED_VALUE"""),6.1)</f>
        <v>6.1</v>
      </c>
      <c r="L777" s="24"/>
      <c r="M777" s="25" t="str">
        <f>IFERROR(__xludf.DUMMYFUNCTION("""COMPUTED_VALUE"""),"Strategy")</f>
        <v>Strategy</v>
      </c>
      <c r="N777" s="25" t="str">
        <f>IFERROR(__xludf.DUMMYFUNCTION("""COMPUTED_VALUE"""),"PS Minis")</f>
        <v>PS Minis</v>
      </c>
      <c r="O777" s="26" t="str">
        <f>IFERROR(__xludf.DUMMYFUNCTION("""COMPUTED_VALUE"""),"No")</f>
        <v>No</v>
      </c>
      <c r="P777" s="26"/>
    </row>
    <row r="778">
      <c r="A778" s="13" t="str">
        <f>IFERROR(__xludf.DUMMYFUNCTION("""COMPUTED_VALUE"""),"Shank 2")</f>
        <v>Shank 2</v>
      </c>
      <c r="B778" s="15" t="str">
        <f>IFERROR(__xludf.DUMMYFUNCTION("""COMPUTED_VALUE"""),"PS3")</f>
        <v>PS3</v>
      </c>
      <c r="C778" s="16" t="str">
        <f>IFERROR(__xludf.DUMMYFUNCTION("""COMPUTED_VALUE"""),"Playstation Plus (Discontinued)")</f>
        <v>Playstation Plus (Discontinued)</v>
      </c>
      <c r="D778" s="15" t="str">
        <f>IFERROR(__xludf.DUMMYFUNCTION("""COMPUTED_VALUE"""),"Removed")</f>
        <v>Removed</v>
      </c>
      <c r="E778" s="17">
        <f>IFERROR(__xludf.DUMMYFUNCTION("""COMPUTED_VALUE"""),41002.0)</f>
        <v>41002</v>
      </c>
      <c r="F778" s="54">
        <f>IFERROR(__xludf.DUMMYFUNCTION("""COMPUTED_VALUE"""),41029.0)</f>
        <v>41029</v>
      </c>
      <c r="G778" s="19">
        <f>IFERROR(__xludf.DUMMYFUNCTION("""COMPUTED_VALUE"""),0.8999999999999999)</f>
        <v>0.9</v>
      </c>
      <c r="H778" s="17">
        <f>IFERROR(__xludf.DUMMYFUNCTION("""COMPUTED_VALUE"""),40946.0)</f>
        <v>40946</v>
      </c>
      <c r="I778" s="19">
        <f>IFERROR(__xludf.DUMMYFUNCTION("""COMPUTED_VALUE"""),0.15555555555555556)</f>
        <v>0.1555555556</v>
      </c>
      <c r="J778" s="21">
        <f>IFERROR(__xludf.DUMMYFUNCTION("""COMPUTED_VALUE"""),72.0)</f>
        <v>72</v>
      </c>
      <c r="K778" s="23">
        <f>IFERROR(__xludf.DUMMYFUNCTION("""COMPUTED_VALUE"""),7.1)</f>
        <v>7.1</v>
      </c>
      <c r="L778" s="24">
        <f>IFERROR(__xludf.DUMMYFUNCTION("""COMPUTED_VALUE"""),5.0)</f>
        <v>5</v>
      </c>
      <c r="M778" s="25" t="str">
        <f>IFERROR(__xludf.DUMMYFUNCTION("""COMPUTED_VALUE"""),"Platformer")</f>
        <v>Platformer</v>
      </c>
      <c r="N778" s="25"/>
      <c r="O778" s="26" t="str">
        <f>IFERROR(__xludf.DUMMYFUNCTION("""COMPUTED_VALUE"""),"No")</f>
        <v>No</v>
      </c>
      <c r="P778" s="26"/>
    </row>
    <row r="779">
      <c r="A779" s="13" t="str">
        <f>IFERROR(__xludf.DUMMYFUNCTION("""COMPUTED_VALUE"""),"Shift 2: Unleashed")</f>
        <v>Shift 2: Unleashed</v>
      </c>
      <c r="B779" s="15" t="str">
        <f>IFERROR(__xludf.DUMMYFUNCTION("""COMPUTED_VALUE"""),"PS3")</f>
        <v>PS3</v>
      </c>
      <c r="C779" s="16" t="str">
        <f>IFERROR(__xludf.DUMMYFUNCTION("""COMPUTED_VALUE"""),"Playstation Plus (Discontinued)")</f>
        <v>Playstation Plus (Discontinued)</v>
      </c>
      <c r="D779" s="15" t="str">
        <f>IFERROR(__xludf.DUMMYFUNCTION("""COMPUTED_VALUE"""),"Removed")</f>
        <v>Removed</v>
      </c>
      <c r="E779" s="17">
        <f>IFERROR(__xludf.DUMMYFUNCTION("""COMPUTED_VALUE"""),41002.0)</f>
        <v>41002</v>
      </c>
      <c r="F779" s="54">
        <f>IFERROR(__xludf.DUMMYFUNCTION("""COMPUTED_VALUE"""),41029.0)</f>
        <v>41029</v>
      </c>
      <c r="G779" s="19">
        <f>IFERROR(__xludf.DUMMYFUNCTION("""COMPUTED_VALUE"""),0.8999999999999999)</f>
        <v>0.9</v>
      </c>
      <c r="H779" s="17">
        <f>IFERROR(__xludf.DUMMYFUNCTION("""COMPUTED_VALUE"""),40631.0)</f>
        <v>40631</v>
      </c>
      <c r="I779" s="19">
        <f>IFERROR(__xludf.DUMMYFUNCTION("""COMPUTED_VALUE"""),1.011111111111111)</f>
        <v>1.011111111</v>
      </c>
      <c r="J779" s="21">
        <f>IFERROR(__xludf.DUMMYFUNCTION("""COMPUTED_VALUE"""),84.0)</f>
        <v>84</v>
      </c>
      <c r="K779" s="23">
        <f>IFERROR(__xludf.DUMMYFUNCTION("""COMPUTED_VALUE"""),7.5)</f>
        <v>7.5</v>
      </c>
      <c r="L779" s="24"/>
      <c r="M779" s="25" t="str">
        <f>IFERROR(__xludf.DUMMYFUNCTION("""COMPUTED_VALUE"""),"Racing")</f>
        <v>Racing</v>
      </c>
      <c r="N779" s="25"/>
      <c r="O779" s="26" t="str">
        <f>IFERROR(__xludf.DUMMYFUNCTION("""COMPUTED_VALUE"""),"No")</f>
        <v>No</v>
      </c>
      <c r="P779" s="26"/>
    </row>
    <row r="780">
      <c r="A780" s="13" t="str">
        <f>IFERROR(__xludf.DUMMYFUNCTION("""COMPUTED_VALUE"""),"Silent Hill")</f>
        <v>Silent Hill</v>
      </c>
      <c r="B780" s="15" t="str">
        <f>IFERROR(__xludf.DUMMYFUNCTION("""COMPUTED_VALUE"""),"PS3")</f>
        <v>PS3</v>
      </c>
      <c r="C780" s="16" t="str">
        <f>IFERROR(__xludf.DUMMYFUNCTION("""COMPUTED_VALUE"""),"Playstation Plus (Discontinued)")</f>
        <v>Playstation Plus (Discontinued)</v>
      </c>
      <c r="D780" s="15" t="str">
        <f>IFERROR(__xludf.DUMMYFUNCTION("""COMPUTED_VALUE"""),"Removed")</f>
        <v>Removed</v>
      </c>
      <c r="E780" s="17">
        <f>IFERROR(__xludf.DUMMYFUNCTION("""COMPUTED_VALUE"""),41002.0)</f>
        <v>41002</v>
      </c>
      <c r="F780" s="54">
        <f>IFERROR(__xludf.DUMMYFUNCTION("""COMPUTED_VALUE"""),41029.0)</f>
        <v>41029</v>
      </c>
      <c r="G780" s="19">
        <f>IFERROR(__xludf.DUMMYFUNCTION("""COMPUTED_VALUE"""),0.8999999999999999)</f>
        <v>0.9</v>
      </c>
      <c r="H780" s="17">
        <f>IFERROR(__xludf.DUMMYFUNCTION("""COMPUTED_VALUE"""),36191.0)</f>
        <v>36191</v>
      </c>
      <c r="I780" s="19">
        <f>IFERROR(__xludf.DUMMYFUNCTION("""COMPUTED_VALUE"""),13.175)</f>
        <v>13.175</v>
      </c>
      <c r="J780" s="21">
        <f>IFERROR(__xludf.DUMMYFUNCTION("""COMPUTED_VALUE"""),86.0)</f>
        <v>86</v>
      </c>
      <c r="K780" s="23">
        <f>IFERROR(__xludf.DUMMYFUNCTION("""COMPUTED_VALUE"""),8.8)</f>
        <v>8.8</v>
      </c>
      <c r="L780" s="24">
        <f>IFERROR(__xludf.DUMMYFUNCTION("""COMPUTED_VALUE"""),7.0)</f>
        <v>7</v>
      </c>
      <c r="M780" s="25" t="str">
        <f>IFERROR(__xludf.DUMMYFUNCTION("""COMPUTED_VALUE"""),"Horror")</f>
        <v>Horror</v>
      </c>
      <c r="N780" s="25" t="str">
        <f>IFERROR(__xludf.DUMMYFUNCTION("""COMPUTED_VALUE"""),"PS1")</f>
        <v>PS1</v>
      </c>
      <c r="O780" s="26" t="str">
        <f>IFERROR(__xludf.DUMMYFUNCTION("""COMPUTED_VALUE"""),"No")</f>
        <v>No</v>
      </c>
      <c r="P780" s="26"/>
    </row>
    <row r="781">
      <c r="A781" s="13" t="str">
        <f>IFERROR(__xludf.DUMMYFUNCTION("""COMPUTED_VALUE"""),"Frogger Returns")</f>
        <v>Frogger Returns</v>
      </c>
      <c r="B781" s="15" t="str">
        <f>IFERROR(__xludf.DUMMYFUNCTION("""COMPUTED_VALUE"""),"PS3")</f>
        <v>PS3</v>
      </c>
      <c r="C781" s="16" t="str">
        <f>IFERROR(__xludf.DUMMYFUNCTION("""COMPUTED_VALUE"""),"Playstation Plus (Discontinued)")</f>
        <v>Playstation Plus (Discontinued)</v>
      </c>
      <c r="D781" s="15" t="str">
        <f>IFERROR(__xludf.DUMMYFUNCTION("""COMPUTED_VALUE"""),"Removed")</f>
        <v>Removed</v>
      </c>
      <c r="E781" s="17">
        <f>IFERROR(__xludf.DUMMYFUNCTION("""COMPUTED_VALUE"""),41002.0)</f>
        <v>41002</v>
      </c>
      <c r="F781" s="54">
        <f>IFERROR(__xludf.DUMMYFUNCTION("""COMPUTED_VALUE"""),41029.0)</f>
        <v>41029</v>
      </c>
      <c r="G781" s="19">
        <f>IFERROR(__xludf.DUMMYFUNCTION("""COMPUTED_VALUE"""),0.8999999999999999)</f>
        <v>0.9</v>
      </c>
      <c r="H781" s="17">
        <f>IFERROR(__xludf.DUMMYFUNCTION("""COMPUTED_VALUE"""),40159.0)</f>
        <v>40159</v>
      </c>
      <c r="I781" s="19">
        <f>IFERROR(__xludf.DUMMYFUNCTION("""COMPUTED_VALUE"""),2.308333333333333)</f>
        <v>2.308333333</v>
      </c>
      <c r="J781" s="21">
        <f>IFERROR(__xludf.DUMMYFUNCTION("""COMPUTED_VALUE"""),59.0)</f>
        <v>59</v>
      </c>
      <c r="K781" s="23">
        <f>IFERROR(__xludf.DUMMYFUNCTION("""COMPUTED_VALUE"""),6.3)</f>
        <v>6.3</v>
      </c>
      <c r="L781" s="24">
        <f>IFERROR(__xludf.DUMMYFUNCTION("""COMPUTED_VALUE"""),3.0)</f>
        <v>3</v>
      </c>
      <c r="M781" s="25" t="str">
        <f>IFERROR(__xludf.DUMMYFUNCTION("""COMPUTED_VALUE"""),"Platformer")</f>
        <v>Platformer</v>
      </c>
      <c r="N781" s="25" t="str">
        <f>IFERROR(__xludf.DUMMYFUNCTION("""COMPUTED_VALUE"""),"PS Minis")</f>
        <v>PS Minis</v>
      </c>
      <c r="O781" s="26" t="str">
        <f>IFERROR(__xludf.DUMMYFUNCTION("""COMPUTED_VALUE"""),"No")</f>
        <v>No</v>
      </c>
      <c r="P781" s="26"/>
    </row>
    <row r="782">
      <c r="A782" s="13" t="str">
        <f>IFERROR(__xludf.DUMMYFUNCTION("""COMPUTED_VALUE"""),"Canabalt")</f>
        <v>Canabalt</v>
      </c>
      <c r="B782" s="15" t="str">
        <f>IFERROR(__xludf.DUMMYFUNCTION("""COMPUTED_VALUE"""),"PS3")</f>
        <v>PS3</v>
      </c>
      <c r="C782" s="16" t="str">
        <f>IFERROR(__xludf.DUMMYFUNCTION("""COMPUTED_VALUE"""),"Playstation Plus (Discontinued)")</f>
        <v>Playstation Plus (Discontinued)</v>
      </c>
      <c r="D782" s="15" t="str">
        <f>IFERROR(__xludf.DUMMYFUNCTION("""COMPUTED_VALUE"""),"Removed")</f>
        <v>Removed</v>
      </c>
      <c r="E782" s="17">
        <f>IFERROR(__xludf.DUMMYFUNCTION("""COMPUTED_VALUE"""),41002.0)</f>
        <v>41002</v>
      </c>
      <c r="F782" s="54">
        <f>IFERROR(__xludf.DUMMYFUNCTION("""COMPUTED_VALUE"""),41029.0)</f>
        <v>41029</v>
      </c>
      <c r="G782" s="19">
        <f>IFERROR(__xludf.DUMMYFUNCTION("""COMPUTED_VALUE"""),0.8999999999999999)</f>
        <v>0.9</v>
      </c>
      <c r="H782" s="17">
        <f>IFERROR(__xludf.DUMMYFUNCTION("""COMPUTED_VALUE"""),40421.0)</f>
        <v>40421</v>
      </c>
      <c r="I782" s="19">
        <f>IFERROR(__xludf.DUMMYFUNCTION("""COMPUTED_VALUE"""),1.5916666666666666)</f>
        <v>1.591666667</v>
      </c>
      <c r="J782" s="21">
        <f>IFERROR(__xludf.DUMMYFUNCTION("""COMPUTED_VALUE"""),69.0)</f>
        <v>69</v>
      </c>
      <c r="K782" s="23">
        <f>IFERROR(__xludf.DUMMYFUNCTION("""COMPUTED_VALUE"""),7.1)</f>
        <v>7.1</v>
      </c>
      <c r="L782" s="24"/>
      <c r="M782" s="25" t="str">
        <f>IFERROR(__xludf.DUMMYFUNCTION("""COMPUTED_VALUE"""),"Platformer")</f>
        <v>Platformer</v>
      </c>
      <c r="N782" s="25" t="str">
        <f>IFERROR(__xludf.DUMMYFUNCTION("""COMPUTED_VALUE"""),"PS Minis")</f>
        <v>PS Minis</v>
      </c>
      <c r="O782" s="26" t="str">
        <f>IFERROR(__xludf.DUMMYFUNCTION("""COMPUTED_VALUE"""),"No")</f>
        <v>No</v>
      </c>
      <c r="P782" s="26"/>
    </row>
    <row r="783">
      <c r="A783" s="13" t="str">
        <f>IFERROR(__xludf.DUMMYFUNCTION("""COMPUTED_VALUE"""),"Bermuda Triangle")</f>
        <v>Bermuda Triangle</v>
      </c>
      <c r="B783" s="15" t="str">
        <f>IFERROR(__xludf.DUMMYFUNCTION("""COMPUTED_VALUE"""),"PS3")</f>
        <v>PS3</v>
      </c>
      <c r="C783" s="16" t="str">
        <f>IFERROR(__xludf.DUMMYFUNCTION("""COMPUTED_VALUE"""),"Playstation Plus (Discontinued)")</f>
        <v>Playstation Plus (Discontinued)</v>
      </c>
      <c r="D783" s="15" t="str">
        <f>IFERROR(__xludf.DUMMYFUNCTION("""COMPUTED_VALUE"""),"Removed")</f>
        <v>Removed</v>
      </c>
      <c r="E783" s="17">
        <f>IFERROR(__xludf.DUMMYFUNCTION("""COMPUTED_VALUE"""),40974.0)</f>
        <v>40974</v>
      </c>
      <c r="F783" s="54">
        <f>IFERROR(__xludf.DUMMYFUNCTION("""COMPUTED_VALUE"""),41001.0)</f>
        <v>41001</v>
      </c>
      <c r="G783" s="19">
        <f>IFERROR(__xludf.DUMMYFUNCTION("""COMPUTED_VALUE"""),0.8666666666666666)</f>
        <v>0.8666666667</v>
      </c>
      <c r="H783" s="17">
        <f>IFERROR(__xludf.DUMMYFUNCTION("""COMPUTED_VALUE"""),40785.0)</f>
        <v>40785</v>
      </c>
      <c r="I783" s="19">
        <f>IFERROR(__xludf.DUMMYFUNCTION("""COMPUTED_VALUE"""),0.5166666666666667)</f>
        <v>0.5166666667</v>
      </c>
      <c r="J783" s="21">
        <f>IFERROR(__xludf.DUMMYFUNCTION("""COMPUTED_VALUE"""),55.0)</f>
        <v>55</v>
      </c>
      <c r="K783" s="23">
        <f>IFERROR(__xludf.DUMMYFUNCTION("""COMPUTED_VALUE"""),6.2)</f>
        <v>6.2</v>
      </c>
      <c r="L783" s="24"/>
      <c r="M783" s="25" t="str">
        <f>IFERROR(__xludf.DUMMYFUNCTION("""COMPUTED_VALUE"""),"Arcade")</f>
        <v>Arcade</v>
      </c>
      <c r="N783" s="25" t="str">
        <f>IFERROR(__xludf.DUMMYFUNCTION("""COMPUTED_VALUE"""),"PS Minis")</f>
        <v>PS Minis</v>
      </c>
      <c r="O783" s="26" t="str">
        <f>IFERROR(__xludf.DUMMYFUNCTION("""COMPUTED_VALUE"""),"No")</f>
        <v>No</v>
      </c>
      <c r="P783" s="26"/>
    </row>
    <row r="784">
      <c r="A784" s="13" t="str">
        <f>IFERROR(__xludf.DUMMYFUNCTION("""COMPUTED_VALUE"""),"Sly Cooper and the Thievius Raccoonus")</f>
        <v>Sly Cooper and the Thievius Raccoonus</v>
      </c>
      <c r="B784" s="15" t="str">
        <f>IFERROR(__xludf.DUMMYFUNCTION("""COMPUTED_VALUE"""),"PS3")</f>
        <v>PS3</v>
      </c>
      <c r="C784" s="16" t="str">
        <f>IFERROR(__xludf.DUMMYFUNCTION("""COMPUTED_VALUE"""),"Playstation Plus (Discontinued)")</f>
        <v>Playstation Plus (Discontinued)</v>
      </c>
      <c r="D784" s="15" t="str">
        <f>IFERROR(__xludf.DUMMYFUNCTION("""COMPUTED_VALUE"""),"Removed")</f>
        <v>Removed</v>
      </c>
      <c r="E784" s="17">
        <f>IFERROR(__xludf.DUMMYFUNCTION("""COMPUTED_VALUE"""),40974.0)</f>
        <v>40974</v>
      </c>
      <c r="F784" s="54">
        <f>IFERROR(__xludf.DUMMYFUNCTION("""COMPUTED_VALUE"""),41001.0)</f>
        <v>41001</v>
      </c>
      <c r="G784" s="19">
        <f>IFERROR(__xludf.DUMMYFUNCTION("""COMPUTED_VALUE"""),0.8666666666666666)</f>
        <v>0.8666666667</v>
      </c>
      <c r="H784" s="17">
        <f>IFERROR(__xludf.DUMMYFUNCTION("""COMPUTED_VALUE"""),37583.0)</f>
        <v>37583</v>
      </c>
      <c r="I784" s="19">
        <f>IFERROR(__xludf.DUMMYFUNCTION("""COMPUTED_VALUE"""),9.286111111111111)</f>
        <v>9.286111111</v>
      </c>
      <c r="J784" s="21">
        <f>IFERROR(__xludf.DUMMYFUNCTION("""COMPUTED_VALUE"""),86.0)</f>
        <v>86</v>
      </c>
      <c r="K784" s="23">
        <f>IFERROR(__xludf.DUMMYFUNCTION("""COMPUTED_VALUE"""),8.8)</f>
        <v>8.8</v>
      </c>
      <c r="L784" s="24">
        <f>IFERROR(__xludf.DUMMYFUNCTION("""COMPUTED_VALUE"""),14.0)</f>
        <v>14</v>
      </c>
      <c r="M784" s="25" t="str">
        <f>IFERROR(__xludf.DUMMYFUNCTION("""COMPUTED_VALUE"""),"Platformer")</f>
        <v>Platformer</v>
      </c>
      <c r="N784" s="25"/>
      <c r="O784" s="26" t="str">
        <f>IFERROR(__xludf.DUMMYFUNCTION("""COMPUTED_VALUE"""),"No")</f>
        <v>No</v>
      </c>
      <c r="P784" s="26"/>
    </row>
    <row r="785">
      <c r="A785" s="13" t="str">
        <f>IFERROR(__xludf.DUMMYFUNCTION("""COMPUTED_VALUE"""),"Super Street Fighter II Turbo HD Remix")</f>
        <v>Super Street Fighter II Turbo HD Remix</v>
      </c>
      <c r="B785" s="15" t="str">
        <f>IFERROR(__xludf.DUMMYFUNCTION("""COMPUTED_VALUE"""),"PS3")</f>
        <v>PS3</v>
      </c>
      <c r="C785" s="16" t="str">
        <f>IFERROR(__xludf.DUMMYFUNCTION("""COMPUTED_VALUE"""),"Playstation Plus (Discontinued)")</f>
        <v>Playstation Plus (Discontinued)</v>
      </c>
      <c r="D785" s="15" t="str">
        <f>IFERROR(__xludf.DUMMYFUNCTION("""COMPUTED_VALUE"""),"Removed")</f>
        <v>Removed</v>
      </c>
      <c r="E785" s="17">
        <f>IFERROR(__xludf.DUMMYFUNCTION("""COMPUTED_VALUE"""),40974.0)</f>
        <v>40974</v>
      </c>
      <c r="F785" s="54">
        <f>IFERROR(__xludf.DUMMYFUNCTION("""COMPUTED_VALUE"""),41001.0)</f>
        <v>41001</v>
      </c>
      <c r="G785" s="19">
        <f>IFERROR(__xludf.DUMMYFUNCTION("""COMPUTED_VALUE"""),0.8666666666666666)</f>
        <v>0.8666666667</v>
      </c>
      <c r="H785" s="17">
        <f>IFERROR(__xludf.DUMMYFUNCTION("""COMPUTED_VALUE"""),39777.0)</f>
        <v>39777</v>
      </c>
      <c r="I785" s="19">
        <f>IFERROR(__xludf.DUMMYFUNCTION("""COMPUTED_VALUE"""),3.2805555555555554)</f>
        <v>3.280555556</v>
      </c>
      <c r="J785" s="21">
        <f>IFERROR(__xludf.DUMMYFUNCTION("""COMPUTED_VALUE"""),85.0)</f>
        <v>85</v>
      </c>
      <c r="K785" s="23">
        <f>IFERROR(__xludf.DUMMYFUNCTION("""COMPUTED_VALUE"""),8.2)</f>
        <v>8.2</v>
      </c>
      <c r="L785" s="24"/>
      <c r="M785" s="25" t="str">
        <f>IFERROR(__xludf.DUMMYFUNCTION("""COMPUTED_VALUE"""),"Fighting")</f>
        <v>Fighting</v>
      </c>
      <c r="N785" s="25"/>
      <c r="O785" s="26" t="str">
        <f>IFERROR(__xludf.DUMMYFUNCTION("""COMPUTED_VALUE"""),"No")</f>
        <v>No</v>
      </c>
      <c r="P785" s="26"/>
    </row>
    <row r="786">
      <c r="A786" s="13" t="str">
        <f>IFERROR(__xludf.DUMMYFUNCTION("""COMPUTED_VALUE"""),"Um Jammer Lammy")</f>
        <v>Um Jammer Lammy</v>
      </c>
      <c r="B786" s="15" t="str">
        <f>IFERROR(__xludf.DUMMYFUNCTION("""COMPUTED_VALUE"""),"PS3")</f>
        <v>PS3</v>
      </c>
      <c r="C786" s="16" t="str">
        <f>IFERROR(__xludf.DUMMYFUNCTION("""COMPUTED_VALUE"""),"Playstation Plus (Discontinued)")</f>
        <v>Playstation Plus (Discontinued)</v>
      </c>
      <c r="D786" s="15" t="str">
        <f>IFERROR(__xludf.DUMMYFUNCTION("""COMPUTED_VALUE"""),"Removed")</f>
        <v>Removed</v>
      </c>
      <c r="E786" s="17">
        <f>IFERROR(__xludf.DUMMYFUNCTION("""COMPUTED_VALUE"""),40974.0)</f>
        <v>40974</v>
      </c>
      <c r="F786" s="54">
        <f>IFERROR(__xludf.DUMMYFUNCTION("""COMPUTED_VALUE"""),41001.0)</f>
        <v>41001</v>
      </c>
      <c r="G786" s="19">
        <f>IFERROR(__xludf.DUMMYFUNCTION("""COMPUTED_VALUE"""),0.8666666666666666)</f>
        <v>0.8666666667</v>
      </c>
      <c r="H786" s="17">
        <f>IFERROR(__xludf.DUMMYFUNCTION("""COMPUTED_VALUE"""),36161.0)</f>
        <v>36161</v>
      </c>
      <c r="I786" s="19">
        <f>IFERROR(__xludf.DUMMYFUNCTION("""COMPUTED_VALUE"""),13.180555555555555)</f>
        <v>13.18055556</v>
      </c>
      <c r="J786" s="21">
        <f>IFERROR(__xludf.DUMMYFUNCTION("""COMPUTED_VALUE"""),80.0)</f>
        <v>80</v>
      </c>
      <c r="K786" s="23">
        <f>IFERROR(__xludf.DUMMYFUNCTION("""COMPUTED_VALUE"""),8.1)</f>
        <v>8.1</v>
      </c>
      <c r="L786" s="24"/>
      <c r="M786" s="25" t="str">
        <f>IFERROR(__xludf.DUMMYFUNCTION("""COMPUTED_VALUE"""),"Rhythm")</f>
        <v>Rhythm</v>
      </c>
      <c r="N786" s="25" t="str">
        <f>IFERROR(__xludf.DUMMYFUNCTION("""COMPUTED_VALUE"""),"PS1")</f>
        <v>PS1</v>
      </c>
      <c r="O786" s="26" t="str">
        <f>IFERROR(__xludf.DUMMYFUNCTION("""COMPUTED_VALUE"""),"No")</f>
        <v>No</v>
      </c>
      <c r="P786" s="26"/>
    </row>
    <row r="787">
      <c r="A787" s="13" t="str">
        <f>IFERROR(__xludf.DUMMYFUNCTION("""COMPUTED_VALUE"""),"Far Cry 2")</f>
        <v>Far Cry 2</v>
      </c>
      <c r="B787" s="15" t="str">
        <f>IFERROR(__xludf.DUMMYFUNCTION("""COMPUTED_VALUE"""),"PS3")</f>
        <v>PS3</v>
      </c>
      <c r="C787" s="16" t="str">
        <f>IFERROR(__xludf.DUMMYFUNCTION("""COMPUTED_VALUE"""),"Playstation Plus (Discontinued)")</f>
        <v>Playstation Plus (Discontinued)</v>
      </c>
      <c r="D787" s="15" t="str">
        <f>IFERROR(__xludf.DUMMYFUNCTION("""COMPUTED_VALUE"""),"Removed")</f>
        <v>Removed</v>
      </c>
      <c r="E787" s="17">
        <f>IFERROR(__xludf.DUMMYFUNCTION("""COMPUTED_VALUE"""),40946.0)</f>
        <v>40946</v>
      </c>
      <c r="F787" s="54">
        <f>IFERROR(__xludf.DUMMYFUNCTION("""COMPUTED_VALUE"""),40973.0)</f>
        <v>40973</v>
      </c>
      <c r="G787" s="19">
        <f>IFERROR(__xludf.DUMMYFUNCTION("""COMPUTED_VALUE"""),0.9333333333333333)</f>
        <v>0.9333333333</v>
      </c>
      <c r="H787" s="17">
        <f>IFERROR(__xludf.DUMMYFUNCTION("""COMPUTED_VALUE"""),39742.0)</f>
        <v>39742</v>
      </c>
      <c r="I787" s="19">
        <f>IFERROR(__xludf.DUMMYFUNCTION("""COMPUTED_VALUE"""),3.2944444444444443)</f>
        <v>3.294444444</v>
      </c>
      <c r="J787" s="21">
        <f>IFERROR(__xludf.DUMMYFUNCTION("""COMPUTED_VALUE"""),85.0)</f>
        <v>85</v>
      </c>
      <c r="K787" s="23">
        <f>IFERROR(__xludf.DUMMYFUNCTION("""COMPUTED_VALUE"""),7.6)</f>
        <v>7.6</v>
      </c>
      <c r="L787" s="24">
        <f>IFERROR(__xludf.DUMMYFUNCTION("""COMPUTED_VALUE"""),15.0)</f>
        <v>15</v>
      </c>
      <c r="M787" s="25" t="str">
        <f>IFERROR(__xludf.DUMMYFUNCTION("""COMPUTED_VALUE"""),"Shooter")</f>
        <v>Shooter</v>
      </c>
      <c r="N787" s="25"/>
      <c r="O787" s="26" t="str">
        <f>IFERROR(__xludf.DUMMYFUNCTION("""COMPUTED_VALUE"""),"No")</f>
        <v>No</v>
      </c>
      <c r="P787" s="26"/>
    </row>
    <row r="788">
      <c r="A788" s="13" t="str">
        <f>IFERROR(__xludf.DUMMYFUNCTION("""COMPUTED_VALUE"""),"The Simpsons Arcade Game")</f>
        <v>The Simpsons Arcade Game</v>
      </c>
      <c r="B788" s="15" t="str">
        <f>IFERROR(__xludf.DUMMYFUNCTION("""COMPUTED_VALUE"""),"PS3")</f>
        <v>PS3</v>
      </c>
      <c r="C788" s="16" t="str">
        <f>IFERROR(__xludf.DUMMYFUNCTION("""COMPUTED_VALUE"""),"Playstation Plus (Discontinued)")</f>
        <v>Playstation Plus (Discontinued)</v>
      </c>
      <c r="D788" s="15" t="str">
        <f>IFERROR(__xludf.DUMMYFUNCTION("""COMPUTED_VALUE"""),"Removed")</f>
        <v>Removed</v>
      </c>
      <c r="E788" s="17">
        <f>IFERROR(__xludf.DUMMYFUNCTION("""COMPUTED_VALUE"""),40946.0)</f>
        <v>40946</v>
      </c>
      <c r="F788" s="54">
        <f>IFERROR(__xludf.DUMMYFUNCTION("""COMPUTED_VALUE"""),40973.0)</f>
        <v>40973</v>
      </c>
      <c r="G788" s="19">
        <f>IFERROR(__xludf.DUMMYFUNCTION("""COMPUTED_VALUE"""),0.9333333333333333)</f>
        <v>0.9333333333</v>
      </c>
      <c r="H788" s="17">
        <f>IFERROR(__xludf.DUMMYFUNCTION("""COMPUTED_VALUE"""),40946.0)</f>
        <v>40946</v>
      </c>
      <c r="I788" s="19">
        <f>IFERROR(__xludf.DUMMYFUNCTION("""COMPUTED_VALUE"""),0.0)</f>
        <v>0</v>
      </c>
      <c r="J788" s="21">
        <f>IFERROR(__xludf.DUMMYFUNCTION("""COMPUTED_VALUE"""),71.0)</f>
        <v>71</v>
      </c>
      <c r="K788" s="23">
        <f>IFERROR(__xludf.DUMMYFUNCTION("""COMPUTED_VALUE"""),7.5)</f>
        <v>7.5</v>
      </c>
      <c r="L788" s="24">
        <f>IFERROR(__xludf.DUMMYFUNCTION("""COMPUTED_VALUE"""),2.0)</f>
        <v>2</v>
      </c>
      <c r="M788" s="25" t="str">
        <f>IFERROR(__xludf.DUMMYFUNCTION("""COMPUTED_VALUE"""),"Platformer")</f>
        <v>Platformer</v>
      </c>
      <c r="N788" s="25"/>
      <c r="O788" s="26" t="str">
        <f>IFERROR(__xludf.DUMMYFUNCTION("""COMPUTED_VALUE"""),"No")</f>
        <v>No</v>
      </c>
      <c r="P788" s="26"/>
    </row>
    <row r="789">
      <c r="A789" s="13" t="str">
        <f>IFERROR(__xludf.DUMMYFUNCTION("""COMPUTED_VALUE"""),"Altered Beast")</f>
        <v>Altered Beast</v>
      </c>
      <c r="B789" s="15" t="str">
        <f>IFERROR(__xludf.DUMMYFUNCTION("""COMPUTED_VALUE"""),"PS3")</f>
        <v>PS3</v>
      </c>
      <c r="C789" s="16" t="str">
        <f>IFERROR(__xludf.DUMMYFUNCTION("""COMPUTED_VALUE"""),"Playstation Plus (Discontinued)")</f>
        <v>Playstation Plus (Discontinued)</v>
      </c>
      <c r="D789" s="15" t="str">
        <f>IFERROR(__xludf.DUMMYFUNCTION("""COMPUTED_VALUE"""),"Removed")</f>
        <v>Removed</v>
      </c>
      <c r="E789" s="17">
        <f>IFERROR(__xludf.DUMMYFUNCTION("""COMPUTED_VALUE"""),40946.0)</f>
        <v>40946</v>
      </c>
      <c r="F789" s="54">
        <f>IFERROR(__xludf.DUMMYFUNCTION("""COMPUTED_VALUE"""),40973.0)</f>
        <v>40973</v>
      </c>
      <c r="G789" s="19">
        <f>IFERROR(__xludf.DUMMYFUNCTION("""COMPUTED_VALUE"""),0.9333333333333333)</f>
        <v>0.9333333333</v>
      </c>
      <c r="H789" s="17">
        <f>IFERROR(__xludf.DUMMYFUNCTION("""COMPUTED_VALUE"""),39434.0)</f>
        <v>39434</v>
      </c>
      <c r="I789" s="19">
        <f>IFERROR(__xludf.DUMMYFUNCTION("""COMPUTED_VALUE"""),4.136111111111111)</f>
        <v>4.136111111</v>
      </c>
      <c r="J789" s="21">
        <f>IFERROR(__xludf.DUMMYFUNCTION("""COMPUTED_VALUE"""),60.0)</f>
        <v>60</v>
      </c>
      <c r="K789" s="23">
        <f>IFERROR(__xludf.DUMMYFUNCTION("""COMPUTED_VALUE"""),6.9)</f>
        <v>6.9</v>
      </c>
      <c r="L789" s="24"/>
      <c r="M789" s="25" t="str">
        <f>IFERROR(__xludf.DUMMYFUNCTION("""COMPUTED_VALUE"""),"Platformer")</f>
        <v>Platformer</v>
      </c>
      <c r="N789" s="25"/>
      <c r="O789" s="26" t="str">
        <f>IFERROR(__xludf.DUMMYFUNCTION("""COMPUTED_VALUE"""),"No")</f>
        <v>No</v>
      </c>
      <c r="P789" s="26"/>
    </row>
    <row r="790">
      <c r="A790" s="13" t="str">
        <f>IFERROR(__xludf.DUMMYFUNCTION("""COMPUTED_VALUE"""),"Comix Zone")</f>
        <v>Comix Zone</v>
      </c>
      <c r="B790" s="15" t="str">
        <f>IFERROR(__xludf.DUMMYFUNCTION("""COMPUTED_VALUE"""),"PS3")</f>
        <v>PS3</v>
      </c>
      <c r="C790" s="16" t="str">
        <f>IFERROR(__xludf.DUMMYFUNCTION("""COMPUTED_VALUE"""),"Playstation Plus (Discontinued)")</f>
        <v>Playstation Plus (Discontinued)</v>
      </c>
      <c r="D790" s="15" t="str">
        <f>IFERROR(__xludf.DUMMYFUNCTION("""COMPUTED_VALUE"""),"Removed")</f>
        <v>Removed</v>
      </c>
      <c r="E790" s="17">
        <f>IFERROR(__xludf.DUMMYFUNCTION("""COMPUTED_VALUE"""),40946.0)</f>
        <v>40946</v>
      </c>
      <c r="F790" s="54">
        <f>IFERROR(__xludf.DUMMYFUNCTION("""COMPUTED_VALUE"""),40973.0)</f>
        <v>40973</v>
      </c>
      <c r="G790" s="19">
        <f>IFERROR(__xludf.DUMMYFUNCTION("""COMPUTED_VALUE"""),0.9333333333333333)</f>
        <v>0.9333333333</v>
      </c>
      <c r="H790" s="17">
        <f>IFERROR(__xludf.DUMMYFUNCTION("""COMPUTED_VALUE"""),40856.0)</f>
        <v>40856</v>
      </c>
      <c r="I790" s="19">
        <f>IFERROR(__xludf.DUMMYFUNCTION("""COMPUTED_VALUE"""),0.24444444444444444)</f>
        <v>0.2444444444</v>
      </c>
      <c r="J790" s="21">
        <f>IFERROR(__xludf.DUMMYFUNCTION("""COMPUTED_VALUE"""),75.0)</f>
        <v>75</v>
      </c>
      <c r="K790" s="23">
        <f>IFERROR(__xludf.DUMMYFUNCTION("""COMPUTED_VALUE"""),7.7)</f>
        <v>7.7</v>
      </c>
      <c r="L790" s="24">
        <f>IFERROR(__xludf.DUMMYFUNCTION("""COMPUTED_VALUE"""),2.0)</f>
        <v>2</v>
      </c>
      <c r="M790" s="25" t="str">
        <f>IFERROR(__xludf.DUMMYFUNCTION("""COMPUTED_VALUE"""),"Platformer")</f>
        <v>Platformer</v>
      </c>
      <c r="N790" s="25"/>
      <c r="O790" s="26" t="str">
        <f>IFERROR(__xludf.DUMMYFUNCTION("""COMPUTED_VALUE"""),"No")</f>
        <v>No</v>
      </c>
      <c r="P790" s="26"/>
    </row>
    <row r="791">
      <c r="A791" s="13" t="str">
        <f>IFERROR(__xludf.DUMMYFUNCTION("""COMPUTED_VALUE"""),"Battle Fantasia")</f>
        <v>Battle Fantasia</v>
      </c>
      <c r="B791" s="15" t="str">
        <f>IFERROR(__xludf.DUMMYFUNCTION("""COMPUTED_VALUE"""),"PS3")</f>
        <v>PS3</v>
      </c>
      <c r="C791" s="16" t="str">
        <f>IFERROR(__xludf.DUMMYFUNCTION("""COMPUTED_VALUE"""),"Playstation Plus (Discontinued)")</f>
        <v>Playstation Plus (Discontinued)</v>
      </c>
      <c r="D791" s="15" t="str">
        <f>IFERROR(__xludf.DUMMYFUNCTION("""COMPUTED_VALUE"""),"Removed")</f>
        <v>Removed</v>
      </c>
      <c r="E791" s="17">
        <f>IFERROR(__xludf.DUMMYFUNCTION("""COMPUTED_VALUE"""),40946.0)</f>
        <v>40946</v>
      </c>
      <c r="F791" s="54">
        <f>IFERROR(__xludf.DUMMYFUNCTION("""COMPUTED_VALUE"""),40973.0)</f>
        <v>40973</v>
      </c>
      <c r="G791" s="19">
        <f>IFERROR(__xludf.DUMMYFUNCTION("""COMPUTED_VALUE"""),0.9333333333333333)</f>
        <v>0.9333333333</v>
      </c>
      <c r="H791" s="17">
        <f>IFERROR(__xludf.DUMMYFUNCTION("""COMPUTED_VALUE"""),39686.0)</f>
        <v>39686</v>
      </c>
      <c r="I791" s="19">
        <f>IFERROR(__xludf.DUMMYFUNCTION("""COMPUTED_VALUE"""),3.4472222222222224)</f>
        <v>3.447222222</v>
      </c>
      <c r="J791" s="21">
        <f>IFERROR(__xludf.DUMMYFUNCTION("""COMPUTED_VALUE"""),70.0)</f>
        <v>70</v>
      </c>
      <c r="K791" s="23">
        <f>IFERROR(__xludf.DUMMYFUNCTION("""COMPUTED_VALUE"""),7.1)</f>
        <v>7.1</v>
      </c>
      <c r="L791" s="24"/>
      <c r="M791" s="25" t="str">
        <f>IFERROR(__xludf.DUMMYFUNCTION("""COMPUTED_VALUE"""),"Fighting")</f>
        <v>Fighting</v>
      </c>
      <c r="N791" s="25"/>
      <c r="O791" s="26" t="str">
        <f>IFERROR(__xludf.DUMMYFUNCTION("""COMPUTED_VALUE"""),"No")</f>
        <v>No</v>
      </c>
      <c r="P791" s="26"/>
    </row>
    <row r="792">
      <c r="A792" s="13" t="str">
        <f>IFERROR(__xludf.DUMMYFUNCTION("""COMPUTED_VALUE"""),"Fatal Inertia EX")</f>
        <v>Fatal Inertia EX</v>
      </c>
      <c r="B792" s="15" t="str">
        <f>IFERROR(__xludf.DUMMYFUNCTION("""COMPUTED_VALUE"""),"PS3")</f>
        <v>PS3</v>
      </c>
      <c r="C792" s="16" t="str">
        <f>IFERROR(__xludf.DUMMYFUNCTION("""COMPUTED_VALUE"""),"Playstation Plus (Discontinued)")</f>
        <v>Playstation Plus (Discontinued)</v>
      </c>
      <c r="D792" s="15" t="str">
        <f>IFERROR(__xludf.DUMMYFUNCTION("""COMPUTED_VALUE"""),"Removed")</f>
        <v>Removed</v>
      </c>
      <c r="E792" s="17">
        <f>IFERROR(__xludf.DUMMYFUNCTION("""COMPUTED_VALUE"""),40946.0)</f>
        <v>40946</v>
      </c>
      <c r="F792" s="54">
        <f>IFERROR(__xludf.DUMMYFUNCTION("""COMPUTED_VALUE"""),40973.0)</f>
        <v>40973</v>
      </c>
      <c r="G792" s="19">
        <f>IFERROR(__xludf.DUMMYFUNCTION("""COMPUTED_VALUE"""),0.9333333333333333)</f>
        <v>0.9333333333</v>
      </c>
      <c r="H792" s="17">
        <f>IFERROR(__xludf.DUMMYFUNCTION("""COMPUTED_VALUE"""),39511.0)</f>
        <v>39511</v>
      </c>
      <c r="I792" s="19">
        <f>IFERROR(__xludf.DUMMYFUNCTION("""COMPUTED_VALUE"""),3.925)</f>
        <v>3.925</v>
      </c>
      <c r="J792" s="21">
        <f>IFERROR(__xludf.DUMMYFUNCTION("""COMPUTED_VALUE"""),54.0)</f>
        <v>54</v>
      </c>
      <c r="K792" s="23">
        <f>IFERROR(__xludf.DUMMYFUNCTION("""COMPUTED_VALUE"""),6.4)</f>
        <v>6.4</v>
      </c>
      <c r="L792" s="24"/>
      <c r="M792" s="25" t="str">
        <f>IFERROR(__xludf.DUMMYFUNCTION("""COMPUTED_VALUE"""),"Racing")</f>
        <v>Racing</v>
      </c>
      <c r="N792" s="25"/>
      <c r="O792" s="26" t="str">
        <f>IFERROR(__xludf.DUMMYFUNCTION("""COMPUTED_VALUE"""),"No")</f>
        <v>No</v>
      </c>
      <c r="P792" s="26"/>
    </row>
    <row r="793">
      <c r="A793" s="13" t="str">
        <f>IFERROR(__xludf.DUMMYFUNCTION("""COMPUTED_VALUE"""),"Hamsterball")</f>
        <v>Hamsterball</v>
      </c>
      <c r="B793" s="15" t="str">
        <f>IFERROR(__xludf.DUMMYFUNCTION("""COMPUTED_VALUE"""),"PS3")</f>
        <v>PS3</v>
      </c>
      <c r="C793" s="16" t="str">
        <f>IFERROR(__xludf.DUMMYFUNCTION("""COMPUTED_VALUE"""),"Playstation Plus (Discontinued)")</f>
        <v>Playstation Plus (Discontinued)</v>
      </c>
      <c r="D793" s="15" t="str">
        <f>IFERROR(__xludf.DUMMYFUNCTION("""COMPUTED_VALUE"""),"Removed")</f>
        <v>Removed</v>
      </c>
      <c r="E793" s="17">
        <f>IFERROR(__xludf.DUMMYFUNCTION("""COMPUTED_VALUE"""),40946.0)</f>
        <v>40946</v>
      </c>
      <c r="F793" s="54">
        <f>IFERROR(__xludf.DUMMYFUNCTION("""COMPUTED_VALUE"""),40973.0)</f>
        <v>40973</v>
      </c>
      <c r="G793" s="19">
        <f>IFERROR(__xludf.DUMMYFUNCTION("""COMPUTED_VALUE"""),0.9333333333333333)</f>
        <v>0.9333333333</v>
      </c>
      <c r="H793" s="17">
        <f>IFERROR(__xludf.DUMMYFUNCTION("""COMPUTED_VALUE"""),40479.0)</f>
        <v>40479</v>
      </c>
      <c r="I793" s="19">
        <f>IFERROR(__xludf.DUMMYFUNCTION("""COMPUTED_VALUE"""),1.275)</f>
        <v>1.275</v>
      </c>
      <c r="J793" s="21">
        <f>IFERROR(__xludf.DUMMYFUNCTION("""COMPUTED_VALUE"""),59.0)</f>
        <v>59</v>
      </c>
      <c r="K793" s="23">
        <f>IFERROR(__xludf.DUMMYFUNCTION("""COMPUTED_VALUE"""),6.8)</f>
        <v>6.8</v>
      </c>
      <c r="L793" s="24">
        <f>IFERROR(__xludf.DUMMYFUNCTION("""COMPUTED_VALUE"""),3.0)</f>
        <v>3</v>
      </c>
      <c r="M793" s="25" t="str">
        <f>IFERROR(__xludf.DUMMYFUNCTION("""COMPUTED_VALUE"""),"Arcade")</f>
        <v>Arcade</v>
      </c>
      <c r="N793" s="25"/>
      <c r="O793" s="26" t="str">
        <f>IFERROR(__xludf.DUMMYFUNCTION("""COMPUTED_VALUE"""),"No")</f>
        <v>No</v>
      </c>
      <c r="P793" s="26"/>
    </row>
    <row r="794">
      <c r="A794" s="13" t="str">
        <f>IFERROR(__xludf.DUMMYFUNCTION("""COMPUTED_VALUE"""),"Inferno Pool")</f>
        <v>Inferno Pool</v>
      </c>
      <c r="B794" s="15" t="str">
        <f>IFERROR(__xludf.DUMMYFUNCTION("""COMPUTED_VALUE"""),"PS3")</f>
        <v>PS3</v>
      </c>
      <c r="C794" s="16" t="str">
        <f>IFERROR(__xludf.DUMMYFUNCTION("""COMPUTED_VALUE"""),"Playstation Plus (Discontinued)")</f>
        <v>Playstation Plus (Discontinued)</v>
      </c>
      <c r="D794" s="15" t="str">
        <f>IFERROR(__xludf.DUMMYFUNCTION("""COMPUTED_VALUE"""),"Removed")</f>
        <v>Removed</v>
      </c>
      <c r="E794" s="17">
        <f>IFERROR(__xludf.DUMMYFUNCTION("""COMPUTED_VALUE"""),40946.0)</f>
        <v>40946</v>
      </c>
      <c r="F794" s="54">
        <f>IFERROR(__xludf.DUMMYFUNCTION("""COMPUTED_VALUE"""),40973.0)</f>
        <v>40973</v>
      </c>
      <c r="G794" s="19">
        <f>IFERROR(__xludf.DUMMYFUNCTION("""COMPUTED_VALUE"""),0.9333333333333333)</f>
        <v>0.9333333333</v>
      </c>
      <c r="H794" s="17">
        <f>IFERROR(__xludf.DUMMYFUNCTION("""COMPUTED_VALUE"""),40003.0)</f>
        <v>40003</v>
      </c>
      <c r="I794" s="19">
        <f>IFERROR(__xludf.DUMMYFUNCTION("""COMPUTED_VALUE"""),2.577777777777778)</f>
        <v>2.577777778</v>
      </c>
      <c r="J794" s="21">
        <f>IFERROR(__xludf.DUMMYFUNCTION("""COMPUTED_VALUE"""),61.0)</f>
        <v>61</v>
      </c>
      <c r="K794" s="23">
        <f>IFERROR(__xludf.DUMMYFUNCTION("""COMPUTED_VALUE"""),6.4)</f>
        <v>6.4</v>
      </c>
      <c r="L794" s="24"/>
      <c r="M794" s="25" t="str">
        <f>IFERROR(__xludf.DUMMYFUNCTION("""COMPUTED_VALUE"""),"Sports")</f>
        <v>Sports</v>
      </c>
      <c r="N794" s="25"/>
      <c r="O794" s="26" t="str">
        <f>IFERROR(__xludf.DUMMYFUNCTION("""COMPUTED_VALUE"""),"No")</f>
        <v>No</v>
      </c>
      <c r="P794" s="26"/>
    </row>
    <row r="795">
      <c r="A795" s="13" t="str">
        <f>IFERROR(__xludf.DUMMYFUNCTION("""COMPUTED_VALUE"""),"Mahjong Tales: Ancient Wisdom")</f>
        <v>Mahjong Tales: Ancient Wisdom</v>
      </c>
      <c r="B795" s="15" t="str">
        <f>IFERROR(__xludf.DUMMYFUNCTION("""COMPUTED_VALUE"""),"PS3")</f>
        <v>PS3</v>
      </c>
      <c r="C795" s="16" t="str">
        <f>IFERROR(__xludf.DUMMYFUNCTION("""COMPUTED_VALUE"""),"Playstation Plus (Discontinued)")</f>
        <v>Playstation Plus (Discontinued)</v>
      </c>
      <c r="D795" s="15" t="str">
        <f>IFERROR(__xludf.DUMMYFUNCTION("""COMPUTED_VALUE"""),"Removed")</f>
        <v>Removed</v>
      </c>
      <c r="E795" s="17">
        <f>IFERROR(__xludf.DUMMYFUNCTION("""COMPUTED_VALUE"""),40946.0)</f>
        <v>40946</v>
      </c>
      <c r="F795" s="54">
        <f>IFERROR(__xludf.DUMMYFUNCTION("""COMPUTED_VALUE"""),40973.0)</f>
        <v>40973</v>
      </c>
      <c r="G795" s="19">
        <f>IFERROR(__xludf.DUMMYFUNCTION("""COMPUTED_VALUE"""),0.9333333333333333)</f>
        <v>0.9333333333</v>
      </c>
      <c r="H795" s="17">
        <f>IFERROR(__xludf.DUMMYFUNCTION("""COMPUTED_VALUE"""),39799.0)</f>
        <v>39799</v>
      </c>
      <c r="I795" s="19">
        <f>IFERROR(__xludf.DUMMYFUNCTION("""COMPUTED_VALUE"""),3.138888888888889)</f>
        <v>3.138888889</v>
      </c>
      <c r="J795" s="21">
        <f>IFERROR(__xludf.DUMMYFUNCTION("""COMPUTED_VALUE"""),59.0)</f>
        <v>59</v>
      </c>
      <c r="K795" s="23">
        <f>IFERROR(__xludf.DUMMYFUNCTION("""COMPUTED_VALUE"""),6.5)</f>
        <v>6.5</v>
      </c>
      <c r="L795" s="24"/>
      <c r="M795" s="25" t="str">
        <f>IFERROR(__xludf.DUMMYFUNCTION("""COMPUTED_VALUE"""),"Puzzle")</f>
        <v>Puzzle</v>
      </c>
      <c r="N795" s="25"/>
      <c r="O795" s="26" t="str">
        <f>IFERROR(__xludf.DUMMYFUNCTION("""COMPUTED_VALUE"""),"No")</f>
        <v>No</v>
      </c>
      <c r="P795" s="26"/>
    </row>
    <row r="796">
      <c r="A796" s="13" t="str">
        <f>IFERROR(__xludf.DUMMYFUNCTION("""COMPUTED_VALUE"""),"Supersonic Acrobatic Rocket Powered Battle Cars")</f>
        <v>Supersonic Acrobatic Rocket Powered Battle Cars</v>
      </c>
      <c r="B796" s="15" t="str">
        <f>IFERROR(__xludf.DUMMYFUNCTION("""COMPUTED_VALUE"""),"PS3")</f>
        <v>PS3</v>
      </c>
      <c r="C796" s="16" t="str">
        <f>IFERROR(__xludf.DUMMYFUNCTION("""COMPUTED_VALUE"""),"Playstation Plus (Discontinued)")</f>
        <v>Playstation Plus (Discontinued)</v>
      </c>
      <c r="D796" s="15" t="str">
        <f>IFERROR(__xludf.DUMMYFUNCTION("""COMPUTED_VALUE"""),"Removed")</f>
        <v>Removed</v>
      </c>
      <c r="E796" s="17">
        <f>IFERROR(__xludf.DUMMYFUNCTION("""COMPUTED_VALUE"""),40946.0)</f>
        <v>40946</v>
      </c>
      <c r="F796" s="54">
        <f>IFERROR(__xludf.DUMMYFUNCTION("""COMPUTED_VALUE"""),40973.0)</f>
        <v>40973</v>
      </c>
      <c r="G796" s="19">
        <f>IFERROR(__xludf.DUMMYFUNCTION("""COMPUTED_VALUE"""),0.9333333333333333)</f>
        <v>0.9333333333</v>
      </c>
      <c r="H796" s="17">
        <f>IFERROR(__xludf.DUMMYFUNCTION("""COMPUTED_VALUE"""),39729.0)</f>
        <v>39729</v>
      </c>
      <c r="I796" s="19">
        <f>IFERROR(__xludf.DUMMYFUNCTION("""COMPUTED_VALUE"""),3.3305555555555557)</f>
        <v>3.330555556</v>
      </c>
      <c r="J796" s="21">
        <f>IFERROR(__xludf.DUMMYFUNCTION("""COMPUTED_VALUE"""),67.0)</f>
        <v>67</v>
      </c>
      <c r="K796" s="23">
        <f>IFERROR(__xludf.DUMMYFUNCTION("""COMPUTED_VALUE"""),7.8)</f>
        <v>7.8</v>
      </c>
      <c r="L796" s="24"/>
      <c r="M796" s="25" t="str">
        <f>IFERROR(__xludf.DUMMYFUNCTION("""COMPUTED_VALUE"""),"Racing")</f>
        <v>Racing</v>
      </c>
      <c r="N796" s="25"/>
      <c r="O796" s="26" t="str">
        <f>IFERROR(__xludf.DUMMYFUNCTION("""COMPUTED_VALUE"""),"No")</f>
        <v>No</v>
      </c>
      <c r="P796" s="26"/>
    </row>
    <row r="797">
      <c r="A797" s="13" t="str">
        <f>IFERROR(__xludf.DUMMYFUNCTION("""COMPUTED_VALUE"""),"Final Fantasy V")</f>
        <v>Final Fantasy V</v>
      </c>
      <c r="B797" s="15" t="str">
        <f>IFERROR(__xludf.DUMMYFUNCTION("""COMPUTED_VALUE"""),"PS3")</f>
        <v>PS3</v>
      </c>
      <c r="C797" s="16" t="str">
        <f>IFERROR(__xludf.DUMMYFUNCTION("""COMPUTED_VALUE"""),"Playstation Plus (Discontinued)")</f>
        <v>Playstation Plus (Discontinued)</v>
      </c>
      <c r="D797" s="15" t="str">
        <f>IFERROR(__xludf.DUMMYFUNCTION("""COMPUTED_VALUE"""),"Removed")</f>
        <v>Removed</v>
      </c>
      <c r="E797" s="17">
        <f>IFERROR(__xludf.DUMMYFUNCTION("""COMPUTED_VALUE"""),40946.0)</f>
        <v>40946</v>
      </c>
      <c r="F797" s="54">
        <f>IFERROR(__xludf.DUMMYFUNCTION("""COMPUTED_VALUE"""),40973.0)</f>
        <v>40973</v>
      </c>
      <c r="G797" s="19">
        <f>IFERROR(__xludf.DUMMYFUNCTION("""COMPUTED_VALUE"""),0.9333333333333333)</f>
        <v>0.9333333333</v>
      </c>
      <c r="H797" s="17">
        <f>IFERROR(__xludf.DUMMYFUNCTION("""COMPUTED_VALUE"""),33914.0)</f>
        <v>33914</v>
      </c>
      <c r="I797" s="19">
        <f>IFERROR(__xludf.DUMMYFUNCTION("""COMPUTED_VALUE"""),19.252777777777776)</f>
        <v>19.25277778</v>
      </c>
      <c r="J797" s="21">
        <f>IFERROR(__xludf.DUMMYFUNCTION("""COMPUTED_VALUE"""),94.0)</f>
        <v>94</v>
      </c>
      <c r="K797" s="23">
        <f>IFERROR(__xludf.DUMMYFUNCTION("""COMPUTED_VALUE"""),8.8)</f>
        <v>8.8</v>
      </c>
      <c r="L797" s="24">
        <f>IFERROR(__xludf.DUMMYFUNCTION("""COMPUTED_VALUE"""),32.0)</f>
        <v>32</v>
      </c>
      <c r="M797" s="25" t="str">
        <f>IFERROR(__xludf.DUMMYFUNCTION("""COMPUTED_VALUE"""),"RPG")</f>
        <v>RPG</v>
      </c>
      <c r="N797" s="25" t="str">
        <f>IFERROR(__xludf.DUMMYFUNCTION("""COMPUTED_VALUE"""),"PS1")</f>
        <v>PS1</v>
      </c>
      <c r="O797" s="26" t="str">
        <f>IFERROR(__xludf.DUMMYFUNCTION("""COMPUTED_VALUE"""),"No")</f>
        <v>No</v>
      </c>
      <c r="P797" s="26"/>
    </row>
    <row r="798">
      <c r="A798" s="13" t="str">
        <f>IFERROR(__xludf.DUMMYFUNCTION("""COMPUTED_VALUE"""),"Gold Medalist")</f>
        <v>Gold Medalist</v>
      </c>
      <c r="B798" s="15" t="str">
        <f>IFERROR(__xludf.DUMMYFUNCTION("""COMPUTED_VALUE"""),"PS3")</f>
        <v>PS3</v>
      </c>
      <c r="C798" s="16" t="str">
        <f>IFERROR(__xludf.DUMMYFUNCTION("""COMPUTED_VALUE"""),"Playstation Plus (Discontinued)")</f>
        <v>Playstation Plus (Discontinued)</v>
      </c>
      <c r="D798" s="15" t="str">
        <f>IFERROR(__xludf.DUMMYFUNCTION("""COMPUTED_VALUE"""),"Removed")</f>
        <v>Removed</v>
      </c>
      <c r="E798" s="17">
        <f>IFERROR(__xludf.DUMMYFUNCTION("""COMPUTED_VALUE"""),40946.0)</f>
        <v>40946</v>
      </c>
      <c r="F798" s="54">
        <f>IFERROR(__xludf.DUMMYFUNCTION("""COMPUTED_VALUE"""),40973.0)</f>
        <v>40973</v>
      </c>
      <c r="G798" s="19">
        <f>IFERROR(__xludf.DUMMYFUNCTION("""COMPUTED_VALUE"""),0.9333333333333333)</f>
        <v>0.9333333333</v>
      </c>
      <c r="H798" s="17">
        <f>IFERROR(__xludf.DUMMYFUNCTION("""COMPUTED_VALUE"""),40414.0)</f>
        <v>40414</v>
      </c>
      <c r="I798" s="19">
        <f>IFERROR(__xludf.DUMMYFUNCTION("""COMPUTED_VALUE"""),1.4527777777777777)</f>
        <v>1.452777778</v>
      </c>
      <c r="J798" s="21">
        <f>IFERROR(__xludf.DUMMYFUNCTION("""COMPUTED_VALUE"""),57.0)</f>
        <v>57</v>
      </c>
      <c r="K798" s="23">
        <f>IFERROR(__xludf.DUMMYFUNCTION("""COMPUTED_VALUE"""),6.5)</f>
        <v>6.5</v>
      </c>
      <c r="L798" s="24"/>
      <c r="M798" s="25" t="str">
        <f>IFERROR(__xludf.DUMMYFUNCTION("""COMPUTED_VALUE"""),"Sports")</f>
        <v>Sports</v>
      </c>
      <c r="N798" s="25" t="str">
        <f>IFERROR(__xludf.DUMMYFUNCTION("""COMPUTED_VALUE"""),"PS Minis")</f>
        <v>PS Minis</v>
      </c>
      <c r="O798" s="26" t="str">
        <f>IFERROR(__xludf.DUMMYFUNCTION("""COMPUTED_VALUE"""),"No")</f>
        <v>No</v>
      </c>
      <c r="P798" s="26"/>
    </row>
    <row r="799">
      <c r="A799" s="13" t="str">
        <f>IFERROR(__xludf.DUMMYFUNCTION("""COMPUTED_VALUE"""),"Hungry Giraffe")</f>
        <v>Hungry Giraffe</v>
      </c>
      <c r="B799" s="15" t="str">
        <f>IFERROR(__xludf.DUMMYFUNCTION("""COMPUTED_VALUE"""),"PS3")</f>
        <v>PS3</v>
      </c>
      <c r="C799" s="16" t="str">
        <f>IFERROR(__xludf.DUMMYFUNCTION("""COMPUTED_VALUE"""),"Playstation Plus (Discontinued)")</f>
        <v>Playstation Plus (Discontinued)</v>
      </c>
      <c r="D799" s="15" t="str">
        <f>IFERROR(__xludf.DUMMYFUNCTION("""COMPUTED_VALUE"""),"Removed")</f>
        <v>Removed</v>
      </c>
      <c r="E799" s="17">
        <f>IFERROR(__xludf.DUMMYFUNCTION("""COMPUTED_VALUE"""),40946.0)</f>
        <v>40946</v>
      </c>
      <c r="F799" s="54">
        <f>IFERROR(__xludf.DUMMYFUNCTION("""COMPUTED_VALUE"""),40973.0)</f>
        <v>40973</v>
      </c>
      <c r="G799" s="19">
        <f>IFERROR(__xludf.DUMMYFUNCTION("""COMPUTED_VALUE"""),0.9333333333333333)</f>
        <v>0.9333333333</v>
      </c>
      <c r="H799" s="17">
        <f>IFERROR(__xludf.DUMMYFUNCTION("""COMPUTED_VALUE"""),40940.0)</f>
        <v>40940</v>
      </c>
      <c r="I799" s="19">
        <f>IFERROR(__xludf.DUMMYFUNCTION("""COMPUTED_VALUE"""),0.016666666666666666)</f>
        <v>0.01666666667</v>
      </c>
      <c r="J799" s="21">
        <f>IFERROR(__xludf.DUMMYFUNCTION("""COMPUTED_VALUE"""),54.0)</f>
        <v>54</v>
      </c>
      <c r="K799" s="23">
        <f>IFERROR(__xludf.DUMMYFUNCTION("""COMPUTED_VALUE"""),6.5)</f>
        <v>6.5</v>
      </c>
      <c r="L799" s="24"/>
      <c r="M799" s="25" t="str">
        <f>IFERROR(__xludf.DUMMYFUNCTION("""COMPUTED_VALUE"""),"Arcade")</f>
        <v>Arcade</v>
      </c>
      <c r="N799" s="25" t="str">
        <f>IFERROR(__xludf.DUMMYFUNCTION("""COMPUTED_VALUE"""),"PS Minis")</f>
        <v>PS Minis</v>
      </c>
      <c r="O799" s="26" t="str">
        <f>IFERROR(__xludf.DUMMYFUNCTION("""COMPUTED_VALUE"""),"No")</f>
        <v>No</v>
      </c>
      <c r="P799" s="26"/>
    </row>
    <row r="800">
      <c r="A800" s="13" t="str">
        <f>IFERROR(__xludf.DUMMYFUNCTION("""COMPUTED_VALUE"""),"Back to the Future The Game")</f>
        <v>Back to the Future The Game</v>
      </c>
      <c r="B800" s="15" t="str">
        <f>IFERROR(__xludf.DUMMYFUNCTION("""COMPUTED_VALUE"""),"PS3")</f>
        <v>PS3</v>
      </c>
      <c r="C800" s="16" t="str">
        <f>IFERROR(__xludf.DUMMYFUNCTION("""COMPUTED_VALUE"""),"Playstation Plus (Discontinued)")</f>
        <v>Playstation Plus (Discontinued)</v>
      </c>
      <c r="D800" s="15" t="str">
        <f>IFERROR(__xludf.DUMMYFUNCTION("""COMPUTED_VALUE"""),"Removed")</f>
        <v>Removed</v>
      </c>
      <c r="E800" s="17">
        <f>IFERROR(__xludf.DUMMYFUNCTION("""COMPUTED_VALUE"""),40911.0)</f>
        <v>40911</v>
      </c>
      <c r="F800" s="54">
        <f>IFERROR(__xludf.DUMMYFUNCTION("""COMPUTED_VALUE"""),40945.0)</f>
        <v>40945</v>
      </c>
      <c r="G800" s="19">
        <f>IFERROR(__xludf.DUMMYFUNCTION("""COMPUTED_VALUE"""),1.0999999999999999)</f>
        <v>1.1</v>
      </c>
      <c r="H800" s="17">
        <f>IFERROR(__xludf.DUMMYFUNCTION("""COMPUTED_VALUE"""),40534.0)</f>
        <v>40534</v>
      </c>
      <c r="I800" s="19">
        <f>IFERROR(__xludf.DUMMYFUNCTION("""COMPUTED_VALUE"""),1.0305555555555554)</f>
        <v>1.030555556</v>
      </c>
      <c r="J800" s="21">
        <f>IFERROR(__xludf.DUMMYFUNCTION("""COMPUTED_VALUE"""),74.0)</f>
        <v>74</v>
      </c>
      <c r="K800" s="23">
        <f>IFERROR(__xludf.DUMMYFUNCTION("""COMPUTED_VALUE"""),7.5)</f>
        <v>7.5</v>
      </c>
      <c r="L800" s="24">
        <f>IFERROR(__xludf.DUMMYFUNCTION("""COMPUTED_VALUE"""),10.0)</f>
        <v>10</v>
      </c>
      <c r="M800" s="25" t="str">
        <f>IFERROR(__xludf.DUMMYFUNCTION("""COMPUTED_VALUE"""),"Adventure")</f>
        <v>Adventure</v>
      </c>
      <c r="N800" s="25"/>
      <c r="O800" s="26" t="str">
        <f>IFERROR(__xludf.DUMMYFUNCTION("""COMPUTED_VALUE"""),"No")</f>
        <v>No</v>
      </c>
      <c r="P800" s="26"/>
    </row>
    <row r="801">
      <c r="A801" s="13" t="str">
        <f>IFERROR(__xludf.DUMMYFUNCTION("""COMPUTED_VALUE"""),"Sword &amp; Soldiers")</f>
        <v>Sword &amp; Soldiers</v>
      </c>
      <c r="B801" s="15" t="str">
        <f>IFERROR(__xludf.DUMMYFUNCTION("""COMPUTED_VALUE"""),"PS3")</f>
        <v>PS3</v>
      </c>
      <c r="C801" s="16" t="str">
        <f>IFERROR(__xludf.DUMMYFUNCTION("""COMPUTED_VALUE"""),"Playstation Plus (Discontinued)")</f>
        <v>Playstation Plus (Discontinued)</v>
      </c>
      <c r="D801" s="15" t="str">
        <f>IFERROR(__xludf.DUMMYFUNCTION("""COMPUTED_VALUE"""),"Removed")</f>
        <v>Removed</v>
      </c>
      <c r="E801" s="17">
        <f>IFERROR(__xludf.DUMMYFUNCTION("""COMPUTED_VALUE"""),40911.0)</f>
        <v>40911</v>
      </c>
      <c r="F801" s="54">
        <f>IFERROR(__xludf.DUMMYFUNCTION("""COMPUTED_VALUE"""),40945.0)</f>
        <v>40945</v>
      </c>
      <c r="G801" s="19">
        <f>IFERROR(__xludf.DUMMYFUNCTION("""COMPUTED_VALUE"""),1.0999999999999999)</f>
        <v>1.1</v>
      </c>
      <c r="H801" s="17">
        <f>IFERROR(__xludf.DUMMYFUNCTION("""COMPUTED_VALUE"""),39959.0)</f>
        <v>39959</v>
      </c>
      <c r="I801" s="19">
        <f>IFERROR(__xludf.DUMMYFUNCTION("""COMPUTED_VALUE"""),2.602777777777778)</f>
        <v>2.602777778</v>
      </c>
      <c r="J801" s="21">
        <f>IFERROR(__xludf.DUMMYFUNCTION("""COMPUTED_VALUE"""),78.0)</f>
        <v>78</v>
      </c>
      <c r="K801" s="23">
        <f>IFERROR(__xludf.DUMMYFUNCTION("""COMPUTED_VALUE"""),7.5)</f>
        <v>7.5</v>
      </c>
      <c r="L801" s="24">
        <f>IFERROR(__xludf.DUMMYFUNCTION("""COMPUTED_VALUE"""),7.0)</f>
        <v>7</v>
      </c>
      <c r="M801" s="25" t="str">
        <f>IFERROR(__xludf.DUMMYFUNCTION("""COMPUTED_VALUE"""),"Strategy")</f>
        <v>Strategy</v>
      </c>
      <c r="N801" s="25"/>
      <c r="O801" s="26" t="str">
        <f>IFERROR(__xludf.DUMMYFUNCTION("""COMPUTED_VALUE"""),"No")</f>
        <v>No</v>
      </c>
      <c r="P801" s="26"/>
    </row>
    <row r="802">
      <c r="A802" s="13" t="str">
        <f>IFERROR(__xludf.DUMMYFUNCTION("""COMPUTED_VALUE"""),"Stick Man Rescue")</f>
        <v>Stick Man Rescue</v>
      </c>
      <c r="B802" s="15" t="str">
        <f>IFERROR(__xludf.DUMMYFUNCTION("""COMPUTED_VALUE"""),"PS3")</f>
        <v>PS3</v>
      </c>
      <c r="C802" s="16" t="str">
        <f>IFERROR(__xludf.DUMMYFUNCTION("""COMPUTED_VALUE"""),"Playstation Plus (Discontinued)")</f>
        <v>Playstation Plus (Discontinued)</v>
      </c>
      <c r="D802" s="15" t="str">
        <f>IFERROR(__xludf.DUMMYFUNCTION("""COMPUTED_VALUE"""),"Removed")</f>
        <v>Removed</v>
      </c>
      <c r="E802" s="17">
        <f>IFERROR(__xludf.DUMMYFUNCTION("""COMPUTED_VALUE"""),40911.0)</f>
        <v>40911</v>
      </c>
      <c r="F802" s="54">
        <f>IFERROR(__xludf.DUMMYFUNCTION("""COMPUTED_VALUE"""),40945.0)</f>
        <v>40945</v>
      </c>
      <c r="G802" s="19">
        <f>IFERROR(__xludf.DUMMYFUNCTION("""COMPUTED_VALUE"""),1.0999999999999999)</f>
        <v>1.1</v>
      </c>
      <c r="H802" s="17">
        <f>IFERROR(__xludf.DUMMYFUNCTION("""COMPUTED_VALUE"""),40848.0)</f>
        <v>40848</v>
      </c>
      <c r="I802" s="19">
        <f>IFERROR(__xludf.DUMMYFUNCTION("""COMPUTED_VALUE"""),0.17222222222222222)</f>
        <v>0.1722222222</v>
      </c>
      <c r="J802" s="21">
        <f>IFERROR(__xludf.DUMMYFUNCTION("""COMPUTED_VALUE"""),54.0)</f>
        <v>54</v>
      </c>
      <c r="K802" s="23">
        <f>IFERROR(__xludf.DUMMYFUNCTION("""COMPUTED_VALUE"""),6.4)</f>
        <v>6.4</v>
      </c>
      <c r="L802" s="24">
        <f>IFERROR(__xludf.DUMMYFUNCTION("""COMPUTED_VALUE"""),2.0)</f>
        <v>2</v>
      </c>
      <c r="M802" s="25" t="str">
        <f>IFERROR(__xludf.DUMMYFUNCTION("""COMPUTED_VALUE"""),"Puzzle")</f>
        <v>Puzzle</v>
      </c>
      <c r="N802" s="25" t="str">
        <f>IFERROR(__xludf.DUMMYFUNCTION("""COMPUTED_VALUE"""),"PS Minis")</f>
        <v>PS Minis</v>
      </c>
      <c r="O802" s="26" t="str">
        <f>IFERROR(__xludf.DUMMYFUNCTION("""COMPUTED_VALUE"""),"No")</f>
        <v>No</v>
      </c>
      <c r="P802" s="26"/>
    </row>
    <row r="803">
      <c r="A803" s="13" t="str">
        <f>IFERROR(__xludf.DUMMYFUNCTION("""COMPUTED_VALUE"""),"Syphon Filter 3")</f>
        <v>Syphon Filter 3</v>
      </c>
      <c r="B803" s="15" t="str">
        <f>IFERROR(__xludf.DUMMYFUNCTION("""COMPUTED_VALUE"""),"PS3")</f>
        <v>PS3</v>
      </c>
      <c r="C803" s="16" t="str">
        <f>IFERROR(__xludf.DUMMYFUNCTION("""COMPUTED_VALUE"""),"Playstation Plus (Discontinued)")</f>
        <v>Playstation Plus (Discontinued)</v>
      </c>
      <c r="D803" s="15" t="str">
        <f>IFERROR(__xludf.DUMMYFUNCTION("""COMPUTED_VALUE"""),"Removed")</f>
        <v>Removed</v>
      </c>
      <c r="E803" s="17">
        <f>IFERROR(__xludf.DUMMYFUNCTION("""COMPUTED_VALUE"""),40911.0)</f>
        <v>40911</v>
      </c>
      <c r="F803" s="54">
        <f>IFERROR(__xludf.DUMMYFUNCTION("""COMPUTED_VALUE"""),40945.0)</f>
        <v>40945</v>
      </c>
      <c r="G803" s="19">
        <f>IFERROR(__xludf.DUMMYFUNCTION("""COMPUTED_VALUE"""),1.0999999999999999)</f>
        <v>1.1</v>
      </c>
      <c r="H803" s="17">
        <f>IFERROR(__xludf.DUMMYFUNCTION("""COMPUTED_VALUE"""),37201.0)</f>
        <v>37201</v>
      </c>
      <c r="I803" s="19">
        <f>IFERROR(__xludf.DUMMYFUNCTION("""COMPUTED_VALUE"""),10.158333333333333)</f>
        <v>10.15833333</v>
      </c>
      <c r="J803" s="21">
        <f>IFERROR(__xludf.DUMMYFUNCTION("""COMPUTED_VALUE"""),81.0)</f>
        <v>81</v>
      </c>
      <c r="K803" s="23">
        <f>IFERROR(__xludf.DUMMYFUNCTION("""COMPUTED_VALUE"""),8.2)</f>
        <v>8.2</v>
      </c>
      <c r="L803" s="24">
        <f>IFERROR(__xludf.DUMMYFUNCTION("""COMPUTED_VALUE"""),10.0)</f>
        <v>10</v>
      </c>
      <c r="M803" s="25" t="str">
        <f>IFERROR(__xludf.DUMMYFUNCTION("""COMPUTED_VALUE"""),"Shooter")</f>
        <v>Shooter</v>
      </c>
      <c r="N803" s="25" t="str">
        <f>IFERROR(__xludf.DUMMYFUNCTION("""COMPUTED_VALUE"""),"PS1")</f>
        <v>PS1</v>
      </c>
      <c r="O803" s="26" t="str">
        <f>IFERROR(__xludf.DUMMYFUNCTION("""COMPUTED_VALUE"""),"No")</f>
        <v>No</v>
      </c>
      <c r="P803" s="26"/>
    </row>
    <row r="804">
      <c r="A804" s="13" t="str">
        <f>IFERROR(__xludf.DUMMYFUNCTION("""COMPUTED_VALUE"""),"Syphon Filter 2")</f>
        <v>Syphon Filter 2</v>
      </c>
      <c r="B804" s="15" t="str">
        <f>IFERROR(__xludf.DUMMYFUNCTION("""COMPUTED_VALUE"""),"PS3")</f>
        <v>PS3</v>
      </c>
      <c r="C804" s="16" t="str">
        <f>IFERROR(__xludf.DUMMYFUNCTION("""COMPUTED_VALUE"""),"Playstation Plus (Discontinued)")</f>
        <v>Playstation Plus (Discontinued)</v>
      </c>
      <c r="D804" s="15" t="str">
        <f>IFERROR(__xludf.DUMMYFUNCTION("""COMPUTED_VALUE"""),"Removed")</f>
        <v>Removed</v>
      </c>
      <c r="E804" s="17">
        <f>IFERROR(__xludf.DUMMYFUNCTION("""COMPUTED_VALUE"""),40911.0)</f>
        <v>40911</v>
      </c>
      <c r="F804" s="54">
        <f>IFERROR(__xludf.DUMMYFUNCTION("""COMPUTED_VALUE"""),40945.0)</f>
        <v>40945</v>
      </c>
      <c r="G804" s="19">
        <f>IFERROR(__xludf.DUMMYFUNCTION("""COMPUTED_VALUE"""),1.0999999999999999)</f>
        <v>1.1</v>
      </c>
      <c r="H804" s="17">
        <f>IFERROR(__xludf.DUMMYFUNCTION("""COMPUTED_VALUE"""),36936.0)</f>
        <v>36936</v>
      </c>
      <c r="I804" s="19">
        <f>IFERROR(__xludf.DUMMYFUNCTION("""COMPUTED_VALUE"""),10.886111111111111)</f>
        <v>10.88611111</v>
      </c>
      <c r="J804" s="21">
        <f>IFERROR(__xludf.DUMMYFUNCTION("""COMPUTED_VALUE"""),81.0)</f>
        <v>81</v>
      </c>
      <c r="K804" s="23">
        <f>IFERROR(__xludf.DUMMYFUNCTION("""COMPUTED_VALUE"""),8.7)</f>
        <v>8.7</v>
      </c>
      <c r="L804" s="24">
        <f>IFERROR(__xludf.DUMMYFUNCTION("""COMPUTED_VALUE"""),10.0)</f>
        <v>10</v>
      </c>
      <c r="M804" s="25" t="str">
        <f>IFERROR(__xludf.DUMMYFUNCTION("""COMPUTED_VALUE"""),"Shooter")</f>
        <v>Shooter</v>
      </c>
      <c r="N804" s="25" t="str">
        <f>IFERROR(__xludf.DUMMYFUNCTION("""COMPUTED_VALUE"""),"PS1")</f>
        <v>PS1</v>
      </c>
      <c r="O804" s="26" t="str">
        <f>IFERROR(__xludf.DUMMYFUNCTION("""COMPUTED_VALUE"""),"No")</f>
        <v>No</v>
      </c>
      <c r="P804" s="26"/>
    </row>
    <row r="805">
      <c r="A805" s="13" t="str">
        <f>IFERROR(__xludf.DUMMYFUNCTION("""COMPUTED_VALUE"""),"Syphon Filter")</f>
        <v>Syphon Filter</v>
      </c>
      <c r="B805" s="15" t="str">
        <f>IFERROR(__xludf.DUMMYFUNCTION("""COMPUTED_VALUE"""),"PS3")</f>
        <v>PS3</v>
      </c>
      <c r="C805" s="16" t="str">
        <f>IFERROR(__xludf.DUMMYFUNCTION("""COMPUTED_VALUE"""),"Playstation Plus (Discontinued)")</f>
        <v>Playstation Plus (Discontinued)</v>
      </c>
      <c r="D805" s="15" t="str">
        <f>IFERROR(__xludf.DUMMYFUNCTION("""COMPUTED_VALUE"""),"Removed")</f>
        <v>Removed</v>
      </c>
      <c r="E805" s="17">
        <f>IFERROR(__xludf.DUMMYFUNCTION("""COMPUTED_VALUE"""),40911.0)</f>
        <v>40911</v>
      </c>
      <c r="F805" s="54">
        <f>IFERROR(__xludf.DUMMYFUNCTION("""COMPUTED_VALUE"""),40945.0)</f>
        <v>40945</v>
      </c>
      <c r="G805" s="19">
        <f>IFERROR(__xludf.DUMMYFUNCTION("""COMPUTED_VALUE"""),1.0999999999999999)</f>
        <v>1.1</v>
      </c>
      <c r="H805" s="17">
        <f>IFERROR(__xludf.DUMMYFUNCTION("""COMPUTED_VALUE"""),36556.0)</f>
        <v>36556</v>
      </c>
      <c r="I805" s="19">
        <f>IFERROR(__xludf.DUMMYFUNCTION("""COMPUTED_VALUE"""),11.925)</f>
        <v>11.925</v>
      </c>
      <c r="J805" s="21">
        <f>IFERROR(__xludf.DUMMYFUNCTION("""COMPUTED_VALUE"""),90.0)</f>
        <v>90</v>
      </c>
      <c r="K805" s="23">
        <f>IFERROR(__xludf.DUMMYFUNCTION("""COMPUTED_VALUE"""),8.7)</f>
        <v>8.7</v>
      </c>
      <c r="L805" s="24">
        <f>IFERROR(__xludf.DUMMYFUNCTION("""COMPUTED_VALUE"""),10.0)</f>
        <v>10</v>
      </c>
      <c r="M805" s="25" t="str">
        <f>IFERROR(__xludf.DUMMYFUNCTION("""COMPUTED_VALUE"""),"Shooter")</f>
        <v>Shooter</v>
      </c>
      <c r="N805" s="25" t="str">
        <f>IFERROR(__xludf.DUMMYFUNCTION("""COMPUTED_VALUE"""),"PS1")</f>
        <v>PS1</v>
      </c>
      <c r="O805" s="26" t="str">
        <f>IFERROR(__xludf.DUMMYFUNCTION("""COMPUTED_VALUE"""),"No")</f>
        <v>No</v>
      </c>
      <c r="P805" s="26"/>
    </row>
    <row r="806">
      <c r="A806" s="13" t="str">
        <f>IFERROR(__xludf.DUMMYFUNCTION("""COMPUTED_VALUE"""),"Tomb Raider: Underworld")</f>
        <v>Tomb Raider: Underworld</v>
      </c>
      <c r="B806" s="15" t="str">
        <f>IFERROR(__xludf.DUMMYFUNCTION("""COMPUTED_VALUE"""),"PS3")</f>
        <v>PS3</v>
      </c>
      <c r="C806" s="16" t="str">
        <f>IFERROR(__xludf.DUMMYFUNCTION("""COMPUTED_VALUE"""),"Playstation Plus (Discontinued)")</f>
        <v>Playstation Plus (Discontinued)</v>
      </c>
      <c r="D806" s="15" t="str">
        <f>IFERROR(__xludf.DUMMYFUNCTION("""COMPUTED_VALUE"""),"Removed")</f>
        <v>Removed</v>
      </c>
      <c r="E806" s="17">
        <f>IFERROR(__xludf.DUMMYFUNCTION("""COMPUTED_VALUE"""),40883.0)</f>
        <v>40883</v>
      </c>
      <c r="F806" s="54">
        <f>IFERROR(__xludf.DUMMYFUNCTION("""COMPUTED_VALUE"""),40910.0)</f>
        <v>40910</v>
      </c>
      <c r="G806" s="19">
        <f>IFERROR(__xludf.DUMMYFUNCTION("""COMPUTED_VALUE"""),0.8666666666666666)</f>
        <v>0.8666666667</v>
      </c>
      <c r="H806" s="17">
        <f>IFERROR(__xludf.DUMMYFUNCTION("""COMPUTED_VALUE"""),39770.0)</f>
        <v>39770</v>
      </c>
      <c r="I806" s="19">
        <f>IFERROR(__xludf.DUMMYFUNCTION("""COMPUTED_VALUE"""),3.05)</f>
        <v>3.05</v>
      </c>
      <c r="J806" s="21">
        <f>IFERROR(__xludf.DUMMYFUNCTION("""COMPUTED_VALUE"""),80.0)</f>
        <v>80</v>
      </c>
      <c r="K806" s="23">
        <f>IFERROR(__xludf.DUMMYFUNCTION("""COMPUTED_VALUE"""),7.7)</f>
        <v>7.7</v>
      </c>
      <c r="L806" s="24">
        <f>IFERROR(__xludf.DUMMYFUNCTION("""COMPUTED_VALUE"""),9.0)</f>
        <v>9</v>
      </c>
      <c r="M806" s="25" t="str">
        <f>IFERROR(__xludf.DUMMYFUNCTION("""COMPUTED_VALUE"""),"Action-Adventure")</f>
        <v>Action-Adventure</v>
      </c>
      <c r="N806" s="25"/>
      <c r="O806" s="26" t="str">
        <f>IFERROR(__xludf.DUMMYFUNCTION("""COMPUTED_VALUE"""),"No")</f>
        <v>No</v>
      </c>
      <c r="P806" s="26"/>
    </row>
    <row r="807">
      <c r="A807" s="13" t="str">
        <f>IFERROR(__xludf.DUMMYFUNCTION("""COMPUTED_VALUE"""),"Marvel Pinball")</f>
        <v>Marvel Pinball</v>
      </c>
      <c r="B807" s="15" t="str">
        <f>IFERROR(__xludf.DUMMYFUNCTION("""COMPUTED_VALUE"""),"PS3")</f>
        <v>PS3</v>
      </c>
      <c r="C807" s="16" t="str">
        <f>IFERROR(__xludf.DUMMYFUNCTION("""COMPUTED_VALUE"""),"Playstation Plus (Discontinued)")</f>
        <v>Playstation Plus (Discontinued)</v>
      </c>
      <c r="D807" s="15" t="str">
        <f>IFERROR(__xludf.DUMMYFUNCTION("""COMPUTED_VALUE"""),"Removed")</f>
        <v>Removed</v>
      </c>
      <c r="E807" s="17">
        <f>IFERROR(__xludf.DUMMYFUNCTION("""COMPUTED_VALUE"""),40883.0)</f>
        <v>40883</v>
      </c>
      <c r="F807" s="54">
        <f>IFERROR(__xludf.DUMMYFUNCTION("""COMPUTED_VALUE"""),40910.0)</f>
        <v>40910</v>
      </c>
      <c r="G807" s="19">
        <f>IFERROR(__xludf.DUMMYFUNCTION("""COMPUTED_VALUE"""),0.8666666666666666)</f>
        <v>0.8666666667</v>
      </c>
      <c r="H807" s="17">
        <f>IFERROR(__xludf.DUMMYFUNCTION("""COMPUTED_VALUE"""),40520.0)</f>
        <v>40520</v>
      </c>
      <c r="I807" s="19">
        <f>IFERROR(__xludf.DUMMYFUNCTION("""COMPUTED_VALUE"""),0.9944444444444445)</f>
        <v>0.9944444444</v>
      </c>
      <c r="J807" s="21">
        <f>IFERROR(__xludf.DUMMYFUNCTION("""COMPUTED_VALUE"""),79.0)</f>
        <v>79</v>
      </c>
      <c r="K807" s="23">
        <f>IFERROR(__xludf.DUMMYFUNCTION("""COMPUTED_VALUE"""),7.7)</f>
        <v>7.7</v>
      </c>
      <c r="L807" s="24"/>
      <c r="M807" s="25" t="str">
        <f>IFERROR(__xludf.DUMMYFUNCTION("""COMPUTED_VALUE"""),"Pinball")</f>
        <v>Pinball</v>
      </c>
      <c r="N807" s="25"/>
      <c r="O807" s="26" t="str">
        <f>IFERROR(__xludf.DUMMYFUNCTION("""COMPUTED_VALUE"""),"No")</f>
        <v>No</v>
      </c>
      <c r="P807" s="26"/>
    </row>
    <row r="808">
      <c r="A808" s="13" t="str">
        <f>IFERROR(__xludf.DUMMYFUNCTION("""COMPUTED_VALUE"""),"Orbit")</f>
        <v>Orbit</v>
      </c>
      <c r="B808" s="15" t="str">
        <f>IFERROR(__xludf.DUMMYFUNCTION("""COMPUTED_VALUE"""),"PS3")</f>
        <v>PS3</v>
      </c>
      <c r="C808" s="16" t="str">
        <f>IFERROR(__xludf.DUMMYFUNCTION("""COMPUTED_VALUE"""),"Playstation Plus (Discontinued)")</f>
        <v>Playstation Plus (Discontinued)</v>
      </c>
      <c r="D808" s="15" t="str">
        <f>IFERROR(__xludf.DUMMYFUNCTION("""COMPUTED_VALUE"""),"Removed")</f>
        <v>Removed</v>
      </c>
      <c r="E808" s="17">
        <f>IFERROR(__xludf.DUMMYFUNCTION("""COMPUTED_VALUE"""),40883.0)</f>
        <v>40883</v>
      </c>
      <c r="F808" s="54">
        <f>IFERROR(__xludf.DUMMYFUNCTION("""COMPUTED_VALUE"""),40910.0)</f>
        <v>40910</v>
      </c>
      <c r="G808" s="19">
        <f>IFERROR(__xludf.DUMMYFUNCTION("""COMPUTED_VALUE"""),0.8666666666666666)</f>
        <v>0.8666666667</v>
      </c>
      <c r="H808" s="17">
        <f>IFERROR(__xludf.DUMMYFUNCTION("""COMPUTED_VALUE"""),40834.0)</f>
        <v>40834</v>
      </c>
      <c r="I808" s="19">
        <f>IFERROR(__xludf.DUMMYFUNCTION("""COMPUTED_VALUE"""),0.13333333333333333)</f>
        <v>0.1333333333</v>
      </c>
      <c r="J808" s="21">
        <f>IFERROR(__xludf.DUMMYFUNCTION("""COMPUTED_VALUE"""),54.0)</f>
        <v>54</v>
      </c>
      <c r="K808" s="23">
        <f>IFERROR(__xludf.DUMMYFUNCTION("""COMPUTED_VALUE"""),6.3)</f>
        <v>6.3</v>
      </c>
      <c r="L808" s="24"/>
      <c r="M808" s="25" t="str">
        <f>IFERROR(__xludf.DUMMYFUNCTION("""COMPUTED_VALUE"""),"Arcade")</f>
        <v>Arcade</v>
      </c>
      <c r="N808" s="25" t="str">
        <f>IFERROR(__xludf.DUMMYFUNCTION("""COMPUTED_VALUE"""),"PS Minis")</f>
        <v>PS Minis</v>
      </c>
      <c r="O808" s="26" t="str">
        <f>IFERROR(__xludf.DUMMYFUNCTION("""COMPUTED_VALUE"""),"No")</f>
        <v>No</v>
      </c>
      <c r="P808" s="26"/>
    </row>
    <row r="809">
      <c r="A809" s="13" t="str">
        <f>IFERROR(__xludf.DUMMYFUNCTION("""COMPUTED_VALUE"""),"Mad Blocker Alpha")</f>
        <v>Mad Blocker Alpha</v>
      </c>
      <c r="B809" s="15" t="str">
        <f>IFERROR(__xludf.DUMMYFUNCTION("""COMPUTED_VALUE"""),"PS3")</f>
        <v>PS3</v>
      </c>
      <c r="C809" s="16" t="str">
        <f>IFERROR(__xludf.DUMMYFUNCTION("""COMPUTED_VALUE"""),"Playstation Plus (Discontinued)")</f>
        <v>Playstation Plus (Discontinued)</v>
      </c>
      <c r="D809" s="15" t="str">
        <f>IFERROR(__xludf.DUMMYFUNCTION("""COMPUTED_VALUE"""),"Removed")</f>
        <v>Removed</v>
      </c>
      <c r="E809" s="17">
        <f>IFERROR(__xludf.DUMMYFUNCTION("""COMPUTED_VALUE"""),40883.0)</f>
        <v>40883</v>
      </c>
      <c r="F809" s="54">
        <f>IFERROR(__xludf.DUMMYFUNCTION("""COMPUTED_VALUE"""),40910.0)</f>
        <v>40910</v>
      </c>
      <c r="G809" s="19">
        <f>IFERROR(__xludf.DUMMYFUNCTION("""COMPUTED_VALUE"""),0.8666666666666666)</f>
        <v>0.8666666667</v>
      </c>
      <c r="H809" s="17">
        <f>IFERROR(__xludf.DUMMYFUNCTION("""COMPUTED_VALUE"""),40806.0)</f>
        <v>40806</v>
      </c>
      <c r="I809" s="19">
        <f>IFERROR(__xludf.DUMMYFUNCTION("""COMPUTED_VALUE"""),0.2111111111111111)</f>
        <v>0.2111111111</v>
      </c>
      <c r="J809" s="21">
        <f>IFERROR(__xludf.DUMMYFUNCTION("""COMPUTED_VALUE"""),62.0)</f>
        <v>62</v>
      </c>
      <c r="K809" s="23">
        <f>IFERROR(__xludf.DUMMYFUNCTION("""COMPUTED_VALUE"""),6.7)</f>
        <v>6.7</v>
      </c>
      <c r="L809" s="24"/>
      <c r="M809" s="25" t="str">
        <f>IFERROR(__xludf.DUMMYFUNCTION("""COMPUTED_VALUE"""),"Puzzle")</f>
        <v>Puzzle</v>
      </c>
      <c r="N809" s="25" t="str">
        <f>IFERROR(__xludf.DUMMYFUNCTION("""COMPUTED_VALUE"""),"PS Minis")</f>
        <v>PS Minis</v>
      </c>
      <c r="O809" s="26" t="str">
        <f>IFERROR(__xludf.DUMMYFUNCTION("""COMPUTED_VALUE"""),"No")</f>
        <v>No</v>
      </c>
      <c r="P809" s="26"/>
    </row>
    <row r="810">
      <c r="A810" s="13" t="str">
        <f>IFERROR(__xludf.DUMMYFUNCTION("""COMPUTED_VALUE"""),"A Space Shooter for 2 Bucks!")</f>
        <v>A Space Shooter for 2 Bucks!</v>
      </c>
      <c r="B810" s="15" t="str">
        <f>IFERROR(__xludf.DUMMYFUNCTION("""COMPUTED_VALUE"""),"PS3")</f>
        <v>PS3</v>
      </c>
      <c r="C810" s="16" t="str">
        <f>IFERROR(__xludf.DUMMYFUNCTION("""COMPUTED_VALUE"""),"Playstation Plus (Discontinued)")</f>
        <v>Playstation Plus (Discontinued)</v>
      </c>
      <c r="D810" s="15" t="str">
        <f>IFERROR(__xludf.DUMMYFUNCTION("""COMPUTED_VALUE"""),"Removed")</f>
        <v>Removed</v>
      </c>
      <c r="E810" s="17">
        <f>IFERROR(__xludf.DUMMYFUNCTION("""COMPUTED_VALUE"""),40883.0)</f>
        <v>40883</v>
      </c>
      <c r="F810" s="54">
        <f>IFERROR(__xludf.DUMMYFUNCTION("""COMPUTED_VALUE"""),40910.0)</f>
        <v>40910</v>
      </c>
      <c r="G810" s="19">
        <f>IFERROR(__xludf.DUMMYFUNCTION("""COMPUTED_VALUE"""),0.8666666666666666)</f>
        <v>0.8666666667</v>
      </c>
      <c r="H810" s="17">
        <f>IFERROR(__xludf.DUMMYFUNCTION("""COMPUTED_VALUE"""),40491.0)</f>
        <v>40491</v>
      </c>
      <c r="I810" s="19">
        <f>IFERROR(__xludf.DUMMYFUNCTION("""COMPUTED_VALUE"""),1.075)</f>
        <v>1.075</v>
      </c>
      <c r="J810" s="21">
        <f>IFERROR(__xludf.DUMMYFUNCTION("""COMPUTED_VALUE"""),61.0)</f>
        <v>61</v>
      </c>
      <c r="K810" s="23">
        <f>IFERROR(__xludf.DUMMYFUNCTION("""COMPUTED_VALUE"""),6.3)</f>
        <v>6.3</v>
      </c>
      <c r="L810" s="24"/>
      <c r="M810" s="25" t="str">
        <f>IFERROR(__xludf.DUMMYFUNCTION("""COMPUTED_VALUE"""),"Shooter")</f>
        <v>Shooter</v>
      </c>
      <c r="N810" s="25" t="str">
        <f>IFERROR(__xludf.DUMMYFUNCTION("""COMPUTED_VALUE"""),"PS Minis")</f>
        <v>PS Minis</v>
      </c>
      <c r="O810" s="26" t="str">
        <f>IFERROR(__xludf.DUMMYFUNCTION("""COMPUTED_VALUE"""),"No")</f>
        <v>No</v>
      </c>
      <c r="P810" s="26"/>
    </row>
    <row r="811">
      <c r="A811" s="13" t="str">
        <f>IFERROR(__xludf.DUMMYFUNCTION("""COMPUTED_VALUE"""),"Spyro Year of the Dragon")</f>
        <v>Spyro Year of the Dragon</v>
      </c>
      <c r="B811" s="15" t="str">
        <f>IFERROR(__xludf.DUMMYFUNCTION("""COMPUTED_VALUE"""),"PS3")</f>
        <v>PS3</v>
      </c>
      <c r="C811" s="16" t="str">
        <f>IFERROR(__xludf.DUMMYFUNCTION("""COMPUTED_VALUE"""),"Playstation Plus (Discontinued)")</f>
        <v>Playstation Plus (Discontinued)</v>
      </c>
      <c r="D811" s="15" t="str">
        <f>IFERROR(__xludf.DUMMYFUNCTION("""COMPUTED_VALUE"""),"Removed")</f>
        <v>Removed</v>
      </c>
      <c r="E811" s="17">
        <f>IFERROR(__xludf.DUMMYFUNCTION("""COMPUTED_VALUE"""),40883.0)</f>
        <v>40883</v>
      </c>
      <c r="F811" s="54">
        <f>IFERROR(__xludf.DUMMYFUNCTION("""COMPUTED_VALUE"""),40910.0)</f>
        <v>40910</v>
      </c>
      <c r="G811" s="19">
        <f>IFERROR(__xludf.DUMMYFUNCTION("""COMPUTED_VALUE"""),0.8666666666666666)</f>
        <v>0.8666666667</v>
      </c>
      <c r="H811" s="17">
        <f>IFERROR(__xludf.DUMMYFUNCTION("""COMPUTED_VALUE"""),36854.0)</f>
        <v>36854</v>
      </c>
      <c r="I811" s="19">
        <f>IFERROR(__xludf.DUMMYFUNCTION("""COMPUTED_VALUE"""),11.033333333333333)</f>
        <v>11.03333333</v>
      </c>
      <c r="J811" s="21">
        <f>IFERROR(__xludf.DUMMYFUNCTION("""COMPUTED_VALUE"""),91.0)</f>
        <v>91</v>
      </c>
      <c r="K811" s="23">
        <f>IFERROR(__xludf.DUMMYFUNCTION("""COMPUTED_VALUE"""),9.1)</f>
        <v>9.1</v>
      </c>
      <c r="L811" s="24">
        <f>IFERROR(__xludf.DUMMYFUNCTION("""COMPUTED_VALUE"""),16.0)</f>
        <v>16</v>
      </c>
      <c r="M811" s="25" t="str">
        <f>IFERROR(__xludf.DUMMYFUNCTION("""COMPUTED_VALUE"""),"Platformer")</f>
        <v>Platformer</v>
      </c>
      <c r="N811" s="25" t="str">
        <f>IFERROR(__xludf.DUMMYFUNCTION("""COMPUTED_VALUE"""),"PS1")</f>
        <v>PS1</v>
      </c>
      <c r="O811" s="26" t="str">
        <f>IFERROR(__xludf.DUMMYFUNCTION("""COMPUTED_VALUE"""),"No")</f>
        <v>No</v>
      </c>
      <c r="P811" s="26"/>
    </row>
    <row r="812">
      <c r="A812" s="13" t="str">
        <f>IFERROR(__xludf.DUMMYFUNCTION("""COMPUTED_VALUE"""),"Spyro 2: Ripto’s Rage")</f>
        <v>Spyro 2: Ripto’s Rage</v>
      </c>
      <c r="B812" s="15" t="str">
        <f>IFERROR(__xludf.DUMMYFUNCTION("""COMPUTED_VALUE"""),"PS3")</f>
        <v>PS3</v>
      </c>
      <c r="C812" s="16" t="str">
        <f>IFERROR(__xludf.DUMMYFUNCTION("""COMPUTED_VALUE"""),"Playstation Plus (Discontinued)")</f>
        <v>Playstation Plus (Discontinued)</v>
      </c>
      <c r="D812" s="15" t="str">
        <f>IFERROR(__xludf.DUMMYFUNCTION("""COMPUTED_VALUE"""),"Removed")</f>
        <v>Removed</v>
      </c>
      <c r="E812" s="17">
        <f>IFERROR(__xludf.DUMMYFUNCTION("""COMPUTED_VALUE"""),40883.0)</f>
        <v>40883</v>
      </c>
      <c r="F812" s="54">
        <f>IFERROR(__xludf.DUMMYFUNCTION("""COMPUTED_VALUE"""),40910.0)</f>
        <v>40910</v>
      </c>
      <c r="G812" s="19">
        <f>IFERROR(__xludf.DUMMYFUNCTION("""COMPUTED_VALUE"""),0.8666666666666666)</f>
        <v>0.8666666667</v>
      </c>
      <c r="H812" s="17">
        <f>IFERROR(__xludf.DUMMYFUNCTION("""COMPUTED_VALUE"""),36466.0)</f>
        <v>36466</v>
      </c>
      <c r="I812" s="19">
        <f>IFERROR(__xludf.DUMMYFUNCTION("""COMPUTED_VALUE"""),12.094444444444445)</f>
        <v>12.09444444</v>
      </c>
      <c r="J812" s="21">
        <f>IFERROR(__xludf.DUMMYFUNCTION("""COMPUTED_VALUE"""),87.0)</f>
        <v>87</v>
      </c>
      <c r="K812" s="23">
        <f>IFERROR(__xludf.DUMMYFUNCTION("""COMPUTED_VALUE"""),8.9)</f>
        <v>8.9</v>
      </c>
      <c r="L812" s="24">
        <f>IFERROR(__xludf.DUMMYFUNCTION("""COMPUTED_VALUE"""),13.0)</f>
        <v>13</v>
      </c>
      <c r="M812" s="25" t="str">
        <f>IFERROR(__xludf.DUMMYFUNCTION("""COMPUTED_VALUE"""),"Platformer")</f>
        <v>Platformer</v>
      </c>
      <c r="N812" s="25" t="str">
        <f>IFERROR(__xludf.DUMMYFUNCTION("""COMPUTED_VALUE"""),"PS1")</f>
        <v>PS1</v>
      </c>
      <c r="O812" s="26" t="str">
        <f>IFERROR(__xludf.DUMMYFUNCTION("""COMPUTED_VALUE"""),"No")</f>
        <v>No</v>
      </c>
      <c r="P812" s="26"/>
    </row>
    <row r="813">
      <c r="A813" s="13" t="str">
        <f>IFERROR(__xludf.DUMMYFUNCTION("""COMPUTED_VALUE"""),"Spyro the Dragon")</f>
        <v>Spyro the Dragon</v>
      </c>
      <c r="B813" s="15" t="str">
        <f>IFERROR(__xludf.DUMMYFUNCTION("""COMPUTED_VALUE"""),"PS3")</f>
        <v>PS3</v>
      </c>
      <c r="C813" s="16" t="str">
        <f>IFERROR(__xludf.DUMMYFUNCTION("""COMPUTED_VALUE"""),"Playstation Plus (Discontinued)")</f>
        <v>Playstation Plus (Discontinued)</v>
      </c>
      <c r="D813" s="15" t="str">
        <f>IFERROR(__xludf.DUMMYFUNCTION("""COMPUTED_VALUE"""),"Removed")</f>
        <v>Removed</v>
      </c>
      <c r="E813" s="17">
        <f>IFERROR(__xludf.DUMMYFUNCTION("""COMPUTED_VALUE"""),40883.0)</f>
        <v>40883</v>
      </c>
      <c r="F813" s="54">
        <f>IFERROR(__xludf.DUMMYFUNCTION("""COMPUTED_VALUE"""),40910.0)</f>
        <v>40910</v>
      </c>
      <c r="G813" s="19">
        <f>IFERROR(__xludf.DUMMYFUNCTION("""COMPUTED_VALUE"""),0.8666666666666666)</f>
        <v>0.8666666667</v>
      </c>
      <c r="H813" s="17">
        <f>IFERROR(__xludf.DUMMYFUNCTION("""COMPUTED_VALUE"""),36047.0)</f>
        <v>36047</v>
      </c>
      <c r="I813" s="19">
        <f>IFERROR(__xludf.DUMMYFUNCTION("""COMPUTED_VALUE"""),13.241666666666667)</f>
        <v>13.24166667</v>
      </c>
      <c r="J813" s="21">
        <f>IFERROR(__xludf.DUMMYFUNCTION("""COMPUTED_VALUE"""),91.0)</f>
        <v>91</v>
      </c>
      <c r="K813" s="23">
        <f>IFERROR(__xludf.DUMMYFUNCTION("""COMPUTED_VALUE"""),9.1)</f>
        <v>9.1</v>
      </c>
      <c r="L813" s="24">
        <f>IFERROR(__xludf.DUMMYFUNCTION("""COMPUTED_VALUE"""),13.0)</f>
        <v>13</v>
      </c>
      <c r="M813" s="25" t="str">
        <f>IFERROR(__xludf.DUMMYFUNCTION("""COMPUTED_VALUE"""),"Platformer")</f>
        <v>Platformer</v>
      </c>
      <c r="N813" s="25" t="str">
        <f>IFERROR(__xludf.DUMMYFUNCTION("""COMPUTED_VALUE"""),"PS1")</f>
        <v>PS1</v>
      </c>
      <c r="O813" s="26" t="str">
        <f>IFERROR(__xludf.DUMMYFUNCTION("""COMPUTED_VALUE"""),"No")</f>
        <v>No</v>
      </c>
      <c r="P813" s="26"/>
    </row>
    <row r="814">
      <c r="A814" s="13" t="str">
        <f>IFERROR(__xludf.DUMMYFUNCTION("""COMPUTED_VALUE"""),"Hydrophobia: Prophecy")</f>
        <v>Hydrophobia: Prophecy</v>
      </c>
      <c r="B814" s="15" t="str">
        <f>IFERROR(__xludf.DUMMYFUNCTION("""COMPUTED_VALUE"""),"PS3")</f>
        <v>PS3</v>
      </c>
      <c r="C814" s="16" t="str">
        <f>IFERROR(__xludf.DUMMYFUNCTION("""COMPUTED_VALUE"""),"Playstation Plus (Discontinued)")</f>
        <v>Playstation Plus (Discontinued)</v>
      </c>
      <c r="D814" s="15" t="str">
        <f>IFERROR(__xludf.DUMMYFUNCTION("""COMPUTED_VALUE"""),"Removed")</f>
        <v>Removed</v>
      </c>
      <c r="E814" s="17">
        <f>IFERROR(__xludf.DUMMYFUNCTION("""COMPUTED_VALUE"""),40848.0)</f>
        <v>40848</v>
      </c>
      <c r="F814" s="54">
        <f>IFERROR(__xludf.DUMMYFUNCTION("""COMPUTED_VALUE"""),40882.0)</f>
        <v>40882</v>
      </c>
      <c r="G814" s="19">
        <f>IFERROR(__xludf.DUMMYFUNCTION("""COMPUTED_VALUE"""),1.1333333333333333)</f>
        <v>1.133333333</v>
      </c>
      <c r="H814" s="17">
        <f>IFERROR(__xludf.DUMMYFUNCTION("""COMPUTED_VALUE"""),40672.0)</f>
        <v>40672</v>
      </c>
      <c r="I814" s="19">
        <f>IFERROR(__xludf.DUMMYFUNCTION("""COMPUTED_VALUE"""),0.4777777777777778)</f>
        <v>0.4777777778</v>
      </c>
      <c r="J814" s="21">
        <f>IFERROR(__xludf.DUMMYFUNCTION("""COMPUTED_VALUE"""),63.0)</f>
        <v>63</v>
      </c>
      <c r="K814" s="23">
        <f>IFERROR(__xludf.DUMMYFUNCTION("""COMPUTED_VALUE"""),6.7)</f>
        <v>6.7</v>
      </c>
      <c r="L814" s="24">
        <f>IFERROR(__xludf.DUMMYFUNCTION("""COMPUTED_VALUE"""),5.0)</f>
        <v>5</v>
      </c>
      <c r="M814" s="25" t="str">
        <f>IFERROR(__xludf.DUMMYFUNCTION("""COMPUTED_VALUE"""),"Action-Adventure")</f>
        <v>Action-Adventure</v>
      </c>
      <c r="N814" s="25"/>
      <c r="O814" s="26" t="str">
        <f>IFERROR(__xludf.DUMMYFUNCTION("""COMPUTED_VALUE"""),"No")</f>
        <v>No</v>
      </c>
      <c r="P814" s="26"/>
    </row>
    <row r="815">
      <c r="A815" s="13" t="str">
        <f>IFERROR(__xludf.DUMMYFUNCTION("""COMPUTED_VALUE"""),"CTR: Crash Team Racing")</f>
        <v>CTR: Crash Team Racing</v>
      </c>
      <c r="B815" s="15" t="str">
        <f>IFERROR(__xludf.DUMMYFUNCTION("""COMPUTED_VALUE"""),"PS3")</f>
        <v>PS3</v>
      </c>
      <c r="C815" s="16" t="str">
        <f>IFERROR(__xludf.DUMMYFUNCTION("""COMPUTED_VALUE"""),"Playstation Plus (Discontinued)")</f>
        <v>Playstation Plus (Discontinued)</v>
      </c>
      <c r="D815" s="15" t="str">
        <f>IFERROR(__xludf.DUMMYFUNCTION("""COMPUTED_VALUE"""),"Removed")</f>
        <v>Removed</v>
      </c>
      <c r="E815" s="17">
        <f>IFERROR(__xludf.DUMMYFUNCTION("""COMPUTED_VALUE"""),40848.0)</f>
        <v>40848</v>
      </c>
      <c r="F815" s="54">
        <f>IFERROR(__xludf.DUMMYFUNCTION("""COMPUTED_VALUE"""),40882.0)</f>
        <v>40882</v>
      </c>
      <c r="G815" s="19">
        <f>IFERROR(__xludf.DUMMYFUNCTION("""COMPUTED_VALUE"""),1.1333333333333333)</f>
        <v>1.133333333</v>
      </c>
      <c r="H815" s="17">
        <f>IFERROR(__xludf.DUMMYFUNCTION("""COMPUTED_VALUE"""),36453.0)</f>
        <v>36453</v>
      </c>
      <c r="I815" s="19">
        <f>IFERROR(__xludf.DUMMYFUNCTION("""COMPUTED_VALUE"""),12.030555555555555)</f>
        <v>12.03055556</v>
      </c>
      <c r="J815" s="21">
        <f>IFERROR(__xludf.DUMMYFUNCTION("""COMPUTED_VALUE"""),88.0)</f>
        <v>88</v>
      </c>
      <c r="K815" s="23">
        <f>IFERROR(__xludf.DUMMYFUNCTION("""COMPUTED_VALUE"""),8.8)</f>
        <v>8.8</v>
      </c>
      <c r="L815" s="24">
        <f>IFERROR(__xludf.DUMMYFUNCTION("""COMPUTED_VALUE"""),6.0)</f>
        <v>6</v>
      </c>
      <c r="M815" s="25" t="str">
        <f>IFERROR(__xludf.DUMMYFUNCTION("""COMPUTED_VALUE"""),"Racing")</f>
        <v>Racing</v>
      </c>
      <c r="N815" s="25" t="str">
        <f>IFERROR(__xludf.DUMMYFUNCTION("""COMPUTED_VALUE"""),"PS1")</f>
        <v>PS1</v>
      </c>
      <c r="O815" s="26" t="str">
        <f>IFERROR(__xludf.DUMMYFUNCTION("""COMPUTED_VALUE"""),"No")</f>
        <v>No</v>
      </c>
      <c r="P815" s="26"/>
    </row>
    <row r="816">
      <c r="A816" s="13" t="str">
        <f>IFERROR(__xludf.DUMMYFUNCTION("""COMPUTED_VALUE"""),"Crash Bandicoot3: Warped")</f>
        <v>Crash Bandicoot3: Warped</v>
      </c>
      <c r="B816" s="15" t="str">
        <f>IFERROR(__xludf.DUMMYFUNCTION("""COMPUTED_VALUE"""),"PS3")</f>
        <v>PS3</v>
      </c>
      <c r="C816" s="16" t="str">
        <f>IFERROR(__xludf.DUMMYFUNCTION("""COMPUTED_VALUE"""),"Playstation Plus (Discontinued)")</f>
        <v>Playstation Plus (Discontinued)</v>
      </c>
      <c r="D816" s="15" t="str">
        <f>IFERROR(__xludf.DUMMYFUNCTION("""COMPUTED_VALUE"""),"Removed")</f>
        <v>Removed</v>
      </c>
      <c r="E816" s="17">
        <f>IFERROR(__xludf.DUMMYFUNCTION("""COMPUTED_VALUE"""),40848.0)</f>
        <v>40848</v>
      </c>
      <c r="F816" s="54">
        <f>IFERROR(__xludf.DUMMYFUNCTION("""COMPUTED_VALUE"""),40882.0)</f>
        <v>40882</v>
      </c>
      <c r="G816" s="19">
        <f>IFERROR(__xludf.DUMMYFUNCTION("""COMPUTED_VALUE"""),1.1333333333333333)</f>
        <v>1.133333333</v>
      </c>
      <c r="H816" s="17">
        <f>IFERROR(__xludf.DUMMYFUNCTION("""COMPUTED_VALUE"""),36099.0)</f>
        <v>36099</v>
      </c>
      <c r="I816" s="19">
        <f>IFERROR(__xludf.DUMMYFUNCTION("""COMPUTED_VALUE"""),13.002777777777778)</f>
        <v>13.00277778</v>
      </c>
      <c r="J816" s="21">
        <f>IFERROR(__xludf.DUMMYFUNCTION("""COMPUTED_VALUE"""),91.0)</f>
        <v>91</v>
      </c>
      <c r="K816" s="23">
        <f>IFERROR(__xludf.DUMMYFUNCTION("""COMPUTED_VALUE"""),9.1)</f>
        <v>9.1</v>
      </c>
      <c r="L816" s="24">
        <f>IFERROR(__xludf.DUMMYFUNCTION("""COMPUTED_VALUE"""),9.0)</f>
        <v>9</v>
      </c>
      <c r="M816" s="25" t="str">
        <f>IFERROR(__xludf.DUMMYFUNCTION("""COMPUTED_VALUE"""),"Platformer")</f>
        <v>Platformer</v>
      </c>
      <c r="N816" s="25" t="str">
        <f>IFERROR(__xludf.DUMMYFUNCTION("""COMPUTED_VALUE"""),"PS1")</f>
        <v>PS1</v>
      </c>
      <c r="O816" s="26" t="str">
        <f>IFERROR(__xludf.DUMMYFUNCTION("""COMPUTED_VALUE"""),"No")</f>
        <v>No</v>
      </c>
      <c r="P816" s="26"/>
    </row>
    <row r="817">
      <c r="A817" s="13" t="str">
        <f>IFERROR(__xludf.DUMMYFUNCTION("""COMPUTED_VALUE"""),"Crash Bandicoot 2")</f>
        <v>Crash Bandicoot 2</v>
      </c>
      <c r="B817" s="15" t="str">
        <f>IFERROR(__xludf.DUMMYFUNCTION("""COMPUTED_VALUE"""),"PS3")</f>
        <v>PS3</v>
      </c>
      <c r="C817" s="16" t="str">
        <f>IFERROR(__xludf.DUMMYFUNCTION("""COMPUTED_VALUE"""),"Playstation Plus (Discontinued)")</f>
        <v>Playstation Plus (Discontinued)</v>
      </c>
      <c r="D817" s="15" t="str">
        <f>IFERROR(__xludf.DUMMYFUNCTION("""COMPUTED_VALUE"""),"Removed")</f>
        <v>Removed</v>
      </c>
      <c r="E817" s="17">
        <f>IFERROR(__xludf.DUMMYFUNCTION("""COMPUTED_VALUE"""),40848.0)</f>
        <v>40848</v>
      </c>
      <c r="F817" s="54">
        <f>IFERROR(__xludf.DUMMYFUNCTION("""COMPUTED_VALUE"""),40882.0)</f>
        <v>40882</v>
      </c>
      <c r="G817" s="19">
        <f>IFERROR(__xludf.DUMMYFUNCTION("""COMPUTED_VALUE"""),1.1333333333333333)</f>
        <v>1.133333333</v>
      </c>
      <c r="H817" s="17">
        <f>IFERROR(__xludf.DUMMYFUNCTION("""COMPUTED_VALUE"""),35739.0)</f>
        <v>35739</v>
      </c>
      <c r="I817" s="19">
        <f>IFERROR(__xludf.DUMMYFUNCTION("""COMPUTED_VALUE"""),13.988888888888889)</f>
        <v>13.98888889</v>
      </c>
      <c r="J817" s="21">
        <f>IFERROR(__xludf.DUMMYFUNCTION("""COMPUTED_VALUE"""),93.0)</f>
        <v>93</v>
      </c>
      <c r="K817" s="23">
        <f>IFERROR(__xludf.DUMMYFUNCTION("""COMPUTED_VALUE"""),9.0)</f>
        <v>9</v>
      </c>
      <c r="L817" s="24">
        <f>IFERROR(__xludf.DUMMYFUNCTION("""COMPUTED_VALUE"""),8.0)</f>
        <v>8</v>
      </c>
      <c r="M817" s="25" t="str">
        <f>IFERROR(__xludf.DUMMYFUNCTION("""COMPUTED_VALUE"""),"Platformer")</f>
        <v>Platformer</v>
      </c>
      <c r="N817" s="25" t="str">
        <f>IFERROR(__xludf.DUMMYFUNCTION("""COMPUTED_VALUE"""),"PS1")</f>
        <v>PS1</v>
      </c>
      <c r="O817" s="26" t="str">
        <f>IFERROR(__xludf.DUMMYFUNCTION("""COMPUTED_VALUE"""),"No")</f>
        <v>No</v>
      </c>
      <c r="P817" s="26"/>
    </row>
    <row r="818">
      <c r="A818" s="13" t="str">
        <f>IFERROR(__xludf.DUMMYFUNCTION("""COMPUTED_VALUE"""),"Crash Bandicoot")</f>
        <v>Crash Bandicoot</v>
      </c>
      <c r="B818" s="15" t="str">
        <f>IFERROR(__xludf.DUMMYFUNCTION("""COMPUTED_VALUE"""),"PS3")</f>
        <v>PS3</v>
      </c>
      <c r="C818" s="16" t="str">
        <f>IFERROR(__xludf.DUMMYFUNCTION("""COMPUTED_VALUE"""),"Playstation Plus (Discontinued)")</f>
        <v>Playstation Plus (Discontinued)</v>
      </c>
      <c r="D818" s="15" t="str">
        <f>IFERROR(__xludf.DUMMYFUNCTION("""COMPUTED_VALUE"""),"Removed")</f>
        <v>Removed</v>
      </c>
      <c r="E818" s="17">
        <f>IFERROR(__xludf.DUMMYFUNCTION("""COMPUTED_VALUE"""),40848.0)</f>
        <v>40848</v>
      </c>
      <c r="F818" s="54">
        <f>IFERROR(__xludf.DUMMYFUNCTION("""COMPUTED_VALUE"""),40882.0)</f>
        <v>40882</v>
      </c>
      <c r="G818" s="19">
        <f>IFERROR(__xludf.DUMMYFUNCTION("""COMPUTED_VALUE"""),1.1333333333333333)</f>
        <v>1.133333333</v>
      </c>
      <c r="H818" s="17">
        <f>IFERROR(__xludf.DUMMYFUNCTION("""COMPUTED_VALUE"""),35317.0)</f>
        <v>35317</v>
      </c>
      <c r="I818" s="19">
        <f>IFERROR(__xludf.DUMMYFUNCTION("""COMPUTED_VALUE"""),15.144444444444444)</f>
        <v>15.14444444</v>
      </c>
      <c r="J818" s="21">
        <f>IFERROR(__xludf.DUMMYFUNCTION("""COMPUTED_VALUE"""),80.0)</f>
        <v>80</v>
      </c>
      <c r="K818" s="23">
        <f>IFERROR(__xludf.DUMMYFUNCTION("""COMPUTED_VALUE"""),8.5)</f>
        <v>8.5</v>
      </c>
      <c r="L818" s="24">
        <f>IFERROR(__xludf.DUMMYFUNCTION("""COMPUTED_VALUE"""),7.0)</f>
        <v>7</v>
      </c>
      <c r="M818" s="25" t="str">
        <f>IFERROR(__xludf.DUMMYFUNCTION("""COMPUTED_VALUE"""),"Platformer")</f>
        <v>Platformer</v>
      </c>
      <c r="N818" s="25" t="str">
        <f>IFERROR(__xludf.DUMMYFUNCTION("""COMPUTED_VALUE"""),"PS1")</f>
        <v>PS1</v>
      </c>
      <c r="O818" s="26" t="str">
        <f>IFERROR(__xludf.DUMMYFUNCTION("""COMPUTED_VALUE"""),"No")</f>
        <v>No</v>
      </c>
      <c r="P818" s="26"/>
    </row>
    <row r="819">
      <c r="A819" s="81" t="str">
        <f>IFERROR(__xludf.DUMMYFUNCTION("""COMPUTED_VALUE"""),"Doodle Fit")</f>
        <v>Doodle Fit</v>
      </c>
      <c r="B819" s="82" t="str">
        <f>IFERROR(__xludf.DUMMYFUNCTION("""COMPUTED_VALUE"""),"PS3")</f>
        <v>PS3</v>
      </c>
      <c r="C819" s="83" t="str">
        <f>IFERROR(__xludf.DUMMYFUNCTION("""COMPUTED_VALUE"""),"Playstation Plus (Discontinued)")</f>
        <v>Playstation Plus (Discontinued)</v>
      </c>
      <c r="D819" s="82" t="str">
        <f>IFERROR(__xludf.DUMMYFUNCTION("""COMPUTED_VALUE"""),"Removed")</f>
        <v>Removed</v>
      </c>
      <c r="E819" s="84">
        <f>IFERROR(__xludf.DUMMYFUNCTION("""COMPUTED_VALUE"""),40848.0)</f>
        <v>40848</v>
      </c>
      <c r="F819" s="85">
        <f>IFERROR(__xludf.DUMMYFUNCTION("""COMPUTED_VALUE"""),40882.0)</f>
        <v>40882</v>
      </c>
      <c r="G819" s="86">
        <f>IFERROR(__xludf.DUMMYFUNCTION("""COMPUTED_VALUE"""),1.1333333333333333)</f>
        <v>1.133333333</v>
      </c>
      <c r="H819" s="84">
        <f>IFERROR(__xludf.DUMMYFUNCTION("""COMPUTED_VALUE"""),40806.0)</f>
        <v>40806</v>
      </c>
      <c r="I819" s="86">
        <f>IFERROR(__xludf.DUMMYFUNCTION("""COMPUTED_VALUE"""),0.11388888888888889)</f>
        <v>0.1138888889</v>
      </c>
      <c r="J819" s="87">
        <f>IFERROR(__xludf.DUMMYFUNCTION("""COMPUTED_VALUE"""),69.0)</f>
        <v>69</v>
      </c>
      <c r="K819" s="88">
        <f>IFERROR(__xludf.DUMMYFUNCTION("""COMPUTED_VALUE"""),7.0)</f>
        <v>7</v>
      </c>
      <c r="L819" s="89"/>
      <c r="M819" s="26" t="str">
        <f>IFERROR(__xludf.DUMMYFUNCTION("""COMPUTED_VALUE"""),"Puzzle")</f>
        <v>Puzzle</v>
      </c>
      <c r="N819" s="26" t="str">
        <f>IFERROR(__xludf.DUMMYFUNCTION("""COMPUTED_VALUE"""),"PS Minis")</f>
        <v>PS Minis</v>
      </c>
      <c r="O819" s="26" t="str">
        <f>IFERROR(__xludf.DUMMYFUNCTION("""COMPUTED_VALUE"""),"No")</f>
        <v>No</v>
      </c>
      <c r="P819" s="26"/>
    </row>
    <row r="820">
      <c r="A820" s="81" t="str">
        <f>IFERROR(__xludf.DUMMYFUNCTION("""COMPUTED_VALUE"""),"Where is my Heart")</f>
        <v>Where is my Heart</v>
      </c>
      <c r="B820" s="82" t="str">
        <f>IFERROR(__xludf.DUMMYFUNCTION("""COMPUTED_VALUE"""),"PS3")</f>
        <v>PS3</v>
      </c>
      <c r="C820" s="83" t="str">
        <f>IFERROR(__xludf.DUMMYFUNCTION("""COMPUTED_VALUE"""),"Playstation Plus (Discontinued)")</f>
        <v>Playstation Plus (Discontinued)</v>
      </c>
      <c r="D820" s="82" t="str">
        <f>IFERROR(__xludf.DUMMYFUNCTION("""COMPUTED_VALUE"""),"Removed")</f>
        <v>Removed</v>
      </c>
      <c r="E820" s="84">
        <f>IFERROR(__xludf.DUMMYFUNCTION("""COMPUTED_VALUE"""),40848.0)</f>
        <v>40848</v>
      </c>
      <c r="F820" s="85">
        <f>IFERROR(__xludf.DUMMYFUNCTION("""COMPUTED_VALUE"""),40882.0)</f>
        <v>40882</v>
      </c>
      <c r="G820" s="86">
        <f>IFERROR(__xludf.DUMMYFUNCTION("""COMPUTED_VALUE"""),1.1333333333333333)</f>
        <v>1.133333333</v>
      </c>
      <c r="H820" s="84">
        <f>IFERROR(__xludf.DUMMYFUNCTION("""COMPUTED_VALUE"""),40842.0)</f>
        <v>40842</v>
      </c>
      <c r="I820" s="86">
        <f>IFERROR(__xludf.DUMMYFUNCTION("""COMPUTED_VALUE"""),0.013888888888888888)</f>
        <v>0.01388888889</v>
      </c>
      <c r="J820" s="87">
        <f>IFERROR(__xludf.DUMMYFUNCTION("""COMPUTED_VALUE"""),67.0)</f>
        <v>67</v>
      </c>
      <c r="K820" s="88">
        <f>IFERROR(__xludf.DUMMYFUNCTION("""COMPUTED_VALUE"""),6.9)</f>
        <v>6.9</v>
      </c>
      <c r="L820" s="89">
        <f>IFERROR(__xludf.DUMMYFUNCTION("""COMPUTED_VALUE"""),3.0)</f>
        <v>3</v>
      </c>
      <c r="M820" s="26" t="str">
        <f>IFERROR(__xludf.DUMMYFUNCTION("""COMPUTED_VALUE"""),"Platformer")</f>
        <v>Platformer</v>
      </c>
      <c r="N820" s="26" t="str">
        <f>IFERROR(__xludf.DUMMYFUNCTION("""COMPUTED_VALUE"""),"PS Minis")</f>
        <v>PS Minis</v>
      </c>
      <c r="O820" s="26" t="str">
        <f>IFERROR(__xludf.DUMMYFUNCTION("""COMPUTED_VALUE"""),"No")</f>
        <v>No</v>
      </c>
      <c r="P820" s="26"/>
    </row>
    <row r="821">
      <c r="A821" s="81" t="str">
        <f>IFERROR(__xludf.DUMMYFUNCTION("""COMPUTED_VALUE"""),"Rumble Trucks")</f>
        <v>Rumble Trucks</v>
      </c>
      <c r="B821" s="82" t="str">
        <f>IFERROR(__xludf.DUMMYFUNCTION("""COMPUTED_VALUE"""),"PS3")</f>
        <v>PS3</v>
      </c>
      <c r="C821" s="83" t="str">
        <f>IFERROR(__xludf.DUMMYFUNCTION("""COMPUTED_VALUE"""),"Playstation Plus (Discontinued)")</f>
        <v>Playstation Plus (Discontinued)</v>
      </c>
      <c r="D821" s="82" t="str">
        <f>IFERROR(__xludf.DUMMYFUNCTION("""COMPUTED_VALUE"""),"Removed")</f>
        <v>Removed</v>
      </c>
      <c r="E821" s="84">
        <f>IFERROR(__xludf.DUMMYFUNCTION("""COMPUTED_VALUE"""),40848.0)</f>
        <v>40848</v>
      </c>
      <c r="F821" s="85">
        <f>IFERROR(__xludf.DUMMYFUNCTION("""COMPUTED_VALUE"""),40882.0)</f>
        <v>40882</v>
      </c>
      <c r="G821" s="86">
        <f>IFERROR(__xludf.DUMMYFUNCTION("""COMPUTED_VALUE"""),1.1333333333333333)</f>
        <v>1.133333333</v>
      </c>
      <c r="H821" s="84">
        <f>IFERROR(__xludf.DUMMYFUNCTION("""COMPUTED_VALUE"""),40806.0)</f>
        <v>40806</v>
      </c>
      <c r="I821" s="86">
        <f>IFERROR(__xludf.DUMMYFUNCTION("""COMPUTED_VALUE"""),0.11388888888888889)</f>
        <v>0.1138888889</v>
      </c>
      <c r="J821" s="87">
        <f>IFERROR(__xludf.DUMMYFUNCTION("""COMPUTED_VALUE"""),52.0)</f>
        <v>52</v>
      </c>
      <c r="K821" s="88">
        <f>IFERROR(__xludf.DUMMYFUNCTION("""COMPUTED_VALUE"""),6.2)</f>
        <v>6.2</v>
      </c>
      <c r="L821" s="89"/>
      <c r="M821" s="26" t="str">
        <f>IFERROR(__xludf.DUMMYFUNCTION("""COMPUTED_VALUE"""),"Racing")</f>
        <v>Racing</v>
      </c>
      <c r="N821" s="26" t="str">
        <f>IFERROR(__xludf.DUMMYFUNCTION("""COMPUTED_VALUE"""),"PS Minis")</f>
        <v>PS Minis</v>
      </c>
      <c r="O821" s="26" t="str">
        <f>IFERROR(__xludf.DUMMYFUNCTION("""COMPUTED_VALUE"""),"No")</f>
        <v>No</v>
      </c>
      <c r="P821" s="26"/>
    </row>
    <row r="822">
      <c r="A822" s="81" t="str">
        <f>IFERROR(__xludf.DUMMYFUNCTION("""COMPUTED_VALUE"""),"Costume Quest")</f>
        <v>Costume Quest</v>
      </c>
      <c r="B822" s="82" t="str">
        <f>IFERROR(__xludf.DUMMYFUNCTION("""COMPUTED_VALUE"""),"PS3")</f>
        <v>PS3</v>
      </c>
      <c r="C822" s="83" t="str">
        <f>IFERROR(__xludf.DUMMYFUNCTION("""COMPUTED_VALUE"""),"Playstation Plus (Discontinued)")</f>
        <v>Playstation Plus (Discontinued)</v>
      </c>
      <c r="D822" s="82" t="str">
        <f>IFERROR(__xludf.DUMMYFUNCTION("""COMPUTED_VALUE"""),"Removed")</f>
        <v>Removed</v>
      </c>
      <c r="E822" s="84">
        <f>IFERROR(__xludf.DUMMYFUNCTION("""COMPUTED_VALUE"""),40820.0)</f>
        <v>40820</v>
      </c>
      <c r="F822" s="85">
        <f>IFERROR(__xludf.DUMMYFUNCTION("""COMPUTED_VALUE"""),40847.0)</f>
        <v>40847</v>
      </c>
      <c r="G822" s="86">
        <f>IFERROR(__xludf.DUMMYFUNCTION("""COMPUTED_VALUE"""),0.8666666666666666)</f>
        <v>0.8666666667</v>
      </c>
      <c r="H822" s="84">
        <f>IFERROR(__xludf.DUMMYFUNCTION("""COMPUTED_VALUE"""),40470.0)</f>
        <v>40470</v>
      </c>
      <c r="I822" s="86">
        <f>IFERROR(__xludf.DUMMYFUNCTION("""COMPUTED_VALUE"""),0.9583333333333334)</f>
        <v>0.9583333333</v>
      </c>
      <c r="J822" s="87">
        <f>IFERROR(__xludf.DUMMYFUNCTION("""COMPUTED_VALUE"""),79.0)</f>
        <v>79</v>
      </c>
      <c r="K822" s="88">
        <f>IFERROR(__xludf.DUMMYFUNCTION("""COMPUTED_VALUE"""),8.0)</f>
        <v>8</v>
      </c>
      <c r="L822" s="89">
        <f>IFERROR(__xludf.DUMMYFUNCTION("""COMPUTED_VALUE"""),7.0)</f>
        <v>7</v>
      </c>
      <c r="M822" s="26" t="str">
        <f>IFERROR(__xludf.DUMMYFUNCTION("""COMPUTED_VALUE"""),"RPG")</f>
        <v>RPG</v>
      </c>
      <c r="N822" s="26"/>
      <c r="O822" s="26" t="str">
        <f>IFERROR(__xludf.DUMMYFUNCTION("""COMPUTED_VALUE"""),"No")</f>
        <v>No</v>
      </c>
      <c r="P822" s="26"/>
    </row>
    <row r="823">
      <c r="A823" s="81" t="str">
        <f>IFERROR(__xludf.DUMMYFUNCTION("""COMPUTED_VALUE"""),"Elemental Monster")</f>
        <v>Elemental Monster</v>
      </c>
      <c r="B823" s="82" t="str">
        <f>IFERROR(__xludf.DUMMYFUNCTION("""COMPUTED_VALUE"""),"PS3")</f>
        <v>PS3</v>
      </c>
      <c r="C823" s="83" t="str">
        <f>IFERROR(__xludf.DUMMYFUNCTION("""COMPUTED_VALUE"""),"Playstation Plus (Discontinued)")</f>
        <v>Playstation Plus (Discontinued)</v>
      </c>
      <c r="D823" s="82" t="str">
        <f>IFERROR(__xludf.DUMMYFUNCTION("""COMPUTED_VALUE"""),"Removed")</f>
        <v>Removed</v>
      </c>
      <c r="E823" s="84">
        <f>IFERROR(__xludf.DUMMYFUNCTION("""COMPUTED_VALUE"""),40820.0)</f>
        <v>40820</v>
      </c>
      <c r="F823" s="85">
        <f>IFERROR(__xludf.DUMMYFUNCTION("""COMPUTED_VALUE"""),40847.0)</f>
        <v>40847</v>
      </c>
      <c r="G823" s="86">
        <f>IFERROR(__xludf.DUMMYFUNCTION("""COMPUTED_VALUE"""),0.8666666666666666)</f>
        <v>0.8666666667</v>
      </c>
      <c r="H823" s="84">
        <f>IFERROR(__xludf.DUMMYFUNCTION("""COMPUTED_VALUE"""),40806.0)</f>
        <v>40806</v>
      </c>
      <c r="I823" s="86">
        <f>IFERROR(__xludf.DUMMYFUNCTION("""COMPUTED_VALUE"""),0.03888888888888889)</f>
        <v>0.03888888889</v>
      </c>
      <c r="J823" s="87">
        <f>IFERROR(__xludf.DUMMYFUNCTION("""COMPUTED_VALUE"""),56.0)</f>
        <v>56</v>
      </c>
      <c r="K823" s="88">
        <f>IFERROR(__xludf.DUMMYFUNCTION("""COMPUTED_VALUE"""),6.2)</f>
        <v>6.2</v>
      </c>
      <c r="L823" s="89"/>
      <c r="M823" s="26" t="str">
        <f>IFERROR(__xludf.DUMMYFUNCTION("""COMPUTED_VALUE"""),"Card &amp; Board")</f>
        <v>Card &amp; Board</v>
      </c>
      <c r="N823" s="26"/>
      <c r="O823" s="26" t="str">
        <f>IFERROR(__xludf.DUMMYFUNCTION("""COMPUTED_VALUE"""),"No")</f>
        <v>No</v>
      </c>
      <c r="P823" s="26"/>
    </row>
    <row r="824">
      <c r="A824" s="81" t="str">
        <f>IFERROR(__xludf.DUMMYFUNCTION("""COMPUTED_VALUE"""),"Dead Nation")</f>
        <v>Dead Nation</v>
      </c>
      <c r="B824" s="82" t="str">
        <f>IFERROR(__xludf.DUMMYFUNCTION("""COMPUTED_VALUE"""),"PS3")</f>
        <v>PS3</v>
      </c>
      <c r="C824" s="83" t="str">
        <f>IFERROR(__xludf.DUMMYFUNCTION("""COMPUTED_VALUE"""),"Playstation Plus (Discontinued)")</f>
        <v>Playstation Plus (Discontinued)</v>
      </c>
      <c r="D824" s="82" t="str">
        <f>IFERROR(__xludf.DUMMYFUNCTION("""COMPUTED_VALUE"""),"Removed")</f>
        <v>Removed</v>
      </c>
      <c r="E824" s="84">
        <f>IFERROR(__xludf.DUMMYFUNCTION("""COMPUTED_VALUE"""),40820.0)</f>
        <v>40820</v>
      </c>
      <c r="F824" s="85">
        <f>IFERROR(__xludf.DUMMYFUNCTION("""COMPUTED_VALUE"""),40847.0)</f>
        <v>40847</v>
      </c>
      <c r="G824" s="86">
        <f>IFERROR(__xludf.DUMMYFUNCTION("""COMPUTED_VALUE"""),0.8666666666666666)</f>
        <v>0.8666666667</v>
      </c>
      <c r="H824" s="84">
        <f>IFERROR(__xludf.DUMMYFUNCTION("""COMPUTED_VALUE"""),40512.0)</f>
        <v>40512</v>
      </c>
      <c r="I824" s="86">
        <f>IFERROR(__xludf.DUMMYFUNCTION("""COMPUTED_VALUE"""),0.8444444444444444)</f>
        <v>0.8444444444</v>
      </c>
      <c r="J824" s="87">
        <f>IFERROR(__xludf.DUMMYFUNCTION("""COMPUTED_VALUE"""),74.0)</f>
        <v>74</v>
      </c>
      <c r="K824" s="88">
        <f>IFERROR(__xludf.DUMMYFUNCTION("""COMPUTED_VALUE"""),7.7)</f>
        <v>7.7</v>
      </c>
      <c r="L824" s="89">
        <f>IFERROR(__xludf.DUMMYFUNCTION("""COMPUTED_VALUE"""),7.0)</f>
        <v>7</v>
      </c>
      <c r="M824" s="26" t="str">
        <f>IFERROR(__xludf.DUMMYFUNCTION("""COMPUTED_VALUE"""),"Shooter")</f>
        <v>Shooter</v>
      </c>
      <c r="N824" s="26"/>
      <c r="O824" s="26" t="str">
        <f>IFERROR(__xludf.DUMMYFUNCTION("""COMPUTED_VALUE"""),"No")</f>
        <v>No</v>
      </c>
      <c r="P824" s="26"/>
    </row>
    <row r="825">
      <c r="A825" s="81" t="str">
        <f>IFERROR(__xludf.DUMMYFUNCTION("""COMPUTED_VALUE"""),"Warhawk")</f>
        <v>Warhawk</v>
      </c>
      <c r="B825" s="82" t="str">
        <f>IFERROR(__xludf.DUMMYFUNCTION("""COMPUTED_VALUE"""),"PS3")</f>
        <v>PS3</v>
      </c>
      <c r="C825" s="83" t="str">
        <f>IFERROR(__xludf.DUMMYFUNCTION("""COMPUTED_VALUE"""),"Playstation Plus (Discontinued)")</f>
        <v>Playstation Plus (Discontinued)</v>
      </c>
      <c r="D825" s="82" t="str">
        <f>IFERROR(__xludf.DUMMYFUNCTION("""COMPUTED_VALUE"""),"Removed")</f>
        <v>Removed</v>
      </c>
      <c r="E825" s="84">
        <f>IFERROR(__xludf.DUMMYFUNCTION("""COMPUTED_VALUE"""),40820.0)</f>
        <v>40820</v>
      </c>
      <c r="F825" s="85">
        <f>IFERROR(__xludf.DUMMYFUNCTION("""COMPUTED_VALUE"""),40847.0)</f>
        <v>40847</v>
      </c>
      <c r="G825" s="86">
        <f>IFERROR(__xludf.DUMMYFUNCTION("""COMPUTED_VALUE"""),0.8666666666666666)</f>
        <v>0.8666666667</v>
      </c>
      <c r="H825" s="84">
        <f>IFERROR(__xludf.DUMMYFUNCTION("""COMPUTED_VALUE"""),39322.0)</f>
        <v>39322</v>
      </c>
      <c r="I825" s="86">
        <f>IFERROR(__xludf.DUMMYFUNCTION("""COMPUTED_VALUE"""),4.1)</f>
        <v>4.1</v>
      </c>
      <c r="J825" s="87">
        <f>IFERROR(__xludf.DUMMYFUNCTION("""COMPUTED_VALUE"""),84.0)</f>
        <v>84</v>
      </c>
      <c r="K825" s="88">
        <f>IFERROR(__xludf.DUMMYFUNCTION("""COMPUTED_VALUE"""),8.5)</f>
        <v>8.5</v>
      </c>
      <c r="L825" s="89"/>
      <c r="M825" s="26" t="str">
        <f>IFERROR(__xludf.DUMMYFUNCTION("""COMPUTED_VALUE"""),"Shooter")</f>
        <v>Shooter</v>
      </c>
      <c r="N825" s="26" t="str">
        <f>IFERROR(__xludf.DUMMYFUNCTION("""COMPUTED_VALUE"""),"PS1")</f>
        <v>PS1</v>
      </c>
      <c r="O825" s="26" t="str">
        <f>IFERROR(__xludf.DUMMYFUNCTION("""COMPUTED_VALUE"""),"No")</f>
        <v>No</v>
      </c>
      <c r="P825" s="26"/>
    </row>
    <row r="826">
      <c r="A826" s="81" t="str">
        <f>IFERROR(__xludf.DUMMYFUNCTION("""COMPUTED_VALUE"""),"Street Smart")</f>
        <v>Street Smart</v>
      </c>
      <c r="B826" s="82" t="str">
        <f>IFERROR(__xludf.DUMMYFUNCTION("""COMPUTED_VALUE"""),"PS3")</f>
        <v>PS3</v>
      </c>
      <c r="C826" s="83" t="str">
        <f>IFERROR(__xludf.DUMMYFUNCTION("""COMPUTED_VALUE"""),"Playstation Plus (Discontinued)")</f>
        <v>Playstation Plus (Discontinued)</v>
      </c>
      <c r="D826" s="82" t="str">
        <f>IFERROR(__xludf.DUMMYFUNCTION("""COMPUTED_VALUE"""),"Removed")</f>
        <v>Removed</v>
      </c>
      <c r="E826" s="84">
        <f>IFERROR(__xludf.DUMMYFUNCTION("""COMPUTED_VALUE"""),40820.0)</f>
        <v>40820</v>
      </c>
      <c r="F826" s="85">
        <f>IFERROR(__xludf.DUMMYFUNCTION("""COMPUTED_VALUE"""),40847.0)</f>
        <v>40847</v>
      </c>
      <c r="G826" s="86">
        <f>IFERROR(__xludf.DUMMYFUNCTION("""COMPUTED_VALUE"""),0.8666666666666666)</f>
        <v>0.8666666667</v>
      </c>
      <c r="H826" s="84">
        <f>IFERROR(__xludf.DUMMYFUNCTION("""COMPUTED_VALUE"""),40813.0)</f>
        <v>40813</v>
      </c>
      <c r="I826" s="86">
        <f>IFERROR(__xludf.DUMMYFUNCTION("""COMPUTED_VALUE"""),0.019444444444444445)</f>
        <v>0.01944444444</v>
      </c>
      <c r="J826" s="87"/>
      <c r="K826" s="88"/>
      <c r="L826" s="89"/>
      <c r="M826" s="26" t="str">
        <f>IFERROR(__xludf.DUMMYFUNCTION("""COMPUTED_VALUE"""),"Fighting")</f>
        <v>Fighting</v>
      </c>
      <c r="N826" s="26" t="str">
        <f>IFERROR(__xludf.DUMMYFUNCTION("""COMPUTED_VALUE"""),"PS Minis")</f>
        <v>PS Minis</v>
      </c>
      <c r="O826" s="26" t="str">
        <f>IFERROR(__xludf.DUMMYFUNCTION("""COMPUTED_VALUE"""),"No")</f>
        <v>No</v>
      </c>
      <c r="P826" s="26"/>
    </row>
    <row r="827">
      <c r="A827" s="81" t="str">
        <f>IFERROR(__xludf.DUMMYFUNCTION("""COMPUTED_VALUE"""),"Speedball 2")</f>
        <v>Speedball 2</v>
      </c>
      <c r="B827" s="82" t="str">
        <f>IFERROR(__xludf.DUMMYFUNCTION("""COMPUTED_VALUE"""),"PS3")</f>
        <v>PS3</v>
      </c>
      <c r="C827" s="83" t="str">
        <f>IFERROR(__xludf.DUMMYFUNCTION("""COMPUTED_VALUE"""),"Playstation Plus (Discontinued)")</f>
        <v>Playstation Plus (Discontinued)</v>
      </c>
      <c r="D827" s="82" t="str">
        <f>IFERROR(__xludf.DUMMYFUNCTION("""COMPUTED_VALUE"""),"Removed")</f>
        <v>Removed</v>
      </c>
      <c r="E827" s="84">
        <f>IFERROR(__xludf.DUMMYFUNCTION("""COMPUTED_VALUE"""),40820.0)</f>
        <v>40820</v>
      </c>
      <c r="F827" s="85">
        <f>IFERROR(__xludf.DUMMYFUNCTION("""COMPUTED_VALUE"""),40847.0)</f>
        <v>40847</v>
      </c>
      <c r="G827" s="86">
        <f>IFERROR(__xludf.DUMMYFUNCTION("""COMPUTED_VALUE"""),0.8666666666666666)</f>
        <v>0.8666666667</v>
      </c>
      <c r="H827" s="84">
        <f>IFERROR(__xludf.DUMMYFUNCTION("""COMPUTED_VALUE"""),33239.0)</f>
        <v>33239</v>
      </c>
      <c r="I827" s="86">
        <f>IFERROR(__xludf.DUMMYFUNCTION("""COMPUTED_VALUE"""),20.758333333333333)</f>
        <v>20.75833333</v>
      </c>
      <c r="J827" s="87">
        <f>IFERROR(__xludf.DUMMYFUNCTION("""COMPUTED_VALUE"""),75.0)</f>
        <v>75</v>
      </c>
      <c r="K827" s="88">
        <f>IFERROR(__xludf.DUMMYFUNCTION("""COMPUTED_VALUE"""),7.8)</f>
        <v>7.8</v>
      </c>
      <c r="L827" s="89"/>
      <c r="M827" s="26" t="str">
        <f>IFERROR(__xludf.DUMMYFUNCTION("""COMPUTED_VALUE"""),"Sports")</f>
        <v>Sports</v>
      </c>
      <c r="N827" s="26" t="str">
        <f>IFERROR(__xludf.DUMMYFUNCTION("""COMPUTED_VALUE"""),"PS Minis")</f>
        <v>PS Minis</v>
      </c>
      <c r="O827" s="26" t="str">
        <f>IFERROR(__xludf.DUMMYFUNCTION("""COMPUTED_VALUE"""),"No")</f>
        <v>No</v>
      </c>
      <c r="P827" s="26"/>
    </row>
    <row r="828">
      <c r="A828" s="81" t="str">
        <f>IFERROR(__xludf.DUMMYFUNCTION("""COMPUTED_VALUE"""),"1000 Tiny Claws")</f>
        <v>1000 Tiny Claws</v>
      </c>
      <c r="B828" s="82" t="str">
        <f>IFERROR(__xludf.DUMMYFUNCTION("""COMPUTED_VALUE"""),"PS3")</f>
        <v>PS3</v>
      </c>
      <c r="C828" s="83" t="str">
        <f>IFERROR(__xludf.DUMMYFUNCTION("""COMPUTED_VALUE"""),"Playstation Plus (Discontinued)")</f>
        <v>Playstation Plus (Discontinued)</v>
      </c>
      <c r="D828" s="82" t="str">
        <f>IFERROR(__xludf.DUMMYFUNCTION("""COMPUTED_VALUE"""),"Removed")</f>
        <v>Removed</v>
      </c>
      <c r="E828" s="84">
        <f>IFERROR(__xludf.DUMMYFUNCTION("""COMPUTED_VALUE"""),40820.0)</f>
        <v>40820</v>
      </c>
      <c r="F828" s="85">
        <f>IFERROR(__xludf.DUMMYFUNCTION("""COMPUTED_VALUE"""),40847.0)</f>
        <v>40847</v>
      </c>
      <c r="G828" s="86">
        <f>IFERROR(__xludf.DUMMYFUNCTION("""COMPUTED_VALUE"""),0.8666666666666666)</f>
        <v>0.8666666667</v>
      </c>
      <c r="H828" s="84">
        <f>IFERROR(__xludf.DUMMYFUNCTION("""COMPUTED_VALUE"""),40806.0)</f>
        <v>40806</v>
      </c>
      <c r="I828" s="86">
        <f>IFERROR(__xludf.DUMMYFUNCTION("""COMPUTED_VALUE"""),0.03888888888888889)</f>
        <v>0.03888888889</v>
      </c>
      <c r="J828" s="87">
        <f>IFERROR(__xludf.DUMMYFUNCTION("""COMPUTED_VALUE"""),58.0)</f>
        <v>58</v>
      </c>
      <c r="K828" s="88">
        <f>IFERROR(__xludf.DUMMYFUNCTION("""COMPUTED_VALUE"""),6.3)</f>
        <v>6.3</v>
      </c>
      <c r="L828" s="89"/>
      <c r="M828" s="26" t="str">
        <f>IFERROR(__xludf.DUMMYFUNCTION("""COMPUTED_VALUE"""),"Platformer")</f>
        <v>Platformer</v>
      </c>
      <c r="N828" s="26" t="str">
        <f>IFERROR(__xludf.DUMMYFUNCTION("""COMPUTED_VALUE"""),"PS Minis")</f>
        <v>PS Minis</v>
      </c>
      <c r="O828" s="26" t="str">
        <f>IFERROR(__xludf.DUMMYFUNCTION("""COMPUTED_VALUE"""),"No")</f>
        <v>No</v>
      </c>
      <c r="P828" s="26"/>
    </row>
    <row r="829">
      <c r="A829" s="81" t="str">
        <f>IFERROR(__xludf.DUMMYFUNCTION("""COMPUTED_VALUE"""),"Street Smart")</f>
        <v>Street Smart</v>
      </c>
      <c r="B829" s="82" t="str">
        <f>IFERROR(__xludf.DUMMYFUNCTION("""COMPUTED_VALUE"""),"PS3")</f>
        <v>PS3</v>
      </c>
      <c r="C829" s="83" t="str">
        <f>IFERROR(__xludf.DUMMYFUNCTION("""COMPUTED_VALUE"""),"Playstation Plus (Discontinued)")</f>
        <v>Playstation Plus (Discontinued)</v>
      </c>
      <c r="D829" s="82" t="str">
        <f>IFERROR(__xludf.DUMMYFUNCTION("""COMPUTED_VALUE"""),"Removed")</f>
        <v>Removed</v>
      </c>
      <c r="E829" s="84">
        <f>IFERROR(__xludf.DUMMYFUNCTION("""COMPUTED_VALUE"""),40820.0)</f>
        <v>40820</v>
      </c>
      <c r="F829" s="85">
        <f>IFERROR(__xludf.DUMMYFUNCTION("""COMPUTED_VALUE"""),40847.0)</f>
        <v>40847</v>
      </c>
      <c r="G829" s="86">
        <f>IFERROR(__xludf.DUMMYFUNCTION("""COMPUTED_VALUE"""),0.8666666666666666)</f>
        <v>0.8666666667</v>
      </c>
      <c r="H829" s="84">
        <f>IFERROR(__xludf.DUMMYFUNCTION("""COMPUTED_VALUE"""),40813.0)</f>
        <v>40813</v>
      </c>
      <c r="I829" s="86">
        <f>IFERROR(__xludf.DUMMYFUNCTION("""COMPUTED_VALUE"""),0.019444444444444445)</f>
        <v>0.01944444444</v>
      </c>
      <c r="J829" s="87"/>
      <c r="K829" s="88"/>
      <c r="L829" s="89"/>
      <c r="M829" s="26" t="str">
        <f>IFERROR(__xludf.DUMMYFUNCTION("""COMPUTED_VALUE"""),"Fighting")</f>
        <v>Fighting</v>
      </c>
      <c r="N829" s="26"/>
      <c r="O829" s="26" t="str">
        <f>IFERROR(__xludf.DUMMYFUNCTION("""COMPUTED_VALUE"""),"No")</f>
        <v>No</v>
      </c>
      <c r="P829" s="26"/>
    </row>
    <row r="830">
      <c r="A830" s="81" t="str">
        <f>IFERROR(__xludf.DUMMYFUNCTION("""COMPUTED_VALUE"""),"Burn Zombie Burn")</f>
        <v>Burn Zombie Burn</v>
      </c>
      <c r="B830" s="82" t="str">
        <f>IFERROR(__xludf.DUMMYFUNCTION("""COMPUTED_VALUE"""),"PS3")</f>
        <v>PS3</v>
      </c>
      <c r="C830" s="83" t="str">
        <f>IFERROR(__xludf.DUMMYFUNCTION("""COMPUTED_VALUE"""),"Playstation Plus (Discontinued)")</f>
        <v>Playstation Plus (Discontinued)</v>
      </c>
      <c r="D830" s="82" t="str">
        <f>IFERROR(__xludf.DUMMYFUNCTION("""COMPUTED_VALUE"""),"Removed")</f>
        <v>Removed</v>
      </c>
      <c r="E830" s="84">
        <f>IFERROR(__xludf.DUMMYFUNCTION("""COMPUTED_VALUE"""),40820.0)</f>
        <v>40820</v>
      </c>
      <c r="F830" s="85">
        <f>IFERROR(__xludf.DUMMYFUNCTION("""COMPUTED_VALUE"""),40847.0)</f>
        <v>40847</v>
      </c>
      <c r="G830" s="86">
        <f>IFERROR(__xludf.DUMMYFUNCTION("""COMPUTED_VALUE"""),0.8666666666666666)</f>
        <v>0.8666666667</v>
      </c>
      <c r="H830" s="84">
        <f>IFERROR(__xludf.DUMMYFUNCTION("""COMPUTED_VALUE"""),39889.0)</f>
        <v>39889</v>
      </c>
      <c r="I830" s="86">
        <f>IFERROR(__xludf.DUMMYFUNCTION("""COMPUTED_VALUE"""),2.547222222222222)</f>
        <v>2.547222222</v>
      </c>
      <c r="J830" s="87">
        <f>IFERROR(__xludf.DUMMYFUNCTION("""COMPUTED_VALUE"""),75.0)</f>
        <v>75</v>
      </c>
      <c r="K830" s="88">
        <f>IFERROR(__xludf.DUMMYFUNCTION("""COMPUTED_VALUE"""),7.5)</f>
        <v>7.5</v>
      </c>
      <c r="L830" s="89">
        <f>IFERROR(__xludf.DUMMYFUNCTION("""COMPUTED_VALUE"""),5.0)</f>
        <v>5</v>
      </c>
      <c r="M830" s="26" t="str">
        <f>IFERROR(__xludf.DUMMYFUNCTION("""COMPUTED_VALUE"""),"Shooter")</f>
        <v>Shooter</v>
      </c>
      <c r="N830" s="26"/>
      <c r="O830" s="26" t="str">
        <f>IFERROR(__xludf.DUMMYFUNCTION("""COMPUTED_VALUE"""),"No")</f>
        <v>No</v>
      </c>
      <c r="P830" s="26"/>
    </row>
    <row r="831">
      <c r="A831" s="81" t="str">
        <f>IFERROR(__xludf.DUMMYFUNCTION("""COMPUTED_VALUE"""),"Jelly Pops")</f>
        <v>Jelly Pops</v>
      </c>
      <c r="B831" s="82" t="str">
        <f>IFERROR(__xludf.DUMMYFUNCTION("""COMPUTED_VALUE"""),"PS3")</f>
        <v>PS3</v>
      </c>
      <c r="C831" s="83" t="str">
        <f>IFERROR(__xludf.DUMMYFUNCTION("""COMPUTED_VALUE"""),"Playstation Plus (Discontinued)")</f>
        <v>Playstation Plus (Discontinued)</v>
      </c>
      <c r="D831" s="82" t="str">
        <f>IFERROR(__xludf.DUMMYFUNCTION("""COMPUTED_VALUE"""),"Removed")</f>
        <v>Removed</v>
      </c>
      <c r="E831" s="84">
        <f>IFERROR(__xludf.DUMMYFUNCTION("""COMPUTED_VALUE"""),40799.0)</f>
        <v>40799</v>
      </c>
      <c r="F831" s="85">
        <f>IFERROR(__xludf.DUMMYFUNCTION("""COMPUTED_VALUE"""),40819.0)</f>
        <v>40819</v>
      </c>
      <c r="G831" s="86">
        <f>IFERROR(__xludf.DUMMYFUNCTION("""COMPUTED_VALUE"""),0.6666666666666666)</f>
        <v>0.6666666667</v>
      </c>
      <c r="H831" s="84">
        <f>IFERROR(__xludf.DUMMYFUNCTION("""COMPUTED_VALUE"""),40799.0)</f>
        <v>40799</v>
      </c>
      <c r="I831" s="86">
        <f>IFERROR(__xludf.DUMMYFUNCTION("""COMPUTED_VALUE"""),0.0)</f>
        <v>0</v>
      </c>
      <c r="J831" s="87">
        <f>IFERROR(__xludf.DUMMYFUNCTION("""COMPUTED_VALUE"""),51.0)</f>
        <v>51</v>
      </c>
      <c r="K831" s="88">
        <f>IFERROR(__xludf.DUMMYFUNCTION("""COMPUTED_VALUE"""),6.1)</f>
        <v>6.1</v>
      </c>
      <c r="L831" s="89"/>
      <c r="M831" s="26" t="str">
        <f>IFERROR(__xludf.DUMMYFUNCTION("""COMPUTED_VALUE"""),"Puzzle")</f>
        <v>Puzzle</v>
      </c>
      <c r="N831" s="26" t="str">
        <f>IFERROR(__xludf.DUMMYFUNCTION("""COMPUTED_VALUE"""),"PS Minis")</f>
        <v>PS Minis</v>
      </c>
      <c r="O831" s="26" t="str">
        <f>IFERROR(__xludf.DUMMYFUNCTION("""COMPUTED_VALUE"""),"No")</f>
        <v>No</v>
      </c>
      <c r="P831" s="26"/>
    </row>
    <row r="832">
      <c r="A832" s="81" t="str">
        <f>IFERROR(__xludf.DUMMYFUNCTION("""COMPUTED_VALUE"""),"Plants vs. Zombies")</f>
        <v>Plants vs. Zombies</v>
      </c>
      <c r="B832" s="82" t="str">
        <f>IFERROR(__xludf.DUMMYFUNCTION("""COMPUTED_VALUE"""),"PS3")</f>
        <v>PS3</v>
      </c>
      <c r="C832" s="83" t="str">
        <f>IFERROR(__xludf.DUMMYFUNCTION("""COMPUTED_VALUE"""),"Playstation Plus (Discontinued)")</f>
        <v>Playstation Plus (Discontinued)</v>
      </c>
      <c r="D832" s="82" t="str">
        <f>IFERROR(__xludf.DUMMYFUNCTION("""COMPUTED_VALUE"""),"Removed")</f>
        <v>Removed</v>
      </c>
      <c r="E832" s="84">
        <f>IFERROR(__xludf.DUMMYFUNCTION("""COMPUTED_VALUE"""),40792.0)</f>
        <v>40792</v>
      </c>
      <c r="F832" s="85">
        <f>IFERROR(__xludf.DUMMYFUNCTION("""COMPUTED_VALUE"""),40819.0)</f>
        <v>40819</v>
      </c>
      <c r="G832" s="86">
        <f>IFERROR(__xludf.DUMMYFUNCTION("""COMPUTED_VALUE"""),0.8999999999999999)</f>
        <v>0.9</v>
      </c>
      <c r="H832" s="84">
        <f>IFERROR(__xludf.DUMMYFUNCTION("""COMPUTED_VALUE"""),39938.0)</f>
        <v>39938</v>
      </c>
      <c r="I832" s="86">
        <f>IFERROR(__xludf.DUMMYFUNCTION("""COMPUTED_VALUE"""),2.3361111111111112)</f>
        <v>2.336111111</v>
      </c>
      <c r="J832" s="87">
        <f>IFERROR(__xludf.DUMMYFUNCTION("""COMPUTED_VALUE"""),87.0)</f>
        <v>87</v>
      </c>
      <c r="K832" s="88">
        <f>IFERROR(__xludf.DUMMYFUNCTION("""COMPUTED_VALUE"""),8.7)</f>
        <v>8.7</v>
      </c>
      <c r="L832" s="89">
        <f>IFERROR(__xludf.DUMMYFUNCTION("""COMPUTED_VALUE"""),6.0)</f>
        <v>6</v>
      </c>
      <c r="M832" s="26" t="str">
        <f>IFERROR(__xludf.DUMMYFUNCTION("""COMPUTED_VALUE"""),"Strategy")</f>
        <v>Strategy</v>
      </c>
      <c r="N832" s="26"/>
      <c r="O832" s="26" t="str">
        <f>IFERROR(__xludf.DUMMYFUNCTION("""COMPUTED_VALUE"""),"No")</f>
        <v>No</v>
      </c>
      <c r="P832" s="26"/>
    </row>
    <row r="833">
      <c r="A833" s="81" t="str">
        <f>IFERROR(__xludf.DUMMYFUNCTION("""COMPUTED_VALUE"""),"Astro Tripper")</f>
        <v>Astro Tripper</v>
      </c>
      <c r="B833" s="82" t="str">
        <f>IFERROR(__xludf.DUMMYFUNCTION("""COMPUTED_VALUE"""),"PS3")</f>
        <v>PS3</v>
      </c>
      <c r="C833" s="83" t="str">
        <f>IFERROR(__xludf.DUMMYFUNCTION("""COMPUTED_VALUE"""),"Playstation Plus (Discontinued)")</f>
        <v>Playstation Plus (Discontinued)</v>
      </c>
      <c r="D833" s="82" t="str">
        <f>IFERROR(__xludf.DUMMYFUNCTION("""COMPUTED_VALUE"""),"Removed")</f>
        <v>Removed</v>
      </c>
      <c r="E833" s="84">
        <f>IFERROR(__xludf.DUMMYFUNCTION("""COMPUTED_VALUE"""),40792.0)</f>
        <v>40792</v>
      </c>
      <c r="F833" s="85">
        <f>IFERROR(__xludf.DUMMYFUNCTION("""COMPUTED_VALUE"""),40819.0)</f>
        <v>40819</v>
      </c>
      <c r="G833" s="86">
        <f>IFERROR(__xludf.DUMMYFUNCTION("""COMPUTED_VALUE"""),0.8999999999999999)</f>
        <v>0.9</v>
      </c>
      <c r="H833" s="84">
        <f>IFERROR(__xludf.DUMMYFUNCTION("""COMPUTED_VALUE"""),39791.0)</f>
        <v>39791</v>
      </c>
      <c r="I833" s="86">
        <f>IFERROR(__xludf.DUMMYFUNCTION("""COMPUTED_VALUE"""),2.7416666666666667)</f>
        <v>2.741666667</v>
      </c>
      <c r="J833" s="87">
        <f>IFERROR(__xludf.DUMMYFUNCTION("""COMPUTED_VALUE"""),66.0)</f>
        <v>66</v>
      </c>
      <c r="K833" s="88">
        <f>IFERROR(__xludf.DUMMYFUNCTION("""COMPUTED_VALUE"""),6.8)</f>
        <v>6.8</v>
      </c>
      <c r="L833" s="89"/>
      <c r="M833" s="26" t="str">
        <f>IFERROR(__xludf.DUMMYFUNCTION("""COMPUTED_VALUE"""),"Shooter")</f>
        <v>Shooter</v>
      </c>
      <c r="N833" s="26"/>
      <c r="O833" s="26" t="str">
        <f>IFERROR(__xludf.DUMMYFUNCTION("""COMPUTED_VALUE"""),"No")</f>
        <v>No</v>
      </c>
      <c r="P833" s="26"/>
    </row>
    <row r="834">
      <c r="A834" s="81" t="str">
        <f>IFERROR(__xludf.DUMMYFUNCTION("""COMPUTED_VALUE"""),"Bashi Blocks")</f>
        <v>Bashi Blocks</v>
      </c>
      <c r="B834" s="82" t="str">
        <f>IFERROR(__xludf.DUMMYFUNCTION("""COMPUTED_VALUE"""),"PS3")</f>
        <v>PS3</v>
      </c>
      <c r="C834" s="83" t="str">
        <f>IFERROR(__xludf.DUMMYFUNCTION("""COMPUTED_VALUE"""),"Playstation Plus (Discontinued)")</f>
        <v>Playstation Plus (Discontinued)</v>
      </c>
      <c r="D834" s="82" t="str">
        <f>IFERROR(__xludf.DUMMYFUNCTION("""COMPUTED_VALUE"""),"Removed")</f>
        <v>Removed</v>
      </c>
      <c r="E834" s="84">
        <f>IFERROR(__xludf.DUMMYFUNCTION("""COMPUTED_VALUE"""),40792.0)</f>
        <v>40792</v>
      </c>
      <c r="F834" s="85">
        <f>IFERROR(__xludf.DUMMYFUNCTION("""COMPUTED_VALUE"""),40819.0)</f>
        <v>40819</v>
      </c>
      <c r="G834" s="86">
        <f>IFERROR(__xludf.DUMMYFUNCTION("""COMPUTED_VALUE"""),0.8999999999999999)</f>
        <v>0.9</v>
      </c>
      <c r="H834" s="84">
        <f>IFERROR(__xludf.DUMMYFUNCTION("""COMPUTED_VALUE"""),40589.0)</f>
        <v>40589</v>
      </c>
      <c r="I834" s="86">
        <f>IFERROR(__xludf.DUMMYFUNCTION("""COMPUTED_VALUE"""),0.5583333333333333)</f>
        <v>0.5583333333</v>
      </c>
      <c r="J834" s="87">
        <f>IFERROR(__xludf.DUMMYFUNCTION("""COMPUTED_VALUE"""),60.0)</f>
        <v>60</v>
      </c>
      <c r="K834" s="88">
        <f>IFERROR(__xludf.DUMMYFUNCTION("""COMPUTED_VALUE"""),7.0)</f>
        <v>7</v>
      </c>
      <c r="L834" s="89"/>
      <c r="M834" s="26" t="str">
        <f>IFERROR(__xludf.DUMMYFUNCTION("""COMPUTED_VALUE"""),"Puzzle")</f>
        <v>Puzzle</v>
      </c>
      <c r="N834" s="26" t="str">
        <f>IFERROR(__xludf.DUMMYFUNCTION("""COMPUTED_VALUE"""),"PS Minis")</f>
        <v>PS Minis</v>
      </c>
      <c r="O834" s="26" t="str">
        <f>IFERROR(__xludf.DUMMYFUNCTION("""COMPUTED_VALUE"""),"No")</f>
        <v>No</v>
      </c>
      <c r="P834" s="26"/>
    </row>
    <row r="835">
      <c r="A835" s="81" t="str">
        <f>IFERROR(__xludf.DUMMYFUNCTION("""COMPUTED_VALUE"""),"Resident Evil 3")</f>
        <v>Resident Evil 3</v>
      </c>
      <c r="B835" s="82" t="str">
        <f>IFERROR(__xludf.DUMMYFUNCTION("""COMPUTED_VALUE"""),"PS3")</f>
        <v>PS3</v>
      </c>
      <c r="C835" s="83" t="str">
        <f>IFERROR(__xludf.DUMMYFUNCTION("""COMPUTED_VALUE"""),"Playstation Plus (Discontinued)")</f>
        <v>Playstation Plus (Discontinued)</v>
      </c>
      <c r="D835" s="82" t="str">
        <f>IFERROR(__xludf.DUMMYFUNCTION("""COMPUTED_VALUE"""),"Removed")</f>
        <v>Removed</v>
      </c>
      <c r="E835" s="84">
        <f>IFERROR(__xludf.DUMMYFUNCTION("""COMPUTED_VALUE"""),40792.0)</f>
        <v>40792</v>
      </c>
      <c r="F835" s="85">
        <f>IFERROR(__xludf.DUMMYFUNCTION("""COMPUTED_VALUE"""),40819.0)</f>
        <v>40819</v>
      </c>
      <c r="G835" s="86">
        <f>IFERROR(__xludf.DUMMYFUNCTION("""COMPUTED_VALUE"""),0.8999999999999999)</f>
        <v>0.9</v>
      </c>
      <c r="H835" s="84">
        <f>IFERROR(__xludf.DUMMYFUNCTION("""COMPUTED_VALUE"""),36425.0)</f>
        <v>36425</v>
      </c>
      <c r="I835" s="86">
        <f>IFERROR(__xludf.DUMMYFUNCTION("""COMPUTED_VALUE"""),11.955555555555556)</f>
        <v>11.95555556</v>
      </c>
      <c r="J835" s="87">
        <f>IFERROR(__xludf.DUMMYFUNCTION("""COMPUTED_VALUE"""),91.0)</f>
        <v>91</v>
      </c>
      <c r="K835" s="88">
        <f>IFERROR(__xludf.DUMMYFUNCTION("""COMPUTED_VALUE"""),8.9)</f>
        <v>8.9</v>
      </c>
      <c r="L835" s="89">
        <f>IFERROR(__xludf.DUMMYFUNCTION("""COMPUTED_VALUE"""),7.0)</f>
        <v>7</v>
      </c>
      <c r="M835" s="26" t="str">
        <f>IFERROR(__xludf.DUMMYFUNCTION("""COMPUTED_VALUE"""),"Horror")</f>
        <v>Horror</v>
      </c>
      <c r="N835" s="26" t="str">
        <f>IFERROR(__xludf.DUMMYFUNCTION("""COMPUTED_VALUE"""),"PS1")</f>
        <v>PS1</v>
      </c>
      <c r="O835" s="26" t="str">
        <f>IFERROR(__xludf.DUMMYFUNCTION("""COMPUTED_VALUE"""),"No")</f>
        <v>No</v>
      </c>
      <c r="P835" s="26"/>
    </row>
    <row r="836">
      <c r="A836" s="81" t="str">
        <f>IFERROR(__xludf.DUMMYFUNCTION("""COMPUTED_VALUE"""),"Resident Evil 2")</f>
        <v>Resident Evil 2</v>
      </c>
      <c r="B836" s="82" t="str">
        <f>IFERROR(__xludf.DUMMYFUNCTION("""COMPUTED_VALUE"""),"PS3")</f>
        <v>PS3</v>
      </c>
      <c r="C836" s="83" t="str">
        <f>IFERROR(__xludf.DUMMYFUNCTION("""COMPUTED_VALUE"""),"Playstation Plus (Discontinued)")</f>
        <v>Playstation Plus (Discontinued)</v>
      </c>
      <c r="D836" s="82" t="str">
        <f>IFERROR(__xludf.DUMMYFUNCTION("""COMPUTED_VALUE"""),"Removed")</f>
        <v>Removed</v>
      </c>
      <c r="E836" s="84">
        <f>IFERROR(__xludf.DUMMYFUNCTION("""COMPUTED_VALUE"""),40792.0)</f>
        <v>40792</v>
      </c>
      <c r="F836" s="85">
        <f>IFERROR(__xludf.DUMMYFUNCTION("""COMPUTED_VALUE"""),40819.0)</f>
        <v>40819</v>
      </c>
      <c r="G836" s="86">
        <f>IFERROR(__xludf.DUMMYFUNCTION("""COMPUTED_VALUE"""),0.8999999999999999)</f>
        <v>0.9</v>
      </c>
      <c r="H836" s="84">
        <f>IFERROR(__xludf.DUMMYFUNCTION("""COMPUTED_VALUE"""),35816.0)</f>
        <v>35816</v>
      </c>
      <c r="I836" s="86">
        <f>IFERROR(__xludf.DUMMYFUNCTION("""COMPUTED_VALUE"""),13.625)</f>
        <v>13.625</v>
      </c>
      <c r="J836" s="87">
        <f>IFERROR(__xludf.DUMMYFUNCTION("""COMPUTED_VALUE"""),89.0)</f>
        <v>89</v>
      </c>
      <c r="K836" s="88">
        <f>IFERROR(__xludf.DUMMYFUNCTION("""COMPUTED_VALUE"""),8.8)</f>
        <v>8.8</v>
      </c>
      <c r="L836" s="89">
        <f>IFERROR(__xludf.DUMMYFUNCTION("""COMPUTED_VALUE"""),7.0)</f>
        <v>7</v>
      </c>
      <c r="M836" s="26" t="str">
        <f>IFERROR(__xludf.DUMMYFUNCTION("""COMPUTED_VALUE"""),"Horror")</f>
        <v>Horror</v>
      </c>
      <c r="N836" s="26" t="str">
        <f>IFERROR(__xludf.DUMMYFUNCTION("""COMPUTED_VALUE"""),"PS1")</f>
        <v>PS1</v>
      </c>
      <c r="O836" s="26" t="str">
        <f>IFERROR(__xludf.DUMMYFUNCTION("""COMPUTED_VALUE"""),"No")</f>
        <v>No</v>
      </c>
      <c r="P836" s="26"/>
    </row>
    <row r="837">
      <c r="A837" s="81" t="str">
        <f>IFERROR(__xludf.DUMMYFUNCTION("""COMPUTED_VALUE"""),"Resident Evil Director’s Cut")</f>
        <v>Resident Evil Director’s Cut</v>
      </c>
      <c r="B837" s="82" t="str">
        <f>IFERROR(__xludf.DUMMYFUNCTION("""COMPUTED_VALUE"""),"PS3")</f>
        <v>PS3</v>
      </c>
      <c r="C837" s="83" t="str">
        <f>IFERROR(__xludf.DUMMYFUNCTION("""COMPUTED_VALUE"""),"Playstation Plus (Discontinued)")</f>
        <v>Playstation Plus (Discontinued)</v>
      </c>
      <c r="D837" s="82" t="str">
        <f>IFERROR(__xludf.DUMMYFUNCTION("""COMPUTED_VALUE"""),"Removed")</f>
        <v>Removed</v>
      </c>
      <c r="E837" s="84">
        <f>IFERROR(__xludf.DUMMYFUNCTION("""COMPUTED_VALUE"""),40792.0)</f>
        <v>40792</v>
      </c>
      <c r="F837" s="85">
        <f>IFERROR(__xludf.DUMMYFUNCTION("""COMPUTED_VALUE"""),40819.0)</f>
        <v>40819</v>
      </c>
      <c r="G837" s="86">
        <f>IFERROR(__xludf.DUMMYFUNCTION("""COMPUTED_VALUE"""),0.8999999999999999)</f>
        <v>0.9</v>
      </c>
      <c r="H837" s="84">
        <f>IFERROR(__xludf.DUMMYFUNCTION("""COMPUTED_VALUE"""),35703.0)</f>
        <v>35703</v>
      </c>
      <c r="I837" s="86">
        <f>IFERROR(__xludf.DUMMYFUNCTION("""COMPUTED_VALUE"""),13.933333333333334)</f>
        <v>13.93333333</v>
      </c>
      <c r="J837" s="87">
        <f>IFERROR(__xludf.DUMMYFUNCTION("""COMPUTED_VALUE"""),8.0)</f>
        <v>8</v>
      </c>
      <c r="K837" s="88">
        <f>IFERROR(__xludf.DUMMYFUNCTION("""COMPUTED_VALUE"""),7.0)</f>
        <v>7</v>
      </c>
      <c r="L837" s="89">
        <f>IFERROR(__xludf.DUMMYFUNCTION("""COMPUTED_VALUE"""),7.0)</f>
        <v>7</v>
      </c>
      <c r="M837" s="26" t="str">
        <f>IFERROR(__xludf.DUMMYFUNCTION("""COMPUTED_VALUE"""),"Survival")</f>
        <v>Survival</v>
      </c>
      <c r="N837" s="26" t="str">
        <f>IFERROR(__xludf.DUMMYFUNCTION("""COMPUTED_VALUE"""),"PS1")</f>
        <v>PS1</v>
      </c>
      <c r="O837" s="26" t="str">
        <f>IFERROR(__xludf.DUMMYFUNCTION("""COMPUTED_VALUE"""),"No")</f>
        <v>No</v>
      </c>
      <c r="P837" s="26"/>
    </row>
    <row r="838">
      <c r="A838" s="81" t="str">
        <f>IFERROR(__xludf.DUMMYFUNCTION("""COMPUTED_VALUE"""),"Jet Moto")</f>
        <v>Jet Moto</v>
      </c>
      <c r="B838" s="82" t="str">
        <f>IFERROR(__xludf.DUMMYFUNCTION("""COMPUTED_VALUE"""),"PS3")</f>
        <v>PS3</v>
      </c>
      <c r="C838" s="83" t="str">
        <f>IFERROR(__xludf.DUMMYFUNCTION("""COMPUTED_VALUE"""),"Playstation Plus (Discontinued)")</f>
        <v>Playstation Plus (Discontinued)</v>
      </c>
      <c r="D838" s="82" t="str">
        <f>IFERROR(__xludf.DUMMYFUNCTION("""COMPUTED_VALUE"""),"Removed")</f>
        <v>Removed</v>
      </c>
      <c r="E838" s="84">
        <f>IFERROR(__xludf.DUMMYFUNCTION("""COMPUTED_VALUE"""),40792.0)</f>
        <v>40792</v>
      </c>
      <c r="F838" s="85">
        <f>IFERROR(__xludf.DUMMYFUNCTION("""COMPUTED_VALUE"""),40819.0)</f>
        <v>40819</v>
      </c>
      <c r="G838" s="86">
        <f>IFERROR(__xludf.DUMMYFUNCTION("""COMPUTED_VALUE"""),0.8999999999999999)</f>
        <v>0.9</v>
      </c>
      <c r="H838" s="84">
        <f>IFERROR(__xludf.DUMMYFUNCTION("""COMPUTED_VALUE"""),35764.0)</f>
        <v>35764</v>
      </c>
      <c r="I838" s="86">
        <f>IFERROR(__xludf.DUMMYFUNCTION("""COMPUTED_VALUE"""),13.766666666666667)</f>
        <v>13.76666667</v>
      </c>
      <c r="J838" s="87">
        <f>IFERROR(__xludf.DUMMYFUNCTION("""COMPUTED_VALUE"""),7.6)</f>
        <v>7.6</v>
      </c>
      <c r="K838" s="88">
        <f>IFERROR(__xludf.DUMMYFUNCTION("""COMPUTED_VALUE"""),7.6)</f>
        <v>7.6</v>
      </c>
      <c r="L838" s="89"/>
      <c r="M838" s="26" t="str">
        <f>IFERROR(__xludf.DUMMYFUNCTION("""COMPUTED_VALUE"""),"Racing")</f>
        <v>Racing</v>
      </c>
      <c r="N838" s="26" t="str">
        <f>IFERROR(__xludf.DUMMYFUNCTION("""COMPUTED_VALUE"""),"PS1")</f>
        <v>PS1</v>
      </c>
      <c r="O838" s="26" t="str">
        <f>IFERROR(__xludf.DUMMYFUNCTION("""COMPUTED_VALUE"""),"No")</f>
        <v>No</v>
      </c>
      <c r="P838" s="26"/>
    </row>
    <row r="839">
      <c r="A839" s="81" t="str">
        <f>IFERROR(__xludf.DUMMYFUNCTION("""COMPUTED_VALUE"""),"Destruction Derby")</f>
        <v>Destruction Derby</v>
      </c>
      <c r="B839" s="82" t="str">
        <f>IFERROR(__xludf.DUMMYFUNCTION("""COMPUTED_VALUE"""),"PS3")</f>
        <v>PS3</v>
      </c>
      <c r="C839" s="83" t="str">
        <f>IFERROR(__xludf.DUMMYFUNCTION("""COMPUTED_VALUE"""),"Playstation Plus (Discontinued)")</f>
        <v>Playstation Plus (Discontinued)</v>
      </c>
      <c r="D839" s="82" t="str">
        <f>IFERROR(__xludf.DUMMYFUNCTION("""COMPUTED_VALUE"""),"Removed")</f>
        <v>Removed</v>
      </c>
      <c r="E839" s="84">
        <f>IFERROR(__xludf.DUMMYFUNCTION("""COMPUTED_VALUE"""),40757.0)</f>
        <v>40757</v>
      </c>
      <c r="F839" s="85">
        <f>IFERROR(__xludf.DUMMYFUNCTION("""COMPUTED_VALUE"""),40791.0)</f>
        <v>40791</v>
      </c>
      <c r="G839" s="86">
        <f>IFERROR(__xludf.DUMMYFUNCTION("""COMPUTED_VALUE"""),1.0999999999999999)</f>
        <v>1.1</v>
      </c>
      <c r="H839" s="84">
        <f>IFERROR(__xludf.DUMMYFUNCTION("""COMPUTED_VALUE"""),35003.0)</f>
        <v>35003</v>
      </c>
      <c r="I839" s="86">
        <f>IFERROR(__xludf.DUMMYFUNCTION("""COMPUTED_VALUE"""),15.755555555555556)</f>
        <v>15.75555556</v>
      </c>
      <c r="J839" s="87">
        <f>IFERROR(__xludf.DUMMYFUNCTION("""COMPUTED_VALUE"""),74.0)</f>
        <v>74</v>
      </c>
      <c r="K839" s="88">
        <f>IFERROR(__xludf.DUMMYFUNCTION("""COMPUTED_VALUE"""),8.0)</f>
        <v>8</v>
      </c>
      <c r="L839" s="89">
        <f>IFERROR(__xludf.DUMMYFUNCTION("""COMPUTED_VALUE"""),6.0)</f>
        <v>6</v>
      </c>
      <c r="M839" s="26" t="str">
        <f>IFERROR(__xludf.DUMMYFUNCTION("""COMPUTED_VALUE"""),"Racing")</f>
        <v>Racing</v>
      </c>
      <c r="N839" s="26" t="str">
        <f>IFERROR(__xludf.DUMMYFUNCTION("""COMPUTED_VALUE"""),"PS1")</f>
        <v>PS1</v>
      </c>
      <c r="O839" s="26" t="str">
        <f>IFERROR(__xludf.DUMMYFUNCTION("""COMPUTED_VALUE"""),"No")</f>
        <v>No</v>
      </c>
      <c r="P839" s="26"/>
    </row>
    <row r="840">
      <c r="A840" s="81" t="str">
        <f>IFERROR(__xludf.DUMMYFUNCTION("""COMPUTED_VALUE"""),"OMG-Z!")</f>
        <v>OMG-Z!</v>
      </c>
      <c r="B840" s="82" t="str">
        <f>IFERROR(__xludf.DUMMYFUNCTION("""COMPUTED_VALUE"""),"PS3")</f>
        <v>PS3</v>
      </c>
      <c r="C840" s="83" t="str">
        <f>IFERROR(__xludf.DUMMYFUNCTION("""COMPUTED_VALUE"""),"Playstation Plus (Discontinued)")</f>
        <v>Playstation Plus (Discontinued)</v>
      </c>
      <c r="D840" s="82" t="str">
        <f>IFERROR(__xludf.DUMMYFUNCTION("""COMPUTED_VALUE"""),"Removed")</f>
        <v>Removed</v>
      </c>
      <c r="E840" s="84">
        <f>IFERROR(__xludf.DUMMYFUNCTION("""COMPUTED_VALUE"""),40757.0)</f>
        <v>40757</v>
      </c>
      <c r="F840" s="85">
        <f>IFERROR(__xludf.DUMMYFUNCTION("""COMPUTED_VALUE"""),40791.0)</f>
        <v>40791</v>
      </c>
      <c r="G840" s="86">
        <f>IFERROR(__xludf.DUMMYFUNCTION("""COMPUTED_VALUE"""),1.0999999999999999)</f>
        <v>1.1</v>
      </c>
      <c r="H840" s="84">
        <f>IFERROR(__xludf.DUMMYFUNCTION("""COMPUTED_VALUE"""),40582.0)</f>
        <v>40582</v>
      </c>
      <c r="I840" s="86">
        <f>IFERROR(__xludf.DUMMYFUNCTION("""COMPUTED_VALUE"""),0.48333333333333334)</f>
        <v>0.4833333333</v>
      </c>
      <c r="J840" s="87">
        <f>IFERROR(__xludf.DUMMYFUNCTION("""COMPUTED_VALUE"""),68.0)</f>
        <v>68</v>
      </c>
      <c r="K840" s="88">
        <f>IFERROR(__xludf.DUMMYFUNCTION("""COMPUTED_VALUE"""),7.1)</f>
        <v>7.1</v>
      </c>
      <c r="L840" s="89">
        <f>IFERROR(__xludf.DUMMYFUNCTION("""COMPUTED_VALUE"""),2.0)</f>
        <v>2</v>
      </c>
      <c r="M840" s="26" t="str">
        <f>IFERROR(__xludf.DUMMYFUNCTION("""COMPUTED_VALUE"""),"Puzzle")</f>
        <v>Puzzle</v>
      </c>
      <c r="N840" s="26" t="str">
        <f>IFERROR(__xludf.DUMMYFUNCTION("""COMPUTED_VALUE"""),"PS Minis")</f>
        <v>PS Minis</v>
      </c>
      <c r="O840" s="26" t="str">
        <f>IFERROR(__xludf.DUMMYFUNCTION("""COMPUTED_VALUE"""),"No")</f>
        <v>No</v>
      </c>
      <c r="P840" s="26"/>
    </row>
    <row r="841">
      <c r="A841" s="81" t="str">
        <f>IFERROR(__xludf.DUMMYFUNCTION("""COMPUTED_VALUE"""),"Dr. Maybe and the Adventures of Scarygirl")</f>
        <v>Dr. Maybe and the Adventures of Scarygirl</v>
      </c>
      <c r="B841" s="82" t="str">
        <f>IFERROR(__xludf.DUMMYFUNCTION("""COMPUTED_VALUE"""),"PS3")</f>
        <v>PS3</v>
      </c>
      <c r="C841" s="83" t="str">
        <f>IFERROR(__xludf.DUMMYFUNCTION("""COMPUTED_VALUE"""),"Playstation Plus (Discontinued)")</f>
        <v>Playstation Plus (Discontinued)</v>
      </c>
      <c r="D841" s="82" t="str">
        <f>IFERROR(__xludf.DUMMYFUNCTION("""COMPUTED_VALUE"""),"Removed")</f>
        <v>Removed</v>
      </c>
      <c r="E841" s="84">
        <f>IFERROR(__xludf.DUMMYFUNCTION("""COMPUTED_VALUE"""),40757.0)</f>
        <v>40757</v>
      </c>
      <c r="F841" s="85">
        <f>IFERROR(__xludf.DUMMYFUNCTION("""COMPUTED_VALUE"""),40791.0)</f>
        <v>40791</v>
      </c>
      <c r="G841" s="86">
        <f>IFERROR(__xludf.DUMMYFUNCTION("""COMPUTED_VALUE"""),1.0999999999999999)</f>
        <v>1.1</v>
      </c>
      <c r="H841" s="84">
        <f>IFERROR(__xludf.DUMMYFUNCTION("""COMPUTED_VALUE"""),40757.0)</f>
        <v>40757</v>
      </c>
      <c r="I841" s="86">
        <f>IFERROR(__xludf.DUMMYFUNCTION("""COMPUTED_VALUE"""),0.0)</f>
        <v>0</v>
      </c>
      <c r="J841" s="87">
        <f>IFERROR(__xludf.DUMMYFUNCTION("""COMPUTED_VALUE"""),65.0)</f>
        <v>65</v>
      </c>
      <c r="K841" s="88">
        <f>IFERROR(__xludf.DUMMYFUNCTION("""COMPUTED_VALUE"""),6.8)</f>
        <v>6.8</v>
      </c>
      <c r="L841" s="89">
        <f>IFERROR(__xludf.DUMMYFUNCTION("""COMPUTED_VALUE"""),3.0)</f>
        <v>3</v>
      </c>
      <c r="M841" s="26" t="str">
        <f>IFERROR(__xludf.DUMMYFUNCTION("""COMPUTED_VALUE"""),"Platformer")</f>
        <v>Platformer</v>
      </c>
      <c r="N841" s="26" t="str">
        <f>IFERROR(__xludf.DUMMYFUNCTION("""COMPUTED_VALUE"""),"PS Minis")</f>
        <v>PS Minis</v>
      </c>
      <c r="O841" s="26" t="str">
        <f>IFERROR(__xludf.DUMMYFUNCTION("""COMPUTED_VALUE"""),"No")</f>
        <v>No</v>
      </c>
      <c r="P841" s="26"/>
    </row>
    <row r="842">
      <c r="A842" s="81" t="str">
        <f>IFERROR(__xludf.DUMMYFUNCTION("""COMPUTED_VALUE"""),"Crash Commando")</f>
        <v>Crash Commando</v>
      </c>
      <c r="B842" s="82" t="str">
        <f>IFERROR(__xludf.DUMMYFUNCTION("""COMPUTED_VALUE"""),"PS3")</f>
        <v>PS3</v>
      </c>
      <c r="C842" s="83" t="str">
        <f>IFERROR(__xludf.DUMMYFUNCTION("""COMPUTED_VALUE"""),"Playstation Plus (Discontinued)")</f>
        <v>Playstation Plus (Discontinued)</v>
      </c>
      <c r="D842" s="82" t="str">
        <f>IFERROR(__xludf.DUMMYFUNCTION("""COMPUTED_VALUE"""),"Removed")</f>
        <v>Removed</v>
      </c>
      <c r="E842" s="84">
        <f>IFERROR(__xludf.DUMMYFUNCTION("""COMPUTED_VALUE"""),40757.0)</f>
        <v>40757</v>
      </c>
      <c r="F842" s="85">
        <f>IFERROR(__xludf.DUMMYFUNCTION("""COMPUTED_VALUE"""),40791.0)</f>
        <v>40791</v>
      </c>
      <c r="G842" s="86">
        <f>IFERROR(__xludf.DUMMYFUNCTION("""COMPUTED_VALUE"""),1.0999999999999999)</f>
        <v>1.1</v>
      </c>
      <c r="H842" s="84">
        <f>IFERROR(__xludf.DUMMYFUNCTION("""COMPUTED_VALUE"""),39800.0)</f>
        <v>39800</v>
      </c>
      <c r="I842" s="86">
        <f>IFERROR(__xludf.DUMMYFUNCTION("""COMPUTED_VALUE"""),2.6222222222222222)</f>
        <v>2.622222222</v>
      </c>
      <c r="J842" s="87">
        <f>IFERROR(__xludf.DUMMYFUNCTION("""COMPUTED_VALUE"""),78.0)</f>
        <v>78</v>
      </c>
      <c r="K842" s="88">
        <f>IFERROR(__xludf.DUMMYFUNCTION("""COMPUTED_VALUE"""),7.8)</f>
        <v>7.8</v>
      </c>
      <c r="L842" s="89">
        <f>IFERROR(__xludf.DUMMYFUNCTION("""COMPUTED_VALUE"""),4.0)</f>
        <v>4</v>
      </c>
      <c r="M842" s="26" t="str">
        <f>IFERROR(__xludf.DUMMYFUNCTION("""COMPUTED_VALUE"""),"Shooter")</f>
        <v>Shooter</v>
      </c>
      <c r="N842" s="26"/>
      <c r="O842" s="26" t="str">
        <f>IFERROR(__xludf.DUMMYFUNCTION("""COMPUTED_VALUE"""),"No")</f>
        <v>No</v>
      </c>
      <c r="P842" s="26"/>
    </row>
    <row r="843">
      <c r="A843" s="81" t="str">
        <f>IFERROR(__xludf.DUMMYFUNCTION("""COMPUTED_VALUE"""),"Me Monstar: Hear Me Roar")</f>
        <v>Me Monstar: Hear Me Roar</v>
      </c>
      <c r="B843" s="82" t="str">
        <f>IFERROR(__xludf.DUMMYFUNCTION("""COMPUTED_VALUE"""),"PS3")</f>
        <v>PS3</v>
      </c>
      <c r="C843" s="83" t="str">
        <f>IFERROR(__xludf.DUMMYFUNCTION("""COMPUTED_VALUE"""),"Playstation Plus (Discontinued)")</f>
        <v>Playstation Plus (Discontinued)</v>
      </c>
      <c r="D843" s="82" t="str">
        <f>IFERROR(__xludf.DUMMYFUNCTION("""COMPUTED_VALUE"""),"Removed")</f>
        <v>Removed</v>
      </c>
      <c r="E843" s="84">
        <f>IFERROR(__xludf.DUMMYFUNCTION("""COMPUTED_VALUE"""),40743.0)</f>
        <v>40743</v>
      </c>
      <c r="F843" s="85">
        <f>IFERROR(__xludf.DUMMYFUNCTION("""COMPUTED_VALUE"""),40756.0)</f>
        <v>40756</v>
      </c>
      <c r="G843" s="86">
        <f>IFERROR(__xludf.DUMMYFUNCTION("""COMPUTED_VALUE"""),0.4)</f>
        <v>0.4</v>
      </c>
      <c r="H843" s="84">
        <f>IFERROR(__xludf.DUMMYFUNCTION("""COMPUTED_VALUE"""),40743.0)</f>
        <v>40743</v>
      </c>
      <c r="I843" s="86">
        <f>IFERROR(__xludf.DUMMYFUNCTION("""COMPUTED_VALUE"""),0.0)</f>
        <v>0</v>
      </c>
      <c r="J843" s="87">
        <f>IFERROR(__xludf.DUMMYFUNCTION("""COMPUTED_VALUE"""),76.0)</f>
        <v>76</v>
      </c>
      <c r="K843" s="88">
        <f>IFERROR(__xludf.DUMMYFUNCTION("""COMPUTED_VALUE"""),7.4)</f>
        <v>7.4</v>
      </c>
      <c r="L843" s="89">
        <f>IFERROR(__xludf.DUMMYFUNCTION("""COMPUTED_VALUE"""),1.0)</f>
        <v>1</v>
      </c>
      <c r="M843" s="26" t="str">
        <f>IFERROR(__xludf.DUMMYFUNCTION("""COMPUTED_VALUE"""),"Platformer")</f>
        <v>Platformer</v>
      </c>
      <c r="N843" s="26" t="str">
        <f>IFERROR(__xludf.DUMMYFUNCTION("""COMPUTED_VALUE"""),"PS Minis")</f>
        <v>PS Minis</v>
      </c>
      <c r="O843" s="26" t="str">
        <f>IFERROR(__xludf.DUMMYFUNCTION("""COMPUTED_VALUE"""),"No")</f>
        <v>No</v>
      </c>
      <c r="P843" s="26"/>
    </row>
    <row r="844">
      <c r="A844" s="81" t="str">
        <f>IFERROR(__xludf.DUMMYFUNCTION("""COMPUTED_VALUE"""),"Alien Zombie Death")</f>
        <v>Alien Zombie Death</v>
      </c>
      <c r="B844" s="82" t="str">
        <f>IFERROR(__xludf.DUMMYFUNCTION("""COMPUTED_VALUE"""),"PS3")</f>
        <v>PS3</v>
      </c>
      <c r="C844" s="83" t="str">
        <f>IFERROR(__xludf.DUMMYFUNCTION("""COMPUTED_VALUE"""),"Playstation Plus (Discontinued)")</f>
        <v>Playstation Plus (Discontinued)</v>
      </c>
      <c r="D844" s="82" t="str">
        <f>IFERROR(__xludf.DUMMYFUNCTION("""COMPUTED_VALUE"""),"Removed")</f>
        <v>Removed</v>
      </c>
      <c r="E844" s="84">
        <f>IFERROR(__xludf.DUMMYFUNCTION("""COMPUTED_VALUE"""),40729.0)</f>
        <v>40729</v>
      </c>
      <c r="F844" s="85">
        <f>IFERROR(__xludf.DUMMYFUNCTION("""COMPUTED_VALUE"""),40756.0)</f>
        <v>40756</v>
      </c>
      <c r="G844" s="86">
        <f>IFERROR(__xludf.DUMMYFUNCTION("""COMPUTED_VALUE"""),0.8666666666666666)</f>
        <v>0.8666666667</v>
      </c>
      <c r="H844" s="84">
        <f>IFERROR(__xludf.DUMMYFUNCTION("""COMPUTED_VALUE"""),40262.0)</f>
        <v>40262</v>
      </c>
      <c r="I844" s="86">
        <f>IFERROR(__xludf.DUMMYFUNCTION("""COMPUTED_VALUE"""),1.2777777777777777)</f>
        <v>1.277777778</v>
      </c>
      <c r="J844" s="87">
        <f>IFERROR(__xludf.DUMMYFUNCTION("""COMPUTED_VALUE"""),76.0)</f>
        <v>76</v>
      </c>
      <c r="K844" s="88">
        <f>IFERROR(__xludf.DUMMYFUNCTION("""COMPUTED_VALUE"""),5.2)</f>
        <v>5.2</v>
      </c>
      <c r="L844" s="89">
        <f>IFERROR(__xludf.DUMMYFUNCTION("""COMPUTED_VALUE"""),2.0)</f>
        <v>2</v>
      </c>
      <c r="M844" s="26" t="str">
        <f>IFERROR(__xludf.DUMMYFUNCTION("""COMPUTED_VALUE"""),"Platformer")</f>
        <v>Platformer</v>
      </c>
      <c r="N844" s="26" t="str">
        <f>IFERROR(__xludf.DUMMYFUNCTION("""COMPUTED_VALUE"""),"PS Minis")</f>
        <v>PS Minis</v>
      </c>
      <c r="O844" s="26" t="str">
        <f>IFERROR(__xludf.DUMMYFUNCTION("""COMPUTED_VALUE"""),"No")</f>
        <v>No</v>
      </c>
      <c r="P844" s="26"/>
    </row>
    <row r="845">
      <c r="A845" s="81" t="str">
        <f>IFERROR(__xludf.DUMMYFUNCTION("""COMPUTED_VALUE"""),"Guerilla War")</f>
        <v>Guerilla War</v>
      </c>
      <c r="B845" s="82" t="str">
        <f>IFERROR(__xludf.DUMMYFUNCTION("""COMPUTED_VALUE"""),"PS3")</f>
        <v>PS3</v>
      </c>
      <c r="C845" s="83" t="str">
        <f>IFERROR(__xludf.DUMMYFUNCTION("""COMPUTED_VALUE"""),"Playstation Plus (Discontinued)")</f>
        <v>Playstation Plus (Discontinued)</v>
      </c>
      <c r="D845" s="82" t="str">
        <f>IFERROR(__xludf.DUMMYFUNCTION("""COMPUTED_VALUE"""),"Removed")</f>
        <v>Removed</v>
      </c>
      <c r="E845" s="84">
        <f>IFERROR(__xludf.DUMMYFUNCTION("""COMPUTED_VALUE"""),40729.0)</f>
        <v>40729</v>
      </c>
      <c r="F845" s="85">
        <f>IFERROR(__xludf.DUMMYFUNCTION("""COMPUTED_VALUE"""),40756.0)</f>
        <v>40756</v>
      </c>
      <c r="G845" s="86">
        <f>IFERROR(__xludf.DUMMYFUNCTION("""COMPUTED_VALUE"""),0.8666666666666666)</f>
        <v>0.8666666667</v>
      </c>
      <c r="H845" s="84">
        <f>IFERROR(__xludf.DUMMYFUNCTION("""COMPUTED_VALUE"""),32417.0)</f>
        <v>32417</v>
      </c>
      <c r="I845" s="86">
        <f>IFERROR(__xludf.DUMMYFUNCTION("""COMPUTED_VALUE"""),22.761111111111113)</f>
        <v>22.76111111</v>
      </c>
      <c r="J845" s="87"/>
      <c r="K845" s="88"/>
      <c r="L845" s="89"/>
      <c r="M845" s="26" t="str">
        <f>IFERROR(__xludf.DUMMYFUNCTION("""COMPUTED_VALUE"""),"Shooter")</f>
        <v>Shooter</v>
      </c>
      <c r="N845" s="26" t="str">
        <f>IFERROR(__xludf.DUMMYFUNCTION("""COMPUTED_VALUE"""),"PS Minis")</f>
        <v>PS Minis</v>
      </c>
      <c r="O845" s="26" t="str">
        <f>IFERROR(__xludf.DUMMYFUNCTION("""COMPUTED_VALUE"""),"No")</f>
        <v>No</v>
      </c>
      <c r="P845" s="26"/>
    </row>
    <row r="846">
      <c r="A846" s="81" t="str">
        <f>IFERROR(__xludf.DUMMYFUNCTION("""COMPUTED_VALUE"""),"Golden Axe")</f>
        <v>Golden Axe</v>
      </c>
      <c r="B846" s="82" t="str">
        <f>IFERROR(__xludf.DUMMYFUNCTION("""COMPUTED_VALUE"""),"PS3")</f>
        <v>PS3</v>
      </c>
      <c r="C846" s="83" t="str">
        <f>IFERROR(__xludf.DUMMYFUNCTION("""COMPUTED_VALUE"""),"Playstation Plus (Discontinued)")</f>
        <v>Playstation Plus (Discontinued)</v>
      </c>
      <c r="D846" s="82" t="str">
        <f>IFERROR(__xludf.DUMMYFUNCTION("""COMPUTED_VALUE"""),"Removed")</f>
        <v>Removed</v>
      </c>
      <c r="E846" s="84">
        <f>IFERROR(__xludf.DUMMYFUNCTION("""COMPUTED_VALUE"""),40729.0)</f>
        <v>40729</v>
      </c>
      <c r="F846" s="85">
        <f>IFERROR(__xludf.DUMMYFUNCTION("""COMPUTED_VALUE"""),40756.0)</f>
        <v>40756</v>
      </c>
      <c r="G846" s="86">
        <f>IFERROR(__xludf.DUMMYFUNCTION("""COMPUTED_VALUE"""),0.8666666666666666)</f>
        <v>0.8666666667</v>
      </c>
      <c r="H846" s="84">
        <f>IFERROR(__xludf.DUMMYFUNCTION("""COMPUTED_VALUE"""),39274.0)</f>
        <v>39274</v>
      </c>
      <c r="I846" s="86">
        <f>IFERROR(__xludf.DUMMYFUNCTION("""COMPUTED_VALUE"""),3.9833333333333334)</f>
        <v>3.983333333</v>
      </c>
      <c r="J846" s="87">
        <f>IFERROR(__xludf.DUMMYFUNCTION("""COMPUTED_VALUE"""),68.0)</f>
        <v>68</v>
      </c>
      <c r="K846" s="88"/>
      <c r="L846" s="89">
        <f>IFERROR(__xludf.DUMMYFUNCTION("""COMPUTED_VALUE"""),1.5)</f>
        <v>1.5</v>
      </c>
      <c r="M846" s="26" t="str">
        <f>IFERROR(__xludf.DUMMYFUNCTION("""COMPUTED_VALUE"""),"Action-Adventure")</f>
        <v>Action-Adventure</v>
      </c>
      <c r="N846" s="26"/>
      <c r="O846" s="26" t="str">
        <f>IFERROR(__xludf.DUMMYFUNCTION("""COMPUTED_VALUE"""),"No")</f>
        <v>No</v>
      </c>
      <c r="P846" s="26"/>
    </row>
    <row r="847">
      <c r="A847" s="81" t="str">
        <f>IFERROR(__xludf.DUMMYFUNCTION("""COMPUTED_VALUE"""),"Bomberman ULTRA")</f>
        <v>Bomberman ULTRA</v>
      </c>
      <c r="B847" s="82" t="str">
        <f>IFERROR(__xludf.DUMMYFUNCTION("""COMPUTED_VALUE"""),"PS3")</f>
        <v>PS3</v>
      </c>
      <c r="C847" s="83" t="str">
        <f>IFERROR(__xludf.DUMMYFUNCTION("""COMPUTED_VALUE"""),"Playstation Plus (Discontinued)")</f>
        <v>Playstation Plus (Discontinued)</v>
      </c>
      <c r="D847" s="82" t="str">
        <f>IFERROR(__xludf.DUMMYFUNCTION("""COMPUTED_VALUE"""),"Removed")</f>
        <v>Removed</v>
      </c>
      <c r="E847" s="84">
        <f>IFERROR(__xludf.DUMMYFUNCTION("""COMPUTED_VALUE"""),40729.0)</f>
        <v>40729</v>
      </c>
      <c r="F847" s="85">
        <f>IFERROR(__xludf.DUMMYFUNCTION("""COMPUTED_VALUE"""),40756.0)</f>
        <v>40756</v>
      </c>
      <c r="G847" s="86">
        <f>IFERROR(__xludf.DUMMYFUNCTION("""COMPUTED_VALUE"""),0.8666666666666666)</f>
        <v>0.8666666667</v>
      </c>
      <c r="H847" s="84">
        <f>IFERROR(__xludf.DUMMYFUNCTION("""COMPUTED_VALUE"""),39975.0)</f>
        <v>39975</v>
      </c>
      <c r="I847" s="86">
        <f>IFERROR(__xludf.DUMMYFUNCTION("""COMPUTED_VALUE"""),2.066666666666667)</f>
        <v>2.066666667</v>
      </c>
      <c r="J847" s="87">
        <f>IFERROR(__xludf.DUMMYFUNCTION("""COMPUTED_VALUE"""),81.0)</f>
        <v>81</v>
      </c>
      <c r="K847" s="88">
        <f>IFERROR(__xludf.DUMMYFUNCTION("""COMPUTED_VALUE"""),7.7)</f>
        <v>7.7</v>
      </c>
      <c r="L847" s="89"/>
      <c r="M847" s="26" t="str">
        <f>IFERROR(__xludf.DUMMYFUNCTION("""COMPUTED_VALUE"""),"Puzzle")</f>
        <v>Puzzle</v>
      </c>
      <c r="N847" s="26"/>
      <c r="O847" s="26" t="str">
        <f>IFERROR(__xludf.DUMMYFUNCTION("""COMPUTED_VALUE"""),"No")</f>
        <v>No</v>
      </c>
      <c r="P847" s="26"/>
    </row>
    <row r="848">
      <c r="A848" s="81" t="str">
        <f>IFERROR(__xludf.DUMMYFUNCTION("""COMPUTED_VALUE"""),"Medievil")</f>
        <v>Medievil</v>
      </c>
      <c r="B848" s="82" t="str">
        <f>IFERROR(__xludf.DUMMYFUNCTION("""COMPUTED_VALUE"""),"PS3")</f>
        <v>PS3</v>
      </c>
      <c r="C848" s="83" t="str">
        <f>IFERROR(__xludf.DUMMYFUNCTION("""COMPUTED_VALUE"""),"Playstation Plus (Discontinued)")</f>
        <v>Playstation Plus (Discontinued)</v>
      </c>
      <c r="D848" s="82" t="str">
        <f>IFERROR(__xludf.DUMMYFUNCTION("""COMPUTED_VALUE"""),"Removed")</f>
        <v>Removed</v>
      </c>
      <c r="E848" s="84">
        <f>IFERROR(__xludf.DUMMYFUNCTION("""COMPUTED_VALUE"""),40729.0)</f>
        <v>40729</v>
      </c>
      <c r="F848" s="85">
        <f>IFERROR(__xludf.DUMMYFUNCTION("""COMPUTED_VALUE"""),40756.0)</f>
        <v>40756</v>
      </c>
      <c r="G848" s="86">
        <f>IFERROR(__xludf.DUMMYFUNCTION("""COMPUTED_VALUE"""),0.8666666666666666)</f>
        <v>0.8666666667</v>
      </c>
      <c r="H848" s="84">
        <f>IFERROR(__xludf.DUMMYFUNCTION("""COMPUTED_VALUE"""),36069.0)</f>
        <v>36069</v>
      </c>
      <c r="I848" s="86">
        <f>IFERROR(__xludf.DUMMYFUNCTION("""COMPUTED_VALUE"""),12.761111111111111)</f>
        <v>12.76111111</v>
      </c>
      <c r="J848" s="87">
        <f>IFERROR(__xludf.DUMMYFUNCTION("""COMPUTED_VALUE"""),67.0)</f>
        <v>67</v>
      </c>
      <c r="K848" s="88">
        <f>IFERROR(__xludf.DUMMYFUNCTION("""COMPUTED_VALUE"""),8.0)</f>
        <v>8</v>
      </c>
      <c r="L848" s="89">
        <f>IFERROR(__xludf.DUMMYFUNCTION("""COMPUTED_VALUE"""),7.0)</f>
        <v>7</v>
      </c>
      <c r="M848" s="26" t="str">
        <f>IFERROR(__xludf.DUMMYFUNCTION("""COMPUTED_VALUE"""),"Action-Adventure")</f>
        <v>Action-Adventure</v>
      </c>
      <c r="N848" s="26" t="str">
        <f>IFERROR(__xludf.DUMMYFUNCTION("""COMPUTED_VALUE"""),"PS1")</f>
        <v>PS1</v>
      </c>
      <c r="O848" s="26" t="str">
        <f>IFERROR(__xludf.DUMMYFUNCTION("""COMPUTED_VALUE"""),"No")</f>
        <v>No</v>
      </c>
      <c r="P848" s="26"/>
    </row>
    <row r="849">
      <c r="A849" s="81" t="str">
        <f>IFERROR(__xludf.DUMMYFUNCTION("""COMPUTED_VALUE"""),"Streets of Rage 2")</f>
        <v>Streets of Rage 2</v>
      </c>
      <c r="B849" s="82" t="str">
        <f>IFERROR(__xludf.DUMMYFUNCTION("""COMPUTED_VALUE"""),"PS3")</f>
        <v>PS3</v>
      </c>
      <c r="C849" s="83" t="str">
        <f>IFERROR(__xludf.DUMMYFUNCTION("""COMPUTED_VALUE"""),"Playstation Plus (Discontinued)")</f>
        <v>Playstation Plus (Discontinued)</v>
      </c>
      <c r="D849" s="82" t="str">
        <f>IFERROR(__xludf.DUMMYFUNCTION("""COMPUTED_VALUE"""),"Removed")</f>
        <v>Removed</v>
      </c>
      <c r="E849" s="84">
        <f>IFERROR(__xludf.DUMMYFUNCTION("""COMPUTED_VALUE"""),40701.0)</f>
        <v>40701</v>
      </c>
      <c r="F849" s="85">
        <f>IFERROR(__xludf.DUMMYFUNCTION("""COMPUTED_VALUE"""),40728.0)</f>
        <v>40728</v>
      </c>
      <c r="G849" s="86">
        <f>IFERROR(__xludf.DUMMYFUNCTION("""COMPUTED_VALUE"""),0.8999999999999999)</f>
        <v>0.9</v>
      </c>
      <c r="H849" s="84">
        <f>IFERROR(__xludf.DUMMYFUNCTION("""COMPUTED_VALUE"""),33958.0)</f>
        <v>33958</v>
      </c>
      <c r="I849" s="86">
        <f>IFERROR(__xludf.DUMMYFUNCTION("""COMPUTED_VALUE"""),18.46388888888889)</f>
        <v>18.46388889</v>
      </c>
      <c r="J849" s="87">
        <f>IFERROR(__xludf.DUMMYFUNCTION("""COMPUTED_VALUE"""),85.0)</f>
        <v>85</v>
      </c>
      <c r="K849" s="88">
        <f>IFERROR(__xludf.DUMMYFUNCTION("""COMPUTED_VALUE"""),8.9)</f>
        <v>8.9</v>
      </c>
      <c r="L849" s="89">
        <f>IFERROR(__xludf.DUMMYFUNCTION("""COMPUTED_VALUE"""),3.0)</f>
        <v>3</v>
      </c>
      <c r="M849" s="26" t="str">
        <f>IFERROR(__xludf.DUMMYFUNCTION("""COMPUTED_VALUE"""),"Beat-'Em-Up")</f>
        <v>Beat-'Em-Up</v>
      </c>
      <c r="N849" s="26"/>
      <c r="O849" s="26" t="str">
        <f>IFERROR(__xludf.DUMMYFUNCTION("""COMPUTED_VALUE"""),"No")</f>
        <v>No</v>
      </c>
      <c r="P849" s="26"/>
    </row>
    <row r="850">
      <c r="A850" s="81" t="str">
        <f>IFERROR(__xludf.DUMMYFUNCTION("""COMPUTED_VALUE"""),"Magic the Gathering: Duels of the Planeswalkers 2011")</f>
        <v>Magic the Gathering: Duels of the Planeswalkers 2011</v>
      </c>
      <c r="B850" s="82" t="str">
        <f>IFERROR(__xludf.DUMMYFUNCTION("""COMPUTED_VALUE"""),"PS3")</f>
        <v>PS3</v>
      </c>
      <c r="C850" s="83" t="str">
        <f>IFERROR(__xludf.DUMMYFUNCTION("""COMPUTED_VALUE"""),"Playstation Plus (Discontinued)")</f>
        <v>Playstation Plus (Discontinued)</v>
      </c>
      <c r="D850" s="82" t="str">
        <f>IFERROR(__xludf.DUMMYFUNCTION("""COMPUTED_VALUE"""),"Removed")</f>
        <v>Removed</v>
      </c>
      <c r="E850" s="84">
        <f>IFERROR(__xludf.DUMMYFUNCTION("""COMPUTED_VALUE"""),40701.0)</f>
        <v>40701</v>
      </c>
      <c r="F850" s="85">
        <f>IFERROR(__xludf.DUMMYFUNCTION("""COMPUTED_VALUE"""),40728.0)</f>
        <v>40728</v>
      </c>
      <c r="G850" s="86">
        <f>IFERROR(__xludf.DUMMYFUNCTION("""COMPUTED_VALUE"""),0.8999999999999999)</f>
        <v>0.9</v>
      </c>
      <c r="H850" s="84">
        <f>IFERROR(__xludf.DUMMYFUNCTION("""COMPUTED_VALUE"""),40344.0)</f>
        <v>40344</v>
      </c>
      <c r="I850" s="86">
        <f>IFERROR(__xludf.DUMMYFUNCTION("""COMPUTED_VALUE"""),0.9777777777777777)</f>
        <v>0.9777777778</v>
      </c>
      <c r="J850" s="87">
        <f>IFERROR(__xludf.DUMMYFUNCTION("""COMPUTED_VALUE"""),80.0)</f>
        <v>80</v>
      </c>
      <c r="K850" s="88">
        <f>IFERROR(__xludf.DUMMYFUNCTION("""COMPUTED_VALUE"""),7.6)</f>
        <v>7.6</v>
      </c>
      <c r="L850" s="89"/>
      <c r="M850" s="26" t="str">
        <f>IFERROR(__xludf.DUMMYFUNCTION("""COMPUTED_VALUE"""),"Card &amp; Board")</f>
        <v>Card &amp; Board</v>
      </c>
      <c r="N850" s="26"/>
      <c r="O850" s="26" t="str">
        <f>IFERROR(__xludf.DUMMYFUNCTION("""COMPUTED_VALUE"""),"No")</f>
        <v>No</v>
      </c>
      <c r="P850" s="26"/>
    </row>
    <row r="851">
      <c r="A851" s="81" t="str">
        <f>IFERROR(__xludf.DUMMYFUNCTION("""COMPUTED_VALUE"""),"Lilo &amp; Stitch")</f>
        <v>Lilo &amp; Stitch</v>
      </c>
      <c r="B851" s="82" t="str">
        <f>IFERROR(__xludf.DUMMYFUNCTION("""COMPUTED_VALUE"""),"PS3")</f>
        <v>PS3</v>
      </c>
      <c r="C851" s="83" t="str">
        <f>IFERROR(__xludf.DUMMYFUNCTION("""COMPUTED_VALUE"""),"Playstation Plus (Discontinued)")</f>
        <v>Playstation Plus (Discontinued)</v>
      </c>
      <c r="D851" s="82" t="str">
        <f>IFERROR(__xludf.DUMMYFUNCTION("""COMPUTED_VALUE"""),"Removed")</f>
        <v>Removed</v>
      </c>
      <c r="E851" s="84">
        <f>IFERROR(__xludf.DUMMYFUNCTION("""COMPUTED_VALUE"""),40701.0)</f>
        <v>40701</v>
      </c>
      <c r="F851" s="85">
        <f>IFERROR(__xludf.DUMMYFUNCTION("""COMPUTED_VALUE"""),40728.0)</f>
        <v>40728</v>
      </c>
      <c r="G851" s="86">
        <f>IFERROR(__xludf.DUMMYFUNCTION("""COMPUTED_VALUE"""),0.8999999999999999)</f>
        <v>0.9</v>
      </c>
      <c r="H851" s="84">
        <f>IFERROR(__xludf.DUMMYFUNCTION("""COMPUTED_VALUE"""),37566.0)</f>
        <v>37566</v>
      </c>
      <c r="I851" s="86">
        <f>IFERROR(__xludf.DUMMYFUNCTION("""COMPUTED_VALUE"""),8.58611111111111)</f>
        <v>8.586111111</v>
      </c>
      <c r="J851" s="87">
        <f>IFERROR(__xludf.DUMMYFUNCTION("""COMPUTED_VALUE"""),54.0)</f>
        <v>54</v>
      </c>
      <c r="K851" s="88"/>
      <c r="L851" s="89"/>
      <c r="M851" s="26" t="str">
        <f>IFERROR(__xludf.DUMMYFUNCTION("""COMPUTED_VALUE"""),"Action-Adventure")</f>
        <v>Action-Adventure</v>
      </c>
      <c r="N851" s="26" t="str">
        <f>IFERROR(__xludf.DUMMYFUNCTION("""COMPUTED_VALUE"""),"PS1")</f>
        <v>PS1</v>
      </c>
      <c r="O851" s="26" t="str">
        <f>IFERROR(__xludf.DUMMYFUNCTION("""COMPUTED_VALUE"""),"No")</f>
        <v>No</v>
      </c>
      <c r="P851" s="26"/>
    </row>
    <row r="852">
      <c r="A852" s="81" t="str">
        <f>IFERROR(__xludf.DUMMYFUNCTION("""COMPUTED_VALUE"""),"The 2D Adventures of Rotating Octopus Character")</f>
        <v>The 2D Adventures of Rotating Octopus Character</v>
      </c>
      <c r="B852" s="82" t="str">
        <f>IFERROR(__xludf.DUMMYFUNCTION("""COMPUTED_VALUE"""),"PS3")</f>
        <v>PS3</v>
      </c>
      <c r="C852" s="83" t="str">
        <f>IFERROR(__xludf.DUMMYFUNCTION("""COMPUTED_VALUE"""),"Playstation Plus (Discontinued)")</f>
        <v>Playstation Plus (Discontinued)</v>
      </c>
      <c r="D852" s="82" t="str">
        <f>IFERROR(__xludf.DUMMYFUNCTION("""COMPUTED_VALUE"""),"Removed")</f>
        <v>Removed</v>
      </c>
      <c r="E852" s="84">
        <f>IFERROR(__xludf.DUMMYFUNCTION("""COMPUTED_VALUE"""),40701.0)</f>
        <v>40701</v>
      </c>
      <c r="F852" s="85">
        <f>IFERROR(__xludf.DUMMYFUNCTION("""COMPUTED_VALUE"""),40728.0)</f>
        <v>40728</v>
      </c>
      <c r="G852" s="86">
        <f>IFERROR(__xludf.DUMMYFUNCTION("""COMPUTED_VALUE"""),0.8999999999999999)</f>
        <v>0.9</v>
      </c>
      <c r="H852" s="84">
        <f>IFERROR(__xludf.DUMMYFUNCTION("""COMPUTED_VALUE"""),40696.0)</f>
        <v>40696</v>
      </c>
      <c r="I852" s="86">
        <f>IFERROR(__xludf.DUMMYFUNCTION("""COMPUTED_VALUE"""),0.013888888888888888)</f>
        <v>0.01388888889</v>
      </c>
      <c r="J852" s="87">
        <f>IFERROR(__xludf.DUMMYFUNCTION("""COMPUTED_VALUE"""),65.0)</f>
        <v>65</v>
      </c>
      <c r="K852" s="88">
        <f>IFERROR(__xludf.DUMMYFUNCTION("""COMPUTED_VALUE"""),6.7)</f>
        <v>6.7</v>
      </c>
      <c r="L852" s="89">
        <f>IFERROR(__xludf.DUMMYFUNCTION("""COMPUTED_VALUE"""),2.0)</f>
        <v>2</v>
      </c>
      <c r="M852" s="26" t="str">
        <f>IFERROR(__xludf.DUMMYFUNCTION("""COMPUTED_VALUE"""),"Platformer")</f>
        <v>Platformer</v>
      </c>
      <c r="N852" s="26" t="str">
        <f>IFERROR(__xludf.DUMMYFUNCTION("""COMPUTED_VALUE"""),"PS Minis")</f>
        <v>PS Minis</v>
      </c>
      <c r="O852" s="26" t="str">
        <f>IFERROR(__xludf.DUMMYFUNCTION("""COMPUTED_VALUE"""),"No")</f>
        <v>No</v>
      </c>
      <c r="P852" s="26"/>
    </row>
    <row r="853">
      <c r="A853" s="81" t="str">
        <f>IFERROR(__xludf.DUMMYFUNCTION("""COMPUTED_VALUE"""),"Babel the King of Blocks")</f>
        <v>Babel the King of Blocks</v>
      </c>
      <c r="B853" s="82" t="str">
        <f>IFERROR(__xludf.DUMMYFUNCTION("""COMPUTED_VALUE"""),"PS3")</f>
        <v>PS3</v>
      </c>
      <c r="C853" s="83" t="str">
        <f>IFERROR(__xludf.DUMMYFUNCTION("""COMPUTED_VALUE"""),"Playstation Plus (Discontinued)")</f>
        <v>Playstation Plus (Discontinued)</v>
      </c>
      <c r="D853" s="82" t="str">
        <f>IFERROR(__xludf.DUMMYFUNCTION("""COMPUTED_VALUE"""),"Removed")</f>
        <v>Removed</v>
      </c>
      <c r="E853" s="84">
        <f>IFERROR(__xludf.DUMMYFUNCTION("""COMPUTED_VALUE"""),40701.0)</f>
        <v>40701</v>
      </c>
      <c r="F853" s="85">
        <f>IFERROR(__xludf.DUMMYFUNCTION("""COMPUTED_VALUE"""),40728.0)</f>
        <v>40728</v>
      </c>
      <c r="G853" s="86">
        <f>IFERROR(__xludf.DUMMYFUNCTION("""COMPUTED_VALUE"""),0.8999999999999999)</f>
        <v>0.9</v>
      </c>
      <c r="H853" s="84">
        <f>IFERROR(__xludf.DUMMYFUNCTION("""COMPUTED_VALUE"""),40695.0)</f>
        <v>40695</v>
      </c>
      <c r="I853" s="86">
        <f>IFERROR(__xludf.DUMMYFUNCTION("""COMPUTED_VALUE"""),0.016666666666666666)</f>
        <v>0.01666666667</v>
      </c>
      <c r="J853" s="87">
        <f>IFERROR(__xludf.DUMMYFUNCTION("""COMPUTED_VALUE"""),62.0)</f>
        <v>62</v>
      </c>
      <c r="K853" s="88">
        <f>IFERROR(__xludf.DUMMYFUNCTION("""COMPUTED_VALUE"""),6.3)</f>
        <v>6.3</v>
      </c>
      <c r="L853" s="89">
        <f>IFERROR(__xludf.DUMMYFUNCTION("""COMPUTED_VALUE"""),2.0)</f>
        <v>2</v>
      </c>
      <c r="M853" s="26" t="str">
        <f>IFERROR(__xludf.DUMMYFUNCTION("""COMPUTED_VALUE"""),"Puzzle")</f>
        <v>Puzzle</v>
      </c>
      <c r="N853" s="26" t="str">
        <f>IFERROR(__xludf.DUMMYFUNCTION("""COMPUTED_VALUE"""),"PS Minis")</f>
        <v>PS Minis</v>
      </c>
      <c r="O853" s="26" t="str">
        <f>IFERROR(__xludf.DUMMYFUNCTION("""COMPUTED_VALUE"""),"No")</f>
        <v>No</v>
      </c>
      <c r="P853" s="26"/>
    </row>
    <row r="854">
      <c r="A854" s="81" t="str">
        <f>IFERROR(__xludf.DUMMYFUNCTION("""COMPUTED_VALUE"""),"Duael Invaders")</f>
        <v>Duael Invaders</v>
      </c>
      <c r="B854" s="82" t="str">
        <f>IFERROR(__xludf.DUMMYFUNCTION("""COMPUTED_VALUE"""),"PS3")</f>
        <v>PS3</v>
      </c>
      <c r="C854" s="83" t="str">
        <f>IFERROR(__xludf.DUMMYFUNCTION("""COMPUTED_VALUE"""),"Playstation Plus (Discontinued)")</f>
        <v>Playstation Plus (Discontinued)</v>
      </c>
      <c r="D854" s="82" t="str">
        <f>IFERROR(__xludf.DUMMYFUNCTION("""COMPUTED_VALUE"""),"Removed")</f>
        <v>Removed</v>
      </c>
      <c r="E854" s="84">
        <f>IFERROR(__xludf.DUMMYFUNCTION("""COMPUTED_VALUE"""),40638.0)</f>
        <v>40638</v>
      </c>
      <c r="F854" s="85">
        <f>IFERROR(__xludf.DUMMYFUNCTION("""COMPUTED_VALUE"""),40700.0)</f>
        <v>40700</v>
      </c>
      <c r="G854" s="86">
        <f>IFERROR(__xludf.DUMMYFUNCTION("""COMPUTED_VALUE"""),2.033333333333333)</f>
        <v>2.033333333</v>
      </c>
      <c r="H854" s="84">
        <f>IFERROR(__xludf.DUMMYFUNCTION("""COMPUTED_VALUE"""),40638.0)</f>
        <v>40638</v>
      </c>
      <c r="I854" s="86">
        <f>IFERROR(__xludf.DUMMYFUNCTION("""COMPUTED_VALUE"""),0.0)</f>
        <v>0</v>
      </c>
      <c r="J854" s="87">
        <f>IFERROR(__xludf.DUMMYFUNCTION("""COMPUTED_VALUE"""),52.0)</f>
        <v>52</v>
      </c>
      <c r="K854" s="88">
        <f>IFERROR(__xludf.DUMMYFUNCTION("""COMPUTED_VALUE"""),6.1)</f>
        <v>6.1</v>
      </c>
      <c r="L854" s="89">
        <f>IFERROR(__xludf.DUMMYFUNCTION("""COMPUTED_VALUE"""),1.0)</f>
        <v>1</v>
      </c>
      <c r="M854" s="26" t="str">
        <f>IFERROR(__xludf.DUMMYFUNCTION("""COMPUTED_VALUE"""),"Shooter")</f>
        <v>Shooter</v>
      </c>
      <c r="N854" s="26" t="str">
        <f>IFERROR(__xludf.DUMMYFUNCTION("""COMPUTED_VALUE"""),"PS Minis")</f>
        <v>PS Minis</v>
      </c>
      <c r="O854" s="26" t="str">
        <f>IFERROR(__xludf.DUMMYFUNCTION("""COMPUTED_VALUE"""),"No")</f>
        <v>No</v>
      </c>
      <c r="P854" s="26"/>
    </row>
    <row r="855">
      <c r="A855" s="81" t="str">
        <f>IFERROR(__xludf.DUMMYFUNCTION("""COMPUTED_VALUE"""),"Sonic the Hedgehog 2")</f>
        <v>Sonic the Hedgehog 2</v>
      </c>
      <c r="B855" s="82" t="str">
        <f>IFERROR(__xludf.DUMMYFUNCTION("""COMPUTED_VALUE"""),"PS3")</f>
        <v>PS3</v>
      </c>
      <c r="C855" s="83" t="str">
        <f>IFERROR(__xludf.DUMMYFUNCTION("""COMPUTED_VALUE"""),"Playstation Plus (Discontinued)")</f>
        <v>Playstation Plus (Discontinued)</v>
      </c>
      <c r="D855" s="82" t="str">
        <f>IFERROR(__xludf.DUMMYFUNCTION("""COMPUTED_VALUE"""),"Removed")</f>
        <v>Removed</v>
      </c>
      <c r="E855" s="84">
        <f>IFERROR(__xludf.DUMMYFUNCTION("""COMPUTED_VALUE"""),40638.0)</f>
        <v>40638</v>
      </c>
      <c r="F855" s="85">
        <f>IFERROR(__xludf.DUMMYFUNCTION("""COMPUTED_VALUE"""),40700.0)</f>
        <v>40700</v>
      </c>
      <c r="G855" s="86">
        <f>IFERROR(__xludf.DUMMYFUNCTION("""COMPUTED_VALUE"""),2.033333333333333)</f>
        <v>2.033333333</v>
      </c>
      <c r="H855" s="84">
        <f>IFERROR(__xludf.DUMMYFUNCTION("""COMPUTED_VALUE"""),33929.0)</f>
        <v>33929</v>
      </c>
      <c r="I855" s="86">
        <f>IFERROR(__xludf.DUMMYFUNCTION("""COMPUTED_VALUE"""),18.372222222222224)</f>
        <v>18.37222222</v>
      </c>
      <c r="J855" s="87">
        <f>IFERROR(__xludf.DUMMYFUNCTION("""COMPUTED_VALUE"""),69.0)</f>
        <v>69</v>
      </c>
      <c r="K855" s="88">
        <f>IFERROR(__xludf.DUMMYFUNCTION("""COMPUTED_VALUE"""),7.9)</f>
        <v>7.9</v>
      </c>
      <c r="L855" s="89">
        <f>IFERROR(__xludf.DUMMYFUNCTION("""COMPUTED_VALUE"""),4.0)</f>
        <v>4</v>
      </c>
      <c r="M855" s="26" t="str">
        <f>IFERROR(__xludf.DUMMYFUNCTION("""COMPUTED_VALUE"""),"Platformer")</f>
        <v>Platformer</v>
      </c>
      <c r="N855" s="26"/>
      <c r="O855" s="26" t="str">
        <f>IFERROR(__xludf.DUMMYFUNCTION("""COMPUTED_VALUE"""),"No")</f>
        <v>No</v>
      </c>
      <c r="P855" s="26"/>
    </row>
    <row r="856">
      <c r="A856" s="81" t="str">
        <f>IFERROR(__xludf.DUMMYFUNCTION("""COMPUTED_VALUE"""),"Vector TD")</f>
        <v>Vector TD</v>
      </c>
      <c r="B856" s="82" t="str">
        <f>IFERROR(__xludf.DUMMYFUNCTION("""COMPUTED_VALUE"""),"PS3")</f>
        <v>PS3</v>
      </c>
      <c r="C856" s="83" t="str">
        <f>IFERROR(__xludf.DUMMYFUNCTION("""COMPUTED_VALUE"""),"Playstation Plus (Discontinued)")</f>
        <v>Playstation Plus (Discontinued)</v>
      </c>
      <c r="D856" s="82" t="str">
        <f>IFERROR(__xludf.DUMMYFUNCTION("""COMPUTED_VALUE"""),"Removed")</f>
        <v>Removed</v>
      </c>
      <c r="E856" s="84">
        <f>IFERROR(__xludf.DUMMYFUNCTION("""COMPUTED_VALUE"""),40603.0)</f>
        <v>40603</v>
      </c>
      <c r="F856" s="85">
        <f>IFERROR(__xludf.DUMMYFUNCTION("""COMPUTED_VALUE"""),40637.0)</f>
        <v>40637</v>
      </c>
      <c r="G856" s="86">
        <f>IFERROR(__xludf.DUMMYFUNCTION("""COMPUTED_VALUE"""),1.0999999999999999)</f>
        <v>1.1</v>
      </c>
      <c r="H856" s="84">
        <f>IFERROR(__xludf.DUMMYFUNCTION("""COMPUTED_VALUE"""),40205.0)</f>
        <v>40205</v>
      </c>
      <c r="I856" s="86">
        <f>IFERROR(__xludf.DUMMYFUNCTION("""COMPUTED_VALUE"""),1.0944444444444446)</f>
        <v>1.094444444</v>
      </c>
      <c r="J856" s="87">
        <f>IFERROR(__xludf.DUMMYFUNCTION("""COMPUTED_VALUE"""),72.0)</f>
        <v>72</v>
      </c>
      <c r="K856" s="88">
        <f>IFERROR(__xludf.DUMMYFUNCTION("""COMPUTED_VALUE"""),7.0)</f>
        <v>7</v>
      </c>
      <c r="L856" s="89"/>
      <c r="M856" s="26" t="str">
        <f>IFERROR(__xludf.DUMMYFUNCTION("""COMPUTED_VALUE"""),"Strategy")</f>
        <v>Strategy</v>
      </c>
      <c r="N856" s="26" t="str">
        <f>IFERROR(__xludf.DUMMYFUNCTION("""COMPUTED_VALUE"""),"PS Minis")</f>
        <v>PS Minis</v>
      </c>
      <c r="O856" s="26" t="str">
        <f>IFERROR(__xludf.DUMMYFUNCTION("""COMPUTED_VALUE"""),"No")</f>
        <v>No</v>
      </c>
      <c r="P856" s="26"/>
    </row>
    <row r="857">
      <c r="A857" s="81" t="str">
        <f>IFERROR(__xludf.DUMMYFUNCTION("""COMPUTED_VALUE"""),"A Space Shooter for 2 Bucks!")</f>
        <v>A Space Shooter for 2 Bucks!</v>
      </c>
      <c r="B857" s="82" t="str">
        <f>IFERROR(__xludf.DUMMYFUNCTION("""COMPUTED_VALUE"""),"PS3")</f>
        <v>PS3</v>
      </c>
      <c r="C857" s="83" t="str">
        <f>IFERROR(__xludf.DUMMYFUNCTION("""COMPUTED_VALUE"""),"Playstation Plus (Discontinued)")</f>
        <v>Playstation Plus (Discontinued)</v>
      </c>
      <c r="D857" s="82" t="str">
        <f>IFERROR(__xludf.DUMMYFUNCTION("""COMPUTED_VALUE"""),"Removed")</f>
        <v>Removed</v>
      </c>
      <c r="E857" s="84">
        <f>IFERROR(__xludf.DUMMYFUNCTION("""COMPUTED_VALUE"""),40603.0)</f>
        <v>40603</v>
      </c>
      <c r="F857" s="85">
        <f>IFERROR(__xludf.DUMMYFUNCTION("""COMPUTED_VALUE"""),40637.0)</f>
        <v>40637</v>
      </c>
      <c r="G857" s="86">
        <f>IFERROR(__xludf.DUMMYFUNCTION("""COMPUTED_VALUE"""),1.0999999999999999)</f>
        <v>1.1</v>
      </c>
      <c r="H857" s="84">
        <f>IFERROR(__xludf.DUMMYFUNCTION("""COMPUTED_VALUE"""),40491.0)</f>
        <v>40491</v>
      </c>
      <c r="I857" s="86">
        <f>IFERROR(__xludf.DUMMYFUNCTION("""COMPUTED_VALUE"""),0.3111111111111111)</f>
        <v>0.3111111111</v>
      </c>
      <c r="J857" s="87">
        <f>IFERROR(__xludf.DUMMYFUNCTION("""COMPUTED_VALUE"""),61.0)</f>
        <v>61</v>
      </c>
      <c r="K857" s="88">
        <f>IFERROR(__xludf.DUMMYFUNCTION("""COMPUTED_VALUE"""),6.3)</f>
        <v>6.3</v>
      </c>
      <c r="L857" s="89"/>
      <c r="M857" s="26" t="str">
        <f>IFERROR(__xludf.DUMMYFUNCTION("""COMPUTED_VALUE"""),"Shooter")</f>
        <v>Shooter</v>
      </c>
      <c r="N857" s="26" t="str">
        <f>IFERROR(__xludf.DUMMYFUNCTION("""COMPUTED_VALUE"""),"PS Minis")</f>
        <v>PS Minis</v>
      </c>
      <c r="O857" s="26" t="str">
        <f>IFERROR(__xludf.DUMMYFUNCTION("""COMPUTED_VALUE"""),"No")</f>
        <v>No</v>
      </c>
      <c r="P857" s="26"/>
    </row>
    <row r="858">
      <c r="A858" s="81" t="str">
        <f>IFERROR(__xludf.DUMMYFUNCTION("""COMPUTED_VALUE"""),"Comet Crash")</f>
        <v>Comet Crash</v>
      </c>
      <c r="B858" s="82" t="str">
        <f>IFERROR(__xludf.DUMMYFUNCTION("""COMPUTED_VALUE"""),"PS3")</f>
        <v>PS3</v>
      </c>
      <c r="C858" s="83" t="str">
        <f>IFERROR(__xludf.DUMMYFUNCTION("""COMPUTED_VALUE"""),"Playstation Plus (Discontinued)")</f>
        <v>Playstation Plus (Discontinued)</v>
      </c>
      <c r="D858" s="82" t="str">
        <f>IFERROR(__xludf.DUMMYFUNCTION("""COMPUTED_VALUE"""),"Removed")</f>
        <v>Removed</v>
      </c>
      <c r="E858" s="84">
        <f>IFERROR(__xludf.DUMMYFUNCTION("""COMPUTED_VALUE"""),40603.0)</f>
        <v>40603</v>
      </c>
      <c r="F858" s="85">
        <f>IFERROR(__xludf.DUMMYFUNCTION("""COMPUTED_VALUE"""),40637.0)</f>
        <v>40637</v>
      </c>
      <c r="G858" s="86">
        <f>IFERROR(__xludf.DUMMYFUNCTION("""COMPUTED_VALUE"""),1.0999999999999999)</f>
        <v>1.1</v>
      </c>
      <c r="H858" s="84">
        <f>IFERROR(__xludf.DUMMYFUNCTION("""COMPUTED_VALUE"""),39849.0)</f>
        <v>39849</v>
      </c>
      <c r="I858" s="86">
        <f>IFERROR(__xludf.DUMMYFUNCTION("""COMPUTED_VALUE"""),2.0722222222222224)</f>
        <v>2.072222222</v>
      </c>
      <c r="J858" s="87">
        <f>IFERROR(__xludf.DUMMYFUNCTION("""COMPUTED_VALUE"""),75.0)</f>
        <v>75</v>
      </c>
      <c r="K858" s="88">
        <f>IFERROR(__xludf.DUMMYFUNCTION("""COMPUTED_VALUE"""),7.6)</f>
        <v>7.6</v>
      </c>
      <c r="L858" s="89"/>
      <c r="M858" s="26" t="str">
        <f>IFERROR(__xludf.DUMMYFUNCTION("""COMPUTED_VALUE"""),"Strategy")</f>
        <v>Strategy</v>
      </c>
      <c r="N858" s="26"/>
      <c r="O858" s="26" t="str">
        <f>IFERROR(__xludf.DUMMYFUNCTION("""COMPUTED_VALUE"""),"No")</f>
        <v>No</v>
      </c>
      <c r="P858" s="26"/>
    </row>
    <row r="859">
      <c r="A859" s="81" t="str">
        <f>IFERROR(__xludf.DUMMYFUNCTION("""COMPUTED_VALUE"""),"Oddworld: Abe’s Exoddus")</f>
        <v>Oddworld: Abe’s Exoddus</v>
      </c>
      <c r="B859" s="82" t="str">
        <f>IFERROR(__xludf.DUMMYFUNCTION("""COMPUTED_VALUE"""),"PS3")</f>
        <v>PS3</v>
      </c>
      <c r="C859" s="83" t="str">
        <f>IFERROR(__xludf.DUMMYFUNCTION("""COMPUTED_VALUE"""),"Playstation Plus (Discontinued)")</f>
        <v>Playstation Plus (Discontinued)</v>
      </c>
      <c r="D859" s="82" t="str">
        <f>IFERROR(__xludf.DUMMYFUNCTION("""COMPUTED_VALUE"""),"Removed")</f>
        <v>Removed</v>
      </c>
      <c r="E859" s="84">
        <f>IFERROR(__xludf.DUMMYFUNCTION("""COMPUTED_VALUE"""),40603.0)</f>
        <v>40603</v>
      </c>
      <c r="F859" s="85">
        <f>IFERROR(__xludf.DUMMYFUNCTION("""COMPUTED_VALUE"""),40637.0)</f>
        <v>40637</v>
      </c>
      <c r="G859" s="86">
        <f>IFERROR(__xludf.DUMMYFUNCTION("""COMPUTED_VALUE"""),1.0999999999999999)</f>
        <v>1.1</v>
      </c>
      <c r="H859" s="84">
        <f>IFERROR(__xludf.DUMMYFUNCTION("""COMPUTED_VALUE"""),36116.0)</f>
        <v>36116</v>
      </c>
      <c r="I859" s="86">
        <f>IFERROR(__xludf.DUMMYFUNCTION("""COMPUTED_VALUE"""),12.28888888888889)</f>
        <v>12.28888889</v>
      </c>
      <c r="J859" s="87">
        <f>IFERROR(__xludf.DUMMYFUNCTION("""COMPUTED_VALUE"""),88.0)</f>
        <v>88</v>
      </c>
      <c r="K859" s="88">
        <f>IFERROR(__xludf.DUMMYFUNCTION("""COMPUTED_VALUE"""),8.8)</f>
        <v>8.8</v>
      </c>
      <c r="L859" s="89">
        <f>IFERROR(__xludf.DUMMYFUNCTION("""COMPUTED_VALUE"""),13.0)</f>
        <v>13</v>
      </c>
      <c r="M859" s="26" t="str">
        <f>IFERROR(__xludf.DUMMYFUNCTION("""COMPUTED_VALUE"""),"Platformer")</f>
        <v>Platformer</v>
      </c>
      <c r="N859" s="26" t="str">
        <f>IFERROR(__xludf.DUMMYFUNCTION("""COMPUTED_VALUE"""),"PS1")</f>
        <v>PS1</v>
      </c>
      <c r="O859" s="26" t="str">
        <f>IFERROR(__xludf.DUMMYFUNCTION("""COMPUTED_VALUE"""),"No")</f>
        <v>No</v>
      </c>
      <c r="P859" s="26"/>
    </row>
    <row r="860">
      <c r="A860" s="81" t="str">
        <f>IFERROR(__xludf.DUMMYFUNCTION("""COMPUTED_VALUE"""),"Pix’n Love Rush")</f>
        <v>Pix’n Love Rush</v>
      </c>
      <c r="B860" s="82" t="str">
        <f>IFERROR(__xludf.DUMMYFUNCTION("""COMPUTED_VALUE"""),"PS3")</f>
        <v>PS3</v>
      </c>
      <c r="C860" s="83" t="str">
        <f>IFERROR(__xludf.DUMMYFUNCTION("""COMPUTED_VALUE"""),"Playstation Plus (Discontinued)")</f>
        <v>Playstation Plus (Discontinued)</v>
      </c>
      <c r="D860" s="82" t="str">
        <f>IFERROR(__xludf.DUMMYFUNCTION("""COMPUTED_VALUE"""),"Removed")</f>
        <v>Removed</v>
      </c>
      <c r="E860" s="84">
        <f>IFERROR(__xludf.DUMMYFUNCTION("""COMPUTED_VALUE"""),40603.0)</f>
        <v>40603</v>
      </c>
      <c r="F860" s="85">
        <f>IFERROR(__xludf.DUMMYFUNCTION("""COMPUTED_VALUE"""),40637.0)</f>
        <v>40637</v>
      </c>
      <c r="G860" s="86">
        <f>IFERROR(__xludf.DUMMYFUNCTION("""COMPUTED_VALUE"""),1.0999999999999999)</f>
        <v>1.1</v>
      </c>
      <c r="H860" s="84">
        <f>IFERROR(__xludf.DUMMYFUNCTION("""COMPUTED_VALUE"""),40414.0)</f>
        <v>40414</v>
      </c>
      <c r="I860" s="86">
        <f>IFERROR(__xludf.DUMMYFUNCTION("""COMPUTED_VALUE"""),0.5194444444444445)</f>
        <v>0.5194444444</v>
      </c>
      <c r="J860" s="87">
        <f>IFERROR(__xludf.DUMMYFUNCTION("""COMPUTED_VALUE"""),74.0)</f>
        <v>74</v>
      </c>
      <c r="K860" s="88">
        <f>IFERROR(__xludf.DUMMYFUNCTION("""COMPUTED_VALUE"""),7.2)</f>
        <v>7.2</v>
      </c>
      <c r="L860" s="89">
        <f>IFERROR(__xludf.DUMMYFUNCTION("""COMPUTED_VALUE"""),2.0)</f>
        <v>2</v>
      </c>
      <c r="M860" s="26" t="str">
        <f>IFERROR(__xludf.DUMMYFUNCTION("""COMPUTED_VALUE"""),"Platformer")</f>
        <v>Platformer</v>
      </c>
      <c r="N860" s="26" t="str">
        <f>IFERROR(__xludf.DUMMYFUNCTION("""COMPUTED_VALUE"""),"PS Minis")</f>
        <v>PS Minis</v>
      </c>
      <c r="O860" s="26" t="str">
        <f>IFERROR(__xludf.DUMMYFUNCTION("""COMPUTED_VALUE"""),"No")</f>
        <v>No</v>
      </c>
      <c r="P860" s="26"/>
    </row>
    <row r="861">
      <c r="A861" s="81" t="str">
        <f>IFERROR(__xludf.DUMMYFUNCTION("""COMPUTED_VALUE"""),"Enigmo")</f>
        <v>Enigmo</v>
      </c>
      <c r="B861" s="82" t="str">
        <f>IFERROR(__xludf.DUMMYFUNCTION("""COMPUTED_VALUE"""),"PS3")</f>
        <v>PS3</v>
      </c>
      <c r="C861" s="83" t="str">
        <f>IFERROR(__xludf.DUMMYFUNCTION("""COMPUTED_VALUE"""),"Playstation Plus (Discontinued)")</f>
        <v>Playstation Plus (Discontinued)</v>
      </c>
      <c r="D861" s="82" t="str">
        <f>IFERROR(__xludf.DUMMYFUNCTION("""COMPUTED_VALUE"""),"Removed")</f>
        <v>Removed</v>
      </c>
      <c r="E861" s="84">
        <f>IFERROR(__xludf.DUMMYFUNCTION("""COMPUTED_VALUE"""),40603.0)</f>
        <v>40603</v>
      </c>
      <c r="F861" s="85">
        <f>IFERROR(__xludf.DUMMYFUNCTION("""COMPUTED_VALUE"""),40637.0)</f>
        <v>40637</v>
      </c>
      <c r="G861" s="86">
        <f>IFERROR(__xludf.DUMMYFUNCTION("""COMPUTED_VALUE"""),1.0999999999999999)</f>
        <v>1.1</v>
      </c>
      <c r="H861" s="84">
        <f>IFERROR(__xludf.DUMMYFUNCTION("""COMPUTED_VALUE"""),39996.0)</f>
        <v>39996</v>
      </c>
      <c r="I861" s="86">
        <f>IFERROR(__xludf.DUMMYFUNCTION("""COMPUTED_VALUE"""),1.663888888888889)</f>
        <v>1.663888889</v>
      </c>
      <c r="J861" s="87">
        <f>IFERROR(__xludf.DUMMYFUNCTION("""COMPUTED_VALUE"""),78.0)</f>
        <v>78</v>
      </c>
      <c r="K861" s="88">
        <f>IFERROR(__xludf.DUMMYFUNCTION("""COMPUTED_VALUE"""),7.1)</f>
        <v>7.1</v>
      </c>
      <c r="L861" s="89">
        <f>IFERROR(__xludf.DUMMYFUNCTION("""COMPUTED_VALUE"""),4.0)</f>
        <v>4</v>
      </c>
      <c r="M861" s="26" t="str">
        <f>IFERROR(__xludf.DUMMYFUNCTION("""COMPUTED_VALUE"""),"Puzzle")</f>
        <v>Puzzle</v>
      </c>
      <c r="N861" s="26" t="str">
        <f>IFERROR(__xludf.DUMMYFUNCTION("""COMPUTED_VALUE"""),"PS Minis")</f>
        <v>PS Minis</v>
      </c>
      <c r="O861" s="26" t="str">
        <f>IFERROR(__xludf.DUMMYFUNCTION("""COMPUTED_VALUE"""),"No")</f>
        <v>No</v>
      </c>
      <c r="P861" s="26"/>
    </row>
    <row r="862">
      <c r="A862" s="81" t="str">
        <f>IFERROR(__xludf.DUMMYFUNCTION("""COMPUTED_VALUE"""),"Sonic the Hedgehog")</f>
        <v>Sonic the Hedgehog</v>
      </c>
      <c r="B862" s="82" t="str">
        <f>IFERROR(__xludf.DUMMYFUNCTION("""COMPUTED_VALUE"""),"PS3")</f>
        <v>PS3</v>
      </c>
      <c r="C862" s="83" t="str">
        <f>IFERROR(__xludf.DUMMYFUNCTION("""COMPUTED_VALUE"""),"Playstation Plus (Discontinued)")</f>
        <v>Playstation Plus (Discontinued)</v>
      </c>
      <c r="D862" s="82" t="str">
        <f>IFERROR(__xludf.DUMMYFUNCTION("""COMPUTED_VALUE"""),"Removed")</f>
        <v>Removed</v>
      </c>
      <c r="E862" s="84">
        <f>IFERROR(__xludf.DUMMYFUNCTION("""COMPUTED_VALUE"""),40603.0)</f>
        <v>40603</v>
      </c>
      <c r="F862" s="85">
        <f>IFERROR(__xludf.DUMMYFUNCTION("""COMPUTED_VALUE"""),40637.0)</f>
        <v>40637</v>
      </c>
      <c r="G862" s="86">
        <f>IFERROR(__xludf.DUMMYFUNCTION("""COMPUTED_VALUE"""),1.0999999999999999)</f>
        <v>1.1</v>
      </c>
      <c r="H862" s="84">
        <f>IFERROR(__xludf.DUMMYFUNCTION("""COMPUTED_VALUE"""),33412.0)</f>
        <v>33412</v>
      </c>
      <c r="I862" s="86">
        <f>IFERROR(__xludf.DUMMYFUNCTION("""COMPUTED_VALUE"""),19.68888888888889)</f>
        <v>19.68888889</v>
      </c>
      <c r="J862" s="87">
        <f>IFERROR(__xludf.DUMMYFUNCTION("""COMPUTED_VALUE"""),50.0)</f>
        <v>50</v>
      </c>
      <c r="K862" s="88">
        <f>IFERROR(__xludf.DUMMYFUNCTION("""COMPUTED_VALUE"""),7.2)</f>
        <v>7.2</v>
      </c>
      <c r="L862" s="89">
        <f>IFERROR(__xludf.DUMMYFUNCTION("""COMPUTED_VALUE"""),3.0)</f>
        <v>3</v>
      </c>
      <c r="M862" s="26" t="str">
        <f>IFERROR(__xludf.DUMMYFUNCTION("""COMPUTED_VALUE"""),"Platformer")</f>
        <v>Platformer</v>
      </c>
      <c r="N862" s="26"/>
      <c r="O862" s="26" t="str">
        <f>IFERROR(__xludf.DUMMYFUNCTION("""COMPUTED_VALUE"""),"No")</f>
        <v>No</v>
      </c>
      <c r="P862" s="26"/>
    </row>
    <row r="863">
      <c r="A863" s="81" t="str">
        <f>IFERROR(__xludf.DUMMYFUNCTION("""COMPUTED_VALUE"""),"Spyro Year of the Dragon")</f>
        <v>Spyro Year of the Dragon</v>
      </c>
      <c r="B863" s="82" t="str">
        <f>IFERROR(__xludf.DUMMYFUNCTION("""COMPUTED_VALUE"""),"PS3")</f>
        <v>PS3</v>
      </c>
      <c r="C863" s="83" t="str">
        <f>IFERROR(__xludf.DUMMYFUNCTION("""COMPUTED_VALUE"""),"Playstation Plus (Discontinued)")</f>
        <v>Playstation Plus (Discontinued)</v>
      </c>
      <c r="D863" s="82" t="str">
        <f>IFERROR(__xludf.DUMMYFUNCTION("""COMPUTED_VALUE"""),"Removed")</f>
        <v>Removed</v>
      </c>
      <c r="E863" s="84">
        <f>IFERROR(__xludf.DUMMYFUNCTION("""COMPUTED_VALUE"""),40603.0)</f>
        <v>40603</v>
      </c>
      <c r="F863" s="85">
        <f>IFERROR(__xludf.DUMMYFUNCTION("""COMPUTED_VALUE"""),40637.0)</f>
        <v>40637</v>
      </c>
      <c r="G863" s="86">
        <f>IFERROR(__xludf.DUMMYFUNCTION("""COMPUTED_VALUE"""),1.0999999999999999)</f>
        <v>1.1</v>
      </c>
      <c r="H863" s="84">
        <f>IFERROR(__xludf.DUMMYFUNCTION("""COMPUTED_VALUE"""),36854.0)</f>
        <v>36854</v>
      </c>
      <c r="I863" s="86">
        <f>IFERROR(__xludf.DUMMYFUNCTION("""COMPUTED_VALUE"""),10.269444444444444)</f>
        <v>10.26944444</v>
      </c>
      <c r="J863" s="87">
        <f>IFERROR(__xludf.DUMMYFUNCTION("""COMPUTED_VALUE"""),91.0)</f>
        <v>91</v>
      </c>
      <c r="K863" s="88">
        <f>IFERROR(__xludf.DUMMYFUNCTION("""COMPUTED_VALUE"""),9.1)</f>
        <v>9.1</v>
      </c>
      <c r="L863" s="89">
        <f>IFERROR(__xludf.DUMMYFUNCTION("""COMPUTED_VALUE"""),16.0)</f>
        <v>16</v>
      </c>
      <c r="M863" s="26" t="str">
        <f>IFERROR(__xludf.DUMMYFUNCTION("""COMPUTED_VALUE"""),"Platformer")</f>
        <v>Platformer</v>
      </c>
      <c r="N863" s="26" t="str">
        <f>IFERROR(__xludf.DUMMYFUNCTION("""COMPUTED_VALUE"""),"PS1")</f>
        <v>PS1</v>
      </c>
      <c r="O863" s="26" t="str">
        <f>IFERROR(__xludf.DUMMYFUNCTION("""COMPUTED_VALUE"""),"No")</f>
        <v>No</v>
      </c>
      <c r="P863" s="26"/>
    </row>
    <row r="864">
      <c r="A864" s="81" t="str">
        <f>IFERROR(__xludf.DUMMYFUNCTION("""COMPUTED_VALUE"""),"Stacking")</f>
        <v>Stacking</v>
      </c>
      <c r="B864" s="82" t="str">
        <f>IFERROR(__xludf.DUMMYFUNCTION("""COMPUTED_VALUE"""),"PS3")</f>
        <v>PS3</v>
      </c>
      <c r="C864" s="83" t="str">
        <f>IFERROR(__xludf.DUMMYFUNCTION("""COMPUTED_VALUE"""),"Playstation Plus (Discontinued)")</f>
        <v>Playstation Plus (Discontinued)</v>
      </c>
      <c r="D864" s="82" t="str">
        <f>IFERROR(__xludf.DUMMYFUNCTION("""COMPUTED_VALUE"""),"Removed")</f>
        <v>Removed</v>
      </c>
      <c r="E864" s="84">
        <f>IFERROR(__xludf.DUMMYFUNCTION("""COMPUTED_VALUE"""),40582.0)</f>
        <v>40582</v>
      </c>
      <c r="F864" s="85">
        <f>IFERROR(__xludf.DUMMYFUNCTION("""COMPUTED_VALUE"""),40602.0)</f>
        <v>40602</v>
      </c>
      <c r="G864" s="86">
        <f>IFERROR(__xludf.DUMMYFUNCTION("""COMPUTED_VALUE"""),0.6666666666666666)</f>
        <v>0.6666666667</v>
      </c>
      <c r="H864" s="84">
        <f>IFERROR(__xludf.DUMMYFUNCTION("""COMPUTED_VALUE"""),40582.0)</f>
        <v>40582</v>
      </c>
      <c r="I864" s="86">
        <f>IFERROR(__xludf.DUMMYFUNCTION("""COMPUTED_VALUE"""),0.0)</f>
        <v>0</v>
      </c>
      <c r="J864" s="87">
        <f>IFERROR(__xludf.DUMMYFUNCTION("""COMPUTED_VALUE"""),82.0)</f>
        <v>82</v>
      </c>
      <c r="K864" s="88">
        <f>IFERROR(__xludf.DUMMYFUNCTION("""COMPUTED_VALUE"""),7.6)</f>
        <v>7.6</v>
      </c>
      <c r="L864" s="89">
        <f>IFERROR(__xludf.DUMMYFUNCTION("""COMPUTED_VALUE"""),4.0)</f>
        <v>4</v>
      </c>
      <c r="M864" s="26" t="str">
        <f>IFERROR(__xludf.DUMMYFUNCTION("""COMPUTED_VALUE"""),"Adventure")</f>
        <v>Adventure</v>
      </c>
      <c r="N864" s="26"/>
      <c r="O864" s="26" t="str">
        <f>IFERROR(__xludf.DUMMYFUNCTION("""COMPUTED_VALUE"""),"No")</f>
        <v>No</v>
      </c>
      <c r="P864" s="26"/>
    </row>
    <row r="865">
      <c r="A865" s="81" t="str">
        <f>IFERROR(__xludf.DUMMYFUNCTION("""COMPUTED_VALUE"""),"Let’s Golf")</f>
        <v>Let’s Golf</v>
      </c>
      <c r="B865" s="82" t="str">
        <f>IFERROR(__xludf.DUMMYFUNCTION("""COMPUTED_VALUE"""),"PS3")</f>
        <v>PS3</v>
      </c>
      <c r="C865" s="83" t="str">
        <f>IFERROR(__xludf.DUMMYFUNCTION("""COMPUTED_VALUE"""),"Playstation Plus (Discontinued)")</f>
        <v>Playstation Plus (Discontinued)</v>
      </c>
      <c r="D865" s="82" t="str">
        <f>IFERROR(__xludf.DUMMYFUNCTION("""COMPUTED_VALUE"""),"Removed")</f>
        <v>Removed</v>
      </c>
      <c r="E865" s="84">
        <f>IFERROR(__xludf.DUMMYFUNCTION("""COMPUTED_VALUE"""),40575.0)</f>
        <v>40575</v>
      </c>
      <c r="F865" s="85">
        <f>IFERROR(__xludf.DUMMYFUNCTION("""COMPUTED_VALUE"""),40602.0)</f>
        <v>40602</v>
      </c>
      <c r="G865" s="86">
        <f>IFERROR(__xludf.DUMMYFUNCTION("""COMPUTED_VALUE"""),0.8999999999999999)</f>
        <v>0.9</v>
      </c>
      <c r="H865" s="84">
        <f>IFERROR(__xludf.DUMMYFUNCTION("""COMPUTED_VALUE"""),40414.0)</f>
        <v>40414</v>
      </c>
      <c r="I865" s="86">
        <f>IFERROR(__xludf.DUMMYFUNCTION("""COMPUTED_VALUE"""),0.4361111111111111)</f>
        <v>0.4361111111</v>
      </c>
      <c r="J865" s="87">
        <f>IFERROR(__xludf.DUMMYFUNCTION("""COMPUTED_VALUE"""),72.0)</f>
        <v>72</v>
      </c>
      <c r="K865" s="88">
        <f>IFERROR(__xludf.DUMMYFUNCTION("""COMPUTED_VALUE"""),7.2)</f>
        <v>7.2</v>
      </c>
      <c r="L865" s="89"/>
      <c r="M865" s="26" t="str">
        <f>IFERROR(__xludf.DUMMYFUNCTION("""COMPUTED_VALUE"""),"Sports")</f>
        <v>Sports</v>
      </c>
      <c r="N865" s="26" t="str">
        <f>IFERROR(__xludf.DUMMYFUNCTION("""COMPUTED_VALUE"""),"PS Minis")</f>
        <v>PS Minis</v>
      </c>
      <c r="O865" s="26" t="str">
        <f>IFERROR(__xludf.DUMMYFUNCTION("""COMPUTED_VALUE"""),"No")</f>
        <v>No</v>
      </c>
      <c r="P865" s="26"/>
    </row>
    <row r="866">
      <c r="A866" s="81" t="str">
        <f>IFERROR(__xludf.DUMMYFUNCTION("""COMPUTED_VALUE"""),"Karimogi")</f>
        <v>Karimogi</v>
      </c>
      <c r="B866" s="82" t="str">
        <f>IFERROR(__xludf.DUMMYFUNCTION("""COMPUTED_VALUE"""),"PS3")</f>
        <v>PS3</v>
      </c>
      <c r="C866" s="83" t="str">
        <f>IFERROR(__xludf.DUMMYFUNCTION("""COMPUTED_VALUE"""),"Playstation Plus (Discontinued)")</f>
        <v>Playstation Plus (Discontinued)</v>
      </c>
      <c r="D866" s="82" t="str">
        <f>IFERROR(__xludf.DUMMYFUNCTION("""COMPUTED_VALUE"""),"Removed")</f>
        <v>Removed</v>
      </c>
      <c r="E866" s="84">
        <f>IFERROR(__xludf.DUMMYFUNCTION("""COMPUTED_VALUE"""),40575.0)</f>
        <v>40575</v>
      </c>
      <c r="F866" s="85">
        <f>IFERROR(__xludf.DUMMYFUNCTION("""COMPUTED_VALUE"""),40602.0)</f>
        <v>40602</v>
      </c>
      <c r="G866" s="86">
        <f>IFERROR(__xludf.DUMMYFUNCTION("""COMPUTED_VALUE"""),0.8999999999999999)</f>
        <v>0.9</v>
      </c>
      <c r="H866" s="84">
        <f>IFERROR(__xludf.DUMMYFUNCTION("""COMPUTED_VALUE"""),40561.0)</f>
        <v>40561</v>
      </c>
      <c r="I866" s="86">
        <f>IFERROR(__xludf.DUMMYFUNCTION("""COMPUTED_VALUE"""),0.03611111111111111)</f>
        <v>0.03611111111</v>
      </c>
      <c r="J866" s="87">
        <f>IFERROR(__xludf.DUMMYFUNCTION("""COMPUTED_VALUE"""),55.0)</f>
        <v>55</v>
      </c>
      <c r="K866" s="88">
        <f>IFERROR(__xludf.DUMMYFUNCTION("""COMPUTED_VALUE"""),6.2)</f>
        <v>6.2</v>
      </c>
      <c r="L866" s="89">
        <f>IFERROR(__xludf.DUMMYFUNCTION("""COMPUTED_VALUE"""),1.0)</f>
        <v>1</v>
      </c>
      <c r="M866" s="26" t="str">
        <f>IFERROR(__xludf.DUMMYFUNCTION("""COMPUTED_VALUE"""),"Puzzle")</f>
        <v>Puzzle</v>
      </c>
      <c r="N866" s="26" t="str">
        <f>IFERROR(__xludf.DUMMYFUNCTION("""COMPUTED_VALUE"""),"PS Minis")</f>
        <v>PS Minis</v>
      </c>
      <c r="O866" s="26" t="str">
        <f>IFERROR(__xludf.DUMMYFUNCTION("""COMPUTED_VALUE"""),"No")</f>
        <v>No</v>
      </c>
      <c r="P866" s="26"/>
    </row>
    <row r="867">
      <c r="A867" s="81" t="str">
        <f>IFERROR(__xludf.DUMMYFUNCTION("""COMPUTED_VALUE"""),"Digger HD")</f>
        <v>Digger HD</v>
      </c>
      <c r="B867" s="82" t="str">
        <f>IFERROR(__xludf.DUMMYFUNCTION("""COMPUTED_VALUE"""),"PS3")</f>
        <v>PS3</v>
      </c>
      <c r="C867" s="83" t="str">
        <f>IFERROR(__xludf.DUMMYFUNCTION("""COMPUTED_VALUE"""),"Playstation Plus (Discontinued)")</f>
        <v>Playstation Plus (Discontinued)</v>
      </c>
      <c r="D867" s="82" t="str">
        <f>IFERROR(__xludf.DUMMYFUNCTION("""COMPUTED_VALUE"""),"Removed")</f>
        <v>Removed</v>
      </c>
      <c r="E867" s="84">
        <f>IFERROR(__xludf.DUMMYFUNCTION("""COMPUTED_VALUE"""),40575.0)</f>
        <v>40575</v>
      </c>
      <c r="F867" s="85">
        <f>IFERROR(__xludf.DUMMYFUNCTION("""COMPUTED_VALUE"""),40602.0)</f>
        <v>40602</v>
      </c>
      <c r="G867" s="86">
        <f>IFERROR(__xludf.DUMMYFUNCTION("""COMPUTED_VALUE"""),0.8999999999999999)</f>
        <v>0.9</v>
      </c>
      <c r="H867" s="84">
        <f>IFERROR(__xludf.DUMMYFUNCTION("""COMPUTED_VALUE"""),40087.0)</f>
        <v>40087</v>
      </c>
      <c r="I867" s="86">
        <f>IFERROR(__xludf.DUMMYFUNCTION("""COMPUTED_VALUE"""),1.3333333333333333)</f>
        <v>1.333333333</v>
      </c>
      <c r="J867" s="87">
        <f>IFERROR(__xludf.DUMMYFUNCTION("""COMPUTED_VALUE"""),58.0)</f>
        <v>58</v>
      </c>
      <c r="K867" s="88">
        <f>IFERROR(__xludf.DUMMYFUNCTION("""COMPUTED_VALUE"""),6.3)</f>
        <v>6.3</v>
      </c>
      <c r="L867" s="89"/>
      <c r="M867" s="26" t="str">
        <f>IFERROR(__xludf.DUMMYFUNCTION("""COMPUTED_VALUE"""),"Arcade")</f>
        <v>Arcade</v>
      </c>
      <c r="N867" s="26"/>
      <c r="O867" s="26" t="str">
        <f>IFERROR(__xludf.DUMMYFUNCTION("""COMPUTED_VALUE"""),"No")</f>
        <v>No</v>
      </c>
      <c r="P867" s="26"/>
    </row>
    <row r="868">
      <c r="A868" s="81" t="str">
        <f>IFERROR(__xludf.DUMMYFUNCTION("""COMPUTED_VALUE"""),"Spyro 2: Ripto’s Rage")</f>
        <v>Spyro 2: Ripto’s Rage</v>
      </c>
      <c r="B868" s="82" t="str">
        <f>IFERROR(__xludf.DUMMYFUNCTION("""COMPUTED_VALUE"""),"PS3")</f>
        <v>PS3</v>
      </c>
      <c r="C868" s="83" t="str">
        <f>IFERROR(__xludf.DUMMYFUNCTION("""COMPUTED_VALUE"""),"Playstation Plus (Discontinued)")</f>
        <v>Playstation Plus (Discontinued)</v>
      </c>
      <c r="D868" s="82" t="str">
        <f>IFERROR(__xludf.DUMMYFUNCTION("""COMPUTED_VALUE"""),"Removed")</f>
        <v>Removed</v>
      </c>
      <c r="E868" s="84">
        <f>IFERROR(__xludf.DUMMYFUNCTION("""COMPUTED_VALUE"""),40575.0)</f>
        <v>40575</v>
      </c>
      <c r="F868" s="85">
        <f>IFERROR(__xludf.DUMMYFUNCTION("""COMPUTED_VALUE"""),40602.0)</f>
        <v>40602</v>
      </c>
      <c r="G868" s="86">
        <f>IFERROR(__xludf.DUMMYFUNCTION("""COMPUTED_VALUE"""),0.8999999999999999)</f>
        <v>0.9</v>
      </c>
      <c r="H868" s="84">
        <f>IFERROR(__xludf.DUMMYFUNCTION("""COMPUTED_VALUE"""),36466.0)</f>
        <v>36466</v>
      </c>
      <c r="I868" s="86">
        <f>IFERROR(__xludf.DUMMYFUNCTION("""COMPUTED_VALUE"""),11.247222222222222)</f>
        <v>11.24722222</v>
      </c>
      <c r="J868" s="87">
        <f>IFERROR(__xludf.DUMMYFUNCTION("""COMPUTED_VALUE"""),87.0)</f>
        <v>87</v>
      </c>
      <c r="K868" s="88">
        <f>IFERROR(__xludf.DUMMYFUNCTION("""COMPUTED_VALUE"""),8.9)</f>
        <v>8.9</v>
      </c>
      <c r="L868" s="89">
        <f>IFERROR(__xludf.DUMMYFUNCTION("""COMPUTED_VALUE"""),13.0)</f>
        <v>13</v>
      </c>
      <c r="M868" s="26" t="str">
        <f>IFERROR(__xludf.DUMMYFUNCTION("""COMPUTED_VALUE"""),"Platformer")</f>
        <v>Platformer</v>
      </c>
      <c r="N868" s="26" t="str">
        <f>IFERROR(__xludf.DUMMYFUNCTION("""COMPUTED_VALUE"""),"PS1")</f>
        <v>PS1</v>
      </c>
      <c r="O868" s="26" t="str">
        <f>IFERROR(__xludf.DUMMYFUNCTION("""COMPUTED_VALUE"""),"No")</f>
        <v>No</v>
      </c>
      <c r="P868" s="26"/>
    </row>
    <row r="869">
      <c r="A869" s="81" t="str">
        <f>IFERROR(__xludf.DUMMYFUNCTION("""COMPUTED_VALUE"""),"Hero of Sparta")</f>
        <v>Hero of Sparta</v>
      </c>
      <c r="B869" s="82" t="str">
        <f>IFERROR(__xludf.DUMMYFUNCTION("""COMPUTED_VALUE"""),"PS3")</f>
        <v>PS3</v>
      </c>
      <c r="C869" s="83" t="str">
        <f>IFERROR(__xludf.DUMMYFUNCTION("""COMPUTED_VALUE"""),"Playstation Plus (Discontinued)")</f>
        <v>Playstation Plus (Discontinued)</v>
      </c>
      <c r="D869" s="82" t="str">
        <f>IFERROR(__xludf.DUMMYFUNCTION("""COMPUTED_VALUE"""),"Removed")</f>
        <v>Removed</v>
      </c>
      <c r="E869" s="84">
        <f>IFERROR(__xludf.DUMMYFUNCTION("""COMPUTED_VALUE"""),40547.0)</f>
        <v>40547</v>
      </c>
      <c r="F869" s="85">
        <f>IFERROR(__xludf.DUMMYFUNCTION("""COMPUTED_VALUE"""),40574.0)</f>
        <v>40574</v>
      </c>
      <c r="G869" s="86">
        <f>IFERROR(__xludf.DUMMYFUNCTION("""COMPUTED_VALUE"""),0.8666666666666666)</f>
        <v>0.8666666667</v>
      </c>
      <c r="H869" s="84">
        <f>IFERROR(__xludf.DUMMYFUNCTION("""COMPUTED_VALUE"""),40087.0)</f>
        <v>40087</v>
      </c>
      <c r="I869" s="86">
        <f>IFERROR(__xludf.DUMMYFUNCTION("""COMPUTED_VALUE"""),1.2583333333333333)</f>
        <v>1.258333333</v>
      </c>
      <c r="J869" s="87">
        <f>IFERROR(__xludf.DUMMYFUNCTION("""COMPUTED_VALUE"""),62.0)</f>
        <v>62</v>
      </c>
      <c r="K869" s="88">
        <f>IFERROR(__xludf.DUMMYFUNCTION("""COMPUTED_VALUE"""),6.5)</f>
        <v>6.5</v>
      </c>
      <c r="L869" s="89">
        <f>IFERROR(__xludf.DUMMYFUNCTION("""COMPUTED_VALUE"""),3.0)</f>
        <v>3</v>
      </c>
      <c r="M869" s="26" t="str">
        <f>IFERROR(__xludf.DUMMYFUNCTION("""COMPUTED_VALUE"""),"Action-Adventure")</f>
        <v>Action-Adventure</v>
      </c>
      <c r="N869" s="26" t="str">
        <f>IFERROR(__xludf.DUMMYFUNCTION("""COMPUTED_VALUE"""),"PS Minis")</f>
        <v>PS Minis</v>
      </c>
      <c r="O869" s="26" t="str">
        <f>IFERROR(__xludf.DUMMYFUNCTION("""COMPUTED_VALUE"""),"No")</f>
        <v>No</v>
      </c>
      <c r="P869" s="26"/>
    </row>
    <row r="870">
      <c r="A870" s="81" t="str">
        <f>IFERROR(__xludf.DUMMYFUNCTION("""COMPUTED_VALUE"""),"Pipe Madness")</f>
        <v>Pipe Madness</v>
      </c>
      <c r="B870" s="82" t="str">
        <f>IFERROR(__xludf.DUMMYFUNCTION("""COMPUTED_VALUE"""),"PS3")</f>
        <v>PS3</v>
      </c>
      <c r="C870" s="83" t="str">
        <f>IFERROR(__xludf.DUMMYFUNCTION("""COMPUTED_VALUE"""),"Playstation Plus (Discontinued)")</f>
        <v>Playstation Plus (Discontinued)</v>
      </c>
      <c r="D870" s="82" t="str">
        <f>IFERROR(__xludf.DUMMYFUNCTION("""COMPUTED_VALUE"""),"Removed")</f>
        <v>Removed</v>
      </c>
      <c r="E870" s="84">
        <f>IFERROR(__xludf.DUMMYFUNCTION("""COMPUTED_VALUE"""),40547.0)</f>
        <v>40547</v>
      </c>
      <c r="F870" s="85">
        <f>IFERROR(__xludf.DUMMYFUNCTION("""COMPUTED_VALUE"""),40574.0)</f>
        <v>40574</v>
      </c>
      <c r="G870" s="86">
        <f>IFERROR(__xludf.DUMMYFUNCTION("""COMPUTED_VALUE"""),0.8666666666666666)</f>
        <v>0.8666666667</v>
      </c>
      <c r="H870" s="84">
        <f>IFERROR(__xludf.DUMMYFUNCTION("""COMPUTED_VALUE"""),40547.0)</f>
        <v>40547</v>
      </c>
      <c r="I870" s="86">
        <f>IFERROR(__xludf.DUMMYFUNCTION("""COMPUTED_VALUE"""),0.0)</f>
        <v>0</v>
      </c>
      <c r="J870" s="87">
        <f>IFERROR(__xludf.DUMMYFUNCTION("""COMPUTED_VALUE"""),59.0)</f>
        <v>59</v>
      </c>
      <c r="K870" s="88">
        <f>IFERROR(__xludf.DUMMYFUNCTION("""COMPUTED_VALUE"""),6.5)</f>
        <v>6.5</v>
      </c>
      <c r="L870" s="89">
        <f>IFERROR(__xludf.DUMMYFUNCTION("""COMPUTED_VALUE"""),2.0)</f>
        <v>2</v>
      </c>
      <c r="M870" s="26" t="str">
        <f>IFERROR(__xludf.DUMMYFUNCTION("""COMPUTED_VALUE"""),"Puzzle")</f>
        <v>Puzzle</v>
      </c>
      <c r="N870" s="26" t="str">
        <f>IFERROR(__xludf.DUMMYFUNCTION("""COMPUTED_VALUE"""),"PS Minis")</f>
        <v>PS Minis</v>
      </c>
      <c r="O870" s="26" t="str">
        <f>IFERROR(__xludf.DUMMYFUNCTION("""COMPUTED_VALUE"""),"No")</f>
        <v>No</v>
      </c>
      <c r="P870" s="26"/>
    </row>
    <row r="871">
      <c r="A871" s="81" t="str">
        <f>IFERROR(__xludf.DUMMYFUNCTION("""COMPUTED_VALUE"""),"Lead &amp; Gold")</f>
        <v>Lead &amp; Gold</v>
      </c>
      <c r="B871" s="82" t="str">
        <f>IFERROR(__xludf.DUMMYFUNCTION("""COMPUTED_VALUE"""),"PS3")</f>
        <v>PS3</v>
      </c>
      <c r="C871" s="83" t="str">
        <f>IFERROR(__xludf.DUMMYFUNCTION("""COMPUTED_VALUE"""),"Playstation Plus (Discontinued)")</f>
        <v>Playstation Plus (Discontinued)</v>
      </c>
      <c r="D871" s="82" t="str">
        <f>IFERROR(__xludf.DUMMYFUNCTION("""COMPUTED_VALUE"""),"Removed")</f>
        <v>Removed</v>
      </c>
      <c r="E871" s="84">
        <f>IFERROR(__xludf.DUMMYFUNCTION("""COMPUTED_VALUE"""),40547.0)</f>
        <v>40547</v>
      </c>
      <c r="F871" s="85">
        <f>IFERROR(__xludf.DUMMYFUNCTION("""COMPUTED_VALUE"""),40574.0)</f>
        <v>40574</v>
      </c>
      <c r="G871" s="86">
        <f>IFERROR(__xludf.DUMMYFUNCTION("""COMPUTED_VALUE"""),0.8666666666666666)</f>
        <v>0.8666666667</v>
      </c>
      <c r="H871" s="84">
        <f>IFERROR(__xludf.DUMMYFUNCTION("""COMPUTED_VALUE"""),40276.0)</f>
        <v>40276</v>
      </c>
      <c r="I871" s="86">
        <f>IFERROR(__xludf.DUMMYFUNCTION("""COMPUTED_VALUE"""),0.7388888888888889)</f>
        <v>0.7388888889</v>
      </c>
      <c r="J871" s="87">
        <f>IFERROR(__xludf.DUMMYFUNCTION("""COMPUTED_VALUE"""),75.0)</f>
        <v>75</v>
      </c>
      <c r="K871" s="88">
        <f>IFERROR(__xludf.DUMMYFUNCTION("""COMPUTED_VALUE"""),7.1)</f>
        <v>7.1</v>
      </c>
      <c r="L871" s="89"/>
      <c r="M871" s="26" t="str">
        <f>IFERROR(__xludf.DUMMYFUNCTION("""COMPUTED_VALUE"""),"Shooter")</f>
        <v>Shooter</v>
      </c>
      <c r="N871" s="26"/>
      <c r="O871" s="26" t="str">
        <f>IFERROR(__xludf.DUMMYFUNCTION("""COMPUTED_VALUE"""),"No")</f>
        <v>No</v>
      </c>
      <c r="P871" s="26"/>
    </row>
    <row r="872">
      <c r="A872" s="81" t="str">
        <f>IFERROR(__xludf.DUMMYFUNCTION("""COMPUTED_VALUE"""),"Spyro the Dragon")</f>
        <v>Spyro the Dragon</v>
      </c>
      <c r="B872" s="82" t="str">
        <f>IFERROR(__xludf.DUMMYFUNCTION("""COMPUTED_VALUE"""),"PS3")</f>
        <v>PS3</v>
      </c>
      <c r="C872" s="83" t="str">
        <f>IFERROR(__xludf.DUMMYFUNCTION("""COMPUTED_VALUE"""),"Playstation Plus (Discontinued)")</f>
        <v>Playstation Plus (Discontinued)</v>
      </c>
      <c r="D872" s="82" t="str">
        <f>IFERROR(__xludf.DUMMYFUNCTION("""COMPUTED_VALUE"""),"Removed")</f>
        <v>Removed</v>
      </c>
      <c r="E872" s="84">
        <f>IFERROR(__xludf.DUMMYFUNCTION("""COMPUTED_VALUE"""),40547.0)</f>
        <v>40547</v>
      </c>
      <c r="F872" s="85">
        <f>IFERROR(__xludf.DUMMYFUNCTION("""COMPUTED_VALUE"""),40574.0)</f>
        <v>40574</v>
      </c>
      <c r="G872" s="86">
        <f>IFERROR(__xludf.DUMMYFUNCTION("""COMPUTED_VALUE"""),0.8666666666666666)</f>
        <v>0.8666666667</v>
      </c>
      <c r="H872" s="84">
        <f>IFERROR(__xludf.DUMMYFUNCTION("""COMPUTED_VALUE"""),36047.0)</f>
        <v>36047</v>
      </c>
      <c r="I872" s="86">
        <f>IFERROR(__xludf.DUMMYFUNCTION("""COMPUTED_VALUE"""),12.319444444444445)</f>
        <v>12.31944444</v>
      </c>
      <c r="J872" s="87">
        <f>IFERROR(__xludf.DUMMYFUNCTION("""COMPUTED_VALUE"""),91.0)</f>
        <v>91</v>
      </c>
      <c r="K872" s="88">
        <f>IFERROR(__xludf.DUMMYFUNCTION("""COMPUTED_VALUE"""),9.1)</f>
        <v>9.1</v>
      </c>
      <c r="L872" s="89">
        <f>IFERROR(__xludf.DUMMYFUNCTION("""COMPUTED_VALUE"""),13.0)</f>
        <v>13</v>
      </c>
      <c r="M872" s="26" t="str">
        <f>IFERROR(__xludf.DUMMYFUNCTION("""COMPUTED_VALUE"""),"Platformer")</f>
        <v>Platformer</v>
      </c>
      <c r="N872" s="26" t="str">
        <f>IFERROR(__xludf.DUMMYFUNCTION("""COMPUTED_VALUE"""),"PS1")</f>
        <v>PS1</v>
      </c>
      <c r="O872" s="26" t="str">
        <f>IFERROR(__xludf.DUMMYFUNCTION("""COMPUTED_VALUE"""),"No")</f>
        <v>No</v>
      </c>
      <c r="P872" s="26"/>
    </row>
    <row r="873">
      <c r="A873" s="81" t="str">
        <f>IFERROR(__xludf.DUMMYFUNCTION("""COMPUTED_VALUE"""),"Sackboy's Prehistoric Moves")</f>
        <v>Sackboy's Prehistoric Moves</v>
      </c>
      <c r="B873" s="82" t="str">
        <f>IFERROR(__xludf.DUMMYFUNCTION("""COMPUTED_VALUE"""),"PS3")</f>
        <v>PS3</v>
      </c>
      <c r="C873" s="83" t="str">
        <f>IFERROR(__xludf.DUMMYFUNCTION("""COMPUTED_VALUE"""),"Playstation Plus (Discontinued)")</f>
        <v>Playstation Plus (Discontinued)</v>
      </c>
      <c r="D873" s="82" t="str">
        <f>IFERROR(__xludf.DUMMYFUNCTION("""COMPUTED_VALUE"""),"Removed")</f>
        <v>Removed</v>
      </c>
      <c r="E873" s="84">
        <f>IFERROR(__xludf.DUMMYFUNCTION("""COMPUTED_VALUE"""),40526.0)</f>
        <v>40526</v>
      </c>
      <c r="F873" s="85">
        <f>IFERROR(__xludf.DUMMYFUNCTION("""COMPUTED_VALUE"""),40546.0)</f>
        <v>40546</v>
      </c>
      <c r="G873" s="86">
        <f>IFERROR(__xludf.DUMMYFUNCTION("""COMPUTED_VALUE"""),0.6333333333333333)</f>
        <v>0.6333333333</v>
      </c>
      <c r="H873" s="84">
        <f>IFERROR(__xludf.DUMMYFUNCTION("""COMPUTED_VALUE"""),40526.0)</f>
        <v>40526</v>
      </c>
      <c r="I873" s="86">
        <f>IFERROR(__xludf.DUMMYFUNCTION("""COMPUTED_VALUE"""),0.0)</f>
        <v>0</v>
      </c>
      <c r="J873" s="87">
        <f>IFERROR(__xludf.DUMMYFUNCTION("""COMPUTED_VALUE"""),62.0)</f>
        <v>62</v>
      </c>
      <c r="K873" s="88">
        <f>IFERROR(__xludf.DUMMYFUNCTION("""COMPUTED_VALUE"""),6.6)</f>
        <v>6.6</v>
      </c>
      <c r="L873" s="89">
        <f>IFERROR(__xludf.DUMMYFUNCTION("""COMPUTED_VALUE"""),1.0)</f>
        <v>1</v>
      </c>
      <c r="M873" s="26" t="str">
        <f>IFERROR(__xludf.DUMMYFUNCTION("""COMPUTED_VALUE"""),"Platformer")</f>
        <v>Platformer</v>
      </c>
      <c r="N873" s="26"/>
      <c r="O873" s="26" t="str">
        <f>IFERROR(__xludf.DUMMYFUNCTION("""COMPUTED_VALUE"""),"No")</f>
        <v>No</v>
      </c>
      <c r="P873" s="26"/>
    </row>
    <row r="874">
      <c r="A874" s="81" t="str">
        <f>IFERROR(__xludf.DUMMYFUNCTION("""COMPUTED_VALUE"""),"I Must Run!")</f>
        <v>I Must Run!</v>
      </c>
      <c r="B874" s="82" t="str">
        <f>IFERROR(__xludf.DUMMYFUNCTION("""COMPUTED_VALUE"""),"PS3")</f>
        <v>PS3</v>
      </c>
      <c r="C874" s="83" t="str">
        <f>IFERROR(__xludf.DUMMYFUNCTION("""COMPUTED_VALUE"""),"Playstation Plus (Discontinued)")</f>
        <v>Playstation Plus (Discontinued)</v>
      </c>
      <c r="D874" s="82" t="str">
        <f>IFERROR(__xludf.DUMMYFUNCTION("""COMPUTED_VALUE"""),"Removed")</f>
        <v>Removed</v>
      </c>
      <c r="E874" s="84">
        <f>IFERROR(__xludf.DUMMYFUNCTION("""COMPUTED_VALUE"""),40526.0)</f>
        <v>40526</v>
      </c>
      <c r="F874" s="85">
        <f>IFERROR(__xludf.DUMMYFUNCTION("""COMPUTED_VALUE"""),40546.0)</f>
        <v>40546</v>
      </c>
      <c r="G874" s="86">
        <f>IFERROR(__xludf.DUMMYFUNCTION("""COMPUTED_VALUE"""),0.6333333333333333)</f>
        <v>0.6333333333</v>
      </c>
      <c r="H874" s="84">
        <f>IFERROR(__xludf.DUMMYFUNCTION("""COMPUTED_VALUE"""),40526.0)</f>
        <v>40526</v>
      </c>
      <c r="I874" s="86">
        <f>IFERROR(__xludf.DUMMYFUNCTION("""COMPUTED_VALUE"""),0.0)</f>
        <v>0</v>
      </c>
      <c r="J874" s="87">
        <f>IFERROR(__xludf.DUMMYFUNCTION("""COMPUTED_VALUE"""),54.0)</f>
        <v>54</v>
      </c>
      <c r="K874" s="88">
        <f>IFERROR(__xludf.DUMMYFUNCTION("""COMPUTED_VALUE"""),6.1)</f>
        <v>6.1</v>
      </c>
      <c r="L874" s="89">
        <f>IFERROR(__xludf.DUMMYFUNCTION("""COMPUTED_VALUE"""),2.0)</f>
        <v>2</v>
      </c>
      <c r="M874" s="26" t="str">
        <f>IFERROR(__xludf.DUMMYFUNCTION("""COMPUTED_VALUE"""),"Platformer")</f>
        <v>Platformer</v>
      </c>
      <c r="N874" s="26" t="str">
        <f>IFERROR(__xludf.DUMMYFUNCTION("""COMPUTED_VALUE"""),"PS Minis")</f>
        <v>PS Minis</v>
      </c>
      <c r="O874" s="26" t="str">
        <f>IFERROR(__xludf.DUMMYFUNCTION("""COMPUTED_VALUE"""),"No")</f>
        <v>No</v>
      </c>
      <c r="P874" s="26"/>
    </row>
    <row r="875">
      <c r="A875" s="81" t="str">
        <f>IFERROR(__xludf.DUMMYFUNCTION("""COMPUTED_VALUE"""),"A Space Shooter For 2 Bucks")</f>
        <v>A Space Shooter For 2 Bucks</v>
      </c>
      <c r="B875" s="82" t="str">
        <f>IFERROR(__xludf.DUMMYFUNCTION("""COMPUTED_VALUE"""),"PS3")</f>
        <v>PS3</v>
      </c>
      <c r="C875" s="83" t="str">
        <f>IFERROR(__xludf.DUMMYFUNCTION("""COMPUTED_VALUE"""),"Playstation Plus (Discontinued)")</f>
        <v>Playstation Plus (Discontinued)</v>
      </c>
      <c r="D875" s="82" t="str">
        <f>IFERROR(__xludf.DUMMYFUNCTION("""COMPUTED_VALUE"""),"Removed")</f>
        <v>Removed</v>
      </c>
      <c r="E875" s="84">
        <f>IFERROR(__xludf.DUMMYFUNCTION("""COMPUTED_VALUE"""),40519.0)</f>
        <v>40519</v>
      </c>
      <c r="F875" s="85">
        <f>IFERROR(__xludf.DUMMYFUNCTION("""COMPUTED_VALUE"""),40546.0)</f>
        <v>40546</v>
      </c>
      <c r="G875" s="86">
        <f>IFERROR(__xludf.DUMMYFUNCTION("""COMPUTED_VALUE"""),0.8666666666666666)</f>
        <v>0.8666666667</v>
      </c>
      <c r="H875" s="84">
        <f>IFERROR(__xludf.DUMMYFUNCTION("""COMPUTED_VALUE"""),40491.0)</f>
        <v>40491</v>
      </c>
      <c r="I875" s="86">
        <f>IFERROR(__xludf.DUMMYFUNCTION("""COMPUTED_VALUE"""),0.07777777777777778)</f>
        <v>0.07777777778</v>
      </c>
      <c r="J875" s="87">
        <f>IFERROR(__xludf.DUMMYFUNCTION("""COMPUTED_VALUE"""),61.0)</f>
        <v>61</v>
      </c>
      <c r="K875" s="88">
        <f>IFERROR(__xludf.DUMMYFUNCTION("""COMPUTED_VALUE"""),6.3)</f>
        <v>6.3</v>
      </c>
      <c r="L875" s="89"/>
      <c r="M875" s="26" t="str">
        <f>IFERROR(__xludf.DUMMYFUNCTION("""COMPUTED_VALUE"""),"Shooter")</f>
        <v>Shooter</v>
      </c>
      <c r="N875" s="26" t="str">
        <f>IFERROR(__xludf.DUMMYFUNCTION("""COMPUTED_VALUE"""),"PS Minis")</f>
        <v>PS Minis</v>
      </c>
      <c r="O875" s="26" t="str">
        <f>IFERROR(__xludf.DUMMYFUNCTION("""COMPUTED_VALUE"""),"No")</f>
        <v>No</v>
      </c>
      <c r="P875" s="26"/>
    </row>
    <row r="876">
      <c r="A876" s="81" t="str">
        <f>IFERROR(__xludf.DUMMYFUNCTION("""COMPUTED_VALUE"""),"Crash Team Racing")</f>
        <v>Crash Team Racing</v>
      </c>
      <c r="B876" s="82" t="str">
        <f>IFERROR(__xludf.DUMMYFUNCTION("""COMPUTED_VALUE"""),"PS3")</f>
        <v>PS3</v>
      </c>
      <c r="C876" s="83" t="str">
        <f>IFERROR(__xludf.DUMMYFUNCTION("""COMPUTED_VALUE"""),"Playstation Plus (Discontinued)")</f>
        <v>Playstation Plus (Discontinued)</v>
      </c>
      <c r="D876" s="82" t="str">
        <f>IFERROR(__xludf.DUMMYFUNCTION("""COMPUTED_VALUE"""),"Removed")</f>
        <v>Removed</v>
      </c>
      <c r="E876" s="84">
        <f>IFERROR(__xludf.DUMMYFUNCTION("""COMPUTED_VALUE"""),40519.0)</f>
        <v>40519</v>
      </c>
      <c r="F876" s="85">
        <f>IFERROR(__xludf.DUMMYFUNCTION("""COMPUTED_VALUE"""),40546.0)</f>
        <v>40546</v>
      </c>
      <c r="G876" s="86">
        <f>IFERROR(__xludf.DUMMYFUNCTION("""COMPUTED_VALUE"""),0.8666666666666666)</f>
        <v>0.8666666667</v>
      </c>
      <c r="H876" s="84">
        <f>IFERROR(__xludf.DUMMYFUNCTION("""COMPUTED_VALUE"""),36453.0)</f>
        <v>36453</v>
      </c>
      <c r="I876" s="86">
        <f>IFERROR(__xludf.DUMMYFUNCTION("""COMPUTED_VALUE"""),11.130555555555556)</f>
        <v>11.13055556</v>
      </c>
      <c r="J876" s="87">
        <f>IFERROR(__xludf.DUMMYFUNCTION("""COMPUTED_VALUE"""),88.0)</f>
        <v>88</v>
      </c>
      <c r="K876" s="88">
        <f>IFERROR(__xludf.DUMMYFUNCTION("""COMPUTED_VALUE"""),8.8)</f>
        <v>8.8</v>
      </c>
      <c r="L876" s="89">
        <f>IFERROR(__xludf.DUMMYFUNCTION("""COMPUTED_VALUE"""),6.0)</f>
        <v>6</v>
      </c>
      <c r="M876" s="26" t="str">
        <f>IFERROR(__xludf.DUMMYFUNCTION("""COMPUTED_VALUE"""),"Racing")</f>
        <v>Racing</v>
      </c>
      <c r="N876" s="26" t="str">
        <f>IFERROR(__xludf.DUMMYFUNCTION("""COMPUTED_VALUE"""),"PS1")</f>
        <v>PS1</v>
      </c>
      <c r="O876" s="26" t="str">
        <f>IFERROR(__xludf.DUMMYFUNCTION("""COMPUTED_VALUE"""),"No")</f>
        <v>No</v>
      </c>
      <c r="P876" s="26"/>
    </row>
    <row r="877">
      <c r="A877" s="81" t="str">
        <f>IFERROR(__xludf.DUMMYFUNCTION("""COMPUTED_VALUE"""),"Sam &amp; Max: The Devil’s Playhouse (Episodes 1-5)")</f>
        <v>Sam &amp; Max: The Devil’s Playhouse (Episodes 1-5)</v>
      </c>
      <c r="B877" s="82" t="str">
        <f>IFERROR(__xludf.DUMMYFUNCTION("""COMPUTED_VALUE"""),"PS3")</f>
        <v>PS3</v>
      </c>
      <c r="C877" s="83" t="str">
        <f>IFERROR(__xludf.DUMMYFUNCTION("""COMPUTED_VALUE"""),"Playstation Plus (Discontinued)")</f>
        <v>Playstation Plus (Discontinued)</v>
      </c>
      <c r="D877" s="82" t="str">
        <f>IFERROR(__xludf.DUMMYFUNCTION("""COMPUTED_VALUE"""),"Removed")</f>
        <v>Removed</v>
      </c>
      <c r="E877" s="84">
        <f>IFERROR(__xludf.DUMMYFUNCTION("""COMPUTED_VALUE"""),40519.0)</f>
        <v>40519</v>
      </c>
      <c r="F877" s="85">
        <f>IFERROR(__xludf.DUMMYFUNCTION("""COMPUTED_VALUE"""),40546.0)</f>
        <v>40546</v>
      </c>
      <c r="G877" s="86">
        <f>IFERROR(__xludf.DUMMYFUNCTION("""COMPUTED_VALUE"""),0.8666666666666666)</f>
        <v>0.8666666667</v>
      </c>
      <c r="H877" s="84">
        <f>IFERROR(__xludf.DUMMYFUNCTION("""COMPUTED_VALUE"""),40283.0)</f>
        <v>40283</v>
      </c>
      <c r="I877" s="86">
        <f>IFERROR(__xludf.DUMMYFUNCTION("""COMPUTED_VALUE"""),0.6444444444444445)</f>
        <v>0.6444444444</v>
      </c>
      <c r="J877" s="87">
        <f>IFERROR(__xludf.DUMMYFUNCTION("""COMPUTED_VALUE"""),82.0)</f>
        <v>82</v>
      </c>
      <c r="K877" s="88">
        <f>IFERROR(__xludf.DUMMYFUNCTION("""COMPUTED_VALUE"""),8.1)</f>
        <v>8.1</v>
      </c>
      <c r="L877" s="89">
        <f>IFERROR(__xludf.DUMMYFUNCTION("""COMPUTED_VALUE"""),11.0)</f>
        <v>11</v>
      </c>
      <c r="M877" s="26" t="str">
        <f>IFERROR(__xludf.DUMMYFUNCTION("""COMPUTED_VALUE"""),"Adventure")</f>
        <v>Adventure</v>
      </c>
      <c r="N877" s="26"/>
      <c r="O877" s="26" t="str">
        <f>IFERROR(__xludf.DUMMYFUNCTION("""COMPUTED_VALUE"""),"No")</f>
        <v>No</v>
      </c>
      <c r="P877" s="26"/>
    </row>
    <row r="878">
      <c r="A878" s="81" t="str">
        <f>IFERROR(__xludf.DUMMYFUNCTION("""COMPUTED_VALUE"""),"Vector TD")</f>
        <v>Vector TD</v>
      </c>
      <c r="B878" s="82" t="str">
        <f>IFERROR(__xludf.DUMMYFUNCTION("""COMPUTED_VALUE"""),"PS3")</f>
        <v>PS3</v>
      </c>
      <c r="C878" s="83" t="str">
        <f>IFERROR(__xludf.DUMMYFUNCTION("""COMPUTED_VALUE"""),"Playstation Plus (Discontinued)")</f>
        <v>Playstation Plus (Discontinued)</v>
      </c>
      <c r="D878" s="82" t="str">
        <f>IFERROR(__xludf.DUMMYFUNCTION("""COMPUTED_VALUE"""),"Removed")</f>
        <v>Removed</v>
      </c>
      <c r="E878" s="84">
        <f>IFERROR(__xludf.DUMMYFUNCTION("""COMPUTED_VALUE"""),40484.0)</f>
        <v>40484</v>
      </c>
      <c r="F878" s="85">
        <f>IFERROR(__xludf.DUMMYFUNCTION("""COMPUTED_VALUE"""),40518.0)</f>
        <v>40518</v>
      </c>
      <c r="G878" s="86">
        <f>IFERROR(__xludf.DUMMYFUNCTION("""COMPUTED_VALUE"""),1.1333333333333333)</f>
        <v>1.133333333</v>
      </c>
      <c r="H878" s="84">
        <f>IFERROR(__xludf.DUMMYFUNCTION("""COMPUTED_VALUE"""),40205.0)</f>
        <v>40205</v>
      </c>
      <c r="I878" s="86">
        <f>IFERROR(__xludf.DUMMYFUNCTION("""COMPUTED_VALUE"""),0.7638888888888888)</f>
        <v>0.7638888889</v>
      </c>
      <c r="J878" s="87">
        <f>IFERROR(__xludf.DUMMYFUNCTION("""COMPUTED_VALUE"""),72.0)</f>
        <v>72</v>
      </c>
      <c r="K878" s="88">
        <f>IFERROR(__xludf.DUMMYFUNCTION("""COMPUTED_VALUE"""),7.0)</f>
        <v>7</v>
      </c>
      <c r="L878" s="89"/>
      <c r="M878" s="26" t="str">
        <f>IFERROR(__xludf.DUMMYFUNCTION("""COMPUTED_VALUE"""),"Strategy")</f>
        <v>Strategy</v>
      </c>
      <c r="N878" s="26" t="str">
        <f>IFERROR(__xludf.DUMMYFUNCTION("""COMPUTED_VALUE"""),"PS Minis")</f>
        <v>PS Minis</v>
      </c>
      <c r="O878" s="26" t="str">
        <f>IFERROR(__xludf.DUMMYFUNCTION("""COMPUTED_VALUE"""),"No")</f>
        <v>No</v>
      </c>
      <c r="P878" s="26"/>
    </row>
    <row r="879">
      <c r="A879" s="81" t="str">
        <f>IFERROR(__xludf.DUMMYFUNCTION("""COMPUTED_VALUE"""),"DYNOGEMS")</f>
        <v>DYNOGEMS</v>
      </c>
      <c r="B879" s="82" t="str">
        <f>IFERROR(__xludf.DUMMYFUNCTION("""COMPUTED_VALUE"""),"PS3")</f>
        <v>PS3</v>
      </c>
      <c r="C879" s="83" t="str">
        <f>IFERROR(__xludf.DUMMYFUNCTION("""COMPUTED_VALUE"""),"Playstation Plus (Discontinued)")</f>
        <v>Playstation Plus (Discontinued)</v>
      </c>
      <c r="D879" s="82" t="str">
        <f>IFERROR(__xludf.DUMMYFUNCTION("""COMPUTED_VALUE"""),"Removed")</f>
        <v>Removed</v>
      </c>
      <c r="E879" s="84">
        <f>IFERROR(__xludf.DUMMYFUNCTION("""COMPUTED_VALUE"""),40484.0)</f>
        <v>40484</v>
      </c>
      <c r="F879" s="85">
        <f>IFERROR(__xludf.DUMMYFUNCTION("""COMPUTED_VALUE"""),40518.0)</f>
        <v>40518</v>
      </c>
      <c r="G879" s="86">
        <f>IFERROR(__xludf.DUMMYFUNCTION("""COMPUTED_VALUE"""),1.1333333333333333)</f>
        <v>1.133333333</v>
      </c>
      <c r="H879" s="84">
        <f>IFERROR(__xludf.DUMMYFUNCTION("""COMPUTED_VALUE"""),40157.0)</f>
        <v>40157</v>
      </c>
      <c r="I879" s="86">
        <f>IFERROR(__xludf.DUMMYFUNCTION("""COMPUTED_VALUE"""),0.8944444444444445)</f>
        <v>0.8944444444</v>
      </c>
      <c r="J879" s="87">
        <f>IFERROR(__xludf.DUMMYFUNCTION("""COMPUTED_VALUE"""),58.0)</f>
        <v>58</v>
      </c>
      <c r="K879" s="88">
        <f>IFERROR(__xludf.DUMMYFUNCTION("""COMPUTED_VALUE"""),6.2)</f>
        <v>6.2</v>
      </c>
      <c r="L879" s="89"/>
      <c r="M879" s="26" t="str">
        <f>IFERROR(__xludf.DUMMYFUNCTION("""COMPUTED_VALUE"""),"Puzzle")</f>
        <v>Puzzle</v>
      </c>
      <c r="N879" s="26" t="str">
        <f>IFERROR(__xludf.DUMMYFUNCTION("""COMPUTED_VALUE"""),"PS Minis")</f>
        <v>PS Minis</v>
      </c>
      <c r="O879" s="26" t="str">
        <f>IFERROR(__xludf.DUMMYFUNCTION("""COMPUTED_VALUE"""),"No")</f>
        <v>No</v>
      </c>
      <c r="P879" s="26"/>
    </row>
    <row r="880">
      <c r="A880" s="81" t="str">
        <f>IFERROR(__xludf.DUMMYFUNCTION("""COMPUTED_VALUE"""),"Oddworld: Abe’s Exoddus")</f>
        <v>Oddworld: Abe’s Exoddus</v>
      </c>
      <c r="B880" s="82" t="str">
        <f>IFERROR(__xludf.DUMMYFUNCTION("""COMPUTED_VALUE"""),"PS3")</f>
        <v>PS3</v>
      </c>
      <c r="C880" s="83" t="str">
        <f>IFERROR(__xludf.DUMMYFUNCTION("""COMPUTED_VALUE"""),"Playstation Plus (Discontinued)")</f>
        <v>Playstation Plus (Discontinued)</v>
      </c>
      <c r="D880" s="82" t="str">
        <f>IFERROR(__xludf.DUMMYFUNCTION("""COMPUTED_VALUE"""),"Removed")</f>
        <v>Removed</v>
      </c>
      <c r="E880" s="84">
        <f>IFERROR(__xludf.DUMMYFUNCTION("""COMPUTED_VALUE"""),40484.0)</f>
        <v>40484</v>
      </c>
      <c r="F880" s="85">
        <f>IFERROR(__xludf.DUMMYFUNCTION("""COMPUTED_VALUE"""),40518.0)</f>
        <v>40518</v>
      </c>
      <c r="G880" s="86">
        <f>IFERROR(__xludf.DUMMYFUNCTION("""COMPUTED_VALUE"""),1.1333333333333333)</f>
        <v>1.133333333</v>
      </c>
      <c r="H880" s="84">
        <f>IFERROR(__xludf.DUMMYFUNCTION("""COMPUTED_VALUE"""),36116.0)</f>
        <v>36116</v>
      </c>
      <c r="I880" s="86">
        <f>IFERROR(__xludf.DUMMYFUNCTION("""COMPUTED_VALUE"""),11.958333333333334)</f>
        <v>11.95833333</v>
      </c>
      <c r="J880" s="87">
        <f>IFERROR(__xludf.DUMMYFUNCTION("""COMPUTED_VALUE"""),88.0)</f>
        <v>88</v>
      </c>
      <c r="K880" s="88">
        <f>IFERROR(__xludf.DUMMYFUNCTION("""COMPUTED_VALUE"""),8.8)</f>
        <v>8.8</v>
      </c>
      <c r="L880" s="89">
        <f>IFERROR(__xludf.DUMMYFUNCTION("""COMPUTED_VALUE"""),13.0)</f>
        <v>13</v>
      </c>
      <c r="M880" s="26" t="str">
        <f>IFERROR(__xludf.DUMMYFUNCTION("""COMPUTED_VALUE"""),"Platformer")</f>
        <v>Platformer</v>
      </c>
      <c r="N880" s="26" t="str">
        <f>IFERROR(__xludf.DUMMYFUNCTION("""COMPUTED_VALUE"""),"PS1")</f>
        <v>PS1</v>
      </c>
      <c r="O880" s="26" t="str">
        <f>IFERROR(__xludf.DUMMYFUNCTION("""COMPUTED_VALUE"""),"No")</f>
        <v>No</v>
      </c>
      <c r="P880" s="26"/>
    </row>
    <row r="881">
      <c r="A881" s="81" t="str">
        <f>IFERROR(__xludf.DUMMYFUNCTION("""COMPUTED_VALUE"""),"Shatter")</f>
        <v>Shatter</v>
      </c>
      <c r="B881" s="82" t="str">
        <f>IFERROR(__xludf.DUMMYFUNCTION("""COMPUTED_VALUE"""),"PS3")</f>
        <v>PS3</v>
      </c>
      <c r="C881" s="83" t="str">
        <f>IFERROR(__xludf.DUMMYFUNCTION("""COMPUTED_VALUE"""),"Playstation Plus (Discontinued)")</f>
        <v>Playstation Plus (Discontinued)</v>
      </c>
      <c r="D881" s="82" t="str">
        <f>IFERROR(__xludf.DUMMYFUNCTION("""COMPUTED_VALUE"""),"Removed")</f>
        <v>Removed</v>
      </c>
      <c r="E881" s="84">
        <f>IFERROR(__xludf.DUMMYFUNCTION("""COMPUTED_VALUE"""),40484.0)</f>
        <v>40484</v>
      </c>
      <c r="F881" s="85">
        <f>IFERROR(__xludf.DUMMYFUNCTION("""COMPUTED_VALUE"""),40518.0)</f>
        <v>40518</v>
      </c>
      <c r="G881" s="86">
        <f>IFERROR(__xludf.DUMMYFUNCTION("""COMPUTED_VALUE"""),1.1333333333333333)</f>
        <v>1.133333333</v>
      </c>
      <c r="H881" s="84">
        <f>IFERROR(__xludf.DUMMYFUNCTION("""COMPUTED_VALUE"""),40017.0)</f>
        <v>40017</v>
      </c>
      <c r="I881" s="86">
        <f>IFERROR(__xludf.DUMMYFUNCTION("""COMPUTED_VALUE"""),1.275)</f>
        <v>1.275</v>
      </c>
      <c r="J881" s="87">
        <f>IFERROR(__xludf.DUMMYFUNCTION("""COMPUTED_VALUE"""),82.0)</f>
        <v>82</v>
      </c>
      <c r="K881" s="88">
        <f>IFERROR(__xludf.DUMMYFUNCTION("""COMPUTED_VALUE"""),8.1)</f>
        <v>8.1</v>
      </c>
      <c r="L881" s="89">
        <f>IFERROR(__xludf.DUMMYFUNCTION("""COMPUTED_VALUE"""),4.0)</f>
        <v>4</v>
      </c>
      <c r="M881" s="26" t="str">
        <f>IFERROR(__xludf.DUMMYFUNCTION("""COMPUTED_VALUE"""),"Arcade")</f>
        <v>Arcade</v>
      </c>
      <c r="N881" s="26"/>
      <c r="O881" s="26" t="str">
        <f>IFERROR(__xludf.DUMMYFUNCTION("""COMPUTED_VALUE"""),"No")</f>
        <v>No</v>
      </c>
      <c r="P881" s="26"/>
    </row>
    <row r="882">
      <c r="A882" s="81" t="str">
        <f>IFERROR(__xludf.DUMMYFUNCTION("""COMPUTED_VALUE"""),"BreakQuest")</f>
        <v>BreakQuest</v>
      </c>
      <c r="B882" s="82" t="str">
        <f>IFERROR(__xludf.DUMMYFUNCTION("""COMPUTED_VALUE"""),"PS3")</f>
        <v>PS3</v>
      </c>
      <c r="C882" s="83" t="str">
        <f>IFERROR(__xludf.DUMMYFUNCTION("""COMPUTED_VALUE"""),"Playstation Plus (Discontinued)")</f>
        <v>Playstation Plus (Discontinued)</v>
      </c>
      <c r="D882" s="82" t="str">
        <f>IFERROR(__xludf.DUMMYFUNCTION("""COMPUTED_VALUE"""),"Removed")</f>
        <v>Removed</v>
      </c>
      <c r="E882" s="84">
        <f>IFERROR(__xludf.DUMMYFUNCTION("""COMPUTED_VALUE"""),40484.0)</f>
        <v>40484</v>
      </c>
      <c r="F882" s="85">
        <f>IFERROR(__xludf.DUMMYFUNCTION("""COMPUTED_VALUE"""),40518.0)</f>
        <v>40518</v>
      </c>
      <c r="G882" s="86">
        <f>IFERROR(__xludf.DUMMYFUNCTION("""COMPUTED_VALUE"""),1.1333333333333333)</f>
        <v>1.133333333</v>
      </c>
      <c r="H882" s="84">
        <f>IFERROR(__xludf.DUMMYFUNCTION("""COMPUTED_VALUE"""),40087.0)</f>
        <v>40087</v>
      </c>
      <c r="I882" s="86">
        <f>IFERROR(__xludf.DUMMYFUNCTION("""COMPUTED_VALUE"""),1.086111111111111)</f>
        <v>1.086111111</v>
      </c>
      <c r="J882" s="87">
        <f>IFERROR(__xludf.DUMMYFUNCTION("""COMPUTED_VALUE"""),68.0)</f>
        <v>68</v>
      </c>
      <c r="K882" s="88">
        <f>IFERROR(__xludf.DUMMYFUNCTION("""COMPUTED_VALUE"""),6.9)</f>
        <v>6.9</v>
      </c>
      <c r="L882" s="89">
        <f>IFERROR(__xludf.DUMMYFUNCTION("""COMPUTED_VALUE"""),3.0)</f>
        <v>3</v>
      </c>
      <c r="M882" s="26" t="str">
        <f>IFERROR(__xludf.DUMMYFUNCTION("""COMPUTED_VALUE"""),"Puzzle")</f>
        <v>Puzzle</v>
      </c>
      <c r="N882" s="26" t="str">
        <f>IFERROR(__xludf.DUMMYFUNCTION("""COMPUTED_VALUE"""),"PS Minis")</f>
        <v>PS Minis</v>
      </c>
      <c r="O882" s="26" t="str">
        <f>IFERROR(__xludf.DUMMYFUNCTION("""COMPUTED_VALUE"""),"No")</f>
        <v>No</v>
      </c>
      <c r="P882" s="26"/>
    </row>
    <row r="883">
      <c r="A883" s="81" t="str">
        <f>IFERROR(__xludf.DUMMYFUNCTION("""COMPUTED_VALUE"""),"Bubble Trubble")</f>
        <v>Bubble Trubble</v>
      </c>
      <c r="B883" s="82" t="str">
        <f>IFERROR(__xludf.DUMMYFUNCTION("""COMPUTED_VALUE"""),"PS3")</f>
        <v>PS3</v>
      </c>
      <c r="C883" s="83" t="str">
        <f>IFERROR(__xludf.DUMMYFUNCTION("""COMPUTED_VALUE"""),"Playstation Plus (Discontinued)")</f>
        <v>Playstation Plus (Discontinued)</v>
      </c>
      <c r="D883" s="82" t="str">
        <f>IFERROR(__xludf.DUMMYFUNCTION("""COMPUTED_VALUE"""),"Removed")</f>
        <v>Removed</v>
      </c>
      <c r="E883" s="84">
        <f>IFERROR(__xludf.DUMMYFUNCTION("""COMPUTED_VALUE"""),40456.0)</f>
        <v>40456</v>
      </c>
      <c r="F883" s="85">
        <f>IFERROR(__xludf.DUMMYFUNCTION("""COMPUTED_VALUE"""),40483.0)</f>
        <v>40483</v>
      </c>
      <c r="G883" s="86">
        <f>IFERROR(__xludf.DUMMYFUNCTION("""COMPUTED_VALUE"""),0.8666666666666666)</f>
        <v>0.8666666667</v>
      </c>
      <c r="H883" s="84">
        <f>IFERROR(__xludf.DUMMYFUNCTION("""COMPUTED_VALUE"""),40129.0)</f>
        <v>40129</v>
      </c>
      <c r="I883" s="86">
        <f>IFERROR(__xludf.DUMMYFUNCTION("""COMPUTED_VALUE"""),0.8972222222222223)</f>
        <v>0.8972222222</v>
      </c>
      <c r="J883" s="87">
        <f>IFERROR(__xludf.DUMMYFUNCTION("""COMPUTED_VALUE"""),55.0)</f>
        <v>55</v>
      </c>
      <c r="K883" s="88">
        <f>IFERROR(__xludf.DUMMYFUNCTION("""COMPUTED_VALUE"""),6.3)</f>
        <v>6.3</v>
      </c>
      <c r="L883" s="89">
        <f>IFERROR(__xludf.DUMMYFUNCTION("""COMPUTED_VALUE"""),1.0)</f>
        <v>1</v>
      </c>
      <c r="M883" s="26" t="str">
        <f>IFERROR(__xludf.DUMMYFUNCTION("""COMPUTED_VALUE"""),"Puzzle")</f>
        <v>Puzzle</v>
      </c>
      <c r="N883" s="26" t="str">
        <f>IFERROR(__xludf.DUMMYFUNCTION("""COMPUTED_VALUE"""),"PS Minis")</f>
        <v>PS Minis</v>
      </c>
      <c r="O883" s="26" t="str">
        <f>IFERROR(__xludf.DUMMYFUNCTION("""COMPUTED_VALUE"""),"No")</f>
        <v>No</v>
      </c>
      <c r="P883" s="26"/>
    </row>
    <row r="884">
      <c r="A884" s="81" t="str">
        <f>IFERROR(__xludf.DUMMYFUNCTION("""COMPUTED_VALUE"""),"Bloons")</f>
        <v>Bloons</v>
      </c>
      <c r="B884" s="82" t="str">
        <f>IFERROR(__xludf.DUMMYFUNCTION("""COMPUTED_VALUE"""),"PS3")</f>
        <v>PS3</v>
      </c>
      <c r="C884" s="83" t="str">
        <f>IFERROR(__xludf.DUMMYFUNCTION("""COMPUTED_VALUE"""),"Playstation Plus (Discontinued)")</f>
        <v>Playstation Plus (Discontinued)</v>
      </c>
      <c r="D884" s="82" t="str">
        <f>IFERROR(__xludf.DUMMYFUNCTION("""COMPUTED_VALUE"""),"Removed")</f>
        <v>Removed</v>
      </c>
      <c r="E884" s="84">
        <f>IFERROR(__xludf.DUMMYFUNCTION("""COMPUTED_VALUE"""),40456.0)</f>
        <v>40456</v>
      </c>
      <c r="F884" s="85">
        <f>IFERROR(__xludf.DUMMYFUNCTION("""COMPUTED_VALUE"""),40483.0)</f>
        <v>40483</v>
      </c>
      <c r="G884" s="86">
        <f>IFERROR(__xludf.DUMMYFUNCTION("""COMPUTED_VALUE"""),0.8666666666666666)</f>
        <v>0.8666666667</v>
      </c>
      <c r="H884" s="84">
        <f>IFERROR(__xludf.DUMMYFUNCTION("""COMPUTED_VALUE"""),40087.0)</f>
        <v>40087</v>
      </c>
      <c r="I884" s="86">
        <f>IFERROR(__xludf.DUMMYFUNCTION("""COMPUTED_VALUE"""),1.011111111111111)</f>
        <v>1.011111111</v>
      </c>
      <c r="J884" s="87">
        <f>IFERROR(__xludf.DUMMYFUNCTION("""COMPUTED_VALUE"""),63.0)</f>
        <v>63</v>
      </c>
      <c r="K884" s="88">
        <f>IFERROR(__xludf.DUMMYFUNCTION("""COMPUTED_VALUE"""),6.7)</f>
        <v>6.7</v>
      </c>
      <c r="L884" s="89"/>
      <c r="M884" s="26" t="str">
        <f>IFERROR(__xludf.DUMMYFUNCTION("""COMPUTED_VALUE"""),"Strategy")</f>
        <v>Strategy</v>
      </c>
      <c r="N884" s="26" t="str">
        <f>IFERROR(__xludf.DUMMYFUNCTION("""COMPUTED_VALUE"""),"PS Minis")</f>
        <v>PS Minis</v>
      </c>
      <c r="O884" s="26" t="str">
        <f>IFERROR(__xludf.DUMMYFUNCTION("""COMPUTED_VALUE"""),"No")</f>
        <v>No</v>
      </c>
      <c r="P884" s="26"/>
    </row>
    <row r="885">
      <c r="A885" s="81" t="str">
        <f>IFERROR(__xludf.DUMMYFUNCTION("""COMPUTED_VALUE"""),"Oddworld: Abe’s Oddysee")</f>
        <v>Oddworld: Abe’s Oddysee</v>
      </c>
      <c r="B885" s="82" t="str">
        <f>IFERROR(__xludf.DUMMYFUNCTION("""COMPUTED_VALUE"""),"PS3")</f>
        <v>PS3</v>
      </c>
      <c r="C885" s="83" t="str">
        <f>IFERROR(__xludf.DUMMYFUNCTION("""COMPUTED_VALUE"""),"Playstation Plus (Discontinued)")</f>
        <v>Playstation Plus (Discontinued)</v>
      </c>
      <c r="D885" s="82" t="str">
        <f>IFERROR(__xludf.DUMMYFUNCTION("""COMPUTED_VALUE"""),"Removed")</f>
        <v>Removed</v>
      </c>
      <c r="E885" s="84">
        <f>IFERROR(__xludf.DUMMYFUNCTION("""COMPUTED_VALUE"""),40456.0)</f>
        <v>40456</v>
      </c>
      <c r="F885" s="85">
        <f>IFERROR(__xludf.DUMMYFUNCTION("""COMPUTED_VALUE"""),40483.0)</f>
        <v>40483</v>
      </c>
      <c r="G885" s="86">
        <f>IFERROR(__xludf.DUMMYFUNCTION("""COMPUTED_VALUE"""),0.8666666666666666)</f>
        <v>0.8666666667</v>
      </c>
      <c r="H885" s="84">
        <f>IFERROR(__xludf.DUMMYFUNCTION("""COMPUTED_VALUE"""),35691.0)</f>
        <v>35691</v>
      </c>
      <c r="I885" s="86">
        <f>IFERROR(__xludf.DUMMYFUNCTION("""COMPUTED_VALUE"""),13.047222222222222)</f>
        <v>13.04722222</v>
      </c>
      <c r="J885" s="87">
        <f>IFERROR(__xludf.DUMMYFUNCTION("""COMPUTED_VALUE"""),88.0)</f>
        <v>88</v>
      </c>
      <c r="K885" s="88">
        <f>IFERROR(__xludf.DUMMYFUNCTION("""COMPUTED_VALUE"""),8.8)</f>
        <v>8.8</v>
      </c>
      <c r="L885" s="89">
        <f>IFERROR(__xludf.DUMMYFUNCTION("""COMPUTED_VALUE"""),12.0)</f>
        <v>12</v>
      </c>
      <c r="M885" s="26" t="str">
        <f>IFERROR(__xludf.DUMMYFUNCTION("""COMPUTED_VALUE"""),"Platformer")</f>
        <v>Platformer</v>
      </c>
      <c r="N885" s="26" t="str">
        <f>IFERROR(__xludf.DUMMYFUNCTION("""COMPUTED_VALUE"""),"PS1")</f>
        <v>PS1</v>
      </c>
      <c r="O885" s="26" t="str">
        <f>IFERROR(__xludf.DUMMYFUNCTION("""COMPUTED_VALUE"""),"No")</f>
        <v>No</v>
      </c>
      <c r="P885" s="26"/>
    </row>
    <row r="886">
      <c r="A886" s="81" t="str">
        <f>IFERROR(__xludf.DUMMYFUNCTION("""COMPUTED_VALUE"""),"Echoes")</f>
        <v>Echoes</v>
      </c>
      <c r="B886" s="82" t="str">
        <f>IFERROR(__xludf.DUMMYFUNCTION("""COMPUTED_VALUE"""),"PS3")</f>
        <v>PS3</v>
      </c>
      <c r="C886" s="83" t="str">
        <f>IFERROR(__xludf.DUMMYFUNCTION("""COMPUTED_VALUE"""),"Playstation Plus (Discontinued)")</f>
        <v>Playstation Plus (Discontinued)</v>
      </c>
      <c r="D886" s="82" t="str">
        <f>IFERROR(__xludf.DUMMYFUNCTION("""COMPUTED_VALUE"""),"Removed")</f>
        <v>Removed</v>
      </c>
      <c r="E886" s="84">
        <f>IFERROR(__xludf.DUMMYFUNCTION("""COMPUTED_VALUE"""),40428.0)</f>
        <v>40428</v>
      </c>
      <c r="F886" s="85">
        <f>IFERROR(__xludf.DUMMYFUNCTION("""COMPUTED_VALUE"""),40455.0)</f>
        <v>40455</v>
      </c>
      <c r="G886" s="86">
        <f>IFERROR(__xludf.DUMMYFUNCTION("""COMPUTED_VALUE"""),0.8999999999999999)</f>
        <v>0.9</v>
      </c>
      <c r="H886" s="84">
        <f>IFERROR(__xludf.DUMMYFUNCTION("""COMPUTED_VALUE"""),40136.0)</f>
        <v>40136</v>
      </c>
      <c r="I886" s="86">
        <f>IFERROR(__xludf.DUMMYFUNCTION("""COMPUTED_VALUE"""),0.8)</f>
        <v>0.8</v>
      </c>
      <c r="J886" s="87">
        <f>IFERROR(__xludf.DUMMYFUNCTION("""COMPUTED_VALUE"""),59.0)</f>
        <v>59</v>
      </c>
      <c r="K886" s="88">
        <f>IFERROR(__xludf.DUMMYFUNCTION("""COMPUTED_VALUE"""),6.3)</f>
        <v>6.3</v>
      </c>
      <c r="L886" s="89">
        <f>IFERROR(__xludf.DUMMYFUNCTION("""COMPUTED_VALUE"""),2.0)</f>
        <v>2</v>
      </c>
      <c r="M886" s="26" t="str">
        <f>IFERROR(__xludf.DUMMYFUNCTION("""COMPUTED_VALUE"""),"Shooter")</f>
        <v>Shooter</v>
      </c>
      <c r="N886" s="26" t="str">
        <f>IFERROR(__xludf.DUMMYFUNCTION("""COMPUTED_VALUE"""),"PS Minis")</f>
        <v>PS Minis</v>
      </c>
      <c r="O886" s="26" t="str">
        <f>IFERROR(__xludf.DUMMYFUNCTION("""COMPUTED_VALUE"""),"No")</f>
        <v>No</v>
      </c>
      <c r="P886" s="26"/>
    </row>
    <row r="887">
      <c r="A887" s="81" t="str">
        <f>IFERROR(__xludf.DUMMYFUNCTION("""COMPUTED_VALUE"""),"Syphon Filter 3")</f>
        <v>Syphon Filter 3</v>
      </c>
      <c r="B887" s="82" t="str">
        <f>IFERROR(__xludf.DUMMYFUNCTION("""COMPUTED_VALUE"""),"PS3")</f>
        <v>PS3</v>
      </c>
      <c r="C887" s="83" t="str">
        <f>IFERROR(__xludf.DUMMYFUNCTION("""COMPUTED_VALUE"""),"Playstation Plus (Discontinued)")</f>
        <v>Playstation Plus (Discontinued)</v>
      </c>
      <c r="D887" s="82" t="str">
        <f>IFERROR(__xludf.DUMMYFUNCTION("""COMPUTED_VALUE"""),"Removed")</f>
        <v>Removed</v>
      </c>
      <c r="E887" s="84">
        <f>IFERROR(__xludf.DUMMYFUNCTION("""COMPUTED_VALUE"""),40428.0)</f>
        <v>40428</v>
      </c>
      <c r="F887" s="85">
        <f>IFERROR(__xludf.DUMMYFUNCTION("""COMPUTED_VALUE"""),40455.0)</f>
        <v>40455</v>
      </c>
      <c r="G887" s="86">
        <f>IFERROR(__xludf.DUMMYFUNCTION("""COMPUTED_VALUE"""),0.8999999999999999)</f>
        <v>0.9</v>
      </c>
      <c r="H887" s="84">
        <f>IFERROR(__xludf.DUMMYFUNCTION("""COMPUTED_VALUE"""),37201.0)</f>
        <v>37201</v>
      </c>
      <c r="I887" s="86">
        <f>IFERROR(__xludf.DUMMYFUNCTION("""COMPUTED_VALUE"""),8.83611111111111)</f>
        <v>8.836111111</v>
      </c>
      <c r="J887" s="87">
        <f>IFERROR(__xludf.DUMMYFUNCTION("""COMPUTED_VALUE"""),81.0)</f>
        <v>81</v>
      </c>
      <c r="K887" s="88">
        <f>IFERROR(__xludf.DUMMYFUNCTION("""COMPUTED_VALUE"""),8.2)</f>
        <v>8.2</v>
      </c>
      <c r="L887" s="89">
        <f>IFERROR(__xludf.DUMMYFUNCTION("""COMPUTED_VALUE"""),10.0)</f>
        <v>10</v>
      </c>
      <c r="M887" s="26" t="str">
        <f>IFERROR(__xludf.DUMMYFUNCTION("""COMPUTED_VALUE"""),"Shooter")</f>
        <v>Shooter</v>
      </c>
      <c r="N887" s="26" t="str">
        <f>IFERROR(__xludf.DUMMYFUNCTION("""COMPUTED_VALUE"""),"PS1")</f>
        <v>PS1</v>
      </c>
      <c r="O887" s="26" t="str">
        <f>IFERROR(__xludf.DUMMYFUNCTION("""COMPUTED_VALUE"""),"No")</f>
        <v>No</v>
      </c>
      <c r="P887" s="26"/>
    </row>
    <row r="888">
      <c r="A888" s="81" t="str">
        <f>IFERROR(__xludf.DUMMYFUNCTION("""COMPUTED_VALUE"""),"Zen Pinball")</f>
        <v>Zen Pinball</v>
      </c>
      <c r="B888" s="82" t="str">
        <f>IFERROR(__xludf.DUMMYFUNCTION("""COMPUTED_VALUE"""),"PS3")</f>
        <v>PS3</v>
      </c>
      <c r="C888" s="83" t="str">
        <f>IFERROR(__xludf.DUMMYFUNCTION("""COMPUTED_VALUE"""),"Playstation Plus (Discontinued)")</f>
        <v>Playstation Plus (Discontinued)</v>
      </c>
      <c r="D888" s="82" t="str">
        <f>IFERROR(__xludf.DUMMYFUNCTION("""COMPUTED_VALUE"""),"Removed")</f>
        <v>Removed</v>
      </c>
      <c r="E888" s="84">
        <f>IFERROR(__xludf.DUMMYFUNCTION("""COMPUTED_VALUE"""),40428.0)</f>
        <v>40428</v>
      </c>
      <c r="F888" s="85">
        <f>IFERROR(__xludf.DUMMYFUNCTION("""COMPUTED_VALUE"""),40455.0)</f>
        <v>40455</v>
      </c>
      <c r="G888" s="86">
        <f>IFERROR(__xludf.DUMMYFUNCTION("""COMPUTED_VALUE"""),0.8999999999999999)</f>
        <v>0.9</v>
      </c>
      <c r="H888" s="84">
        <f>IFERROR(__xludf.DUMMYFUNCTION("""COMPUTED_VALUE"""),39947.0)</f>
        <v>39947</v>
      </c>
      <c r="I888" s="86">
        <f>IFERROR(__xludf.DUMMYFUNCTION("""COMPUTED_VALUE"""),1.3138888888888889)</f>
        <v>1.313888889</v>
      </c>
      <c r="J888" s="87">
        <f>IFERROR(__xludf.DUMMYFUNCTION("""COMPUTED_VALUE"""),80.0)</f>
        <v>80</v>
      </c>
      <c r="K888" s="88">
        <f>IFERROR(__xludf.DUMMYFUNCTION("""COMPUTED_VALUE"""),7.8)</f>
        <v>7.8</v>
      </c>
      <c r="L888" s="89"/>
      <c r="M888" s="26" t="str">
        <f>IFERROR(__xludf.DUMMYFUNCTION("""COMPUTED_VALUE"""),"Pinball")</f>
        <v>Pinball</v>
      </c>
      <c r="N888" s="26"/>
      <c r="O888" s="26" t="str">
        <f>IFERROR(__xludf.DUMMYFUNCTION("""COMPUTED_VALUE"""),"No")</f>
        <v>No</v>
      </c>
      <c r="P888" s="26"/>
    </row>
    <row r="889">
      <c r="A889" s="81" t="str">
        <f>IFERROR(__xludf.DUMMYFUNCTION("""COMPUTED_VALUE"""),"Blast Off")</f>
        <v>Blast Off</v>
      </c>
      <c r="B889" s="82" t="str">
        <f>IFERROR(__xludf.DUMMYFUNCTION("""COMPUTED_VALUE"""),"PS3")</f>
        <v>PS3</v>
      </c>
      <c r="C889" s="83" t="str">
        <f>IFERROR(__xludf.DUMMYFUNCTION("""COMPUTED_VALUE"""),"Playstation Plus (Discontinued)")</f>
        <v>Playstation Plus (Discontinued)</v>
      </c>
      <c r="D889" s="82" t="str">
        <f>IFERROR(__xludf.DUMMYFUNCTION("""COMPUTED_VALUE"""),"Removed")</f>
        <v>Removed</v>
      </c>
      <c r="E889" s="84">
        <f>IFERROR(__xludf.DUMMYFUNCTION("""COMPUTED_VALUE"""),40428.0)</f>
        <v>40428</v>
      </c>
      <c r="F889" s="85">
        <f>IFERROR(__xludf.DUMMYFUNCTION("""COMPUTED_VALUE"""),40455.0)</f>
        <v>40455</v>
      </c>
      <c r="G889" s="86">
        <f>IFERROR(__xludf.DUMMYFUNCTION("""COMPUTED_VALUE"""),0.8999999999999999)</f>
        <v>0.9</v>
      </c>
      <c r="H889" s="84">
        <f>IFERROR(__xludf.DUMMYFUNCTION("""COMPUTED_VALUE"""),40108.0)</f>
        <v>40108</v>
      </c>
      <c r="I889" s="86">
        <f>IFERROR(__xludf.DUMMYFUNCTION("""COMPUTED_VALUE"""),0.875)</f>
        <v>0.875</v>
      </c>
      <c r="J889" s="87">
        <f>IFERROR(__xludf.DUMMYFUNCTION("""COMPUTED_VALUE"""),69.0)</f>
        <v>69</v>
      </c>
      <c r="K889" s="88">
        <f>IFERROR(__xludf.DUMMYFUNCTION("""COMPUTED_VALUE"""),6.7)</f>
        <v>6.7</v>
      </c>
      <c r="L889" s="89">
        <f>IFERROR(__xludf.DUMMYFUNCTION("""COMPUTED_VALUE"""),2.0)</f>
        <v>2</v>
      </c>
      <c r="M889" s="26" t="str">
        <f>IFERROR(__xludf.DUMMYFUNCTION("""COMPUTED_VALUE"""),"Shooter")</f>
        <v>Shooter</v>
      </c>
      <c r="N889" s="26" t="str">
        <f>IFERROR(__xludf.DUMMYFUNCTION("""COMPUTED_VALUE"""),"PS Minis")</f>
        <v>PS Minis</v>
      </c>
      <c r="O889" s="26" t="str">
        <f>IFERROR(__xludf.DUMMYFUNCTION("""COMPUTED_VALUE"""),"No")</f>
        <v>No</v>
      </c>
      <c r="P889" s="26"/>
    </row>
    <row r="890">
      <c r="A890" s="81" t="str">
        <f>IFERROR(__xludf.DUMMYFUNCTION("""COMPUTED_VALUE"""),"Vempires")</f>
        <v>Vempires</v>
      </c>
      <c r="B890" s="82" t="str">
        <f>IFERROR(__xludf.DUMMYFUNCTION("""COMPUTED_VALUE"""),"PS3")</f>
        <v>PS3</v>
      </c>
      <c r="C890" s="83" t="str">
        <f>IFERROR(__xludf.DUMMYFUNCTION("""COMPUTED_VALUE"""),"Playstation Plus (Discontinued)")</f>
        <v>Playstation Plus (Discontinued)</v>
      </c>
      <c r="D890" s="82" t="str">
        <f>IFERROR(__xludf.DUMMYFUNCTION("""COMPUTED_VALUE"""),"Removed")</f>
        <v>Removed</v>
      </c>
      <c r="E890" s="84">
        <f>IFERROR(__xludf.DUMMYFUNCTION("""COMPUTED_VALUE"""),40393.0)</f>
        <v>40393</v>
      </c>
      <c r="F890" s="85">
        <f>IFERROR(__xludf.DUMMYFUNCTION("""COMPUTED_VALUE"""),40427.0)</f>
        <v>40427</v>
      </c>
      <c r="G890" s="86">
        <f>IFERROR(__xludf.DUMMYFUNCTION("""COMPUTED_VALUE"""),1.0999999999999999)</f>
        <v>1.1</v>
      </c>
      <c r="H890" s="84">
        <f>IFERROR(__xludf.DUMMYFUNCTION("""COMPUTED_VALUE"""),40190.0)</f>
        <v>40190</v>
      </c>
      <c r="I890" s="86">
        <f>IFERROR(__xludf.DUMMYFUNCTION("""COMPUTED_VALUE"""),0.5583333333333333)</f>
        <v>0.5583333333</v>
      </c>
      <c r="J890" s="87">
        <f>IFERROR(__xludf.DUMMYFUNCTION("""COMPUTED_VALUE"""),51.0)</f>
        <v>51</v>
      </c>
      <c r="K890" s="88">
        <f>IFERROR(__xludf.DUMMYFUNCTION("""COMPUTED_VALUE"""),6.2)</f>
        <v>6.2</v>
      </c>
      <c r="L890" s="89">
        <f>IFERROR(__xludf.DUMMYFUNCTION("""COMPUTED_VALUE"""),2.0)</f>
        <v>2</v>
      </c>
      <c r="M890" s="26" t="str">
        <f>IFERROR(__xludf.DUMMYFUNCTION("""COMPUTED_VALUE"""),"Platformer")</f>
        <v>Platformer</v>
      </c>
      <c r="N890" s="26" t="str">
        <f>IFERROR(__xludf.DUMMYFUNCTION("""COMPUTED_VALUE"""),"PS Minis")</f>
        <v>PS Minis</v>
      </c>
      <c r="O890" s="26" t="str">
        <f>IFERROR(__xludf.DUMMYFUNCTION("""COMPUTED_VALUE"""),"No")</f>
        <v>No</v>
      </c>
      <c r="P890" s="26"/>
    </row>
    <row r="891">
      <c r="A891" s="81" t="str">
        <f>IFERROR(__xludf.DUMMYFUNCTION("""COMPUTED_VALUE"""),"2Xtreme")</f>
        <v>2Xtreme</v>
      </c>
      <c r="B891" s="82" t="str">
        <f>IFERROR(__xludf.DUMMYFUNCTION("""COMPUTED_VALUE"""),"PS3")</f>
        <v>PS3</v>
      </c>
      <c r="C891" s="83" t="str">
        <f>IFERROR(__xludf.DUMMYFUNCTION("""COMPUTED_VALUE"""),"Playstation Plus (Discontinued)")</f>
        <v>Playstation Plus (Discontinued)</v>
      </c>
      <c r="D891" s="82" t="str">
        <f>IFERROR(__xludf.DUMMYFUNCTION("""COMPUTED_VALUE"""),"Removed")</f>
        <v>Removed</v>
      </c>
      <c r="E891" s="84">
        <f>IFERROR(__xludf.DUMMYFUNCTION("""COMPUTED_VALUE"""),40393.0)</f>
        <v>40393</v>
      </c>
      <c r="F891" s="85">
        <f>IFERROR(__xludf.DUMMYFUNCTION("""COMPUTED_VALUE"""),40427.0)</f>
        <v>40427</v>
      </c>
      <c r="G891" s="86">
        <f>IFERROR(__xludf.DUMMYFUNCTION("""COMPUTED_VALUE"""),1.0999999999999999)</f>
        <v>1.1</v>
      </c>
      <c r="H891" s="84">
        <f>IFERROR(__xludf.DUMMYFUNCTION("""COMPUTED_VALUE"""),35370.0)</f>
        <v>35370</v>
      </c>
      <c r="I891" s="86">
        <f>IFERROR(__xludf.DUMMYFUNCTION("""COMPUTED_VALUE"""),13.755555555555556)</f>
        <v>13.75555556</v>
      </c>
      <c r="J891" s="87">
        <f>IFERROR(__xludf.DUMMYFUNCTION("""COMPUTED_VALUE"""),68.0)</f>
        <v>68</v>
      </c>
      <c r="K891" s="88">
        <f>IFERROR(__xludf.DUMMYFUNCTION("""COMPUTED_VALUE"""),7.5)</f>
        <v>7.5</v>
      </c>
      <c r="L891" s="89"/>
      <c r="M891" s="26" t="str">
        <f>IFERROR(__xludf.DUMMYFUNCTION("""COMPUTED_VALUE"""),"Racing")</f>
        <v>Racing</v>
      </c>
      <c r="N891" s="26" t="str">
        <f>IFERROR(__xludf.DUMMYFUNCTION("""COMPUTED_VALUE"""),"PS1")</f>
        <v>PS1</v>
      </c>
      <c r="O891" s="26" t="str">
        <f>IFERROR(__xludf.DUMMYFUNCTION("""COMPUTED_VALUE"""),"No")</f>
        <v>No</v>
      </c>
      <c r="P891" s="26"/>
    </row>
    <row r="892">
      <c r="A892" s="81" t="str">
        <f>IFERROR(__xludf.DUMMYFUNCTION("""COMPUTED_VALUE"""),"Mushroom Wars")</f>
        <v>Mushroom Wars</v>
      </c>
      <c r="B892" s="82" t="str">
        <f>IFERROR(__xludf.DUMMYFUNCTION("""COMPUTED_VALUE"""),"PS3")</f>
        <v>PS3</v>
      </c>
      <c r="C892" s="83" t="str">
        <f>IFERROR(__xludf.DUMMYFUNCTION("""COMPUTED_VALUE"""),"Playstation Plus (Discontinued)")</f>
        <v>Playstation Plus (Discontinued)</v>
      </c>
      <c r="D892" s="82" t="str">
        <f>IFERROR(__xludf.DUMMYFUNCTION("""COMPUTED_VALUE"""),"Removed")</f>
        <v>Removed</v>
      </c>
      <c r="E892" s="84">
        <f>IFERROR(__xludf.DUMMYFUNCTION("""COMPUTED_VALUE"""),40393.0)</f>
        <v>40393</v>
      </c>
      <c r="F892" s="85">
        <f>IFERROR(__xludf.DUMMYFUNCTION("""COMPUTED_VALUE"""),40427.0)</f>
        <v>40427</v>
      </c>
      <c r="G892" s="86">
        <f>IFERROR(__xludf.DUMMYFUNCTION("""COMPUTED_VALUE"""),1.0999999999999999)</f>
        <v>1.1</v>
      </c>
      <c r="H892" s="84">
        <f>IFERROR(__xludf.DUMMYFUNCTION("""COMPUTED_VALUE"""),40101.0)</f>
        <v>40101</v>
      </c>
      <c r="I892" s="86">
        <f>IFERROR(__xludf.DUMMYFUNCTION("""COMPUTED_VALUE"""),0.8)</f>
        <v>0.8</v>
      </c>
      <c r="J892" s="87">
        <f>IFERROR(__xludf.DUMMYFUNCTION("""COMPUTED_VALUE"""),79.0)</f>
        <v>79</v>
      </c>
      <c r="K892" s="88">
        <f>IFERROR(__xludf.DUMMYFUNCTION("""COMPUTED_VALUE"""),7.8)</f>
        <v>7.8</v>
      </c>
      <c r="L892" s="89"/>
      <c r="M892" s="26" t="str">
        <f>IFERROR(__xludf.DUMMYFUNCTION("""COMPUTED_VALUE"""),"Strategy")</f>
        <v>Strategy</v>
      </c>
      <c r="N892" s="26"/>
      <c r="O892" s="26" t="str">
        <f>IFERROR(__xludf.DUMMYFUNCTION("""COMPUTED_VALUE"""),"No")</f>
        <v>No</v>
      </c>
      <c r="P892" s="26"/>
    </row>
    <row r="893">
      <c r="A893" s="81" t="str">
        <f>IFERROR(__xludf.DUMMYFUNCTION("""COMPUTED_VALUE"""),"Aero Racer")</f>
        <v>Aero Racer</v>
      </c>
      <c r="B893" s="82" t="str">
        <f>IFERROR(__xludf.DUMMYFUNCTION("""COMPUTED_VALUE"""),"PS3")</f>
        <v>PS3</v>
      </c>
      <c r="C893" s="83" t="str">
        <f>IFERROR(__xludf.DUMMYFUNCTION("""COMPUTED_VALUE"""),"Playstation Plus (Discontinued)")</f>
        <v>Playstation Plus (Discontinued)</v>
      </c>
      <c r="D893" s="82" t="str">
        <f>IFERROR(__xludf.DUMMYFUNCTION("""COMPUTED_VALUE"""),"Removed")</f>
        <v>Removed</v>
      </c>
      <c r="E893" s="84">
        <f>IFERROR(__xludf.DUMMYFUNCTION("""COMPUTED_VALUE"""),40393.0)</f>
        <v>40393</v>
      </c>
      <c r="F893" s="85">
        <f>IFERROR(__xludf.DUMMYFUNCTION("""COMPUTED_VALUE"""),40427.0)</f>
        <v>40427</v>
      </c>
      <c r="G893" s="86">
        <f>IFERROR(__xludf.DUMMYFUNCTION("""COMPUTED_VALUE"""),1.0999999999999999)</f>
        <v>1.1</v>
      </c>
      <c r="H893" s="84">
        <f>IFERROR(__xludf.DUMMYFUNCTION("""COMPUTED_VALUE"""),40248.0)</f>
        <v>40248</v>
      </c>
      <c r="I893" s="86">
        <f>IFERROR(__xludf.DUMMYFUNCTION("""COMPUTED_VALUE"""),0.39444444444444443)</f>
        <v>0.3944444444</v>
      </c>
      <c r="J893" s="87">
        <f>IFERROR(__xludf.DUMMYFUNCTION("""COMPUTED_VALUE"""),53.0)</f>
        <v>53</v>
      </c>
      <c r="K893" s="88">
        <f>IFERROR(__xludf.DUMMYFUNCTION("""COMPUTED_VALUE"""),6.2)</f>
        <v>6.2</v>
      </c>
      <c r="L893" s="89"/>
      <c r="M893" s="26" t="str">
        <f>IFERROR(__xludf.DUMMYFUNCTION("""COMPUTED_VALUE"""),"Racing")</f>
        <v>Racing</v>
      </c>
      <c r="N893" s="26" t="str">
        <f>IFERROR(__xludf.DUMMYFUNCTION("""COMPUTED_VALUE"""),"PS Minis")</f>
        <v>PS Minis</v>
      </c>
      <c r="O893" s="26" t="str">
        <f>IFERROR(__xludf.DUMMYFUNCTION("""COMPUTED_VALUE"""),"No")</f>
        <v>No</v>
      </c>
      <c r="P893" s="26"/>
    </row>
    <row r="894">
      <c r="A894" s="81" t="str">
        <f>IFERROR(__xludf.DUMMYFUNCTION("""COMPUTED_VALUE"""),"Kahoots")</f>
        <v>Kahoots</v>
      </c>
      <c r="B894" s="82" t="str">
        <f>IFERROR(__xludf.DUMMYFUNCTION("""COMPUTED_VALUE"""),"PS3")</f>
        <v>PS3</v>
      </c>
      <c r="C894" s="83" t="str">
        <f>IFERROR(__xludf.DUMMYFUNCTION("""COMPUTED_VALUE"""),"Playstation Plus (Discontinued)")</f>
        <v>Playstation Plus (Discontinued)</v>
      </c>
      <c r="D894" s="82" t="str">
        <f>IFERROR(__xludf.DUMMYFUNCTION("""COMPUTED_VALUE"""),"Removed")</f>
        <v>Removed</v>
      </c>
      <c r="E894" s="84">
        <f>IFERROR(__xludf.DUMMYFUNCTION("""COMPUTED_VALUE"""),40365.0)</f>
        <v>40365</v>
      </c>
      <c r="F894" s="85">
        <f>IFERROR(__xludf.DUMMYFUNCTION("""COMPUTED_VALUE"""),40392.0)</f>
        <v>40392</v>
      </c>
      <c r="G894" s="86">
        <f>IFERROR(__xludf.DUMMYFUNCTION("""COMPUTED_VALUE"""),0.8666666666666666)</f>
        <v>0.8666666667</v>
      </c>
      <c r="H894" s="84">
        <f>IFERROR(__xludf.DUMMYFUNCTION("""COMPUTED_VALUE"""),40087.0)</f>
        <v>40087</v>
      </c>
      <c r="I894" s="86">
        <f>IFERROR(__xludf.DUMMYFUNCTION("""COMPUTED_VALUE"""),0.7638888888888888)</f>
        <v>0.7638888889</v>
      </c>
      <c r="J894" s="87">
        <f>IFERROR(__xludf.DUMMYFUNCTION("""COMPUTED_VALUE"""),55.0)</f>
        <v>55</v>
      </c>
      <c r="K894" s="88">
        <f>IFERROR(__xludf.DUMMYFUNCTION("""COMPUTED_VALUE"""),6.4)</f>
        <v>6.4</v>
      </c>
      <c r="L894" s="89"/>
      <c r="M894" s="26" t="str">
        <f>IFERROR(__xludf.DUMMYFUNCTION("""COMPUTED_VALUE"""),"Puzzle")</f>
        <v>Puzzle</v>
      </c>
      <c r="N894" s="26" t="str">
        <f>IFERROR(__xludf.DUMMYFUNCTION("""COMPUTED_VALUE"""),"PS Minis")</f>
        <v>PS Minis</v>
      </c>
      <c r="O894" s="26" t="str">
        <f>IFERROR(__xludf.DUMMYFUNCTION("""COMPUTED_VALUE"""),"No")</f>
        <v>No</v>
      </c>
      <c r="P894" s="26"/>
    </row>
    <row r="895">
      <c r="A895" s="81" t="str">
        <f>IFERROR(__xludf.DUMMYFUNCTION("""COMPUTED_VALUE"""),"Syphon Filter")</f>
        <v>Syphon Filter</v>
      </c>
      <c r="B895" s="82" t="str">
        <f>IFERROR(__xludf.DUMMYFUNCTION("""COMPUTED_VALUE"""),"PS3")</f>
        <v>PS3</v>
      </c>
      <c r="C895" s="83" t="str">
        <f>IFERROR(__xludf.DUMMYFUNCTION("""COMPUTED_VALUE"""),"Playstation Plus (Discontinued)")</f>
        <v>Playstation Plus (Discontinued)</v>
      </c>
      <c r="D895" s="82" t="str">
        <f>IFERROR(__xludf.DUMMYFUNCTION("""COMPUTED_VALUE"""),"Removed")</f>
        <v>Removed</v>
      </c>
      <c r="E895" s="84">
        <f>IFERROR(__xludf.DUMMYFUNCTION("""COMPUTED_VALUE"""),40365.0)</f>
        <v>40365</v>
      </c>
      <c r="F895" s="85">
        <f>IFERROR(__xludf.DUMMYFUNCTION("""COMPUTED_VALUE"""),40392.0)</f>
        <v>40392</v>
      </c>
      <c r="G895" s="86">
        <f>IFERROR(__xludf.DUMMYFUNCTION("""COMPUTED_VALUE"""),0.8666666666666666)</f>
        <v>0.8666666667</v>
      </c>
      <c r="H895" s="84">
        <f>IFERROR(__xludf.DUMMYFUNCTION("""COMPUTED_VALUE"""),36192.0)</f>
        <v>36192</v>
      </c>
      <c r="I895" s="86">
        <f>IFERROR(__xludf.DUMMYFUNCTION("""COMPUTED_VALUE"""),11.430555555555555)</f>
        <v>11.43055556</v>
      </c>
      <c r="J895" s="87">
        <f>IFERROR(__xludf.DUMMYFUNCTION("""COMPUTED_VALUE"""),90.0)</f>
        <v>90</v>
      </c>
      <c r="K895" s="88">
        <f>IFERROR(__xludf.DUMMYFUNCTION("""COMPUTED_VALUE"""),8.7)</f>
        <v>8.7</v>
      </c>
      <c r="L895" s="89">
        <f>IFERROR(__xludf.DUMMYFUNCTION("""COMPUTED_VALUE"""),10.0)</f>
        <v>10</v>
      </c>
      <c r="M895" s="26" t="str">
        <f>IFERROR(__xludf.DUMMYFUNCTION("""COMPUTED_VALUE"""),"Shooter")</f>
        <v>Shooter</v>
      </c>
      <c r="N895" s="26" t="str">
        <f>IFERROR(__xludf.DUMMYFUNCTION("""COMPUTED_VALUE"""),"PS1")</f>
        <v>PS1</v>
      </c>
      <c r="O895" s="26" t="str">
        <f>IFERROR(__xludf.DUMMYFUNCTION("""COMPUTED_VALUE"""),"No")</f>
        <v>No</v>
      </c>
      <c r="P895" s="26"/>
    </row>
    <row r="896">
      <c r="A896" s="81" t="str">
        <f>IFERROR(__xludf.DUMMYFUNCTION("""COMPUTED_VALUE"""),"Critter Crunch")</f>
        <v>Critter Crunch</v>
      </c>
      <c r="B896" s="82" t="str">
        <f>IFERROR(__xludf.DUMMYFUNCTION("""COMPUTED_VALUE"""),"PS3")</f>
        <v>PS3</v>
      </c>
      <c r="C896" s="83" t="str">
        <f>IFERROR(__xludf.DUMMYFUNCTION("""COMPUTED_VALUE"""),"Playstation Plus (Discontinued)")</f>
        <v>Playstation Plus (Discontinued)</v>
      </c>
      <c r="D896" s="82" t="str">
        <f>IFERROR(__xludf.DUMMYFUNCTION("""COMPUTED_VALUE"""),"Removed")</f>
        <v>Removed</v>
      </c>
      <c r="E896" s="84">
        <f>IFERROR(__xludf.DUMMYFUNCTION("""COMPUTED_VALUE"""),40365.0)</f>
        <v>40365</v>
      </c>
      <c r="F896" s="85">
        <f>IFERROR(__xludf.DUMMYFUNCTION("""COMPUTED_VALUE"""),40392.0)</f>
        <v>40392</v>
      </c>
      <c r="G896" s="86">
        <f>IFERROR(__xludf.DUMMYFUNCTION("""COMPUTED_VALUE"""),0.8666666666666666)</f>
        <v>0.8666666667</v>
      </c>
      <c r="H896" s="84">
        <f>IFERROR(__xludf.DUMMYFUNCTION("""COMPUTED_VALUE"""),40094.0)</f>
        <v>40094</v>
      </c>
      <c r="I896" s="86">
        <f>IFERROR(__xludf.DUMMYFUNCTION("""COMPUTED_VALUE"""),0.7444444444444445)</f>
        <v>0.7444444444</v>
      </c>
      <c r="J896" s="87">
        <f>IFERROR(__xludf.DUMMYFUNCTION("""COMPUTED_VALUE"""),82.0)</f>
        <v>82</v>
      </c>
      <c r="K896" s="88">
        <f>IFERROR(__xludf.DUMMYFUNCTION("""COMPUTED_VALUE"""),7.7)</f>
        <v>7.7</v>
      </c>
      <c r="L896" s="89">
        <f>IFERROR(__xludf.DUMMYFUNCTION("""COMPUTED_VALUE"""),3.0)</f>
        <v>3</v>
      </c>
      <c r="M896" s="26" t="str">
        <f>IFERROR(__xludf.DUMMYFUNCTION("""COMPUTED_VALUE"""),"Puzzle")</f>
        <v>Puzzle</v>
      </c>
      <c r="N896" s="26"/>
      <c r="O896" s="26" t="str">
        <f>IFERROR(__xludf.DUMMYFUNCTION("""COMPUTED_VALUE"""),"No")</f>
        <v>No</v>
      </c>
      <c r="P896" s="26"/>
    </row>
    <row r="897">
      <c r="A897" s="81" t="str">
        <f>IFERROR(__xludf.DUMMYFUNCTION("""COMPUTED_VALUE"""),"Field Runners")</f>
        <v>Field Runners</v>
      </c>
      <c r="B897" s="82" t="str">
        <f>IFERROR(__xludf.DUMMYFUNCTION("""COMPUTED_VALUE"""),"PS3")</f>
        <v>PS3</v>
      </c>
      <c r="C897" s="83" t="str">
        <f>IFERROR(__xludf.DUMMYFUNCTION("""COMPUTED_VALUE"""),"Playstation Plus (Discontinued)")</f>
        <v>Playstation Plus (Discontinued)</v>
      </c>
      <c r="D897" s="82" t="str">
        <f>IFERROR(__xludf.DUMMYFUNCTION("""COMPUTED_VALUE"""),"Removed")</f>
        <v>Removed</v>
      </c>
      <c r="E897" s="84">
        <f>IFERROR(__xludf.DUMMYFUNCTION("""COMPUTED_VALUE"""),40365.0)</f>
        <v>40365</v>
      </c>
      <c r="F897" s="85">
        <f>IFERROR(__xludf.DUMMYFUNCTION("""COMPUTED_VALUE"""),40392.0)</f>
        <v>40392</v>
      </c>
      <c r="G897" s="86">
        <f>IFERROR(__xludf.DUMMYFUNCTION("""COMPUTED_VALUE"""),0.8666666666666666)</f>
        <v>0.8666666667</v>
      </c>
      <c r="H897" s="84">
        <f>IFERROR(__xludf.DUMMYFUNCTION("""COMPUTED_VALUE"""),39723.0)</f>
        <v>39723</v>
      </c>
      <c r="I897" s="86">
        <f>IFERROR(__xludf.DUMMYFUNCTION("""COMPUTED_VALUE"""),1.761111111111111)</f>
        <v>1.761111111</v>
      </c>
      <c r="J897" s="87">
        <f>IFERROR(__xludf.DUMMYFUNCTION("""COMPUTED_VALUE"""),79.0)</f>
        <v>79</v>
      </c>
      <c r="K897" s="88">
        <f>IFERROR(__xludf.DUMMYFUNCTION("""COMPUTED_VALUE"""),7.6)</f>
        <v>7.6</v>
      </c>
      <c r="L897" s="89"/>
      <c r="M897" s="26" t="str">
        <f>IFERROR(__xludf.DUMMYFUNCTION("""COMPUTED_VALUE"""),"Strategy")</f>
        <v>Strategy</v>
      </c>
      <c r="N897" s="26" t="str">
        <f>IFERROR(__xludf.DUMMYFUNCTION("""COMPUTED_VALUE"""),"PS Minis")</f>
        <v>PS Minis</v>
      </c>
      <c r="O897" s="26" t="str">
        <f>IFERROR(__xludf.DUMMYFUNCTION("""COMPUTED_VALUE"""),"No")</f>
        <v>No</v>
      </c>
      <c r="P897" s="26"/>
    </row>
    <row r="898">
      <c r="A898" s="81" t="str">
        <f>IFERROR(__xludf.DUMMYFUNCTION("""COMPUTED_VALUE"""),"Age of Zombies")</f>
        <v>Age of Zombies</v>
      </c>
      <c r="B898" s="82" t="str">
        <f>IFERROR(__xludf.DUMMYFUNCTION("""COMPUTED_VALUE"""),"PS3")</f>
        <v>PS3</v>
      </c>
      <c r="C898" s="83" t="str">
        <f>IFERROR(__xludf.DUMMYFUNCTION("""COMPUTED_VALUE"""),"Playstation Plus (Discontinued)")</f>
        <v>Playstation Plus (Discontinued)</v>
      </c>
      <c r="D898" s="82" t="str">
        <f>IFERROR(__xludf.DUMMYFUNCTION("""COMPUTED_VALUE"""),"Removed")</f>
        <v>Removed</v>
      </c>
      <c r="E898" s="84">
        <f>IFERROR(__xludf.DUMMYFUNCTION("""COMPUTED_VALUE"""),40330.0)</f>
        <v>40330</v>
      </c>
      <c r="F898" s="85">
        <f>IFERROR(__xludf.DUMMYFUNCTION("""COMPUTED_VALUE"""),40364.0)</f>
        <v>40364</v>
      </c>
      <c r="G898" s="86">
        <f>IFERROR(__xludf.DUMMYFUNCTION("""COMPUTED_VALUE"""),1.1333333333333333)</f>
        <v>1.133333333</v>
      </c>
      <c r="H898" s="84">
        <f>IFERROR(__xludf.DUMMYFUNCTION("""COMPUTED_VALUE"""),40234.0)</f>
        <v>40234</v>
      </c>
      <c r="I898" s="86">
        <f>IFERROR(__xludf.DUMMYFUNCTION("""COMPUTED_VALUE"""),0.26666666666666666)</f>
        <v>0.2666666667</v>
      </c>
      <c r="J898" s="87">
        <f>IFERROR(__xludf.DUMMYFUNCTION("""COMPUTED_VALUE"""),77.0)</f>
        <v>77</v>
      </c>
      <c r="K898" s="88">
        <f>IFERROR(__xludf.DUMMYFUNCTION("""COMPUTED_VALUE"""),7.5)</f>
        <v>7.5</v>
      </c>
      <c r="L898" s="89">
        <f>IFERROR(__xludf.DUMMYFUNCTION("""COMPUTED_VALUE"""),3.0)</f>
        <v>3</v>
      </c>
      <c r="M898" s="26" t="str">
        <f>IFERROR(__xludf.DUMMYFUNCTION("""COMPUTED_VALUE"""),"Platformer")</f>
        <v>Platformer</v>
      </c>
      <c r="N898" s="26" t="str">
        <f>IFERROR(__xludf.DUMMYFUNCTION("""COMPUTED_VALUE"""),"PS Minis")</f>
        <v>PS Minis</v>
      </c>
      <c r="O898" s="26" t="str">
        <f>IFERROR(__xludf.DUMMYFUNCTION("""COMPUTED_VALUE"""),"No")</f>
        <v>No</v>
      </c>
      <c r="P898" s="26"/>
    </row>
    <row r="899">
      <c r="A899" s="81" t="str">
        <f>IFERROR(__xludf.DUMMYFUNCTION("""COMPUTED_VALUE"""),"Rally Cross")</f>
        <v>Rally Cross</v>
      </c>
      <c r="B899" s="82" t="str">
        <f>IFERROR(__xludf.DUMMYFUNCTION("""COMPUTED_VALUE"""),"PS3")</f>
        <v>PS3</v>
      </c>
      <c r="C899" s="83" t="str">
        <f>IFERROR(__xludf.DUMMYFUNCTION("""COMPUTED_VALUE"""),"Playstation Plus (Discontinued)")</f>
        <v>Playstation Plus (Discontinued)</v>
      </c>
      <c r="D899" s="82" t="str">
        <f>IFERROR(__xludf.DUMMYFUNCTION("""COMPUTED_VALUE"""),"Removed")</f>
        <v>Removed</v>
      </c>
      <c r="E899" s="84">
        <f>IFERROR(__xludf.DUMMYFUNCTION("""COMPUTED_VALUE"""),40330.0)</f>
        <v>40330</v>
      </c>
      <c r="F899" s="85">
        <f>IFERROR(__xludf.DUMMYFUNCTION("""COMPUTED_VALUE"""),40364.0)</f>
        <v>40364</v>
      </c>
      <c r="G899" s="86">
        <f>IFERROR(__xludf.DUMMYFUNCTION("""COMPUTED_VALUE"""),1.1333333333333333)</f>
        <v>1.133333333</v>
      </c>
      <c r="H899" s="84">
        <f>IFERROR(__xludf.DUMMYFUNCTION("""COMPUTED_VALUE"""),35734.0)</f>
        <v>35734</v>
      </c>
      <c r="I899" s="86">
        <f>IFERROR(__xludf.DUMMYFUNCTION("""COMPUTED_VALUE"""),12.58611111111111)</f>
        <v>12.58611111</v>
      </c>
      <c r="J899" s="87">
        <f>IFERROR(__xludf.DUMMYFUNCTION("""COMPUTED_VALUE"""),79.0)</f>
        <v>79</v>
      </c>
      <c r="K899" s="88">
        <f>IFERROR(__xludf.DUMMYFUNCTION("""COMPUTED_VALUE"""),7.8)</f>
        <v>7.8</v>
      </c>
      <c r="L899" s="89"/>
      <c r="M899" s="26" t="str">
        <f>IFERROR(__xludf.DUMMYFUNCTION("""COMPUTED_VALUE"""),"Racing")</f>
        <v>Racing</v>
      </c>
      <c r="N899" s="26" t="str">
        <f>IFERROR(__xludf.DUMMYFUNCTION("""COMPUTED_VALUE"""),"PS1")</f>
        <v>PS1</v>
      </c>
      <c r="O899" s="26" t="str">
        <f>IFERROR(__xludf.DUMMYFUNCTION("""COMPUTED_VALUE"""),"No")</f>
        <v>No</v>
      </c>
      <c r="P899" s="26"/>
    </row>
    <row r="900">
      <c r="A900" s="81" t="str">
        <f>IFERROR(__xludf.DUMMYFUNCTION("""COMPUTED_VALUE"""),"WipEout HD")</f>
        <v>WipEout HD</v>
      </c>
      <c r="B900" s="82" t="str">
        <f>IFERROR(__xludf.DUMMYFUNCTION("""COMPUTED_VALUE"""),"PS3")</f>
        <v>PS3</v>
      </c>
      <c r="C900" s="83" t="str">
        <f>IFERROR(__xludf.DUMMYFUNCTION("""COMPUTED_VALUE"""),"Playstation Plus (Discontinued)")</f>
        <v>Playstation Plus (Discontinued)</v>
      </c>
      <c r="D900" s="82" t="str">
        <f>IFERROR(__xludf.DUMMYFUNCTION("""COMPUTED_VALUE"""),"Removed")</f>
        <v>Removed</v>
      </c>
      <c r="E900" s="84">
        <f>IFERROR(__xludf.DUMMYFUNCTION("""COMPUTED_VALUE"""),40330.0)</f>
        <v>40330</v>
      </c>
      <c r="F900" s="85">
        <f>IFERROR(__xludf.DUMMYFUNCTION("""COMPUTED_VALUE"""),40364.0)</f>
        <v>40364</v>
      </c>
      <c r="G900" s="86">
        <f>IFERROR(__xludf.DUMMYFUNCTION("""COMPUTED_VALUE"""),1.1333333333333333)</f>
        <v>1.133333333</v>
      </c>
      <c r="H900" s="84">
        <f>IFERROR(__xludf.DUMMYFUNCTION("""COMPUTED_VALUE"""),39716.0)</f>
        <v>39716</v>
      </c>
      <c r="I900" s="86">
        <f>IFERROR(__xludf.DUMMYFUNCTION("""COMPUTED_VALUE"""),1.6833333333333333)</f>
        <v>1.683333333</v>
      </c>
      <c r="J900" s="87">
        <f>IFERROR(__xludf.DUMMYFUNCTION("""COMPUTED_VALUE"""),88.0)</f>
        <v>88</v>
      </c>
      <c r="K900" s="88">
        <f>IFERROR(__xludf.DUMMYFUNCTION("""COMPUTED_VALUE"""),8.3)</f>
        <v>8.3</v>
      </c>
      <c r="L900" s="89">
        <f>IFERROR(__xludf.DUMMYFUNCTION("""COMPUTED_VALUE"""),8.0)</f>
        <v>8</v>
      </c>
      <c r="M900" s="26" t="str">
        <f>IFERROR(__xludf.DUMMYFUNCTION("""COMPUTED_VALUE"""),"Racing")</f>
        <v>Racing</v>
      </c>
      <c r="N900" s="26"/>
      <c r="O900" s="26" t="str">
        <f>IFERROR(__xludf.DUMMYFUNCTION("""COMPUTED_VALUE"""),"No")</f>
        <v>No</v>
      </c>
      <c r="P900" s="26"/>
    </row>
    <row r="901">
      <c r="A901" s="90"/>
      <c r="B901" s="82"/>
      <c r="C901" s="83"/>
      <c r="D901" s="82"/>
      <c r="E901" s="84"/>
      <c r="F901" s="85"/>
      <c r="G901" s="86"/>
      <c r="H901" s="84"/>
      <c r="I901" s="86"/>
      <c r="J901" s="87"/>
      <c r="K901" s="91"/>
      <c r="L901" s="89"/>
      <c r="M901" s="26"/>
      <c r="N901" s="26"/>
      <c r="O901" s="26"/>
      <c r="P901" s="26"/>
    </row>
    <row r="902">
      <c r="A902" s="90"/>
      <c r="B902" s="82"/>
      <c r="C902" s="83"/>
      <c r="D902" s="82"/>
      <c r="E902" s="84"/>
      <c r="F902" s="85"/>
      <c r="G902" s="86"/>
      <c r="H902" s="84"/>
      <c r="I902" s="86"/>
      <c r="J902" s="87"/>
      <c r="K902" s="91"/>
      <c r="L902" s="89"/>
      <c r="M902" s="26"/>
      <c r="N902" s="26"/>
      <c r="O902" s="26"/>
      <c r="P902" s="26"/>
    </row>
    <row r="903">
      <c r="A903" s="90"/>
      <c r="B903" s="82"/>
      <c r="C903" s="83"/>
      <c r="D903" s="82"/>
      <c r="E903" s="84"/>
      <c r="F903" s="85"/>
      <c r="G903" s="86"/>
      <c r="H903" s="84"/>
      <c r="I903" s="86"/>
      <c r="J903" s="87"/>
      <c r="K903" s="91"/>
      <c r="L903" s="89"/>
      <c r="M903" s="26"/>
      <c r="N903" s="26"/>
      <c r="O903" s="26"/>
      <c r="P903" s="26"/>
    </row>
    <row r="904">
      <c r="A904" s="90"/>
      <c r="B904" s="82"/>
      <c r="C904" s="83"/>
      <c r="D904" s="82"/>
      <c r="E904" s="84"/>
      <c r="F904" s="85"/>
      <c r="G904" s="86"/>
      <c r="H904" s="84"/>
      <c r="I904" s="86"/>
      <c r="J904" s="87"/>
      <c r="K904" s="91"/>
      <c r="L904" s="89"/>
      <c r="M904" s="26"/>
      <c r="N904" s="26"/>
      <c r="O904" s="26"/>
      <c r="P904" s="26"/>
    </row>
    <row r="905">
      <c r="A905" s="90"/>
      <c r="B905" s="82"/>
      <c r="C905" s="83"/>
      <c r="D905" s="82"/>
      <c r="E905" s="84"/>
      <c r="F905" s="85"/>
      <c r="G905" s="86"/>
      <c r="H905" s="84"/>
      <c r="I905" s="86"/>
      <c r="J905" s="87"/>
      <c r="K905" s="91"/>
      <c r="L905" s="89"/>
      <c r="M905" s="26"/>
      <c r="N905" s="26"/>
      <c r="O905" s="26"/>
      <c r="P905" s="26"/>
    </row>
    <row r="906">
      <c r="A906" s="90"/>
      <c r="B906" s="82"/>
      <c r="C906" s="83"/>
      <c r="D906" s="82"/>
      <c r="E906" s="84"/>
      <c r="F906" s="85"/>
      <c r="G906" s="86"/>
      <c r="H906" s="84"/>
      <c r="I906" s="86"/>
      <c r="J906" s="87"/>
      <c r="K906" s="91"/>
      <c r="L906" s="89"/>
      <c r="M906" s="26"/>
      <c r="N906" s="26"/>
      <c r="O906" s="26"/>
      <c r="P906" s="26"/>
    </row>
    <row r="907">
      <c r="A907" s="90"/>
      <c r="B907" s="82"/>
      <c r="C907" s="83"/>
      <c r="D907" s="82"/>
      <c r="E907" s="84"/>
      <c r="F907" s="85"/>
      <c r="G907" s="86"/>
      <c r="H907" s="84"/>
      <c r="I907" s="86"/>
      <c r="J907" s="87"/>
      <c r="K907" s="91"/>
      <c r="L907" s="89"/>
      <c r="M907" s="26"/>
      <c r="N907" s="26"/>
      <c r="O907" s="26"/>
      <c r="P907" s="26"/>
    </row>
    <row r="908">
      <c r="A908" s="90"/>
      <c r="B908" s="82"/>
      <c r="C908" s="83"/>
      <c r="D908" s="82"/>
      <c r="E908" s="84"/>
      <c r="F908" s="85"/>
      <c r="G908" s="86"/>
      <c r="H908" s="84"/>
      <c r="I908" s="86"/>
      <c r="J908" s="87"/>
      <c r="K908" s="91"/>
      <c r="L908" s="89"/>
      <c r="M908" s="26"/>
      <c r="N908" s="26"/>
      <c r="O908" s="26"/>
      <c r="P908" s="26"/>
    </row>
    <row r="909">
      <c r="A909" s="90"/>
      <c r="B909" s="82"/>
      <c r="C909" s="83"/>
      <c r="D909" s="82"/>
      <c r="E909" s="84"/>
      <c r="F909" s="85"/>
      <c r="G909" s="86"/>
      <c r="H909" s="84"/>
      <c r="I909" s="86"/>
      <c r="J909" s="87"/>
      <c r="K909" s="91"/>
      <c r="L909" s="89"/>
      <c r="M909" s="26"/>
      <c r="N909" s="26"/>
      <c r="O909" s="26"/>
      <c r="P909" s="26"/>
    </row>
    <row r="910">
      <c r="A910" s="90"/>
      <c r="B910" s="82"/>
      <c r="C910" s="83"/>
      <c r="D910" s="82"/>
      <c r="E910" s="84"/>
      <c r="F910" s="85"/>
      <c r="G910" s="86"/>
      <c r="H910" s="84"/>
      <c r="I910" s="86"/>
      <c r="J910" s="87"/>
      <c r="K910" s="91"/>
      <c r="L910" s="89"/>
      <c r="M910" s="26"/>
      <c r="N910" s="26"/>
      <c r="O910" s="26"/>
      <c r="P910" s="26"/>
    </row>
    <row r="911">
      <c r="A911" s="90"/>
      <c r="B911" s="82"/>
      <c r="C911" s="83"/>
      <c r="D911" s="82"/>
      <c r="E911" s="84"/>
      <c r="F911" s="85"/>
      <c r="G911" s="86"/>
      <c r="H911" s="84"/>
      <c r="I911" s="86"/>
      <c r="J911" s="87"/>
      <c r="K911" s="91"/>
      <c r="L911" s="89"/>
      <c r="M911" s="26"/>
      <c r="N911" s="26"/>
      <c r="O911" s="26"/>
      <c r="P911" s="26"/>
    </row>
    <row r="912">
      <c r="A912" s="90"/>
      <c r="B912" s="82"/>
      <c r="C912" s="83"/>
      <c r="D912" s="82"/>
      <c r="E912" s="84"/>
      <c r="F912" s="85"/>
      <c r="G912" s="86"/>
      <c r="H912" s="84"/>
      <c r="I912" s="86"/>
      <c r="J912" s="87"/>
      <c r="K912" s="91"/>
      <c r="L912" s="89"/>
      <c r="M912" s="26"/>
      <c r="N912" s="26"/>
      <c r="O912" s="26"/>
      <c r="P912" s="26"/>
    </row>
    <row r="913">
      <c r="A913" s="90"/>
      <c r="B913" s="82"/>
      <c r="C913" s="83"/>
      <c r="D913" s="82"/>
      <c r="E913" s="84"/>
      <c r="F913" s="85"/>
      <c r="G913" s="86"/>
      <c r="H913" s="84"/>
      <c r="I913" s="86"/>
      <c r="J913" s="87"/>
      <c r="K913" s="91"/>
      <c r="L913" s="89"/>
      <c r="M913" s="26"/>
      <c r="N913" s="26"/>
      <c r="O913" s="26"/>
      <c r="P913" s="26"/>
    </row>
    <row r="914">
      <c r="A914" s="90"/>
      <c r="B914" s="82"/>
      <c r="C914" s="83"/>
      <c r="D914" s="82"/>
      <c r="E914" s="84"/>
      <c r="F914" s="85"/>
      <c r="G914" s="86"/>
      <c r="H914" s="84"/>
      <c r="I914" s="86"/>
      <c r="J914" s="87"/>
      <c r="K914" s="91"/>
      <c r="L914" s="89"/>
      <c r="M914" s="26"/>
      <c r="N914" s="26"/>
      <c r="O914" s="26"/>
      <c r="P914" s="26"/>
    </row>
    <row r="915">
      <c r="A915" s="90"/>
      <c r="B915" s="82"/>
      <c r="C915" s="83"/>
      <c r="D915" s="82"/>
      <c r="E915" s="84"/>
      <c r="F915" s="85"/>
      <c r="G915" s="86"/>
      <c r="H915" s="84"/>
      <c r="I915" s="86"/>
      <c r="J915" s="87"/>
      <c r="K915" s="91"/>
      <c r="L915" s="89"/>
      <c r="M915" s="26"/>
      <c r="N915" s="26"/>
      <c r="O915" s="26"/>
      <c r="P915" s="26"/>
    </row>
    <row r="916">
      <c r="A916" s="90"/>
      <c r="B916" s="82"/>
      <c r="C916" s="83"/>
      <c r="D916" s="82"/>
      <c r="E916" s="84"/>
      <c r="F916" s="85"/>
      <c r="G916" s="86"/>
      <c r="H916" s="84"/>
      <c r="I916" s="86"/>
      <c r="J916" s="87"/>
      <c r="K916" s="91"/>
      <c r="L916" s="89"/>
      <c r="M916" s="26"/>
      <c r="N916" s="26"/>
      <c r="O916" s="26"/>
      <c r="P916" s="26"/>
    </row>
    <row r="917">
      <c r="A917" s="90"/>
      <c r="B917" s="82"/>
      <c r="C917" s="83"/>
      <c r="D917" s="82"/>
      <c r="E917" s="84"/>
      <c r="F917" s="85"/>
      <c r="G917" s="86"/>
      <c r="H917" s="84"/>
      <c r="I917" s="86"/>
      <c r="J917" s="87"/>
      <c r="K917" s="91"/>
      <c r="L917" s="89"/>
      <c r="M917" s="26"/>
      <c r="N917" s="26"/>
      <c r="O917" s="26"/>
      <c r="P917" s="26"/>
    </row>
    <row r="918">
      <c r="A918" s="90"/>
      <c r="B918" s="82"/>
      <c r="C918" s="83"/>
      <c r="D918" s="82"/>
      <c r="E918" s="84"/>
      <c r="F918" s="85"/>
      <c r="G918" s="86"/>
      <c r="H918" s="84"/>
      <c r="I918" s="86"/>
      <c r="J918" s="87"/>
      <c r="K918" s="91"/>
      <c r="L918" s="89"/>
      <c r="M918" s="26"/>
      <c r="N918" s="26"/>
      <c r="O918" s="26"/>
      <c r="P918" s="26"/>
    </row>
    <row r="919">
      <c r="A919" s="90"/>
      <c r="B919" s="82"/>
      <c r="C919" s="83"/>
      <c r="D919" s="82"/>
      <c r="E919" s="84"/>
      <c r="F919" s="85"/>
      <c r="G919" s="86"/>
      <c r="H919" s="84"/>
      <c r="I919" s="86"/>
      <c r="J919" s="87"/>
      <c r="K919" s="91"/>
      <c r="L919" s="89"/>
      <c r="M919" s="26"/>
      <c r="N919" s="26"/>
      <c r="O919" s="26"/>
      <c r="P919" s="26"/>
    </row>
    <row r="920">
      <c r="A920" s="90"/>
      <c r="B920" s="82"/>
      <c r="C920" s="83"/>
      <c r="D920" s="82"/>
      <c r="E920" s="84"/>
      <c r="F920" s="85"/>
      <c r="G920" s="86"/>
      <c r="H920" s="84"/>
      <c r="I920" s="86"/>
      <c r="J920" s="87"/>
      <c r="K920" s="91"/>
      <c r="L920" s="89"/>
      <c r="M920" s="26"/>
      <c r="N920" s="26"/>
      <c r="O920" s="26"/>
      <c r="P920" s="26"/>
    </row>
    <row r="921">
      <c r="A921" s="90"/>
      <c r="B921" s="82"/>
      <c r="C921" s="83"/>
      <c r="D921" s="82"/>
      <c r="E921" s="84"/>
      <c r="F921" s="85"/>
      <c r="G921" s="86"/>
      <c r="H921" s="84"/>
      <c r="I921" s="86"/>
      <c r="J921" s="87"/>
      <c r="K921" s="91"/>
      <c r="L921" s="89"/>
      <c r="M921" s="26"/>
      <c r="N921" s="26"/>
      <c r="O921" s="26"/>
      <c r="P921" s="26"/>
    </row>
    <row r="922">
      <c r="A922" s="90"/>
      <c r="B922" s="82"/>
      <c r="C922" s="83"/>
      <c r="D922" s="82"/>
      <c r="E922" s="84"/>
      <c r="F922" s="85"/>
      <c r="G922" s="86"/>
      <c r="H922" s="84"/>
      <c r="I922" s="86"/>
      <c r="J922" s="87"/>
      <c r="K922" s="91"/>
      <c r="L922" s="89"/>
      <c r="M922" s="26"/>
      <c r="N922" s="26"/>
      <c r="O922" s="26"/>
      <c r="P922" s="26"/>
    </row>
    <row r="923">
      <c r="A923" s="90"/>
      <c r="B923" s="82"/>
      <c r="C923" s="83"/>
      <c r="D923" s="82"/>
      <c r="E923" s="84"/>
      <c r="F923" s="85"/>
      <c r="G923" s="86"/>
      <c r="H923" s="84"/>
      <c r="I923" s="86"/>
      <c r="J923" s="87"/>
      <c r="K923" s="91"/>
      <c r="L923" s="89"/>
      <c r="M923" s="26"/>
      <c r="N923" s="26"/>
      <c r="O923" s="26"/>
      <c r="P923" s="26"/>
    </row>
    <row r="924">
      <c r="A924" s="90"/>
      <c r="B924" s="82"/>
      <c r="C924" s="83"/>
      <c r="D924" s="82"/>
      <c r="E924" s="84"/>
      <c r="F924" s="85"/>
      <c r="G924" s="86"/>
      <c r="H924" s="84"/>
      <c r="I924" s="86"/>
      <c r="J924" s="87"/>
      <c r="K924" s="91"/>
      <c r="L924" s="89"/>
      <c r="M924" s="26"/>
      <c r="N924" s="26"/>
      <c r="O924" s="26"/>
      <c r="P924" s="26"/>
    </row>
    <row r="925">
      <c r="A925" s="90"/>
      <c r="B925" s="82"/>
      <c r="C925" s="83"/>
      <c r="D925" s="82"/>
      <c r="E925" s="84"/>
      <c r="F925" s="85"/>
      <c r="G925" s="86"/>
      <c r="H925" s="84"/>
      <c r="I925" s="86"/>
      <c r="J925" s="87"/>
      <c r="K925" s="91"/>
      <c r="L925" s="89"/>
      <c r="M925" s="26"/>
      <c r="N925" s="26"/>
      <c r="O925" s="26"/>
      <c r="P925" s="26"/>
    </row>
    <row r="926">
      <c r="A926" s="90"/>
      <c r="B926" s="82"/>
      <c r="C926" s="83"/>
      <c r="D926" s="82"/>
      <c r="E926" s="84"/>
      <c r="F926" s="85"/>
      <c r="G926" s="86"/>
      <c r="H926" s="84"/>
      <c r="I926" s="86"/>
      <c r="J926" s="87"/>
      <c r="K926" s="91"/>
      <c r="L926" s="89"/>
      <c r="M926" s="26"/>
      <c r="N926" s="26"/>
      <c r="O926" s="26"/>
      <c r="P926" s="26"/>
    </row>
    <row r="927">
      <c r="A927" s="90"/>
      <c r="B927" s="82"/>
      <c r="C927" s="83"/>
      <c r="D927" s="82"/>
      <c r="E927" s="84"/>
      <c r="F927" s="85"/>
      <c r="G927" s="86"/>
      <c r="H927" s="84"/>
      <c r="I927" s="86"/>
      <c r="J927" s="87"/>
      <c r="K927" s="91"/>
      <c r="L927" s="89"/>
      <c r="M927" s="26"/>
      <c r="N927" s="26"/>
      <c r="O927" s="26"/>
      <c r="P927" s="26"/>
    </row>
    <row r="928">
      <c r="A928" s="90"/>
      <c r="B928" s="82"/>
      <c r="C928" s="83"/>
      <c r="D928" s="82"/>
      <c r="E928" s="84"/>
      <c r="F928" s="85"/>
      <c r="G928" s="86"/>
      <c r="H928" s="84"/>
      <c r="I928" s="86"/>
      <c r="J928" s="87"/>
      <c r="K928" s="91"/>
      <c r="L928" s="89"/>
      <c r="M928" s="26"/>
      <c r="N928" s="26"/>
      <c r="O928" s="26"/>
      <c r="P928" s="26"/>
    </row>
    <row r="929">
      <c r="A929" s="90"/>
      <c r="B929" s="82"/>
      <c r="C929" s="83"/>
      <c r="D929" s="82"/>
      <c r="E929" s="84"/>
      <c r="F929" s="85"/>
      <c r="G929" s="86"/>
      <c r="H929" s="84"/>
      <c r="I929" s="86"/>
      <c r="J929" s="87"/>
      <c r="K929" s="91"/>
      <c r="L929" s="89"/>
      <c r="M929" s="26"/>
      <c r="N929" s="26"/>
      <c r="O929" s="26"/>
      <c r="P929" s="26"/>
    </row>
    <row r="930">
      <c r="A930" s="90"/>
      <c r="B930" s="82"/>
      <c r="C930" s="83"/>
      <c r="D930" s="82"/>
      <c r="E930" s="84"/>
      <c r="F930" s="85"/>
      <c r="G930" s="86"/>
      <c r="H930" s="84"/>
      <c r="I930" s="86"/>
      <c r="J930" s="87"/>
      <c r="K930" s="91"/>
      <c r="L930" s="89"/>
      <c r="M930" s="26"/>
      <c r="N930" s="26"/>
      <c r="O930" s="26"/>
      <c r="P930" s="26"/>
    </row>
    <row r="931">
      <c r="A931" s="90"/>
      <c r="B931" s="82"/>
      <c r="C931" s="83"/>
      <c r="D931" s="82"/>
      <c r="E931" s="84"/>
      <c r="F931" s="85"/>
      <c r="G931" s="86"/>
      <c r="H931" s="84"/>
      <c r="I931" s="86"/>
      <c r="J931" s="87"/>
      <c r="K931" s="91"/>
      <c r="L931" s="89"/>
      <c r="M931" s="26"/>
      <c r="N931" s="26"/>
      <c r="O931" s="26"/>
      <c r="P931" s="26"/>
    </row>
    <row r="932">
      <c r="A932" s="90"/>
      <c r="B932" s="82"/>
      <c r="C932" s="83"/>
      <c r="D932" s="82"/>
      <c r="E932" s="84"/>
      <c r="F932" s="85"/>
      <c r="G932" s="86"/>
      <c r="H932" s="84"/>
      <c r="I932" s="86"/>
      <c r="J932" s="87"/>
      <c r="K932" s="91"/>
      <c r="L932" s="89"/>
      <c r="M932" s="26"/>
      <c r="N932" s="26"/>
      <c r="O932" s="26"/>
      <c r="P932" s="26"/>
    </row>
    <row r="933">
      <c r="A933" s="90"/>
      <c r="B933" s="82"/>
      <c r="C933" s="83"/>
      <c r="D933" s="82"/>
      <c r="E933" s="84"/>
      <c r="F933" s="85"/>
      <c r="G933" s="86"/>
      <c r="H933" s="84"/>
      <c r="I933" s="86"/>
      <c r="J933" s="87"/>
      <c r="K933" s="91"/>
      <c r="L933" s="89"/>
      <c r="M933" s="26"/>
      <c r="N933" s="26"/>
      <c r="O933" s="26"/>
      <c r="P933" s="26"/>
    </row>
    <row r="934">
      <c r="A934" s="90"/>
      <c r="B934" s="82"/>
      <c r="C934" s="83"/>
      <c r="D934" s="82"/>
      <c r="E934" s="84"/>
      <c r="F934" s="85"/>
      <c r="G934" s="86"/>
      <c r="H934" s="84"/>
      <c r="I934" s="86"/>
      <c r="J934" s="87"/>
      <c r="K934" s="91"/>
      <c r="L934" s="89"/>
      <c r="M934" s="26"/>
      <c r="N934" s="26"/>
      <c r="O934" s="26"/>
      <c r="P934" s="26"/>
    </row>
    <row r="935">
      <c r="A935" s="90"/>
      <c r="B935" s="82"/>
      <c r="C935" s="83"/>
      <c r="D935" s="82"/>
      <c r="E935" s="84"/>
      <c r="F935" s="85"/>
      <c r="G935" s="86"/>
      <c r="H935" s="84"/>
      <c r="I935" s="86"/>
      <c r="J935" s="87"/>
      <c r="K935" s="91"/>
      <c r="L935" s="89"/>
      <c r="M935" s="26"/>
      <c r="N935" s="26"/>
      <c r="O935" s="26"/>
      <c r="P935" s="26"/>
    </row>
    <row r="936">
      <c r="A936" s="90"/>
      <c r="B936" s="82"/>
      <c r="C936" s="83"/>
      <c r="D936" s="82"/>
      <c r="E936" s="84"/>
      <c r="F936" s="85"/>
      <c r="G936" s="86"/>
      <c r="H936" s="84"/>
      <c r="I936" s="86"/>
      <c r="J936" s="87"/>
      <c r="K936" s="91"/>
      <c r="L936" s="89"/>
      <c r="M936" s="26"/>
      <c r="N936" s="26"/>
      <c r="O936" s="26"/>
      <c r="P936" s="26"/>
    </row>
    <row r="937">
      <c r="A937" s="90"/>
      <c r="B937" s="82"/>
      <c r="C937" s="83"/>
      <c r="D937" s="82"/>
      <c r="E937" s="84"/>
      <c r="F937" s="85"/>
      <c r="G937" s="86"/>
      <c r="H937" s="84"/>
      <c r="I937" s="86"/>
      <c r="J937" s="87"/>
      <c r="K937" s="91"/>
      <c r="L937" s="89"/>
      <c r="M937" s="26"/>
      <c r="N937" s="26"/>
      <c r="O937" s="26"/>
      <c r="P937" s="26"/>
    </row>
    <row r="938">
      <c r="A938" s="90"/>
      <c r="B938" s="82"/>
      <c r="C938" s="83"/>
      <c r="D938" s="82"/>
      <c r="E938" s="84"/>
      <c r="F938" s="85"/>
      <c r="G938" s="86"/>
      <c r="H938" s="84"/>
      <c r="I938" s="86"/>
      <c r="J938" s="87"/>
      <c r="K938" s="91"/>
      <c r="L938" s="89"/>
      <c r="M938" s="26"/>
      <c r="N938" s="26"/>
      <c r="O938" s="26"/>
      <c r="P938" s="26"/>
    </row>
    <row r="939">
      <c r="A939" s="90"/>
      <c r="B939" s="82"/>
      <c r="C939" s="83"/>
      <c r="D939" s="82"/>
      <c r="E939" s="84"/>
      <c r="F939" s="85"/>
      <c r="G939" s="86"/>
      <c r="H939" s="84"/>
      <c r="I939" s="86"/>
      <c r="J939" s="87"/>
      <c r="K939" s="91"/>
      <c r="L939" s="89"/>
      <c r="M939" s="26"/>
      <c r="N939" s="26"/>
      <c r="O939" s="26"/>
      <c r="P939" s="26"/>
    </row>
    <row r="940">
      <c r="A940" s="90"/>
      <c r="B940" s="82"/>
      <c r="C940" s="83"/>
      <c r="D940" s="82"/>
      <c r="E940" s="84"/>
      <c r="F940" s="85"/>
      <c r="G940" s="86"/>
      <c r="H940" s="84"/>
      <c r="I940" s="86"/>
      <c r="J940" s="87"/>
      <c r="K940" s="91"/>
      <c r="L940" s="89"/>
      <c r="M940" s="26"/>
      <c r="N940" s="26"/>
      <c r="O940" s="26"/>
      <c r="P940" s="26"/>
    </row>
    <row r="941">
      <c r="A941" s="90"/>
      <c r="B941" s="82"/>
      <c r="C941" s="83"/>
      <c r="D941" s="82"/>
      <c r="E941" s="84"/>
      <c r="F941" s="85"/>
      <c r="G941" s="86"/>
      <c r="H941" s="84"/>
      <c r="I941" s="86"/>
      <c r="J941" s="87"/>
      <c r="K941" s="91"/>
      <c r="L941" s="89"/>
      <c r="M941" s="26"/>
      <c r="N941" s="26"/>
      <c r="O941" s="26"/>
      <c r="P941" s="26"/>
    </row>
    <row r="942">
      <c r="A942" s="90"/>
      <c r="B942" s="82"/>
      <c r="C942" s="83"/>
      <c r="D942" s="82"/>
      <c r="E942" s="84"/>
      <c r="F942" s="85"/>
      <c r="G942" s="86"/>
      <c r="H942" s="84"/>
      <c r="I942" s="86"/>
      <c r="J942" s="87"/>
      <c r="K942" s="91"/>
      <c r="L942" s="89"/>
      <c r="M942" s="26"/>
      <c r="N942" s="26"/>
      <c r="O942" s="26"/>
      <c r="P942" s="26"/>
    </row>
    <row r="943">
      <c r="A943" s="90"/>
      <c r="B943" s="82"/>
      <c r="C943" s="83"/>
      <c r="D943" s="82"/>
      <c r="E943" s="84"/>
      <c r="F943" s="85"/>
      <c r="G943" s="86"/>
      <c r="H943" s="84"/>
      <c r="I943" s="86"/>
      <c r="J943" s="87"/>
      <c r="K943" s="91"/>
      <c r="L943" s="89"/>
      <c r="M943" s="26"/>
      <c r="N943" s="26"/>
      <c r="O943" s="26"/>
      <c r="P943" s="26"/>
    </row>
    <row r="944">
      <c r="A944" s="90"/>
      <c r="B944" s="82"/>
      <c r="C944" s="83"/>
      <c r="D944" s="82"/>
      <c r="E944" s="84"/>
      <c r="F944" s="85"/>
      <c r="G944" s="86"/>
      <c r="H944" s="84"/>
      <c r="I944" s="86"/>
      <c r="J944" s="87"/>
      <c r="K944" s="91"/>
      <c r="L944" s="89"/>
      <c r="M944" s="26"/>
      <c r="N944" s="26"/>
      <c r="O944" s="26"/>
      <c r="P944" s="26"/>
    </row>
    <row r="945">
      <c r="A945" s="90"/>
      <c r="B945" s="82"/>
      <c r="C945" s="83"/>
      <c r="D945" s="82"/>
      <c r="E945" s="84"/>
      <c r="F945" s="85"/>
      <c r="G945" s="86"/>
      <c r="H945" s="84"/>
      <c r="I945" s="86"/>
      <c r="J945" s="87"/>
      <c r="K945" s="91"/>
      <c r="L945" s="89"/>
      <c r="M945" s="26"/>
      <c r="N945" s="26"/>
      <c r="O945" s="26"/>
      <c r="P945" s="26"/>
    </row>
    <row r="946">
      <c r="A946" s="90"/>
      <c r="B946" s="82"/>
      <c r="C946" s="83"/>
      <c r="D946" s="82"/>
      <c r="E946" s="84"/>
      <c r="F946" s="85"/>
      <c r="G946" s="86"/>
      <c r="H946" s="84"/>
      <c r="I946" s="86"/>
      <c r="J946" s="87"/>
      <c r="K946" s="91"/>
      <c r="L946" s="89"/>
      <c r="M946" s="26"/>
      <c r="N946" s="26"/>
      <c r="O946" s="26"/>
      <c r="P946" s="26"/>
    </row>
    <row r="947">
      <c r="A947" s="90"/>
      <c r="B947" s="82"/>
      <c r="C947" s="83"/>
      <c r="D947" s="82"/>
      <c r="E947" s="84"/>
      <c r="F947" s="85"/>
      <c r="G947" s="86"/>
      <c r="H947" s="84"/>
      <c r="I947" s="86"/>
      <c r="J947" s="87"/>
      <c r="K947" s="91"/>
      <c r="L947" s="89"/>
      <c r="M947" s="26"/>
      <c r="N947" s="26"/>
      <c r="O947" s="26"/>
      <c r="P947" s="26"/>
    </row>
    <row r="948">
      <c r="A948" s="90"/>
      <c r="B948" s="82"/>
      <c r="C948" s="83"/>
      <c r="D948" s="82"/>
      <c r="E948" s="84"/>
      <c r="F948" s="85"/>
      <c r="G948" s="86"/>
      <c r="H948" s="84"/>
      <c r="I948" s="86"/>
      <c r="J948" s="87"/>
      <c r="K948" s="91"/>
      <c r="L948" s="89"/>
      <c r="M948" s="26"/>
      <c r="N948" s="26"/>
      <c r="O948" s="26"/>
      <c r="P948" s="26"/>
    </row>
    <row r="949">
      <c r="A949" s="90"/>
      <c r="B949" s="82"/>
      <c r="C949" s="83"/>
      <c r="D949" s="82"/>
      <c r="E949" s="84"/>
      <c r="F949" s="85"/>
      <c r="G949" s="86"/>
      <c r="H949" s="84"/>
      <c r="I949" s="86"/>
      <c r="J949" s="87"/>
      <c r="K949" s="91"/>
      <c r="L949" s="89"/>
      <c r="M949" s="26"/>
      <c r="N949" s="26"/>
      <c r="O949" s="26"/>
      <c r="P949" s="26"/>
    </row>
    <row r="950">
      <c r="A950" s="90"/>
      <c r="B950" s="82"/>
      <c r="C950" s="83"/>
      <c r="D950" s="82"/>
      <c r="E950" s="84"/>
      <c r="F950" s="85"/>
      <c r="G950" s="86"/>
      <c r="H950" s="84"/>
      <c r="I950" s="86"/>
      <c r="J950" s="87"/>
      <c r="K950" s="91"/>
      <c r="L950" s="89"/>
      <c r="M950" s="26"/>
      <c r="N950" s="26"/>
      <c r="O950" s="26"/>
      <c r="P950" s="26"/>
    </row>
    <row r="951">
      <c r="A951" s="90"/>
      <c r="B951" s="82"/>
      <c r="C951" s="83"/>
      <c r="D951" s="82"/>
      <c r="E951" s="84"/>
      <c r="F951" s="85"/>
      <c r="G951" s="86"/>
      <c r="H951" s="84"/>
      <c r="I951" s="86"/>
      <c r="J951" s="87"/>
      <c r="K951" s="91"/>
      <c r="L951" s="89"/>
      <c r="M951" s="26"/>
      <c r="N951" s="26"/>
      <c r="O951" s="26"/>
      <c r="P951" s="26"/>
    </row>
    <row r="952">
      <c r="A952" s="90"/>
      <c r="B952" s="82"/>
      <c r="C952" s="83"/>
      <c r="D952" s="82"/>
      <c r="E952" s="84"/>
      <c r="F952" s="85"/>
      <c r="G952" s="86"/>
      <c r="H952" s="84"/>
      <c r="I952" s="86"/>
      <c r="J952" s="87"/>
      <c r="K952" s="91"/>
      <c r="L952" s="89"/>
      <c r="M952" s="26"/>
      <c r="N952" s="26"/>
      <c r="O952" s="26"/>
      <c r="P952" s="26"/>
    </row>
    <row r="953">
      <c r="A953" s="90"/>
      <c r="B953" s="82"/>
      <c r="C953" s="83"/>
      <c r="D953" s="82"/>
      <c r="E953" s="84"/>
      <c r="F953" s="85"/>
      <c r="G953" s="86"/>
      <c r="H953" s="84"/>
      <c r="I953" s="86"/>
      <c r="J953" s="87"/>
      <c r="K953" s="91"/>
      <c r="L953" s="89"/>
      <c r="M953" s="26"/>
      <c r="N953" s="26"/>
      <c r="O953" s="26"/>
      <c r="P953" s="26"/>
    </row>
    <row r="954">
      <c r="A954" s="90"/>
      <c r="B954" s="82"/>
      <c r="C954" s="83"/>
      <c r="D954" s="82"/>
      <c r="E954" s="84"/>
      <c r="F954" s="85"/>
      <c r="G954" s="86"/>
      <c r="H954" s="84"/>
      <c r="I954" s="86"/>
      <c r="J954" s="87"/>
      <c r="K954" s="91"/>
      <c r="L954" s="89"/>
      <c r="M954" s="26"/>
      <c r="N954" s="26"/>
      <c r="O954" s="26"/>
      <c r="P954" s="26"/>
    </row>
    <row r="955">
      <c r="A955" s="90"/>
      <c r="B955" s="82"/>
      <c r="C955" s="83"/>
      <c r="D955" s="82"/>
      <c r="E955" s="84"/>
      <c r="F955" s="85"/>
      <c r="G955" s="86"/>
      <c r="H955" s="84"/>
      <c r="I955" s="86"/>
      <c r="J955" s="87"/>
      <c r="K955" s="91"/>
      <c r="L955" s="89"/>
      <c r="M955" s="26"/>
      <c r="N955" s="26"/>
      <c r="O955" s="26"/>
      <c r="P955" s="26"/>
    </row>
    <row r="956">
      <c r="A956" s="90"/>
      <c r="B956" s="82"/>
      <c r="C956" s="83"/>
      <c r="D956" s="82"/>
      <c r="E956" s="84"/>
      <c r="F956" s="85"/>
      <c r="G956" s="86"/>
      <c r="H956" s="84"/>
      <c r="I956" s="86"/>
      <c r="J956" s="87"/>
      <c r="K956" s="91"/>
      <c r="L956" s="89"/>
      <c r="M956" s="26"/>
      <c r="N956" s="26"/>
      <c r="O956" s="26"/>
      <c r="P956" s="26"/>
    </row>
    <row r="957">
      <c r="A957" s="90"/>
      <c r="B957" s="82"/>
      <c r="C957" s="83"/>
      <c r="D957" s="82"/>
      <c r="E957" s="84"/>
      <c r="F957" s="85"/>
      <c r="G957" s="86"/>
      <c r="H957" s="84"/>
      <c r="I957" s="86"/>
      <c r="J957" s="87"/>
      <c r="K957" s="91"/>
      <c r="L957" s="89"/>
      <c r="M957" s="26"/>
      <c r="N957" s="26"/>
      <c r="O957" s="26"/>
      <c r="P957" s="26"/>
    </row>
    <row r="958">
      <c r="A958" s="90"/>
      <c r="B958" s="82"/>
      <c r="C958" s="83"/>
      <c r="D958" s="82"/>
      <c r="E958" s="84"/>
      <c r="F958" s="85"/>
      <c r="G958" s="86"/>
      <c r="H958" s="84"/>
      <c r="I958" s="86"/>
      <c r="J958" s="87"/>
      <c r="K958" s="91"/>
      <c r="L958" s="89"/>
      <c r="M958" s="26"/>
      <c r="N958" s="26"/>
      <c r="O958" s="26"/>
      <c r="P958" s="26"/>
    </row>
    <row r="959">
      <c r="A959" s="90"/>
      <c r="B959" s="82"/>
      <c r="C959" s="83"/>
      <c r="D959" s="82"/>
      <c r="E959" s="84"/>
      <c r="F959" s="85"/>
      <c r="G959" s="86"/>
      <c r="H959" s="84"/>
      <c r="I959" s="86"/>
      <c r="J959" s="87"/>
      <c r="K959" s="91"/>
      <c r="L959" s="89"/>
      <c r="M959" s="26"/>
      <c r="N959" s="26"/>
      <c r="O959" s="26"/>
      <c r="P959" s="26"/>
    </row>
    <row r="960">
      <c r="A960" s="90"/>
      <c r="B960" s="82"/>
      <c r="C960" s="83"/>
      <c r="D960" s="82"/>
      <c r="E960" s="84"/>
      <c r="F960" s="85"/>
      <c r="G960" s="86"/>
      <c r="H960" s="84"/>
      <c r="I960" s="86"/>
      <c r="J960" s="87"/>
      <c r="K960" s="91"/>
      <c r="L960" s="89"/>
      <c r="M960" s="26"/>
      <c r="N960" s="26"/>
      <c r="O960" s="26"/>
      <c r="P960" s="26"/>
    </row>
    <row r="961">
      <c r="A961" s="90"/>
      <c r="B961" s="82"/>
      <c r="C961" s="83"/>
      <c r="D961" s="82"/>
      <c r="E961" s="84"/>
      <c r="F961" s="85"/>
      <c r="G961" s="86"/>
      <c r="H961" s="84"/>
      <c r="I961" s="86"/>
      <c r="J961" s="87"/>
      <c r="K961" s="91"/>
      <c r="L961" s="89"/>
      <c r="M961" s="26"/>
      <c r="N961" s="26"/>
      <c r="O961" s="26"/>
      <c r="P961" s="26"/>
    </row>
    <row r="962">
      <c r="A962" s="90"/>
      <c r="B962" s="82"/>
      <c r="C962" s="83"/>
      <c r="D962" s="82"/>
      <c r="E962" s="84"/>
      <c r="F962" s="85"/>
      <c r="G962" s="86"/>
      <c r="H962" s="84"/>
      <c r="I962" s="86"/>
      <c r="J962" s="87"/>
      <c r="K962" s="91"/>
      <c r="L962" s="89"/>
      <c r="M962" s="26"/>
      <c r="N962" s="26"/>
      <c r="O962" s="26"/>
      <c r="P962" s="26"/>
    </row>
    <row r="963">
      <c r="A963" s="90"/>
      <c r="B963" s="82"/>
      <c r="C963" s="83"/>
      <c r="D963" s="82"/>
      <c r="E963" s="84"/>
      <c r="F963" s="85"/>
      <c r="G963" s="86"/>
      <c r="H963" s="84"/>
      <c r="I963" s="86"/>
      <c r="J963" s="87"/>
      <c r="K963" s="91"/>
      <c r="L963" s="89"/>
      <c r="M963" s="26"/>
      <c r="N963" s="26"/>
      <c r="O963" s="26"/>
      <c r="P963" s="26"/>
    </row>
    <row r="964">
      <c r="A964" s="90"/>
      <c r="B964" s="82"/>
      <c r="C964" s="83"/>
      <c r="D964" s="82"/>
      <c r="E964" s="84"/>
      <c r="F964" s="85"/>
      <c r="G964" s="86"/>
      <c r="H964" s="84"/>
      <c r="I964" s="86"/>
      <c r="J964" s="87"/>
      <c r="K964" s="91"/>
      <c r="L964" s="89"/>
      <c r="M964" s="26"/>
      <c r="N964" s="26"/>
      <c r="O964" s="26"/>
      <c r="P964" s="26"/>
    </row>
    <row r="965">
      <c r="A965" s="90"/>
      <c r="B965" s="82"/>
      <c r="C965" s="83"/>
      <c r="D965" s="82"/>
      <c r="E965" s="84"/>
      <c r="F965" s="85"/>
      <c r="G965" s="86"/>
      <c r="H965" s="84"/>
      <c r="I965" s="86"/>
      <c r="J965" s="87"/>
      <c r="K965" s="91"/>
      <c r="L965" s="89"/>
      <c r="M965" s="26"/>
      <c r="N965" s="26"/>
      <c r="O965" s="26"/>
      <c r="P965" s="26"/>
    </row>
    <row r="966">
      <c r="A966" s="90"/>
      <c r="B966" s="82"/>
      <c r="C966" s="83"/>
      <c r="D966" s="82"/>
      <c r="E966" s="84"/>
      <c r="F966" s="85"/>
      <c r="G966" s="86"/>
      <c r="H966" s="84"/>
      <c r="I966" s="86"/>
      <c r="J966" s="87"/>
      <c r="K966" s="91"/>
      <c r="L966" s="89"/>
      <c r="M966" s="26"/>
      <c r="N966" s="26"/>
      <c r="O966" s="26"/>
      <c r="P966" s="26"/>
    </row>
    <row r="967">
      <c r="A967" s="90"/>
      <c r="B967" s="82"/>
      <c r="C967" s="83"/>
      <c r="D967" s="82"/>
      <c r="E967" s="84"/>
      <c r="F967" s="85"/>
      <c r="G967" s="86"/>
      <c r="H967" s="84"/>
      <c r="I967" s="86"/>
      <c r="J967" s="87"/>
      <c r="K967" s="91"/>
      <c r="L967" s="89"/>
      <c r="M967" s="26"/>
      <c r="N967" s="26"/>
      <c r="O967" s="26"/>
      <c r="P967" s="26"/>
    </row>
    <row r="968">
      <c r="A968" s="90"/>
      <c r="B968" s="82"/>
      <c r="C968" s="83"/>
      <c r="D968" s="82"/>
      <c r="E968" s="84"/>
      <c r="F968" s="85"/>
      <c r="G968" s="86"/>
      <c r="H968" s="84"/>
      <c r="I968" s="86"/>
      <c r="J968" s="87"/>
      <c r="K968" s="91"/>
      <c r="L968" s="89"/>
      <c r="M968" s="26"/>
      <c r="N968" s="26"/>
      <c r="O968" s="26"/>
      <c r="P968" s="26"/>
    </row>
    <row r="969">
      <c r="A969" s="90"/>
      <c r="B969" s="82"/>
      <c r="C969" s="83"/>
      <c r="D969" s="82"/>
      <c r="E969" s="84"/>
      <c r="F969" s="85"/>
      <c r="G969" s="86"/>
      <c r="H969" s="84"/>
      <c r="I969" s="86"/>
      <c r="J969" s="87"/>
      <c r="K969" s="91"/>
      <c r="L969" s="89"/>
      <c r="M969" s="26"/>
      <c r="N969" s="26"/>
      <c r="O969" s="26"/>
      <c r="P969" s="26"/>
    </row>
    <row r="970">
      <c r="A970" s="90"/>
      <c r="B970" s="82"/>
      <c r="C970" s="83"/>
      <c r="D970" s="82"/>
      <c r="E970" s="84"/>
      <c r="F970" s="85"/>
      <c r="G970" s="86"/>
      <c r="H970" s="84"/>
      <c r="I970" s="86"/>
      <c r="J970" s="87"/>
      <c r="K970" s="91"/>
      <c r="L970" s="89"/>
      <c r="M970" s="26"/>
      <c r="N970" s="26"/>
      <c r="O970" s="26"/>
      <c r="P970" s="26"/>
    </row>
    <row r="971">
      <c r="A971" s="90"/>
      <c r="B971" s="82"/>
      <c r="C971" s="83"/>
      <c r="D971" s="82"/>
      <c r="E971" s="84"/>
      <c r="F971" s="85"/>
      <c r="G971" s="86"/>
      <c r="H971" s="84"/>
      <c r="I971" s="86"/>
      <c r="J971" s="87"/>
      <c r="K971" s="91"/>
      <c r="L971" s="89"/>
      <c r="M971" s="26"/>
      <c r="N971" s="26"/>
      <c r="O971" s="26"/>
      <c r="P971" s="26"/>
    </row>
    <row r="972">
      <c r="A972" s="90"/>
      <c r="B972" s="82"/>
      <c r="C972" s="83"/>
      <c r="D972" s="82"/>
      <c r="E972" s="84"/>
      <c r="F972" s="85"/>
      <c r="G972" s="86"/>
      <c r="H972" s="84"/>
      <c r="I972" s="86"/>
      <c r="J972" s="87"/>
      <c r="K972" s="91"/>
      <c r="L972" s="89"/>
      <c r="M972" s="26"/>
      <c r="N972" s="26"/>
      <c r="O972" s="26"/>
      <c r="P972" s="26"/>
    </row>
    <row r="973">
      <c r="A973" s="90"/>
      <c r="B973" s="82"/>
      <c r="C973" s="83"/>
      <c r="D973" s="82"/>
      <c r="E973" s="84"/>
      <c r="F973" s="85"/>
      <c r="G973" s="86"/>
      <c r="H973" s="84"/>
      <c r="I973" s="86"/>
      <c r="J973" s="87"/>
      <c r="K973" s="91"/>
      <c r="L973" s="89"/>
      <c r="M973" s="26"/>
      <c r="N973" s="26"/>
      <c r="O973" s="26"/>
      <c r="P973" s="26"/>
    </row>
    <row r="974">
      <c r="A974" s="90"/>
      <c r="B974" s="82"/>
      <c r="C974" s="83"/>
      <c r="D974" s="82"/>
      <c r="E974" s="84"/>
      <c r="F974" s="85"/>
      <c r="G974" s="86"/>
      <c r="H974" s="84"/>
      <c r="I974" s="86"/>
      <c r="J974" s="87"/>
      <c r="K974" s="91"/>
      <c r="L974" s="89"/>
      <c r="M974" s="26"/>
      <c r="N974" s="26"/>
      <c r="O974" s="26"/>
      <c r="P974" s="26"/>
    </row>
    <row r="975">
      <c r="A975" s="90"/>
      <c r="B975" s="82"/>
      <c r="C975" s="83"/>
      <c r="D975" s="82"/>
      <c r="E975" s="84"/>
      <c r="F975" s="85"/>
      <c r="G975" s="86"/>
      <c r="H975" s="84"/>
      <c r="I975" s="86"/>
      <c r="J975" s="87"/>
      <c r="K975" s="91"/>
      <c r="L975" s="89"/>
      <c r="M975" s="26"/>
      <c r="N975" s="26"/>
      <c r="O975" s="26"/>
      <c r="P975" s="26"/>
    </row>
    <row r="976">
      <c r="A976" s="90"/>
      <c r="B976" s="82"/>
      <c r="C976" s="83"/>
      <c r="D976" s="82"/>
      <c r="E976" s="84"/>
      <c r="F976" s="85"/>
      <c r="G976" s="86"/>
      <c r="H976" s="84"/>
      <c r="I976" s="86"/>
      <c r="J976" s="87"/>
      <c r="K976" s="91"/>
      <c r="L976" s="89"/>
      <c r="M976" s="26"/>
      <c r="N976" s="26"/>
      <c r="O976" s="26"/>
      <c r="P976" s="26"/>
    </row>
    <row r="977">
      <c r="A977" s="90"/>
      <c r="B977" s="82"/>
      <c r="C977" s="83"/>
      <c r="D977" s="82"/>
      <c r="E977" s="84"/>
      <c r="F977" s="85"/>
      <c r="G977" s="86"/>
      <c r="H977" s="84"/>
      <c r="I977" s="86"/>
      <c r="J977" s="87"/>
      <c r="K977" s="91"/>
      <c r="L977" s="89"/>
      <c r="M977" s="26"/>
      <c r="N977" s="26"/>
      <c r="O977" s="26"/>
      <c r="P977" s="26"/>
    </row>
    <row r="978">
      <c r="A978" s="90"/>
      <c r="B978" s="82"/>
      <c r="C978" s="83"/>
      <c r="D978" s="82"/>
      <c r="E978" s="84"/>
      <c r="F978" s="85"/>
      <c r="G978" s="86"/>
      <c r="H978" s="84"/>
      <c r="I978" s="86"/>
      <c r="J978" s="87"/>
      <c r="K978" s="91"/>
      <c r="L978" s="89"/>
      <c r="M978" s="26"/>
      <c r="N978" s="26"/>
      <c r="O978" s="26"/>
      <c r="P978" s="26"/>
    </row>
    <row r="979">
      <c r="A979" s="90"/>
      <c r="B979" s="82"/>
      <c r="C979" s="83"/>
      <c r="D979" s="82"/>
      <c r="E979" s="84"/>
      <c r="F979" s="85"/>
      <c r="G979" s="86"/>
      <c r="H979" s="84"/>
      <c r="I979" s="86"/>
      <c r="J979" s="87"/>
      <c r="K979" s="91"/>
      <c r="L979" s="89"/>
      <c r="M979" s="26"/>
      <c r="N979" s="26"/>
      <c r="O979" s="26"/>
      <c r="P979" s="26"/>
    </row>
    <row r="980">
      <c r="A980" s="90"/>
      <c r="B980" s="82"/>
      <c r="C980" s="83"/>
      <c r="D980" s="82"/>
      <c r="E980" s="84"/>
      <c r="F980" s="85"/>
      <c r="G980" s="86"/>
      <c r="H980" s="84"/>
      <c r="I980" s="86"/>
      <c r="J980" s="87"/>
      <c r="K980" s="91"/>
      <c r="L980" s="89"/>
      <c r="M980" s="26"/>
      <c r="N980" s="26"/>
      <c r="O980" s="26"/>
      <c r="P980" s="26"/>
    </row>
    <row r="981">
      <c r="A981" s="90"/>
      <c r="B981" s="82"/>
      <c r="C981" s="83"/>
      <c r="D981" s="82"/>
      <c r="E981" s="84"/>
      <c r="F981" s="85"/>
      <c r="G981" s="86"/>
      <c r="H981" s="84"/>
      <c r="I981" s="86"/>
      <c r="J981" s="87"/>
      <c r="K981" s="91"/>
      <c r="L981" s="89"/>
      <c r="M981" s="26"/>
      <c r="N981" s="26"/>
      <c r="O981" s="26"/>
      <c r="P981" s="26"/>
    </row>
    <row r="982">
      <c r="A982" s="90"/>
      <c r="B982" s="82"/>
      <c r="C982" s="83"/>
      <c r="D982" s="82"/>
      <c r="E982" s="84"/>
      <c r="F982" s="85"/>
      <c r="G982" s="86"/>
      <c r="H982" s="84"/>
      <c r="I982" s="86"/>
      <c r="J982" s="87"/>
      <c r="K982" s="91"/>
      <c r="L982" s="89"/>
      <c r="M982" s="26"/>
      <c r="N982" s="26"/>
      <c r="O982" s="26"/>
      <c r="P982" s="26"/>
    </row>
    <row r="983">
      <c r="A983" s="90"/>
      <c r="B983" s="82"/>
      <c r="C983" s="83"/>
      <c r="D983" s="82"/>
      <c r="E983" s="84"/>
      <c r="F983" s="85"/>
      <c r="G983" s="86"/>
      <c r="H983" s="84"/>
      <c r="I983" s="86"/>
      <c r="J983" s="87"/>
      <c r="K983" s="91"/>
      <c r="L983" s="89"/>
      <c r="M983" s="26"/>
      <c r="N983" s="26"/>
      <c r="O983" s="26"/>
      <c r="P983" s="26"/>
    </row>
    <row r="984">
      <c r="A984" s="90"/>
      <c r="B984" s="82"/>
      <c r="C984" s="83"/>
      <c r="D984" s="82"/>
      <c r="E984" s="84"/>
      <c r="F984" s="85"/>
      <c r="G984" s="86"/>
      <c r="H984" s="84"/>
      <c r="I984" s="86"/>
      <c r="J984" s="87"/>
      <c r="K984" s="91"/>
      <c r="L984" s="89"/>
      <c r="M984" s="26"/>
      <c r="N984" s="26"/>
      <c r="O984" s="26"/>
      <c r="P984" s="26"/>
    </row>
    <row r="985">
      <c r="A985" s="90"/>
      <c r="B985" s="82"/>
      <c r="C985" s="83"/>
      <c r="D985" s="82"/>
      <c r="E985" s="84"/>
      <c r="F985" s="85"/>
      <c r="G985" s="86"/>
      <c r="H985" s="84"/>
      <c r="I985" s="86"/>
      <c r="J985" s="87"/>
      <c r="K985" s="91"/>
      <c r="L985" s="89"/>
      <c r="M985" s="26"/>
      <c r="N985" s="26"/>
      <c r="O985" s="26"/>
      <c r="P985" s="26"/>
    </row>
    <row r="986">
      <c r="A986" s="90"/>
      <c r="B986" s="82"/>
      <c r="C986" s="83"/>
      <c r="D986" s="82"/>
      <c r="E986" s="84"/>
      <c r="F986" s="85"/>
      <c r="G986" s="86"/>
      <c r="H986" s="84"/>
      <c r="I986" s="86"/>
      <c r="J986" s="87"/>
      <c r="K986" s="91"/>
      <c r="L986" s="89"/>
      <c r="M986" s="26"/>
      <c r="N986" s="26"/>
      <c r="O986" s="26"/>
      <c r="P986" s="26"/>
    </row>
    <row r="987">
      <c r="A987" s="90"/>
      <c r="B987" s="82"/>
      <c r="C987" s="83"/>
      <c r="D987" s="82"/>
      <c r="E987" s="84"/>
      <c r="F987" s="85"/>
      <c r="G987" s="86"/>
      <c r="H987" s="84"/>
      <c r="I987" s="86"/>
      <c r="J987" s="87"/>
      <c r="K987" s="91"/>
      <c r="L987" s="89"/>
      <c r="M987" s="26"/>
      <c r="N987" s="26"/>
      <c r="O987" s="26"/>
      <c r="P987" s="26"/>
    </row>
    <row r="988">
      <c r="A988" s="90"/>
      <c r="B988" s="82"/>
      <c r="C988" s="83"/>
      <c r="D988" s="82"/>
      <c r="E988" s="84"/>
      <c r="F988" s="85"/>
      <c r="G988" s="86"/>
      <c r="H988" s="84"/>
      <c r="I988" s="86"/>
      <c r="J988" s="87"/>
      <c r="K988" s="91"/>
      <c r="L988" s="89"/>
      <c r="M988" s="26"/>
      <c r="N988" s="26"/>
      <c r="O988" s="26"/>
      <c r="P988" s="26"/>
    </row>
    <row r="989">
      <c r="A989" s="90"/>
      <c r="B989" s="82"/>
      <c r="C989" s="83"/>
      <c r="D989" s="82"/>
      <c r="E989" s="84"/>
      <c r="F989" s="85"/>
      <c r="G989" s="86"/>
      <c r="H989" s="84"/>
      <c r="I989" s="86"/>
      <c r="J989" s="87"/>
      <c r="K989" s="91"/>
      <c r="L989" s="89"/>
      <c r="M989" s="26"/>
      <c r="N989" s="26"/>
      <c r="O989" s="26"/>
      <c r="P989" s="26"/>
    </row>
    <row r="990">
      <c r="A990" s="90"/>
      <c r="B990" s="82"/>
      <c r="C990" s="83"/>
      <c r="D990" s="82"/>
      <c r="E990" s="84"/>
      <c r="F990" s="85"/>
      <c r="G990" s="86"/>
      <c r="H990" s="84"/>
      <c r="I990" s="86"/>
      <c r="J990" s="87"/>
      <c r="K990" s="91"/>
      <c r="L990" s="89"/>
      <c r="M990" s="26"/>
      <c r="N990" s="26"/>
      <c r="O990" s="26"/>
      <c r="P990" s="26"/>
    </row>
    <row r="991">
      <c r="A991" s="90"/>
      <c r="B991" s="82"/>
      <c r="C991" s="83"/>
      <c r="D991" s="82"/>
      <c r="E991" s="84"/>
      <c r="F991" s="85"/>
      <c r="G991" s="86"/>
      <c r="H991" s="84"/>
      <c r="I991" s="86"/>
      <c r="J991" s="87"/>
      <c r="K991" s="91"/>
      <c r="L991" s="89"/>
      <c r="M991" s="26"/>
      <c r="N991" s="26"/>
      <c r="O991" s="26"/>
      <c r="P991" s="26"/>
    </row>
    <row r="992">
      <c r="A992" s="90"/>
      <c r="B992" s="82"/>
      <c r="C992" s="83"/>
      <c r="D992" s="82"/>
      <c r="E992" s="84"/>
      <c r="F992" s="85"/>
      <c r="G992" s="86"/>
      <c r="H992" s="84"/>
      <c r="I992" s="86"/>
      <c r="J992" s="87"/>
      <c r="K992" s="91"/>
      <c r="L992" s="89"/>
      <c r="M992" s="26"/>
      <c r="N992" s="26"/>
      <c r="O992" s="26"/>
      <c r="P992" s="26"/>
    </row>
    <row r="993">
      <c r="A993" s="90"/>
      <c r="B993" s="82"/>
      <c r="C993" s="83"/>
      <c r="D993" s="82"/>
      <c r="E993" s="84"/>
      <c r="F993" s="85"/>
      <c r="G993" s="86"/>
      <c r="H993" s="84"/>
      <c r="I993" s="86"/>
      <c r="J993" s="87"/>
      <c r="K993" s="91"/>
      <c r="L993" s="89"/>
      <c r="M993" s="26"/>
      <c r="N993" s="26"/>
      <c r="O993" s="26"/>
      <c r="P993" s="26"/>
    </row>
    <row r="994">
      <c r="A994" s="90"/>
      <c r="B994" s="82"/>
      <c r="C994" s="83"/>
      <c r="D994" s="82"/>
      <c r="E994" s="84"/>
      <c r="F994" s="85"/>
      <c r="G994" s="86"/>
      <c r="H994" s="84"/>
      <c r="I994" s="86"/>
      <c r="J994" s="87"/>
      <c r="K994" s="91"/>
      <c r="L994" s="89"/>
      <c r="M994" s="26"/>
      <c r="N994" s="26"/>
      <c r="O994" s="26"/>
      <c r="P994" s="26"/>
    </row>
    <row r="995">
      <c r="A995" s="90"/>
      <c r="B995" s="82"/>
      <c r="C995" s="83"/>
      <c r="D995" s="82"/>
      <c r="E995" s="84"/>
      <c r="F995" s="85"/>
      <c r="G995" s="86"/>
      <c r="H995" s="84"/>
      <c r="I995" s="86"/>
      <c r="J995" s="87"/>
      <c r="K995" s="91"/>
      <c r="L995" s="89"/>
      <c r="M995" s="26"/>
      <c r="N995" s="26"/>
      <c r="O995" s="26"/>
      <c r="P995" s="26"/>
    </row>
    <row r="996">
      <c r="A996" s="90"/>
      <c r="B996" s="82"/>
      <c r="C996" s="83"/>
      <c r="D996" s="82"/>
      <c r="E996" s="84"/>
      <c r="F996" s="85"/>
      <c r="G996" s="86"/>
      <c r="H996" s="84"/>
      <c r="I996" s="86"/>
      <c r="J996" s="87"/>
      <c r="K996" s="91"/>
      <c r="L996" s="89"/>
      <c r="M996" s="26"/>
      <c r="N996" s="26"/>
      <c r="O996" s="26"/>
      <c r="P996" s="26"/>
    </row>
    <row r="997">
      <c r="A997" s="90"/>
      <c r="B997" s="82"/>
      <c r="C997" s="83"/>
      <c r="D997" s="82"/>
      <c r="E997" s="84"/>
      <c r="F997" s="85"/>
      <c r="G997" s="86"/>
      <c r="H997" s="84"/>
      <c r="I997" s="86"/>
      <c r="J997" s="87"/>
      <c r="K997" s="91"/>
      <c r="L997" s="89"/>
      <c r="M997" s="26"/>
      <c r="N997" s="26"/>
      <c r="O997" s="26"/>
      <c r="P997" s="26"/>
    </row>
    <row r="998">
      <c r="A998" s="90"/>
      <c r="B998" s="82"/>
      <c r="C998" s="83"/>
      <c r="D998" s="82"/>
      <c r="E998" s="84"/>
      <c r="F998" s="85"/>
      <c r="G998" s="86"/>
      <c r="H998" s="84"/>
      <c r="I998" s="86"/>
      <c r="J998" s="87"/>
      <c r="K998" s="91"/>
      <c r="L998" s="89"/>
      <c r="M998" s="26"/>
      <c r="N998" s="26"/>
      <c r="O998" s="26"/>
      <c r="P998" s="26"/>
    </row>
    <row r="999">
      <c r="A999" s="90"/>
      <c r="B999" s="82"/>
      <c r="C999" s="83"/>
      <c r="D999" s="82"/>
      <c r="E999" s="84"/>
      <c r="F999" s="85"/>
      <c r="G999" s="86"/>
      <c r="H999" s="84"/>
      <c r="I999" s="86"/>
      <c r="J999" s="87"/>
      <c r="K999" s="91"/>
      <c r="L999" s="89"/>
      <c r="M999" s="26"/>
      <c r="N999" s="26"/>
      <c r="O999" s="26"/>
      <c r="P999" s="26"/>
    </row>
    <row r="1000">
      <c r="A1000" s="90"/>
      <c r="B1000" s="82"/>
      <c r="C1000" s="83"/>
      <c r="D1000" s="82"/>
      <c r="E1000" s="84"/>
      <c r="F1000" s="85"/>
      <c r="G1000" s="86"/>
      <c r="H1000" s="84"/>
      <c r="I1000" s="86"/>
      <c r="J1000" s="87"/>
      <c r="K1000" s="91"/>
      <c r="L1000" s="89"/>
      <c r="M1000" s="26"/>
      <c r="N1000" s="26"/>
      <c r="O1000" s="26"/>
      <c r="P1000" s="26"/>
    </row>
    <row r="1001">
      <c r="A1001" s="90"/>
      <c r="B1001" s="82"/>
      <c r="C1001" s="83"/>
      <c r="D1001" s="82"/>
      <c r="E1001" s="84"/>
      <c r="F1001" s="85"/>
      <c r="G1001" s="86"/>
      <c r="H1001" s="84"/>
      <c r="I1001" s="86"/>
      <c r="J1001" s="87"/>
      <c r="K1001" s="91"/>
      <c r="L1001" s="89"/>
      <c r="M1001" s="26"/>
      <c r="N1001" s="26"/>
      <c r="O1001" s="26"/>
      <c r="P1001" s="26"/>
    </row>
    <row r="1002">
      <c r="A1002" s="90"/>
      <c r="B1002" s="82"/>
      <c r="C1002" s="83"/>
      <c r="D1002" s="82"/>
      <c r="E1002" s="84"/>
      <c r="F1002" s="85"/>
      <c r="G1002" s="86"/>
      <c r="H1002" s="84"/>
      <c r="I1002" s="86"/>
      <c r="J1002" s="87"/>
      <c r="K1002" s="91"/>
      <c r="L1002" s="89"/>
      <c r="M1002" s="26"/>
      <c r="N1002" s="26"/>
      <c r="O1002" s="26"/>
      <c r="P1002" s="26"/>
    </row>
    <row r="1003">
      <c r="A1003" s="90"/>
      <c r="B1003" s="82"/>
      <c r="C1003" s="83"/>
      <c r="D1003" s="82"/>
      <c r="E1003" s="84"/>
      <c r="F1003" s="85"/>
      <c r="G1003" s="86"/>
      <c r="H1003" s="84"/>
      <c r="I1003" s="86"/>
      <c r="J1003" s="87"/>
      <c r="K1003" s="91"/>
      <c r="L1003" s="89"/>
      <c r="M1003" s="26"/>
      <c r="N1003" s="26"/>
      <c r="O1003" s="26"/>
      <c r="P1003" s="26"/>
    </row>
    <row r="1004">
      <c r="A1004" s="90"/>
      <c r="B1004" s="82"/>
      <c r="C1004" s="83"/>
      <c r="D1004" s="82"/>
      <c r="E1004" s="84"/>
      <c r="F1004" s="85"/>
      <c r="G1004" s="86"/>
      <c r="H1004" s="84"/>
      <c r="I1004" s="86"/>
      <c r="J1004" s="87"/>
      <c r="K1004" s="91"/>
      <c r="L1004" s="89"/>
      <c r="M1004" s="26"/>
      <c r="N1004" s="26"/>
      <c r="O1004" s="26"/>
      <c r="P1004" s="26"/>
    </row>
    <row r="1005">
      <c r="A1005" s="90"/>
      <c r="B1005" s="82"/>
      <c r="C1005" s="83"/>
      <c r="D1005" s="82"/>
      <c r="E1005" s="84"/>
      <c r="F1005" s="85"/>
      <c r="G1005" s="86"/>
      <c r="H1005" s="84"/>
      <c r="I1005" s="86"/>
      <c r="J1005" s="87"/>
      <c r="K1005" s="91"/>
      <c r="L1005" s="89"/>
      <c r="M1005" s="26"/>
      <c r="N1005" s="26"/>
      <c r="O1005" s="26"/>
      <c r="P1005" s="26"/>
    </row>
    <row r="1006">
      <c r="A1006" s="90"/>
      <c r="B1006" s="82"/>
      <c r="C1006" s="83"/>
      <c r="D1006" s="82"/>
      <c r="E1006" s="84"/>
      <c r="F1006" s="85"/>
      <c r="G1006" s="86"/>
      <c r="H1006" s="84"/>
      <c r="I1006" s="86"/>
      <c r="J1006" s="87"/>
      <c r="K1006" s="91"/>
      <c r="L1006" s="89"/>
      <c r="M1006" s="26"/>
      <c r="N1006" s="26"/>
      <c r="O1006" s="26"/>
      <c r="P1006" s="26"/>
    </row>
    <row r="1007">
      <c r="A1007" s="90"/>
      <c r="B1007" s="82"/>
      <c r="C1007" s="83"/>
      <c r="D1007" s="82"/>
      <c r="E1007" s="84"/>
      <c r="F1007" s="85"/>
      <c r="G1007" s="86"/>
      <c r="H1007" s="84"/>
      <c r="I1007" s="86"/>
      <c r="J1007" s="87"/>
      <c r="K1007" s="91"/>
      <c r="L1007" s="89"/>
      <c r="M1007" s="26"/>
      <c r="N1007" s="26"/>
      <c r="O1007" s="26"/>
      <c r="P1007" s="26"/>
    </row>
    <row r="1008">
      <c r="A1008" s="90"/>
      <c r="B1008" s="82"/>
      <c r="C1008" s="83"/>
      <c r="D1008" s="82"/>
      <c r="E1008" s="84"/>
      <c r="F1008" s="85"/>
      <c r="G1008" s="86"/>
      <c r="H1008" s="84"/>
      <c r="I1008" s="86"/>
      <c r="J1008" s="87"/>
      <c r="K1008" s="91"/>
      <c r="L1008" s="89"/>
      <c r="M1008" s="26"/>
      <c r="N1008" s="26"/>
      <c r="O1008" s="26"/>
      <c r="P1008" s="26"/>
    </row>
    <row r="1009">
      <c r="A1009" s="90"/>
      <c r="B1009" s="82"/>
      <c r="C1009" s="83"/>
      <c r="D1009" s="82"/>
      <c r="E1009" s="84"/>
      <c r="F1009" s="85"/>
      <c r="G1009" s="86"/>
      <c r="H1009" s="84"/>
      <c r="I1009" s="86"/>
      <c r="J1009" s="87"/>
      <c r="K1009" s="91"/>
      <c r="L1009" s="89"/>
      <c r="M1009" s="26"/>
      <c r="N1009" s="26"/>
      <c r="O1009" s="26"/>
      <c r="P1009" s="26"/>
    </row>
    <row r="1010">
      <c r="A1010" s="90"/>
      <c r="B1010" s="82"/>
      <c r="C1010" s="83"/>
      <c r="D1010" s="82"/>
      <c r="E1010" s="84"/>
      <c r="F1010" s="85"/>
      <c r="G1010" s="86"/>
      <c r="H1010" s="84"/>
      <c r="I1010" s="86"/>
      <c r="J1010" s="87"/>
      <c r="K1010" s="91"/>
      <c r="L1010" s="89"/>
      <c r="M1010" s="26"/>
      <c r="N1010" s="26"/>
      <c r="O1010" s="26"/>
      <c r="P1010" s="26"/>
    </row>
    <row r="1011">
      <c r="A1011" s="90"/>
      <c r="B1011" s="82"/>
      <c r="C1011" s="83"/>
      <c r="D1011" s="82"/>
      <c r="E1011" s="84"/>
      <c r="F1011" s="85"/>
      <c r="G1011" s="86"/>
      <c r="H1011" s="84"/>
      <c r="I1011" s="86"/>
      <c r="J1011" s="87"/>
      <c r="K1011" s="91"/>
      <c r="L1011" s="89"/>
      <c r="M1011" s="26"/>
      <c r="N1011" s="26"/>
      <c r="O1011" s="26"/>
      <c r="P1011" s="26"/>
    </row>
    <row r="1012">
      <c r="A1012" s="90"/>
      <c r="B1012" s="82"/>
      <c r="C1012" s="83"/>
      <c r="D1012" s="82"/>
      <c r="E1012" s="84"/>
      <c r="F1012" s="85"/>
      <c r="G1012" s="86"/>
      <c r="H1012" s="84"/>
      <c r="I1012" s="86"/>
      <c r="J1012" s="87"/>
      <c r="K1012" s="91"/>
      <c r="L1012" s="89"/>
      <c r="M1012" s="26"/>
      <c r="N1012" s="26"/>
      <c r="O1012" s="26"/>
      <c r="P1012" s="26"/>
    </row>
    <row r="1013">
      <c r="A1013" s="90"/>
      <c r="B1013" s="82"/>
      <c r="C1013" s="83"/>
      <c r="D1013" s="82"/>
      <c r="E1013" s="84"/>
      <c r="F1013" s="85"/>
      <c r="G1013" s="86"/>
      <c r="H1013" s="84"/>
      <c r="I1013" s="86"/>
      <c r="J1013" s="87"/>
      <c r="K1013" s="91"/>
      <c r="L1013" s="89"/>
      <c r="M1013" s="26"/>
      <c r="N1013" s="26"/>
      <c r="O1013" s="26"/>
      <c r="P1013" s="26"/>
    </row>
    <row r="1014">
      <c r="A1014" s="90"/>
      <c r="B1014" s="82"/>
      <c r="C1014" s="83"/>
      <c r="D1014" s="82"/>
      <c r="E1014" s="84"/>
      <c r="F1014" s="85"/>
      <c r="G1014" s="86"/>
      <c r="H1014" s="84"/>
      <c r="I1014" s="86"/>
      <c r="J1014" s="87"/>
      <c r="K1014" s="91"/>
      <c r="L1014" s="89"/>
      <c r="M1014" s="26"/>
      <c r="N1014" s="26"/>
      <c r="O1014" s="26"/>
      <c r="P1014" s="26"/>
    </row>
    <row r="1015">
      <c r="A1015" s="90"/>
      <c r="B1015" s="82"/>
      <c r="C1015" s="83"/>
      <c r="D1015" s="82"/>
      <c r="E1015" s="84"/>
      <c r="F1015" s="85"/>
      <c r="G1015" s="86"/>
      <c r="H1015" s="84"/>
      <c r="I1015" s="86"/>
      <c r="J1015" s="87"/>
      <c r="K1015" s="91"/>
      <c r="L1015" s="89"/>
      <c r="M1015" s="26"/>
      <c r="N1015" s="26"/>
      <c r="O1015" s="26"/>
      <c r="P1015" s="26"/>
    </row>
    <row r="1016">
      <c r="A1016" s="90"/>
      <c r="B1016" s="82"/>
      <c r="C1016" s="83"/>
      <c r="D1016" s="82"/>
      <c r="E1016" s="84"/>
      <c r="F1016" s="85"/>
      <c r="G1016" s="86"/>
      <c r="H1016" s="84"/>
      <c r="I1016" s="86"/>
      <c r="J1016" s="87"/>
      <c r="K1016" s="91"/>
      <c r="L1016" s="89"/>
      <c r="M1016" s="26"/>
      <c r="N1016" s="26"/>
      <c r="O1016" s="26"/>
      <c r="P1016" s="26"/>
    </row>
    <row r="1017">
      <c r="A1017" s="90"/>
      <c r="B1017" s="82"/>
      <c r="C1017" s="83"/>
      <c r="D1017" s="82"/>
      <c r="E1017" s="84"/>
      <c r="F1017" s="85"/>
      <c r="G1017" s="86"/>
      <c r="H1017" s="84"/>
      <c r="I1017" s="86"/>
      <c r="J1017" s="87"/>
      <c r="K1017" s="91"/>
      <c r="L1017" s="89"/>
      <c r="M1017" s="26"/>
      <c r="N1017" s="26"/>
      <c r="O1017" s="26"/>
      <c r="P1017" s="26"/>
    </row>
    <row r="1018">
      <c r="A1018" s="90"/>
      <c r="B1018" s="82"/>
      <c r="C1018" s="83"/>
      <c r="D1018" s="82"/>
      <c r="E1018" s="84"/>
      <c r="F1018" s="85"/>
      <c r="G1018" s="86"/>
      <c r="H1018" s="84"/>
      <c r="I1018" s="86"/>
      <c r="J1018" s="87"/>
      <c r="K1018" s="91"/>
      <c r="L1018" s="89"/>
      <c r="M1018" s="26"/>
      <c r="N1018" s="26"/>
      <c r="O1018" s="26"/>
      <c r="P1018" s="26"/>
    </row>
    <row r="1019">
      <c r="A1019" s="90"/>
      <c r="B1019" s="82"/>
      <c r="C1019" s="83"/>
      <c r="D1019" s="82"/>
      <c r="E1019" s="84"/>
      <c r="F1019" s="85"/>
      <c r="G1019" s="86"/>
      <c r="H1019" s="84"/>
      <c r="I1019" s="86"/>
      <c r="J1019" s="87"/>
      <c r="K1019" s="91"/>
      <c r="L1019" s="89"/>
      <c r="M1019" s="26"/>
      <c r="N1019" s="26"/>
      <c r="O1019" s="26"/>
      <c r="P1019" s="26"/>
    </row>
    <row r="1020">
      <c r="A1020" s="90"/>
      <c r="B1020" s="82"/>
      <c r="C1020" s="83"/>
      <c r="D1020" s="82"/>
      <c r="E1020" s="84"/>
      <c r="F1020" s="85"/>
      <c r="G1020" s="86"/>
      <c r="H1020" s="84"/>
      <c r="I1020" s="86"/>
      <c r="J1020" s="87"/>
      <c r="K1020" s="91"/>
      <c r="L1020" s="89"/>
      <c r="M1020" s="26"/>
      <c r="N1020" s="26"/>
      <c r="O1020" s="26"/>
      <c r="P1020" s="26"/>
    </row>
    <row r="1021">
      <c r="A1021" s="90"/>
      <c r="B1021" s="82"/>
      <c r="C1021" s="83"/>
      <c r="D1021" s="82"/>
      <c r="E1021" s="84"/>
      <c r="F1021" s="85"/>
      <c r="G1021" s="86"/>
      <c r="H1021" s="84"/>
      <c r="I1021" s="86"/>
      <c r="J1021" s="87"/>
      <c r="K1021" s="91"/>
      <c r="L1021" s="89"/>
      <c r="M1021" s="26"/>
      <c r="N1021" s="26"/>
      <c r="O1021" s="26"/>
      <c r="P1021" s="26"/>
    </row>
    <row r="1022">
      <c r="A1022" s="90"/>
      <c r="B1022" s="82"/>
      <c r="C1022" s="83"/>
      <c r="D1022" s="82"/>
      <c r="E1022" s="84"/>
      <c r="F1022" s="85"/>
      <c r="G1022" s="86"/>
      <c r="H1022" s="84"/>
      <c r="I1022" s="86"/>
      <c r="J1022" s="87"/>
      <c r="K1022" s="91"/>
      <c r="L1022" s="89"/>
      <c r="M1022" s="26"/>
      <c r="N1022" s="26"/>
      <c r="O1022" s="26"/>
      <c r="P1022" s="26"/>
    </row>
    <row r="1023">
      <c r="A1023" s="90"/>
      <c r="B1023" s="82"/>
      <c r="C1023" s="83"/>
      <c r="D1023" s="82"/>
      <c r="E1023" s="84"/>
      <c r="F1023" s="85"/>
      <c r="G1023" s="86"/>
      <c r="H1023" s="84"/>
      <c r="I1023" s="86"/>
      <c r="J1023" s="87"/>
      <c r="K1023" s="91"/>
      <c r="L1023" s="89"/>
      <c r="M1023" s="26"/>
      <c r="N1023" s="26"/>
      <c r="O1023" s="26"/>
      <c r="P1023" s="26"/>
    </row>
    <row r="1024">
      <c r="A1024" s="90"/>
      <c r="B1024" s="82"/>
      <c r="C1024" s="83"/>
      <c r="D1024" s="82"/>
      <c r="E1024" s="84"/>
      <c r="F1024" s="85"/>
      <c r="G1024" s="86"/>
      <c r="H1024" s="84"/>
      <c r="I1024" s="86"/>
      <c r="J1024" s="87"/>
      <c r="K1024" s="91"/>
      <c r="L1024" s="89"/>
      <c r="M1024" s="26"/>
      <c r="N1024" s="26"/>
      <c r="O1024" s="26"/>
      <c r="P1024" s="26"/>
    </row>
    <row r="1025">
      <c r="A1025" s="90"/>
      <c r="B1025" s="82"/>
      <c r="C1025" s="83"/>
      <c r="D1025" s="82"/>
      <c r="E1025" s="84"/>
      <c r="F1025" s="85"/>
      <c r="G1025" s="86"/>
      <c r="H1025" s="84"/>
      <c r="I1025" s="86"/>
      <c r="J1025" s="87"/>
      <c r="K1025" s="91"/>
      <c r="L1025" s="89"/>
      <c r="M1025" s="26"/>
      <c r="N1025" s="26"/>
      <c r="O1025" s="26"/>
      <c r="P1025" s="26"/>
    </row>
    <row r="1026">
      <c r="A1026" s="90"/>
      <c r="B1026" s="82"/>
      <c r="C1026" s="83"/>
      <c r="D1026" s="82"/>
      <c r="E1026" s="84"/>
      <c r="F1026" s="85"/>
      <c r="G1026" s="86"/>
      <c r="H1026" s="84"/>
      <c r="I1026" s="86"/>
      <c r="J1026" s="87"/>
      <c r="K1026" s="91"/>
      <c r="L1026" s="89"/>
      <c r="M1026" s="26"/>
      <c r="N1026" s="26"/>
      <c r="O1026" s="26"/>
      <c r="P1026" s="26"/>
    </row>
    <row r="1027">
      <c r="A1027" s="90"/>
      <c r="B1027" s="82"/>
      <c r="C1027" s="83"/>
      <c r="D1027" s="82"/>
      <c r="E1027" s="84"/>
      <c r="F1027" s="85"/>
      <c r="G1027" s="86"/>
      <c r="H1027" s="84"/>
      <c r="I1027" s="86"/>
      <c r="J1027" s="87"/>
      <c r="K1027" s="91"/>
      <c r="L1027" s="89"/>
      <c r="M1027" s="26"/>
      <c r="N1027" s="26"/>
      <c r="O1027" s="26"/>
      <c r="P1027" s="26"/>
    </row>
    <row r="1028">
      <c r="A1028" s="90"/>
      <c r="B1028" s="82"/>
      <c r="C1028" s="83"/>
      <c r="D1028" s="82"/>
      <c r="E1028" s="84"/>
      <c r="F1028" s="85"/>
      <c r="G1028" s="86"/>
      <c r="H1028" s="84"/>
      <c r="I1028" s="86"/>
      <c r="J1028" s="87"/>
      <c r="K1028" s="91"/>
      <c r="L1028" s="89"/>
      <c r="M1028" s="26"/>
      <c r="N1028" s="26"/>
      <c r="O1028" s="26"/>
      <c r="P1028" s="26"/>
    </row>
    <row r="1029">
      <c r="A1029" s="90"/>
      <c r="B1029" s="82"/>
      <c r="C1029" s="83"/>
      <c r="D1029" s="82"/>
      <c r="E1029" s="84"/>
      <c r="F1029" s="85"/>
      <c r="G1029" s="86"/>
      <c r="H1029" s="84"/>
      <c r="I1029" s="86"/>
      <c r="J1029" s="87"/>
      <c r="K1029" s="91"/>
      <c r="L1029" s="89"/>
      <c r="M1029" s="26"/>
      <c r="N1029" s="26"/>
      <c r="O1029" s="26"/>
      <c r="P1029" s="26"/>
    </row>
    <row r="1030">
      <c r="A1030" s="90"/>
      <c r="B1030" s="82"/>
      <c r="C1030" s="83"/>
      <c r="D1030" s="82"/>
      <c r="E1030" s="84"/>
      <c r="F1030" s="85"/>
      <c r="G1030" s="86"/>
      <c r="H1030" s="84"/>
      <c r="I1030" s="86"/>
      <c r="J1030" s="87"/>
      <c r="K1030" s="91"/>
      <c r="L1030" s="89"/>
      <c r="M1030" s="26"/>
      <c r="N1030" s="26"/>
      <c r="O1030" s="26"/>
      <c r="P1030" s="26"/>
    </row>
    <row r="1031">
      <c r="A1031" s="90"/>
      <c r="B1031" s="82"/>
      <c r="C1031" s="83"/>
      <c r="D1031" s="82"/>
      <c r="E1031" s="84"/>
      <c r="F1031" s="85"/>
      <c r="G1031" s="86"/>
      <c r="H1031" s="84"/>
      <c r="I1031" s="86"/>
      <c r="J1031" s="87"/>
      <c r="K1031" s="91"/>
      <c r="L1031" s="89"/>
      <c r="M1031" s="26"/>
      <c r="N1031" s="26"/>
      <c r="O1031" s="26"/>
      <c r="P1031" s="26"/>
    </row>
    <row r="1032">
      <c r="A1032" s="90"/>
      <c r="B1032" s="82"/>
      <c r="C1032" s="83"/>
      <c r="D1032" s="82"/>
      <c r="E1032" s="84"/>
      <c r="F1032" s="85"/>
      <c r="G1032" s="86"/>
      <c r="H1032" s="84"/>
      <c r="I1032" s="86"/>
      <c r="J1032" s="87"/>
      <c r="K1032" s="91"/>
      <c r="L1032" s="89"/>
      <c r="M1032" s="26"/>
      <c r="N1032" s="26"/>
      <c r="O1032" s="26"/>
      <c r="P1032" s="26"/>
    </row>
    <row r="1033">
      <c r="A1033" s="90"/>
      <c r="B1033" s="82"/>
      <c r="C1033" s="83"/>
      <c r="D1033" s="82"/>
      <c r="E1033" s="84"/>
      <c r="F1033" s="85"/>
      <c r="G1033" s="86"/>
      <c r="H1033" s="84"/>
      <c r="I1033" s="86"/>
      <c r="J1033" s="87"/>
      <c r="K1033" s="91"/>
      <c r="L1033" s="89"/>
      <c r="M1033" s="26"/>
      <c r="N1033" s="26"/>
      <c r="O1033" s="26"/>
      <c r="P1033" s="26"/>
    </row>
    <row r="1034">
      <c r="A1034" s="90"/>
      <c r="B1034" s="82"/>
      <c r="C1034" s="83"/>
      <c r="D1034" s="82"/>
      <c r="E1034" s="84"/>
      <c r="F1034" s="85"/>
      <c r="G1034" s="86"/>
      <c r="H1034" s="84"/>
      <c r="I1034" s="86"/>
      <c r="J1034" s="87"/>
      <c r="K1034" s="91"/>
      <c r="L1034" s="89"/>
      <c r="M1034" s="26"/>
      <c r="N1034" s="26"/>
      <c r="O1034" s="26"/>
      <c r="P1034" s="26"/>
    </row>
    <row r="1035">
      <c r="A1035" s="90"/>
      <c r="B1035" s="82"/>
      <c r="C1035" s="83"/>
      <c r="D1035" s="82"/>
      <c r="E1035" s="84"/>
      <c r="F1035" s="85"/>
      <c r="G1035" s="86"/>
      <c r="H1035" s="84"/>
      <c r="I1035" s="86"/>
      <c r="J1035" s="87"/>
      <c r="K1035" s="91"/>
      <c r="L1035" s="89"/>
      <c r="M1035" s="26"/>
      <c r="N1035" s="26"/>
      <c r="O1035" s="26"/>
      <c r="P1035" s="26"/>
    </row>
    <row r="1036">
      <c r="A1036" s="90"/>
      <c r="B1036" s="82"/>
      <c r="C1036" s="83"/>
      <c r="D1036" s="82"/>
      <c r="E1036" s="84"/>
      <c r="F1036" s="85"/>
      <c r="G1036" s="86"/>
      <c r="H1036" s="84"/>
      <c r="I1036" s="86"/>
      <c r="J1036" s="87"/>
      <c r="K1036" s="91"/>
      <c r="L1036" s="89"/>
      <c r="M1036" s="26"/>
      <c r="N1036" s="26"/>
      <c r="O1036" s="26"/>
      <c r="P1036" s="26"/>
    </row>
    <row r="1037">
      <c r="A1037" s="90"/>
      <c r="B1037" s="82"/>
      <c r="C1037" s="83"/>
      <c r="D1037" s="82"/>
      <c r="E1037" s="84"/>
      <c r="F1037" s="85"/>
      <c r="G1037" s="86"/>
      <c r="H1037" s="84"/>
      <c r="I1037" s="86"/>
      <c r="J1037" s="87"/>
      <c r="K1037" s="91"/>
      <c r="L1037" s="89"/>
      <c r="M1037" s="26"/>
      <c r="N1037" s="26"/>
      <c r="O1037" s="26"/>
      <c r="P1037" s="26"/>
    </row>
    <row r="1038">
      <c r="A1038" s="90"/>
      <c r="B1038" s="82"/>
      <c r="C1038" s="83"/>
      <c r="D1038" s="82"/>
      <c r="E1038" s="84"/>
      <c r="F1038" s="85"/>
      <c r="G1038" s="86"/>
      <c r="H1038" s="84"/>
      <c r="I1038" s="86"/>
      <c r="J1038" s="87"/>
      <c r="K1038" s="91"/>
      <c r="L1038" s="89"/>
      <c r="M1038" s="26"/>
      <c r="N1038" s="26"/>
      <c r="O1038" s="26"/>
      <c r="P1038" s="26"/>
    </row>
    <row r="1039">
      <c r="A1039" s="90"/>
      <c r="B1039" s="82"/>
      <c r="C1039" s="83"/>
      <c r="D1039" s="82"/>
      <c r="E1039" s="84"/>
      <c r="F1039" s="85"/>
      <c r="G1039" s="86"/>
      <c r="H1039" s="84"/>
      <c r="I1039" s="86"/>
      <c r="J1039" s="87"/>
      <c r="K1039" s="91"/>
      <c r="L1039" s="89"/>
      <c r="M1039" s="26"/>
      <c r="N1039" s="26"/>
      <c r="O1039" s="26"/>
      <c r="P1039" s="26"/>
    </row>
    <row r="1040">
      <c r="A1040" s="90"/>
      <c r="B1040" s="82"/>
      <c r="C1040" s="83"/>
      <c r="D1040" s="82"/>
      <c r="E1040" s="84"/>
      <c r="F1040" s="85"/>
      <c r="G1040" s="86"/>
      <c r="H1040" s="84"/>
      <c r="I1040" s="86"/>
      <c r="J1040" s="87"/>
      <c r="K1040" s="91"/>
      <c r="L1040" s="89"/>
      <c r="M1040" s="26"/>
      <c r="N1040" s="26"/>
      <c r="O1040" s="26"/>
      <c r="P1040" s="26"/>
    </row>
    <row r="1041">
      <c r="A1041" s="90"/>
      <c r="B1041" s="82"/>
      <c r="C1041" s="83"/>
      <c r="D1041" s="82"/>
      <c r="E1041" s="84"/>
      <c r="F1041" s="85"/>
      <c r="G1041" s="86"/>
      <c r="H1041" s="84"/>
      <c r="I1041" s="86"/>
      <c r="J1041" s="87"/>
      <c r="K1041" s="91"/>
      <c r="L1041" s="89"/>
      <c r="M1041" s="26"/>
      <c r="N1041" s="26"/>
      <c r="O1041" s="26"/>
      <c r="P1041" s="26"/>
    </row>
    <row r="1042">
      <c r="A1042" s="90"/>
      <c r="B1042" s="82"/>
      <c r="C1042" s="83"/>
      <c r="D1042" s="82"/>
      <c r="E1042" s="84"/>
      <c r="F1042" s="85"/>
      <c r="G1042" s="86"/>
      <c r="H1042" s="84"/>
      <c r="I1042" s="86"/>
      <c r="J1042" s="87"/>
      <c r="K1042" s="91"/>
      <c r="L1042" s="89"/>
      <c r="M1042" s="26"/>
      <c r="N1042" s="26"/>
      <c r="O1042" s="26"/>
      <c r="P1042" s="26"/>
    </row>
    <row r="1043">
      <c r="A1043" s="90"/>
      <c r="B1043" s="82"/>
      <c r="C1043" s="83"/>
      <c r="D1043" s="82"/>
      <c r="E1043" s="84"/>
      <c r="F1043" s="85"/>
      <c r="G1043" s="86"/>
      <c r="H1043" s="84"/>
      <c r="I1043" s="86"/>
      <c r="J1043" s="87"/>
      <c r="K1043" s="91"/>
      <c r="L1043" s="89"/>
      <c r="M1043" s="26"/>
      <c r="N1043" s="26"/>
      <c r="O1043" s="26"/>
      <c r="P1043" s="26"/>
    </row>
    <row r="1044">
      <c r="A1044" s="90"/>
      <c r="B1044" s="82"/>
      <c r="C1044" s="83"/>
      <c r="D1044" s="82"/>
      <c r="E1044" s="84"/>
      <c r="F1044" s="85"/>
      <c r="G1044" s="86"/>
      <c r="H1044" s="84"/>
      <c r="I1044" s="86"/>
      <c r="J1044" s="87"/>
      <c r="K1044" s="91"/>
      <c r="L1044" s="89"/>
      <c r="M1044" s="26"/>
      <c r="N1044" s="26"/>
      <c r="O1044" s="26"/>
      <c r="P1044" s="26"/>
    </row>
    <row r="1045">
      <c r="A1045" s="90"/>
      <c r="B1045" s="82"/>
      <c r="C1045" s="83"/>
      <c r="D1045" s="82"/>
      <c r="E1045" s="84"/>
      <c r="F1045" s="85"/>
      <c r="G1045" s="86"/>
      <c r="H1045" s="84"/>
      <c r="I1045" s="86"/>
      <c r="J1045" s="87"/>
      <c r="K1045" s="91"/>
      <c r="L1045" s="89"/>
      <c r="M1045" s="26"/>
      <c r="N1045" s="26"/>
      <c r="O1045" s="26"/>
      <c r="P1045" s="26"/>
    </row>
    <row r="1046">
      <c r="A1046" s="90"/>
      <c r="B1046" s="82"/>
      <c r="C1046" s="83"/>
      <c r="D1046" s="82"/>
      <c r="E1046" s="84"/>
      <c r="F1046" s="85"/>
      <c r="G1046" s="86"/>
      <c r="H1046" s="84"/>
      <c r="I1046" s="86"/>
      <c r="J1046" s="87"/>
      <c r="K1046" s="91"/>
      <c r="L1046" s="89"/>
      <c r="M1046" s="26"/>
      <c r="N1046" s="26"/>
      <c r="O1046" s="26"/>
      <c r="P1046" s="26"/>
    </row>
    <row r="1047">
      <c r="A1047" s="90"/>
      <c r="B1047" s="82"/>
      <c r="C1047" s="83"/>
      <c r="D1047" s="82"/>
      <c r="E1047" s="84"/>
      <c r="F1047" s="85"/>
      <c r="G1047" s="86"/>
      <c r="H1047" s="84"/>
      <c r="I1047" s="86"/>
      <c r="J1047" s="87"/>
      <c r="K1047" s="91"/>
      <c r="L1047" s="89"/>
      <c r="M1047" s="26"/>
      <c r="N1047" s="26"/>
      <c r="O1047" s="26"/>
      <c r="P1047" s="26"/>
    </row>
    <row r="1048">
      <c r="A1048" s="90"/>
      <c r="B1048" s="82"/>
      <c r="C1048" s="83"/>
      <c r="D1048" s="82"/>
      <c r="E1048" s="84"/>
      <c r="F1048" s="85"/>
      <c r="G1048" s="86"/>
      <c r="H1048" s="84"/>
      <c r="I1048" s="86"/>
      <c r="J1048" s="87"/>
      <c r="K1048" s="91"/>
      <c r="L1048" s="89"/>
      <c r="M1048" s="26"/>
      <c r="N1048" s="26"/>
      <c r="O1048" s="26"/>
      <c r="P1048" s="26"/>
    </row>
    <row r="1049">
      <c r="A1049" s="90"/>
      <c r="B1049" s="82"/>
      <c r="C1049" s="83"/>
      <c r="D1049" s="82"/>
      <c r="E1049" s="84"/>
      <c r="F1049" s="85"/>
      <c r="G1049" s="86"/>
      <c r="H1049" s="84"/>
      <c r="I1049" s="86"/>
      <c r="J1049" s="87"/>
      <c r="K1049" s="91"/>
      <c r="L1049" s="89"/>
      <c r="M1049" s="26"/>
      <c r="N1049" s="26"/>
      <c r="O1049" s="26"/>
      <c r="P1049" s="26"/>
    </row>
    <row r="1050">
      <c r="A1050" s="90"/>
      <c r="B1050" s="82"/>
      <c r="C1050" s="83"/>
      <c r="D1050" s="82"/>
      <c r="E1050" s="84"/>
      <c r="F1050" s="85"/>
      <c r="G1050" s="86"/>
      <c r="H1050" s="84"/>
      <c r="I1050" s="86"/>
      <c r="J1050" s="87"/>
      <c r="K1050" s="91"/>
      <c r="L1050" s="89"/>
      <c r="M1050" s="26"/>
      <c r="N1050" s="26"/>
      <c r="O1050" s="26"/>
      <c r="P1050" s="26"/>
    </row>
    <row r="1051">
      <c r="A1051" s="90"/>
      <c r="B1051" s="82"/>
      <c r="C1051" s="83"/>
      <c r="D1051" s="82"/>
      <c r="E1051" s="84"/>
      <c r="F1051" s="85"/>
      <c r="G1051" s="86"/>
      <c r="H1051" s="84"/>
      <c r="I1051" s="86"/>
      <c r="J1051" s="87"/>
      <c r="K1051" s="91"/>
      <c r="L1051" s="89"/>
      <c r="M1051" s="26"/>
      <c r="N1051" s="26"/>
      <c r="O1051" s="26"/>
      <c r="P1051" s="26"/>
    </row>
    <row r="1052">
      <c r="A1052" s="90"/>
      <c r="B1052" s="82"/>
      <c r="C1052" s="83"/>
      <c r="D1052" s="82"/>
      <c r="E1052" s="84"/>
      <c r="F1052" s="85"/>
      <c r="G1052" s="86"/>
      <c r="H1052" s="84"/>
      <c r="I1052" s="86"/>
      <c r="J1052" s="87"/>
      <c r="K1052" s="91"/>
      <c r="L1052" s="89"/>
      <c r="M1052" s="26"/>
      <c r="N1052" s="26"/>
      <c r="O1052" s="26"/>
      <c r="P1052" s="26"/>
    </row>
    <row r="1053">
      <c r="A1053" s="90"/>
      <c r="B1053" s="82"/>
      <c r="C1053" s="83"/>
      <c r="D1053" s="82"/>
      <c r="E1053" s="84"/>
      <c r="F1053" s="85"/>
      <c r="G1053" s="86"/>
      <c r="H1053" s="84"/>
      <c r="I1053" s="86"/>
      <c r="J1053" s="87"/>
      <c r="K1053" s="91"/>
      <c r="L1053" s="89"/>
      <c r="M1053" s="26"/>
      <c r="N1053" s="26"/>
      <c r="O1053" s="26"/>
      <c r="P1053" s="26"/>
    </row>
    <row r="1054">
      <c r="A1054" s="90"/>
      <c r="B1054" s="82"/>
      <c r="C1054" s="83"/>
      <c r="D1054" s="82"/>
      <c r="E1054" s="84"/>
      <c r="F1054" s="85"/>
      <c r="G1054" s="86"/>
      <c r="H1054" s="84"/>
      <c r="I1054" s="86"/>
      <c r="J1054" s="87"/>
      <c r="K1054" s="91"/>
      <c r="L1054" s="89"/>
      <c r="M1054" s="26"/>
      <c r="N1054" s="26"/>
      <c r="O1054" s="26"/>
      <c r="P1054" s="26"/>
    </row>
    <row r="1055">
      <c r="A1055" s="90"/>
      <c r="B1055" s="82"/>
      <c r="C1055" s="83"/>
      <c r="D1055" s="82"/>
      <c r="E1055" s="84"/>
      <c r="F1055" s="85"/>
      <c r="G1055" s="86"/>
      <c r="H1055" s="84"/>
      <c r="I1055" s="86"/>
      <c r="J1055" s="87"/>
      <c r="K1055" s="91"/>
      <c r="L1055" s="89"/>
      <c r="M1055" s="26"/>
      <c r="N1055" s="26"/>
      <c r="O1055" s="26"/>
      <c r="P1055" s="26"/>
    </row>
    <row r="1056">
      <c r="A1056" s="90"/>
      <c r="B1056" s="82"/>
      <c r="C1056" s="83"/>
      <c r="D1056" s="82"/>
      <c r="E1056" s="84"/>
      <c r="F1056" s="85"/>
      <c r="G1056" s="86"/>
      <c r="H1056" s="84"/>
      <c r="I1056" s="86"/>
      <c r="J1056" s="87"/>
      <c r="K1056" s="91"/>
      <c r="L1056" s="89"/>
      <c r="M1056" s="26"/>
      <c r="N1056" s="26"/>
      <c r="O1056" s="26"/>
      <c r="P1056" s="26"/>
    </row>
    <row r="1057">
      <c r="A1057" s="90"/>
      <c r="B1057" s="82"/>
      <c r="C1057" s="83"/>
      <c r="D1057" s="82"/>
      <c r="E1057" s="84"/>
      <c r="F1057" s="85"/>
      <c r="G1057" s="86"/>
      <c r="H1057" s="84"/>
      <c r="I1057" s="86"/>
      <c r="J1057" s="87"/>
      <c r="K1057" s="91"/>
      <c r="L1057" s="89"/>
      <c r="M1057" s="26"/>
      <c r="N1057" s="26"/>
      <c r="O1057" s="26"/>
      <c r="P1057" s="26"/>
    </row>
    <row r="1058">
      <c r="A1058" s="90"/>
      <c r="B1058" s="82"/>
      <c r="C1058" s="83"/>
      <c r="D1058" s="82"/>
      <c r="E1058" s="84"/>
      <c r="F1058" s="85"/>
      <c r="G1058" s="86"/>
      <c r="H1058" s="84"/>
      <c r="I1058" s="86"/>
      <c r="J1058" s="87"/>
      <c r="K1058" s="91"/>
      <c r="L1058" s="89"/>
      <c r="M1058" s="26"/>
      <c r="N1058" s="26"/>
      <c r="O1058" s="26"/>
      <c r="P1058" s="26"/>
    </row>
    <row r="1059">
      <c r="A1059" s="90"/>
      <c r="B1059" s="82"/>
      <c r="C1059" s="83"/>
      <c r="D1059" s="82"/>
      <c r="E1059" s="84"/>
      <c r="F1059" s="85"/>
      <c r="G1059" s="86"/>
      <c r="H1059" s="84"/>
      <c r="I1059" s="86"/>
      <c r="J1059" s="87"/>
      <c r="K1059" s="91"/>
      <c r="L1059" s="89"/>
      <c r="M1059" s="26"/>
      <c r="N1059" s="26"/>
      <c r="O1059" s="26"/>
      <c r="P1059" s="26"/>
    </row>
    <row r="1060">
      <c r="A1060" s="90"/>
      <c r="B1060" s="82"/>
      <c r="C1060" s="83"/>
      <c r="D1060" s="82"/>
      <c r="E1060" s="84"/>
      <c r="F1060" s="85"/>
      <c r="G1060" s="86"/>
      <c r="H1060" s="84"/>
      <c r="I1060" s="86"/>
      <c r="J1060" s="87"/>
      <c r="K1060" s="91"/>
      <c r="L1060" s="89"/>
      <c r="M1060" s="26"/>
      <c r="N1060" s="26"/>
      <c r="O1060" s="26"/>
      <c r="P1060" s="26"/>
    </row>
    <row r="1061">
      <c r="A1061" s="90"/>
      <c r="B1061" s="82"/>
      <c r="C1061" s="83"/>
      <c r="D1061" s="82"/>
      <c r="E1061" s="84"/>
      <c r="F1061" s="85"/>
      <c r="G1061" s="86"/>
      <c r="H1061" s="84"/>
      <c r="I1061" s="86"/>
      <c r="J1061" s="87"/>
      <c r="K1061" s="91"/>
      <c r="L1061" s="89"/>
      <c r="M1061" s="26"/>
      <c r="N1061" s="26"/>
      <c r="O1061" s="26"/>
      <c r="P1061" s="26"/>
    </row>
    <row r="1062">
      <c r="A1062" s="90"/>
      <c r="B1062" s="82"/>
      <c r="C1062" s="83"/>
      <c r="D1062" s="82"/>
      <c r="E1062" s="84"/>
      <c r="F1062" s="85"/>
      <c r="G1062" s="86"/>
      <c r="H1062" s="84"/>
      <c r="I1062" s="86"/>
      <c r="J1062" s="87"/>
      <c r="K1062" s="91"/>
      <c r="L1062" s="89"/>
      <c r="M1062" s="26"/>
      <c r="N1062" s="26"/>
      <c r="O1062" s="26"/>
      <c r="P1062" s="26"/>
    </row>
    <row r="1063">
      <c r="A1063" s="90"/>
      <c r="B1063" s="82"/>
      <c r="C1063" s="83"/>
      <c r="D1063" s="82"/>
      <c r="E1063" s="84"/>
      <c r="F1063" s="85"/>
      <c r="G1063" s="86"/>
      <c r="H1063" s="84"/>
      <c r="I1063" s="86"/>
      <c r="J1063" s="87"/>
      <c r="K1063" s="91"/>
      <c r="L1063" s="89"/>
      <c r="M1063" s="26"/>
      <c r="N1063" s="26"/>
      <c r="O1063" s="26"/>
      <c r="P1063" s="26"/>
    </row>
    <row r="1064">
      <c r="A1064" s="90"/>
      <c r="B1064" s="82"/>
      <c r="C1064" s="83"/>
      <c r="D1064" s="82"/>
      <c r="E1064" s="84"/>
      <c r="F1064" s="85"/>
      <c r="G1064" s="86"/>
      <c r="H1064" s="84"/>
      <c r="I1064" s="86"/>
      <c r="J1064" s="87"/>
      <c r="K1064" s="91"/>
      <c r="L1064" s="89"/>
      <c r="M1064" s="26"/>
      <c r="N1064" s="26"/>
      <c r="O1064" s="26"/>
      <c r="P1064" s="26"/>
    </row>
    <row r="1065">
      <c r="A1065" s="90"/>
      <c r="B1065" s="82"/>
      <c r="C1065" s="83"/>
      <c r="D1065" s="82"/>
      <c r="E1065" s="84"/>
      <c r="F1065" s="85"/>
      <c r="G1065" s="86"/>
      <c r="H1065" s="84"/>
      <c r="I1065" s="86"/>
      <c r="J1065" s="87"/>
      <c r="K1065" s="91"/>
      <c r="L1065" s="89"/>
      <c r="M1065" s="26"/>
      <c r="N1065" s="26"/>
      <c r="O1065" s="26"/>
      <c r="P1065" s="26"/>
    </row>
    <row r="1066">
      <c r="A1066" s="90"/>
      <c r="B1066" s="82"/>
      <c r="C1066" s="83"/>
      <c r="D1066" s="82"/>
      <c r="E1066" s="84"/>
      <c r="F1066" s="85"/>
      <c r="G1066" s="86"/>
      <c r="H1066" s="84"/>
      <c r="I1066" s="86"/>
      <c r="J1066" s="87"/>
      <c r="K1066" s="91"/>
      <c r="L1066" s="89"/>
      <c r="M1066" s="26"/>
      <c r="N1066" s="26"/>
      <c r="O1066" s="26"/>
      <c r="P1066" s="26"/>
    </row>
    <row r="1067">
      <c r="A1067" s="90"/>
      <c r="B1067" s="82"/>
      <c r="C1067" s="83"/>
      <c r="D1067" s="82"/>
      <c r="E1067" s="84"/>
      <c r="F1067" s="85"/>
      <c r="G1067" s="86"/>
      <c r="H1067" s="84"/>
      <c r="I1067" s="86"/>
      <c r="J1067" s="87"/>
      <c r="K1067" s="91"/>
      <c r="L1067" s="89"/>
      <c r="M1067" s="26"/>
      <c r="N1067" s="26"/>
      <c r="O1067" s="26"/>
      <c r="P1067" s="26"/>
    </row>
    <row r="1068">
      <c r="A1068" s="90"/>
      <c r="B1068" s="82"/>
      <c r="C1068" s="83"/>
      <c r="D1068" s="82"/>
      <c r="E1068" s="84"/>
      <c r="F1068" s="85"/>
      <c r="G1068" s="86"/>
      <c r="H1068" s="84"/>
      <c r="I1068" s="86"/>
      <c r="J1068" s="87"/>
      <c r="K1068" s="91"/>
      <c r="L1068" s="89"/>
      <c r="M1068" s="26"/>
      <c r="N1068" s="26"/>
      <c r="O1068" s="26"/>
      <c r="P1068" s="26"/>
    </row>
    <row r="1069">
      <c r="A1069" s="90"/>
      <c r="B1069" s="82"/>
      <c r="C1069" s="83"/>
      <c r="D1069" s="82"/>
      <c r="E1069" s="84"/>
      <c r="F1069" s="85"/>
      <c r="G1069" s="86"/>
      <c r="H1069" s="84"/>
      <c r="I1069" s="86"/>
      <c r="J1069" s="87"/>
      <c r="K1069" s="91"/>
      <c r="L1069" s="89"/>
      <c r="M1069" s="26"/>
      <c r="N1069" s="26"/>
      <c r="O1069" s="26"/>
      <c r="P1069" s="26"/>
    </row>
    <row r="1070">
      <c r="A1070" s="90"/>
      <c r="B1070" s="82"/>
      <c r="C1070" s="83"/>
      <c r="D1070" s="82"/>
      <c r="E1070" s="84"/>
      <c r="F1070" s="85"/>
      <c r="G1070" s="86"/>
      <c r="H1070" s="84"/>
      <c r="I1070" s="86"/>
      <c r="J1070" s="87"/>
      <c r="K1070" s="91"/>
      <c r="L1070" s="89"/>
      <c r="M1070" s="26"/>
      <c r="N1070" s="26"/>
      <c r="O1070" s="26"/>
      <c r="P1070" s="26"/>
    </row>
    <row r="1071">
      <c r="A1071" s="90"/>
      <c r="B1071" s="82"/>
      <c r="C1071" s="83"/>
      <c r="D1071" s="82"/>
      <c r="E1071" s="84"/>
      <c r="F1071" s="85"/>
      <c r="G1071" s="86"/>
      <c r="H1071" s="84"/>
      <c r="I1071" s="86"/>
      <c r="J1071" s="87"/>
      <c r="K1071" s="91"/>
      <c r="L1071" s="89"/>
      <c r="M1071" s="26"/>
      <c r="N1071" s="26"/>
      <c r="O1071" s="26"/>
      <c r="P1071" s="26"/>
    </row>
    <row r="1072">
      <c r="A1072" s="90"/>
      <c r="B1072" s="82"/>
      <c r="C1072" s="83"/>
      <c r="D1072" s="82"/>
      <c r="E1072" s="84"/>
      <c r="F1072" s="85"/>
      <c r="G1072" s="86"/>
      <c r="H1072" s="84"/>
      <c r="I1072" s="86"/>
      <c r="J1072" s="87"/>
      <c r="K1072" s="91"/>
      <c r="L1072" s="89"/>
      <c r="M1072" s="26"/>
      <c r="N1072" s="26"/>
      <c r="O1072" s="26"/>
      <c r="P1072" s="26"/>
    </row>
    <row r="1073">
      <c r="A1073" s="90"/>
      <c r="B1073" s="82"/>
      <c r="C1073" s="83"/>
      <c r="D1073" s="82"/>
      <c r="E1073" s="84"/>
      <c r="F1073" s="85"/>
      <c r="G1073" s="86"/>
      <c r="H1073" s="84"/>
      <c r="I1073" s="86"/>
      <c r="J1073" s="87"/>
      <c r="K1073" s="91"/>
      <c r="L1073" s="89"/>
      <c r="M1073" s="26"/>
      <c r="N1073" s="26"/>
      <c r="O1073" s="26"/>
      <c r="P1073" s="26"/>
    </row>
    <row r="1074">
      <c r="A1074" s="90"/>
      <c r="B1074" s="82"/>
      <c r="C1074" s="83"/>
      <c r="D1074" s="82"/>
      <c r="E1074" s="84"/>
      <c r="F1074" s="85"/>
      <c r="G1074" s="86"/>
      <c r="H1074" s="84"/>
      <c r="I1074" s="86"/>
      <c r="J1074" s="87"/>
      <c r="K1074" s="91"/>
      <c r="L1074" s="89"/>
      <c r="M1074" s="26"/>
      <c r="N1074" s="26"/>
      <c r="O1074" s="26"/>
      <c r="P1074" s="26"/>
    </row>
    <row r="1075">
      <c r="A1075" s="90"/>
      <c r="B1075" s="82"/>
      <c r="C1075" s="83"/>
      <c r="D1075" s="82"/>
      <c r="E1075" s="84"/>
      <c r="F1075" s="85"/>
      <c r="G1075" s="86"/>
      <c r="H1075" s="84"/>
      <c r="I1075" s="86"/>
      <c r="J1075" s="87"/>
      <c r="K1075" s="91"/>
      <c r="L1075" s="89"/>
      <c r="M1075" s="26"/>
      <c r="N1075" s="26"/>
      <c r="O1075" s="26"/>
      <c r="P1075" s="26"/>
    </row>
    <row r="1076">
      <c r="A1076" s="90"/>
      <c r="B1076" s="82"/>
      <c r="C1076" s="83"/>
      <c r="D1076" s="82"/>
      <c r="E1076" s="84"/>
      <c r="F1076" s="85"/>
      <c r="G1076" s="86"/>
      <c r="H1076" s="84"/>
      <c r="I1076" s="86"/>
      <c r="J1076" s="87"/>
      <c r="K1076" s="91"/>
      <c r="L1076" s="89"/>
      <c r="M1076" s="26"/>
      <c r="N1076" s="26"/>
      <c r="O1076" s="26"/>
      <c r="P1076" s="26"/>
    </row>
    <row r="1077">
      <c r="A1077" s="90"/>
      <c r="B1077" s="82"/>
      <c r="C1077" s="83"/>
      <c r="D1077" s="82"/>
      <c r="E1077" s="84"/>
      <c r="F1077" s="85"/>
      <c r="G1077" s="86"/>
      <c r="H1077" s="84"/>
      <c r="I1077" s="86"/>
      <c r="J1077" s="87"/>
      <c r="K1077" s="91"/>
      <c r="L1077" s="89"/>
      <c r="M1077" s="26"/>
      <c r="N1077" s="26"/>
      <c r="O1077" s="26"/>
      <c r="P1077" s="26"/>
    </row>
    <row r="1078">
      <c r="A1078" s="90"/>
      <c r="B1078" s="82"/>
      <c r="C1078" s="83"/>
      <c r="D1078" s="82"/>
      <c r="E1078" s="84"/>
      <c r="F1078" s="85"/>
      <c r="G1078" s="86"/>
      <c r="H1078" s="84"/>
      <c r="I1078" s="86"/>
      <c r="J1078" s="87"/>
      <c r="K1078" s="91"/>
      <c r="L1078" s="89"/>
      <c r="M1078" s="26"/>
      <c r="N1078" s="26"/>
      <c r="O1078" s="26"/>
      <c r="P1078" s="26"/>
    </row>
    <row r="1079">
      <c r="A1079" s="90"/>
      <c r="B1079" s="82"/>
      <c r="C1079" s="83"/>
      <c r="D1079" s="82"/>
      <c r="E1079" s="84"/>
      <c r="F1079" s="85"/>
      <c r="G1079" s="86"/>
      <c r="H1079" s="84"/>
      <c r="I1079" s="86"/>
      <c r="J1079" s="87"/>
      <c r="K1079" s="91"/>
      <c r="L1079" s="89"/>
      <c r="M1079" s="26"/>
      <c r="N1079" s="26"/>
      <c r="O1079" s="26"/>
      <c r="P1079" s="26"/>
    </row>
    <row r="1080">
      <c r="A1080" s="90"/>
      <c r="B1080" s="82"/>
      <c r="C1080" s="83"/>
      <c r="D1080" s="82"/>
      <c r="E1080" s="84"/>
      <c r="F1080" s="85"/>
      <c r="G1080" s="86"/>
      <c r="H1080" s="84"/>
      <c r="I1080" s="86"/>
      <c r="J1080" s="87"/>
      <c r="K1080" s="91"/>
      <c r="L1080" s="89"/>
      <c r="M1080" s="26"/>
      <c r="N1080" s="26"/>
      <c r="O1080" s="26"/>
      <c r="P1080" s="26"/>
    </row>
    <row r="1081">
      <c r="A1081" s="90"/>
      <c r="B1081" s="82"/>
      <c r="C1081" s="83"/>
      <c r="D1081" s="82"/>
      <c r="E1081" s="84"/>
      <c r="F1081" s="85"/>
      <c r="G1081" s="86"/>
      <c r="H1081" s="84"/>
      <c r="I1081" s="86"/>
      <c r="J1081" s="87"/>
      <c r="K1081" s="91"/>
      <c r="L1081" s="89"/>
      <c r="M1081" s="26"/>
      <c r="N1081" s="26"/>
      <c r="O1081" s="26"/>
      <c r="P1081" s="26"/>
    </row>
    <row r="1082">
      <c r="A1082" s="90"/>
      <c r="B1082" s="82"/>
      <c r="C1082" s="83"/>
      <c r="D1082" s="82"/>
      <c r="E1082" s="84"/>
      <c r="F1082" s="85"/>
      <c r="G1082" s="86"/>
      <c r="H1082" s="84"/>
      <c r="I1082" s="86"/>
      <c r="J1082" s="87"/>
      <c r="K1082" s="91"/>
      <c r="L1082" s="89"/>
      <c r="M1082" s="26"/>
      <c r="N1082" s="26"/>
      <c r="O1082" s="26"/>
      <c r="P1082" s="26"/>
    </row>
    <row r="1083">
      <c r="A1083" s="90"/>
      <c r="B1083" s="82"/>
      <c r="C1083" s="83"/>
      <c r="D1083" s="82"/>
      <c r="E1083" s="84"/>
      <c r="F1083" s="85"/>
      <c r="G1083" s="86"/>
      <c r="H1083" s="84"/>
      <c r="I1083" s="86"/>
      <c r="J1083" s="87"/>
      <c r="K1083" s="91"/>
      <c r="L1083" s="89"/>
      <c r="M1083" s="26"/>
      <c r="N1083" s="26"/>
      <c r="O1083" s="26"/>
      <c r="P1083" s="26"/>
    </row>
    <row r="1084">
      <c r="A1084" s="90"/>
      <c r="B1084" s="82"/>
      <c r="C1084" s="83"/>
      <c r="D1084" s="82"/>
      <c r="E1084" s="84"/>
      <c r="F1084" s="85"/>
      <c r="G1084" s="86"/>
      <c r="H1084" s="84"/>
      <c r="I1084" s="86"/>
      <c r="J1084" s="87"/>
      <c r="K1084" s="91"/>
      <c r="L1084" s="89"/>
      <c r="M1084" s="26"/>
      <c r="N1084" s="26"/>
      <c r="O1084" s="26"/>
      <c r="P1084" s="26"/>
    </row>
    <row r="1085">
      <c r="A1085" s="90"/>
      <c r="B1085" s="82"/>
      <c r="C1085" s="83"/>
      <c r="D1085" s="82"/>
      <c r="E1085" s="84"/>
      <c r="F1085" s="85"/>
      <c r="G1085" s="86"/>
      <c r="H1085" s="84"/>
      <c r="I1085" s="86"/>
      <c r="J1085" s="87"/>
      <c r="K1085" s="91"/>
      <c r="L1085" s="89"/>
      <c r="M1085" s="26"/>
      <c r="N1085" s="26"/>
      <c r="O1085" s="26"/>
      <c r="P1085" s="26"/>
    </row>
    <row r="1086">
      <c r="A1086" s="90"/>
      <c r="B1086" s="82"/>
      <c r="C1086" s="83"/>
      <c r="D1086" s="82"/>
      <c r="E1086" s="84"/>
      <c r="F1086" s="85"/>
      <c r="G1086" s="86"/>
      <c r="H1086" s="84"/>
      <c r="I1086" s="86"/>
      <c r="J1086" s="87"/>
      <c r="K1086" s="91"/>
      <c r="L1086" s="89"/>
      <c r="M1086" s="26"/>
      <c r="N1086" s="26"/>
      <c r="O1086" s="26"/>
      <c r="P1086" s="26"/>
    </row>
    <row r="1087">
      <c r="A1087" s="90"/>
      <c r="B1087" s="82"/>
      <c r="C1087" s="83"/>
      <c r="D1087" s="82"/>
      <c r="E1087" s="84"/>
      <c r="F1087" s="85"/>
      <c r="G1087" s="86"/>
      <c r="H1087" s="84"/>
      <c r="I1087" s="86"/>
      <c r="J1087" s="87"/>
      <c r="K1087" s="91"/>
      <c r="L1087" s="89"/>
      <c r="M1087" s="26"/>
      <c r="N1087" s="26"/>
      <c r="O1087" s="26"/>
      <c r="P1087" s="26"/>
    </row>
    <row r="1088">
      <c r="A1088" s="90"/>
      <c r="B1088" s="82"/>
      <c r="C1088" s="83"/>
      <c r="D1088" s="82"/>
      <c r="E1088" s="84"/>
      <c r="F1088" s="85"/>
      <c r="G1088" s="86"/>
      <c r="H1088" s="84"/>
      <c r="I1088" s="86"/>
      <c r="J1088" s="87"/>
      <c r="K1088" s="91"/>
      <c r="L1088" s="89"/>
      <c r="M1088" s="26"/>
      <c r="N1088" s="26"/>
      <c r="O1088" s="26"/>
      <c r="P1088" s="26"/>
    </row>
    <row r="1089">
      <c r="A1089" s="90"/>
      <c r="B1089" s="82"/>
      <c r="C1089" s="83"/>
      <c r="D1089" s="82"/>
      <c r="E1089" s="84"/>
      <c r="F1089" s="85"/>
      <c r="G1089" s="86"/>
      <c r="H1089" s="84"/>
      <c r="I1089" s="86"/>
      <c r="J1089" s="87"/>
      <c r="K1089" s="91"/>
      <c r="L1089" s="89"/>
      <c r="M1089" s="26"/>
      <c r="N1089" s="26"/>
      <c r="O1089" s="26"/>
      <c r="P1089" s="26"/>
    </row>
    <row r="1090">
      <c r="A1090" s="90"/>
      <c r="B1090" s="82"/>
      <c r="C1090" s="83"/>
      <c r="D1090" s="82"/>
      <c r="E1090" s="84"/>
      <c r="F1090" s="85"/>
      <c r="G1090" s="86"/>
      <c r="H1090" s="84"/>
      <c r="I1090" s="86"/>
      <c r="J1090" s="87"/>
      <c r="K1090" s="91"/>
      <c r="L1090" s="89"/>
      <c r="M1090" s="26"/>
      <c r="N1090" s="26"/>
      <c r="O1090" s="26"/>
      <c r="P1090" s="26"/>
    </row>
    <row r="1091">
      <c r="A1091" s="90"/>
      <c r="B1091" s="82"/>
      <c r="C1091" s="83"/>
      <c r="D1091" s="82"/>
      <c r="E1091" s="84"/>
      <c r="F1091" s="85"/>
      <c r="G1091" s="86"/>
      <c r="H1091" s="84"/>
      <c r="I1091" s="86"/>
      <c r="J1091" s="87"/>
      <c r="K1091" s="91"/>
      <c r="L1091" s="89"/>
      <c r="M1091" s="26"/>
      <c r="N1091" s="26"/>
      <c r="O1091" s="26"/>
      <c r="P1091" s="26"/>
    </row>
    <row r="1092">
      <c r="A1092" s="90"/>
      <c r="B1092" s="82"/>
      <c r="C1092" s="83"/>
      <c r="D1092" s="82"/>
      <c r="E1092" s="84"/>
      <c r="F1092" s="85"/>
      <c r="G1092" s="86"/>
      <c r="H1092" s="84"/>
      <c r="I1092" s="86"/>
      <c r="J1092" s="87"/>
      <c r="K1092" s="91"/>
      <c r="L1092" s="89"/>
      <c r="M1092" s="26"/>
      <c r="N1092" s="26"/>
      <c r="O1092" s="26"/>
      <c r="P1092" s="26"/>
    </row>
    <row r="1093">
      <c r="A1093" s="90"/>
      <c r="B1093" s="82"/>
      <c r="C1093" s="83"/>
      <c r="D1093" s="82"/>
      <c r="E1093" s="84"/>
      <c r="F1093" s="85"/>
      <c r="G1093" s="86"/>
      <c r="H1093" s="84"/>
      <c r="I1093" s="86"/>
      <c r="J1093" s="87"/>
      <c r="K1093" s="91"/>
      <c r="L1093" s="89"/>
      <c r="M1093" s="26"/>
      <c r="N1093" s="26"/>
      <c r="O1093" s="26"/>
      <c r="P1093" s="26"/>
    </row>
    <row r="1094">
      <c r="A1094" s="90"/>
      <c r="B1094" s="82"/>
      <c r="C1094" s="83"/>
      <c r="D1094" s="82"/>
      <c r="E1094" s="84"/>
      <c r="F1094" s="85"/>
      <c r="G1094" s="86"/>
      <c r="H1094" s="84"/>
      <c r="I1094" s="86"/>
      <c r="J1094" s="87"/>
      <c r="K1094" s="91"/>
      <c r="L1094" s="89"/>
      <c r="M1094" s="26"/>
      <c r="N1094" s="26"/>
      <c r="O1094" s="26"/>
      <c r="P1094" s="26"/>
    </row>
    <row r="1095">
      <c r="A1095" s="90"/>
      <c r="B1095" s="82"/>
      <c r="C1095" s="83"/>
      <c r="D1095" s="82"/>
      <c r="E1095" s="84"/>
      <c r="F1095" s="85"/>
      <c r="G1095" s="86"/>
      <c r="H1095" s="84"/>
      <c r="I1095" s="86"/>
      <c r="J1095" s="87"/>
      <c r="K1095" s="91"/>
      <c r="L1095" s="89"/>
      <c r="M1095" s="26"/>
      <c r="N1095" s="26"/>
      <c r="O1095" s="26"/>
      <c r="P1095" s="26"/>
    </row>
    <row r="1096">
      <c r="A1096" s="90"/>
      <c r="B1096" s="82"/>
      <c r="C1096" s="83"/>
      <c r="D1096" s="82"/>
      <c r="E1096" s="84"/>
      <c r="F1096" s="85"/>
      <c r="G1096" s="86"/>
      <c r="H1096" s="84"/>
      <c r="I1096" s="86"/>
      <c r="J1096" s="87"/>
      <c r="K1096" s="91"/>
      <c r="L1096" s="89"/>
      <c r="M1096" s="26"/>
      <c r="N1096" s="26"/>
      <c r="O1096" s="26"/>
      <c r="P1096" s="26"/>
    </row>
    <row r="1097">
      <c r="A1097" s="90"/>
      <c r="B1097" s="82"/>
      <c r="C1097" s="83"/>
      <c r="D1097" s="82"/>
      <c r="E1097" s="84"/>
      <c r="F1097" s="85"/>
      <c r="G1097" s="86"/>
      <c r="H1097" s="84"/>
      <c r="I1097" s="86"/>
      <c r="J1097" s="87"/>
      <c r="K1097" s="91"/>
      <c r="L1097" s="89"/>
      <c r="M1097" s="26"/>
      <c r="N1097" s="26"/>
      <c r="O1097" s="26"/>
      <c r="P1097" s="26"/>
    </row>
    <row r="1098">
      <c r="A1098" s="90"/>
      <c r="B1098" s="82"/>
      <c r="C1098" s="83"/>
      <c r="D1098" s="82"/>
      <c r="E1098" s="84"/>
      <c r="F1098" s="85"/>
      <c r="G1098" s="86"/>
      <c r="H1098" s="84"/>
      <c r="I1098" s="86"/>
      <c r="J1098" s="87"/>
      <c r="K1098" s="91"/>
      <c r="L1098" s="89"/>
      <c r="M1098" s="26"/>
      <c r="N1098" s="26"/>
      <c r="O1098" s="26"/>
      <c r="P1098" s="26"/>
    </row>
    <row r="1099">
      <c r="A1099" s="90"/>
      <c r="B1099" s="82"/>
      <c r="C1099" s="83"/>
      <c r="D1099" s="82"/>
      <c r="E1099" s="84"/>
      <c r="F1099" s="85"/>
      <c r="G1099" s="86"/>
      <c r="H1099" s="84"/>
      <c r="I1099" s="86"/>
      <c r="J1099" s="87"/>
      <c r="K1099" s="91"/>
      <c r="L1099" s="89"/>
      <c r="M1099" s="26"/>
      <c r="N1099" s="26"/>
      <c r="O1099" s="26"/>
      <c r="P1099" s="26"/>
    </row>
    <row r="1100">
      <c r="A1100" s="90"/>
      <c r="B1100" s="82"/>
      <c r="C1100" s="83"/>
      <c r="D1100" s="82"/>
      <c r="E1100" s="84"/>
      <c r="F1100" s="85"/>
      <c r="G1100" s="86"/>
      <c r="H1100" s="84"/>
      <c r="I1100" s="86"/>
      <c r="J1100" s="87"/>
      <c r="K1100" s="91"/>
      <c r="L1100" s="89"/>
      <c r="M1100" s="26"/>
      <c r="N1100" s="26"/>
      <c r="O1100" s="26"/>
      <c r="P1100" s="26"/>
    </row>
    <row r="1101">
      <c r="A1101" s="90"/>
      <c r="B1101" s="82"/>
      <c r="C1101" s="83"/>
      <c r="D1101" s="82"/>
      <c r="E1101" s="84"/>
      <c r="F1101" s="85"/>
      <c r="G1101" s="86"/>
      <c r="H1101" s="84"/>
      <c r="I1101" s="86"/>
      <c r="J1101" s="87"/>
      <c r="K1101" s="91"/>
      <c r="L1101" s="89"/>
      <c r="M1101" s="26"/>
      <c r="N1101" s="26"/>
      <c r="O1101" s="26"/>
      <c r="P1101" s="26"/>
    </row>
    <row r="1102">
      <c r="A1102" s="90"/>
      <c r="B1102" s="82"/>
      <c r="C1102" s="83"/>
      <c r="D1102" s="82"/>
      <c r="E1102" s="84"/>
      <c r="F1102" s="85"/>
      <c r="G1102" s="86"/>
      <c r="H1102" s="84"/>
      <c r="I1102" s="86"/>
      <c r="J1102" s="87"/>
      <c r="K1102" s="91"/>
      <c r="L1102" s="89"/>
      <c r="M1102" s="26"/>
      <c r="N1102" s="26"/>
      <c r="O1102" s="26"/>
      <c r="P1102" s="26"/>
    </row>
    <row r="1103">
      <c r="A1103" s="90"/>
      <c r="B1103" s="82"/>
      <c r="C1103" s="83"/>
      <c r="D1103" s="82"/>
      <c r="E1103" s="84"/>
      <c r="F1103" s="85"/>
      <c r="G1103" s="86"/>
      <c r="H1103" s="84"/>
      <c r="I1103" s="86"/>
      <c r="J1103" s="87"/>
      <c r="K1103" s="91"/>
      <c r="L1103" s="89"/>
      <c r="M1103" s="26"/>
      <c r="N1103" s="26"/>
      <c r="O1103" s="26"/>
      <c r="P1103" s="26"/>
    </row>
    <row r="1104">
      <c r="A1104" s="90"/>
      <c r="B1104" s="82"/>
      <c r="C1104" s="83"/>
      <c r="D1104" s="82"/>
      <c r="E1104" s="84"/>
      <c r="F1104" s="85"/>
      <c r="G1104" s="86"/>
      <c r="H1104" s="84"/>
      <c r="I1104" s="86"/>
      <c r="J1104" s="87"/>
      <c r="K1104" s="91"/>
      <c r="L1104" s="89"/>
      <c r="M1104" s="26"/>
      <c r="N1104" s="26"/>
      <c r="O1104" s="26"/>
      <c r="P1104" s="26"/>
    </row>
    <row r="1105">
      <c r="A1105" s="90"/>
      <c r="B1105" s="82"/>
      <c r="C1105" s="83"/>
      <c r="D1105" s="82"/>
      <c r="E1105" s="84"/>
      <c r="F1105" s="85"/>
      <c r="G1105" s="86"/>
      <c r="H1105" s="84"/>
      <c r="I1105" s="86"/>
      <c r="J1105" s="87"/>
      <c r="K1105" s="91"/>
      <c r="L1105" s="89"/>
      <c r="M1105" s="26"/>
      <c r="N1105" s="26"/>
      <c r="O1105" s="26"/>
      <c r="P1105" s="26"/>
    </row>
    <row r="1106">
      <c r="A1106" s="90"/>
      <c r="B1106" s="82"/>
      <c r="C1106" s="83"/>
      <c r="D1106" s="82"/>
      <c r="E1106" s="84"/>
      <c r="F1106" s="85"/>
      <c r="G1106" s="86"/>
      <c r="H1106" s="84"/>
      <c r="I1106" s="86"/>
      <c r="J1106" s="87"/>
      <c r="K1106" s="91"/>
      <c r="L1106" s="89"/>
      <c r="M1106" s="26"/>
      <c r="N1106" s="26"/>
      <c r="O1106" s="26"/>
      <c r="P1106" s="26"/>
    </row>
    <row r="1107">
      <c r="A1107" s="90"/>
      <c r="B1107" s="82"/>
      <c r="C1107" s="83"/>
      <c r="D1107" s="82"/>
      <c r="E1107" s="84"/>
      <c r="F1107" s="85"/>
      <c r="G1107" s="86"/>
      <c r="H1107" s="84"/>
      <c r="I1107" s="86"/>
      <c r="J1107" s="87"/>
      <c r="K1107" s="91"/>
      <c r="L1107" s="89"/>
      <c r="M1107" s="26"/>
      <c r="N1107" s="26"/>
      <c r="O1107" s="26"/>
      <c r="P1107" s="26"/>
    </row>
    <row r="1108">
      <c r="A1108" s="90"/>
      <c r="B1108" s="82"/>
      <c r="C1108" s="83"/>
      <c r="D1108" s="82"/>
      <c r="E1108" s="84"/>
      <c r="F1108" s="85"/>
      <c r="G1108" s="86"/>
      <c r="H1108" s="84"/>
      <c r="I1108" s="86"/>
      <c r="J1108" s="87"/>
      <c r="K1108" s="91"/>
      <c r="L1108" s="89"/>
      <c r="M1108" s="26"/>
      <c r="N1108" s="26"/>
      <c r="O1108" s="26"/>
      <c r="P1108" s="26"/>
    </row>
    <row r="1109">
      <c r="A1109" s="90"/>
      <c r="B1109" s="82"/>
      <c r="C1109" s="83"/>
      <c r="D1109" s="82"/>
      <c r="E1109" s="84"/>
      <c r="F1109" s="85"/>
      <c r="G1109" s="86"/>
      <c r="H1109" s="84"/>
      <c r="I1109" s="86"/>
      <c r="J1109" s="87"/>
      <c r="K1109" s="91"/>
      <c r="L1109" s="89"/>
      <c r="M1109" s="26"/>
      <c r="N1109" s="26"/>
      <c r="O1109" s="26"/>
      <c r="P1109" s="26"/>
    </row>
    <row r="1110">
      <c r="A1110" s="90"/>
      <c r="B1110" s="82"/>
      <c r="C1110" s="83"/>
      <c r="D1110" s="82"/>
      <c r="E1110" s="84"/>
      <c r="F1110" s="85"/>
      <c r="G1110" s="86"/>
      <c r="H1110" s="84"/>
      <c r="I1110" s="86"/>
      <c r="J1110" s="87"/>
      <c r="K1110" s="91"/>
      <c r="L1110" s="89"/>
      <c r="M1110" s="26"/>
      <c r="N1110" s="26"/>
      <c r="O1110" s="26"/>
      <c r="P1110" s="26"/>
    </row>
    <row r="1111">
      <c r="A1111" s="90"/>
      <c r="B1111" s="82"/>
      <c r="C1111" s="83"/>
      <c r="D1111" s="82"/>
      <c r="E1111" s="84"/>
      <c r="F1111" s="85"/>
      <c r="G1111" s="86"/>
      <c r="H1111" s="84"/>
      <c r="I1111" s="86"/>
      <c r="J1111" s="87"/>
      <c r="K1111" s="91"/>
      <c r="L1111" s="89"/>
      <c r="M1111" s="26"/>
      <c r="N1111" s="26"/>
      <c r="O1111" s="26"/>
      <c r="P1111" s="26"/>
    </row>
    <row r="1112">
      <c r="A1112" s="90"/>
      <c r="B1112" s="82"/>
      <c r="C1112" s="83"/>
      <c r="D1112" s="82"/>
      <c r="E1112" s="84"/>
      <c r="F1112" s="85"/>
      <c r="G1112" s="86"/>
      <c r="H1112" s="84"/>
      <c r="I1112" s="86"/>
      <c r="J1112" s="87"/>
      <c r="K1112" s="91"/>
      <c r="L1112" s="89"/>
      <c r="M1112" s="26"/>
      <c r="N1112" s="26"/>
      <c r="O1112" s="26"/>
      <c r="P1112" s="26"/>
    </row>
    <row r="1113">
      <c r="A1113" s="90"/>
      <c r="B1113" s="82"/>
      <c r="C1113" s="83"/>
      <c r="D1113" s="82"/>
      <c r="E1113" s="84"/>
      <c r="F1113" s="85"/>
      <c r="G1113" s="86"/>
      <c r="H1113" s="84"/>
      <c r="I1113" s="86"/>
      <c r="J1113" s="87"/>
      <c r="K1113" s="91"/>
      <c r="L1113" s="89"/>
      <c r="M1113" s="26"/>
      <c r="N1113" s="26"/>
      <c r="O1113" s="26"/>
      <c r="P1113" s="26"/>
    </row>
    <row r="1114">
      <c r="A1114" s="90"/>
      <c r="B1114" s="82"/>
      <c r="C1114" s="83"/>
      <c r="D1114" s="82"/>
      <c r="E1114" s="84"/>
      <c r="F1114" s="85"/>
      <c r="G1114" s="86"/>
      <c r="H1114" s="84"/>
      <c r="I1114" s="86"/>
      <c r="J1114" s="87"/>
      <c r="K1114" s="91"/>
      <c r="L1114" s="89"/>
      <c r="M1114" s="26"/>
      <c r="N1114" s="26"/>
      <c r="O1114" s="26"/>
      <c r="P1114" s="26"/>
    </row>
    <row r="1115">
      <c r="A1115" s="90"/>
      <c r="B1115" s="82"/>
      <c r="C1115" s="83"/>
      <c r="D1115" s="82"/>
      <c r="E1115" s="84"/>
      <c r="F1115" s="85"/>
      <c r="G1115" s="86"/>
      <c r="H1115" s="84"/>
      <c r="I1115" s="86"/>
      <c r="J1115" s="87"/>
      <c r="K1115" s="91"/>
      <c r="L1115" s="89"/>
      <c r="M1115" s="26"/>
      <c r="N1115" s="26"/>
      <c r="O1115" s="26"/>
      <c r="P1115" s="26"/>
    </row>
    <row r="1116">
      <c r="A1116" s="90"/>
      <c r="B1116" s="82"/>
      <c r="C1116" s="83"/>
      <c r="D1116" s="82"/>
      <c r="E1116" s="84"/>
      <c r="F1116" s="85"/>
      <c r="G1116" s="86"/>
      <c r="H1116" s="84"/>
      <c r="I1116" s="86"/>
      <c r="J1116" s="87"/>
      <c r="K1116" s="91"/>
      <c r="L1116" s="89"/>
      <c r="M1116" s="26"/>
      <c r="N1116" s="26"/>
      <c r="O1116" s="26"/>
      <c r="P1116" s="26"/>
    </row>
    <row r="1117">
      <c r="A1117" s="90"/>
      <c r="B1117" s="82"/>
      <c r="C1117" s="83"/>
      <c r="D1117" s="82"/>
      <c r="E1117" s="84"/>
      <c r="F1117" s="85"/>
      <c r="G1117" s="86"/>
      <c r="H1117" s="84"/>
      <c r="I1117" s="86"/>
      <c r="J1117" s="87"/>
      <c r="K1117" s="91"/>
      <c r="L1117" s="89"/>
      <c r="M1117" s="26"/>
      <c r="N1117" s="26"/>
      <c r="O1117" s="26"/>
      <c r="P1117" s="26"/>
    </row>
    <row r="1118">
      <c r="A1118" s="90"/>
      <c r="B1118" s="82"/>
      <c r="C1118" s="83"/>
      <c r="D1118" s="82"/>
      <c r="E1118" s="84"/>
      <c r="F1118" s="85"/>
      <c r="G1118" s="86"/>
      <c r="H1118" s="84"/>
      <c r="I1118" s="86"/>
      <c r="J1118" s="87"/>
      <c r="K1118" s="91"/>
      <c r="L1118" s="89"/>
      <c r="M1118" s="26"/>
      <c r="N1118" s="26"/>
      <c r="O1118" s="26"/>
      <c r="P1118" s="26"/>
    </row>
    <row r="1119">
      <c r="A1119" s="90"/>
      <c r="B1119" s="82"/>
      <c r="C1119" s="83"/>
      <c r="D1119" s="82"/>
      <c r="E1119" s="84"/>
      <c r="F1119" s="85"/>
      <c r="G1119" s="86"/>
      <c r="H1119" s="84"/>
      <c r="I1119" s="86"/>
      <c r="J1119" s="87"/>
      <c r="K1119" s="91"/>
      <c r="L1119" s="89"/>
      <c r="M1119" s="26"/>
      <c r="N1119" s="26"/>
      <c r="O1119" s="26"/>
      <c r="P1119" s="26"/>
    </row>
    <row r="1120">
      <c r="A1120" s="90"/>
      <c r="B1120" s="82"/>
      <c r="C1120" s="83"/>
      <c r="D1120" s="82"/>
      <c r="E1120" s="84"/>
      <c r="F1120" s="85"/>
      <c r="G1120" s="86"/>
      <c r="H1120" s="84"/>
      <c r="I1120" s="86"/>
      <c r="J1120" s="87"/>
      <c r="K1120" s="91"/>
      <c r="L1120" s="89"/>
      <c r="M1120" s="26"/>
      <c r="N1120" s="26"/>
      <c r="O1120" s="26"/>
      <c r="P1120" s="26"/>
    </row>
    <row r="1121">
      <c r="A1121" s="90"/>
      <c r="B1121" s="82"/>
      <c r="C1121" s="83"/>
      <c r="D1121" s="82"/>
      <c r="E1121" s="84"/>
      <c r="F1121" s="85"/>
      <c r="G1121" s="86"/>
      <c r="H1121" s="84"/>
      <c r="I1121" s="86"/>
      <c r="J1121" s="87"/>
      <c r="K1121" s="91"/>
      <c r="L1121" s="89"/>
      <c r="M1121" s="26"/>
      <c r="N1121" s="26"/>
      <c r="O1121" s="26"/>
      <c r="P1121" s="26"/>
    </row>
    <row r="1122">
      <c r="A1122" s="90"/>
      <c r="B1122" s="82"/>
      <c r="C1122" s="83"/>
      <c r="D1122" s="82"/>
      <c r="E1122" s="84"/>
      <c r="F1122" s="85"/>
      <c r="G1122" s="86"/>
      <c r="H1122" s="84"/>
      <c r="I1122" s="86"/>
      <c r="J1122" s="87"/>
      <c r="K1122" s="91"/>
      <c r="L1122" s="89"/>
      <c r="M1122" s="26"/>
      <c r="N1122" s="26"/>
      <c r="O1122" s="26"/>
      <c r="P1122" s="26"/>
    </row>
    <row r="1123">
      <c r="A1123" s="90"/>
      <c r="B1123" s="82"/>
      <c r="C1123" s="83"/>
      <c r="D1123" s="82"/>
      <c r="E1123" s="84"/>
      <c r="F1123" s="85"/>
      <c r="G1123" s="86"/>
      <c r="H1123" s="84"/>
      <c r="I1123" s="86"/>
      <c r="J1123" s="87"/>
      <c r="K1123" s="91"/>
      <c r="L1123" s="89"/>
      <c r="M1123" s="26"/>
      <c r="N1123" s="26"/>
      <c r="O1123" s="26"/>
      <c r="P1123" s="26"/>
    </row>
    <row r="1124">
      <c r="A1124" s="90"/>
      <c r="B1124" s="82"/>
      <c r="C1124" s="83"/>
      <c r="D1124" s="82"/>
      <c r="E1124" s="84"/>
      <c r="F1124" s="85"/>
      <c r="G1124" s="86"/>
      <c r="H1124" s="84"/>
      <c r="I1124" s="86"/>
      <c r="J1124" s="87"/>
      <c r="K1124" s="91"/>
      <c r="L1124" s="89"/>
      <c r="M1124" s="26"/>
      <c r="N1124" s="26"/>
      <c r="O1124" s="26"/>
      <c r="P1124" s="26"/>
    </row>
    <row r="1125">
      <c r="A1125" s="90"/>
      <c r="B1125" s="82"/>
      <c r="C1125" s="83"/>
      <c r="D1125" s="82"/>
      <c r="E1125" s="84"/>
      <c r="F1125" s="85"/>
      <c r="G1125" s="86"/>
      <c r="H1125" s="84"/>
      <c r="I1125" s="86"/>
      <c r="J1125" s="87"/>
      <c r="K1125" s="91"/>
      <c r="L1125" s="89"/>
      <c r="M1125" s="26"/>
      <c r="N1125" s="26"/>
      <c r="O1125" s="26"/>
      <c r="P1125" s="26"/>
    </row>
    <row r="1126">
      <c r="A1126" s="90"/>
      <c r="B1126" s="82"/>
      <c r="C1126" s="83"/>
      <c r="D1126" s="82"/>
      <c r="E1126" s="84"/>
      <c r="F1126" s="85"/>
      <c r="G1126" s="86"/>
      <c r="H1126" s="84"/>
      <c r="I1126" s="86"/>
      <c r="J1126" s="87"/>
      <c r="K1126" s="91"/>
      <c r="L1126" s="89"/>
      <c r="M1126" s="26"/>
      <c r="N1126" s="26"/>
      <c r="O1126" s="26"/>
      <c r="P1126" s="26"/>
    </row>
    <row r="1127">
      <c r="A1127" s="90"/>
      <c r="B1127" s="82"/>
      <c r="C1127" s="83"/>
      <c r="D1127" s="82"/>
      <c r="E1127" s="84"/>
      <c r="F1127" s="85"/>
      <c r="G1127" s="86"/>
      <c r="H1127" s="84"/>
      <c r="I1127" s="86"/>
      <c r="J1127" s="87"/>
      <c r="K1127" s="91"/>
      <c r="L1127" s="89"/>
      <c r="M1127" s="26"/>
      <c r="N1127" s="26"/>
      <c r="O1127" s="26"/>
      <c r="P1127" s="26"/>
    </row>
    <row r="1128">
      <c r="A1128" s="90"/>
      <c r="B1128" s="82"/>
      <c r="C1128" s="83"/>
      <c r="D1128" s="82"/>
      <c r="E1128" s="84"/>
      <c r="F1128" s="85"/>
      <c r="G1128" s="86"/>
      <c r="H1128" s="84"/>
      <c r="I1128" s="86"/>
      <c r="J1128" s="87"/>
      <c r="K1128" s="91"/>
      <c r="L1128" s="89"/>
      <c r="M1128" s="26"/>
      <c r="N1128" s="26"/>
      <c r="O1128" s="26"/>
      <c r="P1128" s="26"/>
    </row>
    <row r="1129">
      <c r="A1129" s="90"/>
      <c r="B1129" s="82"/>
      <c r="C1129" s="83"/>
      <c r="D1129" s="82"/>
      <c r="E1129" s="84"/>
      <c r="F1129" s="85"/>
      <c r="G1129" s="86"/>
      <c r="H1129" s="84"/>
      <c r="I1129" s="86"/>
      <c r="J1129" s="87"/>
      <c r="K1129" s="91"/>
      <c r="L1129" s="89"/>
      <c r="M1129" s="26"/>
      <c r="N1129" s="26"/>
      <c r="O1129" s="26"/>
      <c r="P1129" s="26"/>
    </row>
    <row r="1130">
      <c r="A1130" s="90"/>
      <c r="B1130" s="82"/>
      <c r="C1130" s="83"/>
      <c r="D1130" s="82"/>
      <c r="E1130" s="84"/>
      <c r="F1130" s="85"/>
      <c r="G1130" s="86"/>
      <c r="H1130" s="84"/>
      <c r="I1130" s="86"/>
      <c r="J1130" s="87"/>
      <c r="K1130" s="91"/>
      <c r="L1130" s="89"/>
      <c r="M1130" s="26"/>
      <c r="N1130" s="26"/>
      <c r="O1130" s="26"/>
      <c r="P1130" s="26"/>
    </row>
    <row r="1131">
      <c r="A1131" s="90"/>
      <c r="B1131" s="82"/>
      <c r="C1131" s="83"/>
      <c r="D1131" s="82"/>
      <c r="E1131" s="84"/>
      <c r="F1131" s="85"/>
      <c r="G1131" s="86"/>
      <c r="H1131" s="84"/>
      <c r="I1131" s="86"/>
      <c r="J1131" s="87"/>
      <c r="K1131" s="91"/>
      <c r="L1131" s="89"/>
      <c r="M1131" s="26"/>
      <c r="N1131" s="26"/>
      <c r="O1131" s="26"/>
      <c r="P1131" s="26"/>
    </row>
    <row r="1132">
      <c r="A1132" s="90"/>
      <c r="B1132" s="82"/>
      <c r="C1132" s="83"/>
      <c r="D1132" s="82"/>
      <c r="E1132" s="84"/>
      <c r="F1132" s="85"/>
      <c r="G1132" s="86"/>
      <c r="H1132" s="84"/>
      <c r="I1132" s="86"/>
      <c r="J1132" s="87"/>
      <c r="K1132" s="91"/>
      <c r="L1132" s="89"/>
      <c r="M1132" s="26"/>
      <c r="N1132" s="26"/>
      <c r="O1132" s="26"/>
      <c r="P1132" s="26"/>
    </row>
    <row r="1133">
      <c r="A1133" s="90"/>
      <c r="B1133" s="82"/>
      <c r="C1133" s="83"/>
      <c r="D1133" s="82"/>
      <c r="E1133" s="84"/>
      <c r="F1133" s="85"/>
      <c r="G1133" s="86"/>
      <c r="H1133" s="84"/>
      <c r="I1133" s="86"/>
      <c r="J1133" s="87"/>
      <c r="K1133" s="91"/>
      <c r="L1133" s="89"/>
      <c r="M1133" s="26"/>
      <c r="N1133" s="26"/>
      <c r="O1133" s="26"/>
      <c r="P1133" s="26"/>
    </row>
    <row r="1134">
      <c r="A1134" s="90"/>
      <c r="B1134" s="82"/>
      <c r="C1134" s="83"/>
      <c r="D1134" s="82"/>
      <c r="E1134" s="84"/>
      <c r="F1134" s="85"/>
      <c r="G1134" s="86"/>
      <c r="H1134" s="84"/>
      <c r="I1134" s="86"/>
      <c r="J1134" s="87"/>
      <c r="K1134" s="91"/>
      <c r="L1134" s="89"/>
      <c r="M1134" s="26"/>
      <c r="N1134" s="26"/>
      <c r="O1134" s="26"/>
      <c r="P1134" s="26"/>
    </row>
    <row r="1135">
      <c r="A1135" s="90"/>
      <c r="B1135" s="82"/>
      <c r="C1135" s="83"/>
      <c r="D1135" s="82"/>
      <c r="E1135" s="84"/>
      <c r="F1135" s="85"/>
      <c r="G1135" s="86"/>
      <c r="H1135" s="84"/>
      <c r="I1135" s="86"/>
      <c r="J1135" s="87"/>
      <c r="K1135" s="91"/>
      <c r="L1135" s="89"/>
      <c r="M1135" s="26"/>
      <c r="N1135" s="26"/>
      <c r="O1135" s="26"/>
      <c r="P1135" s="26"/>
    </row>
    <row r="1136">
      <c r="A1136" s="90"/>
      <c r="B1136" s="82"/>
      <c r="C1136" s="83"/>
      <c r="D1136" s="82"/>
      <c r="E1136" s="84"/>
      <c r="F1136" s="85"/>
      <c r="G1136" s="86"/>
      <c r="H1136" s="84"/>
      <c r="I1136" s="86"/>
      <c r="J1136" s="87"/>
      <c r="K1136" s="91"/>
      <c r="L1136" s="89"/>
      <c r="M1136" s="26"/>
      <c r="N1136" s="26"/>
      <c r="O1136" s="26"/>
      <c r="P1136" s="26"/>
    </row>
    <row r="1137">
      <c r="A1137" s="90"/>
      <c r="B1137" s="82"/>
      <c r="C1137" s="83"/>
      <c r="D1137" s="82"/>
      <c r="E1137" s="84"/>
      <c r="F1137" s="85"/>
      <c r="G1137" s="86"/>
      <c r="H1137" s="84"/>
      <c r="I1137" s="86"/>
      <c r="J1137" s="87"/>
      <c r="K1137" s="91"/>
      <c r="L1137" s="89"/>
      <c r="M1137" s="26"/>
      <c r="N1137" s="26"/>
      <c r="O1137" s="26"/>
      <c r="P1137" s="26"/>
    </row>
    <row r="1138">
      <c r="A1138" s="90"/>
      <c r="B1138" s="82"/>
      <c r="C1138" s="83"/>
      <c r="D1138" s="82"/>
      <c r="E1138" s="84"/>
      <c r="F1138" s="85"/>
      <c r="G1138" s="86"/>
      <c r="H1138" s="84"/>
      <c r="I1138" s="86"/>
      <c r="J1138" s="87"/>
      <c r="K1138" s="91"/>
      <c r="L1138" s="89"/>
      <c r="M1138" s="26"/>
      <c r="N1138" s="26"/>
      <c r="O1138" s="26"/>
      <c r="P1138" s="26"/>
    </row>
    <row r="1139">
      <c r="A1139" s="90"/>
      <c r="B1139" s="82"/>
      <c r="C1139" s="83"/>
      <c r="D1139" s="82"/>
      <c r="E1139" s="84"/>
      <c r="F1139" s="85"/>
      <c r="G1139" s="86"/>
      <c r="H1139" s="84"/>
      <c r="I1139" s="86"/>
      <c r="J1139" s="87"/>
      <c r="K1139" s="91"/>
      <c r="L1139" s="89"/>
      <c r="M1139" s="26"/>
      <c r="N1139" s="26"/>
      <c r="O1139" s="26"/>
      <c r="P1139" s="26"/>
    </row>
    <row r="1140">
      <c r="A1140" s="90"/>
      <c r="B1140" s="82"/>
      <c r="C1140" s="83"/>
      <c r="D1140" s="82"/>
      <c r="E1140" s="84"/>
      <c r="F1140" s="85"/>
      <c r="G1140" s="86"/>
      <c r="H1140" s="84"/>
      <c r="I1140" s="86"/>
      <c r="J1140" s="87"/>
      <c r="K1140" s="91"/>
      <c r="L1140" s="89"/>
      <c r="M1140" s="26"/>
      <c r="N1140" s="26"/>
      <c r="O1140" s="26"/>
      <c r="P1140" s="26"/>
    </row>
    <row r="1141">
      <c r="A1141" s="90"/>
      <c r="B1141" s="82"/>
      <c r="C1141" s="83"/>
      <c r="D1141" s="82"/>
      <c r="E1141" s="84"/>
      <c r="F1141" s="85"/>
      <c r="G1141" s="86"/>
      <c r="H1141" s="84"/>
      <c r="I1141" s="86"/>
      <c r="J1141" s="87"/>
      <c r="K1141" s="91"/>
      <c r="L1141" s="89"/>
      <c r="M1141" s="26"/>
      <c r="N1141" s="26"/>
      <c r="O1141" s="26"/>
      <c r="P1141" s="26"/>
    </row>
    <row r="1142">
      <c r="A1142" s="90"/>
      <c r="B1142" s="82"/>
      <c r="C1142" s="83"/>
      <c r="D1142" s="82"/>
      <c r="E1142" s="84"/>
      <c r="F1142" s="85"/>
      <c r="G1142" s="86"/>
      <c r="H1142" s="84"/>
      <c r="I1142" s="86"/>
      <c r="J1142" s="87"/>
      <c r="K1142" s="91"/>
      <c r="L1142" s="89"/>
      <c r="M1142" s="26"/>
      <c r="N1142" s="26"/>
      <c r="O1142" s="26"/>
      <c r="P1142" s="26"/>
    </row>
    <row r="1143">
      <c r="A1143" s="90"/>
      <c r="B1143" s="82"/>
      <c r="C1143" s="83"/>
      <c r="D1143" s="82"/>
      <c r="E1143" s="84"/>
      <c r="F1143" s="85"/>
      <c r="G1143" s="86"/>
      <c r="H1143" s="84"/>
      <c r="I1143" s="86"/>
      <c r="J1143" s="87"/>
      <c r="K1143" s="91"/>
      <c r="L1143" s="89"/>
      <c r="M1143" s="26"/>
      <c r="N1143" s="26"/>
      <c r="O1143" s="26"/>
      <c r="P1143" s="26"/>
    </row>
    <row r="1144">
      <c r="A1144" s="90"/>
      <c r="B1144" s="82"/>
      <c r="C1144" s="83"/>
      <c r="D1144" s="82"/>
      <c r="E1144" s="84"/>
      <c r="F1144" s="85"/>
      <c r="G1144" s="86"/>
      <c r="H1144" s="84"/>
      <c r="I1144" s="86"/>
      <c r="J1144" s="87"/>
      <c r="K1144" s="91"/>
      <c r="L1144" s="89"/>
      <c r="M1144" s="26"/>
      <c r="N1144" s="26"/>
      <c r="O1144" s="26"/>
      <c r="P1144" s="26"/>
    </row>
    <row r="1145">
      <c r="A1145" s="90"/>
      <c r="B1145" s="82"/>
      <c r="C1145" s="83"/>
      <c r="D1145" s="82"/>
      <c r="E1145" s="84"/>
      <c r="F1145" s="85"/>
      <c r="G1145" s="86"/>
      <c r="H1145" s="84"/>
      <c r="I1145" s="86"/>
      <c r="J1145" s="87"/>
      <c r="K1145" s="91"/>
      <c r="L1145" s="89"/>
      <c r="M1145" s="26"/>
      <c r="N1145" s="26"/>
      <c r="O1145" s="26"/>
      <c r="P1145" s="26"/>
    </row>
    <row r="1146">
      <c r="A1146" s="90"/>
      <c r="B1146" s="82"/>
      <c r="C1146" s="83"/>
      <c r="D1146" s="82"/>
      <c r="E1146" s="84"/>
      <c r="F1146" s="85"/>
      <c r="G1146" s="86"/>
      <c r="H1146" s="84"/>
      <c r="I1146" s="86"/>
      <c r="J1146" s="87"/>
      <c r="K1146" s="91"/>
      <c r="L1146" s="89"/>
      <c r="M1146" s="26"/>
      <c r="N1146" s="26"/>
      <c r="O1146" s="26"/>
      <c r="P1146" s="26"/>
    </row>
    <row r="1147">
      <c r="A1147" s="90"/>
      <c r="B1147" s="82"/>
      <c r="C1147" s="83"/>
      <c r="D1147" s="82"/>
      <c r="E1147" s="84"/>
      <c r="F1147" s="85"/>
      <c r="G1147" s="86"/>
      <c r="H1147" s="84"/>
      <c r="I1147" s="86"/>
      <c r="J1147" s="87"/>
      <c r="K1147" s="91"/>
      <c r="L1147" s="89"/>
      <c r="M1147" s="26"/>
      <c r="N1147" s="26"/>
      <c r="O1147" s="26"/>
      <c r="P1147" s="26"/>
    </row>
    <row r="1148">
      <c r="A1148" s="90"/>
      <c r="B1148" s="82"/>
      <c r="C1148" s="83"/>
      <c r="D1148" s="82"/>
      <c r="E1148" s="84"/>
      <c r="F1148" s="85"/>
      <c r="G1148" s="86"/>
      <c r="H1148" s="84"/>
      <c r="I1148" s="86"/>
      <c r="J1148" s="87"/>
      <c r="K1148" s="91"/>
      <c r="L1148" s="89"/>
      <c r="M1148" s="26"/>
      <c r="N1148" s="26"/>
      <c r="O1148" s="26"/>
      <c r="P1148" s="26"/>
    </row>
    <row r="1149">
      <c r="A1149" s="90"/>
      <c r="B1149" s="82"/>
      <c r="C1149" s="83"/>
      <c r="D1149" s="82"/>
      <c r="E1149" s="84"/>
      <c r="F1149" s="85"/>
      <c r="G1149" s="86"/>
      <c r="H1149" s="84"/>
      <c r="I1149" s="86"/>
      <c r="J1149" s="87"/>
      <c r="K1149" s="91"/>
      <c r="L1149" s="89"/>
      <c r="M1149" s="26"/>
      <c r="N1149" s="26"/>
      <c r="O1149" s="26"/>
      <c r="P1149" s="26"/>
    </row>
    <row r="1150">
      <c r="A1150" s="90"/>
      <c r="B1150" s="82"/>
      <c r="C1150" s="83"/>
      <c r="D1150" s="82"/>
      <c r="E1150" s="84"/>
      <c r="F1150" s="85"/>
      <c r="G1150" s="86"/>
      <c r="H1150" s="84"/>
      <c r="I1150" s="86"/>
      <c r="J1150" s="87"/>
      <c r="K1150" s="91"/>
      <c r="L1150" s="89"/>
      <c r="M1150" s="26"/>
      <c r="N1150" s="26"/>
      <c r="O1150" s="26"/>
      <c r="P1150" s="26"/>
    </row>
    <row r="1151">
      <c r="A1151" s="90"/>
      <c r="B1151" s="82"/>
      <c r="C1151" s="83"/>
      <c r="D1151" s="82"/>
      <c r="E1151" s="84"/>
      <c r="F1151" s="85"/>
      <c r="G1151" s="86"/>
      <c r="H1151" s="84"/>
      <c r="I1151" s="86"/>
      <c r="J1151" s="87"/>
      <c r="K1151" s="91"/>
      <c r="L1151" s="89"/>
      <c r="M1151" s="26"/>
      <c r="N1151" s="26"/>
      <c r="O1151" s="26"/>
      <c r="P1151" s="26"/>
    </row>
    <row r="1152">
      <c r="A1152" s="90"/>
      <c r="B1152" s="82"/>
      <c r="C1152" s="83"/>
      <c r="D1152" s="82"/>
      <c r="E1152" s="84"/>
      <c r="F1152" s="85"/>
      <c r="G1152" s="86"/>
      <c r="H1152" s="84"/>
      <c r="I1152" s="86"/>
      <c r="J1152" s="87"/>
      <c r="K1152" s="91"/>
      <c r="L1152" s="89"/>
      <c r="M1152" s="26"/>
      <c r="N1152" s="26"/>
      <c r="O1152" s="26"/>
      <c r="P1152" s="26"/>
    </row>
    <row r="1153">
      <c r="A1153" s="90"/>
      <c r="B1153" s="82"/>
      <c r="C1153" s="83"/>
      <c r="D1153" s="82"/>
      <c r="E1153" s="84"/>
      <c r="F1153" s="85"/>
      <c r="G1153" s="86"/>
      <c r="H1153" s="84"/>
      <c r="I1153" s="86"/>
      <c r="J1153" s="87"/>
      <c r="K1153" s="91"/>
      <c r="L1153" s="89"/>
      <c r="M1153" s="26"/>
      <c r="N1153" s="26"/>
      <c r="O1153" s="26"/>
      <c r="P1153" s="26"/>
    </row>
    <row r="1154">
      <c r="A1154" s="90"/>
      <c r="B1154" s="82"/>
      <c r="C1154" s="83"/>
      <c r="D1154" s="82"/>
      <c r="E1154" s="84"/>
      <c r="F1154" s="85"/>
      <c r="G1154" s="86"/>
      <c r="H1154" s="84"/>
      <c r="I1154" s="86"/>
      <c r="J1154" s="87"/>
      <c r="K1154" s="91"/>
      <c r="L1154" s="89"/>
      <c r="M1154" s="26"/>
      <c r="N1154" s="26"/>
      <c r="O1154" s="26"/>
      <c r="P1154" s="26"/>
    </row>
    <row r="1155">
      <c r="A1155" s="90"/>
      <c r="B1155" s="82"/>
      <c r="C1155" s="83"/>
      <c r="D1155" s="82"/>
      <c r="E1155" s="84"/>
      <c r="F1155" s="85"/>
      <c r="G1155" s="86"/>
      <c r="H1155" s="84"/>
      <c r="I1155" s="86"/>
      <c r="J1155" s="87"/>
      <c r="K1155" s="91"/>
      <c r="L1155" s="89"/>
      <c r="M1155" s="26"/>
      <c r="N1155" s="26"/>
      <c r="O1155" s="26"/>
      <c r="P1155" s="26"/>
    </row>
    <row r="1156">
      <c r="A1156" s="90"/>
      <c r="B1156" s="82"/>
      <c r="C1156" s="83"/>
      <c r="D1156" s="82"/>
      <c r="E1156" s="84"/>
      <c r="F1156" s="85"/>
      <c r="G1156" s="86"/>
      <c r="H1156" s="84"/>
      <c r="I1156" s="86"/>
      <c r="J1156" s="87"/>
      <c r="K1156" s="91"/>
      <c r="L1156" s="89"/>
      <c r="M1156" s="26"/>
      <c r="N1156" s="26"/>
      <c r="O1156" s="26"/>
      <c r="P1156" s="26"/>
    </row>
    <row r="1157">
      <c r="A1157" s="90"/>
      <c r="B1157" s="82"/>
      <c r="C1157" s="83"/>
      <c r="D1157" s="82"/>
      <c r="E1157" s="84"/>
      <c r="F1157" s="85"/>
      <c r="G1157" s="86"/>
      <c r="H1157" s="84"/>
      <c r="I1157" s="86"/>
      <c r="J1157" s="87"/>
      <c r="K1157" s="91"/>
      <c r="L1157" s="89"/>
      <c r="M1157" s="26"/>
      <c r="N1157" s="26"/>
      <c r="O1157" s="26"/>
      <c r="P1157" s="26"/>
    </row>
    <row r="1158">
      <c r="A1158" s="90"/>
      <c r="B1158" s="82"/>
      <c r="C1158" s="83"/>
      <c r="D1158" s="82"/>
      <c r="E1158" s="84"/>
      <c r="F1158" s="85"/>
      <c r="G1158" s="86"/>
      <c r="H1158" s="84"/>
      <c r="I1158" s="86"/>
      <c r="J1158" s="87"/>
      <c r="K1158" s="91"/>
      <c r="L1158" s="89"/>
      <c r="M1158" s="26"/>
      <c r="N1158" s="26"/>
      <c r="O1158" s="26"/>
      <c r="P1158" s="26"/>
    </row>
    <row r="1159">
      <c r="A1159" s="90"/>
      <c r="B1159" s="82"/>
      <c r="C1159" s="83"/>
      <c r="D1159" s="82"/>
      <c r="E1159" s="84"/>
      <c r="F1159" s="85"/>
      <c r="G1159" s="86"/>
      <c r="H1159" s="84"/>
      <c r="I1159" s="86"/>
      <c r="J1159" s="87"/>
      <c r="K1159" s="91"/>
      <c r="L1159" s="89"/>
      <c r="M1159" s="26"/>
      <c r="N1159" s="26"/>
      <c r="O1159" s="26"/>
      <c r="P1159" s="26"/>
    </row>
    <row r="1160">
      <c r="A1160" s="90"/>
      <c r="B1160" s="82"/>
      <c r="C1160" s="83"/>
      <c r="D1160" s="82"/>
      <c r="E1160" s="84"/>
      <c r="F1160" s="85"/>
      <c r="G1160" s="86"/>
      <c r="H1160" s="84"/>
      <c r="I1160" s="86"/>
      <c r="J1160" s="87"/>
      <c r="K1160" s="91"/>
      <c r="L1160" s="89"/>
      <c r="M1160" s="26"/>
      <c r="N1160" s="26"/>
      <c r="O1160" s="26"/>
      <c r="P1160" s="26"/>
    </row>
    <row r="1161">
      <c r="A1161" s="90"/>
      <c r="B1161" s="82"/>
      <c r="C1161" s="83"/>
      <c r="D1161" s="82"/>
      <c r="E1161" s="84"/>
      <c r="F1161" s="85"/>
      <c r="G1161" s="86"/>
      <c r="H1161" s="84"/>
      <c r="I1161" s="86"/>
      <c r="J1161" s="87"/>
      <c r="K1161" s="91"/>
      <c r="L1161" s="89"/>
      <c r="M1161" s="26"/>
      <c r="N1161" s="26"/>
      <c r="O1161" s="26"/>
      <c r="P1161" s="26"/>
    </row>
    <row r="1162">
      <c r="A1162" s="90"/>
      <c r="B1162" s="82"/>
      <c r="C1162" s="83"/>
      <c r="D1162" s="82"/>
      <c r="E1162" s="84"/>
      <c r="F1162" s="85"/>
      <c r="G1162" s="86"/>
      <c r="H1162" s="84"/>
      <c r="I1162" s="86"/>
      <c r="J1162" s="87"/>
      <c r="K1162" s="91"/>
      <c r="L1162" s="89"/>
      <c r="M1162" s="26"/>
      <c r="N1162" s="26"/>
      <c r="O1162" s="26"/>
      <c r="P1162" s="26"/>
    </row>
    <row r="1163">
      <c r="A1163" s="90"/>
      <c r="B1163" s="82"/>
      <c r="C1163" s="83"/>
      <c r="D1163" s="82"/>
      <c r="E1163" s="84"/>
      <c r="F1163" s="85"/>
      <c r="G1163" s="86"/>
      <c r="H1163" s="84"/>
      <c r="I1163" s="86"/>
      <c r="J1163" s="87"/>
      <c r="K1163" s="91"/>
      <c r="L1163" s="89"/>
      <c r="M1163" s="26"/>
      <c r="N1163" s="26"/>
      <c r="O1163" s="26"/>
      <c r="P1163" s="26"/>
    </row>
    <row r="1164">
      <c r="A1164" s="90"/>
      <c r="B1164" s="82"/>
      <c r="C1164" s="83"/>
      <c r="D1164" s="82"/>
      <c r="E1164" s="84"/>
      <c r="F1164" s="85"/>
      <c r="G1164" s="86"/>
      <c r="H1164" s="84"/>
      <c r="I1164" s="86"/>
      <c r="J1164" s="87"/>
      <c r="K1164" s="91"/>
      <c r="L1164" s="89"/>
      <c r="M1164" s="26"/>
      <c r="N1164" s="26"/>
      <c r="O1164" s="26"/>
      <c r="P1164" s="26"/>
    </row>
    <row r="1165">
      <c r="A1165" s="90"/>
      <c r="B1165" s="82"/>
      <c r="C1165" s="83"/>
      <c r="D1165" s="82"/>
      <c r="E1165" s="84"/>
      <c r="F1165" s="85"/>
      <c r="G1165" s="86"/>
      <c r="H1165" s="84"/>
      <c r="I1165" s="86"/>
      <c r="J1165" s="87"/>
      <c r="K1165" s="91"/>
      <c r="L1165" s="89"/>
      <c r="M1165" s="26"/>
      <c r="N1165" s="26"/>
      <c r="O1165" s="26"/>
      <c r="P1165" s="26"/>
    </row>
    <row r="1166">
      <c r="A1166" s="90"/>
      <c r="B1166" s="82"/>
      <c r="C1166" s="83"/>
      <c r="D1166" s="82"/>
      <c r="E1166" s="84"/>
      <c r="F1166" s="85"/>
      <c r="G1166" s="86"/>
      <c r="H1166" s="84"/>
      <c r="I1166" s="86"/>
      <c r="J1166" s="87"/>
      <c r="K1166" s="91"/>
      <c r="L1166" s="89"/>
      <c r="M1166" s="26"/>
      <c r="N1166" s="26"/>
      <c r="O1166" s="26"/>
      <c r="P1166" s="26"/>
    </row>
    <row r="1167">
      <c r="A1167" s="90"/>
      <c r="B1167" s="82"/>
      <c r="C1167" s="83"/>
      <c r="D1167" s="82"/>
      <c r="E1167" s="84"/>
      <c r="F1167" s="85"/>
      <c r="G1167" s="86"/>
      <c r="H1167" s="84"/>
      <c r="I1167" s="86"/>
      <c r="J1167" s="87"/>
      <c r="K1167" s="91"/>
      <c r="L1167" s="89"/>
      <c r="M1167" s="26"/>
      <c r="N1167" s="26"/>
      <c r="O1167" s="26"/>
      <c r="P1167" s="26"/>
    </row>
    <row r="1168">
      <c r="A1168" s="90"/>
      <c r="B1168" s="82"/>
      <c r="C1168" s="83"/>
      <c r="D1168" s="82"/>
      <c r="E1168" s="84"/>
      <c r="F1168" s="85"/>
      <c r="G1168" s="86"/>
      <c r="H1168" s="84"/>
      <c r="I1168" s="86"/>
      <c r="J1168" s="87"/>
      <c r="K1168" s="91"/>
      <c r="L1168" s="89"/>
      <c r="M1168" s="26"/>
      <c r="N1168" s="26"/>
      <c r="O1168" s="26"/>
      <c r="P1168" s="26"/>
    </row>
    <row r="1169">
      <c r="A1169" s="90"/>
      <c r="B1169" s="82"/>
      <c r="C1169" s="83"/>
      <c r="D1169" s="82"/>
      <c r="E1169" s="84"/>
      <c r="F1169" s="85"/>
      <c r="G1169" s="86"/>
      <c r="H1169" s="84"/>
      <c r="I1169" s="86"/>
      <c r="J1169" s="87"/>
      <c r="K1169" s="91"/>
      <c r="L1169" s="89"/>
      <c r="M1169" s="26"/>
      <c r="N1169" s="26"/>
      <c r="O1169" s="26"/>
      <c r="P1169" s="26"/>
    </row>
    <row r="1170">
      <c r="A1170" s="90"/>
      <c r="B1170" s="82"/>
      <c r="C1170" s="83"/>
      <c r="D1170" s="82"/>
      <c r="E1170" s="84"/>
      <c r="F1170" s="85"/>
      <c r="G1170" s="86"/>
      <c r="H1170" s="84"/>
      <c r="I1170" s="86"/>
      <c r="J1170" s="87"/>
      <c r="K1170" s="91"/>
      <c r="L1170" s="89"/>
      <c r="M1170" s="26"/>
      <c r="N1170" s="26"/>
      <c r="O1170" s="26"/>
      <c r="P1170" s="26"/>
    </row>
    <row r="1171">
      <c r="A1171" s="90"/>
      <c r="B1171" s="82"/>
      <c r="C1171" s="83"/>
      <c r="D1171" s="82"/>
      <c r="E1171" s="84"/>
      <c r="F1171" s="85"/>
      <c r="G1171" s="86"/>
      <c r="H1171" s="84"/>
      <c r="I1171" s="86"/>
      <c r="J1171" s="87"/>
      <c r="K1171" s="91"/>
      <c r="L1171" s="89"/>
      <c r="M1171" s="26"/>
      <c r="N1171" s="26"/>
      <c r="O1171" s="26"/>
      <c r="P1171" s="26"/>
    </row>
    <row r="1172">
      <c r="A1172" s="90"/>
      <c r="B1172" s="82"/>
      <c r="C1172" s="83"/>
      <c r="D1172" s="82"/>
      <c r="E1172" s="84"/>
      <c r="F1172" s="85"/>
      <c r="G1172" s="86"/>
      <c r="H1172" s="84"/>
      <c r="I1172" s="86"/>
      <c r="J1172" s="87"/>
      <c r="K1172" s="91"/>
      <c r="L1172" s="89"/>
      <c r="M1172" s="26"/>
      <c r="N1172" s="26"/>
      <c r="O1172" s="26"/>
      <c r="P1172" s="26"/>
    </row>
    <row r="1173">
      <c r="A1173" s="90"/>
      <c r="B1173" s="82"/>
      <c r="C1173" s="83"/>
      <c r="D1173" s="82"/>
      <c r="E1173" s="84"/>
      <c r="F1173" s="85"/>
      <c r="G1173" s="86"/>
      <c r="H1173" s="84"/>
      <c r="I1173" s="86"/>
      <c r="J1173" s="87"/>
      <c r="K1173" s="91"/>
      <c r="L1173" s="89"/>
      <c r="M1173" s="26"/>
      <c r="N1173" s="26"/>
      <c r="O1173" s="26"/>
      <c r="P1173" s="26"/>
    </row>
    <row r="1174">
      <c r="A1174" s="90"/>
      <c r="B1174" s="82"/>
      <c r="C1174" s="83"/>
      <c r="D1174" s="82"/>
      <c r="E1174" s="84"/>
      <c r="F1174" s="85"/>
      <c r="G1174" s="86"/>
      <c r="H1174" s="84"/>
      <c r="I1174" s="86"/>
      <c r="J1174" s="87"/>
      <c r="K1174" s="91"/>
      <c r="L1174" s="89"/>
      <c r="M1174" s="26"/>
      <c r="N1174" s="26"/>
      <c r="O1174" s="26"/>
      <c r="P1174" s="26"/>
    </row>
    <row r="1175">
      <c r="A1175" s="90"/>
      <c r="B1175" s="82"/>
      <c r="C1175" s="83"/>
      <c r="D1175" s="82"/>
      <c r="E1175" s="84"/>
      <c r="F1175" s="85"/>
      <c r="G1175" s="86"/>
      <c r="H1175" s="84"/>
      <c r="I1175" s="86"/>
      <c r="J1175" s="87"/>
      <c r="K1175" s="91"/>
      <c r="L1175" s="89"/>
      <c r="M1175" s="26"/>
      <c r="N1175" s="26"/>
      <c r="O1175" s="26"/>
      <c r="P1175" s="26"/>
    </row>
    <row r="1176">
      <c r="A1176" s="90"/>
      <c r="B1176" s="82"/>
      <c r="C1176" s="83"/>
      <c r="D1176" s="82"/>
      <c r="E1176" s="84"/>
      <c r="F1176" s="85"/>
      <c r="G1176" s="86"/>
      <c r="H1176" s="84"/>
      <c r="I1176" s="86"/>
      <c r="J1176" s="87"/>
      <c r="K1176" s="91"/>
      <c r="L1176" s="89"/>
      <c r="M1176" s="26"/>
      <c r="N1176" s="26"/>
      <c r="O1176" s="26"/>
      <c r="P1176" s="26"/>
    </row>
    <row r="1177">
      <c r="A1177" s="90"/>
      <c r="B1177" s="82"/>
      <c r="C1177" s="83"/>
      <c r="D1177" s="82"/>
      <c r="E1177" s="84"/>
      <c r="F1177" s="85"/>
      <c r="G1177" s="86"/>
      <c r="H1177" s="84"/>
      <c r="I1177" s="86"/>
      <c r="J1177" s="87"/>
      <c r="K1177" s="91"/>
      <c r="L1177" s="89"/>
      <c r="M1177" s="26"/>
      <c r="N1177" s="26"/>
      <c r="O1177" s="26"/>
      <c r="P1177" s="26"/>
    </row>
    <row r="1178">
      <c r="A1178" s="90"/>
      <c r="B1178" s="82"/>
      <c r="C1178" s="83"/>
      <c r="D1178" s="82"/>
      <c r="E1178" s="84"/>
      <c r="F1178" s="85"/>
      <c r="G1178" s="86"/>
      <c r="H1178" s="84"/>
      <c r="I1178" s="86"/>
      <c r="J1178" s="87"/>
      <c r="K1178" s="91"/>
      <c r="L1178" s="89"/>
      <c r="M1178" s="26"/>
      <c r="N1178" s="26"/>
      <c r="O1178" s="26"/>
      <c r="P1178" s="26"/>
    </row>
    <row r="1179">
      <c r="A1179" s="90"/>
      <c r="B1179" s="82"/>
      <c r="C1179" s="83"/>
      <c r="D1179" s="82"/>
      <c r="E1179" s="84"/>
      <c r="F1179" s="85"/>
      <c r="G1179" s="86"/>
      <c r="H1179" s="84"/>
      <c r="I1179" s="86"/>
      <c r="J1179" s="87"/>
      <c r="K1179" s="91"/>
      <c r="L1179" s="89"/>
      <c r="M1179" s="26"/>
      <c r="N1179" s="26"/>
      <c r="O1179" s="26"/>
      <c r="P1179" s="26"/>
    </row>
    <row r="1180">
      <c r="A1180" s="90"/>
      <c r="B1180" s="82"/>
      <c r="C1180" s="83"/>
      <c r="D1180" s="82"/>
      <c r="E1180" s="84"/>
      <c r="F1180" s="85"/>
      <c r="G1180" s="86"/>
      <c r="H1180" s="84"/>
      <c r="I1180" s="86"/>
      <c r="J1180" s="87"/>
      <c r="K1180" s="91"/>
      <c r="L1180" s="89"/>
      <c r="M1180" s="26"/>
      <c r="N1180" s="26"/>
      <c r="O1180" s="26"/>
      <c r="P1180" s="26"/>
    </row>
    <row r="1181">
      <c r="A1181" s="90"/>
      <c r="B1181" s="82"/>
      <c r="C1181" s="83"/>
      <c r="D1181" s="82"/>
      <c r="E1181" s="84"/>
      <c r="F1181" s="85"/>
      <c r="G1181" s="86"/>
      <c r="H1181" s="84"/>
      <c r="I1181" s="86"/>
      <c r="J1181" s="87"/>
      <c r="K1181" s="91"/>
      <c r="L1181" s="89"/>
      <c r="M1181" s="26"/>
      <c r="N1181" s="26"/>
      <c r="O1181" s="26"/>
      <c r="P1181" s="26"/>
    </row>
    <row r="1182">
      <c r="A1182" s="90"/>
      <c r="B1182" s="82"/>
      <c r="C1182" s="83"/>
      <c r="D1182" s="82"/>
      <c r="E1182" s="84"/>
      <c r="F1182" s="85"/>
      <c r="G1182" s="86"/>
      <c r="H1182" s="84"/>
      <c r="I1182" s="86"/>
      <c r="J1182" s="87"/>
      <c r="K1182" s="91"/>
      <c r="L1182" s="89"/>
      <c r="M1182" s="26"/>
      <c r="N1182" s="26"/>
      <c r="O1182" s="26"/>
      <c r="P1182" s="26"/>
    </row>
    <row r="1183">
      <c r="A1183" s="90"/>
      <c r="B1183" s="82"/>
      <c r="C1183" s="83"/>
      <c r="D1183" s="82"/>
      <c r="E1183" s="84"/>
      <c r="F1183" s="85"/>
      <c r="G1183" s="86"/>
      <c r="H1183" s="84"/>
      <c r="I1183" s="86"/>
      <c r="J1183" s="87"/>
      <c r="K1183" s="91"/>
      <c r="L1183" s="89"/>
      <c r="M1183" s="26"/>
      <c r="N1183" s="26"/>
      <c r="O1183" s="26"/>
      <c r="P1183" s="26"/>
    </row>
    <row r="1184">
      <c r="A1184" s="90"/>
      <c r="B1184" s="82"/>
      <c r="C1184" s="83"/>
      <c r="D1184" s="82"/>
      <c r="E1184" s="84"/>
      <c r="F1184" s="85"/>
      <c r="G1184" s="86"/>
      <c r="H1184" s="84"/>
      <c r="I1184" s="86"/>
      <c r="J1184" s="87"/>
      <c r="K1184" s="91"/>
      <c r="L1184" s="89"/>
      <c r="M1184" s="26"/>
      <c r="N1184" s="26"/>
      <c r="O1184" s="26"/>
      <c r="P1184" s="26"/>
    </row>
    <row r="1185">
      <c r="A1185" s="90"/>
      <c r="B1185" s="82"/>
      <c r="C1185" s="83"/>
      <c r="D1185" s="82"/>
      <c r="E1185" s="84"/>
      <c r="F1185" s="85"/>
      <c r="G1185" s="86"/>
      <c r="H1185" s="84"/>
      <c r="I1185" s="86"/>
      <c r="J1185" s="87"/>
      <c r="K1185" s="91"/>
      <c r="L1185" s="89"/>
      <c r="M1185" s="26"/>
      <c r="N1185" s="26"/>
      <c r="O1185" s="26"/>
      <c r="P1185" s="26"/>
    </row>
    <row r="1186">
      <c r="A1186" s="90"/>
      <c r="B1186" s="82"/>
      <c r="C1186" s="83"/>
      <c r="D1186" s="82"/>
      <c r="E1186" s="84"/>
      <c r="F1186" s="85"/>
      <c r="G1186" s="86"/>
      <c r="H1186" s="84"/>
      <c r="I1186" s="86"/>
      <c r="J1186" s="87"/>
      <c r="K1186" s="91"/>
      <c r="L1186" s="89"/>
      <c r="M1186" s="26"/>
      <c r="N1186" s="26"/>
      <c r="O1186" s="26"/>
      <c r="P1186" s="26"/>
    </row>
    <row r="1187">
      <c r="A1187" s="90"/>
      <c r="B1187" s="82"/>
      <c r="C1187" s="83"/>
      <c r="D1187" s="82"/>
      <c r="E1187" s="84"/>
      <c r="F1187" s="85"/>
      <c r="G1187" s="86"/>
      <c r="H1187" s="84"/>
      <c r="I1187" s="86"/>
      <c r="J1187" s="87"/>
      <c r="K1187" s="91"/>
      <c r="L1187" s="89"/>
      <c r="M1187" s="26"/>
      <c r="N1187" s="26"/>
      <c r="O1187" s="26"/>
      <c r="P1187" s="26"/>
    </row>
    <row r="1188">
      <c r="A1188" s="90"/>
      <c r="B1188" s="82"/>
      <c r="C1188" s="83"/>
      <c r="D1188" s="82"/>
      <c r="E1188" s="84"/>
      <c r="F1188" s="85"/>
      <c r="G1188" s="86"/>
      <c r="H1188" s="84"/>
      <c r="I1188" s="86"/>
      <c r="J1188" s="87"/>
      <c r="K1188" s="91"/>
      <c r="L1188" s="89"/>
      <c r="M1188" s="26"/>
      <c r="N1188" s="26"/>
      <c r="O1188" s="26"/>
      <c r="P1188" s="26"/>
    </row>
    <row r="1189">
      <c r="A1189" s="90"/>
      <c r="B1189" s="82"/>
      <c r="C1189" s="83"/>
      <c r="D1189" s="82"/>
      <c r="E1189" s="84"/>
      <c r="F1189" s="85"/>
      <c r="G1189" s="86"/>
      <c r="H1189" s="84"/>
      <c r="I1189" s="86"/>
      <c r="J1189" s="87"/>
      <c r="K1189" s="91"/>
      <c r="L1189" s="89"/>
      <c r="M1189" s="26"/>
      <c r="N1189" s="26"/>
      <c r="O1189" s="26"/>
      <c r="P1189" s="26"/>
    </row>
    <row r="1190">
      <c r="A1190" s="90"/>
      <c r="B1190" s="82"/>
      <c r="C1190" s="83"/>
      <c r="D1190" s="82"/>
      <c r="E1190" s="84"/>
      <c r="F1190" s="85"/>
      <c r="G1190" s="86"/>
      <c r="H1190" s="84"/>
      <c r="I1190" s="86"/>
      <c r="J1190" s="87"/>
      <c r="K1190" s="91"/>
      <c r="L1190" s="89"/>
      <c r="M1190" s="26"/>
      <c r="N1190" s="26"/>
      <c r="O1190" s="26"/>
      <c r="P1190" s="26"/>
    </row>
    <row r="1191">
      <c r="A1191" s="90"/>
      <c r="B1191" s="82"/>
      <c r="C1191" s="83"/>
      <c r="D1191" s="82"/>
      <c r="E1191" s="84"/>
      <c r="F1191" s="85"/>
      <c r="G1191" s="86"/>
      <c r="H1191" s="84"/>
      <c r="I1191" s="86"/>
      <c r="J1191" s="87"/>
      <c r="K1191" s="91"/>
      <c r="L1191" s="89"/>
      <c r="M1191" s="26"/>
      <c r="N1191" s="26"/>
      <c r="O1191" s="26"/>
      <c r="P1191" s="26"/>
    </row>
    <row r="1192">
      <c r="A1192" s="90"/>
      <c r="B1192" s="82"/>
      <c r="C1192" s="83"/>
      <c r="D1192" s="82"/>
      <c r="E1192" s="84"/>
      <c r="F1192" s="85"/>
      <c r="G1192" s="86"/>
      <c r="H1192" s="84"/>
      <c r="I1192" s="86"/>
      <c r="J1192" s="87"/>
      <c r="K1192" s="91"/>
      <c r="L1192" s="89"/>
      <c r="M1192" s="26"/>
      <c r="N1192" s="26"/>
      <c r="O1192" s="26"/>
      <c r="P1192" s="26"/>
    </row>
    <row r="1193">
      <c r="A1193" s="90"/>
      <c r="B1193" s="82"/>
      <c r="C1193" s="83"/>
      <c r="D1193" s="82"/>
      <c r="E1193" s="84"/>
      <c r="F1193" s="85"/>
      <c r="G1193" s="86"/>
      <c r="H1193" s="84"/>
      <c r="I1193" s="86"/>
      <c r="J1193" s="87"/>
      <c r="K1193" s="91"/>
      <c r="L1193" s="89"/>
      <c r="M1193" s="26"/>
      <c r="N1193" s="26"/>
      <c r="O1193" s="26"/>
      <c r="P1193" s="26"/>
    </row>
    <row r="1194">
      <c r="A1194" s="90"/>
      <c r="B1194" s="82"/>
      <c r="C1194" s="83"/>
      <c r="D1194" s="82"/>
      <c r="E1194" s="84"/>
      <c r="F1194" s="85"/>
      <c r="G1194" s="86"/>
      <c r="H1194" s="84"/>
      <c r="I1194" s="86"/>
      <c r="J1194" s="87"/>
      <c r="K1194" s="91"/>
      <c r="L1194" s="89"/>
      <c r="M1194" s="26"/>
      <c r="N1194" s="26"/>
      <c r="O1194" s="26"/>
      <c r="P1194" s="26"/>
    </row>
    <row r="1195">
      <c r="A1195" s="90"/>
      <c r="B1195" s="82"/>
      <c r="C1195" s="83"/>
      <c r="D1195" s="82"/>
      <c r="E1195" s="84"/>
      <c r="F1195" s="85"/>
      <c r="G1195" s="86"/>
      <c r="H1195" s="84"/>
      <c r="I1195" s="86"/>
      <c r="J1195" s="87"/>
      <c r="K1195" s="91"/>
      <c r="L1195" s="89"/>
      <c r="M1195" s="26"/>
      <c r="N1195" s="26"/>
      <c r="O1195" s="26"/>
      <c r="P1195" s="26"/>
    </row>
    <row r="1196">
      <c r="A1196" s="90"/>
      <c r="B1196" s="82"/>
      <c r="C1196" s="83"/>
      <c r="D1196" s="82"/>
      <c r="E1196" s="84"/>
      <c r="F1196" s="85"/>
      <c r="G1196" s="86"/>
      <c r="H1196" s="84"/>
      <c r="I1196" s="86"/>
      <c r="J1196" s="87"/>
      <c r="K1196" s="91"/>
      <c r="L1196" s="89"/>
      <c r="M1196" s="26"/>
      <c r="N1196" s="26"/>
      <c r="O1196" s="26"/>
      <c r="P1196" s="26"/>
    </row>
    <row r="1197">
      <c r="A1197" s="90"/>
      <c r="B1197" s="82"/>
      <c r="C1197" s="83"/>
      <c r="D1197" s="82"/>
      <c r="E1197" s="84"/>
      <c r="F1197" s="85"/>
      <c r="G1197" s="86"/>
      <c r="H1197" s="84"/>
      <c r="I1197" s="86"/>
      <c r="J1197" s="87"/>
      <c r="K1197" s="91"/>
      <c r="L1197" s="89"/>
      <c r="M1197" s="26"/>
      <c r="N1197" s="26"/>
      <c r="O1197" s="26"/>
      <c r="P1197" s="26"/>
    </row>
    <row r="1198">
      <c r="A1198" s="90"/>
      <c r="B1198" s="82"/>
      <c r="C1198" s="83"/>
      <c r="D1198" s="82"/>
      <c r="E1198" s="84"/>
      <c r="F1198" s="85"/>
      <c r="G1198" s="86"/>
      <c r="H1198" s="84"/>
      <c r="I1198" s="86"/>
      <c r="J1198" s="87"/>
      <c r="K1198" s="91"/>
      <c r="L1198" s="89"/>
      <c r="M1198" s="26"/>
      <c r="N1198" s="26"/>
      <c r="O1198" s="26"/>
      <c r="P1198" s="26"/>
    </row>
    <row r="1199">
      <c r="A1199" s="90"/>
      <c r="B1199" s="82"/>
      <c r="C1199" s="83"/>
      <c r="D1199" s="82"/>
      <c r="E1199" s="84"/>
      <c r="F1199" s="85"/>
      <c r="G1199" s="86"/>
      <c r="H1199" s="84"/>
      <c r="I1199" s="86"/>
      <c r="J1199" s="87"/>
      <c r="K1199" s="91"/>
      <c r="L1199" s="89"/>
      <c r="M1199" s="26"/>
      <c r="N1199" s="26"/>
      <c r="O1199" s="26"/>
      <c r="P1199" s="26"/>
    </row>
    <row r="1200">
      <c r="A1200" s="90"/>
      <c r="B1200" s="82"/>
      <c r="C1200" s="83"/>
      <c r="D1200" s="82"/>
      <c r="E1200" s="84"/>
      <c r="F1200" s="85"/>
      <c r="G1200" s="86"/>
      <c r="H1200" s="84"/>
      <c r="I1200" s="86"/>
      <c r="J1200" s="87"/>
      <c r="K1200" s="91"/>
      <c r="L1200" s="89"/>
      <c r="M1200" s="26"/>
      <c r="N1200" s="26"/>
      <c r="O1200" s="26"/>
      <c r="P1200" s="26"/>
    </row>
    <row r="1201">
      <c r="A1201" s="90"/>
      <c r="B1201" s="82"/>
      <c r="C1201" s="83"/>
      <c r="D1201" s="82"/>
      <c r="E1201" s="84"/>
      <c r="F1201" s="85"/>
      <c r="G1201" s="86"/>
      <c r="H1201" s="84"/>
      <c r="I1201" s="86"/>
      <c r="J1201" s="87"/>
      <c r="K1201" s="91"/>
      <c r="L1201" s="89"/>
      <c r="M1201" s="26"/>
      <c r="N1201" s="26"/>
      <c r="O1201" s="26"/>
      <c r="P1201" s="26"/>
    </row>
    <row r="1202">
      <c r="A1202" s="90"/>
      <c r="B1202" s="82"/>
      <c r="C1202" s="83"/>
      <c r="D1202" s="82"/>
      <c r="E1202" s="84"/>
      <c r="F1202" s="85"/>
      <c r="G1202" s="86"/>
      <c r="H1202" s="84"/>
      <c r="I1202" s="86"/>
      <c r="J1202" s="87"/>
      <c r="K1202" s="91"/>
      <c r="L1202" s="89"/>
      <c r="M1202" s="26"/>
      <c r="N1202" s="26"/>
      <c r="O1202" s="26"/>
      <c r="P1202" s="26"/>
    </row>
    <row r="1203">
      <c r="A1203" s="90"/>
      <c r="B1203" s="82"/>
      <c r="C1203" s="83"/>
      <c r="D1203" s="82"/>
      <c r="E1203" s="84"/>
      <c r="F1203" s="85"/>
      <c r="G1203" s="86"/>
      <c r="H1203" s="84"/>
      <c r="I1203" s="86"/>
      <c r="J1203" s="87"/>
      <c r="K1203" s="91"/>
      <c r="L1203" s="89"/>
      <c r="M1203" s="26"/>
      <c r="N1203" s="26"/>
      <c r="O1203" s="26"/>
      <c r="P1203" s="26"/>
    </row>
    <row r="1204">
      <c r="A1204" s="90"/>
      <c r="B1204" s="82"/>
      <c r="C1204" s="83"/>
      <c r="D1204" s="82"/>
      <c r="E1204" s="84"/>
      <c r="F1204" s="85"/>
      <c r="G1204" s="86"/>
      <c r="H1204" s="84"/>
      <c r="I1204" s="86"/>
      <c r="J1204" s="87"/>
      <c r="K1204" s="91"/>
      <c r="L1204" s="89"/>
      <c r="M1204" s="26"/>
      <c r="N1204" s="26"/>
      <c r="O1204" s="26"/>
      <c r="P1204" s="26"/>
    </row>
    <row r="1205">
      <c r="A1205" s="90"/>
      <c r="B1205" s="82"/>
      <c r="C1205" s="83"/>
      <c r="D1205" s="82"/>
      <c r="E1205" s="84"/>
      <c r="F1205" s="85"/>
      <c r="G1205" s="86"/>
      <c r="H1205" s="84"/>
      <c r="I1205" s="86"/>
      <c r="J1205" s="87"/>
      <c r="K1205" s="91"/>
      <c r="L1205" s="89"/>
      <c r="M1205" s="26"/>
      <c r="N1205" s="26"/>
      <c r="O1205" s="26"/>
      <c r="P1205" s="26"/>
    </row>
    <row r="1206">
      <c r="A1206" s="90"/>
      <c r="B1206" s="82"/>
      <c r="C1206" s="83"/>
      <c r="D1206" s="82"/>
      <c r="E1206" s="84"/>
      <c r="F1206" s="85"/>
      <c r="G1206" s="86"/>
      <c r="H1206" s="84"/>
      <c r="I1206" s="86"/>
      <c r="J1206" s="87"/>
      <c r="K1206" s="91"/>
      <c r="L1206" s="89"/>
      <c r="M1206" s="26"/>
      <c r="N1206" s="26"/>
      <c r="O1206" s="26"/>
      <c r="P1206" s="26"/>
    </row>
    <row r="1207">
      <c r="A1207" s="90"/>
      <c r="B1207" s="82"/>
      <c r="C1207" s="83"/>
      <c r="D1207" s="82"/>
      <c r="E1207" s="84"/>
      <c r="F1207" s="85"/>
      <c r="G1207" s="86"/>
      <c r="H1207" s="84"/>
      <c r="I1207" s="86"/>
      <c r="J1207" s="87"/>
      <c r="K1207" s="91"/>
      <c r="L1207" s="89"/>
      <c r="M1207" s="26"/>
      <c r="N1207" s="26"/>
      <c r="O1207" s="26"/>
      <c r="P1207" s="26"/>
    </row>
    <row r="1208">
      <c r="A1208" s="90"/>
      <c r="B1208" s="82"/>
      <c r="C1208" s="83"/>
      <c r="D1208" s="82"/>
      <c r="E1208" s="84"/>
      <c r="F1208" s="85"/>
      <c r="G1208" s="86"/>
      <c r="H1208" s="84"/>
      <c r="I1208" s="86"/>
      <c r="J1208" s="87"/>
      <c r="K1208" s="91"/>
      <c r="L1208" s="89"/>
      <c r="M1208" s="26"/>
      <c r="N1208" s="26"/>
      <c r="O1208" s="26"/>
      <c r="P1208" s="26"/>
    </row>
    <row r="1209">
      <c r="A1209" s="90"/>
      <c r="B1209" s="82"/>
      <c r="C1209" s="83"/>
      <c r="D1209" s="82"/>
      <c r="E1209" s="84"/>
      <c r="F1209" s="85"/>
      <c r="G1209" s="86"/>
      <c r="H1209" s="84"/>
      <c r="I1209" s="86"/>
      <c r="J1209" s="87"/>
      <c r="K1209" s="91"/>
      <c r="L1209" s="89"/>
      <c r="M1209" s="26"/>
      <c r="N1209" s="26"/>
      <c r="O1209" s="26"/>
      <c r="P1209" s="26"/>
    </row>
    <row r="1210">
      <c r="A1210" s="90"/>
      <c r="B1210" s="82"/>
      <c r="C1210" s="83"/>
      <c r="D1210" s="82"/>
      <c r="E1210" s="84"/>
      <c r="F1210" s="85"/>
      <c r="G1210" s="86"/>
      <c r="H1210" s="84"/>
      <c r="I1210" s="86"/>
      <c r="J1210" s="87"/>
      <c r="K1210" s="91"/>
      <c r="L1210" s="89"/>
      <c r="M1210" s="26"/>
      <c r="N1210" s="26"/>
      <c r="O1210" s="26"/>
      <c r="P1210" s="26"/>
    </row>
    <row r="1211">
      <c r="A1211" s="90"/>
      <c r="B1211" s="82"/>
      <c r="C1211" s="83"/>
      <c r="D1211" s="82"/>
      <c r="E1211" s="84"/>
      <c r="F1211" s="85"/>
      <c r="G1211" s="86"/>
      <c r="H1211" s="84"/>
      <c r="I1211" s="86"/>
      <c r="J1211" s="87"/>
      <c r="K1211" s="91"/>
      <c r="L1211" s="89"/>
      <c r="M1211" s="26"/>
      <c r="N1211" s="26"/>
      <c r="O1211" s="26"/>
      <c r="P1211" s="26"/>
    </row>
    <row r="1212">
      <c r="A1212" s="90"/>
      <c r="B1212" s="82"/>
      <c r="C1212" s="83"/>
      <c r="D1212" s="82"/>
      <c r="E1212" s="84"/>
      <c r="F1212" s="85"/>
      <c r="G1212" s="86"/>
      <c r="H1212" s="84"/>
      <c r="I1212" s="86"/>
      <c r="J1212" s="87"/>
      <c r="K1212" s="91"/>
      <c r="L1212" s="89"/>
      <c r="M1212" s="26"/>
      <c r="N1212" s="26"/>
      <c r="O1212" s="26"/>
      <c r="P1212" s="26"/>
    </row>
    <row r="1213">
      <c r="A1213" s="90"/>
      <c r="B1213" s="82"/>
      <c r="C1213" s="83"/>
      <c r="D1213" s="82"/>
      <c r="E1213" s="84"/>
      <c r="F1213" s="85"/>
      <c r="G1213" s="86"/>
      <c r="H1213" s="84"/>
      <c r="I1213" s="86"/>
      <c r="J1213" s="87"/>
      <c r="K1213" s="91"/>
      <c r="L1213" s="89"/>
      <c r="M1213" s="26"/>
      <c r="N1213" s="26"/>
      <c r="O1213" s="26"/>
      <c r="P1213" s="26"/>
    </row>
    <row r="1214">
      <c r="A1214" s="90"/>
      <c r="B1214" s="82"/>
      <c r="C1214" s="83"/>
      <c r="D1214" s="82"/>
      <c r="E1214" s="84"/>
      <c r="F1214" s="85"/>
      <c r="G1214" s="86"/>
      <c r="H1214" s="84"/>
      <c r="I1214" s="86"/>
      <c r="J1214" s="87"/>
      <c r="K1214" s="91"/>
      <c r="L1214" s="89"/>
      <c r="M1214" s="26"/>
      <c r="N1214" s="26"/>
      <c r="O1214" s="26"/>
      <c r="P1214" s="26"/>
    </row>
    <row r="1215">
      <c r="A1215" s="90"/>
      <c r="B1215" s="82"/>
      <c r="C1215" s="83"/>
      <c r="D1215" s="82"/>
      <c r="E1215" s="84"/>
      <c r="F1215" s="85"/>
      <c r="G1215" s="86"/>
      <c r="H1215" s="84"/>
      <c r="I1215" s="86"/>
      <c r="J1215" s="87"/>
      <c r="K1215" s="91"/>
      <c r="L1215" s="89"/>
      <c r="M1215" s="26"/>
      <c r="N1215" s="26"/>
      <c r="O1215" s="26"/>
      <c r="P1215" s="26"/>
    </row>
    <row r="1216">
      <c r="A1216" s="90"/>
      <c r="B1216" s="82"/>
      <c r="C1216" s="83"/>
      <c r="D1216" s="82"/>
      <c r="E1216" s="84"/>
      <c r="F1216" s="85"/>
      <c r="G1216" s="86"/>
      <c r="H1216" s="84"/>
      <c r="I1216" s="86"/>
      <c r="J1216" s="87"/>
      <c r="K1216" s="91"/>
      <c r="L1216" s="89"/>
      <c r="M1216" s="26"/>
      <c r="N1216" s="26"/>
      <c r="O1216" s="26"/>
      <c r="P1216" s="26"/>
    </row>
    <row r="1217">
      <c r="A1217" s="90"/>
      <c r="B1217" s="82"/>
      <c r="C1217" s="83"/>
      <c r="D1217" s="82"/>
      <c r="E1217" s="84"/>
      <c r="F1217" s="85"/>
      <c r="G1217" s="86"/>
      <c r="H1217" s="84"/>
      <c r="I1217" s="86"/>
      <c r="J1217" s="87"/>
      <c r="K1217" s="91"/>
      <c r="L1217" s="89"/>
      <c r="M1217" s="26"/>
      <c r="N1217" s="26"/>
      <c r="O1217" s="26"/>
      <c r="P1217" s="26"/>
    </row>
    <row r="1218">
      <c r="A1218" s="90"/>
      <c r="B1218" s="82"/>
      <c r="C1218" s="83"/>
      <c r="D1218" s="82"/>
      <c r="E1218" s="84"/>
      <c r="F1218" s="85"/>
      <c r="G1218" s="86"/>
      <c r="H1218" s="84"/>
      <c r="I1218" s="86"/>
      <c r="J1218" s="87"/>
      <c r="K1218" s="91"/>
      <c r="L1218" s="89"/>
      <c r="M1218" s="26"/>
      <c r="N1218" s="26"/>
      <c r="O1218" s="26"/>
      <c r="P1218" s="26"/>
    </row>
    <row r="1219">
      <c r="A1219" s="90"/>
      <c r="B1219" s="82"/>
      <c r="C1219" s="83"/>
      <c r="D1219" s="82"/>
      <c r="E1219" s="84"/>
      <c r="F1219" s="85"/>
      <c r="G1219" s="86"/>
      <c r="H1219" s="84"/>
      <c r="I1219" s="86"/>
      <c r="J1219" s="87"/>
      <c r="K1219" s="91"/>
      <c r="L1219" s="89"/>
      <c r="M1219" s="26"/>
      <c r="N1219" s="26"/>
      <c r="O1219" s="26"/>
      <c r="P1219" s="26"/>
    </row>
    <row r="1220">
      <c r="A1220" s="90"/>
      <c r="B1220" s="82"/>
      <c r="C1220" s="83"/>
      <c r="D1220" s="82"/>
      <c r="E1220" s="84"/>
      <c r="F1220" s="85"/>
      <c r="G1220" s="86"/>
      <c r="H1220" s="84"/>
      <c r="I1220" s="86"/>
      <c r="J1220" s="87"/>
      <c r="K1220" s="91"/>
      <c r="L1220" s="89"/>
      <c r="M1220" s="26"/>
      <c r="N1220" s="26"/>
      <c r="O1220" s="26"/>
      <c r="P1220" s="26"/>
    </row>
    <row r="1221">
      <c r="A1221" s="90"/>
      <c r="B1221" s="82"/>
      <c r="C1221" s="83"/>
      <c r="D1221" s="82"/>
      <c r="E1221" s="84"/>
      <c r="F1221" s="85"/>
      <c r="G1221" s="86"/>
      <c r="H1221" s="84"/>
      <c r="I1221" s="86"/>
      <c r="J1221" s="87"/>
      <c r="K1221" s="91"/>
      <c r="L1221" s="89"/>
      <c r="M1221" s="26"/>
      <c r="N1221" s="26"/>
      <c r="O1221" s="26"/>
      <c r="P1221" s="26"/>
    </row>
    <row r="1222">
      <c r="A1222" s="90"/>
      <c r="B1222" s="82"/>
      <c r="C1222" s="83"/>
      <c r="D1222" s="82"/>
      <c r="E1222" s="84"/>
      <c r="F1222" s="85"/>
      <c r="G1222" s="86"/>
      <c r="H1222" s="84"/>
      <c r="I1222" s="86"/>
      <c r="J1222" s="87"/>
      <c r="K1222" s="91"/>
      <c r="L1222" s="89"/>
      <c r="M1222" s="26"/>
      <c r="N1222" s="26"/>
      <c r="O1222" s="26"/>
      <c r="P1222" s="26"/>
    </row>
    <row r="1223">
      <c r="A1223" s="90"/>
      <c r="B1223" s="82"/>
      <c r="C1223" s="83"/>
      <c r="D1223" s="82"/>
      <c r="E1223" s="84"/>
      <c r="F1223" s="85"/>
      <c r="G1223" s="86"/>
      <c r="H1223" s="84"/>
      <c r="I1223" s="86"/>
      <c r="J1223" s="87"/>
      <c r="K1223" s="91"/>
      <c r="L1223" s="89"/>
      <c r="M1223" s="26"/>
      <c r="N1223" s="26"/>
      <c r="O1223" s="26"/>
      <c r="P1223" s="26"/>
    </row>
    <row r="1224">
      <c r="A1224" s="90"/>
      <c r="B1224" s="82"/>
      <c r="C1224" s="83"/>
      <c r="D1224" s="82"/>
      <c r="E1224" s="84"/>
      <c r="F1224" s="85"/>
      <c r="G1224" s="86"/>
      <c r="H1224" s="84"/>
      <c r="I1224" s="86"/>
      <c r="J1224" s="87"/>
      <c r="K1224" s="91"/>
      <c r="L1224" s="89"/>
      <c r="M1224" s="26"/>
      <c r="N1224" s="26"/>
      <c r="O1224" s="26"/>
      <c r="P1224" s="26"/>
    </row>
    <row r="1225">
      <c r="A1225" s="90"/>
      <c r="B1225" s="82"/>
      <c r="C1225" s="83"/>
      <c r="D1225" s="82"/>
      <c r="E1225" s="84"/>
      <c r="F1225" s="85"/>
      <c r="G1225" s="86"/>
      <c r="H1225" s="84"/>
      <c r="I1225" s="86"/>
      <c r="J1225" s="87"/>
      <c r="K1225" s="91"/>
      <c r="L1225" s="89"/>
      <c r="M1225" s="26"/>
      <c r="N1225" s="26"/>
      <c r="O1225" s="26"/>
      <c r="P1225" s="26"/>
    </row>
    <row r="1226">
      <c r="A1226" s="90"/>
      <c r="B1226" s="82"/>
      <c r="C1226" s="83"/>
      <c r="D1226" s="82"/>
      <c r="E1226" s="84"/>
      <c r="F1226" s="85"/>
      <c r="G1226" s="86"/>
      <c r="H1226" s="84"/>
      <c r="I1226" s="86"/>
      <c r="J1226" s="87"/>
      <c r="K1226" s="91"/>
      <c r="L1226" s="89"/>
      <c r="M1226" s="26"/>
      <c r="N1226" s="26"/>
      <c r="O1226" s="26"/>
      <c r="P1226" s="26"/>
    </row>
    <row r="1227">
      <c r="A1227" s="90"/>
      <c r="B1227" s="82"/>
      <c r="C1227" s="83"/>
      <c r="D1227" s="82"/>
      <c r="E1227" s="84"/>
      <c r="F1227" s="85"/>
      <c r="G1227" s="86"/>
      <c r="H1227" s="84"/>
      <c r="I1227" s="86"/>
      <c r="J1227" s="87"/>
      <c r="K1227" s="91"/>
      <c r="L1227" s="89"/>
      <c r="M1227" s="26"/>
      <c r="N1227" s="26"/>
      <c r="O1227" s="26"/>
      <c r="P1227" s="26"/>
    </row>
    <row r="1228">
      <c r="A1228" s="90"/>
      <c r="B1228" s="82"/>
      <c r="C1228" s="83"/>
      <c r="D1228" s="82"/>
      <c r="E1228" s="84"/>
      <c r="F1228" s="85"/>
      <c r="G1228" s="86"/>
      <c r="H1228" s="84"/>
      <c r="I1228" s="86"/>
      <c r="J1228" s="87"/>
      <c r="K1228" s="91"/>
      <c r="L1228" s="89"/>
      <c r="M1228" s="26"/>
      <c r="N1228" s="26"/>
      <c r="O1228" s="26"/>
      <c r="P1228" s="26"/>
    </row>
    <row r="1229">
      <c r="A1229" s="90"/>
      <c r="B1229" s="82"/>
      <c r="C1229" s="83"/>
      <c r="D1229" s="82"/>
      <c r="E1229" s="84"/>
      <c r="F1229" s="85"/>
      <c r="G1229" s="86"/>
      <c r="H1229" s="84"/>
      <c r="I1229" s="86"/>
      <c r="J1229" s="87"/>
      <c r="K1229" s="91"/>
      <c r="L1229" s="89"/>
      <c r="M1229" s="26"/>
      <c r="N1229" s="26"/>
      <c r="O1229" s="26"/>
      <c r="P1229" s="26"/>
    </row>
    <row r="1230">
      <c r="A1230" s="90"/>
      <c r="B1230" s="82"/>
      <c r="C1230" s="83"/>
      <c r="D1230" s="82"/>
      <c r="E1230" s="84"/>
      <c r="F1230" s="85"/>
      <c r="G1230" s="86"/>
      <c r="H1230" s="84"/>
      <c r="I1230" s="86"/>
      <c r="J1230" s="87"/>
      <c r="K1230" s="91"/>
      <c r="L1230" s="89"/>
      <c r="M1230" s="26"/>
      <c r="N1230" s="26"/>
      <c r="O1230" s="26"/>
      <c r="P1230" s="26"/>
    </row>
    <row r="1231">
      <c r="A1231" s="90"/>
      <c r="B1231" s="82"/>
      <c r="C1231" s="83"/>
      <c r="D1231" s="82"/>
      <c r="E1231" s="84"/>
      <c r="F1231" s="85"/>
      <c r="G1231" s="86"/>
      <c r="H1231" s="84"/>
      <c r="I1231" s="86"/>
      <c r="J1231" s="87"/>
      <c r="K1231" s="91"/>
      <c r="L1231" s="89"/>
      <c r="M1231" s="26"/>
      <c r="N1231" s="26"/>
      <c r="O1231" s="26"/>
      <c r="P1231" s="26"/>
    </row>
    <row r="1232">
      <c r="A1232" s="90"/>
      <c r="B1232" s="82"/>
      <c r="C1232" s="83"/>
      <c r="D1232" s="82"/>
      <c r="E1232" s="84"/>
      <c r="F1232" s="85"/>
      <c r="G1232" s="86"/>
      <c r="H1232" s="84"/>
      <c r="I1232" s="86"/>
      <c r="J1232" s="87"/>
      <c r="K1232" s="91"/>
      <c r="L1232" s="89"/>
      <c r="M1232" s="26"/>
      <c r="N1232" s="26"/>
      <c r="O1232" s="26"/>
      <c r="P1232" s="26"/>
    </row>
    <row r="1233">
      <c r="A1233" s="90"/>
      <c r="B1233" s="82"/>
      <c r="C1233" s="83"/>
      <c r="D1233" s="82"/>
      <c r="E1233" s="84"/>
      <c r="F1233" s="85"/>
      <c r="G1233" s="86"/>
      <c r="H1233" s="84"/>
      <c r="I1233" s="86"/>
      <c r="J1233" s="87"/>
      <c r="K1233" s="91"/>
      <c r="L1233" s="89"/>
      <c r="M1233" s="26"/>
      <c r="N1233" s="26"/>
      <c r="O1233" s="26"/>
      <c r="P1233" s="26"/>
    </row>
    <row r="1234">
      <c r="A1234" s="90"/>
      <c r="B1234" s="82"/>
      <c r="C1234" s="83"/>
      <c r="D1234" s="82"/>
      <c r="E1234" s="84"/>
      <c r="F1234" s="85"/>
      <c r="G1234" s="86"/>
      <c r="H1234" s="84"/>
      <c r="I1234" s="86"/>
      <c r="J1234" s="87"/>
      <c r="K1234" s="91"/>
      <c r="L1234" s="89"/>
      <c r="M1234" s="26"/>
      <c r="N1234" s="26"/>
      <c r="O1234" s="26"/>
      <c r="P1234" s="26"/>
    </row>
    <row r="1235">
      <c r="A1235" s="90"/>
      <c r="B1235" s="82"/>
      <c r="C1235" s="83"/>
      <c r="D1235" s="82"/>
      <c r="E1235" s="84"/>
      <c r="F1235" s="85"/>
      <c r="G1235" s="86"/>
      <c r="H1235" s="84"/>
      <c r="I1235" s="86"/>
      <c r="J1235" s="87"/>
      <c r="K1235" s="91"/>
      <c r="L1235" s="89"/>
      <c r="M1235" s="26"/>
      <c r="N1235" s="26"/>
      <c r="O1235" s="26"/>
      <c r="P1235" s="26"/>
    </row>
    <row r="1236">
      <c r="A1236" s="90"/>
      <c r="B1236" s="82"/>
      <c r="C1236" s="83"/>
      <c r="D1236" s="82"/>
      <c r="E1236" s="84"/>
      <c r="F1236" s="85"/>
      <c r="G1236" s="86"/>
      <c r="H1236" s="84"/>
      <c r="I1236" s="86"/>
      <c r="J1236" s="87"/>
      <c r="K1236" s="91"/>
      <c r="L1236" s="89"/>
      <c r="M1236" s="26"/>
      <c r="N1236" s="26"/>
      <c r="O1236" s="26"/>
      <c r="P1236" s="26"/>
    </row>
    <row r="1237">
      <c r="A1237" s="90"/>
      <c r="B1237" s="82"/>
      <c r="C1237" s="83"/>
      <c r="D1237" s="82"/>
      <c r="E1237" s="84"/>
      <c r="F1237" s="85"/>
      <c r="G1237" s="86"/>
      <c r="H1237" s="84"/>
      <c r="I1237" s="86"/>
      <c r="J1237" s="87"/>
      <c r="K1237" s="91"/>
      <c r="L1237" s="89"/>
      <c r="M1237" s="26"/>
      <c r="N1237" s="26"/>
      <c r="O1237" s="26"/>
      <c r="P1237" s="26"/>
    </row>
    <row r="1238">
      <c r="A1238" s="90"/>
      <c r="B1238" s="82"/>
      <c r="C1238" s="83"/>
      <c r="D1238" s="82"/>
      <c r="E1238" s="84"/>
      <c r="F1238" s="85"/>
      <c r="G1238" s="86"/>
      <c r="H1238" s="84"/>
      <c r="I1238" s="86"/>
      <c r="J1238" s="87"/>
      <c r="K1238" s="91"/>
      <c r="L1238" s="89"/>
      <c r="M1238" s="26"/>
      <c r="N1238" s="26"/>
      <c r="O1238" s="26"/>
      <c r="P1238" s="26"/>
    </row>
    <row r="1239">
      <c r="A1239" s="90"/>
      <c r="B1239" s="82"/>
      <c r="C1239" s="83"/>
      <c r="D1239" s="82"/>
      <c r="E1239" s="84"/>
      <c r="F1239" s="85"/>
      <c r="G1239" s="86"/>
      <c r="H1239" s="84"/>
      <c r="I1239" s="86"/>
      <c r="J1239" s="87"/>
      <c r="K1239" s="91"/>
      <c r="L1239" s="89"/>
      <c r="M1239" s="26"/>
      <c r="N1239" s="26"/>
      <c r="O1239" s="26"/>
      <c r="P1239" s="26"/>
    </row>
    <row r="1240">
      <c r="A1240" s="90"/>
      <c r="B1240" s="82"/>
      <c r="C1240" s="83"/>
      <c r="D1240" s="82"/>
      <c r="E1240" s="84"/>
      <c r="F1240" s="85"/>
      <c r="G1240" s="86"/>
      <c r="H1240" s="84"/>
      <c r="I1240" s="86"/>
      <c r="J1240" s="87"/>
      <c r="K1240" s="91"/>
      <c r="L1240" s="89"/>
      <c r="M1240" s="26"/>
      <c r="N1240" s="26"/>
      <c r="O1240" s="26"/>
      <c r="P1240" s="26"/>
    </row>
    <row r="1241">
      <c r="A1241" s="90"/>
      <c r="B1241" s="82"/>
      <c r="C1241" s="83"/>
      <c r="D1241" s="82"/>
      <c r="E1241" s="84"/>
      <c r="F1241" s="85"/>
      <c r="G1241" s="86"/>
      <c r="H1241" s="84"/>
      <c r="I1241" s="86"/>
      <c r="J1241" s="87"/>
      <c r="K1241" s="91"/>
      <c r="L1241" s="89"/>
      <c r="M1241" s="26"/>
      <c r="N1241" s="26"/>
      <c r="O1241" s="26"/>
      <c r="P1241" s="26"/>
    </row>
    <row r="1242">
      <c r="A1242" s="90"/>
      <c r="B1242" s="82"/>
      <c r="C1242" s="83"/>
      <c r="D1242" s="82"/>
      <c r="E1242" s="84"/>
      <c r="F1242" s="85"/>
      <c r="G1242" s="86"/>
      <c r="H1242" s="84"/>
      <c r="I1242" s="86"/>
      <c r="J1242" s="87"/>
      <c r="K1242" s="91"/>
      <c r="L1242" s="89"/>
      <c r="M1242" s="26"/>
      <c r="N1242" s="26"/>
      <c r="O1242" s="26"/>
      <c r="P1242" s="26"/>
    </row>
    <row r="1243">
      <c r="A1243" s="90"/>
      <c r="B1243" s="82"/>
      <c r="C1243" s="83"/>
      <c r="D1243" s="82"/>
      <c r="E1243" s="84"/>
      <c r="F1243" s="85"/>
      <c r="G1243" s="86"/>
      <c r="H1243" s="84"/>
      <c r="I1243" s="86"/>
      <c r="J1243" s="87"/>
      <c r="K1243" s="91"/>
      <c r="L1243" s="89"/>
      <c r="M1243" s="26"/>
      <c r="N1243" s="26"/>
      <c r="O1243" s="26"/>
      <c r="P1243" s="26"/>
    </row>
    <row r="1244">
      <c r="A1244" s="90"/>
      <c r="B1244" s="82"/>
      <c r="C1244" s="83"/>
      <c r="D1244" s="82"/>
      <c r="E1244" s="84"/>
      <c r="F1244" s="85"/>
      <c r="G1244" s="86"/>
      <c r="H1244" s="84"/>
      <c r="I1244" s="86"/>
      <c r="J1244" s="87"/>
      <c r="K1244" s="91"/>
      <c r="L1244" s="89"/>
      <c r="M1244" s="26"/>
      <c r="N1244" s="26"/>
      <c r="O1244" s="26"/>
      <c r="P1244" s="26"/>
    </row>
    <row r="1245">
      <c r="A1245" s="90"/>
      <c r="B1245" s="82"/>
      <c r="C1245" s="83"/>
      <c r="D1245" s="82"/>
      <c r="E1245" s="84"/>
      <c r="F1245" s="85"/>
      <c r="G1245" s="86"/>
      <c r="H1245" s="84"/>
      <c r="I1245" s="86"/>
      <c r="J1245" s="87"/>
      <c r="K1245" s="91"/>
      <c r="L1245" s="89"/>
      <c r="M1245" s="26"/>
      <c r="N1245" s="26"/>
      <c r="O1245" s="26"/>
      <c r="P1245" s="26"/>
    </row>
    <row r="1246">
      <c r="A1246" s="90"/>
      <c r="B1246" s="82"/>
      <c r="C1246" s="83"/>
      <c r="D1246" s="82"/>
      <c r="E1246" s="84"/>
      <c r="F1246" s="85"/>
      <c r="G1246" s="86"/>
      <c r="H1246" s="84"/>
      <c r="I1246" s="86"/>
      <c r="J1246" s="87"/>
      <c r="K1246" s="91"/>
      <c r="L1246" s="89"/>
      <c r="M1246" s="26"/>
      <c r="N1246" s="26"/>
      <c r="O1246" s="26"/>
      <c r="P1246" s="26"/>
    </row>
    <row r="1247">
      <c r="A1247" s="90"/>
      <c r="B1247" s="82"/>
      <c r="C1247" s="83"/>
      <c r="D1247" s="82"/>
      <c r="E1247" s="84"/>
      <c r="F1247" s="85"/>
      <c r="G1247" s="86"/>
      <c r="H1247" s="84"/>
      <c r="I1247" s="86"/>
      <c r="J1247" s="87"/>
      <c r="K1247" s="91"/>
      <c r="L1247" s="89"/>
      <c r="M1247" s="26"/>
      <c r="N1247" s="26"/>
      <c r="O1247" s="26"/>
      <c r="P1247" s="26"/>
    </row>
    <row r="1248">
      <c r="A1248" s="90"/>
      <c r="B1248" s="82"/>
      <c r="C1248" s="83"/>
      <c r="D1248" s="82"/>
      <c r="E1248" s="84"/>
      <c r="F1248" s="85"/>
      <c r="G1248" s="86"/>
      <c r="H1248" s="84"/>
      <c r="I1248" s="86"/>
      <c r="J1248" s="87"/>
      <c r="K1248" s="91"/>
      <c r="L1248" s="89"/>
      <c r="M1248" s="26"/>
      <c r="N1248" s="26"/>
      <c r="O1248" s="26"/>
      <c r="P1248" s="26"/>
    </row>
    <row r="1249">
      <c r="A1249" s="90"/>
      <c r="B1249" s="82"/>
      <c r="C1249" s="83"/>
      <c r="D1249" s="82"/>
      <c r="E1249" s="84"/>
      <c r="F1249" s="85"/>
      <c r="G1249" s="86"/>
      <c r="H1249" s="84"/>
      <c r="I1249" s="86"/>
      <c r="J1249" s="87"/>
      <c r="K1249" s="91"/>
      <c r="L1249" s="89"/>
      <c r="M1249" s="26"/>
      <c r="N1249" s="26"/>
      <c r="O1249" s="26"/>
      <c r="P1249" s="26"/>
    </row>
    <row r="1250">
      <c r="A1250" s="90"/>
      <c r="B1250" s="82"/>
      <c r="C1250" s="83"/>
      <c r="D1250" s="82"/>
      <c r="E1250" s="84"/>
      <c r="F1250" s="85"/>
      <c r="G1250" s="86"/>
      <c r="H1250" s="84"/>
      <c r="I1250" s="86"/>
      <c r="J1250" s="87"/>
      <c r="K1250" s="91"/>
      <c r="L1250" s="89"/>
      <c r="M1250" s="26"/>
      <c r="N1250" s="26"/>
      <c r="O1250" s="26"/>
      <c r="P1250" s="26"/>
    </row>
    <row r="1251">
      <c r="A1251" s="90"/>
      <c r="B1251" s="82"/>
      <c r="C1251" s="83"/>
      <c r="D1251" s="82"/>
      <c r="E1251" s="84"/>
      <c r="F1251" s="85"/>
      <c r="G1251" s="86"/>
      <c r="H1251" s="84"/>
      <c r="I1251" s="86"/>
      <c r="J1251" s="87"/>
      <c r="K1251" s="91"/>
      <c r="L1251" s="89"/>
      <c r="M1251" s="26"/>
      <c r="N1251" s="26"/>
      <c r="O1251" s="26"/>
      <c r="P1251" s="26"/>
    </row>
    <row r="1252">
      <c r="A1252" s="90"/>
      <c r="B1252" s="82"/>
      <c r="C1252" s="83"/>
      <c r="D1252" s="82"/>
      <c r="E1252" s="84"/>
      <c r="F1252" s="85"/>
      <c r="G1252" s="86"/>
      <c r="H1252" s="84"/>
      <c r="I1252" s="86"/>
      <c r="J1252" s="87"/>
      <c r="K1252" s="91"/>
      <c r="L1252" s="89"/>
      <c r="M1252" s="26"/>
      <c r="N1252" s="26"/>
      <c r="O1252" s="26"/>
      <c r="P1252" s="26"/>
    </row>
    <row r="1253">
      <c r="A1253" s="90"/>
      <c r="B1253" s="82"/>
      <c r="C1253" s="83"/>
      <c r="D1253" s="82"/>
      <c r="E1253" s="84"/>
      <c r="F1253" s="85"/>
      <c r="G1253" s="86"/>
      <c r="H1253" s="84"/>
      <c r="I1253" s="86"/>
      <c r="J1253" s="87"/>
      <c r="K1253" s="91"/>
      <c r="L1253" s="89"/>
      <c r="M1253" s="26"/>
      <c r="N1253" s="26"/>
      <c r="O1253" s="26"/>
      <c r="P1253" s="26"/>
    </row>
    <row r="1254">
      <c r="A1254" s="90"/>
      <c r="B1254" s="82"/>
      <c r="C1254" s="83"/>
      <c r="D1254" s="82"/>
      <c r="E1254" s="84"/>
      <c r="F1254" s="85"/>
      <c r="G1254" s="86"/>
      <c r="H1254" s="84"/>
      <c r="I1254" s="86"/>
      <c r="J1254" s="87"/>
      <c r="K1254" s="91"/>
      <c r="L1254" s="89"/>
      <c r="M1254" s="26"/>
      <c r="N1254" s="26"/>
      <c r="O1254" s="26"/>
      <c r="P1254" s="26"/>
    </row>
    <row r="1255">
      <c r="A1255" s="90"/>
      <c r="B1255" s="82"/>
      <c r="C1255" s="83"/>
      <c r="D1255" s="82"/>
      <c r="E1255" s="84"/>
      <c r="F1255" s="85"/>
      <c r="G1255" s="86"/>
      <c r="H1255" s="84"/>
      <c r="I1255" s="86"/>
      <c r="J1255" s="87"/>
      <c r="K1255" s="91"/>
      <c r="L1255" s="89"/>
      <c r="M1255" s="26"/>
      <c r="N1255" s="26"/>
      <c r="O1255" s="26"/>
      <c r="P1255" s="26"/>
    </row>
    <row r="1256">
      <c r="A1256" s="90"/>
      <c r="B1256" s="82"/>
      <c r="C1256" s="83"/>
      <c r="D1256" s="82"/>
      <c r="E1256" s="84"/>
      <c r="F1256" s="85"/>
      <c r="G1256" s="86"/>
      <c r="H1256" s="84"/>
      <c r="I1256" s="86"/>
      <c r="J1256" s="87"/>
      <c r="K1256" s="91"/>
      <c r="L1256" s="89"/>
      <c r="M1256" s="26"/>
      <c r="N1256" s="26"/>
      <c r="O1256" s="26"/>
      <c r="P1256" s="26"/>
    </row>
    <row r="1257">
      <c r="A1257" s="90"/>
      <c r="B1257" s="82"/>
      <c r="C1257" s="83"/>
      <c r="D1257" s="82"/>
      <c r="E1257" s="84"/>
      <c r="F1257" s="85"/>
      <c r="G1257" s="86"/>
      <c r="H1257" s="84"/>
      <c r="I1257" s="86"/>
      <c r="J1257" s="87"/>
      <c r="K1257" s="91"/>
      <c r="L1257" s="89"/>
      <c r="M1257" s="26"/>
      <c r="N1257" s="26"/>
      <c r="O1257" s="26"/>
      <c r="P1257" s="26"/>
    </row>
    <row r="1258">
      <c r="A1258" s="90"/>
      <c r="B1258" s="82"/>
      <c r="C1258" s="83"/>
      <c r="D1258" s="82"/>
      <c r="E1258" s="84"/>
      <c r="F1258" s="85"/>
      <c r="G1258" s="86"/>
      <c r="H1258" s="84"/>
      <c r="I1258" s="86"/>
      <c r="J1258" s="87"/>
      <c r="K1258" s="91"/>
      <c r="L1258" s="89"/>
      <c r="M1258" s="26"/>
      <c r="N1258" s="26"/>
      <c r="O1258" s="26"/>
      <c r="P1258" s="26"/>
    </row>
    <row r="1259">
      <c r="A1259" s="90"/>
      <c r="B1259" s="82"/>
      <c r="C1259" s="83"/>
      <c r="D1259" s="82"/>
      <c r="E1259" s="84"/>
      <c r="F1259" s="85"/>
      <c r="G1259" s="86"/>
      <c r="H1259" s="84"/>
      <c r="I1259" s="86"/>
      <c r="J1259" s="87"/>
      <c r="K1259" s="91"/>
      <c r="L1259" s="89"/>
      <c r="M1259" s="26"/>
      <c r="N1259" s="26"/>
      <c r="O1259" s="26"/>
      <c r="P1259" s="26"/>
    </row>
    <row r="1260">
      <c r="A1260" s="90"/>
      <c r="B1260" s="82"/>
      <c r="C1260" s="83"/>
      <c r="D1260" s="82"/>
      <c r="E1260" s="84"/>
      <c r="F1260" s="85"/>
      <c r="G1260" s="86"/>
      <c r="H1260" s="84"/>
      <c r="I1260" s="86"/>
      <c r="J1260" s="87"/>
      <c r="K1260" s="91"/>
      <c r="L1260" s="89"/>
      <c r="M1260" s="26"/>
      <c r="N1260" s="26"/>
      <c r="O1260" s="26"/>
      <c r="P1260" s="26"/>
    </row>
    <row r="1261">
      <c r="A1261" s="90"/>
      <c r="B1261" s="82"/>
      <c r="C1261" s="83"/>
      <c r="D1261" s="82"/>
      <c r="E1261" s="84"/>
      <c r="F1261" s="85"/>
      <c r="G1261" s="86"/>
      <c r="H1261" s="84"/>
      <c r="I1261" s="86"/>
      <c r="J1261" s="87"/>
      <c r="K1261" s="91"/>
      <c r="L1261" s="89"/>
      <c r="M1261" s="26"/>
      <c r="N1261" s="26"/>
      <c r="O1261" s="26"/>
      <c r="P1261" s="26"/>
    </row>
    <row r="1262">
      <c r="A1262" s="90"/>
      <c r="B1262" s="82"/>
      <c r="C1262" s="83"/>
      <c r="D1262" s="82"/>
      <c r="E1262" s="84"/>
      <c r="F1262" s="85"/>
      <c r="G1262" s="86"/>
      <c r="H1262" s="84"/>
      <c r="I1262" s="86"/>
      <c r="J1262" s="87"/>
      <c r="K1262" s="91"/>
      <c r="L1262" s="89"/>
      <c r="M1262" s="26"/>
      <c r="N1262" s="26"/>
      <c r="O1262" s="26"/>
      <c r="P1262" s="26"/>
    </row>
    <row r="1263">
      <c r="A1263" s="90"/>
      <c r="B1263" s="82"/>
      <c r="C1263" s="83"/>
      <c r="D1263" s="82"/>
      <c r="E1263" s="84"/>
      <c r="F1263" s="85"/>
      <c r="G1263" s="86"/>
      <c r="H1263" s="84"/>
      <c r="I1263" s="86"/>
      <c r="J1263" s="87"/>
      <c r="K1263" s="91"/>
      <c r="L1263" s="89"/>
      <c r="M1263" s="26"/>
      <c r="N1263" s="26"/>
      <c r="O1263" s="26"/>
      <c r="P1263" s="26"/>
    </row>
    <row r="1264">
      <c r="A1264" s="90"/>
      <c r="B1264" s="82"/>
      <c r="C1264" s="83"/>
      <c r="D1264" s="82"/>
      <c r="E1264" s="84"/>
      <c r="F1264" s="85"/>
      <c r="G1264" s="86"/>
      <c r="H1264" s="84"/>
      <c r="I1264" s="86"/>
      <c r="J1264" s="87"/>
      <c r="K1264" s="91"/>
      <c r="L1264" s="89"/>
      <c r="M1264" s="26"/>
      <c r="N1264" s="26"/>
      <c r="O1264" s="26"/>
      <c r="P1264" s="26"/>
    </row>
    <row r="1265">
      <c r="A1265" s="90"/>
      <c r="B1265" s="82"/>
      <c r="C1265" s="83"/>
      <c r="D1265" s="82"/>
      <c r="E1265" s="84"/>
      <c r="F1265" s="85"/>
      <c r="G1265" s="86"/>
      <c r="H1265" s="84"/>
      <c r="I1265" s="86"/>
      <c r="J1265" s="87"/>
      <c r="K1265" s="91"/>
      <c r="L1265" s="89"/>
      <c r="M1265" s="26"/>
      <c r="N1265" s="26"/>
      <c r="O1265" s="26"/>
      <c r="P1265" s="26"/>
    </row>
    <row r="1266">
      <c r="A1266" s="90"/>
      <c r="B1266" s="82"/>
      <c r="C1266" s="83"/>
      <c r="D1266" s="82"/>
      <c r="E1266" s="84"/>
      <c r="F1266" s="85"/>
      <c r="G1266" s="86"/>
      <c r="H1266" s="84"/>
      <c r="I1266" s="86"/>
      <c r="J1266" s="87"/>
      <c r="K1266" s="91"/>
      <c r="L1266" s="89"/>
      <c r="M1266" s="26"/>
      <c r="N1266" s="26"/>
      <c r="O1266" s="26"/>
      <c r="P1266" s="26"/>
    </row>
    <row r="1267">
      <c r="A1267" s="90"/>
      <c r="B1267" s="82"/>
      <c r="C1267" s="83"/>
      <c r="D1267" s="82"/>
      <c r="E1267" s="84"/>
      <c r="F1267" s="85"/>
      <c r="G1267" s="86"/>
      <c r="H1267" s="84"/>
      <c r="I1267" s="86"/>
      <c r="J1267" s="87"/>
      <c r="K1267" s="91"/>
      <c r="L1267" s="89"/>
      <c r="M1267" s="26"/>
      <c r="N1267" s="26"/>
      <c r="O1267" s="26"/>
      <c r="P1267" s="26"/>
    </row>
    <row r="1268">
      <c r="A1268" s="90"/>
      <c r="B1268" s="82"/>
      <c r="C1268" s="83"/>
      <c r="D1268" s="82"/>
      <c r="E1268" s="84"/>
      <c r="F1268" s="85"/>
      <c r="G1268" s="86"/>
      <c r="H1268" s="84"/>
      <c r="I1268" s="86"/>
      <c r="J1268" s="87"/>
      <c r="K1268" s="91"/>
      <c r="L1268" s="89"/>
      <c r="M1268" s="26"/>
      <c r="N1268" s="26"/>
      <c r="O1268" s="26"/>
      <c r="P1268" s="26"/>
    </row>
    <row r="1269">
      <c r="A1269" s="90"/>
      <c r="B1269" s="82"/>
      <c r="C1269" s="83"/>
      <c r="D1269" s="82"/>
      <c r="E1269" s="84"/>
      <c r="F1269" s="85"/>
      <c r="G1269" s="86"/>
      <c r="H1269" s="84"/>
      <c r="I1269" s="86"/>
      <c r="J1269" s="87"/>
      <c r="K1269" s="91"/>
      <c r="L1269" s="89"/>
      <c r="M1269" s="26"/>
      <c r="N1269" s="26"/>
      <c r="O1269" s="26"/>
      <c r="P1269" s="26"/>
    </row>
    <row r="1270">
      <c r="A1270" s="90"/>
      <c r="B1270" s="82"/>
      <c r="C1270" s="83"/>
      <c r="D1270" s="82"/>
      <c r="E1270" s="84"/>
      <c r="F1270" s="85"/>
      <c r="G1270" s="86"/>
      <c r="H1270" s="84"/>
      <c r="I1270" s="86"/>
      <c r="J1270" s="87"/>
      <c r="K1270" s="91"/>
      <c r="L1270" s="89"/>
      <c r="M1270" s="26"/>
      <c r="N1270" s="26"/>
      <c r="O1270" s="26"/>
      <c r="P1270" s="26"/>
    </row>
    <row r="1271">
      <c r="A1271" s="90"/>
      <c r="B1271" s="82"/>
      <c r="C1271" s="83"/>
      <c r="D1271" s="82"/>
      <c r="E1271" s="84"/>
      <c r="F1271" s="85"/>
      <c r="G1271" s="86"/>
      <c r="H1271" s="84"/>
      <c r="I1271" s="86"/>
      <c r="J1271" s="87"/>
      <c r="K1271" s="91"/>
      <c r="L1271" s="89"/>
      <c r="M1271" s="26"/>
      <c r="N1271" s="26"/>
      <c r="O1271" s="26"/>
      <c r="P1271" s="26"/>
    </row>
    <row r="1272">
      <c r="A1272" s="90"/>
      <c r="B1272" s="82"/>
      <c r="C1272" s="83"/>
      <c r="D1272" s="82"/>
      <c r="E1272" s="84"/>
      <c r="F1272" s="85"/>
      <c r="G1272" s="86"/>
      <c r="H1272" s="84"/>
      <c r="I1272" s="86"/>
      <c r="J1272" s="87"/>
      <c r="K1272" s="91"/>
      <c r="L1272" s="89"/>
      <c r="M1272" s="26"/>
      <c r="N1272" s="26"/>
      <c r="O1272" s="26"/>
      <c r="P1272" s="26"/>
    </row>
    <row r="1273">
      <c r="A1273" s="90"/>
      <c r="B1273" s="82"/>
      <c r="C1273" s="83"/>
      <c r="D1273" s="82"/>
      <c r="E1273" s="84"/>
      <c r="F1273" s="85"/>
      <c r="G1273" s="86"/>
      <c r="H1273" s="84"/>
      <c r="I1273" s="86"/>
      <c r="J1273" s="87"/>
      <c r="K1273" s="91"/>
      <c r="L1273" s="89"/>
      <c r="M1273" s="26"/>
      <c r="N1273" s="26"/>
      <c r="O1273" s="26"/>
      <c r="P1273" s="26"/>
    </row>
    <row r="1274">
      <c r="A1274" s="90"/>
      <c r="B1274" s="82"/>
      <c r="C1274" s="83"/>
      <c r="D1274" s="82"/>
      <c r="E1274" s="84"/>
      <c r="F1274" s="85"/>
      <c r="G1274" s="86"/>
      <c r="H1274" s="84"/>
      <c r="I1274" s="86"/>
      <c r="J1274" s="87"/>
      <c r="K1274" s="91"/>
      <c r="L1274" s="89"/>
      <c r="M1274" s="26"/>
      <c r="N1274" s="26"/>
      <c r="O1274" s="26"/>
      <c r="P1274" s="26"/>
    </row>
    <row r="1275">
      <c r="A1275" s="90"/>
      <c r="B1275" s="82"/>
      <c r="C1275" s="83"/>
      <c r="D1275" s="82"/>
      <c r="E1275" s="84"/>
      <c r="F1275" s="85"/>
      <c r="G1275" s="86"/>
      <c r="H1275" s="84"/>
      <c r="I1275" s="86"/>
      <c r="J1275" s="87"/>
      <c r="K1275" s="91"/>
      <c r="L1275" s="89"/>
      <c r="M1275" s="26"/>
      <c r="N1275" s="26"/>
      <c r="O1275" s="26"/>
      <c r="P1275" s="26"/>
    </row>
    <row r="1276">
      <c r="A1276" s="90"/>
      <c r="B1276" s="82"/>
      <c r="C1276" s="83"/>
      <c r="D1276" s="82"/>
      <c r="E1276" s="84"/>
      <c r="F1276" s="85"/>
      <c r="G1276" s="86"/>
      <c r="H1276" s="84"/>
      <c r="I1276" s="86"/>
      <c r="J1276" s="87"/>
      <c r="K1276" s="91"/>
      <c r="L1276" s="89"/>
      <c r="M1276" s="26"/>
      <c r="N1276" s="26"/>
      <c r="O1276" s="26"/>
      <c r="P1276" s="26"/>
    </row>
    <row r="1277">
      <c r="A1277" s="90"/>
      <c r="B1277" s="82"/>
      <c r="C1277" s="83"/>
      <c r="D1277" s="82"/>
      <c r="E1277" s="84"/>
      <c r="F1277" s="85"/>
      <c r="G1277" s="86"/>
      <c r="H1277" s="84"/>
      <c r="I1277" s="86"/>
      <c r="J1277" s="87"/>
      <c r="K1277" s="91"/>
      <c r="L1277" s="89"/>
      <c r="M1277" s="26"/>
      <c r="N1277" s="26"/>
      <c r="O1277" s="26"/>
      <c r="P1277" s="26"/>
    </row>
    <row r="1278">
      <c r="A1278" s="90"/>
      <c r="B1278" s="82"/>
      <c r="C1278" s="83"/>
      <c r="D1278" s="82"/>
      <c r="E1278" s="84"/>
      <c r="F1278" s="85"/>
      <c r="G1278" s="86"/>
      <c r="H1278" s="84"/>
      <c r="I1278" s="86"/>
      <c r="J1278" s="87"/>
      <c r="K1278" s="91"/>
      <c r="L1278" s="89"/>
      <c r="M1278" s="26"/>
      <c r="N1278" s="26"/>
      <c r="O1278" s="26"/>
      <c r="P1278" s="26"/>
    </row>
    <row r="1279">
      <c r="A1279" s="90"/>
      <c r="B1279" s="82"/>
      <c r="C1279" s="83"/>
      <c r="D1279" s="82"/>
      <c r="E1279" s="84"/>
      <c r="F1279" s="85"/>
      <c r="G1279" s="86"/>
      <c r="H1279" s="84"/>
      <c r="I1279" s="86"/>
      <c r="J1279" s="87"/>
      <c r="K1279" s="91"/>
      <c r="L1279" s="89"/>
      <c r="M1279" s="26"/>
      <c r="N1279" s="26"/>
      <c r="O1279" s="26"/>
      <c r="P1279" s="26"/>
    </row>
    <row r="1280">
      <c r="A1280" s="90"/>
      <c r="B1280" s="82"/>
      <c r="C1280" s="83"/>
      <c r="D1280" s="82"/>
      <c r="E1280" s="84"/>
      <c r="F1280" s="85"/>
      <c r="G1280" s="86"/>
      <c r="H1280" s="84"/>
      <c r="I1280" s="86"/>
      <c r="J1280" s="87"/>
      <c r="K1280" s="91"/>
      <c r="L1280" s="89"/>
      <c r="M1280" s="26"/>
      <c r="N1280" s="26"/>
      <c r="O1280" s="26"/>
      <c r="P1280" s="26"/>
    </row>
    <row r="1281">
      <c r="A1281" s="90"/>
      <c r="B1281" s="82"/>
      <c r="C1281" s="83"/>
      <c r="D1281" s="82"/>
      <c r="E1281" s="84"/>
      <c r="F1281" s="85"/>
      <c r="G1281" s="86"/>
      <c r="H1281" s="84"/>
      <c r="I1281" s="86"/>
      <c r="J1281" s="87"/>
      <c r="K1281" s="91"/>
      <c r="L1281" s="89"/>
      <c r="M1281" s="26"/>
      <c r="N1281" s="26"/>
      <c r="O1281" s="26"/>
      <c r="P1281" s="26"/>
    </row>
    <row r="1282">
      <c r="A1282" s="90"/>
      <c r="B1282" s="82"/>
      <c r="C1282" s="83"/>
      <c r="D1282" s="82"/>
      <c r="E1282" s="84"/>
      <c r="F1282" s="85"/>
      <c r="G1282" s="86"/>
      <c r="H1282" s="84"/>
      <c r="I1282" s="86"/>
      <c r="J1282" s="87"/>
      <c r="K1282" s="91"/>
      <c r="L1282" s="89"/>
      <c r="M1282" s="26"/>
      <c r="N1282" s="26"/>
      <c r="O1282" s="26"/>
      <c r="P1282" s="26"/>
    </row>
    <row r="1283">
      <c r="A1283" s="90"/>
      <c r="B1283" s="82"/>
      <c r="C1283" s="83"/>
      <c r="D1283" s="82"/>
      <c r="E1283" s="84"/>
      <c r="F1283" s="85"/>
      <c r="G1283" s="86"/>
      <c r="H1283" s="84"/>
      <c r="I1283" s="86"/>
      <c r="J1283" s="87"/>
      <c r="K1283" s="91"/>
      <c r="L1283" s="89"/>
      <c r="M1283" s="26"/>
      <c r="N1283" s="26"/>
      <c r="O1283" s="26"/>
      <c r="P1283" s="26"/>
    </row>
    <row r="1284">
      <c r="A1284" s="90"/>
      <c r="B1284" s="82"/>
      <c r="C1284" s="83"/>
      <c r="D1284" s="82"/>
      <c r="E1284" s="84"/>
      <c r="F1284" s="85"/>
      <c r="G1284" s="86"/>
      <c r="H1284" s="84"/>
      <c r="I1284" s="86"/>
      <c r="J1284" s="87"/>
      <c r="K1284" s="91"/>
      <c r="L1284" s="89"/>
      <c r="M1284" s="26"/>
      <c r="N1284" s="26"/>
      <c r="O1284" s="26"/>
      <c r="P1284" s="26"/>
    </row>
    <row r="1285">
      <c r="A1285" s="90"/>
      <c r="B1285" s="82"/>
      <c r="C1285" s="83"/>
      <c r="D1285" s="82"/>
      <c r="E1285" s="84"/>
      <c r="F1285" s="85"/>
      <c r="G1285" s="86"/>
      <c r="H1285" s="84"/>
      <c r="I1285" s="86"/>
      <c r="J1285" s="87"/>
      <c r="K1285" s="91"/>
      <c r="L1285" s="89"/>
      <c r="M1285" s="26"/>
      <c r="N1285" s="26"/>
      <c r="O1285" s="26"/>
      <c r="P1285" s="26"/>
    </row>
    <row r="1286">
      <c r="A1286" s="90"/>
      <c r="B1286" s="82"/>
      <c r="C1286" s="83"/>
      <c r="D1286" s="82"/>
      <c r="E1286" s="84"/>
      <c r="F1286" s="85"/>
      <c r="G1286" s="86"/>
      <c r="H1286" s="84"/>
      <c r="I1286" s="86"/>
      <c r="J1286" s="87"/>
      <c r="K1286" s="91"/>
      <c r="L1286" s="89"/>
      <c r="M1286" s="26"/>
      <c r="N1286" s="26"/>
      <c r="O1286" s="26"/>
      <c r="P1286" s="26"/>
    </row>
    <row r="1287">
      <c r="A1287" s="90"/>
      <c r="B1287" s="82"/>
      <c r="C1287" s="83"/>
      <c r="D1287" s="82"/>
      <c r="E1287" s="84"/>
      <c r="F1287" s="85"/>
      <c r="G1287" s="86"/>
      <c r="H1287" s="84"/>
      <c r="I1287" s="86"/>
      <c r="J1287" s="87"/>
      <c r="K1287" s="91"/>
      <c r="L1287" s="89"/>
      <c r="M1287" s="26"/>
      <c r="N1287" s="26"/>
      <c r="O1287" s="26"/>
      <c r="P1287" s="26"/>
    </row>
    <row r="1288">
      <c r="A1288" s="90"/>
      <c r="B1288" s="82"/>
      <c r="C1288" s="83"/>
      <c r="D1288" s="82"/>
      <c r="E1288" s="84"/>
      <c r="F1288" s="85"/>
      <c r="G1288" s="86"/>
      <c r="H1288" s="84"/>
      <c r="I1288" s="86"/>
      <c r="J1288" s="87"/>
      <c r="K1288" s="91"/>
      <c r="L1288" s="89"/>
      <c r="M1288" s="26"/>
      <c r="N1288" s="26"/>
      <c r="O1288" s="26"/>
      <c r="P1288" s="26"/>
    </row>
    <row r="1289">
      <c r="A1289" s="90"/>
      <c r="B1289" s="82"/>
      <c r="C1289" s="83"/>
      <c r="D1289" s="82"/>
      <c r="E1289" s="84"/>
      <c r="F1289" s="85"/>
      <c r="G1289" s="86"/>
      <c r="H1289" s="84"/>
      <c r="I1289" s="86"/>
      <c r="J1289" s="87"/>
      <c r="K1289" s="91"/>
      <c r="L1289" s="89"/>
      <c r="M1289" s="26"/>
      <c r="N1289" s="26"/>
      <c r="O1289" s="26"/>
      <c r="P1289" s="26"/>
    </row>
    <row r="1290">
      <c r="A1290" s="90"/>
      <c r="B1290" s="82"/>
      <c r="C1290" s="83"/>
      <c r="D1290" s="82"/>
      <c r="E1290" s="84"/>
      <c r="F1290" s="85"/>
      <c r="G1290" s="86"/>
      <c r="H1290" s="84"/>
      <c r="I1290" s="86"/>
      <c r="J1290" s="87"/>
      <c r="K1290" s="91"/>
      <c r="L1290" s="89"/>
      <c r="M1290" s="26"/>
      <c r="N1290" s="26"/>
      <c r="O1290" s="26"/>
      <c r="P1290" s="26"/>
    </row>
    <row r="1291">
      <c r="A1291" s="90"/>
      <c r="B1291" s="82"/>
      <c r="C1291" s="83"/>
      <c r="D1291" s="82"/>
      <c r="E1291" s="84"/>
      <c r="F1291" s="85"/>
      <c r="G1291" s="86"/>
      <c r="H1291" s="84"/>
      <c r="I1291" s="86"/>
      <c r="J1291" s="87"/>
      <c r="K1291" s="91"/>
      <c r="L1291" s="89"/>
      <c r="M1291" s="26"/>
      <c r="N1291" s="26"/>
      <c r="O1291" s="26"/>
      <c r="P1291" s="26"/>
    </row>
    <row r="1292">
      <c r="A1292" s="90"/>
      <c r="B1292" s="82"/>
      <c r="C1292" s="83"/>
      <c r="D1292" s="82"/>
      <c r="E1292" s="84"/>
      <c r="F1292" s="85"/>
      <c r="G1292" s="86"/>
      <c r="H1292" s="84"/>
      <c r="I1292" s="86"/>
      <c r="J1292" s="87"/>
      <c r="K1292" s="91"/>
      <c r="L1292" s="89"/>
      <c r="M1292" s="26"/>
      <c r="N1292" s="26"/>
      <c r="O1292" s="26"/>
      <c r="P1292" s="26"/>
    </row>
    <row r="1293">
      <c r="A1293" s="90"/>
      <c r="B1293" s="82"/>
      <c r="C1293" s="83"/>
      <c r="D1293" s="82"/>
      <c r="E1293" s="84"/>
      <c r="F1293" s="85"/>
      <c r="G1293" s="86"/>
      <c r="H1293" s="84"/>
      <c r="I1293" s="86"/>
      <c r="J1293" s="87"/>
      <c r="K1293" s="91"/>
      <c r="L1293" s="89"/>
      <c r="M1293" s="26"/>
      <c r="N1293" s="26"/>
      <c r="O1293" s="26"/>
      <c r="P1293" s="26"/>
    </row>
    <row r="1294">
      <c r="A1294" s="90"/>
      <c r="B1294" s="82"/>
      <c r="C1294" s="83"/>
      <c r="D1294" s="82"/>
      <c r="E1294" s="84"/>
      <c r="F1294" s="85"/>
      <c r="G1294" s="86"/>
      <c r="H1294" s="84"/>
      <c r="I1294" s="86"/>
      <c r="J1294" s="87"/>
      <c r="K1294" s="91"/>
      <c r="L1294" s="89"/>
      <c r="M1294" s="26"/>
      <c r="N1294" s="26"/>
      <c r="O1294" s="26"/>
      <c r="P1294" s="26"/>
    </row>
    <row r="1295">
      <c r="A1295" s="90"/>
      <c r="B1295" s="82"/>
      <c r="C1295" s="83"/>
      <c r="D1295" s="82"/>
      <c r="E1295" s="84"/>
      <c r="F1295" s="85"/>
      <c r="G1295" s="86"/>
      <c r="H1295" s="84"/>
      <c r="I1295" s="86"/>
      <c r="J1295" s="87"/>
      <c r="K1295" s="91"/>
      <c r="L1295" s="89"/>
      <c r="M1295" s="26"/>
      <c r="N1295" s="26"/>
      <c r="O1295" s="26"/>
      <c r="P1295" s="26"/>
    </row>
    <row r="1296">
      <c r="A1296" s="90"/>
      <c r="B1296" s="82"/>
      <c r="C1296" s="83"/>
      <c r="D1296" s="82"/>
      <c r="E1296" s="84"/>
      <c r="F1296" s="85"/>
      <c r="G1296" s="86"/>
      <c r="H1296" s="84"/>
      <c r="I1296" s="86"/>
      <c r="J1296" s="87"/>
      <c r="K1296" s="91"/>
      <c r="L1296" s="89"/>
      <c r="M1296" s="26"/>
      <c r="N1296" s="26"/>
      <c r="O1296" s="26"/>
      <c r="P1296" s="26"/>
    </row>
    <row r="1297">
      <c r="A1297" s="90"/>
      <c r="B1297" s="82"/>
      <c r="C1297" s="83"/>
      <c r="D1297" s="82"/>
      <c r="E1297" s="84"/>
      <c r="F1297" s="85"/>
      <c r="G1297" s="86"/>
      <c r="H1297" s="84"/>
      <c r="I1297" s="86"/>
      <c r="J1297" s="87"/>
      <c r="K1297" s="91"/>
      <c r="L1297" s="89"/>
      <c r="M1297" s="26"/>
      <c r="N1297" s="26"/>
      <c r="O1297" s="26"/>
      <c r="P1297" s="26"/>
    </row>
    <row r="1298">
      <c r="A1298" s="90"/>
      <c r="B1298" s="82"/>
      <c r="C1298" s="83"/>
      <c r="D1298" s="82"/>
      <c r="E1298" s="84"/>
      <c r="F1298" s="85"/>
      <c r="G1298" s="86"/>
      <c r="H1298" s="84"/>
      <c r="I1298" s="86"/>
      <c r="J1298" s="87"/>
      <c r="K1298" s="91"/>
      <c r="L1298" s="89"/>
      <c r="M1298" s="26"/>
      <c r="N1298" s="26"/>
      <c r="O1298" s="26"/>
      <c r="P1298" s="26"/>
    </row>
    <row r="1299">
      <c r="A1299" s="90"/>
      <c r="B1299" s="82"/>
      <c r="C1299" s="83"/>
      <c r="D1299" s="82"/>
      <c r="E1299" s="84"/>
      <c r="F1299" s="85"/>
      <c r="G1299" s="86"/>
      <c r="H1299" s="84"/>
      <c r="I1299" s="86"/>
      <c r="J1299" s="87"/>
      <c r="K1299" s="91"/>
      <c r="L1299" s="89"/>
      <c r="M1299" s="26"/>
      <c r="N1299" s="26"/>
      <c r="O1299" s="26"/>
      <c r="P1299" s="26"/>
    </row>
    <row r="1300">
      <c r="A1300" s="90"/>
      <c r="B1300" s="82"/>
      <c r="C1300" s="83"/>
      <c r="D1300" s="82"/>
      <c r="E1300" s="84"/>
      <c r="F1300" s="85"/>
      <c r="G1300" s="86"/>
      <c r="H1300" s="84"/>
      <c r="I1300" s="86"/>
      <c r="J1300" s="87"/>
      <c r="K1300" s="91"/>
      <c r="L1300" s="89"/>
      <c r="M1300" s="26"/>
      <c r="N1300" s="26"/>
      <c r="O1300" s="26"/>
      <c r="P1300" s="26"/>
    </row>
    <row r="1301">
      <c r="A1301" s="90"/>
      <c r="B1301" s="82"/>
      <c r="C1301" s="83"/>
      <c r="D1301" s="82"/>
      <c r="E1301" s="84"/>
      <c r="F1301" s="85"/>
      <c r="G1301" s="86"/>
      <c r="H1301" s="84"/>
      <c r="I1301" s="86"/>
      <c r="J1301" s="87"/>
      <c r="K1301" s="91"/>
      <c r="L1301" s="89"/>
      <c r="M1301" s="26"/>
      <c r="N1301" s="26"/>
      <c r="O1301" s="26"/>
      <c r="P1301" s="26"/>
    </row>
    <row r="1302">
      <c r="A1302" s="90"/>
      <c r="B1302" s="82"/>
      <c r="C1302" s="83"/>
      <c r="D1302" s="82"/>
      <c r="E1302" s="84"/>
      <c r="F1302" s="85"/>
      <c r="G1302" s="86"/>
      <c r="H1302" s="84"/>
      <c r="I1302" s="86"/>
      <c r="J1302" s="87"/>
      <c r="K1302" s="91"/>
      <c r="L1302" s="89"/>
      <c r="M1302" s="26"/>
      <c r="N1302" s="26"/>
      <c r="O1302" s="26"/>
      <c r="P1302" s="26"/>
    </row>
    <row r="1303">
      <c r="A1303" s="90"/>
      <c r="B1303" s="82"/>
      <c r="C1303" s="83"/>
      <c r="D1303" s="82"/>
      <c r="E1303" s="84"/>
      <c r="F1303" s="85"/>
      <c r="G1303" s="86"/>
      <c r="H1303" s="84"/>
      <c r="I1303" s="86"/>
      <c r="J1303" s="87"/>
      <c r="K1303" s="91"/>
      <c r="L1303" s="89"/>
      <c r="M1303" s="26"/>
      <c r="N1303" s="26"/>
      <c r="O1303" s="26"/>
      <c r="P1303" s="26"/>
    </row>
    <row r="1304">
      <c r="A1304" s="90"/>
      <c r="B1304" s="82"/>
      <c r="C1304" s="83"/>
      <c r="D1304" s="82"/>
      <c r="E1304" s="84"/>
      <c r="F1304" s="85"/>
      <c r="G1304" s="86"/>
      <c r="H1304" s="84"/>
      <c r="I1304" s="86"/>
      <c r="J1304" s="87"/>
      <c r="K1304" s="91"/>
      <c r="L1304" s="89"/>
      <c r="M1304" s="26"/>
      <c r="N1304" s="26"/>
      <c r="O1304" s="26"/>
      <c r="P1304" s="26"/>
    </row>
    <row r="1305">
      <c r="A1305" s="90"/>
      <c r="B1305" s="82"/>
      <c r="C1305" s="83"/>
      <c r="D1305" s="82"/>
      <c r="E1305" s="84"/>
      <c r="F1305" s="85"/>
      <c r="G1305" s="86"/>
      <c r="H1305" s="84"/>
      <c r="I1305" s="86"/>
      <c r="J1305" s="87"/>
      <c r="K1305" s="91"/>
      <c r="L1305" s="89"/>
      <c r="M1305" s="26"/>
      <c r="N1305" s="26"/>
      <c r="O1305" s="26"/>
      <c r="P1305" s="26"/>
    </row>
    <row r="1306">
      <c r="A1306" s="90"/>
      <c r="B1306" s="82"/>
      <c r="C1306" s="83"/>
      <c r="D1306" s="82"/>
      <c r="E1306" s="84"/>
      <c r="F1306" s="85"/>
      <c r="G1306" s="86"/>
      <c r="H1306" s="84"/>
      <c r="I1306" s="86"/>
      <c r="J1306" s="87"/>
      <c r="K1306" s="91"/>
      <c r="L1306" s="89"/>
      <c r="M1306" s="26"/>
      <c r="N1306" s="26"/>
      <c r="O1306" s="26"/>
      <c r="P1306" s="26"/>
    </row>
    <row r="1307">
      <c r="A1307" s="90"/>
      <c r="B1307" s="82"/>
      <c r="C1307" s="83"/>
      <c r="D1307" s="82"/>
      <c r="E1307" s="84"/>
      <c r="F1307" s="85"/>
      <c r="G1307" s="86"/>
      <c r="H1307" s="84"/>
      <c r="I1307" s="86"/>
      <c r="J1307" s="87"/>
      <c r="K1307" s="91"/>
      <c r="L1307" s="89"/>
      <c r="M1307" s="26"/>
      <c r="N1307" s="26"/>
      <c r="O1307" s="26"/>
      <c r="P1307" s="26"/>
    </row>
    <row r="1308">
      <c r="A1308" s="90"/>
      <c r="B1308" s="82"/>
      <c r="C1308" s="83"/>
      <c r="D1308" s="82"/>
      <c r="E1308" s="84"/>
      <c r="F1308" s="85"/>
      <c r="G1308" s="86"/>
      <c r="H1308" s="84"/>
      <c r="I1308" s="86"/>
      <c r="J1308" s="87"/>
      <c r="K1308" s="91"/>
      <c r="L1308" s="89"/>
      <c r="M1308" s="26"/>
      <c r="N1308" s="26"/>
      <c r="O1308" s="26"/>
      <c r="P1308" s="26"/>
    </row>
    <row r="1309">
      <c r="A1309" s="90"/>
      <c r="B1309" s="82"/>
      <c r="C1309" s="83"/>
      <c r="D1309" s="82"/>
      <c r="E1309" s="84"/>
      <c r="F1309" s="85"/>
      <c r="G1309" s="86"/>
      <c r="H1309" s="84"/>
      <c r="I1309" s="86"/>
      <c r="J1309" s="87"/>
      <c r="K1309" s="91"/>
      <c r="L1309" s="89"/>
      <c r="M1309" s="26"/>
      <c r="N1309" s="26"/>
      <c r="O1309" s="26"/>
      <c r="P1309" s="26"/>
    </row>
    <row r="1310">
      <c r="A1310" s="90"/>
      <c r="B1310" s="82"/>
      <c r="C1310" s="83"/>
      <c r="D1310" s="82"/>
      <c r="E1310" s="84"/>
      <c r="F1310" s="85"/>
      <c r="G1310" s="86"/>
      <c r="H1310" s="84"/>
      <c r="I1310" s="86"/>
      <c r="J1310" s="87"/>
      <c r="K1310" s="91"/>
      <c r="L1310" s="89"/>
      <c r="M1310" s="26"/>
      <c r="N1310" s="26"/>
      <c r="O1310" s="26"/>
      <c r="P1310" s="26"/>
    </row>
    <row r="1311">
      <c r="A1311" s="90"/>
      <c r="B1311" s="82"/>
      <c r="C1311" s="83"/>
      <c r="D1311" s="82"/>
      <c r="E1311" s="84"/>
      <c r="F1311" s="85"/>
      <c r="G1311" s="86"/>
      <c r="H1311" s="84"/>
      <c r="I1311" s="86"/>
      <c r="J1311" s="87"/>
      <c r="K1311" s="91"/>
      <c r="L1311" s="89"/>
      <c r="M1311" s="26"/>
      <c r="N1311" s="26"/>
      <c r="O1311" s="26"/>
      <c r="P1311" s="26"/>
    </row>
    <row r="1312">
      <c r="A1312" s="90"/>
      <c r="B1312" s="82"/>
      <c r="C1312" s="83"/>
      <c r="D1312" s="82"/>
      <c r="E1312" s="84"/>
      <c r="F1312" s="85"/>
      <c r="G1312" s="86"/>
      <c r="H1312" s="84"/>
      <c r="I1312" s="86"/>
      <c r="J1312" s="87"/>
      <c r="K1312" s="91"/>
      <c r="L1312" s="89"/>
      <c r="M1312" s="26"/>
      <c r="N1312" s="26"/>
      <c r="O1312" s="26"/>
      <c r="P1312" s="26"/>
    </row>
    <row r="1313">
      <c r="A1313" s="90"/>
      <c r="B1313" s="82"/>
      <c r="C1313" s="83"/>
      <c r="D1313" s="82"/>
      <c r="E1313" s="84"/>
      <c r="F1313" s="85"/>
      <c r="G1313" s="86"/>
      <c r="H1313" s="84"/>
      <c r="I1313" s="86"/>
      <c r="J1313" s="87"/>
      <c r="K1313" s="91"/>
      <c r="L1313" s="89"/>
      <c r="M1313" s="26"/>
      <c r="N1313" s="26"/>
      <c r="O1313" s="26"/>
      <c r="P1313" s="26"/>
    </row>
    <row r="1314">
      <c r="A1314" s="90"/>
      <c r="B1314" s="82"/>
      <c r="C1314" s="83"/>
      <c r="D1314" s="82"/>
      <c r="E1314" s="84"/>
      <c r="F1314" s="85"/>
      <c r="G1314" s="86"/>
      <c r="H1314" s="84"/>
      <c r="I1314" s="86"/>
      <c r="J1314" s="87"/>
      <c r="K1314" s="91"/>
      <c r="L1314" s="89"/>
      <c r="M1314" s="26"/>
      <c r="N1314" s="26"/>
      <c r="O1314" s="26"/>
      <c r="P1314" s="26"/>
    </row>
    <row r="1315">
      <c r="A1315" s="90"/>
      <c r="B1315" s="82"/>
      <c r="C1315" s="83"/>
      <c r="D1315" s="82"/>
      <c r="E1315" s="84"/>
      <c r="F1315" s="85"/>
      <c r="G1315" s="86"/>
      <c r="H1315" s="84"/>
      <c r="I1315" s="86"/>
      <c r="J1315" s="87"/>
      <c r="K1315" s="91"/>
      <c r="L1315" s="89"/>
      <c r="M1315" s="26"/>
      <c r="N1315" s="26"/>
      <c r="O1315" s="26"/>
      <c r="P1315" s="26"/>
    </row>
    <row r="1316">
      <c r="A1316" s="90"/>
      <c r="B1316" s="82"/>
      <c r="C1316" s="83"/>
      <c r="D1316" s="82"/>
      <c r="E1316" s="84"/>
      <c r="F1316" s="85"/>
      <c r="G1316" s="86"/>
      <c r="H1316" s="84"/>
      <c r="I1316" s="86"/>
      <c r="J1316" s="87"/>
      <c r="K1316" s="91"/>
      <c r="L1316" s="89"/>
      <c r="M1316" s="26"/>
      <c r="N1316" s="26"/>
      <c r="O1316" s="26"/>
      <c r="P1316" s="26"/>
    </row>
    <row r="1317">
      <c r="A1317" s="90"/>
      <c r="B1317" s="82"/>
      <c r="C1317" s="83"/>
      <c r="D1317" s="82"/>
      <c r="E1317" s="84"/>
      <c r="F1317" s="85"/>
      <c r="G1317" s="86"/>
      <c r="H1317" s="84"/>
      <c r="I1317" s="86"/>
      <c r="J1317" s="87"/>
      <c r="K1317" s="91"/>
      <c r="L1317" s="89"/>
      <c r="M1317" s="26"/>
      <c r="N1317" s="26"/>
      <c r="O1317" s="26"/>
      <c r="P1317" s="26"/>
    </row>
    <row r="1318">
      <c r="A1318" s="90"/>
      <c r="B1318" s="82"/>
      <c r="C1318" s="83"/>
      <c r="D1318" s="82"/>
      <c r="E1318" s="84"/>
      <c r="F1318" s="85"/>
      <c r="G1318" s="86"/>
      <c r="H1318" s="84"/>
      <c r="I1318" s="86"/>
      <c r="J1318" s="87"/>
      <c r="K1318" s="91"/>
      <c r="L1318" s="89"/>
      <c r="M1318" s="26"/>
      <c r="N1318" s="26"/>
      <c r="O1318" s="26"/>
      <c r="P1318" s="26"/>
    </row>
    <row r="1319">
      <c r="A1319" s="90"/>
      <c r="B1319" s="82"/>
      <c r="C1319" s="83"/>
      <c r="D1319" s="82"/>
      <c r="E1319" s="84"/>
      <c r="F1319" s="85"/>
      <c r="G1319" s="86"/>
      <c r="H1319" s="84"/>
      <c r="I1319" s="86"/>
      <c r="J1319" s="87"/>
      <c r="K1319" s="91"/>
      <c r="L1319" s="89"/>
      <c r="M1319" s="26"/>
      <c r="N1319" s="26"/>
      <c r="O1319" s="26"/>
      <c r="P1319" s="26"/>
    </row>
  </sheetData>
  <autoFilter ref="$A$2:$N$779"/>
  <conditionalFormatting sqref="B1">
    <cfRule type="cellIs" dxfId="1" priority="1" operator="equal">
      <formula>"Xbox"</formula>
    </cfRule>
  </conditionalFormatting>
  <conditionalFormatting sqref="A3:A1319">
    <cfRule type="expression" dxfId="2" priority="2">
      <formula>MATCH(A3,INDIRECT("'Xbox Game Studios'!A:A"),0)</formula>
    </cfRule>
  </conditionalFormatting>
  <conditionalFormatting sqref="A3:A1319">
    <cfRule type="expression" dxfId="3" priority="3">
      <formula>MATCH(A3,INDIRECT("'EA Play'!A:A"),0)</formula>
    </cfRule>
  </conditionalFormatting>
  <conditionalFormatting sqref="A3:A1319 D3:D1319">
    <cfRule type="expression" dxfId="4" priority="4">
      <formula>$D3="Coming Soon"</formula>
    </cfRule>
  </conditionalFormatting>
  <conditionalFormatting sqref="A3:A1319 D3:D1319">
    <cfRule type="expression" dxfId="5" priority="5">
      <formula>$D3="Removed"</formula>
    </cfRule>
  </conditionalFormatting>
  <conditionalFormatting sqref="A3:A1319 D3:D1319">
    <cfRule type="expression" dxfId="6" priority="6">
      <formula>$D3="Leaving Soon"</formula>
    </cfRule>
  </conditionalFormatting>
  <conditionalFormatting sqref="E3:E1319 I3:I1319">
    <cfRule type="expression" dxfId="1" priority="7">
      <formula>AND($E3&lt;&gt;"",(($E3-$H3)/365*12)&lt;1)</formula>
    </cfRule>
  </conditionalFormatting>
  <conditionalFormatting sqref="J3:J1319">
    <cfRule type="cellIs" dxfId="3" priority="8" operator="between">
      <formula>75</formula>
      <formula>90</formula>
    </cfRule>
  </conditionalFormatting>
  <conditionalFormatting sqref="J3:J1319">
    <cfRule type="cellIs" dxfId="2" priority="9" operator="between">
      <formula>50</formula>
      <formula>75</formula>
    </cfRule>
  </conditionalFormatting>
  <conditionalFormatting sqref="J3:J1319">
    <cfRule type="cellIs" dxfId="5" priority="10" operator="between">
      <formula>1</formula>
      <formula>50</formula>
    </cfRule>
  </conditionalFormatting>
  <conditionalFormatting sqref="B3:B1319">
    <cfRule type="expression" dxfId="7" priority="11">
      <formula>AND(MATCH(A3,INDIRECT("'Cross Play'!D2:D"),0),MATCH(A3,INDIRECT("'Cross Play'!A2:A"),0))</formula>
    </cfRule>
  </conditionalFormatting>
  <conditionalFormatting sqref="B3:B1319">
    <cfRule type="expression" dxfId="8" priority="12">
      <formula>MATCH(A3,INDIRECT("'Cross Play'!A2:A"),0)</formula>
    </cfRule>
  </conditionalFormatting>
  <conditionalFormatting sqref="B3:B1319">
    <cfRule type="expression" dxfId="9" priority="13">
      <formula>MATCH(A3,INDIRECT("'Cross Play'!D2:D"),0)</formula>
    </cfRule>
  </conditionalFormatting>
  <conditionalFormatting sqref="I3:I131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1319">
    <cfRule type="cellIs" dxfId="10" priority="16" operator="between">
      <formula>90</formula>
      <formula>100</formula>
    </cfRule>
  </conditionalFormatting>
  <conditionalFormatting sqref="G3:G1319">
    <cfRule type="expression" dxfId="11" priority="17">
      <formula>MATCH(A3,INDIRECT("'Xbox Game Studios'!A:A"),0)</formula>
    </cfRule>
  </conditionalFormatting>
  <conditionalFormatting sqref="G3:G1319">
    <cfRule type="expression" dxfId="11" priority="18">
      <formula>MATCH(A3,INDIRECT("'EA Play'!A:A"),0)</formula>
    </cfRule>
  </conditionalFormatting>
  <conditionalFormatting sqref="G3:G131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2.0"/>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4" width="16.43"/>
    <col customWidth="1" min="15" max="16" width="9.29"/>
  </cols>
  <sheetData>
    <row r="1">
      <c r="A1" s="1" t="s">
        <v>0</v>
      </c>
      <c r="B1" s="2">
        <f>COUNTIF(D2:D779,"Active")+COUNTIF(D2:D779,"Leaving Soon")</f>
        <v>482</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List'!C2:C779, ""Extra""), NOT(REGEXMATCH('Master List'!D2:D779, ""Removed"")) ), 10, false)"),"Thank Goodness You’re Here!")</f>
        <v>Thank Goodness You’re Here!</v>
      </c>
      <c r="B3" s="15" t="str">
        <f>IFERROR(__xludf.DUMMYFUNCTION("""COMPUTED_VALUE"""),"PS5/PS4")</f>
        <v>PS5/PS4</v>
      </c>
      <c r="C3" s="16" t="str">
        <f>IFERROR(__xludf.DUMMYFUNCTION("""COMPUTED_VALUE"""),"Extra")</f>
        <v>Extra</v>
      </c>
      <c r="D3" s="15" t="str">
        <f>IFERROR(__xludf.DUMMYFUNCTION("""COMPUTED_VALUE"""),"Active")</f>
        <v>Active</v>
      </c>
      <c r="E3" s="17">
        <f>IFERROR(__xludf.DUMMYFUNCTION("""COMPUTED_VALUE"""),45979.0)</f>
        <v>45979</v>
      </c>
      <c r="F3" s="18"/>
      <c r="G3" s="19">
        <f>IFERROR(__xludf.DUMMYFUNCTION("""COMPUTED_VALUE"""),10.6)</f>
        <v>10.6</v>
      </c>
      <c r="H3" s="17">
        <f>IFERROR(__xludf.DUMMYFUNCTION("""COMPUTED_VALUE"""),45505.0)</f>
        <v>45505</v>
      </c>
      <c r="I3" s="19">
        <f>IFERROR(__xludf.DUMMYFUNCTION("""COMPUTED_VALUE"""),1.2972222222222223)</f>
        <v>1.297222222</v>
      </c>
      <c r="J3" s="21">
        <f>IFERROR(__xludf.DUMMYFUNCTION("""COMPUTED_VALUE"""),100.0)</f>
        <v>100</v>
      </c>
      <c r="K3" s="23">
        <f>IFERROR(__xludf.DUMMYFUNCTION("""COMPUTED_VALUE"""),7.8)</f>
        <v>7.8</v>
      </c>
      <c r="L3" s="24" t="str">
        <f>IFERROR(__xludf.DUMMYFUNCTION("""COMPUTED_VALUE"""),"2")</f>
        <v>2</v>
      </c>
      <c r="M3" s="25" t="str">
        <f>IFERROR(__xludf.DUMMYFUNCTION("""COMPUTED_VALUE"""),"Action-Adventure")</f>
        <v>Action-Adventure</v>
      </c>
      <c r="N3" s="25"/>
      <c r="O3" s="25"/>
      <c r="P3" s="26"/>
    </row>
    <row r="4">
      <c r="A4" s="13" t="str">
        <f>IFERROR(__xludf.DUMMYFUNCTION("""COMPUTED_VALUE"""),"Red Dead Redemption 2")</f>
        <v>Red Dead Redemption 2</v>
      </c>
      <c r="B4" s="15" t="str">
        <f>IFERROR(__xludf.DUMMYFUNCTION("""COMPUTED_VALUE"""),"PS4")</f>
        <v>PS4</v>
      </c>
      <c r="C4" s="16" t="str">
        <f>IFERROR(__xludf.DUMMYFUNCTION("""COMPUTED_VALUE"""),"Extra")</f>
        <v>Extra</v>
      </c>
      <c r="D4" s="15" t="str">
        <f>IFERROR(__xludf.DUMMYFUNCTION("""COMPUTED_VALUE"""),"Active")</f>
        <v>Active</v>
      </c>
      <c r="E4" s="17">
        <f>IFERROR(__xludf.DUMMYFUNCTION("""COMPUTED_VALUE"""),46161.0)</f>
        <v>46161</v>
      </c>
      <c r="F4" s="18"/>
      <c r="G4" s="19">
        <f>IFERROR(__xludf.DUMMYFUNCTION("""COMPUTED_VALUE"""),4.566666666666666)</f>
        <v>4.566666667</v>
      </c>
      <c r="H4" s="17">
        <f>IFERROR(__xludf.DUMMYFUNCTION("""COMPUTED_VALUE"""),43399.0)</f>
        <v>43399</v>
      </c>
      <c r="I4" s="19">
        <f>IFERROR(__xludf.DUMMYFUNCTION("""COMPUTED_VALUE"""),7.563888888888889)</f>
        <v>7.563888889</v>
      </c>
      <c r="J4" s="21">
        <f>IFERROR(__xludf.DUMMYFUNCTION("""COMPUTED_VALUE"""),97.0)</f>
        <v>97</v>
      </c>
      <c r="K4" s="23">
        <f>IFERROR(__xludf.DUMMYFUNCTION("""COMPUTED_VALUE"""),9.0)</f>
        <v>9</v>
      </c>
      <c r="L4" s="24">
        <f>IFERROR(__xludf.DUMMYFUNCTION("""COMPUTED_VALUE"""),50.5)</f>
        <v>50.5</v>
      </c>
      <c r="M4" s="25" t="str">
        <f>IFERROR(__xludf.DUMMYFUNCTION("""COMPUTED_VALUE"""),"Action-Adventure")</f>
        <v>Action-Adventure</v>
      </c>
      <c r="N4" s="25"/>
      <c r="O4" s="25"/>
      <c r="P4" s="26"/>
    </row>
    <row r="5">
      <c r="A5" s="13" t="str">
        <f>IFERROR(__xludf.DUMMYFUNCTION("""COMPUTED_VALUE"""),"Grand Theft Auto V")</f>
        <v>Grand Theft Auto V</v>
      </c>
      <c r="B5" s="15" t="str">
        <f>IFERROR(__xludf.DUMMYFUNCTION("""COMPUTED_VALUE"""),"PS5/PS4")</f>
        <v>PS5/PS4</v>
      </c>
      <c r="C5" s="16" t="str">
        <f>IFERROR(__xludf.DUMMYFUNCTION("""COMPUTED_VALUE"""),"Extra")</f>
        <v>Extra</v>
      </c>
      <c r="D5" s="15" t="str">
        <f>IFERROR(__xludf.DUMMYFUNCTION("""COMPUTED_VALUE"""),"Active")</f>
        <v>Active</v>
      </c>
      <c r="E5" s="17">
        <f>IFERROR(__xludf.DUMMYFUNCTION("""COMPUTED_VALUE"""),45979.0)</f>
        <v>45979</v>
      </c>
      <c r="F5" s="18"/>
      <c r="G5" s="19">
        <f>IFERROR(__xludf.DUMMYFUNCTION("""COMPUTED_VALUE"""),10.6)</f>
        <v>10.6</v>
      </c>
      <c r="H5" s="17">
        <f>IFERROR(__xludf.DUMMYFUNCTION("""COMPUTED_VALUE"""),41961.0)</f>
        <v>41961</v>
      </c>
      <c r="I5" s="19">
        <f>IFERROR(__xludf.DUMMYFUNCTION("""COMPUTED_VALUE"""),11.0)</f>
        <v>11</v>
      </c>
      <c r="J5" s="21">
        <f>IFERROR(__xludf.DUMMYFUNCTION("""COMPUTED_VALUE"""),97.0)</f>
        <v>97</v>
      </c>
      <c r="K5" s="23">
        <f>IFERROR(__xludf.DUMMYFUNCTION("""COMPUTED_VALUE"""),8.4)</f>
        <v>8.4</v>
      </c>
      <c r="L5" s="24">
        <f>IFERROR(__xludf.DUMMYFUNCTION("""COMPUTED_VALUE"""),32.0)</f>
        <v>32</v>
      </c>
      <c r="M5" s="25" t="str">
        <f>IFERROR(__xludf.DUMMYFUNCTION("""COMPUTED_VALUE"""),"Action-Adventure")</f>
        <v>Action-Adventure</v>
      </c>
      <c r="N5" s="25"/>
      <c r="O5" s="25" t="str">
        <f>IFERROR(__xludf.DUMMYFUNCTION("""COMPUTED_VALUE"""),"Yes")</f>
        <v>Yes</v>
      </c>
      <c r="P5" s="26"/>
    </row>
    <row r="6">
      <c r="A6" s="13" t="str">
        <f>IFERROR(__xludf.DUMMYFUNCTION("""COMPUTED_VALUE"""),"Persona 5 Royal")</f>
        <v>Persona 5 Royal</v>
      </c>
      <c r="B6" s="15" t="str">
        <f>IFERROR(__xludf.DUMMYFUNCTION("""COMPUTED_VALUE"""),"PS5/PS4")</f>
        <v>PS5/PS4</v>
      </c>
      <c r="C6" s="16" t="str">
        <f>IFERROR(__xludf.DUMMYFUNCTION("""COMPUTED_VALUE"""),"Extra")</f>
        <v>Extra</v>
      </c>
      <c r="D6" s="15" t="str">
        <f>IFERROR(__xludf.DUMMYFUNCTION("""COMPUTED_VALUE"""),"Active")</f>
        <v>Active</v>
      </c>
      <c r="E6" s="17">
        <f>IFERROR(__xludf.DUMMYFUNCTION("""COMPUTED_VALUE"""),46098.0)</f>
        <v>46098</v>
      </c>
      <c r="F6" s="18"/>
      <c r="G6" s="19">
        <f>IFERROR(__xludf.DUMMYFUNCTION("""COMPUTED_VALUE"""),6.633333333333334)</f>
        <v>6.633333333</v>
      </c>
      <c r="H6" s="17">
        <f>IFERROR(__xludf.DUMMYFUNCTION("""COMPUTED_VALUE"""),43921.0)</f>
        <v>43921</v>
      </c>
      <c r="I6" s="19">
        <f>IFERROR(__xludf.DUMMYFUNCTION("""COMPUTED_VALUE"""),5.963888888888889)</f>
        <v>5.963888889</v>
      </c>
      <c r="J6" s="21">
        <f>IFERROR(__xludf.DUMMYFUNCTION("""COMPUTED_VALUE"""),95.0)</f>
        <v>95</v>
      </c>
      <c r="K6" s="23">
        <f>IFERROR(__xludf.DUMMYFUNCTION("""COMPUTED_VALUE"""),8.7)</f>
        <v>8.7</v>
      </c>
      <c r="L6" s="24">
        <f>IFERROR(__xludf.DUMMYFUNCTION("""COMPUTED_VALUE"""),103.0)</f>
        <v>103</v>
      </c>
      <c r="M6" s="25" t="str">
        <f>IFERROR(__xludf.DUMMYFUNCTION("""COMPUTED_VALUE"""),"RPG")</f>
        <v>RPG</v>
      </c>
      <c r="N6" s="25" t="str">
        <f>IFERROR(__xludf.DUMMYFUNCTION("""COMPUTED_VALUE"""),"Royal for PS5, Ultimate Edition for PS4")</f>
        <v>Royal for PS5, Ultimate Edition for PS4</v>
      </c>
      <c r="O6" s="25"/>
      <c r="P6" s="26"/>
    </row>
    <row r="7">
      <c r="A7" s="13" t="str">
        <f>IFERROR(__xludf.DUMMYFUNCTION("""COMPUTED_VALUE"""),"God of War: Ragnarök")</f>
        <v>God of War: Ragnarök</v>
      </c>
      <c r="B7" s="15" t="str">
        <f>IFERROR(__xludf.DUMMYFUNCTION("""COMPUTED_VALUE"""),"PS5/PS4")</f>
        <v>PS5/PS4</v>
      </c>
      <c r="C7" s="16" t="str">
        <f>IFERROR(__xludf.DUMMYFUNCTION("""COMPUTED_VALUE"""),"Extra")</f>
        <v>Extra</v>
      </c>
      <c r="D7" s="15" t="str">
        <f>IFERROR(__xludf.DUMMYFUNCTION("""COMPUTED_VALUE"""),"Active")</f>
        <v>Active</v>
      </c>
      <c r="E7" s="17">
        <f>IFERROR(__xludf.DUMMYFUNCTION("""COMPUTED_VALUE"""),45678.0)</f>
        <v>45678</v>
      </c>
      <c r="F7" s="18"/>
      <c r="G7" s="19">
        <f>IFERROR(__xludf.DUMMYFUNCTION("""COMPUTED_VALUE"""),20.5)</f>
        <v>20.5</v>
      </c>
      <c r="H7" s="17">
        <f>IFERROR(__xludf.DUMMYFUNCTION("""COMPUTED_VALUE"""),44874.0)</f>
        <v>44874</v>
      </c>
      <c r="I7" s="19">
        <f>IFERROR(__xludf.DUMMYFUNCTION("""COMPUTED_VALUE"""),2.2)</f>
        <v>2.2</v>
      </c>
      <c r="J7" s="21">
        <f>IFERROR(__xludf.DUMMYFUNCTION("""COMPUTED_VALUE"""),94.0)</f>
        <v>94</v>
      </c>
      <c r="K7" s="23">
        <f>IFERROR(__xludf.DUMMYFUNCTION("""COMPUTED_VALUE"""),8.2)</f>
        <v>8.2</v>
      </c>
      <c r="L7" s="24">
        <f>IFERROR(__xludf.DUMMYFUNCTION("""COMPUTED_VALUE"""),27.0)</f>
        <v>27</v>
      </c>
      <c r="M7" s="25" t="str">
        <f>IFERROR(__xludf.DUMMYFUNCTION("""COMPUTED_VALUE"""),"Action-Adventure")</f>
        <v>Action-Adventure</v>
      </c>
      <c r="N7" s="25"/>
      <c r="O7" s="25" t="str">
        <f>IFERROR(__xludf.DUMMYFUNCTION("""COMPUTED_VALUE"""),"Yes")</f>
        <v>Yes</v>
      </c>
      <c r="P7" s="26"/>
    </row>
    <row r="8">
      <c r="A8" s="13" t="str">
        <f>IFERROR(__xludf.DUMMYFUNCTION("""COMPUTED_VALUE"""),"Celeste")</f>
        <v>Celeste</v>
      </c>
      <c r="B8" s="15" t="str">
        <f>IFERROR(__xludf.DUMMYFUNCTION("""COMPUTED_VALUE"""),"PS4")</f>
        <v>PS4</v>
      </c>
      <c r="C8" s="16" t="str">
        <f>IFERROR(__xludf.DUMMYFUNCTION("""COMPUTED_VALUE"""),"Extra")</f>
        <v>Extra</v>
      </c>
      <c r="D8" s="15" t="str">
        <f>IFERROR(__xludf.DUMMYFUNCTION("""COMPUTED_VALUE"""),"Active")</f>
        <v>Active</v>
      </c>
      <c r="E8" s="17">
        <f>IFERROR(__xludf.DUMMYFUNCTION("""COMPUTED_VALUE"""),44725.0)</f>
        <v>44725</v>
      </c>
      <c r="F8" s="18"/>
      <c r="G8" s="19">
        <f>IFERROR(__xludf.DUMMYFUNCTION("""COMPUTED_VALUE"""),51.766666666666666)</f>
        <v>51.76666667</v>
      </c>
      <c r="H8" s="17">
        <f>IFERROR(__xludf.DUMMYFUNCTION("""COMPUTED_VALUE"""),43125.0)</f>
        <v>43125</v>
      </c>
      <c r="I8" s="19">
        <f>IFERROR(__xludf.DUMMYFUNCTION("""COMPUTED_VALUE"""),4.383333333333334)</f>
        <v>4.383333333</v>
      </c>
      <c r="J8" s="21">
        <f>IFERROR(__xludf.DUMMYFUNCTION("""COMPUTED_VALUE"""),93.0)</f>
        <v>93</v>
      </c>
      <c r="K8" s="23">
        <f>IFERROR(__xludf.DUMMYFUNCTION("""COMPUTED_VALUE"""),8.7)</f>
        <v>8.7</v>
      </c>
      <c r="L8" s="24">
        <f>IFERROR(__xludf.DUMMYFUNCTION("""COMPUTED_VALUE"""),8.0)</f>
        <v>8</v>
      </c>
      <c r="M8" s="25" t="str">
        <f>IFERROR(__xludf.DUMMYFUNCTION("""COMPUTED_VALUE"""),"Platformer")</f>
        <v>Platformer</v>
      </c>
      <c r="N8" s="25"/>
      <c r="O8" s="25" t="str">
        <f>IFERROR(__xludf.DUMMYFUNCTION("""COMPUTED_VALUE"""),"Yes")</f>
        <v>Yes</v>
      </c>
      <c r="P8" s="26"/>
    </row>
    <row r="9">
      <c r="A9" s="35" t="str">
        <f>IFERROR(__xludf.DUMMYFUNCTION("""COMPUTED_VALUE"""),"Uncharted 4: A Thief's End")</f>
        <v>Uncharted 4: A Thief's End</v>
      </c>
      <c r="B9" s="15" t="str">
        <f>IFERROR(__xludf.DUMMYFUNCTION("""COMPUTED_VALUE"""),"PS4")</f>
        <v>PS4</v>
      </c>
      <c r="C9" s="16" t="str">
        <f>IFERROR(__xludf.DUMMYFUNCTION("""COMPUTED_VALUE"""),"Extra")</f>
        <v>Extra</v>
      </c>
      <c r="D9" s="15" t="str">
        <f>IFERROR(__xludf.DUMMYFUNCTION("""COMPUTED_VALUE"""),"Active")</f>
        <v>Active</v>
      </c>
      <c r="E9" s="17">
        <f>IFERROR(__xludf.DUMMYFUNCTION("""COMPUTED_VALUE"""),43928.0)</f>
        <v>43928</v>
      </c>
      <c r="F9" s="18"/>
      <c r="G9" s="19">
        <f>IFERROR(__xludf.DUMMYFUNCTION("""COMPUTED_VALUE"""),77.96666666666667)</f>
        <v>77.96666667</v>
      </c>
      <c r="H9" s="17">
        <f>IFERROR(__xludf.DUMMYFUNCTION("""COMPUTED_VALUE"""),42500.0)</f>
        <v>42500</v>
      </c>
      <c r="I9" s="19">
        <f>IFERROR(__xludf.DUMMYFUNCTION("""COMPUTED_VALUE"""),3.908333333333333)</f>
        <v>3.908333333</v>
      </c>
      <c r="J9" s="21">
        <f>IFERROR(__xludf.DUMMYFUNCTION("""COMPUTED_VALUE"""),93.0)</f>
        <v>93</v>
      </c>
      <c r="K9" s="23">
        <f>IFERROR(__xludf.DUMMYFUNCTION("""COMPUTED_VALUE"""),8.5)</f>
        <v>8.5</v>
      </c>
      <c r="L9" s="24">
        <f>IFERROR(__xludf.DUMMYFUNCTION("""COMPUTED_VALUE"""),15.0)</f>
        <v>15</v>
      </c>
      <c r="M9" s="25" t="str">
        <f>IFERROR(__xludf.DUMMYFUNCTION("""COMPUTED_VALUE"""),"Action-Adventure")</f>
        <v>Action-Adventure</v>
      </c>
      <c r="N9" s="25"/>
      <c r="O9" s="25" t="str">
        <f>IFERROR(__xludf.DUMMYFUNCTION("""COMPUTED_VALUE"""),"Yes")</f>
        <v>Yes</v>
      </c>
      <c r="P9" s="26"/>
    </row>
    <row r="10">
      <c r="A10" s="13" t="str">
        <f>IFERROR(__xludf.DUMMYFUNCTION("""COMPUTED_VALUE"""),"Blue Prince")</f>
        <v>Blue Prince</v>
      </c>
      <c r="B10" s="15" t="str">
        <f>IFERROR(__xludf.DUMMYFUNCTION("""COMPUTED_VALUE"""),"PS5")</f>
        <v>PS5</v>
      </c>
      <c r="C10" s="16" t="str">
        <f>IFERROR(__xludf.DUMMYFUNCTION("""COMPUTED_VALUE"""),"Extra")</f>
        <v>Extra</v>
      </c>
      <c r="D10" s="15" t="str">
        <f>IFERROR(__xludf.DUMMYFUNCTION("""COMPUTED_VALUE"""),"Active")</f>
        <v>Active</v>
      </c>
      <c r="E10" s="17">
        <f>IFERROR(__xludf.DUMMYFUNCTION("""COMPUTED_VALUE"""),45757.0)</f>
        <v>45757</v>
      </c>
      <c r="F10" s="18"/>
      <c r="G10" s="19">
        <f>IFERROR(__xludf.DUMMYFUNCTION("""COMPUTED_VALUE"""),17.866666666666667)</f>
        <v>17.86666667</v>
      </c>
      <c r="H10" s="17">
        <f>IFERROR(__xludf.DUMMYFUNCTION("""COMPUTED_VALUE"""),45757.0)</f>
        <v>45757</v>
      </c>
      <c r="I10" s="19">
        <f>IFERROR(__xludf.DUMMYFUNCTION("""COMPUTED_VALUE"""),0.0)</f>
        <v>0</v>
      </c>
      <c r="J10" s="21">
        <f>IFERROR(__xludf.DUMMYFUNCTION("""COMPUTED_VALUE"""),92.0)</f>
        <v>92</v>
      </c>
      <c r="K10" s="23">
        <f>IFERROR(__xludf.DUMMYFUNCTION("""COMPUTED_VALUE"""),7.8)</f>
        <v>7.8</v>
      </c>
      <c r="L10" s="24">
        <f>IFERROR(__xludf.DUMMYFUNCTION("""COMPUTED_VALUE"""),18.0)</f>
        <v>18</v>
      </c>
      <c r="M10" s="25" t="str">
        <f>IFERROR(__xludf.DUMMYFUNCTION("""COMPUTED_VALUE"""),"Action-Adventure")</f>
        <v>Action-Adventure</v>
      </c>
      <c r="N10" s="25"/>
      <c r="O10" s="25" t="str">
        <f>IFERROR(__xludf.DUMMYFUNCTION("""COMPUTED_VALUE"""),"No")</f>
        <v>No</v>
      </c>
      <c r="P10" s="26"/>
    </row>
    <row r="11">
      <c r="A11" s="13" t="str">
        <f>IFERROR(__xludf.DUMMYFUNCTION("""COMPUTED_VALUE"""),"Undertale")</f>
        <v>Undertale</v>
      </c>
      <c r="B11" s="15" t="str">
        <f>IFERROR(__xludf.DUMMYFUNCTION("""COMPUTED_VALUE"""),"PS4")</f>
        <v>PS4</v>
      </c>
      <c r="C11" s="16" t="str">
        <f>IFERROR(__xludf.DUMMYFUNCTION("""COMPUTED_VALUE"""),"Extra")</f>
        <v>Extra</v>
      </c>
      <c r="D11" s="15" t="str">
        <f>IFERROR(__xludf.DUMMYFUNCTION("""COMPUTED_VALUE"""),"Active")</f>
        <v>Active</v>
      </c>
      <c r="E11" s="17">
        <f>IFERROR(__xludf.DUMMYFUNCTION("""COMPUTED_VALUE"""),45125.0)</f>
        <v>45125</v>
      </c>
      <c r="F11" s="18"/>
      <c r="G11" s="19">
        <f>IFERROR(__xludf.DUMMYFUNCTION("""COMPUTED_VALUE"""),38.6)</f>
        <v>38.6</v>
      </c>
      <c r="H11" s="17">
        <f>IFERROR(__xludf.DUMMYFUNCTION("""COMPUTED_VALUE"""),42962.0)</f>
        <v>42962</v>
      </c>
      <c r="I11" s="19">
        <f>IFERROR(__xludf.DUMMYFUNCTION("""COMPUTED_VALUE"""),5.925)</f>
        <v>5.925</v>
      </c>
      <c r="J11" s="21">
        <f>IFERROR(__xludf.DUMMYFUNCTION("""COMPUTED_VALUE"""),92.0)</f>
        <v>92</v>
      </c>
      <c r="K11" s="23">
        <f>IFERROR(__xludf.DUMMYFUNCTION("""COMPUTED_VALUE"""),7.3)</f>
        <v>7.3</v>
      </c>
      <c r="L11" s="24">
        <f>IFERROR(__xludf.DUMMYFUNCTION("""COMPUTED_VALUE"""),7.0)</f>
        <v>7</v>
      </c>
      <c r="M11" s="25" t="str">
        <f>IFERROR(__xludf.DUMMYFUNCTION("""COMPUTED_VALUE"""),"RPG")</f>
        <v>RPG</v>
      </c>
      <c r="N11" s="25"/>
      <c r="O11" s="25" t="str">
        <f>IFERROR(__xludf.DUMMYFUNCTION("""COMPUTED_VALUE"""),"Yes")</f>
        <v>Yes</v>
      </c>
      <c r="P11" s="26"/>
    </row>
    <row r="12">
      <c r="A12" s="13" t="str">
        <f>IFERROR(__xludf.DUMMYFUNCTION("""COMPUTED_VALUE"""),"Demon's Souls")</f>
        <v>Demon's Souls</v>
      </c>
      <c r="B12" s="15" t="str">
        <f>IFERROR(__xludf.DUMMYFUNCTION("""COMPUTED_VALUE"""),"PS5")</f>
        <v>PS5</v>
      </c>
      <c r="C12" s="16" t="str">
        <f>IFERROR(__xludf.DUMMYFUNCTION("""COMPUTED_VALUE"""),"Extra")</f>
        <v>Extra</v>
      </c>
      <c r="D12" s="15" t="str">
        <f>IFERROR(__xludf.DUMMYFUNCTION("""COMPUTED_VALUE"""),"Active")</f>
        <v>Active</v>
      </c>
      <c r="E12" s="53">
        <f>IFERROR(__xludf.DUMMYFUNCTION("""COMPUTED_VALUE"""),44725.0)</f>
        <v>44725</v>
      </c>
      <c r="F12" s="54"/>
      <c r="G12" s="19">
        <f>IFERROR(__xludf.DUMMYFUNCTION("""COMPUTED_VALUE"""),51.766666666666666)</f>
        <v>51.76666667</v>
      </c>
      <c r="H12" s="17">
        <f>IFERROR(__xludf.DUMMYFUNCTION("""COMPUTED_VALUE"""),44147.0)</f>
        <v>44147</v>
      </c>
      <c r="I12" s="19">
        <f>IFERROR(__xludf.DUMMYFUNCTION("""COMPUTED_VALUE"""),1.586111111111111)</f>
        <v>1.586111111</v>
      </c>
      <c r="J12" s="21">
        <f>IFERROR(__xludf.DUMMYFUNCTION("""COMPUTED_VALUE"""),92.0)</f>
        <v>92</v>
      </c>
      <c r="K12" s="23">
        <f>IFERROR(__xludf.DUMMYFUNCTION("""COMPUTED_VALUE"""),8.0)</f>
        <v>8</v>
      </c>
      <c r="L12" s="24">
        <f>IFERROR(__xludf.DUMMYFUNCTION("""COMPUTED_VALUE"""),23.5)</f>
        <v>23.5</v>
      </c>
      <c r="M12" s="25" t="str">
        <f>IFERROR(__xludf.DUMMYFUNCTION("""COMPUTED_VALUE"""),"RPG")</f>
        <v>RPG</v>
      </c>
      <c r="N12" s="25"/>
      <c r="O12" s="25" t="str">
        <f>IFERROR(__xludf.DUMMYFUNCTION("""COMPUTED_VALUE"""),"Portal (PS5 + Premium)")</f>
        <v>Portal (PS5 + Premium)</v>
      </c>
      <c r="P12" s="26"/>
    </row>
    <row r="13">
      <c r="A13" s="13" t="str">
        <f>IFERROR(__xludf.DUMMYFUNCTION("""COMPUTED_VALUE"""),"Crusader Kings III")</f>
        <v>Crusader Kings III</v>
      </c>
      <c r="B13" s="15" t="str">
        <f>IFERROR(__xludf.DUMMYFUNCTION("""COMPUTED_VALUE"""),"PS5")</f>
        <v>PS5</v>
      </c>
      <c r="C13" s="16" t="str">
        <f>IFERROR(__xludf.DUMMYFUNCTION("""COMPUTED_VALUE"""),"Extra")</f>
        <v>Extra</v>
      </c>
      <c r="D13" s="15" t="str">
        <f>IFERROR(__xludf.DUMMYFUNCTION("""COMPUTED_VALUE"""),"Active")</f>
        <v>Active</v>
      </c>
      <c r="E13" s="17">
        <f>IFERROR(__xludf.DUMMYFUNCTION("""COMPUTED_VALUE"""),45461.0)</f>
        <v>45461</v>
      </c>
      <c r="F13" s="54"/>
      <c r="G13" s="19">
        <f>IFERROR(__xludf.DUMMYFUNCTION("""COMPUTED_VALUE"""),27.599999999999998)</f>
        <v>27.6</v>
      </c>
      <c r="H13" s="17">
        <f>IFERROR(__xludf.DUMMYFUNCTION("""COMPUTED_VALUE"""),44075.0)</f>
        <v>44075</v>
      </c>
      <c r="I13" s="19">
        <f>IFERROR(__xludf.DUMMYFUNCTION("""COMPUTED_VALUE"""),3.797222222222222)</f>
        <v>3.797222222</v>
      </c>
      <c r="J13" s="21">
        <f>IFERROR(__xludf.DUMMYFUNCTION("""COMPUTED_VALUE"""),91.0)</f>
        <v>91</v>
      </c>
      <c r="K13" s="23">
        <f>IFERROR(__xludf.DUMMYFUNCTION("""COMPUTED_VALUE"""),8.3)</f>
        <v>8.3</v>
      </c>
      <c r="L13" s="24">
        <f>IFERROR(__xludf.DUMMYFUNCTION("""COMPUTED_VALUE"""),71.0)</f>
        <v>71</v>
      </c>
      <c r="M13" s="25" t="str">
        <f>IFERROR(__xludf.DUMMYFUNCTION("""COMPUTED_VALUE"""),"Strategy")</f>
        <v>Strategy</v>
      </c>
      <c r="N13" s="25"/>
      <c r="O13" s="25" t="str">
        <f>IFERROR(__xludf.DUMMYFUNCTION("""COMPUTED_VALUE"""),"Portal (PS5 + Premium)")</f>
        <v>Portal (PS5 + Premium)</v>
      </c>
      <c r="P13" s="26"/>
    </row>
    <row r="14">
      <c r="A14" s="13" t="str">
        <f>IFERROR(__xludf.DUMMYFUNCTION("""COMPUTED_VALUE"""),"Shadow of the Colossus")</f>
        <v>Shadow of the Colossus</v>
      </c>
      <c r="B14" s="15" t="str">
        <f>IFERROR(__xludf.DUMMYFUNCTION("""COMPUTED_VALUE"""),"PS4")</f>
        <v>PS4</v>
      </c>
      <c r="C14" s="16" t="str">
        <f>IFERROR(__xludf.DUMMYFUNCTION("""COMPUTED_VALUE"""),"Extra")</f>
        <v>Extra</v>
      </c>
      <c r="D14" s="15" t="str">
        <f>IFERROR(__xludf.DUMMYFUNCTION("""COMPUTED_VALUE"""),"Active")</f>
        <v>Active</v>
      </c>
      <c r="E14" s="17">
        <f>IFERROR(__xludf.DUMMYFUNCTION("""COMPUTED_VALUE"""),44725.0)</f>
        <v>44725</v>
      </c>
      <c r="F14" s="54"/>
      <c r="G14" s="19">
        <f>IFERROR(__xludf.DUMMYFUNCTION("""COMPUTED_VALUE"""),51.766666666666666)</f>
        <v>51.76666667</v>
      </c>
      <c r="H14" s="17">
        <f>IFERROR(__xludf.DUMMYFUNCTION("""COMPUTED_VALUE"""),43137.0)</f>
        <v>43137</v>
      </c>
      <c r="I14" s="19">
        <f>IFERROR(__xludf.DUMMYFUNCTION("""COMPUTED_VALUE"""),4.352777777777778)</f>
        <v>4.352777778</v>
      </c>
      <c r="J14" s="21">
        <f>IFERROR(__xludf.DUMMYFUNCTION("""COMPUTED_VALUE"""),91.0)</f>
        <v>91</v>
      </c>
      <c r="K14" s="23">
        <f>IFERROR(__xludf.DUMMYFUNCTION("""COMPUTED_VALUE"""),8.8)</f>
        <v>8.8</v>
      </c>
      <c r="L14" s="24">
        <f>IFERROR(__xludf.DUMMYFUNCTION("""COMPUTED_VALUE"""),8.0)</f>
        <v>8</v>
      </c>
      <c r="M14" s="25" t="str">
        <f>IFERROR(__xludf.DUMMYFUNCTION("""COMPUTED_VALUE"""),"Action-Adventure")</f>
        <v>Action-Adventure</v>
      </c>
      <c r="N14" s="25"/>
      <c r="O14" s="25" t="str">
        <f>IFERROR(__xludf.DUMMYFUNCTION("""COMPUTED_VALUE"""),"Yes")</f>
        <v>Yes</v>
      </c>
      <c r="P14" s="26"/>
    </row>
    <row r="15">
      <c r="A15" s="13" t="str">
        <f>IFERROR(__xludf.DUMMYFUNCTION("""COMPUTED_VALUE"""),"Bloodborne")</f>
        <v>Bloodborne</v>
      </c>
      <c r="B15" s="15" t="str">
        <f>IFERROR(__xludf.DUMMYFUNCTION("""COMPUTED_VALUE"""),"PS4")</f>
        <v>PS4</v>
      </c>
      <c r="C15" s="16" t="str">
        <f>IFERROR(__xludf.DUMMYFUNCTION("""COMPUTED_VALUE"""),"Extra")</f>
        <v>Extra</v>
      </c>
      <c r="D15" s="15" t="str">
        <f>IFERROR(__xludf.DUMMYFUNCTION("""COMPUTED_VALUE"""),"Active")</f>
        <v>Active</v>
      </c>
      <c r="E15" s="17">
        <f>IFERROR(__xludf.DUMMYFUNCTION("""COMPUTED_VALUE"""),44147.0)</f>
        <v>44147</v>
      </c>
      <c r="F15" s="54"/>
      <c r="G15" s="19">
        <f>IFERROR(__xludf.DUMMYFUNCTION("""COMPUTED_VALUE"""),70.80000000000001)</f>
        <v>70.8</v>
      </c>
      <c r="H15" s="17">
        <f>IFERROR(__xludf.DUMMYFUNCTION("""COMPUTED_VALUE"""),42248.0)</f>
        <v>42248</v>
      </c>
      <c r="I15" s="19">
        <f>IFERROR(__xludf.DUMMYFUNCTION("""COMPUTED_VALUE"""),5.197222222222222)</f>
        <v>5.197222222</v>
      </c>
      <c r="J15" s="21">
        <f>IFERROR(__xludf.DUMMYFUNCTION("""COMPUTED_VALUE"""),91.0)</f>
        <v>91</v>
      </c>
      <c r="K15" s="23">
        <f>IFERROR(__xludf.DUMMYFUNCTION("""COMPUTED_VALUE"""),8.9)</f>
        <v>8.9</v>
      </c>
      <c r="L15" s="24">
        <f>IFERROR(__xludf.DUMMYFUNCTION("""COMPUTED_VALUE"""),33.5)</f>
        <v>33.5</v>
      </c>
      <c r="M15" s="25" t="str">
        <f>IFERROR(__xludf.DUMMYFUNCTION("""COMPUTED_VALUE"""),"RPG")</f>
        <v>RPG</v>
      </c>
      <c r="N15" s="25"/>
      <c r="O15" s="25" t="str">
        <f>IFERROR(__xludf.DUMMYFUNCTION("""COMPUTED_VALUE"""),"Yes")</f>
        <v>Yes</v>
      </c>
      <c r="P15" s="26"/>
    </row>
    <row r="16">
      <c r="A16" s="13" t="str">
        <f>IFERROR(__xludf.DUMMYFUNCTION("""COMPUTED_VALUE"""),"Hollow Knight: Voidheart Edition")</f>
        <v>Hollow Knight: Voidheart Edition</v>
      </c>
      <c r="B16" s="15" t="str">
        <f>IFERROR(__xludf.DUMMYFUNCTION("""COMPUTED_VALUE"""),"PS4")</f>
        <v>PS4</v>
      </c>
      <c r="C16" s="16" t="str">
        <f>IFERROR(__xludf.DUMMYFUNCTION("""COMPUTED_VALUE"""),"Extra")</f>
        <v>Extra</v>
      </c>
      <c r="D16" s="15" t="str">
        <f>IFERROR(__xludf.DUMMYFUNCTION("""COMPUTED_VALUE"""),"Active")</f>
        <v>Active</v>
      </c>
      <c r="E16" s="17">
        <f>IFERROR(__xludf.DUMMYFUNCTION("""COMPUTED_VALUE"""),44138.0)</f>
        <v>44138</v>
      </c>
      <c r="F16" s="54"/>
      <c r="G16" s="19">
        <f>IFERROR(__xludf.DUMMYFUNCTION("""COMPUTED_VALUE"""),71.1)</f>
        <v>71.1</v>
      </c>
      <c r="H16" s="17">
        <f>IFERROR(__xludf.DUMMYFUNCTION("""COMPUTED_VALUE"""),42790.0)</f>
        <v>42790</v>
      </c>
      <c r="I16" s="19">
        <f>IFERROR(__xludf.DUMMYFUNCTION("""COMPUTED_VALUE"""),3.691666666666667)</f>
        <v>3.691666667</v>
      </c>
      <c r="J16" s="21">
        <f>IFERROR(__xludf.DUMMYFUNCTION("""COMPUTED_VALUE"""),91.0)</f>
        <v>91</v>
      </c>
      <c r="K16" s="23">
        <f>IFERROR(__xludf.DUMMYFUNCTION("""COMPUTED_VALUE"""),8.7)</f>
        <v>8.7</v>
      </c>
      <c r="L16" s="24">
        <f>IFERROR(__xludf.DUMMYFUNCTION("""COMPUTED_VALUE"""),26.5)</f>
        <v>26.5</v>
      </c>
      <c r="M16" s="25" t="str">
        <f>IFERROR(__xludf.DUMMYFUNCTION("""COMPUTED_VALUE"""),"Platformer")</f>
        <v>Platformer</v>
      </c>
      <c r="N16" s="25"/>
      <c r="O16" s="25" t="str">
        <f>IFERROR(__xludf.DUMMYFUNCTION("""COMPUTED_VALUE"""),"Yes")</f>
        <v>Yes</v>
      </c>
      <c r="P16" s="26"/>
    </row>
    <row r="17">
      <c r="A17" s="13" t="str">
        <f>IFERROR(__xludf.DUMMYFUNCTION("""COMPUTED_VALUE"""),"Marvel’s Spider-Man 2")</f>
        <v>Marvel’s Spider-Man 2</v>
      </c>
      <c r="B17" s="15" t="str">
        <f>IFERROR(__xludf.DUMMYFUNCTION("""COMPUTED_VALUE"""),"PS5")</f>
        <v>PS5</v>
      </c>
      <c r="C17" s="16" t="str">
        <f>IFERROR(__xludf.DUMMYFUNCTION("""COMPUTED_VALUE"""),"Extra")</f>
        <v>Extra</v>
      </c>
      <c r="D17" s="15" t="str">
        <f>IFERROR(__xludf.DUMMYFUNCTION("""COMPUTED_VALUE"""),"Active")</f>
        <v>Active</v>
      </c>
      <c r="E17" s="17">
        <f>IFERROR(__xludf.DUMMYFUNCTION("""COMPUTED_VALUE"""),46070.0)</f>
        <v>46070</v>
      </c>
      <c r="F17" s="54"/>
      <c r="G17" s="19">
        <f>IFERROR(__xludf.DUMMYFUNCTION("""COMPUTED_VALUE"""),7.633333333333333)</f>
        <v>7.633333333</v>
      </c>
      <c r="H17" s="17">
        <f>IFERROR(__xludf.DUMMYFUNCTION("""COMPUTED_VALUE"""),45219.0)</f>
        <v>45219</v>
      </c>
      <c r="I17" s="19">
        <f>IFERROR(__xludf.DUMMYFUNCTION("""COMPUTED_VALUE"""),2.325)</f>
        <v>2.325</v>
      </c>
      <c r="J17" s="21">
        <f>IFERROR(__xludf.DUMMYFUNCTION("""COMPUTED_VALUE"""),90.0)</f>
        <v>90</v>
      </c>
      <c r="K17" s="23">
        <f>IFERROR(__xludf.DUMMYFUNCTION("""COMPUTED_VALUE"""),8.7)</f>
        <v>8.7</v>
      </c>
      <c r="L17" s="24">
        <f>IFERROR(__xludf.DUMMYFUNCTION("""COMPUTED_VALUE"""),17.0)</f>
        <v>17</v>
      </c>
      <c r="M17" s="25" t="str">
        <f>IFERROR(__xludf.DUMMYFUNCTION("""COMPUTED_VALUE"""),"Action-Adventure")</f>
        <v>Action-Adventure</v>
      </c>
      <c r="N17" s="25"/>
      <c r="O17" s="25" t="str">
        <f>IFERROR(__xludf.DUMMYFUNCTION("""COMPUTED_VALUE"""),"No")</f>
        <v>No</v>
      </c>
      <c r="P17" s="26"/>
    </row>
    <row r="18">
      <c r="A18" s="13" t="str">
        <f>IFERROR(__xludf.DUMMYFUNCTION("""COMPUTED_VALUE"""),"Rugby 25")</f>
        <v>Rugby 25</v>
      </c>
      <c r="B18" s="15" t="str">
        <f>IFERROR(__xludf.DUMMYFUNCTION("""COMPUTED_VALUE"""),"PS5/PS4")</f>
        <v>PS5/PS4</v>
      </c>
      <c r="C18" s="16" t="str">
        <f>IFERROR(__xludf.DUMMYFUNCTION("""COMPUTED_VALUE"""),"Extra")</f>
        <v>Extra</v>
      </c>
      <c r="D18" s="15" t="str">
        <f>IFERROR(__xludf.DUMMYFUNCTION("""COMPUTED_VALUE"""),"Active")</f>
        <v>Active</v>
      </c>
      <c r="E18" s="17">
        <f>IFERROR(__xludf.DUMMYFUNCTION("""COMPUTED_VALUE"""),46070.0)</f>
        <v>46070</v>
      </c>
      <c r="F18" s="54"/>
      <c r="G18" s="19">
        <f>IFERROR(__xludf.DUMMYFUNCTION("""COMPUTED_VALUE"""),7.633333333333333)</f>
        <v>7.633333333</v>
      </c>
      <c r="H18" s="17">
        <f>IFERROR(__xludf.DUMMYFUNCTION("""COMPUTED_VALUE"""),45701.0)</f>
        <v>45701</v>
      </c>
      <c r="I18" s="19">
        <f>IFERROR(__xludf.DUMMYFUNCTION("""COMPUTED_VALUE"""),1.011111111111111)</f>
        <v>1.011111111</v>
      </c>
      <c r="J18" s="21">
        <f>IFERROR(__xludf.DUMMYFUNCTION("""COMPUTED_VALUE"""),90.0)</f>
        <v>90</v>
      </c>
      <c r="K18" s="23">
        <f>IFERROR(__xludf.DUMMYFUNCTION("""COMPUTED_VALUE"""),7.4)</f>
        <v>7.4</v>
      </c>
      <c r="L18" s="24">
        <f>IFERROR(__xludf.DUMMYFUNCTION("""COMPUTED_VALUE"""),16.0)</f>
        <v>16</v>
      </c>
      <c r="M18" s="25" t="str">
        <f>IFERROR(__xludf.DUMMYFUNCTION("""COMPUTED_VALUE"""),"Sports")</f>
        <v>Sports</v>
      </c>
      <c r="N18" s="25"/>
      <c r="O18" s="25"/>
      <c r="P18" s="26"/>
    </row>
    <row r="19">
      <c r="A19" s="13" t="str">
        <f>IFERROR(__xludf.DUMMYFUNCTION("""COMPUTED_VALUE"""),"The Last of Us: Part 2 Remastered")</f>
        <v>The Last of Us: Part 2 Remastered</v>
      </c>
      <c r="B19" s="15" t="str">
        <f>IFERROR(__xludf.DUMMYFUNCTION("""COMPUTED_VALUE"""),"PS5")</f>
        <v>PS5</v>
      </c>
      <c r="C19" s="16" t="str">
        <f>IFERROR(__xludf.DUMMYFUNCTION("""COMPUTED_VALUE"""),"Extra")</f>
        <v>Extra</v>
      </c>
      <c r="D19" s="15" t="str">
        <f>IFERROR(__xludf.DUMMYFUNCTION("""COMPUTED_VALUE"""),"Active")</f>
        <v>Active</v>
      </c>
      <c r="E19" s="17">
        <f>IFERROR(__xludf.DUMMYFUNCTION("""COMPUTED_VALUE"""),45926.0)</f>
        <v>45926</v>
      </c>
      <c r="F19" s="54"/>
      <c r="G19" s="19">
        <f>IFERROR(__xludf.DUMMYFUNCTION("""COMPUTED_VALUE"""),12.333333333333332)</f>
        <v>12.33333333</v>
      </c>
      <c r="H19" s="17">
        <f>IFERROR(__xludf.DUMMYFUNCTION("""COMPUTED_VALUE"""),45310.0)</f>
        <v>45310</v>
      </c>
      <c r="I19" s="19">
        <f>IFERROR(__xludf.DUMMYFUNCTION("""COMPUTED_VALUE"""),1.6861111111111111)</f>
        <v>1.686111111</v>
      </c>
      <c r="J19" s="21">
        <f>IFERROR(__xludf.DUMMYFUNCTION("""COMPUTED_VALUE"""),90.0)</f>
        <v>90</v>
      </c>
      <c r="K19" s="23">
        <f>IFERROR(__xludf.DUMMYFUNCTION("""COMPUTED_VALUE"""),7.5)</f>
        <v>7.5</v>
      </c>
      <c r="L19" s="24">
        <f>IFERROR(__xludf.DUMMYFUNCTION("""COMPUTED_VALUE"""),23.0)</f>
        <v>23</v>
      </c>
      <c r="M19" s="25" t="str">
        <f>IFERROR(__xludf.DUMMYFUNCTION("""COMPUTED_VALUE"""),"Survival")</f>
        <v>Survival</v>
      </c>
      <c r="N19" s="25"/>
      <c r="O19" s="25" t="str">
        <f>IFERROR(__xludf.DUMMYFUNCTION("""COMPUTED_VALUE"""),"No")</f>
        <v>No</v>
      </c>
      <c r="P19" s="26"/>
    </row>
    <row r="20">
      <c r="A20" s="13" t="str">
        <f>IFERROR(__xludf.DUMMYFUNCTION("""COMPUTED_VALUE"""),"The Last of Us: Part I")</f>
        <v>The Last of Us: Part I</v>
      </c>
      <c r="B20" s="15" t="str">
        <f>IFERROR(__xludf.DUMMYFUNCTION("""COMPUTED_VALUE"""),"PS5")</f>
        <v>PS5</v>
      </c>
      <c r="C20" s="16" t="str">
        <f>IFERROR(__xludf.DUMMYFUNCTION("""COMPUTED_VALUE"""),"Extra")</f>
        <v>Extra</v>
      </c>
      <c r="D20" s="15" t="str">
        <f>IFERROR(__xludf.DUMMYFUNCTION("""COMPUTED_VALUE"""),"Active")</f>
        <v>Active</v>
      </c>
      <c r="E20" s="17">
        <f>IFERROR(__xludf.DUMMYFUNCTION("""COMPUTED_VALUE"""),45561.0)</f>
        <v>45561</v>
      </c>
      <c r="F20" s="54"/>
      <c r="G20" s="19">
        <f>IFERROR(__xludf.DUMMYFUNCTION("""COMPUTED_VALUE"""),24.333333333333332)</f>
        <v>24.33333333</v>
      </c>
      <c r="H20" s="17">
        <f>IFERROR(__xludf.DUMMYFUNCTION("""COMPUTED_VALUE"""),45310.0)</f>
        <v>45310</v>
      </c>
      <c r="I20" s="19">
        <f>IFERROR(__xludf.DUMMYFUNCTION("""COMPUTED_VALUE"""),0.6861111111111111)</f>
        <v>0.6861111111</v>
      </c>
      <c r="J20" s="21">
        <f>IFERROR(__xludf.DUMMYFUNCTION("""COMPUTED_VALUE"""),90.0)</f>
        <v>90</v>
      </c>
      <c r="K20" s="23">
        <f>IFERROR(__xludf.DUMMYFUNCTION("""COMPUTED_VALUE"""),7.8)</f>
        <v>7.8</v>
      </c>
      <c r="L20" s="24">
        <f>IFERROR(__xludf.DUMMYFUNCTION("""COMPUTED_VALUE"""),15.0)</f>
        <v>15</v>
      </c>
      <c r="M20" s="25" t="str">
        <f>IFERROR(__xludf.DUMMYFUNCTION("""COMPUTED_VALUE"""),"Survival")</f>
        <v>Survival</v>
      </c>
      <c r="N20" s="25"/>
      <c r="O20" s="25" t="str">
        <f>IFERROR(__xludf.DUMMYFUNCTION("""COMPUTED_VALUE"""),"Portal (PS5 + Premium)")</f>
        <v>Portal (PS5 + Premium)</v>
      </c>
      <c r="P20" s="26"/>
    </row>
    <row r="21">
      <c r="A21" s="13" t="str">
        <f>IFERROR(__xludf.DUMMYFUNCTION("""COMPUTED_VALUE"""),"Melty Blood: Type Lumina")</f>
        <v>Melty Blood: Type Lumina</v>
      </c>
      <c r="B21" s="15" t="str">
        <f>IFERROR(__xludf.DUMMYFUNCTION("""COMPUTED_VALUE"""),"PS4")</f>
        <v>PS4</v>
      </c>
      <c r="C21" s="16" t="str">
        <f>IFERROR(__xludf.DUMMYFUNCTION("""COMPUTED_VALUE"""),"Extra")</f>
        <v>Extra</v>
      </c>
      <c r="D21" s="15" t="str">
        <f>IFERROR(__xludf.DUMMYFUNCTION("""COMPUTED_VALUE"""),"Active")</f>
        <v>Active</v>
      </c>
      <c r="E21" s="17">
        <f>IFERROR(__xludf.DUMMYFUNCTION("""COMPUTED_VALUE"""),45125.0)</f>
        <v>45125</v>
      </c>
      <c r="F21" s="18"/>
      <c r="G21" s="19">
        <f>IFERROR(__xludf.DUMMYFUNCTION("""COMPUTED_VALUE"""),38.6)</f>
        <v>38.6</v>
      </c>
      <c r="H21" s="17">
        <f>IFERROR(__xludf.DUMMYFUNCTION("""COMPUTED_VALUE"""),44469.0)</f>
        <v>44469</v>
      </c>
      <c r="I21" s="19">
        <f>IFERROR(__xludf.DUMMYFUNCTION("""COMPUTED_VALUE"""),1.8)</f>
        <v>1.8</v>
      </c>
      <c r="J21" s="21">
        <f>IFERROR(__xludf.DUMMYFUNCTION("""COMPUTED_VALUE"""),90.0)</f>
        <v>90</v>
      </c>
      <c r="K21" s="23">
        <f>IFERROR(__xludf.DUMMYFUNCTION("""COMPUTED_VALUE"""),6.9)</f>
        <v>6.9</v>
      </c>
      <c r="L21" s="24">
        <f>IFERROR(__xludf.DUMMYFUNCTION("""COMPUTED_VALUE"""),6.0)</f>
        <v>6</v>
      </c>
      <c r="M21" s="25" t="str">
        <f>IFERROR(__xludf.DUMMYFUNCTION("""COMPUTED_VALUE"""),"Action-Adventure")</f>
        <v>Action-Adventure</v>
      </c>
      <c r="N21" s="25"/>
      <c r="O21" s="25" t="str">
        <f>IFERROR(__xludf.DUMMYFUNCTION("""COMPUTED_VALUE"""),"Yes")</f>
        <v>Yes</v>
      </c>
      <c r="P21" s="26"/>
    </row>
    <row r="22">
      <c r="A22" s="13" t="str">
        <f>IFERROR(__xludf.DUMMYFUNCTION("""COMPUTED_VALUE"""),"Rayman Legends")</f>
        <v>Rayman Legends</v>
      </c>
      <c r="B22" s="15" t="str">
        <f>IFERROR(__xludf.DUMMYFUNCTION("""COMPUTED_VALUE"""),"PS4")</f>
        <v>PS4</v>
      </c>
      <c r="C22" s="16" t="str">
        <f>IFERROR(__xludf.DUMMYFUNCTION("""COMPUTED_VALUE"""),"Extra (Ubisoft+ Classics)")</f>
        <v>Extra (Ubisoft+ Classics)</v>
      </c>
      <c r="D22" s="15" t="str">
        <f>IFERROR(__xludf.DUMMYFUNCTION("""COMPUTED_VALUE"""),"Active")</f>
        <v>Active</v>
      </c>
      <c r="E22" s="17">
        <f>IFERROR(__xludf.DUMMYFUNCTION("""COMPUTED_VALUE"""),44824.0)</f>
        <v>44824</v>
      </c>
      <c r="F22" s="54"/>
      <c r="G22" s="19">
        <f>IFERROR(__xludf.DUMMYFUNCTION("""COMPUTED_VALUE"""),48.53333333333333)</f>
        <v>48.53333333</v>
      </c>
      <c r="H22" s="17">
        <f>IFERROR(__xludf.DUMMYFUNCTION("""COMPUTED_VALUE"""),41515.0)</f>
        <v>41515</v>
      </c>
      <c r="I22" s="19">
        <f>IFERROR(__xludf.DUMMYFUNCTION("""COMPUTED_VALUE"""),9.058333333333334)</f>
        <v>9.058333333</v>
      </c>
      <c r="J22" s="21">
        <f>IFERROR(__xludf.DUMMYFUNCTION("""COMPUTED_VALUE"""),90.0)</f>
        <v>90</v>
      </c>
      <c r="K22" s="23">
        <f>IFERROR(__xludf.DUMMYFUNCTION("""COMPUTED_VALUE"""),8.3)</f>
        <v>8.3</v>
      </c>
      <c r="L22" s="24">
        <f>IFERROR(__xludf.DUMMYFUNCTION("""COMPUTED_VALUE"""),10.0)</f>
        <v>10</v>
      </c>
      <c r="M22" s="25" t="str">
        <f>IFERROR(__xludf.DUMMYFUNCTION("""COMPUTED_VALUE"""),"Platformer")</f>
        <v>Platformer</v>
      </c>
      <c r="N22" s="25"/>
      <c r="O22" s="25" t="str">
        <f>IFERROR(__xludf.DUMMYFUNCTION("""COMPUTED_VALUE"""),"Yes")</f>
        <v>Yes</v>
      </c>
      <c r="P22" s="26"/>
    </row>
    <row r="23">
      <c r="A23" s="13" t="str">
        <f>IFERROR(__xludf.DUMMYFUNCTION("""COMPUTED_VALUE"""),"Tetris Effect: Connected")</f>
        <v>Tetris Effect: Connected</v>
      </c>
      <c r="B23" s="15" t="str">
        <f>IFERROR(__xludf.DUMMYFUNCTION("""COMPUTED_VALUE"""),"PS4/PSVR")</f>
        <v>PS4/PSVR</v>
      </c>
      <c r="C23" s="16" t="str">
        <f>IFERROR(__xludf.DUMMYFUNCTION("""COMPUTED_VALUE"""),"Extra")</f>
        <v>Extra</v>
      </c>
      <c r="D23" s="15" t="str">
        <f>IFERROR(__xludf.DUMMYFUNCTION("""COMPUTED_VALUE"""),"Active")</f>
        <v>Active</v>
      </c>
      <c r="E23" s="17">
        <f>IFERROR(__xludf.DUMMYFUNCTION("""COMPUTED_VALUE"""),44725.0)</f>
        <v>44725</v>
      </c>
      <c r="F23" s="18"/>
      <c r="G23" s="19">
        <f>IFERROR(__xludf.DUMMYFUNCTION("""COMPUTED_VALUE"""),51.766666666666666)</f>
        <v>51.76666667</v>
      </c>
      <c r="H23" s="17">
        <f>IFERROR(__xludf.DUMMYFUNCTION("""COMPUTED_VALUE"""),44145.0)</f>
        <v>44145</v>
      </c>
      <c r="I23" s="19">
        <f>IFERROR(__xludf.DUMMYFUNCTION("""COMPUTED_VALUE"""),1.5916666666666666)</f>
        <v>1.591666667</v>
      </c>
      <c r="J23" s="21">
        <f>IFERROR(__xludf.DUMMYFUNCTION("""COMPUTED_VALUE"""),90.0)</f>
        <v>90</v>
      </c>
      <c r="K23" s="23">
        <f>IFERROR(__xludf.DUMMYFUNCTION("""COMPUTED_VALUE"""),7.4)</f>
        <v>7.4</v>
      </c>
      <c r="L23" s="24">
        <f>IFERROR(__xludf.DUMMYFUNCTION("""COMPUTED_VALUE"""),3.0)</f>
        <v>3</v>
      </c>
      <c r="M23" s="25" t="str">
        <f>IFERROR(__xludf.DUMMYFUNCTION("""COMPUTED_VALUE"""),"Puzzle")</f>
        <v>Puzzle</v>
      </c>
      <c r="N23" s="25"/>
      <c r="O23" s="25" t="str">
        <f>IFERROR(__xludf.DUMMYFUNCTION("""COMPUTED_VALUE"""),"No")</f>
        <v>No</v>
      </c>
      <c r="P23" s="26" t="str">
        <f>IFERROR(__xludf.DUMMYFUNCTION("""COMPUTED_VALUE"""),"Yes")</f>
        <v>Yes</v>
      </c>
    </row>
    <row r="24">
      <c r="A24" s="13" t="str">
        <f>IFERROR(__xludf.DUMMYFUNCTION("""COMPUTED_VALUE"""),"Kingdom Come: Deliverance II")</f>
        <v>Kingdom Come: Deliverance II</v>
      </c>
      <c r="B24" s="15" t="str">
        <f>IFERROR(__xludf.DUMMYFUNCTION("""COMPUTED_VALUE"""),"PS5")</f>
        <v>PS5</v>
      </c>
      <c r="C24" s="16" t="str">
        <f>IFERROR(__xludf.DUMMYFUNCTION("""COMPUTED_VALUE"""),"Extra")</f>
        <v>Extra</v>
      </c>
      <c r="D24" s="15" t="str">
        <f>IFERROR(__xludf.DUMMYFUNCTION("""COMPUTED_VALUE"""),"Active")</f>
        <v>Active</v>
      </c>
      <c r="E24" s="17">
        <f>IFERROR(__xludf.DUMMYFUNCTION("""COMPUTED_VALUE"""),46252.0)</f>
        <v>46252</v>
      </c>
      <c r="F24" s="18"/>
      <c r="G24" s="19">
        <f>IFERROR(__xludf.DUMMYFUNCTION("""COMPUTED_VALUE"""),1.6)</f>
        <v>1.6</v>
      </c>
      <c r="H24" s="17">
        <f>IFERROR(__xludf.DUMMYFUNCTION("""COMPUTED_VALUE"""),45692.0)</f>
        <v>45692</v>
      </c>
      <c r="I24" s="19">
        <f>IFERROR(__xludf.DUMMYFUNCTION("""COMPUTED_VALUE"""),1.538888888888889)</f>
        <v>1.538888889</v>
      </c>
      <c r="J24" s="21">
        <f>IFERROR(__xludf.DUMMYFUNCTION("""COMPUTED_VALUE"""),89.0)</f>
        <v>89</v>
      </c>
      <c r="K24" s="23">
        <f>IFERROR(__xludf.DUMMYFUNCTION("""COMPUTED_VALUE"""),8.7)</f>
        <v>8.7</v>
      </c>
      <c r="L24" s="24">
        <f>IFERROR(__xludf.DUMMYFUNCTION("""COMPUTED_VALUE"""),55.0)</f>
        <v>55</v>
      </c>
      <c r="M24" s="25" t="str">
        <f>IFERROR(__xludf.DUMMYFUNCTION("""COMPUTED_VALUE"""),"RPG")</f>
        <v>RPG</v>
      </c>
      <c r="N24" s="25"/>
      <c r="O24" s="25" t="str">
        <f>IFERROR(__xludf.DUMMYFUNCTION("""COMPUTED_VALUE"""),"No")</f>
        <v>No</v>
      </c>
      <c r="P24" s="26"/>
    </row>
    <row r="25">
      <c r="A25" s="13" t="str">
        <f>IFERROR(__xludf.DUMMYFUNCTION("""COMPUTED_VALUE"""),"Dreams")</f>
        <v>Dreams</v>
      </c>
      <c r="B25" s="15" t="str">
        <f>IFERROR(__xludf.DUMMYFUNCTION("""COMPUTED_VALUE"""),"PS4/PSVR")</f>
        <v>PS4/PSVR</v>
      </c>
      <c r="C25" s="16" t="str">
        <f>IFERROR(__xludf.DUMMYFUNCTION("""COMPUTED_VALUE"""),"Extra")</f>
        <v>Extra</v>
      </c>
      <c r="D25" s="15" t="str">
        <f>IFERROR(__xludf.DUMMYFUNCTION("""COMPUTED_VALUE"""),"Active")</f>
        <v>Active</v>
      </c>
      <c r="E25" s="17">
        <f>IFERROR(__xludf.DUMMYFUNCTION("""COMPUTED_VALUE"""),45153.0)</f>
        <v>45153</v>
      </c>
      <c r="F25" s="54"/>
      <c r="G25" s="19">
        <f>IFERROR(__xludf.DUMMYFUNCTION("""COMPUTED_VALUE"""),37.7)</f>
        <v>37.7</v>
      </c>
      <c r="H25" s="17">
        <f>IFERROR(__xludf.DUMMYFUNCTION("""COMPUTED_VALUE"""),43875.0)</f>
        <v>43875</v>
      </c>
      <c r="I25" s="19">
        <f>IFERROR(__xludf.DUMMYFUNCTION("""COMPUTED_VALUE"""),3.5027777777777778)</f>
        <v>3.502777778</v>
      </c>
      <c r="J25" s="21">
        <f>IFERROR(__xludf.DUMMYFUNCTION("""COMPUTED_VALUE"""),89.0)</f>
        <v>89</v>
      </c>
      <c r="K25" s="23">
        <f>IFERROR(__xludf.DUMMYFUNCTION("""COMPUTED_VALUE"""),8.7)</f>
        <v>8.7</v>
      </c>
      <c r="L25" s="24">
        <f>IFERROR(__xludf.DUMMYFUNCTION("""COMPUTED_VALUE"""),3.0)</f>
        <v>3</v>
      </c>
      <c r="M25" s="25" t="str">
        <f>IFERROR(__xludf.DUMMYFUNCTION("""COMPUTED_VALUE"""),"Action-Adventure")</f>
        <v>Action-Adventure</v>
      </c>
      <c r="N25" s="25"/>
      <c r="O25" s="25" t="str">
        <f>IFERROR(__xludf.DUMMYFUNCTION("""COMPUTED_VALUE"""),"Yes")</f>
        <v>Yes</v>
      </c>
      <c r="P25" s="26"/>
    </row>
    <row r="26">
      <c r="A26" s="13" t="str">
        <f>IFERROR(__xludf.DUMMYFUNCTION("""COMPUTED_VALUE"""),"Final Fantasy VII: Remake Intergrade")</f>
        <v>Final Fantasy VII: Remake Intergrade</v>
      </c>
      <c r="B26" s="15" t="str">
        <f>IFERROR(__xludf.DUMMYFUNCTION("""COMPUTED_VALUE"""),"PS5/PS4")</f>
        <v>PS5/PS4</v>
      </c>
      <c r="C26" s="16" t="str">
        <f>IFERROR(__xludf.DUMMYFUNCTION("""COMPUTED_VALUE"""),"Extra")</f>
        <v>Extra</v>
      </c>
      <c r="D26" s="15" t="str">
        <f>IFERROR(__xludf.DUMMYFUNCTION("""COMPUTED_VALUE"""),"Active")</f>
        <v>Active</v>
      </c>
      <c r="E26" s="17">
        <f>IFERROR(__xludf.DUMMYFUNCTION("""COMPUTED_VALUE"""),44761.0)</f>
        <v>44761</v>
      </c>
      <c r="F26" s="54"/>
      <c r="G26" s="19">
        <f>IFERROR(__xludf.DUMMYFUNCTION("""COMPUTED_VALUE"""),50.56666666666666)</f>
        <v>50.56666667</v>
      </c>
      <c r="H26" s="17">
        <f>IFERROR(__xludf.DUMMYFUNCTION("""COMPUTED_VALUE"""),44357.0)</f>
        <v>44357</v>
      </c>
      <c r="I26" s="19">
        <f>IFERROR(__xludf.DUMMYFUNCTION("""COMPUTED_VALUE"""),1.1083333333333334)</f>
        <v>1.108333333</v>
      </c>
      <c r="J26" s="21">
        <f>IFERROR(__xludf.DUMMYFUNCTION("""COMPUTED_VALUE"""),89.0)</f>
        <v>89</v>
      </c>
      <c r="K26" s="23">
        <f>IFERROR(__xludf.DUMMYFUNCTION("""COMPUTED_VALUE"""),8.4)</f>
        <v>8.4</v>
      </c>
      <c r="L26" s="24">
        <f>IFERROR(__xludf.DUMMYFUNCTION("""COMPUTED_VALUE"""),33.0)</f>
        <v>33</v>
      </c>
      <c r="M26" s="25" t="str">
        <f>IFERROR(__xludf.DUMMYFUNCTION("""COMPUTED_VALUE"""),"RPG")</f>
        <v>RPG</v>
      </c>
      <c r="N26" s="25" t="str">
        <f>IFERROR(__xludf.DUMMYFUNCTION("""COMPUTED_VALUE"""),"PS4 gets the base version")</f>
        <v>PS4 gets the base version</v>
      </c>
      <c r="O26" s="25" t="str">
        <f>IFERROR(__xludf.DUMMYFUNCTION("""COMPUTED_VALUE"""),"Yes")</f>
        <v>Yes</v>
      </c>
      <c r="P26" s="26"/>
    </row>
    <row r="27">
      <c r="A27" s="13" t="str">
        <f>IFERROR(__xludf.DUMMYFUNCTION("""COMPUTED_VALUE"""),"Dead Cells")</f>
        <v>Dead Cells</v>
      </c>
      <c r="B27" s="15" t="str">
        <f>IFERROR(__xludf.DUMMYFUNCTION("""COMPUTED_VALUE"""),"PS5/PS4")</f>
        <v>PS5/PS4</v>
      </c>
      <c r="C27" s="16" t="str">
        <f>IFERROR(__xludf.DUMMYFUNCTION("""COMPUTED_VALUE"""),"Extra")</f>
        <v>Extra</v>
      </c>
      <c r="D27" s="15" t="str">
        <f>IFERROR(__xludf.DUMMYFUNCTION("""COMPUTED_VALUE"""),"Active")</f>
        <v>Active</v>
      </c>
      <c r="E27" s="17">
        <f>IFERROR(__xludf.DUMMYFUNCTION("""COMPUTED_VALUE"""),44047.0)</f>
        <v>44047</v>
      </c>
      <c r="F27" s="54"/>
      <c r="G27" s="19">
        <f>IFERROR(__xludf.DUMMYFUNCTION("""COMPUTED_VALUE"""),74.06666666666666)</f>
        <v>74.06666667</v>
      </c>
      <c r="H27" s="17">
        <f>IFERROR(__xludf.DUMMYFUNCTION("""COMPUTED_VALUE"""),42865.0)</f>
        <v>42865</v>
      </c>
      <c r="I27" s="19">
        <f>IFERROR(__xludf.DUMMYFUNCTION("""COMPUTED_VALUE"""),3.2333333333333334)</f>
        <v>3.233333333</v>
      </c>
      <c r="J27" s="21">
        <f>IFERROR(__xludf.DUMMYFUNCTION("""COMPUTED_VALUE"""),89.0)</f>
        <v>89</v>
      </c>
      <c r="K27" s="23">
        <f>IFERROR(__xludf.DUMMYFUNCTION("""COMPUTED_VALUE"""),8.5)</f>
        <v>8.5</v>
      </c>
      <c r="L27" s="24">
        <f>IFERROR(__xludf.DUMMYFUNCTION("""COMPUTED_VALUE"""),14.0)</f>
        <v>14</v>
      </c>
      <c r="M27" s="25" t="str">
        <f>IFERROR(__xludf.DUMMYFUNCTION("""COMPUTED_VALUE"""),"Platformer")</f>
        <v>Platformer</v>
      </c>
      <c r="N27" s="25"/>
      <c r="O27" s="25" t="str">
        <f>IFERROR(__xludf.DUMMYFUNCTION("""COMPUTED_VALUE"""),"Yes")</f>
        <v>Yes</v>
      </c>
      <c r="P27" s="26"/>
    </row>
    <row r="28">
      <c r="A28" s="13" t="str">
        <f>IFERROR(__xludf.DUMMYFUNCTION("""COMPUTED_VALUE"""),"Child of Light")</f>
        <v>Child of Light</v>
      </c>
      <c r="B28" s="15" t="str">
        <f>IFERROR(__xludf.DUMMYFUNCTION("""COMPUTED_VALUE"""),"PS4")</f>
        <v>PS4</v>
      </c>
      <c r="C28" s="16" t="str">
        <f>IFERROR(__xludf.DUMMYFUNCTION("""COMPUTED_VALUE"""),"Extra (Ubisoft+ Classics)")</f>
        <v>Extra (Ubisoft+ Classics)</v>
      </c>
      <c r="D28" s="15" t="str">
        <f>IFERROR(__xludf.DUMMYFUNCTION("""COMPUTED_VALUE"""),"Active")</f>
        <v>Active</v>
      </c>
      <c r="E28" s="17">
        <f>IFERROR(__xludf.DUMMYFUNCTION("""COMPUTED_VALUE"""),42584.0)</f>
        <v>42584</v>
      </c>
      <c r="F28" s="54"/>
      <c r="G28" s="19">
        <f>IFERROR(__xludf.DUMMYFUNCTION("""COMPUTED_VALUE"""),122.13333333333333)</f>
        <v>122.1333333</v>
      </c>
      <c r="H28" s="17">
        <f>IFERROR(__xludf.DUMMYFUNCTION("""COMPUTED_VALUE"""),41759.0)</f>
        <v>41759</v>
      </c>
      <c r="I28" s="19">
        <f>IFERROR(__xludf.DUMMYFUNCTION("""COMPUTED_VALUE"""),2.2555555555555555)</f>
        <v>2.255555556</v>
      </c>
      <c r="J28" s="21">
        <f>IFERROR(__xludf.DUMMYFUNCTION("""COMPUTED_VALUE"""),89.0)</f>
        <v>89</v>
      </c>
      <c r="K28" s="23">
        <f>IFERROR(__xludf.DUMMYFUNCTION("""COMPUTED_VALUE"""),8.0)</f>
        <v>8</v>
      </c>
      <c r="L28" s="24">
        <f>IFERROR(__xludf.DUMMYFUNCTION("""COMPUTED_VALUE"""),12.0)</f>
        <v>12</v>
      </c>
      <c r="M28" s="25" t="str">
        <f>IFERROR(__xludf.DUMMYFUNCTION("""COMPUTED_VALUE"""),"RPG")</f>
        <v>RPG</v>
      </c>
      <c r="N28" s="25"/>
      <c r="O28" s="25" t="str">
        <f>IFERROR(__xludf.DUMMYFUNCTION("""COMPUTED_VALUE"""),"Yes")</f>
        <v>Yes</v>
      </c>
      <c r="P28" s="26" t="str">
        <f>IFERROR(__xludf.DUMMYFUNCTION("""COMPUTED_VALUE"""),"Yes")</f>
        <v>Yes</v>
      </c>
    </row>
    <row r="29">
      <c r="A29" s="13" t="str">
        <f>IFERROR(__xludf.DUMMYFUNCTION("""COMPUTED_VALUE"""),"The Talos Principle 2")</f>
        <v>The Talos Principle 2</v>
      </c>
      <c r="B29" s="15" t="str">
        <f>IFERROR(__xludf.DUMMYFUNCTION("""COMPUTED_VALUE"""),"PS5")</f>
        <v>PS5</v>
      </c>
      <c r="C29" s="16" t="str">
        <f>IFERROR(__xludf.DUMMYFUNCTION("""COMPUTED_VALUE"""),"Extra")</f>
        <v>Extra</v>
      </c>
      <c r="D29" s="15" t="str">
        <f>IFERROR(__xludf.DUMMYFUNCTION("""COMPUTED_VALUE"""),"Active")</f>
        <v>Active</v>
      </c>
      <c r="E29" s="17">
        <f>IFERROR(__xludf.DUMMYFUNCTION("""COMPUTED_VALUE"""),45979.0)</f>
        <v>45979</v>
      </c>
      <c r="F29" s="54"/>
      <c r="G29" s="19">
        <f>IFERROR(__xludf.DUMMYFUNCTION("""COMPUTED_VALUE"""),10.6)</f>
        <v>10.6</v>
      </c>
      <c r="H29" s="17">
        <f>IFERROR(__xludf.DUMMYFUNCTION("""COMPUTED_VALUE"""),45232.0)</f>
        <v>45232</v>
      </c>
      <c r="I29" s="19">
        <f>IFERROR(__xludf.DUMMYFUNCTION("""COMPUTED_VALUE"""),2.0444444444444443)</f>
        <v>2.044444444</v>
      </c>
      <c r="J29" s="21">
        <f>IFERROR(__xludf.DUMMYFUNCTION("""COMPUTED_VALUE"""),88.0)</f>
        <v>88</v>
      </c>
      <c r="K29" s="23">
        <f>IFERROR(__xludf.DUMMYFUNCTION("""COMPUTED_VALUE"""),8.5)</f>
        <v>8.5</v>
      </c>
      <c r="L29" s="24" t="str">
        <f>IFERROR(__xludf.DUMMYFUNCTION("""COMPUTED_VALUE"""),"27")</f>
        <v>27</v>
      </c>
      <c r="M29" s="25" t="str">
        <f>IFERROR(__xludf.DUMMYFUNCTION("""COMPUTED_VALUE"""),"Action-Adventure")</f>
        <v>Action-Adventure</v>
      </c>
      <c r="N29" s="25"/>
      <c r="O29" s="25" t="str">
        <f>IFERROR(__xludf.DUMMYFUNCTION("""COMPUTED_VALUE"""),"No")</f>
        <v>No</v>
      </c>
      <c r="P29" s="26"/>
    </row>
    <row r="30">
      <c r="A30" s="13" t="str">
        <f>IFERROR(__xludf.DUMMYFUNCTION("""COMPUTED_VALUE"""),"Abiotic Factor")</f>
        <v>Abiotic Factor</v>
      </c>
      <c r="B30" s="15" t="str">
        <f>IFERROR(__xludf.DUMMYFUNCTION("""COMPUTED_VALUE"""),"PS5")</f>
        <v>PS5</v>
      </c>
      <c r="C30" s="16" t="str">
        <f>IFERROR(__xludf.DUMMYFUNCTION("""COMPUTED_VALUE"""),"Extra")</f>
        <v>Extra</v>
      </c>
      <c r="D30" s="15" t="str">
        <f>IFERROR(__xludf.DUMMYFUNCTION("""COMPUTED_VALUE"""),"Active")</f>
        <v>Active</v>
      </c>
      <c r="E30" s="17">
        <f>IFERROR(__xludf.DUMMYFUNCTION("""COMPUTED_VALUE"""),45860.0)</f>
        <v>45860</v>
      </c>
      <c r="F30" s="54"/>
      <c r="G30" s="19">
        <f>IFERROR(__xludf.DUMMYFUNCTION("""COMPUTED_VALUE"""),14.466666666666665)</f>
        <v>14.46666667</v>
      </c>
      <c r="H30" s="17">
        <f>IFERROR(__xludf.DUMMYFUNCTION("""COMPUTED_VALUE"""),45860.0)</f>
        <v>45860</v>
      </c>
      <c r="I30" s="19">
        <f>IFERROR(__xludf.DUMMYFUNCTION("""COMPUTED_VALUE"""),0.0)</f>
        <v>0</v>
      </c>
      <c r="J30" s="21">
        <f>IFERROR(__xludf.DUMMYFUNCTION("""COMPUTED_VALUE"""),88.0)</f>
        <v>88</v>
      </c>
      <c r="K30" s="23">
        <f>IFERROR(__xludf.DUMMYFUNCTION("""COMPUTED_VALUE"""),8.4)</f>
        <v>8.4</v>
      </c>
      <c r="L30" s="24">
        <f>IFERROR(__xludf.DUMMYFUNCTION("""COMPUTED_VALUE"""),33.0)</f>
        <v>33</v>
      </c>
      <c r="M30" s="25" t="str">
        <f>IFERROR(__xludf.DUMMYFUNCTION("""COMPUTED_VALUE"""),"Survival")</f>
        <v>Survival</v>
      </c>
      <c r="N30" s="25"/>
      <c r="O30" s="25" t="str">
        <f>IFERROR(__xludf.DUMMYFUNCTION("""COMPUTED_VALUE"""),"No")</f>
        <v>No</v>
      </c>
      <c r="P30" s="26"/>
    </row>
    <row r="31">
      <c r="A31" s="13" t="str">
        <f>IFERROR(__xludf.DUMMYFUNCTION("""COMPUTED_VALUE"""),"Ratchet and Clank: Rift Apart")</f>
        <v>Ratchet and Clank: Rift Apart</v>
      </c>
      <c r="B31" s="15" t="str">
        <f>IFERROR(__xludf.DUMMYFUNCTION("""COMPUTED_VALUE"""),"PS5")</f>
        <v>PS5</v>
      </c>
      <c r="C31" s="16" t="str">
        <f>IFERROR(__xludf.DUMMYFUNCTION("""COMPUTED_VALUE"""),"Extra")</f>
        <v>Extra</v>
      </c>
      <c r="D31" s="15" t="str">
        <f>IFERROR(__xludf.DUMMYFUNCTION("""COMPUTED_VALUE"""),"Active")</f>
        <v>Active</v>
      </c>
      <c r="E31" s="17">
        <f>IFERROR(__xludf.DUMMYFUNCTION("""COMPUTED_VALUE"""),45062.0)</f>
        <v>45062</v>
      </c>
      <c r="F31" s="54"/>
      <c r="G31" s="19">
        <f>IFERROR(__xludf.DUMMYFUNCTION("""COMPUTED_VALUE"""),40.666666666666664)</f>
        <v>40.66666667</v>
      </c>
      <c r="H31" s="17">
        <f>IFERROR(__xludf.DUMMYFUNCTION("""COMPUTED_VALUE"""),44358.0)</f>
        <v>44358</v>
      </c>
      <c r="I31" s="19">
        <f>IFERROR(__xludf.DUMMYFUNCTION("""COMPUTED_VALUE"""),1.9305555555555556)</f>
        <v>1.930555556</v>
      </c>
      <c r="J31" s="21">
        <f>IFERROR(__xludf.DUMMYFUNCTION("""COMPUTED_VALUE"""),88.0)</f>
        <v>88</v>
      </c>
      <c r="K31" s="23">
        <f>IFERROR(__xludf.DUMMYFUNCTION("""COMPUTED_VALUE"""),8.5)</f>
        <v>8.5</v>
      </c>
      <c r="L31" s="24">
        <f>IFERROR(__xludf.DUMMYFUNCTION("""COMPUTED_VALUE"""),11.0)</f>
        <v>11</v>
      </c>
      <c r="M31" s="25" t="str">
        <f>IFERROR(__xludf.DUMMYFUNCTION("""COMPUTED_VALUE"""),"Platformer")</f>
        <v>Platformer</v>
      </c>
      <c r="N31" s="25"/>
      <c r="O31" s="25" t="str">
        <f>IFERROR(__xludf.DUMMYFUNCTION("""COMPUTED_VALUE"""),"Portal (PS5 + Premium)")</f>
        <v>Portal (PS5 + Premium)</v>
      </c>
      <c r="P31" s="26"/>
    </row>
    <row r="32">
      <c r="A32" s="13" t="str">
        <f>IFERROR(__xludf.DUMMYFUNCTION("""COMPUTED_VALUE"""),"Dishonored 2")</f>
        <v>Dishonored 2</v>
      </c>
      <c r="B32" s="15" t="str">
        <f>IFERROR(__xludf.DUMMYFUNCTION("""COMPUTED_VALUE"""),"PS4")</f>
        <v>PS4</v>
      </c>
      <c r="C32" s="16" t="str">
        <f>IFERROR(__xludf.DUMMYFUNCTION("""COMPUTED_VALUE"""),"Extra")</f>
        <v>Extra</v>
      </c>
      <c r="D32" s="15" t="str">
        <f>IFERROR(__xludf.DUMMYFUNCTION("""COMPUTED_VALUE"""),"Active")</f>
        <v>Active</v>
      </c>
      <c r="E32" s="17">
        <f>IFERROR(__xludf.DUMMYFUNCTION("""COMPUTED_VALUE"""),45062.0)</f>
        <v>45062</v>
      </c>
      <c r="F32" s="54"/>
      <c r="G32" s="19">
        <f>IFERROR(__xludf.DUMMYFUNCTION("""COMPUTED_VALUE"""),40.666666666666664)</f>
        <v>40.66666667</v>
      </c>
      <c r="H32" s="17">
        <f>IFERROR(__xludf.DUMMYFUNCTION("""COMPUTED_VALUE"""),42684.0)</f>
        <v>42684</v>
      </c>
      <c r="I32" s="19">
        <f>IFERROR(__xludf.DUMMYFUNCTION("""COMPUTED_VALUE"""),6.516666666666667)</f>
        <v>6.516666667</v>
      </c>
      <c r="J32" s="21">
        <f>IFERROR(__xludf.DUMMYFUNCTION("""COMPUTED_VALUE"""),88.0)</f>
        <v>88</v>
      </c>
      <c r="K32" s="23">
        <f>IFERROR(__xludf.DUMMYFUNCTION("""COMPUTED_VALUE"""),8.5)</f>
        <v>8.5</v>
      </c>
      <c r="L32" s="24">
        <f>IFERROR(__xludf.DUMMYFUNCTION("""COMPUTED_VALUE"""),13.0)</f>
        <v>13</v>
      </c>
      <c r="M32" s="25" t="str">
        <f>IFERROR(__xludf.DUMMYFUNCTION("""COMPUTED_VALUE"""),"Shooter")</f>
        <v>Shooter</v>
      </c>
      <c r="N32" s="25"/>
      <c r="O32" s="25" t="str">
        <f>IFERROR(__xludf.DUMMYFUNCTION("""COMPUTED_VALUE"""),"Yes")</f>
        <v>Yes</v>
      </c>
      <c r="P32" s="26"/>
    </row>
    <row r="33">
      <c r="A33" s="13" t="str">
        <f>IFERROR(__xludf.DUMMYFUNCTION("""COMPUTED_VALUE"""),"Rise of the Tomb Raider: 20 Year Celebration")</f>
        <v>Rise of the Tomb Raider: 20 Year Celebration</v>
      </c>
      <c r="B33" s="15" t="str">
        <f>IFERROR(__xludf.DUMMYFUNCTION("""COMPUTED_VALUE"""),"PS4/PSVR")</f>
        <v>PS4/PSVR</v>
      </c>
      <c r="C33" s="16" t="str">
        <f>IFERROR(__xludf.DUMMYFUNCTION("""COMPUTED_VALUE"""),"Extra")</f>
        <v>Extra</v>
      </c>
      <c r="D33" s="15" t="str">
        <f>IFERROR(__xludf.DUMMYFUNCTION("""COMPUTED_VALUE"""),"Active")</f>
        <v>Active</v>
      </c>
      <c r="E33" s="17">
        <f>IFERROR(__xludf.DUMMYFUNCTION("""COMPUTED_VALUE"""),45062.0)</f>
        <v>45062</v>
      </c>
      <c r="F33" s="54"/>
      <c r="G33" s="19">
        <f>IFERROR(__xludf.DUMMYFUNCTION("""COMPUTED_VALUE"""),40.666666666666664)</f>
        <v>40.66666667</v>
      </c>
      <c r="H33" s="17">
        <f>IFERROR(__xludf.DUMMYFUNCTION("""COMPUTED_VALUE"""),42654.0)</f>
        <v>42654</v>
      </c>
      <c r="I33" s="19">
        <f>IFERROR(__xludf.DUMMYFUNCTION("""COMPUTED_VALUE"""),6.597222222222222)</f>
        <v>6.597222222</v>
      </c>
      <c r="J33" s="21">
        <f>IFERROR(__xludf.DUMMYFUNCTION("""COMPUTED_VALUE"""),88.0)</f>
        <v>88</v>
      </c>
      <c r="K33" s="23">
        <f>IFERROR(__xludf.DUMMYFUNCTION("""COMPUTED_VALUE"""),8.0)</f>
        <v>8</v>
      </c>
      <c r="L33" s="24">
        <f>IFERROR(__xludf.DUMMYFUNCTION("""COMPUTED_VALUE"""),15.0)</f>
        <v>15</v>
      </c>
      <c r="M33" s="25" t="str">
        <f>IFERROR(__xludf.DUMMYFUNCTION("""COMPUTED_VALUE"""),"Action-Adventure")</f>
        <v>Action-Adventure</v>
      </c>
      <c r="N33" s="25"/>
      <c r="O33" s="25" t="str">
        <f>IFERROR(__xludf.DUMMYFUNCTION("""COMPUTED_VALUE"""),"Yes")</f>
        <v>Yes</v>
      </c>
      <c r="P33" s="26"/>
    </row>
    <row r="34">
      <c r="A34" s="13" t="str">
        <f>IFERROR(__xludf.DUMMYFUNCTION("""COMPUTED_VALUE"""),"Nioh")</f>
        <v>Nioh</v>
      </c>
      <c r="B34" s="15" t="str">
        <f>IFERROR(__xludf.DUMMYFUNCTION("""COMPUTED_VALUE"""),"PS4")</f>
        <v>PS4</v>
      </c>
      <c r="C34" s="16" t="str">
        <f>IFERROR(__xludf.DUMMYFUNCTION("""COMPUTED_VALUE"""),"Extra")</f>
        <v>Extra</v>
      </c>
      <c r="D34" s="15" t="str">
        <f>IFERROR(__xludf.DUMMYFUNCTION("""COMPUTED_VALUE"""),"Active")</f>
        <v>Active</v>
      </c>
      <c r="E34" s="17">
        <f>IFERROR(__xludf.DUMMYFUNCTION("""COMPUTED_VALUE"""),44320.0)</f>
        <v>44320</v>
      </c>
      <c r="F34" s="54"/>
      <c r="G34" s="19">
        <f>IFERROR(__xludf.DUMMYFUNCTION("""COMPUTED_VALUE"""),65.06666666666666)</f>
        <v>65.06666667</v>
      </c>
      <c r="H34" s="17">
        <f>IFERROR(__xludf.DUMMYFUNCTION("""COMPUTED_VALUE"""),42773.0)</f>
        <v>42773</v>
      </c>
      <c r="I34" s="19">
        <f>IFERROR(__xludf.DUMMYFUNCTION("""COMPUTED_VALUE"""),4.241666666666666)</f>
        <v>4.241666667</v>
      </c>
      <c r="J34" s="21">
        <f>IFERROR(__xludf.DUMMYFUNCTION("""COMPUTED_VALUE"""),88.0)</f>
        <v>88</v>
      </c>
      <c r="K34" s="23">
        <f>IFERROR(__xludf.DUMMYFUNCTION("""COMPUTED_VALUE"""),8.5)</f>
        <v>8.5</v>
      </c>
      <c r="L34" s="24">
        <f>IFERROR(__xludf.DUMMYFUNCTION("""COMPUTED_VALUE"""),35.0)</f>
        <v>35</v>
      </c>
      <c r="M34" s="25" t="str">
        <f>IFERROR(__xludf.DUMMYFUNCTION("""COMPUTED_VALUE"""),"RPG")</f>
        <v>RPG</v>
      </c>
      <c r="N34" s="25"/>
      <c r="O34" s="25" t="str">
        <f>IFERROR(__xludf.DUMMYFUNCTION("""COMPUTED_VALUE"""),"Yes")</f>
        <v>Yes</v>
      </c>
      <c r="P34" s="26"/>
    </row>
    <row r="35">
      <c r="A35" s="13" t="str">
        <f>IFERROR(__xludf.DUMMYFUNCTION("""COMPUTED_VALUE"""),"XCOM 2")</f>
        <v>XCOM 2</v>
      </c>
      <c r="B35" s="15" t="str">
        <f>IFERROR(__xludf.DUMMYFUNCTION("""COMPUTED_VALUE"""),"PS4")</f>
        <v>PS4</v>
      </c>
      <c r="C35" s="16" t="str">
        <f>IFERROR(__xludf.DUMMYFUNCTION("""COMPUTED_VALUE"""),"Extra")</f>
        <v>Extra</v>
      </c>
      <c r="D35" s="15" t="str">
        <f>IFERROR(__xludf.DUMMYFUNCTION("""COMPUTED_VALUE"""),"Active")</f>
        <v>Active</v>
      </c>
      <c r="E35" s="17">
        <f>IFERROR(__xludf.DUMMYFUNCTION("""COMPUTED_VALUE"""),43256.0)</f>
        <v>43256</v>
      </c>
      <c r="F35" s="54"/>
      <c r="G35" s="19">
        <f>IFERROR(__xludf.DUMMYFUNCTION("""COMPUTED_VALUE"""),100.03333333333333)</f>
        <v>100.0333333</v>
      </c>
      <c r="H35" s="17">
        <f>IFERROR(__xludf.DUMMYFUNCTION("""COMPUTED_VALUE"""),42405.0)</f>
        <v>42405</v>
      </c>
      <c r="I35" s="19">
        <f>IFERROR(__xludf.DUMMYFUNCTION("""COMPUTED_VALUE"""),2.3333333333333335)</f>
        <v>2.333333333</v>
      </c>
      <c r="J35" s="21">
        <f>IFERROR(__xludf.DUMMYFUNCTION("""COMPUTED_VALUE"""),88.0)</f>
        <v>88</v>
      </c>
      <c r="K35" s="23">
        <f>IFERROR(__xludf.DUMMYFUNCTION("""COMPUTED_VALUE"""),8.1)</f>
        <v>8.1</v>
      </c>
      <c r="L35" s="24">
        <f>IFERROR(__xludf.DUMMYFUNCTION("""COMPUTED_VALUE"""),32.0)</f>
        <v>32</v>
      </c>
      <c r="M35" s="25" t="str">
        <f>IFERROR(__xludf.DUMMYFUNCTION("""COMPUTED_VALUE"""),"Strategy")</f>
        <v>Strategy</v>
      </c>
      <c r="N35" s="25"/>
      <c r="O35" s="25" t="str">
        <f>IFERROR(__xludf.DUMMYFUNCTION("""COMPUTED_VALUE"""),"Yes")</f>
        <v>Yes</v>
      </c>
      <c r="P35" s="26"/>
    </row>
    <row r="36">
      <c r="A36" s="13" t="str">
        <f>IFERROR(__xludf.DUMMYFUNCTION("""COMPUTED_VALUE"""),"The Last of Us: Left Behind")</f>
        <v>The Last of Us: Left Behind</v>
      </c>
      <c r="B36" s="15" t="str">
        <f>IFERROR(__xludf.DUMMYFUNCTION("""COMPUTED_VALUE"""),"PS4")</f>
        <v>PS4</v>
      </c>
      <c r="C36" s="16" t="str">
        <f>IFERROR(__xludf.DUMMYFUNCTION("""COMPUTED_VALUE"""),"Extra")</f>
        <v>Extra</v>
      </c>
      <c r="D36" s="15" t="str">
        <f>IFERROR(__xludf.DUMMYFUNCTION("""COMPUTED_VALUE"""),"Active")</f>
        <v>Active</v>
      </c>
      <c r="E36" s="17">
        <f>IFERROR(__xludf.DUMMYFUNCTION("""COMPUTED_VALUE"""),42556.0)</f>
        <v>42556</v>
      </c>
      <c r="F36" s="54"/>
      <c r="G36" s="19">
        <f>IFERROR(__xludf.DUMMYFUNCTION("""COMPUTED_VALUE"""),123.03333333333333)</f>
        <v>123.0333333</v>
      </c>
      <c r="H36" s="17">
        <f>IFERROR(__xludf.DUMMYFUNCTION("""COMPUTED_VALUE"""),41671.0)</f>
        <v>41671</v>
      </c>
      <c r="I36" s="19">
        <f>IFERROR(__xludf.DUMMYFUNCTION("""COMPUTED_VALUE"""),2.4277777777777776)</f>
        <v>2.427777778</v>
      </c>
      <c r="J36" s="21">
        <f>IFERROR(__xludf.DUMMYFUNCTION("""COMPUTED_VALUE"""),88.0)</f>
        <v>88</v>
      </c>
      <c r="K36" s="23">
        <f>IFERROR(__xludf.DUMMYFUNCTION("""COMPUTED_VALUE"""),8.1)</f>
        <v>8.1</v>
      </c>
      <c r="L36" s="24">
        <f>IFERROR(__xludf.DUMMYFUNCTION("""COMPUTED_VALUE"""),2.5)</f>
        <v>2.5</v>
      </c>
      <c r="M36" s="25" t="str">
        <f>IFERROR(__xludf.DUMMYFUNCTION("""COMPUTED_VALUE"""),"Action-Adventure")</f>
        <v>Action-Adventure</v>
      </c>
      <c r="N36" s="25"/>
      <c r="O36" s="25" t="str">
        <f>IFERROR(__xludf.DUMMYFUNCTION("""COMPUTED_VALUE"""),"Yes")</f>
        <v>Yes</v>
      </c>
      <c r="P36" s="26"/>
    </row>
    <row r="37">
      <c r="A37" s="13" t="str">
        <f>IFERROR(__xludf.DUMMYFUNCTION("""COMPUTED_VALUE"""),"Final Fantasy XVI")</f>
        <v>Final Fantasy XVI</v>
      </c>
      <c r="B37" s="15" t="str">
        <f>IFERROR(__xludf.DUMMYFUNCTION("""COMPUTED_VALUE"""),"PS5")</f>
        <v>PS5</v>
      </c>
      <c r="C37" s="16" t="str">
        <f>IFERROR(__xludf.DUMMYFUNCTION("""COMPUTED_VALUE"""),"Extra")</f>
        <v>Extra</v>
      </c>
      <c r="D37" s="15" t="str">
        <f>IFERROR(__xludf.DUMMYFUNCTION("""COMPUTED_VALUE"""),"Active")</f>
        <v>Active</v>
      </c>
      <c r="E37" s="17">
        <f>IFERROR(__xludf.DUMMYFUNCTION("""COMPUTED_VALUE"""),46189.0)</f>
        <v>46189</v>
      </c>
      <c r="F37" s="54"/>
      <c r="G37" s="19">
        <f>IFERROR(__xludf.DUMMYFUNCTION("""COMPUTED_VALUE"""),3.666666666666667)</f>
        <v>3.666666667</v>
      </c>
      <c r="H37" s="17">
        <f>IFERROR(__xludf.DUMMYFUNCTION("""COMPUTED_VALUE"""),45099.0)</f>
        <v>45099</v>
      </c>
      <c r="I37" s="19">
        <f>IFERROR(__xludf.DUMMYFUNCTION("""COMPUTED_VALUE"""),2.9833333333333334)</f>
        <v>2.983333333</v>
      </c>
      <c r="J37" s="21">
        <f>IFERROR(__xludf.DUMMYFUNCTION("""COMPUTED_VALUE"""),87.0)</f>
        <v>87</v>
      </c>
      <c r="K37" s="23">
        <f>IFERROR(__xludf.DUMMYFUNCTION("""COMPUTED_VALUE"""),8.4)</f>
        <v>8.4</v>
      </c>
      <c r="L37" s="24">
        <f>IFERROR(__xludf.DUMMYFUNCTION("""COMPUTED_VALUE"""),34.0)</f>
        <v>34</v>
      </c>
      <c r="M37" s="25" t="str">
        <f>IFERROR(__xludf.DUMMYFUNCTION("""COMPUTED_VALUE"""),"RPG")</f>
        <v>RPG</v>
      </c>
      <c r="N37" s="25"/>
      <c r="O37" s="25" t="str">
        <f>IFERROR(__xludf.DUMMYFUNCTION("""COMPUTED_VALUE"""),"No")</f>
        <v>No</v>
      </c>
      <c r="P37" s="26"/>
    </row>
    <row r="38">
      <c r="A38" s="13" t="str">
        <f>IFERROR(__xludf.DUMMYFUNCTION("""COMPUTED_VALUE"""),"Blasphemous 2")</f>
        <v>Blasphemous 2</v>
      </c>
      <c r="B38" s="15" t="str">
        <f>IFERROR(__xludf.DUMMYFUNCTION("""COMPUTED_VALUE"""),"PS5/PS4")</f>
        <v>PS5/PS4</v>
      </c>
      <c r="C38" s="16" t="str">
        <f>IFERROR(__xludf.DUMMYFUNCTION("""COMPUTED_VALUE"""),"Extra")</f>
        <v>Extra</v>
      </c>
      <c r="D38" s="15" t="str">
        <f>IFERROR(__xludf.DUMMYFUNCTION("""COMPUTED_VALUE"""),"Active")</f>
        <v>Active</v>
      </c>
      <c r="E38" s="17">
        <f>IFERROR(__xludf.DUMMYFUNCTION("""COMPUTED_VALUE"""),46098.0)</f>
        <v>46098</v>
      </c>
      <c r="F38" s="54"/>
      <c r="G38" s="19">
        <f>IFERROR(__xludf.DUMMYFUNCTION("""COMPUTED_VALUE"""),6.633333333333334)</f>
        <v>6.633333333</v>
      </c>
      <c r="H38" s="17">
        <f>IFERROR(__xludf.DUMMYFUNCTION("""COMPUTED_VALUE"""),45162.0)</f>
        <v>45162</v>
      </c>
      <c r="I38" s="19">
        <f>IFERROR(__xludf.DUMMYFUNCTION("""COMPUTED_VALUE"""),2.563888888888889)</f>
        <v>2.563888889</v>
      </c>
      <c r="J38" s="21">
        <f>IFERROR(__xludf.DUMMYFUNCTION("""COMPUTED_VALUE"""),87.0)</f>
        <v>87</v>
      </c>
      <c r="K38" s="23">
        <f>IFERROR(__xludf.DUMMYFUNCTION("""COMPUTED_VALUE"""),8.6)</f>
        <v>8.6</v>
      </c>
      <c r="L38" s="24">
        <f>IFERROR(__xludf.DUMMYFUNCTION("""COMPUTED_VALUE"""),15.0)</f>
        <v>15</v>
      </c>
      <c r="M38" s="25" t="str">
        <f>IFERROR(__xludf.DUMMYFUNCTION("""COMPUTED_VALUE"""),"Action-Adventure")</f>
        <v>Action-Adventure</v>
      </c>
      <c r="N38" s="25"/>
      <c r="O38" s="25"/>
      <c r="P38" s="26"/>
    </row>
    <row r="39">
      <c r="A39" s="13" t="str">
        <f>IFERROR(__xludf.DUMMYFUNCTION("""COMPUTED_VALUE"""),"Neva")</f>
        <v>Neva</v>
      </c>
      <c r="B39" s="15" t="str">
        <f>IFERROR(__xludf.DUMMYFUNCTION("""COMPUTED_VALUE"""),"PS5/PS4")</f>
        <v>PS5/PS4</v>
      </c>
      <c r="C39" s="16" t="str">
        <f>IFERROR(__xludf.DUMMYFUNCTION("""COMPUTED_VALUE"""),"Extra")</f>
        <v>Extra</v>
      </c>
      <c r="D39" s="15" t="str">
        <f>IFERROR(__xludf.DUMMYFUNCTION("""COMPUTED_VALUE"""),"Active")</f>
        <v>Active</v>
      </c>
      <c r="E39" s="17">
        <f>IFERROR(__xludf.DUMMYFUNCTION("""COMPUTED_VALUE"""),46070.0)</f>
        <v>46070</v>
      </c>
      <c r="F39" s="54"/>
      <c r="G39" s="19">
        <f>IFERROR(__xludf.DUMMYFUNCTION("""COMPUTED_VALUE"""),7.633333333333333)</f>
        <v>7.633333333</v>
      </c>
      <c r="H39" s="17">
        <f>IFERROR(__xludf.DUMMYFUNCTION("""COMPUTED_VALUE"""),45580.0)</f>
        <v>45580</v>
      </c>
      <c r="I39" s="19">
        <f>IFERROR(__xludf.DUMMYFUNCTION("""COMPUTED_VALUE"""),1.3388888888888888)</f>
        <v>1.338888889</v>
      </c>
      <c r="J39" s="21">
        <f>IFERROR(__xludf.DUMMYFUNCTION("""COMPUTED_VALUE"""),87.0)</f>
        <v>87</v>
      </c>
      <c r="K39" s="23">
        <f>IFERROR(__xludf.DUMMYFUNCTION("""COMPUTED_VALUE"""),8.3)</f>
        <v>8.3</v>
      </c>
      <c r="L39" s="24">
        <f>IFERROR(__xludf.DUMMYFUNCTION("""COMPUTED_VALUE"""),4.0)</f>
        <v>4</v>
      </c>
      <c r="M39" s="25" t="str">
        <f>IFERROR(__xludf.DUMMYFUNCTION("""COMPUTED_VALUE"""),"Action-Adventure")</f>
        <v>Action-Adventure</v>
      </c>
      <c r="N39" s="25"/>
      <c r="O39" s="25"/>
      <c r="P39" s="26"/>
    </row>
    <row r="40">
      <c r="A40" s="13" t="str">
        <f>IFERROR(__xludf.DUMMYFUNCTION("""COMPUTED_VALUE"""),"Marvel's Spider-Man")</f>
        <v>Marvel's Spider-Man</v>
      </c>
      <c r="B40" s="15" t="str">
        <f>IFERROR(__xludf.DUMMYFUNCTION("""COMPUTED_VALUE"""),"PS5/PS4")</f>
        <v>PS5/PS4</v>
      </c>
      <c r="C40" s="16" t="str">
        <f>IFERROR(__xludf.DUMMYFUNCTION("""COMPUTED_VALUE"""),"Extra")</f>
        <v>Extra</v>
      </c>
      <c r="D40" s="15" t="str">
        <f>IFERROR(__xludf.DUMMYFUNCTION("""COMPUTED_VALUE"""),"Active")</f>
        <v>Active</v>
      </c>
      <c r="E40" s="17">
        <f>IFERROR(__xludf.DUMMYFUNCTION("""COMPUTED_VALUE"""),45888.0)</f>
        <v>45888</v>
      </c>
      <c r="F40" s="54"/>
      <c r="G40" s="19">
        <f>IFERROR(__xludf.DUMMYFUNCTION("""COMPUTED_VALUE"""),13.566666666666666)</f>
        <v>13.56666667</v>
      </c>
      <c r="H40" s="17">
        <f>IFERROR(__xludf.DUMMYFUNCTION("""COMPUTED_VALUE"""),43350.0)</f>
        <v>43350</v>
      </c>
      <c r="I40" s="19">
        <f>IFERROR(__xludf.DUMMYFUNCTION("""COMPUTED_VALUE"""),6.95)</f>
        <v>6.95</v>
      </c>
      <c r="J40" s="21">
        <f>IFERROR(__xludf.DUMMYFUNCTION("""COMPUTED_VALUE"""),87.0)</f>
        <v>87</v>
      </c>
      <c r="K40" s="23">
        <f>IFERROR(__xludf.DUMMYFUNCTION("""COMPUTED_VALUE"""),8.7)</f>
        <v>8.7</v>
      </c>
      <c r="L40" s="24">
        <f>IFERROR(__xludf.DUMMYFUNCTION("""COMPUTED_VALUE"""),17.0)</f>
        <v>17</v>
      </c>
      <c r="M40" s="25" t="str">
        <f>IFERROR(__xludf.DUMMYFUNCTION("""COMPUTED_VALUE"""),"Action-Adventure")</f>
        <v>Action-Adventure</v>
      </c>
      <c r="N40" s="25" t="str">
        <f>IFERROR(__xludf.DUMMYFUNCTION("""COMPUTED_VALUE"""),"Remasteref for PS5 and GOTy for PS4")</f>
        <v>Remasteref for PS5 and GOTy for PS4</v>
      </c>
      <c r="O40" s="25"/>
      <c r="P40" s="26"/>
    </row>
    <row r="41">
      <c r="A41" s="13" t="str">
        <f>IFERROR(__xludf.DUMMYFUNCTION("""COMPUTED_VALUE"""),"Sword of the Sea")</f>
        <v>Sword of the Sea</v>
      </c>
      <c r="B41" s="15" t="str">
        <f>IFERROR(__xludf.DUMMYFUNCTION("""COMPUTED_VALUE"""),"PS5")</f>
        <v>PS5</v>
      </c>
      <c r="C41" s="16" t="str">
        <f>IFERROR(__xludf.DUMMYFUNCTION("""COMPUTED_VALUE"""),"Extra")</f>
        <v>Extra</v>
      </c>
      <c r="D41" s="15" t="str">
        <f>IFERROR(__xludf.DUMMYFUNCTION("""COMPUTED_VALUE"""),"Active")</f>
        <v>Active</v>
      </c>
      <c r="E41" s="17">
        <f>IFERROR(__xludf.DUMMYFUNCTION("""COMPUTED_VALUE"""),45888.0)</f>
        <v>45888</v>
      </c>
      <c r="F41" s="54"/>
      <c r="G41" s="19">
        <f>IFERROR(__xludf.DUMMYFUNCTION("""COMPUTED_VALUE"""),13.566666666666666)</f>
        <v>13.56666667</v>
      </c>
      <c r="H41" s="17">
        <f>IFERROR(__xludf.DUMMYFUNCTION("""COMPUTED_VALUE"""),45888.0)</f>
        <v>45888</v>
      </c>
      <c r="I41" s="19">
        <f>IFERROR(__xludf.DUMMYFUNCTION("""COMPUTED_VALUE"""),0.0)</f>
        <v>0</v>
      </c>
      <c r="J41" s="21">
        <f>IFERROR(__xludf.DUMMYFUNCTION("""COMPUTED_VALUE"""),87.0)</f>
        <v>87</v>
      </c>
      <c r="K41" s="23">
        <f>IFERROR(__xludf.DUMMYFUNCTION("""COMPUTED_VALUE"""),8.7)</f>
        <v>8.7</v>
      </c>
      <c r="L41" s="24">
        <f>IFERROR(__xludf.DUMMYFUNCTION("""COMPUTED_VALUE"""),3.0)</f>
        <v>3</v>
      </c>
      <c r="M41" s="25" t="str">
        <f>IFERROR(__xludf.DUMMYFUNCTION("""COMPUTED_VALUE"""),"Action-Adventure")</f>
        <v>Action-Adventure</v>
      </c>
      <c r="N41" s="25"/>
      <c r="O41" s="25" t="str">
        <f>IFERROR(__xludf.DUMMYFUNCTION("""COMPUTED_VALUE"""),"No")</f>
        <v>No</v>
      </c>
      <c r="P41" s="26"/>
    </row>
    <row r="42">
      <c r="A42" s="13" t="str">
        <f>IFERROR(__xludf.DUMMYFUNCTION("""COMPUTED_VALUE"""),"Return to Monkey Island")</f>
        <v>Return to Monkey Island</v>
      </c>
      <c r="B42" s="15" t="str">
        <f>IFERROR(__xludf.DUMMYFUNCTION("""COMPUTED_VALUE"""),"PS5")</f>
        <v>PS5</v>
      </c>
      <c r="C42" s="16" t="str">
        <f>IFERROR(__xludf.DUMMYFUNCTION("""COMPUTED_VALUE"""),"Extra")</f>
        <v>Extra</v>
      </c>
      <c r="D42" s="15" t="str">
        <f>IFERROR(__xludf.DUMMYFUNCTION("""COMPUTED_VALUE"""),"Active")</f>
        <v>Active</v>
      </c>
      <c r="E42" s="17">
        <f>IFERROR(__xludf.DUMMYFUNCTION("""COMPUTED_VALUE"""),45580.0)</f>
        <v>45580</v>
      </c>
      <c r="F42" s="54"/>
      <c r="G42" s="19">
        <f>IFERROR(__xludf.DUMMYFUNCTION("""COMPUTED_VALUE"""),23.700000000000003)</f>
        <v>23.7</v>
      </c>
      <c r="H42" s="17">
        <f>IFERROR(__xludf.DUMMYFUNCTION("""COMPUTED_VALUE"""),44774.0)</f>
        <v>44774</v>
      </c>
      <c r="I42" s="19">
        <f>IFERROR(__xludf.DUMMYFUNCTION("""COMPUTED_VALUE"""),2.2055555555555557)</f>
        <v>2.205555556</v>
      </c>
      <c r="J42" s="21">
        <f>IFERROR(__xludf.DUMMYFUNCTION("""COMPUTED_VALUE"""),87.0)</f>
        <v>87</v>
      </c>
      <c r="K42" s="23">
        <f>IFERROR(__xludf.DUMMYFUNCTION("""COMPUTED_VALUE"""),7.6)</f>
        <v>7.6</v>
      </c>
      <c r="L42" s="24">
        <f>IFERROR(__xludf.DUMMYFUNCTION("""COMPUTED_VALUE"""),10.0)</f>
        <v>10</v>
      </c>
      <c r="M42" s="25" t="str">
        <f>IFERROR(__xludf.DUMMYFUNCTION("""COMPUTED_VALUE"""),"Point-and-Click ")</f>
        <v>Point-and-Click </v>
      </c>
      <c r="N42" s="25"/>
      <c r="O42" s="25" t="str">
        <f>IFERROR(__xludf.DUMMYFUNCTION("""COMPUTED_VALUE"""),"Portal (PS5 + Premium)")</f>
        <v>Portal (PS5 + Premium)</v>
      </c>
      <c r="P42" s="26"/>
    </row>
    <row r="43">
      <c r="A43" s="13" t="str">
        <f>IFERROR(__xludf.DUMMYFUNCTION("""COMPUTED_VALUE"""),"Destiny 2: The Witch Queen")</f>
        <v>Destiny 2: The Witch Queen</v>
      </c>
      <c r="B43" s="15" t="str">
        <f>IFERROR(__xludf.DUMMYFUNCTION("""COMPUTED_VALUE"""),"PS5/PS4")</f>
        <v>PS5/PS4</v>
      </c>
      <c r="C43" s="16" t="str">
        <f>IFERROR(__xludf.DUMMYFUNCTION("""COMPUTED_VALUE"""),"Extra")</f>
        <v>Extra</v>
      </c>
      <c r="D43" s="15" t="str">
        <f>IFERROR(__xludf.DUMMYFUNCTION("""COMPUTED_VALUE"""),"Active")</f>
        <v>Active</v>
      </c>
      <c r="E43" s="17">
        <f>IFERROR(__xludf.DUMMYFUNCTION("""COMPUTED_VALUE"""),45153.0)</f>
        <v>45153</v>
      </c>
      <c r="F43" s="54"/>
      <c r="G43" s="19">
        <f>IFERROR(__xludf.DUMMYFUNCTION("""COMPUTED_VALUE"""),37.7)</f>
        <v>37.7</v>
      </c>
      <c r="H43" s="17">
        <f>IFERROR(__xludf.DUMMYFUNCTION("""COMPUTED_VALUE"""),44614.0)</f>
        <v>44614</v>
      </c>
      <c r="I43" s="19">
        <f>IFERROR(__xludf.DUMMYFUNCTION("""COMPUTED_VALUE"""),1.4805555555555556)</f>
        <v>1.480555556</v>
      </c>
      <c r="J43" s="21">
        <f>IFERROR(__xludf.DUMMYFUNCTION("""COMPUTED_VALUE"""),87.0)</f>
        <v>87</v>
      </c>
      <c r="K43" s="23">
        <f>IFERROR(__xludf.DUMMYFUNCTION("""COMPUTED_VALUE"""),7.9)</f>
        <v>7.9</v>
      </c>
      <c r="L43" s="24">
        <f>IFERROR(__xludf.DUMMYFUNCTION("""COMPUTED_VALUE"""),12.0)</f>
        <v>12</v>
      </c>
      <c r="M43" s="25" t="str">
        <f>IFERROR(__xludf.DUMMYFUNCTION("""COMPUTED_VALUE"""),"Shooter")</f>
        <v>Shooter</v>
      </c>
      <c r="N43" s="25"/>
      <c r="O43" s="25" t="str">
        <f>IFERROR(__xludf.DUMMYFUNCTION("""COMPUTED_VALUE"""),"No")</f>
        <v>No</v>
      </c>
      <c r="P43" s="26"/>
    </row>
    <row r="44">
      <c r="A44" s="13" t="str">
        <f>IFERROR(__xludf.DUMMYFUNCTION("""COMPUTED_VALUE"""),"DOOM: Eternal")</f>
        <v>DOOM: Eternal</v>
      </c>
      <c r="B44" s="15" t="str">
        <f>IFERROR(__xludf.DUMMYFUNCTION("""COMPUTED_VALUE"""),"PS5/PS4")</f>
        <v>PS5/PS4</v>
      </c>
      <c r="C44" s="16" t="str">
        <f>IFERROR(__xludf.DUMMYFUNCTION("""COMPUTED_VALUE"""),"Extra")</f>
        <v>Extra</v>
      </c>
      <c r="D44" s="15" t="str">
        <f>IFERROR(__xludf.DUMMYFUNCTION("""COMPUTED_VALUE"""),"Active")</f>
        <v>Active</v>
      </c>
      <c r="E44" s="17">
        <f>IFERROR(__xludf.DUMMYFUNCTION("""COMPUTED_VALUE"""),45034.0)</f>
        <v>45034</v>
      </c>
      <c r="F44" s="54"/>
      <c r="G44" s="19">
        <f>IFERROR(__xludf.DUMMYFUNCTION("""COMPUTED_VALUE"""),41.6)</f>
        <v>41.6</v>
      </c>
      <c r="H44" s="17">
        <f>IFERROR(__xludf.DUMMYFUNCTION("""COMPUTED_VALUE"""),43910.0)</f>
        <v>43910</v>
      </c>
      <c r="I44" s="19">
        <f>IFERROR(__xludf.DUMMYFUNCTION("""COMPUTED_VALUE"""),3.077777777777778)</f>
        <v>3.077777778</v>
      </c>
      <c r="J44" s="21">
        <f>IFERROR(__xludf.DUMMYFUNCTION("""COMPUTED_VALUE"""),87.0)</f>
        <v>87</v>
      </c>
      <c r="K44" s="23">
        <f>IFERROR(__xludf.DUMMYFUNCTION("""COMPUTED_VALUE"""),8.9)</f>
        <v>8.9</v>
      </c>
      <c r="L44" s="24">
        <f>IFERROR(__xludf.DUMMYFUNCTION("""COMPUTED_VALUE"""),15.0)</f>
        <v>15</v>
      </c>
      <c r="M44" s="25" t="str">
        <f>IFERROR(__xludf.DUMMYFUNCTION("""COMPUTED_VALUE"""),"Shooter")</f>
        <v>Shooter</v>
      </c>
      <c r="N44" s="25"/>
      <c r="O44" s="25" t="str">
        <f>IFERROR(__xludf.DUMMYFUNCTION("""COMPUTED_VALUE"""),"Portal (PS5 + Premium)")</f>
        <v>Portal (PS5 + Premium)</v>
      </c>
      <c r="P44" s="26"/>
    </row>
    <row r="45">
      <c r="A45" s="13" t="str">
        <f>IFERROR(__xludf.DUMMYFUNCTION("""COMPUTED_VALUE"""),"Monster Boy and the Cursed Kingdom")</f>
        <v>Monster Boy and the Cursed Kingdom</v>
      </c>
      <c r="B45" s="15" t="str">
        <f>IFERROR(__xludf.DUMMYFUNCTION("""COMPUTED_VALUE"""),"PS5/PS4")</f>
        <v>PS5/PS4</v>
      </c>
      <c r="C45" s="16" t="str">
        <f>IFERROR(__xludf.DUMMYFUNCTION("""COMPUTED_VALUE"""),"Extra")</f>
        <v>Extra</v>
      </c>
      <c r="D45" s="15" t="str">
        <f>IFERROR(__xludf.DUMMYFUNCTION("""COMPUTED_VALUE"""),"Active")</f>
        <v>Active</v>
      </c>
      <c r="E45" s="17">
        <f>IFERROR(__xludf.DUMMYFUNCTION("""COMPUTED_VALUE"""),45034.0)</f>
        <v>45034</v>
      </c>
      <c r="F45" s="54"/>
      <c r="G45" s="19">
        <f>IFERROR(__xludf.DUMMYFUNCTION("""COMPUTED_VALUE"""),41.6)</f>
        <v>41.6</v>
      </c>
      <c r="H45" s="17">
        <f>IFERROR(__xludf.DUMMYFUNCTION("""COMPUTED_VALUE"""),43438.0)</f>
        <v>43438</v>
      </c>
      <c r="I45" s="19">
        <f>IFERROR(__xludf.DUMMYFUNCTION("""COMPUTED_VALUE"""),4.372222222222222)</f>
        <v>4.372222222</v>
      </c>
      <c r="J45" s="21">
        <f>IFERROR(__xludf.DUMMYFUNCTION("""COMPUTED_VALUE"""),87.0)</f>
        <v>87</v>
      </c>
      <c r="K45" s="23">
        <f>IFERROR(__xludf.DUMMYFUNCTION("""COMPUTED_VALUE"""),8.0)</f>
        <v>8</v>
      </c>
      <c r="L45" s="24">
        <f>IFERROR(__xludf.DUMMYFUNCTION("""COMPUTED_VALUE"""),19.0)</f>
        <v>19</v>
      </c>
      <c r="M45" s="25" t="str">
        <f>IFERROR(__xludf.DUMMYFUNCTION("""COMPUTED_VALUE"""),"Platformer")</f>
        <v>Platformer</v>
      </c>
      <c r="N45" s="25"/>
      <c r="O45" s="25" t="str">
        <f>IFERROR(__xludf.DUMMYFUNCTION("""COMPUTED_VALUE"""),"Yes")</f>
        <v>Yes</v>
      </c>
      <c r="P45" s="26"/>
    </row>
    <row r="46">
      <c r="A46" s="13" t="str">
        <f>IFERROR(__xludf.DUMMYFUNCTION("""COMPUTED_VALUE"""),"Wolfenstein II: The New Colossus")</f>
        <v>Wolfenstein II: The New Colossus</v>
      </c>
      <c r="B46" s="15" t="str">
        <f>IFERROR(__xludf.DUMMYFUNCTION("""COMPUTED_VALUE"""),"PS4")</f>
        <v>PS4</v>
      </c>
      <c r="C46" s="16" t="str">
        <f>IFERROR(__xludf.DUMMYFUNCTION("""COMPUTED_VALUE"""),"Extra")</f>
        <v>Extra</v>
      </c>
      <c r="D46" s="15" t="str">
        <f>IFERROR(__xludf.DUMMYFUNCTION("""COMPUTED_VALUE"""),"Active")</f>
        <v>Active</v>
      </c>
      <c r="E46" s="17">
        <f>IFERROR(__xludf.DUMMYFUNCTION("""COMPUTED_VALUE"""),45034.0)</f>
        <v>45034</v>
      </c>
      <c r="F46" s="54"/>
      <c r="G46" s="19">
        <f>IFERROR(__xludf.DUMMYFUNCTION("""COMPUTED_VALUE"""),41.6)</f>
        <v>41.6</v>
      </c>
      <c r="H46" s="17">
        <f>IFERROR(__xludf.DUMMYFUNCTION("""COMPUTED_VALUE"""),43035.0)</f>
        <v>43035</v>
      </c>
      <c r="I46" s="19">
        <f>IFERROR(__xludf.DUMMYFUNCTION("""COMPUTED_VALUE"""),5.475)</f>
        <v>5.475</v>
      </c>
      <c r="J46" s="21">
        <f>IFERROR(__xludf.DUMMYFUNCTION("""COMPUTED_VALUE"""),87.0)</f>
        <v>87</v>
      </c>
      <c r="K46" s="23">
        <f>IFERROR(__xludf.DUMMYFUNCTION("""COMPUTED_VALUE"""),7.5)</f>
        <v>7.5</v>
      </c>
      <c r="L46" s="24">
        <f>IFERROR(__xludf.DUMMYFUNCTION("""COMPUTED_VALUE"""),11.0)</f>
        <v>11</v>
      </c>
      <c r="M46" s="25" t="str">
        <f>IFERROR(__xludf.DUMMYFUNCTION("""COMPUTED_VALUE"""),"Shooter")</f>
        <v>Shooter</v>
      </c>
      <c r="N46" s="25"/>
      <c r="O46" s="25" t="str">
        <f>IFERROR(__xludf.DUMMYFUNCTION("""COMPUTED_VALUE"""),"Yes")</f>
        <v>Yes</v>
      </c>
      <c r="P46" s="26"/>
    </row>
    <row r="47">
      <c r="A47" s="13" t="str">
        <f>IFERROR(__xludf.DUMMYFUNCTION("""COMPUTED_VALUE"""),"UNCHARTED: Legacy of Thieves Collection")</f>
        <v>UNCHARTED: Legacy of Thieves Collection</v>
      </c>
      <c r="B47" s="15" t="str">
        <f>IFERROR(__xludf.DUMMYFUNCTION("""COMPUTED_VALUE"""),"PS5")</f>
        <v>PS5</v>
      </c>
      <c r="C47" s="16" t="str">
        <f>IFERROR(__xludf.DUMMYFUNCTION("""COMPUTED_VALUE"""),"Extra")</f>
        <v>Extra</v>
      </c>
      <c r="D47" s="15" t="str">
        <f>IFERROR(__xludf.DUMMYFUNCTION("""COMPUTED_VALUE"""),"Active")</f>
        <v>Active</v>
      </c>
      <c r="E47" s="17">
        <f>IFERROR(__xludf.DUMMYFUNCTION("""COMPUTED_VALUE"""),45006.0)</f>
        <v>45006</v>
      </c>
      <c r="F47" s="54"/>
      <c r="G47" s="19">
        <f>IFERROR(__xludf.DUMMYFUNCTION("""COMPUTED_VALUE"""),42.5)</f>
        <v>42.5</v>
      </c>
      <c r="H47" s="17">
        <f>IFERROR(__xludf.DUMMYFUNCTION("""COMPUTED_VALUE"""),44589.0)</f>
        <v>44589</v>
      </c>
      <c r="I47" s="19">
        <f>IFERROR(__xludf.DUMMYFUNCTION("""COMPUTED_VALUE"""),1.1472222222222221)</f>
        <v>1.147222222</v>
      </c>
      <c r="J47" s="21">
        <f>IFERROR(__xludf.DUMMYFUNCTION("""COMPUTED_VALUE"""),87.0)</f>
        <v>87</v>
      </c>
      <c r="K47" s="23">
        <f>IFERROR(__xludf.DUMMYFUNCTION("""COMPUTED_VALUE"""),8.7)</f>
        <v>8.7</v>
      </c>
      <c r="L47" s="24">
        <f>IFERROR(__xludf.DUMMYFUNCTION("""COMPUTED_VALUE"""),21.0)</f>
        <v>21</v>
      </c>
      <c r="M47" s="25" t="str">
        <f>IFERROR(__xludf.DUMMYFUNCTION("""COMPUTED_VALUE"""),"Action-Adventure")</f>
        <v>Action-Adventure</v>
      </c>
      <c r="N47" s="25"/>
      <c r="O47" s="25" t="str">
        <f>IFERROR(__xludf.DUMMYFUNCTION("""COMPUTED_VALUE"""),"Portal (PS5 + Premium)")</f>
        <v>Portal (PS5 + Premium)</v>
      </c>
      <c r="P47" s="26"/>
    </row>
    <row r="48">
      <c r="A48" s="13" t="str">
        <f>IFERROR(__xludf.DUMMYFUNCTION("""COMPUTED_VALUE"""),"Fallout 4")</f>
        <v>Fallout 4</v>
      </c>
      <c r="B48" s="15" t="str">
        <f>IFERROR(__xludf.DUMMYFUNCTION("""COMPUTED_VALUE"""),"PS4")</f>
        <v>PS4</v>
      </c>
      <c r="C48" s="16" t="str">
        <f>IFERROR(__xludf.DUMMYFUNCTION("""COMPUTED_VALUE"""),"Extra")</f>
        <v>Extra</v>
      </c>
      <c r="D48" s="15" t="str">
        <f>IFERROR(__xludf.DUMMYFUNCTION("""COMPUTED_VALUE"""),"Active")</f>
        <v>Active</v>
      </c>
      <c r="E48" s="17">
        <f>IFERROR(__xludf.DUMMYFUNCTION("""COMPUTED_VALUE"""),44147.0)</f>
        <v>44147</v>
      </c>
      <c r="F48" s="18"/>
      <c r="G48" s="19">
        <f>IFERROR(__xludf.DUMMYFUNCTION("""COMPUTED_VALUE"""),70.80000000000001)</f>
        <v>70.8</v>
      </c>
      <c r="H48" s="17">
        <f>IFERROR(__xludf.DUMMYFUNCTION("""COMPUTED_VALUE"""),42318.0)</f>
        <v>42318</v>
      </c>
      <c r="I48" s="19">
        <f>IFERROR(__xludf.DUMMYFUNCTION("""COMPUTED_VALUE"""),5.0055555555555555)</f>
        <v>5.005555556</v>
      </c>
      <c r="J48" s="21">
        <f>IFERROR(__xludf.DUMMYFUNCTION("""COMPUTED_VALUE"""),87.0)</f>
        <v>87</v>
      </c>
      <c r="K48" s="23">
        <f>IFERROR(__xludf.DUMMYFUNCTION("""COMPUTED_VALUE"""),6.5)</f>
        <v>6.5</v>
      </c>
      <c r="L48" s="24">
        <f>IFERROR(__xludf.DUMMYFUNCTION("""COMPUTED_VALUE"""),27.0)</f>
        <v>27</v>
      </c>
      <c r="M48" s="25" t="str">
        <f>IFERROR(__xludf.DUMMYFUNCTION("""COMPUTED_VALUE"""),"RPG")</f>
        <v>RPG</v>
      </c>
      <c r="N48" s="25"/>
      <c r="O48" s="25" t="str">
        <f>IFERROR(__xludf.DUMMYFUNCTION("""COMPUTED_VALUE"""),"Yes")</f>
        <v>Yes</v>
      </c>
      <c r="P48" s="26"/>
    </row>
    <row r="49">
      <c r="A49" s="13" t="str">
        <f>IFERROR(__xludf.DUMMYFUNCTION("""COMPUTED_VALUE"""),"Hotline Miami")</f>
        <v>Hotline Miami</v>
      </c>
      <c r="B49" s="15" t="str">
        <f>IFERROR(__xludf.DUMMYFUNCTION("""COMPUTED_VALUE"""),"PS5/PS4")</f>
        <v>PS5/PS4</v>
      </c>
      <c r="C49" s="16" t="str">
        <f>IFERROR(__xludf.DUMMYFUNCTION("""COMPUTED_VALUE"""),"Extra")</f>
        <v>Extra</v>
      </c>
      <c r="D49" s="15" t="str">
        <f>IFERROR(__xludf.DUMMYFUNCTION("""COMPUTED_VALUE"""),"Active")</f>
        <v>Active</v>
      </c>
      <c r="E49" s="17">
        <f>IFERROR(__xludf.DUMMYFUNCTION("""COMPUTED_VALUE"""),42017.0)</f>
        <v>42017</v>
      </c>
      <c r="F49" s="18"/>
      <c r="G49" s="19">
        <f>IFERROR(__xludf.DUMMYFUNCTION("""COMPUTED_VALUE"""),140.76666666666668)</f>
        <v>140.7666667</v>
      </c>
      <c r="H49" s="17">
        <f>IFERROR(__xludf.DUMMYFUNCTION("""COMPUTED_VALUE"""),41205.0)</f>
        <v>41205</v>
      </c>
      <c r="I49" s="19">
        <f>IFERROR(__xludf.DUMMYFUNCTION("""COMPUTED_VALUE"""),2.2222222222222223)</f>
        <v>2.222222222</v>
      </c>
      <c r="J49" s="21">
        <f>IFERROR(__xludf.DUMMYFUNCTION("""COMPUTED_VALUE"""),87.0)</f>
        <v>87</v>
      </c>
      <c r="K49" s="23">
        <f>IFERROR(__xludf.DUMMYFUNCTION("""COMPUTED_VALUE"""),8.4)</f>
        <v>8.4</v>
      </c>
      <c r="L49" s="24">
        <f>IFERROR(__xludf.DUMMYFUNCTION("""COMPUTED_VALUE"""),5.0)</f>
        <v>5</v>
      </c>
      <c r="M49" s="25" t="str">
        <f>IFERROR(__xludf.DUMMYFUNCTION("""COMPUTED_VALUE"""),"Action-Adventure")</f>
        <v>Action-Adventure</v>
      </c>
      <c r="N49" s="25"/>
      <c r="O49" s="25" t="str">
        <f>IFERROR(__xludf.DUMMYFUNCTION("""COMPUTED_VALUE"""),"No")</f>
        <v>No</v>
      </c>
      <c r="P49" s="26"/>
    </row>
    <row r="50">
      <c r="A50" s="13" t="str">
        <f>IFERROR(__xludf.DUMMYFUNCTION("""COMPUTED_VALUE"""),"Vampire Survivors")</f>
        <v>Vampire Survivors</v>
      </c>
      <c r="B50" s="15" t="str">
        <f>IFERROR(__xludf.DUMMYFUNCTION("""COMPUTED_VALUE"""),"PS5/PS4")</f>
        <v>PS5/PS4</v>
      </c>
      <c r="C50" s="16" t="str">
        <f>IFERROR(__xludf.DUMMYFUNCTION("""COMPUTED_VALUE"""),"Extra")</f>
        <v>Extra</v>
      </c>
      <c r="D50" s="15" t="str">
        <f>IFERROR(__xludf.DUMMYFUNCTION("""COMPUTED_VALUE"""),"Active")</f>
        <v>Active</v>
      </c>
      <c r="E50" s="17">
        <f>IFERROR(__xludf.DUMMYFUNCTION("""COMPUTED_VALUE"""),46252.0)</f>
        <v>46252</v>
      </c>
      <c r="F50" s="54"/>
      <c r="G50" s="19">
        <f>IFERROR(__xludf.DUMMYFUNCTION("""COMPUTED_VALUE"""),1.6)</f>
        <v>1.6</v>
      </c>
      <c r="H50" s="17">
        <f>IFERROR(__xludf.DUMMYFUNCTION("""COMPUTED_VALUE"""),44854.0)</f>
        <v>44854</v>
      </c>
      <c r="I50" s="19">
        <f>IFERROR(__xludf.DUMMYFUNCTION("""COMPUTED_VALUE"""),3.827777777777778)</f>
        <v>3.827777778</v>
      </c>
      <c r="J50" s="21">
        <f>IFERROR(__xludf.DUMMYFUNCTION("""COMPUTED_VALUE"""),86.0)</f>
        <v>86</v>
      </c>
      <c r="K50" s="23">
        <f>IFERROR(__xludf.DUMMYFUNCTION("""COMPUTED_VALUE"""),8.1)</f>
        <v>8.1</v>
      </c>
      <c r="L50" s="24">
        <f>IFERROR(__xludf.DUMMYFUNCTION("""COMPUTED_VALUE"""),15.0)</f>
        <v>15</v>
      </c>
      <c r="M50" s="25" t="str">
        <f>IFERROR(__xludf.DUMMYFUNCTION("""COMPUTED_VALUE"""),"Shoot-'Em-Up")</f>
        <v>Shoot-'Em-Up</v>
      </c>
      <c r="N50" s="25"/>
      <c r="O50" s="25"/>
      <c r="P50" s="26"/>
    </row>
    <row r="51">
      <c r="A51" s="13" t="str">
        <f>IFERROR(__xludf.DUMMYFUNCTION("""COMPUTED_VALUE"""),"Citizen Sleeper 2: Starward Vector")</f>
        <v>Citizen Sleeper 2: Starward Vector</v>
      </c>
      <c r="B51" s="15" t="str">
        <f>IFERROR(__xludf.DUMMYFUNCTION("""COMPUTED_VALUE"""),"PS5")</f>
        <v>PS5</v>
      </c>
      <c r="C51" s="16" t="str">
        <f>IFERROR(__xludf.DUMMYFUNCTION("""COMPUTED_VALUE"""),"Extra")</f>
        <v>Extra</v>
      </c>
      <c r="D51" s="15" t="str">
        <f>IFERROR(__xludf.DUMMYFUNCTION("""COMPUTED_VALUE"""),"Active")</f>
        <v>Active</v>
      </c>
      <c r="E51" s="17">
        <f>IFERROR(__xludf.DUMMYFUNCTION("""COMPUTED_VALUE"""),46231.0)</f>
        <v>46231</v>
      </c>
      <c r="F51" s="54"/>
      <c r="G51" s="19">
        <f>IFERROR(__xludf.DUMMYFUNCTION("""COMPUTED_VALUE"""),2.2666666666666666)</f>
        <v>2.266666667</v>
      </c>
      <c r="H51" s="17">
        <f>IFERROR(__xludf.DUMMYFUNCTION("""COMPUTED_VALUE"""),45688.0)</f>
        <v>45688</v>
      </c>
      <c r="I51" s="19">
        <f>IFERROR(__xludf.DUMMYFUNCTION("""COMPUTED_VALUE"""),1.4944444444444445)</f>
        <v>1.494444444</v>
      </c>
      <c r="J51" s="21">
        <f>IFERROR(__xludf.DUMMYFUNCTION("""COMPUTED_VALUE"""),86.0)</f>
        <v>86</v>
      </c>
      <c r="K51" s="23">
        <f>IFERROR(__xludf.DUMMYFUNCTION("""COMPUTED_VALUE"""),8.3)</f>
        <v>8.3</v>
      </c>
      <c r="L51" s="24">
        <f>IFERROR(__xludf.DUMMYFUNCTION("""COMPUTED_VALUE"""),12.0)</f>
        <v>12</v>
      </c>
      <c r="M51" s="25" t="str">
        <f>IFERROR(__xludf.DUMMYFUNCTION("""COMPUTED_VALUE"""),"RPG")</f>
        <v>RPG</v>
      </c>
      <c r="N51" s="25"/>
      <c r="O51" s="25" t="str">
        <f>IFERROR(__xludf.DUMMYFUNCTION("""COMPUTED_VALUE"""),"No")</f>
        <v>No</v>
      </c>
      <c r="P51" s="26"/>
    </row>
    <row r="52">
      <c r="A52" s="13" t="str">
        <f>IFERROR(__xludf.DUMMYFUNCTION("""COMPUTED_VALUE"""),"Monster Train")</f>
        <v>Monster Train</v>
      </c>
      <c r="B52" s="15" t="str">
        <f>IFERROR(__xludf.DUMMYFUNCTION("""COMPUTED_VALUE"""),"PS5")</f>
        <v>PS5</v>
      </c>
      <c r="C52" s="16" t="str">
        <f>IFERROR(__xludf.DUMMYFUNCTION("""COMPUTED_VALUE"""),"Extra")</f>
        <v>Extra</v>
      </c>
      <c r="D52" s="15" t="str">
        <f>IFERROR(__xludf.DUMMYFUNCTION("""COMPUTED_VALUE"""),"Active")</f>
        <v>Active</v>
      </c>
      <c r="E52" s="17">
        <f>IFERROR(__xludf.DUMMYFUNCTION("""COMPUTED_VALUE"""),46133.0)</f>
        <v>46133</v>
      </c>
      <c r="F52" s="54"/>
      <c r="G52" s="19">
        <f>IFERROR(__xludf.DUMMYFUNCTION("""COMPUTED_VALUE"""),5.5)</f>
        <v>5.5</v>
      </c>
      <c r="H52" s="17">
        <f>IFERROR(__xludf.DUMMYFUNCTION("""COMPUTED_VALUE"""),43972.0)</f>
        <v>43972</v>
      </c>
      <c r="I52" s="19">
        <f>IFERROR(__xludf.DUMMYFUNCTION("""COMPUTED_VALUE"""),5.916666666666667)</f>
        <v>5.916666667</v>
      </c>
      <c r="J52" s="21">
        <f>IFERROR(__xludf.DUMMYFUNCTION("""COMPUTED_VALUE"""),86.0)</f>
        <v>86</v>
      </c>
      <c r="K52" s="23">
        <f>IFERROR(__xludf.DUMMYFUNCTION("""COMPUTED_VALUE"""),7.8)</f>
        <v>7.8</v>
      </c>
      <c r="L52" s="24">
        <f>IFERROR(__xludf.DUMMYFUNCTION("""COMPUTED_VALUE"""),12.0)</f>
        <v>12</v>
      </c>
      <c r="M52" s="25" t="str">
        <f>IFERROR(__xludf.DUMMYFUNCTION("""COMPUTED_VALUE"""),"Strategy")</f>
        <v>Strategy</v>
      </c>
      <c r="N52" s="25"/>
      <c r="O52" s="25" t="str">
        <f>IFERROR(__xludf.DUMMYFUNCTION("""COMPUTED_VALUE"""),"No")</f>
        <v>No</v>
      </c>
      <c r="P52" s="26"/>
    </row>
    <row r="53">
      <c r="A53" s="13" t="str">
        <f>IFERROR(__xludf.DUMMYFUNCTION("""COMPUTED_VALUE"""),"Cyberpunk 2077")</f>
        <v>Cyberpunk 2077</v>
      </c>
      <c r="B53" s="15" t="str">
        <f>IFERROR(__xludf.DUMMYFUNCTION("""COMPUTED_VALUE"""),"PS5/PS4")</f>
        <v>PS5/PS4</v>
      </c>
      <c r="C53" s="16" t="str">
        <f>IFERROR(__xludf.DUMMYFUNCTION("""COMPUTED_VALUE"""),"Extra")</f>
        <v>Extra</v>
      </c>
      <c r="D53" s="15" t="str">
        <f>IFERROR(__xludf.DUMMYFUNCTION("""COMPUTED_VALUE"""),"Active")</f>
        <v>Active</v>
      </c>
      <c r="E53" s="17">
        <f>IFERROR(__xludf.DUMMYFUNCTION("""COMPUTED_VALUE"""),45847.0)</f>
        <v>45847</v>
      </c>
      <c r="F53" s="54"/>
      <c r="G53" s="19">
        <f>IFERROR(__xludf.DUMMYFUNCTION("""COMPUTED_VALUE"""),14.9)</f>
        <v>14.9</v>
      </c>
      <c r="H53" s="17">
        <f>IFERROR(__xludf.DUMMYFUNCTION("""COMPUTED_VALUE"""),44175.0)</f>
        <v>44175</v>
      </c>
      <c r="I53" s="19">
        <f>IFERROR(__xludf.DUMMYFUNCTION("""COMPUTED_VALUE"""),4.580555555555556)</f>
        <v>4.580555556</v>
      </c>
      <c r="J53" s="21">
        <f>IFERROR(__xludf.DUMMYFUNCTION("""COMPUTED_VALUE"""),86.0)</f>
        <v>86</v>
      </c>
      <c r="K53" s="23">
        <f>IFERROR(__xludf.DUMMYFUNCTION("""COMPUTED_VALUE"""),7.3)</f>
        <v>7.3</v>
      </c>
      <c r="L53" s="24">
        <f>IFERROR(__xludf.DUMMYFUNCTION("""COMPUTED_VALUE"""),26.0)</f>
        <v>26</v>
      </c>
      <c r="M53" s="25" t="str">
        <f>IFERROR(__xludf.DUMMYFUNCTION("""COMPUTED_VALUE"""),"RPG")</f>
        <v>RPG</v>
      </c>
      <c r="N53" s="25"/>
      <c r="O53" s="25"/>
      <c r="P53" s="26"/>
    </row>
    <row r="54">
      <c r="A54" s="13" t="str">
        <f>IFERROR(__xludf.DUMMYFUNCTION("""COMPUTED_VALUE"""),"Prince of Persia: The Lost Crown")</f>
        <v>Prince of Persia: The Lost Crown</v>
      </c>
      <c r="B54" s="15" t="str">
        <f>IFERROR(__xludf.DUMMYFUNCTION("""COMPUTED_VALUE"""),"PS5/PS4")</f>
        <v>PS5/PS4</v>
      </c>
      <c r="C54" s="16" t="str">
        <f>IFERROR(__xludf.DUMMYFUNCTION("""COMPUTED_VALUE"""),"Extra")</f>
        <v>Extra</v>
      </c>
      <c r="D54" s="15" t="str">
        <f>IFERROR(__xludf.DUMMYFUNCTION("""COMPUTED_VALUE"""),"Active")</f>
        <v>Active</v>
      </c>
      <c r="E54" s="17">
        <f>IFERROR(__xludf.DUMMYFUNCTION("""COMPUTED_VALUE"""),45734.0)</f>
        <v>45734</v>
      </c>
      <c r="F54" s="54"/>
      <c r="G54" s="19">
        <f>IFERROR(__xludf.DUMMYFUNCTION("""COMPUTED_VALUE"""),18.6)</f>
        <v>18.6</v>
      </c>
      <c r="H54" s="17">
        <f>IFERROR(__xludf.DUMMYFUNCTION("""COMPUTED_VALUE"""),45309.0)</f>
        <v>45309</v>
      </c>
      <c r="I54" s="19">
        <f>IFERROR(__xludf.DUMMYFUNCTION("""COMPUTED_VALUE"""),1.1666666666666667)</f>
        <v>1.166666667</v>
      </c>
      <c r="J54" s="21">
        <f>IFERROR(__xludf.DUMMYFUNCTION("""COMPUTED_VALUE"""),86.0)</f>
        <v>86</v>
      </c>
      <c r="K54" s="23">
        <f>IFERROR(__xludf.DUMMYFUNCTION("""COMPUTED_VALUE"""),8.5)</f>
        <v>8.5</v>
      </c>
      <c r="L54" s="24">
        <f>IFERROR(__xludf.DUMMYFUNCTION("""COMPUTED_VALUE"""),17.0)</f>
        <v>17</v>
      </c>
      <c r="M54" s="25" t="str">
        <f>IFERROR(__xludf.DUMMYFUNCTION("""COMPUTED_VALUE"""),"Metroidvania")</f>
        <v>Metroidvania</v>
      </c>
      <c r="N54" s="25"/>
      <c r="O54" s="25" t="str">
        <f>IFERROR(__xludf.DUMMYFUNCTION("""COMPUTED_VALUE"""),"No")</f>
        <v>No</v>
      </c>
      <c r="P54" s="26"/>
    </row>
    <row r="55">
      <c r="A55" s="13" t="str">
        <f>IFERROR(__xludf.DUMMYFUNCTION("""COMPUTED_VALUE"""),"Bang-On Balls: Chronicles")</f>
        <v>Bang-On Balls: Chronicles</v>
      </c>
      <c r="B55" s="15" t="str">
        <f>IFERROR(__xludf.DUMMYFUNCTION("""COMPUTED_VALUE"""),"PS5/PS4")</f>
        <v>PS5/PS4</v>
      </c>
      <c r="C55" s="16" t="str">
        <f>IFERROR(__xludf.DUMMYFUNCTION("""COMPUTED_VALUE"""),"Extra")</f>
        <v>Extra</v>
      </c>
      <c r="D55" s="15" t="str">
        <f>IFERROR(__xludf.DUMMYFUNCTION("""COMPUTED_VALUE"""),"Active")</f>
        <v>Active</v>
      </c>
      <c r="E55" s="17">
        <f>IFERROR(__xludf.DUMMYFUNCTION("""COMPUTED_VALUE"""),45734.0)</f>
        <v>45734</v>
      </c>
      <c r="F55" s="54"/>
      <c r="G55" s="19">
        <f>IFERROR(__xludf.DUMMYFUNCTION("""COMPUTED_VALUE"""),18.6)</f>
        <v>18.6</v>
      </c>
      <c r="H55" s="17">
        <f>IFERROR(__xludf.DUMMYFUNCTION("""COMPUTED_VALUE"""),45204.0)</f>
        <v>45204</v>
      </c>
      <c r="I55" s="19">
        <f>IFERROR(__xludf.DUMMYFUNCTION("""COMPUTED_VALUE"""),1.4527777777777777)</f>
        <v>1.452777778</v>
      </c>
      <c r="J55" s="21">
        <f>IFERROR(__xludf.DUMMYFUNCTION("""COMPUTED_VALUE"""),86.0)</f>
        <v>86</v>
      </c>
      <c r="K55" s="23">
        <f>IFERROR(__xludf.DUMMYFUNCTION("""COMPUTED_VALUE"""),7.8)</f>
        <v>7.8</v>
      </c>
      <c r="L55" s="24">
        <f>IFERROR(__xludf.DUMMYFUNCTION("""COMPUTED_VALUE"""),3.0)</f>
        <v>3</v>
      </c>
      <c r="M55" s="25" t="str">
        <f>IFERROR(__xludf.DUMMYFUNCTION("""COMPUTED_VALUE"""),"Platformer")</f>
        <v>Platformer</v>
      </c>
      <c r="N55" s="25"/>
      <c r="O55" s="25" t="str">
        <f>IFERROR(__xludf.DUMMYFUNCTION("""COMPUTED_VALUE"""),"Yes")</f>
        <v>Yes</v>
      </c>
      <c r="P55" s="26"/>
    </row>
    <row r="56">
      <c r="A56" s="13" t="str">
        <f>IFERROR(__xludf.DUMMYFUNCTION("""COMPUTED_VALUE"""),"Humanity")</f>
        <v>Humanity</v>
      </c>
      <c r="B56" s="15" t="str">
        <f>IFERROR(__xludf.DUMMYFUNCTION("""COMPUTED_VALUE"""),"PS5/PS4")</f>
        <v>PS5/PS4</v>
      </c>
      <c r="C56" s="16" t="str">
        <f>IFERROR(__xludf.DUMMYFUNCTION("""COMPUTED_VALUE"""),"Extra")</f>
        <v>Extra</v>
      </c>
      <c r="D56" s="15" t="str">
        <f>IFERROR(__xludf.DUMMYFUNCTION("""COMPUTED_VALUE"""),"Active")</f>
        <v>Active</v>
      </c>
      <c r="E56" s="17">
        <f>IFERROR(__xludf.DUMMYFUNCTION("""COMPUTED_VALUE"""),45062.0)</f>
        <v>45062</v>
      </c>
      <c r="F56" s="54"/>
      <c r="G56" s="19">
        <f>IFERROR(__xludf.DUMMYFUNCTION("""COMPUTED_VALUE"""),40.666666666666664)</f>
        <v>40.66666667</v>
      </c>
      <c r="H56" s="17">
        <f>IFERROR(__xludf.DUMMYFUNCTION("""COMPUTED_VALUE"""),45062.0)</f>
        <v>45062</v>
      </c>
      <c r="I56" s="19">
        <f>IFERROR(__xludf.DUMMYFUNCTION("""COMPUTED_VALUE"""),0.0)</f>
        <v>0</v>
      </c>
      <c r="J56" s="21">
        <f>IFERROR(__xludf.DUMMYFUNCTION("""COMPUTED_VALUE"""),86.0)</f>
        <v>86</v>
      </c>
      <c r="K56" s="23">
        <f>IFERROR(__xludf.DUMMYFUNCTION("""COMPUTED_VALUE"""),8.9)</f>
        <v>8.9</v>
      </c>
      <c r="L56" s="24">
        <f>IFERROR(__xludf.DUMMYFUNCTION("""COMPUTED_VALUE"""),12.0)</f>
        <v>12</v>
      </c>
      <c r="M56" s="25" t="str">
        <f>IFERROR(__xludf.DUMMYFUNCTION("""COMPUTED_VALUE"""),"Action-Adventure")</f>
        <v>Action-Adventure</v>
      </c>
      <c r="N56" s="25"/>
      <c r="O56" s="25" t="str">
        <f>IFERROR(__xludf.DUMMYFUNCTION("""COMPUTED_VALUE"""),"Yes")</f>
        <v>Yes</v>
      </c>
      <c r="P56" s="26"/>
    </row>
    <row r="57">
      <c r="A57" s="13" t="str">
        <f>IFERROR(__xludf.DUMMYFUNCTION("""COMPUTED_VALUE"""),"Returnal")</f>
        <v>Returnal</v>
      </c>
      <c r="B57" s="15" t="str">
        <f>IFERROR(__xludf.DUMMYFUNCTION("""COMPUTED_VALUE"""),"PS5")</f>
        <v>PS5</v>
      </c>
      <c r="C57" s="16" t="str">
        <f>IFERROR(__xludf.DUMMYFUNCTION("""COMPUTED_VALUE"""),"Extra")</f>
        <v>Extra</v>
      </c>
      <c r="D57" s="15" t="str">
        <f>IFERROR(__xludf.DUMMYFUNCTION("""COMPUTED_VALUE"""),"Active")</f>
        <v>Active</v>
      </c>
      <c r="E57" s="17">
        <f>IFERROR(__xludf.DUMMYFUNCTION("""COMPUTED_VALUE"""),44725.0)</f>
        <v>44725</v>
      </c>
      <c r="F57" s="54"/>
      <c r="G57" s="19">
        <f>IFERROR(__xludf.DUMMYFUNCTION("""COMPUTED_VALUE"""),51.766666666666666)</f>
        <v>51.76666667</v>
      </c>
      <c r="H57" s="17">
        <f>IFERROR(__xludf.DUMMYFUNCTION("""COMPUTED_VALUE"""),44316.0)</f>
        <v>44316</v>
      </c>
      <c r="I57" s="19">
        <f>IFERROR(__xludf.DUMMYFUNCTION("""COMPUTED_VALUE"""),1.1194444444444445)</f>
        <v>1.119444444</v>
      </c>
      <c r="J57" s="21">
        <f>IFERROR(__xludf.DUMMYFUNCTION("""COMPUTED_VALUE"""),86.0)</f>
        <v>86</v>
      </c>
      <c r="K57" s="23">
        <f>IFERROR(__xludf.DUMMYFUNCTION("""COMPUTED_VALUE"""),7.3)</f>
        <v>7.3</v>
      </c>
      <c r="L57" s="24">
        <f>IFERROR(__xludf.DUMMYFUNCTION("""COMPUTED_VALUE"""),20.5)</f>
        <v>20.5</v>
      </c>
      <c r="M57" s="25" t="str">
        <f>IFERROR(__xludf.DUMMYFUNCTION("""COMPUTED_VALUE"""),"Shooter")</f>
        <v>Shooter</v>
      </c>
      <c r="N57" s="25"/>
      <c r="O57" s="25" t="str">
        <f>IFERROR(__xludf.DUMMYFUNCTION("""COMPUTED_VALUE"""),"No")</f>
        <v>No</v>
      </c>
      <c r="P57" s="26"/>
    </row>
    <row r="58">
      <c r="A58" s="13" t="str">
        <f>IFERROR(__xludf.DUMMYFUNCTION("""COMPUTED_VALUE"""),"Marvel's Spider-Man: Miles Morales")</f>
        <v>Marvel's Spider-Man: Miles Morales</v>
      </c>
      <c r="B58" s="15" t="str">
        <f>IFERROR(__xludf.DUMMYFUNCTION("""COMPUTED_VALUE"""),"PS5/PS4")</f>
        <v>PS5/PS4</v>
      </c>
      <c r="C58" s="16" t="str">
        <f>IFERROR(__xludf.DUMMYFUNCTION("""COMPUTED_VALUE"""),"Extra")</f>
        <v>Extra</v>
      </c>
      <c r="D58" s="15" t="str">
        <f>IFERROR(__xludf.DUMMYFUNCTION("""COMPUTED_VALUE"""),"Active")</f>
        <v>Active</v>
      </c>
      <c r="E58" s="17">
        <f>IFERROR(__xludf.DUMMYFUNCTION("""COMPUTED_VALUE"""),44725.0)</f>
        <v>44725</v>
      </c>
      <c r="F58" s="54"/>
      <c r="G58" s="19">
        <f>IFERROR(__xludf.DUMMYFUNCTION("""COMPUTED_VALUE"""),51.766666666666666)</f>
        <v>51.76666667</v>
      </c>
      <c r="H58" s="17">
        <f>IFERROR(__xludf.DUMMYFUNCTION("""COMPUTED_VALUE"""),44147.0)</f>
        <v>44147</v>
      </c>
      <c r="I58" s="19">
        <f>IFERROR(__xludf.DUMMYFUNCTION("""COMPUTED_VALUE"""),1.586111111111111)</f>
        <v>1.586111111</v>
      </c>
      <c r="J58" s="21">
        <f>IFERROR(__xludf.DUMMYFUNCTION("""COMPUTED_VALUE"""),86.0)</f>
        <v>86</v>
      </c>
      <c r="K58" s="23">
        <f>IFERROR(__xludf.DUMMYFUNCTION("""COMPUTED_VALUE"""),7.6)</f>
        <v>7.6</v>
      </c>
      <c r="L58" s="24">
        <f>IFERROR(__xludf.DUMMYFUNCTION("""COMPUTED_VALUE"""),7.5)</f>
        <v>7.5</v>
      </c>
      <c r="M58" s="25" t="str">
        <f>IFERROR(__xludf.DUMMYFUNCTION("""COMPUTED_VALUE"""),"Action-Adventure")</f>
        <v>Action-Adventure</v>
      </c>
      <c r="N58" s="25"/>
      <c r="O58" s="25" t="str">
        <f>IFERROR(__xludf.DUMMYFUNCTION("""COMPUTED_VALUE"""),"Yes")</f>
        <v>Yes</v>
      </c>
      <c r="P58" s="26"/>
    </row>
    <row r="59">
      <c r="A59" s="13" t="str">
        <f>IFERROR(__xludf.DUMMYFUNCTION("""COMPUTED_VALUE"""),"Desperados III")</f>
        <v>Desperados III</v>
      </c>
      <c r="B59" s="15" t="str">
        <f>IFERROR(__xludf.DUMMYFUNCTION("""COMPUTED_VALUE"""),"PS4")</f>
        <v>PS4</v>
      </c>
      <c r="C59" s="16" t="str">
        <f>IFERROR(__xludf.DUMMYFUNCTION("""COMPUTED_VALUE"""),"Extra")</f>
        <v>Extra</v>
      </c>
      <c r="D59" s="15" t="str">
        <f>IFERROR(__xludf.DUMMYFUNCTION("""COMPUTED_VALUE"""),"Active")</f>
        <v>Active</v>
      </c>
      <c r="E59" s="17">
        <f>IFERROR(__xludf.DUMMYFUNCTION("""COMPUTED_VALUE"""),44725.0)</f>
        <v>44725</v>
      </c>
      <c r="F59" s="54"/>
      <c r="G59" s="19">
        <f>IFERROR(__xludf.DUMMYFUNCTION("""COMPUTED_VALUE"""),51.766666666666666)</f>
        <v>51.76666667</v>
      </c>
      <c r="H59" s="17">
        <f>IFERROR(__xludf.DUMMYFUNCTION("""COMPUTED_VALUE"""),43998.0)</f>
        <v>43998</v>
      </c>
      <c r="I59" s="19">
        <f>IFERROR(__xludf.DUMMYFUNCTION("""COMPUTED_VALUE"""),1.9916666666666667)</f>
        <v>1.991666667</v>
      </c>
      <c r="J59" s="21">
        <f>IFERROR(__xludf.DUMMYFUNCTION("""COMPUTED_VALUE"""),86.0)</f>
        <v>86</v>
      </c>
      <c r="K59" s="23">
        <f>IFERROR(__xludf.DUMMYFUNCTION("""COMPUTED_VALUE"""),7.9)</f>
        <v>7.9</v>
      </c>
      <c r="L59" s="24">
        <f>IFERROR(__xludf.DUMMYFUNCTION("""COMPUTED_VALUE"""),26.5)</f>
        <v>26.5</v>
      </c>
      <c r="M59" s="25" t="str">
        <f>IFERROR(__xludf.DUMMYFUNCTION("""COMPUTED_VALUE"""),"Strategy")</f>
        <v>Strategy</v>
      </c>
      <c r="N59" s="25"/>
      <c r="O59" s="25" t="str">
        <f>IFERROR(__xludf.DUMMYFUNCTION("""COMPUTED_VALUE"""),"Yes")</f>
        <v>Yes</v>
      </c>
      <c r="P59" s="26"/>
    </row>
    <row r="60">
      <c r="A60" s="13" t="str">
        <f>IFERROR(__xludf.DUMMYFUNCTION("""COMPUTED_VALUE"""),"DOOM (2016)")</f>
        <v>DOOM (2016)</v>
      </c>
      <c r="B60" s="15" t="str">
        <f>IFERROR(__xludf.DUMMYFUNCTION("""COMPUTED_VALUE"""),"PS4")</f>
        <v>PS4</v>
      </c>
      <c r="C60" s="16" t="str">
        <f>IFERROR(__xludf.DUMMYFUNCTION("""COMPUTED_VALUE"""),"Extra")</f>
        <v>Extra</v>
      </c>
      <c r="D60" s="15" t="str">
        <f>IFERROR(__xludf.DUMMYFUNCTION("""COMPUTED_VALUE"""),"Active")</f>
        <v>Active</v>
      </c>
      <c r="E60" s="17">
        <f>IFERROR(__xludf.DUMMYFUNCTION("""COMPUTED_VALUE"""),44725.0)</f>
        <v>44725</v>
      </c>
      <c r="F60" s="54"/>
      <c r="G60" s="19">
        <f>IFERROR(__xludf.DUMMYFUNCTION("""COMPUTED_VALUE"""),51.766666666666666)</f>
        <v>51.76666667</v>
      </c>
      <c r="H60" s="17">
        <f>IFERROR(__xludf.DUMMYFUNCTION("""COMPUTED_VALUE"""),42491.0)</f>
        <v>42491</v>
      </c>
      <c r="I60" s="19">
        <f>IFERROR(__xludf.DUMMYFUNCTION("""COMPUTED_VALUE"""),6.116666666666666)</f>
        <v>6.116666667</v>
      </c>
      <c r="J60" s="21">
        <f>IFERROR(__xludf.DUMMYFUNCTION("""COMPUTED_VALUE"""),86.0)</f>
        <v>86</v>
      </c>
      <c r="K60" s="23">
        <f>IFERROR(__xludf.DUMMYFUNCTION("""COMPUTED_VALUE"""),8.5)</f>
        <v>8.5</v>
      </c>
      <c r="L60" s="24">
        <f>IFERROR(__xludf.DUMMYFUNCTION("""COMPUTED_VALUE"""),11.5)</f>
        <v>11.5</v>
      </c>
      <c r="M60" s="25" t="str">
        <f>IFERROR(__xludf.DUMMYFUNCTION("""COMPUTED_VALUE"""),"Shooter")</f>
        <v>Shooter</v>
      </c>
      <c r="N60" s="25"/>
      <c r="O60" s="25" t="str">
        <f>IFERROR(__xludf.DUMMYFUNCTION("""COMPUTED_VALUE"""),"Yes")</f>
        <v>Yes</v>
      </c>
      <c r="P60" s="26"/>
    </row>
    <row r="61">
      <c r="A61" s="13" t="str">
        <f>IFERROR(__xludf.DUMMYFUNCTION("""COMPUTED_VALUE"""),"Silent Hill 2 (2024)")</f>
        <v>Silent Hill 2 (2024)</v>
      </c>
      <c r="B61" s="15" t="str">
        <f>IFERROR(__xludf.DUMMYFUNCTION("""COMPUTED_VALUE"""),"PS5")</f>
        <v>PS5</v>
      </c>
      <c r="C61" s="16" t="str">
        <f>IFERROR(__xludf.DUMMYFUNCTION("""COMPUTED_VALUE"""),"Extra")</f>
        <v>Extra</v>
      </c>
      <c r="D61" s="15" t="str">
        <f>IFERROR(__xludf.DUMMYFUNCTION("""COMPUTED_VALUE"""),"Leaving Soon")</f>
        <v>Leaving Soon</v>
      </c>
      <c r="E61" s="17">
        <f>IFERROR(__xludf.DUMMYFUNCTION("""COMPUTED_VALUE"""),45951.0)</f>
        <v>45951</v>
      </c>
      <c r="F61" s="54">
        <f>IFERROR(__xludf.DUMMYFUNCTION("""COMPUTED_VALUE"""),46314.0)</f>
        <v>46314</v>
      </c>
      <c r="G61" s="19">
        <f>IFERROR(__xludf.DUMMYFUNCTION("""COMPUTED_VALUE"""),11.933333333333334)</f>
        <v>11.93333333</v>
      </c>
      <c r="H61" s="17">
        <f>IFERROR(__xludf.DUMMYFUNCTION("""COMPUTED_VALUE"""),45573.0)</f>
        <v>45573</v>
      </c>
      <c r="I61" s="19">
        <f>IFERROR(__xludf.DUMMYFUNCTION("""COMPUTED_VALUE"""),1.0361111111111112)</f>
        <v>1.036111111</v>
      </c>
      <c r="J61" s="21">
        <f>IFERROR(__xludf.DUMMYFUNCTION("""COMPUTED_VALUE"""),86.0)</f>
        <v>86</v>
      </c>
      <c r="K61" s="23">
        <f>IFERROR(__xludf.DUMMYFUNCTION("""COMPUTED_VALUE"""),9.1)</f>
        <v>9.1</v>
      </c>
      <c r="L61" s="24">
        <f>IFERROR(__xludf.DUMMYFUNCTION("""COMPUTED_VALUE"""),16.0)</f>
        <v>16</v>
      </c>
      <c r="M61" s="25" t="str">
        <f>IFERROR(__xludf.DUMMYFUNCTION("""COMPUTED_VALUE"""),"Survival")</f>
        <v>Survival</v>
      </c>
      <c r="N61" s="25"/>
      <c r="O61" s="25" t="str">
        <f>IFERROR(__xludf.DUMMYFUNCTION("""COMPUTED_VALUE"""),"No")</f>
        <v>No</v>
      </c>
      <c r="P61" s="26"/>
    </row>
    <row r="62">
      <c r="A62" s="13" t="str">
        <f>IFERROR(__xludf.DUMMYFUNCTION("""COMPUTED_VALUE"""),"Horizon Zero Dawn: Remastered")</f>
        <v>Horizon Zero Dawn: Remastered</v>
      </c>
      <c r="B62" s="15" t="str">
        <f>IFERROR(__xludf.DUMMYFUNCTION("""COMPUTED_VALUE"""),"PS5/PS4")</f>
        <v>PS5/PS4</v>
      </c>
      <c r="C62" s="16" t="str">
        <f>IFERROR(__xludf.DUMMYFUNCTION("""COMPUTED_VALUE"""),"Extra")</f>
        <v>Extra</v>
      </c>
      <c r="D62" s="15" t="str">
        <f>IFERROR(__xludf.DUMMYFUNCTION("""COMPUTED_VALUE"""),"Active")</f>
        <v>Active</v>
      </c>
      <c r="E62" s="17">
        <f>IFERROR(__xludf.DUMMYFUNCTION("""COMPUTED_VALUE"""),46133.0)</f>
        <v>46133</v>
      </c>
      <c r="F62" s="54"/>
      <c r="G62" s="19">
        <f>IFERROR(__xludf.DUMMYFUNCTION("""COMPUTED_VALUE"""),5.5)</f>
        <v>5.5</v>
      </c>
      <c r="H62" s="17">
        <f>IFERROR(__xludf.DUMMYFUNCTION("""COMPUTED_VALUE"""),45596.0)</f>
        <v>45596</v>
      </c>
      <c r="I62" s="19">
        <f>IFERROR(__xludf.DUMMYFUNCTION("""COMPUTED_VALUE"""),1.475)</f>
        <v>1.475</v>
      </c>
      <c r="J62" s="21">
        <f>IFERROR(__xludf.DUMMYFUNCTION("""COMPUTED_VALUE"""),85.0)</f>
        <v>85</v>
      </c>
      <c r="K62" s="23">
        <f>IFERROR(__xludf.DUMMYFUNCTION("""COMPUTED_VALUE"""),7.2)</f>
        <v>7.2</v>
      </c>
      <c r="L62" s="24">
        <f>IFERROR(__xludf.DUMMYFUNCTION("""COMPUTED_VALUE"""),23.0)</f>
        <v>23</v>
      </c>
      <c r="M62" s="25" t="str">
        <f>IFERROR(__xludf.DUMMYFUNCTION("""COMPUTED_VALUE"""),"Action-Adventure")</f>
        <v>Action-Adventure</v>
      </c>
      <c r="N62" s="25" t="str">
        <f>IFERROR(__xludf.DUMMYFUNCTION("""COMPUTED_VALUE"""),"Remastered for PS5, Complete for PS4")</f>
        <v>Remastered for PS5, Complete for PS4</v>
      </c>
      <c r="O62" s="25"/>
      <c r="P62" s="26"/>
    </row>
    <row r="63">
      <c r="A63" s="13" t="str">
        <f>IFERROR(__xludf.DUMMYFUNCTION("""COMPUTED_VALUE"""),"Skate Story")</f>
        <v>Skate Story</v>
      </c>
      <c r="B63" s="15" t="str">
        <f>IFERROR(__xludf.DUMMYFUNCTION("""COMPUTED_VALUE"""),"PS5/PS4")</f>
        <v>PS5/PS4</v>
      </c>
      <c r="C63" s="16" t="str">
        <f>IFERROR(__xludf.DUMMYFUNCTION("""COMPUTED_VALUE"""),"Extra")</f>
        <v>Extra</v>
      </c>
      <c r="D63" s="15" t="str">
        <f>IFERROR(__xludf.DUMMYFUNCTION("""COMPUTED_VALUE"""),"Active")</f>
        <v>Active</v>
      </c>
      <c r="E63" s="17">
        <f>IFERROR(__xludf.DUMMYFUNCTION("""COMPUTED_VALUE"""),45999.0)</f>
        <v>45999</v>
      </c>
      <c r="F63" s="54"/>
      <c r="G63" s="19">
        <f>IFERROR(__xludf.DUMMYFUNCTION("""COMPUTED_VALUE"""),9.933333333333334)</f>
        <v>9.933333333</v>
      </c>
      <c r="H63" s="17">
        <f>IFERROR(__xludf.DUMMYFUNCTION("""COMPUTED_VALUE"""),45999.0)</f>
        <v>45999</v>
      </c>
      <c r="I63" s="19">
        <f>IFERROR(__xludf.DUMMYFUNCTION("""COMPUTED_VALUE"""),0.0)</f>
        <v>0</v>
      </c>
      <c r="J63" s="21">
        <f>IFERROR(__xludf.DUMMYFUNCTION("""COMPUTED_VALUE"""),85.0)</f>
        <v>85</v>
      </c>
      <c r="K63" s="23">
        <f>IFERROR(__xludf.DUMMYFUNCTION("""COMPUTED_VALUE"""),7.1)</f>
        <v>7.1</v>
      </c>
      <c r="L63" s="24">
        <f>IFERROR(__xludf.DUMMYFUNCTION("""COMPUTED_VALUE"""),6.0)</f>
        <v>6</v>
      </c>
      <c r="M63" s="25" t="str">
        <f>IFERROR(__xludf.DUMMYFUNCTION("""COMPUTED_VALUE"""),"Sports")</f>
        <v>Sports</v>
      </c>
      <c r="N63" s="25"/>
      <c r="O63" s="25"/>
      <c r="P63" s="26"/>
    </row>
    <row r="64">
      <c r="A64" s="13" t="str">
        <f>IFERROR(__xludf.DUMMYFUNCTION("""COMPUTED_VALUE"""),"A Space for the Unbound")</f>
        <v>A Space for the Unbound</v>
      </c>
      <c r="B64" s="15" t="str">
        <f>IFERROR(__xludf.DUMMYFUNCTION("""COMPUTED_VALUE"""),"PS5/PS4")</f>
        <v>PS5/PS4</v>
      </c>
      <c r="C64" s="16" t="str">
        <f>IFERROR(__xludf.DUMMYFUNCTION("""COMPUTED_VALUE"""),"Extra")</f>
        <v>Extra</v>
      </c>
      <c r="D64" s="15" t="str">
        <f>IFERROR(__xludf.DUMMYFUNCTION("""COMPUTED_VALUE"""),"Active")</f>
        <v>Active</v>
      </c>
      <c r="E64" s="17">
        <f>IFERROR(__xludf.DUMMYFUNCTION("""COMPUTED_VALUE"""),45643.0)</f>
        <v>45643</v>
      </c>
      <c r="F64" s="54"/>
      <c r="G64" s="19">
        <f>IFERROR(__xludf.DUMMYFUNCTION("""COMPUTED_VALUE"""),21.633333333333333)</f>
        <v>21.63333333</v>
      </c>
      <c r="H64" s="17">
        <f>IFERROR(__xludf.DUMMYFUNCTION("""COMPUTED_VALUE"""),44945.0)</f>
        <v>44945</v>
      </c>
      <c r="I64" s="19">
        <f>IFERROR(__xludf.DUMMYFUNCTION("""COMPUTED_VALUE"""),1.9111111111111112)</f>
        <v>1.911111111</v>
      </c>
      <c r="J64" s="21">
        <f>IFERROR(__xludf.DUMMYFUNCTION("""COMPUTED_VALUE"""),85.0)</f>
        <v>85</v>
      </c>
      <c r="K64" s="23">
        <f>IFERROR(__xludf.DUMMYFUNCTION("""COMPUTED_VALUE"""),7.8)</f>
        <v>7.8</v>
      </c>
      <c r="L64" s="24">
        <f>IFERROR(__xludf.DUMMYFUNCTION("""COMPUTED_VALUE"""),10.0)</f>
        <v>10</v>
      </c>
      <c r="M64" s="25" t="str">
        <f>IFERROR(__xludf.DUMMYFUNCTION("""COMPUTED_VALUE"""),"Action-Adventure")</f>
        <v>Action-Adventure</v>
      </c>
      <c r="N64" s="25"/>
      <c r="O64" s="25" t="str">
        <f>IFERROR(__xludf.DUMMYFUNCTION("""COMPUTED_VALUE"""),"Yes")</f>
        <v>Yes</v>
      </c>
      <c r="P64" s="26"/>
    </row>
    <row r="65">
      <c r="A65" s="13" t="str">
        <f>IFERROR(__xludf.DUMMYFUNCTION("""COMPUTED_VALUE"""),"Far Cry 4")</f>
        <v>Far Cry 4</v>
      </c>
      <c r="B65" s="15" t="str">
        <f>IFERROR(__xludf.DUMMYFUNCTION("""COMPUTED_VALUE"""),"PS4")</f>
        <v>PS4</v>
      </c>
      <c r="C65" s="16" t="str">
        <f>IFERROR(__xludf.DUMMYFUNCTION("""COMPUTED_VALUE"""),"Extra")</f>
        <v>Extra</v>
      </c>
      <c r="D65" s="15" t="str">
        <f>IFERROR(__xludf.DUMMYFUNCTION("""COMPUTED_VALUE"""),"Active")</f>
        <v>Active</v>
      </c>
      <c r="E65" s="17">
        <f>IFERROR(__xludf.DUMMYFUNCTION("""COMPUTED_VALUE"""),45461.0)</f>
        <v>45461</v>
      </c>
      <c r="F65" s="54"/>
      <c r="G65" s="19">
        <f>IFERROR(__xludf.DUMMYFUNCTION("""COMPUTED_VALUE"""),27.599999999999998)</f>
        <v>27.6</v>
      </c>
      <c r="H65" s="17">
        <f>IFERROR(__xludf.DUMMYFUNCTION("""COMPUTED_VALUE"""),41961.0)</f>
        <v>41961</v>
      </c>
      <c r="I65" s="19">
        <f>IFERROR(__xludf.DUMMYFUNCTION("""COMPUTED_VALUE"""),9.583333333333334)</f>
        <v>9.583333333</v>
      </c>
      <c r="J65" s="21">
        <f>IFERROR(__xludf.DUMMYFUNCTION("""COMPUTED_VALUE"""),85.0)</f>
        <v>85</v>
      </c>
      <c r="K65" s="23">
        <f>IFERROR(__xludf.DUMMYFUNCTION("""COMPUTED_VALUE"""),7.7)</f>
        <v>7.7</v>
      </c>
      <c r="L65" s="24">
        <f>IFERROR(__xludf.DUMMYFUNCTION("""COMPUTED_VALUE"""),18.0)</f>
        <v>18</v>
      </c>
      <c r="M65" s="25" t="str">
        <f>IFERROR(__xludf.DUMMYFUNCTION("""COMPUTED_VALUE"""),"Shooter")</f>
        <v>Shooter</v>
      </c>
      <c r="N65" s="25"/>
      <c r="O65" s="25" t="str">
        <f>IFERROR(__xludf.DUMMYFUNCTION("""COMPUTED_VALUE"""),"No")</f>
        <v>No</v>
      </c>
      <c r="P65" s="26"/>
    </row>
    <row r="66">
      <c r="A66" s="13" t="str">
        <f>IFERROR(__xludf.DUMMYFUNCTION("""COMPUTED_VALUE"""),"Shadow Tactics: Blades of the Shogun")</f>
        <v>Shadow Tactics: Blades of the Shogun</v>
      </c>
      <c r="B66" s="15" t="str">
        <f>IFERROR(__xludf.DUMMYFUNCTION("""COMPUTED_VALUE"""),"PS4")</f>
        <v>PS4</v>
      </c>
      <c r="C66" s="16" t="str">
        <f>IFERROR(__xludf.DUMMYFUNCTION("""COMPUTED_VALUE"""),"Extra")</f>
        <v>Extra</v>
      </c>
      <c r="D66" s="15" t="str">
        <f>IFERROR(__xludf.DUMMYFUNCTION("""COMPUTED_VALUE"""),"Active")</f>
        <v>Active</v>
      </c>
      <c r="E66" s="17">
        <f>IFERROR(__xludf.DUMMYFUNCTION("""COMPUTED_VALUE"""),45307.0)</f>
        <v>45307</v>
      </c>
      <c r="F66" s="54"/>
      <c r="G66" s="19">
        <f>IFERROR(__xludf.DUMMYFUNCTION("""COMPUTED_VALUE"""),32.66666666666667)</f>
        <v>32.66666667</v>
      </c>
      <c r="H66" s="17">
        <f>IFERROR(__xludf.DUMMYFUNCTION("""COMPUTED_VALUE"""),42710.0)</f>
        <v>42710</v>
      </c>
      <c r="I66" s="19">
        <f>IFERROR(__xludf.DUMMYFUNCTION("""COMPUTED_VALUE"""),7.111111111111111)</f>
        <v>7.111111111</v>
      </c>
      <c r="J66" s="21">
        <f>IFERROR(__xludf.DUMMYFUNCTION("""COMPUTED_VALUE"""),85.0)</f>
        <v>85</v>
      </c>
      <c r="K66" s="23">
        <f>IFERROR(__xludf.DUMMYFUNCTION("""COMPUTED_VALUE"""),8.5)</f>
        <v>8.5</v>
      </c>
      <c r="L66" s="24">
        <f>IFERROR(__xludf.DUMMYFUNCTION("""COMPUTED_VALUE"""),25.0)</f>
        <v>25</v>
      </c>
      <c r="M66" s="25" t="str">
        <f>IFERROR(__xludf.DUMMYFUNCTION("""COMPUTED_VALUE"""),"Strategy")</f>
        <v>Strategy</v>
      </c>
      <c r="N66" s="25"/>
      <c r="O66" s="25" t="str">
        <f>IFERROR(__xludf.DUMMYFUNCTION("""COMPUTED_VALUE"""),"Yes")</f>
        <v>Yes</v>
      </c>
      <c r="P66" s="26"/>
    </row>
    <row r="67">
      <c r="A67" s="13" t="str">
        <f>IFERROR(__xludf.DUMMYFUNCTION("""COMPUTED_VALUE"""),"Tomb Raider: Definitive Edition")</f>
        <v>Tomb Raider: Definitive Edition</v>
      </c>
      <c r="B67" s="15" t="str">
        <f>IFERROR(__xludf.DUMMYFUNCTION("""COMPUTED_VALUE"""),"PS4")</f>
        <v>PS4</v>
      </c>
      <c r="C67" s="16" t="str">
        <f>IFERROR(__xludf.DUMMYFUNCTION("""COMPUTED_VALUE"""),"Extra")</f>
        <v>Extra</v>
      </c>
      <c r="D67" s="15" t="str">
        <f>IFERROR(__xludf.DUMMYFUNCTION("""COMPUTED_VALUE"""),"Active")</f>
        <v>Active</v>
      </c>
      <c r="E67" s="17">
        <f>IFERROR(__xludf.DUMMYFUNCTION("""COMPUTED_VALUE"""),45062.0)</f>
        <v>45062</v>
      </c>
      <c r="F67" s="54"/>
      <c r="G67" s="19">
        <f>IFERROR(__xludf.DUMMYFUNCTION("""COMPUTED_VALUE"""),40.666666666666664)</f>
        <v>40.66666667</v>
      </c>
      <c r="H67" s="17">
        <f>IFERROR(__xludf.DUMMYFUNCTION("""COMPUTED_VALUE"""),41667.0)</f>
        <v>41667</v>
      </c>
      <c r="I67" s="19">
        <f>IFERROR(__xludf.DUMMYFUNCTION("""COMPUTED_VALUE"""),9.3)</f>
        <v>9.3</v>
      </c>
      <c r="J67" s="21">
        <f>IFERROR(__xludf.DUMMYFUNCTION("""COMPUTED_VALUE"""),85.0)</f>
        <v>85</v>
      </c>
      <c r="K67" s="23">
        <f>IFERROR(__xludf.DUMMYFUNCTION("""COMPUTED_VALUE"""),8.1)</f>
        <v>8.1</v>
      </c>
      <c r="L67" s="24">
        <f>IFERROR(__xludf.DUMMYFUNCTION("""COMPUTED_VALUE"""),12.0)</f>
        <v>12</v>
      </c>
      <c r="M67" s="25" t="str">
        <f>IFERROR(__xludf.DUMMYFUNCTION("""COMPUTED_VALUE"""),"Action-Adventure")</f>
        <v>Action-Adventure</v>
      </c>
      <c r="N67" s="25"/>
      <c r="O67" s="25" t="str">
        <f>IFERROR(__xludf.DUMMYFUNCTION("""COMPUTED_VALUE"""),"Yes")</f>
        <v>Yes</v>
      </c>
      <c r="P67" s="26"/>
    </row>
    <row r="68">
      <c r="A68" s="13" t="str">
        <f>IFERROR(__xludf.DUMMYFUNCTION("""COMPUTED_VALUE"""),"The Forgotten City")</f>
        <v>The Forgotten City</v>
      </c>
      <c r="B68" s="15" t="str">
        <f>IFERROR(__xludf.DUMMYFUNCTION("""COMPUTED_VALUE"""),"PS5/PS4")</f>
        <v>PS5/PS4</v>
      </c>
      <c r="C68" s="16" t="str">
        <f>IFERROR(__xludf.DUMMYFUNCTION("""COMPUTED_VALUE"""),"Extra")</f>
        <v>Extra</v>
      </c>
      <c r="D68" s="15" t="str">
        <f>IFERROR(__xludf.DUMMYFUNCTION("""COMPUTED_VALUE"""),"Active")</f>
        <v>Active</v>
      </c>
      <c r="E68" s="17">
        <f>IFERROR(__xludf.DUMMYFUNCTION("""COMPUTED_VALUE"""),44978.0)</f>
        <v>44978</v>
      </c>
      <c r="F68" s="54"/>
      <c r="G68" s="19">
        <f>IFERROR(__xludf.DUMMYFUNCTION("""COMPUTED_VALUE"""),43.5)</f>
        <v>43.5</v>
      </c>
      <c r="H68" s="17">
        <f>IFERROR(__xludf.DUMMYFUNCTION("""COMPUTED_VALUE"""),44405.0)</f>
        <v>44405</v>
      </c>
      <c r="I68" s="19">
        <f>IFERROR(__xludf.DUMMYFUNCTION("""COMPUTED_VALUE"""),1.5638888888888889)</f>
        <v>1.563888889</v>
      </c>
      <c r="J68" s="21">
        <f>IFERROR(__xludf.DUMMYFUNCTION("""COMPUTED_VALUE"""),85.0)</f>
        <v>85</v>
      </c>
      <c r="K68" s="23">
        <f>IFERROR(__xludf.DUMMYFUNCTION("""COMPUTED_VALUE"""),8.2)</f>
        <v>8.2</v>
      </c>
      <c r="L68" s="24">
        <f>IFERROR(__xludf.DUMMYFUNCTION("""COMPUTED_VALUE"""),6.0)</f>
        <v>6</v>
      </c>
      <c r="M68" s="25" t="str">
        <f>IFERROR(__xludf.DUMMYFUNCTION("""COMPUTED_VALUE"""),"Action-Adventure")</f>
        <v>Action-Adventure</v>
      </c>
      <c r="N68" s="25"/>
      <c r="O68" s="25" t="str">
        <f>IFERROR(__xludf.DUMMYFUNCTION("""COMPUTED_VALUE"""),"Yes")</f>
        <v>Yes</v>
      </c>
      <c r="P68" s="26"/>
    </row>
    <row r="69">
      <c r="A69" s="13" t="str">
        <f>IFERROR(__xludf.DUMMYFUNCTION("""COMPUTED_VALUE"""),"Ys VIII: Lacrimosa of DANA")</f>
        <v>Ys VIII: Lacrimosa of DANA</v>
      </c>
      <c r="B69" s="15" t="str">
        <f>IFERROR(__xludf.DUMMYFUNCTION("""COMPUTED_VALUE"""),"PS5/PS4")</f>
        <v>PS5/PS4</v>
      </c>
      <c r="C69" s="16" t="str">
        <f>IFERROR(__xludf.DUMMYFUNCTION("""COMPUTED_VALUE"""),"Extra")</f>
        <v>Extra</v>
      </c>
      <c r="D69" s="15" t="str">
        <f>IFERROR(__xludf.DUMMYFUNCTION("""COMPUTED_VALUE"""),"Active")</f>
        <v>Active</v>
      </c>
      <c r="E69" s="17">
        <f>IFERROR(__xludf.DUMMYFUNCTION("""COMPUTED_VALUE"""),44880.0)</f>
        <v>44880</v>
      </c>
      <c r="F69" s="54"/>
      <c r="G69" s="19">
        <f>IFERROR(__xludf.DUMMYFUNCTION("""COMPUTED_VALUE"""),46.7)</f>
        <v>46.7</v>
      </c>
      <c r="H69" s="17">
        <f>IFERROR(__xludf.DUMMYFUNCTION("""COMPUTED_VALUE"""),42572.0)</f>
        <v>42572</v>
      </c>
      <c r="I69" s="19">
        <f>IFERROR(__xludf.DUMMYFUNCTION("""COMPUTED_VALUE"""),6.316666666666666)</f>
        <v>6.316666667</v>
      </c>
      <c r="J69" s="21">
        <f>IFERROR(__xludf.DUMMYFUNCTION("""COMPUTED_VALUE"""),85.0)</f>
        <v>85</v>
      </c>
      <c r="K69" s="23">
        <f>IFERROR(__xludf.DUMMYFUNCTION("""COMPUTED_VALUE"""),8.6)</f>
        <v>8.6</v>
      </c>
      <c r="L69" s="24">
        <f>IFERROR(__xludf.DUMMYFUNCTION("""COMPUTED_VALUE"""),37.0)</f>
        <v>37</v>
      </c>
      <c r="M69" s="25" t="str">
        <f>IFERROR(__xludf.DUMMYFUNCTION("""COMPUTED_VALUE"""),"RPG")</f>
        <v>RPG</v>
      </c>
      <c r="N69" s="25"/>
      <c r="O69" s="25" t="str">
        <f>IFERROR(__xludf.DUMMYFUNCTION("""COMPUTED_VALUE"""),"No")</f>
        <v>No</v>
      </c>
      <c r="P69" s="26"/>
    </row>
    <row r="70">
      <c r="A70" s="13" t="str">
        <f>IFERROR(__xludf.DUMMYFUNCTION("""COMPUTED_VALUE"""),"Ghost of Tsushima: Director's Cut")</f>
        <v>Ghost of Tsushima: Director's Cut</v>
      </c>
      <c r="B70" s="15" t="str">
        <f>IFERROR(__xludf.DUMMYFUNCTION("""COMPUTED_VALUE"""),"PS5/PS4")</f>
        <v>PS5/PS4</v>
      </c>
      <c r="C70" s="16" t="str">
        <f>IFERROR(__xludf.DUMMYFUNCTION("""COMPUTED_VALUE"""),"Extra")</f>
        <v>Extra</v>
      </c>
      <c r="D70" s="15" t="str">
        <f>IFERROR(__xludf.DUMMYFUNCTION("""COMPUTED_VALUE"""),"Active")</f>
        <v>Active</v>
      </c>
      <c r="E70" s="17">
        <f>IFERROR(__xludf.DUMMYFUNCTION("""COMPUTED_VALUE"""),44725.0)</f>
        <v>44725</v>
      </c>
      <c r="F70" s="54"/>
      <c r="G70" s="19">
        <f>IFERROR(__xludf.DUMMYFUNCTION("""COMPUTED_VALUE"""),51.766666666666666)</f>
        <v>51.76666667</v>
      </c>
      <c r="H70" s="17">
        <f>IFERROR(__xludf.DUMMYFUNCTION("""COMPUTED_VALUE"""),44428.0)</f>
        <v>44428</v>
      </c>
      <c r="I70" s="19">
        <f>IFERROR(__xludf.DUMMYFUNCTION("""COMPUTED_VALUE"""),0.8138888888888889)</f>
        <v>0.8138888889</v>
      </c>
      <c r="J70" s="21">
        <f>IFERROR(__xludf.DUMMYFUNCTION("""COMPUTED_VALUE"""),85.0)</f>
        <v>85</v>
      </c>
      <c r="K70" s="23">
        <f>IFERROR(__xludf.DUMMYFUNCTION("""COMPUTED_VALUE"""),8.4)</f>
        <v>8.4</v>
      </c>
      <c r="L70" s="24">
        <f>IFERROR(__xludf.DUMMYFUNCTION("""COMPUTED_VALUE"""),25.0)</f>
        <v>25</v>
      </c>
      <c r="M70" s="25" t="str">
        <f>IFERROR(__xludf.DUMMYFUNCTION("""COMPUTED_VALUE"""),"Action-Adventure")</f>
        <v>Action-Adventure</v>
      </c>
      <c r="N70" s="25"/>
      <c r="O70" s="25" t="str">
        <f>IFERROR(__xludf.DUMMYFUNCTION("""COMPUTED_VALUE"""),"Yes")</f>
        <v>Yes</v>
      </c>
      <c r="P70" s="26"/>
    </row>
    <row r="71">
      <c r="A71" s="13" t="str">
        <f>IFERROR(__xludf.DUMMYFUNCTION("""COMPUTED_VALUE"""),"Frostpunk")</f>
        <v>Frostpunk</v>
      </c>
      <c r="B71" s="15" t="str">
        <f>IFERROR(__xludf.DUMMYFUNCTION("""COMPUTED_VALUE"""),"PS4")</f>
        <v>PS4</v>
      </c>
      <c r="C71" s="16" t="str">
        <f>IFERROR(__xludf.DUMMYFUNCTION("""COMPUTED_VALUE"""),"Extra")</f>
        <v>Extra</v>
      </c>
      <c r="D71" s="15" t="str">
        <f>IFERROR(__xludf.DUMMYFUNCTION("""COMPUTED_VALUE"""),"Active")</f>
        <v>Active</v>
      </c>
      <c r="E71" s="17">
        <f>IFERROR(__xludf.DUMMYFUNCTION("""COMPUTED_VALUE"""),44725.0)</f>
        <v>44725</v>
      </c>
      <c r="F71" s="54"/>
      <c r="G71" s="19">
        <f>IFERROR(__xludf.DUMMYFUNCTION("""COMPUTED_VALUE"""),51.766666666666666)</f>
        <v>51.76666667</v>
      </c>
      <c r="H71" s="17">
        <f>IFERROR(__xludf.DUMMYFUNCTION("""COMPUTED_VALUE"""),43191.0)</f>
        <v>43191</v>
      </c>
      <c r="I71" s="19">
        <f>IFERROR(__xludf.DUMMYFUNCTION("""COMPUTED_VALUE"""),4.2)</f>
        <v>4.2</v>
      </c>
      <c r="J71" s="21">
        <f>IFERROR(__xludf.DUMMYFUNCTION("""COMPUTED_VALUE"""),85.0)</f>
        <v>85</v>
      </c>
      <c r="K71" s="23">
        <f>IFERROR(__xludf.DUMMYFUNCTION("""COMPUTED_VALUE"""),8.0)</f>
        <v>8</v>
      </c>
      <c r="L71" s="24">
        <f>IFERROR(__xludf.DUMMYFUNCTION("""COMPUTED_VALUE"""),10.5)</f>
        <v>10.5</v>
      </c>
      <c r="M71" s="26" t="str">
        <f>IFERROR(__xludf.DUMMYFUNCTION("""COMPUTED_VALUE"""),"Strategy")</f>
        <v>Strategy</v>
      </c>
      <c r="N71" s="25"/>
      <c r="O71" s="25" t="str">
        <f>IFERROR(__xludf.DUMMYFUNCTION("""COMPUTED_VALUE"""),"Yes")</f>
        <v>Yes</v>
      </c>
      <c r="P71" s="26"/>
    </row>
    <row r="72">
      <c r="A72" s="13" t="str">
        <f>IFERROR(__xludf.DUMMYFUNCTION("""COMPUTED_VALUE"""),"Mahjong")</f>
        <v>Mahjong</v>
      </c>
      <c r="B72" s="15" t="str">
        <f>IFERROR(__xludf.DUMMYFUNCTION("""COMPUTED_VALUE"""),"PS4")</f>
        <v>PS4</v>
      </c>
      <c r="C72" s="16" t="str">
        <f>IFERROR(__xludf.DUMMYFUNCTION("""COMPUTED_VALUE"""),"Extra")</f>
        <v>Extra</v>
      </c>
      <c r="D72" s="15" t="str">
        <f>IFERROR(__xludf.DUMMYFUNCTION("""COMPUTED_VALUE"""),"Active")</f>
        <v>Active</v>
      </c>
      <c r="E72" s="17">
        <f>IFERROR(__xludf.DUMMYFUNCTION("""COMPUTED_VALUE"""),44725.0)</f>
        <v>44725</v>
      </c>
      <c r="F72" s="54"/>
      <c r="G72" s="19">
        <f>IFERROR(__xludf.DUMMYFUNCTION("""COMPUTED_VALUE"""),51.766666666666666)</f>
        <v>51.76666667</v>
      </c>
      <c r="H72" s="17">
        <f>IFERROR(__xludf.DUMMYFUNCTION("""COMPUTED_VALUE"""),42786.0)</f>
        <v>42786</v>
      </c>
      <c r="I72" s="19">
        <f>IFERROR(__xludf.DUMMYFUNCTION("""COMPUTED_VALUE"""),5.313888888888889)</f>
        <v>5.313888889</v>
      </c>
      <c r="J72" s="21">
        <f>IFERROR(__xludf.DUMMYFUNCTION("""COMPUTED_VALUE"""),85.0)</f>
        <v>85</v>
      </c>
      <c r="K72" s="23"/>
      <c r="L72" s="24">
        <f>IFERROR(__xludf.DUMMYFUNCTION("""COMPUTED_VALUE"""),6.0)</f>
        <v>6</v>
      </c>
      <c r="M72" s="25" t="str">
        <f>IFERROR(__xludf.DUMMYFUNCTION("""COMPUTED_VALUE"""),"Puzzle")</f>
        <v>Puzzle</v>
      </c>
      <c r="N72" s="25"/>
      <c r="O72" s="25" t="str">
        <f>IFERROR(__xludf.DUMMYFUNCTION("""COMPUTED_VALUE"""),"Yes")</f>
        <v>Yes</v>
      </c>
      <c r="P72" s="26"/>
    </row>
    <row r="73">
      <c r="A73" s="13" t="str">
        <f>IFERROR(__xludf.DUMMYFUNCTION("""COMPUTED_VALUE"""),"Ys VIII: Lacrimosa of DANA")</f>
        <v>Ys VIII: Lacrimosa of DANA</v>
      </c>
      <c r="B73" s="15" t="str">
        <f>IFERROR(__xludf.DUMMYFUNCTION("""COMPUTED_VALUE"""),"PS4")</f>
        <v>PS4</v>
      </c>
      <c r="C73" s="16" t="str">
        <f>IFERROR(__xludf.DUMMYFUNCTION("""COMPUTED_VALUE"""),"Extra")</f>
        <v>Extra</v>
      </c>
      <c r="D73" s="15" t="str">
        <f>IFERROR(__xludf.DUMMYFUNCTION("""COMPUTED_VALUE"""),"Active")</f>
        <v>Active</v>
      </c>
      <c r="E73" s="17">
        <f>IFERROR(__xludf.DUMMYFUNCTION("""COMPUTED_VALUE"""),44725.0)</f>
        <v>44725</v>
      </c>
      <c r="F73" s="54"/>
      <c r="G73" s="19">
        <f>IFERROR(__xludf.DUMMYFUNCTION("""COMPUTED_VALUE"""),51.766666666666666)</f>
        <v>51.76666667</v>
      </c>
      <c r="H73" s="17">
        <f>IFERROR(__xludf.DUMMYFUNCTION("""COMPUTED_VALUE"""),42990.0)</f>
        <v>42990</v>
      </c>
      <c r="I73" s="19">
        <f>IFERROR(__xludf.DUMMYFUNCTION("""COMPUTED_VALUE"""),4.752777777777778)</f>
        <v>4.752777778</v>
      </c>
      <c r="J73" s="21">
        <f>IFERROR(__xludf.DUMMYFUNCTION("""COMPUTED_VALUE"""),85.0)</f>
        <v>85</v>
      </c>
      <c r="K73" s="23">
        <f>IFERROR(__xludf.DUMMYFUNCTION("""COMPUTED_VALUE"""),8.4)</f>
        <v>8.4</v>
      </c>
      <c r="L73" s="24">
        <f>IFERROR(__xludf.DUMMYFUNCTION("""COMPUTED_VALUE"""),37.0)</f>
        <v>37</v>
      </c>
      <c r="M73" s="25" t="str">
        <f>IFERROR(__xludf.DUMMYFUNCTION("""COMPUTED_VALUE"""),"RPG")</f>
        <v>RPG</v>
      </c>
      <c r="N73" s="25"/>
      <c r="O73" s="25" t="str">
        <f>IFERROR(__xludf.DUMMYFUNCTION("""COMPUTED_VALUE"""),"No")</f>
        <v>No</v>
      </c>
      <c r="P73" s="26"/>
    </row>
    <row r="74">
      <c r="A74" s="13" t="str">
        <f>IFERROR(__xludf.DUMMYFUNCTION("""COMPUTED_VALUE"""),"South Park: The Stick of Truth")</f>
        <v>South Park: The Stick of Truth</v>
      </c>
      <c r="B74" s="15" t="str">
        <f>IFERROR(__xludf.DUMMYFUNCTION("""COMPUTED_VALUE"""),"PS4")</f>
        <v>PS4</v>
      </c>
      <c r="C74" s="16" t="str">
        <f>IFERROR(__xludf.DUMMYFUNCTION("""COMPUTED_VALUE"""),"Extra (Ubisoft+ Classics)")</f>
        <v>Extra (Ubisoft+ Classics)</v>
      </c>
      <c r="D74" s="15" t="str">
        <f>IFERROR(__xludf.DUMMYFUNCTION("""COMPUTED_VALUE"""),"Active")</f>
        <v>Active</v>
      </c>
      <c r="E74" s="17">
        <f>IFERROR(__xludf.DUMMYFUNCTION("""COMPUTED_VALUE"""),44725.0)</f>
        <v>44725</v>
      </c>
      <c r="F74" s="54"/>
      <c r="G74" s="19">
        <f>IFERROR(__xludf.DUMMYFUNCTION("""COMPUTED_VALUE"""),51.766666666666666)</f>
        <v>51.76666667</v>
      </c>
      <c r="H74" s="17">
        <f>IFERROR(__xludf.DUMMYFUNCTION("""COMPUTED_VALUE"""),41702.0)</f>
        <v>41702</v>
      </c>
      <c r="I74" s="19">
        <f>IFERROR(__xludf.DUMMYFUNCTION("""COMPUTED_VALUE"""),8.275)</f>
        <v>8.275</v>
      </c>
      <c r="J74" s="21">
        <f>IFERROR(__xludf.DUMMYFUNCTION("""COMPUTED_VALUE"""),85.0)</f>
        <v>85</v>
      </c>
      <c r="K74" s="23">
        <f>IFERROR(__xludf.DUMMYFUNCTION("""COMPUTED_VALUE"""),8.6)</f>
        <v>8.6</v>
      </c>
      <c r="L74" s="24">
        <f>IFERROR(__xludf.DUMMYFUNCTION("""COMPUTED_VALUE"""),11.0)</f>
        <v>11</v>
      </c>
      <c r="M74" s="25" t="str">
        <f>IFERROR(__xludf.DUMMYFUNCTION("""COMPUTED_VALUE"""),"RPG")</f>
        <v>RPG</v>
      </c>
      <c r="N74" s="25"/>
      <c r="O74" s="25" t="str">
        <f>IFERROR(__xludf.DUMMYFUNCTION("""COMPUTED_VALUE"""),"Yes")</f>
        <v>Yes</v>
      </c>
      <c r="P74" s="26"/>
    </row>
    <row r="75">
      <c r="A75" s="13" t="str">
        <f>IFERROR(__xludf.DUMMYFUNCTION("""COMPUTED_VALUE"""),"Ninja Gaiden: Ragebound")</f>
        <v>Ninja Gaiden: Ragebound</v>
      </c>
      <c r="B75" s="15" t="str">
        <f>IFERROR(__xludf.DUMMYFUNCTION("""COMPUTED_VALUE"""),"PS5/PS4")</f>
        <v>PS5/PS4</v>
      </c>
      <c r="C75" s="16" t="str">
        <f>IFERROR(__xludf.DUMMYFUNCTION("""COMPUTED_VALUE"""),"Extra")</f>
        <v>Extra</v>
      </c>
      <c r="D75" s="15" t="str">
        <f>IFERROR(__xludf.DUMMYFUNCTION("""COMPUTED_VALUE"""),"Active")</f>
        <v>Active</v>
      </c>
      <c r="E75" s="17">
        <f>IFERROR(__xludf.DUMMYFUNCTION("""COMPUTED_VALUE"""),46294.0)</f>
        <v>46294</v>
      </c>
      <c r="F75" s="54"/>
      <c r="G75" s="19">
        <f>IFERROR(__xludf.DUMMYFUNCTION("""COMPUTED_VALUE"""),0.23333333333333334)</f>
        <v>0.2333333333</v>
      </c>
      <c r="H75" s="17">
        <f>IFERROR(__xludf.DUMMYFUNCTION("""COMPUTED_VALUE"""),45869.0)</f>
        <v>45869</v>
      </c>
      <c r="I75" s="19">
        <f>IFERROR(__xludf.DUMMYFUNCTION("""COMPUTED_VALUE"""),1.163888888888889)</f>
        <v>1.163888889</v>
      </c>
      <c r="J75" s="21">
        <f>IFERROR(__xludf.DUMMYFUNCTION("""COMPUTED_VALUE"""),84.0)</f>
        <v>84</v>
      </c>
      <c r="K75" s="23">
        <f>IFERROR(__xludf.DUMMYFUNCTION("""COMPUTED_VALUE"""),7.9)</f>
        <v>7.9</v>
      </c>
      <c r="L75" s="24">
        <f>IFERROR(__xludf.DUMMYFUNCTION("""COMPUTED_VALUE"""),6.0)</f>
        <v>6</v>
      </c>
      <c r="M75" s="25" t="str">
        <f>IFERROR(__xludf.DUMMYFUNCTION("""COMPUTED_VALUE"""),"Platformer")</f>
        <v>Platformer</v>
      </c>
      <c r="N75" s="25"/>
      <c r="O75" s="25"/>
      <c r="P75" s="26"/>
    </row>
    <row r="76">
      <c r="A76" s="13" t="str">
        <f>IFERROR(__xludf.DUMMYFUNCTION("""COMPUTED_VALUE"""),"Ball x Pit")</f>
        <v>Ball x Pit</v>
      </c>
      <c r="B76" s="15" t="str">
        <f>IFERROR(__xludf.DUMMYFUNCTION("""COMPUTED_VALUE"""),"PS5")</f>
        <v>PS5</v>
      </c>
      <c r="C76" s="16" t="str">
        <f>IFERROR(__xludf.DUMMYFUNCTION("""COMPUTED_VALUE"""),"Extra")</f>
        <v>Extra</v>
      </c>
      <c r="D76" s="15" t="str">
        <f>IFERROR(__xludf.DUMMYFUNCTION("""COMPUTED_VALUE"""),"Active")</f>
        <v>Active</v>
      </c>
      <c r="E76" s="17">
        <f>IFERROR(__xludf.DUMMYFUNCTION("""COMPUTED_VALUE"""),46287.0)</f>
        <v>46287</v>
      </c>
      <c r="F76" s="54"/>
      <c r="G76" s="19">
        <f>IFERROR(__xludf.DUMMYFUNCTION("""COMPUTED_VALUE"""),0.4666666666666667)</f>
        <v>0.4666666667</v>
      </c>
      <c r="H76" s="17">
        <f>IFERROR(__xludf.DUMMYFUNCTION("""COMPUTED_VALUE"""),45945.0)</f>
        <v>45945</v>
      </c>
      <c r="I76" s="19">
        <f>IFERROR(__xludf.DUMMYFUNCTION("""COMPUTED_VALUE"""),0.9361111111111111)</f>
        <v>0.9361111111</v>
      </c>
      <c r="J76" s="21">
        <f>IFERROR(__xludf.DUMMYFUNCTION("""COMPUTED_VALUE"""),84.0)</f>
        <v>84</v>
      </c>
      <c r="K76" s="23">
        <f>IFERROR(__xludf.DUMMYFUNCTION("""COMPUTED_VALUE"""),8.2)</f>
        <v>8.2</v>
      </c>
      <c r="L76" s="24">
        <f>IFERROR(__xludf.DUMMYFUNCTION("""COMPUTED_VALUE"""),19.0)</f>
        <v>19</v>
      </c>
      <c r="M76" s="25" t="str">
        <f>IFERROR(__xludf.DUMMYFUNCTION("""COMPUTED_VALUE"""),"Shooter")</f>
        <v>Shooter</v>
      </c>
      <c r="N76" s="25"/>
      <c r="O76" s="25" t="str">
        <f>IFERROR(__xludf.DUMMYFUNCTION("""COMPUTED_VALUE"""),"No")</f>
        <v>No</v>
      </c>
      <c r="P76" s="26"/>
    </row>
    <row r="77">
      <c r="A77" s="13" t="str">
        <f>IFERROR(__xludf.DUMMYFUNCTION("""COMPUTED_VALUE"""),"Two Point Museum")</f>
        <v>Two Point Museum</v>
      </c>
      <c r="B77" s="15" t="str">
        <f>IFERROR(__xludf.DUMMYFUNCTION("""COMPUTED_VALUE"""),"PS5")</f>
        <v>PS5</v>
      </c>
      <c r="C77" s="16" t="str">
        <f>IFERROR(__xludf.DUMMYFUNCTION("""COMPUTED_VALUE"""),"Extra")</f>
        <v>Extra</v>
      </c>
      <c r="D77" s="15" t="str">
        <f>IFERROR(__xludf.DUMMYFUNCTION("""COMPUTED_VALUE"""),"Active")</f>
        <v>Active</v>
      </c>
      <c r="E77" s="17">
        <f>IFERROR(__xludf.DUMMYFUNCTION("""COMPUTED_VALUE"""),46259.0)</f>
        <v>46259</v>
      </c>
      <c r="F77" s="54"/>
      <c r="G77" s="19">
        <f>IFERROR(__xludf.DUMMYFUNCTION("""COMPUTED_VALUE"""),1.3666666666666667)</f>
        <v>1.366666667</v>
      </c>
      <c r="H77" s="17">
        <f>IFERROR(__xludf.DUMMYFUNCTION("""COMPUTED_VALUE"""),45720.0)</f>
        <v>45720</v>
      </c>
      <c r="I77" s="19">
        <f>IFERROR(__xludf.DUMMYFUNCTION("""COMPUTED_VALUE"""),1.475)</f>
        <v>1.475</v>
      </c>
      <c r="J77" s="21">
        <f>IFERROR(__xludf.DUMMYFUNCTION("""COMPUTED_VALUE"""),84.0)</f>
        <v>84</v>
      </c>
      <c r="K77" s="23">
        <f>IFERROR(__xludf.DUMMYFUNCTION("""COMPUTED_VALUE"""),8.1)</f>
        <v>8.1</v>
      </c>
      <c r="L77" s="24">
        <f>IFERROR(__xludf.DUMMYFUNCTION("""COMPUTED_VALUE"""),47.0)</f>
        <v>47</v>
      </c>
      <c r="M77" s="25" t="str">
        <f>IFERROR(__xludf.DUMMYFUNCTION("""COMPUTED_VALUE"""),"Tycoon")</f>
        <v>Tycoon</v>
      </c>
      <c r="N77" s="25"/>
      <c r="O77" s="25" t="str">
        <f>IFERROR(__xludf.DUMMYFUNCTION("""COMPUTED_VALUE"""),"No")</f>
        <v>No</v>
      </c>
      <c r="P77" s="26"/>
    </row>
    <row r="78">
      <c r="A78" s="13" t="str">
        <f>IFERROR(__xludf.DUMMYFUNCTION("""COMPUTED_VALUE"""),"Snow Bros. Wonderland")</f>
        <v>Snow Bros. Wonderland</v>
      </c>
      <c r="B78" s="15" t="str">
        <f>IFERROR(__xludf.DUMMYFUNCTION("""COMPUTED_VALUE"""),"PS5")</f>
        <v>PS5</v>
      </c>
      <c r="C78" s="16" t="str">
        <f>IFERROR(__xludf.DUMMYFUNCTION("""COMPUTED_VALUE"""),"Extra")</f>
        <v>Extra</v>
      </c>
      <c r="D78" s="15" t="str">
        <f>IFERROR(__xludf.DUMMYFUNCTION("""COMPUTED_VALUE"""),"Active")</f>
        <v>Active</v>
      </c>
      <c r="E78" s="17">
        <f>IFERROR(__xludf.DUMMYFUNCTION("""COMPUTED_VALUE"""),46231.0)</f>
        <v>46231</v>
      </c>
      <c r="F78" s="54"/>
      <c r="G78" s="19">
        <f>IFERROR(__xludf.DUMMYFUNCTION("""COMPUTED_VALUE"""),2.2666666666666666)</f>
        <v>2.266666667</v>
      </c>
      <c r="H78" s="17">
        <f>IFERROR(__xludf.DUMMYFUNCTION("""COMPUTED_VALUE"""),45624.0)</f>
        <v>45624</v>
      </c>
      <c r="I78" s="19">
        <f>IFERROR(__xludf.DUMMYFUNCTION("""COMPUTED_VALUE"""),1.6666666666666667)</f>
        <v>1.666666667</v>
      </c>
      <c r="J78" s="21">
        <f>IFERROR(__xludf.DUMMYFUNCTION("""COMPUTED_VALUE"""),84.0)</f>
        <v>84</v>
      </c>
      <c r="K78" s="23">
        <f>IFERROR(__xludf.DUMMYFUNCTION("""COMPUTED_VALUE"""),7.8)</f>
        <v>7.8</v>
      </c>
      <c r="L78" s="24">
        <f>IFERROR(__xludf.DUMMYFUNCTION("""COMPUTED_VALUE"""),4.0)</f>
        <v>4</v>
      </c>
      <c r="M78" s="25" t="str">
        <f>IFERROR(__xludf.DUMMYFUNCTION("""COMPUTED_VALUE"""),"Action")</f>
        <v>Action</v>
      </c>
      <c r="N78" s="25"/>
      <c r="O78" s="25" t="str">
        <f>IFERROR(__xludf.DUMMYFUNCTION("""COMPUTED_VALUE"""),"No")</f>
        <v>No</v>
      </c>
      <c r="P78" s="26"/>
    </row>
    <row r="79">
      <c r="A79" s="13" t="str">
        <f>IFERROR(__xludf.DUMMYFUNCTION("""COMPUTED_VALUE"""),"Broken Sword - Shadows of the Templar: Reforged")</f>
        <v>Broken Sword - Shadows of the Templar: Reforged</v>
      </c>
      <c r="B79" s="15" t="str">
        <f>IFERROR(__xludf.DUMMYFUNCTION("""COMPUTED_VALUE"""),"PS5/PS4")</f>
        <v>PS5/PS4</v>
      </c>
      <c r="C79" s="16" t="str">
        <f>IFERROR(__xludf.DUMMYFUNCTION("""COMPUTED_VALUE"""),"Extra")</f>
        <v>Extra</v>
      </c>
      <c r="D79" s="15" t="str">
        <f>IFERROR(__xludf.DUMMYFUNCTION("""COMPUTED_VALUE"""),"Active")</f>
        <v>Active</v>
      </c>
      <c r="E79" s="17">
        <f>IFERROR(__xludf.DUMMYFUNCTION("""COMPUTED_VALUE"""),46161.0)</f>
        <v>46161</v>
      </c>
      <c r="F79" s="54"/>
      <c r="G79" s="19">
        <f>IFERROR(__xludf.DUMMYFUNCTION("""COMPUTED_VALUE"""),4.566666666666666)</f>
        <v>4.566666667</v>
      </c>
      <c r="H79" s="17">
        <f>IFERROR(__xludf.DUMMYFUNCTION("""COMPUTED_VALUE"""),45554.0)</f>
        <v>45554</v>
      </c>
      <c r="I79" s="19">
        <f>IFERROR(__xludf.DUMMYFUNCTION("""COMPUTED_VALUE"""),1.6666666666666667)</f>
        <v>1.666666667</v>
      </c>
      <c r="J79" s="21">
        <f>IFERROR(__xludf.DUMMYFUNCTION("""COMPUTED_VALUE"""),84.0)</f>
        <v>84</v>
      </c>
      <c r="K79" s="23">
        <f>IFERROR(__xludf.DUMMYFUNCTION("""COMPUTED_VALUE"""),8.8)</f>
        <v>8.8</v>
      </c>
      <c r="L79" s="24">
        <f>IFERROR(__xludf.DUMMYFUNCTION("""COMPUTED_VALUE"""),10.0)</f>
        <v>10</v>
      </c>
      <c r="M79" s="25" t="str">
        <f>IFERROR(__xludf.DUMMYFUNCTION("""COMPUTED_VALUE"""),"Point-and-Click")</f>
        <v>Point-and-Click</v>
      </c>
      <c r="N79" s="25"/>
      <c r="O79" s="25"/>
      <c r="P79" s="26"/>
    </row>
    <row r="80">
      <c r="A80" s="13" t="str">
        <f>IFERROR(__xludf.DUMMYFUNCTION("""COMPUTED_VALUE"""),"Season: A Letter to the Future")</f>
        <v>Season: A Letter to the Future</v>
      </c>
      <c r="B80" s="15" t="str">
        <f>IFERROR(__xludf.DUMMYFUNCTION("""COMPUTED_VALUE"""),"PS5/PS4")</f>
        <v>PS5/PS4</v>
      </c>
      <c r="C80" s="16" t="str">
        <f>IFERROR(__xludf.DUMMYFUNCTION("""COMPUTED_VALUE"""),"Extra")</f>
        <v>Extra</v>
      </c>
      <c r="D80" s="15" t="str">
        <f>IFERROR(__xludf.DUMMYFUNCTION("""COMPUTED_VALUE"""),"Active")</f>
        <v>Active</v>
      </c>
      <c r="E80" s="17">
        <f>IFERROR(__xludf.DUMMYFUNCTION("""COMPUTED_VALUE"""),46070.0)</f>
        <v>46070</v>
      </c>
      <c r="F80" s="54"/>
      <c r="G80" s="19">
        <f>IFERROR(__xludf.DUMMYFUNCTION("""COMPUTED_VALUE"""),7.633333333333333)</f>
        <v>7.633333333</v>
      </c>
      <c r="H80" s="17">
        <f>IFERROR(__xludf.DUMMYFUNCTION("""COMPUTED_VALUE"""),44957.0)</f>
        <v>44957</v>
      </c>
      <c r="I80" s="19">
        <f>IFERROR(__xludf.DUMMYFUNCTION("""COMPUTED_VALUE"""),3.047222222222222)</f>
        <v>3.047222222</v>
      </c>
      <c r="J80" s="21">
        <f>IFERROR(__xludf.DUMMYFUNCTION("""COMPUTED_VALUE"""),84.0)</f>
        <v>84</v>
      </c>
      <c r="K80" s="23">
        <f>IFERROR(__xludf.DUMMYFUNCTION("""COMPUTED_VALUE"""),8.3)</f>
        <v>8.3</v>
      </c>
      <c r="L80" s="24">
        <f>IFERROR(__xludf.DUMMYFUNCTION("""COMPUTED_VALUE"""),10.0)</f>
        <v>10</v>
      </c>
      <c r="M80" s="25" t="str">
        <f>IFERROR(__xludf.DUMMYFUNCTION("""COMPUTED_VALUE"""),"Action-Adventure")</f>
        <v>Action-Adventure</v>
      </c>
      <c r="N80" s="25"/>
      <c r="O80" s="25"/>
      <c r="P80" s="26"/>
    </row>
    <row r="81">
      <c r="A81" s="13" t="str">
        <f>IFERROR(__xludf.DUMMYFUNCTION("""COMPUTED_VALUE"""),"Resident Evil: Village")</f>
        <v>Resident Evil: Village</v>
      </c>
      <c r="B81" s="15" t="str">
        <f>IFERROR(__xludf.DUMMYFUNCTION("""COMPUTED_VALUE"""),"PS5/PS4")</f>
        <v>PS5/PS4</v>
      </c>
      <c r="C81" s="16" t="str">
        <f>IFERROR(__xludf.DUMMYFUNCTION("""COMPUTED_VALUE"""),"Extra")</f>
        <v>Extra</v>
      </c>
      <c r="D81" s="15" t="str">
        <f>IFERROR(__xludf.DUMMYFUNCTION("""COMPUTED_VALUE"""),"Active")</f>
        <v>Active</v>
      </c>
      <c r="E81" s="17">
        <f>IFERROR(__xludf.DUMMYFUNCTION("""COMPUTED_VALUE"""),46042.0)</f>
        <v>46042</v>
      </c>
      <c r="F81" s="54"/>
      <c r="G81" s="19">
        <f>IFERROR(__xludf.DUMMYFUNCTION("""COMPUTED_VALUE"""),8.533333333333333)</f>
        <v>8.533333333</v>
      </c>
      <c r="H81" s="17">
        <f>IFERROR(__xludf.DUMMYFUNCTION("""COMPUTED_VALUE"""),44323.0)</f>
        <v>44323</v>
      </c>
      <c r="I81" s="19">
        <f>IFERROR(__xludf.DUMMYFUNCTION("""COMPUTED_VALUE"""),4.7027777777777775)</f>
        <v>4.702777778</v>
      </c>
      <c r="J81" s="21">
        <f>IFERROR(__xludf.DUMMYFUNCTION("""COMPUTED_VALUE"""),84.0)</f>
        <v>84</v>
      </c>
      <c r="K81" s="23">
        <f>IFERROR(__xludf.DUMMYFUNCTION("""COMPUTED_VALUE"""),8.5)</f>
        <v>8.5</v>
      </c>
      <c r="L81" s="24">
        <f>IFERROR(__xludf.DUMMYFUNCTION("""COMPUTED_VALUE"""),10.0)</f>
        <v>10</v>
      </c>
      <c r="M81" s="25" t="str">
        <f>IFERROR(__xludf.DUMMYFUNCTION("""COMPUTED_VALUE"""),"Action-Adventure")</f>
        <v>Action-Adventure</v>
      </c>
      <c r="N81" s="25"/>
      <c r="O81" s="25"/>
      <c r="P81" s="26"/>
    </row>
    <row r="82">
      <c r="A82" s="13" t="str">
        <f>IFERROR(__xludf.DUMMYFUNCTION("""COMPUTED_VALUE"""),"Crow Country")</f>
        <v>Crow Country</v>
      </c>
      <c r="B82" s="15" t="str">
        <f>IFERROR(__xludf.DUMMYFUNCTION("""COMPUTED_VALUE"""),"PS5/PS4")</f>
        <v>PS5/PS4</v>
      </c>
      <c r="C82" s="16" t="str">
        <f>IFERROR(__xludf.DUMMYFUNCTION("""COMPUTED_VALUE"""),"Extra")</f>
        <v>Extra</v>
      </c>
      <c r="D82" s="15" t="str">
        <f>IFERROR(__xludf.DUMMYFUNCTION("""COMPUTED_VALUE"""),"Active")</f>
        <v>Active</v>
      </c>
      <c r="E82" s="17">
        <f>IFERROR(__xludf.DUMMYFUNCTION("""COMPUTED_VALUE"""),45916.0)</f>
        <v>45916</v>
      </c>
      <c r="F82" s="54"/>
      <c r="G82" s="19">
        <f>IFERROR(__xludf.DUMMYFUNCTION("""COMPUTED_VALUE"""),12.666666666666668)</f>
        <v>12.66666667</v>
      </c>
      <c r="H82" s="17">
        <f>IFERROR(__xludf.DUMMYFUNCTION("""COMPUTED_VALUE"""),45421.0)</f>
        <v>45421</v>
      </c>
      <c r="I82" s="19">
        <f>IFERROR(__xludf.DUMMYFUNCTION("""COMPUTED_VALUE"""),1.3527777777777779)</f>
        <v>1.352777778</v>
      </c>
      <c r="J82" s="21">
        <f>IFERROR(__xludf.DUMMYFUNCTION("""COMPUTED_VALUE"""),84.0)</f>
        <v>84</v>
      </c>
      <c r="K82" s="23">
        <f>IFERROR(__xludf.DUMMYFUNCTION("""COMPUTED_VALUE"""),8.0)</f>
        <v>8</v>
      </c>
      <c r="L82" s="24">
        <f>IFERROR(__xludf.DUMMYFUNCTION("""COMPUTED_VALUE"""),6.0)</f>
        <v>6</v>
      </c>
      <c r="M82" s="25" t="str">
        <f>IFERROR(__xludf.DUMMYFUNCTION("""COMPUTED_VALUE"""),"Survival")</f>
        <v>Survival</v>
      </c>
      <c r="N82" s="25"/>
      <c r="O82" s="25"/>
      <c r="P82" s="26"/>
    </row>
    <row r="83">
      <c r="A83" s="13" t="str">
        <f>IFERROR(__xludf.DUMMYFUNCTION("""COMPUTED_VALUE"""),"Hogwarts Legacy")</f>
        <v>Hogwarts Legacy</v>
      </c>
      <c r="B83" s="15" t="str">
        <f>IFERROR(__xludf.DUMMYFUNCTION("""COMPUTED_VALUE"""),"PS5/PS4")</f>
        <v>PS5/PS4</v>
      </c>
      <c r="C83" s="16" t="str">
        <f>IFERROR(__xludf.DUMMYFUNCTION("""COMPUTED_VALUE"""),"Extra")</f>
        <v>Extra</v>
      </c>
      <c r="D83" s="15" t="str">
        <f>IFERROR(__xludf.DUMMYFUNCTION("""COMPUTED_VALUE"""),"Active")</f>
        <v>Active</v>
      </c>
      <c r="E83" s="17">
        <f>IFERROR(__xludf.DUMMYFUNCTION("""COMPUTED_VALUE"""),45762.0)</f>
        <v>45762</v>
      </c>
      <c r="F83" s="54"/>
      <c r="G83" s="19">
        <f>IFERROR(__xludf.DUMMYFUNCTION("""COMPUTED_VALUE"""),17.700000000000003)</f>
        <v>17.7</v>
      </c>
      <c r="H83" s="17">
        <f>IFERROR(__xludf.DUMMYFUNCTION("""COMPUTED_VALUE"""),44964.0)</f>
        <v>44964</v>
      </c>
      <c r="I83" s="19">
        <f>IFERROR(__xludf.DUMMYFUNCTION("""COMPUTED_VALUE"""),2.188888888888889)</f>
        <v>2.188888889</v>
      </c>
      <c r="J83" s="21">
        <f>IFERROR(__xludf.DUMMYFUNCTION("""COMPUTED_VALUE"""),84.0)</f>
        <v>84</v>
      </c>
      <c r="K83" s="23">
        <f>IFERROR(__xludf.DUMMYFUNCTION("""COMPUTED_VALUE"""),8.2)</f>
        <v>8.2</v>
      </c>
      <c r="L83" s="24">
        <f>IFERROR(__xludf.DUMMYFUNCTION("""COMPUTED_VALUE"""),27.0)</f>
        <v>27</v>
      </c>
      <c r="M83" s="25" t="str">
        <f>IFERROR(__xludf.DUMMYFUNCTION("""COMPUTED_VALUE"""),"RPG")</f>
        <v>RPG</v>
      </c>
      <c r="N83" s="25"/>
      <c r="O83" s="25"/>
      <c r="P83" s="26"/>
    </row>
    <row r="84">
      <c r="A84" s="13" t="str">
        <f>IFERROR(__xludf.DUMMYFUNCTION("""COMPUTED_VALUE"""),"Overcooked! All You Can Eat")</f>
        <v>Overcooked! All You Can Eat</v>
      </c>
      <c r="B84" s="15" t="str">
        <f>IFERROR(__xludf.DUMMYFUNCTION("""COMPUTED_VALUE"""),"PS5/PS4")</f>
        <v>PS5/PS4</v>
      </c>
      <c r="C84" s="16" t="str">
        <f>IFERROR(__xludf.DUMMYFUNCTION("""COMPUTED_VALUE"""),"Extra")</f>
        <v>Extra</v>
      </c>
      <c r="D84" s="15" t="str">
        <f>IFERROR(__xludf.DUMMYFUNCTION("""COMPUTED_VALUE"""),"Active")</f>
        <v>Active</v>
      </c>
      <c r="E84" s="17">
        <f>IFERROR(__xludf.DUMMYFUNCTION("""COMPUTED_VALUE"""),45615.0)</f>
        <v>45615</v>
      </c>
      <c r="F84" s="54"/>
      <c r="G84" s="19">
        <f>IFERROR(__xludf.DUMMYFUNCTION("""COMPUTED_VALUE"""),22.566666666666666)</f>
        <v>22.56666667</v>
      </c>
      <c r="H84" s="17">
        <f>IFERROR(__xludf.DUMMYFUNCTION("""COMPUTED_VALUE"""),44147.0)</f>
        <v>44147</v>
      </c>
      <c r="I84" s="19">
        <f>IFERROR(__xludf.DUMMYFUNCTION("""COMPUTED_VALUE"""),4.019444444444445)</f>
        <v>4.019444444</v>
      </c>
      <c r="J84" s="21">
        <f>IFERROR(__xludf.DUMMYFUNCTION("""COMPUTED_VALUE"""),84.0)</f>
        <v>84</v>
      </c>
      <c r="K84" s="23">
        <f>IFERROR(__xludf.DUMMYFUNCTION("""COMPUTED_VALUE"""),7.2)</f>
        <v>7.2</v>
      </c>
      <c r="L84" s="24">
        <f>IFERROR(__xludf.DUMMYFUNCTION("""COMPUTED_VALUE"""),24.0)</f>
        <v>24</v>
      </c>
      <c r="M84" s="25" t="str">
        <f>IFERROR(__xludf.DUMMYFUNCTION("""COMPUTED_VALUE"""),"Arcade")</f>
        <v>Arcade</v>
      </c>
      <c r="N84" s="25"/>
      <c r="O84" s="25" t="str">
        <f>IFERROR(__xludf.DUMMYFUNCTION("""COMPUTED_VALUE"""),"Yes")</f>
        <v>Yes</v>
      </c>
      <c r="P84" s="26"/>
    </row>
    <row r="85">
      <c r="A85" s="13" t="str">
        <f>IFERROR(__xludf.DUMMYFUNCTION("""COMPUTED_VALUE"""),"Deus Ex: Mankind Divided")</f>
        <v>Deus Ex: Mankind Divided</v>
      </c>
      <c r="B85" s="15" t="str">
        <f>IFERROR(__xludf.DUMMYFUNCTION("""COMPUTED_VALUE"""),"PS4")</f>
        <v>PS4</v>
      </c>
      <c r="C85" s="16" t="str">
        <f>IFERROR(__xludf.DUMMYFUNCTION("""COMPUTED_VALUE"""),"Extra")</f>
        <v>Extra</v>
      </c>
      <c r="D85" s="15" t="str">
        <f>IFERROR(__xludf.DUMMYFUNCTION("""COMPUTED_VALUE"""),"Active")</f>
        <v>Active</v>
      </c>
      <c r="E85" s="17">
        <f>IFERROR(__xludf.DUMMYFUNCTION("""COMPUTED_VALUE"""),45097.0)</f>
        <v>45097</v>
      </c>
      <c r="F85" s="54"/>
      <c r="G85" s="19">
        <f>IFERROR(__xludf.DUMMYFUNCTION("""COMPUTED_VALUE"""),39.53333333333333)</f>
        <v>39.53333333</v>
      </c>
      <c r="H85" s="17">
        <f>IFERROR(__xludf.DUMMYFUNCTION("""COMPUTED_VALUE"""),42605.0)</f>
        <v>42605</v>
      </c>
      <c r="I85" s="19">
        <f>IFERROR(__xludf.DUMMYFUNCTION("""COMPUTED_VALUE"""),6.825)</f>
        <v>6.825</v>
      </c>
      <c r="J85" s="21">
        <f>IFERROR(__xludf.DUMMYFUNCTION("""COMPUTED_VALUE"""),84.0)</f>
        <v>84</v>
      </c>
      <c r="K85" s="23">
        <f>IFERROR(__xludf.DUMMYFUNCTION("""COMPUTED_VALUE"""),7.9)</f>
        <v>7.9</v>
      </c>
      <c r="L85" s="24">
        <f>IFERROR(__xludf.DUMMYFUNCTION("""COMPUTED_VALUE"""),26.0)</f>
        <v>26</v>
      </c>
      <c r="M85" s="25" t="str">
        <f>IFERROR(__xludf.DUMMYFUNCTION("""COMPUTED_VALUE"""),"Action-Adventure")</f>
        <v>Action-Adventure</v>
      </c>
      <c r="N85" s="25"/>
      <c r="O85" s="25" t="str">
        <f>IFERROR(__xludf.DUMMYFUNCTION("""COMPUTED_VALUE"""),"Yes")</f>
        <v>Yes</v>
      </c>
      <c r="P85" s="26"/>
    </row>
    <row r="86">
      <c r="A86" s="13" t="str">
        <f>IFERROR(__xludf.DUMMYFUNCTION("""COMPUTED_VALUE"""),"Oddworld: New 'n' Tasty")</f>
        <v>Oddworld: New 'n' Tasty</v>
      </c>
      <c r="B86" s="15" t="str">
        <f>IFERROR(__xludf.DUMMYFUNCTION("""COMPUTED_VALUE"""),"PS4")</f>
        <v>PS4</v>
      </c>
      <c r="C86" s="16" t="str">
        <f>IFERROR(__xludf.DUMMYFUNCTION("""COMPUTED_VALUE"""),"Extra")</f>
        <v>Extra</v>
      </c>
      <c r="D86" s="15" t="str">
        <f>IFERROR(__xludf.DUMMYFUNCTION("""COMPUTED_VALUE"""),"Active")</f>
        <v>Active</v>
      </c>
      <c r="E86" s="17">
        <f>IFERROR(__xludf.DUMMYFUNCTION("""COMPUTED_VALUE"""),44725.0)</f>
        <v>44725</v>
      </c>
      <c r="F86" s="54"/>
      <c r="G86" s="19">
        <f>IFERROR(__xludf.DUMMYFUNCTION("""COMPUTED_VALUE"""),51.766666666666666)</f>
        <v>51.76666667</v>
      </c>
      <c r="H86" s="17">
        <f>IFERROR(__xludf.DUMMYFUNCTION("""COMPUTED_VALUE"""),41842.0)</f>
        <v>41842</v>
      </c>
      <c r="I86" s="19">
        <f>IFERROR(__xludf.DUMMYFUNCTION("""COMPUTED_VALUE"""),7.891666666666667)</f>
        <v>7.891666667</v>
      </c>
      <c r="J86" s="21">
        <f>IFERROR(__xludf.DUMMYFUNCTION("""COMPUTED_VALUE"""),84.0)</f>
        <v>84</v>
      </c>
      <c r="K86" s="23">
        <f>IFERROR(__xludf.DUMMYFUNCTION("""COMPUTED_VALUE"""),7.7)</f>
        <v>7.7</v>
      </c>
      <c r="L86" s="24">
        <f>IFERROR(__xludf.DUMMYFUNCTION("""COMPUTED_VALUE"""),9.0)</f>
        <v>9</v>
      </c>
      <c r="M86" s="25" t="str">
        <f>IFERROR(__xludf.DUMMYFUNCTION("""COMPUTED_VALUE"""),"Platformer")</f>
        <v>Platformer</v>
      </c>
      <c r="N86" s="25"/>
      <c r="O86" s="25" t="str">
        <f>IFERROR(__xludf.DUMMYFUNCTION("""COMPUTED_VALUE"""),"Yes")</f>
        <v>Yes</v>
      </c>
      <c r="P86" s="26"/>
    </row>
    <row r="87">
      <c r="A87" s="13" t="str">
        <f>IFERROR(__xludf.DUMMYFUNCTION("""COMPUTED_VALUE"""),"Prey")</f>
        <v>Prey</v>
      </c>
      <c r="B87" s="15" t="str">
        <f>IFERROR(__xludf.DUMMYFUNCTION("""COMPUTED_VALUE"""),"PS4")</f>
        <v>PS4</v>
      </c>
      <c r="C87" s="16" t="str">
        <f>IFERROR(__xludf.DUMMYFUNCTION("""COMPUTED_VALUE"""),"Extra")</f>
        <v>Extra</v>
      </c>
      <c r="D87" s="15" t="str">
        <f>IFERROR(__xludf.DUMMYFUNCTION("""COMPUTED_VALUE"""),"Active")</f>
        <v>Active</v>
      </c>
      <c r="E87" s="17">
        <f>IFERROR(__xludf.DUMMYFUNCTION("""COMPUTED_VALUE"""),44725.0)</f>
        <v>44725</v>
      </c>
      <c r="F87" s="54"/>
      <c r="G87" s="19">
        <f>IFERROR(__xludf.DUMMYFUNCTION("""COMPUTED_VALUE"""),51.766666666666666)</f>
        <v>51.76666667</v>
      </c>
      <c r="H87" s="17">
        <f>IFERROR(__xludf.DUMMYFUNCTION("""COMPUTED_VALUE"""),42860.0)</f>
        <v>42860</v>
      </c>
      <c r="I87" s="19">
        <f>IFERROR(__xludf.DUMMYFUNCTION("""COMPUTED_VALUE"""),5.105555555555555)</f>
        <v>5.105555556</v>
      </c>
      <c r="J87" s="21">
        <f>IFERROR(__xludf.DUMMYFUNCTION("""COMPUTED_VALUE"""),84.0)</f>
        <v>84</v>
      </c>
      <c r="K87" s="23">
        <f>IFERROR(__xludf.DUMMYFUNCTION("""COMPUTED_VALUE"""),8.1)</f>
        <v>8.1</v>
      </c>
      <c r="L87" s="24">
        <f>IFERROR(__xludf.DUMMYFUNCTION("""COMPUTED_VALUE"""),16.0)</f>
        <v>16</v>
      </c>
      <c r="M87" s="25" t="str">
        <f>IFERROR(__xludf.DUMMYFUNCTION("""COMPUTED_VALUE"""),"Shooter")</f>
        <v>Shooter</v>
      </c>
      <c r="N87" s="25"/>
      <c r="O87" s="25" t="str">
        <f>IFERROR(__xludf.DUMMYFUNCTION("""COMPUTED_VALUE"""),"Yes")</f>
        <v>Yes</v>
      </c>
      <c r="P87" s="26"/>
    </row>
    <row r="88">
      <c r="A88" s="13" t="str">
        <f>IFERROR(__xludf.DUMMYFUNCTION("""COMPUTED_VALUE"""),"UNCHARTED: The Lost Legacy")</f>
        <v>UNCHARTED: The Lost Legacy</v>
      </c>
      <c r="B88" s="15" t="str">
        <f>IFERROR(__xludf.DUMMYFUNCTION("""COMPUTED_VALUE"""),"PS4")</f>
        <v>PS4</v>
      </c>
      <c r="C88" s="16" t="str">
        <f>IFERROR(__xludf.DUMMYFUNCTION("""COMPUTED_VALUE"""),"Extra")</f>
        <v>Extra</v>
      </c>
      <c r="D88" s="15" t="str">
        <f>IFERROR(__xludf.DUMMYFUNCTION("""COMPUTED_VALUE"""),"Active")</f>
        <v>Active</v>
      </c>
      <c r="E88" s="17">
        <f>IFERROR(__xludf.DUMMYFUNCTION("""COMPUTED_VALUE"""),43928.0)</f>
        <v>43928</v>
      </c>
      <c r="F88" s="54"/>
      <c r="G88" s="19">
        <f>IFERROR(__xludf.DUMMYFUNCTION("""COMPUTED_VALUE"""),77.96666666666667)</f>
        <v>77.96666667</v>
      </c>
      <c r="H88" s="17">
        <f>IFERROR(__xludf.DUMMYFUNCTION("""COMPUTED_VALUE"""),42969.0)</f>
        <v>42969</v>
      </c>
      <c r="I88" s="19">
        <f>IFERROR(__xludf.DUMMYFUNCTION("""COMPUTED_VALUE"""),2.625)</f>
        <v>2.625</v>
      </c>
      <c r="J88" s="21">
        <f>IFERROR(__xludf.DUMMYFUNCTION("""COMPUTED_VALUE"""),84.0)</f>
        <v>84</v>
      </c>
      <c r="K88" s="23">
        <f>IFERROR(__xludf.DUMMYFUNCTION("""COMPUTED_VALUE"""),7.8)</f>
        <v>7.8</v>
      </c>
      <c r="L88" s="24">
        <f>IFERROR(__xludf.DUMMYFUNCTION("""COMPUTED_VALUE"""),8.0)</f>
        <v>8</v>
      </c>
      <c r="M88" s="25" t="str">
        <f>IFERROR(__xludf.DUMMYFUNCTION("""COMPUTED_VALUE"""),"Action-Adventure")</f>
        <v>Action-Adventure</v>
      </c>
      <c r="N88" s="25"/>
      <c r="O88" s="25" t="str">
        <f>IFERROR(__xludf.DUMMYFUNCTION("""COMPUTED_VALUE"""),"No")</f>
        <v>No</v>
      </c>
      <c r="P88" s="26"/>
    </row>
    <row r="89">
      <c r="A89" s="13" t="str">
        <f>IFERROR(__xludf.DUMMYFUNCTION("""COMPUTED_VALUE"""),"Resogun")</f>
        <v>Resogun</v>
      </c>
      <c r="B89" s="15" t="str">
        <f>IFERROR(__xludf.DUMMYFUNCTION("""COMPUTED_VALUE"""),"PS4")</f>
        <v>PS4</v>
      </c>
      <c r="C89" s="16" t="str">
        <f>IFERROR(__xludf.DUMMYFUNCTION("""COMPUTED_VALUE"""),"Extra")</f>
        <v>Extra</v>
      </c>
      <c r="D89" s="15" t="str">
        <f>IFERROR(__xludf.DUMMYFUNCTION("""COMPUTED_VALUE"""),"Active")</f>
        <v>Active</v>
      </c>
      <c r="E89" s="17">
        <f>IFERROR(__xludf.DUMMYFUNCTION("""COMPUTED_VALUE"""),42922.0)</f>
        <v>42922</v>
      </c>
      <c r="F89" s="54"/>
      <c r="G89" s="19">
        <f>IFERROR(__xludf.DUMMYFUNCTION("""COMPUTED_VALUE"""),111.0)</f>
        <v>111</v>
      </c>
      <c r="H89" s="17">
        <f>IFERROR(__xludf.DUMMYFUNCTION("""COMPUTED_VALUE"""),41593.0)</f>
        <v>41593</v>
      </c>
      <c r="I89" s="19">
        <f>IFERROR(__xludf.DUMMYFUNCTION("""COMPUTED_VALUE"""),3.6416666666666666)</f>
        <v>3.641666667</v>
      </c>
      <c r="J89" s="21">
        <f>IFERROR(__xludf.DUMMYFUNCTION("""COMPUTED_VALUE"""),84.0)</f>
        <v>84</v>
      </c>
      <c r="K89" s="23">
        <f>IFERROR(__xludf.DUMMYFUNCTION("""COMPUTED_VALUE"""),8.1)</f>
        <v>8.1</v>
      </c>
      <c r="L89" s="24">
        <f>IFERROR(__xludf.DUMMYFUNCTION("""COMPUTED_VALUE"""),4.0)</f>
        <v>4</v>
      </c>
      <c r="M89" s="25" t="str">
        <f>IFERROR(__xludf.DUMMYFUNCTION("""COMPUTED_VALUE"""),"Shooter")</f>
        <v>Shooter</v>
      </c>
      <c r="N89" s="25"/>
      <c r="O89" s="25" t="str">
        <f>IFERROR(__xludf.DUMMYFUNCTION("""COMPUTED_VALUE"""),"Yes")</f>
        <v>Yes</v>
      </c>
      <c r="P89" s="26"/>
    </row>
    <row r="90">
      <c r="A90" s="13" t="str">
        <f>IFERROR(__xludf.DUMMYFUNCTION("""COMPUTED_VALUE"""),"Yakuza: Like a Dragon")</f>
        <v>Yakuza: Like a Dragon</v>
      </c>
      <c r="B90" s="15" t="str">
        <f>IFERROR(__xludf.DUMMYFUNCTION("""COMPUTED_VALUE"""),"PS5/PS4")</f>
        <v>PS5/PS4</v>
      </c>
      <c r="C90" s="16" t="str">
        <f>IFERROR(__xludf.DUMMYFUNCTION("""COMPUTED_VALUE"""),"Extra")</f>
        <v>Extra</v>
      </c>
      <c r="D90" s="15" t="str">
        <f>IFERROR(__xludf.DUMMYFUNCTION("""COMPUTED_VALUE"""),"Leaving Soon")</f>
        <v>Leaving Soon</v>
      </c>
      <c r="E90" s="17">
        <f>IFERROR(__xludf.DUMMYFUNCTION("""COMPUTED_VALUE"""),45951.0)</f>
        <v>45951</v>
      </c>
      <c r="F90" s="54">
        <f>IFERROR(__xludf.DUMMYFUNCTION("""COMPUTED_VALUE"""),46314.0)</f>
        <v>46314</v>
      </c>
      <c r="G90" s="19">
        <f>IFERROR(__xludf.DUMMYFUNCTION("""COMPUTED_VALUE"""),11.933333333333334)</f>
        <v>11.93333333</v>
      </c>
      <c r="H90" s="17">
        <f>IFERROR(__xludf.DUMMYFUNCTION("""COMPUTED_VALUE"""),44145.0)</f>
        <v>44145</v>
      </c>
      <c r="I90" s="19">
        <f>IFERROR(__xludf.DUMMYFUNCTION("""COMPUTED_VALUE"""),4.947222222222222)</f>
        <v>4.947222222</v>
      </c>
      <c r="J90" s="21">
        <f>IFERROR(__xludf.DUMMYFUNCTION("""COMPUTED_VALUE"""),84.0)</f>
        <v>84</v>
      </c>
      <c r="K90" s="23">
        <f>IFERROR(__xludf.DUMMYFUNCTION("""COMPUTED_VALUE"""),8.2)</f>
        <v>8.2</v>
      </c>
      <c r="L90" s="24">
        <f>IFERROR(__xludf.DUMMYFUNCTION("""COMPUTED_VALUE"""),46.0)</f>
        <v>46</v>
      </c>
      <c r="M90" s="25" t="str">
        <f>IFERROR(__xludf.DUMMYFUNCTION("""COMPUTED_VALUE"""),"RPG")</f>
        <v>RPG</v>
      </c>
      <c r="N90" s="25"/>
      <c r="O90" s="25"/>
      <c r="P90" s="26"/>
    </row>
    <row r="91">
      <c r="A91" s="13" t="str">
        <f>IFERROR(__xludf.DUMMYFUNCTION("""COMPUTED_VALUE"""),"Like a Dragon: Infinite Wealth")</f>
        <v>Like a Dragon: Infinite Wealth</v>
      </c>
      <c r="B91" s="15" t="str">
        <f>IFERROR(__xludf.DUMMYFUNCTION("""COMPUTED_VALUE"""),"PS5/PS4")</f>
        <v>PS5/PS4</v>
      </c>
      <c r="C91" s="16" t="str">
        <f>IFERROR(__xludf.DUMMYFUNCTION("""COMPUTED_VALUE"""),"Extra")</f>
        <v>Extra</v>
      </c>
      <c r="D91" s="15" t="str">
        <f>IFERROR(__xludf.DUMMYFUNCTION("""COMPUTED_VALUE"""),"Active")</f>
        <v>Active</v>
      </c>
      <c r="E91" s="17">
        <f>IFERROR(__xludf.DUMMYFUNCTION("""COMPUTED_VALUE"""),46042.0)</f>
        <v>46042</v>
      </c>
      <c r="F91" s="54"/>
      <c r="G91" s="19">
        <f>IFERROR(__xludf.DUMMYFUNCTION("""COMPUTED_VALUE"""),8.533333333333333)</f>
        <v>8.533333333</v>
      </c>
      <c r="H91" s="17">
        <f>IFERROR(__xludf.DUMMYFUNCTION("""COMPUTED_VALUE"""),45317.0)</f>
        <v>45317</v>
      </c>
      <c r="I91" s="19">
        <f>IFERROR(__xludf.DUMMYFUNCTION("""COMPUTED_VALUE"""),1.9833333333333334)</f>
        <v>1.983333333</v>
      </c>
      <c r="J91" s="21">
        <f>IFERROR(__xludf.DUMMYFUNCTION("""COMPUTED_VALUE"""),83.0)</f>
        <v>83</v>
      </c>
      <c r="K91" s="23">
        <f>IFERROR(__xludf.DUMMYFUNCTION("""COMPUTED_VALUE"""),8.2)</f>
        <v>8.2</v>
      </c>
      <c r="L91" s="24">
        <f>IFERROR(__xludf.DUMMYFUNCTION("""COMPUTED_VALUE"""),44.0)</f>
        <v>44</v>
      </c>
      <c r="M91" s="25" t="str">
        <f>IFERROR(__xludf.DUMMYFUNCTION("""COMPUTED_VALUE"""),"Action-Adventure")</f>
        <v>Action-Adventure</v>
      </c>
      <c r="N91" s="25"/>
      <c r="O91" s="25"/>
      <c r="P91" s="26"/>
    </row>
    <row r="92">
      <c r="A92" s="13" t="str">
        <f>IFERROR(__xludf.DUMMYFUNCTION("""COMPUTED_VALUE"""),"Still Wakes the Deep")</f>
        <v>Still Wakes the Deep</v>
      </c>
      <c r="B92" s="15" t="str">
        <f>IFERROR(__xludf.DUMMYFUNCTION("""COMPUTED_VALUE"""),"PS5")</f>
        <v>PS5</v>
      </c>
      <c r="C92" s="16" t="str">
        <f>IFERROR(__xludf.DUMMYFUNCTION("""COMPUTED_VALUE"""),"Extra")</f>
        <v>Extra</v>
      </c>
      <c r="D92" s="15" t="str">
        <f>IFERROR(__xludf.DUMMYFUNCTION("""COMPUTED_VALUE"""),"Active")</f>
        <v>Active</v>
      </c>
      <c r="E92" s="17">
        <f>IFERROR(__xludf.DUMMYFUNCTION("""COMPUTED_VALUE"""),45979.0)</f>
        <v>45979</v>
      </c>
      <c r="F92" s="54"/>
      <c r="G92" s="19">
        <f>IFERROR(__xludf.DUMMYFUNCTION("""COMPUTED_VALUE"""),10.6)</f>
        <v>10.6</v>
      </c>
      <c r="H92" s="17">
        <f>IFERROR(__xludf.DUMMYFUNCTION("""COMPUTED_VALUE"""),45461.0)</f>
        <v>45461</v>
      </c>
      <c r="I92" s="19">
        <f>IFERROR(__xludf.DUMMYFUNCTION("""COMPUTED_VALUE"""),1.4166666666666667)</f>
        <v>1.416666667</v>
      </c>
      <c r="J92" s="21">
        <f>IFERROR(__xludf.DUMMYFUNCTION("""COMPUTED_VALUE"""),83.0)</f>
        <v>83</v>
      </c>
      <c r="K92" s="23">
        <f>IFERROR(__xludf.DUMMYFUNCTION("""COMPUTED_VALUE"""),7.5)</f>
        <v>7.5</v>
      </c>
      <c r="L92" s="24" t="str">
        <f>IFERROR(__xludf.DUMMYFUNCTION("""COMPUTED_VALUE"""),"4 ")</f>
        <v>4 </v>
      </c>
      <c r="M92" s="25" t="str">
        <f>IFERROR(__xludf.DUMMYFUNCTION("""COMPUTED_VALUE"""),"Survival (horror)")</f>
        <v>Survival (horror)</v>
      </c>
      <c r="N92" s="25"/>
      <c r="O92" s="25" t="str">
        <f>IFERROR(__xludf.DUMMYFUNCTION("""COMPUTED_VALUE"""),"No")</f>
        <v>No</v>
      </c>
      <c r="P92" s="26"/>
    </row>
    <row r="93">
      <c r="A93" s="13" t="str">
        <f>IFERROR(__xludf.DUMMYFUNCTION("""COMPUTED_VALUE"""),"V Rising")</f>
        <v>V Rising</v>
      </c>
      <c r="B93" s="15" t="str">
        <f>IFERROR(__xludf.DUMMYFUNCTION("""COMPUTED_VALUE"""),"PS5")</f>
        <v>PS5</v>
      </c>
      <c r="C93" s="16" t="str">
        <f>IFERROR(__xludf.DUMMYFUNCTION("""COMPUTED_VALUE"""),"Extra")</f>
        <v>Extra</v>
      </c>
      <c r="D93" s="15" t="str">
        <f>IFERROR(__xludf.DUMMYFUNCTION("""COMPUTED_VALUE"""),"Active")</f>
        <v>Active</v>
      </c>
      <c r="E93" s="17">
        <f>IFERROR(__xludf.DUMMYFUNCTION("""COMPUTED_VALUE"""),45951.0)</f>
        <v>45951</v>
      </c>
      <c r="F93" s="18"/>
      <c r="G93" s="19">
        <f>IFERROR(__xludf.DUMMYFUNCTION("""COMPUTED_VALUE"""),11.5)</f>
        <v>11.5</v>
      </c>
      <c r="H93" s="17">
        <f>IFERROR(__xludf.DUMMYFUNCTION("""COMPUTED_VALUE"""),45420.0)</f>
        <v>45420</v>
      </c>
      <c r="I93" s="19">
        <f>IFERROR(__xludf.DUMMYFUNCTION("""COMPUTED_VALUE"""),1.4527777777777777)</f>
        <v>1.452777778</v>
      </c>
      <c r="J93" s="21">
        <f>IFERROR(__xludf.DUMMYFUNCTION("""COMPUTED_VALUE"""),83.0)</f>
        <v>83</v>
      </c>
      <c r="K93" s="23">
        <f>IFERROR(__xludf.DUMMYFUNCTION("""COMPUTED_VALUE"""),7.0)</f>
        <v>7</v>
      </c>
      <c r="L93" s="17">
        <f>IFERROR(__xludf.DUMMYFUNCTION("""COMPUTED_VALUE"""),47.0)</f>
        <v>47</v>
      </c>
      <c r="M93" s="25" t="str">
        <f>IFERROR(__xludf.DUMMYFUNCTION("""COMPUTED_VALUE"""),"Action-Adventure")</f>
        <v>Action-Adventure</v>
      </c>
      <c r="N93" s="25"/>
      <c r="O93" s="25" t="str">
        <f>IFERROR(__xludf.DUMMYFUNCTION("""COMPUTED_VALUE"""),"No")</f>
        <v>No</v>
      </c>
      <c r="P93" s="26"/>
    </row>
    <row r="94">
      <c r="A94" s="13" t="str">
        <f>IFERROR(__xludf.DUMMYFUNCTION("""COMPUTED_VALUE"""),"Mortal Kombat 1")</f>
        <v>Mortal Kombat 1</v>
      </c>
      <c r="B94" s="15" t="str">
        <f>IFERROR(__xludf.DUMMYFUNCTION("""COMPUTED_VALUE"""),"PS5")</f>
        <v>PS5</v>
      </c>
      <c r="C94" s="16" t="str">
        <f>IFERROR(__xludf.DUMMYFUNCTION("""COMPUTED_VALUE"""),"Extra")</f>
        <v>Extra</v>
      </c>
      <c r="D94" s="15" t="str">
        <f>IFERROR(__xludf.DUMMYFUNCTION("""COMPUTED_VALUE"""),"Active")</f>
        <v>Active</v>
      </c>
      <c r="E94" s="17">
        <f>IFERROR(__xludf.DUMMYFUNCTION("""COMPUTED_VALUE"""),45888.0)</f>
        <v>45888</v>
      </c>
      <c r="F94" s="18"/>
      <c r="G94" s="19">
        <f>IFERROR(__xludf.DUMMYFUNCTION("""COMPUTED_VALUE"""),13.566666666666666)</f>
        <v>13.56666667</v>
      </c>
      <c r="H94" s="17">
        <f>IFERROR(__xludf.DUMMYFUNCTION("""COMPUTED_VALUE"""),45188.0)</f>
        <v>45188</v>
      </c>
      <c r="I94" s="19">
        <f>IFERROR(__xludf.DUMMYFUNCTION("""COMPUTED_VALUE"""),1.9166666666666667)</f>
        <v>1.916666667</v>
      </c>
      <c r="J94" s="21">
        <f>IFERROR(__xludf.DUMMYFUNCTION("""COMPUTED_VALUE"""),83.0)</f>
        <v>83</v>
      </c>
      <c r="K94" s="23">
        <f>IFERROR(__xludf.DUMMYFUNCTION("""COMPUTED_VALUE"""),6.5)</f>
        <v>6.5</v>
      </c>
      <c r="L94" s="24">
        <f>IFERROR(__xludf.DUMMYFUNCTION("""COMPUTED_VALUE"""),7.0)</f>
        <v>7</v>
      </c>
      <c r="M94" s="25" t="str">
        <f>IFERROR(__xludf.DUMMYFUNCTION("""COMPUTED_VALUE"""),"Fighting")</f>
        <v>Fighting</v>
      </c>
      <c r="N94" s="25"/>
      <c r="O94" s="25" t="str">
        <f>IFERROR(__xludf.DUMMYFUNCTION("""COMPUTED_VALUE"""),"No")</f>
        <v>No</v>
      </c>
      <c r="P94" s="26"/>
    </row>
    <row r="95">
      <c r="A95" s="13" t="str">
        <f>IFERROR(__xludf.DUMMYFUNCTION("""COMPUTED_VALUE"""),"S.T.A.L.K.E.R.: Legends of the Zone Trilogy")</f>
        <v>S.T.A.L.K.E.R.: Legends of the Zone Trilogy</v>
      </c>
      <c r="B95" s="15" t="str">
        <f>IFERROR(__xludf.DUMMYFUNCTION("""COMPUTED_VALUE"""),"PS5/PS4")</f>
        <v>PS5/PS4</v>
      </c>
      <c r="C95" s="16" t="str">
        <f>IFERROR(__xludf.DUMMYFUNCTION("""COMPUTED_VALUE"""),"Extra")</f>
        <v>Extra</v>
      </c>
      <c r="D95" s="15" t="str">
        <f>IFERROR(__xludf.DUMMYFUNCTION("""COMPUTED_VALUE"""),"Active")</f>
        <v>Active</v>
      </c>
      <c r="E95" s="17">
        <f>IFERROR(__xludf.DUMMYFUNCTION("""COMPUTED_VALUE"""),45797.0)</f>
        <v>45797</v>
      </c>
      <c r="F95" s="18"/>
      <c r="G95" s="19">
        <f>IFERROR(__xludf.DUMMYFUNCTION("""COMPUTED_VALUE"""),16.53333333333333)</f>
        <v>16.53333333</v>
      </c>
      <c r="H95" s="17">
        <f>IFERROR(__xludf.DUMMYFUNCTION("""COMPUTED_VALUE"""),45596.0)</f>
        <v>45596</v>
      </c>
      <c r="I95" s="19">
        <f>IFERROR(__xludf.DUMMYFUNCTION("""COMPUTED_VALUE"""),0.5555555555555556)</f>
        <v>0.5555555556</v>
      </c>
      <c r="J95" s="21">
        <f>IFERROR(__xludf.DUMMYFUNCTION("""COMPUTED_VALUE"""),83.0)</f>
        <v>83</v>
      </c>
      <c r="K95" s="23">
        <f>IFERROR(__xludf.DUMMYFUNCTION("""COMPUTED_VALUE"""),7.3)</f>
        <v>7.3</v>
      </c>
      <c r="L95" s="24">
        <f>IFERROR(__xludf.DUMMYFUNCTION("""COMPUTED_VALUE"""),23.0)</f>
        <v>23</v>
      </c>
      <c r="M95" s="25" t="str">
        <f>IFERROR(__xludf.DUMMYFUNCTION("""COMPUTED_VALUE"""),"Shooter")</f>
        <v>Shooter</v>
      </c>
      <c r="N95" s="25"/>
      <c r="O95" s="25"/>
      <c r="P95" s="26"/>
    </row>
    <row r="96">
      <c r="A96" s="13" t="str">
        <f>IFERROR(__xludf.DUMMYFUNCTION("""COMPUTED_VALUE"""),"Stick Fight: The Game")</f>
        <v>Stick Fight: The Game</v>
      </c>
      <c r="B96" s="15" t="str">
        <f>IFERROR(__xludf.DUMMYFUNCTION("""COMPUTED_VALUE"""),"PS4")</f>
        <v>PS4</v>
      </c>
      <c r="C96" s="16" t="str">
        <f>IFERROR(__xludf.DUMMYFUNCTION("""COMPUTED_VALUE"""),"Extra")</f>
        <v>Extra</v>
      </c>
      <c r="D96" s="15" t="str">
        <f>IFERROR(__xludf.DUMMYFUNCTION("""COMPUTED_VALUE"""),"Active")</f>
        <v>Active</v>
      </c>
      <c r="E96" s="17">
        <f>IFERROR(__xludf.DUMMYFUNCTION("""COMPUTED_VALUE"""),45615.0)</f>
        <v>45615</v>
      </c>
      <c r="F96" s="54"/>
      <c r="G96" s="19">
        <f>IFERROR(__xludf.DUMMYFUNCTION("""COMPUTED_VALUE"""),22.566666666666666)</f>
        <v>22.56666667</v>
      </c>
      <c r="H96" s="17">
        <f>IFERROR(__xludf.DUMMYFUNCTION("""COMPUTED_VALUE"""),44287.0)</f>
        <v>44287</v>
      </c>
      <c r="I96" s="19">
        <f>IFERROR(__xludf.DUMMYFUNCTION("""COMPUTED_VALUE"""),3.6333333333333333)</f>
        <v>3.633333333</v>
      </c>
      <c r="J96" s="21">
        <f>IFERROR(__xludf.DUMMYFUNCTION("""COMPUTED_VALUE"""),83.0)</f>
        <v>83</v>
      </c>
      <c r="K96" s="23">
        <f>IFERROR(__xludf.DUMMYFUNCTION("""COMPUTED_VALUE"""),7.8)</f>
        <v>7.8</v>
      </c>
      <c r="L96" s="24">
        <f>IFERROR(__xludf.DUMMYFUNCTION("""COMPUTED_VALUE"""),8.0)</f>
        <v>8</v>
      </c>
      <c r="M96" s="25" t="str">
        <f>IFERROR(__xludf.DUMMYFUNCTION("""COMPUTED_VALUE"""),"Platformer")</f>
        <v>Platformer</v>
      </c>
      <c r="N96" s="25"/>
      <c r="O96" s="25" t="str">
        <f>IFERROR(__xludf.DUMMYFUNCTION("""COMPUTED_VALUE"""),"No")</f>
        <v>No</v>
      </c>
      <c r="P96" s="26"/>
    </row>
    <row r="97">
      <c r="A97" s="13" t="str">
        <f>IFERROR(__xludf.DUMMYFUNCTION("""COMPUTED_VALUE"""),"Two Point Campus")</f>
        <v>Two Point Campus</v>
      </c>
      <c r="B97" s="15" t="str">
        <f>IFERROR(__xludf.DUMMYFUNCTION("""COMPUTED_VALUE"""),"PS5/PS4")</f>
        <v>PS5/PS4</v>
      </c>
      <c r="C97" s="16" t="str">
        <f>IFERROR(__xludf.DUMMYFUNCTION("""COMPUTED_VALUE"""),"Extra")</f>
        <v>Extra</v>
      </c>
      <c r="D97" s="15" t="str">
        <f>IFERROR(__xludf.DUMMYFUNCTION("""COMPUTED_VALUE"""),"Active")</f>
        <v>Active</v>
      </c>
      <c r="E97" s="17">
        <f>IFERROR(__xludf.DUMMYFUNCTION("""COMPUTED_VALUE"""),45580.0)</f>
        <v>45580</v>
      </c>
      <c r="F97" s="54"/>
      <c r="G97" s="19">
        <f>IFERROR(__xludf.DUMMYFUNCTION("""COMPUTED_VALUE"""),23.700000000000003)</f>
        <v>23.7</v>
      </c>
      <c r="H97" s="17">
        <f>IFERROR(__xludf.DUMMYFUNCTION("""COMPUTED_VALUE"""),44782.0)</f>
        <v>44782</v>
      </c>
      <c r="I97" s="19">
        <f>IFERROR(__xludf.DUMMYFUNCTION("""COMPUTED_VALUE"""),2.183333333333333)</f>
        <v>2.183333333</v>
      </c>
      <c r="J97" s="21">
        <f>IFERROR(__xludf.DUMMYFUNCTION("""COMPUTED_VALUE"""),83.0)</f>
        <v>83</v>
      </c>
      <c r="K97" s="23">
        <f>IFERROR(__xludf.DUMMYFUNCTION("""COMPUTED_VALUE"""),7.2)</f>
        <v>7.2</v>
      </c>
      <c r="L97" s="24">
        <f>IFERROR(__xludf.DUMMYFUNCTION("""COMPUTED_VALUE"""),25.0)</f>
        <v>25</v>
      </c>
      <c r="M97" s="25" t="str">
        <f>IFERROR(__xludf.DUMMYFUNCTION("""COMPUTED_VALUE"""),"Tycoon")</f>
        <v>Tycoon</v>
      </c>
      <c r="N97" s="25"/>
      <c r="O97" s="25" t="str">
        <f>IFERROR(__xludf.DUMMYFUNCTION("""COMPUTED_VALUE"""),"Portal (PS5 + Premium)")</f>
        <v>Portal (PS5 + Premium)</v>
      </c>
      <c r="P97" s="26"/>
    </row>
    <row r="98">
      <c r="A98" s="13" t="str">
        <f>IFERROR(__xludf.DUMMYFUNCTION("""COMPUTED_VALUE"""),"GRIS")</f>
        <v>GRIS</v>
      </c>
      <c r="B98" s="15" t="str">
        <f>IFERROR(__xludf.DUMMYFUNCTION("""COMPUTED_VALUE"""),"PS5/PS4")</f>
        <v>PS5/PS4</v>
      </c>
      <c r="C98" s="16" t="str">
        <f>IFERROR(__xludf.DUMMYFUNCTION("""COMPUTED_VALUE"""),"Extra")</f>
        <v>Extra</v>
      </c>
      <c r="D98" s="15" t="str">
        <f>IFERROR(__xludf.DUMMYFUNCTION("""COMPUTED_VALUE"""),"Active")</f>
        <v>Active</v>
      </c>
      <c r="E98" s="17">
        <f>IFERROR(__xludf.DUMMYFUNCTION("""COMPUTED_VALUE"""),45580.0)</f>
        <v>45580</v>
      </c>
      <c r="F98" s="54"/>
      <c r="G98" s="19">
        <f>IFERROR(__xludf.DUMMYFUNCTION("""COMPUTED_VALUE"""),23.700000000000003)</f>
        <v>23.7</v>
      </c>
      <c r="H98" s="17">
        <f>IFERROR(__xludf.DUMMYFUNCTION("""COMPUTED_VALUE"""),43447.0)</f>
        <v>43447</v>
      </c>
      <c r="I98" s="19">
        <f>IFERROR(__xludf.DUMMYFUNCTION("""COMPUTED_VALUE"""),5.838888888888889)</f>
        <v>5.838888889</v>
      </c>
      <c r="J98" s="21">
        <f>IFERROR(__xludf.DUMMYFUNCTION("""COMPUTED_VALUE"""),83.0)</f>
        <v>83</v>
      </c>
      <c r="K98" s="23">
        <f>IFERROR(__xludf.DUMMYFUNCTION("""COMPUTED_VALUE"""),8.2)</f>
        <v>8.2</v>
      </c>
      <c r="L98" s="24">
        <f>IFERROR(__xludf.DUMMYFUNCTION("""COMPUTED_VALUE"""),4.0)</f>
        <v>4</v>
      </c>
      <c r="M98" s="25" t="str">
        <f>IFERROR(__xludf.DUMMYFUNCTION("""COMPUTED_VALUE"""),"Platformer")</f>
        <v>Platformer</v>
      </c>
      <c r="N98" s="25"/>
      <c r="O98" s="25" t="str">
        <f>IFERROR(__xludf.DUMMYFUNCTION("""COMPUTED_VALUE"""),"Yes")</f>
        <v>Yes</v>
      </c>
      <c r="P98" s="26"/>
    </row>
    <row r="99">
      <c r="A99" s="13" t="str">
        <f>IFERROR(__xludf.DUMMYFUNCTION("""COMPUTED_VALUE"""),"Pathfinder: Wrath of the Righteous")</f>
        <v>Pathfinder: Wrath of the Righteous</v>
      </c>
      <c r="B99" s="15" t="str">
        <f>IFERROR(__xludf.DUMMYFUNCTION("""COMPUTED_VALUE"""),"PS5/PS4")</f>
        <v>PS5/PS4</v>
      </c>
      <c r="C99" s="16" t="str">
        <f>IFERROR(__xludf.DUMMYFUNCTION("""COMPUTED_VALUE"""),"Extra")</f>
        <v>Extra</v>
      </c>
      <c r="D99" s="15" t="str">
        <f>IFERROR(__xludf.DUMMYFUNCTION("""COMPUTED_VALUE"""),"Active")</f>
        <v>Active</v>
      </c>
      <c r="E99" s="17">
        <f>IFERROR(__xludf.DUMMYFUNCTION("""COMPUTED_VALUE"""),45489.0)</f>
        <v>45489</v>
      </c>
      <c r="F99" s="54"/>
      <c r="G99" s="19">
        <f>IFERROR(__xludf.DUMMYFUNCTION("""COMPUTED_VALUE"""),26.666666666666668)</f>
        <v>26.66666667</v>
      </c>
      <c r="H99" s="17">
        <f>IFERROR(__xludf.DUMMYFUNCTION("""COMPUTED_VALUE"""),44441.0)</f>
        <v>44441</v>
      </c>
      <c r="I99" s="19">
        <f>IFERROR(__xludf.DUMMYFUNCTION("""COMPUTED_VALUE"""),2.8722222222222222)</f>
        <v>2.872222222</v>
      </c>
      <c r="J99" s="21">
        <f>IFERROR(__xludf.DUMMYFUNCTION("""COMPUTED_VALUE"""),83.0)</f>
        <v>83</v>
      </c>
      <c r="K99" s="23">
        <f>IFERROR(__xludf.DUMMYFUNCTION("""COMPUTED_VALUE"""),7.7)</f>
        <v>7.7</v>
      </c>
      <c r="L99" s="24">
        <f>IFERROR(__xludf.DUMMYFUNCTION("""COMPUTED_VALUE"""),55.0)</f>
        <v>55</v>
      </c>
      <c r="M99" s="25" t="str">
        <f>IFERROR(__xludf.DUMMYFUNCTION("""COMPUTED_VALUE"""),"RPG")</f>
        <v>RPG</v>
      </c>
      <c r="N99" s="25"/>
      <c r="O99" s="25" t="str">
        <f>IFERROR(__xludf.DUMMYFUNCTION("""COMPUTED_VALUE"""),"Portal (PS5 + Premium)")</f>
        <v>Portal (PS5 + Premium)</v>
      </c>
      <c r="P99" s="26"/>
    </row>
    <row r="100">
      <c r="A100" s="13" t="str">
        <f>IFERROR(__xludf.DUMMYFUNCTION("""COMPUTED_VALUE"""),"Anno 1800")</f>
        <v>Anno 1800</v>
      </c>
      <c r="B100" s="15" t="str">
        <f>IFERROR(__xludf.DUMMYFUNCTION("""COMPUTED_VALUE"""),"PS5")</f>
        <v>PS5</v>
      </c>
      <c r="C100" s="16" t="str">
        <f>IFERROR(__xludf.DUMMYFUNCTION("""COMPUTED_VALUE"""),"Extra (Ubisoft+ Classics)")</f>
        <v>Extra (Ubisoft+ Classics)</v>
      </c>
      <c r="D100" s="15" t="str">
        <f>IFERROR(__xludf.DUMMYFUNCTION("""COMPUTED_VALUE"""),"Active")</f>
        <v>Active</v>
      </c>
      <c r="E100" s="17">
        <f>IFERROR(__xludf.DUMMYFUNCTION("""COMPUTED_VALUE"""),45461.0)</f>
        <v>45461</v>
      </c>
      <c r="F100" s="54"/>
      <c r="G100" s="19">
        <f>IFERROR(__xludf.DUMMYFUNCTION("""COMPUTED_VALUE"""),27.599999999999998)</f>
        <v>27.6</v>
      </c>
      <c r="H100" s="17">
        <f>IFERROR(__xludf.DUMMYFUNCTION("""COMPUTED_VALUE"""),43571.0)</f>
        <v>43571</v>
      </c>
      <c r="I100" s="19">
        <f>IFERROR(__xludf.DUMMYFUNCTION("""COMPUTED_VALUE"""),5.1722222222222225)</f>
        <v>5.172222222</v>
      </c>
      <c r="J100" s="21">
        <f>IFERROR(__xludf.DUMMYFUNCTION("""COMPUTED_VALUE"""),83.0)</f>
        <v>83</v>
      </c>
      <c r="K100" s="23">
        <f>IFERROR(__xludf.DUMMYFUNCTION("""COMPUTED_VALUE"""),7.1)</f>
        <v>7.1</v>
      </c>
      <c r="L100" s="24">
        <f>IFERROR(__xludf.DUMMYFUNCTION("""COMPUTED_VALUE"""),14.0)</f>
        <v>14</v>
      </c>
      <c r="M100" s="25" t="str">
        <f>IFERROR(__xludf.DUMMYFUNCTION("""COMPUTED_VALUE"""),"Management")</f>
        <v>Management</v>
      </c>
      <c r="N100" s="25"/>
      <c r="O100" s="25" t="str">
        <f>IFERROR(__xludf.DUMMYFUNCTION("""COMPUTED_VALUE"""),"Portal (PS5 + Premium)")</f>
        <v>Portal (PS5 + Premium)</v>
      </c>
      <c r="P100" s="26"/>
    </row>
    <row r="101">
      <c r="A101" s="13" t="str">
        <f>IFERROR(__xludf.DUMMYFUNCTION("""COMPUTED_VALUE"""),"Sackboy: A Big Adventure")</f>
        <v>Sackboy: A Big Adventure</v>
      </c>
      <c r="B101" s="15" t="str">
        <f>IFERROR(__xludf.DUMMYFUNCTION("""COMPUTED_VALUE"""),"PS5/PS4")</f>
        <v>PS5/PS4</v>
      </c>
      <c r="C101" s="16" t="str">
        <f>IFERROR(__xludf.DUMMYFUNCTION("""COMPUTED_VALUE"""),"Extra")</f>
        <v>Extra</v>
      </c>
      <c r="D101" s="15" t="str">
        <f>IFERROR(__xludf.DUMMYFUNCTION("""COMPUTED_VALUE"""),"Active")</f>
        <v>Active</v>
      </c>
      <c r="E101" s="17">
        <f>IFERROR(__xludf.DUMMYFUNCTION("""COMPUTED_VALUE"""),45034.0)</f>
        <v>45034</v>
      </c>
      <c r="F101" s="54"/>
      <c r="G101" s="19">
        <f>IFERROR(__xludf.DUMMYFUNCTION("""COMPUTED_VALUE"""),41.6)</f>
        <v>41.6</v>
      </c>
      <c r="H101" s="17">
        <f>IFERROR(__xludf.DUMMYFUNCTION("""COMPUTED_VALUE"""),44147.0)</f>
        <v>44147</v>
      </c>
      <c r="I101" s="19">
        <f>IFERROR(__xludf.DUMMYFUNCTION("""COMPUTED_VALUE"""),2.433333333333333)</f>
        <v>2.433333333</v>
      </c>
      <c r="J101" s="21">
        <f>IFERROR(__xludf.DUMMYFUNCTION("""COMPUTED_VALUE"""),83.0)</f>
        <v>83</v>
      </c>
      <c r="K101" s="23">
        <f>IFERROR(__xludf.DUMMYFUNCTION("""COMPUTED_VALUE"""),7.8)</f>
        <v>7.8</v>
      </c>
      <c r="L101" s="24">
        <f>IFERROR(__xludf.DUMMYFUNCTION("""COMPUTED_VALUE"""),11.0)</f>
        <v>11</v>
      </c>
      <c r="M101" s="25" t="str">
        <f>IFERROR(__xludf.DUMMYFUNCTION("""COMPUTED_VALUE"""),"Platformer")</f>
        <v>Platformer</v>
      </c>
      <c r="N101" s="25"/>
      <c r="O101" s="25" t="str">
        <f>IFERROR(__xludf.DUMMYFUNCTION("""COMPUTED_VALUE"""),"Yes")</f>
        <v>Yes</v>
      </c>
      <c r="P101" s="26"/>
    </row>
    <row r="102">
      <c r="A102" s="13" t="str">
        <f>IFERROR(__xludf.DUMMYFUNCTION("""COMPUTED_VALUE"""),"Assassin's Creed Odyssey")</f>
        <v>Assassin's Creed Odyssey</v>
      </c>
      <c r="B102" s="15" t="str">
        <f>IFERROR(__xludf.DUMMYFUNCTION("""COMPUTED_VALUE"""),"PS4")</f>
        <v>PS4</v>
      </c>
      <c r="C102" s="16" t="str">
        <f>IFERROR(__xludf.DUMMYFUNCTION("""COMPUTED_VALUE"""),"Extra (Ubisoft+ Classics)")</f>
        <v>Extra (Ubisoft+ Classics)</v>
      </c>
      <c r="D102" s="15" t="str">
        <f>IFERROR(__xludf.DUMMYFUNCTION("""COMPUTED_VALUE"""),"Active")</f>
        <v>Active</v>
      </c>
      <c r="E102" s="17">
        <f>IFERROR(__xludf.DUMMYFUNCTION("""COMPUTED_VALUE"""),44852.0)</f>
        <v>44852</v>
      </c>
      <c r="F102" s="54"/>
      <c r="G102" s="19">
        <f>IFERROR(__xludf.DUMMYFUNCTION("""COMPUTED_VALUE"""),47.6)</f>
        <v>47.6</v>
      </c>
      <c r="H102" s="17">
        <f>IFERROR(__xludf.DUMMYFUNCTION("""COMPUTED_VALUE"""),43375.0)</f>
        <v>43375</v>
      </c>
      <c r="I102" s="19">
        <f>IFERROR(__xludf.DUMMYFUNCTION("""COMPUTED_VALUE"""),4.044444444444444)</f>
        <v>4.044444444</v>
      </c>
      <c r="J102" s="21">
        <f>IFERROR(__xludf.DUMMYFUNCTION("""COMPUTED_VALUE"""),83.0)</f>
        <v>83</v>
      </c>
      <c r="K102" s="23">
        <f>IFERROR(__xludf.DUMMYFUNCTION("""COMPUTED_VALUE"""),6.5)</f>
        <v>6.5</v>
      </c>
      <c r="L102" s="24">
        <f>IFERROR(__xludf.DUMMYFUNCTION("""COMPUTED_VALUE"""),44.5)</f>
        <v>44.5</v>
      </c>
      <c r="M102" s="25" t="str">
        <f>IFERROR(__xludf.DUMMYFUNCTION("""COMPUTED_VALUE"""),"RPG")</f>
        <v>RPG</v>
      </c>
      <c r="N102" s="25"/>
      <c r="O102" s="25" t="str">
        <f>IFERROR(__xludf.DUMMYFUNCTION("""COMPUTED_VALUE"""),"Yes")</f>
        <v>Yes</v>
      </c>
      <c r="P102" s="26"/>
    </row>
    <row r="103">
      <c r="A103" s="13" t="str">
        <f>IFERROR(__xludf.DUMMYFUNCTION("""COMPUTED_VALUE"""),"Assassin's Creed IV: Black Flag")</f>
        <v>Assassin's Creed IV: Black Flag</v>
      </c>
      <c r="B103" s="15" t="str">
        <f>IFERROR(__xludf.DUMMYFUNCTION("""COMPUTED_VALUE"""),"PS4")</f>
        <v>PS4</v>
      </c>
      <c r="C103" s="16" t="str">
        <f>IFERROR(__xludf.DUMMYFUNCTION("""COMPUTED_VALUE"""),"Extra (Ubisoft+ Classics)")</f>
        <v>Extra (Ubisoft+ Classics)</v>
      </c>
      <c r="D103" s="15" t="str">
        <f>IFERROR(__xludf.DUMMYFUNCTION("""COMPUTED_VALUE"""),"Active")</f>
        <v>Active</v>
      </c>
      <c r="E103" s="17">
        <f>IFERROR(__xludf.DUMMYFUNCTION("""COMPUTED_VALUE"""),44761.0)</f>
        <v>44761</v>
      </c>
      <c r="F103" s="54"/>
      <c r="G103" s="19">
        <f>IFERROR(__xludf.DUMMYFUNCTION("""COMPUTED_VALUE"""),50.56666666666666)</f>
        <v>50.56666667</v>
      </c>
      <c r="H103" s="17">
        <f>IFERROR(__xludf.DUMMYFUNCTION("""COMPUTED_VALUE"""),41576.0)</f>
        <v>41576</v>
      </c>
      <c r="I103" s="19">
        <f>IFERROR(__xludf.DUMMYFUNCTION("""COMPUTED_VALUE"""),8.722222222222221)</f>
        <v>8.722222222</v>
      </c>
      <c r="J103" s="21">
        <f>IFERROR(__xludf.DUMMYFUNCTION("""COMPUTED_VALUE"""),83.0)</f>
        <v>83</v>
      </c>
      <c r="K103" s="23">
        <f>IFERROR(__xludf.DUMMYFUNCTION("""COMPUTED_VALUE"""),8.0)</f>
        <v>8</v>
      </c>
      <c r="L103" s="24">
        <f>IFERROR(__xludf.DUMMYFUNCTION("""COMPUTED_VALUE"""),23.0)</f>
        <v>23</v>
      </c>
      <c r="M103" s="25" t="str">
        <f>IFERROR(__xludf.DUMMYFUNCTION("""COMPUTED_VALUE"""),"RPG")</f>
        <v>RPG</v>
      </c>
      <c r="N103" s="25"/>
      <c r="O103" s="25" t="str">
        <f>IFERROR(__xludf.DUMMYFUNCTION("""COMPUTED_VALUE"""),"Yes")</f>
        <v>Yes</v>
      </c>
      <c r="P103" s="26"/>
    </row>
    <row r="104">
      <c r="A104" s="13" t="str">
        <f>IFERROR(__xludf.DUMMYFUNCTION("""COMPUTED_VALUE"""),"Chess Ultra")</f>
        <v>Chess Ultra</v>
      </c>
      <c r="B104" s="15" t="str">
        <f>IFERROR(__xludf.DUMMYFUNCTION("""COMPUTED_VALUE"""),"PS4/PSVR")</f>
        <v>PS4/PSVR</v>
      </c>
      <c r="C104" s="16" t="str">
        <f>IFERROR(__xludf.DUMMYFUNCTION("""COMPUTED_VALUE"""),"Extra")</f>
        <v>Extra</v>
      </c>
      <c r="D104" s="15" t="str">
        <f>IFERROR(__xludf.DUMMYFUNCTION("""COMPUTED_VALUE"""),"Active")</f>
        <v>Active</v>
      </c>
      <c r="E104" s="17">
        <f>IFERROR(__xludf.DUMMYFUNCTION("""COMPUTED_VALUE"""),44725.0)</f>
        <v>44725</v>
      </c>
      <c r="F104" s="54"/>
      <c r="G104" s="19">
        <f>IFERROR(__xludf.DUMMYFUNCTION("""COMPUTED_VALUE"""),51.766666666666666)</f>
        <v>51.76666667</v>
      </c>
      <c r="H104" s="17">
        <f>IFERROR(__xludf.DUMMYFUNCTION("""COMPUTED_VALUE"""),42887.0)</f>
        <v>42887</v>
      </c>
      <c r="I104" s="19">
        <f>IFERROR(__xludf.DUMMYFUNCTION("""COMPUTED_VALUE"""),5.033333333333333)</f>
        <v>5.033333333</v>
      </c>
      <c r="J104" s="21">
        <f>IFERROR(__xludf.DUMMYFUNCTION("""COMPUTED_VALUE"""),83.0)</f>
        <v>83</v>
      </c>
      <c r="K104" s="23">
        <f>IFERROR(__xludf.DUMMYFUNCTION("""COMPUTED_VALUE"""),7.1)</f>
        <v>7.1</v>
      </c>
      <c r="L104" s="24">
        <f>IFERROR(__xludf.DUMMYFUNCTION("""COMPUTED_VALUE"""),2.0)</f>
        <v>2</v>
      </c>
      <c r="M104" s="25" t="str">
        <f>IFERROR(__xludf.DUMMYFUNCTION("""COMPUTED_VALUE"""),"Simulation")</f>
        <v>Simulation</v>
      </c>
      <c r="N104" s="25"/>
      <c r="O104" s="25" t="str">
        <f>IFERROR(__xludf.DUMMYFUNCTION("""COMPUTED_VALUE"""),"Yes")</f>
        <v>Yes</v>
      </c>
      <c r="P104" s="26" t="str">
        <f>IFERROR(__xludf.DUMMYFUNCTION("""COMPUTED_VALUE"""),"Yes")</f>
        <v>Yes</v>
      </c>
    </row>
    <row r="105">
      <c r="A105" s="13" t="str">
        <f>IFERROR(__xludf.DUMMYFUNCTION("""COMPUTED_VALUE"""),"Children of Morta")</f>
        <v>Children of Morta</v>
      </c>
      <c r="B105" s="15" t="str">
        <f>IFERROR(__xludf.DUMMYFUNCTION("""COMPUTED_VALUE"""),"PS4")</f>
        <v>PS4</v>
      </c>
      <c r="C105" s="16" t="str">
        <f>IFERROR(__xludf.DUMMYFUNCTION("""COMPUTED_VALUE"""),"Extra")</f>
        <v>Extra</v>
      </c>
      <c r="D105" s="15" t="str">
        <f>IFERROR(__xludf.DUMMYFUNCTION("""COMPUTED_VALUE"""),"Active")</f>
        <v>Active</v>
      </c>
      <c r="E105" s="17">
        <f>IFERROR(__xludf.DUMMYFUNCTION("""COMPUTED_VALUE"""),44725.0)</f>
        <v>44725</v>
      </c>
      <c r="F105" s="18"/>
      <c r="G105" s="19">
        <f>IFERROR(__xludf.DUMMYFUNCTION("""COMPUTED_VALUE"""),51.766666666666666)</f>
        <v>51.76666667</v>
      </c>
      <c r="H105" s="17">
        <f>IFERROR(__xludf.DUMMYFUNCTION("""COMPUTED_VALUE"""),43711.0)</f>
        <v>43711</v>
      </c>
      <c r="I105" s="19">
        <f>IFERROR(__xludf.DUMMYFUNCTION("""COMPUTED_VALUE"""),2.7777777777777777)</f>
        <v>2.777777778</v>
      </c>
      <c r="J105" s="21">
        <f>IFERROR(__xludf.DUMMYFUNCTION("""COMPUTED_VALUE"""),83.0)</f>
        <v>83</v>
      </c>
      <c r="K105" s="23">
        <f>IFERROR(__xludf.DUMMYFUNCTION("""COMPUTED_VALUE"""),7.9)</f>
        <v>7.9</v>
      </c>
      <c r="L105" s="24">
        <f>IFERROR(__xludf.DUMMYFUNCTION("""COMPUTED_VALUE"""),14.5)</f>
        <v>14.5</v>
      </c>
      <c r="M105" s="25" t="str">
        <f>IFERROR(__xludf.DUMMYFUNCTION("""COMPUTED_VALUE"""),"RPG")</f>
        <v>RPG</v>
      </c>
      <c r="N105" s="25"/>
      <c r="O105" s="25" t="str">
        <f>IFERROR(__xludf.DUMMYFUNCTION("""COMPUTED_VALUE"""),"Yes")</f>
        <v>Yes</v>
      </c>
      <c r="P105" s="26" t="str">
        <f>IFERROR(__xludf.DUMMYFUNCTION("""COMPUTED_VALUE"""),"Yes")</f>
        <v>Yes</v>
      </c>
    </row>
    <row r="106">
      <c r="A106" s="13" t="str">
        <f>IFERROR(__xludf.DUMMYFUNCTION("""COMPUTED_VALUE"""),"Terraria")</f>
        <v>Terraria</v>
      </c>
      <c r="B106" s="15" t="str">
        <f>IFERROR(__xludf.DUMMYFUNCTION("""COMPUTED_VALUE"""),"PS4")</f>
        <v>PS4</v>
      </c>
      <c r="C106" s="16" t="str">
        <f>IFERROR(__xludf.DUMMYFUNCTION("""COMPUTED_VALUE"""),"Extra")</f>
        <v>Extra</v>
      </c>
      <c r="D106" s="15" t="str">
        <f>IFERROR(__xludf.DUMMYFUNCTION("""COMPUTED_VALUE"""),"Active")</f>
        <v>Active</v>
      </c>
      <c r="E106" s="17">
        <f>IFERROR(__xludf.DUMMYFUNCTION("""COMPUTED_VALUE"""),44725.0)</f>
        <v>44725</v>
      </c>
      <c r="F106" s="54"/>
      <c r="G106" s="19">
        <f>IFERROR(__xludf.DUMMYFUNCTION("""COMPUTED_VALUE"""),51.766666666666666)</f>
        <v>51.76666667</v>
      </c>
      <c r="H106" s="17">
        <f>IFERROR(__xludf.DUMMYFUNCTION("""COMPUTED_VALUE"""),41359.0)</f>
        <v>41359</v>
      </c>
      <c r="I106" s="19">
        <f>IFERROR(__xludf.DUMMYFUNCTION("""COMPUTED_VALUE"""),9.213888888888889)</f>
        <v>9.213888889</v>
      </c>
      <c r="J106" s="21">
        <f>IFERROR(__xludf.DUMMYFUNCTION("""COMPUTED_VALUE"""),83.0)</f>
        <v>83</v>
      </c>
      <c r="K106" s="23">
        <f>IFERROR(__xludf.DUMMYFUNCTION("""COMPUTED_VALUE"""),8.2)</f>
        <v>8.2</v>
      </c>
      <c r="L106" s="24">
        <f>IFERROR(__xludf.DUMMYFUNCTION("""COMPUTED_VALUE"""),50.0)</f>
        <v>50</v>
      </c>
      <c r="M106" s="25" t="str">
        <f>IFERROR(__xludf.DUMMYFUNCTION("""COMPUTED_VALUE"""),"Action-Adventure")</f>
        <v>Action-Adventure</v>
      </c>
      <c r="N106" s="25"/>
      <c r="O106" s="25" t="str">
        <f>IFERROR(__xludf.DUMMYFUNCTION("""COMPUTED_VALUE"""),"Yes")</f>
        <v>Yes</v>
      </c>
      <c r="P106" s="26" t="str">
        <f>IFERROR(__xludf.DUMMYFUNCTION("""COMPUTED_VALUE"""),"Yes")</f>
        <v>Yes</v>
      </c>
    </row>
    <row r="107">
      <c r="A107" s="13" t="str">
        <f>IFERROR(__xludf.DUMMYFUNCTION("""COMPUTED_VALUE"""),"Cities: Skylines")</f>
        <v>Cities: Skylines</v>
      </c>
      <c r="B107" s="15" t="str">
        <f>IFERROR(__xludf.DUMMYFUNCTION("""COMPUTED_VALUE"""),"PS4")</f>
        <v>PS4</v>
      </c>
      <c r="C107" s="16" t="str">
        <f>IFERROR(__xludf.DUMMYFUNCTION("""COMPUTED_VALUE"""),"Extra")</f>
        <v>Extra</v>
      </c>
      <c r="D107" s="15" t="str">
        <f>IFERROR(__xludf.DUMMYFUNCTION("""COMPUTED_VALUE"""),"Active")</f>
        <v>Active</v>
      </c>
      <c r="E107" s="17">
        <f>IFERROR(__xludf.DUMMYFUNCTION("""COMPUTED_VALUE"""),43865.0)</f>
        <v>43865</v>
      </c>
      <c r="F107" s="54"/>
      <c r="G107" s="19">
        <f>IFERROR(__xludf.DUMMYFUNCTION("""COMPUTED_VALUE"""),80.06666666666666)</f>
        <v>80.06666667</v>
      </c>
      <c r="H107" s="17">
        <f>IFERROR(__xludf.DUMMYFUNCTION("""COMPUTED_VALUE"""),42073.0)</f>
        <v>42073</v>
      </c>
      <c r="I107" s="19">
        <f>IFERROR(__xludf.DUMMYFUNCTION("""COMPUTED_VALUE"""),4.9)</f>
        <v>4.9</v>
      </c>
      <c r="J107" s="21">
        <f>IFERROR(__xludf.DUMMYFUNCTION("""COMPUTED_VALUE"""),83.0)</f>
        <v>83</v>
      </c>
      <c r="K107" s="23">
        <f>IFERROR(__xludf.DUMMYFUNCTION("""COMPUTED_VALUE"""),8.6)</f>
        <v>8.6</v>
      </c>
      <c r="L107" s="24">
        <f>IFERROR(__xludf.DUMMYFUNCTION("""COMPUTED_VALUE"""),27.0)</f>
        <v>27</v>
      </c>
      <c r="M107" s="25" t="str">
        <f>IFERROR(__xludf.DUMMYFUNCTION("""COMPUTED_VALUE"""),"Simulation")</f>
        <v>Simulation</v>
      </c>
      <c r="N107" s="25"/>
      <c r="O107" s="25" t="str">
        <f>IFERROR(__xludf.DUMMYFUNCTION("""COMPUTED_VALUE"""),"Yes")</f>
        <v>Yes</v>
      </c>
      <c r="P107" s="26"/>
    </row>
    <row r="108">
      <c r="A108" s="13" t="str">
        <f>IFERROR(__xludf.DUMMYFUNCTION("""COMPUTED_VALUE"""),"Metro Exodus")</f>
        <v>Metro Exodus</v>
      </c>
      <c r="B108" s="15" t="str">
        <f>IFERROR(__xludf.DUMMYFUNCTION("""COMPUTED_VALUE"""),"PS5/PS4")</f>
        <v>PS5/PS4</v>
      </c>
      <c r="C108" s="16" t="str">
        <f>IFERROR(__xludf.DUMMYFUNCTION("""COMPUTED_VALUE"""),"Extra")</f>
        <v>Extra</v>
      </c>
      <c r="D108" s="15" t="str">
        <f>IFERROR(__xludf.DUMMYFUNCTION("""COMPUTED_VALUE"""),"Active")</f>
        <v>Active</v>
      </c>
      <c r="E108" s="17">
        <f>IFERROR(__xludf.DUMMYFUNCTION("""COMPUTED_VALUE"""),46259.0)</f>
        <v>46259</v>
      </c>
      <c r="F108" s="54"/>
      <c r="G108" s="19">
        <f>IFERROR(__xludf.DUMMYFUNCTION("""COMPUTED_VALUE"""),1.3666666666666667)</f>
        <v>1.366666667</v>
      </c>
      <c r="H108" s="17">
        <f>IFERROR(__xludf.DUMMYFUNCTION("""COMPUTED_VALUE"""),43511.0)</f>
        <v>43511</v>
      </c>
      <c r="I108" s="19">
        <f>IFERROR(__xludf.DUMMYFUNCTION("""COMPUTED_VALUE"""),7.527777777777778)</f>
        <v>7.527777778</v>
      </c>
      <c r="J108" s="21">
        <f>IFERROR(__xludf.DUMMYFUNCTION("""COMPUTED_VALUE"""),82.0)</f>
        <v>82</v>
      </c>
      <c r="K108" s="23">
        <f>IFERROR(__xludf.DUMMYFUNCTION("""COMPUTED_VALUE"""),7.4)</f>
        <v>7.4</v>
      </c>
      <c r="L108" s="24">
        <f>IFERROR(__xludf.DUMMYFUNCTION("""COMPUTED_VALUE"""),16.0)</f>
        <v>16</v>
      </c>
      <c r="M108" s="25" t="str">
        <f>IFERROR(__xludf.DUMMYFUNCTION("""COMPUTED_VALUE"""),"Shooter")</f>
        <v>Shooter</v>
      </c>
      <c r="N108" s="25"/>
      <c r="O108" s="25"/>
      <c r="P108" s="26"/>
    </row>
    <row r="109">
      <c r="A109" s="13" t="str">
        <f>IFERROR(__xludf.DUMMYFUNCTION("""COMPUTED_VALUE"""),"Helldivers 2")</f>
        <v>Helldivers 2</v>
      </c>
      <c r="B109" s="15" t="str">
        <f>IFERROR(__xludf.DUMMYFUNCTION("""COMPUTED_VALUE"""),"PS5")</f>
        <v>PS5</v>
      </c>
      <c r="C109" s="16" t="str">
        <f>IFERROR(__xludf.DUMMYFUNCTION("""COMPUTED_VALUE"""),"Extra")</f>
        <v>Extra</v>
      </c>
      <c r="D109" s="15" t="str">
        <f>IFERROR(__xludf.DUMMYFUNCTION("""COMPUTED_VALUE"""),"Active")</f>
        <v>Active</v>
      </c>
      <c r="E109" s="17">
        <f>IFERROR(__xludf.DUMMYFUNCTION("""COMPUTED_VALUE"""),46246.0)</f>
        <v>46246</v>
      </c>
      <c r="F109" s="54"/>
      <c r="G109" s="19">
        <f>IFERROR(__xludf.DUMMYFUNCTION("""COMPUTED_VALUE"""),1.7999999999999998)</f>
        <v>1.8</v>
      </c>
      <c r="H109" s="17">
        <f>IFERROR(__xludf.DUMMYFUNCTION("""COMPUTED_VALUE"""),45330.0)</f>
        <v>45330</v>
      </c>
      <c r="I109" s="19">
        <f>IFERROR(__xludf.DUMMYFUNCTION("""COMPUTED_VALUE"""),2.511111111111111)</f>
        <v>2.511111111</v>
      </c>
      <c r="J109" s="21">
        <f>IFERROR(__xludf.DUMMYFUNCTION("""COMPUTED_VALUE"""),82.0)</f>
        <v>82</v>
      </c>
      <c r="K109" s="23">
        <f>IFERROR(__xludf.DUMMYFUNCTION("""COMPUTED_VALUE"""),7.5)</f>
        <v>7.5</v>
      </c>
      <c r="L109" s="24">
        <f>IFERROR(__xludf.DUMMYFUNCTION("""COMPUTED_VALUE"""),32.0)</f>
        <v>32</v>
      </c>
      <c r="M109" s="25" t="str">
        <f>IFERROR(__xludf.DUMMYFUNCTION("""COMPUTED_VALUE"""),"Shooter")</f>
        <v>Shooter</v>
      </c>
      <c r="N109" s="25"/>
      <c r="O109" s="25" t="str">
        <f>IFERROR(__xludf.DUMMYFUNCTION("""COMPUTED_VALUE"""),"No")</f>
        <v>No</v>
      </c>
      <c r="P109" s="26"/>
    </row>
    <row r="110">
      <c r="A110" s="13" t="str">
        <f>IFERROR(__xludf.DUMMYFUNCTION("""COMPUTED_VALUE"""),"Warhammer 40,000: Space Marine II")</f>
        <v>Warhammer 40,000: Space Marine II</v>
      </c>
      <c r="B110" s="15" t="str">
        <f>IFERROR(__xludf.DUMMYFUNCTION("""COMPUTED_VALUE"""),"PS5")</f>
        <v>PS5</v>
      </c>
      <c r="C110" s="16" t="str">
        <f>IFERROR(__xludf.DUMMYFUNCTION("""COMPUTED_VALUE"""),"Extra")</f>
        <v>Extra</v>
      </c>
      <c r="D110" s="15" t="str">
        <f>IFERROR(__xludf.DUMMYFUNCTION("""COMPUTED_VALUE"""),"Active")</f>
        <v>Active</v>
      </c>
      <c r="E110" s="17">
        <f>IFERROR(__xludf.DUMMYFUNCTION("""COMPUTED_VALUE"""),46098.0)</f>
        <v>46098</v>
      </c>
      <c r="F110" s="54"/>
      <c r="G110" s="19">
        <f>IFERROR(__xludf.DUMMYFUNCTION("""COMPUTED_VALUE"""),6.633333333333334)</f>
        <v>6.633333333</v>
      </c>
      <c r="H110" s="17">
        <f>IFERROR(__xludf.DUMMYFUNCTION("""COMPUTED_VALUE"""),45540.0)</f>
        <v>45540</v>
      </c>
      <c r="I110" s="19">
        <f>IFERROR(__xludf.DUMMYFUNCTION("""COMPUTED_VALUE"""),1.5333333333333334)</f>
        <v>1.533333333</v>
      </c>
      <c r="J110" s="21">
        <f>IFERROR(__xludf.DUMMYFUNCTION("""COMPUTED_VALUE"""),82.0)</f>
        <v>82</v>
      </c>
      <c r="K110" s="23">
        <f>IFERROR(__xludf.DUMMYFUNCTION("""COMPUTED_VALUE"""),8.0)</f>
        <v>8</v>
      </c>
      <c r="L110" s="24">
        <f>IFERROR(__xludf.DUMMYFUNCTION("""COMPUTED_VALUE"""),9.0)</f>
        <v>9</v>
      </c>
      <c r="M110" s="25" t="str">
        <f>IFERROR(__xludf.DUMMYFUNCTION("""COMPUTED_VALUE"""),"Shooter")</f>
        <v>Shooter</v>
      </c>
      <c r="N110" s="25"/>
      <c r="O110" s="25" t="str">
        <f>IFERROR(__xludf.DUMMYFUNCTION("""COMPUTED_VALUE"""),"No")</f>
        <v>No</v>
      </c>
      <c r="P110" s="26"/>
    </row>
    <row r="111">
      <c r="A111" s="13" t="str">
        <f>IFERROR(__xludf.DUMMYFUNCTION("""COMPUTED_VALUE"""),"Coral Island")</f>
        <v>Coral Island</v>
      </c>
      <c r="B111" s="15" t="str">
        <f>IFERROR(__xludf.DUMMYFUNCTION("""COMPUTED_VALUE"""),"PS5")</f>
        <v>PS5</v>
      </c>
      <c r="C111" s="16" t="str">
        <f>IFERROR(__xludf.DUMMYFUNCTION("""COMPUTED_VALUE"""),"Extra")</f>
        <v>Extra</v>
      </c>
      <c r="D111" s="15" t="str">
        <f>IFERROR(__xludf.DUMMYFUNCTION("""COMPUTED_VALUE"""),"Active")</f>
        <v>Active</v>
      </c>
      <c r="E111" s="17">
        <f>IFERROR(__xludf.DUMMYFUNCTION("""COMPUTED_VALUE"""),45888.0)</f>
        <v>45888</v>
      </c>
      <c r="F111" s="54"/>
      <c r="G111" s="19">
        <f>IFERROR(__xludf.DUMMYFUNCTION("""COMPUTED_VALUE"""),13.566666666666666)</f>
        <v>13.56666667</v>
      </c>
      <c r="H111" s="17">
        <f>IFERROR(__xludf.DUMMYFUNCTION("""COMPUTED_VALUE"""),45244.0)</f>
        <v>45244</v>
      </c>
      <c r="I111" s="19">
        <f>IFERROR(__xludf.DUMMYFUNCTION("""COMPUTED_VALUE"""),1.7638888888888888)</f>
        <v>1.763888889</v>
      </c>
      <c r="J111" s="21">
        <f>IFERROR(__xludf.DUMMYFUNCTION("""COMPUTED_VALUE"""),82.0)</f>
        <v>82</v>
      </c>
      <c r="K111" s="23">
        <f>IFERROR(__xludf.DUMMYFUNCTION("""COMPUTED_VALUE"""),6.5)</f>
        <v>6.5</v>
      </c>
      <c r="L111" s="24">
        <f>IFERROR(__xludf.DUMMYFUNCTION("""COMPUTED_VALUE"""),57.0)</f>
        <v>57</v>
      </c>
      <c r="M111" s="25" t="str">
        <f>IFERROR(__xludf.DUMMYFUNCTION("""COMPUTED_VALUE"""),"Virtual Life")</f>
        <v>Virtual Life</v>
      </c>
      <c r="N111" s="25"/>
      <c r="O111" s="25" t="str">
        <f>IFERROR(__xludf.DUMMYFUNCTION("""COMPUTED_VALUE"""),"No")</f>
        <v>No</v>
      </c>
      <c r="P111" s="26"/>
    </row>
    <row r="112">
      <c r="A112" s="13" t="str">
        <f>IFERROR(__xludf.DUMMYFUNCTION("""COMPUTED_VALUE"""),"Citizen Sleeper")</f>
        <v>Citizen Sleeper</v>
      </c>
      <c r="B112" s="15" t="str">
        <f>IFERROR(__xludf.DUMMYFUNCTION("""COMPUTED_VALUE"""),"PS5/PS4")</f>
        <v>PS5/PS4</v>
      </c>
      <c r="C112" s="16" t="str">
        <f>IFERROR(__xludf.DUMMYFUNCTION("""COMPUTED_VALUE"""),"Extra")</f>
        <v>Extra</v>
      </c>
      <c r="D112" s="15" t="str">
        <f>IFERROR(__xludf.DUMMYFUNCTION("""COMPUTED_VALUE"""),"Active")</f>
        <v>Active</v>
      </c>
      <c r="E112" s="17">
        <f>IFERROR(__xludf.DUMMYFUNCTION("""COMPUTED_VALUE"""),45678.0)</f>
        <v>45678</v>
      </c>
      <c r="F112" s="54"/>
      <c r="G112" s="19">
        <f>IFERROR(__xludf.DUMMYFUNCTION("""COMPUTED_VALUE"""),20.5)</f>
        <v>20.5</v>
      </c>
      <c r="H112" s="17">
        <f>IFERROR(__xludf.DUMMYFUNCTION("""COMPUTED_VALUE"""),44686.0)</f>
        <v>44686</v>
      </c>
      <c r="I112" s="19">
        <f>IFERROR(__xludf.DUMMYFUNCTION("""COMPUTED_VALUE"""),2.7111111111111112)</f>
        <v>2.711111111</v>
      </c>
      <c r="J112" s="21">
        <f>IFERROR(__xludf.DUMMYFUNCTION("""COMPUTED_VALUE"""),82.0)</f>
        <v>82</v>
      </c>
      <c r="K112" s="23">
        <f>IFERROR(__xludf.DUMMYFUNCTION("""COMPUTED_VALUE"""),7.4)</f>
        <v>7.4</v>
      </c>
      <c r="L112" s="24">
        <f>IFERROR(__xludf.DUMMYFUNCTION("""COMPUTED_VALUE"""),7.0)</f>
        <v>7</v>
      </c>
      <c r="M112" s="25" t="str">
        <f>IFERROR(__xludf.DUMMYFUNCTION("""COMPUTED_VALUE"""),"RPG")</f>
        <v>RPG</v>
      </c>
      <c r="N112" s="25"/>
      <c r="O112" s="25" t="str">
        <f>IFERROR(__xludf.DUMMYFUNCTION("""COMPUTED_VALUE"""),"Yes")</f>
        <v>Yes</v>
      </c>
      <c r="P112" s="26"/>
    </row>
    <row r="113">
      <c r="A113" s="13" t="str">
        <f>IFERROR(__xludf.DUMMYFUNCTION("""COMPUTED_VALUE"""),"Chivalry 2")</f>
        <v>Chivalry 2</v>
      </c>
      <c r="B113" s="15" t="str">
        <f>IFERROR(__xludf.DUMMYFUNCTION("""COMPUTED_VALUE"""),"PS5/PS4")</f>
        <v>PS5/PS4</v>
      </c>
      <c r="C113" s="16" t="str">
        <f>IFERROR(__xludf.DUMMYFUNCTION("""COMPUTED_VALUE"""),"Extra")</f>
        <v>Extra</v>
      </c>
      <c r="D113" s="15" t="str">
        <f>IFERROR(__xludf.DUMMYFUNCTION("""COMPUTED_VALUE"""),"Active")</f>
        <v>Active</v>
      </c>
      <c r="E113" s="17">
        <f>IFERROR(__xludf.DUMMYFUNCTION("""COMPUTED_VALUE"""),45615.0)</f>
        <v>45615</v>
      </c>
      <c r="F113" s="54"/>
      <c r="G113" s="19">
        <f>IFERROR(__xludf.DUMMYFUNCTION("""COMPUTED_VALUE"""),22.566666666666666)</f>
        <v>22.56666667</v>
      </c>
      <c r="H113" s="17">
        <f>IFERROR(__xludf.DUMMYFUNCTION("""COMPUTED_VALUE"""),44355.0)</f>
        <v>44355</v>
      </c>
      <c r="I113" s="19">
        <f>IFERROR(__xludf.DUMMYFUNCTION("""COMPUTED_VALUE"""),3.4472222222222224)</f>
        <v>3.447222222</v>
      </c>
      <c r="J113" s="21">
        <f>IFERROR(__xludf.DUMMYFUNCTION("""COMPUTED_VALUE"""),82.0)</f>
        <v>82</v>
      </c>
      <c r="K113" s="23">
        <f>IFERROR(__xludf.DUMMYFUNCTION("""COMPUTED_VALUE"""),5.5)</f>
        <v>5.5</v>
      </c>
      <c r="L113" s="24">
        <f>IFERROR(__xludf.DUMMYFUNCTION("""COMPUTED_VALUE"""),21.0)</f>
        <v>21</v>
      </c>
      <c r="M113" s="25" t="str">
        <f>IFERROR(__xludf.DUMMYFUNCTION("""COMPUTED_VALUE"""),"Beat-'Em-Up")</f>
        <v>Beat-'Em-Up</v>
      </c>
      <c r="N113" s="25"/>
      <c r="O113" s="25" t="str">
        <f>IFERROR(__xludf.DUMMYFUNCTION("""COMPUTED_VALUE"""),"Yes")</f>
        <v>Yes</v>
      </c>
      <c r="P113" s="26"/>
    </row>
    <row r="114">
      <c r="A114" s="13" t="str">
        <f>IFERROR(__xludf.DUMMYFUNCTION("""COMPUTED_VALUE"""),"Watch Dogs 2")</f>
        <v>Watch Dogs 2</v>
      </c>
      <c r="B114" s="15" t="str">
        <f>IFERROR(__xludf.DUMMYFUNCTION("""COMPUTED_VALUE"""),"PS4")</f>
        <v>PS4</v>
      </c>
      <c r="C114" s="16" t="str">
        <f>IFERROR(__xludf.DUMMYFUNCTION("""COMPUTED_VALUE"""),"Extra (Ubisoft+ Classics)")</f>
        <v>Extra (Ubisoft+ Classics)</v>
      </c>
      <c r="D114" s="15" t="str">
        <f>IFERROR(__xludf.DUMMYFUNCTION("""COMPUTED_VALUE"""),"Active")</f>
        <v>Active</v>
      </c>
      <c r="E114" s="17">
        <f>IFERROR(__xludf.DUMMYFUNCTION("""COMPUTED_VALUE"""),45524.0)</f>
        <v>45524</v>
      </c>
      <c r="F114" s="54"/>
      <c r="G114" s="19">
        <f>IFERROR(__xludf.DUMMYFUNCTION("""COMPUTED_VALUE"""),25.53333333333333)</f>
        <v>25.53333333</v>
      </c>
      <c r="H114" s="17">
        <f>IFERROR(__xludf.DUMMYFUNCTION("""COMPUTED_VALUE"""),42689.0)</f>
        <v>42689</v>
      </c>
      <c r="I114" s="19">
        <f>IFERROR(__xludf.DUMMYFUNCTION("""COMPUTED_VALUE"""),7.763888888888889)</f>
        <v>7.763888889</v>
      </c>
      <c r="J114" s="21">
        <f>IFERROR(__xludf.DUMMYFUNCTION("""COMPUTED_VALUE"""),82.0)</f>
        <v>82</v>
      </c>
      <c r="K114" s="23">
        <f>IFERROR(__xludf.DUMMYFUNCTION("""COMPUTED_VALUE"""),7.7)</f>
        <v>7.7</v>
      </c>
      <c r="L114" s="24">
        <f>IFERROR(__xludf.DUMMYFUNCTION("""COMPUTED_VALUE"""),20.0)</f>
        <v>20</v>
      </c>
      <c r="M114" s="25" t="str">
        <f>IFERROR(__xludf.DUMMYFUNCTION("""COMPUTED_VALUE"""),"Action-Adventure")</f>
        <v>Action-Adventure</v>
      </c>
      <c r="N114" s="25"/>
      <c r="O114" s="25" t="str">
        <f>IFERROR(__xludf.DUMMYFUNCTION("""COMPUTED_VALUE"""),"Yes")</f>
        <v>Yes</v>
      </c>
      <c r="P114" s="26"/>
    </row>
    <row r="115">
      <c r="A115" s="13" t="str">
        <f>IFERROR(__xludf.DUMMYFUNCTION("""COMPUTED_VALUE"""),"This War of Mine: Final Cut")</f>
        <v>This War of Mine: Final Cut</v>
      </c>
      <c r="B115" s="15" t="str">
        <f>IFERROR(__xludf.DUMMYFUNCTION("""COMPUTED_VALUE"""),"PS5")</f>
        <v>PS5</v>
      </c>
      <c r="C115" s="16" t="str">
        <f>IFERROR(__xludf.DUMMYFUNCTION("""COMPUTED_VALUE"""),"Extra")</f>
        <v>Extra</v>
      </c>
      <c r="D115" s="15" t="str">
        <f>IFERROR(__xludf.DUMMYFUNCTION("""COMPUTED_VALUE"""),"Active")</f>
        <v>Active</v>
      </c>
      <c r="E115" s="17">
        <f>IFERROR(__xludf.DUMMYFUNCTION("""COMPUTED_VALUE"""),45188.0)</f>
        <v>45188</v>
      </c>
      <c r="F115" s="54"/>
      <c r="G115" s="19">
        <f>IFERROR(__xludf.DUMMYFUNCTION("""COMPUTED_VALUE"""),36.56666666666666)</f>
        <v>36.56666667</v>
      </c>
      <c r="H115" s="17">
        <f>IFERROR(__xludf.DUMMYFUNCTION("""COMPUTED_VALUE"""),44691.0)</f>
        <v>44691</v>
      </c>
      <c r="I115" s="19">
        <f>IFERROR(__xludf.DUMMYFUNCTION("""COMPUTED_VALUE"""),1.3583333333333334)</f>
        <v>1.358333333</v>
      </c>
      <c r="J115" s="21">
        <f>IFERROR(__xludf.DUMMYFUNCTION("""COMPUTED_VALUE"""),82.0)</f>
        <v>82</v>
      </c>
      <c r="K115" s="23">
        <f>IFERROR(__xludf.DUMMYFUNCTION("""COMPUTED_VALUE"""),6.3)</f>
        <v>6.3</v>
      </c>
      <c r="L115" s="24">
        <f>IFERROR(__xludf.DUMMYFUNCTION("""COMPUTED_VALUE"""),11.0)</f>
        <v>11</v>
      </c>
      <c r="M115" s="25" t="str">
        <f>IFERROR(__xludf.DUMMYFUNCTION("""COMPUTED_VALUE"""),"Survival")</f>
        <v>Survival</v>
      </c>
      <c r="N115" s="25"/>
      <c r="O115" s="25" t="str">
        <f>IFERROR(__xludf.DUMMYFUNCTION("""COMPUTED_VALUE"""),"Portal (PS5 + Premium)")</f>
        <v>Portal (PS5 + Premium)</v>
      </c>
      <c r="P115" s="26"/>
    </row>
    <row r="116">
      <c r="A116" s="13" t="str">
        <f>IFERROR(__xludf.DUMMYFUNCTION("""COMPUTED_VALUE"""),"Two Point Hospital: Jumbo Edition")</f>
        <v>Two Point Hospital: Jumbo Edition</v>
      </c>
      <c r="B116" s="15" t="str">
        <f>IFERROR(__xludf.DUMMYFUNCTION("""COMPUTED_VALUE"""),"PS4")</f>
        <v>PS4</v>
      </c>
      <c r="C116" s="16" t="str">
        <f>IFERROR(__xludf.DUMMYFUNCTION("""COMPUTED_VALUE"""),"Extra")</f>
        <v>Extra</v>
      </c>
      <c r="D116" s="15" t="str">
        <f>IFERROR(__xludf.DUMMYFUNCTION("""COMPUTED_VALUE"""),"Active")</f>
        <v>Active</v>
      </c>
      <c r="E116" s="17">
        <f>IFERROR(__xludf.DUMMYFUNCTION("""COMPUTED_VALUE"""),45153.0)</f>
        <v>45153</v>
      </c>
      <c r="F116" s="54"/>
      <c r="G116" s="19">
        <f>IFERROR(__xludf.DUMMYFUNCTION("""COMPUTED_VALUE"""),37.7)</f>
        <v>37.7</v>
      </c>
      <c r="H116" s="17">
        <f>IFERROR(__xludf.DUMMYFUNCTION("""COMPUTED_VALUE"""),43886.0)</f>
        <v>43886</v>
      </c>
      <c r="I116" s="19">
        <f>IFERROR(__xludf.DUMMYFUNCTION("""COMPUTED_VALUE"""),3.4722222222222223)</f>
        <v>3.472222222</v>
      </c>
      <c r="J116" s="21">
        <f>IFERROR(__xludf.DUMMYFUNCTION("""COMPUTED_VALUE"""),82.0)</f>
        <v>82</v>
      </c>
      <c r="K116" s="23">
        <f>IFERROR(__xludf.DUMMYFUNCTION("""COMPUTED_VALUE"""),7.3)</f>
        <v>7.3</v>
      </c>
      <c r="L116" s="24">
        <f>IFERROR(__xludf.DUMMYFUNCTION("""COMPUTED_VALUE"""),39.0)</f>
        <v>39</v>
      </c>
      <c r="M116" s="25" t="str">
        <f>IFERROR(__xludf.DUMMYFUNCTION("""COMPUTED_VALUE"""),"Simulation")</f>
        <v>Simulation</v>
      </c>
      <c r="N116" s="25"/>
      <c r="O116" s="25" t="str">
        <f>IFERROR(__xludf.DUMMYFUNCTION("""COMPUTED_VALUE"""),"Yes")</f>
        <v>Yes</v>
      </c>
      <c r="P116" s="26"/>
    </row>
    <row r="117">
      <c r="A117" s="13" t="str">
        <f>IFERROR(__xludf.DUMMYFUNCTION("""COMPUTED_VALUE"""),"Dishonored: Death of the Outsider")</f>
        <v>Dishonored: Death of the Outsider</v>
      </c>
      <c r="B117" s="15" t="str">
        <f>IFERROR(__xludf.DUMMYFUNCTION("""COMPUTED_VALUE"""),"PS4")</f>
        <v>PS4</v>
      </c>
      <c r="C117" s="16" t="str">
        <f>IFERROR(__xludf.DUMMYFUNCTION("""COMPUTED_VALUE"""),"Extra")</f>
        <v>Extra</v>
      </c>
      <c r="D117" s="15" t="str">
        <f>IFERROR(__xludf.DUMMYFUNCTION("""COMPUTED_VALUE"""),"Active")</f>
        <v>Active</v>
      </c>
      <c r="E117" s="17">
        <f>IFERROR(__xludf.DUMMYFUNCTION("""COMPUTED_VALUE"""),45062.0)</f>
        <v>45062</v>
      </c>
      <c r="F117" s="54"/>
      <c r="G117" s="19">
        <f>IFERROR(__xludf.DUMMYFUNCTION("""COMPUTED_VALUE"""),40.666666666666664)</f>
        <v>40.66666667</v>
      </c>
      <c r="H117" s="17">
        <f>IFERROR(__xludf.DUMMYFUNCTION("""COMPUTED_VALUE"""),42993.0)</f>
        <v>42993</v>
      </c>
      <c r="I117" s="19">
        <f>IFERROR(__xludf.DUMMYFUNCTION("""COMPUTED_VALUE"""),5.669444444444444)</f>
        <v>5.669444444</v>
      </c>
      <c r="J117" s="21">
        <f>IFERROR(__xludf.DUMMYFUNCTION("""COMPUTED_VALUE"""),82.0)</f>
        <v>82</v>
      </c>
      <c r="K117" s="23">
        <f>IFERROR(__xludf.DUMMYFUNCTION("""COMPUTED_VALUE"""),8.0)</f>
        <v>8</v>
      </c>
      <c r="L117" s="24">
        <f>IFERROR(__xludf.DUMMYFUNCTION("""COMPUTED_VALUE"""),7.0)</f>
        <v>7</v>
      </c>
      <c r="M117" s="25" t="str">
        <f>IFERROR(__xludf.DUMMYFUNCTION("""COMPUTED_VALUE"""),"Shooter")</f>
        <v>Shooter</v>
      </c>
      <c r="N117" s="25"/>
      <c r="O117" s="25" t="str">
        <f>IFERROR(__xludf.DUMMYFUNCTION("""COMPUTED_VALUE"""),"Yes")</f>
        <v>Yes</v>
      </c>
      <c r="P117" s="26"/>
    </row>
    <row r="118">
      <c r="A118" s="13" t="str">
        <f>IFERROR(__xludf.DUMMYFUNCTION("""COMPUTED_VALUE"""),"Tom Clancy's The Division 2")</f>
        <v>Tom Clancy's The Division 2</v>
      </c>
      <c r="B118" s="15" t="str">
        <f>IFERROR(__xludf.DUMMYFUNCTION("""COMPUTED_VALUE"""),"PS4")</f>
        <v>PS4</v>
      </c>
      <c r="C118" s="16" t="str">
        <f>IFERROR(__xludf.DUMMYFUNCTION("""COMPUTED_VALUE"""),"Extra (Ubisoft+ Classics)")</f>
        <v>Extra (Ubisoft+ Classics)</v>
      </c>
      <c r="D118" s="15" t="str">
        <f>IFERROR(__xludf.DUMMYFUNCTION("""COMPUTED_VALUE"""),"Active")</f>
        <v>Active</v>
      </c>
      <c r="E118" s="17">
        <f>IFERROR(__xludf.DUMMYFUNCTION("""COMPUTED_VALUE"""),44880.0)</f>
        <v>44880</v>
      </c>
      <c r="F118" s="54"/>
      <c r="G118" s="19">
        <f>IFERROR(__xludf.DUMMYFUNCTION("""COMPUTED_VALUE"""),46.7)</f>
        <v>46.7</v>
      </c>
      <c r="H118" s="17">
        <f>IFERROR(__xludf.DUMMYFUNCTION("""COMPUTED_VALUE"""),43539.0)</f>
        <v>43539</v>
      </c>
      <c r="I118" s="19">
        <f>IFERROR(__xludf.DUMMYFUNCTION("""COMPUTED_VALUE"""),3.6666666666666665)</f>
        <v>3.666666667</v>
      </c>
      <c r="J118" s="21">
        <f>IFERROR(__xludf.DUMMYFUNCTION("""COMPUTED_VALUE"""),82.0)</f>
        <v>82</v>
      </c>
      <c r="K118" s="23">
        <f>IFERROR(__xludf.DUMMYFUNCTION("""COMPUTED_VALUE"""),6.2)</f>
        <v>6.2</v>
      </c>
      <c r="L118" s="24">
        <f>IFERROR(__xludf.DUMMYFUNCTION("""COMPUTED_VALUE"""),26.5)</f>
        <v>26.5</v>
      </c>
      <c r="M118" s="25" t="str">
        <f>IFERROR(__xludf.DUMMYFUNCTION("""COMPUTED_VALUE"""),"Shooter")</f>
        <v>Shooter</v>
      </c>
      <c r="N118" s="25"/>
      <c r="O118" s="25" t="str">
        <f>IFERROR(__xludf.DUMMYFUNCTION("""COMPUTED_VALUE"""),"Yes")</f>
        <v>Yes</v>
      </c>
      <c r="P118" s="26"/>
    </row>
    <row r="119">
      <c r="A119" s="13" t="str">
        <f>IFERROR(__xludf.DUMMYFUNCTION("""COMPUTED_VALUE"""),"Death Stranding: Director's Cut")</f>
        <v>Death Stranding: Director's Cut</v>
      </c>
      <c r="B119" s="15" t="str">
        <f>IFERROR(__xludf.DUMMYFUNCTION("""COMPUTED_VALUE"""),"PS5/PS4")</f>
        <v>PS5/PS4</v>
      </c>
      <c r="C119" s="16" t="str">
        <f>IFERROR(__xludf.DUMMYFUNCTION("""COMPUTED_VALUE"""),"Extra")</f>
        <v>Extra</v>
      </c>
      <c r="D119" s="15" t="str">
        <f>IFERROR(__xludf.DUMMYFUNCTION("""COMPUTED_VALUE"""),"Active")</f>
        <v>Active</v>
      </c>
      <c r="E119" s="17">
        <f>IFERROR(__xludf.DUMMYFUNCTION("""COMPUTED_VALUE"""),44725.0)</f>
        <v>44725</v>
      </c>
      <c r="F119" s="54"/>
      <c r="G119" s="19">
        <f>IFERROR(__xludf.DUMMYFUNCTION("""COMPUTED_VALUE"""),51.766666666666666)</f>
        <v>51.76666667</v>
      </c>
      <c r="H119" s="17">
        <f>IFERROR(__xludf.DUMMYFUNCTION("""COMPUTED_VALUE"""),44463.0)</f>
        <v>44463</v>
      </c>
      <c r="I119" s="19">
        <f>IFERROR(__xludf.DUMMYFUNCTION("""COMPUTED_VALUE"""),0.7194444444444444)</f>
        <v>0.7194444444</v>
      </c>
      <c r="J119" s="21">
        <f>IFERROR(__xludf.DUMMYFUNCTION("""COMPUTED_VALUE"""),82.0)</f>
        <v>82</v>
      </c>
      <c r="K119" s="23">
        <f>IFERROR(__xludf.DUMMYFUNCTION("""COMPUTED_VALUE"""),8.1)</f>
        <v>8.1</v>
      </c>
      <c r="L119" s="24">
        <f>IFERROR(__xludf.DUMMYFUNCTION("""COMPUTED_VALUE"""),32.5)</f>
        <v>32.5</v>
      </c>
      <c r="M119" s="25" t="str">
        <f>IFERROR(__xludf.DUMMYFUNCTION("""COMPUTED_VALUE"""),"Action-Adventure")</f>
        <v>Action-Adventure</v>
      </c>
      <c r="N119" s="25" t="str">
        <f>IFERROR(__xludf.DUMMYFUNCTION("""COMPUTED_VALUE"""),"PS4 gets the base version")</f>
        <v>PS4 gets the base version</v>
      </c>
      <c r="O119" s="25" t="str">
        <f>IFERROR(__xludf.DUMMYFUNCTION("""COMPUTED_VALUE"""),"Yes")</f>
        <v>Yes</v>
      </c>
      <c r="P119" s="26"/>
    </row>
    <row r="120">
      <c r="A120" s="13" t="str">
        <f>IFERROR(__xludf.DUMMYFUNCTION("""COMPUTED_VALUE"""),"Marvel's Guardians Of The Galaxy")</f>
        <v>Marvel's Guardians Of The Galaxy</v>
      </c>
      <c r="B120" s="15" t="str">
        <f>IFERROR(__xludf.DUMMYFUNCTION("""COMPUTED_VALUE"""),"PS5/PS4")</f>
        <v>PS5/PS4</v>
      </c>
      <c r="C120" s="16" t="str">
        <f>IFERROR(__xludf.DUMMYFUNCTION("""COMPUTED_VALUE"""),"Extra")</f>
        <v>Extra</v>
      </c>
      <c r="D120" s="15" t="str">
        <f>IFERROR(__xludf.DUMMYFUNCTION("""COMPUTED_VALUE"""),"Active")</f>
        <v>Active</v>
      </c>
      <c r="E120" s="17">
        <f>IFERROR(__xludf.DUMMYFUNCTION("""COMPUTED_VALUE"""),44725.0)</f>
        <v>44725</v>
      </c>
      <c r="F120" s="54"/>
      <c r="G120" s="19">
        <f>IFERROR(__xludf.DUMMYFUNCTION("""COMPUTED_VALUE"""),51.766666666666666)</f>
        <v>51.76666667</v>
      </c>
      <c r="H120" s="17">
        <f>IFERROR(__xludf.DUMMYFUNCTION("""COMPUTED_VALUE"""),44495.0)</f>
        <v>44495</v>
      </c>
      <c r="I120" s="19">
        <f>IFERROR(__xludf.DUMMYFUNCTION("""COMPUTED_VALUE"""),0.6305555555555555)</f>
        <v>0.6305555556</v>
      </c>
      <c r="J120" s="21">
        <f>IFERROR(__xludf.DUMMYFUNCTION("""COMPUTED_VALUE"""),82.0)</f>
        <v>82</v>
      </c>
      <c r="K120" s="23">
        <f>IFERROR(__xludf.DUMMYFUNCTION("""COMPUTED_VALUE"""),8.4)</f>
        <v>8.4</v>
      </c>
      <c r="L120" s="24">
        <f>IFERROR(__xludf.DUMMYFUNCTION("""COMPUTED_VALUE"""),17.5)</f>
        <v>17.5</v>
      </c>
      <c r="M120" s="25" t="str">
        <f>IFERROR(__xludf.DUMMYFUNCTION("""COMPUTED_VALUE"""),"Action-Adventure")</f>
        <v>Action-Adventure</v>
      </c>
      <c r="N120" s="25"/>
      <c r="O120" s="25" t="str">
        <f>IFERROR(__xludf.DUMMYFUNCTION("""COMPUTED_VALUE"""),"Yes")</f>
        <v>Yes</v>
      </c>
      <c r="P120" s="26"/>
    </row>
    <row r="121">
      <c r="A121" s="13" t="str">
        <f>IFERROR(__xludf.DUMMYFUNCTION("""COMPUTED_VALUE"""),"Age of Wonders: Planetfall")</f>
        <v>Age of Wonders: Planetfall</v>
      </c>
      <c r="B121" s="15" t="str">
        <f>IFERROR(__xludf.DUMMYFUNCTION("""COMPUTED_VALUE"""),"PS4")</f>
        <v>PS4</v>
      </c>
      <c r="C121" s="16" t="str">
        <f>IFERROR(__xludf.DUMMYFUNCTION("""COMPUTED_VALUE"""),"Extra")</f>
        <v>Extra</v>
      </c>
      <c r="D121" s="15" t="str">
        <f>IFERROR(__xludf.DUMMYFUNCTION("""COMPUTED_VALUE"""),"Active")</f>
        <v>Active</v>
      </c>
      <c r="E121" s="17">
        <f>IFERROR(__xludf.DUMMYFUNCTION("""COMPUTED_VALUE"""),44725.0)</f>
        <v>44725</v>
      </c>
      <c r="F121" s="54"/>
      <c r="G121" s="19">
        <f>IFERROR(__xludf.DUMMYFUNCTION("""COMPUTED_VALUE"""),51.766666666666666)</f>
        <v>51.76666667</v>
      </c>
      <c r="H121" s="17">
        <f>IFERROR(__xludf.DUMMYFUNCTION("""COMPUTED_VALUE"""),43683.0)</f>
        <v>43683</v>
      </c>
      <c r="I121" s="19">
        <f>IFERROR(__xludf.DUMMYFUNCTION("""COMPUTED_VALUE"""),2.852777777777778)</f>
        <v>2.852777778</v>
      </c>
      <c r="J121" s="21">
        <f>IFERROR(__xludf.DUMMYFUNCTION("""COMPUTED_VALUE"""),82.0)</f>
        <v>82</v>
      </c>
      <c r="K121" s="23">
        <f>IFERROR(__xludf.DUMMYFUNCTION("""COMPUTED_VALUE"""),7.4)</f>
        <v>7.4</v>
      </c>
      <c r="L121" s="24">
        <f>IFERROR(__xludf.DUMMYFUNCTION("""COMPUTED_VALUE"""),56.5)</f>
        <v>56.5</v>
      </c>
      <c r="M121" s="25" t="str">
        <f>IFERROR(__xludf.DUMMYFUNCTION("""COMPUTED_VALUE"""),"Strategy")</f>
        <v>Strategy</v>
      </c>
      <c r="N121" s="25"/>
      <c r="O121" s="25" t="str">
        <f>IFERROR(__xludf.DUMMYFUNCTION("""COMPUTED_VALUE"""),"Yes")</f>
        <v>Yes</v>
      </c>
      <c r="P121" s="26" t="str">
        <f>IFERROR(__xludf.DUMMYFUNCTION("""COMPUTED_VALUE"""),"Yes")</f>
        <v>Yes</v>
      </c>
    </row>
    <row r="122">
      <c r="A122" s="13" t="str">
        <f>IFERROR(__xludf.DUMMYFUNCTION("""COMPUTED_VALUE"""),"Disgaea 5: Alliance of Vengeance")</f>
        <v>Disgaea 5: Alliance of Vengeance</v>
      </c>
      <c r="B122" s="15" t="str">
        <f>IFERROR(__xludf.DUMMYFUNCTION("""COMPUTED_VALUE"""),"PS4")</f>
        <v>PS4</v>
      </c>
      <c r="C122" s="16" t="str">
        <f>IFERROR(__xludf.DUMMYFUNCTION("""COMPUTED_VALUE"""),"Extra")</f>
        <v>Extra</v>
      </c>
      <c r="D122" s="15" t="str">
        <f>IFERROR(__xludf.DUMMYFUNCTION("""COMPUTED_VALUE"""),"Active")</f>
        <v>Active</v>
      </c>
      <c r="E122" s="17">
        <f>IFERROR(__xludf.DUMMYFUNCTION("""COMPUTED_VALUE"""),44725.0)</f>
        <v>44725</v>
      </c>
      <c r="F122" s="54"/>
      <c r="G122" s="19">
        <f>IFERROR(__xludf.DUMMYFUNCTION("""COMPUTED_VALUE"""),51.766666666666666)</f>
        <v>51.76666667</v>
      </c>
      <c r="H122" s="17">
        <f>IFERROR(__xludf.DUMMYFUNCTION("""COMPUTED_VALUE"""),42278.0)</f>
        <v>42278</v>
      </c>
      <c r="I122" s="19">
        <f>IFERROR(__xludf.DUMMYFUNCTION("""COMPUTED_VALUE"""),6.7)</f>
        <v>6.7</v>
      </c>
      <c r="J122" s="21">
        <f>IFERROR(__xludf.DUMMYFUNCTION("""COMPUTED_VALUE"""),82.0)</f>
        <v>82</v>
      </c>
      <c r="K122" s="23">
        <f>IFERROR(__xludf.DUMMYFUNCTION("""COMPUTED_VALUE"""),8.2)</f>
        <v>8.2</v>
      </c>
      <c r="L122" s="24">
        <f>IFERROR(__xludf.DUMMYFUNCTION("""COMPUTED_VALUE"""),40.5)</f>
        <v>40.5</v>
      </c>
      <c r="M122" s="25" t="str">
        <f>IFERROR(__xludf.DUMMYFUNCTION("""COMPUTED_VALUE"""),"RPG")</f>
        <v>RPG</v>
      </c>
      <c r="N122" s="25"/>
      <c r="O122" s="25" t="str">
        <f>IFERROR(__xludf.DUMMYFUNCTION("""COMPUTED_VALUE"""),"Yes")</f>
        <v>Yes</v>
      </c>
      <c r="P122" s="26"/>
    </row>
    <row r="123">
      <c r="A123" s="13" t="str">
        <f>IFERROR(__xludf.DUMMYFUNCTION("""COMPUTED_VALUE"""),"The Last Guardian")</f>
        <v>The Last Guardian</v>
      </c>
      <c r="B123" s="15" t="str">
        <f>IFERROR(__xludf.DUMMYFUNCTION("""COMPUTED_VALUE"""),"PS4")</f>
        <v>PS4</v>
      </c>
      <c r="C123" s="16" t="str">
        <f>IFERROR(__xludf.DUMMYFUNCTION("""COMPUTED_VALUE"""),"Extra")</f>
        <v>Extra</v>
      </c>
      <c r="D123" s="15" t="str">
        <f>IFERROR(__xludf.DUMMYFUNCTION("""COMPUTED_VALUE"""),"Active")</f>
        <v>Active</v>
      </c>
      <c r="E123" s="17">
        <f>IFERROR(__xludf.DUMMYFUNCTION("""COMPUTED_VALUE"""),44725.0)</f>
        <v>44725</v>
      </c>
      <c r="F123" s="54"/>
      <c r="G123" s="19">
        <f>IFERROR(__xludf.DUMMYFUNCTION("""COMPUTED_VALUE"""),51.766666666666666)</f>
        <v>51.76666667</v>
      </c>
      <c r="H123" s="17">
        <f>IFERROR(__xludf.DUMMYFUNCTION("""COMPUTED_VALUE"""),42710.0)</f>
        <v>42710</v>
      </c>
      <c r="I123" s="19">
        <f>IFERROR(__xludf.DUMMYFUNCTION("""COMPUTED_VALUE"""),5.519444444444445)</f>
        <v>5.519444444</v>
      </c>
      <c r="J123" s="21">
        <f>IFERROR(__xludf.DUMMYFUNCTION("""COMPUTED_VALUE"""),82.0)</f>
        <v>82</v>
      </c>
      <c r="K123" s="23">
        <f>IFERROR(__xludf.DUMMYFUNCTION("""COMPUTED_VALUE"""),7.9)</f>
        <v>7.9</v>
      </c>
      <c r="L123" s="24">
        <f>IFERROR(__xludf.DUMMYFUNCTION("""COMPUTED_VALUE"""),12.0)</f>
        <v>12</v>
      </c>
      <c r="M123" s="25" t="str">
        <f>IFERROR(__xludf.DUMMYFUNCTION("""COMPUTED_VALUE"""),"Action-Adventure")</f>
        <v>Action-Adventure</v>
      </c>
      <c r="N123" s="25"/>
      <c r="O123" s="25" t="str">
        <f>IFERROR(__xludf.DUMMYFUNCTION("""COMPUTED_VALUE"""),"Yes")</f>
        <v>Yes</v>
      </c>
      <c r="P123" s="26"/>
    </row>
    <row r="124">
      <c r="A124" s="13" t="str">
        <f>IFERROR(__xludf.DUMMYFUNCTION("""COMPUTED_VALUE"""),"Far Cry 3: Blood Dragon - Classic Edition")</f>
        <v>Far Cry 3: Blood Dragon - Classic Edition</v>
      </c>
      <c r="B124" s="15" t="str">
        <f>IFERROR(__xludf.DUMMYFUNCTION("""COMPUTED_VALUE"""),"PS4")</f>
        <v>PS4</v>
      </c>
      <c r="C124" s="16" t="str">
        <f>IFERROR(__xludf.DUMMYFUNCTION("""COMPUTED_VALUE"""),"Extra (Ubisoft+ Classics)")</f>
        <v>Extra (Ubisoft+ Classics)</v>
      </c>
      <c r="D124" s="15" t="str">
        <f>IFERROR(__xludf.DUMMYFUNCTION("""COMPUTED_VALUE"""),"Active")</f>
        <v>Active</v>
      </c>
      <c r="E124" s="17">
        <f>IFERROR(__xludf.DUMMYFUNCTION("""COMPUTED_VALUE"""),44725.0)</f>
        <v>44725</v>
      </c>
      <c r="F124" s="54"/>
      <c r="G124" s="19">
        <f>IFERROR(__xludf.DUMMYFUNCTION("""COMPUTED_VALUE"""),51.766666666666666)</f>
        <v>51.76666667</v>
      </c>
      <c r="H124" s="17">
        <f>IFERROR(__xludf.DUMMYFUNCTION("""COMPUTED_VALUE"""),43998.0)</f>
        <v>43998</v>
      </c>
      <c r="I124" s="19">
        <f>IFERROR(__xludf.DUMMYFUNCTION("""COMPUTED_VALUE"""),1.9916666666666667)</f>
        <v>1.991666667</v>
      </c>
      <c r="J124" s="21">
        <f>IFERROR(__xludf.DUMMYFUNCTION("""COMPUTED_VALUE"""),82.0)</f>
        <v>82</v>
      </c>
      <c r="K124" s="23">
        <f>IFERROR(__xludf.DUMMYFUNCTION("""COMPUTED_VALUE"""),8.2)</f>
        <v>8.2</v>
      </c>
      <c r="L124" s="24">
        <f>IFERROR(__xludf.DUMMYFUNCTION("""COMPUTED_VALUE"""),6.0)</f>
        <v>6</v>
      </c>
      <c r="M124" s="25" t="str">
        <f>IFERROR(__xludf.DUMMYFUNCTION("""COMPUTED_VALUE"""),"Shooter")</f>
        <v>Shooter</v>
      </c>
      <c r="N124" s="25"/>
      <c r="O124" s="25" t="str">
        <f>IFERROR(__xludf.DUMMYFUNCTION("""COMPUTED_VALUE"""),"Yes")</f>
        <v>Yes</v>
      </c>
      <c r="P124" s="26"/>
    </row>
    <row r="125">
      <c r="A125" s="13" t="str">
        <f>IFERROR(__xludf.DUMMYFUNCTION("""COMPUTED_VALUE"""),"Gloomhaven: Mercenaries Edition")</f>
        <v>Gloomhaven: Mercenaries Edition</v>
      </c>
      <c r="B125" s="15" t="str">
        <f>IFERROR(__xludf.DUMMYFUNCTION("""COMPUTED_VALUE"""),"PS5/PS4")</f>
        <v>PS5/PS4</v>
      </c>
      <c r="C125" s="16" t="str">
        <f>IFERROR(__xludf.DUMMYFUNCTION("""COMPUTED_VALUE"""),"Extra")</f>
        <v>Extra</v>
      </c>
      <c r="D125" s="15" t="str">
        <f>IFERROR(__xludf.DUMMYFUNCTION("""COMPUTED_VALUE"""),"Leaving Soon")</f>
        <v>Leaving Soon</v>
      </c>
      <c r="E125" s="17">
        <f>IFERROR(__xludf.DUMMYFUNCTION("""COMPUTED_VALUE"""),45797.0)</f>
        <v>45797</v>
      </c>
      <c r="F125" s="54">
        <f>IFERROR(__xludf.DUMMYFUNCTION("""COMPUTED_VALUE"""),46314.0)</f>
        <v>46314</v>
      </c>
      <c r="G125" s="19">
        <f>IFERROR(__xludf.DUMMYFUNCTION("""COMPUTED_VALUE"""),16.96666666666667)</f>
        <v>16.96666667</v>
      </c>
      <c r="H125" s="17">
        <f>IFERROR(__xludf.DUMMYFUNCTION("""COMPUTED_VALUE"""),43663.0)</f>
        <v>43663</v>
      </c>
      <c r="I125" s="19">
        <f>IFERROR(__xludf.DUMMYFUNCTION("""COMPUTED_VALUE"""),5.841666666666667)</f>
        <v>5.841666667</v>
      </c>
      <c r="J125" s="21">
        <f>IFERROR(__xludf.DUMMYFUNCTION("""COMPUTED_VALUE"""),82.0)</f>
        <v>82</v>
      </c>
      <c r="K125" s="23">
        <f>IFERROR(__xludf.DUMMYFUNCTION("""COMPUTED_VALUE"""),6.6)</f>
        <v>6.6</v>
      </c>
      <c r="L125" s="24">
        <f>IFERROR(__xludf.DUMMYFUNCTION("""COMPUTED_VALUE"""),100.0)</f>
        <v>100</v>
      </c>
      <c r="M125" s="25" t="str">
        <f>IFERROR(__xludf.DUMMYFUNCTION("""COMPUTED_VALUE"""),"Board")</f>
        <v>Board</v>
      </c>
      <c r="N125" s="25"/>
      <c r="O125" s="25"/>
      <c r="P125" s="26"/>
    </row>
    <row r="126">
      <c r="A126" s="13" t="str">
        <f>IFERROR(__xludf.DUMMYFUNCTION("""COMPUTED_VALUE"""),"The Exit 8")</f>
        <v>The Exit 8</v>
      </c>
      <c r="B126" s="15" t="str">
        <f>IFERROR(__xludf.DUMMYFUNCTION("""COMPUTED_VALUE"""),"PS5/PS4")</f>
        <v>PS5/PS4</v>
      </c>
      <c r="C126" s="16" t="str">
        <f>IFERROR(__xludf.DUMMYFUNCTION("""COMPUTED_VALUE"""),"Extra")</f>
        <v>Extra</v>
      </c>
      <c r="D126" s="15" t="str">
        <f>IFERROR(__xludf.DUMMYFUNCTION("""COMPUTED_VALUE"""),"Active")</f>
        <v>Active</v>
      </c>
      <c r="E126" s="17">
        <f>IFERROR(__xludf.DUMMYFUNCTION("""COMPUTED_VALUE"""),46042.0)</f>
        <v>46042</v>
      </c>
      <c r="F126" s="54"/>
      <c r="G126" s="19">
        <f>IFERROR(__xludf.DUMMYFUNCTION("""COMPUTED_VALUE"""),8.533333333333333)</f>
        <v>8.533333333</v>
      </c>
      <c r="H126" s="17">
        <f>IFERROR(__xludf.DUMMYFUNCTION("""COMPUTED_VALUE"""),45399.0)</f>
        <v>45399</v>
      </c>
      <c r="I126" s="19">
        <f>IFERROR(__xludf.DUMMYFUNCTION("""COMPUTED_VALUE"""),1.7583333333333333)</f>
        <v>1.758333333</v>
      </c>
      <c r="J126" s="21">
        <f>IFERROR(__xludf.DUMMYFUNCTION("""COMPUTED_VALUE"""),81.66666666666667)</f>
        <v>81.66666667</v>
      </c>
      <c r="K126" s="23">
        <f>IFERROR(__xludf.DUMMYFUNCTION("""COMPUTED_VALUE"""),7.3)</f>
        <v>7.3</v>
      </c>
      <c r="L126" s="24">
        <f>IFERROR(__xludf.DUMMYFUNCTION("""COMPUTED_VALUE"""),1.0)</f>
        <v>1</v>
      </c>
      <c r="M126" s="25" t="str">
        <f>IFERROR(__xludf.DUMMYFUNCTION("""COMPUTED_VALUE"""),"Adventure")</f>
        <v>Adventure</v>
      </c>
      <c r="N126" s="25"/>
      <c r="O126" s="25"/>
      <c r="P126" s="26"/>
    </row>
    <row r="127">
      <c r="A127" s="13" t="str">
        <f>IFERROR(__xludf.DUMMYFUNCTION("""COMPUTED_VALUE"""),"Monster Hunter Stories 2: Wings of Ruin")</f>
        <v>Monster Hunter Stories 2: Wings of Ruin</v>
      </c>
      <c r="B127" s="15" t="str">
        <f>IFERROR(__xludf.DUMMYFUNCTION("""COMPUTED_VALUE"""),"PS4")</f>
        <v>PS4</v>
      </c>
      <c r="C127" s="16" t="str">
        <f>IFERROR(__xludf.DUMMYFUNCTION("""COMPUTED_VALUE"""),"Extra")</f>
        <v>Extra</v>
      </c>
      <c r="D127" s="15" t="str">
        <f>IFERROR(__xludf.DUMMYFUNCTION("""COMPUTED_VALUE"""),"Active")</f>
        <v>Active</v>
      </c>
      <c r="E127" s="17">
        <f>IFERROR(__xludf.DUMMYFUNCTION("""COMPUTED_VALUE"""),46070.0)</f>
        <v>46070</v>
      </c>
      <c r="F127" s="54"/>
      <c r="G127" s="19">
        <f>IFERROR(__xludf.DUMMYFUNCTION("""COMPUTED_VALUE"""),7.633333333333333)</f>
        <v>7.633333333</v>
      </c>
      <c r="H127" s="17">
        <f>IFERROR(__xludf.DUMMYFUNCTION("""COMPUTED_VALUE"""),44386.0)</f>
        <v>44386</v>
      </c>
      <c r="I127" s="19">
        <f>IFERROR(__xludf.DUMMYFUNCTION("""COMPUTED_VALUE"""),4.605555555555555)</f>
        <v>4.605555556</v>
      </c>
      <c r="J127" s="21">
        <f>IFERROR(__xludf.DUMMYFUNCTION("""COMPUTED_VALUE"""),81.0)</f>
        <v>81</v>
      </c>
      <c r="K127" s="23">
        <f>IFERROR(__xludf.DUMMYFUNCTION("""COMPUTED_VALUE"""),8.6)</f>
        <v>8.6</v>
      </c>
      <c r="L127" s="24">
        <f>IFERROR(__xludf.DUMMYFUNCTION("""COMPUTED_VALUE"""),41.0)</f>
        <v>41</v>
      </c>
      <c r="M127" s="25" t="str">
        <f>IFERROR(__xludf.DUMMYFUNCTION("""COMPUTED_VALUE"""),"RPG")</f>
        <v>RPG</v>
      </c>
      <c r="N127" s="25"/>
      <c r="O127" s="25"/>
      <c r="P127" s="26"/>
    </row>
    <row r="128">
      <c r="A128" s="13" t="str">
        <f>IFERROR(__xludf.DUMMYFUNCTION("""COMPUTED_VALUE"""),"Venba")</f>
        <v>Venba</v>
      </c>
      <c r="B128" s="15" t="str">
        <f>IFERROR(__xludf.DUMMYFUNCTION("""COMPUTED_VALUE"""),"PS5")</f>
        <v>PS5</v>
      </c>
      <c r="C128" s="16" t="str">
        <f>IFERROR(__xludf.DUMMYFUNCTION("""COMPUTED_VALUE"""),"Extra")</f>
        <v>Extra</v>
      </c>
      <c r="D128" s="15" t="str">
        <f>IFERROR(__xludf.DUMMYFUNCTION("""COMPUTED_VALUE"""),"Active")</f>
        <v>Active</v>
      </c>
      <c r="E128" s="17">
        <f>IFERROR(__xludf.DUMMYFUNCTION("""COMPUTED_VALUE"""),46070.0)</f>
        <v>46070</v>
      </c>
      <c r="F128" s="54"/>
      <c r="G128" s="19">
        <f>IFERROR(__xludf.DUMMYFUNCTION("""COMPUTED_VALUE"""),7.633333333333333)</f>
        <v>7.633333333</v>
      </c>
      <c r="H128" s="17">
        <f>IFERROR(__xludf.DUMMYFUNCTION("""COMPUTED_VALUE"""),45138.0)</f>
        <v>45138</v>
      </c>
      <c r="I128" s="19">
        <f>IFERROR(__xludf.DUMMYFUNCTION("""COMPUTED_VALUE"""),2.547222222222222)</f>
        <v>2.547222222</v>
      </c>
      <c r="J128" s="21">
        <f>IFERROR(__xludf.DUMMYFUNCTION("""COMPUTED_VALUE"""),81.0)</f>
        <v>81</v>
      </c>
      <c r="K128" s="23">
        <f>IFERROR(__xludf.DUMMYFUNCTION("""COMPUTED_VALUE"""),7.7)</f>
        <v>7.7</v>
      </c>
      <c r="L128" s="24">
        <f>IFERROR(__xludf.DUMMYFUNCTION("""COMPUTED_VALUE"""),2.0)</f>
        <v>2</v>
      </c>
      <c r="M128" s="25" t="str">
        <f>IFERROR(__xludf.DUMMYFUNCTION("""COMPUTED_VALUE"""),"Adventure")</f>
        <v>Adventure</v>
      </c>
      <c r="N128" s="25"/>
      <c r="O128" s="25" t="str">
        <f>IFERROR(__xludf.DUMMYFUNCTION("""COMPUTED_VALUE"""),"No")</f>
        <v>No</v>
      </c>
      <c r="P128" s="26"/>
    </row>
    <row r="129">
      <c r="A129" s="13" t="str">
        <f>IFERROR(__xludf.DUMMYFUNCTION("""COMPUTED_VALUE"""),"Darkest Dungeon II")</f>
        <v>Darkest Dungeon II</v>
      </c>
      <c r="B129" s="15" t="str">
        <f>IFERROR(__xludf.DUMMYFUNCTION("""COMPUTED_VALUE"""),"PS5/PS4")</f>
        <v>PS5/PS4</v>
      </c>
      <c r="C129" s="16" t="str">
        <f>IFERROR(__xludf.DUMMYFUNCTION("""COMPUTED_VALUE"""),"Extra")</f>
        <v>Extra</v>
      </c>
      <c r="D129" s="15" t="str">
        <f>IFERROR(__xludf.DUMMYFUNCTION("""COMPUTED_VALUE"""),"Active")</f>
        <v>Active</v>
      </c>
      <c r="E129" s="17">
        <f>IFERROR(__xludf.DUMMYFUNCTION("""COMPUTED_VALUE"""),46042.0)</f>
        <v>46042</v>
      </c>
      <c r="F129" s="54"/>
      <c r="G129" s="19">
        <f>IFERROR(__xludf.DUMMYFUNCTION("""COMPUTED_VALUE"""),8.533333333333333)</f>
        <v>8.533333333</v>
      </c>
      <c r="H129" s="17">
        <f>IFERROR(__xludf.DUMMYFUNCTION("""COMPUTED_VALUE"""),45054.0)</f>
        <v>45054</v>
      </c>
      <c r="I129" s="19">
        <f>IFERROR(__xludf.DUMMYFUNCTION("""COMPUTED_VALUE"""),2.7)</f>
        <v>2.7</v>
      </c>
      <c r="J129" s="21">
        <f>IFERROR(__xludf.DUMMYFUNCTION("""COMPUTED_VALUE"""),81.0)</f>
        <v>81</v>
      </c>
      <c r="K129" s="23">
        <f>IFERROR(__xludf.DUMMYFUNCTION("""COMPUTED_VALUE"""),6.1)</f>
        <v>6.1</v>
      </c>
      <c r="L129" s="24">
        <f>IFERROR(__xludf.DUMMYFUNCTION("""COMPUTED_VALUE"""),27.0)</f>
        <v>27</v>
      </c>
      <c r="M129" s="25" t="str">
        <f>IFERROR(__xludf.DUMMYFUNCTION("""COMPUTED_VALUE"""),"Roguelike")</f>
        <v>Roguelike</v>
      </c>
      <c r="N129" s="25"/>
      <c r="O129" s="25"/>
      <c r="P129" s="26"/>
    </row>
    <row r="130">
      <c r="A130" s="13" t="str">
        <f>IFERROR(__xludf.DUMMYFUNCTION("""COMPUTED_VALUE"""),"Fate/Samurai Remnant")</f>
        <v>Fate/Samurai Remnant</v>
      </c>
      <c r="B130" s="15" t="str">
        <f>IFERROR(__xludf.DUMMYFUNCTION("""COMPUTED_VALUE"""),"PS5/PS4")</f>
        <v>PS5/PS4</v>
      </c>
      <c r="C130" s="16" t="str">
        <f>IFERROR(__xludf.DUMMYFUNCTION("""COMPUTED_VALUE"""),"Extra")</f>
        <v>Extra</v>
      </c>
      <c r="D130" s="15" t="str">
        <f>IFERROR(__xludf.DUMMYFUNCTION("""COMPUTED_VALUE"""),"Active")</f>
        <v>Active</v>
      </c>
      <c r="E130" s="17">
        <f>IFERROR(__xludf.DUMMYFUNCTION("""COMPUTED_VALUE"""),45916.0)</f>
        <v>45916</v>
      </c>
      <c r="F130" s="54"/>
      <c r="G130" s="19">
        <f>IFERROR(__xludf.DUMMYFUNCTION("""COMPUTED_VALUE"""),12.666666666666668)</f>
        <v>12.66666667</v>
      </c>
      <c r="H130" s="17">
        <f>IFERROR(__xludf.DUMMYFUNCTION("""COMPUTED_VALUE"""),45198.0)</f>
        <v>45198</v>
      </c>
      <c r="I130" s="19">
        <f>IFERROR(__xludf.DUMMYFUNCTION("""COMPUTED_VALUE"""),1.9638888888888888)</f>
        <v>1.963888889</v>
      </c>
      <c r="J130" s="21">
        <f>IFERROR(__xludf.DUMMYFUNCTION("""COMPUTED_VALUE"""),81.0)</f>
        <v>81</v>
      </c>
      <c r="K130" s="23">
        <f>IFERROR(__xludf.DUMMYFUNCTION("""COMPUTED_VALUE"""),8.0)</f>
        <v>8</v>
      </c>
      <c r="L130" s="24">
        <f>IFERROR(__xludf.DUMMYFUNCTION("""COMPUTED_VALUE"""),29.0)</f>
        <v>29</v>
      </c>
      <c r="M130" s="25" t="str">
        <f>IFERROR(__xludf.DUMMYFUNCTION("""COMPUTED_VALUE"""),"RPG")</f>
        <v>RPG</v>
      </c>
      <c r="N130" s="25"/>
      <c r="O130" s="25"/>
      <c r="P130" s="26"/>
    </row>
    <row r="131">
      <c r="A131" s="13" t="str">
        <f>IFERROR(__xludf.DUMMYFUNCTION("""COMPUTED_VALUE"""),"Atelier Ryza 3: Alchemist of the End &amp; the Secret Key")</f>
        <v>Atelier Ryza 3: Alchemist of the End &amp; the Secret Key</v>
      </c>
      <c r="B131" s="15" t="str">
        <f>IFERROR(__xludf.DUMMYFUNCTION("""COMPUTED_VALUE"""),"PS5/PS4")</f>
        <v>PS5/PS4</v>
      </c>
      <c r="C131" s="16" t="str">
        <f>IFERROR(__xludf.DUMMYFUNCTION("""COMPUTED_VALUE"""),"Extra")</f>
        <v>Extra</v>
      </c>
      <c r="D131" s="15" t="str">
        <f>IFERROR(__xludf.DUMMYFUNCTION("""COMPUTED_VALUE"""),"Active")</f>
        <v>Active</v>
      </c>
      <c r="E131" s="17">
        <f>IFERROR(__xludf.DUMMYFUNCTION("""COMPUTED_VALUE"""),45888.0)</f>
        <v>45888</v>
      </c>
      <c r="F131" s="54"/>
      <c r="G131" s="19">
        <f>IFERROR(__xludf.DUMMYFUNCTION("""COMPUTED_VALUE"""),13.566666666666666)</f>
        <v>13.56666667</v>
      </c>
      <c r="H131" s="17">
        <f>IFERROR(__xludf.DUMMYFUNCTION("""COMPUTED_VALUE"""),45009.0)</f>
        <v>45009</v>
      </c>
      <c r="I131" s="19">
        <f>IFERROR(__xludf.DUMMYFUNCTION("""COMPUTED_VALUE"""),2.4027777777777777)</f>
        <v>2.402777778</v>
      </c>
      <c r="J131" s="21">
        <f>IFERROR(__xludf.DUMMYFUNCTION("""COMPUTED_VALUE"""),81.0)</f>
        <v>81</v>
      </c>
      <c r="K131" s="23">
        <f>IFERROR(__xludf.DUMMYFUNCTION("""COMPUTED_VALUE"""),7.5)</f>
        <v>7.5</v>
      </c>
      <c r="L131" s="24">
        <f>IFERROR(__xludf.DUMMYFUNCTION("""COMPUTED_VALUE"""),34.0)</f>
        <v>34</v>
      </c>
      <c r="M131" s="25" t="str">
        <f>IFERROR(__xludf.DUMMYFUNCTION("""COMPUTED_VALUE"""),"RPG")</f>
        <v>RPG</v>
      </c>
      <c r="N131" s="25"/>
      <c r="O131" s="25"/>
      <c r="P131" s="26"/>
    </row>
    <row r="132">
      <c r="A132" s="13" t="str">
        <f>IFERROR(__xludf.DUMMYFUNCTION("""COMPUTED_VALUE"""),"Planet Zoo")</f>
        <v>Planet Zoo</v>
      </c>
      <c r="B132" s="15" t="str">
        <f>IFERROR(__xludf.DUMMYFUNCTION("""COMPUTED_VALUE"""),"PS5")</f>
        <v>PS5</v>
      </c>
      <c r="C132" s="16" t="str">
        <f>IFERROR(__xludf.DUMMYFUNCTION("""COMPUTED_VALUE"""),"Extra")</f>
        <v>Extra</v>
      </c>
      <c r="D132" s="15" t="str">
        <f>IFERROR(__xludf.DUMMYFUNCTION("""COMPUTED_VALUE"""),"Active")</f>
        <v>Active</v>
      </c>
      <c r="E132" s="17">
        <f>IFERROR(__xludf.DUMMYFUNCTION("""COMPUTED_VALUE"""),45853.0)</f>
        <v>45853</v>
      </c>
      <c r="F132" s="54"/>
      <c r="G132" s="19">
        <f>IFERROR(__xludf.DUMMYFUNCTION("""COMPUTED_VALUE"""),14.700000000000001)</f>
        <v>14.7</v>
      </c>
      <c r="H132" s="17">
        <f>IFERROR(__xludf.DUMMYFUNCTION("""COMPUTED_VALUE"""),43774.0)</f>
        <v>43774</v>
      </c>
      <c r="I132" s="19">
        <f>IFERROR(__xludf.DUMMYFUNCTION("""COMPUTED_VALUE"""),5.694444444444445)</f>
        <v>5.694444444</v>
      </c>
      <c r="J132" s="21">
        <f>IFERROR(__xludf.DUMMYFUNCTION("""COMPUTED_VALUE"""),81.0)</f>
        <v>81</v>
      </c>
      <c r="K132" s="23">
        <f>IFERROR(__xludf.DUMMYFUNCTION("""COMPUTED_VALUE"""),7.9)</f>
        <v>7.9</v>
      </c>
      <c r="L132" s="24">
        <f>IFERROR(__xludf.DUMMYFUNCTION("""COMPUTED_VALUE"""),34.0)</f>
        <v>34</v>
      </c>
      <c r="M132" s="25" t="str">
        <f>IFERROR(__xludf.DUMMYFUNCTION("""COMPUTED_VALUE"""),"Tycoon")</f>
        <v>Tycoon</v>
      </c>
      <c r="N132" s="25"/>
      <c r="O132" s="25" t="str">
        <f>IFERROR(__xludf.DUMMYFUNCTION("""COMPUTED_VALUE"""),"No")</f>
        <v>No</v>
      </c>
      <c r="P132" s="26"/>
    </row>
    <row r="133">
      <c r="A133" s="13" t="str">
        <f>IFERROR(__xludf.DUMMYFUNCTION("""COMPUTED_VALUE"""),"Granblue Fantasy Versus: Rising")</f>
        <v>Granblue Fantasy Versus: Rising</v>
      </c>
      <c r="B133" s="15" t="str">
        <f>IFERROR(__xludf.DUMMYFUNCTION("""COMPUTED_VALUE"""),"PS5/PS4")</f>
        <v>PS5/PS4</v>
      </c>
      <c r="C133" s="16" t="str">
        <f>IFERROR(__xludf.DUMMYFUNCTION("""COMPUTED_VALUE"""),"Extra")</f>
        <v>Extra</v>
      </c>
      <c r="D133" s="15" t="str">
        <f>IFERROR(__xludf.DUMMYFUNCTION("""COMPUTED_VALUE"""),"Active")</f>
        <v>Active</v>
      </c>
      <c r="E133" s="17">
        <f>IFERROR(__xludf.DUMMYFUNCTION("""COMPUTED_VALUE"""),45797.0)</f>
        <v>45797</v>
      </c>
      <c r="F133" s="54"/>
      <c r="G133" s="19">
        <f>IFERROR(__xludf.DUMMYFUNCTION("""COMPUTED_VALUE"""),16.53333333333333)</f>
        <v>16.53333333</v>
      </c>
      <c r="H133" s="17">
        <f>IFERROR(__xludf.DUMMYFUNCTION("""COMPUTED_VALUE"""),45274.0)</f>
        <v>45274</v>
      </c>
      <c r="I133" s="19">
        <f>IFERROR(__xludf.DUMMYFUNCTION("""COMPUTED_VALUE"""),1.4333333333333333)</f>
        <v>1.433333333</v>
      </c>
      <c r="J133" s="21">
        <f>IFERROR(__xludf.DUMMYFUNCTION("""COMPUTED_VALUE"""),81.0)</f>
        <v>81</v>
      </c>
      <c r="K133" s="23">
        <f>IFERROR(__xludf.DUMMYFUNCTION("""COMPUTED_VALUE"""),7.0)</f>
        <v>7</v>
      </c>
      <c r="L133" s="24">
        <f>IFERROR(__xludf.DUMMYFUNCTION("""COMPUTED_VALUE"""),13.0)</f>
        <v>13</v>
      </c>
      <c r="M133" s="68" t="str">
        <f>IFERROR(__xludf.DUMMYFUNCTION("""COMPUTED_VALUE"""),"Fighting")</f>
        <v>Fighting</v>
      </c>
      <c r="N133" s="68"/>
      <c r="O133" s="25"/>
      <c r="P133" s="26"/>
    </row>
    <row r="134">
      <c r="A134" s="13" t="str">
        <f>IFERROR(__xludf.DUMMYFUNCTION("""COMPUTED_VALUE"""),"Syberia: The World Before")</f>
        <v>Syberia: The World Before</v>
      </c>
      <c r="B134" s="15" t="str">
        <f>IFERROR(__xludf.DUMMYFUNCTION("""COMPUTED_VALUE"""),"PS5/PS4")</f>
        <v>PS5/PS4</v>
      </c>
      <c r="C134" s="16" t="str">
        <f>IFERROR(__xludf.DUMMYFUNCTION("""COMPUTED_VALUE"""),"Extra")</f>
        <v>Extra</v>
      </c>
      <c r="D134" s="15" t="str">
        <f>IFERROR(__xludf.DUMMYFUNCTION("""COMPUTED_VALUE"""),"Active")</f>
        <v>Active</v>
      </c>
      <c r="E134" s="17">
        <f>IFERROR(__xludf.DUMMYFUNCTION("""COMPUTED_VALUE"""),45734.0)</f>
        <v>45734</v>
      </c>
      <c r="F134" s="54"/>
      <c r="G134" s="19">
        <f>IFERROR(__xludf.DUMMYFUNCTION("""COMPUTED_VALUE"""),18.6)</f>
        <v>18.6</v>
      </c>
      <c r="H134" s="17">
        <f>IFERROR(__xludf.DUMMYFUNCTION("""COMPUTED_VALUE"""),44638.0)</f>
        <v>44638</v>
      </c>
      <c r="I134" s="19">
        <f>IFERROR(__xludf.DUMMYFUNCTION("""COMPUTED_VALUE"""),3.0)</f>
        <v>3</v>
      </c>
      <c r="J134" s="21">
        <f>IFERROR(__xludf.DUMMYFUNCTION("""COMPUTED_VALUE"""),81.0)</f>
        <v>81</v>
      </c>
      <c r="K134" s="23">
        <f>IFERROR(__xludf.DUMMYFUNCTION("""COMPUTED_VALUE"""),8.5)</f>
        <v>8.5</v>
      </c>
      <c r="L134" s="24">
        <f>IFERROR(__xludf.DUMMYFUNCTION("""COMPUTED_VALUE"""),14.0)</f>
        <v>14</v>
      </c>
      <c r="M134" s="25" t="str">
        <f>IFERROR(__xludf.DUMMYFUNCTION("""COMPUTED_VALUE"""),"Point-and-Click ")</f>
        <v>Point-and-Click </v>
      </c>
      <c r="N134" s="25"/>
      <c r="O134" s="25" t="str">
        <f>IFERROR(__xludf.DUMMYFUNCTION("""COMPUTED_VALUE"""),"No")</f>
        <v>No</v>
      </c>
      <c r="P134" s="26"/>
    </row>
    <row r="135">
      <c r="A135" s="13" t="str">
        <f>IFERROR(__xludf.DUMMYFUNCTION("""COMPUTED_VALUE"""),"MORDHAU")</f>
        <v>MORDHAU</v>
      </c>
      <c r="B135" s="15" t="str">
        <f>IFERROR(__xludf.DUMMYFUNCTION("""COMPUTED_VALUE"""),"PS5/PS4")</f>
        <v>PS5/PS4</v>
      </c>
      <c r="C135" s="16" t="str">
        <f>IFERROR(__xludf.DUMMYFUNCTION("""COMPUTED_VALUE"""),"Extra")</f>
        <v>Extra</v>
      </c>
      <c r="D135" s="15" t="str">
        <f>IFERROR(__xludf.DUMMYFUNCTION("""COMPUTED_VALUE"""),"Active")</f>
        <v>Active</v>
      </c>
      <c r="E135" s="17">
        <f>IFERROR(__xludf.DUMMYFUNCTION("""COMPUTED_VALUE"""),45705.0)</f>
        <v>45705</v>
      </c>
      <c r="F135" s="54"/>
      <c r="G135" s="19">
        <f>IFERROR(__xludf.DUMMYFUNCTION("""COMPUTED_VALUE"""),19.633333333333333)</f>
        <v>19.63333333</v>
      </c>
      <c r="H135" s="17">
        <f>IFERROR(__xludf.DUMMYFUNCTION("""COMPUTED_VALUE"""),43584.0)</f>
        <v>43584</v>
      </c>
      <c r="I135" s="19">
        <f>IFERROR(__xludf.DUMMYFUNCTION("""COMPUTED_VALUE"""),5.8)</f>
        <v>5.8</v>
      </c>
      <c r="J135" s="21">
        <f>IFERROR(__xludf.DUMMYFUNCTION("""COMPUTED_VALUE"""),81.0)</f>
        <v>81</v>
      </c>
      <c r="K135" s="23">
        <f>IFERROR(__xludf.DUMMYFUNCTION("""COMPUTED_VALUE"""),7.4)</f>
        <v>7.4</v>
      </c>
      <c r="L135" s="24">
        <f>IFERROR(__xludf.DUMMYFUNCTION("""COMPUTED_VALUE"""),101.0)</f>
        <v>101</v>
      </c>
      <c r="M135" s="25" t="str">
        <f>IFERROR(__xludf.DUMMYFUNCTION("""COMPUTED_VALUE"""),"Action-Adventure")</f>
        <v>Action-Adventure</v>
      </c>
      <c r="N135" s="25"/>
      <c r="O135" s="25" t="str">
        <f>IFERROR(__xludf.DUMMYFUNCTION("""COMPUTED_VALUE"""),"Yes")</f>
        <v>Yes</v>
      </c>
      <c r="P135" s="26"/>
    </row>
    <row r="136">
      <c r="A136" s="13" t="str">
        <f>IFERROR(__xludf.DUMMYFUNCTION("""COMPUTED_VALUE"""),"Far Cry 5")</f>
        <v>Far Cry 5</v>
      </c>
      <c r="B136" s="15" t="str">
        <f>IFERROR(__xludf.DUMMYFUNCTION("""COMPUTED_VALUE"""),"PS4")</f>
        <v>PS4</v>
      </c>
      <c r="C136" s="16" t="str">
        <f>IFERROR(__xludf.DUMMYFUNCTION("""COMPUTED_VALUE"""),"Extra (Ubisoft+ Classics)")</f>
        <v>Extra (Ubisoft+ Classics)</v>
      </c>
      <c r="D136" s="15" t="str">
        <f>IFERROR(__xludf.DUMMYFUNCTION("""COMPUTED_VALUE"""),"Active")</f>
        <v>Active</v>
      </c>
      <c r="E136" s="17">
        <f>IFERROR(__xludf.DUMMYFUNCTION("""COMPUTED_VALUE"""),45552.0)</f>
        <v>45552</v>
      </c>
      <c r="F136" s="54"/>
      <c r="G136" s="19">
        <f>IFERROR(__xludf.DUMMYFUNCTION("""COMPUTED_VALUE"""),24.633333333333333)</f>
        <v>24.63333333</v>
      </c>
      <c r="H136" s="17">
        <f>IFERROR(__xludf.DUMMYFUNCTION("""COMPUTED_VALUE"""),43186.0)</f>
        <v>43186</v>
      </c>
      <c r="I136" s="19">
        <f>IFERROR(__xludf.DUMMYFUNCTION("""COMPUTED_VALUE"""),6.472222222222222)</f>
        <v>6.472222222</v>
      </c>
      <c r="J136" s="21">
        <f>IFERROR(__xludf.DUMMYFUNCTION("""COMPUTED_VALUE"""),81.0)</f>
        <v>81</v>
      </c>
      <c r="K136" s="23">
        <f>IFERROR(__xludf.DUMMYFUNCTION("""COMPUTED_VALUE"""),6.9)</f>
        <v>6.9</v>
      </c>
      <c r="L136" s="24">
        <f>IFERROR(__xludf.DUMMYFUNCTION("""COMPUTED_VALUE"""),18.0)</f>
        <v>18</v>
      </c>
      <c r="M136" s="25" t="str">
        <f>IFERROR(__xludf.DUMMYFUNCTION("""COMPUTED_VALUE"""),"Shooter")</f>
        <v>Shooter</v>
      </c>
      <c r="N136" s="25" t="str">
        <f>IFERROR(__xludf.DUMMYFUNCTION("""COMPUTED_VALUE"""),"Returning game")</f>
        <v>Returning game</v>
      </c>
      <c r="O136" s="25" t="str">
        <f>IFERROR(__xludf.DUMMYFUNCTION("""COMPUTED_VALUE"""),"Yes")</f>
        <v>Yes</v>
      </c>
      <c r="P136" s="26"/>
    </row>
    <row r="137">
      <c r="A137" s="13" t="str">
        <f>IFERROR(__xludf.DUMMYFUNCTION("""COMPUTED_VALUE"""),"FAR: Changing Tides")</f>
        <v>FAR: Changing Tides</v>
      </c>
      <c r="B137" s="15" t="str">
        <f>IFERROR(__xludf.DUMMYFUNCTION("""COMPUTED_VALUE"""),"PS5/PS4")</f>
        <v>PS5/PS4</v>
      </c>
      <c r="C137" s="16" t="str">
        <f>IFERROR(__xludf.DUMMYFUNCTION("""COMPUTED_VALUE"""),"Extra")</f>
        <v>Extra</v>
      </c>
      <c r="D137" s="15" t="str">
        <f>IFERROR(__xludf.DUMMYFUNCTION("""COMPUTED_VALUE"""),"Active")</f>
        <v>Active</v>
      </c>
      <c r="E137" s="17">
        <f>IFERROR(__xludf.DUMMYFUNCTION("""COMPUTED_VALUE"""),45216.0)</f>
        <v>45216</v>
      </c>
      <c r="F137" s="54"/>
      <c r="G137" s="19">
        <f>IFERROR(__xludf.DUMMYFUNCTION("""COMPUTED_VALUE"""),35.63333333333333)</f>
        <v>35.63333333</v>
      </c>
      <c r="H137" s="17">
        <f>IFERROR(__xludf.DUMMYFUNCTION("""COMPUTED_VALUE"""),44621.0)</f>
        <v>44621</v>
      </c>
      <c r="I137" s="19">
        <f>IFERROR(__xludf.DUMMYFUNCTION("""COMPUTED_VALUE"""),1.6277777777777778)</f>
        <v>1.627777778</v>
      </c>
      <c r="J137" s="21">
        <f>IFERROR(__xludf.DUMMYFUNCTION("""COMPUTED_VALUE"""),81.0)</f>
        <v>81</v>
      </c>
      <c r="K137" s="23">
        <f>IFERROR(__xludf.DUMMYFUNCTION("""COMPUTED_VALUE"""),6.9)</f>
        <v>6.9</v>
      </c>
      <c r="L137" s="24">
        <f>IFERROR(__xludf.DUMMYFUNCTION("""COMPUTED_VALUE"""),6.0)</f>
        <v>6</v>
      </c>
      <c r="M137" s="25" t="str">
        <f>IFERROR(__xludf.DUMMYFUNCTION("""COMPUTED_VALUE"""),"Action-Adventure")</f>
        <v>Action-Adventure</v>
      </c>
      <c r="N137" s="25"/>
      <c r="O137" s="25" t="str">
        <f>IFERROR(__xludf.DUMMYFUNCTION("""COMPUTED_VALUE"""),"Yes")</f>
        <v>Yes</v>
      </c>
      <c r="P137" s="26"/>
    </row>
    <row r="138">
      <c r="A138" s="13" t="str">
        <f>IFERROR(__xludf.DUMMYFUNCTION("""COMPUTED_VALUE"""),"The Elder Scrolls V: Skyrim - Special Edition")</f>
        <v>The Elder Scrolls V: Skyrim - Special Edition</v>
      </c>
      <c r="B138" s="15" t="str">
        <f>IFERROR(__xludf.DUMMYFUNCTION("""COMPUTED_VALUE"""),"PS5/PS4")</f>
        <v>PS5/PS4</v>
      </c>
      <c r="C138" s="16" t="str">
        <f>IFERROR(__xludf.DUMMYFUNCTION("""COMPUTED_VALUE"""),"Extra")</f>
        <v>Extra</v>
      </c>
      <c r="D138" s="15" t="str">
        <f>IFERROR(__xludf.DUMMYFUNCTION("""COMPUTED_VALUE"""),"Active")</f>
        <v>Active</v>
      </c>
      <c r="E138" s="17">
        <f>IFERROR(__xludf.DUMMYFUNCTION("""COMPUTED_VALUE"""),44880.0)</f>
        <v>44880</v>
      </c>
      <c r="F138" s="18"/>
      <c r="G138" s="19">
        <f>IFERROR(__xludf.DUMMYFUNCTION("""COMPUTED_VALUE"""),46.7)</f>
        <v>46.7</v>
      </c>
      <c r="H138" s="17">
        <f>IFERROR(__xludf.DUMMYFUNCTION("""COMPUTED_VALUE"""),44511.0)</f>
        <v>44511</v>
      </c>
      <c r="I138" s="19">
        <f>IFERROR(__xludf.DUMMYFUNCTION("""COMPUTED_VALUE"""),1.011111111111111)</f>
        <v>1.011111111</v>
      </c>
      <c r="J138" s="21">
        <f>IFERROR(__xludf.DUMMYFUNCTION("""COMPUTED_VALUE"""),81.0)</f>
        <v>81</v>
      </c>
      <c r="K138" s="23">
        <f>IFERROR(__xludf.DUMMYFUNCTION("""COMPUTED_VALUE"""),7.6)</f>
        <v>7.6</v>
      </c>
      <c r="L138" s="24">
        <f>IFERROR(__xludf.DUMMYFUNCTION("""COMPUTED_VALUE"""),25.5)</f>
        <v>25.5</v>
      </c>
      <c r="M138" s="25" t="str">
        <f>IFERROR(__xludf.DUMMYFUNCTION("""COMPUTED_VALUE"""),"RPG")</f>
        <v>RPG</v>
      </c>
      <c r="N138" s="25"/>
      <c r="O138" s="25" t="str">
        <f>IFERROR(__xludf.DUMMYFUNCTION("""COMPUTED_VALUE"""),"Yes")</f>
        <v>Yes</v>
      </c>
      <c r="P138" s="26"/>
    </row>
    <row r="139">
      <c r="A139" s="13" t="str">
        <f>IFERROR(__xludf.DUMMYFUNCTION("""COMPUTED_VALUE"""),"Assassin's Creed Origins")</f>
        <v>Assassin's Creed Origins</v>
      </c>
      <c r="B139" s="15" t="str">
        <f>IFERROR(__xludf.DUMMYFUNCTION("""COMPUTED_VALUE"""),"PS4")</f>
        <v>PS4</v>
      </c>
      <c r="C139" s="16" t="str">
        <f>IFERROR(__xludf.DUMMYFUNCTION("""COMPUTED_VALUE"""),"Extra (Ubisoft+ Classics)")</f>
        <v>Extra (Ubisoft+ Classics)</v>
      </c>
      <c r="D139" s="15" t="str">
        <f>IFERROR(__xludf.DUMMYFUNCTION("""COMPUTED_VALUE"""),"Active")</f>
        <v>Active</v>
      </c>
      <c r="E139" s="17">
        <f>IFERROR(__xludf.DUMMYFUNCTION("""COMPUTED_VALUE"""),44824.0)</f>
        <v>44824</v>
      </c>
      <c r="F139" s="54"/>
      <c r="G139" s="19">
        <f>IFERROR(__xludf.DUMMYFUNCTION("""COMPUTED_VALUE"""),48.53333333333333)</f>
        <v>48.53333333</v>
      </c>
      <c r="H139" s="17">
        <f>IFERROR(__xludf.DUMMYFUNCTION("""COMPUTED_VALUE"""),43035.0)</f>
        <v>43035</v>
      </c>
      <c r="I139" s="19">
        <f>IFERROR(__xludf.DUMMYFUNCTION("""COMPUTED_VALUE"""),4.897222222222222)</f>
        <v>4.897222222</v>
      </c>
      <c r="J139" s="21">
        <f>IFERROR(__xludf.DUMMYFUNCTION("""COMPUTED_VALUE"""),81.0)</f>
        <v>81</v>
      </c>
      <c r="K139" s="23">
        <f>IFERROR(__xludf.DUMMYFUNCTION("""COMPUTED_VALUE"""),7.2)</f>
        <v>7.2</v>
      </c>
      <c r="L139" s="24">
        <f>IFERROR(__xludf.DUMMYFUNCTION("""COMPUTED_VALUE"""),30.0)</f>
        <v>30</v>
      </c>
      <c r="M139" s="25" t="str">
        <f>IFERROR(__xludf.DUMMYFUNCTION("""COMPUTED_VALUE"""),"RPG")</f>
        <v>RPG</v>
      </c>
      <c r="N139" s="25"/>
      <c r="O139" s="25" t="str">
        <f>IFERROR(__xludf.DUMMYFUNCTION("""COMPUTED_VALUE"""),"Yes")</f>
        <v>Yes</v>
      </c>
      <c r="P139" s="26"/>
    </row>
    <row r="140">
      <c r="A140" s="13" t="str">
        <f>IFERROR(__xludf.DUMMYFUNCTION("""COMPUTED_VALUE"""),"Observer: System Redux")</f>
        <v>Observer: System Redux</v>
      </c>
      <c r="B140" s="15" t="str">
        <f>IFERROR(__xludf.DUMMYFUNCTION("""COMPUTED_VALUE"""),"PS5/PS4")</f>
        <v>PS5/PS4</v>
      </c>
      <c r="C140" s="16" t="str">
        <f>IFERROR(__xludf.DUMMYFUNCTION("""COMPUTED_VALUE"""),"Extra")</f>
        <v>Extra</v>
      </c>
      <c r="D140" s="15" t="str">
        <f>IFERROR(__xludf.DUMMYFUNCTION("""COMPUTED_VALUE"""),"Active")</f>
        <v>Active</v>
      </c>
      <c r="E140" s="17">
        <f>IFERROR(__xludf.DUMMYFUNCTION("""COMPUTED_VALUE"""),44725.0)</f>
        <v>44725</v>
      </c>
      <c r="F140" s="18"/>
      <c r="G140" s="19">
        <f>IFERROR(__xludf.DUMMYFUNCTION("""COMPUTED_VALUE"""),51.766666666666666)</f>
        <v>51.76666667</v>
      </c>
      <c r="H140" s="17">
        <f>IFERROR(__xludf.DUMMYFUNCTION("""COMPUTED_VALUE"""),44145.0)</f>
        <v>44145</v>
      </c>
      <c r="I140" s="19">
        <f>IFERROR(__xludf.DUMMYFUNCTION("""COMPUTED_VALUE"""),1.5916666666666666)</f>
        <v>1.591666667</v>
      </c>
      <c r="J140" s="21">
        <f>IFERROR(__xludf.DUMMYFUNCTION("""COMPUTED_VALUE"""),81.0)</f>
        <v>81</v>
      </c>
      <c r="K140" s="23">
        <f>IFERROR(__xludf.DUMMYFUNCTION("""COMPUTED_VALUE"""),7.2)</f>
        <v>7.2</v>
      </c>
      <c r="L140" s="24">
        <f>IFERROR(__xludf.DUMMYFUNCTION("""COMPUTED_VALUE"""),7.0)</f>
        <v>7</v>
      </c>
      <c r="M140" s="70" t="str">
        <f>IFERROR(__xludf.DUMMYFUNCTION("""COMPUTED_VALUE"""),"Horror")</f>
        <v>Horror</v>
      </c>
      <c r="N140" s="25"/>
      <c r="O140" s="25" t="str">
        <f>IFERROR(__xludf.DUMMYFUNCTION("""COMPUTED_VALUE"""),"Yes")</f>
        <v>Yes</v>
      </c>
      <c r="P140" s="26"/>
    </row>
    <row r="141">
      <c r="A141" s="13" t="str">
        <f>IFERROR(__xludf.DUMMYFUNCTION("""COMPUTED_VALUE"""),"Gravity Rush 2")</f>
        <v>Gravity Rush 2</v>
      </c>
      <c r="B141" s="15" t="str">
        <f>IFERROR(__xludf.DUMMYFUNCTION("""COMPUTED_VALUE"""),"PS4")</f>
        <v>PS4</v>
      </c>
      <c r="C141" s="16" t="str">
        <f>IFERROR(__xludf.DUMMYFUNCTION("""COMPUTED_VALUE"""),"Extra")</f>
        <v>Extra</v>
      </c>
      <c r="D141" s="15" t="str">
        <f>IFERROR(__xludf.DUMMYFUNCTION("""COMPUTED_VALUE"""),"Active")</f>
        <v>Active</v>
      </c>
      <c r="E141" s="17">
        <f>IFERROR(__xludf.DUMMYFUNCTION("""COMPUTED_VALUE"""),44725.0)</f>
        <v>44725</v>
      </c>
      <c r="F141" s="18"/>
      <c r="G141" s="19">
        <f>IFERROR(__xludf.DUMMYFUNCTION("""COMPUTED_VALUE"""),51.766666666666666)</f>
        <v>51.76666667</v>
      </c>
      <c r="H141" s="17">
        <f>IFERROR(__xludf.DUMMYFUNCTION("""COMPUTED_VALUE"""),42736.0)</f>
        <v>42736</v>
      </c>
      <c r="I141" s="19">
        <f>IFERROR(__xludf.DUMMYFUNCTION("""COMPUTED_VALUE"""),5.45)</f>
        <v>5.45</v>
      </c>
      <c r="J141" s="21">
        <f>IFERROR(__xludf.DUMMYFUNCTION("""COMPUTED_VALUE"""),81.0)</f>
        <v>81</v>
      </c>
      <c r="K141" s="23">
        <f>IFERROR(__xludf.DUMMYFUNCTION("""COMPUTED_VALUE"""),8.0)</f>
        <v>8</v>
      </c>
      <c r="L141" s="24">
        <f>IFERROR(__xludf.DUMMYFUNCTION("""COMPUTED_VALUE"""),9.0)</f>
        <v>9</v>
      </c>
      <c r="M141" s="25" t="str">
        <f>IFERROR(__xludf.DUMMYFUNCTION("""COMPUTED_VALUE"""),"Action-Adventure")</f>
        <v>Action-Adventure</v>
      </c>
      <c r="N141" s="25"/>
      <c r="O141" s="25" t="str">
        <f>IFERROR(__xludf.DUMMYFUNCTION("""COMPUTED_VALUE"""),"Yes")</f>
        <v>Yes</v>
      </c>
      <c r="P141" s="26"/>
    </row>
    <row r="142">
      <c r="A142" s="13" t="str">
        <f>IFERROR(__xludf.DUMMYFUNCTION("""COMPUTED_VALUE"""),"Trackmania Turbo")</f>
        <v>Trackmania Turbo</v>
      </c>
      <c r="B142" s="15" t="str">
        <f>IFERROR(__xludf.DUMMYFUNCTION("""COMPUTED_VALUE"""),"PS4/PSVR")</f>
        <v>PS4/PSVR</v>
      </c>
      <c r="C142" s="16" t="str">
        <f>IFERROR(__xludf.DUMMYFUNCTION("""COMPUTED_VALUE"""),"Extra (Ubisoft+ Classics)")</f>
        <v>Extra (Ubisoft+ Classics)</v>
      </c>
      <c r="D142" s="15" t="str">
        <f>IFERROR(__xludf.DUMMYFUNCTION("""COMPUTED_VALUE"""),"Active")</f>
        <v>Active</v>
      </c>
      <c r="E142" s="17">
        <f>IFERROR(__xludf.DUMMYFUNCTION("""COMPUTED_VALUE"""),44725.0)</f>
        <v>44725</v>
      </c>
      <c r="F142" s="54"/>
      <c r="G142" s="19">
        <f>IFERROR(__xludf.DUMMYFUNCTION("""COMPUTED_VALUE"""),51.766666666666666)</f>
        <v>51.76666667</v>
      </c>
      <c r="H142" s="17">
        <f>IFERROR(__xludf.DUMMYFUNCTION("""COMPUTED_VALUE"""),42451.0)</f>
        <v>42451</v>
      </c>
      <c r="I142" s="19">
        <f>IFERROR(__xludf.DUMMYFUNCTION("""COMPUTED_VALUE"""),6.225)</f>
        <v>6.225</v>
      </c>
      <c r="J142" s="21">
        <f>IFERROR(__xludf.DUMMYFUNCTION("""COMPUTED_VALUE"""),81.0)</f>
        <v>81</v>
      </c>
      <c r="K142" s="23">
        <f>IFERROR(__xludf.DUMMYFUNCTION("""COMPUTED_VALUE"""),7.5)</f>
        <v>7.5</v>
      </c>
      <c r="L142" s="24">
        <f>IFERROR(__xludf.DUMMYFUNCTION("""COMPUTED_VALUE"""),14.0)</f>
        <v>14</v>
      </c>
      <c r="M142" s="25" t="str">
        <f>IFERROR(__xludf.DUMMYFUNCTION("""COMPUTED_VALUE"""),"Racing")</f>
        <v>Racing</v>
      </c>
      <c r="N142" s="25"/>
      <c r="O142" s="25" t="str">
        <f>IFERROR(__xludf.DUMMYFUNCTION("""COMPUTED_VALUE"""),"Yes")</f>
        <v>Yes</v>
      </c>
      <c r="P142" s="26" t="str">
        <f>IFERROR(__xludf.DUMMYFUNCTION("""COMPUTED_VALUE"""),"Yes")</f>
        <v>Yes</v>
      </c>
    </row>
    <row r="143">
      <c r="A143" s="13" t="str">
        <f>IFERROR(__xludf.DUMMYFUNCTION("""COMPUTED_VALUE"""),"Trine 4: The Nightmare Prince")</f>
        <v>Trine 4: The Nightmare Prince</v>
      </c>
      <c r="B143" s="15" t="str">
        <f>IFERROR(__xludf.DUMMYFUNCTION("""COMPUTED_VALUE"""),"PS4")</f>
        <v>PS4</v>
      </c>
      <c r="C143" s="16" t="str">
        <f>IFERROR(__xludf.DUMMYFUNCTION("""COMPUTED_VALUE"""),"Extra")</f>
        <v>Extra</v>
      </c>
      <c r="D143" s="15" t="str">
        <f>IFERROR(__xludf.DUMMYFUNCTION("""COMPUTED_VALUE"""),"Active")</f>
        <v>Active</v>
      </c>
      <c r="E143" s="17">
        <f>IFERROR(__xludf.DUMMYFUNCTION("""COMPUTED_VALUE"""),44110.0)</f>
        <v>44110</v>
      </c>
      <c r="F143" s="54"/>
      <c r="G143" s="19">
        <f>IFERROR(__xludf.DUMMYFUNCTION("""COMPUTED_VALUE"""),72.0)</f>
        <v>72</v>
      </c>
      <c r="H143" s="17">
        <f>IFERROR(__xludf.DUMMYFUNCTION("""COMPUTED_VALUE"""),43746.0)</f>
        <v>43746</v>
      </c>
      <c r="I143" s="19">
        <f>IFERROR(__xludf.DUMMYFUNCTION("""COMPUTED_VALUE"""),0.9944444444444445)</f>
        <v>0.9944444444</v>
      </c>
      <c r="J143" s="21">
        <f>IFERROR(__xludf.DUMMYFUNCTION("""COMPUTED_VALUE"""),81.0)</f>
        <v>81</v>
      </c>
      <c r="K143" s="23">
        <f>IFERROR(__xludf.DUMMYFUNCTION("""COMPUTED_VALUE"""),7.7)</f>
        <v>7.7</v>
      </c>
      <c r="L143" s="24">
        <f>IFERROR(__xludf.DUMMYFUNCTION("""COMPUTED_VALUE"""),10.0)</f>
        <v>10</v>
      </c>
      <c r="M143" s="25" t="str">
        <f>IFERROR(__xludf.DUMMYFUNCTION("""COMPUTED_VALUE"""),"Platformer")</f>
        <v>Platformer</v>
      </c>
      <c r="N143" s="25"/>
      <c r="O143" s="25" t="str">
        <f>IFERROR(__xludf.DUMMYFUNCTION("""COMPUTED_VALUE"""),"Yes")</f>
        <v>Yes</v>
      </c>
      <c r="P143" s="26" t="str">
        <f>IFERROR(__xludf.DUMMYFUNCTION("""COMPUTED_VALUE"""),"Yes")</f>
        <v>Yes</v>
      </c>
    </row>
    <row r="144">
      <c r="A144" s="13" t="str">
        <f>IFERROR(__xludf.DUMMYFUNCTION("""COMPUTED_VALUE"""),"Tearaway Unfolded")</f>
        <v>Tearaway Unfolded</v>
      </c>
      <c r="B144" s="15" t="str">
        <f>IFERROR(__xludf.DUMMYFUNCTION("""COMPUTED_VALUE"""),"PS4")</f>
        <v>PS4</v>
      </c>
      <c r="C144" s="16" t="str">
        <f>IFERROR(__xludf.DUMMYFUNCTION("""COMPUTED_VALUE"""),"Extra")</f>
        <v>Extra</v>
      </c>
      <c r="D144" s="15" t="str">
        <f>IFERROR(__xludf.DUMMYFUNCTION("""COMPUTED_VALUE"""),"Active")</f>
        <v>Active</v>
      </c>
      <c r="E144" s="17">
        <f>IFERROR(__xludf.DUMMYFUNCTION("""COMPUTED_VALUE"""),42922.0)</f>
        <v>42922</v>
      </c>
      <c r="F144" s="54"/>
      <c r="G144" s="19">
        <f>IFERROR(__xludf.DUMMYFUNCTION("""COMPUTED_VALUE"""),111.0)</f>
        <v>111</v>
      </c>
      <c r="H144" s="17">
        <f>IFERROR(__xludf.DUMMYFUNCTION("""COMPUTED_VALUE"""),42255.0)</f>
        <v>42255</v>
      </c>
      <c r="I144" s="19">
        <f>IFERROR(__xludf.DUMMYFUNCTION("""COMPUTED_VALUE"""),1.8277777777777777)</f>
        <v>1.827777778</v>
      </c>
      <c r="J144" s="21">
        <f>IFERROR(__xludf.DUMMYFUNCTION("""COMPUTED_VALUE"""),81.0)</f>
        <v>81</v>
      </c>
      <c r="K144" s="23">
        <f>IFERROR(__xludf.DUMMYFUNCTION("""COMPUTED_VALUE"""),7.8)</f>
        <v>7.8</v>
      </c>
      <c r="L144" s="24">
        <f>IFERROR(__xludf.DUMMYFUNCTION("""COMPUTED_VALUE"""),8.0)</f>
        <v>8</v>
      </c>
      <c r="M144" s="25" t="str">
        <f>IFERROR(__xludf.DUMMYFUNCTION("""COMPUTED_VALUE"""),"Platformer")</f>
        <v>Platformer</v>
      </c>
      <c r="N144" s="25"/>
      <c r="O144" s="25" t="str">
        <f>IFERROR(__xludf.DUMMYFUNCTION("""COMPUTED_VALUE"""),"Yes")</f>
        <v>Yes</v>
      </c>
      <c r="P144" s="26"/>
    </row>
    <row r="145">
      <c r="A145" s="13" t="str">
        <f>IFERROR(__xludf.DUMMYFUNCTION("""COMPUTED_VALUE"""),"Dungeons of Hinterberg")</f>
        <v>Dungeons of Hinterberg</v>
      </c>
      <c r="B145" s="15" t="str">
        <f>IFERROR(__xludf.DUMMYFUNCTION("""COMPUTED_VALUE"""),"PS5/PS4")</f>
        <v>PS5/PS4</v>
      </c>
      <c r="C145" s="16" t="str">
        <f>IFERROR(__xludf.DUMMYFUNCTION("""COMPUTED_VALUE"""),"Extra")</f>
        <v>Extra</v>
      </c>
      <c r="D145" s="15" t="str">
        <f>IFERROR(__xludf.DUMMYFUNCTION("""COMPUTED_VALUE"""),"Active")</f>
        <v>Active</v>
      </c>
      <c r="E145" s="17">
        <f>IFERROR(__xludf.DUMMYFUNCTION("""COMPUTED_VALUE"""),46294.0)</f>
        <v>46294</v>
      </c>
      <c r="F145" s="54"/>
      <c r="G145" s="19">
        <f>IFERROR(__xludf.DUMMYFUNCTION("""COMPUTED_VALUE"""),0.23333333333333334)</f>
        <v>0.2333333333</v>
      </c>
      <c r="H145" s="17">
        <f>IFERROR(__xludf.DUMMYFUNCTION("""COMPUTED_VALUE"""),45491.0)</f>
        <v>45491</v>
      </c>
      <c r="I145" s="19">
        <f>IFERROR(__xludf.DUMMYFUNCTION("""COMPUTED_VALUE"""),2.1972222222222224)</f>
        <v>2.197222222</v>
      </c>
      <c r="J145" s="21">
        <f>IFERROR(__xludf.DUMMYFUNCTION("""COMPUTED_VALUE"""),80.0)</f>
        <v>80</v>
      </c>
      <c r="K145" s="23">
        <f>IFERROR(__xludf.DUMMYFUNCTION("""COMPUTED_VALUE"""),7.7)</f>
        <v>7.7</v>
      </c>
      <c r="L145" s="24">
        <f>IFERROR(__xludf.DUMMYFUNCTION("""COMPUTED_VALUE"""),15.5)</f>
        <v>15.5</v>
      </c>
      <c r="M145" s="25" t="str">
        <f>IFERROR(__xludf.DUMMYFUNCTION("""COMPUTED_VALUE"""),"Action-Adventure")</f>
        <v>Action-Adventure</v>
      </c>
      <c r="N145" s="25"/>
      <c r="O145" s="25"/>
      <c r="P145" s="26"/>
    </row>
    <row r="146">
      <c r="A146" s="13" t="str">
        <f>IFERROR(__xludf.DUMMYFUNCTION("""COMPUTED_VALUE"""),"Sonic X Shadow Generations")</f>
        <v>Sonic X Shadow Generations</v>
      </c>
      <c r="B146" s="15" t="str">
        <f>IFERROR(__xludf.DUMMYFUNCTION("""COMPUTED_VALUE"""),"PS5/PS4")</f>
        <v>PS5/PS4</v>
      </c>
      <c r="C146" s="16" t="str">
        <f>IFERROR(__xludf.DUMMYFUNCTION("""COMPUTED_VALUE"""),"Extra")</f>
        <v>Extra</v>
      </c>
      <c r="D146" s="15" t="str">
        <f>IFERROR(__xludf.DUMMYFUNCTION("""COMPUTED_VALUE"""),"Active")</f>
        <v>Active</v>
      </c>
      <c r="E146" s="17">
        <f>IFERROR(__xludf.DUMMYFUNCTION("""COMPUTED_VALUE"""),46189.0)</f>
        <v>46189</v>
      </c>
      <c r="F146" s="54"/>
      <c r="G146" s="19">
        <f>IFERROR(__xludf.DUMMYFUNCTION("""COMPUTED_VALUE"""),3.666666666666667)</f>
        <v>3.666666667</v>
      </c>
      <c r="H146" s="17">
        <f>IFERROR(__xludf.DUMMYFUNCTION("""COMPUTED_VALUE"""),45590.0)</f>
        <v>45590</v>
      </c>
      <c r="I146" s="19">
        <f>IFERROR(__xludf.DUMMYFUNCTION("""COMPUTED_VALUE"""),1.6416666666666666)</f>
        <v>1.641666667</v>
      </c>
      <c r="J146" s="21">
        <f>IFERROR(__xludf.DUMMYFUNCTION("""COMPUTED_VALUE"""),80.0)</f>
        <v>80</v>
      </c>
      <c r="K146" s="23">
        <f>IFERROR(__xludf.DUMMYFUNCTION("""COMPUTED_VALUE"""),8.9)</f>
        <v>8.9</v>
      </c>
      <c r="L146" s="24">
        <f>IFERROR(__xludf.DUMMYFUNCTION("""COMPUTED_VALUE"""),7.0)</f>
        <v>7</v>
      </c>
      <c r="M146" s="25" t="str">
        <f>IFERROR(__xludf.DUMMYFUNCTION("""COMPUTED_VALUE"""),"Action-Adventure")</f>
        <v>Action-Adventure</v>
      </c>
      <c r="N146" s="25"/>
      <c r="O146" s="25"/>
      <c r="P146" s="26"/>
    </row>
    <row r="147">
      <c r="A147" s="13" t="str">
        <f>IFERROR(__xludf.DUMMYFUNCTION("""COMPUTED_VALUE"""),"Bramble: The Mountain King")</f>
        <v>Bramble: The Mountain King</v>
      </c>
      <c r="B147" s="15" t="str">
        <f>IFERROR(__xludf.DUMMYFUNCTION("""COMPUTED_VALUE"""),"PS5/PS4")</f>
        <v>PS5/PS4</v>
      </c>
      <c r="C147" s="16" t="str">
        <f>IFERROR(__xludf.DUMMYFUNCTION("""COMPUTED_VALUE"""),"Extra")</f>
        <v>Extra</v>
      </c>
      <c r="D147" s="15" t="str">
        <f>IFERROR(__xludf.DUMMYFUNCTION("""COMPUTED_VALUE"""),"Active")</f>
        <v>Active</v>
      </c>
      <c r="E147" s="17">
        <f>IFERROR(__xludf.DUMMYFUNCTION("""COMPUTED_VALUE"""),46161.0)</f>
        <v>46161</v>
      </c>
      <c r="F147" s="54"/>
      <c r="G147" s="19">
        <f>IFERROR(__xludf.DUMMYFUNCTION("""COMPUTED_VALUE"""),4.566666666666666)</f>
        <v>4.566666667</v>
      </c>
      <c r="H147" s="17">
        <f>IFERROR(__xludf.DUMMYFUNCTION("""COMPUTED_VALUE"""),45043.0)</f>
        <v>45043</v>
      </c>
      <c r="I147" s="19">
        <f>IFERROR(__xludf.DUMMYFUNCTION("""COMPUTED_VALUE"""),3.061111111111111)</f>
        <v>3.061111111</v>
      </c>
      <c r="J147" s="21">
        <f>IFERROR(__xludf.DUMMYFUNCTION("""COMPUTED_VALUE"""),80.0)</f>
        <v>80</v>
      </c>
      <c r="K147" s="23">
        <f>IFERROR(__xludf.DUMMYFUNCTION("""COMPUTED_VALUE"""),7.8)</f>
        <v>7.8</v>
      </c>
      <c r="L147" s="24">
        <f>IFERROR(__xludf.DUMMYFUNCTION("""COMPUTED_VALUE"""),4.0)</f>
        <v>4</v>
      </c>
      <c r="M147" s="25" t="str">
        <f>IFERROR(__xludf.DUMMYFUNCTION("""COMPUTED_VALUE"""),"Action-Adventure")</f>
        <v>Action-Adventure</v>
      </c>
      <c r="N147" s="25"/>
      <c r="O147" s="25"/>
      <c r="P147" s="26"/>
    </row>
    <row r="148">
      <c r="A148" s="13" t="str">
        <f>IFERROR(__xludf.DUMMYFUNCTION("""COMPUTED_VALUE"""),"Wo Long: Fallen Dynasty")</f>
        <v>Wo Long: Fallen Dynasty</v>
      </c>
      <c r="B148" s="15" t="str">
        <f>IFERROR(__xludf.DUMMYFUNCTION("""COMPUTED_VALUE"""),"PS5/PS4")</f>
        <v>PS5/PS4</v>
      </c>
      <c r="C148" s="16" t="str">
        <f>IFERROR(__xludf.DUMMYFUNCTION("""COMPUTED_VALUE"""),"Extra")</f>
        <v>Extra</v>
      </c>
      <c r="D148" s="15" t="str">
        <f>IFERROR(__xludf.DUMMYFUNCTION("""COMPUTED_VALUE"""),"Active")</f>
        <v>Active</v>
      </c>
      <c r="E148" s="17">
        <f>IFERROR(__xludf.DUMMYFUNCTION("""COMPUTED_VALUE"""),46007.0)</f>
        <v>46007</v>
      </c>
      <c r="F148" s="54"/>
      <c r="G148" s="19">
        <f>IFERROR(__xludf.DUMMYFUNCTION("""COMPUTED_VALUE"""),9.666666666666668)</f>
        <v>9.666666667</v>
      </c>
      <c r="H148" s="17">
        <f>IFERROR(__xludf.DUMMYFUNCTION("""COMPUTED_VALUE"""),44988.0)</f>
        <v>44988</v>
      </c>
      <c r="I148" s="19">
        <f>IFERROR(__xludf.DUMMYFUNCTION("""COMPUTED_VALUE"""),2.786111111111111)</f>
        <v>2.786111111</v>
      </c>
      <c r="J148" s="21">
        <f>IFERROR(__xludf.DUMMYFUNCTION("""COMPUTED_VALUE"""),80.0)</f>
        <v>80</v>
      </c>
      <c r="K148" s="23">
        <f>IFERROR(__xludf.DUMMYFUNCTION("""COMPUTED_VALUE"""),6.7)</f>
        <v>6.7</v>
      </c>
      <c r="L148" s="24">
        <f>IFERROR(__xludf.DUMMYFUNCTION("""COMPUTED_VALUE"""),30.0)</f>
        <v>30</v>
      </c>
      <c r="M148" s="25" t="str">
        <f>IFERROR(__xludf.DUMMYFUNCTION("""COMPUTED_VALUE"""),"Action-Adventure")</f>
        <v>Action-Adventure</v>
      </c>
      <c r="N148" s="25"/>
      <c r="O148" s="25"/>
      <c r="P148" s="26"/>
    </row>
    <row r="149">
      <c r="A149" s="13" t="str">
        <f>IFERROR(__xludf.DUMMYFUNCTION("""COMPUTED_VALUE"""),"Granblue Fantasy: Relink")</f>
        <v>Granblue Fantasy: Relink</v>
      </c>
      <c r="B149" s="15" t="str">
        <f>IFERROR(__xludf.DUMMYFUNCTION("""COMPUTED_VALUE"""),"PS5/PS4")</f>
        <v>PS5/PS4</v>
      </c>
      <c r="C149" s="16" t="str">
        <f>IFERROR(__xludf.DUMMYFUNCTION("""COMPUTED_VALUE"""),"Extra")</f>
        <v>Extra</v>
      </c>
      <c r="D149" s="15" t="str">
        <f>IFERROR(__xludf.DUMMYFUNCTION("""COMPUTED_VALUE"""),"Active")</f>
        <v>Active</v>
      </c>
      <c r="E149" s="17">
        <f>IFERROR(__xludf.DUMMYFUNCTION("""COMPUTED_VALUE"""),46007.0)</f>
        <v>46007</v>
      </c>
      <c r="F149" s="54"/>
      <c r="G149" s="19">
        <f>IFERROR(__xludf.DUMMYFUNCTION("""COMPUTED_VALUE"""),9.666666666666668)</f>
        <v>9.666666667</v>
      </c>
      <c r="H149" s="17">
        <f>IFERROR(__xludf.DUMMYFUNCTION("""COMPUTED_VALUE"""),45323.0)</f>
        <v>45323</v>
      </c>
      <c r="I149" s="19">
        <f>IFERROR(__xludf.DUMMYFUNCTION("""COMPUTED_VALUE"""),1.875)</f>
        <v>1.875</v>
      </c>
      <c r="J149" s="21">
        <f>IFERROR(__xludf.DUMMYFUNCTION("""COMPUTED_VALUE"""),80.0)</f>
        <v>80</v>
      </c>
      <c r="K149" s="23">
        <f>IFERROR(__xludf.DUMMYFUNCTION("""COMPUTED_VALUE"""),8.3)</f>
        <v>8.3</v>
      </c>
      <c r="L149" s="24">
        <f>IFERROR(__xludf.DUMMYFUNCTION("""COMPUTED_VALUE"""),20.0)</f>
        <v>20</v>
      </c>
      <c r="M149" s="25" t="str">
        <f>IFERROR(__xludf.DUMMYFUNCTION("""COMPUTED_VALUE"""),"Action-Adventure")</f>
        <v>Action-Adventure</v>
      </c>
      <c r="N149" s="25"/>
      <c r="O149" s="25"/>
      <c r="P149" s="26"/>
    </row>
    <row r="150">
      <c r="A150" s="13" t="str">
        <f>IFERROR(__xludf.DUMMYFUNCTION("""COMPUTED_VALUE"""),"Cat Quest III")</f>
        <v>Cat Quest III</v>
      </c>
      <c r="B150" s="15" t="str">
        <f>IFERROR(__xludf.DUMMYFUNCTION("""COMPUTED_VALUE"""),"PS5/PS4")</f>
        <v>PS5/PS4</v>
      </c>
      <c r="C150" s="16" t="str">
        <f>IFERROR(__xludf.DUMMYFUNCTION("""COMPUTED_VALUE"""),"Extra")</f>
        <v>Extra</v>
      </c>
      <c r="D150" s="15" t="str">
        <f>IFERROR(__xludf.DUMMYFUNCTION("""COMPUTED_VALUE"""),"Active")</f>
        <v>Active</v>
      </c>
      <c r="E150" s="17">
        <f>IFERROR(__xludf.DUMMYFUNCTION("""COMPUTED_VALUE"""),46007.0)</f>
        <v>46007</v>
      </c>
      <c r="F150" s="54"/>
      <c r="G150" s="19">
        <f>IFERROR(__xludf.DUMMYFUNCTION("""COMPUTED_VALUE"""),9.666666666666668)</f>
        <v>9.666666667</v>
      </c>
      <c r="H150" s="17">
        <f>IFERROR(__xludf.DUMMYFUNCTION("""COMPUTED_VALUE"""),45512.0)</f>
        <v>45512</v>
      </c>
      <c r="I150" s="19">
        <f>IFERROR(__xludf.DUMMYFUNCTION("""COMPUTED_VALUE"""),1.3555555555555556)</f>
        <v>1.355555556</v>
      </c>
      <c r="J150" s="21">
        <f>IFERROR(__xludf.DUMMYFUNCTION("""COMPUTED_VALUE"""),80.0)</f>
        <v>80</v>
      </c>
      <c r="K150" s="23">
        <f>IFERROR(__xludf.DUMMYFUNCTION("""COMPUTED_VALUE"""),8.0)</f>
        <v>8</v>
      </c>
      <c r="L150" s="24">
        <f>IFERROR(__xludf.DUMMYFUNCTION("""COMPUTED_VALUE"""),10.0)</f>
        <v>10</v>
      </c>
      <c r="M150" s="25" t="str">
        <f>IFERROR(__xludf.DUMMYFUNCTION("""COMPUTED_VALUE"""),"RPG")</f>
        <v>RPG</v>
      </c>
      <c r="N150" s="25"/>
      <c r="O150" s="25"/>
      <c r="P150" s="26"/>
    </row>
    <row r="151">
      <c r="A151" s="13" t="str">
        <f>IFERROR(__xludf.DUMMYFUNCTION("""COMPUTED_VALUE"""),"Pacific Drive")</f>
        <v>Pacific Drive</v>
      </c>
      <c r="B151" s="15" t="str">
        <f>IFERROR(__xludf.DUMMYFUNCTION("""COMPUTED_VALUE"""),"PS5")</f>
        <v>PS5</v>
      </c>
      <c r="C151" s="16" t="str">
        <f>IFERROR(__xludf.DUMMYFUNCTION("""COMPUTED_VALUE"""),"Extra")</f>
        <v>Extra</v>
      </c>
      <c r="D151" s="15" t="str">
        <f>IFERROR(__xludf.DUMMYFUNCTION("""COMPUTED_VALUE"""),"Active")</f>
        <v>Active</v>
      </c>
      <c r="E151" s="17">
        <f>IFERROR(__xludf.DUMMYFUNCTION("""COMPUTED_VALUE"""),45979.0)</f>
        <v>45979</v>
      </c>
      <c r="F151" s="54"/>
      <c r="G151" s="19">
        <f>IFERROR(__xludf.DUMMYFUNCTION("""COMPUTED_VALUE"""),10.6)</f>
        <v>10.6</v>
      </c>
      <c r="H151" s="17">
        <f>IFERROR(__xludf.DUMMYFUNCTION("""COMPUTED_VALUE"""),45343.0)</f>
        <v>45343</v>
      </c>
      <c r="I151" s="19">
        <f>IFERROR(__xludf.DUMMYFUNCTION("""COMPUTED_VALUE"""),1.7416666666666667)</f>
        <v>1.741666667</v>
      </c>
      <c r="J151" s="21">
        <f>IFERROR(__xludf.DUMMYFUNCTION("""COMPUTED_VALUE"""),80.0)</f>
        <v>80</v>
      </c>
      <c r="K151" s="23">
        <f>IFERROR(__xludf.DUMMYFUNCTION("""COMPUTED_VALUE"""),6.2)</f>
        <v>6.2</v>
      </c>
      <c r="L151" s="24" t="str">
        <f>IFERROR(__xludf.DUMMYFUNCTION("""COMPUTED_VALUE"""),"30")</f>
        <v>30</v>
      </c>
      <c r="M151" s="25" t="str">
        <f>IFERROR(__xludf.DUMMYFUNCTION("""COMPUTED_VALUE"""),"Survival")</f>
        <v>Survival</v>
      </c>
      <c r="N151" s="25"/>
      <c r="O151" s="25" t="str">
        <f>IFERROR(__xludf.DUMMYFUNCTION("""COMPUTED_VALUE"""),"No")</f>
        <v>No</v>
      </c>
      <c r="P151" s="26"/>
    </row>
    <row r="152">
      <c r="A152" s="13" t="str">
        <f>IFERROR(__xludf.DUMMYFUNCTION("""COMPUTED_VALUE"""),"Conscript")</f>
        <v>Conscript</v>
      </c>
      <c r="B152" s="15" t="str">
        <f>IFERROR(__xludf.DUMMYFUNCTION("""COMPUTED_VALUE"""),"PS5")</f>
        <v>PS5</v>
      </c>
      <c r="C152" s="16" t="str">
        <f>IFERROR(__xludf.DUMMYFUNCTION("""COMPUTED_VALUE"""),"Extra")</f>
        <v>Extra</v>
      </c>
      <c r="D152" s="15" t="str">
        <f>IFERROR(__xludf.DUMMYFUNCTION("""COMPUTED_VALUE"""),"Active")</f>
        <v>Active</v>
      </c>
      <c r="E152" s="17">
        <f>IFERROR(__xludf.DUMMYFUNCTION("""COMPUTED_VALUE"""),45916.0)</f>
        <v>45916</v>
      </c>
      <c r="F152" s="54"/>
      <c r="G152" s="19">
        <f>IFERROR(__xludf.DUMMYFUNCTION("""COMPUTED_VALUE"""),12.666666666666668)</f>
        <v>12.66666667</v>
      </c>
      <c r="H152" s="17">
        <f>IFERROR(__xludf.DUMMYFUNCTION("""COMPUTED_VALUE"""),45496.0)</f>
        <v>45496</v>
      </c>
      <c r="I152" s="19">
        <f>IFERROR(__xludf.DUMMYFUNCTION("""COMPUTED_VALUE"""),1.1472222222222221)</f>
        <v>1.147222222</v>
      </c>
      <c r="J152" s="21">
        <f>IFERROR(__xludf.DUMMYFUNCTION("""COMPUTED_VALUE"""),80.0)</f>
        <v>80</v>
      </c>
      <c r="K152" s="23">
        <f>IFERROR(__xludf.DUMMYFUNCTION("""COMPUTED_VALUE"""),8.3)</f>
        <v>8.3</v>
      </c>
      <c r="L152" s="24">
        <f>IFERROR(__xludf.DUMMYFUNCTION("""COMPUTED_VALUE"""),12.0)</f>
        <v>12</v>
      </c>
      <c r="M152" s="25" t="str">
        <f>IFERROR(__xludf.DUMMYFUNCTION("""COMPUTED_VALUE"""),"Survival")</f>
        <v>Survival</v>
      </c>
      <c r="N152" s="25"/>
      <c r="O152" s="25" t="str">
        <f>IFERROR(__xludf.DUMMYFUNCTION("""COMPUTED_VALUE"""),"No")</f>
        <v>No</v>
      </c>
      <c r="P152" s="26"/>
    </row>
    <row r="153">
      <c r="A153" s="13" t="str">
        <f>IFERROR(__xludf.DUMMYFUNCTION("""COMPUTED_VALUE"""),"The Rogue Prince of Persia")</f>
        <v>The Rogue Prince of Persia</v>
      </c>
      <c r="B153" s="15" t="str">
        <f>IFERROR(__xludf.DUMMYFUNCTION("""COMPUTED_VALUE"""),"PS5/PS4")</f>
        <v>PS5/PS4</v>
      </c>
      <c r="C153" s="16" t="str">
        <f>IFERROR(__xludf.DUMMYFUNCTION("""COMPUTED_VALUE"""),"Extra")</f>
        <v>Extra</v>
      </c>
      <c r="D153" s="15" t="str">
        <f>IFERROR(__xludf.DUMMYFUNCTION("""COMPUTED_VALUE"""),"Active")</f>
        <v>Active</v>
      </c>
      <c r="E153" s="17">
        <f>IFERROR(__xludf.DUMMYFUNCTION("""COMPUTED_VALUE"""),45889.0)</f>
        <v>45889</v>
      </c>
      <c r="F153" s="54"/>
      <c r="G153" s="19">
        <f>IFERROR(__xludf.DUMMYFUNCTION("""COMPUTED_VALUE"""),13.533333333333333)</f>
        <v>13.53333333</v>
      </c>
      <c r="H153" s="17">
        <f>IFERROR(__xludf.DUMMYFUNCTION("""COMPUTED_VALUE"""),45889.0)</f>
        <v>45889</v>
      </c>
      <c r="I153" s="19">
        <f>IFERROR(__xludf.DUMMYFUNCTION("""COMPUTED_VALUE"""),0.0)</f>
        <v>0</v>
      </c>
      <c r="J153" s="21">
        <f>IFERROR(__xludf.DUMMYFUNCTION("""COMPUTED_VALUE"""),80.0)</f>
        <v>80</v>
      </c>
      <c r="K153" s="23">
        <f>IFERROR(__xludf.DUMMYFUNCTION("""COMPUTED_VALUE"""),7.4)</f>
        <v>7.4</v>
      </c>
      <c r="L153" s="24">
        <f>IFERROR(__xludf.DUMMYFUNCTION("""COMPUTED_VALUE"""),10.0)</f>
        <v>10</v>
      </c>
      <c r="M153" s="25" t="str">
        <f>IFERROR(__xludf.DUMMYFUNCTION("""COMPUTED_VALUE"""),"Platformer")</f>
        <v>Platformer</v>
      </c>
      <c r="N153" s="25"/>
      <c r="O153" s="25"/>
      <c r="P153" s="26"/>
    </row>
    <row r="154">
      <c r="A154" s="13" t="str">
        <f>IFERROR(__xludf.DUMMYFUNCTION("""COMPUTED_VALUE"""),"INDIKA")</f>
        <v>INDIKA</v>
      </c>
      <c r="B154" s="15" t="str">
        <f>IFERROR(__xludf.DUMMYFUNCTION("""COMPUTED_VALUE"""),"PS5")</f>
        <v>PS5</v>
      </c>
      <c r="C154" s="16" t="str">
        <f>IFERROR(__xludf.DUMMYFUNCTION("""COMPUTED_VALUE"""),"Extra")</f>
        <v>Extra</v>
      </c>
      <c r="D154" s="15" t="str">
        <f>IFERROR(__xludf.DUMMYFUNCTION("""COMPUTED_VALUE"""),"Active")</f>
        <v>Active</v>
      </c>
      <c r="E154" s="17">
        <f>IFERROR(__xludf.DUMMYFUNCTION("""COMPUTED_VALUE"""),45888.0)</f>
        <v>45888</v>
      </c>
      <c r="F154" s="54"/>
      <c r="G154" s="19">
        <f>IFERROR(__xludf.DUMMYFUNCTION("""COMPUTED_VALUE"""),13.566666666666666)</f>
        <v>13.56666667</v>
      </c>
      <c r="H154" s="17">
        <f>IFERROR(__xludf.DUMMYFUNCTION("""COMPUTED_VALUE"""),45414.0)</f>
        <v>45414</v>
      </c>
      <c r="I154" s="19">
        <f>IFERROR(__xludf.DUMMYFUNCTION("""COMPUTED_VALUE"""),1.2972222222222223)</f>
        <v>1.297222222</v>
      </c>
      <c r="J154" s="21">
        <f>IFERROR(__xludf.DUMMYFUNCTION("""COMPUTED_VALUE"""),80.0)</f>
        <v>80</v>
      </c>
      <c r="K154" s="23">
        <f>IFERROR(__xludf.DUMMYFUNCTION("""COMPUTED_VALUE"""),7.1)</f>
        <v>7.1</v>
      </c>
      <c r="L154" s="24">
        <f>IFERROR(__xludf.DUMMYFUNCTION("""COMPUTED_VALUE"""),4.0)</f>
        <v>4</v>
      </c>
      <c r="M154" s="25" t="str">
        <f>IFERROR(__xludf.DUMMYFUNCTION("""COMPUTED_VALUE"""),"Action-Adventure")</f>
        <v>Action-Adventure</v>
      </c>
      <c r="N154" s="25"/>
      <c r="O154" s="25" t="str">
        <f>IFERROR(__xludf.DUMMYFUNCTION("""COMPUTED_VALUE"""),"No")</f>
        <v>No</v>
      </c>
      <c r="P154" s="26"/>
    </row>
    <row r="155">
      <c r="A155" s="13" t="str">
        <f>IFERROR(__xludf.DUMMYFUNCTION("""COMPUTED_VALUE"""),"Five Nights at Freddy's: Help Wanted 2")</f>
        <v>Five Nights at Freddy's: Help Wanted 2</v>
      </c>
      <c r="B155" s="15" t="str">
        <f>IFERROR(__xludf.DUMMYFUNCTION("""COMPUTED_VALUE"""),"PS5")</f>
        <v>PS5</v>
      </c>
      <c r="C155" s="16" t="str">
        <f>IFERROR(__xludf.DUMMYFUNCTION("""COMPUTED_VALUE"""),"Extra")</f>
        <v>Extra</v>
      </c>
      <c r="D155" s="15" t="str">
        <f>IFERROR(__xludf.DUMMYFUNCTION("""COMPUTED_VALUE"""),"Active")</f>
        <v>Active</v>
      </c>
      <c r="E155" s="17">
        <f>IFERROR(__xludf.DUMMYFUNCTION("""COMPUTED_VALUE"""),45825.0)</f>
        <v>45825</v>
      </c>
      <c r="F155" s="54"/>
      <c r="G155" s="19">
        <f>IFERROR(__xludf.DUMMYFUNCTION("""COMPUTED_VALUE"""),15.633333333333333)</f>
        <v>15.63333333</v>
      </c>
      <c r="H155" s="17">
        <f>IFERROR(__xludf.DUMMYFUNCTION("""COMPUTED_VALUE"""),43613.0)</f>
        <v>43613</v>
      </c>
      <c r="I155" s="19">
        <f>IFERROR(__xludf.DUMMYFUNCTION("""COMPUTED_VALUE"""),6.052777777777778)</f>
        <v>6.052777778</v>
      </c>
      <c r="J155" s="21">
        <f>IFERROR(__xludf.DUMMYFUNCTION("""COMPUTED_VALUE"""),80.0)</f>
        <v>80</v>
      </c>
      <c r="K155" s="23">
        <f>IFERROR(__xludf.DUMMYFUNCTION("""COMPUTED_VALUE"""),8.2)</f>
        <v>8.2</v>
      </c>
      <c r="L155" s="24">
        <f>IFERROR(__xludf.DUMMYFUNCTION("""COMPUTED_VALUE"""),9.0)</f>
        <v>9</v>
      </c>
      <c r="M155" s="25" t="str">
        <f>IFERROR(__xludf.DUMMYFUNCTION("""COMPUTED_VALUE"""),"Survival")</f>
        <v>Survival</v>
      </c>
      <c r="N155" s="25"/>
      <c r="O155" s="25" t="str">
        <f>IFERROR(__xludf.DUMMYFUNCTION("""COMPUTED_VALUE"""),"No")</f>
        <v>No</v>
      </c>
      <c r="P155" s="26"/>
    </row>
    <row r="156">
      <c r="A156" s="13" t="str">
        <f>IFERROR(__xludf.DUMMYFUNCTION("""COMPUTED_VALUE"""),"Five Nights at Freddy's: Help Wanted - Full Time Edition")</f>
        <v>Five Nights at Freddy's: Help Wanted - Full Time Edition</v>
      </c>
      <c r="B156" s="15" t="str">
        <f>IFERROR(__xludf.DUMMYFUNCTION("""COMPUTED_VALUE"""),"PS5/PS4")</f>
        <v>PS5/PS4</v>
      </c>
      <c r="C156" s="16" t="str">
        <f>IFERROR(__xludf.DUMMYFUNCTION("""COMPUTED_VALUE"""),"Extra")</f>
        <v>Extra</v>
      </c>
      <c r="D156" s="15" t="str">
        <f>IFERROR(__xludf.DUMMYFUNCTION("""COMPUTED_VALUE"""),"Active")</f>
        <v>Active</v>
      </c>
      <c r="E156" s="17">
        <f>IFERROR(__xludf.DUMMYFUNCTION("""COMPUTED_VALUE"""),45797.0)</f>
        <v>45797</v>
      </c>
      <c r="F156" s="54"/>
      <c r="G156" s="19">
        <f>IFERROR(__xludf.DUMMYFUNCTION("""COMPUTED_VALUE"""),16.53333333333333)</f>
        <v>16.53333333</v>
      </c>
      <c r="H156" s="17">
        <f>IFERROR(__xludf.DUMMYFUNCTION("""COMPUTED_VALUE"""),43613.0)</f>
        <v>43613</v>
      </c>
      <c r="I156" s="19">
        <f>IFERROR(__xludf.DUMMYFUNCTION("""COMPUTED_VALUE"""),5.977777777777778)</f>
        <v>5.977777778</v>
      </c>
      <c r="J156" s="21">
        <f>IFERROR(__xludf.DUMMYFUNCTION("""COMPUTED_VALUE"""),80.0)</f>
        <v>80</v>
      </c>
      <c r="K156" s="23">
        <f>IFERROR(__xludf.DUMMYFUNCTION("""COMPUTED_VALUE"""),8.2)</f>
        <v>8.2</v>
      </c>
      <c r="L156" s="24">
        <f>IFERROR(__xludf.DUMMYFUNCTION("""COMPUTED_VALUE"""),12.0)</f>
        <v>12</v>
      </c>
      <c r="M156" s="25" t="str">
        <f>IFERROR(__xludf.DUMMYFUNCTION("""COMPUTED_VALUE"""),"Survival")</f>
        <v>Survival</v>
      </c>
      <c r="N156" s="25"/>
      <c r="O156" s="25"/>
      <c r="P156" s="26"/>
    </row>
    <row r="157">
      <c r="A157" s="13" t="str">
        <f>IFERROR(__xludf.DUMMYFUNCTION("""COMPUTED_VALUE"""),"Atlas Fallen: Reign Of Sand")</f>
        <v>Atlas Fallen: Reign Of Sand</v>
      </c>
      <c r="B157" s="15" t="str">
        <f>IFERROR(__xludf.DUMMYFUNCTION("""COMPUTED_VALUE"""),"PS5")</f>
        <v>PS5</v>
      </c>
      <c r="C157" s="16" t="str">
        <f>IFERROR(__xludf.DUMMYFUNCTION("""COMPUTED_VALUE"""),"Extra")</f>
        <v>Extra</v>
      </c>
      <c r="D157" s="15" t="str">
        <f>IFERROR(__xludf.DUMMYFUNCTION("""COMPUTED_VALUE"""),"Active")</f>
        <v>Active</v>
      </c>
      <c r="E157" s="17">
        <f>IFERROR(__xludf.DUMMYFUNCTION("""COMPUTED_VALUE"""),45678.0)</f>
        <v>45678</v>
      </c>
      <c r="F157" s="18"/>
      <c r="G157" s="19">
        <f>IFERROR(__xludf.DUMMYFUNCTION("""COMPUTED_VALUE"""),20.5)</f>
        <v>20.5</v>
      </c>
      <c r="H157" s="17">
        <f>IFERROR(__xludf.DUMMYFUNCTION("""COMPUTED_VALUE"""),45510.0)</f>
        <v>45510</v>
      </c>
      <c r="I157" s="19">
        <f>IFERROR(__xludf.DUMMYFUNCTION("""COMPUTED_VALUE"""),0.4583333333333333)</f>
        <v>0.4583333333</v>
      </c>
      <c r="J157" s="21">
        <f>IFERROR(__xludf.DUMMYFUNCTION("""COMPUTED_VALUE"""),80.0)</f>
        <v>80</v>
      </c>
      <c r="K157" s="23">
        <f>IFERROR(__xludf.DUMMYFUNCTION("""COMPUTED_VALUE"""),7.1)</f>
        <v>7.1</v>
      </c>
      <c r="L157" s="24">
        <f>IFERROR(__xludf.DUMMYFUNCTION("""COMPUTED_VALUE"""),11.0)</f>
        <v>11</v>
      </c>
      <c r="M157" s="25" t="str">
        <f>IFERROR(__xludf.DUMMYFUNCTION("""COMPUTED_VALUE"""),"RPG")</f>
        <v>RPG</v>
      </c>
      <c r="N157" s="25"/>
      <c r="O157" s="25" t="str">
        <f>IFERROR(__xludf.DUMMYFUNCTION("""COMPUTED_VALUE"""),"No")</f>
        <v>No</v>
      </c>
      <c r="P157" s="26"/>
    </row>
    <row r="158">
      <c r="A158" s="13" t="str">
        <f>IFERROR(__xludf.DUMMYFUNCTION("""COMPUTED_VALUE"""),"DREDGE")</f>
        <v>DREDGE</v>
      </c>
      <c r="B158" s="15" t="str">
        <f>IFERROR(__xludf.DUMMYFUNCTION("""COMPUTED_VALUE"""),"PS5")</f>
        <v>PS5</v>
      </c>
      <c r="C158" s="16" t="str">
        <f>IFERROR(__xludf.DUMMYFUNCTION("""COMPUTED_VALUE"""),"Extra")</f>
        <v>Extra</v>
      </c>
      <c r="D158" s="15" t="str">
        <f>IFERROR(__xludf.DUMMYFUNCTION("""COMPUTED_VALUE"""),"Active")</f>
        <v>Active</v>
      </c>
      <c r="E158" s="17">
        <f>IFERROR(__xludf.DUMMYFUNCTION("""COMPUTED_VALUE"""),45441.0)</f>
        <v>45441</v>
      </c>
      <c r="F158" s="54"/>
      <c r="G158" s="19">
        <f>IFERROR(__xludf.DUMMYFUNCTION("""COMPUTED_VALUE"""),28.233333333333334)</f>
        <v>28.23333333</v>
      </c>
      <c r="H158" s="17">
        <f>IFERROR(__xludf.DUMMYFUNCTION("""COMPUTED_VALUE"""),45015.0)</f>
        <v>45015</v>
      </c>
      <c r="I158" s="19">
        <f>IFERROR(__xludf.DUMMYFUNCTION("""COMPUTED_VALUE"""),1.163888888888889)</f>
        <v>1.163888889</v>
      </c>
      <c r="J158" s="21">
        <f>IFERROR(__xludf.DUMMYFUNCTION("""COMPUTED_VALUE"""),80.0)</f>
        <v>80</v>
      </c>
      <c r="K158" s="23">
        <f>IFERROR(__xludf.DUMMYFUNCTION("""COMPUTED_VALUE"""),8.0)</f>
        <v>8</v>
      </c>
      <c r="L158" s="24">
        <f>IFERROR(__xludf.DUMMYFUNCTION("""COMPUTED_VALUE"""),10.0)</f>
        <v>10</v>
      </c>
      <c r="M158" s="25" t="str">
        <f>IFERROR(__xludf.DUMMYFUNCTION("""COMPUTED_VALUE"""),"Action-Adventure")</f>
        <v>Action-Adventure</v>
      </c>
      <c r="N158" s="25"/>
      <c r="O158" s="25" t="str">
        <f>IFERROR(__xludf.DUMMYFUNCTION("""COMPUTED_VALUE"""),"Portal (PS5 + Premium)")</f>
        <v>Portal (PS5 + Premium)</v>
      </c>
      <c r="P158" s="26"/>
    </row>
    <row r="159">
      <c r="A159" s="13" t="str">
        <f>IFERROR(__xludf.DUMMYFUNCTION("""COMPUTED_VALUE"""),"Watch Dogs")</f>
        <v>Watch Dogs</v>
      </c>
      <c r="B159" s="15" t="str">
        <f>IFERROR(__xludf.DUMMYFUNCTION("""COMPUTED_VALUE"""),"PS4")</f>
        <v>PS4</v>
      </c>
      <c r="C159" s="16" t="str">
        <f>IFERROR(__xludf.DUMMYFUNCTION("""COMPUTED_VALUE"""),"Extra (Ubisoft+ Classics)")</f>
        <v>Extra (Ubisoft+ Classics)</v>
      </c>
      <c r="D159" s="15" t="str">
        <f>IFERROR(__xludf.DUMMYFUNCTION("""COMPUTED_VALUE"""),"Active")</f>
        <v>Active</v>
      </c>
      <c r="E159" s="17">
        <f>IFERROR(__xludf.DUMMYFUNCTION("""COMPUTED_VALUE"""),45433.0)</f>
        <v>45433</v>
      </c>
      <c r="F159" s="18"/>
      <c r="G159" s="19">
        <f>IFERROR(__xludf.DUMMYFUNCTION("""COMPUTED_VALUE"""),28.5)</f>
        <v>28.5</v>
      </c>
      <c r="H159" s="17">
        <f>IFERROR(__xludf.DUMMYFUNCTION("""COMPUTED_VALUE"""),41786.0)</f>
        <v>41786</v>
      </c>
      <c r="I159" s="19">
        <f>IFERROR(__xludf.DUMMYFUNCTION("""COMPUTED_VALUE"""),9.983333333333333)</f>
        <v>9.983333333</v>
      </c>
      <c r="J159" s="21">
        <f>IFERROR(__xludf.DUMMYFUNCTION("""COMPUTED_VALUE"""),80.0)</f>
        <v>80</v>
      </c>
      <c r="K159" s="23">
        <f>IFERROR(__xludf.DUMMYFUNCTION("""COMPUTED_VALUE"""),6.8)</f>
        <v>6.8</v>
      </c>
      <c r="L159" s="24">
        <f>IFERROR(__xludf.DUMMYFUNCTION("""COMPUTED_VALUE"""),20.0)</f>
        <v>20</v>
      </c>
      <c r="M159" s="25" t="str">
        <f>IFERROR(__xludf.DUMMYFUNCTION("""COMPUTED_VALUE"""),"Action-Adventure")</f>
        <v>Action-Adventure</v>
      </c>
      <c r="N159" s="25"/>
      <c r="O159" s="25" t="str">
        <f>IFERROR(__xludf.DUMMYFUNCTION("""COMPUTED_VALUE"""),"Yes")</f>
        <v>Yes</v>
      </c>
      <c r="P159" s="26"/>
    </row>
    <row r="160">
      <c r="A160" s="13" t="str">
        <f>IFERROR(__xludf.DUMMYFUNCTION("""COMPUTED_VALUE"""),"Assassin's Creed Valhalla")</f>
        <v>Assassin's Creed Valhalla</v>
      </c>
      <c r="B160" s="15" t="str">
        <f>IFERROR(__xludf.DUMMYFUNCTION("""COMPUTED_VALUE"""),"PS5/PS4")</f>
        <v>PS5/PS4</v>
      </c>
      <c r="C160" s="16" t="str">
        <f>IFERROR(__xludf.DUMMYFUNCTION("""COMPUTED_VALUE"""),"Extra (Ubisoft+ Classics)")</f>
        <v>Extra (Ubisoft+ Classics)</v>
      </c>
      <c r="D160" s="15" t="str">
        <f>IFERROR(__xludf.DUMMYFUNCTION("""COMPUTED_VALUE"""),"Active")</f>
        <v>Active</v>
      </c>
      <c r="E160" s="17">
        <f>IFERROR(__xludf.DUMMYFUNCTION("""COMPUTED_VALUE"""),45342.0)</f>
        <v>45342</v>
      </c>
      <c r="F160" s="54"/>
      <c r="G160" s="19">
        <f>IFERROR(__xludf.DUMMYFUNCTION("""COMPUTED_VALUE"""),31.53333333333333)</f>
        <v>31.53333333</v>
      </c>
      <c r="H160" s="17">
        <f>IFERROR(__xludf.DUMMYFUNCTION("""COMPUTED_VALUE"""),44145.0)</f>
        <v>44145</v>
      </c>
      <c r="I160" s="19">
        <f>IFERROR(__xludf.DUMMYFUNCTION("""COMPUTED_VALUE"""),3.2777777777777777)</f>
        <v>3.277777778</v>
      </c>
      <c r="J160" s="21">
        <f>IFERROR(__xludf.DUMMYFUNCTION("""COMPUTED_VALUE"""),80.0)</f>
        <v>80</v>
      </c>
      <c r="K160" s="23">
        <f>IFERROR(__xludf.DUMMYFUNCTION("""COMPUTED_VALUE"""),7.2)</f>
        <v>7.2</v>
      </c>
      <c r="L160" s="24">
        <f>IFERROR(__xludf.DUMMYFUNCTION("""COMPUTED_VALUE"""),61.0)</f>
        <v>61</v>
      </c>
      <c r="M160" s="25" t="str">
        <f>IFERROR(__xludf.DUMMYFUNCTION("""COMPUTED_VALUE"""),"RPG")</f>
        <v>RPG</v>
      </c>
      <c r="N160" s="25"/>
      <c r="O160" s="25" t="str">
        <f>IFERROR(__xludf.DUMMYFUNCTION("""COMPUTED_VALUE"""),"Yes")</f>
        <v>Yes</v>
      </c>
      <c r="P160" s="26"/>
    </row>
    <row r="161">
      <c r="A161" s="13" t="str">
        <f>IFERROR(__xludf.DUMMYFUNCTION("""COMPUTED_VALUE"""),"LEGO City Undercover")</f>
        <v>LEGO City Undercover</v>
      </c>
      <c r="B161" s="15" t="str">
        <f>IFERROR(__xludf.DUMMYFUNCTION("""COMPUTED_VALUE"""),"PS4")</f>
        <v>PS4</v>
      </c>
      <c r="C161" s="16" t="str">
        <f>IFERROR(__xludf.DUMMYFUNCTION("""COMPUTED_VALUE"""),"Extra")</f>
        <v>Extra</v>
      </c>
      <c r="D161" s="15" t="str">
        <f>IFERROR(__xludf.DUMMYFUNCTION("""COMPUTED_VALUE"""),"Active")</f>
        <v>Active</v>
      </c>
      <c r="E161" s="17">
        <f>IFERROR(__xludf.DUMMYFUNCTION("""COMPUTED_VALUE"""),45307.0)</f>
        <v>45307</v>
      </c>
      <c r="F161" s="54"/>
      <c r="G161" s="19">
        <f>IFERROR(__xludf.DUMMYFUNCTION("""COMPUTED_VALUE"""),32.66666666666667)</f>
        <v>32.66666667</v>
      </c>
      <c r="H161" s="17">
        <f>IFERROR(__xludf.DUMMYFUNCTION("""COMPUTED_VALUE"""),41351.0)</f>
        <v>41351</v>
      </c>
      <c r="I161" s="19">
        <f>IFERROR(__xludf.DUMMYFUNCTION("""COMPUTED_VALUE"""),10.827777777777778)</f>
        <v>10.82777778</v>
      </c>
      <c r="J161" s="21">
        <f>IFERROR(__xludf.DUMMYFUNCTION("""COMPUTED_VALUE"""),80.0)</f>
        <v>80</v>
      </c>
      <c r="K161" s="23">
        <f>IFERROR(__xludf.DUMMYFUNCTION("""COMPUTED_VALUE"""),8.3)</f>
        <v>8.3</v>
      </c>
      <c r="L161" s="24">
        <f>IFERROR(__xludf.DUMMYFUNCTION("""COMPUTED_VALUE"""),16.0)</f>
        <v>16</v>
      </c>
      <c r="M161" s="25" t="str">
        <f>IFERROR(__xludf.DUMMYFUNCTION("""COMPUTED_VALUE"""),"Action-Adventure")</f>
        <v>Action-Adventure</v>
      </c>
      <c r="N161" s="25"/>
      <c r="O161" s="25" t="str">
        <f>IFERROR(__xludf.DUMMYFUNCTION("""COMPUTED_VALUE"""),"Yes")</f>
        <v>Yes</v>
      </c>
      <c r="P161" s="26"/>
    </row>
    <row r="162">
      <c r="A162" s="13" t="str">
        <f>IFERROR(__xludf.DUMMYFUNCTION("""COMPUTED_VALUE"""),"My Friend Peppa Pig")</f>
        <v>My Friend Peppa Pig</v>
      </c>
      <c r="B162" s="15" t="str">
        <f>IFERROR(__xludf.DUMMYFUNCTION("""COMPUTED_VALUE"""),"PS5/PS4")</f>
        <v>PS5/PS4</v>
      </c>
      <c r="C162" s="16" t="str">
        <f>IFERROR(__xludf.DUMMYFUNCTION("""COMPUTED_VALUE"""),"Extra")</f>
        <v>Extra</v>
      </c>
      <c r="D162" s="15" t="str">
        <f>IFERROR(__xludf.DUMMYFUNCTION("""COMPUTED_VALUE"""),"Active")</f>
        <v>Active</v>
      </c>
      <c r="E162" s="17">
        <f>IFERROR(__xludf.DUMMYFUNCTION("""COMPUTED_VALUE"""),45097.0)</f>
        <v>45097</v>
      </c>
      <c r="F162" s="54"/>
      <c r="G162" s="19">
        <f>IFERROR(__xludf.DUMMYFUNCTION("""COMPUTED_VALUE"""),39.53333333333333)</f>
        <v>39.53333333</v>
      </c>
      <c r="H162" s="17">
        <f>IFERROR(__xludf.DUMMYFUNCTION("""COMPUTED_VALUE"""),44491.0)</f>
        <v>44491</v>
      </c>
      <c r="I162" s="19">
        <f>IFERROR(__xludf.DUMMYFUNCTION("""COMPUTED_VALUE"""),1.6611111111111112)</f>
        <v>1.661111111</v>
      </c>
      <c r="J162" s="21">
        <f>IFERROR(__xludf.DUMMYFUNCTION("""COMPUTED_VALUE"""),80.0)</f>
        <v>80</v>
      </c>
      <c r="K162" s="23">
        <f>IFERROR(__xludf.DUMMYFUNCTION("""COMPUTED_VALUE"""),8.7)</f>
        <v>8.7</v>
      </c>
      <c r="L162" s="24">
        <f>IFERROR(__xludf.DUMMYFUNCTION("""COMPUTED_VALUE"""),1.0)</f>
        <v>1</v>
      </c>
      <c r="M162" s="25" t="str">
        <f>IFERROR(__xludf.DUMMYFUNCTION("""COMPUTED_VALUE"""),"Action-Adventure")</f>
        <v>Action-Adventure</v>
      </c>
      <c r="N162" s="25"/>
      <c r="O162" s="25" t="str">
        <f>IFERROR(__xludf.DUMMYFUNCTION("""COMPUTED_VALUE"""),"Yes")</f>
        <v>Yes</v>
      </c>
      <c r="P162" s="26"/>
    </row>
    <row r="163">
      <c r="A163" s="13" t="str">
        <f>IFERROR(__xludf.DUMMYFUNCTION("""COMPUTED_VALUE"""),"Lonely Mountains: Downhill")</f>
        <v>Lonely Mountains: Downhill</v>
      </c>
      <c r="B163" s="15" t="str">
        <f>IFERROR(__xludf.DUMMYFUNCTION("""COMPUTED_VALUE"""),"PS4")</f>
        <v>PS4</v>
      </c>
      <c r="C163" s="16" t="str">
        <f>IFERROR(__xludf.DUMMYFUNCTION("""COMPUTED_VALUE"""),"Extra")</f>
        <v>Extra</v>
      </c>
      <c r="D163" s="15" t="str">
        <f>IFERROR(__xludf.DUMMYFUNCTION("""COMPUTED_VALUE"""),"Active")</f>
        <v>Active</v>
      </c>
      <c r="E163" s="17">
        <f>IFERROR(__xludf.DUMMYFUNCTION("""COMPUTED_VALUE"""),45097.0)</f>
        <v>45097</v>
      </c>
      <c r="F163" s="54"/>
      <c r="G163" s="19">
        <f>IFERROR(__xludf.DUMMYFUNCTION("""COMPUTED_VALUE"""),39.53333333333333)</f>
        <v>39.53333333</v>
      </c>
      <c r="H163" s="17">
        <f>IFERROR(__xludf.DUMMYFUNCTION("""COMPUTED_VALUE"""),43761.0)</f>
        <v>43761</v>
      </c>
      <c r="I163" s="19">
        <f>IFERROR(__xludf.DUMMYFUNCTION("""COMPUTED_VALUE"""),3.658333333333333)</f>
        <v>3.658333333</v>
      </c>
      <c r="J163" s="21">
        <f>IFERROR(__xludf.DUMMYFUNCTION("""COMPUTED_VALUE"""),80.0)</f>
        <v>80</v>
      </c>
      <c r="K163" s="23">
        <f>IFERROR(__xludf.DUMMYFUNCTION("""COMPUTED_VALUE"""),5.5)</f>
        <v>5.5</v>
      </c>
      <c r="L163" s="24">
        <f>IFERROR(__xludf.DUMMYFUNCTION("""COMPUTED_VALUE"""),6.0)</f>
        <v>6</v>
      </c>
      <c r="M163" s="25" t="str">
        <f>IFERROR(__xludf.DUMMYFUNCTION("""COMPUTED_VALUE"""),"Sports")</f>
        <v>Sports</v>
      </c>
      <c r="N163" s="25"/>
      <c r="O163" s="25" t="str">
        <f>IFERROR(__xludf.DUMMYFUNCTION("""COMPUTED_VALUE"""),"Yes")</f>
        <v>Yes</v>
      </c>
      <c r="P163" s="26"/>
    </row>
    <row r="164">
      <c r="A164" s="13" t="str">
        <f>IFERROR(__xludf.DUMMYFUNCTION("""COMPUTED_VALUE"""),"Untitled Goose Game")</f>
        <v>Untitled Goose Game</v>
      </c>
      <c r="B164" s="15" t="str">
        <f>IFERROR(__xludf.DUMMYFUNCTION("""COMPUTED_VALUE"""),"PS5/PS4")</f>
        <v>PS5/PS4</v>
      </c>
      <c r="C164" s="16" t="str">
        <f>IFERROR(__xludf.DUMMYFUNCTION("""COMPUTED_VALUE"""),"Extra")</f>
        <v>Extra</v>
      </c>
      <c r="D164" s="15" t="str">
        <f>IFERROR(__xludf.DUMMYFUNCTION("""COMPUTED_VALUE"""),"Active")</f>
        <v>Active</v>
      </c>
      <c r="E164" s="17">
        <f>IFERROR(__xludf.DUMMYFUNCTION("""COMPUTED_VALUE"""),45006.0)</f>
        <v>45006</v>
      </c>
      <c r="F164" s="54"/>
      <c r="G164" s="19">
        <f>IFERROR(__xludf.DUMMYFUNCTION("""COMPUTED_VALUE"""),42.5)</f>
        <v>42.5</v>
      </c>
      <c r="H164" s="17">
        <f>IFERROR(__xludf.DUMMYFUNCTION("""COMPUTED_VALUE"""),43709.0)</f>
        <v>43709</v>
      </c>
      <c r="I164" s="19">
        <f>IFERROR(__xludf.DUMMYFUNCTION("""COMPUTED_VALUE"""),3.5555555555555554)</f>
        <v>3.555555556</v>
      </c>
      <c r="J164" s="21">
        <f>IFERROR(__xludf.DUMMYFUNCTION("""COMPUTED_VALUE"""),80.0)</f>
        <v>80</v>
      </c>
      <c r="K164" s="23">
        <f>IFERROR(__xludf.DUMMYFUNCTION("""COMPUTED_VALUE"""),7.1)</f>
        <v>7.1</v>
      </c>
      <c r="L164" s="24">
        <f>IFERROR(__xludf.DUMMYFUNCTION("""COMPUTED_VALUE"""),3.0)</f>
        <v>3</v>
      </c>
      <c r="M164" s="25" t="str">
        <f>IFERROR(__xludf.DUMMYFUNCTION("""COMPUTED_VALUE"""),"Action-Adventure")</f>
        <v>Action-Adventure</v>
      </c>
      <c r="N164" s="25"/>
      <c r="O164" s="25" t="str">
        <f>IFERROR(__xludf.DUMMYFUNCTION("""COMPUTED_VALUE"""),"Yes")</f>
        <v>Yes</v>
      </c>
      <c r="P164" s="26"/>
    </row>
    <row r="165">
      <c r="A165" s="13" t="str">
        <f>IFERROR(__xludf.DUMMYFUNCTION("""COMPUTED_VALUE"""),"The Pedestrian")</f>
        <v>The Pedestrian</v>
      </c>
      <c r="B165" s="15" t="str">
        <f>IFERROR(__xludf.DUMMYFUNCTION("""COMPUTED_VALUE"""),"PS5/PS4")</f>
        <v>PS5/PS4</v>
      </c>
      <c r="C165" s="16" t="str">
        <f>IFERROR(__xludf.DUMMYFUNCTION("""COMPUTED_VALUE"""),"Extra")</f>
        <v>Extra</v>
      </c>
      <c r="D165" s="15" t="str">
        <f>IFERROR(__xludf.DUMMYFUNCTION("""COMPUTED_VALUE"""),"Active")</f>
        <v>Active</v>
      </c>
      <c r="E165" s="17">
        <f>IFERROR(__xludf.DUMMYFUNCTION("""COMPUTED_VALUE"""),44915.0)</f>
        <v>44915</v>
      </c>
      <c r="F165" s="54"/>
      <c r="G165" s="19">
        <f>IFERROR(__xludf.DUMMYFUNCTION("""COMPUTED_VALUE"""),45.53333333333333)</f>
        <v>45.53333333</v>
      </c>
      <c r="H165" s="17">
        <f>IFERROR(__xludf.DUMMYFUNCTION("""COMPUTED_VALUE"""),44225.0)</f>
        <v>44225</v>
      </c>
      <c r="I165" s="19">
        <f>IFERROR(__xludf.DUMMYFUNCTION("""COMPUTED_VALUE"""),1.8916666666666666)</f>
        <v>1.891666667</v>
      </c>
      <c r="J165" s="21">
        <f>IFERROR(__xludf.DUMMYFUNCTION("""COMPUTED_VALUE"""),80.0)</f>
        <v>80</v>
      </c>
      <c r="K165" s="23">
        <f>IFERROR(__xludf.DUMMYFUNCTION("""COMPUTED_VALUE"""),7.5)</f>
        <v>7.5</v>
      </c>
      <c r="L165" s="24">
        <f>IFERROR(__xludf.DUMMYFUNCTION("""COMPUTED_VALUE"""),4.0)</f>
        <v>4</v>
      </c>
      <c r="M165" s="25" t="str">
        <f>IFERROR(__xludf.DUMMYFUNCTION("""COMPUTED_VALUE"""),"Puzzle")</f>
        <v>Puzzle</v>
      </c>
      <c r="N165" s="25"/>
      <c r="O165" s="25" t="str">
        <f>IFERROR(__xludf.DUMMYFUNCTION("""COMPUTED_VALUE"""),"Yes")</f>
        <v>Yes</v>
      </c>
      <c r="P165" s="26"/>
    </row>
    <row r="166">
      <c r="A166" s="13" t="str">
        <f>IFERROR(__xludf.DUMMYFUNCTION("""COMPUTED_VALUE"""),"Oddworld: Soulstorm: Enhanced Edition")</f>
        <v>Oddworld: Soulstorm: Enhanced Edition</v>
      </c>
      <c r="B166" s="15" t="str">
        <f>IFERROR(__xludf.DUMMYFUNCTION("""COMPUTED_VALUE"""),"PS5/PS4")</f>
        <v>PS5/PS4</v>
      </c>
      <c r="C166" s="16" t="str">
        <f>IFERROR(__xludf.DUMMYFUNCTION("""COMPUTED_VALUE"""),"Extra")</f>
        <v>Extra</v>
      </c>
      <c r="D166" s="15" t="str">
        <f>IFERROR(__xludf.DUMMYFUNCTION("""COMPUTED_VALUE"""),"Active")</f>
        <v>Active</v>
      </c>
      <c r="E166" s="17">
        <f>IFERROR(__xludf.DUMMYFUNCTION("""COMPUTED_VALUE"""),44880.0)</f>
        <v>44880</v>
      </c>
      <c r="F166" s="54"/>
      <c r="G166" s="19">
        <f>IFERROR(__xludf.DUMMYFUNCTION("""COMPUTED_VALUE"""),46.7)</f>
        <v>46.7</v>
      </c>
      <c r="H166" s="17">
        <f>IFERROR(__xludf.DUMMYFUNCTION("""COMPUTED_VALUE"""),44292.0)</f>
        <v>44292</v>
      </c>
      <c r="I166" s="19">
        <f>IFERROR(__xludf.DUMMYFUNCTION("""COMPUTED_VALUE"""),1.6083333333333334)</f>
        <v>1.608333333</v>
      </c>
      <c r="J166" s="21">
        <f>IFERROR(__xludf.DUMMYFUNCTION("""COMPUTED_VALUE"""),80.0)</f>
        <v>80</v>
      </c>
      <c r="K166" s="23">
        <f>IFERROR(__xludf.DUMMYFUNCTION("""COMPUTED_VALUE"""),5.5)</f>
        <v>5.5</v>
      </c>
      <c r="L166" s="24">
        <f>IFERROR(__xludf.DUMMYFUNCTION("""COMPUTED_VALUE"""),18.5)</f>
        <v>18.5</v>
      </c>
      <c r="M166" s="25" t="str">
        <f>IFERROR(__xludf.DUMMYFUNCTION("""COMPUTED_VALUE"""),"Platformer")</f>
        <v>Platformer</v>
      </c>
      <c r="N166" s="25"/>
      <c r="O166" s="25" t="str">
        <f>IFERROR(__xludf.DUMMYFUNCTION("""COMPUTED_VALUE"""),"Yes")</f>
        <v>Yes</v>
      </c>
      <c r="P166" s="26"/>
    </row>
    <row r="167">
      <c r="A167" s="13" t="str">
        <f>IFERROR(__xludf.DUMMYFUNCTION("""COMPUTED_VALUE"""),"Wheel of Fortune (2017)")</f>
        <v>Wheel of Fortune (2017)</v>
      </c>
      <c r="B167" s="15" t="str">
        <f>IFERROR(__xludf.DUMMYFUNCTION("""COMPUTED_VALUE"""),"PS4")</f>
        <v>PS4</v>
      </c>
      <c r="C167" s="16" t="str">
        <f>IFERROR(__xludf.DUMMYFUNCTION("""COMPUTED_VALUE"""),"Extra")</f>
        <v>Extra</v>
      </c>
      <c r="D167" s="15" t="str">
        <f>IFERROR(__xludf.DUMMYFUNCTION("""COMPUTED_VALUE"""),"Active")</f>
        <v>Active</v>
      </c>
      <c r="E167" s="17">
        <f>IFERROR(__xludf.DUMMYFUNCTION("""COMPUTED_VALUE"""),44789.0)</f>
        <v>44789</v>
      </c>
      <c r="F167" s="54"/>
      <c r="G167" s="19">
        <f>IFERROR(__xludf.DUMMYFUNCTION("""COMPUTED_VALUE"""),49.66666666666667)</f>
        <v>49.66666667</v>
      </c>
      <c r="H167" s="17">
        <f>IFERROR(__xludf.DUMMYFUNCTION("""COMPUTED_VALUE"""),43046.0)</f>
        <v>43046</v>
      </c>
      <c r="I167" s="19">
        <f>IFERROR(__xludf.DUMMYFUNCTION("""COMPUTED_VALUE"""),4.775)</f>
        <v>4.775</v>
      </c>
      <c r="J167" s="21">
        <f>IFERROR(__xludf.DUMMYFUNCTION("""COMPUTED_VALUE"""),80.0)</f>
        <v>80</v>
      </c>
      <c r="K167" s="23">
        <f>IFERROR(__xludf.DUMMYFUNCTION("""COMPUTED_VALUE"""),7.0)</f>
        <v>7</v>
      </c>
      <c r="L167" s="24">
        <f>IFERROR(__xludf.DUMMYFUNCTION("""COMPUTED_VALUE"""),0.5)</f>
        <v>0.5</v>
      </c>
      <c r="M167" s="25" t="str">
        <f>IFERROR(__xludf.DUMMYFUNCTION("""COMPUTED_VALUE"""),"Puzzle")</f>
        <v>Puzzle</v>
      </c>
      <c r="N167" s="25"/>
      <c r="O167" s="25" t="str">
        <f>IFERROR(__xludf.DUMMYFUNCTION("""COMPUTED_VALUE"""),"Yes")</f>
        <v>Yes</v>
      </c>
      <c r="P167" s="26"/>
    </row>
    <row r="168">
      <c r="A168" s="13" t="str">
        <f>IFERROR(__xludf.DUMMYFUNCTION("""COMPUTED_VALUE"""),"Prison Architect")</f>
        <v>Prison Architect</v>
      </c>
      <c r="B168" s="15" t="str">
        <f>IFERROR(__xludf.DUMMYFUNCTION("""COMPUTED_VALUE"""),"PS4")</f>
        <v>PS4</v>
      </c>
      <c r="C168" s="16" t="str">
        <f>IFERROR(__xludf.DUMMYFUNCTION("""COMPUTED_VALUE"""),"Extra")</f>
        <v>Extra</v>
      </c>
      <c r="D168" s="15" t="str">
        <f>IFERROR(__xludf.DUMMYFUNCTION("""COMPUTED_VALUE"""),"Active")</f>
        <v>Active</v>
      </c>
      <c r="E168" s="17">
        <f>IFERROR(__xludf.DUMMYFUNCTION("""COMPUTED_VALUE"""),44725.0)</f>
        <v>44725</v>
      </c>
      <c r="F168" s="54"/>
      <c r="G168" s="19">
        <f>IFERROR(__xludf.DUMMYFUNCTION("""COMPUTED_VALUE"""),51.766666666666666)</f>
        <v>51.76666667</v>
      </c>
      <c r="H168" s="17">
        <f>IFERROR(__xludf.DUMMYFUNCTION("""COMPUTED_VALUE"""),42283.0)</f>
        <v>42283</v>
      </c>
      <c r="I168" s="19">
        <f>IFERROR(__xludf.DUMMYFUNCTION("""COMPUTED_VALUE"""),6.686111111111111)</f>
        <v>6.686111111</v>
      </c>
      <c r="J168" s="21">
        <f>IFERROR(__xludf.DUMMYFUNCTION("""COMPUTED_VALUE"""),80.0)</f>
        <v>80</v>
      </c>
      <c r="K168" s="23">
        <f>IFERROR(__xludf.DUMMYFUNCTION("""COMPUTED_VALUE"""),7.6)</f>
        <v>7.6</v>
      </c>
      <c r="L168" s="24">
        <f>IFERROR(__xludf.DUMMYFUNCTION("""COMPUTED_VALUE"""),17.0)</f>
        <v>17</v>
      </c>
      <c r="M168" s="25" t="str">
        <f>IFERROR(__xludf.DUMMYFUNCTION("""COMPUTED_VALUE"""),"Strategy")</f>
        <v>Strategy</v>
      </c>
      <c r="N168" s="25"/>
      <c r="O168" s="25" t="str">
        <f>IFERROR(__xludf.DUMMYFUNCTION("""COMPUTED_VALUE"""),"Yes")</f>
        <v>Yes</v>
      </c>
      <c r="P168" s="26"/>
    </row>
    <row r="169">
      <c r="A169" s="13" t="str">
        <f>IFERROR(__xludf.DUMMYFUNCTION("""COMPUTED_VALUE"""),"Tricky Towers")</f>
        <v>Tricky Towers</v>
      </c>
      <c r="B169" s="15" t="str">
        <f>IFERROR(__xludf.DUMMYFUNCTION("""COMPUTED_VALUE"""),"PS4")</f>
        <v>PS4</v>
      </c>
      <c r="C169" s="16" t="str">
        <f>IFERROR(__xludf.DUMMYFUNCTION("""COMPUTED_VALUE"""),"Extra")</f>
        <v>Extra</v>
      </c>
      <c r="D169" s="15" t="str">
        <f>IFERROR(__xludf.DUMMYFUNCTION("""COMPUTED_VALUE"""),"Active")</f>
        <v>Active</v>
      </c>
      <c r="E169" s="17">
        <f>IFERROR(__xludf.DUMMYFUNCTION("""COMPUTED_VALUE"""),44725.0)</f>
        <v>44725</v>
      </c>
      <c r="F169" s="54"/>
      <c r="G169" s="19">
        <f>IFERROR(__xludf.DUMMYFUNCTION("""COMPUTED_VALUE"""),51.766666666666666)</f>
        <v>51.76666667</v>
      </c>
      <c r="H169" s="17">
        <f>IFERROR(__xludf.DUMMYFUNCTION("""COMPUTED_VALUE"""),42584.0)</f>
        <v>42584</v>
      </c>
      <c r="I169" s="19">
        <f>IFERROR(__xludf.DUMMYFUNCTION("""COMPUTED_VALUE"""),5.863888888888889)</f>
        <v>5.863888889</v>
      </c>
      <c r="J169" s="21">
        <f>IFERROR(__xludf.DUMMYFUNCTION("""COMPUTED_VALUE"""),80.0)</f>
        <v>80</v>
      </c>
      <c r="K169" s="23">
        <f>IFERROR(__xludf.DUMMYFUNCTION("""COMPUTED_VALUE"""),7.2)</f>
        <v>7.2</v>
      </c>
      <c r="L169" s="24">
        <f>IFERROR(__xludf.DUMMYFUNCTION("""COMPUTED_VALUE"""),10.0)</f>
        <v>10</v>
      </c>
      <c r="M169" s="25" t="str">
        <f>IFERROR(__xludf.DUMMYFUNCTION("""COMPUTED_VALUE"""),"Puzzle")</f>
        <v>Puzzle</v>
      </c>
      <c r="N169" s="25"/>
      <c r="O169" s="25" t="str">
        <f>IFERROR(__xludf.DUMMYFUNCTION("""COMPUTED_VALUE"""),"Yes")</f>
        <v>Yes</v>
      </c>
      <c r="P169" s="26" t="str">
        <f>IFERROR(__xludf.DUMMYFUNCTION("""COMPUTED_VALUE"""),"Yes")</f>
        <v>Yes</v>
      </c>
    </row>
    <row r="170">
      <c r="A170" s="13" t="str">
        <f>IFERROR(__xludf.DUMMYFUNCTION("""COMPUTED_VALUE"""),"Tom Clancy's The Division")</f>
        <v>Tom Clancy's The Division</v>
      </c>
      <c r="B170" s="15" t="str">
        <f>IFERROR(__xludf.DUMMYFUNCTION("""COMPUTED_VALUE"""),"PS4")</f>
        <v>PS4</v>
      </c>
      <c r="C170" s="16" t="str">
        <f>IFERROR(__xludf.DUMMYFUNCTION("""COMPUTED_VALUE"""),"Extra (Ubisoft+ Classics)")</f>
        <v>Extra (Ubisoft+ Classics)</v>
      </c>
      <c r="D170" s="15" t="str">
        <f>IFERROR(__xludf.DUMMYFUNCTION("""COMPUTED_VALUE"""),"Active")</f>
        <v>Active</v>
      </c>
      <c r="E170" s="17">
        <f>IFERROR(__xludf.DUMMYFUNCTION("""COMPUTED_VALUE"""),44725.0)</f>
        <v>44725</v>
      </c>
      <c r="F170" s="54"/>
      <c r="G170" s="19">
        <f>IFERROR(__xludf.DUMMYFUNCTION("""COMPUTED_VALUE"""),51.766666666666666)</f>
        <v>51.76666667</v>
      </c>
      <c r="H170" s="17">
        <f>IFERROR(__xludf.DUMMYFUNCTION("""COMPUTED_VALUE"""),42437.0)</f>
        <v>42437</v>
      </c>
      <c r="I170" s="19">
        <f>IFERROR(__xludf.DUMMYFUNCTION("""COMPUTED_VALUE"""),6.263888888888889)</f>
        <v>6.263888889</v>
      </c>
      <c r="J170" s="21">
        <f>IFERROR(__xludf.DUMMYFUNCTION("""COMPUTED_VALUE"""),80.0)</f>
        <v>80</v>
      </c>
      <c r="K170" s="23">
        <f>IFERROR(__xludf.DUMMYFUNCTION("""COMPUTED_VALUE"""),6.7)</f>
        <v>6.7</v>
      </c>
      <c r="L170" s="24">
        <f>IFERROR(__xludf.DUMMYFUNCTION("""COMPUTED_VALUE"""),40.0)</f>
        <v>40</v>
      </c>
      <c r="M170" s="25" t="str">
        <f>IFERROR(__xludf.DUMMYFUNCTION("""COMPUTED_VALUE"""),"Shooter")</f>
        <v>Shooter</v>
      </c>
      <c r="N170" s="25"/>
      <c r="O170" s="25" t="str">
        <f>IFERROR(__xludf.DUMMYFUNCTION("""COMPUTED_VALUE"""),"Yes")</f>
        <v>Yes</v>
      </c>
      <c r="P170" s="26"/>
    </row>
    <row r="171">
      <c r="A171" s="13" t="str">
        <f>IFERROR(__xludf.DUMMYFUNCTION("""COMPUTED_VALUE"""),"Detroit: Become Human")</f>
        <v>Detroit: Become Human</v>
      </c>
      <c r="B171" s="15" t="str">
        <f>IFERROR(__xludf.DUMMYFUNCTION("""COMPUTED_VALUE"""),"PS4")</f>
        <v>PS4</v>
      </c>
      <c r="C171" s="16" t="str">
        <f>IFERROR(__xludf.DUMMYFUNCTION("""COMPUTED_VALUE"""),"Extra")</f>
        <v>Extra</v>
      </c>
      <c r="D171" s="15" t="str">
        <f>IFERROR(__xludf.DUMMYFUNCTION("""COMPUTED_VALUE"""),"Active")</f>
        <v>Active</v>
      </c>
      <c r="E171" s="17">
        <f>IFERROR(__xludf.DUMMYFUNCTION("""COMPUTED_VALUE"""),44147.0)</f>
        <v>44147</v>
      </c>
      <c r="F171" s="54"/>
      <c r="G171" s="19">
        <f>IFERROR(__xludf.DUMMYFUNCTION("""COMPUTED_VALUE"""),70.80000000000001)</f>
        <v>70.8</v>
      </c>
      <c r="H171" s="17">
        <f>IFERROR(__xludf.DUMMYFUNCTION("""COMPUTED_VALUE"""),43221.0)</f>
        <v>43221</v>
      </c>
      <c r="I171" s="19">
        <f>IFERROR(__xludf.DUMMYFUNCTION("""COMPUTED_VALUE"""),2.5305555555555554)</f>
        <v>2.530555556</v>
      </c>
      <c r="J171" s="21">
        <f>IFERROR(__xludf.DUMMYFUNCTION("""COMPUTED_VALUE"""),80.0)</f>
        <v>80</v>
      </c>
      <c r="K171" s="23">
        <f>IFERROR(__xludf.DUMMYFUNCTION("""COMPUTED_VALUE"""),8.4)</f>
        <v>8.4</v>
      </c>
      <c r="L171" s="24">
        <f>IFERROR(__xludf.DUMMYFUNCTION("""COMPUTED_VALUE"""),12.0)</f>
        <v>12</v>
      </c>
      <c r="M171" s="25" t="str">
        <f>IFERROR(__xludf.DUMMYFUNCTION("""COMPUTED_VALUE"""),"Interactive Story")</f>
        <v>Interactive Story</v>
      </c>
      <c r="N171" s="25"/>
      <c r="O171" s="25" t="str">
        <f>IFERROR(__xludf.DUMMYFUNCTION("""COMPUTED_VALUE"""),"Yes")</f>
        <v>Yes</v>
      </c>
      <c r="P171" s="26"/>
    </row>
    <row r="172">
      <c r="A172" s="13" t="str">
        <f>IFERROR(__xludf.DUMMYFUNCTION("""COMPUTED_VALUE"""),"Battle Chasers: Nightwar")</f>
        <v>Battle Chasers: Nightwar</v>
      </c>
      <c r="B172" s="15" t="str">
        <f>IFERROR(__xludf.DUMMYFUNCTION("""COMPUTED_VALUE"""),"PS4")</f>
        <v>PS4</v>
      </c>
      <c r="C172" s="16" t="str">
        <f>IFERROR(__xludf.DUMMYFUNCTION("""COMPUTED_VALUE"""),"Extra")</f>
        <v>Extra</v>
      </c>
      <c r="D172" s="15" t="str">
        <f>IFERROR(__xludf.DUMMYFUNCTION("""COMPUTED_VALUE"""),"Active")</f>
        <v>Active</v>
      </c>
      <c r="E172" s="17">
        <f>IFERROR(__xludf.DUMMYFUNCTION("""COMPUTED_VALUE"""),43411.0)</f>
        <v>43411</v>
      </c>
      <c r="F172" s="54"/>
      <c r="G172" s="19">
        <f>IFERROR(__xludf.DUMMYFUNCTION("""COMPUTED_VALUE"""),94.96666666666667)</f>
        <v>94.96666667</v>
      </c>
      <c r="H172" s="17">
        <f>IFERROR(__xludf.DUMMYFUNCTION("""COMPUTED_VALUE"""),43011.0)</f>
        <v>43011</v>
      </c>
      <c r="I172" s="19">
        <f>IFERROR(__xludf.DUMMYFUNCTION("""COMPUTED_VALUE"""),1.0944444444444446)</f>
        <v>1.094444444</v>
      </c>
      <c r="J172" s="21">
        <f>IFERROR(__xludf.DUMMYFUNCTION("""COMPUTED_VALUE"""),80.0)</f>
        <v>80</v>
      </c>
      <c r="K172" s="23">
        <f>IFERROR(__xludf.DUMMYFUNCTION("""COMPUTED_VALUE"""),7.0)</f>
        <v>7</v>
      </c>
      <c r="L172" s="24">
        <f>IFERROR(__xludf.DUMMYFUNCTION("""COMPUTED_VALUE"""),29.0)</f>
        <v>29</v>
      </c>
      <c r="M172" s="25" t="str">
        <f>IFERROR(__xludf.DUMMYFUNCTION("""COMPUTED_VALUE"""),"RPG")</f>
        <v>RPG</v>
      </c>
      <c r="N172" s="25"/>
      <c r="O172" s="25" t="str">
        <f>IFERROR(__xludf.DUMMYFUNCTION("""COMPUTED_VALUE"""),"Yes")</f>
        <v>Yes</v>
      </c>
      <c r="P172" s="26"/>
    </row>
    <row r="173">
      <c r="A173" s="13" t="str">
        <f>IFERROR(__xludf.DUMMYFUNCTION("""COMPUTED_VALUE"""),"Trials Fusion")</f>
        <v>Trials Fusion</v>
      </c>
      <c r="B173" s="15" t="str">
        <f>IFERROR(__xludf.DUMMYFUNCTION("""COMPUTED_VALUE"""),"PS4")</f>
        <v>PS4</v>
      </c>
      <c r="C173" s="16" t="str">
        <f>IFERROR(__xludf.DUMMYFUNCTION("""COMPUTED_VALUE"""),"Extra (Ubisoft+ Classics)")</f>
        <v>Extra (Ubisoft+ Classics)</v>
      </c>
      <c r="D173" s="15" t="str">
        <f>IFERROR(__xludf.DUMMYFUNCTION("""COMPUTED_VALUE"""),"Active")</f>
        <v>Active</v>
      </c>
      <c r="E173" s="17">
        <f>IFERROR(__xludf.DUMMYFUNCTION("""COMPUTED_VALUE"""),43256.0)</f>
        <v>43256</v>
      </c>
      <c r="F173" s="71"/>
      <c r="G173" s="19">
        <f>IFERROR(__xludf.DUMMYFUNCTION("""COMPUTED_VALUE"""),100.03333333333333)</f>
        <v>100.0333333</v>
      </c>
      <c r="H173" s="17">
        <f>IFERROR(__xludf.DUMMYFUNCTION("""COMPUTED_VALUE"""),41744.0)</f>
        <v>41744</v>
      </c>
      <c r="I173" s="19">
        <f>IFERROR(__xludf.DUMMYFUNCTION("""COMPUTED_VALUE"""),4.138888888888889)</f>
        <v>4.138888889</v>
      </c>
      <c r="J173" s="21">
        <f>IFERROR(__xludf.DUMMYFUNCTION("""COMPUTED_VALUE"""),80.0)</f>
        <v>80</v>
      </c>
      <c r="K173" s="23">
        <f>IFERROR(__xludf.DUMMYFUNCTION("""COMPUTED_VALUE"""),7.3)</f>
        <v>7.3</v>
      </c>
      <c r="L173" s="24">
        <f>IFERROR(__xludf.DUMMYFUNCTION("""COMPUTED_VALUE"""),12.0)</f>
        <v>12</v>
      </c>
      <c r="M173" s="25" t="str">
        <f>IFERROR(__xludf.DUMMYFUNCTION("""COMPUTED_VALUE"""),"Racing")</f>
        <v>Racing</v>
      </c>
      <c r="N173" s="25"/>
      <c r="O173" s="25" t="str">
        <f>IFERROR(__xludf.DUMMYFUNCTION("""COMPUTED_VALUE"""),"Yes")</f>
        <v>Yes</v>
      </c>
      <c r="P173" s="26" t="str">
        <f>IFERROR(__xludf.DUMMYFUNCTION("""COMPUTED_VALUE"""),"Yes")</f>
        <v>Yes</v>
      </c>
    </row>
    <row r="174">
      <c r="A174" s="13" t="str">
        <f>IFERROR(__xludf.DUMMYFUNCTION("""COMPUTED_VALUE"""),"Harvest Moon: Light of Hope - Special Edition")</f>
        <v>Harvest Moon: Light of Hope - Special Edition</v>
      </c>
      <c r="B174" s="15" t="str">
        <f>IFERROR(__xludf.DUMMYFUNCTION("""COMPUTED_VALUE"""),"PS4")</f>
        <v>PS4</v>
      </c>
      <c r="C174" s="16" t="str">
        <f>IFERROR(__xludf.DUMMYFUNCTION("""COMPUTED_VALUE"""),"Extra")</f>
        <v>Extra</v>
      </c>
      <c r="D174" s="15" t="str">
        <f>IFERROR(__xludf.DUMMYFUNCTION("""COMPUTED_VALUE"""),"Leaving Soon")</f>
        <v>Leaving Soon</v>
      </c>
      <c r="E174" s="17">
        <f>IFERROR(__xludf.DUMMYFUNCTION("""COMPUTED_VALUE"""),44725.0)</f>
        <v>44725</v>
      </c>
      <c r="F174" s="71">
        <f>IFERROR(__xludf.DUMMYFUNCTION("""COMPUTED_VALUE"""),46314.0)</f>
        <v>46314</v>
      </c>
      <c r="G174" s="19">
        <f>IFERROR(__xludf.DUMMYFUNCTION("""COMPUTED_VALUE"""),52.199999999999996)</f>
        <v>52.2</v>
      </c>
      <c r="H174" s="17">
        <f>IFERROR(__xludf.DUMMYFUNCTION("""COMPUTED_VALUE"""),43053.0)</f>
        <v>43053</v>
      </c>
      <c r="I174" s="19">
        <f>IFERROR(__xludf.DUMMYFUNCTION("""COMPUTED_VALUE"""),4.580555555555556)</f>
        <v>4.580555556</v>
      </c>
      <c r="J174" s="21">
        <f>IFERROR(__xludf.DUMMYFUNCTION("""COMPUTED_VALUE"""),80.0)</f>
        <v>80</v>
      </c>
      <c r="K174" s="23">
        <f>IFERROR(__xludf.DUMMYFUNCTION("""COMPUTED_VALUE"""),6.2)</f>
        <v>6.2</v>
      </c>
      <c r="L174" s="24">
        <f>IFERROR(__xludf.DUMMYFUNCTION("""COMPUTED_VALUE"""),18.5)</f>
        <v>18.5</v>
      </c>
      <c r="M174" s="25" t="str">
        <f>IFERROR(__xludf.DUMMYFUNCTION("""COMPUTED_VALUE"""),"Strategy")</f>
        <v>Strategy</v>
      </c>
      <c r="N174" s="25"/>
      <c r="O174" s="25" t="str">
        <f>IFERROR(__xludf.DUMMYFUNCTION("""COMPUTED_VALUE"""),"No")</f>
        <v>No</v>
      </c>
      <c r="P174" s="26"/>
    </row>
    <row r="175">
      <c r="A175" s="13" t="str">
        <f>IFERROR(__xludf.DUMMYFUNCTION("""COMPUTED_VALUE"""),"Blades of Fire")</f>
        <v>Blades of Fire</v>
      </c>
      <c r="B175" s="15" t="str">
        <f>IFERROR(__xludf.DUMMYFUNCTION("""COMPUTED_VALUE"""),"PS5")</f>
        <v>PS5</v>
      </c>
      <c r="C175" s="16" t="str">
        <f>IFERROR(__xludf.DUMMYFUNCTION("""COMPUTED_VALUE"""),"Extra")</f>
        <v>Extra</v>
      </c>
      <c r="D175" s="15" t="str">
        <f>IFERROR(__xludf.DUMMYFUNCTION("""COMPUTED_VALUE"""),"Active")</f>
        <v>Active</v>
      </c>
      <c r="E175" s="17">
        <f>IFERROR(__xludf.DUMMYFUNCTION("""COMPUTED_VALUE"""),46189.0)</f>
        <v>46189</v>
      </c>
      <c r="F175" s="54"/>
      <c r="G175" s="19">
        <f>IFERROR(__xludf.DUMMYFUNCTION("""COMPUTED_VALUE"""),3.666666666666667)</f>
        <v>3.666666667</v>
      </c>
      <c r="H175" s="17">
        <f>IFERROR(__xludf.DUMMYFUNCTION("""COMPUTED_VALUE"""),45799.0)</f>
        <v>45799</v>
      </c>
      <c r="I175" s="19">
        <f>IFERROR(__xludf.DUMMYFUNCTION("""COMPUTED_VALUE"""),1.0666666666666667)</f>
        <v>1.066666667</v>
      </c>
      <c r="J175" s="21">
        <f>IFERROR(__xludf.DUMMYFUNCTION("""COMPUTED_VALUE"""),79.0)</f>
        <v>79</v>
      </c>
      <c r="K175" s="23">
        <f>IFERROR(__xludf.DUMMYFUNCTION("""COMPUTED_VALUE"""),8.2)</f>
        <v>8.2</v>
      </c>
      <c r="L175" s="24">
        <f>IFERROR(__xludf.DUMMYFUNCTION("""COMPUTED_VALUE"""),19.0)</f>
        <v>19</v>
      </c>
      <c r="M175" s="25" t="str">
        <f>IFERROR(__xludf.DUMMYFUNCTION("""COMPUTED_VALUE"""),"RPG")</f>
        <v>RPG</v>
      </c>
      <c r="N175" s="25"/>
      <c r="O175" s="25" t="str">
        <f>IFERROR(__xludf.DUMMYFUNCTION("""COMPUTED_VALUE"""),"No")</f>
        <v>No</v>
      </c>
      <c r="P175" s="26"/>
    </row>
    <row r="176">
      <c r="A176" s="13" t="str">
        <f>IFERROR(__xludf.DUMMYFUNCTION("""COMPUTED_VALUE"""),"Destiny 2: Legacy Collection (2025)")</f>
        <v>Destiny 2: Legacy Collection (2025)</v>
      </c>
      <c r="B176" s="15" t="str">
        <f>IFERROR(__xludf.DUMMYFUNCTION("""COMPUTED_VALUE"""),"PS5/PS4")</f>
        <v>PS5/PS4</v>
      </c>
      <c r="C176" s="16" t="str">
        <f>IFERROR(__xludf.DUMMYFUNCTION("""COMPUTED_VALUE"""),"Extra")</f>
        <v>Extra</v>
      </c>
      <c r="D176" s="15" t="str">
        <f>IFERROR(__xludf.DUMMYFUNCTION("""COMPUTED_VALUE"""),"Active")</f>
        <v>Active</v>
      </c>
      <c r="E176" s="17">
        <f>IFERROR(__xludf.DUMMYFUNCTION("""COMPUTED_VALUE"""),46182.0)</f>
        <v>46182</v>
      </c>
      <c r="F176" s="54"/>
      <c r="G176" s="19">
        <f>IFERROR(__xludf.DUMMYFUNCTION("""COMPUTED_VALUE"""),3.9000000000000004)</f>
        <v>3.9</v>
      </c>
      <c r="H176" s="17">
        <f>IFERROR(__xludf.DUMMYFUNCTION("""COMPUTED_VALUE"""),45853.0)</f>
        <v>45853</v>
      </c>
      <c r="I176" s="19">
        <f>IFERROR(__xludf.DUMMYFUNCTION("""COMPUTED_VALUE"""),0.9)</f>
        <v>0.9</v>
      </c>
      <c r="J176" s="21">
        <f>IFERROR(__xludf.DUMMYFUNCTION("""COMPUTED_VALUE"""),79.0)</f>
        <v>79</v>
      </c>
      <c r="K176" s="23">
        <f>IFERROR(__xludf.DUMMYFUNCTION("""COMPUTED_VALUE"""),5.6)</f>
        <v>5.6</v>
      </c>
      <c r="L176" s="24">
        <f>IFERROR(__xludf.DUMMYFUNCTION("""COMPUTED_VALUE"""),43.0)</f>
        <v>43</v>
      </c>
      <c r="M176" s="25" t="str">
        <f>IFERROR(__xludf.DUMMYFUNCTION("""COMPUTED_VALUE"""),"Shooter")</f>
        <v>Shooter</v>
      </c>
      <c r="N176" s="25" t="str">
        <f>IFERROR(__xludf.DUMMYFUNCTION("""COMPUTED_VALUE"""),"The Final Shape, Lightfall, The Witch Queen, Beyond Light, and Shadowkeep")</f>
        <v>The Final Shape, Lightfall, The Witch Queen, Beyond Light, and Shadowkeep</v>
      </c>
      <c r="O176" s="25"/>
      <c r="P176" s="26"/>
    </row>
    <row r="177">
      <c r="A177" s="13" t="str">
        <f>IFERROR(__xludf.DUMMYFUNCTION("""COMPUTED_VALUE"""),"Monster Hunter Stories")</f>
        <v>Monster Hunter Stories</v>
      </c>
      <c r="B177" s="15" t="str">
        <f>IFERROR(__xludf.DUMMYFUNCTION("""COMPUTED_VALUE"""),"PS4")</f>
        <v>PS4</v>
      </c>
      <c r="C177" s="16" t="str">
        <f>IFERROR(__xludf.DUMMYFUNCTION("""COMPUTED_VALUE"""),"Extra")</f>
        <v>Extra</v>
      </c>
      <c r="D177" s="15" t="str">
        <f>IFERROR(__xludf.DUMMYFUNCTION("""COMPUTED_VALUE"""),"Active")</f>
        <v>Active</v>
      </c>
      <c r="E177" s="17">
        <f>IFERROR(__xludf.DUMMYFUNCTION("""COMPUTED_VALUE"""),46070.0)</f>
        <v>46070</v>
      </c>
      <c r="F177" s="54"/>
      <c r="G177" s="19">
        <f>IFERROR(__xludf.DUMMYFUNCTION("""COMPUTED_VALUE"""),7.633333333333333)</f>
        <v>7.633333333</v>
      </c>
      <c r="H177" s="17">
        <f>IFERROR(__xludf.DUMMYFUNCTION("""COMPUTED_VALUE"""),42986.0)</f>
        <v>42986</v>
      </c>
      <c r="I177" s="19">
        <f>IFERROR(__xludf.DUMMYFUNCTION("""COMPUTED_VALUE"""),8.441666666666666)</f>
        <v>8.441666667</v>
      </c>
      <c r="J177" s="21">
        <f>IFERROR(__xludf.DUMMYFUNCTION("""COMPUTED_VALUE"""),79.0)</f>
        <v>79</v>
      </c>
      <c r="K177" s="23">
        <f>IFERROR(__xludf.DUMMYFUNCTION("""COMPUTED_VALUE"""),7.9)</f>
        <v>7.9</v>
      </c>
      <c r="L177" s="24">
        <f>IFERROR(__xludf.DUMMYFUNCTION("""COMPUTED_VALUE"""),35.0)</f>
        <v>35</v>
      </c>
      <c r="M177" s="25" t="str">
        <f>IFERROR(__xludf.DUMMYFUNCTION("""COMPUTED_VALUE"""),"RPG")</f>
        <v>RPG</v>
      </c>
      <c r="N177" s="25"/>
      <c r="O177" s="25"/>
      <c r="P177" s="26"/>
    </row>
    <row r="178">
      <c r="A178" s="13" t="str">
        <f>IFERROR(__xludf.DUMMYFUNCTION("""COMPUTED_VALUE"""),"Art of Rally")</f>
        <v>Art of Rally</v>
      </c>
      <c r="B178" s="15" t="str">
        <f>IFERROR(__xludf.DUMMYFUNCTION("""COMPUTED_VALUE"""),"PS5/PS4")</f>
        <v>PS5/PS4</v>
      </c>
      <c r="C178" s="16" t="str">
        <f>IFERROR(__xludf.DUMMYFUNCTION("""COMPUTED_VALUE"""),"Extra")</f>
        <v>Extra</v>
      </c>
      <c r="D178" s="15" t="str">
        <f>IFERROR(__xludf.DUMMYFUNCTION("""COMPUTED_VALUE"""),"Active")</f>
        <v>Active</v>
      </c>
      <c r="E178" s="17">
        <f>IFERROR(__xludf.DUMMYFUNCTION("""COMPUTED_VALUE"""),46042.0)</f>
        <v>46042</v>
      </c>
      <c r="F178" s="54"/>
      <c r="G178" s="19">
        <f>IFERROR(__xludf.DUMMYFUNCTION("""COMPUTED_VALUE"""),8.533333333333333)</f>
        <v>8.533333333</v>
      </c>
      <c r="H178" s="17">
        <f>IFERROR(__xludf.DUMMYFUNCTION("""COMPUTED_VALUE"""),44097.0)</f>
        <v>44097</v>
      </c>
      <c r="I178" s="19">
        <f>IFERROR(__xludf.DUMMYFUNCTION("""COMPUTED_VALUE"""),5.325)</f>
        <v>5.325</v>
      </c>
      <c r="J178" s="21">
        <f>IFERROR(__xludf.DUMMYFUNCTION("""COMPUTED_VALUE"""),79.0)</f>
        <v>79</v>
      </c>
      <c r="K178" s="23">
        <f>IFERROR(__xludf.DUMMYFUNCTION("""COMPUTED_VALUE"""),6.9)</f>
        <v>6.9</v>
      </c>
      <c r="L178" s="24">
        <f>IFERROR(__xludf.DUMMYFUNCTION("""COMPUTED_VALUE"""),16.0)</f>
        <v>16</v>
      </c>
      <c r="M178" s="25" t="str">
        <f>IFERROR(__xludf.DUMMYFUNCTION("""COMPUTED_VALUE"""),"Racing")</f>
        <v>Racing</v>
      </c>
      <c r="N178" s="25"/>
      <c r="O178" s="25"/>
      <c r="P178" s="26"/>
    </row>
    <row r="179">
      <c r="A179" s="13" t="str">
        <f>IFERROR(__xludf.DUMMYFUNCTION("""COMPUTED_VALUE"""),"Paw Patrol: Grand Prix")</f>
        <v>Paw Patrol: Grand Prix</v>
      </c>
      <c r="B179" s="15" t="str">
        <f>IFERROR(__xludf.DUMMYFUNCTION("""COMPUTED_VALUE"""),"PS5/PS4")</f>
        <v>PS5/PS4</v>
      </c>
      <c r="C179" s="16" t="str">
        <f>IFERROR(__xludf.DUMMYFUNCTION("""COMPUTED_VALUE"""),"Extra")</f>
        <v>Extra</v>
      </c>
      <c r="D179" s="15" t="str">
        <f>IFERROR(__xludf.DUMMYFUNCTION("""COMPUTED_VALUE"""),"Active")</f>
        <v>Active</v>
      </c>
      <c r="E179" s="17">
        <f>IFERROR(__xludf.DUMMYFUNCTION("""COMPUTED_VALUE"""),46007.0)</f>
        <v>46007</v>
      </c>
      <c r="F179" s="54"/>
      <c r="G179" s="19">
        <f>IFERROR(__xludf.DUMMYFUNCTION("""COMPUTED_VALUE"""),9.666666666666668)</f>
        <v>9.666666667</v>
      </c>
      <c r="H179" s="17">
        <f>IFERROR(__xludf.DUMMYFUNCTION("""COMPUTED_VALUE"""),45198.0)</f>
        <v>45198</v>
      </c>
      <c r="I179" s="19">
        <f>IFERROR(__xludf.DUMMYFUNCTION("""COMPUTED_VALUE"""),2.213888888888889)</f>
        <v>2.213888889</v>
      </c>
      <c r="J179" s="21">
        <f>IFERROR(__xludf.DUMMYFUNCTION("""COMPUTED_VALUE"""),79.0)</f>
        <v>79</v>
      </c>
      <c r="K179" s="23">
        <f>IFERROR(__xludf.DUMMYFUNCTION("""COMPUTED_VALUE"""),5.1)</f>
        <v>5.1</v>
      </c>
      <c r="L179" s="24">
        <f>IFERROR(__xludf.DUMMYFUNCTION("""COMPUTED_VALUE"""),2.0)</f>
        <v>2</v>
      </c>
      <c r="M179" s="25" t="str">
        <f>IFERROR(__xludf.DUMMYFUNCTION("""COMPUTED_VALUE"""),"Racing")</f>
        <v>Racing</v>
      </c>
      <c r="N179" s="25"/>
      <c r="O179" s="25"/>
      <c r="P179" s="26"/>
    </row>
    <row r="180">
      <c r="A180" s="13" t="str">
        <f>IFERROR(__xludf.DUMMYFUNCTION("""COMPUTED_VALUE"""),"Paw Patrol World")</f>
        <v>Paw Patrol World</v>
      </c>
      <c r="B180" s="15" t="str">
        <f>IFERROR(__xludf.DUMMYFUNCTION("""COMPUTED_VALUE"""),"PS5/PS4")</f>
        <v>PS5/PS4</v>
      </c>
      <c r="C180" s="16" t="str">
        <f>IFERROR(__xludf.DUMMYFUNCTION("""COMPUTED_VALUE"""),"Extra")</f>
        <v>Extra</v>
      </c>
      <c r="D180" s="15" t="str">
        <f>IFERROR(__xludf.DUMMYFUNCTION("""COMPUTED_VALUE"""),"Active")</f>
        <v>Active</v>
      </c>
      <c r="E180" s="17">
        <f>IFERROR(__xludf.DUMMYFUNCTION("""COMPUTED_VALUE"""),46007.0)</f>
        <v>46007</v>
      </c>
      <c r="F180" s="54"/>
      <c r="G180" s="19">
        <f>IFERROR(__xludf.DUMMYFUNCTION("""COMPUTED_VALUE"""),9.666666666666668)</f>
        <v>9.666666667</v>
      </c>
      <c r="H180" s="17">
        <f>IFERROR(__xludf.DUMMYFUNCTION("""COMPUTED_VALUE"""),45198.0)</f>
        <v>45198</v>
      </c>
      <c r="I180" s="19">
        <f>IFERROR(__xludf.DUMMYFUNCTION("""COMPUTED_VALUE"""),2.213888888888889)</f>
        <v>2.213888889</v>
      </c>
      <c r="J180" s="21">
        <f>IFERROR(__xludf.DUMMYFUNCTION("""COMPUTED_VALUE"""),79.0)</f>
        <v>79</v>
      </c>
      <c r="K180" s="23">
        <f>IFERROR(__xludf.DUMMYFUNCTION("""COMPUTED_VALUE"""),5.1)</f>
        <v>5.1</v>
      </c>
      <c r="L180" s="24">
        <f>IFERROR(__xludf.DUMMYFUNCTION("""COMPUTED_VALUE"""),4.0)</f>
        <v>4</v>
      </c>
      <c r="M180" s="25" t="str">
        <f>IFERROR(__xludf.DUMMYFUNCTION("""COMPUTED_VALUE"""),"Action-Adventure")</f>
        <v>Action-Adventure</v>
      </c>
      <c r="N180" s="25"/>
      <c r="O180" s="25"/>
      <c r="P180" s="26"/>
    </row>
    <row r="181">
      <c r="A181" s="13" t="str">
        <f>IFERROR(__xludf.DUMMYFUNCTION("""COMPUTED_VALUE"""),"Eiyuden Chronicle: Hundred Heroes")</f>
        <v>Eiyuden Chronicle: Hundred Heroes</v>
      </c>
      <c r="B181" s="15" t="str">
        <f>IFERROR(__xludf.DUMMYFUNCTION("""COMPUTED_VALUE"""),"PS5/PS4")</f>
        <v>PS5/PS4</v>
      </c>
      <c r="C181" s="16" t="str">
        <f>IFERROR(__xludf.DUMMYFUNCTION("""COMPUTED_VALUE"""),"Extra")</f>
        <v>Extra</v>
      </c>
      <c r="D181" s="15" t="str">
        <f>IFERROR(__xludf.DUMMYFUNCTION("""COMPUTED_VALUE"""),"Active")</f>
        <v>Active</v>
      </c>
      <c r="E181" s="17">
        <f>IFERROR(__xludf.DUMMYFUNCTION("""COMPUTED_VALUE"""),45825.0)</f>
        <v>45825</v>
      </c>
      <c r="F181" s="54"/>
      <c r="G181" s="19">
        <f>IFERROR(__xludf.DUMMYFUNCTION("""COMPUTED_VALUE"""),15.633333333333333)</f>
        <v>15.63333333</v>
      </c>
      <c r="H181" s="17">
        <f>IFERROR(__xludf.DUMMYFUNCTION("""COMPUTED_VALUE"""),45405.0)</f>
        <v>45405</v>
      </c>
      <c r="I181" s="19">
        <f>IFERROR(__xludf.DUMMYFUNCTION("""COMPUTED_VALUE"""),1.15)</f>
        <v>1.15</v>
      </c>
      <c r="J181" s="21">
        <f>IFERROR(__xludf.DUMMYFUNCTION("""COMPUTED_VALUE"""),79.0)</f>
        <v>79</v>
      </c>
      <c r="K181" s="23">
        <f>IFERROR(__xludf.DUMMYFUNCTION("""COMPUTED_VALUE"""),7.1)</f>
        <v>7.1</v>
      </c>
      <c r="L181" s="24">
        <f>IFERROR(__xludf.DUMMYFUNCTION("""COMPUTED_VALUE"""),47.0)</f>
        <v>47</v>
      </c>
      <c r="M181" s="25" t="str">
        <f>IFERROR(__xludf.DUMMYFUNCTION("""COMPUTED_VALUE"""),"RPG")</f>
        <v>RPG</v>
      </c>
      <c r="N181" s="25"/>
      <c r="O181" s="25"/>
      <c r="P181" s="26"/>
    </row>
    <row r="182">
      <c r="A182" s="13" t="str">
        <f>IFERROR(__xludf.DUMMYFUNCTION("""COMPUTED_VALUE"""),"Coffee Talk Episode 2: Hibiscus &amp; Butterfly")</f>
        <v>Coffee Talk Episode 2: Hibiscus &amp; Butterfly</v>
      </c>
      <c r="B182" s="15" t="str">
        <f>IFERROR(__xludf.DUMMYFUNCTION("""COMPUTED_VALUE"""),"PS5/PS4")</f>
        <v>PS5/PS4</v>
      </c>
      <c r="C182" s="16" t="str">
        <f>IFERROR(__xludf.DUMMYFUNCTION("""COMPUTED_VALUE"""),"Extra")</f>
        <v>Extra</v>
      </c>
      <c r="D182" s="15" t="str">
        <f>IFERROR(__xludf.DUMMYFUNCTION("""COMPUTED_VALUE"""),"Active")</f>
        <v>Active</v>
      </c>
      <c r="E182" s="17">
        <f>IFERROR(__xludf.DUMMYFUNCTION("""COMPUTED_VALUE"""),45643.0)</f>
        <v>45643</v>
      </c>
      <c r="F182" s="54"/>
      <c r="G182" s="19">
        <f>IFERROR(__xludf.DUMMYFUNCTION("""COMPUTED_VALUE"""),21.633333333333333)</f>
        <v>21.63333333</v>
      </c>
      <c r="H182" s="17">
        <f>IFERROR(__xludf.DUMMYFUNCTION("""COMPUTED_VALUE"""),45036.0)</f>
        <v>45036</v>
      </c>
      <c r="I182" s="19">
        <f>IFERROR(__xludf.DUMMYFUNCTION("""COMPUTED_VALUE"""),1.6583333333333334)</f>
        <v>1.658333333</v>
      </c>
      <c r="J182" s="21">
        <f>IFERROR(__xludf.DUMMYFUNCTION("""COMPUTED_VALUE"""),79.0)</f>
        <v>79</v>
      </c>
      <c r="K182" s="23">
        <f>IFERROR(__xludf.DUMMYFUNCTION("""COMPUTED_VALUE"""),7.5)</f>
        <v>7.5</v>
      </c>
      <c r="L182" s="24">
        <f>IFERROR(__xludf.DUMMYFUNCTION("""COMPUTED_VALUE"""),7.0)</f>
        <v>7</v>
      </c>
      <c r="M182" s="25" t="str">
        <f>IFERROR(__xludf.DUMMYFUNCTION("""COMPUTED_VALUE"""),"Visual Novel ")</f>
        <v>Visual Novel </v>
      </c>
      <c r="N182" s="25"/>
      <c r="O182" s="25" t="str">
        <f>IFERROR(__xludf.DUMMYFUNCTION("""COMPUTED_VALUE"""),"Yes")</f>
        <v>Yes</v>
      </c>
      <c r="P182" s="26"/>
    </row>
    <row r="183">
      <c r="A183" s="13" t="str">
        <f>IFERROR(__xludf.DUMMYFUNCTION("""COMPUTED_VALUE"""),"LEGO DC Super-Villains")</f>
        <v>LEGO DC Super-Villains</v>
      </c>
      <c r="B183" s="15" t="str">
        <f>IFERROR(__xludf.DUMMYFUNCTION("""COMPUTED_VALUE"""),"PS4")</f>
        <v>PS4</v>
      </c>
      <c r="C183" s="16" t="str">
        <f>IFERROR(__xludf.DUMMYFUNCTION("""COMPUTED_VALUE"""),"Extra")</f>
        <v>Extra</v>
      </c>
      <c r="D183" s="15" t="str">
        <f>IFERROR(__xludf.DUMMYFUNCTION("""COMPUTED_VALUE"""),"Active")</f>
        <v>Active</v>
      </c>
      <c r="E183" s="17">
        <f>IFERROR(__xludf.DUMMYFUNCTION("""COMPUTED_VALUE"""),45370.0)</f>
        <v>45370</v>
      </c>
      <c r="F183" s="54"/>
      <c r="G183" s="19">
        <f>IFERROR(__xludf.DUMMYFUNCTION("""COMPUTED_VALUE"""),30.566666666666663)</f>
        <v>30.56666667</v>
      </c>
      <c r="H183" s="17">
        <f>IFERROR(__xludf.DUMMYFUNCTION("""COMPUTED_VALUE"""),41079.0)</f>
        <v>41079</v>
      </c>
      <c r="I183" s="19">
        <f>IFERROR(__xludf.DUMMYFUNCTION("""COMPUTED_VALUE"""),11.75)</f>
        <v>11.75</v>
      </c>
      <c r="J183" s="21">
        <f>IFERROR(__xludf.DUMMYFUNCTION("""COMPUTED_VALUE"""),79.0)</f>
        <v>79</v>
      </c>
      <c r="K183" s="23">
        <f>IFERROR(__xludf.DUMMYFUNCTION("""COMPUTED_VALUE"""),7.0)</f>
        <v>7</v>
      </c>
      <c r="L183" s="24">
        <f>IFERROR(__xludf.DUMMYFUNCTION("""COMPUTED_VALUE"""),10.0)</f>
        <v>10</v>
      </c>
      <c r="M183" s="25" t="str">
        <f>IFERROR(__xludf.DUMMYFUNCTION("""COMPUTED_VALUE"""),"Action-Adventure")</f>
        <v>Action-Adventure</v>
      </c>
      <c r="N183" s="25"/>
      <c r="O183" s="25" t="str">
        <f>IFERROR(__xludf.DUMMYFUNCTION("""COMPUTED_VALUE"""),"Yes")</f>
        <v>Yes</v>
      </c>
      <c r="P183" s="26"/>
    </row>
    <row r="184">
      <c r="A184" s="13" t="str">
        <f>IFERROR(__xludf.DUMMYFUNCTION("""COMPUTED_VALUE"""),"Eldest Souls")</f>
        <v>Eldest Souls</v>
      </c>
      <c r="B184" s="15" t="str">
        <f>IFERROR(__xludf.DUMMYFUNCTION("""COMPUTED_VALUE"""),"PS5/PS4")</f>
        <v>PS5/PS4</v>
      </c>
      <c r="C184" s="16" t="str">
        <f>IFERROR(__xludf.DUMMYFUNCTION("""COMPUTED_VALUE"""),"Extra")</f>
        <v>Extra</v>
      </c>
      <c r="D184" s="15" t="str">
        <f>IFERROR(__xludf.DUMMYFUNCTION("""COMPUTED_VALUE"""),"Active")</f>
        <v>Active</v>
      </c>
      <c r="E184" s="17">
        <f>IFERROR(__xludf.DUMMYFUNCTION("""COMPUTED_VALUE"""),45216.0)</f>
        <v>45216</v>
      </c>
      <c r="F184" s="54"/>
      <c r="G184" s="19">
        <f>IFERROR(__xludf.DUMMYFUNCTION("""COMPUTED_VALUE"""),35.63333333333333)</f>
        <v>35.63333333</v>
      </c>
      <c r="H184" s="17">
        <f>IFERROR(__xludf.DUMMYFUNCTION("""COMPUTED_VALUE"""),44406.0)</f>
        <v>44406</v>
      </c>
      <c r="I184" s="19">
        <f>IFERROR(__xludf.DUMMYFUNCTION("""COMPUTED_VALUE"""),2.216666666666667)</f>
        <v>2.216666667</v>
      </c>
      <c r="J184" s="21">
        <f>IFERROR(__xludf.DUMMYFUNCTION("""COMPUTED_VALUE"""),79.0)</f>
        <v>79</v>
      </c>
      <c r="K184" s="23">
        <f>IFERROR(__xludf.DUMMYFUNCTION("""COMPUTED_VALUE"""),6.8)</f>
        <v>6.8</v>
      </c>
      <c r="L184" s="24">
        <f>IFERROR(__xludf.DUMMYFUNCTION("""COMPUTED_VALUE"""),5.0)</f>
        <v>5</v>
      </c>
      <c r="M184" s="25" t="str">
        <f>IFERROR(__xludf.DUMMYFUNCTION("""COMPUTED_VALUE"""),"RPG")</f>
        <v>RPG</v>
      </c>
      <c r="N184" s="25"/>
      <c r="O184" s="25" t="str">
        <f>IFERROR(__xludf.DUMMYFUNCTION("""COMPUTED_VALUE"""),"Yes")</f>
        <v>Yes</v>
      </c>
      <c r="P184" s="26"/>
    </row>
    <row r="185">
      <c r="A185" s="13" t="str">
        <f>IFERROR(__xludf.DUMMYFUNCTION("""COMPUTED_VALUE"""),"A Hat in Time")</f>
        <v>A Hat in Time</v>
      </c>
      <c r="B185" s="15" t="str">
        <f>IFERROR(__xludf.DUMMYFUNCTION("""COMPUTED_VALUE"""),"PS4")</f>
        <v>PS4</v>
      </c>
      <c r="C185" s="16" t="str">
        <f>IFERROR(__xludf.DUMMYFUNCTION("""COMPUTED_VALUE"""),"Extra")</f>
        <v>Extra</v>
      </c>
      <c r="D185" s="15" t="str">
        <f>IFERROR(__xludf.DUMMYFUNCTION("""COMPUTED_VALUE"""),"Active")</f>
        <v>Active</v>
      </c>
      <c r="E185" s="17">
        <f>IFERROR(__xludf.DUMMYFUNCTION("""COMPUTED_VALUE"""),45097.0)</f>
        <v>45097</v>
      </c>
      <c r="F185" s="54"/>
      <c r="G185" s="19">
        <f>IFERROR(__xludf.DUMMYFUNCTION("""COMPUTED_VALUE"""),39.53333333333333)</f>
        <v>39.53333333</v>
      </c>
      <c r="H185" s="17">
        <f>IFERROR(__xludf.DUMMYFUNCTION("""COMPUTED_VALUE"""),43074.0)</f>
        <v>43074</v>
      </c>
      <c r="I185" s="19">
        <f>IFERROR(__xludf.DUMMYFUNCTION("""COMPUTED_VALUE"""),5.541666666666667)</f>
        <v>5.541666667</v>
      </c>
      <c r="J185" s="21">
        <f>IFERROR(__xludf.DUMMYFUNCTION("""COMPUTED_VALUE"""),79.0)</f>
        <v>79</v>
      </c>
      <c r="K185" s="23">
        <f>IFERROR(__xludf.DUMMYFUNCTION("""COMPUTED_VALUE"""),8.2)</f>
        <v>8.2</v>
      </c>
      <c r="L185" s="24">
        <f>IFERROR(__xludf.DUMMYFUNCTION("""COMPUTED_VALUE"""),10.0)</f>
        <v>10</v>
      </c>
      <c r="M185" s="25" t="str">
        <f>IFERROR(__xludf.DUMMYFUNCTION("""COMPUTED_VALUE"""),"Action-Adventure")</f>
        <v>Action-Adventure</v>
      </c>
      <c r="N185" s="25"/>
      <c r="O185" s="25" t="str">
        <f>IFERROR(__xludf.DUMMYFUNCTION("""COMPUTED_VALUE"""),"Yes")</f>
        <v>Yes</v>
      </c>
      <c r="P185" s="26"/>
    </row>
    <row r="186">
      <c r="A186" s="13" t="str">
        <f>IFERROR(__xludf.DUMMYFUNCTION("""COMPUTED_VALUE"""),"Little Nightmares")</f>
        <v>Little Nightmares</v>
      </c>
      <c r="B186" s="15" t="str">
        <f>IFERROR(__xludf.DUMMYFUNCTION("""COMPUTED_VALUE"""),"PS4")</f>
        <v>PS4</v>
      </c>
      <c r="C186" s="16" t="str">
        <f>IFERROR(__xludf.DUMMYFUNCTION("""COMPUTED_VALUE"""),"Extra")</f>
        <v>Extra</v>
      </c>
      <c r="D186" s="15" t="str">
        <f>IFERROR(__xludf.DUMMYFUNCTION("""COMPUTED_VALUE"""),"Active")</f>
        <v>Active</v>
      </c>
      <c r="E186" s="17">
        <f>IFERROR(__xludf.DUMMYFUNCTION("""COMPUTED_VALUE"""),44725.0)</f>
        <v>44725</v>
      </c>
      <c r="F186" s="71"/>
      <c r="G186" s="19">
        <f>IFERROR(__xludf.DUMMYFUNCTION("""COMPUTED_VALUE"""),51.766666666666666)</f>
        <v>51.76666667</v>
      </c>
      <c r="H186" s="17">
        <f>IFERROR(__xludf.DUMMYFUNCTION("""COMPUTED_VALUE"""),42853.0)</f>
        <v>42853</v>
      </c>
      <c r="I186" s="19">
        <f>IFERROR(__xludf.DUMMYFUNCTION("""COMPUTED_VALUE"""),5.125)</f>
        <v>5.125</v>
      </c>
      <c r="J186" s="21">
        <f>IFERROR(__xludf.DUMMYFUNCTION("""COMPUTED_VALUE"""),79.0)</f>
        <v>79</v>
      </c>
      <c r="K186" s="23">
        <f>IFERROR(__xludf.DUMMYFUNCTION("""COMPUTED_VALUE"""),8.0)</f>
        <v>8</v>
      </c>
      <c r="L186" s="24">
        <f>IFERROR(__xludf.DUMMYFUNCTION("""COMPUTED_VALUE"""),3.5)</f>
        <v>3.5</v>
      </c>
      <c r="M186" s="25" t="str">
        <f>IFERROR(__xludf.DUMMYFUNCTION("""COMPUTED_VALUE"""),"Action-Adventure")</f>
        <v>Action-Adventure</v>
      </c>
      <c r="N186" s="25"/>
      <c r="O186" s="25" t="str">
        <f>IFERROR(__xludf.DUMMYFUNCTION("""COMPUTED_VALUE"""),"Yes")</f>
        <v>Yes</v>
      </c>
      <c r="P186" s="26"/>
    </row>
    <row r="187">
      <c r="A187" s="13" t="str">
        <f>IFERROR(__xludf.DUMMYFUNCTION("""COMPUTED_VALUE"""),"Trials Rising")</f>
        <v>Trials Rising</v>
      </c>
      <c r="B187" s="15" t="str">
        <f>IFERROR(__xludf.DUMMYFUNCTION("""COMPUTED_VALUE"""),"PS4")</f>
        <v>PS4</v>
      </c>
      <c r="C187" s="16" t="str">
        <f>IFERROR(__xludf.DUMMYFUNCTION("""COMPUTED_VALUE"""),"Extra (Ubisoft+ Classics)")</f>
        <v>Extra (Ubisoft+ Classics)</v>
      </c>
      <c r="D187" s="15" t="str">
        <f>IFERROR(__xludf.DUMMYFUNCTION("""COMPUTED_VALUE"""),"Active")</f>
        <v>Active</v>
      </c>
      <c r="E187" s="17">
        <f>IFERROR(__xludf.DUMMYFUNCTION("""COMPUTED_VALUE"""),44725.0)</f>
        <v>44725</v>
      </c>
      <c r="F187" s="54"/>
      <c r="G187" s="19">
        <f>IFERROR(__xludf.DUMMYFUNCTION("""COMPUTED_VALUE"""),51.766666666666666)</f>
        <v>51.76666667</v>
      </c>
      <c r="H187" s="17">
        <f>IFERROR(__xludf.DUMMYFUNCTION("""COMPUTED_VALUE"""),43522.0)</f>
        <v>43522</v>
      </c>
      <c r="I187" s="19">
        <f>IFERROR(__xludf.DUMMYFUNCTION("""COMPUTED_VALUE"""),3.297222222222222)</f>
        <v>3.297222222</v>
      </c>
      <c r="J187" s="21">
        <f>IFERROR(__xludf.DUMMYFUNCTION("""COMPUTED_VALUE"""),79.0)</f>
        <v>79</v>
      </c>
      <c r="K187" s="23">
        <f>IFERROR(__xludf.DUMMYFUNCTION("""COMPUTED_VALUE"""),6.5)</f>
        <v>6.5</v>
      </c>
      <c r="L187" s="24">
        <f>IFERROR(__xludf.DUMMYFUNCTION("""COMPUTED_VALUE"""),13.0)</f>
        <v>13</v>
      </c>
      <c r="M187" s="25" t="str">
        <f>IFERROR(__xludf.DUMMYFUNCTION("""COMPUTED_VALUE"""),"Racing")</f>
        <v>Racing</v>
      </c>
      <c r="N187" s="25"/>
      <c r="O187" s="25" t="str">
        <f>IFERROR(__xludf.DUMMYFUNCTION("""COMPUTED_VALUE"""),"Yes")</f>
        <v>Yes</v>
      </c>
      <c r="P187" s="26" t="str">
        <f>IFERROR(__xludf.DUMMYFUNCTION("""COMPUTED_VALUE"""),"Yes")</f>
        <v>Yes</v>
      </c>
    </row>
    <row r="188">
      <c r="A188" s="13" t="str">
        <f>IFERROR(__xludf.DUMMYFUNCTION("""COMPUTED_VALUE"""),"Warhammer Vermintide 2")</f>
        <v>Warhammer Vermintide 2</v>
      </c>
      <c r="B188" s="15" t="str">
        <f>IFERROR(__xludf.DUMMYFUNCTION("""COMPUTED_VALUE"""),"PS4")</f>
        <v>PS4</v>
      </c>
      <c r="C188" s="16" t="str">
        <f>IFERROR(__xludf.DUMMYFUNCTION("""COMPUTED_VALUE"""),"Extra")</f>
        <v>Extra</v>
      </c>
      <c r="D188" s="15" t="str">
        <f>IFERROR(__xludf.DUMMYFUNCTION("""COMPUTED_VALUE"""),"Active")</f>
        <v>Active</v>
      </c>
      <c r="E188" s="17">
        <f>IFERROR(__xludf.DUMMYFUNCTION("""COMPUTED_VALUE"""),44138.0)</f>
        <v>44138</v>
      </c>
      <c r="F188" s="54"/>
      <c r="G188" s="19">
        <f>IFERROR(__xludf.DUMMYFUNCTION("""COMPUTED_VALUE"""),71.1)</f>
        <v>71.1</v>
      </c>
      <c r="H188" s="17">
        <f>IFERROR(__xludf.DUMMYFUNCTION("""COMPUTED_VALUE"""),43167.0)</f>
        <v>43167</v>
      </c>
      <c r="I188" s="19">
        <f>IFERROR(__xludf.DUMMYFUNCTION("""COMPUTED_VALUE"""),2.6527777777777777)</f>
        <v>2.652777778</v>
      </c>
      <c r="J188" s="21">
        <f>IFERROR(__xludf.DUMMYFUNCTION("""COMPUTED_VALUE"""),79.0)</f>
        <v>79</v>
      </c>
      <c r="K188" s="23">
        <f>IFERROR(__xludf.DUMMYFUNCTION("""COMPUTED_VALUE"""),7.7)</f>
        <v>7.7</v>
      </c>
      <c r="L188" s="24">
        <f>IFERROR(__xludf.DUMMYFUNCTION("""COMPUTED_VALUE"""),24.0)</f>
        <v>24</v>
      </c>
      <c r="M188" s="25" t="str">
        <f>IFERROR(__xludf.DUMMYFUNCTION("""COMPUTED_VALUE"""),"Action-Adventure")</f>
        <v>Action-Adventure</v>
      </c>
      <c r="N188" s="25"/>
      <c r="O188" s="25" t="str">
        <f>IFERROR(__xludf.DUMMYFUNCTION("""COMPUTED_VALUE"""),"Yes")</f>
        <v>Yes</v>
      </c>
      <c r="P188" s="26"/>
    </row>
    <row r="189">
      <c r="A189" s="13" t="str">
        <f>IFERROR(__xludf.DUMMYFUNCTION("""COMPUTED_VALUE"""),"Wolfenstein: The New Order")</f>
        <v>Wolfenstein: The New Order</v>
      </c>
      <c r="B189" s="15" t="str">
        <f>IFERROR(__xludf.DUMMYFUNCTION("""COMPUTED_VALUE"""),"PS4")</f>
        <v>PS4</v>
      </c>
      <c r="C189" s="16" t="str">
        <f>IFERROR(__xludf.DUMMYFUNCTION("""COMPUTED_VALUE"""),"Extra")</f>
        <v>Extra</v>
      </c>
      <c r="D189" s="15" t="str">
        <f>IFERROR(__xludf.DUMMYFUNCTION("""COMPUTED_VALUE"""),"Active")</f>
        <v>Active</v>
      </c>
      <c r="E189" s="17">
        <f>IFERROR(__xludf.DUMMYFUNCTION("""COMPUTED_VALUE"""),43683.0)</f>
        <v>43683</v>
      </c>
      <c r="F189" s="54"/>
      <c r="G189" s="19">
        <f>IFERROR(__xludf.DUMMYFUNCTION("""COMPUTED_VALUE"""),86.0)</f>
        <v>86</v>
      </c>
      <c r="H189" s="17">
        <f>IFERROR(__xludf.DUMMYFUNCTION("""COMPUTED_VALUE"""),41779.0)</f>
        <v>41779</v>
      </c>
      <c r="I189" s="19">
        <f>IFERROR(__xludf.DUMMYFUNCTION("""COMPUTED_VALUE"""),5.211111111111111)</f>
        <v>5.211111111</v>
      </c>
      <c r="J189" s="21">
        <f>IFERROR(__xludf.DUMMYFUNCTION("""COMPUTED_VALUE"""),79.0)</f>
        <v>79</v>
      </c>
      <c r="K189" s="23">
        <f>IFERROR(__xludf.DUMMYFUNCTION("""COMPUTED_VALUE"""),8.3)</f>
        <v>8.3</v>
      </c>
      <c r="L189" s="24">
        <f>IFERROR(__xludf.DUMMYFUNCTION("""COMPUTED_VALUE"""),11.0)</f>
        <v>11</v>
      </c>
      <c r="M189" s="25" t="str">
        <f>IFERROR(__xludf.DUMMYFUNCTION("""COMPUTED_VALUE"""),"Shooter")</f>
        <v>Shooter</v>
      </c>
      <c r="N189" s="25"/>
      <c r="O189" s="25" t="str">
        <f>IFERROR(__xludf.DUMMYFUNCTION("""COMPUTED_VALUE"""),"Yes")</f>
        <v>Yes</v>
      </c>
      <c r="P189" s="26"/>
    </row>
    <row r="190">
      <c r="A190" s="13" t="str">
        <f>IFERROR(__xludf.DUMMYFUNCTION("""COMPUTED_VALUE"""),"Sniper Elite 4")</f>
        <v>Sniper Elite 4</v>
      </c>
      <c r="B190" s="15" t="str">
        <f>IFERROR(__xludf.DUMMYFUNCTION("""COMPUTED_VALUE"""),"PS4")</f>
        <v>PS4</v>
      </c>
      <c r="C190" s="16" t="str">
        <f>IFERROR(__xludf.DUMMYFUNCTION("""COMPUTED_VALUE"""),"Extra")</f>
        <v>Extra</v>
      </c>
      <c r="D190" s="15" t="str">
        <f>IFERROR(__xludf.DUMMYFUNCTION("""COMPUTED_VALUE"""),"Active")</f>
        <v>Active</v>
      </c>
      <c r="E190" s="17">
        <f>IFERROR(__xludf.DUMMYFUNCTION("""COMPUTED_VALUE"""),43378.0)</f>
        <v>43378</v>
      </c>
      <c r="F190" s="54"/>
      <c r="G190" s="19">
        <f>IFERROR(__xludf.DUMMYFUNCTION("""COMPUTED_VALUE"""),96.03333333333333)</f>
        <v>96.03333333</v>
      </c>
      <c r="H190" s="17">
        <f>IFERROR(__xludf.DUMMYFUNCTION("""COMPUTED_VALUE"""),42780.0)</f>
        <v>42780</v>
      </c>
      <c r="I190" s="19">
        <f>IFERROR(__xludf.DUMMYFUNCTION("""COMPUTED_VALUE"""),1.6416666666666666)</f>
        <v>1.641666667</v>
      </c>
      <c r="J190" s="21">
        <f>IFERROR(__xludf.DUMMYFUNCTION("""COMPUTED_VALUE"""),79.0)</f>
        <v>79</v>
      </c>
      <c r="K190" s="23">
        <f>IFERROR(__xludf.DUMMYFUNCTION("""COMPUTED_VALUE"""),7.7)</f>
        <v>7.7</v>
      </c>
      <c r="L190" s="24">
        <f>IFERROR(__xludf.DUMMYFUNCTION("""COMPUTED_VALUE"""),13.0)</f>
        <v>13</v>
      </c>
      <c r="M190" s="25" t="str">
        <f>IFERROR(__xludf.DUMMYFUNCTION("""COMPUTED_VALUE"""),"Shooter")</f>
        <v>Shooter</v>
      </c>
      <c r="N190" s="25"/>
      <c r="O190" s="25" t="str">
        <f>IFERROR(__xludf.DUMMYFUNCTION("""COMPUTED_VALUE"""),"Yes")</f>
        <v>Yes</v>
      </c>
      <c r="P190" s="26" t="str">
        <f>IFERROR(__xludf.DUMMYFUNCTION("""COMPUTED_VALUE"""),"Yes")</f>
        <v>Yes</v>
      </c>
    </row>
    <row r="191">
      <c r="A191" s="13" t="str">
        <f>IFERROR(__xludf.DUMMYFUNCTION("""COMPUTED_VALUE"""),"Alienation")</f>
        <v>Alienation</v>
      </c>
      <c r="B191" s="15" t="str">
        <f>IFERROR(__xludf.DUMMYFUNCTION("""COMPUTED_VALUE"""),"PS4")</f>
        <v>PS4</v>
      </c>
      <c r="C191" s="16" t="str">
        <f>IFERROR(__xludf.DUMMYFUNCTION("""COMPUTED_VALUE"""),"Extra")</f>
        <v>Extra</v>
      </c>
      <c r="D191" s="15" t="str">
        <f>IFERROR(__xludf.DUMMYFUNCTION("""COMPUTED_VALUE"""),"Active")</f>
        <v>Active</v>
      </c>
      <c r="E191" s="17">
        <f>IFERROR(__xludf.DUMMYFUNCTION("""COMPUTED_VALUE"""),43109.0)</f>
        <v>43109</v>
      </c>
      <c r="F191" s="54"/>
      <c r="G191" s="19">
        <f>IFERROR(__xludf.DUMMYFUNCTION("""COMPUTED_VALUE"""),104.9)</f>
        <v>104.9</v>
      </c>
      <c r="H191" s="17">
        <f>IFERROR(__xludf.DUMMYFUNCTION("""COMPUTED_VALUE"""),42461.0)</f>
        <v>42461</v>
      </c>
      <c r="I191" s="19">
        <f>IFERROR(__xludf.DUMMYFUNCTION("""COMPUTED_VALUE"""),1.7722222222222221)</f>
        <v>1.772222222</v>
      </c>
      <c r="J191" s="21">
        <f>IFERROR(__xludf.DUMMYFUNCTION("""COMPUTED_VALUE"""),79.0)</f>
        <v>79</v>
      </c>
      <c r="K191" s="23">
        <f>IFERROR(__xludf.DUMMYFUNCTION("""COMPUTED_VALUE"""),7.7)</f>
        <v>7.7</v>
      </c>
      <c r="L191" s="24">
        <f>IFERROR(__xludf.DUMMYFUNCTION("""COMPUTED_VALUE"""),8.0)</f>
        <v>8</v>
      </c>
      <c r="M191" s="25" t="str">
        <f>IFERROR(__xludf.DUMMYFUNCTION("""COMPUTED_VALUE"""),"Shooter")</f>
        <v>Shooter</v>
      </c>
      <c r="N191" s="25"/>
      <c r="O191" s="25" t="str">
        <f>IFERROR(__xludf.DUMMYFUNCTION("""COMPUTED_VALUE"""),"Yes")</f>
        <v>Yes</v>
      </c>
      <c r="P191" s="26" t="str">
        <f>IFERROR(__xludf.DUMMYFUNCTION("""COMPUTED_VALUE"""),"Yes")</f>
        <v>Yes</v>
      </c>
    </row>
    <row r="192">
      <c r="A192" s="13" t="str">
        <f>IFERROR(__xludf.DUMMYFUNCTION("""COMPUTED_VALUE"""),"Everybody's Golf")</f>
        <v>Everybody's Golf</v>
      </c>
      <c r="B192" s="15" t="str">
        <f>IFERROR(__xludf.DUMMYFUNCTION("""COMPUTED_VALUE"""),"PS4")</f>
        <v>PS4</v>
      </c>
      <c r="C192" s="16" t="str">
        <f>IFERROR(__xludf.DUMMYFUNCTION("""COMPUTED_VALUE"""),"Extra")</f>
        <v>Extra</v>
      </c>
      <c r="D192" s="15" t="str">
        <f>IFERROR(__xludf.DUMMYFUNCTION("""COMPUTED_VALUE"""),"Active")</f>
        <v>Active</v>
      </c>
      <c r="E192" s="17">
        <f>IFERROR(__xludf.DUMMYFUNCTION("""COMPUTED_VALUE"""),43109.0)</f>
        <v>43109</v>
      </c>
      <c r="F192" s="54"/>
      <c r="G192" s="19">
        <f>IFERROR(__xludf.DUMMYFUNCTION("""COMPUTED_VALUE"""),104.9)</f>
        <v>104.9</v>
      </c>
      <c r="H192" s="17">
        <f>IFERROR(__xludf.DUMMYFUNCTION("""COMPUTED_VALUE"""),42976.0)</f>
        <v>42976</v>
      </c>
      <c r="I192" s="19">
        <f>IFERROR(__xludf.DUMMYFUNCTION("""COMPUTED_VALUE"""),0.3611111111111111)</f>
        <v>0.3611111111</v>
      </c>
      <c r="J192" s="21">
        <f>IFERROR(__xludf.DUMMYFUNCTION("""COMPUTED_VALUE"""),79.0)</f>
        <v>79</v>
      </c>
      <c r="K192" s="23">
        <f>IFERROR(__xludf.DUMMYFUNCTION("""COMPUTED_VALUE"""),7.8)</f>
        <v>7.8</v>
      </c>
      <c r="L192" s="24">
        <f>IFERROR(__xludf.DUMMYFUNCTION("""COMPUTED_VALUE"""),16.0)</f>
        <v>16</v>
      </c>
      <c r="M192" s="25" t="str">
        <f>IFERROR(__xludf.DUMMYFUNCTION("""COMPUTED_VALUE"""),"Sports")</f>
        <v>Sports</v>
      </c>
      <c r="N192" s="25"/>
      <c r="O192" s="25" t="str">
        <f>IFERROR(__xludf.DUMMYFUNCTION("""COMPUTED_VALUE"""),"No")</f>
        <v>No</v>
      </c>
      <c r="P192" s="26" t="str">
        <f>IFERROR(__xludf.DUMMYFUNCTION("""COMPUTED_VALUE"""),"Yes")</f>
        <v>Yes</v>
      </c>
    </row>
    <row r="193">
      <c r="A193" s="13" t="str">
        <f>IFERROR(__xludf.DUMMYFUNCTION("""COMPUTED_VALUE"""),"Until Dawn")</f>
        <v>Until Dawn</v>
      </c>
      <c r="B193" s="15" t="str">
        <f>IFERROR(__xludf.DUMMYFUNCTION("""COMPUTED_VALUE"""),"PS4")</f>
        <v>PS4</v>
      </c>
      <c r="C193" s="16" t="str">
        <f>IFERROR(__xludf.DUMMYFUNCTION("""COMPUTED_VALUE"""),"Extra")</f>
        <v>Extra</v>
      </c>
      <c r="D193" s="15" t="str">
        <f>IFERROR(__xludf.DUMMYFUNCTION("""COMPUTED_VALUE"""),"Active")</f>
        <v>Active</v>
      </c>
      <c r="E193" s="17">
        <f>IFERROR(__xludf.DUMMYFUNCTION("""COMPUTED_VALUE"""),42920.0)</f>
        <v>42920</v>
      </c>
      <c r="F193" s="54"/>
      <c r="G193" s="19">
        <f>IFERROR(__xludf.DUMMYFUNCTION("""COMPUTED_VALUE"""),111.06666666666668)</f>
        <v>111.0666667</v>
      </c>
      <c r="H193" s="17">
        <f>IFERROR(__xludf.DUMMYFUNCTION("""COMPUTED_VALUE"""),42241.0)</f>
        <v>42241</v>
      </c>
      <c r="I193" s="19">
        <f>IFERROR(__xludf.DUMMYFUNCTION("""COMPUTED_VALUE"""),1.8583333333333334)</f>
        <v>1.858333333</v>
      </c>
      <c r="J193" s="21">
        <f>IFERROR(__xludf.DUMMYFUNCTION("""COMPUTED_VALUE"""),79.0)</f>
        <v>79</v>
      </c>
      <c r="K193" s="23">
        <f>IFERROR(__xludf.DUMMYFUNCTION("""COMPUTED_VALUE"""),8.3)</f>
        <v>8.3</v>
      </c>
      <c r="L193" s="24">
        <f>IFERROR(__xludf.DUMMYFUNCTION("""COMPUTED_VALUE"""),9.0)</f>
        <v>9</v>
      </c>
      <c r="M193" s="25" t="str">
        <f>IFERROR(__xludf.DUMMYFUNCTION("""COMPUTED_VALUE"""),"Horror")</f>
        <v>Horror</v>
      </c>
      <c r="N193" s="25"/>
      <c r="O193" s="25" t="str">
        <f>IFERROR(__xludf.DUMMYFUNCTION("""COMPUTED_VALUE"""),"Yes")</f>
        <v>Yes</v>
      </c>
      <c r="P193" s="26"/>
    </row>
    <row r="194">
      <c r="A194" s="13" t="str">
        <f>IFERROR(__xludf.DUMMYFUNCTION("""COMPUTED_VALUE"""),"PlateUp!")</f>
        <v>PlateUp!</v>
      </c>
      <c r="B194" s="15" t="str">
        <f>IFERROR(__xludf.DUMMYFUNCTION("""COMPUTED_VALUE"""),"PS5/PS4")</f>
        <v>PS5/PS4</v>
      </c>
      <c r="C194" s="16" t="str">
        <f>IFERROR(__xludf.DUMMYFUNCTION("""COMPUTED_VALUE"""),"Extra")</f>
        <v>Extra</v>
      </c>
      <c r="D194" s="15" t="str">
        <f>IFERROR(__xludf.DUMMYFUNCTION("""COMPUTED_VALUE"""),"Active")</f>
        <v>Active</v>
      </c>
      <c r="E194" s="17">
        <f>IFERROR(__xludf.DUMMYFUNCTION("""COMPUTED_VALUE"""),45762.0)</f>
        <v>45762</v>
      </c>
      <c r="F194" s="54"/>
      <c r="G194" s="19">
        <f>IFERROR(__xludf.DUMMYFUNCTION("""COMPUTED_VALUE"""),17.700000000000003)</f>
        <v>17.7</v>
      </c>
      <c r="H194" s="17">
        <f>IFERROR(__xludf.DUMMYFUNCTION("""COMPUTED_VALUE"""),44777.0)</f>
        <v>44777</v>
      </c>
      <c r="I194" s="19">
        <f>IFERROR(__xludf.DUMMYFUNCTION("""COMPUTED_VALUE"""),2.6972222222222224)</f>
        <v>2.697222222</v>
      </c>
      <c r="J194" s="21">
        <f>IFERROR(__xludf.DUMMYFUNCTION("""COMPUTED_VALUE"""),78.33333333333333)</f>
        <v>78.33333333</v>
      </c>
      <c r="K194" s="23">
        <f>IFERROR(__xludf.DUMMYFUNCTION("""COMPUTED_VALUE"""),6.9)</f>
        <v>6.9</v>
      </c>
      <c r="L194" s="24">
        <f>IFERROR(__xludf.DUMMYFUNCTION("""COMPUTED_VALUE"""),16.0)</f>
        <v>16</v>
      </c>
      <c r="M194" s="25" t="str">
        <f>IFERROR(__xludf.DUMMYFUNCTION("""COMPUTED_VALUE"""),"Arcade")</f>
        <v>Arcade</v>
      </c>
      <c r="N194" s="25"/>
      <c r="O194" s="25"/>
      <c r="P194" s="26"/>
    </row>
    <row r="195">
      <c r="A195" s="13" t="str">
        <f>IFERROR(__xludf.DUMMYFUNCTION("""COMPUTED_VALUE"""),"WWE 2K26")</f>
        <v>WWE 2K26</v>
      </c>
      <c r="B195" s="15" t="str">
        <f>IFERROR(__xludf.DUMMYFUNCTION("""COMPUTED_VALUE"""),"PS5")</f>
        <v>PS5</v>
      </c>
      <c r="C195" s="16" t="str">
        <f>IFERROR(__xludf.DUMMYFUNCTION("""COMPUTED_VALUE"""),"Extra")</f>
        <v>Extra</v>
      </c>
      <c r="D195" s="15" t="str">
        <f>IFERROR(__xludf.DUMMYFUNCTION("""COMPUTED_VALUE"""),"Active")</f>
        <v>Active</v>
      </c>
      <c r="E195" s="17">
        <f>IFERROR(__xludf.DUMMYFUNCTION("""COMPUTED_VALUE"""),46280.0)</f>
        <v>46280</v>
      </c>
      <c r="F195" s="18"/>
      <c r="G195" s="19">
        <f>IFERROR(__xludf.DUMMYFUNCTION("""COMPUTED_VALUE"""),0.7)</f>
        <v>0.7</v>
      </c>
      <c r="H195" s="17">
        <f>IFERROR(__xludf.DUMMYFUNCTION("""COMPUTED_VALUE"""),46094.0)</f>
        <v>46094</v>
      </c>
      <c r="I195" s="19">
        <f>IFERROR(__xludf.DUMMYFUNCTION("""COMPUTED_VALUE"""),0.5055555555555555)</f>
        <v>0.5055555556</v>
      </c>
      <c r="J195" s="21">
        <f>IFERROR(__xludf.DUMMYFUNCTION("""COMPUTED_VALUE"""),78.0)</f>
        <v>78</v>
      </c>
      <c r="K195" s="23">
        <f>IFERROR(__xludf.DUMMYFUNCTION("""COMPUTED_VALUE"""),3.5)</f>
        <v>3.5</v>
      </c>
      <c r="L195" s="24">
        <f>IFERROR(__xludf.DUMMYFUNCTION("""COMPUTED_VALUE"""),14.5)</f>
        <v>14.5</v>
      </c>
      <c r="M195" s="25" t="str">
        <f>IFERROR(__xludf.DUMMYFUNCTION("""COMPUTED_VALUE"""),"Wrestling")</f>
        <v>Wrestling</v>
      </c>
      <c r="N195" s="25"/>
      <c r="O195" s="25" t="str">
        <f>IFERROR(__xludf.DUMMYFUNCTION("""COMPUTED_VALUE"""),"No")</f>
        <v>No</v>
      </c>
      <c r="P195" s="26"/>
    </row>
    <row r="196">
      <c r="A196" s="13" t="str">
        <f>IFERROR(__xludf.DUMMYFUNCTION("""COMPUTED_VALUE"""),"Date Everything!")</f>
        <v>Date Everything!</v>
      </c>
      <c r="B196" s="15" t="str">
        <f>IFERROR(__xludf.DUMMYFUNCTION("""COMPUTED_VALUE"""),"PS5")</f>
        <v>PS5</v>
      </c>
      <c r="C196" s="16" t="str">
        <f>IFERROR(__xludf.DUMMYFUNCTION("""COMPUTED_VALUE"""),"Extra")</f>
        <v>Extra</v>
      </c>
      <c r="D196" s="15" t="str">
        <f>IFERROR(__xludf.DUMMYFUNCTION("""COMPUTED_VALUE"""),"Active")</f>
        <v>Active</v>
      </c>
      <c r="E196" s="17">
        <f>IFERROR(__xludf.DUMMYFUNCTION("""COMPUTED_VALUE"""),46275.0)</f>
        <v>46275</v>
      </c>
      <c r="F196" s="71"/>
      <c r="G196" s="19">
        <f>IFERROR(__xludf.DUMMYFUNCTION("""COMPUTED_VALUE"""),0.8666666666666666)</f>
        <v>0.8666666667</v>
      </c>
      <c r="H196" s="17">
        <f>IFERROR(__xludf.DUMMYFUNCTION("""COMPUTED_VALUE"""),45825.0)</f>
        <v>45825</v>
      </c>
      <c r="I196" s="19">
        <f>IFERROR(__xludf.DUMMYFUNCTION("""COMPUTED_VALUE"""),1.2305555555555556)</f>
        <v>1.230555556</v>
      </c>
      <c r="J196" s="21">
        <f>IFERROR(__xludf.DUMMYFUNCTION("""COMPUTED_VALUE"""),78.0)</f>
        <v>78</v>
      </c>
      <c r="K196" s="23">
        <f>IFERROR(__xludf.DUMMYFUNCTION("""COMPUTED_VALUE"""),6.7)</f>
        <v>6.7</v>
      </c>
      <c r="L196" s="24">
        <f>IFERROR(__xludf.DUMMYFUNCTION("""COMPUTED_VALUE"""),19.5)</f>
        <v>19.5</v>
      </c>
      <c r="M196" s="25" t="str">
        <f>IFERROR(__xludf.DUMMYFUNCTION("""COMPUTED_VALUE"""),"Action-Adventure")</f>
        <v>Action-Adventure</v>
      </c>
      <c r="N196" s="25"/>
      <c r="O196" s="25" t="str">
        <f>IFERROR(__xludf.DUMMYFUNCTION("""COMPUTED_VALUE"""),"No")</f>
        <v>No</v>
      </c>
      <c r="P196" s="26"/>
    </row>
    <row r="197">
      <c r="A197" s="13" t="str">
        <f>IFERROR(__xludf.DUMMYFUNCTION("""COMPUTED_VALUE"""),"Firefighting Simulator: Ignite")</f>
        <v>Firefighting Simulator: Ignite</v>
      </c>
      <c r="B197" s="15" t="str">
        <f>IFERROR(__xludf.DUMMYFUNCTION("""COMPUTED_VALUE"""),"PS5")</f>
        <v>PS5</v>
      </c>
      <c r="C197" s="16" t="str">
        <f>IFERROR(__xludf.DUMMYFUNCTION("""COMPUTED_VALUE"""),"Extra")</f>
        <v>Extra</v>
      </c>
      <c r="D197" s="15" t="str">
        <f>IFERROR(__xludf.DUMMYFUNCTION("""COMPUTED_VALUE"""),"Active")</f>
        <v>Active</v>
      </c>
      <c r="E197" s="17">
        <f>IFERROR(__xludf.DUMMYFUNCTION("""COMPUTED_VALUE"""),46224.0)</f>
        <v>46224</v>
      </c>
      <c r="F197" s="18"/>
      <c r="G197" s="19">
        <f>IFERROR(__xludf.DUMMYFUNCTION("""COMPUTED_VALUE"""),2.5)</f>
        <v>2.5</v>
      </c>
      <c r="H197" s="17">
        <f>IFERROR(__xludf.DUMMYFUNCTION("""COMPUTED_VALUE"""),45909.0)</f>
        <v>45909</v>
      </c>
      <c r="I197" s="19">
        <f>IFERROR(__xludf.DUMMYFUNCTION("""COMPUTED_VALUE"""),0.8666666666666667)</f>
        <v>0.8666666667</v>
      </c>
      <c r="J197" s="21">
        <f>IFERROR(__xludf.DUMMYFUNCTION("""COMPUTED_VALUE"""),78.0)</f>
        <v>78</v>
      </c>
      <c r="K197" s="23">
        <f>IFERROR(__xludf.DUMMYFUNCTION("""COMPUTED_VALUE"""),7.6)</f>
        <v>7.6</v>
      </c>
      <c r="L197" s="24">
        <f>IFERROR(__xludf.DUMMYFUNCTION("""COMPUTED_VALUE"""),15.0)</f>
        <v>15</v>
      </c>
      <c r="M197" s="25" t="str">
        <f>IFERROR(__xludf.DUMMYFUNCTION("""COMPUTED_VALUE"""),"Simulation")</f>
        <v>Simulation</v>
      </c>
      <c r="N197" s="25"/>
      <c r="O197" s="25" t="str">
        <f>IFERROR(__xludf.DUMMYFUNCTION("""COMPUTED_VALUE"""),"No")</f>
        <v>No</v>
      </c>
      <c r="P197" s="26"/>
    </row>
    <row r="198">
      <c r="A198" s="13" t="str">
        <f>IFERROR(__xludf.DUMMYFUNCTION("""COMPUTED_VALUE"""),"Insurgency: Sandstorm")</f>
        <v>Insurgency: Sandstorm</v>
      </c>
      <c r="B198" s="15" t="str">
        <f>IFERROR(__xludf.DUMMYFUNCTION("""COMPUTED_VALUE"""),"PS5/PS4")</f>
        <v>PS5/PS4</v>
      </c>
      <c r="C198" s="16" t="str">
        <f>IFERROR(__xludf.DUMMYFUNCTION("""COMPUTED_VALUE"""),"Extra")</f>
        <v>Extra</v>
      </c>
      <c r="D198" s="15" t="str">
        <f>IFERROR(__xludf.DUMMYFUNCTION("""COMPUTED_VALUE"""),"Active")</f>
        <v>Active</v>
      </c>
      <c r="E198" s="17">
        <f>IFERROR(__xludf.DUMMYFUNCTION("""COMPUTED_VALUE"""),45979.0)</f>
        <v>45979</v>
      </c>
      <c r="F198" s="54"/>
      <c r="G198" s="19">
        <f>IFERROR(__xludf.DUMMYFUNCTION("""COMPUTED_VALUE"""),10.6)</f>
        <v>10.6</v>
      </c>
      <c r="H198" s="17">
        <f>IFERROR(__xludf.DUMMYFUNCTION("""COMPUTED_VALUE"""),43446.0)</f>
        <v>43446</v>
      </c>
      <c r="I198" s="19">
        <f>IFERROR(__xludf.DUMMYFUNCTION("""COMPUTED_VALUE"""),6.933333333333334)</f>
        <v>6.933333333</v>
      </c>
      <c r="J198" s="21">
        <f>IFERROR(__xludf.DUMMYFUNCTION("""COMPUTED_VALUE"""),78.0)</f>
        <v>78</v>
      </c>
      <c r="K198" s="23">
        <f>IFERROR(__xludf.DUMMYFUNCTION("""COMPUTED_VALUE"""),8.0)</f>
        <v>8</v>
      </c>
      <c r="L198" s="24" t="str">
        <f>IFERROR(__xludf.DUMMYFUNCTION("""COMPUTED_VALUE"""),"15")</f>
        <v>15</v>
      </c>
      <c r="M198" s="25" t="str">
        <f>IFERROR(__xludf.DUMMYFUNCTION("""COMPUTED_VALUE"""),"Shooter")</f>
        <v>Shooter</v>
      </c>
      <c r="N198" s="25"/>
      <c r="O198" s="25"/>
      <c r="P198" s="26"/>
    </row>
    <row r="199">
      <c r="A199" s="13" t="str">
        <f>IFERROR(__xludf.DUMMYFUNCTION("""COMPUTED_VALUE"""),"Green Hell")</f>
        <v>Green Hell</v>
      </c>
      <c r="B199" s="15" t="str">
        <f>IFERROR(__xludf.DUMMYFUNCTION("""COMPUTED_VALUE"""),"PS5/PS4")</f>
        <v>PS5/PS4</v>
      </c>
      <c r="C199" s="16" t="str">
        <f>IFERROR(__xludf.DUMMYFUNCTION("""COMPUTED_VALUE"""),"Extra")</f>
        <v>Extra</v>
      </c>
      <c r="D199" s="15" t="str">
        <f>IFERROR(__xludf.DUMMYFUNCTION("""COMPUTED_VALUE"""),"Active")</f>
        <v>Active</v>
      </c>
      <c r="E199" s="17">
        <f>IFERROR(__xludf.DUMMYFUNCTION("""COMPUTED_VALUE"""),45916.0)</f>
        <v>45916</v>
      </c>
      <c r="F199" s="54"/>
      <c r="G199" s="19">
        <f>IFERROR(__xludf.DUMMYFUNCTION("""COMPUTED_VALUE"""),12.666666666666668)</f>
        <v>12.66666667</v>
      </c>
      <c r="H199" s="17">
        <f>IFERROR(__xludf.DUMMYFUNCTION("""COMPUTED_VALUE"""),43713.0)</f>
        <v>43713</v>
      </c>
      <c r="I199" s="19">
        <f>IFERROR(__xludf.DUMMYFUNCTION("""COMPUTED_VALUE"""),6.030555555555556)</f>
        <v>6.030555556</v>
      </c>
      <c r="J199" s="21">
        <f>IFERROR(__xludf.DUMMYFUNCTION("""COMPUTED_VALUE"""),78.0)</f>
        <v>78</v>
      </c>
      <c r="K199" s="23">
        <f>IFERROR(__xludf.DUMMYFUNCTION("""COMPUTED_VALUE"""),7.5)</f>
        <v>7.5</v>
      </c>
      <c r="L199" s="24">
        <f>IFERROR(__xludf.DUMMYFUNCTION("""COMPUTED_VALUE"""),17.0)</f>
        <v>17</v>
      </c>
      <c r="M199" s="25" t="str">
        <f>IFERROR(__xludf.DUMMYFUNCTION("""COMPUTED_VALUE"""),"Survival")</f>
        <v>Survival</v>
      </c>
      <c r="N199" s="25"/>
      <c r="O199" s="25"/>
      <c r="P199" s="26"/>
    </row>
    <row r="200">
      <c r="A200" s="13" t="str">
        <f>IFERROR(__xludf.DUMMYFUNCTION("""COMPUTED_VALUE"""),"Banishers: Ghosts of New Eden")</f>
        <v>Banishers: Ghosts of New Eden</v>
      </c>
      <c r="B200" s="15" t="str">
        <f>IFERROR(__xludf.DUMMYFUNCTION("""COMPUTED_VALUE"""),"PS5")</f>
        <v>PS5</v>
      </c>
      <c r="C200" s="16" t="str">
        <f>IFERROR(__xludf.DUMMYFUNCTION("""COMPUTED_VALUE"""),"Extra")</f>
        <v>Extra</v>
      </c>
      <c r="D200" s="15" t="str">
        <f>IFERROR(__xludf.DUMMYFUNCTION("""COMPUTED_VALUE"""),"Active")</f>
        <v>Active</v>
      </c>
      <c r="E200" s="17">
        <f>IFERROR(__xludf.DUMMYFUNCTION("""COMPUTED_VALUE"""),45853.0)</f>
        <v>45853</v>
      </c>
      <c r="F200" s="54"/>
      <c r="G200" s="19">
        <f>IFERROR(__xludf.DUMMYFUNCTION("""COMPUTED_VALUE"""),14.700000000000001)</f>
        <v>14.7</v>
      </c>
      <c r="H200" s="17">
        <f>IFERROR(__xludf.DUMMYFUNCTION("""COMPUTED_VALUE"""),45335.0)</f>
        <v>45335</v>
      </c>
      <c r="I200" s="19">
        <f>IFERROR(__xludf.DUMMYFUNCTION("""COMPUTED_VALUE"""),1.4222222222222223)</f>
        <v>1.422222222</v>
      </c>
      <c r="J200" s="21">
        <f>IFERROR(__xludf.DUMMYFUNCTION("""COMPUTED_VALUE"""),78.0)</f>
        <v>78</v>
      </c>
      <c r="K200" s="23">
        <f>IFERROR(__xludf.DUMMYFUNCTION("""COMPUTED_VALUE"""),7.8)</f>
        <v>7.8</v>
      </c>
      <c r="L200" s="24">
        <f>IFERROR(__xludf.DUMMYFUNCTION("""COMPUTED_VALUE"""),22.0)</f>
        <v>22</v>
      </c>
      <c r="M200" s="25" t="str">
        <f>IFERROR(__xludf.DUMMYFUNCTION("""COMPUTED_VALUE"""),"Action-Adventure")</f>
        <v>Action-Adventure</v>
      </c>
      <c r="N200" s="25"/>
      <c r="O200" s="25" t="str">
        <f>IFERROR(__xludf.DUMMYFUNCTION("""COMPUTED_VALUE"""),"No")</f>
        <v>No</v>
      </c>
      <c r="P200" s="26"/>
    </row>
    <row r="201">
      <c r="A201" s="13" t="str">
        <f>IFERROR(__xludf.DUMMYFUNCTION("""COMPUTED_VALUE"""),"Another Crab's Treasure")</f>
        <v>Another Crab's Treasure</v>
      </c>
      <c r="B201" s="15" t="str">
        <f>IFERROR(__xludf.DUMMYFUNCTION("""COMPUTED_VALUE"""),"PS5")</f>
        <v>PS5</v>
      </c>
      <c r="C201" s="16" t="str">
        <f>IFERROR(__xludf.DUMMYFUNCTION("""COMPUTED_VALUE"""),"Extra")</f>
        <v>Extra</v>
      </c>
      <c r="D201" s="15" t="str">
        <f>IFERROR(__xludf.DUMMYFUNCTION("""COMPUTED_VALUE"""),"Active")</f>
        <v>Active</v>
      </c>
      <c r="E201" s="17">
        <f>IFERROR(__xludf.DUMMYFUNCTION("""COMPUTED_VALUE"""),45806.0)</f>
        <v>45806</v>
      </c>
      <c r="F201" s="54"/>
      <c r="G201" s="19">
        <f>IFERROR(__xludf.DUMMYFUNCTION("""COMPUTED_VALUE"""),16.233333333333334)</f>
        <v>16.23333333</v>
      </c>
      <c r="H201" s="17">
        <f>IFERROR(__xludf.DUMMYFUNCTION("""COMPUTED_VALUE"""),45407.0)</f>
        <v>45407</v>
      </c>
      <c r="I201" s="19">
        <f>IFERROR(__xludf.DUMMYFUNCTION("""COMPUTED_VALUE"""),1.0944444444444446)</f>
        <v>1.094444444</v>
      </c>
      <c r="J201" s="21">
        <f>IFERROR(__xludf.DUMMYFUNCTION("""COMPUTED_VALUE"""),78.0)</f>
        <v>78</v>
      </c>
      <c r="K201" s="23">
        <f>IFERROR(__xludf.DUMMYFUNCTION("""COMPUTED_VALUE"""),7.6)</f>
        <v>7.6</v>
      </c>
      <c r="L201" s="24">
        <f>IFERROR(__xludf.DUMMYFUNCTION("""COMPUTED_VALUE"""),14.0)</f>
        <v>14</v>
      </c>
      <c r="M201" s="25" t="str">
        <f>IFERROR(__xludf.DUMMYFUNCTION("""COMPUTED_VALUE"""),"Action-Adventure")</f>
        <v>Action-Adventure</v>
      </c>
      <c r="N201" s="25"/>
      <c r="O201" s="25" t="str">
        <f>IFERROR(__xludf.DUMMYFUNCTION("""COMPUTED_VALUE"""),"No")</f>
        <v>No</v>
      </c>
      <c r="P201" s="26"/>
    </row>
    <row r="202">
      <c r="A202" s="13" t="str">
        <f>IFERROR(__xludf.DUMMYFUNCTION("""COMPUTED_VALUE"""),"PHOGS!")</f>
        <v>PHOGS!</v>
      </c>
      <c r="B202" s="15" t="str">
        <f>IFERROR(__xludf.DUMMYFUNCTION("""COMPUTED_VALUE"""),"PS5/PS4")</f>
        <v>PS5/PS4</v>
      </c>
      <c r="C202" s="16" t="str">
        <f>IFERROR(__xludf.DUMMYFUNCTION("""COMPUTED_VALUE"""),"Extra")</f>
        <v>Extra</v>
      </c>
      <c r="D202" s="15" t="str">
        <f>IFERROR(__xludf.DUMMYFUNCTION("""COMPUTED_VALUE"""),"Active")</f>
        <v>Active</v>
      </c>
      <c r="E202" s="17">
        <f>IFERROR(__xludf.DUMMYFUNCTION("""COMPUTED_VALUE"""),45643.0)</f>
        <v>45643</v>
      </c>
      <c r="F202" s="54"/>
      <c r="G202" s="19">
        <f>IFERROR(__xludf.DUMMYFUNCTION("""COMPUTED_VALUE"""),21.633333333333333)</f>
        <v>21.63333333</v>
      </c>
      <c r="H202" s="17">
        <f>IFERROR(__xludf.DUMMYFUNCTION("""COMPUTED_VALUE"""),44168.0)</f>
        <v>44168</v>
      </c>
      <c r="I202" s="19">
        <f>IFERROR(__xludf.DUMMYFUNCTION("""COMPUTED_VALUE"""),4.038888888888889)</f>
        <v>4.038888889</v>
      </c>
      <c r="J202" s="21">
        <f>IFERROR(__xludf.DUMMYFUNCTION("""COMPUTED_VALUE"""),78.0)</f>
        <v>78</v>
      </c>
      <c r="K202" s="23">
        <f>IFERROR(__xludf.DUMMYFUNCTION("""COMPUTED_VALUE"""),7.5)</f>
        <v>7.5</v>
      </c>
      <c r="L202" s="24">
        <f>IFERROR(__xludf.DUMMYFUNCTION("""COMPUTED_VALUE"""),8.0)</f>
        <v>8</v>
      </c>
      <c r="M202" s="25" t="str">
        <f>IFERROR(__xludf.DUMMYFUNCTION("""COMPUTED_VALUE"""),"Action-Adventure")</f>
        <v>Action-Adventure</v>
      </c>
      <c r="N202" s="25"/>
      <c r="O202" s="25" t="str">
        <f>IFERROR(__xludf.DUMMYFUNCTION("""COMPUTED_VALUE"""),"No")</f>
        <v>No</v>
      </c>
      <c r="P202" s="26"/>
    </row>
    <row r="203">
      <c r="A203" s="13" t="str">
        <f>IFERROR(__xludf.DUMMYFUNCTION("""COMPUTED_VALUE"""),"Killer Frequency")</f>
        <v>Killer Frequency</v>
      </c>
      <c r="B203" s="15" t="str">
        <f>IFERROR(__xludf.DUMMYFUNCTION("""COMPUTED_VALUE"""),"PS5/PS4")</f>
        <v>PS5/PS4</v>
      </c>
      <c r="C203" s="16" t="str">
        <f>IFERROR(__xludf.DUMMYFUNCTION("""COMPUTED_VALUE"""),"Extra")</f>
        <v>Extra</v>
      </c>
      <c r="D203" s="15" t="str">
        <f>IFERROR(__xludf.DUMMYFUNCTION("""COMPUTED_VALUE"""),"Active")</f>
        <v>Active</v>
      </c>
      <c r="E203" s="17">
        <f>IFERROR(__xludf.DUMMYFUNCTION("""COMPUTED_VALUE"""),45615.0)</f>
        <v>45615</v>
      </c>
      <c r="F203" s="54"/>
      <c r="G203" s="19">
        <f>IFERROR(__xludf.DUMMYFUNCTION("""COMPUTED_VALUE"""),22.566666666666666)</f>
        <v>22.56666667</v>
      </c>
      <c r="H203" s="17">
        <f>IFERROR(__xludf.DUMMYFUNCTION("""COMPUTED_VALUE"""),45078.0)</f>
        <v>45078</v>
      </c>
      <c r="I203" s="19">
        <f>IFERROR(__xludf.DUMMYFUNCTION("""COMPUTED_VALUE"""),1.4666666666666666)</f>
        <v>1.466666667</v>
      </c>
      <c r="J203" s="21">
        <f>IFERROR(__xludf.DUMMYFUNCTION("""COMPUTED_VALUE"""),78.0)</f>
        <v>78</v>
      </c>
      <c r="K203" s="23">
        <f>IFERROR(__xludf.DUMMYFUNCTION("""COMPUTED_VALUE"""),7.8)</f>
        <v>7.8</v>
      </c>
      <c r="L203" s="24">
        <f>IFERROR(__xludf.DUMMYFUNCTION("""COMPUTED_VALUE"""),5.0)</f>
        <v>5</v>
      </c>
      <c r="M203" s="25" t="str">
        <f>IFERROR(__xludf.DUMMYFUNCTION("""COMPUTED_VALUE"""),"Action-Adventure")</f>
        <v>Action-Adventure</v>
      </c>
      <c r="N203" s="25"/>
      <c r="O203" s="25" t="str">
        <f>IFERROR(__xludf.DUMMYFUNCTION("""COMPUTED_VALUE"""),"Yes")</f>
        <v>Yes</v>
      </c>
      <c r="P203" s="26"/>
    </row>
    <row r="204">
      <c r="A204" s="13" t="str">
        <f>IFERROR(__xludf.DUMMYFUNCTION("""COMPUTED_VALUE"""),"Construction Simulator")</f>
        <v>Construction Simulator</v>
      </c>
      <c r="B204" s="15" t="str">
        <f>IFERROR(__xludf.DUMMYFUNCTION("""COMPUTED_VALUE"""),"PS5/PS4")</f>
        <v>PS5/PS4</v>
      </c>
      <c r="C204" s="16" t="str">
        <f>IFERROR(__xludf.DUMMYFUNCTION("""COMPUTED_VALUE"""),"Extra")</f>
        <v>Extra</v>
      </c>
      <c r="D204" s="15" t="str">
        <f>IFERROR(__xludf.DUMMYFUNCTION("""COMPUTED_VALUE"""),"Active")</f>
        <v>Active</v>
      </c>
      <c r="E204" s="17">
        <f>IFERROR(__xludf.DUMMYFUNCTION("""COMPUTED_VALUE"""),45398.0)</f>
        <v>45398</v>
      </c>
      <c r="F204" s="54"/>
      <c r="G204" s="19">
        <f>IFERROR(__xludf.DUMMYFUNCTION("""COMPUTED_VALUE"""),29.666666666666668)</f>
        <v>29.66666667</v>
      </c>
      <c r="H204" s="17">
        <f>IFERROR(__xludf.DUMMYFUNCTION("""COMPUTED_VALUE"""),44824.0)</f>
        <v>44824</v>
      </c>
      <c r="I204" s="19">
        <f>IFERROR(__xludf.DUMMYFUNCTION("""COMPUTED_VALUE"""),1.5722222222222222)</f>
        <v>1.572222222</v>
      </c>
      <c r="J204" s="21">
        <f>IFERROR(__xludf.DUMMYFUNCTION("""COMPUTED_VALUE"""),78.0)</f>
        <v>78</v>
      </c>
      <c r="K204" s="23">
        <f>IFERROR(__xludf.DUMMYFUNCTION("""COMPUTED_VALUE"""),6.4)</f>
        <v>6.4</v>
      </c>
      <c r="L204" s="24">
        <f>IFERROR(__xludf.DUMMYFUNCTION("""COMPUTED_VALUE"""),45.0)</f>
        <v>45</v>
      </c>
      <c r="M204" s="25" t="str">
        <f>IFERROR(__xludf.DUMMYFUNCTION("""COMPUTED_VALUE"""),"Simulation")</f>
        <v>Simulation</v>
      </c>
      <c r="N204" s="25"/>
      <c r="O204" s="25" t="str">
        <f>IFERROR(__xludf.DUMMYFUNCTION("""COMPUTED_VALUE"""),"Yes")</f>
        <v>Yes</v>
      </c>
      <c r="P204" s="26"/>
    </row>
    <row r="205">
      <c r="A205" s="13" t="str">
        <f>IFERROR(__xludf.DUMMYFUNCTION("""COMPUTED_VALUE"""),"Roguebook")</f>
        <v>Roguebook</v>
      </c>
      <c r="B205" s="15" t="str">
        <f>IFERROR(__xludf.DUMMYFUNCTION("""COMPUTED_VALUE"""),"PS5/PS4")</f>
        <v>PS5/PS4</v>
      </c>
      <c r="C205" s="16" t="str">
        <f>IFERROR(__xludf.DUMMYFUNCTION("""COMPUTED_VALUE"""),"Extra")</f>
        <v>Extra</v>
      </c>
      <c r="D205" s="15" t="str">
        <f>IFERROR(__xludf.DUMMYFUNCTION("""COMPUTED_VALUE"""),"Active")</f>
        <v>Active</v>
      </c>
      <c r="E205" s="17">
        <f>IFERROR(__xludf.DUMMYFUNCTION("""COMPUTED_VALUE"""),45342.0)</f>
        <v>45342</v>
      </c>
      <c r="F205" s="54"/>
      <c r="G205" s="19">
        <f>IFERROR(__xludf.DUMMYFUNCTION("""COMPUTED_VALUE"""),31.53333333333333)</f>
        <v>31.53333333</v>
      </c>
      <c r="H205" s="17">
        <f>IFERROR(__xludf.DUMMYFUNCTION("""COMPUTED_VALUE"""),44364.0)</f>
        <v>44364</v>
      </c>
      <c r="I205" s="19">
        <f>IFERROR(__xludf.DUMMYFUNCTION("""COMPUTED_VALUE"""),2.675)</f>
        <v>2.675</v>
      </c>
      <c r="J205" s="21">
        <f>IFERROR(__xludf.DUMMYFUNCTION("""COMPUTED_VALUE"""),78.0)</f>
        <v>78</v>
      </c>
      <c r="K205" s="23">
        <f>IFERROR(__xludf.DUMMYFUNCTION("""COMPUTED_VALUE"""),6.5)</f>
        <v>6.5</v>
      </c>
      <c r="L205" s="24">
        <f>IFERROR(__xludf.DUMMYFUNCTION("""COMPUTED_VALUE"""),9.0)</f>
        <v>9</v>
      </c>
      <c r="M205" s="25" t="str">
        <f>IFERROR(__xludf.DUMMYFUNCTION("""COMPUTED_VALUE"""),"Card Battle")</f>
        <v>Card Battle</v>
      </c>
      <c r="N205" s="25"/>
      <c r="O205" s="25" t="str">
        <f>IFERROR(__xludf.DUMMYFUNCTION("""COMPUTED_VALUE"""),"Yes")</f>
        <v>Yes</v>
      </c>
      <c r="P205" s="26"/>
    </row>
    <row r="206">
      <c r="A206" s="13" t="str">
        <f>IFERROR(__xludf.DUMMYFUNCTION("""COMPUTED_VALUE"""),"Worms W.M.D")</f>
        <v>Worms W.M.D</v>
      </c>
      <c r="B206" s="15" t="str">
        <f>IFERROR(__xludf.DUMMYFUNCTION("""COMPUTED_VALUE"""),"PS4")</f>
        <v>PS4</v>
      </c>
      <c r="C206" s="16" t="str">
        <f>IFERROR(__xludf.DUMMYFUNCTION("""COMPUTED_VALUE"""),"Extra")</f>
        <v>Extra</v>
      </c>
      <c r="D206" s="15" t="str">
        <f>IFERROR(__xludf.DUMMYFUNCTION("""COMPUTED_VALUE"""),"Active")</f>
        <v>Active</v>
      </c>
      <c r="E206" s="17">
        <f>IFERROR(__xludf.DUMMYFUNCTION("""COMPUTED_VALUE"""),44915.0)</f>
        <v>44915</v>
      </c>
      <c r="F206" s="54"/>
      <c r="G206" s="19">
        <f>IFERROR(__xludf.DUMMYFUNCTION("""COMPUTED_VALUE"""),45.53333333333333)</f>
        <v>45.53333333</v>
      </c>
      <c r="H206" s="17">
        <f>IFERROR(__xludf.DUMMYFUNCTION("""COMPUTED_VALUE"""),42605.0)</f>
        <v>42605</v>
      </c>
      <c r="I206" s="19">
        <f>IFERROR(__xludf.DUMMYFUNCTION("""COMPUTED_VALUE"""),6.325)</f>
        <v>6.325</v>
      </c>
      <c r="J206" s="21">
        <f>IFERROR(__xludf.DUMMYFUNCTION("""COMPUTED_VALUE"""),78.0)</f>
        <v>78</v>
      </c>
      <c r="K206" s="23">
        <f>IFERROR(__xludf.DUMMYFUNCTION("""COMPUTED_VALUE"""),7.1)</f>
        <v>7.1</v>
      </c>
      <c r="L206" s="24">
        <f>IFERROR(__xludf.DUMMYFUNCTION("""COMPUTED_VALUE"""),14.0)</f>
        <v>14</v>
      </c>
      <c r="M206" s="25" t="str">
        <f>IFERROR(__xludf.DUMMYFUNCTION("""COMPUTED_VALUE"""),"Strategy")</f>
        <v>Strategy</v>
      </c>
      <c r="N206" s="25"/>
      <c r="O206" s="25" t="str">
        <f>IFERROR(__xludf.DUMMYFUNCTION("""COMPUTED_VALUE"""),"Yes")</f>
        <v>Yes</v>
      </c>
      <c r="P206" s="26"/>
    </row>
    <row r="207">
      <c r="A207" s="13" t="str">
        <f>IFERROR(__xludf.DUMMYFUNCTION("""COMPUTED_VALUE"""),"Shadow Warrior 2")</f>
        <v>Shadow Warrior 2</v>
      </c>
      <c r="B207" s="15" t="str">
        <f>IFERROR(__xludf.DUMMYFUNCTION("""COMPUTED_VALUE"""),"PS4")</f>
        <v>PS4</v>
      </c>
      <c r="C207" s="16" t="str">
        <f>IFERROR(__xludf.DUMMYFUNCTION("""COMPUTED_VALUE"""),"Extra")</f>
        <v>Extra</v>
      </c>
      <c r="D207" s="15" t="str">
        <f>IFERROR(__xludf.DUMMYFUNCTION("""COMPUTED_VALUE"""),"Active")</f>
        <v>Active</v>
      </c>
      <c r="E207" s="17">
        <f>IFERROR(__xludf.DUMMYFUNCTION("""COMPUTED_VALUE"""),44725.0)</f>
        <v>44725</v>
      </c>
      <c r="F207" s="54"/>
      <c r="G207" s="19">
        <f>IFERROR(__xludf.DUMMYFUNCTION("""COMPUTED_VALUE"""),51.766666666666666)</f>
        <v>51.76666667</v>
      </c>
      <c r="H207" s="17">
        <f>IFERROR(__xludf.DUMMYFUNCTION("""COMPUTED_VALUE"""),42656.0)</f>
        <v>42656</v>
      </c>
      <c r="I207" s="19">
        <f>IFERROR(__xludf.DUMMYFUNCTION("""COMPUTED_VALUE"""),5.666666666666667)</f>
        <v>5.666666667</v>
      </c>
      <c r="J207" s="21">
        <f>IFERROR(__xludf.DUMMYFUNCTION("""COMPUTED_VALUE"""),78.0)</f>
        <v>78</v>
      </c>
      <c r="K207" s="23">
        <f>IFERROR(__xludf.DUMMYFUNCTION("""COMPUTED_VALUE"""),7.7)</f>
        <v>7.7</v>
      </c>
      <c r="L207" s="24">
        <f>IFERROR(__xludf.DUMMYFUNCTION("""COMPUTED_VALUE"""),13.0)</f>
        <v>13</v>
      </c>
      <c r="M207" s="25" t="str">
        <f>IFERROR(__xludf.DUMMYFUNCTION("""COMPUTED_VALUE"""),"Shooter")</f>
        <v>Shooter</v>
      </c>
      <c r="N207" s="25"/>
      <c r="O207" s="25" t="str">
        <f>IFERROR(__xludf.DUMMYFUNCTION("""COMPUTED_VALUE"""),"Yes")</f>
        <v>Yes</v>
      </c>
      <c r="P207" s="26"/>
    </row>
    <row r="208">
      <c r="A208" s="13" t="str">
        <f>IFERROR(__xludf.DUMMYFUNCTION("""COMPUTED_VALUE"""),"Stellaris")</f>
        <v>Stellaris</v>
      </c>
      <c r="B208" s="15" t="str">
        <f>IFERROR(__xludf.DUMMYFUNCTION("""COMPUTED_VALUE"""),"PS4")</f>
        <v>PS4</v>
      </c>
      <c r="C208" s="16" t="str">
        <f>IFERROR(__xludf.DUMMYFUNCTION("""COMPUTED_VALUE"""),"Extra")</f>
        <v>Extra</v>
      </c>
      <c r="D208" s="15" t="str">
        <f>IFERROR(__xludf.DUMMYFUNCTION("""COMPUTED_VALUE"""),"Active")</f>
        <v>Active</v>
      </c>
      <c r="E208" s="17">
        <f>IFERROR(__xludf.DUMMYFUNCTION("""COMPUTED_VALUE"""),44725.0)</f>
        <v>44725</v>
      </c>
      <c r="F208" s="54"/>
      <c r="G208" s="19">
        <f>IFERROR(__xludf.DUMMYFUNCTION("""COMPUTED_VALUE"""),51.766666666666666)</f>
        <v>51.76666667</v>
      </c>
      <c r="H208" s="17">
        <f>IFERROR(__xludf.DUMMYFUNCTION("""COMPUTED_VALUE"""),42499.0)</f>
        <v>42499</v>
      </c>
      <c r="I208" s="19">
        <f>IFERROR(__xludf.DUMMYFUNCTION("""COMPUTED_VALUE"""),6.094444444444444)</f>
        <v>6.094444444</v>
      </c>
      <c r="J208" s="21">
        <f>IFERROR(__xludf.DUMMYFUNCTION("""COMPUTED_VALUE"""),78.0)</f>
        <v>78</v>
      </c>
      <c r="K208" s="23">
        <f>IFERROR(__xludf.DUMMYFUNCTION("""COMPUTED_VALUE"""),7.8)</f>
        <v>7.8</v>
      </c>
      <c r="L208" s="24"/>
      <c r="M208" s="25" t="str">
        <f>IFERROR(__xludf.DUMMYFUNCTION("""COMPUTED_VALUE"""),"Strategy")</f>
        <v>Strategy</v>
      </c>
      <c r="N208" s="25"/>
      <c r="O208" s="25" t="str">
        <f>IFERROR(__xludf.DUMMYFUNCTION("""COMPUTED_VALUE"""),"Yes")</f>
        <v>Yes</v>
      </c>
      <c r="P208" s="26"/>
    </row>
    <row r="209">
      <c r="A209" s="13" t="str">
        <f>IFERROR(__xludf.DUMMYFUNCTION("""COMPUTED_VALUE"""),"Far Cry 3: Classic Edition")</f>
        <v>Far Cry 3: Classic Edition</v>
      </c>
      <c r="B209" s="15" t="str">
        <f>IFERROR(__xludf.DUMMYFUNCTION("""COMPUTED_VALUE"""),"PS4")</f>
        <v>PS4</v>
      </c>
      <c r="C209" s="16" t="str">
        <f>IFERROR(__xludf.DUMMYFUNCTION("""COMPUTED_VALUE"""),"Extra (Ubisoft+ Classics)")</f>
        <v>Extra (Ubisoft+ Classics)</v>
      </c>
      <c r="D209" s="15" t="str">
        <f>IFERROR(__xludf.DUMMYFUNCTION("""COMPUTED_VALUE"""),"Active")</f>
        <v>Active</v>
      </c>
      <c r="E209" s="17">
        <f>IFERROR(__xludf.DUMMYFUNCTION("""COMPUTED_VALUE"""),44725.0)</f>
        <v>44725</v>
      </c>
      <c r="F209" s="54"/>
      <c r="G209" s="19">
        <f>IFERROR(__xludf.DUMMYFUNCTION("""COMPUTED_VALUE"""),51.766666666666666)</f>
        <v>51.76666667</v>
      </c>
      <c r="H209" s="17">
        <f>IFERROR(__xludf.DUMMYFUNCTION("""COMPUTED_VALUE"""),43249.0)</f>
        <v>43249</v>
      </c>
      <c r="I209" s="19">
        <f>IFERROR(__xludf.DUMMYFUNCTION("""COMPUTED_VALUE"""),4.038888888888889)</f>
        <v>4.038888889</v>
      </c>
      <c r="J209" s="21">
        <f>IFERROR(__xludf.DUMMYFUNCTION("""COMPUTED_VALUE"""),78.0)</f>
        <v>78</v>
      </c>
      <c r="K209" s="23">
        <f>IFERROR(__xludf.DUMMYFUNCTION("""COMPUTED_VALUE"""),7.6)</f>
        <v>7.6</v>
      </c>
      <c r="L209" s="24">
        <f>IFERROR(__xludf.DUMMYFUNCTION("""COMPUTED_VALUE"""),15.0)</f>
        <v>15</v>
      </c>
      <c r="M209" s="25" t="str">
        <f>IFERROR(__xludf.DUMMYFUNCTION("""COMPUTED_VALUE"""),"Shooter")</f>
        <v>Shooter</v>
      </c>
      <c r="N209" s="25"/>
      <c r="O209" s="25" t="str">
        <f>IFERROR(__xludf.DUMMYFUNCTION("""COMPUTED_VALUE"""),"Yes")</f>
        <v>Yes</v>
      </c>
      <c r="P209" s="26"/>
    </row>
    <row r="210">
      <c r="A210" s="13" t="str">
        <f>IFERROR(__xludf.DUMMYFUNCTION("""COMPUTED_VALUE"""),"South Park: The Fractured But Whole")</f>
        <v>South Park: The Fractured But Whole</v>
      </c>
      <c r="B210" s="15" t="str">
        <f>IFERROR(__xludf.DUMMYFUNCTION("""COMPUTED_VALUE"""),"PS4")</f>
        <v>PS4</v>
      </c>
      <c r="C210" s="16" t="str">
        <f>IFERROR(__xludf.DUMMYFUNCTION("""COMPUTED_VALUE"""),"Extra (Ubisoft+ Classics)")</f>
        <v>Extra (Ubisoft+ Classics)</v>
      </c>
      <c r="D210" s="15" t="str">
        <f>IFERROR(__xludf.DUMMYFUNCTION("""COMPUTED_VALUE"""),"Active")</f>
        <v>Active</v>
      </c>
      <c r="E210" s="17">
        <f>IFERROR(__xludf.DUMMYFUNCTION("""COMPUTED_VALUE"""),44725.0)</f>
        <v>44725</v>
      </c>
      <c r="F210" s="54"/>
      <c r="G210" s="19">
        <f>IFERROR(__xludf.DUMMYFUNCTION("""COMPUTED_VALUE"""),51.766666666666666)</f>
        <v>51.76666667</v>
      </c>
      <c r="H210" s="17">
        <f>IFERROR(__xludf.DUMMYFUNCTION("""COMPUTED_VALUE"""),43025.0)</f>
        <v>43025</v>
      </c>
      <c r="I210" s="19">
        <f>IFERROR(__xludf.DUMMYFUNCTION("""COMPUTED_VALUE"""),4.655555555555556)</f>
        <v>4.655555556</v>
      </c>
      <c r="J210" s="21">
        <f>IFERROR(__xludf.DUMMYFUNCTION("""COMPUTED_VALUE"""),78.0)</f>
        <v>78</v>
      </c>
      <c r="K210" s="23">
        <f>IFERROR(__xludf.DUMMYFUNCTION("""COMPUTED_VALUE"""),7.7)</f>
        <v>7.7</v>
      </c>
      <c r="L210" s="24">
        <f>IFERROR(__xludf.DUMMYFUNCTION("""COMPUTED_VALUE"""),18.0)</f>
        <v>18</v>
      </c>
      <c r="M210" s="25" t="str">
        <f>IFERROR(__xludf.DUMMYFUNCTION("""COMPUTED_VALUE"""),"RPG")</f>
        <v>RPG</v>
      </c>
      <c r="N210" s="25"/>
      <c r="O210" s="25" t="str">
        <f>IFERROR(__xludf.DUMMYFUNCTION("""COMPUTED_VALUE"""),"Yes")</f>
        <v>Yes</v>
      </c>
      <c r="P210" s="26"/>
    </row>
    <row r="211">
      <c r="A211" s="13" t="str">
        <f>IFERROR(__xludf.DUMMYFUNCTION("""COMPUTED_VALUE"""),"Concrete Genie: Digital Deluxe Edition")</f>
        <v>Concrete Genie: Digital Deluxe Edition</v>
      </c>
      <c r="B211" s="15" t="str">
        <f>IFERROR(__xludf.DUMMYFUNCTION("""COMPUTED_VALUE"""),"PS4/PSVR")</f>
        <v>PS4/PSVR</v>
      </c>
      <c r="C211" s="16" t="str">
        <f>IFERROR(__xludf.DUMMYFUNCTION("""COMPUTED_VALUE"""),"Extra")</f>
        <v>Extra</v>
      </c>
      <c r="D211" s="15" t="str">
        <f>IFERROR(__xludf.DUMMYFUNCTION("""COMPUTED_VALUE"""),"Active")</f>
        <v>Active</v>
      </c>
      <c r="E211" s="17">
        <f>IFERROR(__xludf.DUMMYFUNCTION("""COMPUTED_VALUE"""),44229.0)</f>
        <v>44229</v>
      </c>
      <c r="F211" s="54"/>
      <c r="G211" s="19">
        <f>IFERROR(__xludf.DUMMYFUNCTION("""COMPUTED_VALUE"""),68.13333333333334)</f>
        <v>68.13333333</v>
      </c>
      <c r="H211" s="17">
        <f>IFERROR(__xludf.DUMMYFUNCTION("""COMPUTED_VALUE"""),43746.0)</f>
        <v>43746</v>
      </c>
      <c r="I211" s="19">
        <f>IFERROR(__xludf.DUMMYFUNCTION("""COMPUTED_VALUE"""),1.3166666666666667)</f>
        <v>1.316666667</v>
      </c>
      <c r="J211" s="21">
        <f>IFERROR(__xludf.DUMMYFUNCTION("""COMPUTED_VALUE"""),78.0)</f>
        <v>78</v>
      </c>
      <c r="K211" s="23">
        <f>IFERROR(__xludf.DUMMYFUNCTION("""COMPUTED_VALUE"""),7.9)</f>
        <v>7.9</v>
      </c>
      <c r="L211" s="24">
        <f>IFERROR(__xludf.DUMMYFUNCTION("""COMPUTED_VALUE"""),5.0)</f>
        <v>5</v>
      </c>
      <c r="M211" s="25" t="str">
        <f>IFERROR(__xludf.DUMMYFUNCTION("""COMPUTED_VALUE"""),"Action-Adventure")</f>
        <v>Action-Adventure</v>
      </c>
      <c r="N211" s="25"/>
      <c r="O211" s="25" t="str">
        <f>IFERROR(__xludf.DUMMYFUNCTION("""COMPUTED_VALUE"""),"Yes")</f>
        <v>Yes</v>
      </c>
      <c r="P211" s="26"/>
    </row>
    <row r="212">
      <c r="A212" s="13" t="str">
        <f>IFERROR(__xludf.DUMMYFUNCTION("""COMPUTED_VALUE"""),"Kingdom: New Lands")</f>
        <v>Kingdom: New Lands</v>
      </c>
      <c r="B212" s="15" t="str">
        <f>IFERROR(__xludf.DUMMYFUNCTION("""COMPUTED_VALUE"""),"PS4")</f>
        <v>PS4</v>
      </c>
      <c r="C212" s="16" t="str">
        <f>IFERROR(__xludf.DUMMYFUNCTION("""COMPUTED_VALUE"""),"Extra")</f>
        <v>Extra</v>
      </c>
      <c r="D212" s="15" t="str">
        <f>IFERROR(__xludf.DUMMYFUNCTION("""COMPUTED_VALUE"""),"Active")</f>
        <v>Active</v>
      </c>
      <c r="E212" s="17">
        <f>IFERROR(__xludf.DUMMYFUNCTION("""COMPUTED_VALUE"""),43438.0)</f>
        <v>43438</v>
      </c>
      <c r="F212" s="54"/>
      <c r="G212" s="19">
        <f>IFERROR(__xludf.DUMMYFUNCTION("""COMPUTED_VALUE"""),94.06666666666666)</f>
        <v>94.06666667</v>
      </c>
      <c r="H212" s="17">
        <f>IFERROR(__xludf.DUMMYFUNCTION("""COMPUTED_VALUE"""),42278.0)</f>
        <v>42278</v>
      </c>
      <c r="I212" s="19">
        <f>IFERROR(__xludf.DUMMYFUNCTION("""COMPUTED_VALUE"""),3.175)</f>
        <v>3.175</v>
      </c>
      <c r="J212" s="21">
        <f>IFERROR(__xludf.DUMMYFUNCTION("""COMPUTED_VALUE"""),78.0)</f>
        <v>78</v>
      </c>
      <c r="K212" s="23">
        <f>IFERROR(__xludf.DUMMYFUNCTION("""COMPUTED_VALUE"""),7.5)</f>
        <v>7.5</v>
      </c>
      <c r="L212" s="24">
        <f>IFERROR(__xludf.DUMMYFUNCTION("""COMPUTED_VALUE"""),9.5)</f>
        <v>9.5</v>
      </c>
      <c r="M212" s="25" t="str">
        <f>IFERROR(__xludf.DUMMYFUNCTION("""COMPUTED_VALUE"""),"Platformer")</f>
        <v>Platformer</v>
      </c>
      <c r="N212" s="25"/>
      <c r="O212" s="25" t="str">
        <f>IFERROR(__xludf.DUMMYFUNCTION("""COMPUTED_VALUE"""),"Yes")</f>
        <v>Yes</v>
      </c>
      <c r="P212" s="26"/>
    </row>
    <row r="213">
      <c r="A213" s="13" t="str">
        <f>IFERROR(__xludf.DUMMYFUNCTION("""COMPUTED_VALUE"""),"Jurassic World Evolution 2")</f>
        <v>Jurassic World Evolution 2</v>
      </c>
      <c r="B213" s="15" t="str">
        <f>IFERROR(__xludf.DUMMYFUNCTION("""COMPUTED_VALUE"""),"PS5/PS4")</f>
        <v>PS5/PS4</v>
      </c>
      <c r="C213" s="16" t="str">
        <f>IFERROR(__xludf.DUMMYFUNCTION("""COMPUTED_VALUE"""),"Extra")</f>
        <v>Extra</v>
      </c>
      <c r="D213" s="15" t="str">
        <f>IFERROR(__xludf.DUMMYFUNCTION("""COMPUTED_VALUE"""),"Leaving Soon")</f>
        <v>Leaving Soon</v>
      </c>
      <c r="E213" s="17">
        <f>IFERROR(__xludf.DUMMYFUNCTION("""COMPUTED_VALUE"""),45643.0)</f>
        <v>45643</v>
      </c>
      <c r="F213" s="54">
        <f>IFERROR(__xludf.DUMMYFUNCTION("""COMPUTED_VALUE"""),46314.0)</f>
        <v>46314</v>
      </c>
      <c r="G213" s="19">
        <f>IFERROR(__xludf.DUMMYFUNCTION("""COMPUTED_VALUE"""),22.066666666666666)</f>
        <v>22.06666667</v>
      </c>
      <c r="H213" s="17">
        <f>IFERROR(__xludf.DUMMYFUNCTION("""COMPUTED_VALUE"""),44509.0)</f>
        <v>44509</v>
      </c>
      <c r="I213" s="19">
        <f>IFERROR(__xludf.DUMMYFUNCTION("""COMPUTED_VALUE"""),3.1055555555555556)</f>
        <v>3.105555556</v>
      </c>
      <c r="J213" s="21">
        <f>IFERROR(__xludf.DUMMYFUNCTION("""COMPUTED_VALUE"""),78.0)</f>
        <v>78</v>
      </c>
      <c r="K213" s="23">
        <f>IFERROR(__xludf.DUMMYFUNCTION("""COMPUTED_VALUE"""),7.2)</f>
        <v>7.2</v>
      </c>
      <c r="L213" s="24">
        <f>IFERROR(__xludf.DUMMYFUNCTION("""COMPUTED_VALUE"""),6.0)</f>
        <v>6</v>
      </c>
      <c r="M213" s="25" t="str">
        <f>IFERROR(__xludf.DUMMYFUNCTION("""COMPUTED_VALUE"""),"Tycoon")</f>
        <v>Tycoon</v>
      </c>
      <c r="N213" s="25"/>
      <c r="O213" s="25" t="str">
        <f>IFERROR(__xludf.DUMMYFUNCTION("""COMPUTED_VALUE"""),"Yes")</f>
        <v>Yes</v>
      </c>
      <c r="P213" s="26"/>
    </row>
    <row r="214">
      <c r="A214" s="13" t="str">
        <f>IFERROR(__xludf.DUMMYFUNCTION("""COMPUTED_VALUE"""),"Hell is Us")</f>
        <v>Hell is Us</v>
      </c>
      <c r="B214" s="15" t="str">
        <f>IFERROR(__xludf.DUMMYFUNCTION("""COMPUTED_VALUE"""),"PS5")</f>
        <v>PS5</v>
      </c>
      <c r="C214" s="16" t="str">
        <f>IFERROR(__xludf.DUMMYFUNCTION("""COMPUTED_VALUE"""),"Extra")</f>
        <v>Extra</v>
      </c>
      <c r="D214" s="15" t="str">
        <f>IFERROR(__xludf.DUMMYFUNCTION("""COMPUTED_VALUE"""),"Active")</f>
        <v>Active</v>
      </c>
      <c r="E214" s="17">
        <f>IFERROR(__xludf.DUMMYFUNCTION("""COMPUTED_VALUE"""),46259.0)</f>
        <v>46259</v>
      </c>
      <c r="F214" s="54"/>
      <c r="G214" s="19">
        <f>IFERROR(__xludf.DUMMYFUNCTION("""COMPUTED_VALUE"""),1.3666666666666667)</f>
        <v>1.366666667</v>
      </c>
      <c r="H214" s="17">
        <f>IFERROR(__xludf.DUMMYFUNCTION("""COMPUTED_VALUE"""),45904.0)</f>
        <v>45904</v>
      </c>
      <c r="I214" s="19">
        <f>IFERROR(__xludf.DUMMYFUNCTION("""COMPUTED_VALUE"""),0.975)</f>
        <v>0.975</v>
      </c>
      <c r="J214" s="21">
        <f>IFERROR(__xludf.DUMMYFUNCTION("""COMPUTED_VALUE"""),77.0)</f>
        <v>77</v>
      </c>
      <c r="K214" s="23">
        <f>IFERROR(__xludf.DUMMYFUNCTION("""COMPUTED_VALUE"""),7.8)</f>
        <v>7.8</v>
      </c>
      <c r="L214" s="24">
        <f>IFERROR(__xludf.DUMMYFUNCTION("""COMPUTED_VALUE"""),21.0)</f>
        <v>21</v>
      </c>
      <c r="M214" s="25" t="str">
        <f>IFERROR(__xludf.DUMMYFUNCTION("""COMPUTED_VALUE"""),"Action-Adventure")</f>
        <v>Action-Adventure</v>
      </c>
      <c r="N214" s="25"/>
      <c r="O214" s="25" t="str">
        <f>IFERROR(__xludf.DUMMYFUNCTION("""COMPUTED_VALUE"""),"No")</f>
        <v>No</v>
      </c>
      <c r="P214" s="26"/>
    </row>
    <row r="215">
      <c r="A215" s="13" t="str">
        <f>IFERROR(__xludf.DUMMYFUNCTION("""COMPUTED_VALUE"""),"Expeditions: A MudRunner Game")</f>
        <v>Expeditions: A MudRunner Game</v>
      </c>
      <c r="B215" s="15" t="str">
        <f>IFERROR(__xludf.DUMMYFUNCTION("""COMPUTED_VALUE"""),"PS5/PS4")</f>
        <v>PS5/PS4</v>
      </c>
      <c r="C215" s="16" t="str">
        <f>IFERROR(__xludf.DUMMYFUNCTION("""COMPUTED_VALUE"""),"Extra")</f>
        <v>Extra</v>
      </c>
      <c r="D215" s="15" t="str">
        <f>IFERROR(__xludf.DUMMYFUNCTION("""COMPUTED_VALUE"""),"Active")</f>
        <v>Active</v>
      </c>
      <c r="E215" s="17">
        <f>IFERROR(__xludf.DUMMYFUNCTION("""COMPUTED_VALUE"""),46042.0)</f>
        <v>46042</v>
      </c>
      <c r="F215" s="54"/>
      <c r="G215" s="19">
        <f>IFERROR(__xludf.DUMMYFUNCTION("""COMPUTED_VALUE"""),8.533333333333333)</f>
        <v>8.533333333</v>
      </c>
      <c r="H215" s="17">
        <f>IFERROR(__xludf.DUMMYFUNCTION("""COMPUTED_VALUE"""),45356.0)</f>
        <v>45356</v>
      </c>
      <c r="I215" s="19">
        <f>IFERROR(__xludf.DUMMYFUNCTION("""COMPUTED_VALUE"""),1.875)</f>
        <v>1.875</v>
      </c>
      <c r="J215" s="21">
        <f>IFERROR(__xludf.DUMMYFUNCTION("""COMPUTED_VALUE"""),77.0)</f>
        <v>77</v>
      </c>
      <c r="K215" s="23">
        <f>IFERROR(__xludf.DUMMYFUNCTION("""COMPUTED_VALUE"""),5.4)</f>
        <v>5.4</v>
      </c>
      <c r="L215" s="24">
        <f>IFERROR(__xludf.DUMMYFUNCTION("""COMPUTED_VALUE"""),50.0)</f>
        <v>50</v>
      </c>
      <c r="M215" s="25" t="str">
        <f>IFERROR(__xludf.DUMMYFUNCTION("""COMPUTED_VALUE"""),"Racing")</f>
        <v>Racing</v>
      </c>
      <c r="N215" s="25"/>
      <c r="O215" s="25"/>
      <c r="P215" s="26"/>
    </row>
    <row r="216">
      <c r="A216" s="13" t="str">
        <f>IFERROR(__xludf.DUMMYFUNCTION("""COMPUTED_VALUE"""),"As Dusk Falls")</f>
        <v>As Dusk Falls</v>
      </c>
      <c r="B216" s="15" t="str">
        <f>IFERROR(__xludf.DUMMYFUNCTION("""COMPUTED_VALUE"""),"PS5/PS4")</f>
        <v>PS5/PS4</v>
      </c>
      <c r="C216" s="16" t="str">
        <f>IFERROR(__xludf.DUMMYFUNCTION("""COMPUTED_VALUE"""),"Extra")</f>
        <v>Extra</v>
      </c>
      <c r="D216" s="15" t="str">
        <f>IFERROR(__xludf.DUMMYFUNCTION("""COMPUTED_VALUE"""),"Active")</f>
        <v>Active</v>
      </c>
      <c r="E216" s="17">
        <f>IFERROR(__xludf.DUMMYFUNCTION("""COMPUTED_VALUE"""),45951.0)</f>
        <v>45951</v>
      </c>
      <c r="F216" s="54"/>
      <c r="G216" s="19">
        <f>IFERROR(__xludf.DUMMYFUNCTION("""COMPUTED_VALUE"""),11.5)</f>
        <v>11.5</v>
      </c>
      <c r="H216" s="17">
        <f>IFERROR(__xludf.DUMMYFUNCTION("""COMPUTED_VALUE"""),44761.0)</f>
        <v>44761</v>
      </c>
      <c r="I216" s="19">
        <f>IFERROR(__xludf.DUMMYFUNCTION("""COMPUTED_VALUE"""),3.2555555555555555)</f>
        <v>3.255555556</v>
      </c>
      <c r="J216" s="21">
        <f>IFERROR(__xludf.DUMMYFUNCTION("""COMPUTED_VALUE"""),77.0)</f>
        <v>77</v>
      </c>
      <c r="K216" s="23">
        <f>IFERROR(__xludf.DUMMYFUNCTION("""COMPUTED_VALUE"""),7.7)</f>
        <v>7.7</v>
      </c>
      <c r="L216" s="24">
        <f>IFERROR(__xludf.DUMMYFUNCTION("""COMPUTED_VALUE"""),7.0)</f>
        <v>7</v>
      </c>
      <c r="M216" s="25" t="str">
        <f>IFERROR(__xludf.DUMMYFUNCTION("""COMPUTED_VALUE"""),"Action-Adventure")</f>
        <v>Action-Adventure</v>
      </c>
      <c r="N216" s="25"/>
      <c r="O216" s="25"/>
      <c r="P216" s="26"/>
    </row>
    <row r="217">
      <c r="A217" s="13" t="str">
        <f>IFERROR(__xludf.DUMMYFUNCTION("""COMPUTED_VALUE"""),"Humankind")</f>
        <v>Humankind</v>
      </c>
      <c r="B217" s="15" t="str">
        <f>IFERROR(__xludf.DUMMYFUNCTION("""COMPUTED_VALUE"""),"PS5/PS4")</f>
        <v>PS5/PS4</v>
      </c>
      <c r="C217" s="16" t="str">
        <f>IFERROR(__xludf.DUMMYFUNCTION("""COMPUTED_VALUE"""),"Extra")</f>
        <v>Extra</v>
      </c>
      <c r="D217" s="15" t="str">
        <f>IFERROR(__xludf.DUMMYFUNCTION("""COMPUTED_VALUE"""),"Active")</f>
        <v>Active</v>
      </c>
      <c r="E217" s="17">
        <f>IFERROR(__xludf.DUMMYFUNCTION("""COMPUTED_VALUE"""),45797.0)</f>
        <v>45797</v>
      </c>
      <c r="F217" s="54"/>
      <c r="G217" s="19">
        <f>IFERROR(__xludf.DUMMYFUNCTION("""COMPUTED_VALUE"""),16.53333333333333)</f>
        <v>16.53333333</v>
      </c>
      <c r="H217" s="17">
        <f>IFERROR(__xludf.DUMMYFUNCTION("""COMPUTED_VALUE"""),44425.0)</f>
        <v>44425</v>
      </c>
      <c r="I217" s="19">
        <f>IFERROR(__xludf.DUMMYFUNCTION("""COMPUTED_VALUE"""),3.7583333333333333)</f>
        <v>3.758333333</v>
      </c>
      <c r="J217" s="21">
        <f>IFERROR(__xludf.DUMMYFUNCTION("""COMPUTED_VALUE"""),77.0)</f>
        <v>77</v>
      </c>
      <c r="K217" s="23">
        <f>IFERROR(__xludf.DUMMYFUNCTION("""COMPUTED_VALUE"""),6.7)</f>
        <v>6.7</v>
      </c>
      <c r="L217" s="24">
        <f>IFERROR(__xludf.DUMMYFUNCTION("""COMPUTED_VALUE"""),16.0)</f>
        <v>16</v>
      </c>
      <c r="M217" s="25" t="str">
        <f>IFERROR(__xludf.DUMMYFUNCTION("""COMPUTED_VALUE"""),"Strategy")</f>
        <v>Strategy</v>
      </c>
      <c r="N217" s="25"/>
      <c r="O217" s="25"/>
      <c r="P217" s="26"/>
    </row>
    <row r="218">
      <c r="A218" s="13" t="str">
        <f>IFERROR(__xludf.DUMMYFUNCTION("""COMPUTED_VALUE"""),"Orcs Must Die! 3")</f>
        <v>Orcs Must Die! 3</v>
      </c>
      <c r="B218" s="15" t="str">
        <f>IFERROR(__xludf.DUMMYFUNCTION("""COMPUTED_VALUE"""),"PS5/PS4")</f>
        <v>PS5/PS4</v>
      </c>
      <c r="C218" s="16" t="str">
        <f>IFERROR(__xludf.DUMMYFUNCTION("""COMPUTED_VALUE"""),"Extra")</f>
        <v>Extra</v>
      </c>
      <c r="D218" s="15" t="str">
        <f>IFERROR(__xludf.DUMMYFUNCTION("""COMPUTED_VALUE"""),"Active")</f>
        <v>Active</v>
      </c>
      <c r="E218" s="17">
        <f>IFERROR(__xludf.DUMMYFUNCTION("""COMPUTED_VALUE"""),45678.0)</f>
        <v>45678</v>
      </c>
      <c r="F218" s="54"/>
      <c r="G218" s="19">
        <f>IFERROR(__xludf.DUMMYFUNCTION("""COMPUTED_VALUE"""),20.5)</f>
        <v>20.5</v>
      </c>
      <c r="H218" s="17">
        <f>IFERROR(__xludf.DUMMYFUNCTION("""COMPUTED_VALUE"""),44400.0)</f>
        <v>44400</v>
      </c>
      <c r="I218" s="19">
        <f>IFERROR(__xludf.DUMMYFUNCTION("""COMPUTED_VALUE"""),3.4944444444444445)</f>
        <v>3.494444444</v>
      </c>
      <c r="J218" s="21">
        <f>IFERROR(__xludf.DUMMYFUNCTION("""COMPUTED_VALUE"""),77.0)</f>
        <v>77</v>
      </c>
      <c r="K218" s="23">
        <f>IFERROR(__xludf.DUMMYFUNCTION("""COMPUTED_VALUE"""),7.2)</f>
        <v>7.2</v>
      </c>
      <c r="L218" s="24">
        <f>IFERROR(__xludf.DUMMYFUNCTION("""COMPUTED_VALUE"""),10.0)</f>
        <v>10</v>
      </c>
      <c r="M218" s="25" t="str">
        <f>IFERROR(__xludf.DUMMYFUNCTION("""COMPUTED_VALUE"""),"Defense")</f>
        <v>Defense</v>
      </c>
      <c r="N218" s="25"/>
      <c r="O218" s="25" t="str">
        <f>IFERROR(__xludf.DUMMYFUNCTION("""COMPUTED_VALUE"""),"Yes")</f>
        <v>Yes</v>
      </c>
      <c r="P218" s="26"/>
    </row>
    <row r="219">
      <c r="A219" s="13" t="str">
        <f>IFERROR(__xludf.DUMMYFUNCTION("""COMPUTED_VALUE"""),"DEADCRAFT")</f>
        <v>DEADCRAFT</v>
      </c>
      <c r="B219" s="15" t="str">
        <f>IFERROR(__xludf.DUMMYFUNCTION("""COMPUTED_VALUE"""),"PS4")</f>
        <v>PS4</v>
      </c>
      <c r="C219" s="16" t="str">
        <f>IFERROR(__xludf.DUMMYFUNCTION("""COMPUTED_VALUE"""),"Extra")</f>
        <v>Extra</v>
      </c>
      <c r="D219" s="15" t="str">
        <f>IFERROR(__xludf.DUMMYFUNCTION("""COMPUTED_VALUE"""),"Active")</f>
        <v>Active</v>
      </c>
      <c r="E219" s="17">
        <f>IFERROR(__xludf.DUMMYFUNCTION("""COMPUTED_VALUE"""),45489.0)</f>
        <v>45489</v>
      </c>
      <c r="F219" s="54"/>
      <c r="G219" s="19">
        <f>IFERROR(__xludf.DUMMYFUNCTION("""COMPUTED_VALUE"""),26.666666666666668)</f>
        <v>26.66666667</v>
      </c>
      <c r="H219" s="17">
        <f>IFERROR(__xludf.DUMMYFUNCTION("""COMPUTED_VALUE"""),44700.0)</f>
        <v>44700</v>
      </c>
      <c r="I219" s="19">
        <f>IFERROR(__xludf.DUMMYFUNCTION("""COMPUTED_VALUE"""),2.158333333333333)</f>
        <v>2.158333333</v>
      </c>
      <c r="J219" s="21">
        <f>IFERROR(__xludf.DUMMYFUNCTION("""COMPUTED_VALUE"""),77.0)</f>
        <v>77</v>
      </c>
      <c r="K219" s="23">
        <f>IFERROR(__xludf.DUMMYFUNCTION("""COMPUTED_VALUE"""),7.4)</f>
        <v>7.4</v>
      </c>
      <c r="L219" s="24">
        <f>IFERROR(__xludf.DUMMYFUNCTION("""COMPUTED_VALUE"""),36.0)</f>
        <v>36</v>
      </c>
      <c r="M219" s="25" t="str">
        <f>IFERROR(__xludf.DUMMYFUNCTION("""COMPUTED_VALUE"""),"Survival")</f>
        <v>Survival</v>
      </c>
      <c r="N219" s="25"/>
      <c r="O219" s="25" t="str">
        <f>IFERROR(__xludf.DUMMYFUNCTION("""COMPUTED_VALUE"""),"Yes")</f>
        <v>Yes</v>
      </c>
      <c r="P219" s="26"/>
    </row>
    <row r="220">
      <c r="A220" s="13" t="str">
        <f>IFERROR(__xludf.DUMMYFUNCTION("""COMPUTED_VALUE"""),"Elite: Dangerous")</f>
        <v>Elite: Dangerous</v>
      </c>
      <c r="B220" s="15" t="str">
        <f>IFERROR(__xludf.DUMMYFUNCTION("""COMPUTED_VALUE"""),"PS4")</f>
        <v>PS4</v>
      </c>
      <c r="C220" s="16" t="str">
        <f>IFERROR(__xludf.DUMMYFUNCTION("""COMPUTED_VALUE"""),"Extra")</f>
        <v>Extra</v>
      </c>
      <c r="D220" s="15" t="str">
        <f>IFERROR(__xludf.DUMMYFUNCTION("""COMPUTED_VALUE"""),"Active")</f>
        <v>Active</v>
      </c>
      <c r="E220" s="17">
        <f>IFERROR(__xludf.DUMMYFUNCTION("""COMPUTED_VALUE"""),45216.0)</f>
        <v>45216</v>
      </c>
      <c r="F220" s="54"/>
      <c r="G220" s="19">
        <f>IFERROR(__xludf.DUMMYFUNCTION("""COMPUTED_VALUE"""),35.63333333333333)</f>
        <v>35.63333333</v>
      </c>
      <c r="H220" s="17">
        <f>IFERROR(__xludf.DUMMYFUNCTION("""COMPUTED_VALUE"""),41989.0)</f>
        <v>41989</v>
      </c>
      <c r="I220" s="19">
        <f>IFERROR(__xludf.DUMMYFUNCTION("""COMPUTED_VALUE"""),8.83611111111111)</f>
        <v>8.836111111</v>
      </c>
      <c r="J220" s="21">
        <f>IFERROR(__xludf.DUMMYFUNCTION("""COMPUTED_VALUE"""),77.0)</f>
        <v>77</v>
      </c>
      <c r="K220" s="23">
        <f>IFERROR(__xludf.DUMMYFUNCTION("""COMPUTED_VALUE"""),6.7)</f>
        <v>6.7</v>
      </c>
      <c r="L220" s="24">
        <f>IFERROR(__xludf.DUMMYFUNCTION("""COMPUTED_VALUE"""),91.0)</f>
        <v>91</v>
      </c>
      <c r="M220" s="25" t="str">
        <f>IFERROR(__xludf.DUMMYFUNCTION("""COMPUTED_VALUE"""),"Simulation")</f>
        <v>Simulation</v>
      </c>
      <c r="N220" s="25"/>
      <c r="O220" s="25" t="str">
        <f>IFERROR(__xludf.DUMMYFUNCTION("""COMPUTED_VALUE"""),"Yes")</f>
        <v>Yes</v>
      </c>
      <c r="P220" s="26"/>
    </row>
    <row r="221">
      <c r="A221" s="13" t="str">
        <f>IFERROR(__xludf.DUMMYFUNCTION("""COMPUTED_VALUE"""),"Sniper Elite 5")</f>
        <v>Sniper Elite 5</v>
      </c>
      <c r="B221" s="15" t="str">
        <f>IFERROR(__xludf.DUMMYFUNCTION("""COMPUTED_VALUE"""),"PS5/PS4")</f>
        <v>PS5/PS4</v>
      </c>
      <c r="C221" s="16" t="str">
        <f>IFERROR(__xludf.DUMMYFUNCTION("""COMPUTED_VALUE"""),"Extra")</f>
        <v>Extra</v>
      </c>
      <c r="D221" s="15" t="str">
        <f>IFERROR(__xludf.DUMMYFUNCTION("""COMPUTED_VALUE"""),"Active")</f>
        <v>Active</v>
      </c>
      <c r="E221" s="17">
        <f>IFERROR(__xludf.DUMMYFUNCTION("""COMPUTED_VALUE"""),45125.0)</f>
        <v>45125</v>
      </c>
      <c r="F221" s="54"/>
      <c r="G221" s="19">
        <f>IFERROR(__xludf.DUMMYFUNCTION("""COMPUTED_VALUE"""),38.6)</f>
        <v>38.6</v>
      </c>
      <c r="H221" s="17">
        <f>IFERROR(__xludf.DUMMYFUNCTION("""COMPUTED_VALUE"""),44646.0)</f>
        <v>44646</v>
      </c>
      <c r="I221" s="19">
        <f>IFERROR(__xludf.DUMMYFUNCTION("""COMPUTED_VALUE"""),1.3111111111111111)</f>
        <v>1.311111111</v>
      </c>
      <c r="J221" s="21">
        <f>IFERROR(__xludf.DUMMYFUNCTION("""COMPUTED_VALUE"""),77.0)</f>
        <v>77</v>
      </c>
      <c r="K221" s="23">
        <f>IFERROR(__xludf.DUMMYFUNCTION("""COMPUTED_VALUE"""),6.1)</f>
        <v>6.1</v>
      </c>
      <c r="L221" s="24">
        <f>IFERROR(__xludf.DUMMYFUNCTION("""COMPUTED_VALUE"""),10.0)</f>
        <v>10</v>
      </c>
      <c r="M221" s="25" t="str">
        <f>IFERROR(__xludf.DUMMYFUNCTION("""COMPUTED_VALUE"""),"Shooter")</f>
        <v>Shooter</v>
      </c>
      <c r="N221" s="25"/>
      <c r="O221" s="25" t="str">
        <f>IFERROR(__xludf.DUMMYFUNCTION("""COMPUTED_VALUE"""),"Portal (PS5 + Premium)")</f>
        <v>Portal (PS5 + Premium)</v>
      </c>
      <c r="P221" s="26"/>
    </row>
    <row r="222">
      <c r="A222" s="13" t="str">
        <f>IFERROR(__xludf.DUMMYFUNCTION("""COMPUTED_VALUE"""),"Sakuna: Of Rice and Ruin")</f>
        <v>Sakuna: Of Rice and Ruin</v>
      </c>
      <c r="B222" s="15" t="str">
        <f>IFERROR(__xludf.DUMMYFUNCTION("""COMPUTED_VALUE"""),"PS4")</f>
        <v>PS4</v>
      </c>
      <c r="C222" s="16" t="str">
        <f>IFERROR(__xludf.DUMMYFUNCTION("""COMPUTED_VALUE"""),"Extra")</f>
        <v>Extra</v>
      </c>
      <c r="D222" s="15" t="str">
        <f>IFERROR(__xludf.DUMMYFUNCTION("""COMPUTED_VALUE"""),"Active")</f>
        <v>Active</v>
      </c>
      <c r="E222" s="17">
        <f>IFERROR(__xludf.DUMMYFUNCTION("""COMPUTED_VALUE"""),45062.0)</f>
        <v>45062</v>
      </c>
      <c r="F222" s="54"/>
      <c r="G222" s="19">
        <f>IFERROR(__xludf.DUMMYFUNCTION("""COMPUTED_VALUE"""),40.666666666666664)</f>
        <v>40.66666667</v>
      </c>
      <c r="H222" s="17">
        <f>IFERROR(__xludf.DUMMYFUNCTION("""COMPUTED_VALUE"""),44145.0)</f>
        <v>44145</v>
      </c>
      <c r="I222" s="19">
        <f>IFERROR(__xludf.DUMMYFUNCTION("""COMPUTED_VALUE"""),2.5166666666666666)</f>
        <v>2.516666667</v>
      </c>
      <c r="J222" s="21">
        <f>IFERROR(__xludf.DUMMYFUNCTION("""COMPUTED_VALUE"""),77.0)</f>
        <v>77</v>
      </c>
      <c r="K222" s="23">
        <f>IFERROR(__xludf.DUMMYFUNCTION("""COMPUTED_VALUE"""),7.7)</f>
        <v>7.7</v>
      </c>
      <c r="L222" s="24">
        <f>IFERROR(__xludf.DUMMYFUNCTION("""COMPUTED_VALUE"""),30.0)</f>
        <v>30</v>
      </c>
      <c r="M222" s="25" t="str">
        <f>IFERROR(__xludf.DUMMYFUNCTION("""COMPUTED_VALUE"""),"RPG")</f>
        <v>RPG</v>
      </c>
      <c r="N222" s="25"/>
      <c r="O222" s="25" t="str">
        <f>IFERROR(__xludf.DUMMYFUNCTION("""COMPUTED_VALUE"""),"Yes")</f>
        <v>Yes</v>
      </c>
      <c r="P222" s="26"/>
    </row>
    <row r="223">
      <c r="A223" s="13" t="str">
        <f>IFERROR(__xludf.DUMMYFUNCTION("""COMPUTED_VALUE"""),"Immortals Fenyx Rising")</f>
        <v>Immortals Fenyx Rising</v>
      </c>
      <c r="B223" s="15" t="str">
        <f>IFERROR(__xludf.DUMMYFUNCTION("""COMPUTED_VALUE"""),"PS5/PS4")</f>
        <v>PS5/PS4</v>
      </c>
      <c r="C223" s="16" t="str">
        <f>IFERROR(__xludf.DUMMYFUNCTION("""COMPUTED_VALUE"""),"Extra")</f>
        <v>Extra</v>
      </c>
      <c r="D223" s="15" t="str">
        <f>IFERROR(__xludf.DUMMYFUNCTION("""COMPUTED_VALUE"""),"Active")</f>
        <v>Active</v>
      </c>
      <c r="E223" s="17">
        <f>IFERROR(__xludf.DUMMYFUNCTION("""COMPUTED_VALUE"""),45006.0)</f>
        <v>45006</v>
      </c>
      <c r="F223" s="54"/>
      <c r="G223" s="19">
        <f>IFERROR(__xludf.DUMMYFUNCTION("""COMPUTED_VALUE"""),42.5)</f>
        <v>42.5</v>
      </c>
      <c r="H223" s="17">
        <f>IFERROR(__xludf.DUMMYFUNCTION("""COMPUTED_VALUE"""),44168.0)</f>
        <v>44168</v>
      </c>
      <c r="I223" s="19">
        <f>IFERROR(__xludf.DUMMYFUNCTION("""COMPUTED_VALUE"""),2.3)</f>
        <v>2.3</v>
      </c>
      <c r="J223" s="21">
        <f>IFERROR(__xludf.DUMMYFUNCTION("""COMPUTED_VALUE"""),77.0)</f>
        <v>77</v>
      </c>
      <c r="K223" s="23">
        <f>IFERROR(__xludf.DUMMYFUNCTION("""COMPUTED_VALUE"""),7.6)</f>
        <v>7.6</v>
      </c>
      <c r="L223" s="24">
        <f>IFERROR(__xludf.DUMMYFUNCTION("""COMPUTED_VALUE"""),25.0)</f>
        <v>25</v>
      </c>
      <c r="M223" s="25" t="str">
        <f>IFERROR(__xludf.DUMMYFUNCTION("""COMPUTED_VALUE"""),"Action-Adventure")</f>
        <v>Action-Adventure</v>
      </c>
      <c r="N223" s="25"/>
      <c r="O223" s="25" t="str">
        <f>IFERROR(__xludf.DUMMYFUNCTION("""COMPUTED_VALUE"""),"Yes")</f>
        <v>Yes</v>
      </c>
      <c r="P223" s="26"/>
    </row>
    <row r="224">
      <c r="A224" s="13" t="str">
        <f>IFERROR(__xludf.DUMMYFUNCTION("""COMPUTED_VALUE"""),"Fury Unleashed")</f>
        <v>Fury Unleashed</v>
      </c>
      <c r="B224" s="15" t="str">
        <f>IFERROR(__xludf.DUMMYFUNCTION("""COMPUTED_VALUE"""),"PS4")</f>
        <v>PS4</v>
      </c>
      <c r="C224" s="16" t="str">
        <f>IFERROR(__xludf.DUMMYFUNCTION("""COMPUTED_VALUE"""),"Extra")</f>
        <v>Extra</v>
      </c>
      <c r="D224" s="15" t="str">
        <f>IFERROR(__xludf.DUMMYFUNCTION("""COMPUTED_VALUE"""),"Active")</f>
        <v>Active</v>
      </c>
      <c r="E224" s="17">
        <f>IFERROR(__xludf.DUMMYFUNCTION("""COMPUTED_VALUE"""),44725.0)</f>
        <v>44725</v>
      </c>
      <c r="F224" s="54"/>
      <c r="G224" s="19">
        <f>IFERROR(__xludf.DUMMYFUNCTION("""COMPUTED_VALUE"""),51.766666666666666)</f>
        <v>51.76666667</v>
      </c>
      <c r="H224" s="17">
        <f>IFERROR(__xludf.DUMMYFUNCTION("""COMPUTED_VALUE"""),42790.0)</f>
        <v>42790</v>
      </c>
      <c r="I224" s="19">
        <f>IFERROR(__xludf.DUMMYFUNCTION("""COMPUTED_VALUE"""),5.302777777777778)</f>
        <v>5.302777778</v>
      </c>
      <c r="J224" s="21">
        <f>IFERROR(__xludf.DUMMYFUNCTION("""COMPUTED_VALUE"""),77.0)</f>
        <v>77</v>
      </c>
      <c r="K224" s="23">
        <f>IFERROR(__xludf.DUMMYFUNCTION("""COMPUTED_VALUE"""),7.3)</f>
        <v>7.3</v>
      </c>
      <c r="L224" s="24">
        <f>IFERROR(__xludf.DUMMYFUNCTION("""COMPUTED_VALUE"""),8.5)</f>
        <v>8.5</v>
      </c>
      <c r="M224" s="25" t="str">
        <f>IFERROR(__xludf.DUMMYFUNCTION("""COMPUTED_VALUE"""),"Platformer")</f>
        <v>Platformer</v>
      </c>
      <c r="N224" s="25"/>
      <c r="O224" s="25" t="str">
        <f>IFERROR(__xludf.DUMMYFUNCTION("""COMPUTED_VALUE"""),"Yes")</f>
        <v>Yes</v>
      </c>
      <c r="P224" s="26" t="str">
        <f>IFERROR(__xludf.DUMMYFUNCTION("""COMPUTED_VALUE"""),"Yes")</f>
        <v>Yes</v>
      </c>
    </row>
    <row r="225">
      <c r="A225" s="13" t="str">
        <f>IFERROR(__xludf.DUMMYFUNCTION("""COMPUTED_VALUE"""),"Hotshot Racing")</f>
        <v>Hotshot Racing</v>
      </c>
      <c r="B225" s="15" t="str">
        <f>IFERROR(__xludf.DUMMYFUNCTION("""COMPUTED_VALUE"""),"PS4")</f>
        <v>PS4</v>
      </c>
      <c r="C225" s="16" t="str">
        <f>IFERROR(__xludf.DUMMYFUNCTION("""COMPUTED_VALUE"""),"Extra")</f>
        <v>Extra</v>
      </c>
      <c r="D225" s="15" t="str">
        <f>IFERROR(__xludf.DUMMYFUNCTION("""COMPUTED_VALUE"""),"Active")</f>
        <v>Active</v>
      </c>
      <c r="E225" s="17">
        <f>IFERROR(__xludf.DUMMYFUNCTION("""COMPUTED_VALUE"""),44725.0)</f>
        <v>44725</v>
      </c>
      <c r="F225" s="54"/>
      <c r="G225" s="19">
        <f>IFERROR(__xludf.DUMMYFUNCTION("""COMPUTED_VALUE"""),51.766666666666666)</f>
        <v>51.76666667</v>
      </c>
      <c r="H225" s="17">
        <f>IFERROR(__xludf.DUMMYFUNCTION("""COMPUTED_VALUE"""),44084.0)</f>
        <v>44084</v>
      </c>
      <c r="I225" s="19">
        <f>IFERROR(__xludf.DUMMYFUNCTION("""COMPUTED_VALUE"""),1.7583333333333333)</f>
        <v>1.758333333</v>
      </c>
      <c r="J225" s="21">
        <f>IFERROR(__xludf.DUMMYFUNCTION("""COMPUTED_VALUE"""),77.0)</f>
        <v>77</v>
      </c>
      <c r="K225" s="23">
        <f>IFERROR(__xludf.DUMMYFUNCTION("""COMPUTED_VALUE"""),6.8)</f>
        <v>6.8</v>
      </c>
      <c r="L225" s="24">
        <f>IFERROR(__xludf.DUMMYFUNCTION("""COMPUTED_VALUE"""),1.5)</f>
        <v>1.5</v>
      </c>
      <c r="M225" s="25" t="str">
        <f>IFERROR(__xludf.DUMMYFUNCTION("""COMPUTED_VALUE"""),"Racing")</f>
        <v>Racing</v>
      </c>
      <c r="N225" s="25"/>
      <c r="O225" s="25" t="str">
        <f>IFERROR(__xludf.DUMMYFUNCTION("""COMPUTED_VALUE"""),"Yes")</f>
        <v>Yes</v>
      </c>
      <c r="P225" s="26" t="str">
        <f>IFERROR(__xludf.DUMMYFUNCTION("""COMPUTED_VALUE"""),"Yes")</f>
        <v>Yes</v>
      </c>
    </row>
    <row r="226">
      <c r="A226" s="13" t="str">
        <f>IFERROR(__xludf.DUMMYFUNCTION("""COMPUTED_VALUE"""),"Valiant Hearts: The Great War")</f>
        <v>Valiant Hearts: The Great War</v>
      </c>
      <c r="B226" s="15" t="str">
        <f>IFERROR(__xludf.DUMMYFUNCTION("""COMPUTED_VALUE"""),"PS4")</f>
        <v>PS4</v>
      </c>
      <c r="C226" s="16" t="str">
        <f>IFERROR(__xludf.DUMMYFUNCTION("""COMPUTED_VALUE"""),"Extra")</f>
        <v>Extra</v>
      </c>
      <c r="D226" s="15" t="str">
        <f>IFERROR(__xludf.DUMMYFUNCTION("""COMPUTED_VALUE"""),"Active")</f>
        <v>Active</v>
      </c>
      <c r="E226" s="17">
        <f>IFERROR(__xludf.DUMMYFUNCTION("""COMPUTED_VALUE"""),44725.0)</f>
        <v>44725</v>
      </c>
      <c r="F226" s="18"/>
      <c r="G226" s="19">
        <f>IFERROR(__xludf.DUMMYFUNCTION("""COMPUTED_VALUE"""),51.766666666666666)</f>
        <v>51.76666667</v>
      </c>
      <c r="H226" s="17">
        <f>IFERROR(__xludf.DUMMYFUNCTION("""COMPUTED_VALUE"""),41815.0)</f>
        <v>41815</v>
      </c>
      <c r="I226" s="19">
        <f>IFERROR(__xludf.DUMMYFUNCTION("""COMPUTED_VALUE"""),7.966666666666667)</f>
        <v>7.966666667</v>
      </c>
      <c r="J226" s="21">
        <f>IFERROR(__xludf.DUMMYFUNCTION("""COMPUTED_VALUE"""),77.0)</f>
        <v>77</v>
      </c>
      <c r="K226" s="23">
        <f>IFERROR(__xludf.DUMMYFUNCTION("""COMPUTED_VALUE"""),8.0)</f>
        <v>8</v>
      </c>
      <c r="L226" s="24">
        <f>IFERROR(__xludf.DUMMYFUNCTION("""COMPUTED_VALUE"""),7.0)</f>
        <v>7</v>
      </c>
      <c r="M226" s="25" t="str">
        <f>IFERROR(__xludf.DUMMYFUNCTION("""COMPUTED_VALUE"""),"Adventure")</f>
        <v>Adventure</v>
      </c>
      <c r="N226" s="25"/>
      <c r="O226" s="25" t="str">
        <f>IFERROR(__xludf.DUMMYFUNCTION("""COMPUTED_VALUE"""),"Yes")</f>
        <v>Yes</v>
      </c>
      <c r="P226" s="26"/>
    </row>
    <row r="227">
      <c r="A227" s="13" t="str">
        <f>IFERROR(__xludf.DUMMYFUNCTION("""COMPUTED_VALUE"""),"ZOMBI")</f>
        <v>ZOMBI</v>
      </c>
      <c r="B227" s="15" t="str">
        <f>IFERROR(__xludf.DUMMYFUNCTION("""COMPUTED_VALUE"""),"PS4")</f>
        <v>PS4</v>
      </c>
      <c r="C227" s="16" t="str">
        <f>IFERROR(__xludf.DUMMYFUNCTION("""COMPUTED_VALUE"""),"Extra (Ubisoft+ Classics)")</f>
        <v>Extra (Ubisoft+ Classics)</v>
      </c>
      <c r="D227" s="15" t="str">
        <f>IFERROR(__xludf.DUMMYFUNCTION("""COMPUTED_VALUE"""),"Active")</f>
        <v>Active</v>
      </c>
      <c r="E227" s="17">
        <f>IFERROR(__xludf.DUMMYFUNCTION("""COMPUTED_VALUE"""),44725.0)</f>
        <v>44725</v>
      </c>
      <c r="F227" s="54"/>
      <c r="G227" s="19">
        <f>IFERROR(__xludf.DUMMYFUNCTION("""COMPUTED_VALUE"""),51.766666666666666)</f>
        <v>51.76666667</v>
      </c>
      <c r="H227" s="17">
        <f>IFERROR(__xludf.DUMMYFUNCTION("""COMPUTED_VALUE"""),42234.0)</f>
        <v>42234</v>
      </c>
      <c r="I227" s="19">
        <f>IFERROR(__xludf.DUMMYFUNCTION("""COMPUTED_VALUE"""),6.819444444444445)</f>
        <v>6.819444444</v>
      </c>
      <c r="J227" s="21">
        <f>IFERROR(__xludf.DUMMYFUNCTION("""COMPUTED_VALUE"""),77.0)</f>
        <v>77</v>
      </c>
      <c r="K227" s="23">
        <f>IFERROR(__xludf.DUMMYFUNCTION("""COMPUTED_VALUE"""),6.4)</f>
        <v>6.4</v>
      </c>
      <c r="L227" s="24">
        <f>IFERROR(__xludf.DUMMYFUNCTION("""COMPUTED_VALUE"""),9.0)</f>
        <v>9</v>
      </c>
      <c r="M227" s="25" t="str">
        <f>IFERROR(__xludf.DUMMYFUNCTION("""COMPUTED_VALUE"""),"Horror")</f>
        <v>Horror</v>
      </c>
      <c r="N227" s="25"/>
      <c r="O227" s="25" t="str">
        <f>IFERROR(__xludf.DUMMYFUNCTION("""COMPUTED_VALUE"""),"Yes")</f>
        <v>Yes</v>
      </c>
      <c r="P227" s="26"/>
    </row>
    <row r="228">
      <c r="A228" s="13" t="str">
        <f>IFERROR(__xludf.DUMMYFUNCTION("""COMPUTED_VALUE"""),"The Long Dark")</f>
        <v>The Long Dark</v>
      </c>
      <c r="B228" s="15" t="str">
        <f>IFERROR(__xludf.DUMMYFUNCTION("""COMPUTED_VALUE"""),"PS4")</f>
        <v>PS4</v>
      </c>
      <c r="C228" s="16" t="str">
        <f>IFERROR(__xludf.DUMMYFUNCTION("""COMPUTED_VALUE"""),"Extra")</f>
        <v>Extra</v>
      </c>
      <c r="D228" s="15" t="str">
        <f>IFERROR(__xludf.DUMMYFUNCTION("""COMPUTED_VALUE"""),"Active")</f>
        <v>Active</v>
      </c>
      <c r="E228" s="17">
        <f>IFERROR(__xludf.DUMMYFUNCTION("""COMPUTED_VALUE"""),44292.0)</f>
        <v>44292</v>
      </c>
      <c r="F228" s="54"/>
      <c r="G228" s="19">
        <f>IFERROR(__xludf.DUMMYFUNCTION("""COMPUTED_VALUE"""),66.0)</f>
        <v>66</v>
      </c>
      <c r="H228" s="17">
        <f>IFERROR(__xludf.DUMMYFUNCTION("""COMPUTED_VALUE"""),41883.0)</f>
        <v>41883</v>
      </c>
      <c r="I228" s="19">
        <f>IFERROR(__xludf.DUMMYFUNCTION("""COMPUTED_VALUE"""),6.597222222222222)</f>
        <v>6.597222222</v>
      </c>
      <c r="J228" s="21">
        <f>IFERROR(__xludf.DUMMYFUNCTION("""COMPUTED_VALUE"""),77.0)</f>
        <v>77</v>
      </c>
      <c r="K228" s="23">
        <f>IFERROR(__xludf.DUMMYFUNCTION("""COMPUTED_VALUE"""),7.5)</f>
        <v>7.5</v>
      </c>
      <c r="L228" s="24">
        <f>IFERROR(__xludf.DUMMYFUNCTION("""COMPUTED_VALUE"""),20.0)</f>
        <v>20</v>
      </c>
      <c r="M228" s="25" t="str">
        <f>IFERROR(__xludf.DUMMYFUNCTION("""COMPUTED_VALUE"""),"Survival")</f>
        <v>Survival</v>
      </c>
      <c r="N228" s="25"/>
      <c r="O228" s="25" t="str">
        <f>IFERROR(__xludf.DUMMYFUNCTION("""COMPUTED_VALUE"""),"Yes")</f>
        <v>Yes</v>
      </c>
      <c r="P228" s="26"/>
    </row>
    <row r="229">
      <c r="A229" s="13" t="str">
        <f>IFERROR(__xludf.DUMMYFUNCTION("""COMPUTED_VALUE"""),"The Surge 2")</f>
        <v>The Surge 2</v>
      </c>
      <c r="B229" s="15" t="str">
        <f>IFERROR(__xludf.DUMMYFUNCTION("""COMPUTED_VALUE"""),"PS4")</f>
        <v>PS4</v>
      </c>
      <c r="C229" s="16" t="str">
        <f>IFERROR(__xludf.DUMMYFUNCTION("""COMPUTED_VALUE"""),"Extra")</f>
        <v>Extra</v>
      </c>
      <c r="D229" s="15" t="str">
        <f>IFERROR(__xludf.DUMMYFUNCTION("""COMPUTED_VALUE"""),"Active")</f>
        <v>Active</v>
      </c>
      <c r="E229" s="17">
        <f>IFERROR(__xludf.DUMMYFUNCTION("""COMPUTED_VALUE"""),44166.0)</f>
        <v>44166</v>
      </c>
      <c r="F229" s="54"/>
      <c r="G229" s="19">
        <f>IFERROR(__xludf.DUMMYFUNCTION("""COMPUTED_VALUE"""),70.16666666666667)</f>
        <v>70.16666667</v>
      </c>
      <c r="H229" s="17">
        <f>IFERROR(__xludf.DUMMYFUNCTION("""COMPUTED_VALUE"""),43732.0)</f>
        <v>43732</v>
      </c>
      <c r="I229" s="19">
        <f>IFERROR(__xludf.DUMMYFUNCTION("""COMPUTED_VALUE"""),1.1861111111111111)</f>
        <v>1.186111111</v>
      </c>
      <c r="J229" s="21">
        <f>IFERROR(__xludf.DUMMYFUNCTION("""COMPUTED_VALUE"""),77.0)</f>
        <v>77</v>
      </c>
      <c r="K229" s="23">
        <f>IFERROR(__xludf.DUMMYFUNCTION("""COMPUTED_VALUE"""),7.1)</f>
        <v>7.1</v>
      </c>
      <c r="L229" s="24">
        <f>IFERROR(__xludf.DUMMYFUNCTION("""COMPUTED_VALUE"""),18.0)</f>
        <v>18</v>
      </c>
      <c r="M229" s="25" t="str">
        <f>IFERROR(__xludf.DUMMYFUNCTION("""COMPUTED_VALUE"""),"RPG")</f>
        <v>RPG</v>
      </c>
      <c r="N229" s="25"/>
      <c r="O229" s="25" t="str">
        <f>IFERROR(__xludf.DUMMYFUNCTION("""COMPUTED_VALUE"""),"Yes")</f>
        <v>Yes</v>
      </c>
      <c r="P229" s="26"/>
    </row>
    <row r="230">
      <c r="A230" s="13" t="str">
        <f>IFERROR(__xludf.DUMMYFUNCTION("""COMPUTED_VALUE"""),"Lake")</f>
        <v>Lake</v>
      </c>
      <c r="B230" s="15" t="str">
        <f>IFERROR(__xludf.DUMMYFUNCTION("""COMPUTED_VALUE"""),"PS5/PS4")</f>
        <v>PS5/PS4</v>
      </c>
      <c r="C230" s="16" t="str">
        <f>IFERROR(__xludf.DUMMYFUNCTION("""COMPUTED_VALUE"""),"Extra")</f>
        <v>Extra</v>
      </c>
      <c r="D230" s="15" t="str">
        <f>IFERROR(__xludf.DUMMYFUNCTION("""COMPUTED_VALUE"""),"Leaving Soon")</f>
        <v>Leaving Soon</v>
      </c>
      <c r="E230" s="17">
        <f>IFERROR(__xludf.DUMMYFUNCTION("""COMPUTED_VALUE"""),45062.0)</f>
        <v>45062</v>
      </c>
      <c r="F230" s="54">
        <f>IFERROR(__xludf.DUMMYFUNCTION("""COMPUTED_VALUE"""),46314.0)</f>
        <v>46314</v>
      </c>
      <c r="G230" s="19">
        <f>IFERROR(__xludf.DUMMYFUNCTION("""COMPUTED_VALUE"""),41.099999999999994)</f>
        <v>41.1</v>
      </c>
      <c r="H230" s="17">
        <f>IFERROR(__xludf.DUMMYFUNCTION("""COMPUTED_VALUE"""),44659.0)</f>
        <v>44659</v>
      </c>
      <c r="I230" s="19">
        <f>IFERROR(__xludf.DUMMYFUNCTION("""COMPUTED_VALUE"""),1.1055555555555556)</f>
        <v>1.105555556</v>
      </c>
      <c r="J230" s="21">
        <f>IFERROR(__xludf.DUMMYFUNCTION("""COMPUTED_VALUE"""),77.0)</f>
        <v>77</v>
      </c>
      <c r="K230" s="23">
        <f>IFERROR(__xludf.DUMMYFUNCTION("""COMPUTED_VALUE"""),7.5)</f>
        <v>7.5</v>
      </c>
      <c r="L230" s="24">
        <f>IFERROR(__xludf.DUMMYFUNCTION("""COMPUTED_VALUE"""),6.0)</f>
        <v>6</v>
      </c>
      <c r="M230" s="25" t="str">
        <f>IFERROR(__xludf.DUMMYFUNCTION("""COMPUTED_VALUE"""),"Action-Adventure")</f>
        <v>Action-Adventure</v>
      </c>
      <c r="N230" s="25"/>
      <c r="O230" s="25" t="str">
        <f>IFERROR(__xludf.DUMMYFUNCTION("""COMPUTED_VALUE"""),"Yes")</f>
        <v>Yes</v>
      </c>
      <c r="P230" s="26"/>
    </row>
    <row r="231">
      <c r="A231" s="13" t="str">
        <f>IFERROR(__xludf.DUMMYFUNCTION("""COMPUTED_VALUE"""),"Dying Light 2")</f>
        <v>Dying Light 2</v>
      </c>
      <c r="B231" s="15" t="str">
        <f>IFERROR(__xludf.DUMMYFUNCTION("""COMPUTED_VALUE"""),"PS5/PS4")</f>
        <v>PS5/PS4</v>
      </c>
      <c r="C231" s="16" t="str">
        <f>IFERROR(__xludf.DUMMYFUNCTION("""COMPUTED_VALUE"""),"Extra")</f>
        <v>Extra</v>
      </c>
      <c r="D231" s="15" t="str">
        <f>IFERROR(__xludf.DUMMYFUNCTION("""COMPUTED_VALUE"""),"Active")</f>
        <v>Active</v>
      </c>
      <c r="E231" s="17">
        <f>IFERROR(__xludf.DUMMYFUNCTION("""COMPUTED_VALUE"""),46259.0)</f>
        <v>46259</v>
      </c>
      <c r="F231" s="54"/>
      <c r="G231" s="19">
        <f>IFERROR(__xludf.DUMMYFUNCTION("""COMPUTED_VALUE"""),1.3666666666666667)</f>
        <v>1.366666667</v>
      </c>
      <c r="H231" s="17">
        <f>IFERROR(__xludf.DUMMYFUNCTION("""COMPUTED_VALUE"""),44596.0)</f>
        <v>44596</v>
      </c>
      <c r="I231" s="19">
        <f>IFERROR(__xludf.DUMMYFUNCTION("""COMPUTED_VALUE"""),4.558333333333334)</f>
        <v>4.558333333</v>
      </c>
      <c r="J231" s="21">
        <f>IFERROR(__xludf.DUMMYFUNCTION("""COMPUTED_VALUE"""),76.0)</f>
        <v>76</v>
      </c>
      <c r="K231" s="23">
        <f>IFERROR(__xludf.DUMMYFUNCTION("""COMPUTED_VALUE"""),7.2)</f>
        <v>7.2</v>
      </c>
      <c r="L231" s="24">
        <f>IFERROR(__xludf.DUMMYFUNCTION("""COMPUTED_VALUE"""),24.0)</f>
        <v>24</v>
      </c>
      <c r="M231" s="25" t="str">
        <f>IFERROR(__xludf.DUMMYFUNCTION("""COMPUTED_VALUE"""),"Survival")</f>
        <v>Survival</v>
      </c>
      <c r="N231" s="25"/>
      <c r="O231" s="25"/>
      <c r="P231" s="26"/>
    </row>
    <row r="232">
      <c r="A232" s="13" t="str">
        <f>IFERROR(__xludf.DUMMYFUNCTION("""COMPUTED_VALUE"""),"Rise of the Ronin")</f>
        <v>Rise of the Ronin</v>
      </c>
      <c r="B232" s="15" t="str">
        <f>IFERROR(__xludf.DUMMYFUNCTION("""COMPUTED_VALUE"""),"PS5")</f>
        <v>PS5</v>
      </c>
      <c r="C232" s="16" t="str">
        <f>IFERROR(__xludf.DUMMYFUNCTION("""COMPUTED_VALUE"""),"Extra")</f>
        <v>Extra</v>
      </c>
      <c r="D232" s="15" t="str">
        <f>IFERROR(__xludf.DUMMYFUNCTION("""COMPUTED_VALUE"""),"Active")</f>
        <v>Active</v>
      </c>
      <c r="E232" s="17">
        <f>IFERROR(__xludf.DUMMYFUNCTION("""COMPUTED_VALUE"""),46219.0)</f>
        <v>46219</v>
      </c>
      <c r="F232" s="54"/>
      <c r="G232" s="19">
        <f>IFERROR(__xludf.DUMMYFUNCTION("""COMPUTED_VALUE"""),2.6666666666666665)</f>
        <v>2.666666667</v>
      </c>
      <c r="H232" s="17">
        <f>IFERROR(__xludf.DUMMYFUNCTION("""COMPUTED_VALUE"""),45373.0)</f>
        <v>45373</v>
      </c>
      <c r="I232" s="19">
        <f>IFERROR(__xludf.DUMMYFUNCTION("""COMPUTED_VALUE"""),2.316666666666667)</f>
        <v>2.316666667</v>
      </c>
      <c r="J232" s="21">
        <f>IFERROR(__xludf.DUMMYFUNCTION("""COMPUTED_VALUE"""),76.0)</f>
        <v>76</v>
      </c>
      <c r="K232" s="23">
        <f>IFERROR(__xludf.DUMMYFUNCTION("""COMPUTED_VALUE"""),7.9)</f>
        <v>7.9</v>
      </c>
      <c r="L232" s="24">
        <f>IFERROR(__xludf.DUMMYFUNCTION("""COMPUTED_VALUE"""),25.0)</f>
        <v>25</v>
      </c>
      <c r="M232" s="25" t="str">
        <f>IFERROR(__xludf.DUMMYFUNCTION("""COMPUTED_VALUE"""),"RPG")</f>
        <v>RPG</v>
      </c>
      <c r="N232" s="25"/>
      <c r="O232" s="25" t="str">
        <f>IFERROR(__xludf.DUMMYFUNCTION("""COMPUTED_VALUE"""),"No")</f>
        <v>No</v>
      </c>
      <c r="P232" s="26"/>
    </row>
    <row r="233">
      <c r="A233" s="13" t="str">
        <f>IFERROR(__xludf.DUMMYFUNCTION("""COMPUTED_VALUE"""),"Kingdom Come: Deliverance")</f>
        <v>Kingdom Come: Deliverance</v>
      </c>
      <c r="B233" s="15" t="str">
        <f>IFERROR(__xludf.DUMMYFUNCTION("""COMPUTED_VALUE"""),"PS5/PS4")</f>
        <v>PS5/PS4</v>
      </c>
      <c r="C233" s="16" t="str">
        <f>IFERROR(__xludf.DUMMYFUNCTION("""COMPUTED_VALUE"""),"Extra")</f>
        <v>Extra</v>
      </c>
      <c r="D233" s="15" t="str">
        <f>IFERROR(__xludf.DUMMYFUNCTION("""COMPUTED_VALUE"""),"Active")</f>
        <v>Active</v>
      </c>
      <c r="E233" s="17">
        <f>IFERROR(__xludf.DUMMYFUNCTION("""COMPUTED_VALUE"""),46189.0)</f>
        <v>46189</v>
      </c>
      <c r="F233" s="54"/>
      <c r="G233" s="19">
        <f>IFERROR(__xludf.DUMMYFUNCTION("""COMPUTED_VALUE"""),3.666666666666667)</f>
        <v>3.666666667</v>
      </c>
      <c r="H233" s="17">
        <f>IFERROR(__xludf.DUMMYFUNCTION("""COMPUTED_VALUE"""),43144.0)</f>
        <v>43144</v>
      </c>
      <c r="I233" s="19">
        <f>IFERROR(__xludf.DUMMYFUNCTION("""COMPUTED_VALUE"""),8.341666666666667)</f>
        <v>8.341666667</v>
      </c>
      <c r="J233" s="21">
        <f>IFERROR(__xludf.DUMMYFUNCTION("""COMPUTED_VALUE"""),76.0)</f>
        <v>76</v>
      </c>
      <c r="K233" s="23">
        <f>IFERROR(__xludf.DUMMYFUNCTION("""COMPUTED_VALUE"""),8.0)</f>
        <v>8</v>
      </c>
      <c r="L233" s="24">
        <f>IFERROR(__xludf.DUMMYFUNCTION("""COMPUTED_VALUE"""),41.0)</f>
        <v>41</v>
      </c>
      <c r="M233" s="25" t="str">
        <f>IFERROR(__xludf.DUMMYFUNCTION("""COMPUTED_VALUE"""),"RPG")</f>
        <v>RPG</v>
      </c>
      <c r="N233" s="25"/>
      <c r="O233" s="25"/>
      <c r="P233" s="26"/>
    </row>
    <row r="234">
      <c r="A234" s="13" t="str">
        <f>IFERROR(__xludf.DUMMYFUNCTION("""COMPUTED_VALUE"""),"Assassin’s Creed Mirage")</f>
        <v>Assassin’s Creed Mirage</v>
      </c>
      <c r="B234" s="15" t="str">
        <f>IFERROR(__xludf.DUMMYFUNCTION("""COMPUTED_VALUE"""),"PS5/PS4")</f>
        <v>PS5/PS4</v>
      </c>
      <c r="C234" s="16" t="str">
        <f>IFERROR(__xludf.DUMMYFUNCTION("""COMPUTED_VALUE"""),"Extra")</f>
        <v>Extra</v>
      </c>
      <c r="D234" s="15" t="str">
        <f>IFERROR(__xludf.DUMMYFUNCTION("""COMPUTED_VALUE"""),"Active")</f>
        <v>Active</v>
      </c>
      <c r="E234" s="17">
        <f>IFERROR(__xludf.DUMMYFUNCTION("""COMPUTED_VALUE"""),46007.0)</f>
        <v>46007</v>
      </c>
      <c r="F234" s="54"/>
      <c r="G234" s="19">
        <f>IFERROR(__xludf.DUMMYFUNCTION("""COMPUTED_VALUE"""),9.666666666666668)</f>
        <v>9.666666667</v>
      </c>
      <c r="H234" s="17">
        <f>IFERROR(__xludf.DUMMYFUNCTION("""COMPUTED_VALUE"""),45204.0)</f>
        <v>45204</v>
      </c>
      <c r="I234" s="19">
        <f>IFERROR(__xludf.DUMMYFUNCTION("""COMPUTED_VALUE"""),2.1972222222222224)</f>
        <v>2.197222222</v>
      </c>
      <c r="J234" s="21">
        <f>IFERROR(__xludf.DUMMYFUNCTION("""COMPUTED_VALUE"""),76.0)</f>
        <v>76</v>
      </c>
      <c r="K234" s="23">
        <f>IFERROR(__xludf.DUMMYFUNCTION("""COMPUTED_VALUE"""),7.0)</f>
        <v>7</v>
      </c>
      <c r="L234" s="24">
        <f>IFERROR(__xludf.DUMMYFUNCTION("""COMPUTED_VALUE"""),29.0)</f>
        <v>29</v>
      </c>
      <c r="M234" s="25" t="str">
        <f>IFERROR(__xludf.DUMMYFUNCTION("""COMPUTED_VALUE"""),"Action-Adventure")</f>
        <v>Action-Adventure</v>
      </c>
      <c r="N234" s="25"/>
      <c r="O234" s="25"/>
      <c r="P234" s="26"/>
    </row>
    <row r="235">
      <c r="A235" s="13" t="str">
        <f>IFERROR(__xludf.DUMMYFUNCTION("""COMPUTED_VALUE"""),"Planet Coaster 2")</f>
        <v>Planet Coaster 2</v>
      </c>
      <c r="B235" s="15" t="str">
        <f>IFERROR(__xludf.DUMMYFUNCTION("""COMPUTED_VALUE"""),"PS5")</f>
        <v>PS5</v>
      </c>
      <c r="C235" s="16" t="str">
        <f>IFERROR(__xludf.DUMMYFUNCTION("""COMPUTED_VALUE"""),"Extra")</f>
        <v>Extra</v>
      </c>
      <c r="D235" s="15" t="str">
        <f>IFERROR(__xludf.DUMMYFUNCTION("""COMPUTED_VALUE"""),"Active")</f>
        <v>Active</v>
      </c>
      <c r="E235" s="17">
        <f>IFERROR(__xludf.DUMMYFUNCTION("""COMPUTED_VALUE"""),46007.0)</f>
        <v>46007</v>
      </c>
      <c r="F235" s="54"/>
      <c r="G235" s="19">
        <f>IFERROR(__xludf.DUMMYFUNCTION("""COMPUTED_VALUE"""),9.666666666666668)</f>
        <v>9.666666667</v>
      </c>
      <c r="H235" s="17">
        <f>IFERROR(__xludf.DUMMYFUNCTION("""COMPUTED_VALUE"""),45602.0)</f>
        <v>45602</v>
      </c>
      <c r="I235" s="19">
        <f>IFERROR(__xludf.DUMMYFUNCTION("""COMPUTED_VALUE"""),1.1111111111111112)</f>
        <v>1.111111111</v>
      </c>
      <c r="J235" s="21">
        <f>IFERROR(__xludf.DUMMYFUNCTION("""COMPUTED_VALUE"""),76.0)</f>
        <v>76</v>
      </c>
      <c r="K235" s="23">
        <f>IFERROR(__xludf.DUMMYFUNCTION("""COMPUTED_VALUE"""),5.8)</f>
        <v>5.8</v>
      </c>
      <c r="L235" s="24">
        <f>IFERROR(__xludf.DUMMYFUNCTION("""COMPUTED_VALUE"""),58.0)</f>
        <v>58</v>
      </c>
      <c r="M235" s="25" t="str">
        <f>IFERROR(__xludf.DUMMYFUNCTION("""COMPUTED_VALUE"""),"Simulation")</f>
        <v>Simulation</v>
      </c>
      <c r="N235" s="25"/>
      <c r="O235" s="25" t="str">
        <f>IFERROR(__xludf.DUMMYFUNCTION("""COMPUTED_VALUE"""),"No")</f>
        <v>No</v>
      </c>
      <c r="P235" s="26"/>
    </row>
    <row r="236">
      <c r="A236" s="13" t="str">
        <f>IFERROR(__xludf.DUMMYFUNCTION("""COMPUTED_VALUE"""),"Coffee Talk")</f>
        <v>Coffee Talk</v>
      </c>
      <c r="B236" s="15" t="str">
        <f>IFERROR(__xludf.DUMMYFUNCTION("""COMPUTED_VALUE"""),"PS5/PS4")</f>
        <v>PS5/PS4</v>
      </c>
      <c r="C236" s="16" t="str">
        <f>IFERROR(__xludf.DUMMYFUNCTION("""COMPUTED_VALUE"""),"Extra")</f>
        <v>Extra</v>
      </c>
      <c r="D236" s="15" t="str">
        <f>IFERROR(__xludf.DUMMYFUNCTION("""COMPUTED_VALUE"""),"Active")</f>
        <v>Active</v>
      </c>
      <c r="E236" s="17">
        <f>IFERROR(__xludf.DUMMYFUNCTION("""COMPUTED_VALUE"""),45643.0)</f>
        <v>45643</v>
      </c>
      <c r="F236" s="54"/>
      <c r="G236" s="19">
        <f>IFERROR(__xludf.DUMMYFUNCTION("""COMPUTED_VALUE"""),21.633333333333333)</f>
        <v>21.63333333</v>
      </c>
      <c r="H236" s="17">
        <f>IFERROR(__xludf.DUMMYFUNCTION("""COMPUTED_VALUE"""),43859.0)</f>
        <v>43859</v>
      </c>
      <c r="I236" s="19">
        <f>IFERROR(__xludf.DUMMYFUNCTION("""COMPUTED_VALUE"""),4.883333333333334)</f>
        <v>4.883333333</v>
      </c>
      <c r="J236" s="21">
        <f>IFERROR(__xludf.DUMMYFUNCTION("""COMPUTED_VALUE"""),76.0)</f>
        <v>76</v>
      </c>
      <c r="K236" s="23">
        <f>IFERROR(__xludf.DUMMYFUNCTION("""COMPUTED_VALUE"""),7.5)</f>
        <v>7.5</v>
      </c>
      <c r="L236" s="24">
        <f>IFERROR(__xludf.DUMMYFUNCTION("""COMPUTED_VALUE"""),5.0)</f>
        <v>5</v>
      </c>
      <c r="M236" s="25" t="str">
        <f>IFERROR(__xludf.DUMMYFUNCTION("""COMPUTED_VALUE"""),"Visual Novel ")</f>
        <v>Visual Novel </v>
      </c>
      <c r="N236" s="25"/>
      <c r="O236" s="25" t="str">
        <f>IFERROR(__xludf.DUMMYFUNCTION("""COMPUTED_VALUE"""),"Yes")</f>
        <v>Yes</v>
      </c>
      <c r="P236" s="26"/>
    </row>
    <row r="237">
      <c r="A237" s="13" t="str">
        <f>IFERROR(__xludf.DUMMYFUNCTION("""COMPUTED_VALUE"""),"Cat Quest II: The Lupus Empire")</f>
        <v>Cat Quest II: The Lupus Empire</v>
      </c>
      <c r="B237" s="15" t="str">
        <f>IFERROR(__xludf.DUMMYFUNCTION("""COMPUTED_VALUE"""),"PS4")</f>
        <v>PS4</v>
      </c>
      <c r="C237" s="16" t="str">
        <f>IFERROR(__xludf.DUMMYFUNCTION("""COMPUTED_VALUE"""),"Extra")</f>
        <v>Extra</v>
      </c>
      <c r="D237" s="15" t="str">
        <f>IFERROR(__xludf.DUMMYFUNCTION("""COMPUTED_VALUE"""),"Active")</f>
        <v>Active</v>
      </c>
      <c r="E237" s="17">
        <f>IFERROR(__xludf.DUMMYFUNCTION("""COMPUTED_VALUE"""),45433.0)</f>
        <v>45433</v>
      </c>
      <c r="F237" s="54"/>
      <c r="G237" s="19">
        <f>IFERROR(__xludf.DUMMYFUNCTION("""COMPUTED_VALUE"""),28.5)</f>
        <v>28.5</v>
      </c>
      <c r="H237" s="17">
        <f>IFERROR(__xludf.DUMMYFUNCTION("""COMPUTED_VALUE"""),43732.0)</f>
        <v>43732</v>
      </c>
      <c r="I237" s="19">
        <f>IFERROR(__xludf.DUMMYFUNCTION("""COMPUTED_VALUE"""),4.658333333333333)</f>
        <v>4.658333333</v>
      </c>
      <c r="J237" s="21">
        <f>IFERROR(__xludf.DUMMYFUNCTION("""COMPUTED_VALUE"""),76.0)</f>
        <v>76</v>
      </c>
      <c r="K237" s="23">
        <f>IFERROR(__xludf.DUMMYFUNCTION("""COMPUTED_VALUE"""),7.8)</f>
        <v>7.8</v>
      </c>
      <c r="L237" s="24">
        <f>IFERROR(__xludf.DUMMYFUNCTION("""COMPUTED_VALUE"""),8.0)</f>
        <v>8</v>
      </c>
      <c r="M237" s="25" t="str">
        <f>IFERROR(__xludf.DUMMYFUNCTION("""COMPUTED_VALUE"""),"RPG")</f>
        <v>RPG</v>
      </c>
      <c r="N237" s="25"/>
      <c r="O237" s="25" t="str">
        <f>IFERROR(__xludf.DUMMYFUNCTION("""COMPUTED_VALUE"""),"Yes")</f>
        <v>Yes</v>
      </c>
      <c r="P237" s="26"/>
    </row>
    <row r="238">
      <c r="A238" s="13" t="str">
        <f>IFERROR(__xludf.DUMMYFUNCTION("""COMPUTED_VALUE"""),"The Evil Within 2")</f>
        <v>The Evil Within 2</v>
      </c>
      <c r="B238" s="15" t="str">
        <f>IFERROR(__xludf.DUMMYFUNCTION("""COMPUTED_VALUE"""),"PS4")</f>
        <v>PS4</v>
      </c>
      <c r="C238" s="16" t="str">
        <f>IFERROR(__xludf.DUMMYFUNCTION("""COMPUTED_VALUE"""),"Extra")</f>
        <v>Extra</v>
      </c>
      <c r="D238" s="15" t="str">
        <f>IFERROR(__xludf.DUMMYFUNCTION("""COMPUTED_VALUE"""),"Active")</f>
        <v>Active</v>
      </c>
      <c r="E238" s="17">
        <f>IFERROR(__xludf.DUMMYFUNCTION("""COMPUTED_VALUE"""),45062.0)</f>
        <v>45062</v>
      </c>
      <c r="F238" s="54"/>
      <c r="G238" s="19">
        <f>IFERROR(__xludf.DUMMYFUNCTION("""COMPUTED_VALUE"""),40.666666666666664)</f>
        <v>40.66666667</v>
      </c>
      <c r="H238" s="17">
        <f>IFERROR(__xludf.DUMMYFUNCTION("""COMPUTED_VALUE"""),42822.0)</f>
        <v>42822</v>
      </c>
      <c r="I238" s="19">
        <f>IFERROR(__xludf.DUMMYFUNCTION("""COMPUTED_VALUE"""),6.133333333333334)</f>
        <v>6.133333333</v>
      </c>
      <c r="J238" s="21">
        <f>IFERROR(__xludf.DUMMYFUNCTION("""COMPUTED_VALUE"""),76.0)</f>
        <v>76</v>
      </c>
      <c r="K238" s="23">
        <f>IFERROR(__xludf.DUMMYFUNCTION("""COMPUTED_VALUE"""),8.5)</f>
        <v>8.5</v>
      </c>
      <c r="L238" s="24">
        <f>IFERROR(__xludf.DUMMYFUNCTION("""COMPUTED_VALUE"""),14.0)</f>
        <v>14</v>
      </c>
      <c r="M238" s="25" t="str">
        <f>IFERROR(__xludf.DUMMYFUNCTION("""COMPUTED_VALUE"""),"Shooter")</f>
        <v>Shooter</v>
      </c>
      <c r="N238" s="25"/>
      <c r="O238" s="25" t="str">
        <f>IFERROR(__xludf.DUMMYFUNCTION("""COMPUTED_VALUE"""),"Yes")</f>
        <v>Yes</v>
      </c>
      <c r="P238" s="26"/>
    </row>
    <row r="239">
      <c r="A239" s="13" t="str">
        <f>IFERROR(__xludf.DUMMYFUNCTION("""COMPUTED_VALUE"""),"Wolfenstein: The Old Blood")</f>
        <v>Wolfenstein: The Old Blood</v>
      </c>
      <c r="B239" s="15" t="str">
        <f>IFERROR(__xludf.DUMMYFUNCTION("""COMPUTED_VALUE"""),"PS4")</f>
        <v>PS4</v>
      </c>
      <c r="C239" s="16" t="str">
        <f>IFERROR(__xludf.DUMMYFUNCTION("""COMPUTED_VALUE"""),"Extra")</f>
        <v>Extra</v>
      </c>
      <c r="D239" s="15" t="str">
        <f>IFERROR(__xludf.DUMMYFUNCTION("""COMPUTED_VALUE"""),"Active")</f>
        <v>Active</v>
      </c>
      <c r="E239" s="17">
        <f>IFERROR(__xludf.DUMMYFUNCTION("""COMPUTED_VALUE"""),45034.0)</f>
        <v>45034</v>
      </c>
      <c r="F239" s="54"/>
      <c r="G239" s="19">
        <f>IFERROR(__xludf.DUMMYFUNCTION("""COMPUTED_VALUE"""),41.6)</f>
        <v>41.6</v>
      </c>
      <c r="H239" s="17">
        <f>IFERROR(__xludf.DUMMYFUNCTION("""COMPUTED_VALUE"""),42129.0)</f>
        <v>42129</v>
      </c>
      <c r="I239" s="19">
        <f>IFERROR(__xludf.DUMMYFUNCTION("""COMPUTED_VALUE"""),7.9527777777777775)</f>
        <v>7.952777778</v>
      </c>
      <c r="J239" s="21">
        <f>IFERROR(__xludf.DUMMYFUNCTION("""COMPUTED_VALUE"""),76.0)</f>
        <v>76</v>
      </c>
      <c r="K239" s="23">
        <f>IFERROR(__xludf.DUMMYFUNCTION("""COMPUTED_VALUE"""),8.1)</f>
        <v>8.1</v>
      </c>
      <c r="L239" s="24">
        <f>IFERROR(__xludf.DUMMYFUNCTION("""COMPUTED_VALUE"""),6.0)</f>
        <v>6</v>
      </c>
      <c r="M239" s="25" t="str">
        <f>IFERROR(__xludf.DUMMYFUNCTION("""COMPUTED_VALUE"""),"Shooter")</f>
        <v>Shooter</v>
      </c>
      <c r="N239" s="25"/>
      <c r="O239" s="25" t="str">
        <f>IFERROR(__xludf.DUMMYFUNCTION("""COMPUTED_VALUE"""),"Yes")</f>
        <v>Yes</v>
      </c>
      <c r="P239" s="26"/>
    </row>
    <row r="240">
      <c r="A240" s="13" t="str">
        <f>IFERROR(__xludf.DUMMYFUNCTION("""COMPUTED_VALUE"""),"Riders Republic")</f>
        <v>Riders Republic</v>
      </c>
      <c r="B240" s="15" t="str">
        <f>IFERROR(__xludf.DUMMYFUNCTION("""COMPUTED_VALUE"""),"PS5/PS4")</f>
        <v>PS5/PS4</v>
      </c>
      <c r="C240" s="16" t="str">
        <f>IFERROR(__xludf.DUMMYFUNCTION("""COMPUTED_VALUE"""),"Extra (Ubisoft+ Classics)")</f>
        <v>Extra (Ubisoft+ Classics)</v>
      </c>
      <c r="D240" s="15" t="str">
        <f>IFERROR(__xludf.DUMMYFUNCTION("""COMPUTED_VALUE"""),"Active")</f>
        <v>Active</v>
      </c>
      <c r="E240" s="17">
        <f>IFERROR(__xludf.DUMMYFUNCTION("""COMPUTED_VALUE"""),45034.0)</f>
        <v>45034</v>
      </c>
      <c r="F240" s="54"/>
      <c r="G240" s="19">
        <f>IFERROR(__xludf.DUMMYFUNCTION("""COMPUTED_VALUE"""),41.6)</f>
        <v>41.6</v>
      </c>
      <c r="H240" s="17">
        <f>IFERROR(__xludf.DUMMYFUNCTION("""COMPUTED_VALUE"""),44497.0)</f>
        <v>44497</v>
      </c>
      <c r="I240" s="19">
        <f>IFERROR(__xludf.DUMMYFUNCTION("""COMPUTED_VALUE"""),1.4722222222222223)</f>
        <v>1.472222222</v>
      </c>
      <c r="J240" s="21">
        <f>IFERROR(__xludf.DUMMYFUNCTION("""COMPUTED_VALUE"""),76.0)</f>
        <v>76</v>
      </c>
      <c r="K240" s="23">
        <f>IFERROR(__xludf.DUMMYFUNCTION("""COMPUTED_VALUE"""),5.9)</f>
        <v>5.9</v>
      </c>
      <c r="L240" s="24">
        <f>IFERROR(__xludf.DUMMYFUNCTION("""COMPUTED_VALUE"""),19.0)</f>
        <v>19</v>
      </c>
      <c r="M240" s="25" t="str">
        <f>IFERROR(__xludf.DUMMYFUNCTION("""COMPUTED_VALUE"""),"Sports")</f>
        <v>Sports</v>
      </c>
      <c r="N240" s="25"/>
      <c r="O240" s="25" t="str">
        <f>IFERROR(__xludf.DUMMYFUNCTION("""COMPUTED_VALUE"""),"Yes")</f>
        <v>Yes</v>
      </c>
      <c r="P240" s="26"/>
    </row>
    <row r="241">
      <c r="A241" s="13" t="str">
        <f>IFERROR(__xludf.DUMMYFUNCTION("""COMPUTED_VALUE"""),"Far Cry: Primal")</f>
        <v>Far Cry: Primal</v>
      </c>
      <c r="B241" s="15" t="str">
        <f>IFERROR(__xludf.DUMMYFUNCTION("""COMPUTED_VALUE"""),"PS4")</f>
        <v>PS4</v>
      </c>
      <c r="C241" s="16" t="str">
        <f>IFERROR(__xludf.DUMMYFUNCTION("""COMPUTED_VALUE"""),"Extra (Ubisoft+ Classics)")</f>
        <v>Extra (Ubisoft+ Classics)</v>
      </c>
      <c r="D241" s="15" t="str">
        <f>IFERROR(__xludf.DUMMYFUNCTION("""COMPUTED_VALUE"""),"Active")</f>
        <v>Active</v>
      </c>
      <c r="E241" s="17">
        <f>IFERROR(__xludf.DUMMYFUNCTION("""COMPUTED_VALUE"""),44915.0)</f>
        <v>44915</v>
      </c>
      <c r="F241" s="54"/>
      <c r="G241" s="19">
        <f>IFERROR(__xludf.DUMMYFUNCTION("""COMPUTED_VALUE"""),45.53333333333333)</f>
        <v>45.53333333</v>
      </c>
      <c r="H241" s="17">
        <f>IFERROR(__xludf.DUMMYFUNCTION("""COMPUTED_VALUE"""),42423.0)</f>
        <v>42423</v>
      </c>
      <c r="I241" s="19">
        <f>IFERROR(__xludf.DUMMYFUNCTION("""COMPUTED_VALUE"""),6.825)</f>
        <v>6.825</v>
      </c>
      <c r="J241" s="21">
        <f>IFERROR(__xludf.DUMMYFUNCTION("""COMPUTED_VALUE"""),76.0)</f>
        <v>76</v>
      </c>
      <c r="K241" s="23">
        <f>IFERROR(__xludf.DUMMYFUNCTION("""COMPUTED_VALUE"""),6.7)</f>
        <v>6.7</v>
      </c>
      <c r="L241" s="24">
        <f>IFERROR(__xludf.DUMMYFUNCTION("""COMPUTED_VALUE"""),15.0)</f>
        <v>15</v>
      </c>
      <c r="M241" s="25" t="str">
        <f>IFERROR(__xludf.DUMMYFUNCTION("""COMPUTED_VALUE"""),"Shooter")</f>
        <v>Shooter</v>
      </c>
      <c r="N241" s="25"/>
      <c r="O241" s="25" t="str">
        <f>IFERROR(__xludf.DUMMYFUNCTION("""COMPUTED_VALUE"""),"Yes")</f>
        <v>Yes</v>
      </c>
      <c r="P241" s="26"/>
    </row>
    <row r="242">
      <c r="A242" s="13" t="str">
        <f>IFERROR(__xludf.DUMMYFUNCTION("""COMPUTED_VALUE"""),"Assassin's Creed Syndicate")</f>
        <v>Assassin's Creed Syndicate</v>
      </c>
      <c r="B242" s="15" t="str">
        <f>IFERROR(__xludf.DUMMYFUNCTION("""COMPUTED_VALUE"""),"PS4")</f>
        <v>PS4</v>
      </c>
      <c r="C242" s="16" t="str">
        <f>IFERROR(__xludf.DUMMYFUNCTION("""COMPUTED_VALUE"""),"Extra (Ubisoft+ Classics)")</f>
        <v>Extra (Ubisoft+ Classics)</v>
      </c>
      <c r="D242" s="15" t="str">
        <f>IFERROR(__xludf.DUMMYFUNCTION("""COMPUTED_VALUE"""),"Active")</f>
        <v>Active</v>
      </c>
      <c r="E242" s="17">
        <f>IFERROR(__xludf.DUMMYFUNCTION("""COMPUTED_VALUE"""),44852.0)</f>
        <v>44852</v>
      </c>
      <c r="F242" s="71"/>
      <c r="G242" s="19">
        <f>IFERROR(__xludf.DUMMYFUNCTION("""COMPUTED_VALUE"""),47.6)</f>
        <v>47.6</v>
      </c>
      <c r="H242" s="17">
        <f>IFERROR(__xludf.DUMMYFUNCTION("""COMPUTED_VALUE"""),42300.0)</f>
        <v>42300</v>
      </c>
      <c r="I242" s="19">
        <f>IFERROR(__xludf.DUMMYFUNCTION("""COMPUTED_VALUE"""),6.986111111111111)</f>
        <v>6.986111111</v>
      </c>
      <c r="J242" s="21">
        <f>IFERROR(__xludf.DUMMYFUNCTION("""COMPUTED_VALUE"""),76.0)</f>
        <v>76</v>
      </c>
      <c r="K242" s="23">
        <f>IFERROR(__xludf.DUMMYFUNCTION("""COMPUTED_VALUE"""),6.9)</f>
        <v>6.9</v>
      </c>
      <c r="L242" s="24">
        <f>IFERROR(__xludf.DUMMYFUNCTION("""COMPUTED_VALUE"""),18.5)</f>
        <v>18.5</v>
      </c>
      <c r="M242" s="25" t="str">
        <f>IFERROR(__xludf.DUMMYFUNCTION("""COMPUTED_VALUE"""),"RPG")</f>
        <v>RPG</v>
      </c>
      <c r="N242" s="25"/>
      <c r="O242" s="25" t="str">
        <f>IFERROR(__xludf.DUMMYFUNCTION("""COMPUTED_VALUE"""),"Yes")</f>
        <v>Yes</v>
      </c>
      <c r="P242" s="26"/>
    </row>
    <row r="243">
      <c r="A243" s="13" t="str">
        <f>IFERROR(__xludf.DUMMYFUNCTION("""COMPUTED_VALUE"""),"inFAMOUS: First Light")</f>
        <v>inFAMOUS: First Light</v>
      </c>
      <c r="B243" s="15" t="str">
        <f>IFERROR(__xludf.DUMMYFUNCTION("""COMPUTED_VALUE"""),"PS4")</f>
        <v>PS4</v>
      </c>
      <c r="C243" s="16" t="str">
        <f>IFERROR(__xludf.DUMMYFUNCTION("""COMPUTED_VALUE"""),"Extra")</f>
        <v>Extra</v>
      </c>
      <c r="D243" s="15" t="str">
        <f>IFERROR(__xludf.DUMMYFUNCTION("""COMPUTED_VALUE"""),"Active")</f>
        <v>Active</v>
      </c>
      <c r="E243" s="17">
        <f>IFERROR(__xludf.DUMMYFUNCTION("""COMPUTED_VALUE"""),44725.0)</f>
        <v>44725</v>
      </c>
      <c r="F243" s="54"/>
      <c r="G243" s="19">
        <f>IFERROR(__xludf.DUMMYFUNCTION("""COMPUTED_VALUE"""),51.766666666666666)</f>
        <v>51.76666667</v>
      </c>
      <c r="H243" s="17">
        <f>IFERROR(__xludf.DUMMYFUNCTION("""COMPUTED_VALUE"""),41852.0)</f>
        <v>41852</v>
      </c>
      <c r="I243" s="19">
        <f>IFERROR(__xludf.DUMMYFUNCTION("""COMPUTED_VALUE"""),7.866666666666666)</f>
        <v>7.866666667</v>
      </c>
      <c r="J243" s="21">
        <f>IFERROR(__xludf.DUMMYFUNCTION("""COMPUTED_VALUE"""),76.0)</f>
        <v>76</v>
      </c>
      <c r="K243" s="23">
        <f>IFERROR(__xludf.DUMMYFUNCTION("""COMPUTED_VALUE"""),7.6)</f>
        <v>7.6</v>
      </c>
      <c r="L243" s="24">
        <f>IFERROR(__xludf.DUMMYFUNCTION("""COMPUTED_VALUE"""),4.0)</f>
        <v>4</v>
      </c>
      <c r="M243" s="25" t="str">
        <f>IFERROR(__xludf.DUMMYFUNCTION("""COMPUTED_VALUE"""),"Action-Adventure")</f>
        <v>Action-Adventure</v>
      </c>
      <c r="N243" s="25"/>
      <c r="O243" s="25" t="str">
        <f>IFERROR(__xludf.DUMMYFUNCTION("""COMPUTED_VALUE"""),"Yes")</f>
        <v>Yes</v>
      </c>
      <c r="P243" s="26"/>
    </row>
    <row r="244">
      <c r="A244" s="13" t="str">
        <f>IFERROR(__xludf.DUMMYFUNCTION("""COMPUTED_VALUE"""),"Rebel Galaxy")</f>
        <v>Rebel Galaxy</v>
      </c>
      <c r="B244" s="15" t="str">
        <f>IFERROR(__xludf.DUMMYFUNCTION("""COMPUTED_VALUE"""),"PS4")</f>
        <v>PS4</v>
      </c>
      <c r="C244" s="16" t="str">
        <f>IFERROR(__xludf.DUMMYFUNCTION("""COMPUTED_VALUE"""),"Extra")</f>
        <v>Extra</v>
      </c>
      <c r="D244" s="15" t="str">
        <f>IFERROR(__xludf.DUMMYFUNCTION("""COMPUTED_VALUE"""),"Active")</f>
        <v>Active</v>
      </c>
      <c r="E244" s="17">
        <f>IFERROR(__xludf.DUMMYFUNCTION("""COMPUTED_VALUE"""),43503.0)</f>
        <v>43503</v>
      </c>
      <c r="F244" s="54"/>
      <c r="G244" s="19">
        <f>IFERROR(__xludf.DUMMYFUNCTION("""COMPUTED_VALUE"""),91.96666666666667)</f>
        <v>91.96666667</v>
      </c>
      <c r="H244" s="17">
        <f>IFERROR(__xludf.DUMMYFUNCTION("""COMPUTED_VALUE"""),42290.0)</f>
        <v>42290</v>
      </c>
      <c r="I244" s="19">
        <f>IFERROR(__xludf.DUMMYFUNCTION("""COMPUTED_VALUE"""),3.316666666666667)</f>
        <v>3.316666667</v>
      </c>
      <c r="J244" s="21">
        <f>IFERROR(__xludf.DUMMYFUNCTION("""COMPUTED_VALUE"""),76.0)</f>
        <v>76</v>
      </c>
      <c r="K244" s="23">
        <f>IFERROR(__xludf.DUMMYFUNCTION("""COMPUTED_VALUE"""),7.4)</f>
        <v>7.4</v>
      </c>
      <c r="L244" s="24">
        <f>IFERROR(__xludf.DUMMYFUNCTION("""COMPUTED_VALUE"""),20.0)</f>
        <v>20</v>
      </c>
      <c r="M244" s="25" t="str">
        <f>IFERROR(__xludf.DUMMYFUNCTION("""COMPUTED_VALUE"""),"RPG")</f>
        <v>RPG</v>
      </c>
      <c r="N244" s="25"/>
      <c r="O244" s="25" t="str">
        <f>IFERROR(__xludf.DUMMYFUNCTION("""COMPUTED_VALUE"""),"Yes")</f>
        <v>Yes</v>
      </c>
      <c r="P244" s="26"/>
    </row>
    <row r="245">
      <c r="A245" s="13" t="str">
        <f>IFERROR(__xludf.DUMMYFUNCTION("""COMPUTED_VALUE"""),"For Honor")</f>
        <v>For Honor</v>
      </c>
      <c r="B245" s="15" t="str">
        <f>IFERROR(__xludf.DUMMYFUNCTION("""COMPUTED_VALUE"""),"PS4")</f>
        <v>PS4</v>
      </c>
      <c r="C245" s="16" t="str">
        <f>IFERROR(__xludf.DUMMYFUNCTION("""COMPUTED_VALUE"""),"Extra (Ubisoft+ Classics)")</f>
        <v>Extra (Ubisoft+ Classics)</v>
      </c>
      <c r="D245" s="15" t="str">
        <f>IFERROR(__xludf.DUMMYFUNCTION("""COMPUTED_VALUE"""),"Active")</f>
        <v>Active</v>
      </c>
      <c r="E245" s="17">
        <f>IFERROR(__xludf.DUMMYFUNCTION("""COMPUTED_VALUE"""),43438.0)</f>
        <v>43438</v>
      </c>
      <c r="F245" s="54"/>
      <c r="G245" s="19">
        <f>IFERROR(__xludf.DUMMYFUNCTION("""COMPUTED_VALUE"""),94.06666666666666)</f>
        <v>94.06666667</v>
      </c>
      <c r="H245" s="17">
        <f>IFERROR(__xludf.DUMMYFUNCTION("""COMPUTED_VALUE"""),42780.0)</f>
        <v>42780</v>
      </c>
      <c r="I245" s="19">
        <f>IFERROR(__xludf.DUMMYFUNCTION("""COMPUTED_VALUE"""),1.8055555555555556)</f>
        <v>1.805555556</v>
      </c>
      <c r="J245" s="21">
        <f>IFERROR(__xludf.DUMMYFUNCTION("""COMPUTED_VALUE"""),76.0)</f>
        <v>76</v>
      </c>
      <c r="K245" s="23">
        <f>IFERROR(__xludf.DUMMYFUNCTION("""COMPUTED_VALUE"""),7.0)</f>
        <v>7</v>
      </c>
      <c r="L245" s="24">
        <f>IFERROR(__xludf.DUMMYFUNCTION("""COMPUTED_VALUE"""),7.0)</f>
        <v>7</v>
      </c>
      <c r="M245" s="25" t="str">
        <f>IFERROR(__xludf.DUMMYFUNCTION("""COMPUTED_VALUE"""),"Fighting")</f>
        <v>Fighting</v>
      </c>
      <c r="N245" s="25" t="str">
        <f>IFERROR(__xludf.DUMMYFUNCTION("""COMPUTED_VALUE"""),"Removed from streaming")</f>
        <v>Removed from streaming</v>
      </c>
      <c r="O245" s="25" t="str">
        <f>IFERROR(__xludf.DUMMYFUNCTION("""COMPUTED_VALUE"""),"No")</f>
        <v>No</v>
      </c>
      <c r="P245" s="26" t="str">
        <f>IFERROR(__xludf.DUMMYFUNCTION("""COMPUTED_VALUE"""),"Yes")</f>
        <v>Yes</v>
      </c>
    </row>
    <row r="246">
      <c r="A246" s="13" t="str">
        <f>IFERROR(__xludf.DUMMYFUNCTION("""COMPUTED_VALUE"""),"Sniper Elite: Resistance")</f>
        <v>Sniper Elite: Resistance</v>
      </c>
      <c r="B246" s="15" t="str">
        <f>IFERROR(__xludf.DUMMYFUNCTION("""COMPUTED_VALUE"""),"PS5/PS4")</f>
        <v>PS5/PS4</v>
      </c>
      <c r="C246" s="16" t="str">
        <f>IFERROR(__xludf.DUMMYFUNCTION("""COMPUTED_VALUE"""),"Extra")</f>
        <v>Extra</v>
      </c>
      <c r="D246" s="15" t="str">
        <f>IFERROR(__xludf.DUMMYFUNCTION("""COMPUTED_VALUE"""),"Active")</f>
        <v>Active</v>
      </c>
      <c r="E246" s="17">
        <f>IFERROR(__xludf.DUMMYFUNCTION("""COMPUTED_VALUE"""),46294.0)</f>
        <v>46294</v>
      </c>
      <c r="F246" s="54"/>
      <c r="G246" s="19">
        <f>IFERROR(__xludf.DUMMYFUNCTION("""COMPUTED_VALUE"""),0.23333333333333334)</f>
        <v>0.2333333333</v>
      </c>
      <c r="H246" s="17">
        <f>IFERROR(__xludf.DUMMYFUNCTION("""COMPUTED_VALUE"""),45687.0)</f>
        <v>45687</v>
      </c>
      <c r="I246" s="19">
        <f>IFERROR(__xludf.DUMMYFUNCTION("""COMPUTED_VALUE"""),1.663888888888889)</f>
        <v>1.663888889</v>
      </c>
      <c r="J246" s="21">
        <f>IFERROR(__xludf.DUMMYFUNCTION("""COMPUTED_VALUE"""),75.0)</f>
        <v>75</v>
      </c>
      <c r="K246" s="23">
        <f>IFERROR(__xludf.DUMMYFUNCTION("""COMPUTED_VALUE"""),5.9)</f>
        <v>5.9</v>
      </c>
      <c r="L246" s="24">
        <f>IFERROR(__xludf.DUMMYFUNCTION("""COMPUTED_VALUE"""),9.0)</f>
        <v>9</v>
      </c>
      <c r="M246" s="25" t="str">
        <f>IFERROR(__xludf.DUMMYFUNCTION("""COMPUTED_VALUE"""),"Shooter")</f>
        <v>Shooter</v>
      </c>
      <c r="N246" s="25"/>
      <c r="O246" s="25"/>
      <c r="P246" s="26"/>
    </row>
    <row r="247">
      <c r="A247" s="13" t="str">
        <f>IFERROR(__xludf.DUMMYFUNCTION("""COMPUTED_VALUE"""),"Farming Simulator 25")</f>
        <v>Farming Simulator 25</v>
      </c>
      <c r="B247" s="15" t="str">
        <f>IFERROR(__xludf.DUMMYFUNCTION("""COMPUTED_VALUE"""),"PS5")</f>
        <v>PS5</v>
      </c>
      <c r="C247" s="16" t="str">
        <f>IFERROR(__xludf.DUMMYFUNCTION("""COMPUTED_VALUE"""),"Extra")</f>
        <v>Extra</v>
      </c>
      <c r="D247" s="15" t="str">
        <f>IFERROR(__xludf.DUMMYFUNCTION("""COMPUTED_VALUE"""),"Active")</f>
        <v>Active</v>
      </c>
      <c r="E247" s="17">
        <f>IFERROR(__xludf.DUMMYFUNCTION("""COMPUTED_VALUE"""),46189.0)</f>
        <v>46189</v>
      </c>
      <c r="F247" s="54"/>
      <c r="G247" s="19">
        <f>IFERROR(__xludf.DUMMYFUNCTION("""COMPUTED_VALUE"""),3.666666666666667)</f>
        <v>3.666666667</v>
      </c>
      <c r="H247" s="17">
        <f>IFERROR(__xludf.DUMMYFUNCTION("""COMPUTED_VALUE"""),45608.0)</f>
        <v>45608</v>
      </c>
      <c r="I247" s="19">
        <f>IFERROR(__xludf.DUMMYFUNCTION("""COMPUTED_VALUE"""),1.5944444444444446)</f>
        <v>1.594444444</v>
      </c>
      <c r="J247" s="21">
        <f>IFERROR(__xludf.DUMMYFUNCTION("""COMPUTED_VALUE"""),75.0)</f>
        <v>75</v>
      </c>
      <c r="K247" s="23">
        <f>IFERROR(__xludf.DUMMYFUNCTION("""COMPUTED_VALUE"""),5.3)</f>
        <v>5.3</v>
      </c>
      <c r="L247" s="24">
        <f>IFERROR(__xludf.DUMMYFUNCTION("""COMPUTED_VALUE"""),37.0)</f>
        <v>37</v>
      </c>
      <c r="M247" s="25" t="str">
        <f>IFERROR(__xludf.DUMMYFUNCTION("""COMPUTED_VALUE"""),"Simulation")</f>
        <v>Simulation</v>
      </c>
      <c r="N247" s="25"/>
      <c r="O247" s="25" t="str">
        <f>IFERROR(__xludf.DUMMYFUNCTION("""COMPUTED_VALUE"""),"No")</f>
        <v>No</v>
      </c>
      <c r="P247" s="26"/>
    </row>
    <row r="248">
      <c r="A248" s="13" t="str">
        <f>IFERROR(__xludf.DUMMYFUNCTION("""COMPUTED_VALUE"""),"Black Desert")</f>
        <v>Black Desert</v>
      </c>
      <c r="B248" s="15" t="str">
        <f>IFERROR(__xludf.DUMMYFUNCTION("""COMPUTED_VALUE"""),"PS5")</f>
        <v>PS5</v>
      </c>
      <c r="C248" s="16" t="str">
        <f>IFERROR(__xludf.DUMMYFUNCTION("""COMPUTED_VALUE"""),"Extra")</f>
        <v>Extra</v>
      </c>
      <c r="D248" s="15" t="str">
        <f>IFERROR(__xludf.DUMMYFUNCTION("""COMPUTED_VALUE"""),"Active")</f>
        <v>Active</v>
      </c>
      <c r="E248" s="17">
        <f>IFERROR(__xludf.DUMMYFUNCTION("""COMPUTED_VALUE"""),46189.0)</f>
        <v>46189</v>
      </c>
      <c r="F248" s="54"/>
      <c r="G248" s="19">
        <f>IFERROR(__xludf.DUMMYFUNCTION("""COMPUTED_VALUE"""),3.666666666666667)</f>
        <v>3.666666667</v>
      </c>
      <c r="H248" s="17">
        <f>IFERROR(__xludf.DUMMYFUNCTION("""COMPUTED_VALUE"""),43528.0)</f>
        <v>43528</v>
      </c>
      <c r="I248" s="19">
        <f>IFERROR(__xludf.DUMMYFUNCTION("""COMPUTED_VALUE"""),7.283333333333333)</f>
        <v>7.283333333</v>
      </c>
      <c r="J248" s="21">
        <f>IFERROR(__xludf.DUMMYFUNCTION("""COMPUTED_VALUE"""),75.0)</f>
        <v>75</v>
      </c>
      <c r="K248" s="23">
        <f>IFERROR(__xludf.DUMMYFUNCTION("""COMPUTED_VALUE"""),6.2)</f>
        <v>6.2</v>
      </c>
      <c r="L248" s="24">
        <f>IFERROR(__xludf.DUMMYFUNCTION("""COMPUTED_VALUE"""),34.0)</f>
        <v>34</v>
      </c>
      <c r="M248" s="25" t="str">
        <f>IFERROR(__xludf.DUMMYFUNCTION("""COMPUTED_VALUE"""),"RPG")</f>
        <v>RPG</v>
      </c>
      <c r="N248" s="25"/>
      <c r="O248" s="25" t="str">
        <f>IFERROR(__xludf.DUMMYFUNCTION("""COMPUTED_VALUE"""),"No")</f>
        <v>No</v>
      </c>
      <c r="P248" s="26"/>
    </row>
    <row r="249">
      <c r="A249" s="13" t="str">
        <f>IFERROR(__xludf.DUMMYFUNCTION("""COMPUTED_VALUE"""),"Star Wars Outlaws")</f>
        <v>Star Wars Outlaws</v>
      </c>
      <c r="B249" s="15" t="str">
        <f>IFERROR(__xludf.DUMMYFUNCTION("""COMPUTED_VALUE"""),"PS5")</f>
        <v>PS5</v>
      </c>
      <c r="C249" s="16" t="str">
        <f>IFERROR(__xludf.DUMMYFUNCTION("""COMPUTED_VALUE"""),"Extra")</f>
        <v>Extra</v>
      </c>
      <c r="D249" s="15" t="str">
        <f>IFERROR(__xludf.DUMMYFUNCTION("""COMPUTED_VALUE"""),"Active")</f>
        <v>Active</v>
      </c>
      <c r="E249" s="17">
        <f>IFERROR(__xludf.DUMMYFUNCTION("""COMPUTED_VALUE"""),46161.0)</f>
        <v>46161</v>
      </c>
      <c r="F249" s="18"/>
      <c r="G249" s="19">
        <f>IFERROR(__xludf.DUMMYFUNCTION("""COMPUTED_VALUE"""),4.566666666666666)</f>
        <v>4.566666667</v>
      </c>
      <c r="H249" s="17">
        <f>IFERROR(__xludf.DUMMYFUNCTION("""COMPUTED_VALUE"""),45531.0)</f>
        <v>45531</v>
      </c>
      <c r="I249" s="19">
        <f>IFERROR(__xludf.DUMMYFUNCTION("""COMPUTED_VALUE"""),1.7277777777777779)</f>
        <v>1.727777778</v>
      </c>
      <c r="J249" s="21">
        <f>IFERROR(__xludf.DUMMYFUNCTION("""COMPUTED_VALUE"""),75.0)</f>
        <v>75</v>
      </c>
      <c r="K249" s="23">
        <f>IFERROR(__xludf.DUMMYFUNCTION("""COMPUTED_VALUE"""),5.6)</f>
        <v>5.6</v>
      </c>
      <c r="L249" s="24">
        <f>IFERROR(__xludf.DUMMYFUNCTION("""COMPUTED_VALUE"""),18.5)</f>
        <v>18.5</v>
      </c>
      <c r="M249" s="25" t="str">
        <f>IFERROR(__xludf.DUMMYFUNCTION("""COMPUTED_VALUE"""),"Action-Adventure")</f>
        <v>Action-Adventure</v>
      </c>
      <c r="N249" s="25"/>
      <c r="O249" s="25" t="str">
        <f>IFERROR(__xludf.DUMMYFUNCTION("""COMPUTED_VALUE"""),"No")</f>
        <v>No</v>
      </c>
      <c r="P249" s="26"/>
    </row>
    <row r="250">
      <c r="A250" s="13" t="str">
        <f>IFERROR(__xludf.DUMMYFUNCTION("""COMPUTED_VALUE"""),"Astroneer")</f>
        <v>Astroneer</v>
      </c>
      <c r="B250" s="15" t="str">
        <f>IFERROR(__xludf.DUMMYFUNCTION("""COMPUTED_VALUE"""),"PS5/PS4")</f>
        <v>PS5/PS4</v>
      </c>
      <c r="C250" s="16" t="str">
        <f>IFERROR(__xludf.DUMMYFUNCTION("""COMPUTED_VALUE"""),"Extra")</f>
        <v>Extra</v>
      </c>
      <c r="D250" s="15" t="str">
        <f>IFERROR(__xludf.DUMMYFUNCTION("""COMPUTED_VALUE"""),"Active")</f>
        <v>Active</v>
      </c>
      <c r="E250" s="17">
        <f>IFERROR(__xludf.DUMMYFUNCTION("""COMPUTED_VALUE"""),46098.0)</f>
        <v>46098</v>
      </c>
      <c r="F250" s="54"/>
      <c r="G250" s="19">
        <f>IFERROR(__xludf.DUMMYFUNCTION("""COMPUTED_VALUE"""),6.633333333333334)</f>
        <v>6.633333333</v>
      </c>
      <c r="H250" s="17">
        <f>IFERROR(__xludf.DUMMYFUNCTION("""COMPUTED_VALUE"""),43502.0)</f>
        <v>43502</v>
      </c>
      <c r="I250" s="19">
        <f>IFERROR(__xludf.DUMMYFUNCTION("""COMPUTED_VALUE"""),7.113888888888889)</f>
        <v>7.113888889</v>
      </c>
      <c r="J250" s="21">
        <f>IFERROR(__xludf.DUMMYFUNCTION("""COMPUTED_VALUE"""),75.0)</f>
        <v>75</v>
      </c>
      <c r="K250" s="23">
        <f>IFERROR(__xludf.DUMMYFUNCTION("""COMPUTED_VALUE"""),7.0)</f>
        <v>7</v>
      </c>
      <c r="L250" s="24">
        <f>IFERROR(__xludf.DUMMYFUNCTION("""COMPUTED_VALUE"""),18.0)</f>
        <v>18</v>
      </c>
      <c r="M250" s="25" t="str">
        <f>IFERROR(__xludf.DUMMYFUNCTION("""COMPUTED_VALUE"""),"Adventure")</f>
        <v>Adventure</v>
      </c>
      <c r="N250" s="25"/>
      <c r="O250" s="25"/>
      <c r="P250" s="26"/>
    </row>
    <row r="251">
      <c r="A251" s="13" t="str">
        <f>IFERROR(__xludf.DUMMYFUNCTION("""COMPUTED_VALUE"""),"A Little to the Left")</f>
        <v>A Little to the Left</v>
      </c>
      <c r="B251" s="15" t="str">
        <f>IFERROR(__xludf.DUMMYFUNCTION("""COMPUTED_VALUE"""),"PS5/PS4")</f>
        <v>PS5/PS4</v>
      </c>
      <c r="C251" s="16" t="str">
        <f>IFERROR(__xludf.DUMMYFUNCTION("""COMPUTED_VALUE"""),"Extra")</f>
        <v>Extra</v>
      </c>
      <c r="D251" s="15" t="str">
        <f>IFERROR(__xludf.DUMMYFUNCTION("""COMPUTED_VALUE"""),"Active")</f>
        <v>Active</v>
      </c>
      <c r="E251" s="17">
        <f>IFERROR(__xludf.DUMMYFUNCTION("""COMPUTED_VALUE"""),46042.0)</f>
        <v>46042</v>
      </c>
      <c r="F251" s="54"/>
      <c r="G251" s="19">
        <f>IFERROR(__xludf.DUMMYFUNCTION("""COMPUTED_VALUE"""),8.533333333333333)</f>
        <v>8.533333333</v>
      </c>
      <c r="H251" s="17">
        <f>IFERROR(__xludf.DUMMYFUNCTION("""COMPUTED_VALUE"""),44873.0)</f>
        <v>44873</v>
      </c>
      <c r="I251" s="19">
        <f>IFERROR(__xludf.DUMMYFUNCTION("""COMPUTED_VALUE"""),3.2)</f>
        <v>3.2</v>
      </c>
      <c r="J251" s="21">
        <f>IFERROR(__xludf.DUMMYFUNCTION("""COMPUTED_VALUE"""),75.0)</f>
        <v>75</v>
      </c>
      <c r="K251" s="23">
        <f>IFERROR(__xludf.DUMMYFUNCTION("""COMPUTED_VALUE"""),7.1)</f>
        <v>7.1</v>
      </c>
      <c r="L251" s="24">
        <f>IFERROR(__xludf.DUMMYFUNCTION("""COMPUTED_VALUE"""),4.0)</f>
        <v>4</v>
      </c>
      <c r="M251" s="25" t="str">
        <f>IFERROR(__xludf.DUMMYFUNCTION("""COMPUTED_VALUE"""),"Puzzle")</f>
        <v>Puzzle</v>
      </c>
      <c r="N251" s="25"/>
      <c r="O251" s="25"/>
      <c r="P251" s="26"/>
    </row>
    <row r="252">
      <c r="A252" s="13" t="str">
        <f>IFERROR(__xludf.DUMMYFUNCTION("""COMPUTED_VALUE"""),"Poppy Playtime: Chapter 1")</f>
        <v>Poppy Playtime: Chapter 1</v>
      </c>
      <c r="B252" s="15" t="str">
        <f>IFERROR(__xludf.DUMMYFUNCTION("""COMPUTED_VALUE"""),"PS5/PS4")</f>
        <v>PS5/PS4</v>
      </c>
      <c r="C252" s="16" t="str">
        <f>IFERROR(__xludf.DUMMYFUNCTION("""COMPUTED_VALUE"""),"Extra")</f>
        <v>Extra</v>
      </c>
      <c r="D252" s="15" t="str">
        <f>IFERROR(__xludf.DUMMYFUNCTION("""COMPUTED_VALUE"""),"Active")</f>
        <v>Active</v>
      </c>
      <c r="E252" s="17">
        <f>IFERROR(__xludf.DUMMYFUNCTION("""COMPUTED_VALUE"""),45951.0)</f>
        <v>45951</v>
      </c>
      <c r="F252" s="54"/>
      <c r="G252" s="19">
        <f>IFERROR(__xludf.DUMMYFUNCTION("""COMPUTED_VALUE"""),11.5)</f>
        <v>11.5</v>
      </c>
      <c r="H252" s="17">
        <f>IFERROR(__xludf.DUMMYFUNCTION("""COMPUTED_VALUE"""),45485.0)</f>
        <v>45485</v>
      </c>
      <c r="I252" s="19">
        <f>IFERROR(__xludf.DUMMYFUNCTION("""COMPUTED_VALUE"""),1.275)</f>
        <v>1.275</v>
      </c>
      <c r="J252" s="21">
        <f>IFERROR(__xludf.DUMMYFUNCTION("""COMPUTED_VALUE"""),75.0)</f>
        <v>75</v>
      </c>
      <c r="K252" s="23">
        <f>IFERROR(__xludf.DUMMYFUNCTION("""COMPUTED_VALUE"""),6.8)</f>
        <v>6.8</v>
      </c>
      <c r="L252" s="24">
        <f>IFERROR(__xludf.DUMMYFUNCTION("""COMPUTED_VALUE"""),1.0)</f>
        <v>1</v>
      </c>
      <c r="M252" s="25" t="str">
        <f>IFERROR(__xludf.DUMMYFUNCTION("""COMPUTED_VALUE"""),"Survival")</f>
        <v>Survival</v>
      </c>
      <c r="N252" s="25"/>
      <c r="O252" s="25"/>
      <c r="P252" s="26"/>
    </row>
    <row r="253">
      <c r="A253" s="13" t="str">
        <f>IFERROR(__xludf.DUMMYFUNCTION("""COMPUTED_VALUE"""),"Endless Dungeon")</f>
        <v>Endless Dungeon</v>
      </c>
      <c r="B253" s="15" t="str">
        <f>IFERROR(__xludf.DUMMYFUNCTION("""COMPUTED_VALUE"""),"PS5/PS4")</f>
        <v>PS5/PS4</v>
      </c>
      <c r="C253" s="16" t="str">
        <f>IFERROR(__xludf.DUMMYFUNCTION("""COMPUTED_VALUE"""),"Extra")</f>
        <v>Extra</v>
      </c>
      <c r="D253" s="15" t="str">
        <f>IFERROR(__xludf.DUMMYFUNCTION("""COMPUTED_VALUE"""),"Active")</f>
        <v>Active</v>
      </c>
      <c r="E253" s="17">
        <f>IFERROR(__xludf.DUMMYFUNCTION("""COMPUTED_VALUE"""),45825.0)</f>
        <v>45825</v>
      </c>
      <c r="F253" s="54"/>
      <c r="G253" s="19">
        <f>IFERROR(__xludf.DUMMYFUNCTION("""COMPUTED_VALUE"""),15.633333333333333)</f>
        <v>15.63333333</v>
      </c>
      <c r="H253" s="17">
        <f>IFERROR(__xludf.DUMMYFUNCTION("""COMPUTED_VALUE"""),45218.0)</f>
        <v>45218</v>
      </c>
      <c r="I253" s="19">
        <f>IFERROR(__xludf.DUMMYFUNCTION("""COMPUTED_VALUE"""),1.6611111111111112)</f>
        <v>1.661111111</v>
      </c>
      <c r="J253" s="21">
        <f>IFERROR(__xludf.DUMMYFUNCTION("""COMPUTED_VALUE"""),75.0)</f>
        <v>75</v>
      </c>
      <c r="K253" s="23">
        <f>IFERROR(__xludf.DUMMYFUNCTION("""COMPUTED_VALUE"""),7.6)</f>
        <v>7.6</v>
      </c>
      <c r="L253" s="24">
        <f>IFERROR(__xludf.DUMMYFUNCTION("""COMPUTED_VALUE"""),15.0)</f>
        <v>15</v>
      </c>
      <c r="M253" s="25" t="str">
        <f>IFERROR(__xludf.DUMMYFUNCTION("""COMPUTED_VALUE"""),"Strategy")</f>
        <v>Strategy</v>
      </c>
      <c r="N253" s="25"/>
      <c r="O253" s="25"/>
      <c r="P253" s="26"/>
    </row>
    <row r="254">
      <c r="A254" s="13" t="str">
        <f>IFERROR(__xludf.DUMMYFUNCTION("""COMPUTED_VALUE"""),"Chernobylite")</f>
        <v>Chernobylite</v>
      </c>
      <c r="B254" s="15" t="str">
        <f>IFERROR(__xludf.DUMMYFUNCTION("""COMPUTED_VALUE"""),"PS5/PS4")</f>
        <v>PS5/PS4</v>
      </c>
      <c r="C254" s="16" t="str">
        <f>IFERROR(__xludf.DUMMYFUNCTION("""COMPUTED_VALUE"""),"Extra")</f>
        <v>Extra</v>
      </c>
      <c r="D254" s="15" t="str">
        <f>IFERROR(__xludf.DUMMYFUNCTION("""COMPUTED_VALUE"""),"Active")</f>
        <v>Active</v>
      </c>
      <c r="E254" s="17">
        <f>IFERROR(__xludf.DUMMYFUNCTION("""COMPUTED_VALUE"""),45552.0)</f>
        <v>45552</v>
      </c>
      <c r="F254" s="54"/>
      <c r="G254" s="19">
        <f>IFERROR(__xludf.DUMMYFUNCTION("""COMPUTED_VALUE"""),24.633333333333333)</f>
        <v>24.63333333</v>
      </c>
      <c r="H254" s="17">
        <f>IFERROR(__xludf.DUMMYFUNCTION("""COMPUTED_VALUE"""),44405.0)</f>
        <v>44405</v>
      </c>
      <c r="I254" s="19">
        <f>IFERROR(__xludf.DUMMYFUNCTION("""COMPUTED_VALUE"""),3.136111111111111)</f>
        <v>3.136111111</v>
      </c>
      <c r="J254" s="21">
        <f>IFERROR(__xludf.DUMMYFUNCTION("""COMPUTED_VALUE"""),75.0)</f>
        <v>75</v>
      </c>
      <c r="K254" s="23">
        <f>IFERROR(__xludf.DUMMYFUNCTION("""COMPUTED_VALUE"""),7.8)</f>
        <v>7.8</v>
      </c>
      <c r="L254" s="24">
        <f>IFERROR(__xludf.DUMMYFUNCTION("""COMPUTED_VALUE"""),15.0)</f>
        <v>15</v>
      </c>
      <c r="M254" s="25" t="str">
        <f>IFERROR(__xludf.DUMMYFUNCTION("""COMPUTED_VALUE"""),"Survival")</f>
        <v>Survival</v>
      </c>
      <c r="N254" s="25"/>
      <c r="O254" s="25" t="str">
        <f>IFERROR(__xludf.DUMMYFUNCTION("""COMPUTED_VALUE"""),"Yes")</f>
        <v>Yes</v>
      </c>
      <c r="P254" s="26"/>
    </row>
    <row r="255">
      <c r="A255" s="13" t="str">
        <f>IFERROR(__xludf.DUMMYFUNCTION("""COMPUTED_VALUE"""),"No More Heroes III")</f>
        <v>No More Heroes III</v>
      </c>
      <c r="B255" s="15" t="str">
        <f>IFERROR(__xludf.DUMMYFUNCTION("""COMPUTED_VALUE"""),"PS5/PS4")</f>
        <v>PS5/PS4</v>
      </c>
      <c r="C255" s="16" t="str">
        <f>IFERROR(__xludf.DUMMYFUNCTION("""COMPUTED_VALUE"""),"Extra")</f>
        <v>Extra</v>
      </c>
      <c r="D255" s="15" t="str">
        <f>IFERROR(__xludf.DUMMYFUNCTION("""COMPUTED_VALUE"""),"Active")</f>
        <v>Active</v>
      </c>
      <c r="E255" s="17">
        <f>IFERROR(__xludf.DUMMYFUNCTION("""COMPUTED_VALUE"""),45489.0)</f>
        <v>45489</v>
      </c>
      <c r="F255" s="54"/>
      <c r="G255" s="19">
        <f>IFERROR(__xludf.DUMMYFUNCTION("""COMPUTED_VALUE"""),26.666666666666668)</f>
        <v>26.66666667</v>
      </c>
      <c r="H255" s="17">
        <f>IFERROR(__xludf.DUMMYFUNCTION("""COMPUTED_VALUE"""),44435.0)</f>
        <v>44435</v>
      </c>
      <c r="I255" s="19">
        <f>IFERROR(__xludf.DUMMYFUNCTION("""COMPUTED_VALUE"""),2.886111111111111)</f>
        <v>2.886111111</v>
      </c>
      <c r="J255" s="21">
        <f>IFERROR(__xludf.DUMMYFUNCTION("""COMPUTED_VALUE"""),75.0)</f>
        <v>75</v>
      </c>
      <c r="K255" s="23">
        <f>IFERROR(__xludf.DUMMYFUNCTION("""COMPUTED_VALUE"""),8.1)</f>
        <v>8.1</v>
      </c>
      <c r="L255" s="24">
        <f>IFERROR(__xludf.DUMMYFUNCTION("""COMPUTED_VALUE"""),12.0)</f>
        <v>12</v>
      </c>
      <c r="M255" s="25" t="str">
        <f>IFERROR(__xludf.DUMMYFUNCTION("""COMPUTED_VALUE"""),"Action-Adventure")</f>
        <v>Action-Adventure</v>
      </c>
      <c r="N255" s="25"/>
      <c r="O255" s="25" t="str">
        <f>IFERROR(__xludf.DUMMYFUNCTION("""COMPUTED_VALUE"""),"Yes")</f>
        <v>Yes</v>
      </c>
      <c r="P255" s="26"/>
    </row>
    <row r="256">
      <c r="A256" s="13" t="str">
        <f>IFERROR(__xludf.DUMMYFUNCTION("""COMPUTED_VALUE"""),"Deceive Inc.")</f>
        <v>Deceive Inc.</v>
      </c>
      <c r="B256" s="15" t="str">
        <f>IFERROR(__xludf.DUMMYFUNCTION("""COMPUTED_VALUE"""),"PS5")</f>
        <v>PS5</v>
      </c>
      <c r="C256" s="16" t="str">
        <f>IFERROR(__xludf.DUMMYFUNCTION("""COMPUTED_VALUE"""),"Extra")</f>
        <v>Extra</v>
      </c>
      <c r="D256" s="15" t="str">
        <f>IFERROR(__xludf.DUMMYFUNCTION("""COMPUTED_VALUE"""),"Active")</f>
        <v>Active</v>
      </c>
      <c r="E256" s="17">
        <f>IFERROR(__xludf.DUMMYFUNCTION("""COMPUTED_VALUE"""),45433.0)</f>
        <v>45433</v>
      </c>
      <c r="F256" s="54"/>
      <c r="G256" s="19">
        <f>IFERROR(__xludf.DUMMYFUNCTION("""COMPUTED_VALUE"""),28.5)</f>
        <v>28.5</v>
      </c>
      <c r="H256" s="17">
        <f>IFERROR(__xludf.DUMMYFUNCTION("""COMPUTED_VALUE"""),45006.0)</f>
        <v>45006</v>
      </c>
      <c r="I256" s="19">
        <f>IFERROR(__xludf.DUMMYFUNCTION("""COMPUTED_VALUE"""),1.1666666666666667)</f>
        <v>1.166666667</v>
      </c>
      <c r="J256" s="21">
        <f>IFERROR(__xludf.DUMMYFUNCTION("""COMPUTED_VALUE"""),75.0)</f>
        <v>75</v>
      </c>
      <c r="K256" s="23">
        <f>IFERROR(__xludf.DUMMYFUNCTION("""COMPUTED_VALUE"""),6.4)</f>
        <v>6.4</v>
      </c>
      <c r="L256" s="24">
        <f>IFERROR(__xludf.DUMMYFUNCTION("""COMPUTED_VALUE"""),17.0)</f>
        <v>17</v>
      </c>
      <c r="M256" s="25" t="str">
        <f>IFERROR(__xludf.DUMMYFUNCTION("""COMPUTED_VALUE"""),"Shooter")</f>
        <v>Shooter</v>
      </c>
      <c r="N256" s="25"/>
      <c r="O256" s="25" t="str">
        <f>IFERROR(__xludf.DUMMYFUNCTION("""COMPUTED_VALUE"""),"Portal (PS5 + Premium)")</f>
        <v>Portal (PS5 + Premium)</v>
      </c>
      <c r="P256" s="26"/>
    </row>
    <row r="257">
      <c r="A257" s="13" t="str">
        <f>IFERROR(__xludf.DUMMYFUNCTION("""COMPUTED_VALUE"""),"Samurai Warriors 5")</f>
        <v>Samurai Warriors 5</v>
      </c>
      <c r="B257" s="15" t="str">
        <f>IFERROR(__xludf.DUMMYFUNCTION("""COMPUTED_VALUE"""),"PS4")</f>
        <v>PS4</v>
      </c>
      <c r="C257" s="16" t="str">
        <f>IFERROR(__xludf.DUMMYFUNCTION("""COMPUTED_VALUE"""),"Extra")</f>
        <v>Extra</v>
      </c>
      <c r="D257" s="15" t="str">
        <f>IFERROR(__xludf.DUMMYFUNCTION("""COMPUTED_VALUE"""),"Active")</f>
        <v>Active</v>
      </c>
      <c r="E257" s="17">
        <f>IFERROR(__xludf.DUMMYFUNCTION("""COMPUTED_VALUE"""),45125.0)</f>
        <v>45125</v>
      </c>
      <c r="F257" s="54"/>
      <c r="G257" s="19">
        <f>IFERROR(__xludf.DUMMYFUNCTION("""COMPUTED_VALUE"""),38.6)</f>
        <v>38.6</v>
      </c>
      <c r="H257" s="17">
        <f>IFERROR(__xludf.DUMMYFUNCTION("""COMPUTED_VALUE"""),44404.0)</f>
        <v>44404</v>
      </c>
      <c r="I257" s="19">
        <f>IFERROR(__xludf.DUMMYFUNCTION("""COMPUTED_VALUE"""),1.975)</f>
        <v>1.975</v>
      </c>
      <c r="J257" s="21">
        <f>IFERROR(__xludf.DUMMYFUNCTION("""COMPUTED_VALUE"""),75.0)</f>
        <v>75</v>
      </c>
      <c r="K257" s="23">
        <f>IFERROR(__xludf.DUMMYFUNCTION("""COMPUTED_VALUE"""),8.0)</f>
        <v>8</v>
      </c>
      <c r="L257" s="24">
        <f>IFERROR(__xludf.DUMMYFUNCTION("""COMPUTED_VALUE"""),18.0)</f>
        <v>18</v>
      </c>
      <c r="M257" s="25" t="str">
        <f>IFERROR(__xludf.DUMMYFUNCTION("""COMPUTED_VALUE"""),"Action-Adventure")</f>
        <v>Action-Adventure</v>
      </c>
      <c r="N257" s="25"/>
      <c r="O257" s="25" t="str">
        <f>IFERROR(__xludf.DUMMYFUNCTION("""COMPUTED_VALUE"""),"Yes")</f>
        <v>Yes</v>
      </c>
      <c r="P257" s="26"/>
    </row>
    <row r="258">
      <c r="A258" s="13" t="str">
        <f>IFERROR(__xludf.DUMMYFUNCTION("""COMPUTED_VALUE"""),"Carto")</f>
        <v>Carto</v>
      </c>
      <c r="B258" s="15" t="str">
        <f>IFERROR(__xludf.DUMMYFUNCTION("""COMPUTED_VALUE"""),"PS4")</f>
        <v>PS4</v>
      </c>
      <c r="C258" s="16" t="str">
        <f>IFERROR(__xludf.DUMMYFUNCTION("""COMPUTED_VALUE"""),"Extra")</f>
        <v>Extra</v>
      </c>
      <c r="D258" s="15" t="str">
        <f>IFERROR(__xludf.DUMMYFUNCTION("""COMPUTED_VALUE"""),"Active")</f>
        <v>Active</v>
      </c>
      <c r="E258" s="17">
        <f>IFERROR(__xludf.DUMMYFUNCTION("""COMPUTED_VALUE"""),45097.0)</f>
        <v>45097</v>
      </c>
      <c r="F258" s="54"/>
      <c r="G258" s="19">
        <f>IFERROR(__xludf.DUMMYFUNCTION("""COMPUTED_VALUE"""),39.53333333333333)</f>
        <v>39.53333333</v>
      </c>
      <c r="H258" s="17">
        <f>IFERROR(__xludf.DUMMYFUNCTION("""COMPUTED_VALUE"""),44131.0)</f>
        <v>44131</v>
      </c>
      <c r="I258" s="19">
        <f>IFERROR(__xludf.DUMMYFUNCTION("""COMPUTED_VALUE"""),2.647222222222222)</f>
        <v>2.647222222</v>
      </c>
      <c r="J258" s="21">
        <f>IFERROR(__xludf.DUMMYFUNCTION("""COMPUTED_VALUE"""),75.0)</f>
        <v>75</v>
      </c>
      <c r="K258" s="23">
        <f>IFERROR(__xludf.DUMMYFUNCTION("""COMPUTED_VALUE"""),6.9)</f>
        <v>6.9</v>
      </c>
      <c r="L258" s="24">
        <f>IFERROR(__xludf.DUMMYFUNCTION("""COMPUTED_VALUE"""),6.0)</f>
        <v>6</v>
      </c>
      <c r="M258" s="25" t="str">
        <f>IFERROR(__xludf.DUMMYFUNCTION("""COMPUTED_VALUE"""),"Action-Adventure")</f>
        <v>Action-Adventure</v>
      </c>
      <c r="N258" s="25"/>
      <c r="O258" s="25" t="str">
        <f>IFERROR(__xludf.DUMMYFUNCTION("""COMPUTED_VALUE"""),"Yes")</f>
        <v>Yes</v>
      </c>
      <c r="P258" s="26"/>
    </row>
    <row r="259">
      <c r="A259" s="13" t="str">
        <f>IFERROR(__xludf.DUMMYFUNCTION("""COMPUTED_VALUE"""),"Killing Floor 2")</f>
        <v>Killing Floor 2</v>
      </c>
      <c r="B259" s="15" t="str">
        <f>IFERROR(__xludf.DUMMYFUNCTION("""COMPUTED_VALUE"""),"PS4")</f>
        <v>PS4</v>
      </c>
      <c r="C259" s="16" t="str">
        <f>IFERROR(__xludf.DUMMYFUNCTION("""COMPUTED_VALUE"""),"Extra")</f>
        <v>Extra</v>
      </c>
      <c r="D259" s="15" t="str">
        <f>IFERROR(__xludf.DUMMYFUNCTION("""COMPUTED_VALUE"""),"Active")</f>
        <v>Active</v>
      </c>
      <c r="E259" s="17">
        <f>IFERROR(__xludf.DUMMYFUNCTION("""COMPUTED_VALUE"""),45097.0)</f>
        <v>45097</v>
      </c>
      <c r="F259" s="54"/>
      <c r="G259" s="19">
        <f>IFERROR(__xludf.DUMMYFUNCTION("""COMPUTED_VALUE"""),39.53333333333333)</f>
        <v>39.53333333</v>
      </c>
      <c r="H259" s="17">
        <f>IFERROR(__xludf.DUMMYFUNCTION("""COMPUTED_VALUE"""),42690.0)</f>
        <v>42690</v>
      </c>
      <c r="I259" s="19">
        <f>IFERROR(__xludf.DUMMYFUNCTION("""COMPUTED_VALUE"""),6.594444444444444)</f>
        <v>6.594444444</v>
      </c>
      <c r="J259" s="21">
        <f>IFERROR(__xludf.DUMMYFUNCTION("""COMPUTED_VALUE"""),75.0)</f>
        <v>75</v>
      </c>
      <c r="K259" s="23">
        <f>IFERROR(__xludf.DUMMYFUNCTION("""COMPUTED_VALUE"""),7.1)</f>
        <v>7.1</v>
      </c>
      <c r="L259" s="24">
        <f>IFERROR(__xludf.DUMMYFUNCTION("""COMPUTED_VALUE"""),14.0)</f>
        <v>14</v>
      </c>
      <c r="M259" s="25" t="str">
        <f>IFERROR(__xludf.DUMMYFUNCTION("""COMPUTED_VALUE"""),"Shooter")</f>
        <v>Shooter</v>
      </c>
      <c r="N259" s="25"/>
      <c r="O259" s="25" t="str">
        <f>IFERROR(__xludf.DUMMYFUNCTION("""COMPUTED_VALUE"""),"Yes")</f>
        <v>Yes</v>
      </c>
      <c r="P259" s="26"/>
    </row>
    <row r="260">
      <c r="A260" s="13" t="str">
        <f>IFERROR(__xludf.DUMMYFUNCTION("""COMPUTED_VALUE"""),"Shadow of the Tomb Raider")</f>
        <v>Shadow of the Tomb Raider</v>
      </c>
      <c r="B260" s="15" t="str">
        <f>IFERROR(__xludf.DUMMYFUNCTION("""COMPUTED_VALUE"""),"PS4")</f>
        <v>PS4</v>
      </c>
      <c r="C260" s="16" t="str">
        <f>IFERROR(__xludf.DUMMYFUNCTION("""COMPUTED_VALUE"""),"Extra")</f>
        <v>Extra</v>
      </c>
      <c r="D260" s="15" t="str">
        <f>IFERROR(__xludf.DUMMYFUNCTION("""COMPUTED_VALUE"""),"Active")</f>
        <v>Active</v>
      </c>
      <c r="E260" s="17">
        <f>IFERROR(__xludf.DUMMYFUNCTION("""COMPUTED_VALUE"""),45062.0)</f>
        <v>45062</v>
      </c>
      <c r="F260" s="54"/>
      <c r="G260" s="19">
        <f>IFERROR(__xludf.DUMMYFUNCTION("""COMPUTED_VALUE"""),40.666666666666664)</f>
        <v>40.66666667</v>
      </c>
      <c r="H260" s="17">
        <f>IFERROR(__xludf.DUMMYFUNCTION("""COMPUTED_VALUE"""),42684.0)</f>
        <v>42684</v>
      </c>
      <c r="I260" s="19">
        <f>IFERROR(__xludf.DUMMYFUNCTION("""COMPUTED_VALUE"""),6.516666666666667)</f>
        <v>6.516666667</v>
      </c>
      <c r="J260" s="21">
        <f>IFERROR(__xludf.DUMMYFUNCTION("""COMPUTED_VALUE"""),75.0)</f>
        <v>75</v>
      </c>
      <c r="K260" s="23">
        <f>IFERROR(__xludf.DUMMYFUNCTION("""COMPUTED_VALUE"""),7.5)</f>
        <v>7.5</v>
      </c>
      <c r="L260" s="24">
        <f>IFERROR(__xludf.DUMMYFUNCTION("""COMPUTED_VALUE"""),13.0)</f>
        <v>13</v>
      </c>
      <c r="M260" s="25" t="str">
        <f>IFERROR(__xludf.DUMMYFUNCTION("""COMPUTED_VALUE"""),"Action-Adventure")</f>
        <v>Action-Adventure</v>
      </c>
      <c r="N260" s="25"/>
      <c r="O260" s="25" t="str">
        <f>IFERROR(__xludf.DUMMYFUNCTION("""COMPUTED_VALUE"""),"Yes")</f>
        <v>Yes</v>
      </c>
      <c r="P260" s="26"/>
    </row>
    <row r="261">
      <c r="A261" s="13" t="str">
        <f>IFERROR(__xludf.DUMMYFUNCTION("""COMPUTED_VALUE"""),"The Gardens Between")</f>
        <v>The Gardens Between</v>
      </c>
      <c r="B261" s="15" t="str">
        <f>IFERROR(__xludf.DUMMYFUNCTION("""COMPUTED_VALUE"""),"PS5/PS4")</f>
        <v>PS5/PS4</v>
      </c>
      <c r="C261" s="16" t="str">
        <f>IFERROR(__xludf.DUMMYFUNCTION("""COMPUTED_VALUE"""),"Extra")</f>
        <v>Extra</v>
      </c>
      <c r="D261" s="15" t="str">
        <f>IFERROR(__xludf.DUMMYFUNCTION("""COMPUTED_VALUE"""),"Active")</f>
        <v>Active</v>
      </c>
      <c r="E261" s="17">
        <f>IFERROR(__xludf.DUMMYFUNCTION("""COMPUTED_VALUE"""),44880.0)</f>
        <v>44880</v>
      </c>
      <c r="F261" s="54"/>
      <c r="G261" s="19">
        <f>IFERROR(__xludf.DUMMYFUNCTION("""COMPUTED_VALUE"""),46.7)</f>
        <v>46.7</v>
      </c>
      <c r="H261" s="17">
        <f>IFERROR(__xludf.DUMMYFUNCTION("""COMPUTED_VALUE"""),43363.0)</f>
        <v>43363</v>
      </c>
      <c r="I261" s="19">
        <f>IFERROR(__xludf.DUMMYFUNCTION("""COMPUTED_VALUE"""),4.152777777777778)</f>
        <v>4.152777778</v>
      </c>
      <c r="J261" s="21">
        <f>IFERROR(__xludf.DUMMYFUNCTION("""COMPUTED_VALUE"""),75.0)</f>
        <v>75</v>
      </c>
      <c r="K261" s="23">
        <f>IFERROR(__xludf.DUMMYFUNCTION("""COMPUTED_VALUE"""),6.1)</f>
        <v>6.1</v>
      </c>
      <c r="L261" s="24">
        <f>IFERROR(__xludf.DUMMYFUNCTION("""COMPUTED_VALUE"""),2.5)</f>
        <v>2.5</v>
      </c>
      <c r="M261" s="72" t="str">
        <f>IFERROR(__xludf.DUMMYFUNCTION("""COMPUTED_VALUE"""),"Action-Adventure")</f>
        <v>Action-Adventure</v>
      </c>
      <c r="N261" s="72"/>
      <c r="O261" s="25" t="str">
        <f>IFERROR(__xludf.DUMMYFUNCTION("""COMPUTED_VALUE"""),"Yes")</f>
        <v>Yes</v>
      </c>
      <c r="P261" s="26"/>
    </row>
    <row r="262">
      <c r="A262" s="13" t="str">
        <f>IFERROR(__xludf.DUMMYFUNCTION("""COMPUTED_VALUE"""),"Earth Defense Force: World Brothers")</f>
        <v>Earth Defense Force: World Brothers</v>
      </c>
      <c r="B262" s="15" t="str">
        <f>IFERROR(__xludf.DUMMYFUNCTION("""COMPUTED_VALUE"""),"PS4")</f>
        <v>PS4</v>
      </c>
      <c r="C262" s="16" t="str">
        <f>IFERROR(__xludf.DUMMYFUNCTION("""COMPUTED_VALUE"""),"Extra")</f>
        <v>Extra</v>
      </c>
      <c r="D262" s="15" t="str">
        <f>IFERROR(__xludf.DUMMYFUNCTION("""COMPUTED_VALUE"""),"Active")</f>
        <v>Active</v>
      </c>
      <c r="E262" s="17">
        <f>IFERROR(__xludf.DUMMYFUNCTION("""COMPUTED_VALUE"""),44880.0)</f>
        <v>44880</v>
      </c>
      <c r="F262" s="18"/>
      <c r="G262" s="19">
        <f>IFERROR(__xludf.DUMMYFUNCTION("""COMPUTED_VALUE"""),46.7)</f>
        <v>46.7</v>
      </c>
      <c r="H262" s="17">
        <f>IFERROR(__xludf.DUMMYFUNCTION("""COMPUTED_VALUE"""),44098.0)</f>
        <v>44098</v>
      </c>
      <c r="I262" s="19">
        <f>IFERROR(__xludf.DUMMYFUNCTION("""COMPUTED_VALUE"""),2.1416666666666666)</f>
        <v>2.141666667</v>
      </c>
      <c r="J262" s="21">
        <f>IFERROR(__xludf.DUMMYFUNCTION("""COMPUTED_VALUE"""),75.0)</f>
        <v>75</v>
      </c>
      <c r="K262" s="23">
        <f>IFERROR(__xludf.DUMMYFUNCTION("""COMPUTED_VALUE"""),5.0)</f>
        <v>5</v>
      </c>
      <c r="L262" s="24">
        <f>IFERROR(__xludf.DUMMYFUNCTION("""COMPUTED_VALUE"""),12.5)</f>
        <v>12.5</v>
      </c>
      <c r="M262" s="25" t="str">
        <f>IFERROR(__xludf.DUMMYFUNCTION("""COMPUTED_VALUE"""),"Shooter")</f>
        <v>Shooter</v>
      </c>
      <c r="N262" s="25"/>
      <c r="O262" s="25" t="str">
        <f>IFERROR(__xludf.DUMMYFUNCTION("""COMPUTED_VALUE"""),"Yes")</f>
        <v>Yes</v>
      </c>
      <c r="P262" s="26"/>
    </row>
    <row r="263">
      <c r="A263" s="13" t="str">
        <f>IFERROR(__xludf.DUMMYFUNCTION("""COMPUTED_VALUE"""),"Hohokum")</f>
        <v>Hohokum</v>
      </c>
      <c r="B263" s="15" t="str">
        <f>IFERROR(__xludf.DUMMYFUNCTION("""COMPUTED_VALUE"""),"PS4")</f>
        <v>PS4</v>
      </c>
      <c r="C263" s="16" t="str">
        <f>IFERROR(__xludf.DUMMYFUNCTION("""COMPUTED_VALUE"""),"Extra")</f>
        <v>Extra</v>
      </c>
      <c r="D263" s="15" t="str">
        <f>IFERROR(__xludf.DUMMYFUNCTION("""COMPUTED_VALUE"""),"Active")</f>
        <v>Active</v>
      </c>
      <c r="E263" s="17">
        <f>IFERROR(__xludf.DUMMYFUNCTION("""COMPUTED_VALUE"""),44852.0)</f>
        <v>44852</v>
      </c>
      <c r="F263" s="54"/>
      <c r="G263" s="19">
        <f>IFERROR(__xludf.DUMMYFUNCTION("""COMPUTED_VALUE"""),47.6)</f>
        <v>47.6</v>
      </c>
      <c r="H263" s="17">
        <f>IFERROR(__xludf.DUMMYFUNCTION("""COMPUTED_VALUE"""),41863.0)</f>
        <v>41863</v>
      </c>
      <c r="I263" s="19">
        <f>IFERROR(__xludf.DUMMYFUNCTION("""COMPUTED_VALUE"""),8.183333333333334)</f>
        <v>8.183333333</v>
      </c>
      <c r="J263" s="21">
        <f>IFERROR(__xludf.DUMMYFUNCTION("""COMPUTED_VALUE"""),75.0)</f>
        <v>75</v>
      </c>
      <c r="K263" s="23">
        <f>IFERROR(__xludf.DUMMYFUNCTION("""COMPUTED_VALUE"""),6.5)</f>
        <v>6.5</v>
      </c>
      <c r="L263" s="24">
        <f>IFERROR(__xludf.DUMMYFUNCTION("""COMPUTED_VALUE"""),4.0)</f>
        <v>4</v>
      </c>
      <c r="M263" s="25" t="str">
        <f>IFERROR(__xludf.DUMMYFUNCTION("""COMPUTED_VALUE"""),"Action-Adventure")</f>
        <v>Action-Adventure</v>
      </c>
      <c r="N263" s="25"/>
      <c r="O263" s="25" t="str">
        <f>IFERROR(__xludf.DUMMYFUNCTION("""COMPUTED_VALUE"""),"Yes")</f>
        <v>Yes</v>
      </c>
      <c r="P263" s="26"/>
    </row>
    <row r="264">
      <c r="A264" s="13" t="str">
        <f>IFERROR(__xludf.DUMMYFUNCTION("""COMPUTED_VALUE"""),"Deliver Us the Moon")</f>
        <v>Deliver Us the Moon</v>
      </c>
      <c r="B264" s="15" t="str">
        <f>IFERROR(__xludf.DUMMYFUNCTION("""COMPUTED_VALUE"""),"PS5/PS4")</f>
        <v>PS5/PS4</v>
      </c>
      <c r="C264" s="16" t="str">
        <f>IFERROR(__xludf.DUMMYFUNCTION("""COMPUTED_VALUE"""),"Extra")</f>
        <v>Extra</v>
      </c>
      <c r="D264" s="15" t="str">
        <f>IFERROR(__xludf.DUMMYFUNCTION("""COMPUTED_VALUE"""),"Active")</f>
        <v>Active</v>
      </c>
      <c r="E264" s="17">
        <f>IFERROR(__xludf.DUMMYFUNCTION("""COMPUTED_VALUE"""),44725.0)</f>
        <v>44725</v>
      </c>
      <c r="F264" s="54"/>
      <c r="G264" s="19">
        <f>IFERROR(__xludf.DUMMYFUNCTION("""COMPUTED_VALUE"""),51.766666666666666)</f>
        <v>51.76666667</v>
      </c>
      <c r="H264" s="17">
        <f>IFERROR(__xludf.DUMMYFUNCTION("""COMPUTED_VALUE"""),43748.0)</f>
        <v>43748</v>
      </c>
      <c r="I264" s="19">
        <f>IFERROR(__xludf.DUMMYFUNCTION("""COMPUTED_VALUE"""),2.675)</f>
        <v>2.675</v>
      </c>
      <c r="J264" s="21">
        <f>IFERROR(__xludf.DUMMYFUNCTION("""COMPUTED_VALUE"""),75.0)</f>
        <v>75</v>
      </c>
      <c r="K264" s="23">
        <f>IFERROR(__xludf.DUMMYFUNCTION("""COMPUTED_VALUE"""),7.3)</f>
        <v>7.3</v>
      </c>
      <c r="L264" s="24">
        <f>IFERROR(__xludf.DUMMYFUNCTION("""COMPUTED_VALUE"""),5.0)</f>
        <v>5</v>
      </c>
      <c r="M264" s="25" t="str">
        <f>IFERROR(__xludf.DUMMYFUNCTION("""COMPUTED_VALUE"""),"Interactive Story")</f>
        <v>Interactive Story</v>
      </c>
      <c r="N264" s="25"/>
      <c r="O264" s="25" t="str">
        <f>IFERROR(__xludf.DUMMYFUNCTION("""COMPUTED_VALUE"""),"Yes")</f>
        <v>Yes</v>
      </c>
      <c r="P264" s="26"/>
    </row>
    <row r="265">
      <c r="A265" s="13" t="str">
        <f>IFERROR(__xludf.DUMMYFUNCTION("""COMPUTED_VALUE"""),"Dragon Star Varnir")</f>
        <v>Dragon Star Varnir</v>
      </c>
      <c r="B265" s="15" t="str">
        <f>IFERROR(__xludf.DUMMYFUNCTION("""COMPUTED_VALUE"""),"PS4")</f>
        <v>PS4</v>
      </c>
      <c r="C265" s="16" t="str">
        <f>IFERROR(__xludf.DUMMYFUNCTION("""COMPUTED_VALUE"""),"Extra")</f>
        <v>Extra</v>
      </c>
      <c r="D265" s="15" t="str">
        <f>IFERROR(__xludf.DUMMYFUNCTION("""COMPUTED_VALUE"""),"Active")</f>
        <v>Active</v>
      </c>
      <c r="E265" s="17">
        <f>IFERROR(__xludf.DUMMYFUNCTION("""COMPUTED_VALUE"""),44725.0)</f>
        <v>44725</v>
      </c>
      <c r="F265" s="54"/>
      <c r="G265" s="19">
        <f>IFERROR(__xludf.DUMMYFUNCTION("""COMPUTED_VALUE"""),51.766666666666666)</f>
        <v>51.76666667</v>
      </c>
      <c r="H265" s="17">
        <f>IFERROR(__xludf.DUMMYFUNCTION("""COMPUTED_VALUE"""),43384.0)</f>
        <v>43384</v>
      </c>
      <c r="I265" s="19">
        <f>IFERROR(__xludf.DUMMYFUNCTION("""COMPUTED_VALUE"""),3.672222222222222)</f>
        <v>3.672222222</v>
      </c>
      <c r="J265" s="21">
        <f>IFERROR(__xludf.DUMMYFUNCTION("""COMPUTED_VALUE"""),75.0)</f>
        <v>75</v>
      </c>
      <c r="K265" s="23">
        <f>IFERROR(__xludf.DUMMYFUNCTION("""COMPUTED_VALUE"""),7.1)</f>
        <v>7.1</v>
      </c>
      <c r="L265" s="24">
        <f>IFERROR(__xludf.DUMMYFUNCTION("""COMPUTED_VALUE"""),16.5)</f>
        <v>16.5</v>
      </c>
      <c r="M265" s="25" t="str">
        <f>IFERROR(__xludf.DUMMYFUNCTION("""COMPUTED_VALUE"""),"RPG")</f>
        <v>RPG</v>
      </c>
      <c r="N265" s="25"/>
      <c r="O265" s="25" t="str">
        <f>IFERROR(__xludf.DUMMYFUNCTION("""COMPUTED_VALUE"""),"No")</f>
        <v>No</v>
      </c>
      <c r="P265" s="26"/>
    </row>
    <row r="266">
      <c r="A266" s="13" t="str">
        <f>IFERROR(__xludf.DUMMYFUNCTION("""COMPUTED_VALUE"""),"For The King")</f>
        <v>For The King</v>
      </c>
      <c r="B266" s="15" t="str">
        <f>IFERROR(__xludf.DUMMYFUNCTION("""COMPUTED_VALUE"""),"PS4")</f>
        <v>PS4</v>
      </c>
      <c r="C266" s="16" t="str">
        <f>IFERROR(__xludf.DUMMYFUNCTION("""COMPUTED_VALUE"""),"Extra")</f>
        <v>Extra</v>
      </c>
      <c r="D266" s="15" t="str">
        <f>IFERROR(__xludf.DUMMYFUNCTION("""COMPUTED_VALUE"""),"Active")</f>
        <v>Active</v>
      </c>
      <c r="E266" s="17">
        <f>IFERROR(__xludf.DUMMYFUNCTION("""COMPUTED_VALUE"""),44725.0)</f>
        <v>44725</v>
      </c>
      <c r="F266" s="54"/>
      <c r="G266" s="19">
        <f>IFERROR(__xludf.DUMMYFUNCTION("""COMPUTED_VALUE"""),51.766666666666666)</f>
        <v>51.76666667</v>
      </c>
      <c r="H266" s="17">
        <f>IFERROR(__xludf.DUMMYFUNCTION("""COMPUTED_VALUE"""),43158.0)</f>
        <v>43158</v>
      </c>
      <c r="I266" s="19">
        <f>IFERROR(__xludf.DUMMYFUNCTION("""COMPUTED_VALUE"""),4.294444444444444)</f>
        <v>4.294444444</v>
      </c>
      <c r="J266" s="21">
        <f>IFERROR(__xludf.DUMMYFUNCTION("""COMPUTED_VALUE"""),75.0)</f>
        <v>75</v>
      </c>
      <c r="K266" s="23">
        <f>IFERROR(__xludf.DUMMYFUNCTION("""COMPUTED_VALUE"""),7.3)</f>
        <v>7.3</v>
      </c>
      <c r="L266" s="24">
        <f>IFERROR(__xludf.DUMMYFUNCTION("""COMPUTED_VALUE"""),9.5)</f>
        <v>9.5</v>
      </c>
      <c r="M266" s="25" t="str">
        <f>IFERROR(__xludf.DUMMYFUNCTION("""COMPUTED_VALUE"""),"Strategy")</f>
        <v>Strategy</v>
      </c>
      <c r="N266" s="25"/>
      <c r="O266" s="25" t="str">
        <f>IFERROR(__xludf.DUMMYFUNCTION("""COMPUTED_VALUE"""),"Yes")</f>
        <v>Yes</v>
      </c>
      <c r="P266" s="26" t="str">
        <f>IFERROR(__xludf.DUMMYFUNCTION("""COMPUTED_VALUE"""),"Yes")</f>
        <v>Yes</v>
      </c>
    </row>
    <row r="267">
      <c r="A267" s="13" t="str">
        <f>IFERROR(__xludf.DUMMYFUNCTION("""COMPUTED_VALUE"""),"Little Big Workshop")</f>
        <v>Little Big Workshop</v>
      </c>
      <c r="B267" s="15" t="str">
        <f>IFERROR(__xludf.DUMMYFUNCTION("""COMPUTED_VALUE"""),"PS4")</f>
        <v>PS4</v>
      </c>
      <c r="C267" s="16" t="str">
        <f>IFERROR(__xludf.DUMMYFUNCTION("""COMPUTED_VALUE"""),"Extra")</f>
        <v>Extra</v>
      </c>
      <c r="D267" s="15" t="str">
        <f>IFERROR(__xludf.DUMMYFUNCTION("""COMPUTED_VALUE"""),"Active")</f>
        <v>Active</v>
      </c>
      <c r="E267" s="17">
        <f>IFERROR(__xludf.DUMMYFUNCTION("""COMPUTED_VALUE"""),44725.0)</f>
        <v>44725</v>
      </c>
      <c r="F267" s="54"/>
      <c r="G267" s="19">
        <f>IFERROR(__xludf.DUMMYFUNCTION("""COMPUTED_VALUE"""),51.766666666666666)</f>
        <v>51.76666667</v>
      </c>
      <c r="H267" s="17">
        <f>IFERROR(__xludf.DUMMYFUNCTION("""COMPUTED_VALUE"""),43755.0)</f>
        <v>43755</v>
      </c>
      <c r="I267" s="19">
        <f>IFERROR(__xludf.DUMMYFUNCTION("""COMPUTED_VALUE"""),2.6555555555555554)</f>
        <v>2.655555556</v>
      </c>
      <c r="J267" s="21">
        <f>IFERROR(__xludf.DUMMYFUNCTION("""COMPUTED_VALUE"""),75.0)</f>
        <v>75</v>
      </c>
      <c r="K267" s="23">
        <f>IFERROR(__xludf.DUMMYFUNCTION("""COMPUTED_VALUE"""),6.5)</f>
        <v>6.5</v>
      </c>
      <c r="L267" s="24">
        <f>IFERROR(__xludf.DUMMYFUNCTION("""COMPUTED_VALUE"""),18.5)</f>
        <v>18.5</v>
      </c>
      <c r="M267" s="25" t="str">
        <f>IFERROR(__xludf.DUMMYFUNCTION("""COMPUTED_VALUE"""),"Strategy")</f>
        <v>Strategy</v>
      </c>
      <c r="N267" s="25"/>
      <c r="O267" s="25" t="str">
        <f>IFERROR(__xludf.DUMMYFUNCTION("""COMPUTED_VALUE"""),"Yes")</f>
        <v>Yes</v>
      </c>
      <c r="P267" s="26"/>
    </row>
    <row r="268">
      <c r="A268" s="13" t="str">
        <f>IFERROR(__xludf.DUMMYFUNCTION("""COMPUTED_VALUE"""),"Pure Pool")</f>
        <v>Pure Pool</v>
      </c>
      <c r="B268" s="15" t="str">
        <f>IFERROR(__xludf.DUMMYFUNCTION("""COMPUTED_VALUE"""),"PS4")</f>
        <v>PS4</v>
      </c>
      <c r="C268" s="16" t="str">
        <f>IFERROR(__xludf.DUMMYFUNCTION("""COMPUTED_VALUE"""),"Extra")</f>
        <v>Extra</v>
      </c>
      <c r="D268" s="15" t="str">
        <f>IFERROR(__xludf.DUMMYFUNCTION("""COMPUTED_VALUE"""),"Active")</f>
        <v>Active</v>
      </c>
      <c r="E268" s="17">
        <f>IFERROR(__xludf.DUMMYFUNCTION("""COMPUTED_VALUE"""),44725.0)</f>
        <v>44725</v>
      </c>
      <c r="F268" s="54"/>
      <c r="G268" s="19">
        <f>IFERROR(__xludf.DUMMYFUNCTION("""COMPUTED_VALUE"""),51.766666666666666)</f>
        <v>51.76666667</v>
      </c>
      <c r="H268" s="17">
        <f>IFERROR(__xludf.DUMMYFUNCTION("""COMPUTED_VALUE"""),41880.0)</f>
        <v>41880</v>
      </c>
      <c r="I268" s="19">
        <f>IFERROR(__xludf.DUMMYFUNCTION("""COMPUTED_VALUE"""),7.788888888888889)</f>
        <v>7.788888889</v>
      </c>
      <c r="J268" s="21">
        <f>IFERROR(__xludf.DUMMYFUNCTION("""COMPUTED_VALUE"""),75.0)</f>
        <v>75</v>
      </c>
      <c r="K268" s="23">
        <f>IFERROR(__xludf.DUMMYFUNCTION("""COMPUTED_VALUE"""),7.2)</f>
        <v>7.2</v>
      </c>
      <c r="L268" s="24"/>
      <c r="M268" s="25" t="str">
        <f>IFERROR(__xludf.DUMMYFUNCTION("""COMPUTED_VALUE"""),"Sports")</f>
        <v>Sports</v>
      </c>
      <c r="N268" s="25"/>
      <c r="O268" s="25" t="str">
        <f>IFERROR(__xludf.DUMMYFUNCTION("""COMPUTED_VALUE"""),"Yes")</f>
        <v>Yes</v>
      </c>
      <c r="P268" s="26"/>
    </row>
    <row r="269">
      <c r="A269" s="13" t="str">
        <f>IFERROR(__xludf.DUMMYFUNCTION("""COMPUTED_VALUE"""),"Ys IX: Monstrum Nox")</f>
        <v>Ys IX: Monstrum Nox</v>
      </c>
      <c r="B269" s="15" t="str">
        <f>IFERROR(__xludf.DUMMYFUNCTION("""COMPUTED_VALUE"""),"PS4")</f>
        <v>PS4</v>
      </c>
      <c r="C269" s="16" t="str">
        <f>IFERROR(__xludf.DUMMYFUNCTION("""COMPUTED_VALUE"""),"Extra")</f>
        <v>Extra</v>
      </c>
      <c r="D269" s="15" t="str">
        <f>IFERROR(__xludf.DUMMYFUNCTION("""COMPUTED_VALUE"""),"Active")</f>
        <v>Active</v>
      </c>
      <c r="E269" s="17">
        <f>IFERROR(__xludf.DUMMYFUNCTION("""COMPUTED_VALUE"""),44725.0)</f>
        <v>44725</v>
      </c>
      <c r="F269" s="54"/>
      <c r="G269" s="19">
        <f>IFERROR(__xludf.DUMMYFUNCTION("""COMPUTED_VALUE"""),51.766666666666666)</f>
        <v>51.76666667</v>
      </c>
      <c r="H269" s="17">
        <f>IFERROR(__xludf.DUMMYFUNCTION("""COMPUTED_VALUE"""),44229.0)</f>
        <v>44229</v>
      </c>
      <c r="I269" s="19">
        <f>IFERROR(__xludf.DUMMYFUNCTION("""COMPUTED_VALUE"""),1.363888888888889)</f>
        <v>1.363888889</v>
      </c>
      <c r="J269" s="21">
        <f>IFERROR(__xludf.DUMMYFUNCTION("""COMPUTED_VALUE"""),75.0)</f>
        <v>75</v>
      </c>
      <c r="K269" s="23">
        <f>IFERROR(__xludf.DUMMYFUNCTION("""COMPUTED_VALUE"""),7.8)</f>
        <v>7.8</v>
      </c>
      <c r="L269" s="24">
        <f>IFERROR(__xludf.DUMMYFUNCTION("""COMPUTED_VALUE"""),40.0)</f>
        <v>40</v>
      </c>
      <c r="M269" s="25" t="str">
        <f>IFERROR(__xludf.DUMMYFUNCTION("""COMPUTED_VALUE"""),"RPG")</f>
        <v>RPG</v>
      </c>
      <c r="N269" s="25"/>
      <c r="O269" s="25" t="str">
        <f>IFERROR(__xludf.DUMMYFUNCTION("""COMPUTED_VALUE"""),"No")</f>
        <v>No</v>
      </c>
      <c r="P269" s="26"/>
    </row>
    <row r="270">
      <c r="A270" s="13" t="str">
        <f>IFERROR(__xludf.DUMMYFUNCTION("""COMPUTED_VALUE"""),"Surviving Mars")</f>
        <v>Surviving Mars</v>
      </c>
      <c r="B270" s="15" t="str">
        <f>IFERROR(__xludf.DUMMYFUNCTION("""COMPUTED_VALUE"""),"PS4")</f>
        <v>PS4</v>
      </c>
      <c r="C270" s="16" t="str">
        <f>IFERROR(__xludf.DUMMYFUNCTION("""COMPUTED_VALUE"""),"Extra")</f>
        <v>Extra</v>
      </c>
      <c r="D270" s="15" t="str">
        <f>IFERROR(__xludf.DUMMYFUNCTION("""COMPUTED_VALUE"""),"Active")</f>
        <v>Active</v>
      </c>
      <c r="E270" s="17">
        <f>IFERROR(__xludf.DUMMYFUNCTION("""COMPUTED_VALUE"""),44201.0)</f>
        <v>44201</v>
      </c>
      <c r="F270" s="54"/>
      <c r="G270" s="19">
        <f>IFERROR(__xludf.DUMMYFUNCTION("""COMPUTED_VALUE"""),69.03333333333333)</f>
        <v>69.03333333</v>
      </c>
      <c r="H270" s="17">
        <f>IFERROR(__xludf.DUMMYFUNCTION("""COMPUTED_VALUE"""),43174.0)</f>
        <v>43174</v>
      </c>
      <c r="I270" s="19">
        <f>IFERROR(__xludf.DUMMYFUNCTION("""COMPUTED_VALUE"""),2.8055555555555554)</f>
        <v>2.805555556</v>
      </c>
      <c r="J270" s="21">
        <f>IFERROR(__xludf.DUMMYFUNCTION("""COMPUTED_VALUE"""),75.0)</f>
        <v>75</v>
      </c>
      <c r="K270" s="23">
        <f>IFERROR(__xludf.DUMMYFUNCTION("""COMPUTED_VALUE"""),7.3)</f>
        <v>7.3</v>
      </c>
      <c r="L270" s="24">
        <f>IFERROR(__xludf.DUMMYFUNCTION("""COMPUTED_VALUE"""),22.0)</f>
        <v>22</v>
      </c>
      <c r="M270" s="25" t="str">
        <f>IFERROR(__xludf.DUMMYFUNCTION("""COMPUTED_VALUE"""),"Strategy")</f>
        <v>Strategy</v>
      </c>
      <c r="N270" s="25"/>
      <c r="O270" s="25" t="str">
        <f>IFERROR(__xludf.DUMMYFUNCTION("""COMPUTED_VALUE"""),"Yes")</f>
        <v>Yes</v>
      </c>
      <c r="P270" s="26"/>
    </row>
    <row r="271">
      <c r="A271" s="13" t="str">
        <f>IFERROR(__xludf.DUMMYFUNCTION("""COMPUTED_VALUE"""),"Tropico 5")</f>
        <v>Tropico 5</v>
      </c>
      <c r="B271" s="15" t="str">
        <f>IFERROR(__xludf.DUMMYFUNCTION("""COMPUTED_VALUE"""),"PS4")</f>
        <v>PS4</v>
      </c>
      <c r="C271" s="16" t="str">
        <f>IFERROR(__xludf.DUMMYFUNCTION("""COMPUTED_VALUE"""),"Extra")</f>
        <v>Extra</v>
      </c>
      <c r="D271" s="15" t="str">
        <f>IFERROR(__xludf.DUMMYFUNCTION("""COMPUTED_VALUE"""),"Active")</f>
        <v>Active</v>
      </c>
      <c r="E271" s="17">
        <f>IFERROR(__xludf.DUMMYFUNCTION("""COMPUTED_VALUE"""),42922.0)</f>
        <v>42922</v>
      </c>
      <c r="F271" s="54"/>
      <c r="G271" s="19">
        <f>IFERROR(__xludf.DUMMYFUNCTION("""COMPUTED_VALUE"""),111.0)</f>
        <v>111</v>
      </c>
      <c r="H271" s="17">
        <f>IFERROR(__xludf.DUMMYFUNCTION("""COMPUTED_VALUE"""),41782.0)</f>
        <v>41782</v>
      </c>
      <c r="I271" s="19">
        <f>IFERROR(__xludf.DUMMYFUNCTION("""COMPUTED_VALUE"""),3.1194444444444445)</f>
        <v>3.119444444</v>
      </c>
      <c r="J271" s="21">
        <f>IFERROR(__xludf.DUMMYFUNCTION("""COMPUTED_VALUE"""),75.0)</f>
        <v>75</v>
      </c>
      <c r="K271" s="23">
        <f>IFERROR(__xludf.DUMMYFUNCTION("""COMPUTED_VALUE"""),7.3)</f>
        <v>7.3</v>
      </c>
      <c r="L271" s="24">
        <f>IFERROR(__xludf.DUMMYFUNCTION("""COMPUTED_VALUE"""),20.0)</f>
        <v>20</v>
      </c>
      <c r="M271" s="25" t="str">
        <f>IFERROR(__xludf.DUMMYFUNCTION("""COMPUTED_VALUE"""),"Strategy")</f>
        <v>Strategy</v>
      </c>
      <c r="N271" s="25"/>
      <c r="O271" s="25" t="str">
        <f>IFERROR(__xludf.DUMMYFUNCTION("""COMPUTED_VALUE"""),"Yes")</f>
        <v>Yes</v>
      </c>
      <c r="P271" s="26"/>
    </row>
    <row r="272">
      <c r="A272" s="13" t="str">
        <f>IFERROR(__xludf.DUMMYFUNCTION("""COMPUTED_VALUE"""),"Death Squared")</f>
        <v>Death Squared</v>
      </c>
      <c r="B272" s="15" t="str">
        <f>IFERROR(__xludf.DUMMYFUNCTION("""COMPUTED_VALUE"""),"PS4")</f>
        <v>PS4</v>
      </c>
      <c r="C272" s="16" t="str">
        <f>IFERROR(__xludf.DUMMYFUNCTION("""COMPUTED_VALUE"""),"Extra")</f>
        <v>Extra</v>
      </c>
      <c r="D272" s="15" t="str">
        <f>IFERROR(__xludf.DUMMYFUNCTION("""COMPUTED_VALUE"""),"Leaving Soon")</f>
        <v>Leaving Soon</v>
      </c>
      <c r="E272" s="17">
        <f>IFERROR(__xludf.DUMMYFUNCTION("""COMPUTED_VALUE"""),44725.0)</f>
        <v>44725</v>
      </c>
      <c r="F272" s="18">
        <f>IFERROR(__xludf.DUMMYFUNCTION("""COMPUTED_VALUE"""),46314.0)</f>
        <v>46314</v>
      </c>
      <c r="G272" s="19">
        <f>IFERROR(__xludf.DUMMYFUNCTION("""COMPUTED_VALUE"""),52.199999999999996)</f>
        <v>52.2</v>
      </c>
      <c r="H272" s="17">
        <f>IFERROR(__xludf.DUMMYFUNCTION("""COMPUTED_VALUE"""),42808.0)</f>
        <v>42808</v>
      </c>
      <c r="I272" s="19">
        <f>IFERROR(__xludf.DUMMYFUNCTION("""COMPUTED_VALUE"""),5.247222222222222)</f>
        <v>5.247222222</v>
      </c>
      <c r="J272" s="21">
        <f>IFERROR(__xludf.DUMMYFUNCTION("""COMPUTED_VALUE"""),75.0)</f>
        <v>75</v>
      </c>
      <c r="K272" s="23">
        <f>IFERROR(__xludf.DUMMYFUNCTION("""COMPUTED_VALUE"""),7.6)</f>
        <v>7.6</v>
      </c>
      <c r="L272" s="24">
        <f>IFERROR(__xludf.DUMMYFUNCTION("""COMPUTED_VALUE"""),6.0)</f>
        <v>6</v>
      </c>
      <c r="M272" s="25" t="str">
        <f>IFERROR(__xludf.DUMMYFUNCTION("""COMPUTED_VALUE"""),"Puzzle")</f>
        <v>Puzzle</v>
      </c>
      <c r="N272" s="25"/>
      <c r="O272" s="25" t="str">
        <f>IFERROR(__xludf.DUMMYFUNCTION("""COMPUTED_VALUE"""),"Yes")</f>
        <v>Yes</v>
      </c>
      <c r="P272" s="26" t="str">
        <f>IFERROR(__xludf.DUMMYFUNCTION("""COMPUTED_VALUE"""),"Yes")</f>
        <v>Yes</v>
      </c>
    </row>
    <row r="273">
      <c r="A273" s="13" t="str">
        <f>IFERROR(__xludf.DUMMYFUNCTION("""COMPUTED_VALUE"""),"Dying Light")</f>
        <v>Dying Light</v>
      </c>
      <c r="B273" s="15" t="str">
        <f>IFERROR(__xludf.DUMMYFUNCTION("""COMPUTED_VALUE"""),"PS4")</f>
        <v>PS4</v>
      </c>
      <c r="C273" s="16" t="str">
        <f>IFERROR(__xludf.DUMMYFUNCTION("""COMPUTED_VALUE"""),"Extra")</f>
        <v>Extra</v>
      </c>
      <c r="D273" s="15" t="str">
        <f>IFERROR(__xludf.DUMMYFUNCTION("""COMPUTED_VALUE"""),"Active")</f>
        <v>Active</v>
      </c>
      <c r="E273" s="17">
        <f>IFERROR(__xludf.DUMMYFUNCTION("""COMPUTED_VALUE"""),46231.0)</f>
        <v>46231</v>
      </c>
      <c r="F273" s="18"/>
      <c r="G273" s="19">
        <f>IFERROR(__xludf.DUMMYFUNCTION("""COMPUTED_VALUE"""),2.2666666666666666)</f>
        <v>2.266666667</v>
      </c>
      <c r="H273" s="17">
        <f>IFERROR(__xludf.DUMMYFUNCTION("""COMPUTED_VALUE"""),42031.0)</f>
        <v>42031</v>
      </c>
      <c r="I273" s="19">
        <f>IFERROR(__xludf.DUMMYFUNCTION("""COMPUTED_VALUE"""),11.502777777777778)</f>
        <v>11.50277778</v>
      </c>
      <c r="J273" s="21">
        <f>IFERROR(__xludf.DUMMYFUNCTION("""COMPUTED_VALUE"""),74.0)</f>
        <v>74</v>
      </c>
      <c r="K273" s="23">
        <f>IFERROR(__xludf.DUMMYFUNCTION("""COMPUTED_VALUE"""),8.1)</f>
        <v>8.1</v>
      </c>
      <c r="L273" s="24">
        <f>IFERROR(__xludf.DUMMYFUNCTION("""COMPUTED_VALUE"""),17.5)</f>
        <v>17.5</v>
      </c>
      <c r="M273" s="25" t="str">
        <f>IFERROR(__xludf.DUMMYFUNCTION("""COMPUTED_VALUE"""),"Shooter")</f>
        <v>Shooter</v>
      </c>
      <c r="N273" s="25"/>
      <c r="O273" s="25"/>
      <c r="P273" s="26"/>
    </row>
    <row r="274">
      <c r="A274" s="13" t="str">
        <f>IFERROR(__xludf.DUMMYFUNCTION("""COMPUTED_VALUE"""),"The Thaumaturge")</f>
        <v>The Thaumaturge</v>
      </c>
      <c r="B274" s="15" t="str">
        <f>IFERROR(__xludf.DUMMYFUNCTION("""COMPUTED_VALUE"""),"PS5")</f>
        <v>PS5</v>
      </c>
      <c r="C274" s="16" t="str">
        <f>IFERROR(__xludf.DUMMYFUNCTION("""COMPUTED_VALUE"""),"Extra")</f>
        <v>Extra</v>
      </c>
      <c r="D274" s="15" t="str">
        <f>IFERROR(__xludf.DUMMYFUNCTION("""COMPUTED_VALUE"""),"Active")</f>
        <v>Active</v>
      </c>
      <c r="E274" s="17">
        <f>IFERROR(__xludf.DUMMYFUNCTION("""COMPUTED_VALUE"""),46161.0)</f>
        <v>46161</v>
      </c>
      <c r="F274" s="54"/>
      <c r="G274" s="19">
        <f>IFERROR(__xludf.DUMMYFUNCTION("""COMPUTED_VALUE"""),4.566666666666666)</f>
        <v>4.566666667</v>
      </c>
      <c r="H274" s="17">
        <f>IFERROR(__xludf.DUMMYFUNCTION("""COMPUTED_VALUE"""),45355.0)</f>
        <v>45355</v>
      </c>
      <c r="I274" s="19">
        <f>IFERROR(__xludf.DUMMYFUNCTION("""COMPUTED_VALUE"""),2.2083333333333335)</f>
        <v>2.208333333</v>
      </c>
      <c r="J274" s="21">
        <f>IFERROR(__xludf.DUMMYFUNCTION("""COMPUTED_VALUE"""),74.0)</f>
        <v>74</v>
      </c>
      <c r="K274" s="23">
        <f>IFERROR(__xludf.DUMMYFUNCTION("""COMPUTED_VALUE"""),7.1)</f>
        <v>7.1</v>
      </c>
      <c r="L274" s="24">
        <f>IFERROR(__xludf.DUMMYFUNCTION("""COMPUTED_VALUE"""),21.0)</f>
        <v>21</v>
      </c>
      <c r="M274" s="25" t="str">
        <f>IFERROR(__xludf.DUMMYFUNCTION("""COMPUTED_VALUE"""),"RPG")</f>
        <v>RPG</v>
      </c>
      <c r="N274" s="25"/>
      <c r="O274" s="25" t="str">
        <f>IFERROR(__xludf.DUMMYFUNCTION("""COMPUTED_VALUE"""),"No")</f>
        <v>No</v>
      </c>
      <c r="P274" s="26"/>
    </row>
    <row r="275">
      <c r="A275" s="13" t="str">
        <f>IFERROR(__xludf.DUMMYFUNCTION("""COMPUTED_VALUE"""),"The Crew: Motorfest")</f>
        <v>The Crew: Motorfest</v>
      </c>
      <c r="B275" s="15" t="str">
        <f>IFERROR(__xludf.DUMMYFUNCTION("""COMPUTED_VALUE"""),"PS5/PS4")</f>
        <v>PS5/PS4</v>
      </c>
      <c r="C275" s="16" t="str">
        <f>IFERROR(__xludf.DUMMYFUNCTION("""COMPUTED_VALUE"""),"Extra")</f>
        <v>Extra</v>
      </c>
      <c r="D275" s="15" t="str">
        <f>IFERROR(__xludf.DUMMYFUNCTION("""COMPUTED_VALUE"""),"Active")</f>
        <v>Active</v>
      </c>
      <c r="E275" s="17">
        <f>IFERROR(__xludf.DUMMYFUNCTION("""COMPUTED_VALUE"""),46133.0)</f>
        <v>46133</v>
      </c>
      <c r="F275" s="54"/>
      <c r="G275" s="19">
        <f>IFERROR(__xludf.DUMMYFUNCTION("""COMPUTED_VALUE"""),5.5)</f>
        <v>5.5</v>
      </c>
      <c r="H275" s="17">
        <f>IFERROR(__xludf.DUMMYFUNCTION("""COMPUTED_VALUE"""),45183.0)</f>
        <v>45183</v>
      </c>
      <c r="I275" s="19">
        <f>IFERROR(__xludf.DUMMYFUNCTION("""COMPUTED_VALUE"""),2.602777777777778)</f>
        <v>2.602777778</v>
      </c>
      <c r="J275" s="21">
        <f>IFERROR(__xludf.DUMMYFUNCTION("""COMPUTED_VALUE"""),74.0)</f>
        <v>74</v>
      </c>
      <c r="K275" s="23">
        <f>IFERROR(__xludf.DUMMYFUNCTION("""COMPUTED_VALUE"""),6.3)</f>
        <v>6.3</v>
      </c>
      <c r="L275" s="24">
        <f>IFERROR(__xludf.DUMMYFUNCTION("""COMPUTED_VALUE"""),20.0)</f>
        <v>20</v>
      </c>
      <c r="M275" s="25" t="str">
        <f>IFERROR(__xludf.DUMMYFUNCTION("""COMPUTED_VALUE"""),"Racing")</f>
        <v>Racing</v>
      </c>
      <c r="N275" s="25"/>
      <c r="O275" s="25"/>
      <c r="P275" s="26"/>
    </row>
    <row r="276">
      <c r="A276" s="13" t="str">
        <f>IFERROR(__xludf.DUMMYFUNCTION("""COMPUTED_VALUE"""),"Lord of the Rings: Return to Moria")</f>
        <v>Lord of the Rings: Return to Moria</v>
      </c>
      <c r="B276" s="15" t="str">
        <f>IFERROR(__xludf.DUMMYFUNCTION("""COMPUTED_VALUE"""),"PS5")</f>
        <v>PS5</v>
      </c>
      <c r="C276" s="16" t="str">
        <f>IFERROR(__xludf.DUMMYFUNCTION("""COMPUTED_VALUE"""),"Extra")</f>
        <v>Extra</v>
      </c>
      <c r="D276" s="15" t="str">
        <f>IFERROR(__xludf.DUMMYFUNCTION("""COMPUTED_VALUE"""),"Active")</f>
        <v>Active</v>
      </c>
      <c r="E276" s="17">
        <f>IFERROR(__xludf.DUMMYFUNCTION("""COMPUTED_VALUE"""),46098.0)</f>
        <v>46098</v>
      </c>
      <c r="F276" s="54"/>
      <c r="G276" s="19">
        <f>IFERROR(__xludf.DUMMYFUNCTION("""COMPUTED_VALUE"""),6.633333333333334)</f>
        <v>6.633333333</v>
      </c>
      <c r="H276" s="17">
        <f>IFERROR(__xludf.DUMMYFUNCTION("""COMPUTED_VALUE"""),45223.0)</f>
        <v>45223</v>
      </c>
      <c r="I276" s="19">
        <f>IFERROR(__xludf.DUMMYFUNCTION("""COMPUTED_VALUE"""),2.397222222222222)</f>
        <v>2.397222222</v>
      </c>
      <c r="J276" s="21">
        <f>IFERROR(__xludf.DUMMYFUNCTION("""COMPUTED_VALUE"""),74.0)</f>
        <v>74</v>
      </c>
      <c r="K276" s="23">
        <f>IFERROR(__xludf.DUMMYFUNCTION("""COMPUTED_VALUE"""),6.7)</f>
        <v>6.7</v>
      </c>
      <c r="L276" s="24">
        <f>IFERROR(__xludf.DUMMYFUNCTION("""COMPUTED_VALUE"""),25.0)</f>
        <v>25</v>
      </c>
      <c r="M276" s="25" t="str">
        <f>IFERROR(__xludf.DUMMYFUNCTION("""COMPUTED_VALUE"""),"Action-Adventure")</f>
        <v>Action-Adventure</v>
      </c>
      <c r="N276" s="25"/>
      <c r="O276" s="25" t="str">
        <f>IFERROR(__xludf.DUMMYFUNCTION("""COMPUTED_VALUE"""),"No")</f>
        <v>No</v>
      </c>
      <c r="P276" s="26"/>
    </row>
    <row r="277">
      <c r="A277" s="13" t="str">
        <f>IFERROR(__xludf.DUMMYFUNCTION("""COMPUTED_VALUE"""),"You Suck at Parking")</f>
        <v>You Suck at Parking</v>
      </c>
      <c r="B277" s="15" t="str">
        <f>IFERROR(__xludf.DUMMYFUNCTION("""COMPUTED_VALUE"""),"PS5/PS4")</f>
        <v>PS5/PS4</v>
      </c>
      <c r="C277" s="16" t="str">
        <f>IFERROR(__xludf.DUMMYFUNCTION("""COMPUTED_VALUE"""),"Extra")</f>
        <v>Extra</v>
      </c>
      <c r="D277" s="15" t="str">
        <f>IFERROR(__xludf.DUMMYFUNCTION("""COMPUTED_VALUE"""),"Active")</f>
        <v>Active</v>
      </c>
      <c r="E277" s="17">
        <f>IFERROR(__xludf.DUMMYFUNCTION("""COMPUTED_VALUE"""),45734.0)</f>
        <v>45734</v>
      </c>
      <c r="F277" s="54"/>
      <c r="G277" s="19">
        <f>IFERROR(__xludf.DUMMYFUNCTION("""COMPUTED_VALUE"""),18.6)</f>
        <v>18.6</v>
      </c>
      <c r="H277" s="17">
        <f>IFERROR(__xludf.DUMMYFUNCTION("""COMPUTED_VALUE"""),44818.0)</f>
        <v>44818</v>
      </c>
      <c r="I277" s="19">
        <f>IFERROR(__xludf.DUMMYFUNCTION("""COMPUTED_VALUE"""),2.511111111111111)</f>
        <v>2.511111111</v>
      </c>
      <c r="J277" s="21">
        <f>IFERROR(__xludf.DUMMYFUNCTION("""COMPUTED_VALUE"""),74.0)</f>
        <v>74</v>
      </c>
      <c r="K277" s="23">
        <f>IFERROR(__xludf.DUMMYFUNCTION("""COMPUTED_VALUE"""),5.3)</f>
        <v>5.3</v>
      </c>
      <c r="L277" s="24">
        <f>IFERROR(__xludf.DUMMYFUNCTION("""COMPUTED_VALUE"""),8.0)</f>
        <v>8</v>
      </c>
      <c r="M277" s="26" t="str">
        <f>IFERROR(__xludf.DUMMYFUNCTION("""COMPUTED_VALUE"""),"Racing ")</f>
        <v>Racing </v>
      </c>
      <c r="N277" s="25"/>
      <c r="O277" s="25" t="str">
        <f>IFERROR(__xludf.DUMMYFUNCTION("""COMPUTED_VALUE"""),"No")</f>
        <v>No</v>
      </c>
      <c r="P277" s="26"/>
    </row>
    <row r="278">
      <c r="A278" s="13" t="str">
        <f>IFERROR(__xludf.DUMMYFUNCTION("""COMPUTED_VALUE"""),"WRC Generations")</f>
        <v>WRC Generations</v>
      </c>
      <c r="B278" s="15" t="str">
        <f>IFERROR(__xludf.DUMMYFUNCTION("""COMPUTED_VALUE"""),"PS5/PS4")</f>
        <v>PS5/PS4</v>
      </c>
      <c r="C278" s="16" t="str">
        <f>IFERROR(__xludf.DUMMYFUNCTION("""COMPUTED_VALUE"""),"Extra")</f>
        <v>Extra</v>
      </c>
      <c r="D278" s="15" t="str">
        <f>IFERROR(__xludf.DUMMYFUNCTION("""COMPUTED_VALUE"""),"Active")</f>
        <v>Active</v>
      </c>
      <c r="E278" s="17">
        <f>IFERROR(__xludf.DUMMYFUNCTION("""COMPUTED_VALUE"""),45643.0)</f>
        <v>45643</v>
      </c>
      <c r="F278" s="54"/>
      <c r="G278" s="19">
        <f>IFERROR(__xludf.DUMMYFUNCTION("""COMPUTED_VALUE"""),21.633333333333333)</f>
        <v>21.63333333</v>
      </c>
      <c r="H278" s="17">
        <f>IFERROR(__xludf.DUMMYFUNCTION("""COMPUTED_VALUE"""),44868.0)</f>
        <v>44868</v>
      </c>
      <c r="I278" s="19">
        <f>IFERROR(__xludf.DUMMYFUNCTION("""COMPUTED_VALUE"""),2.1222222222222222)</f>
        <v>2.122222222</v>
      </c>
      <c r="J278" s="21">
        <f>IFERROR(__xludf.DUMMYFUNCTION("""COMPUTED_VALUE"""),74.0)</f>
        <v>74</v>
      </c>
      <c r="K278" s="23">
        <f>IFERROR(__xludf.DUMMYFUNCTION("""COMPUTED_VALUE"""),7.2)</f>
        <v>7.2</v>
      </c>
      <c r="L278" s="24">
        <f>IFERROR(__xludf.DUMMYFUNCTION("""COMPUTED_VALUE"""),15.0)</f>
        <v>15</v>
      </c>
      <c r="M278" s="25" t="str">
        <f>IFERROR(__xludf.DUMMYFUNCTION("""COMPUTED_VALUE"""),"Racing")</f>
        <v>Racing</v>
      </c>
      <c r="N278" s="25"/>
      <c r="O278" s="25" t="str">
        <f>IFERROR(__xludf.DUMMYFUNCTION("""COMPUTED_VALUE"""),"No")</f>
        <v>No</v>
      </c>
      <c r="P278" s="26"/>
    </row>
    <row r="279">
      <c r="A279" s="13" t="str">
        <f>IFERROR(__xludf.DUMMYFUNCTION("""COMPUTED_VALUE"""),"Cat Quest")</f>
        <v>Cat Quest</v>
      </c>
      <c r="B279" s="15" t="str">
        <f>IFERROR(__xludf.DUMMYFUNCTION("""COMPUTED_VALUE"""),"PS4")</f>
        <v>PS4</v>
      </c>
      <c r="C279" s="16" t="str">
        <f>IFERROR(__xludf.DUMMYFUNCTION("""COMPUTED_VALUE"""),"Extra")</f>
        <v>Extra</v>
      </c>
      <c r="D279" s="15" t="str">
        <f>IFERROR(__xludf.DUMMYFUNCTION("""COMPUTED_VALUE"""),"Active")</f>
        <v>Active</v>
      </c>
      <c r="E279" s="17">
        <f>IFERROR(__xludf.DUMMYFUNCTION("""COMPUTED_VALUE"""),45433.0)</f>
        <v>45433</v>
      </c>
      <c r="F279" s="54"/>
      <c r="G279" s="19">
        <f>IFERROR(__xludf.DUMMYFUNCTION("""COMPUTED_VALUE"""),28.5)</f>
        <v>28.5</v>
      </c>
      <c r="H279" s="17">
        <f>IFERROR(__xludf.DUMMYFUNCTION("""COMPUTED_VALUE"""),43049.0)</f>
        <v>43049</v>
      </c>
      <c r="I279" s="19">
        <f>IFERROR(__xludf.DUMMYFUNCTION("""COMPUTED_VALUE"""),6.530555555555556)</f>
        <v>6.530555556</v>
      </c>
      <c r="J279" s="21">
        <f>IFERROR(__xludf.DUMMYFUNCTION("""COMPUTED_VALUE"""),74.0)</f>
        <v>74</v>
      </c>
      <c r="K279" s="23">
        <f>IFERROR(__xludf.DUMMYFUNCTION("""COMPUTED_VALUE"""),7.6)</f>
        <v>7.6</v>
      </c>
      <c r="L279" s="24">
        <f>IFERROR(__xludf.DUMMYFUNCTION("""COMPUTED_VALUE"""),6.0)</f>
        <v>6</v>
      </c>
      <c r="M279" s="25" t="str">
        <f>IFERROR(__xludf.DUMMYFUNCTION("""COMPUTED_VALUE"""),"RPG")</f>
        <v>RPG</v>
      </c>
      <c r="N279" s="25"/>
      <c r="O279" s="25" t="str">
        <f>IFERROR(__xludf.DUMMYFUNCTION("""COMPUTED_VALUE"""),"Yes")</f>
        <v>Yes</v>
      </c>
      <c r="P279" s="26"/>
    </row>
    <row r="280">
      <c r="A280" s="13" t="str">
        <f>IFERROR(__xludf.DUMMYFUNCTION("""COMPUTED_VALUE"""),"Mystic Pillars: Remastered")</f>
        <v>Mystic Pillars: Remastered</v>
      </c>
      <c r="B280" s="15" t="str">
        <f>IFERROR(__xludf.DUMMYFUNCTION("""COMPUTED_VALUE"""),"PS5")</f>
        <v>PS5</v>
      </c>
      <c r="C280" s="16" t="str">
        <f>IFERROR(__xludf.DUMMYFUNCTION("""COMPUTED_VALUE"""),"Extra")</f>
        <v>Extra</v>
      </c>
      <c r="D280" s="15" t="str">
        <f>IFERROR(__xludf.DUMMYFUNCTION("""COMPUTED_VALUE"""),"Active")</f>
        <v>Active</v>
      </c>
      <c r="E280" s="17">
        <f>IFERROR(__xludf.DUMMYFUNCTION("""COMPUTED_VALUE"""),45370.0)</f>
        <v>45370</v>
      </c>
      <c r="F280" s="54"/>
      <c r="G280" s="19">
        <f>IFERROR(__xludf.DUMMYFUNCTION("""COMPUTED_VALUE"""),30.566666666666663)</f>
        <v>30.56666667</v>
      </c>
      <c r="H280" s="17">
        <f>IFERROR(__xludf.DUMMYFUNCTION("""COMPUTED_VALUE"""),44350.0)</f>
        <v>44350</v>
      </c>
      <c r="I280" s="19">
        <f>IFERROR(__xludf.DUMMYFUNCTION("""COMPUTED_VALUE"""),2.7944444444444443)</f>
        <v>2.794444444</v>
      </c>
      <c r="J280" s="21">
        <f>IFERROR(__xludf.DUMMYFUNCTION("""COMPUTED_VALUE"""),74.0)</f>
        <v>74</v>
      </c>
      <c r="K280" s="23">
        <f>IFERROR(__xludf.DUMMYFUNCTION("""COMPUTED_VALUE"""),2.0)</f>
        <v>2</v>
      </c>
      <c r="L280" s="24">
        <f>IFERROR(__xludf.DUMMYFUNCTION("""COMPUTED_VALUE"""),2.0)</f>
        <v>2</v>
      </c>
      <c r="M280" s="25" t="str">
        <f>IFERROR(__xludf.DUMMYFUNCTION("""COMPUTED_VALUE"""),"Puzzle")</f>
        <v>Puzzle</v>
      </c>
      <c r="N280" s="25"/>
      <c r="O280" s="25" t="str">
        <f>IFERROR(__xludf.DUMMYFUNCTION("""COMPUTED_VALUE"""),"Portal (PS5 + Premium)")</f>
        <v>Portal (PS5 + Premium)</v>
      </c>
      <c r="P280" s="26"/>
    </row>
    <row r="281">
      <c r="A281" s="13" t="str">
        <f>IFERROR(__xludf.DUMMYFUNCTION("""COMPUTED_VALUE"""),"Rune Factory 4: Special")</f>
        <v>Rune Factory 4: Special</v>
      </c>
      <c r="B281" s="15" t="str">
        <f>IFERROR(__xludf.DUMMYFUNCTION("""COMPUTED_VALUE"""),"PS4")</f>
        <v>PS4</v>
      </c>
      <c r="C281" s="16" t="str">
        <f>IFERROR(__xludf.DUMMYFUNCTION("""COMPUTED_VALUE"""),"Extra")</f>
        <v>Extra</v>
      </c>
      <c r="D281" s="15" t="str">
        <f>IFERROR(__xludf.DUMMYFUNCTION("""COMPUTED_VALUE"""),"Active")</f>
        <v>Active</v>
      </c>
      <c r="E281" s="17">
        <f>IFERROR(__xludf.DUMMYFUNCTION("""COMPUTED_VALUE"""),45062.0)</f>
        <v>45062</v>
      </c>
      <c r="F281" s="54"/>
      <c r="G281" s="19">
        <f>IFERROR(__xludf.DUMMYFUNCTION("""COMPUTED_VALUE"""),40.666666666666664)</f>
        <v>40.66666667</v>
      </c>
      <c r="H281" s="17">
        <f>IFERROR(__xludf.DUMMYFUNCTION("""COMPUTED_VALUE"""),44537.0)</f>
        <v>44537</v>
      </c>
      <c r="I281" s="19">
        <f>IFERROR(__xludf.DUMMYFUNCTION("""COMPUTED_VALUE"""),1.4416666666666667)</f>
        <v>1.441666667</v>
      </c>
      <c r="J281" s="21">
        <f>IFERROR(__xludf.DUMMYFUNCTION("""COMPUTED_VALUE"""),74.0)</f>
        <v>74</v>
      </c>
      <c r="K281" s="23">
        <f>IFERROR(__xludf.DUMMYFUNCTION("""COMPUTED_VALUE"""),8.3)</f>
        <v>8.3</v>
      </c>
      <c r="L281" s="24">
        <f>IFERROR(__xludf.DUMMYFUNCTION("""COMPUTED_VALUE"""),39.0)</f>
        <v>39</v>
      </c>
      <c r="M281" s="25" t="str">
        <f>IFERROR(__xludf.DUMMYFUNCTION("""COMPUTED_VALUE"""),"RPG")</f>
        <v>RPG</v>
      </c>
      <c r="N281" s="25"/>
      <c r="O281" s="25" t="str">
        <f>IFERROR(__xludf.DUMMYFUNCTION("""COMPUTED_VALUE"""),"Yes")</f>
        <v>Yes</v>
      </c>
      <c r="P281" s="26"/>
    </row>
    <row r="282">
      <c r="A282" s="13" t="str">
        <f>IFERROR(__xludf.DUMMYFUNCTION("""COMPUTED_VALUE"""),"Hotline Miami 2: Wrong Number")</f>
        <v>Hotline Miami 2: Wrong Number</v>
      </c>
      <c r="B282" s="15" t="str">
        <f>IFERROR(__xludf.DUMMYFUNCTION("""COMPUTED_VALUE"""),"PS5/PS4")</f>
        <v>PS5/PS4</v>
      </c>
      <c r="C282" s="16" t="str">
        <f>IFERROR(__xludf.DUMMYFUNCTION("""COMPUTED_VALUE"""),"Extra")</f>
        <v>Extra</v>
      </c>
      <c r="D282" s="15" t="str">
        <f>IFERROR(__xludf.DUMMYFUNCTION("""COMPUTED_VALUE"""),"Active")</f>
        <v>Active</v>
      </c>
      <c r="E282" s="17">
        <f>IFERROR(__xludf.DUMMYFUNCTION("""COMPUTED_VALUE"""),44725.0)</f>
        <v>44725</v>
      </c>
      <c r="F282" s="18"/>
      <c r="G282" s="19">
        <f>IFERROR(__xludf.DUMMYFUNCTION("""COMPUTED_VALUE"""),51.766666666666666)</f>
        <v>51.76666667</v>
      </c>
      <c r="H282" s="17">
        <f>IFERROR(__xludf.DUMMYFUNCTION("""COMPUTED_VALUE"""),42073.0)</f>
        <v>42073</v>
      </c>
      <c r="I282" s="19">
        <f>IFERROR(__xludf.DUMMYFUNCTION("""COMPUTED_VALUE"""),7.258333333333334)</f>
        <v>7.258333333</v>
      </c>
      <c r="J282" s="21">
        <f>IFERROR(__xludf.DUMMYFUNCTION("""COMPUTED_VALUE"""),74.0)</f>
        <v>74</v>
      </c>
      <c r="K282" s="23">
        <f>IFERROR(__xludf.DUMMYFUNCTION("""COMPUTED_VALUE"""),7.7)</f>
        <v>7.7</v>
      </c>
      <c r="L282" s="24">
        <f>IFERROR(__xludf.DUMMYFUNCTION("""COMPUTED_VALUE"""),8.5)</f>
        <v>8.5</v>
      </c>
      <c r="M282" s="25" t="str">
        <f>IFERROR(__xludf.DUMMYFUNCTION("""COMPUTED_VALUE"""),"Action-Adventure")</f>
        <v>Action-Adventure</v>
      </c>
      <c r="N282" s="25"/>
      <c r="O282" s="25" t="str">
        <f>IFERROR(__xludf.DUMMYFUNCTION("""COMPUTED_VALUE"""),"No")</f>
        <v>No</v>
      </c>
      <c r="P282" s="26"/>
    </row>
    <row r="283">
      <c r="A283" s="13" t="str">
        <f>IFERROR(__xludf.DUMMYFUNCTION("""COMPUTED_VALUE"""),"Moonlighter")</f>
        <v>Moonlighter</v>
      </c>
      <c r="B283" s="15" t="str">
        <f>IFERROR(__xludf.DUMMYFUNCTION("""COMPUTED_VALUE"""),"PS4")</f>
        <v>PS4</v>
      </c>
      <c r="C283" s="16" t="str">
        <f>IFERROR(__xludf.DUMMYFUNCTION("""COMPUTED_VALUE"""),"Extra")</f>
        <v>Extra</v>
      </c>
      <c r="D283" s="15" t="str">
        <f>IFERROR(__xludf.DUMMYFUNCTION("""COMPUTED_VALUE"""),"Active")</f>
        <v>Active</v>
      </c>
      <c r="E283" s="17">
        <f>IFERROR(__xludf.DUMMYFUNCTION("""COMPUTED_VALUE"""),44725.0)</f>
        <v>44725</v>
      </c>
      <c r="F283" s="54"/>
      <c r="G283" s="19">
        <f>IFERROR(__xludf.DUMMYFUNCTION("""COMPUTED_VALUE"""),51.766666666666666)</f>
        <v>51.76666667</v>
      </c>
      <c r="H283" s="17">
        <f>IFERROR(__xludf.DUMMYFUNCTION("""COMPUTED_VALUE"""),43249.0)</f>
        <v>43249</v>
      </c>
      <c r="I283" s="19">
        <f>IFERROR(__xludf.DUMMYFUNCTION("""COMPUTED_VALUE"""),4.038888888888889)</f>
        <v>4.038888889</v>
      </c>
      <c r="J283" s="21">
        <f>IFERROR(__xludf.DUMMYFUNCTION("""COMPUTED_VALUE"""),74.0)</f>
        <v>74</v>
      </c>
      <c r="K283" s="23">
        <f>IFERROR(__xludf.DUMMYFUNCTION("""COMPUTED_VALUE"""),7.4)</f>
        <v>7.4</v>
      </c>
      <c r="L283" s="24">
        <f>IFERROR(__xludf.DUMMYFUNCTION("""COMPUTED_VALUE"""),19.0)</f>
        <v>19</v>
      </c>
      <c r="M283" s="25" t="str">
        <f>IFERROR(__xludf.DUMMYFUNCTION("""COMPUTED_VALUE"""),"RPG")</f>
        <v>RPG</v>
      </c>
      <c r="N283" s="25"/>
      <c r="O283" s="25" t="str">
        <f>IFERROR(__xludf.DUMMYFUNCTION("""COMPUTED_VALUE"""),"Yes")</f>
        <v>Yes</v>
      </c>
      <c r="P283" s="26"/>
    </row>
    <row r="284">
      <c r="A284" s="13" t="str">
        <f>IFERROR(__xludf.DUMMYFUNCTION("""COMPUTED_VALUE"""),"Matterfall")</f>
        <v>Matterfall</v>
      </c>
      <c r="B284" s="15" t="str">
        <f>IFERROR(__xludf.DUMMYFUNCTION("""COMPUTED_VALUE"""),"PS4")</f>
        <v>PS4</v>
      </c>
      <c r="C284" s="16" t="str">
        <f>IFERROR(__xludf.DUMMYFUNCTION("""COMPUTED_VALUE"""),"Extra")</f>
        <v>Extra</v>
      </c>
      <c r="D284" s="15" t="str">
        <f>IFERROR(__xludf.DUMMYFUNCTION("""COMPUTED_VALUE"""),"Active")</f>
        <v>Active</v>
      </c>
      <c r="E284" s="17">
        <f>IFERROR(__xludf.DUMMYFUNCTION("""COMPUTED_VALUE"""),44725.0)</f>
        <v>44725</v>
      </c>
      <c r="F284" s="54"/>
      <c r="G284" s="19">
        <f>IFERROR(__xludf.DUMMYFUNCTION("""COMPUTED_VALUE"""),51.766666666666666)</f>
        <v>51.76666667</v>
      </c>
      <c r="H284" s="17">
        <f>IFERROR(__xludf.DUMMYFUNCTION("""COMPUTED_VALUE"""),42962.0)</f>
        <v>42962</v>
      </c>
      <c r="I284" s="19">
        <f>IFERROR(__xludf.DUMMYFUNCTION("""COMPUTED_VALUE"""),4.8277777777777775)</f>
        <v>4.827777778</v>
      </c>
      <c r="J284" s="21">
        <f>IFERROR(__xludf.DUMMYFUNCTION("""COMPUTED_VALUE"""),74.0)</f>
        <v>74</v>
      </c>
      <c r="K284" s="23">
        <f>IFERROR(__xludf.DUMMYFUNCTION("""COMPUTED_VALUE"""),6.7)</f>
        <v>6.7</v>
      </c>
      <c r="L284" s="24">
        <f>IFERROR(__xludf.DUMMYFUNCTION("""COMPUTED_VALUE"""),4.0)</f>
        <v>4</v>
      </c>
      <c r="M284" s="25" t="str">
        <f>IFERROR(__xludf.DUMMYFUNCTION("""COMPUTED_VALUE"""),"Platformer")</f>
        <v>Platformer</v>
      </c>
      <c r="N284" s="25"/>
      <c r="O284" s="25" t="str">
        <f>IFERROR(__xludf.DUMMYFUNCTION("""COMPUTED_VALUE"""),"No")</f>
        <v>No</v>
      </c>
      <c r="P284" s="26"/>
    </row>
    <row r="285">
      <c r="A285" s="13" t="str">
        <f>IFERROR(__xludf.DUMMYFUNCTION("""COMPUTED_VALUE"""),"Starlink: Battle For Atlas")</f>
        <v>Starlink: Battle For Atlas</v>
      </c>
      <c r="B285" s="15" t="str">
        <f>IFERROR(__xludf.DUMMYFUNCTION("""COMPUTED_VALUE"""),"PS4")</f>
        <v>PS4</v>
      </c>
      <c r="C285" s="16" t="str">
        <f>IFERROR(__xludf.DUMMYFUNCTION("""COMPUTED_VALUE"""),"Extra (Ubisoft+ Classics)")</f>
        <v>Extra (Ubisoft+ Classics)</v>
      </c>
      <c r="D285" s="15" t="str">
        <f>IFERROR(__xludf.DUMMYFUNCTION("""COMPUTED_VALUE"""),"Active")</f>
        <v>Active</v>
      </c>
      <c r="E285" s="17">
        <f>IFERROR(__xludf.DUMMYFUNCTION("""COMPUTED_VALUE"""),44725.0)</f>
        <v>44725</v>
      </c>
      <c r="F285" s="54"/>
      <c r="G285" s="19">
        <f>IFERROR(__xludf.DUMMYFUNCTION("""COMPUTED_VALUE"""),51.766666666666666)</f>
        <v>51.76666667</v>
      </c>
      <c r="H285" s="17">
        <f>IFERROR(__xludf.DUMMYFUNCTION("""COMPUTED_VALUE"""),43389.0)</f>
        <v>43389</v>
      </c>
      <c r="I285" s="19">
        <f>IFERROR(__xludf.DUMMYFUNCTION("""COMPUTED_VALUE"""),3.658333333333333)</f>
        <v>3.658333333</v>
      </c>
      <c r="J285" s="21">
        <f>IFERROR(__xludf.DUMMYFUNCTION("""COMPUTED_VALUE"""),74.0)</f>
        <v>74</v>
      </c>
      <c r="K285" s="23">
        <f>IFERROR(__xludf.DUMMYFUNCTION("""COMPUTED_VALUE"""),6.9)</f>
        <v>6.9</v>
      </c>
      <c r="L285" s="24">
        <f>IFERROR(__xludf.DUMMYFUNCTION("""COMPUTED_VALUE"""),13.0)</f>
        <v>13</v>
      </c>
      <c r="M285" s="25" t="str">
        <f>IFERROR(__xludf.DUMMYFUNCTION("""COMPUTED_VALUE"""),"Action-Adventure")</f>
        <v>Action-Adventure</v>
      </c>
      <c r="N285" s="25"/>
      <c r="O285" s="25" t="str">
        <f>IFERROR(__xludf.DUMMYFUNCTION("""COMPUTED_VALUE"""),"Yes")</f>
        <v>Yes</v>
      </c>
      <c r="P285" s="26" t="str">
        <f>IFERROR(__xludf.DUMMYFUNCTION("""COMPUTED_VALUE"""),"Yes")</f>
        <v>Yes</v>
      </c>
    </row>
    <row r="286">
      <c r="A286" s="13" t="str">
        <f>IFERROR(__xludf.DUMMYFUNCTION("""COMPUTED_VALUE"""),"The Elder Scrolls Online: Tamriel Unlimited")</f>
        <v>The Elder Scrolls Online: Tamriel Unlimited</v>
      </c>
      <c r="B286" s="15" t="str">
        <f>IFERROR(__xludf.DUMMYFUNCTION("""COMPUTED_VALUE"""),"PS4")</f>
        <v>PS4</v>
      </c>
      <c r="C286" s="16" t="str">
        <f>IFERROR(__xludf.DUMMYFUNCTION("""COMPUTED_VALUE"""),"Extra")</f>
        <v>Extra</v>
      </c>
      <c r="D286" s="15" t="str">
        <f>IFERROR(__xludf.DUMMYFUNCTION("""COMPUTED_VALUE"""),"Active")</f>
        <v>Active</v>
      </c>
      <c r="E286" s="17">
        <f>IFERROR(__xludf.DUMMYFUNCTION("""COMPUTED_VALUE"""),43378.0)</f>
        <v>43378</v>
      </c>
      <c r="F286" s="54"/>
      <c r="G286" s="19">
        <f>IFERROR(__xludf.DUMMYFUNCTION("""COMPUTED_VALUE"""),96.03333333333333)</f>
        <v>96.03333333</v>
      </c>
      <c r="H286" s="17">
        <f>IFERROR(__xludf.DUMMYFUNCTION("""COMPUTED_VALUE"""),42164.0)</f>
        <v>42164</v>
      </c>
      <c r="I286" s="19">
        <f>IFERROR(__xludf.DUMMYFUNCTION("""COMPUTED_VALUE"""),3.3222222222222224)</f>
        <v>3.322222222</v>
      </c>
      <c r="J286" s="21">
        <f>IFERROR(__xludf.DUMMYFUNCTION("""COMPUTED_VALUE"""),74.0)</f>
        <v>74</v>
      </c>
      <c r="K286" s="23">
        <f>IFERROR(__xludf.DUMMYFUNCTION("""COMPUTED_VALUE"""),6.7)</f>
        <v>6.7</v>
      </c>
      <c r="L286" s="24"/>
      <c r="M286" s="25" t="str">
        <f>IFERROR(__xludf.DUMMYFUNCTION("""COMPUTED_VALUE"""),"RPG")</f>
        <v>RPG</v>
      </c>
      <c r="N286" s="25"/>
      <c r="O286" s="25" t="str">
        <f>IFERROR(__xludf.DUMMYFUNCTION("""COMPUTED_VALUE"""),"Yes")</f>
        <v>Yes</v>
      </c>
      <c r="P286" s="26"/>
    </row>
    <row r="287">
      <c r="A287" s="13" t="str">
        <f>IFERROR(__xludf.DUMMYFUNCTION("""COMPUTED_VALUE"""),"Aragami")</f>
        <v>Aragami</v>
      </c>
      <c r="B287" s="15" t="str">
        <f>IFERROR(__xludf.DUMMYFUNCTION("""COMPUTED_VALUE"""),"PS4")</f>
        <v>PS4</v>
      </c>
      <c r="C287" s="16" t="str">
        <f>IFERROR(__xludf.DUMMYFUNCTION("""COMPUTED_VALUE"""),"Extra")</f>
        <v>Extra</v>
      </c>
      <c r="D287" s="15" t="str">
        <f>IFERROR(__xludf.DUMMYFUNCTION("""COMPUTED_VALUE"""),"Active")</f>
        <v>Active</v>
      </c>
      <c r="E287" s="17">
        <f>IFERROR(__xludf.DUMMYFUNCTION("""COMPUTED_VALUE"""),43109.0)</f>
        <v>43109</v>
      </c>
      <c r="F287" s="54"/>
      <c r="G287" s="19">
        <f>IFERROR(__xludf.DUMMYFUNCTION("""COMPUTED_VALUE"""),104.9)</f>
        <v>104.9</v>
      </c>
      <c r="H287" s="17">
        <f>IFERROR(__xludf.DUMMYFUNCTION("""COMPUTED_VALUE"""),42647.0)</f>
        <v>42647</v>
      </c>
      <c r="I287" s="19">
        <f>IFERROR(__xludf.DUMMYFUNCTION("""COMPUTED_VALUE"""),1.2638888888888888)</f>
        <v>1.263888889</v>
      </c>
      <c r="J287" s="21">
        <f>IFERROR(__xludf.DUMMYFUNCTION("""COMPUTED_VALUE"""),74.0)</f>
        <v>74</v>
      </c>
      <c r="K287" s="23">
        <f>IFERROR(__xludf.DUMMYFUNCTION("""COMPUTED_VALUE"""),6.6)</f>
        <v>6.6</v>
      </c>
      <c r="L287" s="24">
        <f>IFERROR(__xludf.DUMMYFUNCTION("""COMPUTED_VALUE"""),7.0)</f>
        <v>7</v>
      </c>
      <c r="M287" s="25" t="str">
        <f>IFERROR(__xludf.DUMMYFUNCTION("""COMPUTED_VALUE"""),"Action-Adventure")</f>
        <v>Action-Adventure</v>
      </c>
      <c r="N287" s="25"/>
      <c r="O287" s="25" t="str">
        <f>IFERROR(__xludf.DUMMYFUNCTION("""COMPUTED_VALUE"""),"Yes")</f>
        <v>Yes</v>
      </c>
      <c r="P287" s="26"/>
    </row>
    <row r="288">
      <c r="A288" s="13" t="str">
        <f>IFERROR(__xludf.DUMMYFUNCTION("""COMPUTED_VALUE"""),"The Lego Movie Videogame")</f>
        <v>The Lego Movie Videogame</v>
      </c>
      <c r="B288" s="15" t="str">
        <f>IFERROR(__xludf.DUMMYFUNCTION("""COMPUTED_VALUE"""),"PS4")</f>
        <v>PS4</v>
      </c>
      <c r="C288" s="16" t="str">
        <f>IFERROR(__xludf.DUMMYFUNCTION("""COMPUTED_VALUE"""),"Extra")</f>
        <v>Extra</v>
      </c>
      <c r="D288" s="15" t="str">
        <f>IFERROR(__xludf.DUMMYFUNCTION("""COMPUTED_VALUE"""),"Active")</f>
        <v>Active</v>
      </c>
      <c r="E288" s="17">
        <f>IFERROR(__xludf.DUMMYFUNCTION("""COMPUTED_VALUE"""),42417.0)</f>
        <v>42417</v>
      </c>
      <c r="F288" s="54"/>
      <c r="G288" s="19">
        <f>IFERROR(__xludf.DUMMYFUNCTION("""COMPUTED_VALUE"""),127.63333333333333)</f>
        <v>127.6333333</v>
      </c>
      <c r="H288" s="17">
        <f>IFERROR(__xludf.DUMMYFUNCTION("""COMPUTED_VALUE"""),41677.0)</f>
        <v>41677</v>
      </c>
      <c r="I288" s="19">
        <f>IFERROR(__xludf.DUMMYFUNCTION("""COMPUTED_VALUE"""),2.0277777777777777)</f>
        <v>2.027777778</v>
      </c>
      <c r="J288" s="21">
        <f>IFERROR(__xludf.DUMMYFUNCTION("""COMPUTED_VALUE"""),74.0)</f>
        <v>74</v>
      </c>
      <c r="K288" s="23">
        <f>IFERROR(__xludf.DUMMYFUNCTION("""COMPUTED_VALUE"""),7.4)</f>
        <v>7.4</v>
      </c>
      <c r="L288" s="24">
        <f>IFERROR(__xludf.DUMMYFUNCTION("""COMPUTED_VALUE"""),8.0)</f>
        <v>8</v>
      </c>
      <c r="M288" s="25" t="str">
        <f>IFERROR(__xludf.DUMMYFUNCTION("""COMPUTED_VALUE"""),"Action-Adventure")</f>
        <v>Action-Adventure</v>
      </c>
      <c r="N288" s="25"/>
      <c r="O288" s="25" t="str">
        <f>IFERROR(__xludf.DUMMYFUNCTION("""COMPUTED_VALUE"""),"Yes")</f>
        <v>Yes</v>
      </c>
      <c r="P288" s="26" t="str">
        <f>IFERROR(__xludf.DUMMYFUNCTION("""COMPUTED_VALUE"""),"Yes")</f>
        <v>Yes</v>
      </c>
    </row>
    <row r="289">
      <c r="A289" s="13" t="str">
        <f>IFERROR(__xludf.DUMMYFUNCTION("""COMPUTED_VALUE"""),"Life is Strange: Double Exposure")</f>
        <v>Life is Strange: Double Exposure</v>
      </c>
      <c r="B289" s="15" t="str">
        <f>IFERROR(__xludf.DUMMYFUNCTION("""COMPUTED_VALUE"""),"PS5")</f>
        <v>PS5</v>
      </c>
      <c r="C289" s="16" t="str">
        <f>IFERROR(__xludf.DUMMYFUNCTION("""COMPUTED_VALUE"""),"Extra")</f>
        <v>Extra</v>
      </c>
      <c r="D289" s="15" t="str">
        <f>IFERROR(__xludf.DUMMYFUNCTION("""COMPUTED_VALUE"""),"Active")</f>
        <v>Active</v>
      </c>
      <c r="E289" s="17">
        <f>IFERROR(__xludf.DUMMYFUNCTION("""COMPUTED_VALUE"""),46189.0)</f>
        <v>46189</v>
      </c>
      <c r="F289" s="54"/>
      <c r="G289" s="19">
        <f>IFERROR(__xludf.DUMMYFUNCTION("""COMPUTED_VALUE"""),3.666666666666667)</f>
        <v>3.666666667</v>
      </c>
      <c r="H289" s="17">
        <f>IFERROR(__xludf.DUMMYFUNCTION("""COMPUTED_VALUE"""),45594.0)</f>
        <v>45594</v>
      </c>
      <c r="I289" s="19">
        <f>IFERROR(__xludf.DUMMYFUNCTION("""COMPUTED_VALUE"""),1.6305555555555555)</f>
        <v>1.630555556</v>
      </c>
      <c r="J289" s="21">
        <f>IFERROR(__xludf.DUMMYFUNCTION("""COMPUTED_VALUE"""),73.0)</f>
        <v>73</v>
      </c>
      <c r="K289" s="23">
        <f>IFERROR(__xludf.DUMMYFUNCTION("""COMPUTED_VALUE"""),4.7)</f>
        <v>4.7</v>
      </c>
      <c r="L289" s="24">
        <f>IFERROR(__xludf.DUMMYFUNCTION("""COMPUTED_VALUE"""),13.0)</f>
        <v>13</v>
      </c>
      <c r="M289" s="25" t="str">
        <f>IFERROR(__xludf.DUMMYFUNCTION("""COMPUTED_VALUE"""),"Action-Adventure")</f>
        <v>Action-Adventure</v>
      </c>
      <c r="N289" s="25"/>
      <c r="O289" s="25" t="str">
        <f>IFERROR(__xludf.DUMMYFUNCTION("""COMPUTED_VALUE"""),"No")</f>
        <v>No</v>
      </c>
      <c r="P289" s="26"/>
    </row>
    <row r="290">
      <c r="A290" s="13" t="str">
        <f>IFERROR(__xludf.DUMMYFUNCTION("""COMPUTED_VALUE"""),"Metal Eden")</f>
        <v>Metal Eden</v>
      </c>
      <c r="B290" s="15" t="str">
        <f>IFERROR(__xludf.DUMMYFUNCTION("""COMPUTED_VALUE"""),"PS5")</f>
        <v>PS5</v>
      </c>
      <c r="C290" s="16" t="str">
        <f>IFERROR(__xludf.DUMMYFUNCTION("""COMPUTED_VALUE"""),"Extra")</f>
        <v>Extra</v>
      </c>
      <c r="D290" s="15" t="str">
        <f>IFERROR(__xludf.DUMMYFUNCTION("""COMPUTED_VALUE"""),"Active")</f>
        <v>Active</v>
      </c>
      <c r="E290" s="17">
        <f>IFERROR(__xludf.DUMMYFUNCTION("""COMPUTED_VALUE"""),46098.0)</f>
        <v>46098</v>
      </c>
      <c r="F290" s="54"/>
      <c r="G290" s="19">
        <f>IFERROR(__xludf.DUMMYFUNCTION("""COMPUTED_VALUE"""),6.633333333333334)</f>
        <v>6.633333333</v>
      </c>
      <c r="H290" s="17">
        <f>IFERROR(__xludf.DUMMYFUNCTION("""COMPUTED_VALUE"""),45783.0)</f>
        <v>45783</v>
      </c>
      <c r="I290" s="19">
        <f>IFERROR(__xludf.DUMMYFUNCTION("""COMPUTED_VALUE"""),0.8638888888888889)</f>
        <v>0.8638888889</v>
      </c>
      <c r="J290" s="21">
        <f>IFERROR(__xludf.DUMMYFUNCTION("""COMPUTED_VALUE"""),73.0)</f>
        <v>73</v>
      </c>
      <c r="K290" s="23">
        <f>IFERROR(__xludf.DUMMYFUNCTION("""COMPUTED_VALUE"""),7.4)</f>
        <v>7.4</v>
      </c>
      <c r="L290" s="24">
        <f>IFERROR(__xludf.DUMMYFUNCTION("""COMPUTED_VALUE"""),6.0)</f>
        <v>6</v>
      </c>
      <c r="M290" s="25" t="str">
        <f>IFERROR(__xludf.DUMMYFUNCTION("""COMPUTED_VALUE"""),"Shooter")</f>
        <v>Shooter</v>
      </c>
      <c r="N290" s="25"/>
      <c r="O290" s="25" t="str">
        <f>IFERROR(__xludf.DUMMYFUNCTION("""COMPUTED_VALUE"""),"No")</f>
        <v>No</v>
      </c>
      <c r="P290" s="26"/>
    </row>
    <row r="291">
      <c r="A291" s="13" t="str">
        <f>IFERROR(__xludf.DUMMYFUNCTION("""COMPUTED_VALUE"""),"Train Sim World 5")</f>
        <v>Train Sim World 5</v>
      </c>
      <c r="B291" s="15" t="str">
        <f>IFERROR(__xludf.DUMMYFUNCTION("""COMPUTED_VALUE"""),"PS5/PS4")</f>
        <v>PS5/PS4</v>
      </c>
      <c r="C291" s="16" t="str">
        <f>IFERROR(__xludf.DUMMYFUNCTION("""COMPUTED_VALUE"""),"Extra")</f>
        <v>Extra</v>
      </c>
      <c r="D291" s="15" t="str">
        <f>IFERROR(__xludf.DUMMYFUNCTION("""COMPUTED_VALUE"""),"Active")</f>
        <v>Active</v>
      </c>
      <c r="E291" s="17">
        <f>IFERROR(__xludf.DUMMYFUNCTION("""COMPUTED_VALUE"""),45825.0)</f>
        <v>45825</v>
      </c>
      <c r="F291" s="54"/>
      <c r="G291" s="19">
        <f>IFERROR(__xludf.DUMMYFUNCTION("""COMPUTED_VALUE"""),15.633333333333333)</f>
        <v>15.63333333</v>
      </c>
      <c r="H291" s="17">
        <f>IFERROR(__xludf.DUMMYFUNCTION("""COMPUTED_VALUE"""),45552.0)</f>
        <v>45552</v>
      </c>
      <c r="I291" s="19">
        <f>IFERROR(__xludf.DUMMYFUNCTION("""COMPUTED_VALUE"""),0.75)</f>
        <v>0.75</v>
      </c>
      <c r="J291" s="21">
        <f>IFERROR(__xludf.DUMMYFUNCTION("""COMPUTED_VALUE"""),73.0)</f>
        <v>73</v>
      </c>
      <c r="K291" s="23">
        <f>IFERROR(__xludf.DUMMYFUNCTION("""COMPUTED_VALUE"""),5.5)</f>
        <v>5.5</v>
      </c>
      <c r="L291" s="24">
        <f>IFERROR(__xludf.DUMMYFUNCTION("""COMPUTED_VALUE"""),112.0)</f>
        <v>112</v>
      </c>
      <c r="M291" s="25" t="str">
        <f>IFERROR(__xludf.DUMMYFUNCTION("""COMPUTED_VALUE"""),"Simulation")</f>
        <v>Simulation</v>
      </c>
      <c r="N291" s="25"/>
      <c r="O291" s="25"/>
      <c r="P291" s="26"/>
    </row>
    <row r="292">
      <c r="A292" s="13" t="str">
        <f>IFERROR(__xludf.DUMMYFUNCTION("""COMPUTED_VALUE"""),"Arcade Paradise")</f>
        <v>Arcade Paradise</v>
      </c>
      <c r="B292" s="15" t="str">
        <f>IFERROR(__xludf.DUMMYFUNCTION("""COMPUTED_VALUE"""),"PS5/PS4")</f>
        <v>PS5/PS4</v>
      </c>
      <c r="C292" s="16" t="str">
        <f>IFERROR(__xludf.DUMMYFUNCTION("""COMPUTED_VALUE"""),"Extra")</f>
        <v>Extra</v>
      </c>
      <c r="D292" s="15" t="str">
        <f>IFERROR(__xludf.DUMMYFUNCTION("""COMPUTED_VALUE"""),"Active")</f>
        <v>Active</v>
      </c>
      <c r="E292" s="17">
        <f>IFERROR(__xludf.DUMMYFUNCTION("""COMPUTED_VALUE"""),45734.0)</f>
        <v>45734</v>
      </c>
      <c r="F292" s="54"/>
      <c r="G292" s="19">
        <f>IFERROR(__xludf.DUMMYFUNCTION("""COMPUTED_VALUE"""),18.6)</f>
        <v>18.6</v>
      </c>
      <c r="H292" s="17">
        <f>IFERROR(__xludf.DUMMYFUNCTION("""COMPUTED_VALUE"""),44784.0)</f>
        <v>44784</v>
      </c>
      <c r="I292" s="19">
        <f>IFERROR(__xludf.DUMMYFUNCTION("""COMPUTED_VALUE"""),2.602777777777778)</f>
        <v>2.602777778</v>
      </c>
      <c r="J292" s="21">
        <f>IFERROR(__xludf.DUMMYFUNCTION("""COMPUTED_VALUE"""),73.0)</f>
        <v>73</v>
      </c>
      <c r="K292" s="23">
        <f>IFERROR(__xludf.DUMMYFUNCTION("""COMPUTED_VALUE"""),6.7)</f>
        <v>6.7</v>
      </c>
      <c r="L292" s="24">
        <f>IFERROR(__xludf.DUMMYFUNCTION("""COMPUTED_VALUE"""),25.0)</f>
        <v>25</v>
      </c>
      <c r="M292" s="25" t="str">
        <f>IFERROR(__xludf.DUMMYFUNCTION("""COMPUTED_VALUE"""),"Virtual Career ")</f>
        <v>Virtual Career </v>
      </c>
      <c r="N292" s="25"/>
      <c r="O292" s="25" t="str">
        <f>IFERROR(__xludf.DUMMYFUNCTION("""COMPUTED_VALUE"""),"Yes")</f>
        <v>Yes</v>
      </c>
      <c r="P292" s="26"/>
    </row>
    <row r="293">
      <c r="A293" s="13" t="str">
        <f>IFERROR(__xludf.DUMMYFUNCTION("""COMPUTED_VALUE"""),"Salt and Sacrifice")</f>
        <v>Salt and Sacrifice</v>
      </c>
      <c r="B293" s="15" t="str">
        <f>IFERROR(__xludf.DUMMYFUNCTION("""COMPUTED_VALUE"""),"PS5/PS4")</f>
        <v>PS5/PS4</v>
      </c>
      <c r="C293" s="16" t="str">
        <f>IFERROR(__xludf.DUMMYFUNCTION("""COMPUTED_VALUE"""),"Extra")</f>
        <v>Extra</v>
      </c>
      <c r="D293" s="15" t="str">
        <f>IFERROR(__xludf.DUMMYFUNCTION("""COMPUTED_VALUE"""),"Active")</f>
        <v>Active</v>
      </c>
      <c r="E293" s="17">
        <f>IFERROR(__xludf.DUMMYFUNCTION("""COMPUTED_VALUE"""),45279.0)</f>
        <v>45279</v>
      </c>
      <c r="F293" s="54"/>
      <c r="G293" s="19">
        <f>IFERROR(__xludf.DUMMYFUNCTION("""COMPUTED_VALUE"""),33.56666666666666)</f>
        <v>33.56666667</v>
      </c>
      <c r="H293" s="17">
        <f>IFERROR(__xludf.DUMMYFUNCTION("""COMPUTED_VALUE"""),44691.0)</f>
        <v>44691</v>
      </c>
      <c r="I293" s="19">
        <f>IFERROR(__xludf.DUMMYFUNCTION("""COMPUTED_VALUE"""),1.6083333333333334)</f>
        <v>1.608333333</v>
      </c>
      <c r="J293" s="21">
        <f>IFERROR(__xludf.DUMMYFUNCTION("""COMPUTED_VALUE"""),73.0)</f>
        <v>73</v>
      </c>
      <c r="K293" s="23">
        <f>IFERROR(__xludf.DUMMYFUNCTION("""COMPUTED_VALUE"""),4.4)</f>
        <v>4.4</v>
      </c>
      <c r="L293" s="24">
        <f>IFERROR(__xludf.DUMMYFUNCTION("""COMPUTED_VALUE"""),16.0)</f>
        <v>16</v>
      </c>
      <c r="M293" s="25" t="str">
        <f>IFERROR(__xludf.DUMMYFUNCTION("""COMPUTED_VALUE"""),"Metroidvania")</f>
        <v>Metroidvania</v>
      </c>
      <c r="N293" s="25"/>
      <c r="O293" s="25" t="str">
        <f>IFERROR(__xludf.DUMMYFUNCTION("""COMPUTED_VALUE"""),"Yes")</f>
        <v>Yes</v>
      </c>
      <c r="P293" s="26"/>
    </row>
    <row r="294">
      <c r="A294" s="13" t="str">
        <f>IFERROR(__xludf.DUMMYFUNCTION("""COMPUTED_VALUE"""),"Call of the Sea")</f>
        <v>Call of the Sea</v>
      </c>
      <c r="B294" s="15" t="str">
        <f>IFERROR(__xludf.DUMMYFUNCTION("""COMPUTED_VALUE"""),"PS5/PS4")</f>
        <v>PS5/PS4</v>
      </c>
      <c r="C294" s="16" t="str">
        <f>IFERROR(__xludf.DUMMYFUNCTION("""COMPUTED_VALUE"""),"Extra")</f>
        <v>Extra</v>
      </c>
      <c r="D294" s="15" t="str">
        <f>IFERROR(__xludf.DUMMYFUNCTION("""COMPUTED_VALUE"""),"Active")</f>
        <v>Active</v>
      </c>
      <c r="E294" s="17">
        <f>IFERROR(__xludf.DUMMYFUNCTION("""COMPUTED_VALUE"""),45188.0)</f>
        <v>45188</v>
      </c>
      <c r="F294" s="54"/>
      <c r="G294" s="19">
        <f>IFERROR(__xludf.DUMMYFUNCTION("""COMPUTED_VALUE"""),36.56666666666666)</f>
        <v>36.56666667</v>
      </c>
      <c r="H294" s="17">
        <f>IFERROR(__xludf.DUMMYFUNCTION("""COMPUTED_VALUE"""),44173.0)</f>
        <v>44173</v>
      </c>
      <c r="I294" s="19">
        <f>IFERROR(__xludf.DUMMYFUNCTION("""COMPUTED_VALUE"""),2.7805555555555554)</f>
        <v>2.780555556</v>
      </c>
      <c r="J294" s="21">
        <f>IFERROR(__xludf.DUMMYFUNCTION("""COMPUTED_VALUE"""),73.0)</f>
        <v>73</v>
      </c>
      <c r="K294" s="23">
        <f>IFERROR(__xludf.DUMMYFUNCTION("""COMPUTED_VALUE"""),7.3)</f>
        <v>7.3</v>
      </c>
      <c r="L294" s="24">
        <f>IFERROR(__xludf.DUMMYFUNCTION("""COMPUTED_VALUE"""),6.0)</f>
        <v>6</v>
      </c>
      <c r="M294" s="25" t="str">
        <f>IFERROR(__xludf.DUMMYFUNCTION("""COMPUTED_VALUE"""),"Action-Adventure")</f>
        <v>Action-Adventure</v>
      </c>
      <c r="N294" s="25"/>
      <c r="O294" s="25" t="str">
        <f>IFERROR(__xludf.DUMMYFUNCTION("""COMPUTED_VALUE"""),"Yes")</f>
        <v>Yes</v>
      </c>
      <c r="P294" s="26"/>
    </row>
    <row r="295">
      <c r="A295" s="13" t="str">
        <f>IFERROR(__xludf.DUMMYFUNCTION("""COMPUTED_VALUE"""),"Far Cry 6")</f>
        <v>Far Cry 6</v>
      </c>
      <c r="B295" s="15" t="str">
        <f>IFERROR(__xludf.DUMMYFUNCTION("""COMPUTED_VALUE"""),"PS5/PS4")</f>
        <v>PS5/PS4</v>
      </c>
      <c r="C295" s="16" t="str">
        <f>IFERROR(__xludf.DUMMYFUNCTION("""COMPUTED_VALUE"""),"Extra (Ubisoft+ Classics)")</f>
        <v>Extra (Ubisoft+ Classics)</v>
      </c>
      <c r="D295" s="15" t="str">
        <f>IFERROR(__xludf.DUMMYFUNCTION("""COMPUTED_VALUE"""),"Active")</f>
        <v>Active</v>
      </c>
      <c r="E295" s="17">
        <f>IFERROR(__xludf.DUMMYFUNCTION("""COMPUTED_VALUE"""),45097.0)</f>
        <v>45097</v>
      </c>
      <c r="F295" s="54"/>
      <c r="G295" s="19">
        <f>IFERROR(__xludf.DUMMYFUNCTION("""COMPUTED_VALUE"""),39.53333333333333)</f>
        <v>39.53333333</v>
      </c>
      <c r="H295" s="17">
        <f>IFERROR(__xludf.DUMMYFUNCTION("""COMPUTED_VALUE"""),44476.0)</f>
        <v>44476</v>
      </c>
      <c r="I295" s="19">
        <f>IFERROR(__xludf.DUMMYFUNCTION("""COMPUTED_VALUE"""),1.7027777777777777)</f>
        <v>1.702777778</v>
      </c>
      <c r="J295" s="21">
        <f>IFERROR(__xludf.DUMMYFUNCTION("""COMPUTED_VALUE"""),73.0)</f>
        <v>73</v>
      </c>
      <c r="K295" s="23">
        <f>IFERROR(__xludf.DUMMYFUNCTION("""COMPUTED_VALUE"""),4.9)</f>
        <v>4.9</v>
      </c>
      <c r="L295" s="24">
        <f>IFERROR(__xludf.DUMMYFUNCTION("""COMPUTED_VALUE"""),23.0)</f>
        <v>23</v>
      </c>
      <c r="M295" s="25" t="str">
        <f>IFERROR(__xludf.DUMMYFUNCTION("""COMPUTED_VALUE"""),"Shooter")</f>
        <v>Shooter</v>
      </c>
      <c r="N295" s="25"/>
      <c r="O295" s="25" t="str">
        <f>IFERROR(__xludf.DUMMYFUNCTION("""COMPUTED_VALUE"""),"Yes")</f>
        <v>Yes</v>
      </c>
      <c r="P295" s="26"/>
    </row>
    <row r="296">
      <c r="A296" s="13" t="str">
        <f>IFERROR(__xludf.DUMMYFUNCTION("""COMPUTED_VALUE"""),"Tom Clancy's Rainbow Six: Extraction")</f>
        <v>Tom Clancy's Rainbow Six: Extraction</v>
      </c>
      <c r="B296" s="15" t="str">
        <f>IFERROR(__xludf.DUMMYFUNCTION("""COMPUTED_VALUE"""),"PS5/PS4")</f>
        <v>PS5/PS4</v>
      </c>
      <c r="C296" s="16" t="str">
        <f>IFERROR(__xludf.DUMMYFUNCTION("""COMPUTED_VALUE"""),"Extra")</f>
        <v>Extra</v>
      </c>
      <c r="D296" s="15" t="str">
        <f>IFERROR(__xludf.DUMMYFUNCTION("""COMPUTED_VALUE"""),"Active")</f>
        <v>Active</v>
      </c>
      <c r="E296" s="17">
        <f>IFERROR(__xludf.DUMMYFUNCTION("""COMPUTED_VALUE"""),45006.0)</f>
        <v>45006</v>
      </c>
      <c r="F296" s="54"/>
      <c r="G296" s="19">
        <f>IFERROR(__xludf.DUMMYFUNCTION("""COMPUTED_VALUE"""),42.5)</f>
        <v>42.5</v>
      </c>
      <c r="H296" s="17">
        <f>IFERROR(__xludf.DUMMYFUNCTION("""COMPUTED_VALUE"""),44581.0)</f>
        <v>44581</v>
      </c>
      <c r="I296" s="19">
        <f>IFERROR(__xludf.DUMMYFUNCTION("""COMPUTED_VALUE"""),1.1694444444444445)</f>
        <v>1.169444444</v>
      </c>
      <c r="J296" s="21">
        <f>IFERROR(__xludf.DUMMYFUNCTION("""COMPUTED_VALUE"""),73.0)</f>
        <v>73</v>
      </c>
      <c r="K296" s="23">
        <f>IFERROR(__xludf.DUMMYFUNCTION("""COMPUTED_VALUE"""),5.2)</f>
        <v>5.2</v>
      </c>
      <c r="L296" s="24">
        <f>IFERROR(__xludf.DUMMYFUNCTION("""COMPUTED_VALUE"""),10.0)</f>
        <v>10</v>
      </c>
      <c r="M296" s="25" t="str">
        <f>IFERROR(__xludf.DUMMYFUNCTION("""COMPUTED_VALUE"""),"Shooter")</f>
        <v>Shooter</v>
      </c>
      <c r="N296" s="25"/>
      <c r="O296" s="25" t="str">
        <f>IFERROR(__xludf.DUMMYFUNCTION("""COMPUTED_VALUE"""),"Yes")</f>
        <v>Yes</v>
      </c>
      <c r="P296" s="26"/>
    </row>
    <row r="297">
      <c r="A297" s="13" t="str">
        <f>IFERROR(__xludf.DUMMYFUNCTION("""COMPUTED_VALUE"""),"Tom Clancy's Rainbow Six Siege")</f>
        <v>Tom Clancy's Rainbow Six Siege</v>
      </c>
      <c r="B297" s="15" t="str">
        <f>IFERROR(__xludf.DUMMYFUNCTION("""COMPUTED_VALUE"""),"PS5/PS4")</f>
        <v>PS5/PS4</v>
      </c>
      <c r="C297" s="16" t="str">
        <f>IFERROR(__xludf.DUMMYFUNCTION("""COMPUTED_VALUE"""),"Extra (Ubisoft+ Classics)")</f>
        <v>Extra (Ubisoft+ Classics)</v>
      </c>
      <c r="D297" s="15" t="str">
        <f>IFERROR(__xludf.DUMMYFUNCTION("""COMPUTED_VALUE"""),"Active")</f>
        <v>Active</v>
      </c>
      <c r="E297" s="17">
        <f>IFERROR(__xludf.DUMMYFUNCTION("""COMPUTED_VALUE"""),44880.0)</f>
        <v>44880</v>
      </c>
      <c r="F297" s="54"/>
      <c r="G297" s="19">
        <f>IFERROR(__xludf.DUMMYFUNCTION("""COMPUTED_VALUE"""),46.7)</f>
        <v>46.7</v>
      </c>
      <c r="H297" s="17">
        <f>IFERROR(__xludf.DUMMYFUNCTION("""COMPUTED_VALUE"""),42339.0)</f>
        <v>42339</v>
      </c>
      <c r="I297" s="19">
        <f>IFERROR(__xludf.DUMMYFUNCTION("""COMPUTED_VALUE"""),6.955555555555556)</f>
        <v>6.955555556</v>
      </c>
      <c r="J297" s="21">
        <f>IFERROR(__xludf.DUMMYFUNCTION("""COMPUTED_VALUE"""),73.0)</f>
        <v>73</v>
      </c>
      <c r="K297" s="23">
        <f>IFERROR(__xludf.DUMMYFUNCTION("""COMPUTED_VALUE"""),7.2)</f>
        <v>7.2</v>
      </c>
      <c r="L297" s="24">
        <f>IFERROR(__xludf.DUMMYFUNCTION("""COMPUTED_VALUE"""),10.5)</f>
        <v>10.5</v>
      </c>
      <c r="M297" s="25" t="str">
        <f>IFERROR(__xludf.DUMMYFUNCTION("""COMPUTED_VALUE"""),"Shooter")</f>
        <v>Shooter</v>
      </c>
      <c r="N297" s="25"/>
      <c r="O297" s="25" t="str">
        <f>IFERROR(__xludf.DUMMYFUNCTION("""COMPUTED_VALUE"""),"Yes")</f>
        <v>Yes</v>
      </c>
      <c r="P297" s="26"/>
    </row>
    <row r="298">
      <c r="A298" s="13" t="str">
        <f>IFERROR(__xludf.DUMMYFUNCTION("""COMPUTED_VALUE"""),"Bad North")</f>
        <v>Bad North</v>
      </c>
      <c r="B298" s="15" t="str">
        <f>IFERROR(__xludf.DUMMYFUNCTION("""COMPUTED_VALUE"""),"PS4")</f>
        <v>PS4</v>
      </c>
      <c r="C298" s="16" t="str">
        <f>IFERROR(__xludf.DUMMYFUNCTION("""COMPUTED_VALUE"""),"Extra")</f>
        <v>Extra</v>
      </c>
      <c r="D298" s="15" t="str">
        <f>IFERROR(__xludf.DUMMYFUNCTION("""COMPUTED_VALUE"""),"Active")</f>
        <v>Active</v>
      </c>
      <c r="E298" s="17">
        <f>IFERROR(__xludf.DUMMYFUNCTION("""COMPUTED_VALUE"""),44725.0)</f>
        <v>44725</v>
      </c>
      <c r="F298" s="54"/>
      <c r="G298" s="19">
        <f>IFERROR(__xludf.DUMMYFUNCTION("""COMPUTED_VALUE"""),51.766666666666666)</f>
        <v>51.76666667</v>
      </c>
      <c r="H298" s="17">
        <f>IFERROR(__xludf.DUMMYFUNCTION("""COMPUTED_VALUE"""),43313.0)</f>
        <v>43313</v>
      </c>
      <c r="I298" s="19">
        <f>IFERROR(__xludf.DUMMYFUNCTION("""COMPUTED_VALUE"""),3.8666666666666667)</f>
        <v>3.866666667</v>
      </c>
      <c r="J298" s="21">
        <f>IFERROR(__xludf.DUMMYFUNCTION("""COMPUTED_VALUE"""),73.0)</f>
        <v>73</v>
      </c>
      <c r="K298" s="23">
        <f>IFERROR(__xludf.DUMMYFUNCTION("""COMPUTED_VALUE"""),7.0)</f>
        <v>7</v>
      </c>
      <c r="L298" s="24">
        <f>IFERROR(__xludf.DUMMYFUNCTION("""COMPUTED_VALUE"""),6.0)</f>
        <v>6</v>
      </c>
      <c r="M298" s="25" t="str">
        <f>IFERROR(__xludf.DUMMYFUNCTION("""COMPUTED_VALUE"""),"Action-Adventure")</f>
        <v>Action-Adventure</v>
      </c>
      <c r="N298" s="25"/>
      <c r="O298" s="25" t="str">
        <f>IFERROR(__xludf.DUMMYFUNCTION("""COMPUTED_VALUE"""),"Yes")</f>
        <v>Yes</v>
      </c>
      <c r="P298" s="26"/>
    </row>
    <row r="299">
      <c r="A299" s="13" t="str">
        <f>IFERROR(__xludf.DUMMYFUNCTION("""COMPUTED_VALUE"""),"LEGO Batman 3: Beyond Gotham")</f>
        <v>LEGO Batman 3: Beyond Gotham</v>
      </c>
      <c r="B299" s="15" t="str">
        <f>IFERROR(__xludf.DUMMYFUNCTION("""COMPUTED_VALUE"""),"PS4")</f>
        <v>PS4</v>
      </c>
      <c r="C299" s="16" t="str">
        <f>IFERROR(__xludf.DUMMYFUNCTION("""COMPUTED_VALUE"""),"Extra")</f>
        <v>Extra</v>
      </c>
      <c r="D299" s="15" t="str">
        <f>IFERROR(__xludf.DUMMYFUNCTION("""COMPUTED_VALUE"""),"Active")</f>
        <v>Active</v>
      </c>
      <c r="E299" s="17">
        <f>IFERROR(__xludf.DUMMYFUNCTION("""COMPUTED_VALUE"""),44725.0)</f>
        <v>44725</v>
      </c>
      <c r="F299" s="54"/>
      <c r="G299" s="19">
        <f>IFERROR(__xludf.DUMMYFUNCTION("""COMPUTED_VALUE"""),51.766666666666666)</f>
        <v>51.76666667</v>
      </c>
      <c r="H299" s="17">
        <f>IFERROR(__xludf.DUMMYFUNCTION("""COMPUTED_VALUE"""),41954.0)</f>
        <v>41954</v>
      </c>
      <c r="I299" s="19">
        <f>IFERROR(__xludf.DUMMYFUNCTION("""COMPUTED_VALUE"""),7.588888888888889)</f>
        <v>7.588888889</v>
      </c>
      <c r="J299" s="21">
        <f>IFERROR(__xludf.DUMMYFUNCTION("""COMPUTED_VALUE"""),73.0)</f>
        <v>73</v>
      </c>
      <c r="K299" s="23">
        <f>IFERROR(__xludf.DUMMYFUNCTION("""COMPUTED_VALUE"""),7.1)</f>
        <v>7.1</v>
      </c>
      <c r="L299" s="24">
        <f>IFERROR(__xludf.DUMMYFUNCTION("""COMPUTED_VALUE"""),10.0)</f>
        <v>10</v>
      </c>
      <c r="M299" s="25" t="str">
        <f>IFERROR(__xludf.DUMMYFUNCTION("""COMPUTED_VALUE"""),"Action-Adventure")</f>
        <v>Action-Adventure</v>
      </c>
      <c r="N299" s="25"/>
      <c r="O299" s="25" t="str">
        <f>IFERROR(__xludf.DUMMYFUNCTION("""COMPUTED_VALUE"""),"Yes")</f>
        <v>Yes</v>
      </c>
      <c r="P299" s="26" t="str">
        <f>IFERROR(__xludf.DUMMYFUNCTION("""COMPUTED_VALUE"""),"Yes")</f>
        <v>Yes</v>
      </c>
    </row>
    <row r="300">
      <c r="A300" s="13" t="str">
        <f>IFERROR(__xludf.DUMMYFUNCTION("""COMPUTED_VALUE"""),"Megadimension Neptunia VII")</f>
        <v>Megadimension Neptunia VII</v>
      </c>
      <c r="B300" s="15" t="str">
        <f>IFERROR(__xludf.DUMMYFUNCTION("""COMPUTED_VALUE"""),"PS4")</f>
        <v>PS4</v>
      </c>
      <c r="C300" s="16" t="str">
        <f>IFERROR(__xludf.DUMMYFUNCTION("""COMPUTED_VALUE"""),"Extra")</f>
        <v>Extra</v>
      </c>
      <c r="D300" s="15" t="str">
        <f>IFERROR(__xludf.DUMMYFUNCTION("""COMPUTED_VALUE"""),"Active")</f>
        <v>Active</v>
      </c>
      <c r="E300" s="17">
        <f>IFERROR(__xludf.DUMMYFUNCTION("""COMPUTED_VALUE"""),44725.0)</f>
        <v>44725</v>
      </c>
      <c r="F300" s="54"/>
      <c r="G300" s="19">
        <f>IFERROR(__xludf.DUMMYFUNCTION("""COMPUTED_VALUE"""),51.766666666666666)</f>
        <v>51.76666667</v>
      </c>
      <c r="H300" s="17">
        <f>IFERROR(__xludf.DUMMYFUNCTION("""COMPUTED_VALUE"""),42402.0)</f>
        <v>42402</v>
      </c>
      <c r="I300" s="19">
        <f>IFERROR(__xludf.DUMMYFUNCTION("""COMPUTED_VALUE"""),6.363888888888889)</f>
        <v>6.363888889</v>
      </c>
      <c r="J300" s="21">
        <f>IFERROR(__xludf.DUMMYFUNCTION("""COMPUTED_VALUE"""),73.0)</f>
        <v>73</v>
      </c>
      <c r="K300" s="23">
        <f>IFERROR(__xludf.DUMMYFUNCTION("""COMPUTED_VALUE"""),7.9)</f>
        <v>7.9</v>
      </c>
      <c r="L300" s="24">
        <f>IFERROR(__xludf.DUMMYFUNCTION("""COMPUTED_VALUE"""),36.0)</f>
        <v>36</v>
      </c>
      <c r="M300" s="25" t="str">
        <f>IFERROR(__xludf.DUMMYFUNCTION("""COMPUTED_VALUE"""),"RPG")</f>
        <v>RPG</v>
      </c>
      <c r="N300" s="25"/>
      <c r="O300" s="25" t="str">
        <f>IFERROR(__xludf.DUMMYFUNCTION("""COMPUTED_VALUE"""),"No")</f>
        <v>No</v>
      </c>
      <c r="P300" s="26"/>
    </row>
    <row r="301">
      <c r="A301" s="13" t="str">
        <f>IFERROR(__xludf.DUMMYFUNCTION("""COMPUTED_VALUE"""),"Maneater")</f>
        <v>Maneater</v>
      </c>
      <c r="B301" s="15" t="str">
        <f>IFERROR(__xludf.DUMMYFUNCTION("""COMPUTED_VALUE"""),"PS5/PS4")</f>
        <v>PS5/PS4</v>
      </c>
      <c r="C301" s="16" t="str">
        <f>IFERROR(__xludf.DUMMYFUNCTION("""COMPUTED_VALUE"""),"Extra")</f>
        <v>Extra</v>
      </c>
      <c r="D301" s="15" t="str">
        <f>IFERROR(__xludf.DUMMYFUNCTION("""COMPUTED_VALUE"""),"Active")</f>
        <v>Active</v>
      </c>
      <c r="E301" s="17">
        <f>IFERROR(__xludf.DUMMYFUNCTION("""COMPUTED_VALUE"""),44201.0)</f>
        <v>44201</v>
      </c>
      <c r="F301" s="54"/>
      <c r="G301" s="19">
        <f>IFERROR(__xludf.DUMMYFUNCTION("""COMPUTED_VALUE"""),69.03333333333333)</f>
        <v>69.03333333</v>
      </c>
      <c r="H301" s="17">
        <f>IFERROR(__xludf.DUMMYFUNCTION("""COMPUTED_VALUE"""),43973.0)</f>
        <v>43973</v>
      </c>
      <c r="I301" s="19">
        <f>IFERROR(__xludf.DUMMYFUNCTION("""COMPUTED_VALUE"""),0.6194444444444445)</f>
        <v>0.6194444444</v>
      </c>
      <c r="J301" s="21">
        <f>IFERROR(__xludf.DUMMYFUNCTION("""COMPUTED_VALUE"""),73.0)</f>
        <v>73</v>
      </c>
      <c r="K301" s="23">
        <f>IFERROR(__xludf.DUMMYFUNCTION("""COMPUTED_VALUE"""),7.3)</f>
        <v>7.3</v>
      </c>
      <c r="L301" s="24">
        <f>IFERROR(__xludf.DUMMYFUNCTION("""COMPUTED_VALUE"""),8.0)</f>
        <v>8</v>
      </c>
      <c r="M301" s="25" t="str">
        <f>IFERROR(__xludf.DUMMYFUNCTION("""COMPUTED_VALUE"""),"RPG")</f>
        <v>RPG</v>
      </c>
      <c r="N301" s="25"/>
      <c r="O301" s="25" t="str">
        <f>IFERROR(__xludf.DUMMYFUNCTION("""COMPUTED_VALUE"""),"Yes")</f>
        <v>Yes</v>
      </c>
      <c r="P301" s="26"/>
    </row>
    <row r="302">
      <c r="A302" s="13" t="str">
        <f>IFERROR(__xludf.DUMMYFUNCTION("""COMPUTED_VALUE"""),"The Surge")</f>
        <v>The Surge</v>
      </c>
      <c r="B302" s="15" t="str">
        <f>IFERROR(__xludf.DUMMYFUNCTION("""COMPUTED_VALUE"""),"PS4")</f>
        <v>PS4</v>
      </c>
      <c r="C302" s="16" t="str">
        <f>IFERROR(__xludf.DUMMYFUNCTION("""COMPUTED_VALUE"""),"Extra")</f>
        <v>Extra</v>
      </c>
      <c r="D302" s="15" t="str">
        <f>IFERROR(__xludf.DUMMYFUNCTION("""COMPUTED_VALUE"""),"Active")</f>
        <v>Active</v>
      </c>
      <c r="E302" s="17">
        <f>IFERROR(__xludf.DUMMYFUNCTION("""COMPUTED_VALUE"""),43711.0)</f>
        <v>43711</v>
      </c>
      <c r="F302" s="54"/>
      <c r="G302" s="19">
        <f>IFERROR(__xludf.DUMMYFUNCTION("""COMPUTED_VALUE"""),85.1)</f>
        <v>85.1</v>
      </c>
      <c r="H302" s="17">
        <f>IFERROR(__xludf.DUMMYFUNCTION("""COMPUTED_VALUE"""),42871.0)</f>
        <v>42871</v>
      </c>
      <c r="I302" s="19">
        <f>IFERROR(__xludf.DUMMYFUNCTION("""COMPUTED_VALUE"""),2.297222222222222)</f>
        <v>2.297222222</v>
      </c>
      <c r="J302" s="21">
        <f>IFERROR(__xludf.DUMMYFUNCTION("""COMPUTED_VALUE"""),73.0)</f>
        <v>73</v>
      </c>
      <c r="K302" s="23">
        <f>IFERROR(__xludf.DUMMYFUNCTION("""COMPUTED_VALUE"""),7.2)</f>
        <v>7.2</v>
      </c>
      <c r="L302" s="24">
        <f>IFERROR(__xludf.DUMMYFUNCTION("""COMPUTED_VALUE"""),19.0)</f>
        <v>19</v>
      </c>
      <c r="M302" s="25" t="str">
        <f>IFERROR(__xludf.DUMMYFUNCTION("""COMPUTED_VALUE"""),"RPG")</f>
        <v>RPG</v>
      </c>
      <c r="N302" s="25"/>
      <c r="O302" s="25" t="str">
        <f>IFERROR(__xludf.DUMMYFUNCTION("""COMPUTED_VALUE"""),"Yes")</f>
        <v>Yes</v>
      </c>
      <c r="P302" s="26"/>
    </row>
    <row r="303">
      <c r="A303" s="13" t="str">
        <f>IFERROR(__xludf.DUMMYFUNCTION("""COMPUTED_VALUE"""),"Killzone Shadow Fall")</f>
        <v>Killzone Shadow Fall</v>
      </c>
      <c r="B303" s="15" t="str">
        <f>IFERROR(__xludf.DUMMYFUNCTION("""COMPUTED_VALUE"""),"PS4")</f>
        <v>PS4</v>
      </c>
      <c r="C303" s="16" t="str">
        <f>IFERROR(__xludf.DUMMYFUNCTION("""COMPUTED_VALUE"""),"Extra")</f>
        <v>Extra</v>
      </c>
      <c r="D303" s="15" t="str">
        <f>IFERROR(__xludf.DUMMYFUNCTION("""COMPUTED_VALUE"""),"Active")</f>
        <v>Active</v>
      </c>
      <c r="E303" s="17">
        <f>IFERROR(__xludf.DUMMYFUNCTION("""COMPUTED_VALUE"""),42922.0)</f>
        <v>42922</v>
      </c>
      <c r="F303" s="54"/>
      <c r="G303" s="19">
        <f>IFERROR(__xludf.DUMMYFUNCTION("""COMPUTED_VALUE"""),111.0)</f>
        <v>111</v>
      </c>
      <c r="H303" s="17">
        <f>IFERROR(__xludf.DUMMYFUNCTION("""COMPUTED_VALUE"""),41579.0)</f>
        <v>41579</v>
      </c>
      <c r="I303" s="19">
        <f>IFERROR(__xludf.DUMMYFUNCTION("""COMPUTED_VALUE"""),3.6805555555555554)</f>
        <v>3.680555556</v>
      </c>
      <c r="J303" s="21">
        <f>IFERROR(__xludf.DUMMYFUNCTION("""COMPUTED_VALUE"""),73.0)</f>
        <v>73</v>
      </c>
      <c r="K303" s="23">
        <f>IFERROR(__xludf.DUMMYFUNCTION("""COMPUTED_VALUE"""),6.8)</f>
        <v>6.8</v>
      </c>
      <c r="L303" s="24">
        <f>IFERROR(__xludf.DUMMYFUNCTION("""COMPUTED_VALUE"""),10.0)</f>
        <v>10</v>
      </c>
      <c r="M303" s="25" t="str">
        <f>IFERROR(__xludf.DUMMYFUNCTION("""COMPUTED_VALUE"""),"Shooter")</f>
        <v>Shooter</v>
      </c>
      <c r="N303" s="25"/>
      <c r="O303" s="25" t="str">
        <f>IFERROR(__xludf.DUMMYFUNCTION("""COMPUTED_VALUE"""),"Yes")</f>
        <v>Yes</v>
      </c>
      <c r="P303" s="26" t="str">
        <f>IFERROR(__xludf.DUMMYFUNCTION("""COMPUTED_VALUE"""),"Yes")</f>
        <v>Yes</v>
      </c>
    </row>
    <row r="304">
      <c r="A304" s="13" t="str">
        <f>IFERROR(__xludf.DUMMYFUNCTION("""COMPUTED_VALUE"""),"Avatar: Frontiers of Pandora")</f>
        <v>Avatar: Frontiers of Pandora</v>
      </c>
      <c r="B304" s="15" t="str">
        <f>IFERROR(__xludf.DUMMYFUNCTION("""COMPUTED_VALUE"""),"PS5")</f>
        <v>PS5</v>
      </c>
      <c r="C304" s="16" t="str">
        <f>IFERROR(__xludf.DUMMYFUNCTION("""COMPUTED_VALUE"""),"Extra")</f>
        <v>Extra</v>
      </c>
      <c r="D304" s="15" t="str">
        <f>IFERROR(__xludf.DUMMYFUNCTION("""COMPUTED_VALUE"""),"Active")</f>
        <v>Active</v>
      </c>
      <c r="E304" s="17">
        <f>IFERROR(__xludf.DUMMYFUNCTION("""COMPUTED_VALUE"""),46224.0)</f>
        <v>46224</v>
      </c>
      <c r="F304" s="54"/>
      <c r="G304" s="19">
        <f>IFERROR(__xludf.DUMMYFUNCTION("""COMPUTED_VALUE"""),2.5)</f>
        <v>2.5</v>
      </c>
      <c r="H304" s="17">
        <f>IFERROR(__xludf.DUMMYFUNCTION("""COMPUTED_VALUE"""),45267.0)</f>
        <v>45267</v>
      </c>
      <c r="I304" s="19">
        <f>IFERROR(__xludf.DUMMYFUNCTION("""COMPUTED_VALUE"""),2.6222222222222222)</f>
        <v>2.622222222</v>
      </c>
      <c r="J304" s="21">
        <f>IFERROR(__xludf.DUMMYFUNCTION("""COMPUTED_VALUE"""),72.0)</f>
        <v>72</v>
      </c>
      <c r="K304" s="23">
        <f>IFERROR(__xludf.DUMMYFUNCTION("""COMPUTED_VALUE"""),7.1)</f>
        <v>7.1</v>
      </c>
      <c r="L304" s="24">
        <f>IFERROR(__xludf.DUMMYFUNCTION("""COMPUTED_VALUE"""),21.0)</f>
        <v>21</v>
      </c>
      <c r="M304" s="25" t="str">
        <f>IFERROR(__xludf.DUMMYFUNCTION("""COMPUTED_VALUE"""),"Action-Adventure")</f>
        <v>Action-Adventure</v>
      </c>
      <c r="N304" s="25"/>
      <c r="O304" s="25" t="str">
        <f>IFERROR(__xludf.DUMMYFUNCTION("""COMPUTED_VALUE"""),"No")</f>
        <v>No</v>
      </c>
      <c r="P304" s="26"/>
    </row>
    <row r="305">
      <c r="A305" s="13" t="str">
        <f>IFERROR(__xludf.DUMMYFUNCTION("""COMPUTED_VALUE"""),"Wizard with a Gun")</f>
        <v>Wizard with a Gun</v>
      </c>
      <c r="B305" s="15" t="str">
        <f>IFERROR(__xludf.DUMMYFUNCTION("""COMPUTED_VALUE"""),"PS5")</f>
        <v>PS5</v>
      </c>
      <c r="C305" s="16" t="str">
        <f>IFERROR(__xludf.DUMMYFUNCTION("""COMPUTED_VALUE"""),"Extra")</f>
        <v>Extra</v>
      </c>
      <c r="D305" s="15" t="str">
        <f>IFERROR(__xludf.DUMMYFUNCTION("""COMPUTED_VALUE"""),"Active")</f>
        <v>Active</v>
      </c>
      <c r="E305" s="17">
        <f>IFERROR(__xludf.DUMMYFUNCTION("""COMPUTED_VALUE"""),45951.0)</f>
        <v>45951</v>
      </c>
      <c r="F305" s="54"/>
      <c r="G305" s="19">
        <f>IFERROR(__xludf.DUMMYFUNCTION("""COMPUTED_VALUE"""),11.5)</f>
        <v>11.5</v>
      </c>
      <c r="H305" s="17">
        <f>IFERROR(__xludf.DUMMYFUNCTION("""COMPUTED_VALUE"""),45215.0)</f>
        <v>45215</v>
      </c>
      <c r="I305" s="19">
        <f>IFERROR(__xludf.DUMMYFUNCTION("""COMPUTED_VALUE"""),2.013888888888889)</f>
        <v>2.013888889</v>
      </c>
      <c r="J305" s="21">
        <f>IFERROR(__xludf.DUMMYFUNCTION("""COMPUTED_VALUE"""),72.0)</f>
        <v>72</v>
      </c>
      <c r="K305" s="23">
        <f>IFERROR(__xludf.DUMMYFUNCTION("""COMPUTED_VALUE"""),5.3)</f>
        <v>5.3</v>
      </c>
      <c r="L305" s="24">
        <f>IFERROR(__xludf.DUMMYFUNCTION("""COMPUTED_VALUE"""),14.0)</f>
        <v>14</v>
      </c>
      <c r="M305" s="25" t="str">
        <f>IFERROR(__xludf.DUMMYFUNCTION("""COMPUTED_VALUE"""),"Sandbox")</f>
        <v>Sandbox</v>
      </c>
      <c r="N305" s="25"/>
      <c r="O305" s="25" t="str">
        <f>IFERROR(__xludf.DUMMYFUNCTION("""COMPUTED_VALUE"""),"No")</f>
        <v>No</v>
      </c>
      <c r="P305" s="26"/>
    </row>
    <row r="306">
      <c r="A306" s="13" t="str">
        <f>IFERROR(__xludf.DUMMYFUNCTION("""COMPUTED_VALUE"""),"The Invincible")</f>
        <v>The Invincible</v>
      </c>
      <c r="B306" s="15" t="str">
        <f>IFERROR(__xludf.DUMMYFUNCTION("""COMPUTED_VALUE"""),"PS5")</f>
        <v>PS5</v>
      </c>
      <c r="C306" s="16" t="str">
        <f>IFERROR(__xludf.DUMMYFUNCTION("""COMPUTED_VALUE"""),"Extra")</f>
        <v>Extra</v>
      </c>
      <c r="D306" s="15" t="str">
        <f>IFERROR(__xludf.DUMMYFUNCTION("""COMPUTED_VALUE"""),"Active")</f>
        <v>Active</v>
      </c>
      <c r="E306" s="17">
        <f>IFERROR(__xludf.DUMMYFUNCTION("""COMPUTED_VALUE"""),45916.0)</f>
        <v>45916</v>
      </c>
      <c r="F306" s="54"/>
      <c r="G306" s="19">
        <f>IFERROR(__xludf.DUMMYFUNCTION("""COMPUTED_VALUE"""),12.666666666666668)</f>
        <v>12.66666667</v>
      </c>
      <c r="H306" s="17">
        <f>IFERROR(__xludf.DUMMYFUNCTION("""COMPUTED_VALUE"""),45236.0)</f>
        <v>45236</v>
      </c>
      <c r="I306" s="19">
        <f>IFERROR(__xludf.DUMMYFUNCTION("""COMPUTED_VALUE"""),1.8611111111111112)</f>
        <v>1.861111111</v>
      </c>
      <c r="J306" s="21">
        <f>IFERROR(__xludf.DUMMYFUNCTION("""COMPUTED_VALUE"""),72.0)</f>
        <v>72</v>
      </c>
      <c r="K306" s="23">
        <f>IFERROR(__xludf.DUMMYFUNCTION("""COMPUTED_VALUE"""),7.9)</f>
        <v>7.9</v>
      </c>
      <c r="L306" s="24">
        <f>IFERROR(__xludf.DUMMYFUNCTION("""COMPUTED_VALUE"""),7.0)</f>
        <v>7</v>
      </c>
      <c r="M306" s="25" t="str">
        <f>IFERROR(__xludf.DUMMYFUNCTION("""COMPUTED_VALUE"""),"Action-Adventure")</f>
        <v>Action-Adventure</v>
      </c>
      <c r="N306" s="25"/>
      <c r="O306" s="25" t="str">
        <f>IFERROR(__xludf.DUMMYFUNCTION("""COMPUTED_VALUE"""),"No")</f>
        <v>No</v>
      </c>
      <c r="P306" s="26"/>
    </row>
    <row r="307">
      <c r="A307" s="13" t="str">
        <f>IFERROR(__xludf.DUMMYFUNCTION("""COMPUTED_VALUE"""),"Story of Seasons: A Wonderful Life")</f>
        <v>Story of Seasons: A Wonderful Life</v>
      </c>
      <c r="B307" s="15" t="str">
        <f>IFERROR(__xludf.DUMMYFUNCTION("""COMPUTED_VALUE"""),"PS5")</f>
        <v>PS5</v>
      </c>
      <c r="C307" s="16" t="str">
        <f>IFERROR(__xludf.DUMMYFUNCTION("""COMPUTED_VALUE"""),"Extra")</f>
        <v>Extra</v>
      </c>
      <c r="D307" s="15" t="str">
        <f>IFERROR(__xludf.DUMMYFUNCTION("""COMPUTED_VALUE"""),"Active")</f>
        <v>Active</v>
      </c>
      <c r="E307" s="17">
        <f>IFERROR(__xludf.DUMMYFUNCTION("""COMPUTED_VALUE"""),45797.0)</f>
        <v>45797</v>
      </c>
      <c r="F307" s="54"/>
      <c r="G307" s="19">
        <f>IFERROR(__xludf.DUMMYFUNCTION("""COMPUTED_VALUE"""),16.53333333333333)</f>
        <v>16.53333333</v>
      </c>
      <c r="H307" s="17">
        <f>IFERROR(__xludf.DUMMYFUNCTION("""COMPUTED_VALUE"""),45104.0)</f>
        <v>45104</v>
      </c>
      <c r="I307" s="19">
        <f>IFERROR(__xludf.DUMMYFUNCTION("""COMPUTED_VALUE"""),1.8972222222222221)</f>
        <v>1.897222222</v>
      </c>
      <c r="J307" s="21">
        <f>IFERROR(__xludf.DUMMYFUNCTION("""COMPUTED_VALUE"""),72.0)</f>
        <v>72</v>
      </c>
      <c r="K307" s="23">
        <f>IFERROR(__xludf.DUMMYFUNCTION("""COMPUTED_VALUE"""),7.5)</f>
        <v>7.5</v>
      </c>
      <c r="L307" s="24">
        <f>IFERROR(__xludf.DUMMYFUNCTION("""COMPUTED_VALUE"""),24.0)</f>
        <v>24</v>
      </c>
      <c r="M307" s="25" t="str">
        <f>IFERROR(__xludf.DUMMYFUNCTION("""COMPUTED_VALUE"""),"Virtual Life")</f>
        <v>Virtual Life</v>
      </c>
      <c r="N307" s="25"/>
      <c r="O307" s="25" t="str">
        <f>IFERROR(__xludf.DUMMYFUNCTION("""COMPUTED_VALUE"""),"No")</f>
        <v>No</v>
      </c>
      <c r="P307" s="26"/>
    </row>
    <row r="308">
      <c r="A308" s="13" t="str">
        <f>IFERROR(__xludf.DUMMYFUNCTION("""COMPUTED_VALUE"""),"Wild Card Football")</f>
        <v>Wild Card Football</v>
      </c>
      <c r="B308" s="15" t="str">
        <f>IFERROR(__xludf.DUMMYFUNCTION("""COMPUTED_VALUE"""),"PS5/PS4")</f>
        <v>PS5/PS4</v>
      </c>
      <c r="C308" s="16" t="str">
        <f>IFERROR(__xludf.DUMMYFUNCTION("""COMPUTED_VALUE"""),"Extra")</f>
        <v>Extra</v>
      </c>
      <c r="D308" s="15" t="str">
        <f>IFERROR(__xludf.DUMMYFUNCTION("""COMPUTED_VALUE"""),"Active")</f>
        <v>Active</v>
      </c>
      <c r="E308" s="17">
        <f>IFERROR(__xludf.DUMMYFUNCTION("""COMPUTED_VALUE"""),45552.0)</f>
        <v>45552</v>
      </c>
      <c r="F308" s="54"/>
      <c r="G308" s="19">
        <f>IFERROR(__xludf.DUMMYFUNCTION("""COMPUTED_VALUE"""),24.633333333333333)</f>
        <v>24.63333333</v>
      </c>
      <c r="H308" s="17">
        <f>IFERROR(__xludf.DUMMYFUNCTION("""COMPUTED_VALUE"""),45209.0)</f>
        <v>45209</v>
      </c>
      <c r="I308" s="19">
        <f>IFERROR(__xludf.DUMMYFUNCTION("""COMPUTED_VALUE"""),0.9361111111111111)</f>
        <v>0.9361111111</v>
      </c>
      <c r="J308" s="21">
        <f>IFERROR(__xludf.DUMMYFUNCTION("""COMPUTED_VALUE"""),72.0)</f>
        <v>72</v>
      </c>
      <c r="K308" s="23">
        <f>IFERROR(__xludf.DUMMYFUNCTION("""COMPUTED_VALUE"""),8.3)</f>
        <v>8.3</v>
      </c>
      <c r="L308" s="24">
        <f>IFERROR(__xludf.DUMMYFUNCTION("""COMPUTED_VALUE"""),12.0)</f>
        <v>12</v>
      </c>
      <c r="M308" s="25" t="str">
        <f>IFERROR(__xludf.DUMMYFUNCTION("""COMPUTED_VALUE"""),"Sports")</f>
        <v>Sports</v>
      </c>
      <c r="N308" s="25"/>
      <c r="O308" s="25" t="str">
        <f>IFERROR(__xludf.DUMMYFUNCTION("""COMPUTED_VALUE"""),"No")</f>
        <v>No</v>
      </c>
      <c r="P308" s="26"/>
    </row>
    <row r="309">
      <c r="A309" s="13" t="str">
        <f>IFERROR(__xludf.DUMMYFUNCTION("""COMPUTED_VALUE"""),"LEGO The Hobbit")</f>
        <v>LEGO The Hobbit</v>
      </c>
      <c r="B309" s="15" t="str">
        <f>IFERROR(__xludf.DUMMYFUNCTION("""COMPUTED_VALUE"""),"PS4")</f>
        <v>PS4</v>
      </c>
      <c r="C309" s="16" t="str">
        <f>IFERROR(__xludf.DUMMYFUNCTION("""COMPUTED_VALUE"""),"Extra")</f>
        <v>Extra</v>
      </c>
      <c r="D309" s="15" t="str">
        <f>IFERROR(__xludf.DUMMYFUNCTION("""COMPUTED_VALUE"""),"Active")</f>
        <v>Active</v>
      </c>
      <c r="E309" s="17">
        <f>IFERROR(__xludf.DUMMYFUNCTION("""COMPUTED_VALUE"""),45461.0)</f>
        <v>45461</v>
      </c>
      <c r="F309" s="54"/>
      <c r="G309" s="19">
        <f>IFERROR(__xludf.DUMMYFUNCTION("""COMPUTED_VALUE"""),27.599999999999998)</f>
        <v>27.6</v>
      </c>
      <c r="H309" s="17">
        <f>IFERROR(__xludf.DUMMYFUNCTION("""COMPUTED_VALUE"""),41737.0)</f>
        <v>41737</v>
      </c>
      <c r="I309" s="19">
        <f>IFERROR(__xludf.DUMMYFUNCTION("""COMPUTED_VALUE"""),10.194444444444445)</f>
        <v>10.19444444</v>
      </c>
      <c r="J309" s="21">
        <f>IFERROR(__xludf.DUMMYFUNCTION("""COMPUTED_VALUE"""),72.0)</f>
        <v>72</v>
      </c>
      <c r="K309" s="23">
        <f>IFERROR(__xludf.DUMMYFUNCTION("""COMPUTED_VALUE"""),6.7)</f>
        <v>6.7</v>
      </c>
      <c r="L309" s="24">
        <f>IFERROR(__xludf.DUMMYFUNCTION("""COMPUTED_VALUE"""),9.0)</f>
        <v>9</v>
      </c>
      <c r="M309" s="25" t="str">
        <f>IFERROR(__xludf.DUMMYFUNCTION("""COMPUTED_VALUE"""),"Action-Adventure")</f>
        <v>Action-Adventure</v>
      </c>
      <c r="N309" s="25"/>
      <c r="O309" s="25" t="str">
        <f>IFERROR(__xludf.DUMMYFUNCTION("""COMPUTED_VALUE"""),"Yes")</f>
        <v>Yes</v>
      </c>
      <c r="P309" s="26"/>
    </row>
    <row r="310">
      <c r="A310" s="13" t="str">
        <f>IFERROR(__xludf.DUMMYFUNCTION("""COMPUTED_VALUE"""),"Forager")</f>
        <v>Forager</v>
      </c>
      <c r="B310" s="15" t="str">
        <f>IFERROR(__xludf.DUMMYFUNCTION("""COMPUTED_VALUE"""),"PS4")</f>
        <v>PS4</v>
      </c>
      <c r="C310" s="16" t="str">
        <f>IFERROR(__xludf.DUMMYFUNCTION("""COMPUTED_VALUE"""),"Extra")</f>
        <v>Extra</v>
      </c>
      <c r="D310" s="15" t="str">
        <f>IFERROR(__xludf.DUMMYFUNCTION("""COMPUTED_VALUE"""),"Active")</f>
        <v>Active</v>
      </c>
      <c r="E310" s="17">
        <f>IFERROR(__xludf.DUMMYFUNCTION("""COMPUTED_VALUE"""),45097.0)</f>
        <v>45097</v>
      </c>
      <c r="F310" s="54"/>
      <c r="G310" s="19">
        <f>IFERROR(__xludf.DUMMYFUNCTION("""COMPUTED_VALUE"""),39.53333333333333)</f>
        <v>39.53333333</v>
      </c>
      <c r="H310" s="17">
        <f>IFERROR(__xludf.DUMMYFUNCTION("""COMPUTED_VALUE"""),43676.0)</f>
        <v>43676</v>
      </c>
      <c r="I310" s="19">
        <f>IFERROR(__xludf.DUMMYFUNCTION("""COMPUTED_VALUE"""),3.888888888888889)</f>
        <v>3.888888889</v>
      </c>
      <c r="J310" s="21">
        <f>IFERROR(__xludf.DUMMYFUNCTION("""COMPUTED_VALUE"""),72.0)</f>
        <v>72</v>
      </c>
      <c r="K310" s="23">
        <f>IFERROR(__xludf.DUMMYFUNCTION("""COMPUTED_VALUE"""),5.8)</f>
        <v>5.8</v>
      </c>
      <c r="L310" s="24">
        <f>IFERROR(__xludf.DUMMYFUNCTION("""COMPUTED_VALUE"""),15.0)</f>
        <v>15</v>
      </c>
      <c r="M310" s="25" t="str">
        <f>IFERROR(__xludf.DUMMYFUNCTION("""COMPUTED_VALUE"""),"Action-Adventure")</f>
        <v>Action-Adventure</v>
      </c>
      <c r="N310" s="25"/>
      <c r="O310" s="25" t="str">
        <f>IFERROR(__xludf.DUMMYFUNCTION("""COMPUTED_VALUE"""),"Yes")</f>
        <v>Yes</v>
      </c>
      <c r="P310" s="26"/>
    </row>
    <row r="311">
      <c r="A311" s="13" t="str">
        <f>IFERROR(__xludf.DUMMYFUNCTION("""COMPUTED_VALUE"""),"Story of Seasons: Friends of Mineral Town")</f>
        <v>Story of Seasons: Friends of Mineral Town</v>
      </c>
      <c r="B311" s="15" t="str">
        <f>IFERROR(__xludf.DUMMYFUNCTION("""COMPUTED_VALUE"""),"PS4")</f>
        <v>PS4</v>
      </c>
      <c r="C311" s="16" t="str">
        <f>IFERROR(__xludf.DUMMYFUNCTION("""COMPUTED_VALUE"""),"Extra")</f>
        <v>Extra</v>
      </c>
      <c r="D311" s="15" t="str">
        <f>IFERROR(__xludf.DUMMYFUNCTION("""COMPUTED_VALUE"""),"Active")</f>
        <v>Active</v>
      </c>
      <c r="E311" s="17">
        <f>IFERROR(__xludf.DUMMYFUNCTION("""COMPUTED_VALUE"""),45062.0)</f>
        <v>45062</v>
      </c>
      <c r="F311" s="54"/>
      <c r="G311" s="19">
        <f>IFERROR(__xludf.DUMMYFUNCTION("""COMPUTED_VALUE"""),40.666666666666664)</f>
        <v>40.66666667</v>
      </c>
      <c r="H311" s="17">
        <f>IFERROR(__xludf.DUMMYFUNCTION("""COMPUTED_VALUE"""),42993.0)</f>
        <v>42993</v>
      </c>
      <c r="I311" s="19">
        <f>IFERROR(__xludf.DUMMYFUNCTION("""COMPUTED_VALUE"""),5.669444444444444)</f>
        <v>5.669444444</v>
      </c>
      <c r="J311" s="21">
        <f>IFERROR(__xludf.DUMMYFUNCTION("""COMPUTED_VALUE"""),72.0)</f>
        <v>72</v>
      </c>
      <c r="K311" s="23">
        <f>IFERROR(__xludf.DUMMYFUNCTION("""COMPUTED_VALUE"""),7.4)</f>
        <v>7.4</v>
      </c>
      <c r="L311" s="24">
        <f>IFERROR(__xludf.DUMMYFUNCTION("""COMPUTED_VALUE"""),30.0)</f>
        <v>30</v>
      </c>
      <c r="M311" s="25" t="str">
        <f>IFERROR(__xludf.DUMMYFUNCTION("""COMPUTED_VALUE"""),"Strategy")</f>
        <v>Strategy</v>
      </c>
      <c r="N311" s="25"/>
      <c r="O311" s="25" t="str">
        <f>IFERROR(__xludf.DUMMYFUNCTION("""COMPUTED_VALUE"""),"Yes")</f>
        <v>Yes</v>
      </c>
      <c r="P311" s="26"/>
    </row>
    <row r="312">
      <c r="A312" s="13" t="str">
        <f>IFERROR(__xludf.DUMMYFUNCTION("""COMPUTED_VALUE"""),"Earth Defense Force 5")</f>
        <v>Earth Defense Force 5</v>
      </c>
      <c r="B312" s="15" t="str">
        <f>IFERROR(__xludf.DUMMYFUNCTION("""COMPUTED_VALUE"""),"PS4")</f>
        <v>PS4</v>
      </c>
      <c r="C312" s="16" t="str">
        <f>IFERROR(__xludf.DUMMYFUNCTION("""COMPUTED_VALUE"""),"Extra")</f>
        <v>Extra</v>
      </c>
      <c r="D312" s="15" t="str">
        <f>IFERROR(__xludf.DUMMYFUNCTION("""COMPUTED_VALUE"""),"Active")</f>
        <v>Active</v>
      </c>
      <c r="E312" s="17">
        <f>IFERROR(__xludf.DUMMYFUNCTION("""COMPUTED_VALUE"""),44978.0)</f>
        <v>44978</v>
      </c>
      <c r="F312" s="54"/>
      <c r="G312" s="19">
        <f>IFERROR(__xludf.DUMMYFUNCTION("""COMPUTED_VALUE"""),43.5)</f>
        <v>43.5</v>
      </c>
      <c r="H312" s="17">
        <f>IFERROR(__xludf.DUMMYFUNCTION("""COMPUTED_VALUE"""),43445.0)</f>
        <v>43445</v>
      </c>
      <c r="I312" s="19">
        <f>IFERROR(__xludf.DUMMYFUNCTION("""COMPUTED_VALUE"""),4.194444444444445)</f>
        <v>4.194444444</v>
      </c>
      <c r="J312" s="21">
        <f>IFERROR(__xludf.DUMMYFUNCTION("""COMPUTED_VALUE"""),72.0)</f>
        <v>72</v>
      </c>
      <c r="K312" s="23">
        <f>IFERROR(__xludf.DUMMYFUNCTION("""COMPUTED_VALUE"""),7.5)</f>
        <v>7.5</v>
      </c>
      <c r="L312" s="24">
        <f>IFERROR(__xludf.DUMMYFUNCTION("""COMPUTED_VALUE"""),28.0)</f>
        <v>28</v>
      </c>
      <c r="M312" s="75" t="str">
        <f>IFERROR(__xludf.DUMMYFUNCTION("""COMPUTED_VALUE"""),"Shooter")</f>
        <v>Shooter</v>
      </c>
      <c r="N312" s="25"/>
      <c r="O312" s="25" t="str">
        <f>IFERROR(__xludf.DUMMYFUNCTION("""COMPUTED_VALUE"""),"Yes")</f>
        <v>Yes</v>
      </c>
      <c r="P312" s="26"/>
    </row>
    <row r="313">
      <c r="A313" s="13" t="str">
        <f>IFERROR(__xludf.DUMMYFUNCTION("""COMPUTED_VALUE"""),"Assassin's Creed III: Remastered")</f>
        <v>Assassin's Creed III: Remastered</v>
      </c>
      <c r="B313" s="15" t="str">
        <f>IFERROR(__xludf.DUMMYFUNCTION("""COMPUTED_VALUE"""),"PS4")</f>
        <v>PS4</v>
      </c>
      <c r="C313" s="16" t="str">
        <f>IFERROR(__xludf.DUMMYFUNCTION("""COMPUTED_VALUE"""),"Extra (Ubisoft+ Classics)")</f>
        <v>Extra (Ubisoft+ Classics)</v>
      </c>
      <c r="D313" s="15" t="str">
        <f>IFERROR(__xludf.DUMMYFUNCTION("""COMPUTED_VALUE"""),"Active")</f>
        <v>Active</v>
      </c>
      <c r="E313" s="17">
        <f>IFERROR(__xludf.DUMMYFUNCTION("""COMPUTED_VALUE"""),44852.0)</f>
        <v>44852</v>
      </c>
      <c r="F313" s="54"/>
      <c r="G313" s="19">
        <f>IFERROR(__xludf.DUMMYFUNCTION("""COMPUTED_VALUE"""),47.6)</f>
        <v>47.6</v>
      </c>
      <c r="H313" s="17">
        <f>IFERROR(__xludf.DUMMYFUNCTION("""COMPUTED_VALUE"""),43553.0)</f>
        <v>43553</v>
      </c>
      <c r="I313" s="19">
        <f>IFERROR(__xludf.DUMMYFUNCTION("""COMPUTED_VALUE"""),3.5527777777777776)</f>
        <v>3.552777778</v>
      </c>
      <c r="J313" s="21">
        <f>IFERROR(__xludf.DUMMYFUNCTION("""COMPUTED_VALUE"""),72.0)</f>
        <v>72</v>
      </c>
      <c r="K313" s="23">
        <f>IFERROR(__xludf.DUMMYFUNCTION("""COMPUTED_VALUE"""),4.8)</f>
        <v>4.8</v>
      </c>
      <c r="L313" s="24">
        <f>IFERROR(__xludf.DUMMYFUNCTION("""COMPUTED_VALUE"""),14.5)</f>
        <v>14.5</v>
      </c>
      <c r="M313" s="25" t="str">
        <f>IFERROR(__xludf.DUMMYFUNCTION("""COMPUTED_VALUE"""),"RPG")</f>
        <v>RPG</v>
      </c>
      <c r="N313" s="25"/>
      <c r="O313" s="25" t="str">
        <f>IFERROR(__xludf.DUMMYFUNCTION("""COMPUTED_VALUE"""),"Yes")</f>
        <v>Yes</v>
      </c>
      <c r="P313" s="26"/>
    </row>
    <row r="314">
      <c r="A314" s="13" t="str">
        <f>IFERROR(__xludf.DUMMYFUNCTION("""COMPUTED_VALUE"""),"Assassin's Creed: The Ezio Collection")</f>
        <v>Assassin's Creed: The Ezio Collection</v>
      </c>
      <c r="B314" s="15" t="str">
        <f>IFERROR(__xludf.DUMMYFUNCTION("""COMPUTED_VALUE"""),"PS4")</f>
        <v>PS4</v>
      </c>
      <c r="C314" s="16" t="str">
        <f>IFERROR(__xludf.DUMMYFUNCTION("""COMPUTED_VALUE"""),"Extra (Ubisoft+ Classics)")</f>
        <v>Extra (Ubisoft+ Classics)</v>
      </c>
      <c r="D314" s="15" t="str">
        <f>IFERROR(__xludf.DUMMYFUNCTION("""COMPUTED_VALUE"""),"Active")</f>
        <v>Active</v>
      </c>
      <c r="E314" s="17">
        <f>IFERROR(__xludf.DUMMYFUNCTION("""COMPUTED_VALUE"""),44761.0)</f>
        <v>44761</v>
      </c>
      <c r="F314" s="54"/>
      <c r="G314" s="19">
        <f>IFERROR(__xludf.DUMMYFUNCTION("""COMPUTED_VALUE"""),50.56666666666666)</f>
        <v>50.56666667</v>
      </c>
      <c r="H314" s="17">
        <f>IFERROR(__xludf.DUMMYFUNCTION("""COMPUTED_VALUE"""),42689.0)</f>
        <v>42689</v>
      </c>
      <c r="I314" s="19">
        <f>IFERROR(__xludf.DUMMYFUNCTION("""COMPUTED_VALUE"""),5.677777777777778)</f>
        <v>5.677777778</v>
      </c>
      <c r="J314" s="21">
        <f>IFERROR(__xludf.DUMMYFUNCTION("""COMPUTED_VALUE"""),72.0)</f>
        <v>72</v>
      </c>
      <c r="K314" s="23">
        <f>IFERROR(__xludf.DUMMYFUNCTION("""COMPUTED_VALUE"""),8.2)</f>
        <v>8.2</v>
      </c>
      <c r="L314" s="24">
        <f>IFERROR(__xludf.DUMMYFUNCTION("""COMPUTED_VALUE"""),68.5)</f>
        <v>68.5</v>
      </c>
      <c r="M314" s="25" t="str">
        <f>IFERROR(__xludf.DUMMYFUNCTION("""COMPUTED_VALUE"""),"RPG")</f>
        <v>RPG</v>
      </c>
      <c r="N314" s="25"/>
      <c r="O314" s="25" t="str">
        <f>IFERROR(__xludf.DUMMYFUNCTION("""COMPUTED_VALUE"""),"Yes")</f>
        <v>Yes</v>
      </c>
      <c r="P314" s="26"/>
    </row>
    <row r="315">
      <c r="A315" s="13" t="str">
        <f>IFERROR(__xludf.DUMMYFUNCTION("""COMPUTED_VALUE"""),"Skate")</f>
        <v>Skate</v>
      </c>
      <c r="B315" s="15" t="str">
        <f>IFERROR(__xludf.DUMMYFUNCTION("""COMPUTED_VALUE"""),"PS4/PSVR")</f>
        <v>PS4/PSVR</v>
      </c>
      <c r="C315" s="16" t="str">
        <f>IFERROR(__xludf.DUMMYFUNCTION("""COMPUTED_VALUE"""),"Extra")</f>
        <v>Extra</v>
      </c>
      <c r="D315" s="15" t="str">
        <f>IFERROR(__xludf.DUMMYFUNCTION("""COMPUTED_VALUE"""),"Active")</f>
        <v>Active</v>
      </c>
      <c r="E315" s="17">
        <f>IFERROR(__xludf.DUMMYFUNCTION("""COMPUTED_VALUE"""),44725.0)</f>
        <v>44725</v>
      </c>
      <c r="F315" s="54"/>
      <c r="G315" s="19">
        <f>IFERROR(__xludf.DUMMYFUNCTION("""COMPUTED_VALUE"""),51.766666666666666)</f>
        <v>51.76666667</v>
      </c>
      <c r="H315" s="17">
        <f>IFERROR(__xludf.DUMMYFUNCTION("""COMPUTED_VALUE"""),42583.0)</f>
        <v>42583</v>
      </c>
      <c r="I315" s="19">
        <f>IFERROR(__xludf.DUMMYFUNCTION("""COMPUTED_VALUE"""),5.866666666666666)</f>
        <v>5.866666667</v>
      </c>
      <c r="J315" s="21">
        <f>IFERROR(__xludf.DUMMYFUNCTION("""COMPUTED_VALUE"""),72.0)</f>
        <v>72</v>
      </c>
      <c r="K315" s="23">
        <f>IFERROR(__xludf.DUMMYFUNCTION("""COMPUTED_VALUE"""),8.0)</f>
        <v>8</v>
      </c>
      <c r="L315" s="24">
        <f>IFERROR(__xludf.DUMMYFUNCTION("""COMPUTED_VALUE"""),2.0)</f>
        <v>2</v>
      </c>
      <c r="M315" s="25" t="str">
        <f>IFERROR(__xludf.DUMMYFUNCTION("""COMPUTED_VALUE"""),"Platformer")</f>
        <v>Platformer</v>
      </c>
      <c r="N315" s="25"/>
      <c r="O315" s="25" t="str">
        <f>IFERROR(__xludf.DUMMYFUNCTION("""COMPUTED_VALUE"""),"No")</f>
        <v>No</v>
      </c>
      <c r="P315" s="26"/>
    </row>
    <row r="316">
      <c r="A316" s="13" t="str">
        <f>IFERROR(__xludf.DUMMYFUNCTION("""COMPUTED_VALUE"""),"Dead or Alive 5: Last Round")</f>
        <v>Dead or Alive 5: Last Round</v>
      </c>
      <c r="B316" s="15" t="str">
        <f>IFERROR(__xludf.DUMMYFUNCTION("""COMPUTED_VALUE"""),"PS4")</f>
        <v>PS4</v>
      </c>
      <c r="C316" s="16" t="str">
        <f>IFERROR(__xludf.DUMMYFUNCTION("""COMPUTED_VALUE"""),"Extra")</f>
        <v>Extra</v>
      </c>
      <c r="D316" s="15" t="str">
        <f>IFERROR(__xludf.DUMMYFUNCTION("""COMPUTED_VALUE"""),"Active")</f>
        <v>Active</v>
      </c>
      <c r="E316" s="17">
        <f>IFERROR(__xludf.DUMMYFUNCTION("""COMPUTED_VALUE"""),44725.0)</f>
        <v>44725</v>
      </c>
      <c r="F316" s="54"/>
      <c r="G316" s="19">
        <f>IFERROR(__xludf.DUMMYFUNCTION("""COMPUTED_VALUE"""),51.766666666666666)</f>
        <v>51.76666667</v>
      </c>
      <c r="H316" s="17">
        <f>IFERROR(__xludf.DUMMYFUNCTION("""COMPUTED_VALUE"""),42036.0)</f>
        <v>42036</v>
      </c>
      <c r="I316" s="19">
        <f>IFERROR(__xludf.DUMMYFUNCTION("""COMPUTED_VALUE"""),7.366666666666666)</f>
        <v>7.366666667</v>
      </c>
      <c r="J316" s="21">
        <f>IFERROR(__xludf.DUMMYFUNCTION("""COMPUTED_VALUE"""),72.0)</f>
        <v>72</v>
      </c>
      <c r="K316" s="23">
        <f>IFERROR(__xludf.DUMMYFUNCTION("""COMPUTED_VALUE"""),7.4)</f>
        <v>7.4</v>
      </c>
      <c r="L316" s="24">
        <f>IFERROR(__xludf.DUMMYFUNCTION("""COMPUTED_VALUE"""),3.5)</f>
        <v>3.5</v>
      </c>
      <c r="M316" s="25" t="str">
        <f>IFERROR(__xludf.DUMMYFUNCTION("""COMPUTED_VALUE"""),"Fighting")</f>
        <v>Fighting</v>
      </c>
      <c r="N316" s="25"/>
      <c r="O316" s="25" t="str">
        <f>IFERROR(__xludf.DUMMYFUNCTION("""COMPUTED_VALUE"""),"Yes")</f>
        <v>Yes</v>
      </c>
      <c r="P316" s="26" t="str">
        <f>IFERROR(__xludf.DUMMYFUNCTION("""COMPUTED_VALUE"""),"Yes")</f>
        <v>Yes</v>
      </c>
    </row>
    <row r="317">
      <c r="A317" s="13" t="str">
        <f>IFERROR(__xludf.DUMMYFUNCTION("""COMPUTED_VALUE"""),"Zombie Army 4: Dead War")</f>
        <v>Zombie Army 4: Dead War</v>
      </c>
      <c r="B317" s="15" t="str">
        <f>IFERROR(__xludf.DUMMYFUNCTION("""COMPUTED_VALUE"""),"PS4")</f>
        <v>PS4</v>
      </c>
      <c r="C317" s="16" t="str">
        <f>IFERROR(__xludf.DUMMYFUNCTION("""COMPUTED_VALUE"""),"Extra")</f>
        <v>Extra</v>
      </c>
      <c r="D317" s="15" t="str">
        <f>IFERROR(__xludf.DUMMYFUNCTION("""COMPUTED_VALUE"""),"Active")</f>
        <v>Active</v>
      </c>
      <c r="E317" s="17">
        <f>IFERROR(__xludf.DUMMYFUNCTION("""COMPUTED_VALUE"""),44292.0)</f>
        <v>44292</v>
      </c>
      <c r="F317" s="54"/>
      <c r="G317" s="19">
        <f>IFERROR(__xludf.DUMMYFUNCTION("""COMPUTED_VALUE"""),66.0)</f>
        <v>66</v>
      </c>
      <c r="H317" s="17">
        <f>IFERROR(__xludf.DUMMYFUNCTION("""COMPUTED_VALUE"""),43865.0)</f>
        <v>43865</v>
      </c>
      <c r="I317" s="19">
        <f>IFERROR(__xludf.DUMMYFUNCTION("""COMPUTED_VALUE"""),1.1722222222222223)</f>
        <v>1.172222222</v>
      </c>
      <c r="J317" s="21">
        <f>IFERROR(__xludf.DUMMYFUNCTION("""COMPUTED_VALUE"""),72.0)</f>
        <v>72</v>
      </c>
      <c r="K317" s="23">
        <f>IFERROR(__xludf.DUMMYFUNCTION("""COMPUTED_VALUE"""),7.4)</f>
        <v>7.4</v>
      </c>
      <c r="L317" s="24">
        <f>IFERROR(__xludf.DUMMYFUNCTION("""COMPUTED_VALUE"""),20.0)</f>
        <v>20</v>
      </c>
      <c r="M317" s="25" t="str">
        <f>IFERROR(__xludf.DUMMYFUNCTION("""COMPUTED_VALUE"""),"Shooter")</f>
        <v>Shooter</v>
      </c>
      <c r="N317" s="25"/>
      <c r="O317" s="25" t="str">
        <f>IFERROR(__xludf.DUMMYFUNCTION("""COMPUTED_VALUE"""),"Yes")</f>
        <v>Yes</v>
      </c>
      <c r="P317" s="26"/>
    </row>
    <row r="318">
      <c r="A318" s="13" t="str">
        <f>IFERROR(__xludf.DUMMYFUNCTION("""COMPUTED_VALUE"""),"Steep")</f>
        <v>Steep</v>
      </c>
      <c r="B318" s="15" t="str">
        <f>IFERROR(__xludf.DUMMYFUNCTION("""COMPUTED_VALUE"""),"PS4")</f>
        <v>PS4</v>
      </c>
      <c r="C318" s="16" t="str">
        <f>IFERROR(__xludf.DUMMYFUNCTION("""COMPUTED_VALUE"""),"Extra (Ubisoft+ Classics)")</f>
        <v>Extra (Ubisoft+ Classics)</v>
      </c>
      <c r="D318" s="15" t="str">
        <f>IFERROR(__xludf.DUMMYFUNCTION("""COMPUTED_VALUE"""),"Active")</f>
        <v>Active</v>
      </c>
      <c r="E318" s="17">
        <f>IFERROR(__xludf.DUMMYFUNCTION("""COMPUTED_VALUE"""),43410.0)</f>
        <v>43410</v>
      </c>
      <c r="F318" s="54"/>
      <c r="G318" s="19">
        <f>IFERROR(__xludf.DUMMYFUNCTION("""COMPUTED_VALUE"""),95.0)</f>
        <v>95</v>
      </c>
      <c r="H318" s="17">
        <f>IFERROR(__xludf.DUMMYFUNCTION("""COMPUTED_VALUE"""),42706.0)</f>
        <v>42706</v>
      </c>
      <c r="I318" s="19">
        <f>IFERROR(__xludf.DUMMYFUNCTION("""COMPUTED_VALUE"""),1.9277777777777778)</f>
        <v>1.927777778</v>
      </c>
      <c r="J318" s="21">
        <f>IFERROR(__xludf.DUMMYFUNCTION("""COMPUTED_VALUE"""),72.0)</f>
        <v>72</v>
      </c>
      <c r="K318" s="23">
        <f>IFERROR(__xludf.DUMMYFUNCTION("""COMPUTED_VALUE"""),7.0)</f>
        <v>7</v>
      </c>
      <c r="L318" s="24">
        <f>IFERROR(__xludf.DUMMYFUNCTION("""COMPUTED_VALUE"""),12.0)</f>
        <v>12</v>
      </c>
      <c r="M318" s="25" t="str">
        <f>IFERROR(__xludf.DUMMYFUNCTION("""COMPUTED_VALUE"""),"Sports")</f>
        <v>Sports</v>
      </c>
      <c r="N318" s="25"/>
      <c r="O318" s="25" t="str">
        <f>IFERROR(__xludf.DUMMYFUNCTION("""COMPUTED_VALUE"""),"Yes")</f>
        <v>Yes</v>
      </c>
      <c r="P318" s="26"/>
    </row>
    <row r="319">
      <c r="A319" s="13" t="str">
        <f>IFERROR(__xludf.DUMMYFUNCTION("""COMPUTED_VALUE"""),"Rogue Lords")</f>
        <v>Rogue Lords</v>
      </c>
      <c r="B319" s="15" t="str">
        <f>IFERROR(__xludf.DUMMYFUNCTION("""COMPUTED_VALUE"""),"PS4")</f>
        <v>PS4</v>
      </c>
      <c r="C319" s="16" t="str">
        <f>IFERROR(__xludf.DUMMYFUNCTION("""COMPUTED_VALUE"""),"Extra")</f>
        <v>Extra</v>
      </c>
      <c r="D319" s="15" t="str">
        <f>IFERROR(__xludf.DUMMYFUNCTION("""COMPUTED_VALUE"""),"Leaving Soon")</f>
        <v>Leaving Soon</v>
      </c>
      <c r="E319" s="17">
        <f>IFERROR(__xludf.DUMMYFUNCTION("""COMPUTED_VALUE"""),45342.0)</f>
        <v>45342</v>
      </c>
      <c r="F319" s="54">
        <f>IFERROR(__xludf.DUMMYFUNCTION("""COMPUTED_VALUE"""),46314.0)</f>
        <v>46314</v>
      </c>
      <c r="G319" s="19">
        <f>IFERROR(__xludf.DUMMYFUNCTION("""COMPUTED_VALUE"""),31.966666666666665)</f>
        <v>31.96666667</v>
      </c>
      <c r="H319" s="17">
        <f>IFERROR(__xludf.DUMMYFUNCTION("""COMPUTED_VALUE"""),44469.0)</f>
        <v>44469</v>
      </c>
      <c r="I319" s="19">
        <f>IFERROR(__xludf.DUMMYFUNCTION("""COMPUTED_VALUE"""),2.388888888888889)</f>
        <v>2.388888889</v>
      </c>
      <c r="J319" s="21">
        <f>IFERROR(__xludf.DUMMYFUNCTION("""COMPUTED_VALUE"""),72.0)</f>
        <v>72</v>
      </c>
      <c r="K319" s="23">
        <f>IFERROR(__xludf.DUMMYFUNCTION("""COMPUTED_VALUE"""),4.2)</f>
        <v>4.2</v>
      </c>
      <c r="L319" s="24">
        <f>IFERROR(__xludf.DUMMYFUNCTION("""COMPUTED_VALUE"""),35.0)</f>
        <v>35</v>
      </c>
      <c r="M319" s="25" t="str">
        <f>IFERROR(__xludf.DUMMYFUNCTION("""COMPUTED_VALUE"""),"Roguelike")</f>
        <v>Roguelike</v>
      </c>
      <c r="N319" s="25"/>
      <c r="O319" s="25" t="str">
        <f>IFERROR(__xludf.DUMMYFUNCTION("""COMPUTED_VALUE"""),"Yes")</f>
        <v>Yes</v>
      </c>
      <c r="P319" s="26"/>
    </row>
    <row r="320">
      <c r="A320" s="13" t="str">
        <f>IFERROR(__xludf.DUMMYFUNCTION("""COMPUTED_VALUE"""),"Flintlock: The Siege of Dawn")</f>
        <v>Flintlock: The Siege of Dawn</v>
      </c>
      <c r="B320" s="15" t="str">
        <f>IFERROR(__xludf.DUMMYFUNCTION("""COMPUTED_VALUE"""),"PS5")</f>
        <v>PS5</v>
      </c>
      <c r="C320" s="16" t="str">
        <f>IFERROR(__xludf.DUMMYFUNCTION("""COMPUTED_VALUE"""),"Extra")</f>
        <v>Extra</v>
      </c>
      <c r="D320" s="15" t="str">
        <f>IFERROR(__xludf.DUMMYFUNCTION("""COMPUTED_VALUE"""),"Active")</f>
        <v>Active</v>
      </c>
      <c r="E320" s="17">
        <f>IFERROR(__xludf.DUMMYFUNCTION("""COMPUTED_VALUE"""),46161.0)</f>
        <v>46161</v>
      </c>
      <c r="F320" s="54"/>
      <c r="G320" s="19">
        <f>IFERROR(__xludf.DUMMYFUNCTION("""COMPUTED_VALUE"""),4.566666666666666)</f>
        <v>4.566666667</v>
      </c>
      <c r="H320" s="17">
        <f>IFERROR(__xludf.DUMMYFUNCTION("""COMPUTED_VALUE"""),45490.0)</f>
        <v>45490</v>
      </c>
      <c r="I320" s="19">
        <f>IFERROR(__xludf.DUMMYFUNCTION("""COMPUTED_VALUE"""),1.8388888888888888)</f>
        <v>1.838888889</v>
      </c>
      <c r="J320" s="21">
        <f>IFERROR(__xludf.DUMMYFUNCTION("""COMPUTED_VALUE"""),71.0)</f>
        <v>71</v>
      </c>
      <c r="K320" s="23">
        <f>IFERROR(__xludf.DUMMYFUNCTION("""COMPUTED_VALUE"""),5.8)</f>
        <v>5.8</v>
      </c>
      <c r="L320" s="24">
        <f>IFERROR(__xludf.DUMMYFUNCTION("""COMPUTED_VALUE"""),10.0)</f>
        <v>10</v>
      </c>
      <c r="M320" s="25" t="str">
        <f>IFERROR(__xludf.DUMMYFUNCTION("""COMPUTED_VALUE"""),"RPG")</f>
        <v>RPG</v>
      </c>
      <c r="N320" s="25"/>
      <c r="O320" s="25" t="str">
        <f>IFERROR(__xludf.DUMMYFUNCTION("""COMPUTED_VALUE"""),"No")</f>
        <v>No</v>
      </c>
      <c r="P320" s="26"/>
    </row>
    <row r="321">
      <c r="A321" s="13" t="str">
        <f>IFERROR(__xludf.DUMMYFUNCTION("""COMPUTED_VALUE"""),"The Casting of Frank Stone")</f>
        <v>The Casting of Frank Stone</v>
      </c>
      <c r="B321" s="15" t="str">
        <f>IFERROR(__xludf.DUMMYFUNCTION("""COMPUTED_VALUE"""),"PS5")</f>
        <v>PS5</v>
      </c>
      <c r="C321" s="16" t="str">
        <f>IFERROR(__xludf.DUMMYFUNCTION("""COMPUTED_VALUE"""),"Extra")</f>
        <v>Extra</v>
      </c>
      <c r="D321" s="15" t="str">
        <f>IFERROR(__xludf.DUMMYFUNCTION("""COMPUTED_VALUE"""),"Active")</f>
        <v>Active</v>
      </c>
      <c r="E321" s="17">
        <f>IFERROR(__xludf.DUMMYFUNCTION("""COMPUTED_VALUE"""),46133.0)</f>
        <v>46133</v>
      </c>
      <c r="F321" s="54"/>
      <c r="G321" s="19">
        <f>IFERROR(__xludf.DUMMYFUNCTION("""COMPUTED_VALUE"""),5.5)</f>
        <v>5.5</v>
      </c>
      <c r="H321" s="17">
        <f>IFERROR(__xludf.DUMMYFUNCTION("""COMPUTED_VALUE"""),45538.0)</f>
        <v>45538</v>
      </c>
      <c r="I321" s="19">
        <f>IFERROR(__xludf.DUMMYFUNCTION("""COMPUTED_VALUE"""),1.6333333333333333)</f>
        <v>1.633333333</v>
      </c>
      <c r="J321" s="21">
        <f>IFERROR(__xludf.DUMMYFUNCTION("""COMPUTED_VALUE"""),71.0)</f>
        <v>71</v>
      </c>
      <c r="K321" s="23">
        <f>IFERROR(__xludf.DUMMYFUNCTION("""COMPUTED_VALUE"""),6.7)</f>
        <v>6.7</v>
      </c>
      <c r="L321" s="24">
        <f>IFERROR(__xludf.DUMMYFUNCTION("""COMPUTED_VALUE"""),7.0)</f>
        <v>7</v>
      </c>
      <c r="M321" s="25" t="str">
        <f>IFERROR(__xludf.DUMMYFUNCTION("""COMPUTED_VALUE"""),"Action-Adventure")</f>
        <v>Action-Adventure</v>
      </c>
      <c r="N321" s="25"/>
      <c r="O321" s="25" t="str">
        <f>IFERROR(__xludf.DUMMYFUNCTION("""COMPUTED_VALUE"""),"No")</f>
        <v>No</v>
      </c>
      <c r="P321" s="26"/>
    </row>
    <row r="322">
      <c r="A322" s="13" t="str">
        <f>IFERROR(__xludf.DUMMYFUNCTION("""COMPUTED_VALUE"""),"Somerville")</f>
        <v>Somerville</v>
      </c>
      <c r="B322" s="15" t="str">
        <f>IFERROR(__xludf.DUMMYFUNCTION("""COMPUTED_VALUE"""),"PS5/PS4")</f>
        <v>PS5/PS4</v>
      </c>
      <c r="C322" s="16" t="str">
        <f>IFERROR(__xludf.DUMMYFUNCTION("""COMPUTED_VALUE"""),"Extra")</f>
        <v>Extra</v>
      </c>
      <c r="D322" s="15" t="str">
        <f>IFERROR(__xludf.DUMMYFUNCTION("""COMPUTED_VALUE"""),"Active")</f>
        <v>Active</v>
      </c>
      <c r="E322" s="17">
        <f>IFERROR(__xludf.DUMMYFUNCTION("""COMPUTED_VALUE"""),45705.0)</f>
        <v>45705</v>
      </c>
      <c r="F322" s="54"/>
      <c r="G322" s="19">
        <f>IFERROR(__xludf.DUMMYFUNCTION("""COMPUTED_VALUE"""),19.633333333333333)</f>
        <v>19.63333333</v>
      </c>
      <c r="H322" s="17">
        <f>IFERROR(__xludf.DUMMYFUNCTION("""COMPUTED_VALUE"""),44880.0)</f>
        <v>44880</v>
      </c>
      <c r="I322" s="19">
        <f>IFERROR(__xludf.DUMMYFUNCTION("""COMPUTED_VALUE"""),2.2555555555555555)</f>
        <v>2.255555556</v>
      </c>
      <c r="J322" s="21">
        <f>IFERROR(__xludf.DUMMYFUNCTION("""COMPUTED_VALUE"""),71.0)</f>
        <v>71</v>
      </c>
      <c r="K322" s="23">
        <f>IFERROR(__xludf.DUMMYFUNCTION("""COMPUTED_VALUE"""),5.5)</f>
        <v>5.5</v>
      </c>
      <c r="L322" s="24">
        <f>IFERROR(__xludf.DUMMYFUNCTION("""COMPUTED_VALUE"""),4.21)</f>
        <v>4.21</v>
      </c>
      <c r="M322" s="25" t="str">
        <f>IFERROR(__xludf.DUMMYFUNCTION("""COMPUTED_VALUE"""),"Action-Adventure")</f>
        <v>Action-Adventure</v>
      </c>
      <c r="N322" s="25"/>
      <c r="O322" s="25" t="str">
        <f>IFERROR(__xludf.DUMMYFUNCTION("""COMPUTED_VALUE"""),"No")</f>
        <v>No</v>
      </c>
      <c r="P322" s="26"/>
    </row>
    <row r="323">
      <c r="A323" s="13" t="str">
        <f>IFERROR(__xludf.DUMMYFUNCTION("""COMPUTED_VALUE"""),"ANNO: Mutationem")</f>
        <v>ANNO: Mutationem</v>
      </c>
      <c r="B323" s="15" t="str">
        <f>IFERROR(__xludf.DUMMYFUNCTION("""COMPUTED_VALUE"""),"PS5/PS4")</f>
        <v>PS5/PS4</v>
      </c>
      <c r="C323" s="16" t="str">
        <f>IFERROR(__xludf.DUMMYFUNCTION("""COMPUTED_VALUE"""),"Extra")</f>
        <v>Extra</v>
      </c>
      <c r="D323" s="15" t="str">
        <f>IFERROR(__xludf.DUMMYFUNCTION("""COMPUTED_VALUE"""),"Active")</f>
        <v>Active</v>
      </c>
      <c r="E323" s="17">
        <f>IFERROR(__xludf.DUMMYFUNCTION("""COMPUTED_VALUE"""),45678.0)</f>
        <v>45678</v>
      </c>
      <c r="F323" s="54"/>
      <c r="G323" s="19">
        <f>IFERROR(__xludf.DUMMYFUNCTION("""COMPUTED_VALUE"""),20.5)</f>
        <v>20.5</v>
      </c>
      <c r="H323" s="17">
        <f>IFERROR(__xludf.DUMMYFUNCTION("""COMPUTED_VALUE"""),44637.0)</f>
        <v>44637</v>
      </c>
      <c r="I323" s="19">
        <f>IFERROR(__xludf.DUMMYFUNCTION("""COMPUTED_VALUE"""),2.8444444444444446)</f>
        <v>2.844444444</v>
      </c>
      <c r="J323" s="21">
        <f>IFERROR(__xludf.DUMMYFUNCTION("""COMPUTED_VALUE"""),71.0)</f>
        <v>71</v>
      </c>
      <c r="K323" s="23">
        <f>IFERROR(__xludf.DUMMYFUNCTION("""COMPUTED_VALUE"""),6.8)</f>
        <v>6.8</v>
      </c>
      <c r="L323" s="24">
        <f>IFERROR(__xludf.DUMMYFUNCTION("""COMPUTED_VALUE"""),11.0)</f>
        <v>11</v>
      </c>
      <c r="M323" s="25" t="str">
        <f>IFERROR(__xludf.DUMMYFUNCTION("""COMPUTED_VALUE"""),"Metroidvania ")</f>
        <v>Metroidvania </v>
      </c>
      <c r="N323" s="25"/>
      <c r="O323" s="25" t="str">
        <f>IFERROR(__xludf.DUMMYFUNCTION("""COMPUTED_VALUE"""),"Yes")</f>
        <v>Yes</v>
      </c>
      <c r="P323" s="26"/>
    </row>
    <row r="324">
      <c r="A324" s="13" t="str">
        <f>IFERROR(__xludf.DUMMYFUNCTION("""COMPUTED_VALUE"""),"Steep")</f>
        <v>Steep</v>
      </c>
      <c r="B324" s="15" t="str">
        <f>IFERROR(__xludf.DUMMYFUNCTION("""COMPUTED_VALUE"""),"PS4")</f>
        <v>PS4</v>
      </c>
      <c r="C324" s="16" t="str">
        <f>IFERROR(__xludf.DUMMYFUNCTION("""COMPUTED_VALUE"""),"Extra")</f>
        <v>Extra</v>
      </c>
      <c r="D324" s="15" t="str">
        <f>IFERROR(__xludf.DUMMYFUNCTION("""COMPUTED_VALUE"""),"Active")</f>
        <v>Active</v>
      </c>
      <c r="E324" s="17">
        <f>IFERROR(__xludf.DUMMYFUNCTION("""COMPUTED_VALUE"""),45489.0)</f>
        <v>45489</v>
      </c>
      <c r="F324" s="54"/>
      <c r="G324" s="19">
        <f>IFERROR(__xludf.DUMMYFUNCTION("""COMPUTED_VALUE"""),26.666666666666668)</f>
        <v>26.66666667</v>
      </c>
      <c r="H324" s="17">
        <f>IFERROR(__xludf.DUMMYFUNCTION("""COMPUTED_VALUE"""),42703.0)</f>
        <v>42703</v>
      </c>
      <c r="I324" s="19">
        <f>IFERROR(__xludf.DUMMYFUNCTION("""COMPUTED_VALUE"""),7.6305555555555555)</f>
        <v>7.630555556</v>
      </c>
      <c r="J324" s="21">
        <f>IFERROR(__xludf.DUMMYFUNCTION("""COMPUTED_VALUE"""),71.0)</f>
        <v>71</v>
      </c>
      <c r="K324" s="23">
        <f>IFERROR(__xludf.DUMMYFUNCTION("""COMPUTED_VALUE"""),6.4)</f>
        <v>6.4</v>
      </c>
      <c r="L324" s="24">
        <f>IFERROR(__xludf.DUMMYFUNCTION("""COMPUTED_VALUE"""),12.0)</f>
        <v>12</v>
      </c>
      <c r="M324" s="25" t="str">
        <f>IFERROR(__xludf.DUMMYFUNCTION("""COMPUTED_VALUE"""),"Sports")</f>
        <v>Sports</v>
      </c>
      <c r="N324" s="25" t="str">
        <f>IFERROR(__xludf.DUMMYFUNCTION("""COMPUTED_VALUE"""),"Returning game")</f>
        <v>Returning game</v>
      </c>
      <c r="O324" s="25" t="str">
        <f>IFERROR(__xludf.DUMMYFUNCTION("""COMPUTED_VALUE"""),"Yes")</f>
        <v>Yes</v>
      </c>
      <c r="P324" s="26"/>
    </row>
    <row r="325">
      <c r="A325" s="13" t="str">
        <f>IFERROR(__xludf.DUMMYFUNCTION("""COMPUTED_VALUE"""),"Lego Marvel's Avengers")</f>
        <v>Lego Marvel's Avengers</v>
      </c>
      <c r="B325" s="15" t="str">
        <f>IFERROR(__xludf.DUMMYFUNCTION("""COMPUTED_VALUE"""),"PS4")</f>
        <v>PS4</v>
      </c>
      <c r="C325" s="16" t="str">
        <f>IFERROR(__xludf.DUMMYFUNCTION("""COMPUTED_VALUE"""),"Extra")</f>
        <v>Extra</v>
      </c>
      <c r="D325" s="15" t="str">
        <f>IFERROR(__xludf.DUMMYFUNCTION("""COMPUTED_VALUE"""),"Active")</f>
        <v>Active</v>
      </c>
      <c r="E325" s="17">
        <f>IFERROR(__xludf.DUMMYFUNCTION("""COMPUTED_VALUE"""),45398.0)</f>
        <v>45398</v>
      </c>
      <c r="F325" s="54"/>
      <c r="G325" s="19">
        <f>IFERROR(__xludf.DUMMYFUNCTION("""COMPUTED_VALUE"""),29.666666666666668)</f>
        <v>29.66666667</v>
      </c>
      <c r="H325" s="17">
        <f>IFERROR(__xludf.DUMMYFUNCTION("""COMPUTED_VALUE"""),42395.0)</f>
        <v>42395</v>
      </c>
      <c r="I325" s="19">
        <f>IFERROR(__xludf.DUMMYFUNCTION("""COMPUTED_VALUE"""),8.222222222222221)</f>
        <v>8.222222222</v>
      </c>
      <c r="J325" s="21">
        <f>IFERROR(__xludf.DUMMYFUNCTION("""COMPUTED_VALUE"""),71.0)</f>
        <v>71</v>
      </c>
      <c r="K325" s="23">
        <f>IFERROR(__xludf.DUMMYFUNCTION("""COMPUTED_VALUE"""),7.2)</f>
        <v>7.2</v>
      </c>
      <c r="L325" s="24">
        <f>IFERROR(__xludf.DUMMYFUNCTION("""COMPUTED_VALUE"""),9.0)</f>
        <v>9</v>
      </c>
      <c r="M325" s="25" t="str">
        <f>IFERROR(__xludf.DUMMYFUNCTION("""COMPUTED_VALUE"""),"Action-Adventure")</f>
        <v>Action-Adventure</v>
      </c>
      <c r="N325" s="25"/>
      <c r="O325" s="25" t="str">
        <f>IFERROR(__xludf.DUMMYFUNCTION("""COMPUTED_VALUE"""),"Yes")</f>
        <v>Yes</v>
      </c>
      <c r="P325" s="26"/>
    </row>
    <row r="326">
      <c r="A326" s="13" t="str">
        <f>IFERROR(__xludf.DUMMYFUNCTION("""COMPUTED_VALUE"""),"Oddballers")</f>
        <v>Oddballers</v>
      </c>
      <c r="B326" s="15" t="str">
        <f>IFERROR(__xludf.DUMMYFUNCTION("""COMPUTED_VALUE"""),"PS4")</f>
        <v>PS4</v>
      </c>
      <c r="C326" s="16" t="str">
        <f>IFERROR(__xludf.DUMMYFUNCTION("""COMPUTED_VALUE"""),"Extra")</f>
        <v>Extra</v>
      </c>
      <c r="D326" s="15" t="str">
        <f>IFERROR(__xludf.DUMMYFUNCTION("""COMPUTED_VALUE"""),"Active")</f>
        <v>Active</v>
      </c>
      <c r="E326" s="17">
        <f>IFERROR(__xludf.DUMMYFUNCTION("""COMPUTED_VALUE"""),45398.0)</f>
        <v>45398</v>
      </c>
      <c r="F326" s="54"/>
      <c r="G326" s="19">
        <f>IFERROR(__xludf.DUMMYFUNCTION("""COMPUTED_VALUE"""),29.666666666666668)</f>
        <v>29.66666667</v>
      </c>
      <c r="H326" s="17">
        <f>IFERROR(__xludf.DUMMYFUNCTION("""COMPUTED_VALUE"""),44952.0)</f>
        <v>44952</v>
      </c>
      <c r="I326" s="19">
        <f>IFERROR(__xludf.DUMMYFUNCTION("""COMPUTED_VALUE"""),1.2222222222222223)</f>
        <v>1.222222222</v>
      </c>
      <c r="J326" s="21">
        <f>IFERROR(__xludf.DUMMYFUNCTION("""COMPUTED_VALUE"""),71.0)</f>
        <v>71</v>
      </c>
      <c r="K326" s="23">
        <f>IFERROR(__xludf.DUMMYFUNCTION("""COMPUTED_VALUE"""),5.8)</f>
        <v>5.8</v>
      </c>
      <c r="L326" s="24">
        <f>IFERROR(__xludf.DUMMYFUNCTION("""COMPUTED_VALUE"""),3.0)</f>
        <v>3</v>
      </c>
      <c r="M326" s="25" t="str">
        <f>IFERROR(__xludf.DUMMYFUNCTION("""COMPUTED_VALUE"""),"Party")</f>
        <v>Party</v>
      </c>
      <c r="N326" s="25"/>
      <c r="O326" s="25" t="str">
        <f>IFERROR(__xludf.DUMMYFUNCTION("""COMPUTED_VALUE"""),"No")</f>
        <v>No</v>
      </c>
      <c r="P326" s="26"/>
    </row>
    <row r="327">
      <c r="A327" s="13" t="str">
        <f>IFERROR(__xludf.DUMMYFUNCTION("""COMPUTED_VALUE"""),"Far Cry: New Dawn")</f>
        <v>Far Cry: New Dawn</v>
      </c>
      <c r="B327" s="15" t="str">
        <f>IFERROR(__xludf.DUMMYFUNCTION("""COMPUTED_VALUE"""),"PS4")</f>
        <v>PS4</v>
      </c>
      <c r="C327" s="16" t="str">
        <f>IFERROR(__xludf.DUMMYFUNCTION("""COMPUTED_VALUE"""),"Extra (Ubisoft+ Classics)")</f>
        <v>Extra (Ubisoft+ Classics)</v>
      </c>
      <c r="D327" s="15" t="str">
        <f>IFERROR(__xludf.DUMMYFUNCTION("""COMPUTED_VALUE"""),"Active")</f>
        <v>Active</v>
      </c>
      <c r="E327" s="17">
        <f>IFERROR(__xludf.DUMMYFUNCTION("""COMPUTED_VALUE"""),44915.0)</f>
        <v>44915</v>
      </c>
      <c r="F327" s="54"/>
      <c r="G327" s="19">
        <f>IFERROR(__xludf.DUMMYFUNCTION("""COMPUTED_VALUE"""),45.53333333333333)</f>
        <v>45.53333333</v>
      </c>
      <c r="H327" s="17">
        <f>IFERROR(__xludf.DUMMYFUNCTION("""COMPUTED_VALUE"""),43511.0)</f>
        <v>43511</v>
      </c>
      <c r="I327" s="19">
        <f>IFERROR(__xludf.DUMMYFUNCTION("""COMPUTED_VALUE"""),3.8472222222222223)</f>
        <v>3.847222222</v>
      </c>
      <c r="J327" s="21">
        <f>IFERROR(__xludf.DUMMYFUNCTION("""COMPUTED_VALUE"""),71.0)</f>
        <v>71</v>
      </c>
      <c r="K327" s="23">
        <f>IFERROR(__xludf.DUMMYFUNCTION("""COMPUTED_VALUE"""),4.6)</f>
        <v>4.6</v>
      </c>
      <c r="L327" s="24">
        <f>IFERROR(__xludf.DUMMYFUNCTION("""COMPUTED_VALUE"""),11.0)</f>
        <v>11</v>
      </c>
      <c r="M327" s="25" t="str">
        <f>IFERROR(__xludf.DUMMYFUNCTION("""COMPUTED_VALUE"""),"Shooter")</f>
        <v>Shooter</v>
      </c>
      <c r="N327" s="25"/>
      <c r="O327" s="25" t="str">
        <f>IFERROR(__xludf.DUMMYFUNCTION("""COMPUTED_VALUE"""),"Yes")</f>
        <v>Yes</v>
      </c>
      <c r="P327" s="26"/>
    </row>
    <row r="328">
      <c r="A328" s="13" t="str">
        <f>IFERROR(__xludf.DUMMYFUNCTION("""COMPUTED_VALUE"""),"UNO")</f>
        <v>UNO</v>
      </c>
      <c r="B328" s="15" t="str">
        <f>IFERROR(__xludf.DUMMYFUNCTION("""COMPUTED_VALUE"""),"PS5/PS4")</f>
        <v>PS5/PS4</v>
      </c>
      <c r="C328" s="16" t="str">
        <f>IFERROR(__xludf.DUMMYFUNCTION("""COMPUTED_VALUE"""),"Extra (Ubisoft+ Classics)")</f>
        <v>Extra (Ubisoft+ Classics)</v>
      </c>
      <c r="D328" s="15" t="str">
        <f>IFERROR(__xludf.DUMMYFUNCTION("""COMPUTED_VALUE"""),"Active")</f>
        <v>Active</v>
      </c>
      <c r="E328" s="17">
        <f>IFERROR(__xludf.DUMMYFUNCTION("""COMPUTED_VALUE"""),44789.0)</f>
        <v>44789</v>
      </c>
      <c r="F328" s="54"/>
      <c r="G328" s="19">
        <f>IFERROR(__xludf.DUMMYFUNCTION("""COMPUTED_VALUE"""),49.66666666666667)</f>
        <v>49.66666667</v>
      </c>
      <c r="H328" s="17">
        <f>IFERROR(__xludf.DUMMYFUNCTION("""COMPUTED_VALUE"""),42598.0)</f>
        <v>42598</v>
      </c>
      <c r="I328" s="19">
        <f>IFERROR(__xludf.DUMMYFUNCTION("""COMPUTED_VALUE"""),6.0)</f>
        <v>6</v>
      </c>
      <c r="J328" s="21">
        <f>IFERROR(__xludf.DUMMYFUNCTION("""COMPUTED_VALUE"""),71.0)</f>
        <v>71</v>
      </c>
      <c r="K328" s="23">
        <f>IFERROR(__xludf.DUMMYFUNCTION("""COMPUTED_VALUE"""),6.3)</f>
        <v>6.3</v>
      </c>
      <c r="L328" s="24">
        <f>IFERROR(__xludf.DUMMYFUNCTION("""COMPUTED_VALUE"""),5.0)</f>
        <v>5</v>
      </c>
      <c r="M328" s="25" t="str">
        <f>IFERROR(__xludf.DUMMYFUNCTION("""COMPUTED_VALUE"""),"Card Battle")</f>
        <v>Card Battle</v>
      </c>
      <c r="N328" s="25"/>
      <c r="O328" s="25" t="str">
        <f>IFERROR(__xludf.DUMMYFUNCTION("""COMPUTED_VALUE"""),"Yes")</f>
        <v>Yes</v>
      </c>
      <c r="P328" s="26"/>
    </row>
    <row r="329">
      <c r="A329" s="13" t="str">
        <f>IFERROR(__xludf.DUMMYFUNCTION("""COMPUTED_VALUE"""),"Assassin's Creed Freedom Cry")</f>
        <v>Assassin's Creed Freedom Cry</v>
      </c>
      <c r="B329" s="15" t="str">
        <f>IFERROR(__xludf.DUMMYFUNCTION("""COMPUTED_VALUE"""),"PS4")</f>
        <v>PS4</v>
      </c>
      <c r="C329" s="16" t="str">
        <f>IFERROR(__xludf.DUMMYFUNCTION("""COMPUTED_VALUE"""),"Extra (Ubisoft+ Classics)")</f>
        <v>Extra (Ubisoft+ Classics)</v>
      </c>
      <c r="D329" s="15" t="str">
        <f>IFERROR(__xludf.DUMMYFUNCTION("""COMPUTED_VALUE"""),"Active")</f>
        <v>Active</v>
      </c>
      <c r="E329" s="17">
        <f>IFERROR(__xludf.DUMMYFUNCTION("""COMPUTED_VALUE"""),44761.0)</f>
        <v>44761</v>
      </c>
      <c r="F329" s="54"/>
      <c r="G329" s="19">
        <f>IFERROR(__xludf.DUMMYFUNCTION("""COMPUTED_VALUE"""),50.56666666666666)</f>
        <v>50.56666667</v>
      </c>
      <c r="H329" s="17">
        <f>IFERROR(__xludf.DUMMYFUNCTION("""COMPUTED_VALUE"""),41625.0)</f>
        <v>41625</v>
      </c>
      <c r="I329" s="19">
        <f>IFERROR(__xludf.DUMMYFUNCTION("""COMPUTED_VALUE"""),8.588888888888889)</f>
        <v>8.588888889</v>
      </c>
      <c r="J329" s="21">
        <f>IFERROR(__xludf.DUMMYFUNCTION("""COMPUTED_VALUE"""),71.0)</f>
        <v>71</v>
      </c>
      <c r="K329" s="23">
        <f>IFERROR(__xludf.DUMMYFUNCTION("""COMPUTED_VALUE"""),6.3)</f>
        <v>6.3</v>
      </c>
      <c r="L329" s="24">
        <f>IFERROR(__xludf.DUMMYFUNCTION("""COMPUTED_VALUE"""),4.5)</f>
        <v>4.5</v>
      </c>
      <c r="M329" s="25" t="str">
        <f>IFERROR(__xludf.DUMMYFUNCTION("""COMPUTED_VALUE"""),"RPG")</f>
        <v>RPG</v>
      </c>
      <c r="N329" s="25"/>
      <c r="O329" s="25" t="str">
        <f>IFERROR(__xludf.DUMMYFUNCTION("""COMPUTED_VALUE"""),"Yes")</f>
        <v>Yes</v>
      </c>
      <c r="P329" s="26"/>
    </row>
    <row r="330">
      <c r="A330" s="13" t="str">
        <f>IFERROR(__xludf.DUMMYFUNCTION("""COMPUTED_VALUE"""),"Assassin's Creed Rogue: Remastered")</f>
        <v>Assassin's Creed Rogue: Remastered</v>
      </c>
      <c r="B330" s="15" t="str">
        <f>IFERROR(__xludf.DUMMYFUNCTION("""COMPUTED_VALUE"""),"PS4")</f>
        <v>PS4</v>
      </c>
      <c r="C330" s="16" t="str">
        <f>IFERROR(__xludf.DUMMYFUNCTION("""COMPUTED_VALUE"""),"Extra (Ubisoft+ Classics)")</f>
        <v>Extra (Ubisoft+ Classics)</v>
      </c>
      <c r="D330" s="15" t="str">
        <f>IFERROR(__xludf.DUMMYFUNCTION("""COMPUTED_VALUE"""),"Active")</f>
        <v>Active</v>
      </c>
      <c r="E330" s="17">
        <f>IFERROR(__xludf.DUMMYFUNCTION("""COMPUTED_VALUE"""),44761.0)</f>
        <v>44761</v>
      </c>
      <c r="F330" s="54"/>
      <c r="G330" s="19">
        <f>IFERROR(__xludf.DUMMYFUNCTION("""COMPUTED_VALUE"""),50.56666666666666)</f>
        <v>50.56666667</v>
      </c>
      <c r="H330" s="17">
        <f>IFERROR(__xludf.DUMMYFUNCTION("""COMPUTED_VALUE"""),43179.0)</f>
        <v>43179</v>
      </c>
      <c r="I330" s="19">
        <f>IFERROR(__xludf.DUMMYFUNCTION("""COMPUTED_VALUE"""),4.330555555555556)</f>
        <v>4.330555556</v>
      </c>
      <c r="J330" s="21">
        <f>IFERROR(__xludf.DUMMYFUNCTION("""COMPUTED_VALUE"""),71.0)</f>
        <v>71</v>
      </c>
      <c r="K330" s="23">
        <f>IFERROR(__xludf.DUMMYFUNCTION("""COMPUTED_VALUE"""),6.8)</f>
        <v>6.8</v>
      </c>
      <c r="L330" s="24">
        <f>IFERROR(__xludf.DUMMYFUNCTION("""COMPUTED_VALUE"""),10.5)</f>
        <v>10.5</v>
      </c>
      <c r="M330" s="25" t="str">
        <f>IFERROR(__xludf.DUMMYFUNCTION("""COMPUTED_VALUE"""),"RPG")</f>
        <v>RPG</v>
      </c>
      <c r="N330" s="25"/>
      <c r="O330" s="25" t="str">
        <f>IFERROR(__xludf.DUMMYFUNCTION("""COMPUTED_VALUE"""),"Yes")</f>
        <v>Yes</v>
      </c>
      <c r="P330" s="26"/>
    </row>
    <row r="331">
      <c r="A331" s="13" t="str">
        <f>IFERROR(__xludf.DUMMYFUNCTION("""COMPUTED_VALUE"""),"Death end re;Quest")</f>
        <v>Death end re;Quest</v>
      </c>
      <c r="B331" s="15" t="str">
        <f>IFERROR(__xludf.DUMMYFUNCTION("""COMPUTED_VALUE"""),"PS4")</f>
        <v>PS4</v>
      </c>
      <c r="C331" s="16" t="str">
        <f>IFERROR(__xludf.DUMMYFUNCTION("""COMPUTED_VALUE"""),"Extra")</f>
        <v>Extra</v>
      </c>
      <c r="D331" s="15" t="str">
        <f>IFERROR(__xludf.DUMMYFUNCTION("""COMPUTED_VALUE"""),"Active")</f>
        <v>Active</v>
      </c>
      <c r="E331" s="17">
        <f>IFERROR(__xludf.DUMMYFUNCTION("""COMPUTED_VALUE"""),44725.0)</f>
        <v>44725</v>
      </c>
      <c r="F331" s="54"/>
      <c r="G331" s="19">
        <f>IFERROR(__xludf.DUMMYFUNCTION("""COMPUTED_VALUE"""),51.766666666666666)</f>
        <v>51.76666667</v>
      </c>
      <c r="H331" s="17">
        <f>IFERROR(__xludf.DUMMYFUNCTION("""COMPUTED_VALUE"""),43202.0)</f>
        <v>43202</v>
      </c>
      <c r="I331" s="19">
        <f>IFERROR(__xludf.DUMMYFUNCTION("""COMPUTED_VALUE"""),4.169444444444444)</f>
        <v>4.169444444</v>
      </c>
      <c r="J331" s="21">
        <f>IFERROR(__xludf.DUMMYFUNCTION("""COMPUTED_VALUE"""),71.0)</f>
        <v>71</v>
      </c>
      <c r="K331" s="23">
        <f>IFERROR(__xludf.DUMMYFUNCTION("""COMPUTED_VALUE"""),7.4)</f>
        <v>7.4</v>
      </c>
      <c r="L331" s="24">
        <f>IFERROR(__xludf.DUMMYFUNCTION("""COMPUTED_VALUE"""),24.5)</f>
        <v>24.5</v>
      </c>
      <c r="M331" s="25" t="str">
        <f>IFERROR(__xludf.DUMMYFUNCTION("""COMPUTED_VALUE"""),"RPG")</f>
        <v>RPG</v>
      </c>
      <c r="N331" s="25"/>
      <c r="O331" s="25" t="str">
        <f>IFERROR(__xludf.DUMMYFUNCTION("""COMPUTED_VALUE"""),"No")</f>
        <v>No</v>
      </c>
      <c r="P331" s="26"/>
    </row>
    <row r="332">
      <c r="A332" s="13" t="str">
        <f>IFERROR(__xludf.DUMMYFUNCTION("""COMPUTED_VALUE"""),"Rock of Ages 3: Make &amp; Break")</f>
        <v>Rock of Ages 3: Make &amp; Break</v>
      </c>
      <c r="B332" s="15" t="str">
        <f>IFERROR(__xludf.DUMMYFUNCTION("""COMPUTED_VALUE"""),"PS4")</f>
        <v>PS4</v>
      </c>
      <c r="C332" s="16" t="str">
        <f>IFERROR(__xludf.DUMMYFUNCTION("""COMPUTED_VALUE"""),"Extra")</f>
        <v>Extra</v>
      </c>
      <c r="D332" s="15" t="str">
        <f>IFERROR(__xludf.DUMMYFUNCTION("""COMPUTED_VALUE"""),"Active")</f>
        <v>Active</v>
      </c>
      <c r="E332" s="17">
        <f>IFERROR(__xludf.DUMMYFUNCTION("""COMPUTED_VALUE"""),44725.0)</f>
        <v>44725</v>
      </c>
      <c r="F332" s="54"/>
      <c r="G332" s="19">
        <f>IFERROR(__xludf.DUMMYFUNCTION("""COMPUTED_VALUE"""),51.766666666666666)</f>
        <v>51.76666667</v>
      </c>
      <c r="H332" s="17">
        <f>IFERROR(__xludf.DUMMYFUNCTION("""COMPUTED_VALUE"""),44033.0)</f>
        <v>44033</v>
      </c>
      <c r="I332" s="19">
        <f>IFERROR(__xludf.DUMMYFUNCTION("""COMPUTED_VALUE"""),1.8944444444444444)</f>
        <v>1.894444444</v>
      </c>
      <c r="J332" s="21">
        <f>IFERROR(__xludf.DUMMYFUNCTION("""COMPUTED_VALUE"""),71.0)</f>
        <v>71</v>
      </c>
      <c r="K332" s="23">
        <f>IFERROR(__xludf.DUMMYFUNCTION("""COMPUTED_VALUE"""),6.9)</f>
        <v>6.9</v>
      </c>
      <c r="L332" s="24">
        <f>IFERROR(__xludf.DUMMYFUNCTION("""COMPUTED_VALUE"""),8.0)</f>
        <v>8</v>
      </c>
      <c r="M332" s="25" t="str">
        <f>IFERROR(__xludf.DUMMYFUNCTION("""COMPUTED_VALUE"""),"Strategy")</f>
        <v>Strategy</v>
      </c>
      <c r="N332" s="25"/>
      <c r="O332" s="25" t="str">
        <f>IFERROR(__xludf.DUMMYFUNCTION("""COMPUTED_VALUE"""),"No")</f>
        <v>No</v>
      </c>
      <c r="P332" s="26" t="str">
        <f>IFERROR(__xludf.DUMMYFUNCTION("""COMPUTED_VALUE"""),"Yes")</f>
        <v>Yes</v>
      </c>
    </row>
    <row r="333">
      <c r="A333" s="13" t="str">
        <f>IFERROR(__xludf.DUMMYFUNCTION("""COMPUTED_VALUE"""),"Days Gone")</f>
        <v>Days Gone</v>
      </c>
      <c r="B333" s="15" t="str">
        <f>IFERROR(__xludf.DUMMYFUNCTION("""COMPUTED_VALUE"""),"PS4")</f>
        <v>PS4</v>
      </c>
      <c r="C333" s="16" t="str">
        <f>IFERROR(__xludf.DUMMYFUNCTION("""COMPUTED_VALUE"""),"Extra")</f>
        <v>Extra</v>
      </c>
      <c r="D333" s="15" t="str">
        <f>IFERROR(__xludf.DUMMYFUNCTION("""COMPUTED_VALUE"""),"Active")</f>
        <v>Active</v>
      </c>
      <c r="E333" s="17">
        <f>IFERROR(__xludf.DUMMYFUNCTION("""COMPUTED_VALUE"""),44147.0)</f>
        <v>44147</v>
      </c>
      <c r="F333" s="54"/>
      <c r="G333" s="19">
        <f>IFERROR(__xludf.DUMMYFUNCTION("""COMPUTED_VALUE"""),70.80000000000001)</f>
        <v>70.8</v>
      </c>
      <c r="H333" s="17">
        <f>IFERROR(__xludf.DUMMYFUNCTION("""COMPUTED_VALUE"""),43556.0)</f>
        <v>43556</v>
      </c>
      <c r="I333" s="19">
        <f>IFERROR(__xludf.DUMMYFUNCTION("""COMPUTED_VALUE"""),1.613888888888889)</f>
        <v>1.613888889</v>
      </c>
      <c r="J333" s="21">
        <f>IFERROR(__xludf.DUMMYFUNCTION("""COMPUTED_VALUE"""),71.0)</f>
        <v>71</v>
      </c>
      <c r="K333" s="23">
        <f>IFERROR(__xludf.DUMMYFUNCTION("""COMPUTED_VALUE"""),8.4)</f>
        <v>8.4</v>
      </c>
      <c r="L333" s="24">
        <f>IFERROR(__xludf.DUMMYFUNCTION("""COMPUTED_VALUE"""),36.5)</f>
        <v>36.5</v>
      </c>
      <c r="M333" s="25" t="str">
        <f>IFERROR(__xludf.DUMMYFUNCTION("""COMPUTED_VALUE"""),"Horror")</f>
        <v>Horror</v>
      </c>
      <c r="N333" s="25"/>
      <c r="O333" s="25" t="str">
        <f>IFERROR(__xludf.DUMMYFUNCTION("""COMPUTED_VALUE"""),"Yes")</f>
        <v>Yes</v>
      </c>
      <c r="P333" s="26"/>
    </row>
    <row r="334">
      <c r="A334" s="13" t="str">
        <f>IFERROR(__xludf.DUMMYFUNCTION("""COMPUTED_VALUE"""),"Surgeon Simulator: Anniversary Edition")</f>
        <v>Surgeon Simulator: Anniversary Edition</v>
      </c>
      <c r="B334" s="15" t="str">
        <f>IFERROR(__xludf.DUMMYFUNCTION("""COMPUTED_VALUE"""),"PS4")</f>
        <v>PS4</v>
      </c>
      <c r="C334" s="16" t="str">
        <f>IFERROR(__xludf.DUMMYFUNCTION("""COMPUTED_VALUE"""),"Extra")</f>
        <v>Extra</v>
      </c>
      <c r="D334" s="15" t="str">
        <f>IFERROR(__xludf.DUMMYFUNCTION("""COMPUTED_VALUE"""),"Active")</f>
        <v>Active</v>
      </c>
      <c r="E334" s="17">
        <f>IFERROR(__xludf.DUMMYFUNCTION("""COMPUTED_VALUE"""),43620.0)</f>
        <v>43620</v>
      </c>
      <c r="F334" s="54"/>
      <c r="G334" s="19">
        <f>IFERROR(__xludf.DUMMYFUNCTION("""COMPUTED_VALUE"""),88.06666666666666)</f>
        <v>88.06666667</v>
      </c>
      <c r="H334" s="17">
        <f>IFERROR(__xludf.DUMMYFUNCTION("""COMPUTED_VALUE"""),41865.0)</f>
        <v>41865</v>
      </c>
      <c r="I334" s="19">
        <f>IFERROR(__xludf.DUMMYFUNCTION("""COMPUTED_VALUE"""),4.805555555555555)</f>
        <v>4.805555556</v>
      </c>
      <c r="J334" s="21">
        <f>IFERROR(__xludf.DUMMYFUNCTION("""COMPUTED_VALUE"""),71.0)</f>
        <v>71</v>
      </c>
      <c r="K334" s="23">
        <f>IFERROR(__xludf.DUMMYFUNCTION("""COMPUTED_VALUE"""),6.6)</f>
        <v>6.6</v>
      </c>
      <c r="L334" s="24">
        <f>IFERROR(__xludf.DUMMYFUNCTION("""COMPUTED_VALUE"""),5.0)</f>
        <v>5</v>
      </c>
      <c r="M334" s="25" t="str">
        <f>IFERROR(__xludf.DUMMYFUNCTION("""COMPUTED_VALUE"""),"Simulation")</f>
        <v>Simulation</v>
      </c>
      <c r="N334" s="25"/>
      <c r="O334" s="25" t="str">
        <f>IFERROR(__xludf.DUMMYFUNCTION("""COMPUTED_VALUE"""),"Yes")</f>
        <v>Yes</v>
      </c>
      <c r="P334" s="26" t="str">
        <f>IFERROR(__xludf.DUMMYFUNCTION("""COMPUTED_VALUE"""),"Yes")</f>
        <v>Yes</v>
      </c>
    </row>
    <row r="335">
      <c r="A335" s="13" t="str">
        <f>IFERROR(__xludf.DUMMYFUNCTION("""COMPUTED_VALUE"""),"Mighty Morphin Power Rangers: Rita’s Rewind")</f>
        <v>Mighty Morphin Power Rangers: Rita’s Rewind</v>
      </c>
      <c r="B335" s="15" t="str">
        <f>IFERROR(__xludf.DUMMYFUNCTION("""COMPUTED_VALUE"""),"PS5/PS4")</f>
        <v>PS5/PS4</v>
      </c>
      <c r="C335" s="16" t="str">
        <f>IFERROR(__xludf.DUMMYFUNCTION("""COMPUTED_VALUE"""),"Extra")</f>
        <v>Extra</v>
      </c>
      <c r="D335" s="15" t="str">
        <f>IFERROR(__xludf.DUMMYFUNCTION("""COMPUTED_VALUE"""),"Active")</f>
        <v>Active</v>
      </c>
      <c r="E335" s="17">
        <f>IFERROR(__xludf.DUMMYFUNCTION("""COMPUTED_VALUE"""),46231.0)</f>
        <v>46231</v>
      </c>
      <c r="F335" s="54"/>
      <c r="G335" s="19">
        <f>IFERROR(__xludf.DUMMYFUNCTION("""COMPUTED_VALUE"""),2.2666666666666666)</f>
        <v>2.266666667</v>
      </c>
      <c r="H335" s="17">
        <f>IFERROR(__xludf.DUMMYFUNCTION("""COMPUTED_VALUE"""),45636.0)</f>
        <v>45636</v>
      </c>
      <c r="I335" s="19">
        <f>IFERROR(__xludf.DUMMYFUNCTION("""COMPUTED_VALUE"""),1.6333333333333333)</f>
        <v>1.633333333</v>
      </c>
      <c r="J335" s="21">
        <f>IFERROR(__xludf.DUMMYFUNCTION("""COMPUTED_VALUE"""),70.0)</f>
        <v>70</v>
      </c>
      <c r="K335" s="23">
        <f>IFERROR(__xludf.DUMMYFUNCTION("""COMPUTED_VALUE"""),5.9)</f>
        <v>5.9</v>
      </c>
      <c r="L335" s="24">
        <f>IFERROR(__xludf.DUMMYFUNCTION("""COMPUTED_VALUE"""),3.0)</f>
        <v>3</v>
      </c>
      <c r="M335" s="25" t="str">
        <f>IFERROR(__xludf.DUMMYFUNCTION("""COMPUTED_VALUE"""),"Action")</f>
        <v>Action</v>
      </c>
      <c r="N335" s="25"/>
      <c r="O335" s="25"/>
      <c r="P335" s="26"/>
    </row>
    <row r="336">
      <c r="A336" s="13" t="str">
        <f>IFERROR(__xludf.DUMMYFUNCTION("""COMPUTED_VALUE"""),"Lego Horizon Adventures")</f>
        <v>Lego Horizon Adventures</v>
      </c>
      <c r="B336" s="15" t="str">
        <f>IFERROR(__xludf.DUMMYFUNCTION("""COMPUTED_VALUE"""),"PS5")</f>
        <v>PS5</v>
      </c>
      <c r="C336" s="16" t="str">
        <f>IFERROR(__xludf.DUMMYFUNCTION("""COMPUTED_VALUE"""),"Extra")</f>
        <v>Extra</v>
      </c>
      <c r="D336" s="15" t="str">
        <f>IFERROR(__xludf.DUMMYFUNCTION("""COMPUTED_VALUE"""),"Active")</f>
        <v>Active</v>
      </c>
      <c r="E336" s="17">
        <f>IFERROR(__xludf.DUMMYFUNCTION("""COMPUTED_VALUE"""),46007.0)</f>
        <v>46007</v>
      </c>
      <c r="F336" s="54"/>
      <c r="G336" s="19">
        <f>IFERROR(__xludf.DUMMYFUNCTION("""COMPUTED_VALUE"""),9.666666666666668)</f>
        <v>9.666666667</v>
      </c>
      <c r="H336" s="17">
        <f>IFERROR(__xludf.DUMMYFUNCTION("""COMPUTED_VALUE"""),45610.0)</f>
        <v>45610</v>
      </c>
      <c r="I336" s="19">
        <f>IFERROR(__xludf.DUMMYFUNCTION("""COMPUTED_VALUE"""),1.0888888888888888)</f>
        <v>1.088888889</v>
      </c>
      <c r="J336" s="21">
        <f>IFERROR(__xludf.DUMMYFUNCTION("""COMPUTED_VALUE"""),70.0)</f>
        <v>70</v>
      </c>
      <c r="K336" s="23">
        <f>IFERROR(__xludf.DUMMYFUNCTION("""COMPUTED_VALUE"""),5.8)</f>
        <v>5.8</v>
      </c>
      <c r="L336" s="24">
        <f>IFERROR(__xludf.DUMMYFUNCTION("""COMPUTED_VALUE"""),7.0)</f>
        <v>7</v>
      </c>
      <c r="M336" s="25" t="str">
        <f>IFERROR(__xludf.DUMMYFUNCTION("""COMPUTED_VALUE"""),"Action-Adventure")</f>
        <v>Action-Adventure</v>
      </c>
      <c r="N336" s="25"/>
      <c r="O336" s="25" t="str">
        <f>IFERROR(__xludf.DUMMYFUNCTION("""COMPUTED_VALUE"""),"No")</f>
        <v>No</v>
      </c>
      <c r="P336" s="26"/>
    </row>
    <row r="337">
      <c r="A337" s="13" t="str">
        <f>IFERROR(__xludf.DUMMYFUNCTION("""COMPUTED_VALUE"""),"Monster Jam Showdown")</f>
        <v>Monster Jam Showdown</v>
      </c>
      <c r="B337" s="15" t="str">
        <f>IFERROR(__xludf.DUMMYFUNCTION("""COMPUTED_VALUE"""),"PS5/PS4")</f>
        <v>PS5/PS4</v>
      </c>
      <c r="C337" s="16" t="str">
        <f>IFERROR(__xludf.DUMMYFUNCTION("""COMPUTED_VALUE"""),"Extra")</f>
        <v>Extra</v>
      </c>
      <c r="D337" s="15" t="str">
        <f>IFERROR(__xludf.DUMMYFUNCTION("""COMPUTED_VALUE"""),"Active")</f>
        <v>Active</v>
      </c>
      <c r="E337" s="17">
        <f>IFERROR(__xludf.DUMMYFUNCTION("""COMPUTED_VALUE"""),45979.0)</f>
        <v>45979</v>
      </c>
      <c r="F337" s="54"/>
      <c r="G337" s="19">
        <f>IFERROR(__xludf.DUMMYFUNCTION("""COMPUTED_VALUE"""),10.6)</f>
        <v>10.6</v>
      </c>
      <c r="H337" s="17">
        <f>IFERROR(__xludf.DUMMYFUNCTION("""COMPUTED_VALUE"""),45533.0)</f>
        <v>45533</v>
      </c>
      <c r="I337" s="19">
        <f>IFERROR(__xludf.DUMMYFUNCTION("""COMPUTED_VALUE"""),1.2194444444444446)</f>
        <v>1.219444444</v>
      </c>
      <c r="J337" s="21">
        <f>IFERROR(__xludf.DUMMYFUNCTION("""COMPUTED_VALUE"""),70.0)</f>
        <v>70</v>
      </c>
      <c r="K337" s="23">
        <f>IFERROR(__xludf.DUMMYFUNCTION("""COMPUTED_VALUE"""),8.0)</f>
        <v>8</v>
      </c>
      <c r="L337" s="24">
        <f>IFERROR(__xludf.DUMMYFUNCTION("""COMPUTED_VALUE"""),21.0)</f>
        <v>21</v>
      </c>
      <c r="M337" s="25" t="str">
        <f>IFERROR(__xludf.DUMMYFUNCTION("""COMPUTED_VALUE"""),"Racing")</f>
        <v>Racing</v>
      </c>
      <c r="N337" s="25"/>
      <c r="O337" s="25"/>
      <c r="P337" s="26"/>
    </row>
    <row r="338">
      <c r="A338" s="13" t="str">
        <f>IFERROR(__xludf.DUMMYFUNCTION("""COMPUTED_VALUE"""),"Until Dawn (2024)")</f>
        <v>Until Dawn (2024)</v>
      </c>
      <c r="B338" s="15" t="str">
        <f>IFERROR(__xludf.DUMMYFUNCTION("""COMPUTED_VALUE"""),"PS5")</f>
        <v>PS5</v>
      </c>
      <c r="C338" s="16" t="str">
        <f>IFERROR(__xludf.DUMMYFUNCTION("""COMPUTED_VALUE"""),"Extra")</f>
        <v>Extra</v>
      </c>
      <c r="D338" s="15" t="str">
        <f>IFERROR(__xludf.DUMMYFUNCTION("""COMPUTED_VALUE"""),"Active")</f>
        <v>Active</v>
      </c>
      <c r="E338" s="17">
        <f>IFERROR(__xludf.DUMMYFUNCTION("""COMPUTED_VALUE"""),45951.0)</f>
        <v>45951</v>
      </c>
      <c r="F338" s="18"/>
      <c r="G338" s="19">
        <f>IFERROR(__xludf.DUMMYFUNCTION("""COMPUTED_VALUE"""),11.5)</f>
        <v>11.5</v>
      </c>
      <c r="H338" s="17">
        <f>IFERROR(__xludf.DUMMYFUNCTION("""COMPUTED_VALUE"""),45569.0)</f>
        <v>45569</v>
      </c>
      <c r="I338" s="19">
        <f>IFERROR(__xludf.DUMMYFUNCTION("""COMPUTED_VALUE"""),1.0472222222222223)</f>
        <v>1.047222222</v>
      </c>
      <c r="J338" s="21">
        <f>IFERROR(__xludf.DUMMYFUNCTION("""COMPUTED_VALUE"""),70.0)</f>
        <v>70</v>
      </c>
      <c r="K338" s="23">
        <f>IFERROR(__xludf.DUMMYFUNCTION("""COMPUTED_VALUE"""),6.6)</f>
        <v>6.6</v>
      </c>
      <c r="L338" s="24">
        <f>IFERROR(__xludf.DUMMYFUNCTION("""COMPUTED_VALUE"""),8.0)</f>
        <v>8</v>
      </c>
      <c r="M338" s="25" t="str">
        <f>IFERROR(__xludf.DUMMYFUNCTION("""COMPUTED_VALUE"""),"Action-Adventure")</f>
        <v>Action-Adventure</v>
      </c>
      <c r="N338" s="25"/>
      <c r="O338" s="25" t="str">
        <f>IFERROR(__xludf.DUMMYFUNCTION("""COMPUTED_VALUE"""),"No")</f>
        <v>No</v>
      </c>
      <c r="P338" s="26"/>
    </row>
    <row r="339">
      <c r="A339" s="13" t="str">
        <f>IFERROR(__xludf.DUMMYFUNCTION("""COMPUTED_VALUE"""),"Biped")</f>
        <v>Biped</v>
      </c>
      <c r="B339" s="15" t="str">
        <f>IFERROR(__xludf.DUMMYFUNCTION("""COMPUTED_VALUE"""),"PS4")</f>
        <v>PS4</v>
      </c>
      <c r="C339" s="16" t="str">
        <f>IFERROR(__xludf.DUMMYFUNCTION("""COMPUTED_VALUE"""),"Extra")</f>
        <v>Extra</v>
      </c>
      <c r="D339" s="15" t="str">
        <f>IFERROR(__xludf.DUMMYFUNCTION("""COMPUTED_VALUE"""),"Active")</f>
        <v>Active</v>
      </c>
      <c r="E339" s="17">
        <f>IFERROR(__xludf.DUMMYFUNCTION("""COMPUTED_VALUE"""),45643.0)</f>
        <v>45643</v>
      </c>
      <c r="F339" s="54"/>
      <c r="G339" s="19">
        <f>IFERROR(__xludf.DUMMYFUNCTION("""COMPUTED_VALUE"""),21.633333333333333)</f>
        <v>21.63333333</v>
      </c>
      <c r="H339" s="17">
        <f>IFERROR(__xludf.DUMMYFUNCTION("""COMPUTED_VALUE"""),43929.0)</f>
        <v>43929</v>
      </c>
      <c r="I339" s="19">
        <f>IFERROR(__xludf.DUMMYFUNCTION("""COMPUTED_VALUE"""),4.691666666666666)</f>
        <v>4.691666667</v>
      </c>
      <c r="J339" s="21">
        <f>IFERROR(__xludf.DUMMYFUNCTION("""COMPUTED_VALUE"""),70.0)</f>
        <v>70</v>
      </c>
      <c r="K339" s="23">
        <f>IFERROR(__xludf.DUMMYFUNCTION("""COMPUTED_VALUE"""),7.7)</f>
        <v>7.7</v>
      </c>
      <c r="L339" s="24">
        <f>IFERROR(__xludf.DUMMYFUNCTION("""COMPUTED_VALUE"""),3.0)</f>
        <v>3</v>
      </c>
      <c r="M339" s="25" t="str">
        <f>IFERROR(__xludf.DUMMYFUNCTION("""COMPUTED_VALUE"""),"Platformer")</f>
        <v>Platformer</v>
      </c>
      <c r="N339" s="25"/>
      <c r="O339" s="25" t="str">
        <f>IFERROR(__xludf.DUMMYFUNCTION("""COMPUTED_VALUE"""),"Yes")</f>
        <v>Yes</v>
      </c>
      <c r="P339" s="26"/>
    </row>
    <row r="340">
      <c r="A340" s="13" t="str">
        <f>IFERROR(__xludf.DUMMYFUNCTION("""COMPUTED_VALUE"""),"Tom Clancy's Ghost Recon: Wildlands")</f>
        <v>Tom Clancy's Ghost Recon: Wildlands</v>
      </c>
      <c r="B340" s="15" t="str">
        <f>IFERROR(__xludf.DUMMYFUNCTION("""COMPUTED_VALUE"""),"PS4")</f>
        <v>PS4</v>
      </c>
      <c r="C340" s="16" t="str">
        <f>IFERROR(__xludf.DUMMYFUNCTION("""COMPUTED_VALUE"""),"Extra (Ubisoft+ Classics)")</f>
        <v>Extra (Ubisoft+ Classics)</v>
      </c>
      <c r="D340" s="15" t="str">
        <f>IFERROR(__xludf.DUMMYFUNCTION("""COMPUTED_VALUE"""),"Active")</f>
        <v>Active</v>
      </c>
      <c r="E340" s="17">
        <f>IFERROR(__xludf.DUMMYFUNCTION("""COMPUTED_VALUE"""),45580.0)</f>
        <v>45580</v>
      </c>
      <c r="F340" s="54"/>
      <c r="G340" s="19">
        <f>IFERROR(__xludf.DUMMYFUNCTION("""COMPUTED_VALUE"""),23.700000000000003)</f>
        <v>23.7</v>
      </c>
      <c r="H340" s="17">
        <f>IFERROR(__xludf.DUMMYFUNCTION("""COMPUTED_VALUE"""),42801.0)</f>
        <v>42801</v>
      </c>
      <c r="I340" s="19">
        <f>IFERROR(__xludf.DUMMYFUNCTION("""COMPUTED_VALUE"""),7.605555555555555)</f>
        <v>7.605555556</v>
      </c>
      <c r="J340" s="21">
        <f>IFERROR(__xludf.DUMMYFUNCTION("""COMPUTED_VALUE"""),70.0)</f>
        <v>70</v>
      </c>
      <c r="K340" s="23">
        <f>IFERROR(__xludf.DUMMYFUNCTION("""COMPUTED_VALUE"""),6.5)</f>
        <v>6.5</v>
      </c>
      <c r="L340" s="24">
        <f>IFERROR(__xludf.DUMMYFUNCTION("""COMPUTED_VALUE"""),27.0)</f>
        <v>27</v>
      </c>
      <c r="M340" s="25" t="str">
        <f>IFERROR(__xludf.DUMMYFUNCTION("""COMPUTED_VALUE"""),"Shooter")</f>
        <v>Shooter</v>
      </c>
      <c r="N340" s="25"/>
      <c r="O340" s="25" t="str">
        <f>IFERROR(__xludf.DUMMYFUNCTION("""COMPUTED_VALUE"""),"Yes")</f>
        <v>Yes</v>
      </c>
      <c r="P340" s="26"/>
    </row>
    <row r="341">
      <c r="A341" s="13" t="str">
        <f>IFERROR(__xludf.DUMMYFUNCTION("""COMPUTED_VALUE"""),"Under The Waves")</f>
        <v>Under The Waves</v>
      </c>
      <c r="B341" s="15" t="str">
        <f>IFERROR(__xludf.DUMMYFUNCTION("""COMPUTED_VALUE"""),"PS5/PS4")</f>
        <v>PS5/PS4</v>
      </c>
      <c r="C341" s="16" t="str">
        <f>IFERROR(__xludf.DUMMYFUNCTION("""COMPUTED_VALUE"""),"Extra")</f>
        <v>Extra</v>
      </c>
      <c r="D341" s="15" t="str">
        <f>IFERROR(__xludf.DUMMYFUNCTION("""COMPUTED_VALUE"""),"Active")</f>
        <v>Active</v>
      </c>
      <c r="E341" s="17">
        <f>IFERROR(__xludf.DUMMYFUNCTION("""COMPUTED_VALUE"""),45552.0)</f>
        <v>45552</v>
      </c>
      <c r="F341" s="54"/>
      <c r="G341" s="19">
        <f>IFERROR(__xludf.DUMMYFUNCTION("""COMPUTED_VALUE"""),24.633333333333333)</f>
        <v>24.63333333</v>
      </c>
      <c r="H341" s="17">
        <f>IFERROR(__xludf.DUMMYFUNCTION("""COMPUTED_VALUE"""),45167.0)</f>
        <v>45167</v>
      </c>
      <c r="I341" s="19">
        <f>IFERROR(__xludf.DUMMYFUNCTION("""COMPUTED_VALUE"""),1.05)</f>
        <v>1.05</v>
      </c>
      <c r="J341" s="21">
        <f>IFERROR(__xludf.DUMMYFUNCTION("""COMPUTED_VALUE"""),70.0)</f>
        <v>70</v>
      </c>
      <c r="K341" s="23">
        <f>IFERROR(__xludf.DUMMYFUNCTION("""COMPUTED_VALUE"""),6.4)</f>
        <v>6.4</v>
      </c>
      <c r="L341" s="24">
        <f>IFERROR(__xludf.DUMMYFUNCTION("""COMPUTED_VALUE"""),8.0)</f>
        <v>8</v>
      </c>
      <c r="M341" s="25" t="str">
        <f>IFERROR(__xludf.DUMMYFUNCTION("""COMPUTED_VALUE"""),"Action-Adventure")</f>
        <v>Action-Adventure</v>
      </c>
      <c r="N341" s="25"/>
      <c r="O341" s="25" t="str">
        <f>IFERROR(__xludf.DUMMYFUNCTION("""COMPUTED_VALUE"""),"Portal (PS5 + Premium)")</f>
        <v>Portal (PS5 + Premium)</v>
      </c>
      <c r="P341" s="26"/>
    </row>
    <row r="342">
      <c r="A342" s="13" t="str">
        <f>IFERROR(__xludf.DUMMYFUNCTION("""COMPUTED_VALUE"""),"LEGO Jurassic World")</f>
        <v>LEGO Jurassic World</v>
      </c>
      <c r="B342" s="15" t="str">
        <f>IFERROR(__xludf.DUMMYFUNCTION("""COMPUTED_VALUE"""),"PS4")</f>
        <v>PS4</v>
      </c>
      <c r="C342" s="16" t="str">
        <f>IFERROR(__xludf.DUMMYFUNCTION("""COMPUTED_VALUE"""),"Extra")</f>
        <v>Extra</v>
      </c>
      <c r="D342" s="15" t="str">
        <f>IFERROR(__xludf.DUMMYFUNCTION("""COMPUTED_VALUE"""),"Active")</f>
        <v>Active</v>
      </c>
      <c r="E342" s="17">
        <f>IFERROR(__xludf.DUMMYFUNCTION("""COMPUTED_VALUE"""),45342.0)</f>
        <v>45342</v>
      </c>
      <c r="F342" s="54"/>
      <c r="G342" s="19">
        <f>IFERROR(__xludf.DUMMYFUNCTION("""COMPUTED_VALUE"""),31.53333333333333)</f>
        <v>31.53333333</v>
      </c>
      <c r="H342" s="17">
        <f>IFERROR(__xludf.DUMMYFUNCTION("""COMPUTED_VALUE"""),42164.0)</f>
        <v>42164</v>
      </c>
      <c r="I342" s="19">
        <f>IFERROR(__xludf.DUMMYFUNCTION("""COMPUTED_VALUE"""),8.697222222222223)</f>
        <v>8.697222222</v>
      </c>
      <c r="J342" s="21">
        <f>IFERROR(__xludf.DUMMYFUNCTION("""COMPUTED_VALUE"""),70.0)</f>
        <v>70</v>
      </c>
      <c r="K342" s="23">
        <f>IFERROR(__xludf.DUMMYFUNCTION("""COMPUTED_VALUE"""),7.3)</f>
        <v>7.3</v>
      </c>
      <c r="L342" s="24">
        <f>IFERROR(__xludf.DUMMYFUNCTION("""COMPUTED_VALUE"""),11.0)</f>
        <v>11</v>
      </c>
      <c r="M342" s="25" t="str">
        <f>IFERROR(__xludf.DUMMYFUNCTION("""COMPUTED_VALUE"""),"Action-Adventure")</f>
        <v>Action-Adventure</v>
      </c>
      <c r="N342" s="25"/>
      <c r="O342" s="25" t="str">
        <f>IFERROR(__xludf.DUMMYFUNCTION("""COMPUTED_VALUE"""),"Yes")</f>
        <v>Yes</v>
      </c>
      <c r="P342" s="26"/>
    </row>
    <row r="343">
      <c r="A343" s="13" t="str">
        <f>IFERROR(__xludf.DUMMYFUNCTION("""COMPUTED_VALUE"""),"Nobunaga's Ambition: Taishi")</f>
        <v>Nobunaga's Ambition: Taishi</v>
      </c>
      <c r="B343" s="15" t="str">
        <f>IFERROR(__xludf.DUMMYFUNCTION("""COMPUTED_VALUE"""),"PS4")</f>
        <v>PS4</v>
      </c>
      <c r="C343" s="16" t="str">
        <f>IFERROR(__xludf.DUMMYFUNCTION("""COMPUTED_VALUE"""),"Extra")</f>
        <v>Extra</v>
      </c>
      <c r="D343" s="15" t="str">
        <f>IFERROR(__xludf.DUMMYFUNCTION("""COMPUTED_VALUE"""),"Active")</f>
        <v>Active</v>
      </c>
      <c r="E343" s="17">
        <f>IFERROR(__xludf.DUMMYFUNCTION("""COMPUTED_VALUE"""),45251.0)</f>
        <v>45251</v>
      </c>
      <c r="F343" s="54"/>
      <c r="G343" s="19">
        <f>IFERROR(__xludf.DUMMYFUNCTION("""COMPUTED_VALUE"""),34.5)</f>
        <v>34.5</v>
      </c>
      <c r="H343" s="17">
        <f>IFERROR(__xludf.DUMMYFUNCTION("""COMPUTED_VALUE"""),43256.0)</f>
        <v>43256</v>
      </c>
      <c r="I343" s="19">
        <f>IFERROR(__xludf.DUMMYFUNCTION("""COMPUTED_VALUE"""),5.461111111111111)</f>
        <v>5.461111111</v>
      </c>
      <c r="J343" s="21">
        <f>IFERROR(__xludf.DUMMYFUNCTION("""COMPUTED_VALUE"""),70.0)</f>
        <v>70</v>
      </c>
      <c r="K343" s="23">
        <f>IFERROR(__xludf.DUMMYFUNCTION("""COMPUTED_VALUE"""),7.3)</f>
        <v>7.3</v>
      </c>
      <c r="L343" s="24">
        <f>IFERROR(__xludf.DUMMYFUNCTION("""COMPUTED_VALUE"""),23.0)</f>
        <v>23</v>
      </c>
      <c r="M343" s="25" t="str">
        <f>IFERROR(__xludf.DUMMYFUNCTION("""COMPUTED_VALUE"""),"Strategy")</f>
        <v>Strategy</v>
      </c>
      <c r="N343" s="25"/>
      <c r="O343" s="25" t="str">
        <f>IFERROR(__xludf.DUMMYFUNCTION("""COMPUTED_VALUE"""),"Yes")</f>
        <v>Yes</v>
      </c>
      <c r="P343" s="26"/>
    </row>
    <row r="344">
      <c r="A344" s="13" t="str">
        <f>IFERROR(__xludf.DUMMYFUNCTION("""COMPUTED_VALUE"""),"Tails Noir")</f>
        <v>Tails Noir</v>
      </c>
      <c r="B344" s="15" t="str">
        <f>IFERROR(__xludf.DUMMYFUNCTION("""COMPUTED_VALUE"""),"PS5/PS4")</f>
        <v>PS5/PS4</v>
      </c>
      <c r="C344" s="16" t="str">
        <f>IFERROR(__xludf.DUMMYFUNCTION("""COMPUTED_VALUE"""),"Extra")</f>
        <v>Extra</v>
      </c>
      <c r="D344" s="15" t="str">
        <f>IFERROR(__xludf.DUMMYFUNCTION("""COMPUTED_VALUE"""),"Active")</f>
        <v>Active</v>
      </c>
      <c r="E344" s="17">
        <f>IFERROR(__xludf.DUMMYFUNCTION("""COMPUTED_VALUE"""),45188.0)</f>
        <v>45188</v>
      </c>
      <c r="F344" s="54"/>
      <c r="G344" s="19">
        <f>IFERROR(__xludf.DUMMYFUNCTION("""COMPUTED_VALUE"""),36.56666666666666)</f>
        <v>36.56666667</v>
      </c>
      <c r="H344" s="17">
        <f>IFERROR(__xludf.DUMMYFUNCTION("""COMPUTED_VALUE"""),44263.0)</f>
        <v>44263</v>
      </c>
      <c r="I344" s="19">
        <f>IFERROR(__xludf.DUMMYFUNCTION("""COMPUTED_VALUE"""),2.5305555555555554)</f>
        <v>2.530555556</v>
      </c>
      <c r="J344" s="21">
        <f>IFERROR(__xludf.DUMMYFUNCTION("""COMPUTED_VALUE"""),70.0)</f>
        <v>70</v>
      </c>
      <c r="K344" s="23">
        <f>IFERROR(__xludf.DUMMYFUNCTION("""COMPUTED_VALUE"""),7.0)</f>
        <v>7</v>
      </c>
      <c r="L344" s="24">
        <f>IFERROR(__xludf.DUMMYFUNCTION("""COMPUTED_VALUE"""),6.0)</f>
        <v>6</v>
      </c>
      <c r="M344" s="25" t="str">
        <f>IFERROR(__xludf.DUMMYFUNCTION("""COMPUTED_VALUE"""),"Adventure")</f>
        <v>Adventure</v>
      </c>
      <c r="N344" s="25"/>
      <c r="O344" s="25" t="str">
        <f>IFERROR(__xludf.DUMMYFUNCTION("""COMPUTED_VALUE"""),"Yes")</f>
        <v>Yes</v>
      </c>
      <c r="P344" s="26"/>
    </row>
    <row r="345">
      <c r="A345" s="13" t="str">
        <f>IFERROR(__xludf.DUMMYFUNCTION("""COMPUTED_VALUE"""),"Watch Dogs: Legion")</f>
        <v>Watch Dogs: Legion</v>
      </c>
      <c r="B345" s="15" t="str">
        <f>IFERROR(__xludf.DUMMYFUNCTION("""COMPUTED_VALUE"""),"PS5/PS4")</f>
        <v>PS5/PS4</v>
      </c>
      <c r="C345" s="16" t="str">
        <f>IFERROR(__xludf.DUMMYFUNCTION("""COMPUTED_VALUE"""),"Extra (Ubisoft+ Classics)")</f>
        <v>Extra (Ubisoft+ Classics)</v>
      </c>
      <c r="D345" s="15" t="str">
        <f>IFERROR(__xludf.DUMMYFUNCTION("""COMPUTED_VALUE"""),"Active")</f>
        <v>Active</v>
      </c>
      <c r="E345" s="17">
        <f>IFERROR(__xludf.DUMMYFUNCTION("""COMPUTED_VALUE"""),45062.0)</f>
        <v>45062</v>
      </c>
      <c r="F345" s="54"/>
      <c r="G345" s="19">
        <f>IFERROR(__xludf.DUMMYFUNCTION("""COMPUTED_VALUE"""),40.666666666666664)</f>
        <v>40.66666667</v>
      </c>
      <c r="H345" s="17">
        <f>IFERROR(__xludf.DUMMYFUNCTION("""COMPUTED_VALUE"""),44133.0)</f>
        <v>44133</v>
      </c>
      <c r="I345" s="19">
        <f>IFERROR(__xludf.DUMMYFUNCTION("""COMPUTED_VALUE"""),2.547222222222222)</f>
        <v>2.547222222</v>
      </c>
      <c r="J345" s="21">
        <f>IFERROR(__xludf.DUMMYFUNCTION("""COMPUTED_VALUE"""),70.0)</f>
        <v>70</v>
      </c>
      <c r="K345" s="23">
        <f>IFERROR(__xludf.DUMMYFUNCTION("""COMPUTED_VALUE"""),5.5)</f>
        <v>5.5</v>
      </c>
      <c r="L345" s="24">
        <f>IFERROR(__xludf.DUMMYFUNCTION("""COMPUTED_VALUE"""),18.0)</f>
        <v>18</v>
      </c>
      <c r="M345" s="25" t="str">
        <f>IFERROR(__xludf.DUMMYFUNCTION("""COMPUTED_VALUE"""),"Action-Adventure")</f>
        <v>Action-Adventure</v>
      </c>
      <c r="N345" s="25"/>
      <c r="O345" s="25" t="str">
        <f>IFERROR(__xludf.DUMMYFUNCTION("""COMPUTED_VALUE"""),"Yes")</f>
        <v>Yes</v>
      </c>
      <c r="P345" s="26"/>
    </row>
    <row r="346">
      <c r="A346" s="13" t="str">
        <f>IFERROR(__xludf.DUMMYFUNCTION("""COMPUTED_VALUE"""),"Ben 10: Power Trip")</f>
        <v>Ben 10: Power Trip</v>
      </c>
      <c r="B346" s="15" t="str">
        <f>IFERROR(__xludf.DUMMYFUNCTION("""COMPUTED_VALUE"""),"PS5/PS4")</f>
        <v>PS5/PS4</v>
      </c>
      <c r="C346" s="16" t="str">
        <f>IFERROR(__xludf.DUMMYFUNCTION("""COMPUTED_VALUE"""),"Extra")</f>
        <v>Extra</v>
      </c>
      <c r="D346" s="15" t="str">
        <f>IFERROR(__xludf.DUMMYFUNCTION("""COMPUTED_VALUE"""),"Active")</f>
        <v>Active</v>
      </c>
      <c r="E346" s="17">
        <f>IFERROR(__xludf.DUMMYFUNCTION("""COMPUTED_VALUE"""),44915.0)</f>
        <v>44915</v>
      </c>
      <c r="F346" s="54"/>
      <c r="G346" s="19">
        <f>IFERROR(__xludf.DUMMYFUNCTION("""COMPUTED_VALUE"""),45.53333333333333)</f>
        <v>45.53333333</v>
      </c>
      <c r="H346" s="17">
        <f>IFERROR(__xludf.DUMMYFUNCTION("""COMPUTED_VALUE"""),44113.0)</f>
        <v>44113</v>
      </c>
      <c r="I346" s="19">
        <f>IFERROR(__xludf.DUMMYFUNCTION("""COMPUTED_VALUE"""),2.1972222222222224)</f>
        <v>2.197222222</v>
      </c>
      <c r="J346" s="21">
        <f>IFERROR(__xludf.DUMMYFUNCTION("""COMPUTED_VALUE"""),70.0)</f>
        <v>70</v>
      </c>
      <c r="K346" s="23">
        <f>IFERROR(__xludf.DUMMYFUNCTION("""COMPUTED_VALUE"""),5.2)</f>
        <v>5.2</v>
      </c>
      <c r="L346" s="24">
        <f>IFERROR(__xludf.DUMMYFUNCTION("""COMPUTED_VALUE"""),4.0)</f>
        <v>4</v>
      </c>
      <c r="M346" s="25" t="str">
        <f>IFERROR(__xludf.DUMMYFUNCTION("""COMPUTED_VALUE"""),"Action-Adventure")</f>
        <v>Action-Adventure</v>
      </c>
      <c r="N346" s="25"/>
      <c r="O346" s="25" t="str">
        <f>IFERROR(__xludf.DUMMYFUNCTION("""COMPUTED_VALUE"""),"Yes")</f>
        <v>Yes</v>
      </c>
      <c r="P346" s="26"/>
    </row>
    <row r="347">
      <c r="A347" s="13" t="str">
        <f>IFERROR(__xludf.DUMMYFUNCTION("""COMPUTED_VALUE"""),"Gigantosaurus: The Game")</f>
        <v>Gigantosaurus: The Game</v>
      </c>
      <c r="B347" s="15" t="str">
        <f>IFERROR(__xludf.DUMMYFUNCTION("""COMPUTED_VALUE"""),"PS4")</f>
        <v>PS4</v>
      </c>
      <c r="C347" s="16" t="str">
        <f>IFERROR(__xludf.DUMMYFUNCTION("""COMPUTED_VALUE"""),"Extra")</f>
        <v>Extra</v>
      </c>
      <c r="D347" s="15" t="str">
        <f>IFERROR(__xludf.DUMMYFUNCTION("""COMPUTED_VALUE"""),"Active")</f>
        <v>Active</v>
      </c>
      <c r="E347" s="17">
        <f>IFERROR(__xludf.DUMMYFUNCTION("""COMPUTED_VALUE"""),44915.0)</f>
        <v>44915</v>
      </c>
      <c r="F347" s="54"/>
      <c r="G347" s="19">
        <f>IFERROR(__xludf.DUMMYFUNCTION("""COMPUTED_VALUE"""),45.53333333333333)</f>
        <v>45.53333333</v>
      </c>
      <c r="H347" s="17">
        <f>IFERROR(__xludf.DUMMYFUNCTION("""COMPUTED_VALUE"""),43917.0)</f>
        <v>43917</v>
      </c>
      <c r="I347" s="19">
        <f>IFERROR(__xludf.DUMMYFUNCTION("""COMPUTED_VALUE"""),2.7305555555555556)</f>
        <v>2.730555556</v>
      </c>
      <c r="J347" s="21">
        <f>IFERROR(__xludf.DUMMYFUNCTION("""COMPUTED_VALUE"""),70.0)</f>
        <v>70</v>
      </c>
      <c r="K347" s="23">
        <f>IFERROR(__xludf.DUMMYFUNCTION("""COMPUTED_VALUE"""),10.0)</f>
        <v>10</v>
      </c>
      <c r="L347" s="24">
        <f>IFERROR(__xludf.DUMMYFUNCTION("""COMPUTED_VALUE"""),6.0)</f>
        <v>6</v>
      </c>
      <c r="M347" s="25" t="str">
        <f>IFERROR(__xludf.DUMMYFUNCTION("""COMPUTED_VALUE"""),"Action-Adventure")</f>
        <v>Action-Adventure</v>
      </c>
      <c r="N347" s="25"/>
      <c r="O347" s="25" t="str">
        <f>IFERROR(__xludf.DUMMYFUNCTION("""COMPUTED_VALUE"""),"Yes")</f>
        <v>Yes</v>
      </c>
      <c r="P347" s="26"/>
    </row>
    <row r="348">
      <c r="A348" s="13" t="str">
        <f>IFERROR(__xludf.DUMMYFUNCTION("""COMPUTED_VALUE"""),"Assassin's Creed Unity")</f>
        <v>Assassin's Creed Unity</v>
      </c>
      <c r="B348" s="15" t="str">
        <f>IFERROR(__xludf.DUMMYFUNCTION("""COMPUTED_VALUE"""),"PS4")</f>
        <v>PS4</v>
      </c>
      <c r="C348" s="16" t="str">
        <f>IFERROR(__xludf.DUMMYFUNCTION("""COMPUTED_VALUE"""),"Extra (Ubisoft+ Classics)")</f>
        <v>Extra (Ubisoft+ Classics)</v>
      </c>
      <c r="D348" s="15" t="str">
        <f>IFERROR(__xludf.DUMMYFUNCTION("""COMPUTED_VALUE"""),"Active")</f>
        <v>Active</v>
      </c>
      <c r="E348" s="17">
        <f>IFERROR(__xludf.DUMMYFUNCTION("""COMPUTED_VALUE"""),44761.0)</f>
        <v>44761</v>
      </c>
      <c r="F348" s="54"/>
      <c r="G348" s="19">
        <f>IFERROR(__xludf.DUMMYFUNCTION("""COMPUTED_VALUE"""),50.56666666666666)</f>
        <v>50.56666667</v>
      </c>
      <c r="H348" s="17">
        <f>IFERROR(__xludf.DUMMYFUNCTION("""COMPUTED_VALUE"""),41954.0)</f>
        <v>41954</v>
      </c>
      <c r="I348" s="19">
        <f>IFERROR(__xludf.DUMMYFUNCTION("""COMPUTED_VALUE"""),7.688888888888889)</f>
        <v>7.688888889</v>
      </c>
      <c r="J348" s="21">
        <f>IFERROR(__xludf.DUMMYFUNCTION("""COMPUTED_VALUE"""),70.0)</f>
        <v>70</v>
      </c>
      <c r="K348" s="23">
        <f>IFERROR(__xludf.DUMMYFUNCTION("""COMPUTED_VALUE"""),6.0)</f>
        <v>6</v>
      </c>
      <c r="L348" s="24">
        <f>IFERROR(__xludf.DUMMYFUNCTION("""COMPUTED_VALUE"""),17.0)</f>
        <v>17</v>
      </c>
      <c r="M348" s="25" t="str">
        <f>IFERROR(__xludf.DUMMYFUNCTION("""COMPUTED_VALUE"""),"RPG")</f>
        <v>RPG</v>
      </c>
      <c r="N348" s="25"/>
      <c r="O348" s="25" t="str">
        <f>IFERROR(__xludf.DUMMYFUNCTION("""COMPUTED_VALUE"""),"Yes")</f>
        <v>Yes</v>
      </c>
      <c r="P348" s="26"/>
    </row>
    <row r="349">
      <c r="A349" s="13" t="str">
        <f>IFERROR(__xludf.DUMMYFUNCTION("""COMPUTED_VALUE"""),"Monster Truck Championship")</f>
        <v>Monster Truck Championship</v>
      </c>
      <c r="B349" s="15" t="str">
        <f>IFERROR(__xludf.DUMMYFUNCTION("""COMPUTED_VALUE"""),"PS5/PS4")</f>
        <v>PS5/PS4</v>
      </c>
      <c r="C349" s="16" t="str">
        <f>IFERROR(__xludf.DUMMYFUNCTION("""COMPUTED_VALUE"""),"Extra")</f>
        <v>Extra</v>
      </c>
      <c r="D349" s="15" t="str">
        <f>IFERROR(__xludf.DUMMYFUNCTION("""COMPUTED_VALUE"""),"Active")</f>
        <v>Active</v>
      </c>
      <c r="E349" s="17">
        <f>IFERROR(__xludf.DUMMYFUNCTION("""COMPUTED_VALUE"""),44725.0)</f>
        <v>44725</v>
      </c>
      <c r="F349" s="54"/>
      <c r="G349" s="19">
        <f>IFERROR(__xludf.DUMMYFUNCTION("""COMPUTED_VALUE"""),51.766666666666666)</f>
        <v>51.76666667</v>
      </c>
      <c r="H349" s="17">
        <f>IFERROR(__xludf.DUMMYFUNCTION("""COMPUTED_VALUE"""),44119.0)</f>
        <v>44119</v>
      </c>
      <c r="I349" s="19">
        <f>IFERROR(__xludf.DUMMYFUNCTION("""COMPUTED_VALUE"""),1.6611111111111112)</f>
        <v>1.661111111</v>
      </c>
      <c r="J349" s="21">
        <f>IFERROR(__xludf.DUMMYFUNCTION("""COMPUTED_VALUE"""),70.0)</f>
        <v>70</v>
      </c>
      <c r="K349" s="23">
        <f>IFERROR(__xludf.DUMMYFUNCTION("""COMPUTED_VALUE"""),3.8)</f>
        <v>3.8</v>
      </c>
      <c r="L349" s="24">
        <f>IFERROR(__xludf.DUMMYFUNCTION("""COMPUTED_VALUE"""),9.0)</f>
        <v>9</v>
      </c>
      <c r="M349" s="25" t="str">
        <f>IFERROR(__xludf.DUMMYFUNCTION("""COMPUTED_VALUE"""),"Racing")</f>
        <v>Racing</v>
      </c>
      <c r="N349" s="25"/>
      <c r="O349" s="25" t="str">
        <f>IFERROR(__xludf.DUMMYFUNCTION("""COMPUTED_VALUE"""),"Yes")</f>
        <v>Yes</v>
      </c>
      <c r="P349" s="26"/>
    </row>
    <row r="350">
      <c r="A350" s="13" t="str">
        <f>IFERROR(__xludf.DUMMYFUNCTION("""COMPUTED_VALUE"""),"Pile Up! Box by Box")</f>
        <v>Pile Up! Box by Box</v>
      </c>
      <c r="B350" s="15" t="str">
        <f>IFERROR(__xludf.DUMMYFUNCTION("""COMPUTED_VALUE"""),"PS4")</f>
        <v>PS4</v>
      </c>
      <c r="C350" s="16" t="str">
        <f>IFERROR(__xludf.DUMMYFUNCTION("""COMPUTED_VALUE"""),"Extra")</f>
        <v>Extra</v>
      </c>
      <c r="D350" s="15" t="str">
        <f>IFERROR(__xludf.DUMMYFUNCTION("""COMPUTED_VALUE"""),"Active")</f>
        <v>Active</v>
      </c>
      <c r="E350" s="17">
        <f>IFERROR(__xludf.DUMMYFUNCTION("""COMPUTED_VALUE"""),44725.0)</f>
        <v>44725</v>
      </c>
      <c r="F350" s="54"/>
      <c r="G350" s="19">
        <f>IFERROR(__xludf.DUMMYFUNCTION("""COMPUTED_VALUE"""),51.766666666666666)</f>
        <v>51.76666667</v>
      </c>
      <c r="H350" s="17">
        <f>IFERROR(__xludf.DUMMYFUNCTION("""COMPUTED_VALUE"""),44301.0)</f>
        <v>44301</v>
      </c>
      <c r="I350" s="19">
        <f>IFERROR(__xludf.DUMMYFUNCTION("""COMPUTED_VALUE"""),1.1611111111111112)</f>
        <v>1.161111111</v>
      </c>
      <c r="J350" s="21">
        <f>IFERROR(__xludf.DUMMYFUNCTION("""COMPUTED_VALUE"""),70.0)</f>
        <v>70</v>
      </c>
      <c r="K350" s="23">
        <f>IFERROR(__xludf.DUMMYFUNCTION("""COMPUTED_VALUE"""),7.0)</f>
        <v>7</v>
      </c>
      <c r="L350" s="24">
        <f>IFERROR(__xludf.DUMMYFUNCTION("""COMPUTED_VALUE"""),4.0)</f>
        <v>4</v>
      </c>
      <c r="M350" s="25" t="str">
        <f>IFERROR(__xludf.DUMMYFUNCTION("""COMPUTED_VALUE"""),"Platformer")</f>
        <v>Platformer</v>
      </c>
      <c r="N350" s="25"/>
      <c r="O350" s="25" t="str">
        <f>IFERROR(__xludf.DUMMYFUNCTION("""COMPUTED_VALUE"""),"Yes")</f>
        <v>Yes</v>
      </c>
      <c r="P350" s="26" t="str">
        <f>IFERROR(__xludf.DUMMYFUNCTION("""COMPUTED_VALUE"""),"Yes")</f>
        <v>Yes</v>
      </c>
    </row>
    <row r="351">
      <c r="A351" s="13" t="str">
        <f>IFERROR(__xludf.DUMMYFUNCTION("""COMPUTED_VALUE"""),"AO Tennis 2")</f>
        <v>AO Tennis 2</v>
      </c>
      <c r="B351" s="15" t="str">
        <f>IFERROR(__xludf.DUMMYFUNCTION("""COMPUTED_VALUE"""),"PS4")</f>
        <v>PS4</v>
      </c>
      <c r="C351" s="16" t="str">
        <f>IFERROR(__xludf.DUMMYFUNCTION("""COMPUTED_VALUE"""),"Extra")</f>
        <v>Extra</v>
      </c>
      <c r="D351" s="15" t="str">
        <f>IFERROR(__xludf.DUMMYFUNCTION("""COMPUTED_VALUE"""),"Active")</f>
        <v>Active</v>
      </c>
      <c r="E351" s="17">
        <f>IFERROR(__xludf.DUMMYFUNCTION("""COMPUTED_VALUE"""),44047.0)</f>
        <v>44047</v>
      </c>
      <c r="F351" s="54"/>
      <c r="G351" s="19">
        <f>IFERROR(__xludf.DUMMYFUNCTION("""COMPUTED_VALUE"""),74.06666666666666)</f>
        <v>74.06666667</v>
      </c>
      <c r="H351" s="17">
        <f>IFERROR(__xludf.DUMMYFUNCTION("""COMPUTED_VALUE"""),43862.0)</f>
        <v>43862</v>
      </c>
      <c r="I351" s="19">
        <f>IFERROR(__xludf.DUMMYFUNCTION("""COMPUTED_VALUE"""),0.5083333333333333)</f>
        <v>0.5083333333</v>
      </c>
      <c r="J351" s="21">
        <f>IFERROR(__xludf.DUMMYFUNCTION("""COMPUTED_VALUE"""),70.0)</f>
        <v>70</v>
      </c>
      <c r="K351" s="23">
        <f>IFERROR(__xludf.DUMMYFUNCTION("""COMPUTED_VALUE"""),6.2)</f>
        <v>6.2</v>
      </c>
      <c r="L351" s="24">
        <f>IFERROR(__xludf.DUMMYFUNCTION("""COMPUTED_VALUE"""),20.0)</f>
        <v>20</v>
      </c>
      <c r="M351" s="25" t="str">
        <f>IFERROR(__xludf.DUMMYFUNCTION("""COMPUTED_VALUE"""),"Sports")</f>
        <v>Sports</v>
      </c>
      <c r="N351" s="25"/>
      <c r="O351" s="25" t="str">
        <f>IFERROR(__xludf.DUMMYFUNCTION("""COMPUTED_VALUE"""),"Yes")</f>
        <v>Yes</v>
      </c>
      <c r="P351" s="26" t="str">
        <f>IFERROR(__xludf.DUMMYFUNCTION("""COMPUTED_VALUE"""),"Yes")</f>
        <v>Yes</v>
      </c>
    </row>
    <row r="352">
      <c r="A352" s="13" t="str">
        <f>IFERROR(__xludf.DUMMYFUNCTION("""COMPUTED_VALUE"""),"Vampyr")</f>
        <v>Vampyr</v>
      </c>
      <c r="B352" s="15" t="str">
        <f>IFERROR(__xludf.DUMMYFUNCTION("""COMPUTED_VALUE"""),"PS4")</f>
        <v>PS4</v>
      </c>
      <c r="C352" s="16" t="str">
        <f>IFERROR(__xludf.DUMMYFUNCTION("""COMPUTED_VALUE"""),"Extra")</f>
        <v>Extra</v>
      </c>
      <c r="D352" s="15" t="str">
        <f>IFERROR(__xludf.DUMMYFUNCTION("""COMPUTED_VALUE"""),"Active")</f>
        <v>Active</v>
      </c>
      <c r="E352" s="17">
        <f>IFERROR(__xludf.DUMMYFUNCTION("""COMPUTED_VALUE"""),43711.0)</f>
        <v>43711</v>
      </c>
      <c r="F352" s="54"/>
      <c r="G352" s="19">
        <f>IFERROR(__xludf.DUMMYFUNCTION("""COMPUTED_VALUE"""),85.1)</f>
        <v>85.1</v>
      </c>
      <c r="H352" s="17">
        <f>IFERROR(__xludf.DUMMYFUNCTION("""COMPUTED_VALUE"""),43256.0)</f>
        <v>43256</v>
      </c>
      <c r="I352" s="19">
        <f>IFERROR(__xludf.DUMMYFUNCTION("""COMPUTED_VALUE"""),1.2444444444444445)</f>
        <v>1.244444444</v>
      </c>
      <c r="J352" s="21">
        <f>IFERROR(__xludf.DUMMYFUNCTION("""COMPUTED_VALUE"""),70.0)</f>
        <v>70</v>
      </c>
      <c r="K352" s="23">
        <f>IFERROR(__xludf.DUMMYFUNCTION("""COMPUTED_VALUE"""),7.1)</f>
        <v>7.1</v>
      </c>
      <c r="L352" s="24">
        <f>IFERROR(__xludf.DUMMYFUNCTION("""COMPUTED_VALUE"""),17.0)</f>
        <v>17</v>
      </c>
      <c r="M352" s="25" t="str">
        <f>IFERROR(__xludf.DUMMYFUNCTION("""COMPUTED_VALUE"""),"RPG")</f>
        <v>RPG</v>
      </c>
      <c r="N352" s="25"/>
      <c r="O352" s="25" t="str">
        <f>IFERROR(__xludf.DUMMYFUNCTION("""COMPUTED_VALUE"""),"Yes")</f>
        <v>Yes</v>
      </c>
      <c r="P352" s="26"/>
    </row>
    <row r="353">
      <c r="A353" s="13" t="str">
        <f>IFERROR(__xludf.DUMMYFUNCTION("""COMPUTED_VALUE"""),"Rainbow Moon")</f>
        <v>Rainbow Moon</v>
      </c>
      <c r="B353" s="15" t="str">
        <f>IFERROR(__xludf.DUMMYFUNCTION("""COMPUTED_VALUE"""),"PS4")</f>
        <v>PS4</v>
      </c>
      <c r="C353" s="16" t="str">
        <f>IFERROR(__xludf.DUMMYFUNCTION("""COMPUTED_VALUE"""),"Extra")</f>
        <v>Extra</v>
      </c>
      <c r="D353" s="15" t="str">
        <f>IFERROR(__xludf.DUMMYFUNCTION("""COMPUTED_VALUE"""),"Active")</f>
        <v>Active</v>
      </c>
      <c r="E353" s="17">
        <f>IFERROR(__xludf.DUMMYFUNCTION("""COMPUTED_VALUE"""),42017.0)</f>
        <v>42017</v>
      </c>
      <c r="F353" s="54"/>
      <c r="G353" s="19">
        <f>IFERROR(__xludf.DUMMYFUNCTION("""COMPUTED_VALUE"""),140.76666666666668)</f>
        <v>140.7666667</v>
      </c>
      <c r="H353" s="17">
        <f>IFERROR(__xludf.DUMMYFUNCTION("""COMPUTED_VALUE"""),41064.0)</f>
        <v>41064</v>
      </c>
      <c r="I353" s="19">
        <f>IFERROR(__xludf.DUMMYFUNCTION("""COMPUTED_VALUE"""),2.6083333333333334)</f>
        <v>2.608333333</v>
      </c>
      <c r="J353" s="21">
        <f>IFERROR(__xludf.DUMMYFUNCTION("""COMPUTED_VALUE"""),70.0)</f>
        <v>70</v>
      </c>
      <c r="K353" s="23">
        <f>IFERROR(__xludf.DUMMYFUNCTION("""COMPUTED_VALUE"""),8.0)</f>
        <v>8</v>
      </c>
      <c r="L353" s="24">
        <f>IFERROR(__xludf.DUMMYFUNCTION("""COMPUTED_VALUE"""),40.0)</f>
        <v>40</v>
      </c>
      <c r="M353" s="25" t="str">
        <f>IFERROR(__xludf.DUMMYFUNCTION("""COMPUTED_VALUE"""),"RPG")</f>
        <v>RPG</v>
      </c>
      <c r="N353" s="25"/>
      <c r="O353" s="25" t="str">
        <f>IFERROR(__xludf.DUMMYFUNCTION("""COMPUTED_VALUE"""),"Yes")</f>
        <v>Yes</v>
      </c>
      <c r="P353" s="26"/>
    </row>
    <row r="354">
      <c r="A354" s="13" t="str">
        <f>IFERROR(__xludf.DUMMYFUNCTION("""COMPUTED_VALUE"""),"Enotria: The Last Song Standard Edition")</f>
        <v>Enotria: The Last Song Standard Edition</v>
      </c>
      <c r="B354" s="15" t="str">
        <f>IFERROR(__xludf.DUMMYFUNCTION("""COMPUTED_VALUE"""),"PS5")</f>
        <v>PS5</v>
      </c>
      <c r="C354" s="16" t="str">
        <f>IFERROR(__xludf.DUMMYFUNCTION("""COMPUTED_VALUE"""),"Extra")</f>
        <v>Extra</v>
      </c>
      <c r="D354" s="15" t="str">
        <f>IFERROR(__xludf.DUMMYFUNCTION("""COMPUTED_VALUE"""),"Active")</f>
        <v>Active</v>
      </c>
      <c r="E354" s="17">
        <f>IFERROR(__xludf.DUMMYFUNCTION("""COMPUTED_VALUE"""),46161.0)</f>
        <v>46161</v>
      </c>
      <c r="F354" s="18"/>
      <c r="G354" s="19">
        <f>IFERROR(__xludf.DUMMYFUNCTION("""COMPUTED_VALUE"""),4.566666666666666)</f>
        <v>4.566666667</v>
      </c>
      <c r="H354" s="17">
        <f>IFERROR(__xludf.DUMMYFUNCTION("""COMPUTED_VALUE"""),45551.0)</f>
        <v>45551</v>
      </c>
      <c r="I354" s="19">
        <f>IFERROR(__xludf.DUMMYFUNCTION("""COMPUTED_VALUE"""),1.675)</f>
        <v>1.675</v>
      </c>
      <c r="J354" s="21">
        <f>IFERROR(__xludf.DUMMYFUNCTION("""COMPUTED_VALUE"""),69.0)</f>
        <v>69</v>
      </c>
      <c r="K354" s="23">
        <f>IFERROR(__xludf.DUMMYFUNCTION("""COMPUTED_VALUE"""),6.1)</f>
        <v>6.1</v>
      </c>
      <c r="L354" s="24">
        <f>IFERROR(__xludf.DUMMYFUNCTION("""COMPUTED_VALUE"""),29.0)</f>
        <v>29</v>
      </c>
      <c r="M354" s="25" t="str">
        <f>IFERROR(__xludf.DUMMYFUNCTION("""COMPUTED_VALUE"""),"RPG")</f>
        <v>RPG</v>
      </c>
      <c r="N354" s="25"/>
      <c r="O354" s="25"/>
      <c r="P354" s="26"/>
    </row>
    <row r="355">
      <c r="A355" s="13" t="str">
        <f>IFERROR(__xludf.DUMMYFUNCTION("""COMPUTED_VALUE"""),"Captain Tsubasa: Rise of New Champions")</f>
        <v>Captain Tsubasa: Rise of New Champions</v>
      </c>
      <c r="B355" s="15" t="str">
        <f>IFERROR(__xludf.DUMMYFUNCTION("""COMPUTED_VALUE"""),"PS4")</f>
        <v>PS4</v>
      </c>
      <c r="C355" s="16" t="str">
        <f>IFERROR(__xludf.DUMMYFUNCTION("""COMPUTED_VALUE"""),"Extra")</f>
        <v>Extra</v>
      </c>
      <c r="D355" s="15" t="str">
        <f>IFERROR(__xludf.DUMMYFUNCTION("""COMPUTED_VALUE"""),"Active")</f>
        <v>Active</v>
      </c>
      <c r="E355" s="17">
        <f>IFERROR(__xludf.DUMMYFUNCTION("""COMPUTED_VALUE"""),45734.0)</f>
        <v>45734</v>
      </c>
      <c r="F355" s="54"/>
      <c r="G355" s="19">
        <f>IFERROR(__xludf.DUMMYFUNCTION("""COMPUTED_VALUE"""),18.6)</f>
        <v>18.6</v>
      </c>
      <c r="H355" s="17">
        <f>IFERROR(__xludf.DUMMYFUNCTION("""COMPUTED_VALUE"""),44071.0)</f>
        <v>44071</v>
      </c>
      <c r="I355" s="19">
        <f>IFERROR(__xludf.DUMMYFUNCTION("""COMPUTED_VALUE"""),4.555555555555555)</f>
        <v>4.555555556</v>
      </c>
      <c r="J355" s="21">
        <f>IFERROR(__xludf.DUMMYFUNCTION("""COMPUTED_VALUE"""),69.0)</f>
        <v>69</v>
      </c>
      <c r="K355" s="23">
        <f>IFERROR(__xludf.DUMMYFUNCTION("""COMPUTED_VALUE"""),7.2)</f>
        <v>7.2</v>
      </c>
      <c r="L355" s="24">
        <f>IFERROR(__xludf.DUMMYFUNCTION("""COMPUTED_VALUE"""),12.0)</f>
        <v>12</v>
      </c>
      <c r="M355" s="25" t="str">
        <f>IFERROR(__xludf.DUMMYFUNCTION("""COMPUTED_VALUE"""),"Soccer")</f>
        <v>Soccer</v>
      </c>
      <c r="N355" s="25"/>
      <c r="O355" s="25" t="str">
        <f>IFERROR(__xludf.DUMMYFUNCTION("""COMPUTED_VALUE"""),"Yes")</f>
        <v>Yes</v>
      </c>
      <c r="P355" s="26"/>
    </row>
    <row r="356">
      <c r="A356" s="13" t="str">
        <f>IFERROR(__xludf.DUMMYFUNCTION("""COMPUTED_VALUE"""),"Rabbids: Party of Legends")</f>
        <v>Rabbids: Party of Legends</v>
      </c>
      <c r="B356" s="15" t="str">
        <f>IFERROR(__xludf.DUMMYFUNCTION("""COMPUTED_VALUE"""),"PS4")</f>
        <v>PS4</v>
      </c>
      <c r="C356" s="16" t="str">
        <f>IFERROR(__xludf.DUMMYFUNCTION("""COMPUTED_VALUE"""),"Extra (Ubisoft+ Classics)")</f>
        <v>Extra (Ubisoft+ Classics)</v>
      </c>
      <c r="D356" s="15" t="str">
        <f>IFERROR(__xludf.DUMMYFUNCTION("""COMPUTED_VALUE"""),"Active")</f>
        <v>Active</v>
      </c>
      <c r="E356" s="17">
        <f>IFERROR(__xludf.DUMMYFUNCTION("""COMPUTED_VALUE"""),45643.0)</f>
        <v>45643</v>
      </c>
      <c r="F356" s="18"/>
      <c r="G356" s="19">
        <f>IFERROR(__xludf.DUMMYFUNCTION("""COMPUTED_VALUE"""),21.633333333333333)</f>
        <v>21.63333333</v>
      </c>
      <c r="H356" s="17">
        <f>IFERROR(__xludf.DUMMYFUNCTION("""COMPUTED_VALUE"""),44742.0)</f>
        <v>44742</v>
      </c>
      <c r="I356" s="19">
        <f>IFERROR(__xludf.DUMMYFUNCTION("""COMPUTED_VALUE"""),2.463888888888889)</f>
        <v>2.463888889</v>
      </c>
      <c r="J356" s="21">
        <f>IFERROR(__xludf.DUMMYFUNCTION("""COMPUTED_VALUE"""),69.0)</f>
        <v>69</v>
      </c>
      <c r="K356" s="23">
        <f>IFERROR(__xludf.DUMMYFUNCTION("""COMPUTED_VALUE"""),5.8)</f>
        <v>5.8</v>
      </c>
      <c r="L356" s="24">
        <f>IFERROR(__xludf.DUMMYFUNCTION("""COMPUTED_VALUE"""),3.0)</f>
        <v>3</v>
      </c>
      <c r="M356" s="25" t="str">
        <f>IFERROR(__xludf.DUMMYFUNCTION("""COMPUTED_VALUE"""),"Party")</f>
        <v>Party</v>
      </c>
      <c r="N356" s="25"/>
      <c r="O356" s="25" t="str">
        <f>IFERROR(__xludf.DUMMYFUNCTION("""COMPUTED_VALUE"""),"No")</f>
        <v>No</v>
      </c>
      <c r="P356" s="26"/>
    </row>
    <row r="357">
      <c r="A357" s="13" t="str">
        <f>IFERROR(__xludf.DUMMYFUNCTION("""COMPUTED_VALUE"""),"Raji: An Ancient Epic")</f>
        <v>Raji: An Ancient Epic</v>
      </c>
      <c r="B357" s="15" t="str">
        <f>IFERROR(__xludf.DUMMYFUNCTION("""COMPUTED_VALUE"""),"PS5/PS4")</f>
        <v>PS5/PS4</v>
      </c>
      <c r="C357" s="16" t="str">
        <f>IFERROR(__xludf.DUMMYFUNCTION("""COMPUTED_VALUE"""),"Extra")</f>
        <v>Extra</v>
      </c>
      <c r="D357" s="15" t="str">
        <f>IFERROR(__xludf.DUMMYFUNCTION("""COMPUTED_VALUE"""),"Active")</f>
        <v>Active</v>
      </c>
      <c r="E357" s="17">
        <f>IFERROR(__xludf.DUMMYFUNCTION("""COMPUTED_VALUE"""),45398.0)</f>
        <v>45398</v>
      </c>
      <c r="F357" s="54"/>
      <c r="G357" s="19">
        <f>IFERROR(__xludf.DUMMYFUNCTION("""COMPUTED_VALUE"""),29.666666666666668)</f>
        <v>29.66666667</v>
      </c>
      <c r="H357" s="17">
        <f>IFERROR(__xludf.DUMMYFUNCTION("""COMPUTED_VALUE"""),44061.0)</f>
        <v>44061</v>
      </c>
      <c r="I357" s="19">
        <f>IFERROR(__xludf.DUMMYFUNCTION("""COMPUTED_VALUE"""),3.661111111111111)</f>
        <v>3.661111111</v>
      </c>
      <c r="J357" s="21">
        <f>IFERROR(__xludf.DUMMYFUNCTION("""COMPUTED_VALUE"""),69.0)</f>
        <v>69</v>
      </c>
      <c r="K357" s="23">
        <f>IFERROR(__xludf.DUMMYFUNCTION("""COMPUTED_VALUE"""),7.6)</f>
        <v>7.6</v>
      </c>
      <c r="L357" s="24">
        <f>IFERROR(__xludf.DUMMYFUNCTION("""COMPUTED_VALUE"""),5.0)</f>
        <v>5</v>
      </c>
      <c r="M357" s="25" t="str">
        <f>IFERROR(__xludf.DUMMYFUNCTION("""COMPUTED_VALUE"""),"Action-Adventure")</f>
        <v>Action-Adventure</v>
      </c>
      <c r="N357" s="25"/>
      <c r="O357" s="25" t="str">
        <f>IFERROR(__xludf.DUMMYFUNCTION("""COMPUTED_VALUE"""),"Portal (PS5 + Premium)")</f>
        <v>Portal (PS5 + Premium)</v>
      </c>
      <c r="P357" s="26"/>
    </row>
    <row r="358">
      <c r="A358" s="13" t="str">
        <f>IFERROR(__xludf.DUMMYFUNCTION("""COMPUTED_VALUE"""),"Surviving the Aftermath")</f>
        <v>Surviving the Aftermath</v>
      </c>
      <c r="B358" s="15" t="str">
        <f>IFERROR(__xludf.DUMMYFUNCTION("""COMPUTED_VALUE"""),"PS4")</f>
        <v>PS4</v>
      </c>
      <c r="C358" s="16" t="str">
        <f>IFERROR(__xludf.DUMMYFUNCTION("""COMPUTED_VALUE"""),"Extra")</f>
        <v>Extra</v>
      </c>
      <c r="D358" s="15" t="str">
        <f>IFERROR(__xludf.DUMMYFUNCTION("""COMPUTED_VALUE"""),"Active")</f>
        <v>Active</v>
      </c>
      <c r="E358" s="17">
        <f>IFERROR(__xludf.DUMMYFUNCTION("""COMPUTED_VALUE"""),45307.0)</f>
        <v>45307</v>
      </c>
      <c r="F358" s="54"/>
      <c r="G358" s="19">
        <f>IFERROR(__xludf.DUMMYFUNCTION("""COMPUTED_VALUE"""),32.66666666666667)</f>
        <v>32.66666667</v>
      </c>
      <c r="H358" s="17">
        <f>IFERROR(__xludf.DUMMYFUNCTION("""COMPUTED_VALUE"""),44516.0)</f>
        <v>44516</v>
      </c>
      <c r="I358" s="19">
        <f>IFERROR(__xludf.DUMMYFUNCTION("""COMPUTED_VALUE"""),2.1666666666666665)</f>
        <v>2.166666667</v>
      </c>
      <c r="J358" s="21">
        <f>IFERROR(__xludf.DUMMYFUNCTION("""COMPUTED_VALUE"""),69.0)</f>
        <v>69</v>
      </c>
      <c r="K358" s="23">
        <f>IFERROR(__xludf.DUMMYFUNCTION("""COMPUTED_VALUE"""),6.2)</f>
        <v>6.2</v>
      </c>
      <c r="L358" s="24">
        <f>IFERROR(__xludf.DUMMYFUNCTION("""COMPUTED_VALUE"""),18.0)</f>
        <v>18</v>
      </c>
      <c r="M358" s="25" t="str">
        <f>IFERROR(__xludf.DUMMYFUNCTION("""COMPUTED_VALUE"""),"Simulation")</f>
        <v>Simulation</v>
      </c>
      <c r="N358" s="25"/>
      <c r="O358" s="25" t="str">
        <f>IFERROR(__xludf.DUMMYFUNCTION("""COMPUTED_VALUE"""),"Yes")</f>
        <v>Yes</v>
      </c>
      <c r="P358" s="26"/>
    </row>
    <row r="359">
      <c r="A359" s="13" t="str">
        <f>IFERROR(__xludf.DUMMYFUNCTION("""COMPUTED_VALUE"""),"Erica")</f>
        <v>Erica</v>
      </c>
      <c r="B359" s="15" t="str">
        <f>IFERROR(__xludf.DUMMYFUNCTION("""COMPUTED_VALUE"""),"PS4")</f>
        <v>PS4</v>
      </c>
      <c r="C359" s="16" t="str">
        <f>IFERROR(__xludf.DUMMYFUNCTION("""COMPUTED_VALUE"""),"Extra")</f>
        <v>Extra</v>
      </c>
      <c r="D359" s="15" t="str">
        <f>IFERROR(__xludf.DUMMYFUNCTION("""COMPUTED_VALUE"""),"Active")</f>
        <v>Active</v>
      </c>
      <c r="E359" s="17">
        <f>IFERROR(__xludf.DUMMYFUNCTION("""COMPUTED_VALUE"""),44943.0)</f>
        <v>44943</v>
      </c>
      <c r="F359" s="54"/>
      <c r="G359" s="19">
        <f>IFERROR(__xludf.DUMMYFUNCTION("""COMPUTED_VALUE"""),44.63333333333333)</f>
        <v>44.63333333</v>
      </c>
      <c r="H359" s="17">
        <f>IFERROR(__xludf.DUMMYFUNCTION("""COMPUTED_VALUE"""),43696.0)</f>
        <v>43696</v>
      </c>
      <c r="I359" s="19">
        <f>IFERROR(__xludf.DUMMYFUNCTION("""COMPUTED_VALUE"""),3.411111111111111)</f>
        <v>3.411111111</v>
      </c>
      <c r="J359" s="21">
        <f>IFERROR(__xludf.DUMMYFUNCTION("""COMPUTED_VALUE"""),69.0)</f>
        <v>69</v>
      </c>
      <c r="K359" s="23">
        <f>IFERROR(__xludf.DUMMYFUNCTION("""COMPUTED_VALUE"""),6.8)</f>
        <v>6.8</v>
      </c>
      <c r="L359" s="24">
        <f>IFERROR(__xludf.DUMMYFUNCTION("""COMPUTED_VALUE"""),2.0)</f>
        <v>2</v>
      </c>
      <c r="M359" s="25" t="str">
        <f>IFERROR(__xludf.DUMMYFUNCTION("""COMPUTED_VALUE"""),"Action-Adventure")</f>
        <v>Action-Adventure</v>
      </c>
      <c r="N359" s="25"/>
      <c r="O359" s="25" t="str">
        <f>IFERROR(__xludf.DUMMYFUNCTION("""COMPUTED_VALUE"""),"Yes")</f>
        <v>Yes</v>
      </c>
      <c r="P359" s="26"/>
    </row>
    <row r="360">
      <c r="A360" s="13" t="str">
        <f>IFERROR(__xludf.DUMMYFUNCTION("""COMPUTED_VALUE"""),"Earth Defense Force: Iron Rain")</f>
        <v>Earth Defense Force: Iron Rain</v>
      </c>
      <c r="B360" s="15" t="str">
        <f>IFERROR(__xludf.DUMMYFUNCTION("""COMPUTED_VALUE"""),"PS4")</f>
        <v>PS4</v>
      </c>
      <c r="C360" s="16" t="str">
        <f>IFERROR(__xludf.DUMMYFUNCTION("""COMPUTED_VALUE"""),"Extra")</f>
        <v>Extra</v>
      </c>
      <c r="D360" s="15" t="str">
        <f>IFERROR(__xludf.DUMMYFUNCTION("""COMPUTED_VALUE"""),"Active")</f>
        <v>Active</v>
      </c>
      <c r="E360" s="17">
        <f>IFERROR(__xludf.DUMMYFUNCTION("""COMPUTED_VALUE"""),44880.0)</f>
        <v>44880</v>
      </c>
      <c r="F360" s="18"/>
      <c r="G360" s="19">
        <f>IFERROR(__xludf.DUMMYFUNCTION("""COMPUTED_VALUE"""),46.7)</f>
        <v>46.7</v>
      </c>
      <c r="H360" s="17">
        <f>IFERROR(__xludf.DUMMYFUNCTION("""COMPUTED_VALUE"""),43566.0)</f>
        <v>43566</v>
      </c>
      <c r="I360" s="19">
        <f>IFERROR(__xludf.DUMMYFUNCTION("""COMPUTED_VALUE"""),3.5944444444444446)</f>
        <v>3.594444444</v>
      </c>
      <c r="J360" s="21">
        <f>IFERROR(__xludf.DUMMYFUNCTION("""COMPUTED_VALUE"""),69.0)</f>
        <v>69</v>
      </c>
      <c r="K360" s="23">
        <f>IFERROR(__xludf.DUMMYFUNCTION("""COMPUTED_VALUE"""),5.2)</f>
        <v>5.2</v>
      </c>
      <c r="L360" s="24">
        <f>IFERROR(__xludf.DUMMYFUNCTION("""COMPUTED_VALUE"""),9.5)</f>
        <v>9.5</v>
      </c>
      <c r="M360" s="25" t="str">
        <f>IFERROR(__xludf.DUMMYFUNCTION("""COMPUTED_VALUE"""),"Shooter")</f>
        <v>Shooter</v>
      </c>
      <c r="N360" s="25"/>
      <c r="O360" s="25" t="str">
        <f>IFERROR(__xludf.DUMMYFUNCTION("""COMPUTED_VALUE"""),"Yes")</f>
        <v>Yes</v>
      </c>
      <c r="P360" s="26"/>
    </row>
    <row r="361">
      <c r="A361" s="13" t="str">
        <f>IFERROR(__xludf.DUMMYFUNCTION("""COMPUTED_VALUE"""),"Assassin's Creed Chronicles: China")</f>
        <v>Assassin's Creed Chronicles: China</v>
      </c>
      <c r="B361" s="15" t="str">
        <f>IFERROR(__xludf.DUMMYFUNCTION("""COMPUTED_VALUE"""),"PS4")</f>
        <v>PS4</v>
      </c>
      <c r="C361" s="16" t="str">
        <f>IFERROR(__xludf.DUMMYFUNCTION("""COMPUTED_VALUE"""),"Extra (Ubisoft+ Classics)")</f>
        <v>Extra (Ubisoft+ Classics)</v>
      </c>
      <c r="D361" s="15" t="str">
        <f>IFERROR(__xludf.DUMMYFUNCTION("""COMPUTED_VALUE"""),"Active")</f>
        <v>Active</v>
      </c>
      <c r="E361" s="17">
        <f>IFERROR(__xludf.DUMMYFUNCTION("""COMPUTED_VALUE"""),44852.0)</f>
        <v>44852</v>
      </c>
      <c r="F361" s="54"/>
      <c r="G361" s="19">
        <f>IFERROR(__xludf.DUMMYFUNCTION("""COMPUTED_VALUE"""),47.6)</f>
        <v>47.6</v>
      </c>
      <c r="H361" s="17">
        <f>IFERROR(__xludf.DUMMYFUNCTION("""COMPUTED_VALUE"""),42115.0)</f>
        <v>42115</v>
      </c>
      <c r="I361" s="19">
        <f>IFERROR(__xludf.DUMMYFUNCTION("""COMPUTED_VALUE"""),7.491666666666666)</f>
        <v>7.491666667</v>
      </c>
      <c r="J361" s="21">
        <f>IFERROR(__xludf.DUMMYFUNCTION("""COMPUTED_VALUE"""),69.0)</f>
        <v>69</v>
      </c>
      <c r="K361" s="23">
        <f>IFERROR(__xludf.DUMMYFUNCTION("""COMPUTED_VALUE"""),6.1)</f>
        <v>6.1</v>
      </c>
      <c r="L361" s="24">
        <f>IFERROR(__xludf.DUMMYFUNCTION("""COMPUTED_VALUE"""),6.0)</f>
        <v>6</v>
      </c>
      <c r="M361" s="25" t="str">
        <f>IFERROR(__xludf.DUMMYFUNCTION("""COMPUTED_VALUE"""),"Platformer")</f>
        <v>Platformer</v>
      </c>
      <c r="N361" s="25"/>
      <c r="O361" s="25" t="str">
        <f>IFERROR(__xludf.DUMMYFUNCTION("""COMPUTED_VALUE"""),"Yes")</f>
        <v>Yes</v>
      </c>
      <c r="P361" s="26"/>
    </row>
    <row r="362">
      <c r="A362" s="13" t="str">
        <f>IFERROR(__xludf.DUMMYFUNCTION("""COMPUTED_VALUE"""),"Magicka 2")</f>
        <v>Magicka 2</v>
      </c>
      <c r="B362" s="15" t="str">
        <f>IFERROR(__xludf.DUMMYFUNCTION("""COMPUTED_VALUE"""),"PS4")</f>
        <v>PS4</v>
      </c>
      <c r="C362" s="16" t="str">
        <f>IFERROR(__xludf.DUMMYFUNCTION("""COMPUTED_VALUE"""),"Extra")</f>
        <v>Extra</v>
      </c>
      <c r="D362" s="15" t="str">
        <f>IFERROR(__xludf.DUMMYFUNCTION("""COMPUTED_VALUE"""),"Active")</f>
        <v>Active</v>
      </c>
      <c r="E362" s="17">
        <f>IFERROR(__xludf.DUMMYFUNCTION("""COMPUTED_VALUE"""),44725.0)</f>
        <v>44725</v>
      </c>
      <c r="F362" s="54"/>
      <c r="G362" s="19">
        <f>IFERROR(__xludf.DUMMYFUNCTION("""COMPUTED_VALUE"""),51.766666666666666)</f>
        <v>51.76666667</v>
      </c>
      <c r="H362" s="17">
        <f>IFERROR(__xludf.DUMMYFUNCTION("""COMPUTED_VALUE"""),42125.0)</f>
        <v>42125</v>
      </c>
      <c r="I362" s="19">
        <f>IFERROR(__xludf.DUMMYFUNCTION("""COMPUTED_VALUE"""),7.116666666666666)</f>
        <v>7.116666667</v>
      </c>
      <c r="J362" s="21">
        <f>IFERROR(__xludf.DUMMYFUNCTION("""COMPUTED_VALUE"""),69.0)</f>
        <v>69</v>
      </c>
      <c r="K362" s="23">
        <f>IFERROR(__xludf.DUMMYFUNCTION("""COMPUTED_VALUE"""),7.2)</f>
        <v>7.2</v>
      </c>
      <c r="L362" s="24">
        <f>IFERROR(__xludf.DUMMYFUNCTION("""COMPUTED_VALUE"""),6.0)</f>
        <v>6</v>
      </c>
      <c r="M362" s="25" t="str">
        <f>IFERROR(__xludf.DUMMYFUNCTION("""COMPUTED_VALUE"""),"RPG")</f>
        <v>RPG</v>
      </c>
      <c r="N362" s="25"/>
      <c r="O362" s="25" t="str">
        <f>IFERROR(__xludf.DUMMYFUNCTION("""COMPUTED_VALUE"""),"Yes")</f>
        <v>Yes</v>
      </c>
      <c r="P362" s="26" t="str">
        <f>IFERROR(__xludf.DUMMYFUNCTION("""COMPUTED_VALUE"""),"Yes")</f>
        <v>Yes</v>
      </c>
    </row>
    <row r="363">
      <c r="A363" s="13" t="str">
        <f>IFERROR(__xludf.DUMMYFUNCTION("""COMPUTED_VALUE"""),"MediEvil")</f>
        <v>MediEvil</v>
      </c>
      <c r="B363" s="15" t="str">
        <f>IFERROR(__xludf.DUMMYFUNCTION("""COMPUTED_VALUE"""),"PS4")</f>
        <v>PS4</v>
      </c>
      <c r="C363" s="16" t="str">
        <f>IFERROR(__xludf.DUMMYFUNCTION("""COMPUTED_VALUE"""),"Extra")</f>
        <v>Extra</v>
      </c>
      <c r="D363" s="15" t="str">
        <f>IFERROR(__xludf.DUMMYFUNCTION("""COMPUTED_VALUE"""),"Active")</f>
        <v>Active</v>
      </c>
      <c r="E363" s="17">
        <f>IFERROR(__xludf.DUMMYFUNCTION("""COMPUTED_VALUE"""),44725.0)</f>
        <v>44725</v>
      </c>
      <c r="F363" s="54"/>
      <c r="G363" s="19">
        <f>IFERROR(__xludf.DUMMYFUNCTION("""COMPUTED_VALUE"""),51.766666666666666)</f>
        <v>51.76666667</v>
      </c>
      <c r="H363" s="17">
        <f>IFERROR(__xludf.DUMMYFUNCTION("""COMPUTED_VALUE"""),43739.0)</f>
        <v>43739</v>
      </c>
      <c r="I363" s="19">
        <f>IFERROR(__xludf.DUMMYFUNCTION("""COMPUTED_VALUE"""),2.7)</f>
        <v>2.7</v>
      </c>
      <c r="J363" s="21">
        <f>IFERROR(__xludf.DUMMYFUNCTION("""COMPUTED_VALUE"""),69.0)</f>
        <v>69</v>
      </c>
      <c r="K363" s="23">
        <f>IFERROR(__xludf.DUMMYFUNCTION("""COMPUTED_VALUE"""),8.0)</f>
        <v>8</v>
      </c>
      <c r="L363" s="24">
        <f>IFERROR(__xludf.DUMMYFUNCTION("""COMPUTED_VALUE"""),9.0)</f>
        <v>9</v>
      </c>
      <c r="M363" s="25" t="str">
        <f>IFERROR(__xludf.DUMMYFUNCTION("""COMPUTED_VALUE"""),"Action-Adventure")</f>
        <v>Action-Adventure</v>
      </c>
      <c r="N363" s="25"/>
      <c r="O363" s="25" t="str">
        <f>IFERROR(__xludf.DUMMYFUNCTION("""COMPUTED_VALUE"""),"Yes")</f>
        <v>Yes</v>
      </c>
      <c r="P363" s="26"/>
    </row>
    <row r="364">
      <c r="A364" s="13" t="str">
        <f>IFERROR(__xludf.DUMMYFUNCTION("""COMPUTED_VALUE"""),"NASCAR Heat 5")</f>
        <v>NASCAR Heat 5</v>
      </c>
      <c r="B364" s="15" t="str">
        <f>IFERROR(__xludf.DUMMYFUNCTION("""COMPUTED_VALUE"""),"PS4")</f>
        <v>PS4</v>
      </c>
      <c r="C364" s="16" t="str">
        <f>IFERROR(__xludf.DUMMYFUNCTION("""COMPUTED_VALUE"""),"Extra")</f>
        <v>Extra</v>
      </c>
      <c r="D364" s="15" t="str">
        <f>IFERROR(__xludf.DUMMYFUNCTION("""COMPUTED_VALUE"""),"Active")</f>
        <v>Active</v>
      </c>
      <c r="E364" s="17">
        <f>IFERROR(__xludf.DUMMYFUNCTION("""COMPUTED_VALUE"""),44725.0)</f>
        <v>44725</v>
      </c>
      <c r="F364" s="54"/>
      <c r="G364" s="19">
        <f>IFERROR(__xludf.DUMMYFUNCTION("""COMPUTED_VALUE"""),51.766666666666666)</f>
        <v>51.76666667</v>
      </c>
      <c r="H364" s="17">
        <f>IFERROR(__xludf.DUMMYFUNCTION("""COMPUTED_VALUE"""),44022.0)</f>
        <v>44022</v>
      </c>
      <c r="I364" s="19">
        <f>IFERROR(__xludf.DUMMYFUNCTION("""COMPUTED_VALUE"""),1.925)</f>
        <v>1.925</v>
      </c>
      <c r="J364" s="21">
        <f>IFERROR(__xludf.DUMMYFUNCTION("""COMPUTED_VALUE"""),69.0)</f>
        <v>69</v>
      </c>
      <c r="K364" s="23">
        <f>IFERROR(__xludf.DUMMYFUNCTION("""COMPUTED_VALUE"""),5.7)</f>
        <v>5.7</v>
      </c>
      <c r="L364" s="24"/>
      <c r="M364" s="25" t="str">
        <f>IFERROR(__xludf.DUMMYFUNCTION("""COMPUTED_VALUE"""),"Racing")</f>
        <v>Racing</v>
      </c>
      <c r="N364" s="25"/>
      <c r="O364" s="25" t="str">
        <f>IFERROR(__xludf.DUMMYFUNCTION("""COMPUTED_VALUE"""),"Yes")</f>
        <v>Yes</v>
      </c>
      <c r="P364" s="26" t="str">
        <f>IFERROR(__xludf.DUMMYFUNCTION("""COMPUTED_VALUE"""),"Yes")</f>
        <v>Yes</v>
      </c>
    </row>
    <row r="365">
      <c r="A365" s="13" t="str">
        <f>IFERROR(__xludf.DUMMYFUNCTION("""COMPUTED_VALUE"""),"Pure Hold'em World Poker Championship")</f>
        <v>Pure Hold'em World Poker Championship</v>
      </c>
      <c r="B365" s="15" t="str">
        <f>IFERROR(__xludf.DUMMYFUNCTION("""COMPUTED_VALUE"""),"PS4")</f>
        <v>PS4</v>
      </c>
      <c r="C365" s="16" t="str">
        <f>IFERROR(__xludf.DUMMYFUNCTION("""COMPUTED_VALUE"""),"Extra")</f>
        <v>Extra</v>
      </c>
      <c r="D365" s="15" t="str">
        <f>IFERROR(__xludf.DUMMYFUNCTION("""COMPUTED_VALUE"""),"Active")</f>
        <v>Active</v>
      </c>
      <c r="E365" s="17">
        <f>IFERROR(__xludf.DUMMYFUNCTION("""COMPUTED_VALUE"""),44725.0)</f>
        <v>44725</v>
      </c>
      <c r="F365" s="54"/>
      <c r="G365" s="19">
        <f>IFERROR(__xludf.DUMMYFUNCTION("""COMPUTED_VALUE"""),51.766666666666666)</f>
        <v>51.76666667</v>
      </c>
      <c r="H365" s="17">
        <f>IFERROR(__xludf.DUMMYFUNCTION("""COMPUTED_VALUE"""),42236.0)</f>
        <v>42236</v>
      </c>
      <c r="I365" s="19">
        <f>IFERROR(__xludf.DUMMYFUNCTION("""COMPUTED_VALUE"""),6.813888888888889)</f>
        <v>6.813888889</v>
      </c>
      <c r="J365" s="21">
        <f>IFERROR(__xludf.DUMMYFUNCTION("""COMPUTED_VALUE"""),69.0)</f>
        <v>69</v>
      </c>
      <c r="K365" s="23">
        <f>IFERROR(__xludf.DUMMYFUNCTION("""COMPUTED_VALUE"""),6.7)</f>
        <v>6.7</v>
      </c>
      <c r="L365" s="24"/>
      <c r="M365" s="25" t="str">
        <f>IFERROR(__xludf.DUMMYFUNCTION("""COMPUTED_VALUE"""),"Card &amp; Board")</f>
        <v>Card &amp; Board</v>
      </c>
      <c r="N365" s="25"/>
      <c r="O365" s="25" t="str">
        <f>IFERROR(__xludf.DUMMYFUNCTION("""COMPUTED_VALUE"""),"Yes")</f>
        <v>Yes</v>
      </c>
      <c r="P365" s="26"/>
    </row>
    <row r="366">
      <c r="A366" s="13" t="str">
        <f>IFERROR(__xludf.DUMMYFUNCTION("""COMPUTED_VALUE"""),"Transference")</f>
        <v>Transference</v>
      </c>
      <c r="B366" s="15" t="str">
        <f>IFERROR(__xludf.DUMMYFUNCTION("""COMPUTED_VALUE"""),"PS4/PSVR")</f>
        <v>PS4/PSVR</v>
      </c>
      <c r="C366" s="16" t="str">
        <f>IFERROR(__xludf.DUMMYFUNCTION("""COMPUTED_VALUE"""),"Extra (Ubisoft+ Classics)")</f>
        <v>Extra (Ubisoft+ Classics)</v>
      </c>
      <c r="D366" s="15" t="str">
        <f>IFERROR(__xludf.DUMMYFUNCTION("""COMPUTED_VALUE"""),"Active")</f>
        <v>Active</v>
      </c>
      <c r="E366" s="17">
        <f>IFERROR(__xludf.DUMMYFUNCTION("""COMPUTED_VALUE"""),44725.0)</f>
        <v>44725</v>
      </c>
      <c r="F366" s="54"/>
      <c r="G366" s="19">
        <f>IFERROR(__xludf.DUMMYFUNCTION("""COMPUTED_VALUE"""),51.766666666666666)</f>
        <v>51.76666667</v>
      </c>
      <c r="H366" s="17">
        <f>IFERROR(__xludf.DUMMYFUNCTION("""COMPUTED_VALUE"""),43361.0)</f>
        <v>43361</v>
      </c>
      <c r="I366" s="19">
        <f>IFERROR(__xludf.DUMMYFUNCTION("""COMPUTED_VALUE"""),3.736111111111111)</f>
        <v>3.736111111</v>
      </c>
      <c r="J366" s="21">
        <f>IFERROR(__xludf.DUMMYFUNCTION("""COMPUTED_VALUE"""),69.0)</f>
        <v>69</v>
      </c>
      <c r="K366" s="23">
        <f>IFERROR(__xludf.DUMMYFUNCTION("""COMPUTED_VALUE"""),7.0)</f>
        <v>7</v>
      </c>
      <c r="L366" s="24">
        <f>IFERROR(__xludf.DUMMYFUNCTION("""COMPUTED_VALUE"""),4.0)</f>
        <v>4</v>
      </c>
      <c r="M366" s="25" t="str">
        <f>IFERROR(__xludf.DUMMYFUNCTION("""COMPUTED_VALUE"""),"Horror")</f>
        <v>Horror</v>
      </c>
      <c r="N366" s="25"/>
      <c r="O366" s="25" t="str">
        <f>IFERROR(__xludf.DUMMYFUNCTION("""COMPUTED_VALUE"""),"No")</f>
        <v>No</v>
      </c>
      <c r="P366" s="26"/>
    </row>
    <row r="367">
      <c r="A367" s="13" t="str">
        <f>IFERROR(__xludf.DUMMYFUNCTION("""COMPUTED_VALUE"""),"Eagle Flight")</f>
        <v>Eagle Flight</v>
      </c>
      <c r="B367" s="15" t="str">
        <f>IFERROR(__xludf.DUMMYFUNCTION("""COMPUTED_VALUE"""),"PS4/PSVR")</f>
        <v>PS4/PSVR</v>
      </c>
      <c r="C367" s="16" t="str">
        <f>IFERROR(__xludf.DUMMYFUNCTION("""COMPUTED_VALUE"""),"Extra (Ubisoft+ Classics)")</f>
        <v>Extra (Ubisoft+ Classics)</v>
      </c>
      <c r="D367" s="15" t="str">
        <f>IFERROR(__xludf.DUMMYFUNCTION("""COMPUTED_VALUE"""),"Active")</f>
        <v>Active</v>
      </c>
      <c r="E367" s="17">
        <f>IFERROR(__xludf.DUMMYFUNCTION("""COMPUTED_VALUE"""),44725.0)</f>
        <v>44725</v>
      </c>
      <c r="F367" s="54"/>
      <c r="G367" s="19">
        <f>IFERROR(__xludf.DUMMYFUNCTION("""COMPUTED_VALUE"""),51.766666666666666)</f>
        <v>51.76666667</v>
      </c>
      <c r="H367" s="17">
        <f>IFERROR(__xludf.DUMMYFUNCTION("""COMPUTED_VALUE"""),42682.0)</f>
        <v>42682</v>
      </c>
      <c r="I367" s="19">
        <f>IFERROR(__xludf.DUMMYFUNCTION("""COMPUTED_VALUE"""),5.597222222222222)</f>
        <v>5.597222222</v>
      </c>
      <c r="J367" s="21">
        <f>IFERROR(__xludf.DUMMYFUNCTION("""COMPUTED_VALUE"""),69.0)</f>
        <v>69</v>
      </c>
      <c r="K367" s="23">
        <f>IFERROR(__xludf.DUMMYFUNCTION("""COMPUTED_VALUE"""),6.6)</f>
        <v>6.6</v>
      </c>
      <c r="L367" s="24">
        <f>IFERROR(__xludf.DUMMYFUNCTION("""COMPUTED_VALUE"""),3.0)</f>
        <v>3</v>
      </c>
      <c r="M367" s="25" t="str">
        <f>IFERROR(__xludf.DUMMYFUNCTION("""COMPUTED_VALUE"""),"Simulation")</f>
        <v>Simulation</v>
      </c>
      <c r="N367" s="25"/>
      <c r="O367" s="25" t="str">
        <f>IFERROR(__xludf.DUMMYFUNCTION("""COMPUTED_VALUE"""),"No")</f>
        <v>No</v>
      </c>
      <c r="P367" s="26" t="str">
        <f>IFERROR(__xludf.DUMMYFUNCTION("""COMPUTED_VALUE"""),"Yes")</f>
        <v>Yes</v>
      </c>
    </row>
    <row r="368">
      <c r="A368" s="13" t="str">
        <f>IFERROR(__xludf.DUMMYFUNCTION("""COMPUTED_VALUE"""),"Assetto Corsa Competizione")</f>
        <v>Assetto Corsa Competizione</v>
      </c>
      <c r="B368" s="15" t="str">
        <f>IFERROR(__xludf.DUMMYFUNCTION("""COMPUTED_VALUE"""),"PS5/PS4")</f>
        <v>PS5/PS4</v>
      </c>
      <c r="C368" s="16" t="str">
        <f>IFERROR(__xludf.DUMMYFUNCTION("""COMPUTED_VALUE"""),"Extra")</f>
        <v>Extra</v>
      </c>
      <c r="D368" s="15" t="str">
        <f>IFERROR(__xludf.DUMMYFUNCTION("""COMPUTED_VALUE"""),"Active")</f>
        <v>Active</v>
      </c>
      <c r="E368" s="17">
        <f>IFERROR(__xludf.DUMMYFUNCTION("""COMPUTED_VALUE"""),44201.0)</f>
        <v>44201</v>
      </c>
      <c r="F368" s="54"/>
      <c r="G368" s="19">
        <f>IFERROR(__xludf.DUMMYFUNCTION("""COMPUTED_VALUE"""),69.03333333333333)</f>
        <v>69.03333333</v>
      </c>
      <c r="H368" s="17">
        <f>IFERROR(__xludf.DUMMYFUNCTION("""COMPUTED_VALUE"""),43355.0)</f>
        <v>43355</v>
      </c>
      <c r="I368" s="19">
        <f>IFERROR(__xludf.DUMMYFUNCTION("""COMPUTED_VALUE"""),2.313888888888889)</f>
        <v>2.313888889</v>
      </c>
      <c r="J368" s="21">
        <f>IFERROR(__xludf.DUMMYFUNCTION("""COMPUTED_VALUE"""),69.0)</f>
        <v>69</v>
      </c>
      <c r="K368" s="23">
        <f>IFERROR(__xludf.DUMMYFUNCTION("""COMPUTED_VALUE"""),7.4)</f>
        <v>7.4</v>
      </c>
      <c r="L368" s="24">
        <f>IFERROR(__xludf.DUMMYFUNCTION("""COMPUTED_VALUE"""),12.0)</f>
        <v>12</v>
      </c>
      <c r="M368" s="25" t="str">
        <f>IFERROR(__xludf.DUMMYFUNCTION("""COMPUTED_VALUE"""),"Racing")</f>
        <v>Racing</v>
      </c>
      <c r="N368" s="25"/>
      <c r="O368" s="25" t="str">
        <f>IFERROR(__xludf.DUMMYFUNCTION("""COMPUTED_VALUE"""),"Yes")</f>
        <v>Yes</v>
      </c>
      <c r="P368" s="26"/>
    </row>
    <row r="369">
      <c r="A369" s="13" t="str">
        <f>IFERROR(__xludf.DUMMYFUNCTION("""COMPUTED_VALUE"""),"Nightmares From the Deep 2: The Siren's Call")</f>
        <v>Nightmares From the Deep 2: The Siren's Call</v>
      </c>
      <c r="B369" s="15" t="str">
        <f>IFERROR(__xludf.DUMMYFUNCTION("""COMPUTED_VALUE"""),"PS5/PS4")</f>
        <v>PS5/PS4</v>
      </c>
      <c r="C369" s="16" t="str">
        <f>IFERROR(__xludf.DUMMYFUNCTION("""COMPUTED_VALUE"""),"Extra")</f>
        <v>Extra</v>
      </c>
      <c r="D369" s="15" t="str">
        <f>IFERROR(__xludf.DUMMYFUNCTION("""COMPUTED_VALUE"""),"Active")</f>
        <v>Active</v>
      </c>
      <c r="E369" s="17">
        <f>IFERROR(__xludf.DUMMYFUNCTION("""COMPUTED_VALUE"""),43648.0)</f>
        <v>43648</v>
      </c>
      <c r="F369" s="54"/>
      <c r="G369" s="19">
        <f>IFERROR(__xludf.DUMMYFUNCTION("""COMPUTED_VALUE"""),87.13333333333333)</f>
        <v>87.13333333</v>
      </c>
      <c r="H369" s="17">
        <f>IFERROR(__xludf.DUMMYFUNCTION("""COMPUTED_VALUE"""),42608.0)</f>
        <v>42608</v>
      </c>
      <c r="I369" s="19">
        <f>IFERROR(__xludf.DUMMYFUNCTION("""COMPUTED_VALUE"""),2.85)</f>
        <v>2.85</v>
      </c>
      <c r="J369" s="21">
        <f>IFERROR(__xludf.DUMMYFUNCTION("""COMPUTED_VALUE"""),69.0)</f>
        <v>69</v>
      </c>
      <c r="K369" s="23">
        <f>IFERROR(__xludf.DUMMYFUNCTION("""COMPUTED_VALUE"""),8.3)</f>
        <v>8.3</v>
      </c>
      <c r="L369" s="24">
        <f>IFERROR(__xludf.DUMMYFUNCTION("""COMPUTED_VALUE"""),4.0)</f>
        <v>4</v>
      </c>
      <c r="M369" s="25" t="str">
        <f>IFERROR(__xludf.DUMMYFUNCTION("""COMPUTED_VALUE"""),"Hidden Object")</f>
        <v>Hidden Object</v>
      </c>
      <c r="N369" s="25"/>
      <c r="O369" s="25" t="str">
        <f>IFERROR(__xludf.DUMMYFUNCTION("""COMPUTED_VALUE"""),"No")</f>
        <v>No</v>
      </c>
      <c r="P369" s="26"/>
    </row>
    <row r="370">
      <c r="A370" s="13" t="str">
        <f>IFERROR(__xludf.DUMMYFUNCTION("""COMPUTED_VALUE"""),"Umamusume Pretty Derby - Party Dash")</f>
        <v>Umamusume Pretty Derby - Party Dash</v>
      </c>
      <c r="B370" s="15" t="str">
        <f>IFERROR(__xludf.DUMMYFUNCTION("""COMPUTED_VALUE"""),"PS4")</f>
        <v>PS4</v>
      </c>
      <c r="C370" s="16" t="str">
        <f>IFERROR(__xludf.DUMMYFUNCTION("""COMPUTED_VALUE"""),"Extra")</f>
        <v>Extra</v>
      </c>
      <c r="D370" s="15" t="str">
        <f>IFERROR(__xludf.DUMMYFUNCTION("""COMPUTED_VALUE"""),"Active")</f>
        <v>Active</v>
      </c>
      <c r="E370" s="17">
        <f>IFERROR(__xludf.DUMMYFUNCTION("""COMPUTED_VALUE"""),46259.0)</f>
        <v>46259</v>
      </c>
      <c r="F370" s="54"/>
      <c r="G370" s="19">
        <f>IFERROR(__xludf.DUMMYFUNCTION("""COMPUTED_VALUE"""),1.3666666666666667)</f>
        <v>1.366666667</v>
      </c>
      <c r="H370" s="17">
        <f>IFERROR(__xludf.DUMMYFUNCTION("""COMPUTED_VALUE"""),45534.0)</f>
        <v>45534</v>
      </c>
      <c r="I370" s="19">
        <f>IFERROR(__xludf.DUMMYFUNCTION("""COMPUTED_VALUE"""),1.9861111111111112)</f>
        <v>1.986111111</v>
      </c>
      <c r="J370" s="21">
        <f>IFERROR(__xludf.DUMMYFUNCTION("""COMPUTED_VALUE"""),68.0)</f>
        <v>68</v>
      </c>
      <c r="K370" s="23">
        <f>IFERROR(__xludf.DUMMYFUNCTION("""COMPUTED_VALUE"""),6.7)</f>
        <v>6.7</v>
      </c>
      <c r="L370" s="24">
        <f>IFERROR(__xludf.DUMMYFUNCTION("""COMPUTED_VALUE"""),9.0)</f>
        <v>9</v>
      </c>
      <c r="M370" s="25" t="str">
        <f>IFERROR(__xludf.DUMMYFUNCTION("""COMPUTED_VALUE"""),"Party")</f>
        <v>Party</v>
      </c>
      <c r="N370" s="25"/>
      <c r="O370" s="25"/>
      <c r="P370" s="26"/>
    </row>
    <row r="371">
      <c r="A371" s="13" t="str">
        <f>IFERROR(__xludf.DUMMYFUNCTION("""COMPUTED_VALUE"""),"Football Manager 26")</f>
        <v>Football Manager 26</v>
      </c>
      <c r="B371" s="15" t="str">
        <f>IFERROR(__xludf.DUMMYFUNCTION("""COMPUTED_VALUE"""),"PS5")</f>
        <v>PS5</v>
      </c>
      <c r="C371" s="16" t="str">
        <f>IFERROR(__xludf.DUMMYFUNCTION("""COMPUTED_VALUE"""),"Extra")</f>
        <v>Extra</v>
      </c>
      <c r="D371" s="15" t="str">
        <f>IFERROR(__xludf.DUMMYFUNCTION("""COMPUTED_VALUE"""),"Active")</f>
        <v>Active</v>
      </c>
      <c r="E371" s="17">
        <f>IFERROR(__xludf.DUMMYFUNCTION("""COMPUTED_VALUE"""),46133.0)</f>
        <v>46133</v>
      </c>
      <c r="F371" s="54"/>
      <c r="G371" s="19">
        <f>IFERROR(__xludf.DUMMYFUNCTION("""COMPUTED_VALUE"""),5.5)</f>
        <v>5.5</v>
      </c>
      <c r="H371" s="17">
        <f>IFERROR(__xludf.DUMMYFUNCTION("""COMPUTED_VALUE"""),45965.0)</f>
        <v>45965</v>
      </c>
      <c r="I371" s="19">
        <f>IFERROR(__xludf.DUMMYFUNCTION("""COMPUTED_VALUE"""),0.4638888888888889)</f>
        <v>0.4638888889</v>
      </c>
      <c r="J371" s="21">
        <f>IFERROR(__xludf.DUMMYFUNCTION("""COMPUTED_VALUE"""),68.0)</f>
        <v>68</v>
      </c>
      <c r="K371" s="23">
        <f>IFERROR(__xludf.DUMMYFUNCTION("""COMPUTED_VALUE"""),2.8)</f>
        <v>2.8</v>
      </c>
      <c r="L371" s="24">
        <f>IFERROR(__xludf.DUMMYFUNCTION("""COMPUTED_VALUE"""),87.0)</f>
        <v>87</v>
      </c>
      <c r="M371" s="25" t="str">
        <f>IFERROR(__xludf.DUMMYFUNCTION("""COMPUTED_VALUE"""),"Simulation")</f>
        <v>Simulation</v>
      </c>
      <c r="N371" s="25"/>
      <c r="O371" s="25" t="str">
        <f>IFERROR(__xludf.DUMMYFUNCTION("""COMPUTED_VALUE"""),"No")</f>
        <v>No</v>
      </c>
      <c r="P371" s="26"/>
    </row>
    <row r="372">
      <c r="A372" s="13" t="str">
        <f>IFERROR(__xludf.DUMMYFUNCTION("""COMPUTED_VALUE"""),"Warriors: Abyss")</f>
        <v>Warriors: Abyss</v>
      </c>
      <c r="B372" s="15" t="str">
        <f>IFERROR(__xludf.DUMMYFUNCTION("""COMPUTED_VALUE"""),"PS5/PS4")</f>
        <v>PS5/PS4</v>
      </c>
      <c r="C372" s="16" t="str">
        <f>IFERROR(__xludf.DUMMYFUNCTION("""COMPUTED_VALUE"""),"Extra")</f>
        <v>Extra</v>
      </c>
      <c r="D372" s="15" t="str">
        <f>IFERROR(__xludf.DUMMYFUNCTION("""COMPUTED_VALUE"""),"Active")</f>
        <v>Active</v>
      </c>
      <c r="E372" s="17">
        <f>IFERROR(__xludf.DUMMYFUNCTION("""COMPUTED_VALUE"""),46133.0)</f>
        <v>46133</v>
      </c>
      <c r="F372" s="54"/>
      <c r="G372" s="19">
        <f>IFERROR(__xludf.DUMMYFUNCTION("""COMPUTED_VALUE"""),5.5)</f>
        <v>5.5</v>
      </c>
      <c r="H372" s="17">
        <f>IFERROR(__xludf.DUMMYFUNCTION("""COMPUTED_VALUE"""),45700.0)</f>
        <v>45700</v>
      </c>
      <c r="I372" s="19">
        <f>IFERROR(__xludf.DUMMYFUNCTION("""COMPUTED_VALUE"""),1.1916666666666667)</f>
        <v>1.191666667</v>
      </c>
      <c r="J372" s="21">
        <f>IFERROR(__xludf.DUMMYFUNCTION("""COMPUTED_VALUE"""),68.0)</f>
        <v>68</v>
      </c>
      <c r="K372" s="23">
        <f>IFERROR(__xludf.DUMMYFUNCTION("""COMPUTED_VALUE"""),7.6)</f>
        <v>7.6</v>
      </c>
      <c r="L372" s="24">
        <f>IFERROR(__xludf.DUMMYFUNCTION("""COMPUTED_VALUE"""),6.0)</f>
        <v>6</v>
      </c>
      <c r="M372" s="25" t="str">
        <f>IFERROR(__xludf.DUMMYFUNCTION("""COMPUTED_VALUE"""),"Action")</f>
        <v>Action</v>
      </c>
      <c r="N372" s="25"/>
      <c r="O372" s="25"/>
      <c r="P372" s="26"/>
    </row>
    <row r="373">
      <c r="A373" s="13" t="str">
        <f>IFERROR(__xludf.DUMMYFUNCTION("""COMPUTED_VALUE"""),"Space Engineers")</f>
        <v>Space Engineers</v>
      </c>
      <c r="B373" s="15" t="str">
        <f>IFERROR(__xludf.DUMMYFUNCTION("""COMPUTED_VALUE"""),"PS5/PS4")</f>
        <v>PS5/PS4</v>
      </c>
      <c r="C373" s="16" t="str">
        <f>IFERROR(__xludf.DUMMYFUNCTION("""COMPUTED_VALUE"""),"Extra")</f>
        <v>Extra</v>
      </c>
      <c r="D373" s="15" t="str">
        <f>IFERROR(__xludf.DUMMYFUNCTION("""COMPUTED_VALUE"""),"Active")</f>
        <v>Active</v>
      </c>
      <c r="E373" s="17">
        <f>IFERROR(__xludf.DUMMYFUNCTION("""COMPUTED_VALUE"""),45552.0)</f>
        <v>45552</v>
      </c>
      <c r="F373" s="54"/>
      <c r="G373" s="19">
        <f>IFERROR(__xludf.DUMMYFUNCTION("""COMPUTED_VALUE"""),24.633333333333333)</f>
        <v>24.63333333</v>
      </c>
      <c r="H373" s="17">
        <f>IFERROR(__xludf.DUMMYFUNCTION("""COMPUTED_VALUE"""),43936.0)</f>
        <v>43936</v>
      </c>
      <c r="I373" s="19">
        <f>IFERROR(__xludf.DUMMYFUNCTION("""COMPUTED_VALUE"""),4.4222222222222225)</f>
        <v>4.422222222</v>
      </c>
      <c r="J373" s="21">
        <f>IFERROR(__xludf.DUMMYFUNCTION("""COMPUTED_VALUE"""),68.0)</f>
        <v>68</v>
      </c>
      <c r="K373" s="23">
        <f>IFERROR(__xludf.DUMMYFUNCTION("""COMPUTED_VALUE"""),4.7)</f>
        <v>4.7</v>
      </c>
      <c r="L373" s="24">
        <f>IFERROR(__xludf.DUMMYFUNCTION("""COMPUTED_VALUE"""),20.0)</f>
        <v>20</v>
      </c>
      <c r="M373" s="25" t="str">
        <f>IFERROR(__xludf.DUMMYFUNCTION("""COMPUTED_VALUE"""),"Sandbox")</f>
        <v>Sandbox</v>
      </c>
      <c r="N373" s="25"/>
      <c r="O373" s="25" t="str">
        <f>IFERROR(__xludf.DUMMYFUNCTION("""COMPUTED_VALUE"""),"No")</f>
        <v>No</v>
      </c>
      <c r="P373" s="26"/>
    </row>
    <row r="374">
      <c r="A374" s="13" t="str">
        <f>IFERROR(__xludf.DUMMYFUNCTION("""COMPUTED_VALUE"""),"Outlast 2")</f>
        <v>Outlast 2</v>
      </c>
      <c r="B374" s="15" t="str">
        <f>IFERROR(__xludf.DUMMYFUNCTION("""COMPUTED_VALUE"""),"PS4")</f>
        <v>PS4</v>
      </c>
      <c r="C374" s="16" t="str">
        <f>IFERROR(__xludf.DUMMYFUNCTION("""COMPUTED_VALUE"""),"Extra")</f>
        <v>Extra</v>
      </c>
      <c r="D374" s="15" t="str">
        <f>IFERROR(__xludf.DUMMYFUNCTION("""COMPUTED_VALUE"""),"Active")</f>
        <v>Active</v>
      </c>
      <c r="E374" s="17">
        <f>IFERROR(__xludf.DUMMYFUNCTION("""COMPUTED_VALUE"""),45216.0)</f>
        <v>45216</v>
      </c>
      <c r="F374" s="54"/>
      <c r="G374" s="19">
        <f>IFERROR(__xludf.DUMMYFUNCTION("""COMPUTED_VALUE"""),35.63333333333333)</f>
        <v>35.63333333</v>
      </c>
      <c r="H374" s="17">
        <f>IFERROR(__xludf.DUMMYFUNCTION("""COMPUTED_VALUE"""),42849.0)</f>
        <v>42849</v>
      </c>
      <c r="I374" s="19">
        <f>IFERROR(__xludf.DUMMYFUNCTION("""COMPUTED_VALUE"""),6.480555555555555)</f>
        <v>6.480555556</v>
      </c>
      <c r="J374" s="21">
        <f>IFERROR(__xludf.DUMMYFUNCTION("""COMPUTED_VALUE"""),68.0)</f>
        <v>68</v>
      </c>
      <c r="K374" s="23">
        <f>IFERROR(__xludf.DUMMYFUNCTION("""COMPUTED_VALUE"""),7.0)</f>
        <v>7</v>
      </c>
      <c r="L374" s="24">
        <f>IFERROR(__xludf.DUMMYFUNCTION("""COMPUTED_VALUE"""),8.0)</f>
        <v>8</v>
      </c>
      <c r="M374" s="25" t="str">
        <f>IFERROR(__xludf.DUMMYFUNCTION("""COMPUTED_VALUE"""),"Survival")</f>
        <v>Survival</v>
      </c>
      <c r="N374" s="25"/>
      <c r="O374" s="25" t="str">
        <f>IFERROR(__xludf.DUMMYFUNCTION("""COMPUTED_VALUE"""),"Yes")</f>
        <v>Yes</v>
      </c>
      <c r="P374" s="26"/>
    </row>
    <row r="375">
      <c r="A375" s="13" t="str">
        <f>IFERROR(__xludf.DUMMYFUNCTION("""COMPUTED_VALUE"""),"Thymesia")</f>
        <v>Thymesia</v>
      </c>
      <c r="B375" s="15" t="str">
        <f>IFERROR(__xludf.DUMMYFUNCTION("""COMPUTED_VALUE"""),"PS5")</f>
        <v>PS5</v>
      </c>
      <c r="C375" s="16" t="str">
        <f>IFERROR(__xludf.DUMMYFUNCTION("""COMPUTED_VALUE"""),"Extra")</f>
        <v>Extra</v>
      </c>
      <c r="D375" s="15" t="str">
        <f>IFERROR(__xludf.DUMMYFUNCTION("""COMPUTED_VALUE"""),"Active")</f>
        <v>Active</v>
      </c>
      <c r="E375" s="17">
        <f>IFERROR(__xludf.DUMMYFUNCTION("""COMPUTED_VALUE"""),45062.0)</f>
        <v>45062</v>
      </c>
      <c r="F375" s="54"/>
      <c r="G375" s="19">
        <f>IFERROR(__xludf.DUMMYFUNCTION("""COMPUTED_VALUE"""),40.666666666666664)</f>
        <v>40.66666667</v>
      </c>
      <c r="H375" s="17">
        <f>IFERROR(__xludf.DUMMYFUNCTION("""COMPUTED_VALUE"""),44791.0)</f>
        <v>44791</v>
      </c>
      <c r="I375" s="19">
        <f>IFERROR(__xludf.DUMMYFUNCTION("""COMPUTED_VALUE"""),0.7444444444444445)</f>
        <v>0.7444444444</v>
      </c>
      <c r="J375" s="21">
        <f>IFERROR(__xludf.DUMMYFUNCTION("""COMPUTED_VALUE"""),68.0)</f>
        <v>68</v>
      </c>
      <c r="K375" s="23">
        <f>IFERROR(__xludf.DUMMYFUNCTION("""COMPUTED_VALUE"""),7.5)</f>
        <v>7.5</v>
      </c>
      <c r="L375" s="24">
        <f>IFERROR(__xludf.DUMMYFUNCTION("""COMPUTED_VALUE"""),7.0)</f>
        <v>7</v>
      </c>
      <c r="M375" s="25" t="str">
        <f>IFERROR(__xludf.DUMMYFUNCTION("""COMPUTED_VALUE"""),"RPG")</f>
        <v>RPG</v>
      </c>
      <c r="N375" s="25"/>
      <c r="O375" s="25" t="str">
        <f>IFERROR(__xludf.DUMMYFUNCTION("""COMPUTED_VALUE"""),"Portal (PS5 + Premium)")</f>
        <v>Portal (PS5 + Premium)</v>
      </c>
      <c r="P375" s="26"/>
    </row>
    <row r="376">
      <c r="A376" s="13" t="str">
        <f>IFERROR(__xludf.DUMMYFUNCTION("""COMPUTED_VALUE"""),"Conan Exiles")</f>
        <v>Conan Exiles</v>
      </c>
      <c r="B376" s="15" t="str">
        <f>IFERROR(__xludf.DUMMYFUNCTION("""COMPUTED_VALUE"""),"PS4")</f>
        <v>PS4</v>
      </c>
      <c r="C376" s="16" t="str">
        <f>IFERROR(__xludf.DUMMYFUNCTION("""COMPUTED_VALUE"""),"Extra")</f>
        <v>Extra</v>
      </c>
      <c r="D376" s="15" t="str">
        <f>IFERROR(__xludf.DUMMYFUNCTION("""COMPUTED_VALUE"""),"Active")</f>
        <v>Active</v>
      </c>
      <c r="E376" s="17">
        <f>IFERROR(__xludf.DUMMYFUNCTION("""COMPUTED_VALUE"""),45062.0)</f>
        <v>45062</v>
      </c>
      <c r="F376" s="54"/>
      <c r="G376" s="19">
        <f>IFERROR(__xludf.DUMMYFUNCTION("""COMPUTED_VALUE"""),40.666666666666664)</f>
        <v>40.66666667</v>
      </c>
      <c r="H376" s="17">
        <f>IFERROR(__xludf.DUMMYFUNCTION("""COMPUTED_VALUE"""),43228.0)</f>
        <v>43228</v>
      </c>
      <c r="I376" s="19">
        <f>IFERROR(__xludf.DUMMYFUNCTION("""COMPUTED_VALUE"""),5.022222222222222)</f>
        <v>5.022222222</v>
      </c>
      <c r="J376" s="21">
        <f>IFERROR(__xludf.DUMMYFUNCTION("""COMPUTED_VALUE"""),68.0)</f>
        <v>68</v>
      </c>
      <c r="K376" s="23">
        <f>IFERROR(__xludf.DUMMYFUNCTION("""COMPUTED_VALUE"""),5.2)</f>
        <v>5.2</v>
      </c>
      <c r="L376" s="24">
        <f>IFERROR(__xludf.DUMMYFUNCTION("""COMPUTED_VALUE"""),33.0)</f>
        <v>33</v>
      </c>
      <c r="M376" s="25" t="str">
        <f>IFERROR(__xludf.DUMMYFUNCTION("""COMPUTED_VALUE"""),"Action-Adventure")</f>
        <v>Action-Adventure</v>
      </c>
      <c r="N376" s="25"/>
      <c r="O376" s="25" t="str">
        <f>IFERROR(__xludf.DUMMYFUNCTION("""COMPUTED_VALUE"""),"Yes")</f>
        <v>Yes</v>
      </c>
      <c r="P376" s="26"/>
    </row>
    <row r="377">
      <c r="A377" s="13" t="str">
        <f>IFERROR(__xludf.DUMMYFUNCTION("""COMPUTED_VALUE"""),"Human: Fall Flat")</f>
        <v>Human: Fall Flat</v>
      </c>
      <c r="B377" s="15" t="str">
        <f>IFERROR(__xludf.DUMMYFUNCTION("""COMPUTED_VALUE"""),"PS5/PS4")</f>
        <v>PS5/PS4</v>
      </c>
      <c r="C377" s="16" t="str">
        <f>IFERROR(__xludf.DUMMYFUNCTION("""COMPUTED_VALUE"""),"Extra")</f>
        <v>Extra</v>
      </c>
      <c r="D377" s="15" t="str">
        <f>IFERROR(__xludf.DUMMYFUNCTION("""COMPUTED_VALUE"""),"Active")</f>
        <v>Active</v>
      </c>
      <c r="E377" s="17">
        <f>IFERROR(__xludf.DUMMYFUNCTION("""COMPUTED_VALUE"""),44725.0)</f>
        <v>44725</v>
      </c>
      <c r="F377" s="54"/>
      <c r="G377" s="19">
        <f>IFERROR(__xludf.DUMMYFUNCTION("""COMPUTED_VALUE"""),51.766666666666666)</f>
        <v>51.76666667</v>
      </c>
      <c r="H377" s="17">
        <f>IFERROR(__xludf.DUMMYFUNCTION("""COMPUTED_VALUE"""),42573.0)</f>
        <v>42573</v>
      </c>
      <c r="I377" s="19">
        <f>IFERROR(__xludf.DUMMYFUNCTION("""COMPUTED_VALUE"""),5.891666666666667)</f>
        <v>5.891666667</v>
      </c>
      <c r="J377" s="21">
        <f>IFERROR(__xludf.DUMMYFUNCTION("""COMPUTED_VALUE"""),68.0)</f>
        <v>68</v>
      </c>
      <c r="K377" s="23">
        <f>IFERROR(__xludf.DUMMYFUNCTION("""COMPUTED_VALUE"""),7.2)</f>
        <v>7.2</v>
      </c>
      <c r="L377" s="24">
        <f>IFERROR(__xludf.DUMMYFUNCTION("""COMPUTED_VALUE"""),6.0)</f>
        <v>6</v>
      </c>
      <c r="M377" s="25" t="str">
        <f>IFERROR(__xludf.DUMMYFUNCTION("""COMPUTED_VALUE"""),"Platformer")</f>
        <v>Platformer</v>
      </c>
      <c r="N377" s="25"/>
      <c r="O377" s="25" t="str">
        <f>IFERROR(__xludf.DUMMYFUNCTION("""COMPUTED_VALUE"""),"Yes")</f>
        <v>Yes</v>
      </c>
      <c r="P377" s="26" t="str">
        <f>IFERROR(__xludf.DUMMYFUNCTION("""COMPUTED_VALUE"""),"Yes")</f>
        <v>Yes</v>
      </c>
    </row>
    <row r="378">
      <c r="A378" s="13" t="str">
        <f>IFERROR(__xludf.DUMMYFUNCTION("""COMPUTED_VALUE"""),"Warhammer: Chaosbane - Slayer Edition")</f>
        <v>Warhammer: Chaosbane - Slayer Edition</v>
      </c>
      <c r="B378" s="15" t="str">
        <f>IFERROR(__xludf.DUMMYFUNCTION("""COMPUTED_VALUE"""),"PS5/PS4")</f>
        <v>PS5/PS4</v>
      </c>
      <c r="C378" s="16" t="str">
        <f>IFERROR(__xludf.DUMMYFUNCTION("""COMPUTED_VALUE"""),"Extra")</f>
        <v>Extra</v>
      </c>
      <c r="D378" s="15" t="str">
        <f>IFERROR(__xludf.DUMMYFUNCTION("""COMPUTED_VALUE"""),"Active")</f>
        <v>Active</v>
      </c>
      <c r="E378" s="17">
        <f>IFERROR(__xludf.DUMMYFUNCTION("""COMPUTED_VALUE"""),44725.0)</f>
        <v>44725</v>
      </c>
      <c r="F378" s="54"/>
      <c r="G378" s="19">
        <f>IFERROR(__xludf.DUMMYFUNCTION("""COMPUTED_VALUE"""),51.766666666666666)</f>
        <v>51.76666667</v>
      </c>
      <c r="H378" s="17">
        <f>IFERROR(__xludf.DUMMYFUNCTION("""COMPUTED_VALUE"""),43616.0)</f>
        <v>43616</v>
      </c>
      <c r="I378" s="19">
        <f>IFERROR(__xludf.DUMMYFUNCTION("""COMPUTED_VALUE"""),3.036111111111111)</f>
        <v>3.036111111</v>
      </c>
      <c r="J378" s="21">
        <f>IFERROR(__xludf.DUMMYFUNCTION("""COMPUTED_VALUE"""),68.0)</f>
        <v>68</v>
      </c>
      <c r="K378" s="23">
        <f>IFERROR(__xludf.DUMMYFUNCTION("""COMPUTED_VALUE"""),6.4)</f>
        <v>6.4</v>
      </c>
      <c r="L378" s="24">
        <f>IFERROR(__xludf.DUMMYFUNCTION("""COMPUTED_VALUE"""),10.0)</f>
        <v>10</v>
      </c>
      <c r="M378" s="25" t="str">
        <f>IFERROR(__xludf.DUMMYFUNCTION("""COMPUTED_VALUE"""),"RPG")</f>
        <v>RPG</v>
      </c>
      <c r="N378" s="25"/>
      <c r="O378" s="25" t="str">
        <f>IFERROR(__xludf.DUMMYFUNCTION("""COMPUTED_VALUE"""),"Portal (PS5 + Premium)")</f>
        <v>Portal (PS5 + Premium)</v>
      </c>
      <c r="P378" s="26" t="str">
        <f>IFERROR(__xludf.DUMMYFUNCTION("""COMPUTED_VALUE"""),"Yes")</f>
        <v>Yes</v>
      </c>
    </row>
    <row r="379">
      <c r="A379" s="13" t="str">
        <f>IFERROR(__xludf.DUMMYFUNCTION("""COMPUTED_VALUE"""),"Call of Cthulhu")</f>
        <v>Call of Cthulhu</v>
      </c>
      <c r="B379" s="15" t="str">
        <f>IFERROR(__xludf.DUMMYFUNCTION("""COMPUTED_VALUE"""),"PS4")</f>
        <v>PS4</v>
      </c>
      <c r="C379" s="16" t="str">
        <f>IFERROR(__xludf.DUMMYFUNCTION("""COMPUTED_VALUE"""),"Extra")</f>
        <v>Extra</v>
      </c>
      <c r="D379" s="15" t="str">
        <f>IFERROR(__xludf.DUMMYFUNCTION("""COMPUTED_VALUE"""),"Active")</f>
        <v>Active</v>
      </c>
      <c r="E379" s="17">
        <f>IFERROR(__xludf.DUMMYFUNCTION("""COMPUTED_VALUE"""),44725.0)</f>
        <v>44725</v>
      </c>
      <c r="F379" s="54"/>
      <c r="G379" s="19">
        <f>IFERROR(__xludf.DUMMYFUNCTION("""COMPUTED_VALUE"""),51.766666666666666)</f>
        <v>51.76666667</v>
      </c>
      <c r="H379" s="17">
        <f>IFERROR(__xludf.DUMMYFUNCTION("""COMPUTED_VALUE"""),43403.0)</f>
        <v>43403</v>
      </c>
      <c r="I379" s="19">
        <f>IFERROR(__xludf.DUMMYFUNCTION("""COMPUTED_VALUE"""),3.6194444444444445)</f>
        <v>3.619444444</v>
      </c>
      <c r="J379" s="21">
        <f>IFERROR(__xludf.DUMMYFUNCTION("""COMPUTED_VALUE"""),68.0)</f>
        <v>68</v>
      </c>
      <c r="K379" s="23">
        <f>IFERROR(__xludf.DUMMYFUNCTION("""COMPUTED_VALUE"""),6.9)</f>
        <v>6.9</v>
      </c>
      <c r="L379" s="24">
        <f>IFERROR(__xludf.DUMMYFUNCTION("""COMPUTED_VALUE"""),13.5)</f>
        <v>13.5</v>
      </c>
      <c r="M379" s="25" t="str">
        <f>IFERROR(__xludf.DUMMYFUNCTION("""COMPUTED_VALUE"""),"RPG")</f>
        <v>RPG</v>
      </c>
      <c r="N379" s="25"/>
      <c r="O379" s="25" t="str">
        <f>IFERROR(__xludf.DUMMYFUNCTION("""COMPUTED_VALUE"""),"Yes")</f>
        <v>Yes</v>
      </c>
      <c r="P379" s="26"/>
    </row>
    <row r="380">
      <c r="A380" s="13" t="str">
        <f>IFERROR(__xludf.DUMMYFUNCTION("""COMPUTED_VALUE"""),"Dynasty Warriors 8: Empires")</f>
        <v>Dynasty Warriors 8: Empires</v>
      </c>
      <c r="B380" s="15" t="str">
        <f>IFERROR(__xludf.DUMMYFUNCTION("""COMPUTED_VALUE"""),"PS4")</f>
        <v>PS4</v>
      </c>
      <c r="C380" s="16" t="str">
        <f>IFERROR(__xludf.DUMMYFUNCTION("""COMPUTED_VALUE"""),"Extra")</f>
        <v>Extra</v>
      </c>
      <c r="D380" s="15" t="str">
        <f>IFERROR(__xludf.DUMMYFUNCTION("""COMPUTED_VALUE"""),"Active")</f>
        <v>Active</v>
      </c>
      <c r="E380" s="17">
        <f>IFERROR(__xludf.DUMMYFUNCTION("""COMPUTED_VALUE"""),44725.0)</f>
        <v>44725</v>
      </c>
      <c r="F380" s="54"/>
      <c r="G380" s="19">
        <f>IFERROR(__xludf.DUMMYFUNCTION("""COMPUTED_VALUE"""),51.766666666666666)</f>
        <v>51.76666667</v>
      </c>
      <c r="H380" s="17">
        <f>IFERROR(__xludf.DUMMYFUNCTION("""COMPUTED_VALUE"""),41963.0)</f>
        <v>41963</v>
      </c>
      <c r="I380" s="19">
        <f>IFERROR(__xludf.DUMMYFUNCTION("""COMPUTED_VALUE"""),7.563888888888889)</f>
        <v>7.563888889</v>
      </c>
      <c r="J380" s="21">
        <f>IFERROR(__xludf.DUMMYFUNCTION("""COMPUTED_VALUE"""),68.0)</f>
        <v>68</v>
      </c>
      <c r="K380" s="23">
        <f>IFERROR(__xludf.DUMMYFUNCTION("""COMPUTED_VALUE"""),6.9)</f>
        <v>6.9</v>
      </c>
      <c r="L380" s="24">
        <f>IFERROR(__xludf.DUMMYFUNCTION("""COMPUTED_VALUE"""),12.5)</f>
        <v>12.5</v>
      </c>
      <c r="M380" s="25" t="str">
        <f>IFERROR(__xludf.DUMMYFUNCTION("""COMPUTED_VALUE"""),"Action-Adventure")</f>
        <v>Action-Adventure</v>
      </c>
      <c r="N380" s="25"/>
      <c r="O380" s="25" t="str">
        <f>IFERROR(__xludf.DUMMYFUNCTION("""COMPUTED_VALUE"""),"No")</f>
        <v>No</v>
      </c>
      <c r="P380" s="26" t="str">
        <f>IFERROR(__xludf.DUMMYFUNCTION("""COMPUTED_VALUE"""),"Yes")</f>
        <v>Yes</v>
      </c>
    </row>
    <row r="381">
      <c r="A381" s="13" t="str">
        <f>IFERROR(__xludf.DUMMYFUNCTION("""COMPUTED_VALUE"""),"Entwined")</f>
        <v>Entwined</v>
      </c>
      <c r="B381" s="15" t="str">
        <f>IFERROR(__xludf.DUMMYFUNCTION("""COMPUTED_VALUE"""),"PS4")</f>
        <v>PS4</v>
      </c>
      <c r="C381" s="16" t="str">
        <f>IFERROR(__xludf.DUMMYFUNCTION("""COMPUTED_VALUE"""),"Extra")</f>
        <v>Extra</v>
      </c>
      <c r="D381" s="15" t="str">
        <f>IFERROR(__xludf.DUMMYFUNCTION("""COMPUTED_VALUE"""),"Active")</f>
        <v>Active</v>
      </c>
      <c r="E381" s="17">
        <f>IFERROR(__xludf.DUMMYFUNCTION("""COMPUTED_VALUE"""),44725.0)</f>
        <v>44725</v>
      </c>
      <c r="F381" s="54"/>
      <c r="G381" s="19">
        <f>IFERROR(__xludf.DUMMYFUNCTION("""COMPUTED_VALUE"""),51.766666666666666)</f>
        <v>51.76666667</v>
      </c>
      <c r="H381" s="17">
        <f>IFERROR(__xludf.DUMMYFUNCTION("""COMPUTED_VALUE"""),41791.0)</f>
        <v>41791</v>
      </c>
      <c r="I381" s="19">
        <f>IFERROR(__xludf.DUMMYFUNCTION("""COMPUTED_VALUE"""),8.033333333333333)</f>
        <v>8.033333333</v>
      </c>
      <c r="J381" s="21">
        <f>IFERROR(__xludf.DUMMYFUNCTION("""COMPUTED_VALUE"""),68.0)</f>
        <v>68</v>
      </c>
      <c r="K381" s="23">
        <f>IFERROR(__xludf.DUMMYFUNCTION("""COMPUTED_VALUE"""),6.9)</f>
        <v>6.9</v>
      </c>
      <c r="L381" s="24">
        <f>IFERROR(__xludf.DUMMYFUNCTION("""COMPUTED_VALUE"""),1.5)</f>
        <v>1.5</v>
      </c>
      <c r="M381" s="25" t="str">
        <f>IFERROR(__xludf.DUMMYFUNCTION("""COMPUTED_VALUE"""),"Music")</f>
        <v>Music</v>
      </c>
      <c r="N381" s="25"/>
      <c r="O381" s="25" t="str">
        <f>IFERROR(__xludf.DUMMYFUNCTION("""COMPUTED_VALUE"""),"Yes")</f>
        <v>Yes</v>
      </c>
      <c r="P381" s="26" t="str">
        <f>IFERROR(__xludf.DUMMYFUNCTION("""COMPUTED_VALUE"""),"Yes")</f>
        <v>Yes</v>
      </c>
    </row>
    <row r="382">
      <c r="A382" s="13" t="str">
        <f>IFERROR(__xludf.DUMMYFUNCTION("""COMPUTED_VALUE"""),"The Fisherman: Fishing Planet")</f>
        <v>The Fisherman: Fishing Planet</v>
      </c>
      <c r="B382" s="15" t="str">
        <f>IFERROR(__xludf.DUMMYFUNCTION("""COMPUTED_VALUE"""),"PS4")</f>
        <v>PS4</v>
      </c>
      <c r="C382" s="16" t="str">
        <f>IFERROR(__xludf.DUMMYFUNCTION("""COMPUTED_VALUE"""),"Extra")</f>
        <v>Extra</v>
      </c>
      <c r="D382" s="15" t="str">
        <f>IFERROR(__xludf.DUMMYFUNCTION("""COMPUTED_VALUE"""),"Active")</f>
        <v>Active</v>
      </c>
      <c r="E382" s="17">
        <f>IFERROR(__xludf.DUMMYFUNCTION("""COMPUTED_VALUE"""),44725.0)</f>
        <v>44725</v>
      </c>
      <c r="F382" s="54"/>
      <c r="G382" s="19">
        <f>IFERROR(__xludf.DUMMYFUNCTION("""COMPUTED_VALUE"""),51.766666666666666)</f>
        <v>51.76666667</v>
      </c>
      <c r="H382" s="17">
        <f>IFERROR(__xludf.DUMMYFUNCTION("""COMPUTED_VALUE"""),43755.0)</f>
        <v>43755</v>
      </c>
      <c r="I382" s="19">
        <f>IFERROR(__xludf.DUMMYFUNCTION("""COMPUTED_VALUE"""),2.6555555555555554)</f>
        <v>2.655555556</v>
      </c>
      <c r="J382" s="21">
        <f>IFERROR(__xludf.DUMMYFUNCTION("""COMPUTED_VALUE"""),68.0)</f>
        <v>68</v>
      </c>
      <c r="K382" s="23">
        <f>IFERROR(__xludf.DUMMYFUNCTION("""COMPUTED_VALUE"""),6.1)</f>
        <v>6.1</v>
      </c>
      <c r="L382" s="24"/>
      <c r="M382" s="25" t="str">
        <f>IFERROR(__xludf.DUMMYFUNCTION("""COMPUTED_VALUE"""),"Sports")</f>
        <v>Sports</v>
      </c>
      <c r="N382" s="25"/>
      <c r="O382" s="25" t="str">
        <f>IFERROR(__xludf.DUMMYFUNCTION("""COMPUTED_VALUE"""),"Yes")</f>
        <v>Yes</v>
      </c>
      <c r="P382" s="26"/>
    </row>
    <row r="383">
      <c r="A383" s="13" t="str">
        <f>IFERROR(__xludf.DUMMYFUNCTION("""COMPUTED_VALUE"""),"Arcana Heart 3: LOVE MAX!!!!!")</f>
        <v>Arcana Heart 3: LOVE MAX!!!!!</v>
      </c>
      <c r="B383" s="15" t="str">
        <f>IFERROR(__xludf.DUMMYFUNCTION("""COMPUTED_VALUE"""),"PS5/PS4")</f>
        <v>PS5/PS4</v>
      </c>
      <c r="C383" s="16" t="str">
        <f>IFERROR(__xludf.DUMMYFUNCTION("""COMPUTED_VALUE"""),"Extra")</f>
        <v>Extra</v>
      </c>
      <c r="D383" s="15" t="str">
        <f>IFERROR(__xludf.DUMMYFUNCTION("""COMPUTED_VALUE"""),"Active")</f>
        <v>Active</v>
      </c>
      <c r="E383" s="17">
        <f>IFERROR(__xludf.DUMMYFUNCTION("""COMPUTED_VALUE"""),42556.0)</f>
        <v>42556</v>
      </c>
      <c r="F383" s="54"/>
      <c r="G383" s="19">
        <f>IFERROR(__xludf.DUMMYFUNCTION("""COMPUTED_VALUE"""),123.03333333333333)</f>
        <v>123.0333333</v>
      </c>
      <c r="H383" s="17">
        <f>IFERROR(__xludf.DUMMYFUNCTION("""COMPUTED_VALUE"""),41883.0)</f>
        <v>41883</v>
      </c>
      <c r="I383" s="19">
        <f>IFERROR(__xludf.DUMMYFUNCTION("""COMPUTED_VALUE"""),1.8444444444444446)</f>
        <v>1.844444444</v>
      </c>
      <c r="J383" s="21">
        <f>IFERROR(__xludf.DUMMYFUNCTION("""COMPUTED_VALUE"""),68.0)</f>
        <v>68</v>
      </c>
      <c r="K383" s="23">
        <f>IFERROR(__xludf.DUMMYFUNCTION("""COMPUTED_VALUE"""),7.7)</f>
        <v>7.7</v>
      </c>
      <c r="L383" s="24"/>
      <c r="M383" s="25" t="str">
        <f>IFERROR(__xludf.DUMMYFUNCTION("""COMPUTED_VALUE"""),"Fighting")</f>
        <v>Fighting</v>
      </c>
      <c r="N383" s="25" t="str">
        <f>IFERROR(__xludf.DUMMYFUNCTION("""COMPUTED_VALUE"""),"PS3")</f>
        <v>PS3</v>
      </c>
      <c r="O383" s="25" t="str">
        <f>IFERROR(__xludf.DUMMYFUNCTION("""COMPUTED_VALUE"""),"Yes")</f>
        <v>Yes</v>
      </c>
      <c r="P383" s="26" t="str">
        <f>IFERROR(__xludf.DUMMYFUNCTION("""COMPUTED_VALUE"""),"")</f>
        <v/>
      </c>
    </row>
    <row r="384">
      <c r="A384" s="13" t="str">
        <f>IFERROR(__xludf.DUMMYFUNCTION("""COMPUTED_VALUE"""),"A Quiet Place: The Road Ahead")</f>
        <v>A Quiet Place: The Road Ahead</v>
      </c>
      <c r="B384" s="15" t="str">
        <f>IFERROR(__xludf.DUMMYFUNCTION("""COMPUTED_VALUE"""),"PS5")</f>
        <v>PS5</v>
      </c>
      <c r="C384" s="16" t="str">
        <f>IFERROR(__xludf.DUMMYFUNCTION("""COMPUTED_VALUE"""),"Extra")</f>
        <v>Extra</v>
      </c>
      <c r="D384" s="15" t="str">
        <f>IFERROR(__xludf.DUMMYFUNCTION("""COMPUTED_VALUE"""),"Active")</f>
        <v>Active</v>
      </c>
      <c r="E384" s="17">
        <f>IFERROR(__xludf.DUMMYFUNCTION("""COMPUTED_VALUE"""),46042.0)</f>
        <v>46042</v>
      </c>
      <c r="F384" s="54"/>
      <c r="G384" s="19">
        <f>IFERROR(__xludf.DUMMYFUNCTION("""COMPUTED_VALUE"""),8.533333333333333)</f>
        <v>8.533333333</v>
      </c>
      <c r="H384" s="17">
        <f>IFERROR(__xludf.DUMMYFUNCTION("""COMPUTED_VALUE"""),45582.0)</f>
        <v>45582</v>
      </c>
      <c r="I384" s="19">
        <f>IFERROR(__xludf.DUMMYFUNCTION("""COMPUTED_VALUE"""),1.2583333333333333)</f>
        <v>1.258333333</v>
      </c>
      <c r="J384" s="21">
        <f>IFERROR(__xludf.DUMMYFUNCTION("""COMPUTED_VALUE"""),67.0)</f>
        <v>67</v>
      </c>
      <c r="K384" s="23">
        <f>IFERROR(__xludf.DUMMYFUNCTION("""COMPUTED_VALUE"""),6.9)</f>
        <v>6.9</v>
      </c>
      <c r="L384" s="24">
        <f>IFERROR(__xludf.DUMMYFUNCTION("""COMPUTED_VALUE"""),7.0)</f>
        <v>7</v>
      </c>
      <c r="M384" s="25" t="str">
        <f>IFERROR(__xludf.DUMMYFUNCTION("""COMPUTED_VALUE"""),"Action-Adventure")</f>
        <v>Action-Adventure</v>
      </c>
      <c r="N384" s="25"/>
      <c r="O384" s="25" t="str">
        <f>IFERROR(__xludf.DUMMYFUNCTION("""COMPUTED_VALUE"""),"No")</f>
        <v>No</v>
      </c>
      <c r="P384" s="26"/>
    </row>
    <row r="385">
      <c r="A385" s="13" t="str">
        <f>IFERROR(__xludf.DUMMYFUNCTION("""COMPUTED_VALUE"""),"Lego Ninjago Movie Videogame")</f>
        <v>Lego Ninjago Movie Videogame</v>
      </c>
      <c r="B385" s="15" t="str">
        <f>IFERROR(__xludf.DUMMYFUNCTION("""COMPUTED_VALUE"""),"PS4")</f>
        <v>PS4</v>
      </c>
      <c r="C385" s="16" t="str">
        <f>IFERROR(__xludf.DUMMYFUNCTION("""COMPUTED_VALUE"""),"Extra")</f>
        <v>Extra</v>
      </c>
      <c r="D385" s="15" t="str">
        <f>IFERROR(__xludf.DUMMYFUNCTION("""COMPUTED_VALUE"""),"Active")</f>
        <v>Active</v>
      </c>
      <c r="E385" s="17">
        <f>IFERROR(__xludf.DUMMYFUNCTION("""COMPUTED_VALUE"""),45398.0)</f>
        <v>45398</v>
      </c>
      <c r="F385" s="54"/>
      <c r="G385" s="19">
        <f>IFERROR(__xludf.DUMMYFUNCTION("""COMPUTED_VALUE"""),29.666666666666668)</f>
        <v>29.66666667</v>
      </c>
      <c r="H385" s="17">
        <f>IFERROR(__xludf.DUMMYFUNCTION("""COMPUTED_VALUE"""),43000.0)</f>
        <v>43000</v>
      </c>
      <c r="I385" s="19">
        <f>IFERROR(__xludf.DUMMYFUNCTION("""COMPUTED_VALUE"""),6.566666666666666)</f>
        <v>6.566666667</v>
      </c>
      <c r="J385" s="21">
        <f>IFERROR(__xludf.DUMMYFUNCTION("""COMPUTED_VALUE"""),67.0)</f>
        <v>67</v>
      </c>
      <c r="K385" s="23">
        <f>IFERROR(__xludf.DUMMYFUNCTION("""COMPUTED_VALUE"""),5.9)</f>
        <v>5.9</v>
      </c>
      <c r="L385" s="24">
        <f>IFERROR(__xludf.DUMMYFUNCTION("""COMPUTED_VALUE"""),7.0)</f>
        <v>7</v>
      </c>
      <c r="M385" s="25" t="str">
        <f>IFERROR(__xludf.DUMMYFUNCTION("""COMPUTED_VALUE"""),"Action-Adventure")</f>
        <v>Action-Adventure</v>
      </c>
      <c r="N385" s="25"/>
      <c r="O385" s="25" t="str">
        <f>IFERROR(__xludf.DUMMYFUNCTION("""COMPUTED_VALUE"""),"No")</f>
        <v>No</v>
      </c>
      <c r="P385" s="26"/>
    </row>
    <row r="386">
      <c r="A386" s="13" t="str">
        <f>IFERROR(__xludf.DUMMYFUNCTION("""COMPUTED_VALUE"""),"Session: Skate Sim")</f>
        <v>Session: Skate Sim</v>
      </c>
      <c r="B386" s="15" t="str">
        <f>IFERROR(__xludf.DUMMYFUNCTION("""COMPUTED_VALUE"""),"PS5/PS4")</f>
        <v>PS5/PS4</v>
      </c>
      <c r="C386" s="16" t="str">
        <f>IFERROR(__xludf.DUMMYFUNCTION("""COMPUTED_VALUE"""),"Extra")</f>
        <v>Extra</v>
      </c>
      <c r="D386" s="15" t="str">
        <f>IFERROR(__xludf.DUMMYFUNCTION("""COMPUTED_VALUE"""),"Active")</f>
        <v>Active</v>
      </c>
      <c r="E386" s="17">
        <f>IFERROR(__xludf.DUMMYFUNCTION("""COMPUTED_VALUE"""),45307.0)</f>
        <v>45307</v>
      </c>
      <c r="F386" s="54"/>
      <c r="G386" s="19">
        <f>IFERROR(__xludf.DUMMYFUNCTION("""COMPUTED_VALUE"""),32.66666666666667)</f>
        <v>32.66666667</v>
      </c>
      <c r="H386" s="17">
        <f>IFERROR(__xludf.DUMMYFUNCTION("""COMPUTED_VALUE"""),44826.0)</f>
        <v>44826</v>
      </c>
      <c r="I386" s="19">
        <f>IFERROR(__xludf.DUMMYFUNCTION("""COMPUTED_VALUE"""),1.3166666666666667)</f>
        <v>1.316666667</v>
      </c>
      <c r="J386" s="21">
        <f>IFERROR(__xludf.DUMMYFUNCTION("""COMPUTED_VALUE"""),67.0)</f>
        <v>67</v>
      </c>
      <c r="K386" s="23">
        <f>IFERROR(__xludf.DUMMYFUNCTION("""COMPUTED_VALUE"""),6.1)</f>
        <v>6.1</v>
      </c>
      <c r="L386" s="24">
        <f>IFERROR(__xludf.DUMMYFUNCTION("""COMPUTED_VALUE"""),3.0)</f>
        <v>3</v>
      </c>
      <c r="M386" s="25" t="str">
        <f>IFERROR(__xludf.DUMMYFUNCTION("""COMPUTED_VALUE"""),"Sports")</f>
        <v>Sports</v>
      </c>
      <c r="N386" s="25"/>
      <c r="O386" s="25" t="str">
        <f>IFERROR(__xludf.DUMMYFUNCTION("""COMPUTED_VALUE"""),"Yes")</f>
        <v>Yes</v>
      </c>
      <c r="P386" s="26"/>
    </row>
    <row r="387">
      <c r="A387" s="13" t="str">
        <f>IFERROR(__xludf.DUMMYFUNCTION("""COMPUTED_VALUE"""),"World War Z")</f>
        <v>World War Z</v>
      </c>
      <c r="B387" s="15" t="str">
        <f>IFERROR(__xludf.DUMMYFUNCTION("""COMPUTED_VALUE"""),"PS5/PS4")</f>
        <v>PS5/PS4</v>
      </c>
      <c r="C387" s="16" t="str">
        <f>IFERROR(__xludf.DUMMYFUNCTION("""COMPUTED_VALUE"""),"Extra")</f>
        <v>Extra</v>
      </c>
      <c r="D387" s="15" t="str">
        <f>IFERROR(__xludf.DUMMYFUNCTION("""COMPUTED_VALUE"""),"Active")</f>
        <v>Active</v>
      </c>
      <c r="E387" s="17">
        <f>IFERROR(__xludf.DUMMYFUNCTION("""COMPUTED_VALUE"""),45125.0)</f>
        <v>45125</v>
      </c>
      <c r="F387" s="54"/>
      <c r="G387" s="19">
        <f>IFERROR(__xludf.DUMMYFUNCTION("""COMPUTED_VALUE"""),38.6)</f>
        <v>38.6</v>
      </c>
      <c r="H387" s="17">
        <f>IFERROR(__xludf.DUMMYFUNCTION("""COMPUTED_VALUE"""),43571.0)</f>
        <v>43571</v>
      </c>
      <c r="I387" s="19">
        <f>IFERROR(__xludf.DUMMYFUNCTION("""COMPUTED_VALUE"""),4.2555555555555555)</f>
        <v>4.255555556</v>
      </c>
      <c r="J387" s="21">
        <f>IFERROR(__xludf.DUMMYFUNCTION("""COMPUTED_VALUE"""),67.0)</f>
        <v>67</v>
      </c>
      <c r="K387" s="23">
        <f>IFERROR(__xludf.DUMMYFUNCTION("""COMPUTED_VALUE"""),6.3)</f>
        <v>6.3</v>
      </c>
      <c r="L387" s="24">
        <f>IFERROR(__xludf.DUMMYFUNCTION("""COMPUTED_VALUE"""),8.0)</f>
        <v>8</v>
      </c>
      <c r="M387" s="25" t="str">
        <f>IFERROR(__xludf.DUMMYFUNCTION("""COMPUTED_VALUE"""),"Shooter")</f>
        <v>Shooter</v>
      </c>
      <c r="N387" s="25"/>
      <c r="O387" s="25" t="str">
        <f>IFERROR(__xludf.DUMMYFUNCTION("""COMPUTED_VALUE"""),"Portal (PS5 + Premium)")</f>
        <v>Portal (PS5 + Premium)</v>
      </c>
      <c r="P387" s="26"/>
    </row>
    <row r="388">
      <c r="A388" s="13" t="str">
        <f>IFERROR(__xludf.DUMMYFUNCTION("""COMPUTED_VALUE"""),"Thief (2014)")</f>
        <v>Thief (2014)</v>
      </c>
      <c r="B388" s="15" t="str">
        <f>IFERROR(__xludf.DUMMYFUNCTION("""COMPUTED_VALUE"""),"PS4")</f>
        <v>PS4</v>
      </c>
      <c r="C388" s="16" t="str">
        <f>IFERROR(__xludf.DUMMYFUNCTION("""COMPUTED_VALUE"""),"Extra")</f>
        <v>Extra</v>
      </c>
      <c r="D388" s="15" t="str">
        <f>IFERROR(__xludf.DUMMYFUNCTION("""COMPUTED_VALUE"""),"Active")</f>
        <v>Active</v>
      </c>
      <c r="E388" s="17">
        <f>IFERROR(__xludf.DUMMYFUNCTION("""COMPUTED_VALUE"""),45097.0)</f>
        <v>45097</v>
      </c>
      <c r="F388" s="54"/>
      <c r="G388" s="19">
        <f>IFERROR(__xludf.DUMMYFUNCTION("""COMPUTED_VALUE"""),39.53333333333333)</f>
        <v>39.53333333</v>
      </c>
      <c r="H388" s="17">
        <f>IFERROR(__xludf.DUMMYFUNCTION("""COMPUTED_VALUE"""),41695.0)</f>
        <v>41695</v>
      </c>
      <c r="I388" s="19">
        <f>IFERROR(__xludf.DUMMYFUNCTION("""COMPUTED_VALUE"""),9.319444444444445)</f>
        <v>9.319444444</v>
      </c>
      <c r="J388" s="21">
        <f>IFERROR(__xludf.DUMMYFUNCTION("""COMPUTED_VALUE"""),67.0)</f>
        <v>67</v>
      </c>
      <c r="K388" s="23">
        <f>IFERROR(__xludf.DUMMYFUNCTION("""COMPUTED_VALUE"""),6.4)</f>
        <v>6.4</v>
      </c>
      <c r="L388" s="24">
        <f>IFERROR(__xludf.DUMMYFUNCTION("""COMPUTED_VALUE"""),11.0)</f>
        <v>11</v>
      </c>
      <c r="M388" s="25" t="str">
        <f>IFERROR(__xludf.DUMMYFUNCTION("""COMPUTED_VALUE"""),"Action-Adventure")</f>
        <v>Action-Adventure</v>
      </c>
      <c r="N388" s="25"/>
      <c r="O388" s="25" t="str">
        <f>IFERROR(__xludf.DUMMYFUNCTION("""COMPUTED_VALUE"""),"Yes")</f>
        <v>Yes</v>
      </c>
      <c r="P388" s="26"/>
    </row>
    <row r="389">
      <c r="A389" s="13" t="str">
        <f>IFERROR(__xludf.DUMMYFUNCTION("""COMPUTED_VALUE"""),"RAGE 2")</f>
        <v>RAGE 2</v>
      </c>
      <c r="B389" s="15" t="str">
        <f>IFERROR(__xludf.DUMMYFUNCTION("""COMPUTED_VALUE"""),"PS5/PS4")</f>
        <v>PS5/PS4</v>
      </c>
      <c r="C389" s="16" t="str">
        <f>IFERROR(__xludf.DUMMYFUNCTION("""COMPUTED_VALUE"""),"Extra")</f>
        <v>Extra</v>
      </c>
      <c r="D389" s="15" t="str">
        <f>IFERROR(__xludf.DUMMYFUNCTION("""COMPUTED_VALUE"""),"Active")</f>
        <v>Active</v>
      </c>
      <c r="E389" s="17">
        <f>IFERROR(__xludf.DUMMYFUNCTION("""COMPUTED_VALUE"""),45006.0)</f>
        <v>45006</v>
      </c>
      <c r="F389" s="54"/>
      <c r="G389" s="19">
        <f>IFERROR(__xludf.DUMMYFUNCTION("""COMPUTED_VALUE"""),42.5)</f>
        <v>42.5</v>
      </c>
      <c r="H389" s="17">
        <f>IFERROR(__xludf.DUMMYFUNCTION("""COMPUTED_VALUE"""),43599.0)</f>
        <v>43599</v>
      </c>
      <c r="I389" s="19">
        <f>IFERROR(__xludf.DUMMYFUNCTION("""COMPUTED_VALUE"""),3.852777777777778)</f>
        <v>3.852777778</v>
      </c>
      <c r="J389" s="21">
        <f>IFERROR(__xludf.DUMMYFUNCTION("""COMPUTED_VALUE"""),67.0)</f>
        <v>67</v>
      </c>
      <c r="K389" s="23">
        <f>IFERROR(__xludf.DUMMYFUNCTION("""COMPUTED_VALUE"""),6.1)</f>
        <v>6.1</v>
      </c>
      <c r="L389" s="24">
        <f>IFERROR(__xludf.DUMMYFUNCTION("""COMPUTED_VALUE"""),11.0)</f>
        <v>11</v>
      </c>
      <c r="M389" s="25" t="str">
        <f>IFERROR(__xludf.DUMMYFUNCTION("""COMPUTED_VALUE"""),"Shooter")</f>
        <v>Shooter</v>
      </c>
      <c r="N389" s="25"/>
      <c r="O389" s="25" t="str">
        <f>IFERROR(__xludf.DUMMYFUNCTION("""COMPUTED_VALUE"""),"Yes")</f>
        <v>Yes</v>
      </c>
      <c r="P389" s="26"/>
    </row>
    <row r="390">
      <c r="A390" s="13" t="str">
        <f>IFERROR(__xludf.DUMMYFUNCTION("""COMPUTED_VALUE"""),"Embr")</f>
        <v>Embr</v>
      </c>
      <c r="B390" s="15" t="str">
        <f>IFERROR(__xludf.DUMMYFUNCTION("""COMPUTED_VALUE"""),"PS4")</f>
        <v>PS4</v>
      </c>
      <c r="C390" s="16" t="str">
        <f>IFERROR(__xludf.DUMMYFUNCTION("""COMPUTED_VALUE"""),"Extra")</f>
        <v>Extra</v>
      </c>
      <c r="D390" s="15" t="str">
        <f>IFERROR(__xludf.DUMMYFUNCTION("""COMPUTED_VALUE"""),"Active")</f>
        <v>Active</v>
      </c>
      <c r="E390" s="17">
        <f>IFERROR(__xludf.DUMMYFUNCTION("""COMPUTED_VALUE"""),44725.0)</f>
        <v>44725</v>
      </c>
      <c r="F390" s="54"/>
      <c r="G390" s="19">
        <f>IFERROR(__xludf.DUMMYFUNCTION("""COMPUTED_VALUE"""),51.766666666666666)</f>
        <v>51.76666667</v>
      </c>
      <c r="H390" s="17">
        <f>IFERROR(__xludf.DUMMYFUNCTION("""COMPUTED_VALUE"""),43972.0)</f>
        <v>43972</v>
      </c>
      <c r="I390" s="19">
        <f>IFERROR(__xludf.DUMMYFUNCTION("""COMPUTED_VALUE"""),2.061111111111111)</f>
        <v>2.061111111</v>
      </c>
      <c r="J390" s="21">
        <f>IFERROR(__xludf.DUMMYFUNCTION("""COMPUTED_VALUE"""),67.0)</f>
        <v>67</v>
      </c>
      <c r="K390" s="23">
        <f>IFERROR(__xludf.DUMMYFUNCTION("""COMPUTED_VALUE"""),6.1)</f>
        <v>6.1</v>
      </c>
      <c r="L390" s="24">
        <f>IFERROR(__xludf.DUMMYFUNCTION("""COMPUTED_VALUE"""),7.0)</f>
        <v>7</v>
      </c>
      <c r="M390" s="25" t="str">
        <f>IFERROR(__xludf.DUMMYFUNCTION("""COMPUTED_VALUE"""),"Action-Adventure")</f>
        <v>Action-Adventure</v>
      </c>
      <c r="N390" s="25"/>
      <c r="O390" s="25" t="str">
        <f>IFERROR(__xludf.DUMMYFUNCTION("""COMPUTED_VALUE"""),"Yes")</f>
        <v>Yes</v>
      </c>
      <c r="P390" s="26" t="str">
        <f>IFERROR(__xludf.DUMMYFUNCTION("""COMPUTED_VALUE"""),"Yes")</f>
        <v>Yes</v>
      </c>
    </row>
    <row r="391">
      <c r="A391" s="13" t="str">
        <f>IFERROR(__xludf.DUMMYFUNCTION("""COMPUTED_VALUE"""),"Golf with Your Friends")</f>
        <v>Golf with Your Friends</v>
      </c>
      <c r="B391" s="15" t="str">
        <f>IFERROR(__xludf.DUMMYFUNCTION("""COMPUTED_VALUE"""),"PS4")</f>
        <v>PS4</v>
      </c>
      <c r="C391" s="16" t="str">
        <f>IFERROR(__xludf.DUMMYFUNCTION("""COMPUTED_VALUE"""),"Extra")</f>
        <v>Extra</v>
      </c>
      <c r="D391" s="15" t="str">
        <f>IFERROR(__xludf.DUMMYFUNCTION("""COMPUTED_VALUE"""),"Active")</f>
        <v>Active</v>
      </c>
      <c r="E391" s="17">
        <f>IFERROR(__xludf.DUMMYFUNCTION("""COMPUTED_VALUE"""),44725.0)</f>
        <v>44725</v>
      </c>
      <c r="F391" s="54"/>
      <c r="G391" s="19">
        <f>IFERROR(__xludf.DUMMYFUNCTION("""COMPUTED_VALUE"""),51.766666666666666)</f>
        <v>51.76666667</v>
      </c>
      <c r="H391" s="17">
        <f>IFERROR(__xludf.DUMMYFUNCTION("""COMPUTED_VALUE"""),43970.0)</f>
        <v>43970</v>
      </c>
      <c r="I391" s="19">
        <f>IFERROR(__xludf.DUMMYFUNCTION("""COMPUTED_VALUE"""),2.066666666666667)</f>
        <v>2.066666667</v>
      </c>
      <c r="J391" s="21">
        <f>IFERROR(__xludf.DUMMYFUNCTION("""COMPUTED_VALUE"""),67.0)</f>
        <v>67</v>
      </c>
      <c r="K391" s="23">
        <f>IFERROR(__xludf.DUMMYFUNCTION("""COMPUTED_VALUE"""),7.1)</f>
        <v>7.1</v>
      </c>
      <c r="L391" s="24">
        <f>IFERROR(__xludf.DUMMYFUNCTION("""COMPUTED_VALUE"""),13.0)</f>
        <v>13</v>
      </c>
      <c r="M391" s="25" t="str">
        <f>IFERROR(__xludf.DUMMYFUNCTION("""COMPUTED_VALUE"""),"Sports")</f>
        <v>Sports</v>
      </c>
      <c r="N391" s="25"/>
      <c r="O391" s="25" t="str">
        <f>IFERROR(__xludf.DUMMYFUNCTION("""COMPUTED_VALUE"""),"Yes")</f>
        <v>Yes</v>
      </c>
      <c r="P391" s="26" t="str">
        <f>IFERROR(__xludf.DUMMYFUNCTION("""COMPUTED_VALUE"""),"Yes")</f>
        <v>Yes</v>
      </c>
    </row>
    <row r="392">
      <c r="A392" s="13" t="str">
        <f>IFERROR(__xludf.DUMMYFUNCTION("""COMPUTED_VALUE"""),"Grand Ages: Medieval")</f>
        <v>Grand Ages: Medieval</v>
      </c>
      <c r="B392" s="15" t="str">
        <f>IFERROR(__xludf.DUMMYFUNCTION("""COMPUTED_VALUE"""),"PS4")</f>
        <v>PS4</v>
      </c>
      <c r="C392" s="16" t="str">
        <f>IFERROR(__xludf.DUMMYFUNCTION("""COMPUTED_VALUE"""),"Extra")</f>
        <v>Extra</v>
      </c>
      <c r="D392" s="15" t="str">
        <f>IFERROR(__xludf.DUMMYFUNCTION("""COMPUTED_VALUE"""),"Active")</f>
        <v>Active</v>
      </c>
      <c r="E392" s="17">
        <f>IFERROR(__xludf.DUMMYFUNCTION("""COMPUTED_VALUE"""),44725.0)</f>
        <v>44725</v>
      </c>
      <c r="F392" s="54"/>
      <c r="G392" s="19">
        <f>IFERROR(__xludf.DUMMYFUNCTION("""COMPUTED_VALUE"""),51.766666666666666)</f>
        <v>51.76666667</v>
      </c>
      <c r="H392" s="17">
        <f>IFERROR(__xludf.DUMMYFUNCTION("""COMPUTED_VALUE"""),42278.0)</f>
        <v>42278</v>
      </c>
      <c r="I392" s="19">
        <f>IFERROR(__xludf.DUMMYFUNCTION("""COMPUTED_VALUE"""),6.7)</f>
        <v>6.7</v>
      </c>
      <c r="J392" s="21">
        <f>IFERROR(__xludf.DUMMYFUNCTION("""COMPUTED_VALUE"""),67.0)</f>
        <v>67</v>
      </c>
      <c r="K392" s="23">
        <f>IFERROR(__xludf.DUMMYFUNCTION("""COMPUTED_VALUE"""),6.0)</f>
        <v>6</v>
      </c>
      <c r="L392" s="24">
        <f>IFERROR(__xludf.DUMMYFUNCTION("""COMPUTED_VALUE"""),9.0)</f>
        <v>9</v>
      </c>
      <c r="M392" s="25" t="str">
        <f>IFERROR(__xludf.DUMMYFUNCTION("""COMPUTED_VALUE"""),"Strategy")</f>
        <v>Strategy</v>
      </c>
      <c r="N392" s="25"/>
      <c r="O392" s="25" t="str">
        <f>IFERROR(__xludf.DUMMYFUNCTION("""COMPUTED_VALUE"""),"Yes")</f>
        <v>Yes</v>
      </c>
      <c r="P392" s="26"/>
    </row>
    <row r="393">
      <c r="A393" s="13" t="str">
        <f>IFERROR(__xludf.DUMMYFUNCTION("""COMPUTED_VALUE"""),"Malicious Fallen")</f>
        <v>Malicious Fallen</v>
      </c>
      <c r="B393" s="15" t="str">
        <f>IFERROR(__xludf.DUMMYFUNCTION("""COMPUTED_VALUE"""),"PS4")</f>
        <v>PS4</v>
      </c>
      <c r="C393" s="16" t="str">
        <f>IFERROR(__xludf.DUMMYFUNCTION("""COMPUTED_VALUE"""),"Extra")</f>
        <v>Extra</v>
      </c>
      <c r="D393" s="15" t="str">
        <f>IFERROR(__xludf.DUMMYFUNCTION("""COMPUTED_VALUE"""),"Active")</f>
        <v>Active</v>
      </c>
      <c r="E393" s="17">
        <f>IFERROR(__xludf.DUMMYFUNCTION("""COMPUTED_VALUE"""),44725.0)</f>
        <v>44725</v>
      </c>
      <c r="F393" s="54"/>
      <c r="G393" s="19">
        <f>IFERROR(__xludf.DUMMYFUNCTION("""COMPUTED_VALUE"""),51.766666666666666)</f>
        <v>51.76666667</v>
      </c>
      <c r="H393" s="17">
        <f>IFERROR(__xludf.DUMMYFUNCTION("""COMPUTED_VALUE"""),42767.0)</f>
        <v>42767</v>
      </c>
      <c r="I393" s="19">
        <f>IFERROR(__xludf.DUMMYFUNCTION("""COMPUTED_VALUE"""),5.366666666666666)</f>
        <v>5.366666667</v>
      </c>
      <c r="J393" s="21">
        <f>IFERROR(__xludf.DUMMYFUNCTION("""COMPUTED_VALUE"""),67.0)</f>
        <v>67</v>
      </c>
      <c r="K393" s="23">
        <f>IFERROR(__xludf.DUMMYFUNCTION("""COMPUTED_VALUE"""),6.2)</f>
        <v>6.2</v>
      </c>
      <c r="L393" s="24">
        <f>IFERROR(__xludf.DUMMYFUNCTION("""COMPUTED_VALUE"""),3.5)</f>
        <v>3.5</v>
      </c>
      <c r="M393" s="25" t="str">
        <f>IFERROR(__xludf.DUMMYFUNCTION("""COMPUTED_VALUE"""),"Action-Adventure")</f>
        <v>Action-Adventure</v>
      </c>
      <c r="N393" s="25"/>
      <c r="O393" s="25" t="str">
        <f>IFERROR(__xludf.DUMMYFUNCTION("""COMPUTED_VALUE"""),"Yes")</f>
        <v>Yes</v>
      </c>
      <c r="P393" s="26"/>
    </row>
    <row r="394">
      <c r="A394" s="13" t="str">
        <f>IFERROR(__xludf.DUMMYFUNCTION("""COMPUTED_VALUE"""),"Mudrunner")</f>
        <v>Mudrunner</v>
      </c>
      <c r="B394" s="15" t="str">
        <f>IFERROR(__xludf.DUMMYFUNCTION("""COMPUTED_VALUE"""),"PS4")</f>
        <v>PS4</v>
      </c>
      <c r="C394" s="16" t="str">
        <f>IFERROR(__xludf.DUMMYFUNCTION("""COMPUTED_VALUE"""),"Extra")</f>
        <v>Extra</v>
      </c>
      <c r="D394" s="15" t="str">
        <f>IFERROR(__xludf.DUMMYFUNCTION("""COMPUTED_VALUE"""),"Active")</f>
        <v>Active</v>
      </c>
      <c r="E394" s="17">
        <f>IFERROR(__xludf.DUMMYFUNCTION("""COMPUTED_VALUE"""),44725.0)</f>
        <v>44725</v>
      </c>
      <c r="F394" s="54"/>
      <c r="G394" s="19">
        <f>IFERROR(__xludf.DUMMYFUNCTION("""COMPUTED_VALUE"""),51.766666666666666)</f>
        <v>51.76666667</v>
      </c>
      <c r="H394" s="17">
        <f>IFERROR(__xludf.DUMMYFUNCTION("""COMPUTED_VALUE"""),43039.0)</f>
        <v>43039</v>
      </c>
      <c r="I394" s="19">
        <f>IFERROR(__xludf.DUMMYFUNCTION("""COMPUTED_VALUE"""),4.6194444444444445)</f>
        <v>4.619444444</v>
      </c>
      <c r="J394" s="21">
        <f>IFERROR(__xludf.DUMMYFUNCTION("""COMPUTED_VALUE"""),67.0)</f>
        <v>67</v>
      </c>
      <c r="K394" s="23">
        <f>IFERROR(__xludf.DUMMYFUNCTION("""COMPUTED_VALUE"""),7.0)</f>
        <v>7</v>
      </c>
      <c r="L394" s="24">
        <f>IFERROR(__xludf.DUMMYFUNCTION("""COMPUTED_VALUE"""),13.0)</f>
        <v>13</v>
      </c>
      <c r="M394" s="25" t="str">
        <f>IFERROR(__xludf.DUMMYFUNCTION("""COMPUTED_VALUE"""),"Racing")</f>
        <v>Racing</v>
      </c>
      <c r="N394" s="25"/>
      <c r="O394" s="25" t="str">
        <f>IFERROR(__xludf.DUMMYFUNCTION("""COMPUTED_VALUE"""),"Yes")</f>
        <v>Yes</v>
      </c>
      <c r="P394" s="26" t="str">
        <f>IFERROR(__xludf.DUMMYFUNCTION("""COMPUTED_VALUE"""),"Yes")</f>
        <v>Yes</v>
      </c>
    </row>
    <row r="395">
      <c r="A395" s="13" t="str">
        <f>IFERROR(__xludf.DUMMYFUNCTION("""COMPUTED_VALUE"""),"Legendary Fishing")</f>
        <v>Legendary Fishing</v>
      </c>
      <c r="B395" s="15" t="str">
        <f>IFERROR(__xludf.DUMMYFUNCTION("""COMPUTED_VALUE"""),"PS4")</f>
        <v>PS4</v>
      </c>
      <c r="C395" s="16" t="str">
        <f>IFERROR(__xludf.DUMMYFUNCTION("""COMPUTED_VALUE"""),"Extra (Ubisoft+ Classics)")</f>
        <v>Extra (Ubisoft+ Classics)</v>
      </c>
      <c r="D395" s="15" t="str">
        <f>IFERROR(__xludf.DUMMYFUNCTION("""COMPUTED_VALUE"""),"Active")</f>
        <v>Active</v>
      </c>
      <c r="E395" s="17">
        <f>IFERROR(__xludf.DUMMYFUNCTION("""COMPUTED_VALUE"""),44725.0)</f>
        <v>44725</v>
      </c>
      <c r="F395" s="54"/>
      <c r="G395" s="19">
        <f>IFERROR(__xludf.DUMMYFUNCTION("""COMPUTED_VALUE"""),51.766666666666666)</f>
        <v>51.76666667</v>
      </c>
      <c r="H395" s="17">
        <f>IFERROR(__xludf.DUMMYFUNCTION("""COMPUTED_VALUE"""),43361.0)</f>
        <v>43361</v>
      </c>
      <c r="I395" s="19">
        <f>IFERROR(__xludf.DUMMYFUNCTION("""COMPUTED_VALUE"""),3.736111111111111)</f>
        <v>3.736111111</v>
      </c>
      <c r="J395" s="21">
        <f>IFERROR(__xludf.DUMMYFUNCTION("""COMPUTED_VALUE"""),67.0)</f>
        <v>67</v>
      </c>
      <c r="K395" s="23">
        <f>IFERROR(__xludf.DUMMYFUNCTION("""COMPUTED_VALUE"""),6.6)</f>
        <v>6.6</v>
      </c>
      <c r="L395" s="24">
        <f>IFERROR(__xludf.DUMMYFUNCTION("""COMPUTED_VALUE"""),4.0)</f>
        <v>4</v>
      </c>
      <c r="M395" s="25" t="str">
        <f>IFERROR(__xludf.DUMMYFUNCTION("""COMPUTED_VALUE"""),"Sports")</f>
        <v>Sports</v>
      </c>
      <c r="N395" s="25"/>
      <c r="O395" s="25" t="str">
        <f>IFERROR(__xludf.DUMMYFUNCTION("""COMPUTED_VALUE"""),"Yes")</f>
        <v>Yes</v>
      </c>
      <c r="P395" s="26" t="str">
        <f>IFERROR(__xludf.DUMMYFUNCTION("""COMPUTED_VALUE"""),"Yes")</f>
        <v>Yes</v>
      </c>
    </row>
    <row r="396">
      <c r="A396" s="13" t="str">
        <f>IFERROR(__xludf.DUMMYFUNCTION("""COMPUTED_VALUE"""),"Mount &amp; Blade: Warband")</f>
        <v>Mount &amp; Blade: Warband</v>
      </c>
      <c r="B396" s="15" t="str">
        <f>IFERROR(__xludf.DUMMYFUNCTION("""COMPUTED_VALUE"""),"PS4")</f>
        <v>PS4</v>
      </c>
      <c r="C396" s="16" t="str">
        <f>IFERROR(__xludf.DUMMYFUNCTION("""COMPUTED_VALUE"""),"Extra")</f>
        <v>Extra</v>
      </c>
      <c r="D396" s="15" t="str">
        <f>IFERROR(__xludf.DUMMYFUNCTION("""COMPUTED_VALUE"""),"Active")</f>
        <v>Active</v>
      </c>
      <c r="E396" s="17">
        <f>IFERROR(__xludf.DUMMYFUNCTION("""COMPUTED_VALUE"""),43438.0)</f>
        <v>43438</v>
      </c>
      <c r="F396" s="54"/>
      <c r="G396" s="19">
        <f>IFERROR(__xludf.DUMMYFUNCTION("""COMPUTED_VALUE"""),94.06666666666666)</f>
        <v>94.06666667</v>
      </c>
      <c r="H396" s="17">
        <f>IFERROR(__xludf.DUMMYFUNCTION("""COMPUTED_VALUE"""),42614.0)</f>
        <v>42614</v>
      </c>
      <c r="I396" s="19">
        <f>IFERROR(__xludf.DUMMYFUNCTION("""COMPUTED_VALUE"""),2.2583333333333333)</f>
        <v>2.258333333</v>
      </c>
      <c r="J396" s="21">
        <f>IFERROR(__xludf.DUMMYFUNCTION("""COMPUTED_VALUE"""),67.0)</f>
        <v>67</v>
      </c>
      <c r="K396" s="23">
        <f>IFERROR(__xludf.DUMMYFUNCTION("""COMPUTED_VALUE"""),8.5)</f>
        <v>8.5</v>
      </c>
      <c r="L396" s="24">
        <f>IFERROR(__xludf.DUMMYFUNCTION("""COMPUTED_VALUE"""),40.0)</f>
        <v>40</v>
      </c>
      <c r="M396" s="25" t="str">
        <f>IFERROR(__xludf.DUMMYFUNCTION("""COMPUTED_VALUE"""),"RPG")</f>
        <v>RPG</v>
      </c>
      <c r="N396" s="25"/>
      <c r="O396" s="25" t="str">
        <f>IFERROR(__xludf.DUMMYFUNCTION("""COMPUTED_VALUE"""),"Yes")</f>
        <v>Yes</v>
      </c>
      <c r="P396" s="26" t="str">
        <f>IFERROR(__xludf.DUMMYFUNCTION("""COMPUTED_VALUE"""),"Yes")</f>
        <v>Yes</v>
      </c>
    </row>
    <row r="397">
      <c r="A397" s="13" t="str">
        <f>IFERROR(__xludf.DUMMYFUNCTION("""COMPUTED_VALUE"""),"Echoes of the End: Enhanced Edition")</f>
        <v>Echoes of the End: Enhanced Edition</v>
      </c>
      <c r="B397" s="15" t="str">
        <f>IFERROR(__xludf.DUMMYFUNCTION("""COMPUTED_VALUE"""),"PS5")</f>
        <v>PS5</v>
      </c>
      <c r="C397" s="16" t="str">
        <f>IFERROR(__xludf.DUMMYFUNCTION("""COMPUTED_VALUE"""),"Extra")</f>
        <v>Extra</v>
      </c>
      <c r="D397" s="15" t="str">
        <f>IFERROR(__xludf.DUMMYFUNCTION("""COMPUTED_VALUE"""),"Active")</f>
        <v>Active</v>
      </c>
      <c r="E397" s="17">
        <f>IFERROR(__xludf.DUMMYFUNCTION("""COMPUTED_VALUE"""),46070.0)</f>
        <v>46070</v>
      </c>
      <c r="F397" s="54"/>
      <c r="G397" s="19">
        <f>IFERROR(__xludf.DUMMYFUNCTION("""COMPUTED_VALUE"""),7.633333333333333)</f>
        <v>7.633333333</v>
      </c>
      <c r="H397" s="17">
        <f>IFERROR(__xludf.DUMMYFUNCTION("""COMPUTED_VALUE"""),45881.0)</f>
        <v>45881</v>
      </c>
      <c r="I397" s="19">
        <f>IFERROR(__xludf.DUMMYFUNCTION("""COMPUTED_VALUE"""),0.5138888888888888)</f>
        <v>0.5138888889</v>
      </c>
      <c r="J397" s="21">
        <f>IFERROR(__xludf.DUMMYFUNCTION("""COMPUTED_VALUE"""),66.0)</f>
        <v>66</v>
      </c>
      <c r="K397" s="23">
        <f>IFERROR(__xludf.DUMMYFUNCTION("""COMPUTED_VALUE"""),6.9)</f>
        <v>6.9</v>
      </c>
      <c r="L397" s="24">
        <f>IFERROR(__xludf.DUMMYFUNCTION("""COMPUTED_VALUE"""),11.0)</f>
        <v>11</v>
      </c>
      <c r="M397" s="25" t="str">
        <f>IFERROR(__xludf.DUMMYFUNCTION("""COMPUTED_VALUE"""),"Action-Adventure")</f>
        <v>Action-Adventure</v>
      </c>
      <c r="N397" s="25"/>
      <c r="O397" s="25" t="str">
        <f>IFERROR(__xludf.DUMMYFUNCTION("""COMPUTED_VALUE"""),"No")</f>
        <v>No</v>
      </c>
      <c r="P397" s="26"/>
    </row>
    <row r="398">
      <c r="A398" s="13" t="str">
        <f>IFERROR(__xludf.DUMMYFUNCTION("""COMPUTED_VALUE"""),"Tin Hearts")</f>
        <v>Tin Hearts</v>
      </c>
      <c r="B398" s="15" t="str">
        <f>IFERROR(__xludf.DUMMYFUNCTION("""COMPUTED_VALUE"""),"PS5/PSVR2")</f>
        <v>PS5/PSVR2</v>
      </c>
      <c r="C398" s="16" t="str">
        <f>IFERROR(__xludf.DUMMYFUNCTION("""COMPUTED_VALUE"""),"Extra")</f>
        <v>Extra</v>
      </c>
      <c r="D398" s="15" t="str">
        <f>IFERROR(__xludf.DUMMYFUNCTION("""COMPUTED_VALUE"""),"Active")</f>
        <v>Active</v>
      </c>
      <c r="E398" s="17">
        <f>IFERROR(__xludf.DUMMYFUNCTION("""COMPUTED_VALUE"""),45705.0)</f>
        <v>45705</v>
      </c>
      <c r="F398" s="54"/>
      <c r="G398" s="19">
        <f>IFERROR(__xludf.DUMMYFUNCTION("""COMPUTED_VALUE"""),19.633333333333333)</f>
        <v>19.63333333</v>
      </c>
      <c r="H398" s="17">
        <f>IFERROR(__xludf.DUMMYFUNCTION("""COMPUTED_VALUE"""),45062.0)</f>
        <v>45062</v>
      </c>
      <c r="I398" s="19">
        <f>IFERROR(__xludf.DUMMYFUNCTION("""COMPUTED_VALUE"""),1.7527777777777778)</f>
        <v>1.752777778</v>
      </c>
      <c r="J398" s="21">
        <f>IFERROR(__xludf.DUMMYFUNCTION("""COMPUTED_VALUE"""),66.0)</f>
        <v>66</v>
      </c>
      <c r="K398" s="23">
        <f>IFERROR(__xludf.DUMMYFUNCTION("""COMPUTED_VALUE"""),8.3)</f>
        <v>8.3</v>
      </c>
      <c r="L398" s="24">
        <f>IFERROR(__xludf.DUMMYFUNCTION("""COMPUTED_VALUE"""),16.0)</f>
        <v>16</v>
      </c>
      <c r="M398" s="25" t="str">
        <f>IFERROR(__xludf.DUMMYFUNCTION("""COMPUTED_VALUE"""),"Puzzle")</f>
        <v>Puzzle</v>
      </c>
      <c r="N398" s="25"/>
      <c r="O398" s="25" t="str">
        <f>IFERROR(__xludf.DUMMYFUNCTION("""COMPUTED_VALUE"""),"No")</f>
        <v>No</v>
      </c>
      <c r="P398" s="26"/>
    </row>
    <row r="399">
      <c r="A399" s="13" t="str">
        <f>IFERROR(__xludf.DUMMYFUNCTION("""COMPUTED_VALUE"""),"LEGO Worlds")</f>
        <v>LEGO Worlds</v>
      </c>
      <c r="B399" s="15" t="str">
        <f>IFERROR(__xludf.DUMMYFUNCTION("""COMPUTED_VALUE"""),"PS4")</f>
        <v>PS4</v>
      </c>
      <c r="C399" s="16" t="str">
        <f>IFERROR(__xludf.DUMMYFUNCTION("""COMPUTED_VALUE"""),"Extra")</f>
        <v>Extra</v>
      </c>
      <c r="D399" s="15" t="str">
        <f>IFERROR(__xludf.DUMMYFUNCTION("""COMPUTED_VALUE"""),"Active")</f>
        <v>Active</v>
      </c>
      <c r="E399" s="17">
        <f>IFERROR(__xludf.DUMMYFUNCTION("""COMPUTED_VALUE"""),45342.0)</f>
        <v>45342</v>
      </c>
      <c r="F399" s="54"/>
      <c r="G399" s="19">
        <f>IFERROR(__xludf.DUMMYFUNCTION("""COMPUTED_VALUE"""),31.53333333333333)</f>
        <v>31.53333333</v>
      </c>
      <c r="H399" s="17">
        <f>IFERROR(__xludf.DUMMYFUNCTION("""COMPUTED_VALUE"""),42801.0)</f>
        <v>42801</v>
      </c>
      <c r="I399" s="19">
        <f>IFERROR(__xludf.DUMMYFUNCTION("""COMPUTED_VALUE"""),6.9527777777777775)</f>
        <v>6.952777778</v>
      </c>
      <c r="J399" s="21">
        <f>IFERROR(__xludf.DUMMYFUNCTION("""COMPUTED_VALUE"""),66.0)</f>
        <v>66</v>
      </c>
      <c r="K399" s="23">
        <f>IFERROR(__xludf.DUMMYFUNCTION("""COMPUTED_VALUE"""),6.3)</f>
        <v>6.3</v>
      </c>
      <c r="L399" s="24">
        <f>IFERROR(__xludf.DUMMYFUNCTION("""COMPUTED_VALUE"""),10.0)</f>
        <v>10</v>
      </c>
      <c r="M399" s="25" t="str">
        <f>IFERROR(__xludf.DUMMYFUNCTION("""COMPUTED_VALUE"""),"Sandbox")</f>
        <v>Sandbox</v>
      </c>
      <c r="N399" s="25"/>
      <c r="O399" s="25" t="str">
        <f>IFERROR(__xludf.DUMMYFUNCTION("""COMPUTED_VALUE"""),"Yes")</f>
        <v>Yes</v>
      </c>
      <c r="P399" s="26"/>
    </row>
    <row r="400">
      <c r="A400" s="13" t="str">
        <f>IFERROR(__xludf.DUMMYFUNCTION("""COMPUTED_VALUE"""),"Anodyne")</f>
        <v>Anodyne</v>
      </c>
      <c r="B400" s="15" t="str">
        <f>IFERROR(__xludf.DUMMYFUNCTION("""COMPUTED_VALUE"""),"PS4")</f>
        <v>PS4</v>
      </c>
      <c r="C400" s="16" t="str">
        <f>IFERROR(__xludf.DUMMYFUNCTION("""COMPUTED_VALUE"""),"Extra")</f>
        <v>Extra</v>
      </c>
      <c r="D400" s="15" t="str">
        <f>IFERROR(__xludf.DUMMYFUNCTION("""COMPUTED_VALUE"""),"Active")</f>
        <v>Active</v>
      </c>
      <c r="E400" s="17">
        <f>IFERROR(__xludf.DUMMYFUNCTION("""COMPUTED_VALUE"""),45024.0)</f>
        <v>45024</v>
      </c>
      <c r="F400" s="54"/>
      <c r="G400" s="19">
        <f>IFERROR(__xludf.DUMMYFUNCTION("""COMPUTED_VALUE"""),41.93333333333334)</f>
        <v>41.93333333</v>
      </c>
      <c r="H400" s="17">
        <f>IFERROR(__xludf.DUMMYFUNCTION("""COMPUTED_VALUE"""),41033.0)</f>
        <v>41033</v>
      </c>
      <c r="I400" s="19">
        <f>IFERROR(__xludf.DUMMYFUNCTION("""COMPUTED_VALUE"""),10.927777777777777)</f>
        <v>10.92777778</v>
      </c>
      <c r="J400" s="21">
        <f>IFERROR(__xludf.DUMMYFUNCTION("""COMPUTED_VALUE"""),66.0)</f>
        <v>66</v>
      </c>
      <c r="K400" s="23">
        <f>IFERROR(__xludf.DUMMYFUNCTION("""COMPUTED_VALUE"""),7.5)</f>
        <v>7.5</v>
      </c>
      <c r="L400" s="24">
        <f>IFERROR(__xludf.DUMMYFUNCTION("""COMPUTED_VALUE"""),6.0)</f>
        <v>6</v>
      </c>
      <c r="M400" s="25" t="str">
        <f>IFERROR(__xludf.DUMMYFUNCTION("""COMPUTED_VALUE"""),"Action-Adventure")</f>
        <v>Action-Adventure</v>
      </c>
      <c r="N400" s="25"/>
      <c r="O400" s="25" t="str">
        <f>IFERROR(__xludf.DUMMYFUNCTION("""COMPUTED_VALUE"""),"Yes")</f>
        <v>Yes</v>
      </c>
      <c r="P400" s="26"/>
    </row>
    <row r="401">
      <c r="A401" s="13" t="str">
        <f>IFERROR(__xludf.DUMMYFUNCTION("""COMPUTED_VALUE"""),"Townsmen: A Kingdom Rebuilt")</f>
        <v>Townsmen: A Kingdom Rebuilt</v>
      </c>
      <c r="B401" s="15" t="str">
        <f>IFERROR(__xludf.DUMMYFUNCTION("""COMPUTED_VALUE"""),"PS4")</f>
        <v>PS4</v>
      </c>
      <c r="C401" s="16" t="str">
        <f>IFERROR(__xludf.DUMMYFUNCTION("""COMPUTED_VALUE"""),"Extra")</f>
        <v>Extra</v>
      </c>
      <c r="D401" s="15" t="str">
        <f>IFERROR(__xludf.DUMMYFUNCTION("""COMPUTED_VALUE"""),"Active")</f>
        <v>Active</v>
      </c>
      <c r="E401" s="17">
        <f>IFERROR(__xludf.DUMMYFUNCTION("""COMPUTED_VALUE"""),44725.0)</f>
        <v>44725</v>
      </c>
      <c r="F401" s="54"/>
      <c r="G401" s="19">
        <f>IFERROR(__xludf.DUMMYFUNCTION("""COMPUTED_VALUE"""),51.766666666666666)</f>
        <v>51.76666667</v>
      </c>
      <c r="H401" s="17">
        <f>IFERROR(__xludf.DUMMYFUNCTION("""COMPUTED_VALUE"""),43977.0)</f>
        <v>43977</v>
      </c>
      <c r="I401" s="19">
        <f>IFERROR(__xludf.DUMMYFUNCTION("""COMPUTED_VALUE"""),2.047222222222222)</f>
        <v>2.047222222</v>
      </c>
      <c r="J401" s="21">
        <f>IFERROR(__xludf.DUMMYFUNCTION("""COMPUTED_VALUE"""),66.0)</f>
        <v>66</v>
      </c>
      <c r="K401" s="23">
        <f>IFERROR(__xludf.DUMMYFUNCTION("""COMPUTED_VALUE"""),6.8)</f>
        <v>6.8</v>
      </c>
      <c r="L401" s="24">
        <f>IFERROR(__xludf.DUMMYFUNCTION("""COMPUTED_VALUE"""),5.0)</f>
        <v>5</v>
      </c>
      <c r="M401" s="25" t="str">
        <f>IFERROR(__xludf.DUMMYFUNCTION("""COMPUTED_VALUE"""),"Strategy")</f>
        <v>Strategy</v>
      </c>
      <c r="N401" s="25"/>
      <c r="O401" s="25" t="str">
        <f>IFERROR(__xludf.DUMMYFUNCTION("""COMPUTED_VALUE"""),"Yes")</f>
        <v>Yes</v>
      </c>
      <c r="P401" s="26"/>
    </row>
    <row r="402">
      <c r="A402" s="13" t="str">
        <f>IFERROR(__xludf.DUMMYFUNCTION("""COMPUTED_VALUE"""),"Space Junkies")</f>
        <v>Space Junkies</v>
      </c>
      <c r="B402" s="15" t="str">
        <f>IFERROR(__xludf.DUMMYFUNCTION("""COMPUTED_VALUE"""),"PS4/PSVR")</f>
        <v>PS4/PSVR</v>
      </c>
      <c r="C402" s="16" t="str">
        <f>IFERROR(__xludf.DUMMYFUNCTION("""COMPUTED_VALUE"""),"Extra (Ubisoft+ Classics)")</f>
        <v>Extra (Ubisoft+ Classics)</v>
      </c>
      <c r="D402" s="15" t="str">
        <f>IFERROR(__xludf.DUMMYFUNCTION("""COMPUTED_VALUE"""),"Active")</f>
        <v>Active</v>
      </c>
      <c r="E402" s="17">
        <f>IFERROR(__xludf.DUMMYFUNCTION("""COMPUTED_VALUE"""),44725.0)</f>
        <v>44725</v>
      </c>
      <c r="F402" s="54"/>
      <c r="G402" s="19">
        <f>IFERROR(__xludf.DUMMYFUNCTION("""COMPUTED_VALUE"""),51.766666666666666)</f>
        <v>51.76666667</v>
      </c>
      <c r="H402" s="17">
        <f>IFERROR(__xludf.DUMMYFUNCTION("""COMPUTED_VALUE"""),43557.0)</f>
        <v>43557</v>
      </c>
      <c r="I402" s="19">
        <f>IFERROR(__xludf.DUMMYFUNCTION("""COMPUTED_VALUE"""),3.1972222222222224)</f>
        <v>3.197222222</v>
      </c>
      <c r="J402" s="21">
        <f>IFERROR(__xludf.DUMMYFUNCTION("""COMPUTED_VALUE"""),66.0)</f>
        <v>66</v>
      </c>
      <c r="K402" s="23">
        <f>IFERROR(__xludf.DUMMYFUNCTION("""COMPUTED_VALUE"""),6.5)</f>
        <v>6.5</v>
      </c>
      <c r="L402" s="24"/>
      <c r="M402" s="25" t="str">
        <f>IFERROR(__xludf.DUMMYFUNCTION("""COMPUTED_VALUE"""),"Shooter")</f>
        <v>Shooter</v>
      </c>
      <c r="N402" s="25"/>
      <c r="O402" s="25" t="str">
        <f>IFERROR(__xludf.DUMMYFUNCTION("""COMPUTED_VALUE"""),"No")</f>
        <v>No</v>
      </c>
      <c r="P402" s="26"/>
    </row>
    <row r="403">
      <c r="A403" s="13" t="str">
        <f>IFERROR(__xludf.DUMMYFUNCTION("""COMPUTED_VALUE"""),"Werewolves Within")</f>
        <v>Werewolves Within</v>
      </c>
      <c r="B403" s="15" t="str">
        <f>IFERROR(__xludf.DUMMYFUNCTION("""COMPUTED_VALUE"""),"PS4/PSVR")</f>
        <v>PS4/PSVR</v>
      </c>
      <c r="C403" s="16" t="str">
        <f>IFERROR(__xludf.DUMMYFUNCTION("""COMPUTED_VALUE"""),"Extra (Ubisoft+ Classics)")</f>
        <v>Extra (Ubisoft+ Classics)</v>
      </c>
      <c r="D403" s="15" t="str">
        <f>IFERROR(__xludf.DUMMYFUNCTION("""COMPUTED_VALUE"""),"Active")</f>
        <v>Active</v>
      </c>
      <c r="E403" s="17">
        <f>IFERROR(__xludf.DUMMYFUNCTION("""COMPUTED_VALUE"""),44725.0)</f>
        <v>44725</v>
      </c>
      <c r="F403" s="54"/>
      <c r="G403" s="19">
        <f>IFERROR(__xludf.DUMMYFUNCTION("""COMPUTED_VALUE"""),51.766666666666666)</f>
        <v>51.76666667</v>
      </c>
      <c r="H403" s="17">
        <f>IFERROR(__xludf.DUMMYFUNCTION("""COMPUTED_VALUE"""),42710.0)</f>
        <v>42710</v>
      </c>
      <c r="I403" s="19">
        <f>IFERROR(__xludf.DUMMYFUNCTION("""COMPUTED_VALUE"""),5.519444444444445)</f>
        <v>5.519444444</v>
      </c>
      <c r="J403" s="21">
        <f>IFERROR(__xludf.DUMMYFUNCTION("""COMPUTED_VALUE"""),66.0)</f>
        <v>66</v>
      </c>
      <c r="K403" s="23">
        <f>IFERROR(__xludf.DUMMYFUNCTION("""COMPUTED_VALUE"""),7.1)</f>
        <v>7.1</v>
      </c>
      <c r="L403" s="24">
        <f>IFERROR(__xludf.DUMMYFUNCTION("""COMPUTED_VALUE"""),2.0)</f>
        <v>2</v>
      </c>
      <c r="M403" s="25" t="str">
        <f>IFERROR(__xludf.DUMMYFUNCTION("""COMPUTED_VALUE"""),"Party")</f>
        <v>Party</v>
      </c>
      <c r="N403" s="25"/>
      <c r="O403" s="25" t="str">
        <f>IFERROR(__xludf.DUMMYFUNCTION("""COMPUTED_VALUE"""),"No")</f>
        <v>No</v>
      </c>
      <c r="P403" s="26"/>
    </row>
    <row r="404">
      <c r="A404" s="13" t="str">
        <f>IFERROR(__xludf.DUMMYFUNCTION("""COMPUTED_VALUE"""),"Trials of The Blood Dragon")</f>
        <v>Trials of The Blood Dragon</v>
      </c>
      <c r="B404" s="15" t="str">
        <f>IFERROR(__xludf.DUMMYFUNCTION("""COMPUTED_VALUE"""),"PS4")</f>
        <v>PS4</v>
      </c>
      <c r="C404" s="16" t="str">
        <f>IFERROR(__xludf.DUMMYFUNCTION("""COMPUTED_VALUE"""),"Extra (Ubisoft+ Classics)")</f>
        <v>Extra (Ubisoft+ Classics)</v>
      </c>
      <c r="D404" s="15" t="str">
        <f>IFERROR(__xludf.DUMMYFUNCTION("""COMPUTED_VALUE"""),"Active")</f>
        <v>Active</v>
      </c>
      <c r="E404" s="17">
        <f>IFERROR(__xludf.DUMMYFUNCTION("""COMPUTED_VALUE"""),44725.0)</f>
        <v>44725</v>
      </c>
      <c r="F404" s="54"/>
      <c r="G404" s="19">
        <f>IFERROR(__xludf.DUMMYFUNCTION("""COMPUTED_VALUE"""),51.766666666666666)</f>
        <v>51.76666667</v>
      </c>
      <c r="H404" s="17">
        <f>IFERROR(__xludf.DUMMYFUNCTION("""COMPUTED_VALUE"""),42535.0)</f>
        <v>42535</v>
      </c>
      <c r="I404" s="19">
        <f>IFERROR(__xludf.DUMMYFUNCTION("""COMPUTED_VALUE"""),5.997222222222222)</f>
        <v>5.997222222</v>
      </c>
      <c r="J404" s="21">
        <f>IFERROR(__xludf.DUMMYFUNCTION("""COMPUTED_VALUE"""),66.0)</f>
        <v>66</v>
      </c>
      <c r="K404" s="23">
        <f>IFERROR(__xludf.DUMMYFUNCTION("""COMPUTED_VALUE"""),6.1)</f>
        <v>6.1</v>
      </c>
      <c r="L404" s="24">
        <f>IFERROR(__xludf.DUMMYFUNCTION("""COMPUTED_VALUE"""),6.0)</f>
        <v>6</v>
      </c>
      <c r="M404" s="25" t="str">
        <f>IFERROR(__xludf.DUMMYFUNCTION("""COMPUTED_VALUE"""),"Racing")</f>
        <v>Racing</v>
      </c>
      <c r="N404" s="25"/>
      <c r="O404" s="25" t="str">
        <f>IFERROR(__xludf.DUMMYFUNCTION("""COMPUTED_VALUE"""),"No")</f>
        <v>No</v>
      </c>
      <c r="P404" s="26"/>
    </row>
    <row r="405">
      <c r="A405" s="13" t="str">
        <f>IFERROR(__xludf.DUMMYFUNCTION("""COMPUTED_VALUE"""),"FBC: Firebreak")</f>
        <v>FBC: Firebreak</v>
      </c>
      <c r="B405" s="15" t="str">
        <f>IFERROR(__xludf.DUMMYFUNCTION("""COMPUTED_VALUE"""),"PS5")</f>
        <v>PS5</v>
      </c>
      <c r="C405" s="16" t="str">
        <f>IFERROR(__xludf.DUMMYFUNCTION("""COMPUTED_VALUE"""),"Extra")</f>
        <v>Extra</v>
      </c>
      <c r="D405" s="15" t="str">
        <f>IFERROR(__xludf.DUMMYFUNCTION("""COMPUTED_VALUE"""),"Active")</f>
        <v>Active</v>
      </c>
      <c r="E405" s="17">
        <f>IFERROR(__xludf.DUMMYFUNCTION("""COMPUTED_VALUE"""),45825.0)</f>
        <v>45825</v>
      </c>
      <c r="F405" s="54"/>
      <c r="G405" s="19">
        <f>IFERROR(__xludf.DUMMYFUNCTION("""COMPUTED_VALUE"""),15.633333333333333)</f>
        <v>15.63333333</v>
      </c>
      <c r="H405" s="17">
        <f>IFERROR(__xludf.DUMMYFUNCTION("""COMPUTED_VALUE"""),45825.0)</f>
        <v>45825</v>
      </c>
      <c r="I405" s="19">
        <f>IFERROR(__xludf.DUMMYFUNCTION("""COMPUTED_VALUE"""),0.0)</f>
        <v>0</v>
      </c>
      <c r="J405" s="21">
        <f>IFERROR(__xludf.DUMMYFUNCTION("""COMPUTED_VALUE"""),65.0)</f>
        <v>65</v>
      </c>
      <c r="K405" s="23">
        <f>IFERROR(__xludf.DUMMYFUNCTION("""COMPUTED_VALUE"""),5.1)</f>
        <v>5.1</v>
      </c>
      <c r="L405" s="24">
        <f>IFERROR(__xludf.DUMMYFUNCTION("""COMPUTED_VALUE"""),6.0)</f>
        <v>6</v>
      </c>
      <c r="M405" s="25" t="str">
        <f>IFERROR(__xludf.DUMMYFUNCTION("""COMPUTED_VALUE"""),"Shooter")</f>
        <v>Shooter</v>
      </c>
      <c r="N405" s="25"/>
      <c r="O405" s="25" t="str">
        <f>IFERROR(__xludf.DUMMYFUNCTION("""COMPUTED_VALUE"""),"No")</f>
        <v>No</v>
      </c>
      <c r="P405" s="26"/>
    </row>
    <row r="406">
      <c r="A406" s="13" t="str">
        <f>IFERROR(__xludf.DUMMYFUNCTION("""COMPUTED_VALUE"""),"PAW Patrol The Movie: Adventure City Calls")</f>
        <v>PAW Patrol The Movie: Adventure City Calls</v>
      </c>
      <c r="B406" s="15" t="str">
        <f>IFERROR(__xludf.DUMMYFUNCTION("""COMPUTED_VALUE"""),"PS5/PS4")</f>
        <v>PS5/PS4</v>
      </c>
      <c r="C406" s="16" t="str">
        <f>IFERROR(__xludf.DUMMYFUNCTION("""COMPUTED_VALUE"""),"Extra")</f>
        <v>Extra</v>
      </c>
      <c r="D406" s="15" t="str">
        <f>IFERROR(__xludf.DUMMYFUNCTION("""COMPUTED_VALUE"""),"Active")</f>
        <v>Active</v>
      </c>
      <c r="E406" s="17">
        <f>IFERROR(__xludf.DUMMYFUNCTION("""COMPUTED_VALUE"""),45188.0)</f>
        <v>45188</v>
      </c>
      <c r="F406" s="54"/>
      <c r="G406" s="19">
        <f>IFERROR(__xludf.DUMMYFUNCTION("""COMPUTED_VALUE"""),36.56666666666666)</f>
        <v>36.56666667</v>
      </c>
      <c r="H406" s="17">
        <f>IFERROR(__xludf.DUMMYFUNCTION("""COMPUTED_VALUE"""),44421.0)</f>
        <v>44421</v>
      </c>
      <c r="I406" s="19">
        <f>IFERROR(__xludf.DUMMYFUNCTION("""COMPUTED_VALUE"""),2.1)</f>
        <v>2.1</v>
      </c>
      <c r="J406" s="21">
        <f>IFERROR(__xludf.DUMMYFUNCTION("""COMPUTED_VALUE"""),65.0)</f>
        <v>65</v>
      </c>
      <c r="K406" s="23">
        <f>IFERROR(__xludf.DUMMYFUNCTION("""COMPUTED_VALUE"""),4.0)</f>
        <v>4</v>
      </c>
      <c r="L406" s="24">
        <f>IFERROR(__xludf.DUMMYFUNCTION("""COMPUTED_VALUE"""),2.0)</f>
        <v>2</v>
      </c>
      <c r="M406" s="25" t="str">
        <f>IFERROR(__xludf.DUMMYFUNCTION("""COMPUTED_VALUE"""),"Action-Adventure")</f>
        <v>Action-Adventure</v>
      </c>
      <c r="N406" s="25"/>
      <c r="O406" s="25" t="str">
        <f>IFERROR(__xludf.DUMMYFUNCTION("""COMPUTED_VALUE"""),"Yes")</f>
        <v>Yes</v>
      </c>
      <c r="P406" s="26"/>
    </row>
    <row r="407">
      <c r="A407" s="13" t="str">
        <f>IFERROR(__xludf.DUMMYFUNCTION("""COMPUTED_VALUE"""),"Dynasty Warriors 9")</f>
        <v>Dynasty Warriors 9</v>
      </c>
      <c r="B407" s="15" t="str">
        <f>IFERROR(__xludf.DUMMYFUNCTION("""COMPUTED_VALUE"""),"PS4")</f>
        <v>PS4</v>
      </c>
      <c r="C407" s="16" t="str">
        <f>IFERROR(__xludf.DUMMYFUNCTION("""COMPUTED_VALUE"""),"Extra")</f>
        <v>Extra</v>
      </c>
      <c r="D407" s="15" t="str">
        <f>IFERROR(__xludf.DUMMYFUNCTION("""COMPUTED_VALUE"""),"Active")</f>
        <v>Active</v>
      </c>
      <c r="E407" s="17">
        <f>IFERROR(__xludf.DUMMYFUNCTION("""COMPUTED_VALUE"""),45125.0)</f>
        <v>45125</v>
      </c>
      <c r="F407" s="54"/>
      <c r="G407" s="19">
        <f>IFERROR(__xludf.DUMMYFUNCTION("""COMPUTED_VALUE"""),38.6)</f>
        <v>38.6</v>
      </c>
      <c r="H407" s="17">
        <f>IFERROR(__xludf.DUMMYFUNCTION("""COMPUTED_VALUE"""),43144.0)</f>
        <v>43144</v>
      </c>
      <c r="I407" s="19">
        <f>IFERROR(__xludf.DUMMYFUNCTION("""COMPUTED_VALUE"""),5.430555555555555)</f>
        <v>5.430555556</v>
      </c>
      <c r="J407" s="21">
        <f>IFERROR(__xludf.DUMMYFUNCTION("""COMPUTED_VALUE"""),65.0)</f>
        <v>65</v>
      </c>
      <c r="K407" s="23">
        <f>IFERROR(__xludf.DUMMYFUNCTION("""COMPUTED_VALUE"""),8.4)</f>
        <v>8.4</v>
      </c>
      <c r="L407" s="24">
        <f>IFERROR(__xludf.DUMMYFUNCTION("""COMPUTED_VALUE"""),28.0)</f>
        <v>28</v>
      </c>
      <c r="M407" s="25" t="str">
        <f>IFERROR(__xludf.DUMMYFUNCTION("""COMPUTED_VALUE"""),"Action-Adventure")</f>
        <v>Action-Adventure</v>
      </c>
      <c r="N407" s="25"/>
      <c r="O407" s="25" t="str">
        <f>IFERROR(__xludf.DUMMYFUNCTION("""COMPUTED_VALUE"""),"Yes")</f>
        <v>Yes</v>
      </c>
      <c r="P407" s="26"/>
    </row>
    <row r="408">
      <c r="A408" s="13" t="str">
        <f>IFERROR(__xludf.DUMMYFUNCTION("""COMPUTED_VALUE"""),"Monopoly Madness")</f>
        <v>Monopoly Madness</v>
      </c>
      <c r="B408" s="15" t="str">
        <f>IFERROR(__xludf.DUMMYFUNCTION("""COMPUTED_VALUE"""),"PS4")</f>
        <v>PS4</v>
      </c>
      <c r="C408" s="16" t="str">
        <f>IFERROR(__xludf.DUMMYFUNCTION("""COMPUTED_VALUE"""),"Extra (Ubisoft+ Classics)")</f>
        <v>Extra (Ubisoft+ Classics)</v>
      </c>
      <c r="D408" s="15" t="str">
        <f>IFERROR(__xludf.DUMMYFUNCTION("""COMPUTED_VALUE"""),"Active")</f>
        <v>Active</v>
      </c>
      <c r="E408" s="17">
        <f>IFERROR(__xludf.DUMMYFUNCTION("""COMPUTED_VALUE"""),44789.0)</f>
        <v>44789</v>
      </c>
      <c r="F408" s="54"/>
      <c r="G408" s="19">
        <f>IFERROR(__xludf.DUMMYFUNCTION("""COMPUTED_VALUE"""),49.66666666666667)</f>
        <v>49.66666667</v>
      </c>
      <c r="H408" s="17">
        <f>IFERROR(__xludf.DUMMYFUNCTION("""COMPUTED_VALUE"""),44539.0)</f>
        <v>44539</v>
      </c>
      <c r="I408" s="19">
        <f>IFERROR(__xludf.DUMMYFUNCTION("""COMPUTED_VALUE"""),0.6861111111111111)</f>
        <v>0.6861111111</v>
      </c>
      <c r="J408" s="21">
        <f>IFERROR(__xludf.DUMMYFUNCTION("""COMPUTED_VALUE"""),65.0)</f>
        <v>65</v>
      </c>
      <c r="K408" s="23">
        <f>IFERROR(__xludf.DUMMYFUNCTION("""COMPUTED_VALUE"""),4.9)</f>
        <v>4.9</v>
      </c>
      <c r="L408" s="24">
        <f>IFERROR(__xludf.DUMMYFUNCTION("""COMPUTED_VALUE"""),6.0)</f>
        <v>6</v>
      </c>
      <c r="M408" s="25" t="str">
        <f>IFERROR(__xludf.DUMMYFUNCTION("""COMPUTED_VALUE"""),"Party")</f>
        <v>Party</v>
      </c>
      <c r="N408" s="25"/>
      <c r="O408" s="25" t="str">
        <f>IFERROR(__xludf.DUMMYFUNCTION("""COMPUTED_VALUE"""),"Yes")</f>
        <v>Yes</v>
      </c>
      <c r="P408" s="26"/>
    </row>
    <row r="409">
      <c r="A409" s="13" t="str">
        <f>IFERROR(__xludf.DUMMYFUNCTION("""COMPUTED_VALUE"""),"Earth Defense Force 4.1: The Shadow of New Despair")</f>
        <v>Earth Defense Force 4.1: The Shadow of New Despair</v>
      </c>
      <c r="B409" s="15" t="str">
        <f>IFERROR(__xludf.DUMMYFUNCTION("""COMPUTED_VALUE"""),"PS4")</f>
        <v>PS4</v>
      </c>
      <c r="C409" s="16" t="str">
        <f>IFERROR(__xludf.DUMMYFUNCTION("""COMPUTED_VALUE"""),"Extra")</f>
        <v>Extra</v>
      </c>
      <c r="D409" s="15" t="str">
        <f>IFERROR(__xludf.DUMMYFUNCTION("""COMPUTED_VALUE"""),"Active")</f>
        <v>Active</v>
      </c>
      <c r="E409" s="17">
        <f>IFERROR(__xludf.DUMMYFUNCTION("""COMPUTED_VALUE"""),44725.0)</f>
        <v>44725</v>
      </c>
      <c r="F409" s="54"/>
      <c r="G409" s="19">
        <f>IFERROR(__xludf.DUMMYFUNCTION("""COMPUTED_VALUE"""),51.766666666666666)</f>
        <v>51.76666667</v>
      </c>
      <c r="H409" s="17">
        <f>IFERROR(__xludf.DUMMYFUNCTION("""COMPUTED_VALUE"""),42095.0)</f>
        <v>42095</v>
      </c>
      <c r="I409" s="19">
        <f>IFERROR(__xludf.DUMMYFUNCTION("""COMPUTED_VALUE"""),7.2)</f>
        <v>7.2</v>
      </c>
      <c r="J409" s="21">
        <f>IFERROR(__xludf.DUMMYFUNCTION("""COMPUTED_VALUE"""),65.0)</f>
        <v>65</v>
      </c>
      <c r="K409" s="23">
        <f>IFERROR(__xludf.DUMMYFUNCTION("""COMPUTED_VALUE"""),8.0)</f>
        <v>8</v>
      </c>
      <c r="L409" s="24">
        <f>IFERROR(__xludf.DUMMYFUNCTION("""COMPUTED_VALUE"""),22.5)</f>
        <v>22.5</v>
      </c>
      <c r="M409" s="25" t="str">
        <f>IFERROR(__xludf.DUMMYFUNCTION("""COMPUTED_VALUE"""),"Action-Adventure")</f>
        <v>Action-Adventure</v>
      </c>
      <c r="N409" s="25"/>
      <c r="O409" s="25" t="str">
        <f>IFERROR(__xludf.DUMMYFUNCTION("""COMPUTED_VALUE"""),"Yes")</f>
        <v>Yes</v>
      </c>
      <c r="P409" s="26" t="str">
        <f>IFERROR(__xludf.DUMMYFUNCTION("""COMPUTED_VALUE"""),"Yes")</f>
        <v>Yes</v>
      </c>
    </row>
    <row r="410">
      <c r="A410" s="13" t="str">
        <f>IFERROR(__xludf.DUMMYFUNCTION("""COMPUTED_VALUE"""),"Space Hulk: Deathwing - Enhanced Edition")</f>
        <v>Space Hulk: Deathwing - Enhanced Edition</v>
      </c>
      <c r="B410" s="15" t="str">
        <f>IFERROR(__xludf.DUMMYFUNCTION("""COMPUTED_VALUE"""),"PS4")</f>
        <v>PS4</v>
      </c>
      <c r="C410" s="16" t="str">
        <f>IFERROR(__xludf.DUMMYFUNCTION("""COMPUTED_VALUE"""),"Extra")</f>
        <v>Extra</v>
      </c>
      <c r="D410" s="15" t="str">
        <f>IFERROR(__xludf.DUMMYFUNCTION("""COMPUTED_VALUE"""),"Active")</f>
        <v>Active</v>
      </c>
      <c r="E410" s="17">
        <f>IFERROR(__xludf.DUMMYFUNCTION("""COMPUTED_VALUE"""),44725.0)</f>
        <v>44725</v>
      </c>
      <c r="F410" s="54"/>
      <c r="G410" s="19">
        <f>IFERROR(__xludf.DUMMYFUNCTION("""COMPUTED_VALUE"""),51.766666666666666)</f>
        <v>51.76666667</v>
      </c>
      <c r="H410" s="17">
        <f>IFERROR(__xludf.DUMMYFUNCTION("""COMPUTED_VALUE"""),43242.0)</f>
        <v>43242</v>
      </c>
      <c r="I410" s="19">
        <f>IFERROR(__xludf.DUMMYFUNCTION("""COMPUTED_VALUE"""),4.058333333333334)</f>
        <v>4.058333333</v>
      </c>
      <c r="J410" s="21">
        <f>IFERROR(__xludf.DUMMYFUNCTION("""COMPUTED_VALUE"""),65.0)</f>
        <v>65</v>
      </c>
      <c r="K410" s="23">
        <f>IFERROR(__xludf.DUMMYFUNCTION("""COMPUTED_VALUE"""),6.8)</f>
        <v>6.8</v>
      </c>
      <c r="L410" s="24">
        <f>IFERROR(__xludf.DUMMYFUNCTION("""COMPUTED_VALUE"""),10.0)</f>
        <v>10</v>
      </c>
      <c r="M410" s="25" t="str">
        <f>IFERROR(__xludf.DUMMYFUNCTION("""COMPUTED_VALUE"""),"Shooter")</f>
        <v>Shooter</v>
      </c>
      <c r="N410" s="25"/>
      <c r="O410" s="25" t="str">
        <f>IFERROR(__xludf.DUMMYFUNCTION("""COMPUTED_VALUE"""),"Yes")</f>
        <v>Yes</v>
      </c>
      <c r="P410" s="26"/>
    </row>
    <row r="411">
      <c r="A411" s="13" t="str">
        <f>IFERROR(__xludf.DUMMYFUNCTION("""COMPUTED_VALUE"""),"Air Conflicts: Pacific Carriers")</f>
        <v>Air Conflicts: Pacific Carriers</v>
      </c>
      <c r="B411" s="15" t="str">
        <f>IFERROR(__xludf.DUMMYFUNCTION("""COMPUTED_VALUE"""),"PS4")</f>
        <v>PS4</v>
      </c>
      <c r="C411" s="16" t="str">
        <f>IFERROR(__xludf.DUMMYFUNCTION("""COMPUTED_VALUE"""),"Extra")</f>
        <v>Extra</v>
      </c>
      <c r="D411" s="15" t="str">
        <f>IFERROR(__xludf.DUMMYFUNCTION("""COMPUTED_VALUE"""),"Active")</f>
        <v>Active</v>
      </c>
      <c r="E411" s="17">
        <f>IFERROR(__xludf.DUMMYFUNCTION("""COMPUTED_VALUE"""),42922.0)</f>
        <v>42922</v>
      </c>
      <c r="F411" s="54"/>
      <c r="G411" s="19">
        <f>IFERROR(__xludf.DUMMYFUNCTION("""COMPUTED_VALUE"""),111.0)</f>
        <v>111</v>
      </c>
      <c r="H411" s="17">
        <f>IFERROR(__xludf.DUMMYFUNCTION("""COMPUTED_VALUE"""),42309.0)</f>
        <v>42309</v>
      </c>
      <c r="I411" s="19">
        <f>IFERROR(__xludf.DUMMYFUNCTION("""COMPUTED_VALUE"""),1.6805555555555556)</f>
        <v>1.680555556</v>
      </c>
      <c r="J411" s="21">
        <f>IFERROR(__xludf.DUMMYFUNCTION("""COMPUTED_VALUE"""),65.0)</f>
        <v>65</v>
      </c>
      <c r="K411" s="23">
        <f>IFERROR(__xludf.DUMMYFUNCTION("""COMPUTED_VALUE"""),6.1)</f>
        <v>6.1</v>
      </c>
      <c r="L411" s="24">
        <f>IFERROR(__xludf.DUMMYFUNCTION("""COMPUTED_VALUE"""),8.0)</f>
        <v>8</v>
      </c>
      <c r="M411" s="25" t="str">
        <f>IFERROR(__xludf.DUMMYFUNCTION("""COMPUTED_VALUE"""),"Shooter")</f>
        <v>Shooter</v>
      </c>
      <c r="N411" s="25"/>
      <c r="O411" s="25" t="str">
        <f>IFERROR(__xludf.DUMMYFUNCTION("""COMPUTED_VALUE"""),"Yes")</f>
        <v>Yes</v>
      </c>
      <c r="P411" s="26"/>
    </row>
    <row r="412">
      <c r="A412" s="13" t="str">
        <f>IFERROR(__xludf.DUMMYFUNCTION("""COMPUTED_VALUE"""),"theHunter: Call of the Wild")</f>
        <v>theHunter: Call of the Wild</v>
      </c>
      <c r="B412" s="15" t="str">
        <f>IFERROR(__xludf.DUMMYFUNCTION("""COMPUTED_VALUE"""),"PS4")</f>
        <v>PS4</v>
      </c>
      <c r="C412" s="16" t="str">
        <f>IFERROR(__xludf.DUMMYFUNCTION("""COMPUTED_VALUE"""),"Extra")</f>
        <v>Extra</v>
      </c>
      <c r="D412" s="15" t="str">
        <f>IFERROR(__xludf.DUMMYFUNCTION("""COMPUTED_VALUE"""),"Active")</f>
        <v>Active</v>
      </c>
      <c r="E412" s="17">
        <f>IFERROR(__xludf.DUMMYFUNCTION("""COMPUTED_VALUE"""),45825.0)</f>
        <v>45825</v>
      </c>
      <c r="F412" s="54"/>
      <c r="G412" s="19">
        <f>IFERROR(__xludf.DUMMYFUNCTION("""COMPUTED_VALUE"""),15.633333333333333)</f>
        <v>15.63333333</v>
      </c>
      <c r="H412" s="17">
        <f>IFERROR(__xludf.DUMMYFUNCTION("""COMPUTED_VALUE"""),42782.0)</f>
        <v>42782</v>
      </c>
      <c r="I412" s="19">
        <f>IFERROR(__xludf.DUMMYFUNCTION("""COMPUTED_VALUE"""),8.33611111111111)</f>
        <v>8.336111111</v>
      </c>
      <c r="J412" s="21">
        <f>IFERROR(__xludf.DUMMYFUNCTION("""COMPUTED_VALUE"""),64.0)</f>
        <v>64</v>
      </c>
      <c r="K412" s="23">
        <f>IFERROR(__xludf.DUMMYFUNCTION("""COMPUTED_VALUE"""),6.4)</f>
        <v>6.4</v>
      </c>
      <c r="L412" s="24">
        <f>IFERROR(__xludf.DUMMYFUNCTION("""COMPUTED_VALUE"""),28.0)</f>
        <v>28</v>
      </c>
      <c r="M412" s="25" t="str">
        <f>IFERROR(__xludf.DUMMYFUNCTION("""COMPUTED_VALUE"""),"Hunting")</f>
        <v>Hunting</v>
      </c>
      <c r="N412" s="25"/>
      <c r="O412" s="25"/>
      <c r="P412" s="26"/>
    </row>
    <row r="413">
      <c r="A413" s="13" t="str">
        <f>IFERROR(__xludf.DUMMYFUNCTION("""COMPUTED_VALUE"""),"The Crew 2")</f>
        <v>The Crew 2</v>
      </c>
      <c r="B413" s="15" t="str">
        <f>IFERROR(__xludf.DUMMYFUNCTION("""COMPUTED_VALUE"""),"PS4")</f>
        <v>PS4</v>
      </c>
      <c r="C413" s="16" t="str">
        <f>IFERROR(__xludf.DUMMYFUNCTION("""COMPUTED_VALUE"""),"Extra")</f>
        <v>Extra</v>
      </c>
      <c r="D413" s="15" t="str">
        <f>IFERROR(__xludf.DUMMYFUNCTION("""COMPUTED_VALUE"""),"Active")</f>
        <v>Active</v>
      </c>
      <c r="E413" s="17">
        <f>IFERROR(__xludf.DUMMYFUNCTION("""COMPUTED_VALUE"""),45398.0)</f>
        <v>45398</v>
      </c>
      <c r="F413" s="54"/>
      <c r="G413" s="19">
        <f>IFERROR(__xludf.DUMMYFUNCTION("""COMPUTED_VALUE"""),29.666666666666668)</f>
        <v>29.66666667</v>
      </c>
      <c r="H413" s="17">
        <f>IFERROR(__xludf.DUMMYFUNCTION("""COMPUTED_VALUE"""),43277.0)</f>
        <v>43277</v>
      </c>
      <c r="I413" s="19">
        <f>IFERROR(__xludf.DUMMYFUNCTION("""COMPUTED_VALUE"""),5.805555555555555)</f>
        <v>5.805555556</v>
      </c>
      <c r="J413" s="21">
        <f>IFERROR(__xludf.DUMMYFUNCTION("""COMPUTED_VALUE"""),64.0)</f>
        <v>64</v>
      </c>
      <c r="K413" s="23">
        <f>IFERROR(__xludf.DUMMYFUNCTION("""COMPUTED_VALUE"""),5.8)</f>
        <v>5.8</v>
      </c>
      <c r="L413" s="24">
        <f>IFERROR(__xludf.DUMMYFUNCTION("""COMPUTED_VALUE"""),20.0)</f>
        <v>20</v>
      </c>
      <c r="M413" s="25" t="str">
        <f>IFERROR(__xludf.DUMMYFUNCTION("""COMPUTED_VALUE"""),"Racing")</f>
        <v>Racing</v>
      </c>
      <c r="N413" s="25"/>
      <c r="O413" s="25" t="str">
        <f>IFERROR(__xludf.DUMMYFUNCTION("""COMPUTED_VALUE"""),"No")</f>
        <v>No</v>
      </c>
      <c r="P413" s="26"/>
    </row>
    <row r="414">
      <c r="A414" s="13" t="str">
        <f>IFERROR(__xludf.DUMMYFUNCTION("""COMPUTED_VALUE"""),"Dead by Daylight")</f>
        <v>Dead by Daylight</v>
      </c>
      <c r="B414" s="15" t="str">
        <f>IFERROR(__xludf.DUMMYFUNCTION("""COMPUTED_VALUE"""),"PS5/PS4")</f>
        <v>PS5/PS4</v>
      </c>
      <c r="C414" s="16" t="str">
        <f>IFERROR(__xludf.DUMMYFUNCTION("""COMPUTED_VALUE"""),"Extra")</f>
        <v>Extra</v>
      </c>
      <c r="D414" s="15" t="str">
        <f>IFERROR(__xludf.DUMMYFUNCTION("""COMPUTED_VALUE"""),"Active")</f>
        <v>Active</v>
      </c>
      <c r="E414" s="17">
        <f>IFERROR(__xludf.DUMMYFUNCTION("""COMPUTED_VALUE"""),44789.0)</f>
        <v>44789</v>
      </c>
      <c r="F414" s="54"/>
      <c r="G414" s="19">
        <f>IFERROR(__xludf.DUMMYFUNCTION("""COMPUTED_VALUE"""),49.66666666666667)</f>
        <v>49.66666667</v>
      </c>
      <c r="H414" s="17">
        <f>IFERROR(__xludf.DUMMYFUNCTION("""COMPUTED_VALUE"""),42535.0)</f>
        <v>42535</v>
      </c>
      <c r="I414" s="19">
        <f>IFERROR(__xludf.DUMMYFUNCTION("""COMPUTED_VALUE"""),6.1722222222222225)</f>
        <v>6.172222222</v>
      </c>
      <c r="J414" s="21">
        <f>IFERROR(__xludf.DUMMYFUNCTION("""COMPUTED_VALUE"""),64.0)</f>
        <v>64</v>
      </c>
      <c r="K414" s="23">
        <f>IFERROR(__xludf.DUMMYFUNCTION("""COMPUTED_VALUE"""),5.1)</f>
        <v>5.1</v>
      </c>
      <c r="L414" s="24">
        <f>IFERROR(__xludf.DUMMYFUNCTION("""COMPUTED_VALUE"""),398.0)</f>
        <v>398</v>
      </c>
      <c r="M414" s="25" t="str">
        <f>IFERROR(__xludf.DUMMYFUNCTION("""COMPUTED_VALUE"""),"Action-Adventure")</f>
        <v>Action-Adventure</v>
      </c>
      <c r="N414" s="25"/>
      <c r="O414" s="25" t="str">
        <f>IFERROR(__xludf.DUMMYFUNCTION("""COMPUTED_VALUE"""),"Yes")</f>
        <v>Yes</v>
      </c>
      <c r="P414" s="26"/>
    </row>
    <row r="415">
      <c r="A415" s="13" t="str">
        <f>IFERROR(__xludf.DUMMYFUNCTION("""COMPUTED_VALUE"""),"Spirit of the North: Enhanced Edition")</f>
        <v>Spirit of the North: Enhanced Edition</v>
      </c>
      <c r="B415" s="15" t="str">
        <f>IFERROR(__xludf.DUMMYFUNCTION("""COMPUTED_VALUE"""),"PS5")</f>
        <v>PS5</v>
      </c>
      <c r="C415" s="16" t="str">
        <f>IFERROR(__xludf.DUMMYFUNCTION("""COMPUTED_VALUE"""),"Extra")</f>
        <v>Extra</v>
      </c>
      <c r="D415" s="15" t="str">
        <f>IFERROR(__xludf.DUMMYFUNCTION("""COMPUTED_VALUE"""),"Active")</f>
        <v>Active</v>
      </c>
      <c r="E415" s="17">
        <f>IFERROR(__xludf.DUMMYFUNCTION("""COMPUTED_VALUE"""),44761.0)</f>
        <v>44761</v>
      </c>
      <c r="F415" s="54"/>
      <c r="G415" s="19">
        <f>IFERROR(__xludf.DUMMYFUNCTION("""COMPUTED_VALUE"""),50.56666666666666)</f>
        <v>50.56666667</v>
      </c>
      <c r="H415" s="17">
        <f>IFERROR(__xludf.DUMMYFUNCTION("""COMPUTED_VALUE"""),43770.0)</f>
        <v>43770</v>
      </c>
      <c r="I415" s="19">
        <f>IFERROR(__xludf.DUMMYFUNCTION("""COMPUTED_VALUE"""),2.716666666666667)</f>
        <v>2.716666667</v>
      </c>
      <c r="J415" s="21">
        <f>IFERROR(__xludf.DUMMYFUNCTION("""COMPUTED_VALUE"""),64.0)</f>
        <v>64</v>
      </c>
      <c r="K415" s="23">
        <f>IFERROR(__xludf.DUMMYFUNCTION("""COMPUTED_VALUE"""),6.0)</f>
        <v>6</v>
      </c>
      <c r="L415" s="24">
        <f>IFERROR(__xludf.DUMMYFUNCTION("""COMPUTED_VALUE"""),5.5)</f>
        <v>5.5</v>
      </c>
      <c r="M415" s="25" t="str">
        <f>IFERROR(__xludf.DUMMYFUNCTION("""COMPUTED_VALUE"""),"Action-Adventure")</f>
        <v>Action-Adventure</v>
      </c>
      <c r="N415" s="25"/>
      <c r="O415" s="25" t="str">
        <f>IFERROR(__xludf.DUMMYFUNCTION("""COMPUTED_VALUE"""),"Portal (PS5 + Premium)")</f>
        <v>Portal (PS5 + Premium)</v>
      </c>
      <c r="P415" s="26"/>
    </row>
    <row r="416">
      <c r="A416" s="13" t="str">
        <f>IFERROR(__xludf.DUMMYFUNCTION("""COMPUTED_VALUE"""),"Stranded Deep")</f>
        <v>Stranded Deep</v>
      </c>
      <c r="B416" s="15" t="str">
        <f>IFERROR(__xludf.DUMMYFUNCTION("""COMPUTED_VALUE"""),"PS4")</f>
        <v>PS4</v>
      </c>
      <c r="C416" s="16" t="str">
        <f>IFERROR(__xludf.DUMMYFUNCTION("""COMPUTED_VALUE"""),"Extra")</f>
        <v>Extra</v>
      </c>
      <c r="D416" s="15" t="str">
        <f>IFERROR(__xludf.DUMMYFUNCTION("""COMPUTED_VALUE"""),"Active")</f>
        <v>Active</v>
      </c>
      <c r="E416" s="17">
        <f>IFERROR(__xludf.DUMMYFUNCTION("""COMPUTED_VALUE"""),44166.0)</f>
        <v>44166</v>
      </c>
      <c r="F416" s="54"/>
      <c r="G416" s="19">
        <f>IFERROR(__xludf.DUMMYFUNCTION("""COMPUTED_VALUE"""),70.16666666666667)</f>
        <v>70.16666667</v>
      </c>
      <c r="H416" s="17">
        <f>IFERROR(__xludf.DUMMYFUNCTION("""COMPUTED_VALUE"""),43942.0)</f>
        <v>43942</v>
      </c>
      <c r="I416" s="19">
        <f>IFERROR(__xludf.DUMMYFUNCTION("""COMPUTED_VALUE"""),0.6111111111111112)</f>
        <v>0.6111111111</v>
      </c>
      <c r="J416" s="21">
        <f>IFERROR(__xludf.DUMMYFUNCTION("""COMPUTED_VALUE"""),64.0)</f>
        <v>64</v>
      </c>
      <c r="K416" s="23">
        <f>IFERROR(__xludf.DUMMYFUNCTION("""COMPUTED_VALUE"""),6.3)</f>
        <v>6.3</v>
      </c>
      <c r="L416" s="24">
        <f>IFERROR(__xludf.DUMMYFUNCTION("""COMPUTED_VALUE"""),23.0)</f>
        <v>23</v>
      </c>
      <c r="M416" s="25" t="str">
        <f>IFERROR(__xludf.DUMMYFUNCTION("""COMPUTED_VALUE"""),"Survival")</f>
        <v>Survival</v>
      </c>
      <c r="N416" s="25"/>
      <c r="O416" s="25" t="str">
        <f>IFERROR(__xludf.DUMMYFUNCTION("""COMPUTED_VALUE"""),"Yes")</f>
        <v>Yes</v>
      </c>
      <c r="P416" s="26"/>
    </row>
    <row r="417">
      <c r="A417" s="13" t="str">
        <f>IFERROR(__xludf.DUMMYFUNCTION("""COMPUTED_VALUE"""),"Brawlout")</f>
        <v>Brawlout</v>
      </c>
      <c r="B417" s="15" t="str">
        <f>IFERROR(__xludf.DUMMYFUNCTION("""COMPUTED_VALUE"""),"PS4")</f>
        <v>PS4</v>
      </c>
      <c r="C417" s="16" t="str">
        <f>IFERROR(__xludf.DUMMYFUNCTION("""COMPUTED_VALUE"""),"Extra")</f>
        <v>Extra</v>
      </c>
      <c r="D417" s="15" t="str">
        <f>IFERROR(__xludf.DUMMYFUNCTION("""COMPUTED_VALUE"""),"Active")</f>
        <v>Active</v>
      </c>
      <c r="E417" s="17">
        <f>IFERROR(__xludf.DUMMYFUNCTION("""COMPUTED_VALUE"""),43592.0)</f>
        <v>43592</v>
      </c>
      <c r="F417" s="54"/>
      <c r="G417" s="19">
        <f>IFERROR(__xludf.DUMMYFUNCTION("""COMPUTED_VALUE"""),88.96666666666667)</f>
        <v>88.96666667</v>
      </c>
      <c r="H417" s="17">
        <f>IFERROR(__xludf.DUMMYFUNCTION("""COMPUTED_VALUE"""),43313.0)</f>
        <v>43313</v>
      </c>
      <c r="I417" s="19">
        <f>IFERROR(__xludf.DUMMYFUNCTION("""COMPUTED_VALUE"""),0.7666666666666667)</f>
        <v>0.7666666667</v>
      </c>
      <c r="J417" s="21">
        <f>IFERROR(__xludf.DUMMYFUNCTION("""COMPUTED_VALUE"""),64.0)</f>
        <v>64</v>
      </c>
      <c r="K417" s="23">
        <f>IFERROR(__xludf.DUMMYFUNCTION("""COMPUTED_VALUE"""),5.5)</f>
        <v>5.5</v>
      </c>
      <c r="L417" s="24">
        <f>IFERROR(__xludf.DUMMYFUNCTION("""COMPUTED_VALUE"""),1.5)</f>
        <v>1.5</v>
      </c>
      <c r="M417" s="25" t="str">
        <f>IFERROR(__xludf.DUMMYFUNCTION("""COMPUTED_VALUE"""),"Fighting")</f>
        <v>Fighting</v>
      </c>
      <c r="N417" s="25"/>
      <c r="O417" s="25" t="str">
        <f>IFERROR(__xludf.DUMMYFUNCTION("""COMPUTED_VALUE"""),"Yes")</f>
        <v>Yes</v>
      </c>
      <c r="P417" s="26" t="str">
        <f>IFERROR(__xludf.DUMMYFUNCTION("""COMPUTED_VALUE"""),"Yes")</f>
        <v>Yes</v>
      </c>
    </row>
    <row r="418">
      <c r="A418" s="13" t="str">
        <f>IFERROR(__xludf.DUMMYFUNCTION("""COMPUTED_VALUE"""),"Vikings: Wolves of Midgard")</f>
        <v>Vikings: Wolves of Midgard</v>
      </c>
      <c r="B418" s="15" t="str">
        <f>IFERROR(__xludf.DUMMYFUNCTION("""COMPUTED_VALUE"""),"PS4")</f>
        <v>PS4</v>
      </c>
      <c r="C418" s="16" t="str">
        <f>IFERROR(__xludf.DUMMYFUNCTION("""COMPUTED_VALUE"""),"Extra")</f>
        <v>Extra</v>
      </c>
      <c r="D418" s="15" t="str">
        <f>IFERROR(__xludf.DUMMYFUNCTION("""COMPUTED_VALUE"""),"Active")</f>
        <v>Active</v>
      </c>
      <c r="E418" s="17">
        <f>IFERROR(__xludf.DUMMYFUNCTION("""COMPUTED_VALUE"""),43410.0)</f>
        <v>43410</v>
      </c>
      <c r="F418" s="54"/>
      <c r="G418" s="19">
        <f>IFERROR(__xludf.DUMMYFUNCTION("""COMPUTED_VALUE"""),95.0)</f>
        <v>95</v>
      </c>
      <c r="H418" s="17">
        <f>IFERROR(__xludf.DUMMYFUNCTION("""COMPUTED_VALUE"""),42822.0)</f>
        <v>42822</v>
      </c>
      <c r="I418" s="19">
        <f>IFERROR(__xludf.DUMMYFUNCTION("""COMPUTED_VALUE"""),1.6055555555555556)</f>
        <v>1.605555556</v>
      </c>
      <c r="J418" s="21">
        <f>IFERROR(__xludf.DUMMYFUNCTION("""COMPUTED_VALUE"""),64.0)</f>
        <v>64</v>
      </c>
      <c r="K418" s="23">
        <f>IFERROR(__xludf.DUMMYFUNCTION("""COMPUTED_VALUE"""),6.9)</f>
        <v>6.9</v>
      </c>
      <c r="L418" s="24">
        <f>IFERROR(__xludf.DUMMYFUNCTION("""COMPUTED_VALUE"""),17.0)</f>
        <v>17</v>
      </c>
      <c r="M418" s="25" t="str">
        <f>IFERROR(__xludf.DUMMYFUNCTION("""COMPUTED_VALUE"""),"RPG")</f>
        <v>RPG</v>
      </c>
      <c r="N418" s="25"/>
      <c r="O418" s="25" t="str">
        <f>IFERROR(__xludf.DUMMYFUNCTION("""COMPUTED_VALUE"""),"Yes")</f>
        <v>Yes</v>
      </c>
      <c r="P418" s="26" t="str">
        <f>IFERROR(__xludf.DUMMYFUNCTION("""COMPUTED_VALUE"""),"Yes")</f>
        <v>Yes</v>
      </c>
    </row>
    <row r="419">
      <c r="A419" s="13" t="str">
        <f>IFERROR(__xludf.DUMMYFUNCTION("""COMPUTED_VALUE"""),"Squirrel with a Gun")</f>
        <v>Squirrel with a Gun</v>
      </c>
      <c r="B419" s="15" t="str">
        <f>IFERROR(__xludf.DUMMYFUNCTION("""COMPUTED_VALUE"""),"PS5")</f>
        <v>PS5</v>
      </c>
      <c r="C419" s="16" t="str">
        <f>IFERROR(__xludf.DUMMYFUNCTION("""COMPUTED_VALUE"""),"Extra")</f>
        <v>Extra</v>
      </c>
      <c r="D419" s="15" t="str">
        <f>IFERROR(__xludf.DUMMYFUNCTION("""COMPUTED_VALUE"""),"Active")</f>
        <v>Active</v>
      </c>
      <c r="E419" s="17">
        <f>IFERROR(__xludf.DUMMYFUNCTION("""COMPUTED_VALUE"""),46133.0)</f>
        <v>46133</v>
      </c>
      <c r="F419" s="54"/>
      <c r="G419" s="19">
        <f>IFERROR(__xludf.DUMMYFUNCTION("""COMPUTED_VALUE"""),5.5)</f>
        <v>5.5</v>
      </c>
      <c r="H419" s="17">
        <f>IFERROR(__xludf.DUMMYFUNCTION("""COMPUTED_VALUE"""),45533.0)</f>
        <v>45533</v>
      </c>
      <c r="I419" s="19">
        <f>IFERROR(__xludf.DUMMYFUNCTION("""COMPUTED_VALUE"""),1.6444444444444444)</f>
        <v>1.644444444</v>
      </c>
      <c r="J419" s="21">
        <f>IFERROR(__xludf.DUMMYFUNCTION("""COMPUTED_VALUE"""),63.0)</f>
        <v>63</v>
      </c>
      <c r="K419" s="23">
        <f>IFERROR(__xludf.DUMMYFUNCTION("""COMPUTED_VALUE"""),6.4)</f>
        <v>6.4</v>
      </c>
      <c r="L419" s="24">
        <f>IFERROR(__xludf.DUMMYFUNCTION("""COMPUTED_VALUE"""),6.0)</f>
        <v>6</v>
      </c>
      <c r="M419" s="25" t="str">
        <f>IFERROR(__xludf.DUMMYFUNCTION("""COMPUTED_VALUE"""),"Shooter")</f>
        <v>Shooter</v>
      </c>
      <c r="N419" s="25"/>
      <c r="O419" s="25" t="str">
        <f>IFERROR(__xludf.DUMMYFUNCTION("""COMPUTED_VALUE"""),"No")</f>
        <v>No</v>
      </c>
      <c r="P419" s="26"/>
    </row>
    <row r="420">
      <c r="A420" s="13" t="str">
        <f>IFERROR(__xludf.DUMMYFUNCTION("""COMPUTED_VALUE"""),"West of Dead")</f>
        <v>West of Dead</v>
      </c>
      <c r="B420" s="15" t="str">
        <f>IFERROR(__xludf.DUMMYFUNCTION("""COMPUTED_VALUE"""),"PS4")</f>
        <v>PS4</v>
      </c>
      <c r="C420" s="16" t="str">
        <f>IFERROR(__xludf.DUMMYFUNCTION("""COMPUTED_VALUE"""),"Extra")</f>
        <v>Extra</v>
      </c>
      <c r="D420" s="15" t="str">
        <f>IFERROR(__xludf.DUMMYFUNCTION("""COMPUTED_VALUE"""),"Active")</f>
        <v>Active</v>
      </c>
      <c r="E420" s="17">
        <f>IFERROR(__xludf.DUMMYFUNCTION("""COMPUTED_VALUE"""),45188.0)</f>
        <v>45188</v>
      </c>
      <c r="F420" s="54"/>
      <c r="G420" s="19">
        <f>IFERROR(__xludf.DUMMYFUNCTION("""COMPUTED_VALUE"""),36.56666666666666)</f>
        <v>36.56666667</v>
      </c>
      <c r="H420" s="17">
        <f>IFERROR(__xludf.DUMMYFUNCTION("""COMPUTED_VALUE"""),44000.0)</f>
        <v>44000</v>
      </c>
      <c r="I420" s="19">
        <f>IFERROR(__xludf.DUMMYFUNCTION("""COMPUTED_VALUE"""),3.2527777777777778)</f>
        <v>3.252777778</v>
      </c>
      <c r="J420" s="21">
        <f>IFERROR(__xludf.DUMMYFUNCTION("""COMPUTED_VALUE"""),63.0)</f>
        <v>63</v>
      </c>
      <c r="K420" s="23">
        <f>IFERROR(__xludf.DUMMYFUNCTION("""COMPUTED_VALUE"""),6.1)</f>
        <v>6.1</v>
      </c>
      <c r="L420" s="24">
        <f>IFERROR(__xludf.DUMMYFUNCTION("""COMPUTED_VALUE"""),9.0)</f>
        <v>9</v>
      </c>
      <c r="M420" s="25" t="str">
        <f>IFERROR(__xludf.DUMMYFUNCTION("""COMPUTED_VALUE"""),"Action-Adventure")</f>
        <v>Action-Adventure</v>
      </c>
      <c r="N420" s="25"/>
      <c r="O420" s="25" t="str">
        <f>IFERROR(__xludf.DUMMYFUNCTION("""COMPUTED_VALUE"""),"Yes")</f>
        <v>Yes</v>
      </c>
      <c r="P420" s="26"/>
    </row>
    <row r="421">
      <c r="A421" s="13" t="str">
        <f>IFERROR(__xludf.DUMMYFUNCTION("""COMPUTED_VALUE"""),"Hotel Transylvania: Scary-Tale Adventures")</f>
        <v>Hotel Transylvania: Scary-Tale Adventures</v>
      </c>
      <c r="B421" s="15" t="str">
        <f>IFERROR(__xludf.DUMMYFUNCTION("""COMPUTED_VALUE"""),"PS5/PS4")</f>
        <v>PS5/PS4</v>
      </c>
      <c r="C421" s="16" t="str">
        <f>IFERROR(__xludf.DUMMYFUNCTION("""COMPUTED_VALUE"""),"Extra")</f>
        <v>Extra</v>
      </c>
      <c r="D421" s="15" t="str">
        <f>IFERROR(__xludf.DUMMYFUNCTION("""COMPUTED_VALUE"""),"Active")</f>
        <v>Active</v>
      </c>
      <c r="E421" s="17">
        <f>IFERROR(__xludf.DUMMYFUNCTION("""COMPUTED_VALUE"""),45153.0)</f>
        <v>45153</v>
      </c>
      <c r="F421" s="54"/>
      <c r="G421" s="19">
        <f>IFERROR(__xludf.DUMMYFUNCTION("""COMPUTED_VALUE"""),37.7)</f>
        <v>37.7</v>
      </c>
      <c r="H421" s="17">
        <f>IFERROR(__xludf.DUMMYFUNCTION("""COMPUTED_VALUE"""),44631.0)</f>
        <v>44631</v>
      </c>
      <c r="I421" s="19">
        <f>IFERROR(__xludf.DUMMYFUNCTION("""COMPUTED_VALUE"""),1.4277777777777778)</f>
        <v>1.427777778</v>
      </c>
      <c r="J421" s="21">
        <f>IFERROR(__xludf.DUMMYFUNCTION("""COMPUTED_VALUE"""),63.0)</f>
        <v>63</v>
      </c>
      <c r="K421" s="23">
        <f>IFERROR(__xludf.DUMMYFUNCTION("""COMPUTED_VALUE"""),1.0)</f>
        <v>1</v>
      </c>
      <c r="L421" s="24">
        <f>IFERROR(__xludf.DUMMYFUNCTION("""COMPUTED_VALUE"""),5.0)</f>
        <v>5</v>
      </c>
      <c r="M421" s="25" t="str">
        <f>IFERROR(__xludf.DUMMYFUNCTION("""COMPUTED_VALUE"""),"Platformer")</f>
        <v>Platformer</v>
      </c>
      <c r="N421" s="25"/>
      <c r="O421" s="25" t="str">
        <f>IFERROR(__xludf.DUMMYFUNCTION("""COMPUTED_VALUE"""),"Yes")</f>
        <v>Yes</v>
      </c>
      <c r="P421" s="26"/>
    </row>
    <row r="422">
      <c r="A422" s="13" t="str">
        <f>IFERROR(__xludf.DUMMYFUNCTION("""COMPUTED_VALUE"""),"Wolfenstein: Youngblood")</f>
        <v>Wolfenstein: Youngblood</v>
      </c>
      <c r="B422" s="15" t="str">
        <f>IFERROR(__xludf.DUMMYFUNCTION("""COMPUTED_VALUE"""),"PS4")</f>
        <v>PS4</v>
      </c>
      <c r="C422" s="16" t="str">
        <f>IFERROR(__xludf.DUMMYFUNCTION("""COMPUTED_VALUE"""),"Extra")</f>
        <v>Extra</v>
      </c>
      <c r="D422" s="15" t="str">
        <f>IFERROR(__xludf.DUMMYFUNCTION("""COMPUTED_VALUE"""),"Active")</f>
        <v>Active</v>
      </c>
      <c r="E422" s="17">
        <f>IFERROR(__xludf.DUMMYFUNCTION("""COMPUTED_VALUE"""),45062.0)</f>
        <v>45062</v>
      </c>
      <c r="F422" s="54"/>
      <c r="G422" s="19">
        <f>IFERROR(__xludf.DUMMYFUNCTION("""COMPUTED_VALUE"""),40.666666666666664)</f>
        <v>40.66666667</v>
      </c>
      <c r="H422" s="17">
        <f>IFERROR(__xludf.DUMMYFUNCTION("""COMPUTED_VALUE"""),43672.0)</f>
        <v>43672</v>
      </c>
      <c r="I422" s="19">
        <f>IFERROR(__xludf.DUMMYFUNCTION("""COMPUTED_VALUE"""),3.8055555555555554)</f>
        <v>3.805555556</v>
      </c>
      <c r="J422" s="21">
        <f>IFERROR(__xludf.DUMMYFUNCTION("""COMPUTED_VALUE"""),63.0)</f>
        <v>63</v>
      </c>
      <c r="K422" s="23">
        <f>IFERROR(__xludf.DUMMYFUNCTION("""COMPUTED_VALUE"""),3.0)</f>
        <v>3</v>
      </c>
      <c r="L422" s="24">
        <f>IFERROR(__xludf.DUMMYFUNCTION("""COMPUTED_VALUE"""),9.0)</f>
        <v>9</v>
      </c>
      <c r="M422" s="25" t="str">
        <f>IFERROR(__xludf.DUMMYFUNCTION("""COMPUTED_VALUE"""),"Shooter")</f>
        <v>Shooter</v>
      </c>
      <c r="N422" s="25"/>
      <c r="O422" s="25" t="str">
        <f>IFERROR(__xludf.DUMMYFUNCTION("""COMPUTED_VALUE"""),"Yes")</f>
        <v>Yes</v>
      </c>
      <c r="P422" s="26"/>
    </row>
    <row r="423">
      <c r="A423" s="13" t="str">
        <f>IFERROR(__xludf.DUMMYFUNCTION("""COMPUTED_VALUE"""),"Assassin's Creed Chronicles: India")</f>
        <v>Assassin's Creed Chronicles: India</v>
      </c>
      <c r="B423" s="15" t="str">
        <f>IFERROR(__xludf.DUMMYFUNCTION("""COMPUTED_VALUE"""),"PS4")</f>
        <v>PS4</v>
      </c>
      <c r="C423" s="16" t="str">
        <f>IFERROR(__xludf.DUMMYFUNCTION("""COMPUTED_VALUE"""),"Extra (Ubisoft+ Classics)")</f>
        <v>Extra (Ubisoft+ Classics)</v>
      </c>
      <c r="D423" s="15" t="str">
        <f>IFERROR(__xludf.DUMMYFUNCTION("""COMPUTED_VALUE"""),"Active")</f>
        <v>Active</v>
      </c>
      <c r="E423" s="17">
        <f>IFERROR(__xludf.DUMMYFUNCTION("""COMPUTED_VALUE"""),44852.0)</f>
        <v>44852</v>
      </c>
      <c r="F423" s="54"/>
      <c r="G423" s="19">
        <f>IFERROR(__xludf.DUMMYFUNCTION("""COMPUTED_VALUE"""),47.6)</f>
        <v>47.6</v>
      </c>
      <c r="H423" s="17">
        <f>IFERROR(__xludf.DUMMYFUNCTION("""COMPUTED_VALUE"""),42381.0)</f>
        <v>42381</v>
      </c>
      <c r="I423" s="19">
        <f>IFERROR(__xludf.DUMMYFUNCTION("""COMPUTED_VALUE"""),6.766666666666667)</f>
        <v>6.766666667</v>
      </c>
      <c r="J423" s="21">
        <f>IFERROR(__xludf.DUMMYFUNCTION("""COMPUTED_VALUE"""),63.0)</f>
        <v>63</v>
      </c>
      <c r="K423" s="23">
        <f>IFERROR(__xludf.DUMMYFUNCTION("""COMPUTED_VALUE"""),4.3)</f>
        <v>4.3</v>
      </c>
      <c r="L423" s="24">
        <f>IFERROR(__xludf.DUMMYFUNCTION("""COMPUTED_VALUE"""),6.0)</f>
        <v>6</v>
      </c>
      <c r="M423" s="25" t="str">
        <f>IFERROR(__xludf.DUMMYFUNCTION("""COMPUTED_VALUE"""),"Platformer")</f>
        <v>Platformer</v>
      </c>
      <c r="N423" s="25"/>
      <c r="O423" s="25" t="str">
        <f>IFERROR(__xludf.DUMMYFUNCTION("""COMPUTED_VALUE"""),"Yes")</f>
        <v>Yes</v>
      </c>
      <c r="P423" s="26"/>
    </row>
    <row r="424">
      <c r="A424" s="13" t="str">
        <f>IFERROR(__xludf.DUMMYFUNCTION("""COMPUTED_VALUE"""),"Empire of Sin")</f>
        <v>Empire of Sin</v>
      </c>
      <c r="B424" s="15" t="str">
        <f>IFERROR(__xludf.DUMMYFUNCTION("""COMPUTED_VALUE"""),"PS4")</f>
        <v>PS4</v>
      </c>
      <c r="C424" s="16" t="str">
        <f>IFERROR(__xludf.DUMMYFUNCTION("""COMPUTED_VALUE"""),"Extra")</f>
        <v>Extra</v>
      </c>
      <c r="D424" s="15" t="str">
        <f>IFERROR(__xludf.DUMMYFUNCTION("""COMPUTED_VALUE"""),"Active")</f>
        <v>Active</v>
      </c>
      <c r="E424" s="17">
        <f>IFERROR(__xludf.DUMMYFUNCTION("""COMPUTED_VALUE"""),44725.0)</f>
        <v>44725</v>
      </c>
      <c r="F424" s="54"/>
      <c r="G424" s="19">
        <f>IFERROR(__xludf.DUMMYFUNCTION("""COMPUTED_VALUE"""),51.766666666666666)</f>
        <v>51.76666667</v>
      </c>
      <c r="H424" s="17">
        <f>IFERROR(__xludf.DUMMYFUNCTION("""COMPUTED_VALUE"""),44166.0)</f>
        <v>44166</v>
      </c>
      <c r="I424" s="19">
        <f>IFERROR(__xludf.DUMMYFUNCTION("""COMPUTED_VALUE"""),1.5333333333333334)</f>
        <v>1.533333333</v>
      </c>
      <c r="J424" s="21">
        <f>IFERROR(__xludf.DUMMYFUNCTION("""COMPUTED_VALUE"""),63.0)</f>
        <v>63</v>
      </c>
      <c r="K424" s="23">
        <f>IFERROR(__xludf.DUMMYFUNCTION("""COMPUTED_VALUE"""),6.2)</f>
        <v>6.2</v>
      </c>
      <c r="L424" s="24">
        <f>IFERROR(__xludf.DUMMYFUNCTION("""COMPUTED_VALUE"""),13.0)</f>
        <v>13</v>
      </c>
      <c r="M424" s="25" t="str">
        <f>IFERROR(__xludf.DUMMYFUNCTION("""COMPUTED_VALUE"""),"Strategy")</f>
        <v>Strategy</v>
      </c>
      <c r="N424" s="25"/>
      <c r="O424" s="25" t="str">
        <f>IFERROR(__xludf.DUMMYFUNCTION("""COMPUTED_VALUE"""),"Yes")</f>
        <v>Yes</v>
      </c>
      <c r="P424" s="26"/>
    </row>
    <row r="425">
      <c r="A425" s="13" t="str">
        <f>IFERROR(__xludf.DUMMYFUNCTION("""COMPUTED_VALUE"""),"Overpass")</f>
        <v>Overpass</v>
      </c>
      <c r="B425" s="15" t="str">
        <f>IFERROR(__xludf.DUMMYFUNCTION("""COMPUTED_VALUE"""),"PS4")</f>
        <v>PS4</v>
      </c>
      <c r="C425" s="16" t="str">
        <f>IFERROR(__xludf.DUMMYFUNCTION("""COMPUTED_VALUE"""),"Extra")</f>
        <v>Extra</v>
      </c>
      <c r="D425" s="15" t="str">
        <f>IFERROR(__xludf.DUMMYFUNCTION("""COMPUTED_VALUE"""),"Active")</f>
        <v>Active</v>
      </c>
      <c r="E425" s="17">
        <f>IFERROR(__xludf.DUMMYFUNCTION("""COMPUTED_VALUE"""),44725.0)</f>
        <v>44725</v>
      </c>
      <c r="F425" s="54"/>
      <c r="G425" s="19">
        <f>IFERROR(__xludf.DUMMYFUNCTION("""COMPUTED_VALUE"""),51.766666666666666)</f>
        <v>51.76666667</v>
      </c>
      <c r="H425" s="17">
        <f>IFERROR(__xludf.DUMMYFUNCTION("""COMPUTED_VALUE"""),43907.0)</f>
        <v>43907</v>
      </c>
      <c r="I425" s="19">
        <f>IFERROR(__xludf.DUMMYFUNCTION("""COMPUTED_VALUE"""),2.238888888888889)</f>
        <v>2.238888889</v>
      </c>
      <c r="J425" s="21">
        <f>IFERROR(__xludf.DUMMYFUNCTION("""COMPUTED_VALUE"""),63.0)</f>
        <v>63</v>
      </c>
      <c r="K425" s="23">
        <f>IFERROR(__xludf.DUMMYFUNCTION("""COMPUTED_VALUE"""),5.9)</f>
        <v>5.9</v>
      </c>
      <c r="L425" s="24">
        <f>IFERROR(__xludf.DUMMYFUNCTION("""COMPUTED_VALUE"""),8.0)</f>
        <v>8</v>
      </c>
      <c r="M425" s="25" t="str">
        <f>IFERROR(__xludf.DUMMYFUNCTION("""COMPUTED_VALUE"""),"Racing")</f>
        <v>Racing</v>
      </c>
      <c r="N425" s="25"/>
      <c r="O425" s="25" t="str">
        <f>IFERROR(__xludf.DUMMYFUNCTION("""COMPUTED_VALUE"""),"Yes")</f>
        <v>Yes</v>
      </c>
      <c r="P425" s="26" t="str">
        <f>IFERROR(__xludf.DUMMYFUNCTION("""COMPUTED_VALUE"""),"Yes")</f>
        <v>Yes</v>
      </c>
    </row>
    <row r="426">
      <c r="A426" s="13" t="str">
        <f>IFERROR(__xludf.DUMMYFUNCTION("""COMPUTED_VALUE"""),"Risk: Urban Assault")</f>
        <v>Risk: Urban Assault</v>
      </c>
      <c r="B426" s="15" t="str">
        <f>IFERROR(__xludf.DUMMYFUNCTION("""COMPUTED_VALUE"""),"PS4")</f>
        <v>PS4</v>
      </c>
      <c r="C426" s="16" t="str">
        <f>IFERROR(__xludf.DUMMYFUNCTION("""COMPUTED_VALUE"""),"Extra (Ubisoft+ Classics)")</f>
        <v>Extra (Ubisoft+ Classics)</v>
      </c>
      <c r="D426" s="15" t="str">
        <f>IFERROR(__xludf.DUMMYFUNCTION("""COMPUTED_VALUE"""),"Active")</f>
        <v>Active</v>
      </c>
      <c r="E426" s="17">
        <f>IFERROR(__xludf.DUMMYFUNCTION("""COMPUTED_VALUE"""),44725.0)</f>
        <v>44725</v>
      </c>
      <c r="F426" s="54"/>
      <c r="G426" s="19">
        <f>IFERROR(__xludf.DUMMYFUNCTION("""COMPUTED_VALUE"""),51.766666666666666)</f>
        <v>51.76666667</v>
      </c>
      <c r="H426" s="17">
        <f>IFERROR(__xludf.DUMMYFUNCTION("""COMPUTED_VALUE"""),42633.0)</f>
        <v>42633</v>
      </c>
      <c r="I426" s="19">
        <f>IFERROR(__xludf.DUMMYFUNCTION("""COMPUTED_VALUE"""),5.730555555555555)</f>
        <v>5.730555556</v>
      </c>
      <c r="J426" s="21">
        <f>IFERROR(__xludf.DUMMYFUNCTION("""COMPUTED_VALUE"""),63.0)</f>
        <v>63</v>
      </c>
      <c r="K426" s="23">
        <f>IFERROR(__xludf.DUMMYFUNCTION("""COMPUTED_VALUE"""),6.4)</f>
        <v>6.4</v>
      </c>
      <c r="L426" s="24"/>
      <c r="M426" s="25" t="str">
        <f>IFERROR(__xludf.DUMMYFUNCTION("""COMPUTED_VALUE"""),"Strategy")</f>
        <v>Strategy</v>
      </c>
      <c r="N426" s="25"/>
      <c r="O426" s="25" t="str">
        <f>IFERROR(__xludf.DUMMYFUNCTION("""COMPUTED_VALUE"""),"Yes")</f>
        <v>Yes</v>
      </c>
      <c r="P426" s="26" t="str">
        <f>IFERROR(__xludf.DUMMYFUNCTION("""COMPUTED_VALUE"""),"Yes")</f>
        <v>Yes</v>
      </c>
    </row>
    <row r="427">
      <c r="A427" s="13" t="str">
        <f>IFERROR(__xludf.DUMMYFUNCTION("""COMPUTED_VALUE"""),"Slitterhead")</f>
        <v>Slitterhead</v>
      </c>
      <c r="B427" s="15" t="str">
        <f>IFERROR(__xludf.DUMMYFUNCTION("""COMPUTED_VALUE"""),"PS5/PS4")</f>
        <v>PS5/PS4</v>
      </c>
      <c r="C427" s="16" t="str">
        <f>IFERROR(__xludf.DUMMYFUNCTION("""COMPUTED_VALUE"""),"Extra")</f>
        <v>Extra</v>
      </c>
      <c r="D427" s="15" t="str">
        <f>IFERROR(__xludf.DUMMYFUNCTION("""COMPUTED_VALUE"""),"Active")</f>
        <v>Active</v>
      </c>
      <c r="E427" s="17">
        <f>IFERROR(__xludf.DUMMYFUNCTION("""COMPUTED_VALUE"""),46287.0)</f>
        <v>46287</v>
      </c>
      <c r="F427" s="54"/>
      <c r="G427" s="19">
        <f>IFERROR(__xludf.DUMMYFUNCTION("""COMPUTED_VALUE"""),0.4666666666666667)</f>
        <v>0.4666666667</v>
      </c>
      <c r="H427" s="17">
        <f>IFERROR(__xludf.DUMMYFUNCTION("""COMPUTED_VALUE"""),45604.0)</f>
        <v>45604</v>
      </c>
      <c r="I427" s="19">
        <f>IFERROR(__xludf.DUMMYFUNCTION("""COMPUTED_VALUE"""),1.8722222222222222)</f>
        <v>1.872222222</v>
      </c>
      <c r="J427" s="21">
        <f>IFERROR(__xludf.DUMMYFUNCTION("""COMPUTED_VALUE"""),62.0)</f>
        <v>62</v>
      </c>
      <c r="K427" s="23">
        <f>IFERROR(__xludf.DUMMYFUNCTION("""COMPUTED_VALUE"""),7.5)</f>
        <v>7.5</v>
      </c>
      <c r="L427" s="24">
        <f>IFERROR(__xludf.DUMMYFUNCTION("""COMPUTED_VALUE"""),13.5)</f>
        <v>13.5</v>
      </c>
      <c r="M427" s="25" t="str">
        <f>IFERROR(__xludf.DUMMYFUNCTION("""COMPUTED_VALUE"""),"Survival")</f>
        <v>Survival</v>
      </c>
      <c r="N427" s="25"/>
      <c r="O427" s="25"/>
      <c r="P427" s="26"/>
    </row>
    <row r="428">
      <c r="A428" s="13" t="str">
        <f>IFERROR(__xludf.DUMMYFUNCTION("""COMPUTED_VALUE"""),"Adventure Time: Pirates of the Enchiridion")</f>
        <v>Adventure Time: Pirates of the Enchiridion</v>
      </c>
      <c r="B428" s="15" t="str">
        <f>IFERROR(__xludf.DUMMYFUNCTION("""COMPUTED_VALUE"""),"PS4")</f>
        <v>PS4</v>
      </c>
      <c r="C428" s="16" t="str">
        <f>IFERROR(__xludf.DUMMYFUNCTION("""COMPUTED_VALUE"""),"Extra")</f>
        <v>Extra</v>
      </c>
      <c r="D428" s="15" t="str">
        <f>IFERROR(__xludf.DUMMYFUNCTION("""COMPUTED_VALUE"""),"Active")</f>
        <v>Active</v>
      </c>
      <c r="E428" s="17">
        <f>IFERROR(__xludf.DUMMYFUNCTION("""COMPUTED_VALUE"""),44915.0)</f>
        <v>44915</v>
      </c>
      <c r="F428" s="54"/>
      <c r="G428" s="19">
        <f>IFERROR(__xludf.DUMMYFUNCTION("""COMPUTED_VALUE"""),45.53333333333333)</f>
        <v>45.53333333</v>
      </c>
      <c r="H428" s="17">
        <f>IFERROR(__xludf.DUMMYFUNCTION("""COMPUTED_VALUE"""),43298.0)</f>
        <v>43298</v>
      </c>
      <c r="I428" s="19">
        <f>IFERROR(__xludf.DUMMYFUNCTION("""COMPUTED_VALUE"""),4.425)</f>
        <v>4.425</v>
      </c>
      <c r="J428" s="21">
        <f>IFERROR(__xludf.DUMMYFUNCTION("""COMPUTED_VALUE"""),62.0)</f>
        <v>62</v>
      </c>
      <c r="K428" s="23">
        <f>IFERROR(__xludf.DUMMYFUNCTION("""COMPUTED_VALUE"""),6.3)</f>
        <v>6.3</v>
      </c>
      <c r="L428" s="24">
        <f>IFERROR(__xludf.DUMMYFUNCTION("""COMPUTED_VALUE"""),6.0)</f>
        <v>6</v>
      </c>
      <c r="M428" s="25" t="str">
        <f>IFERROR(__xludf.DUMMYFUNCTION("""COMPUTED_VALUE"""),"RPG")</f>
        <v>RPG</v>
      </c>
      <c r="N428" s="25"/>
      <c r="O428" s="25" t="str">
        <f>IFERROR(__xludf.DUMMYFUNCTION("""COMPUTED_VALUE"""),"Yes")</f>
        <v>Yes</v>
      </c>
      <c r="P428" s="26"/>
    </row>
    <row r="429">
      <c r="A429" s="13" t="str">
        <f>IFERROR(__xludf.DUMMYFUNCTION("""COMPUTED_VALUE"""),"FIA European Truck Racing Championship")</f>
        <v>FIA European Truck Racing Championship</v>
      </c>
      <c r="B429" s="15" t="str">
        <f>IFERROR(__xludf.DUMMYFUNCTION("""COMPUTED_VALUE"""),"PS4")</f>
        <v>PS4</v>
      </c>
      <c r="C429" s="16" t="str">
        <f>IFERROR(__xludf.DUMMYFUNCTION("""COMPUTED_VALUE"""),"Extra")</f>
        <v>Extra</v>
      </c>
      <c r="D429" s="15" t="str">
        <f>IFERROR(__xludf.DUMMYFUNCTION("""COMPUTED_VALUE"""),"Active")</f>
        <v>Active</v>
      </c>
      <c r="E429" s="17">
        <f>IFERROR(__xludf.DUMMYFUNCTION("""COMPUTED_VALUE"""),44725.0)</f>
        <v>44725</v>
      </c>
      <c r="F429" s="54"/>
      <c r="G429" s="19">
        <f>IFERROR(__xludf.DUMMYFUNCTION("""COMPUTED_VALUE"""),51.766666666666666)</f>
        <v>51.76666667</v>
      </c>
      <c r="H429" s="17">
        <f>IFERROR(__xludf.DUMMYFUNCTION("""COMPUTED_VALUE"""),43664.0)</f>
        <v>43664</v>
      </c>
      <c r="I429" s="19">
        <f>IFERROR(__xludf.DUMMYFUNCTION("""COMPUTED_VALUE"""),2.9027777777777777)</f>
        <v>2.902777778</v>
      </c>
      <c r="J429" s="21">
        <f>IFERROR(__xludf.DUMMYFUNCTION("""COMPUTED_VALUE"""),62.0)</f>
        <v>62</v>
      </c>
      <c r="K429" s="23">
        <f>IFERROR(__xludf.DUMMYFUNCTION("""COMPUTED_VALUE"""),5.7)</f>
        <v>5.7</v>
      </c>
      <c r="L429" s="24">
        <f>IFERROR(__xludf.DUMMYFUNCTION("""COMPUTED_VALUE"""),11.0)</f>
        <v>11</v>
      </c>
      <c r="M429" s="25" t="str">
        <f>IFERROR(__xludf.DUMMYFUNCTION("""COMPUTED_VALUE"""),"Racing")</f>
        <v>Racing</v>
      </c>
      <c r="N429" s="25"/>
      <c r="O429" s="25" t="str">
        <f>IFERROR(__xludf.DUMMYFUNCTION("""COMPUTED_VALUE"""),"Yes")</f>
        <v>Yes</v>
      </c>
      <c r="P429" s="26" t="str">
        <f>IFERROR(__xludf.DUMMYFUNCTION("""COMPUTED_VALUE"""),"Yes")</f>
        <v>Yes</v>
      </c>
    </row>
    <row r="430">
      <c r="A430" s="13" t="str">
        <f>IFERROR(__xludf.DUMMYFUNCTION("""COMPUTED_VALUE"""),"Warhammer 40,000: Inquisitor - Martyr")</f>
        <v>Warhammer 40,000: Inquisitor - Martyr</v>
      </c>
      <c r="B430" s="15" t="str">
        <f>IFERROR(__xludf.DUMMYFUNCTION("""COMPUTED_VALUE"""),"PS4")</f>
        <v>PS4</v>
      </c>
      <c r="C430" s="16" t="str">
        <f>IFERROR(__xludf.DUMMYFUNCTION("""COMPUTED_VALUE"""),"Extra")</f>
        <v>Extra</v>
      </c>
      <c r="D430" s="15" t="str">
        <f>IFERROR(__xludf.DUMMYFUNCTION("""COMPUTED_VALUE"""),"Active")</f>
        <v>Active</v>
      </c>
      <c r="E430" s="17">
        <f>IFERROR(__xludf.DUMMYFUNCTION("""COMPUTED_VALUE"""),44725.0)</f>
        <v>44725</v>
      </c>
      <c r="F430" s="54"/>
      <c r="G430" s="19">
        <f>IFERROR(__xludf.DUMMYFUNCTION("""COMPUTED_VALUE"""),51.766666666666666)</f>
        <v>51.76666667</v>
      </c>
      <c r="H430" s="17">
        <f>IFERROR(__xludf.DUMMYFUNCTION("""COMPUTED_VALUE"""),43256.0)</f>
        <v>43256</v>
      </c>
      <c r="I430" s="19">
        <f>IFERROR(__xludf.DUMMYFUNCTION("""COMPUTED_VALUE"""),4.022222222222222)</f>
        <v>4.022222222</v>
      </c>
      <c r="J430" s="21">
        <f>IFERROR(__xludf.DUMMYFUNCTION("""COMPUTED_VALUE"""),62.0)</f>
        <v>62</v>
      </c>
      <c r="K430" s="23">
        <f>IFERROR(__xludf.DUMMYFUNCTION("""COMPUTED_VALUE"""),6.7)</f>
        <v>6.7</v>
      </c>
      <c r="L430" s="24">
        <f>IFERROR(__xludf.DUMMYFUNCTION("""COMPUTED_VALUE"""),40.0)</f>
        <v>40</v>
      </c>
      <c r="M430" s="25" t="str">
        <f>IFERROR(__xludf.DUMMYFUNCTION("""COMPUTED_VALUE"""),"RPG")</f>
        <v>RPG</v>
      </c>
      <c r="N430" s="25"/>
      <c r="O430" s="25" t="str">
        <f>IFERROR(__xludf.DUMMYFUNCTION("""COMPUTED_VALUE"""),"Yes")</f>
        <v>Yes</v>
      </c>
      <c r="P430" s="26" t="str">
        <f>IFERROR(__xludf.DUMMYFUNCTION("""COMPUTED_VALUE"""),"Yes")</f>
        <v>Yes</v>
      </c>
    </row>
    <row r="431">
      <c r="A431" s="13" t="str">
        <f>IFERROR(__xludf.DUMMYFUNCTION("""COMPUTED_VALUE"""),"Totally Reliable Delivery Service")</f>
        <v>Totally Reliable Delivery Service</v>
      </c>
      <c r="B431" s="15" t="str">
        <f>IFERROR(__xludf.DUMMYFUNCTION("""COMPUTED_VALUE"""),"PS4")</f>
        <v>PS4</v>
      </c>
      <c r="C431" s="16" t="str">
        <f>IFERROR(__xludf.DUMMYFUNCTION("""COMPUTED_VALUE"""),"Extra")</f>
        <v>Extra</v>
      </c>
      <c r="D431" s="15" t="str">
        <f>IFERROR(__xludf.DUMMYFUNCTION("""COMPUTED_VALUE"""),"Active")</f>
        <v>Active</v>
      </c>
      <c r="E431" s="17">
        <f>IFERROR(__xludf.DUMMYFUNCTION("""COMPUTED_VALUE"""),44502.0)</f>
        <v>44502</v>
      </c>
      <c r="F431" s="54"/>
      <c r="G431" s="19">
        <f>IFERROR(__xludf.DUMMYFUNCTION("""COMPUTED_VALUE"""),59.13333333333334)</f>
        <v>59.13333333</v>
      </c>
      <c r="H431" s="17">
        <f>IFERROR(__xludf.DUMMYFUNCTION("""COMPUTED_VALUE"""),43922.0)</f>
        <v>43922</v>
      </c>
      <c r="I431" s="19">
        <f>IFERROR(__xludf.DUMMYFUNCTION("""COMPUTED_VALUE"""),1.586111111111111)</f>
        <v>1.586111111</v>
      </c>
      <c r="J431" s="21">
        <f>IFERROR(__xludf.DUMMYFUNCTION("""COMPUTED_VALUE"""),62.0)</f>
        <v>62</v>
      </c>
      <c r="K431" s="23">
        <f>IFERROR(__xludf.DUMMYFUNCTION("""COMPUTED_VALUE"""),6.0)</f>
        <v>6</v>
      </c>
      <c r="L431" s="24">
        <f>IFERROR(__xludf.DUMMYFUNCTION("""COMPUTED_VALUE"""),4.0)</f>
        <v>4</v>
      </c>
      <c r="M431" s="25" t="str">
        <f>IFERROR(__xludf.DUMMYFUNCTION("""COMPUTED_VALUE"""),"Platformer")</f>
        <v>Platformer</v>
      </c>
      <c r="N431" s="25"/>
      <c r="O431" s="25" t="str">
        <f>IFERROR(__xludf.DUMMYFUNCTION("""COMPUTED_VALUE"""),"No")</f>
        <v>No</v>
      </c>
      <c r="P431" s="26" t="str">
        <f>IFERROR(__xludf.DUMMYFUNCTION("""COMPUTED_VALUE"""),"Yes")</f>
        <v>Yes</v>
      </c>
    </row>
    <row r="432">
      <c r="A432" s="13" t="str">
        <f>IFERROR(__xludf.DUMMYFUNCTION("""COMPUTED_VALUE"""),"Destruction AllStars")</f>
        <v>Destruction AllStars</v>
      </c>
      <c r="B432" s="15" t="str">
        <f>IFERROR(__xludf.DUMMYFUNCTION("""COMPUTED_VALUE"""),"PS5")</f>
        <v>PS5</v>
      </c>
      <c r="C432" s="16" t="str">
        <f>IFERROR(__xludf.DUMMYFUNCTION("""COMPUTED_VALUE"""),"Extra")</f>
        <v>Extra</v>
      </c>
      <c r="D432" s="15" t="str">
        <f>IFERROR(__xludf.DUMMYFUNCTION("""COMPUTED_VALUE"""),"Active")</f>
        <v>Active</v>
      </c>
      <c r="E432" s="17">
        <f>IFERROR(__xludf.DUMMYFUNCTION("""COMPUTED_VALUE"""),44229.0)</f>
        <v>44229</v>
      </c>
      <c r="F432" s="54"/>
      <c r="G432" s="19">
        <f>IFERROR(__xludf.DUMMYFUNCTION("""COMPUTED_VALUE"""),68.13333333333334)</f>
        <v>68.13333333</v>
      </c>
      <c r="H432" s="17">
        <f>IFERROR(__xludf.DUMMYFUNCTION("""COMPUTED_VALUE"""),44229.0)</f>
        <v>44229</v>
      </c>
      <c r="I432" s="19">
        <f>IFERROR(__xludf.DUMMYFUNCTION("""COMPUTED_VALUE"""),0.0)</f>
        <v>0</v>
      </c>
      <c r="J432" s="21">
        <f>IFERROR(__xludf.DUMMYFUNCTION("""COMPUTED_VALUE"""),62.0)</f>
        <v>62</v>
      </c>
      <c r="K432" s="23">
        <f>IFERROR(__xludf.DUMMYFUNCTION("""COMPUTED_VALUE"""),4.9)</f>
        <v>4.9</v>
      </c>
      <c r="L432" s="24">
        <f>IFERROR(__xludf.DUMMYFUNCTION("""COMPUTED_VALUE"""),3.5)</f>
        <v>3.5</v>
      </c>
      <c r="M432" s="25" t="str">
        <f>IFERROR(__xludf.DUMMYFUNCTION("""COMPUTED_VALUE"""),"Action-Adventure")</f>
        <v>Action-Adventure</v>
      </c>
      <c r="N432" s="25"/>
      <c r="O432" s="25" t="str">
        <f>IFERROR(__xludf.DUMMYFUNCTION("""COMPUTED_VALUE"""),"Portal (PS5 + Premium)")</f>
        <v>Portal (PS5 + Premium)</v>
      </c>
      <c r="P432" s="26"/>
    </row>
    <row r="433">
      <c r="A433" s="13" t="str">
        <f>IFERROR(__xludf.DUMMYFUNCTION("""COMPUTED_VALUE"""),"The Witch and the Hundred Knight: Revival Edition")</f>
        <v>The Witch and the Hundred Knight: Revival Edition</v>
      </c>
      <c r="B433" s="15" t="str">
        <f>IFERROR(__xludf.DUMMYFUNCTION("""COMPUTED_VALUE"""),"PS4")</f>
        <v>PS4</v>
      </c>
      <c r="C433" s="16" t="str">
        <f>IFERROR(__xludf.DUMMYFUNCTION("""COMPUTED_VALUE"""),"Extra")</f>
        <v>Extra</v>
      </c>
      <c r="D433" s="15" t="str">
        <f>IFERROR(__xludf.DUMMYFUNCTION("""COMPUTED_VALUE"""),"Active")</f>
        <v>Active</v>
      </c>
      <c r="E433" s="17">
        <f>IFERROR(__xludf.DUMMYFUNCTION("""COMPUTED_VALUE"""),43011.0)</f>
        <v>43011</v>
      </c>
      <c r="F433" s="54"/>
      <c r="G433" s="19">
        <f>IFERROR(__xludf.DUMMYFUNCTION("""COMPUTED_VALUE"""),108.1)</f>
        <v>108.1</v>
      </c>
      <c r="H433" s="17">
        <f>IFERROR(__xludf.DUMMYFUNCTION("""COMPUTED_VALUE"""),42430.0)</f>
        <v>42430</v>
      </c>
      <c r="I433" s="19">
        <f>IFERROR(__xludf.DUMMYFUNCTION("""COMPUTED_VALUE"""),1.5888888888888888)</f>
        <v>1.588888889</v>
      </c>
      <c r="J433" s="21">
        <f>IFERROR(__xludf.DUMMYFUNCTION("""COMPUTED_VALUE"""),62.0)</f>
        <v>62</v>
      </c>
      <c r="K433" s="23">
        <f>IFERROR(__xludf.DUMMYFUNCTION("""COMPUTED_VALUE"""),7.1)</f>
        <v>7.1</v>
      </c>
      <c r="L433" s="24">
        <f>IFERROR(__xludf.DUMMYFUNCTION("""COMPUTED_VALUE"""),45.0)</f>
        <v>45</v>
      </c>
      <c r="M433" s="25" t="str">
        <f>IFERROR(__xludf.DUMMYFUNCTION("""COMPUTED_VALUE"""),"RPG")</f>
        <v>RPG</v>
      </c>
      <c r="N433" s="25"/>
      <c r="O433" s="25" t="str">
        <f>IFERROR(__xludf.DUMMYFUNCTION("""COMPUTED_VALUE"""),"Yes")</f>
        <v>Yes</v>
      </c>
      <c r="P433" s="26"/>
    </row>
    <row r="434">
      <c r="A434" s="13" t="str">
        <f>IFERROR(__xludf.DUMMYFUNCTION("""COMPUTED_VALUE"""),"I Am Bread")</f>
        <v>I Am Bread</v>
      </c>
      <c r="B434" s="15" t="str">
        <f>IFERROR(__xludf.DUMMYFUNCTION("""COMPUTED_VALUE"""),"PS4")</f>
        <v>PS4</v>
      </c>
      <c r="C434" s="16" t="str">
        <f>IFERROR(__xludf.DUMMYFUNCTION("""COMPUTED_VALUE"""),"Extra")</f>
        <v>Extra</v>
      </c>
      <c r="D434" s="15" t="str">
        <f>IFERROR(__xludf.DUMMYFUNCTION("""COMPUTED_VALUE"""),"Active")</f>
        <v>Active</v>
      </c>
      <c r="E434" s="17">
        <f>IFERROR(__xludf.DUMMYFUNCTION("""COMPUTED_VALUE"""),44725.0)</f>
        <v>44725</v>
      </c>
      <c r="F434" s="54"/>
      <c r="G434" s="19">
        <f>IFERROR(__xludf.DUMMYFUNCTION("""COMPUTED_VALUE"""),51.766666666666666)</f>
        <v>51.76666667</v>
      </c>
      <c r="H434" s="17">
        <f>IFERROR(__xludf.DUMMYFUNCTION("""COMPUTED_VALUE"""),42217.0)</f>
        <v>42217</v>
      </c>
      <c r="I434" s="19">
        <f>IFERROR(__xludf.DUMMYFUNCTION("""COMPUTED_VALUE"""),6.866666666666666)</f>
        <v>6.866666667</v>
      </c>
      <c r="J434" s="21">
        <f>IFERROR(__xludf.DUMMYFUNCTION("""COMPUTED_VALUE"""),61.0)</f>
        <v>61</v>
      </c>
      <c r="K434" s="23">
        <f>IFERROR(__xludf.DUMMYFUNCTION("""COMPUTED_VALUE"""),6.7)</f>
        <v>6.7</v>
      </c>
      <c r="L434" s="24">
        <f>IFERROR(__xludf.DUMMYFUNCTION("""COMPUTED_VALUE"""),3.0)</f>
        <v>3</v>
      </c>
      <c r="M434" s="25" t="str">
        <f>IFERROR(__xludf.DUMMYFUNCTION("""COMPUTED_VALUE"""),"Puzzle")</f>
        <v>Puzzle</v>
      </c>
      <c r="N434" s="25"/>
      <c r="O434" s="25" t="str">
        <f>IFERROR(__xludf.DUMMYFUNCTION("""COMPUTED_VALUE"""),"Yes")</f>
        <v>Yes</v>
      </c>
      <c r="P434" s="26" t="str">
        <f>IFERROR(__xludf.DUMMYFUNCTION("""COMPUTED_VALUE"""),"Yes")</f>
        <v>Yes</v>
      </c>
    </row>
    <row r="435">
      <c r="A435" s="13" t="str">
        <f>IFERROR(__xludf.DUMMYFUNCTION("""COMPUTED_VALUE"""),"Power Rangers: Battle For The Grid")</f>
        <v>Power Rangers: Battle For The Grid</v>
      </c>
      <c r="B435" s="15" t="str">
        <f>IFERROR(__xludf.DUMMYFUNCTION("""COMPUTED_VALUE"""),"PS4")</f>
        <v>PS4</v>
      </c>
      <c r="C435" s="16" t="str">
        <f>IFERROR(__xludf.DUMMYFUNCTION("""COMPUTED_VALUE"""),"Extra")</f>
        <v>Extra</v>
      </c>
      <c r="D435" s="15" t="str">
        <f>IFERROR(__xludf.DUMMYFUNCTION("""COMPUTED_VALUE"""),"Active")</f>
        <v>Active</v>
      </c>
      <c r="E435" s="17">
        <f>IFERROR(__xludf.DUMMYFUNCTION("""COMPUTED_VALUE"""),44047.0)</f>
        <v>44047</v>
      </c>
      <c r="F435" s="54"/>
      <c r="G435" s="19">
        <f>IFERROR(__xludf.DUMMYFUNCTION("""COMPUTED_VALUE"""),74.06666666666666)</f>
        <v>74.06666667</v>
      </c>
      <c r="H435" s="17">
        <f>IFERROR(__xludf.DUMMYFUNCTION("""COMPUTED_VALUE"""),43550.0)</f>
        <v>43550</v>
      </c>
      <c r="I435" s="19">
        <f>IFERROR(__xludf.DUMMYFUNCTION("""COMPUTED_VALUE"""),1.3555555555555556)</f>
        <v>1.355555556</v>
      </c>
      <c r="J435" s="21">
        <f>IFERROR(__xludf.DUMMYFUNCTION("""COMPUTED_VALUE"""),61.0)</f>
        <v>61</v>
      </c>
      <c r="K435" s="23">
        <f>IFERROR(__xludf.DUMMYFUNCTION("""COMPUTED_VALUE"""),7.2)</f>
        <v>7.2</v>
      </c>
      <c r="L435" s="24">
        <f>IFERROR(__xludf.DUMMYFUNCTION("""COMPUTED_VALUE"""),3.0)</f>
        <v>3</v>
      </c>
      <c r="M435" s="25" t="str">
        <f>IFERROR(__xludf.DUMMYFUNCTION("""COMPUTED_VALUE"""),"Fighting")</f>
        <v>Fighting</v>
      </c>
      <c r="N435" s="25"/>
      <c r="O435" s="25" t="str">
        <f>IFERROR(__xludf.DUMMYFUNCTION("""COMPUTED_VALUE"""),"Yes")</f>
        <v>Yes</v>
      </c>
      <c r="P435" s="26" t="str">
        <f>IFERROR(__xludf.DUMMYFUNCTION("""COMPUTED_VALUE"""),"Yes")</f>
        <v>Yes</v>
      </c>
    </row>
    <row r="436">
      <c r="A436" s="13" t="str">
        <f>IFERROR(__xludf.DUMMYFUNCTION("""COMPUTED_VALUE"""),"OVERPASS 2")</f>
        <v>OVERPASS 2</v>
      </c>
      <c r="B436" s="15" t="str">
        <f>IFERROR(__xludf.DUMMYFUNCTION("""COMPUTED_VALUE"""),"PS5")</f>
        <v>PS5</v>
      </c>
      <c r="C436" s="16" t="str">
        <f>IFERROR(__xludf.DUMMYFUNCTION("""COMPUTED_VALUE"""),"Extra")</f>
        <v>Extra</v>
      </c>
      <c r="D436" s="15" t="str">
        <f>IFERROR(__xludf.DUMMYFUNCTION("""COMPUTED_VALUE"""),"Active")</f>
        <v>Active</v>
      </c>
      <c r="E436" s="17">
        <f>IFERROR(__xludf.DUMMYFUNCTION("""COMPUTED_VALUE"""),45580.0)</f>
        <v>45580</v>
      </c>
      <c r="F436" s="54"/>
      <c r="G436" s="19">
        <f>IFERROR(__xludf.DUMMYFUNCTION("""COMPUTED_VALUE"""),23.700000000000003)</f>
        <v>23.7</v>
      </c>
      <c r="H436" s="17">
        <f>IFERROR(__xludf.DUMMYFUNCTION("""COMPUTED_VALUE"""),45216.0)</f>
        <v>45216</v>
      </c>
      <c r="I436" s="19">
        <f>IFERROR(__xludf.DUMMYFUNCTION("""COMPUTED_VALUE"""),0.9944444444444445)</f>
        <v>0.9944444444</v>
      </c>
      <c r="J436" s="21">
        <f>IFERROR(__xludf.DUMMYFUNCTION("""COMPUTED_VALUE"""),60.0)</f>
        <v>60</v>
      </c>
      <c r="K436" s="23">
        <f>IFERROR(__xludf.DUMMYFUNCTION("""COMPUTED_VALUE"""),4.0)</f>
        <v>4</v>
      </c>
      <c r="L436" s="24">
        <f>IFERROR(__xludf.DUMMYFUNCTION("""COMPUTED_VALUE"""),8.0)</f>
        <v>8</v>
      </c>
      <c r="M436" s="25" t="str">
        <f>IFERROR(__xludf.DUMMYFUNCTION("""COMPUTED_VALUE"""),"Racing")</f>
        <v>Racing</v>
      </c>
      <c r="N436" s="25"/>
      <c r="O436" s="25" t="str">
        <f>IFERROR(__xludf.DUMMYFUNCTION("""COMPUTED_VALUE"""),"Portal (PS5 + Premium)")</f>
        <v>Portal (PS5 + Premium)</v>
      </c>
      <c r="P436" s="26"/>
    </row>
    <row r="437">
      <c r="A437" s="13" t="str">
        <f>IFERROR(__xludf.DUMMYFUNCTION("""COMPUTED_VALUE"""),"Blood Bowl III")</f>
        <v>Blood Bowl III</v>
      </c>
      <c r="B437" s="15" t="str">
        <f>IFERROR(__xludf.DUMMYFUNCTION("""COMPUTED_VALUE"""),"PS5/PS4")</f>
        <v>PS5/PS4</v>
      </c>
      <c r="C437" s="16" t="str">
        <f>IFERROR(__xludf.DUMMYFUNCTION("""COMPUTED_VALUE"""),"Extra")</f>
        <v>Extra</v>
      </c>
      <c r="D437" s="15" t="str">
        <f>IFERROR(__xludf.DUMMYFUNCTION("""COMPUTED_VALUE"""),"Active")</f>
        <v>Active</v>
      </c>
      <c r="E437" s="17">
        <f>IFERROR(__xludf.DUMMYFUNCTION("""COMPUTED_VALUE"""),45370.0)</f>
        <v>45370</v>
      </c>
      <c r="F437" s="54"/>
      <c r="G437" s="19">
        <f>IFERROR(__xludf.DUMMYFUNCTION("""COMPUTED_VALUE"""),30.566666666666663)</f>
        <v>30.56666667</v>
      </c>
      <c r="H437" s="17">
        <f>IFERROR(__xludf.DUMMYFUNCTION("""COMPUTED_VALUE"""),44980.0)</f>
        <v>44980</v>
      </c>
      <c r="I437" s="19">
        <f>IFERROR(__xludf.DUMMYFUNCTION("""COMPUTED_VALUE"""),1.0722222222222222)</f>
        <v>1.072222222</v>
      </c>
      <c r="J437" s="21">
        <f>IFERROR(__xludf.DUMMYFUNCTION("""COMPUTED_VALUE"""),60.0)</f>
        <v>60</v>
      </c>
      <c r="K437" s="23">
        <f>IFERROR(__xludf.DUMMYFUNCTION("""COMPUTED_VALUE"""),1.6)</f>
        <v>1.6</v>
      </c>
      <c r="L437" s="24">
        <f>IFERROR(__xludf.DUMMYFUNCTION("""COMPUTED_VALUE"""),15.0)</f>
        <v>15</v>
      </c>
      <c r="M437" s="25" t="str">
        <f>IFERROR(__xludf.DUMMYFUNCTION("""COMPUTED_VALUE"""),"Sports")</f>
        <v>Sports</v>
      </c>
      <c r="N437" s="25"/>
      <c r="O437" s="25" t="str">
        <f>IFERROR(__xludf.DUMMYFUNCTION("""COMPUTED_VALUE"""),"Yes")</f>
        <v>Yes</v>
      </c>
      <c r="P437" s="26"/>
    </row>
    <row r="438">
      <c r="A438" s="13" t="str">
        <f>IFERROR(__xludf.DUMMYFUNCTION("""COMPUTED_VALUE"""),"A-Train Express")</f>
        <v>A-Train Express</v>
      </c>
      <c r="B438" s="15" t="str">
        <f>IFERROR(__xludf.DUMMYFUNCTION("""COMPUTED_VALUE"""),"PS4")</f>
        <v>PS4</v>
      </c>
      <c r="C438" s="16" t="str">
        <f>IFERROR(__xludf.DUMMYFUNCTION("""COMPUTED_VALUE"""),"Extra")</f>
        <v>Extra</v>
      </c>
      <c r="D438" s="15" t="str">
        <f>IFERROR(__xludf.DUMMYFUNCTION("""COMPUTED_VALUE"""),"Active")</f>
        <v>Active</v>
      </c>
      <c r="E438" s="17">
        <f>IFERROR(__xludf.DUMMYFUNCTION("""COMPUTED_VALUE"""),45218.0)</f>
        <v>45218</v>
      </c>
      <c r="F438" s="54"/>
      <c r="G438" s="19">
        <f>IFERROR(__xludf.DUMMYFUNCTION("""COMPUTED_VALUE"""),35.56666666666667)</f>
        <v>35.56666667</v>
      </c>
      <c r="H438" s="17">
        <f>IFERROR(__xludf.DUMMYFUNCTION("""COMPUTED_VALUE"""),43607.0)</f>
        <v>43607</v>
      </c>
      <c r="I438" s="19">
        <f>IFERROR(__xludf.DUMMYFUNCTION("""COMPUTED_VALUE"""),4.408333333333333)</f>
        <v>4.408333333</v>
      </c>
      <c r="J438" s="21">
        <f>IFERROR(__xludf.DUMMYFUNCTION("""COMPUTED_VALUE"""),60.0)</f>
        <v>60</v>
      </c>
      <c r="K438" s="23"/>
      <c r="L438" s="24"/>
      <c r="M438" s="25" t="str">
        <f>IFERROR(__xludf.DUMMYFUNCTION("""COMPUTED_VALUE"""),"Simulation")</f>
        <v>Simulation</v>
      </c>
      <c r="N438" s="25"/>
      <c r="O438" s="25" t="str">
        <f>IFERROR(__xludf.DUMMYFUNCTION("""COMPUTED_VALUE"""),"Yes")</f>
        <v>Yes</v>
      </c>
      <c r="P438" s="26"/>
    </row>
    <row r="439">
      <c r="A439" s="13" t="str">
        <f>IFERROR(__xludf.DUMMYFUNCTION("""COMPUTED_VALUE"""),"PJ Masks: Heroes of the Night")</f>
        <v>PJ Masks: Heroes of the Night</v>
      </c>
      <c r="B439" s="15" t="str">
        <f>IFERROR(__xludf.DUMMYFUNCTION("""COMPUTED_VALUE"""),"PS5/PS4")</f>
        <v>PS5/PS4</v>
      </c>
      <c r="C439" s="16" t="str">
        <f>IFERROR(__xludf.DUMMYFUNCTION("""COMPUTED_VALUE"""),"Extra")</f>
        <v>Extra</v>
      </c>
      <c r="D439" s="15" t="str">
        <f>IFERROR(__xludf.DUMMYFUNCTION("""COMPUTED_VALUE"""),"Active")</f>
        <v>Active</v>
      </c>
      <c r="E439" s="17">
        <f>IFERROR(__xludf.DUMMYFUNCTION("""COMPUTED_VALUE"""),45153.0)</f>
        <v>45153</v>
      </c>
      <c r="F439" s="54"/>
      <c r="G439" s="19">
        <f>IFERROR(__xludf.DUMMYFUNCTION("""COMPUTED_VALUE"""),37.7)</f>
        <v>37.7</v>
      </c>
      <c r="H439" s="17">
        <f>IFERROR(__xludf.DUMMYFUNCTION("""COMPUTED_VALUE"""),44498.0)</f>
        <v>44498</v>
      </c>
      <c r="I439" s="19">
        <f>IFERROR(__xludf.DUMMYFUNCTION("""COMPUTED_VALUE"""),1.7944444444444445)</f>
        <v>1.794444444</v>
      </c>
      <c r="J439" s="21">
        <f>IFERROR(__xludf.DUMMYFUNCTION("""COMPUTED_VALUE"""),60.0)</f>
        <v>60</v>
      </c>
      <c r="K439" s="23">
        <f>IFERROR(__xludf.DUMMYFUNCTION("""COMPUTED_VALUE"""),5.0)</f>
        <v>5</v>
      </c>
      <c r="L439" s="24">
        <f>IFERROR(__xludf.DUMMYFUNCTION("""COMPUTED_VALUE"""),3.0)</f>
        <v>3</v>
      </c>
      <c r="M439" s="25" t="str">
        <f>IFERROR(__xludf.DUMMYFUNCTION("""COMPUTED_VALUE"""),"Platformer")</f>
        <v>Platformer</v>
      </c>
      <c r="N439" s="25"/>
      <c r="O439" s="25" t="str">
        <f>IFERROR(__xludf.DUMMYFUNCTION("""COMPUTED_VALUE"""),"Yes")</f>
        <v>Yes</v>
      </c>
      <c r="P439" s="26"/>
    </row>
    <row r="440">
      <c r="A440" s="13" t="str">
        <f>IFERROR(__xludf.DUMMYFUNCTION("""COMPUTED_VALUE"""),"PAW Patrol Mighty Pups Save Adventure Bay")</f>
        <v>PAW Patrol Mighty Pups Save Adventure Bay</v>
      </c>
      <c r="B440" s="15" t="str">
        <f>IFERROR(__xludf.DUMMYFUNCTION("""COMPUTED_VALUE"""),"PS5/PS4")</f>
        <v>PS5/PS4</v>
      </c>
      <c r="C440" s="16" t="str">
        <f>IFERROR(__xludf.DUMMYFUNCTION("""COMPUTED_VALUE"""),"Extra")</f>
        <v>Extra</v>
      </c>
      <c r="D440" s="15" t="str">
        <f>IFERROR(__xludf.DUMMYFUNCTION("""COMPUTED_VALUE"""),"Active")</f>
        <v>Active</v>
      </c>
      <c r="E440" s="17">
        <f>IFERROR(__xludf.DUMMYFUNCTION("""COMPUTED_VALUE"""),45097.0)</f>
        <v>45097</v>
      </c>
      <c r="F440" s="54"/>
      <c r="G440" s="19">
        <f>IFERROR(__xludf.DUMMYFUNCTION("""COMPUTED_VALUE"""),39.53333333333333)</f>
        <v>39.53333333</v>
      </c>
      <c r="H440" s="17">
        <f>IFERROR(__xludf.DUMMYFUNCTION("""COMPUTED_VALUE"""),44141.0)</f>
        <v>44141</v>
      </c>
      <c r="I440" s="19">
        <f>IFERROR(__xludf.DUMMYFUNCTION("""COMPUTED_VALUE"""),2.6222222222222222)</f>
        <v>2.622222222</v>
      </c>
      <c r="J440" s="21">
        <f>IFERROR(__xludf.DUMMYFUNCTION("""COMPUTED_VALUE"""),60.0)</f>
        <v>60</v>
      </c>
      <c r="K440" s="23">
        <f>IFERROR(__xludf.DUMMYFUNCTION("""COMPUTED_VALUE"""),7.0)</f>
        <v>7</v>
      </c>
      <c r="L440" s="24">
        <f>IFERROR(__xludf.DUMMYFUNCTION("""COMPUTED_VALUE"""),3.0)</f>
        <v>3</v>
      </c>
      <c r="M440" s="25" t="str">
        <f>IFERROR(__xludf.DUMMYFUNCTION("""COMPUTED_VALUE"""),"Action-Adventure")</f>
        <v>Action-Adventure</v>
      </c>
      <c r="N440" s="25"/>
      <c r="O440" s="25" t="str">
        <f>IFERROR(__xludf.DUMMYFUNCTION("""COMPUTED_VALUE"""),"Yes")</f>
        <v>Yes</v>
      </c>
      <c r="P440" s="26"/>
    </row>
    <row r="441">
      <c r="A441" s="13" t="str">
        <f>IFERROR(__xludf.DUMMYFUNCTION("""COMPUTED_VALUE"""),"Bus Simulator 21: Next Stop")</f>
        <v>Bus Simulator 21: Next Stop</v>
      </c>
      <c r="B441" s="15" t="str">
        <f>IFERROR(__xludf.DUMMYFUNCTION("""COMPUTED_VALUE"""),"PS5/PS4")</f>
        <v>PS5/PS4</v>
      </c>
      <c r="C441" s="16" t="str">
        <f>IFERROR(__xludf.DUMMYFUNCTION("""COMPUTED_VALUE"""),"Extra")</f>
        <v>Extra</v>
      </c>
      <c r="D441" s="15" t="str">
        <f>IFERROR(__xludf.DUMMYFUNCTION("""COMPUTED_VALUE"""),"Active")</f>
        <v>Active</v>
      </c>
      <c r="E441" s="17">
        <f>IFERROR(__xludf.DUMMYFUNCTION("""COMPUTED_VALUE"""),45062.0)</f>
        <v>45062</v>
      </c>
      <c r="F441" s="54"/>
      <c r="G441" s="19">
        <f>IFERROR(__xludf.DUMMYFUNCTION("""COMPUTED_VALUE"""),40.666666666666664)</f>
        <v>40.66666667</v>
      </c>
      <c r="H441" s="17">
        <f>IFERROR(__xludf.DUMMYFUNCTION("""COMPUTED_VALUE"""),44446.0)</f>
        <v>44446</v>
      </c>
      <c r="I441" s="19">
        <f>IFERROR(__xludf.DUMMYFUNCTION("""COMPUTED_VALUE"""),1.6916666666666667)</f>
        <v>1.691666667</v>
      </c>
      <c r="J441" s="21">
        <f>IFERROR(__xludf.DUMMYFUNCTION("""COMPUTED_VALUE"""),60.0)</f>
        <v>60</v>
      </c>
      <c r="K441" s="23">
        <f>IFERROR(__xludf.DUMMYFUNCTION("""COMPUTED_VALUE"""),4.5)</f>
        <v>4.5</v>
      </c>
      <c r="L441" s="24">
        <f>IFERROR(__xludf.DUMMYFUNCTION("""COMPUTED_VALUE"""),26.0)</f>
        <v>26</v>
      </c>
      <c r="M441" s="25" t="str">
        <f>IFERROR(__xludf.DUMMYFUNCTION("""COMPUTED_VALUE"""),"Simulation")</f>
        <v>Simulation</v>
      </c>
      <c r="N441" s="25"/>
      <c r="O441" s="25" t="str">
        <f>IFERROR(__xludf.DUMMYFUNCTION("""COMPUTED_VALUE"""),"Yes")</f>
        <v>Yes</v>
      </c>
      <c r="P441" s="26"/>
    </row>
    <row r="442">
      <c r="A442" s="13" t="str">
        <f>IFERROR(__xludf.DUMMYFUNCTION("""COMPUTED_VALUE"""),"Assassin's Creed Chronicles: Russia")</f>
        <v>Assassin's Creed Chronicles: Russia</v>
      </c>
      <c r="B442" s="15" t="str">
        <f>IFERROR(__xludf.DUMMYFUNCTION("""COMPUTED_VALUE"""),"PS4")</f>
        <v>PS4</v>
      </c>
      <c r="C442" s="16" t="str">
        <f>IFERROR(__xludf.DUMMYFUNCTION("""COMPUTED_VALUE"""),"Extra (Ubisoft+ Classics)")</f>
        <v>Extra (Ubisoft+ Classics)</v>
      </c>
      <c r="D442" s="15" t="str">
        <f>IFERROR(__xludf.DUMMYFUNCTION("""COMPUTED_VALUE"""),"Active")</f>
        <v>Active</v>
      </c>
      <c r="E442" s="17">
        <f>IFERROR(__xludf.DUMMYFUNCTION("""COMPUTED_VALUE"""),44852.0)</f>
        <v>44852</v>
      </c>
      <c r="F442" s="54"/>
      <c r="G442" s="19">
        <f>IFERROR(__xludf.DUMMYFUNCTION("""COMPUTED_VALUE"""),47.6)</f>
        <v>47.6</v>
      </c>
      <c r="H442" s="17">
        <f>IFERROR(__xludf.DUMMYFUNCTION("""COMPUTED_VALUE"""),42409.0)</f>
        <v>42409</v>
      </c>
      <c r="I442" s="19">
        <f>IFERROR(__xludf.DUMMYFUNCTION("""COMPUTED_VALUE"""),6.691666666666666)</f>
        <v>6.691666667</v>
      </c>
      <c r="J442" s="21">
        <f>IFERROR(__xludf.DUMMYFUNCTION("""COMPUTED_VALUE"""),60.0)</f>
        <v>60</v>
      </c>
      <c r="K442" s="23">
        <f>IFERROR(__xludf.DUMMYFUNCTION("""COMPUTED_VALUE"""),4.6)</f>
        <v>4.6</v>
      </c>
      <c r="L442" s="24">
        <f>IFERROR(__xludf.DUMMYFUNCTION("""COMPUTED_VALUE"""),6.5)</f>
        <v>6.5</v>
      </c>
      <c r="M442" s="25" t="str">
        <f>IFERROR(__xludf.DUMMYFUNCTION("""COMPUTED_VALUE"""),"Platformer")</f>
        <v>Platformer</v>
      </c>
      <c r="N442" s="25"/>
      <c r="O442" s="25" t="str">
        <f>IFERROR(__xludf.DUMMYFUNCTION("""COMPUTED_VALUE"""),"Yes")</f>
        <v>Yes</v>
      </c>
      <c r="P442" s="26"/>
    </row>
    <row r="443">
      <c r="A443" s="13" t="str">
        <f>IFERROR(__xludf.DUMMYFUNCTION("""COMPUTED_VALUE"""),"Alex Kidd in Miracle World DX")</f>
        <v>Alex Kidd in Miracle World DX</v>
      </c>
      <c r="B443" s="15" t="str">
        <f>IFERROR(__xludf.DUMMYFUNCTION("""COMPUTED_VALUE"""),"PS5/PS4")</f>
        <v>PS5/PS4</v>
      </c>
      <c r="C443" s="16" t="str">
        <f>IFERROR(__xludf.DUMMYFUNCTION("""COMPUTED_VALUE"""),"Extra")</f>
        <v>Extra</v>
      </c>
      <c r="D443" s="15" t="str">
        <f>IFERROR(__xludf.DUMMYFUNCTION("""COMPUTED_VALUE"""),"Active")</f>
        <v>Active</v>
      </c>
      <c r="E443" s="17">
        <f>IFERROR(__xludf.DUMMYFUNCTION("""COMPUTED_VALUE"""),44824.0)</f>
        <v>44824</v>
      </c>
      <c r="F443" s="54"/>
      <c r="G443" s="19">
        <f>IFERROR(__xludf.DUMMYFUNCTION("""COMPUTED_VALUE"""),48.53333333333333)</f>
        <v>48.53333333</v>
      </c>
      <c r="H443" s="17">
        <f>IFERROR(__xludf.DUMMYFUNCTION("""COMPUTED_VALUE"""),44369.0)</f>
        <v>44369</v>
      </c>
      <c r="I443" s="19">
        <f>IFERROR(__xludf.DUMMYFUNCTION("""COMPUTED_VALUE"""),1.2444444444444445)</f>
        <v>1.244444444</v>
      </c>
      <c r="J443" s="21">
        <f>IFERROR(__xludf.DUMMYFUNCTION("""COMPUTED_VALUE"""),60.0)</f>
        <v>60</v>
      </c>
      <c r="K443" s="23">
        <f>IFERROR(__xludf.DUMMYFUNCTION("""COMPUTED_VALUE"""),6.5)</f>
        <v>6.5</v>
      </c>
      <c r="L443" s="24">
        <f>IFERROR(__xludf.DUMMYFUNCTION("""COMPUTED_VALUE"""),2.5)</f>
        <v>2.5</v>
      </c>
      <c r="M443" s="25" t="str">
        <f>IFERROR(__xludf.DUMMYFUNCTION("""COMPUTED_VALUE"""),"Platformer")</f>
        <v>Platformer</v>
      </c>
      <c r="N443" s="25"/>
      <c r="O443" s="25" t="str">
        <f>IFERROR(__xludf.DUMMYFUNCTION("""COMPUTED_VALUE"""),"Yes")</f>
        <v>Yes</v>
      </c>
      <c r="P443" s="26"/>
    </row>
    <row r="444">
      <c r="A444" s="13" t="str">
        <f>IFERROR(__xludf.DUMMYFUNCTION("""COMPUTED_VALUE"""),"Paw Patrol: On a Roll!")</f>
        <v>Paw Patrol: On a Roll!</v>
      </c>
      <c r="B444" s="15" t="str">
        <f>IFERROR(__xludf.DUMMYFUNCTION("""COMPUTED_VALUE"""),"PS4")</f>
        <v>PS4</v>
      </c>
      <c r="C444" s="16" t="str">
        <f>IFERROR(__xludf.DUMMYFUNCTION("""COMPUTED_VALUE"""),"Extra")</f>
        <v>Extra</v>
      </c>
      <c r="D444" s="15" t="str">
        <f>IFERROR(__xludf.DUMMYFUNCTION("""COMPUTED_VALUE"""),"Active")</f>
        <v>Active</v>
      </c>
      <c r="E444" s="17">
        <f>IFERROR(__xludf.DUMMYFUNCTION("""COMPUTED_VALUE"""),44761.0)</f>
        <v>44761</v>
      </c>
      <c r="F444" s="54"/>
      <c r="G444" s="19">
        <f>IFERROR(__xludf.DUMMYFUNCTION("""COMPUTED_VALUE"""),50.56666666666666)</f>
        <v>50.56666667</v>
      </c>
      <c r="H444" s="17">
        <f>IFERROR(__xludf.DUMMYFUNCTION("""COMPUTED_VALUE"""),43369.0)</f>
        <v>43369</v>
      </c>
      <c r="I444" s="19">
        <f>IFERROR(__xludf.DUMMYFUNCTION("""COMPUTED_VALUE"""),3.813888888888889)</f>
        <v>3.813888889</v>
      </c>
      <c r="J444" s="21">
        <f>IFERROR(__xludf.DUMMYFUNCTION("""COMPUTED_VALUE"""),60.0)</f>
        <v>60</v>
      </c>
      <c r="K444" s="23">
        <f>IFERROR(__xludf.DUMMYFUNCTION("""COMPUTED_VALUE"""),5.9)</f>
        <v>5.9</v>
      </c>
      <c r="L444" s="24">
        <f>IFERROR(__xludf.DUMMYFUNCTION("""COMPUTED_VALUE"""),5.0)</f>
        <v>5</v>
      </c>
      <c r="M444" s="25" t="str">
        <f>IFERROR(__xludf.DUMMYFUNCTION("""COMPUTED_VALUE"""),"Action-Adventure")</f>
        <v>Action-Adventure</v>
      </c>
      <c r="N444" s="25"/>
      <c r="O444" s="25" t="str">
        <f>IFERROR(__xludf.DUMMYFUNCTION("""COMPUTED_VALUE"""),"Yes")</f>
        <v>Yes</v>
      </c>
      <c r="P444" s="26"/>
    </row>
    <row r="445">
      <c r="A445" s="13" t="str">
        <f>IFERROR(__xludf.DUMMYFUNCTION("""COMPUTED_VALUE"""),"Bee Simulator")</f>
        <v>Bee Simulator</v>
      </c>
      <c r="B445" s="15" t="str">
        <f>IFERROR(__xludf.DUMMYFUNCTION("""COMPUTED_VALUE"""),"PS4")</f>
        <v>PS4</v>
      </c>
      <c r="C445" s="16" t="str">
        <f>IFERROR(__xludf.DUMMYFUNCTION("""COMPUTED_VALUE"""),"Extra")</f>
        <v>Extra</v>
      </c>
      <c r="D445" s="15" t="str">
        <f>IFERROR(__xludf.DUMMYFUNCTION("""COMPUTED_VALUE"""),"Active")</f>
        <v>Active</v>
      </c>
      <c r="E445" s="17">
        <f>IFERROR(__xludf.DUMMYFUNCTION("""COMPUTED_VALUE"""),44725.0)</f>
        <v>44725</v>
      </c>
      <c r="F445" s="54"/>
      <c r="G445" s="19">
        <f>IFERROR(__xludf.DUMMYFUNCTION("""COMPUTED_VALUE"""),51.766666666666666)</f>
        <v>51.76666667</v>
      </c>
      <c r="H445" s="17">
        <f>IFERROR(__xludf.DUMMYFUNCTION("""COMPUTED_VALUE"""),43781.0)</f>
        <v>43781</v>
      </c>
      <c r="I445" s="19">
        <f>IFERROR(__xludf.DUMMYFUNCTION("""COMPUTED_VALUE"""),2.5861111111111112)</f>
        <v>2.586111111</v>
      </c>
      <c r="J445" s="21">
        <f>IFERROR(__xludf.DUMMYFUNCTION("""COMPUTED_VALUE"""),60.0)</f>
        <v>60</v>
      </c>
      <c r="K445" s="23">
        <f>IFERROR(__xludf.DUMMYFUNCTION("""COMPUTED_VALUE"""),5.6)</f>
        <v>5.6</v>
      </c>
      <c r="L445" s="24">
        <f>IFERROR(__xludf.DUMMYFUNCTION("""COMPUTED_VALUE"""),2.5)</f>
        <v>2.5</v>
      </c>
      <c r="M445" s="25" t="str">
        <f>IFERROR(__xludf.DUMMYFUNCTION("""COMPUTED_VALUE"""),"Simulation")</f>
        <v>Simulation</v>
      </c>
      <c r="N445" s="25"/>
      <c r="O445" s="25" t="str">
        <f>IFERROR(__xludf.DUMMYFUNCTION("""COMPUTED_VALUE"""),"Yes")</f>
        <v>Yes</v>
      </c>
      <c r="P445" s="26" t="str">
        <f>IFERROR(__xludf.DUMMYFUNCTION("""COMPUTED_VALUE"""),"Yes")</f>
        <v>Yes</v>
      </c>
    </row>
    <row r="446">
      <c r="A446" s="13" t="str">
        <f>IFERROR(__xludf.DUMMYFUNCTION("""COMPUTED_VALUE"""),"Skull and Bones")</f>
        <v>Skull and Bones</v>
      </c>
      <c r="B446" s="15" t="str">
        <f>IFERROR(__xludf.DUMMYFUNCTION("""COMPUTED_VALUE"""),"PS5")</f>
        <v>PS5</v>
      </c>
      <c r="C446" s="16" t="str">
        <f>IFERROR(__xludf.DUMMYFUNCTION("""COMPUTED_VALUE"""),"Extra (Ubisoft+ Classics)")</f>
        <v>Extra (Ubisoft+ Classics)</v>
      </c>
      <c r="D446" s="15" t="str">
        <f>IFERROR(__xludf.DUMMYFUNCTION("""COMPUTED_VALUE"""),"Active")</f>
        <v>Active</v>
      </c>
      <c r="E446" s="17">
        <f>IFERROR(__xludf.DUMMYFUNCTION("""COMPUTED_VALUE"""),45810.0)</f>
        <v>45810</v>
      </c>
      <c r="F446" s="54"/>
      <c r="G446" s="19">
        <f>IFERROR(__xludf.DUMMYFUNCTION("""COMPUTED_VALUE"""),16.133333333333333)</f>
        <v>16.13333333</v>
      </c>
      <c r="H446" s="17">
        <f>IFERROR(__xludf.DUMMYFUNCTION("""COMPUTED_VALUE"""),45338.0)</f>
        <v>45338</v>
      </c>
      <c r="I446" s="19">
        <f>IFERROR(__xludf.DUMMYFUNCTION("""COMPUTED_VALUE"""),1.2944444444444445)</f>
        <v>1.294444444</v>
      </c>
      <c r="J446" s="21">
        <f>IFERROR(__xludf.DUMMYFUNCTION("""COMPUTED_VALUE"""),59.0)</f>
        <v>59</v>
      </c>
      <c r="K446" s="23">
        <f>IFERROR(__xludf.DUMMYFUNCTION("""COMPUTED_VALUE"""),3.3)</f>
        <v>3.3</v>
      </c>
      <c r="L446" s="24">
        <f>IFERROR(__xludf.DUMMYFUNCTION("""COMPUTED_VALUE"""),32.0)</f>
        <v>32</v>
      </c>
      <c r="M446" s="25" t="str">
        <f>IFERROR(__xludf.DUMMYFUNCTION("""COMPUTED_VALUE"""),"Action-Adventure")</f>
        <v>Action-Adventure</v>
      </c>
      <c r="N446" s="25"/>
      <c r="O446" s="25" t="str">
        <f>IFERROR(__xludf.DUMMYFUNCTION("""COMPUTED_VALUE"""),"No")</f>
        <v>No</v>
      </c>
      <c r="P446" s="26"/>
    </row>
    <row r="447">
      <c r="A447" s="13" t="str">
        <f>IFERROR(__xludf.DUMMYFUNCTION("""COMPUTED_VALUE"""),"Rain World")</f>
        <v>Rain World</v>
      </c>
      <c r="B447" s="15" t="str">
        <f>IFERROR(__xludf.DUMMYFUNCTION("""COMPUTED_VALUE"""),"PS4")</f>
        <v>PS4</v>
      </c>
      <c r="C447" s="16" t="str">
        <f>IFERROR(__xludf.DUMMYFUNCTION("""COMPUTED_VALUE"""),"Extra")</f>
        <v>Extra</v>
      </c>
      <c r="D447" s="15" t="str">
        <f>IFERROR(__xludf.DUMMYFUNCTION("""COMPUTED_VALUE"""),"Active")</f>
        <v>Active</v>
      </c>
      <c r="E447" s="17">
        <f>IFERROR(__xludf.DUMMYFUNCTION("""COMPUTED_VALUE"""),45062.0)</f>
        <v>45062</v>
      </c>
      <c r="F447" s="54"/>
      <c r="G447" s="19">
        <f>IFERROR(__xludf.DUMMYFUNCTION("""COMPUTED_VALUE"""),40.666666666666664)</f>
        <v>40.66666667</v>
      </c>
      <c r="H447" s="17">
        <f>IFERROR(__xludf.DUMMYFUNCTION("""COMPUTED_VALUE"""),42822.0)</f>
        <v>42822</v>
      </c>
      <c r="I447" s="19">
        <f>IFERROR(__xludf.DUMMYFUNCTION("""COMPUTED_VALUE"""),6.133333333333334)</f>
        <v>6.133333333</v>
      </c>
      <c r="J447" s="21">
        <f>IFERROR(__xludf.DUMMYFUNCTION("""COMPUTED_VALUE"""),59.0)</f>
        <v>59</v>
      </c>
      <c r="K447" s="23">
        <f>IFERROR(__xludf.DUMMYFUNCTION("""COMPUTED_VALUE"""),7.2)</f>
        <v>7.2</v>
      </c>
      <c r="L447" s="24">
        <f>IFERROR(__xludf.DUMMYFUNCTION("""COMPUTED_VALUE"""),22.0)</f>
        <v>22</v>
      </c>
      <c r="M447" s="25" t="str">
        <f>IFERROR(__xludf.DUMMYFUNCTION("""COMPUTED_VALUE"""),"Platformer")</f>
        <v>Platformer</v>
      </c>
      <c r="N447" s="25"/>
      <c r="O447" s="25" t="str">
        <f>IFERROR(__xludf.DUMMYFUNCTION("""COMPUTED_VALUE"""),"Yes")</f>
        <v>Yes</v>
      </c>
      <c r="P447" s="26"/>
    </row>
    <row r="448">
      <c r="A448" s="13" t="str">
        <f>IFERROR(__xludf.DUMMYFUNCTION("""COMPUTED_VALUE"""),"Tennis World Tour 2")</f>
        <v>Tennis World Tour 2</v>
      </c>
      <c r="B448" s="15" t="str">
        <f>IFERROR(__xludf.DUMMYFUNCTION("""COMPUTED_VALUE"""),"PS5/PS4")</f>
        <v>PS5/PS4</v>
      </c>
      <c r="C448" s="16" t="str">
        <f>IFERROR(__xludf.DUMMYFUNCTION("""COMPUTED_VALUE"""),"Extra")</f>
        <v>Extra</v>
      </c>
      <c r="D448" s="15" t="str">
        <f>IFERROR(__xludf.DUMMYFUNCTION("""COMPUTED_VALUE"""),"Active")</f>
        <v>Active</v>
      </c>
      <c r="E448" s="17">
        <f>IFERROR(__xludf.DUMMYFUNCTION("""COMPUTED_VALUE"""),44725.0)</f>
        <v>44725</v>
      </c>
      <c r="F448" s="54"/>
      <c r="G448" s="19">
        <f>IFERROR(__xludf.DUMMYFUNCTION("""COMPUTED_VALUE"""),51.766666666666666)</f>
        <v>51.76666667</v>
      </c>
      <c r="H448" s="17">
        <f>IFERROR(__xludf.DUMMYFUNCTION("""COMPUTED_VALUE"""),43242.0)</f>
        <v>43242</v>
      </c>
      <c r="I448" s="19">
        <f>IFERROR(__xludf.DUMMYFUNCTION("""COMPUTED_VALUE"""),4.058333333333334)</f>
        <v>4.058333333</v>
      </c>
      <c r="J448" s="21">
        <f>IFERROR(__xludf.DUMMYFUNCTION("""COMPUTED_VALUE"""),59.0)</f>
        <v>59</v>
      </c>
      <c r="K448" s="23">
        <f>IFERROR(__xludf.DUMMYFUNCTION("""COMPUTED_VALUE"""),3.0)</f>
        <v>3</v>
      </c>
      <c r="L448" s="24">
        <f>IFERROR(__xludf.DUMMYFUNCTION("""COMPUTED_VALUE"""),10.0)</f>
        <v>10</v>
      </c>
      <c r="M448" s="25" t="str">
        <f>IFERROR(__xludf.DUMMYFUNCTION("""COMPUTED_VALUE"""),"Sports")</f>
        <v>Sports</v>
      </c>
      <c r="N448" s="25"/>
      <c r="O448" s="25" t="str">
        <f>IFERROR(__xludf.DUMMYFUNCTION("""COMPUTED_VALUE"""),"Yes")</f>
        <v>Yes</v>
      </c>
      <c r="P448" s="26" t="str">
        <f>IFERROR(__xludf.DUMMYFUNCTION("""COMPUTED_VALUE"""),"Yes")</f>
        <v>Yes</v>
      </c>
    </row>
    <row r="449">
      <c r="A449" s="13" t="str">
        <f>IFERROR(__xludf.DUMMYFUNCTION("""COMPUTED_VALUE"""),"Dark Rose Valkyrie")</f>
        <v>Dark Rose Valkyrie</v>
      </c>
      <c r="B449" s="15" t="str">
        <f>IFERROR(__xludf.DUMMYFUNCTION("""COMPUTED_VALUE"""),"PS4")</f>
        <v>PS4</v>
      </c>
      <c r="C449" s="16" t="str">
        <f>IFERROR(__xludf.DUMMYFUNCTION("""COMPUTED_VALUE"""),"Extra")</f>
        <v>Extra</v>
      </c>
      <c r="D449" s="15" t="str">
        <f>IFERROR(__xludf.DUMMYFUNCTION("""COMPUTED_VALUE"""),"Active")</f>
        <v>Active</v>
      </c>
      <c r="E449" s="17">
        <f>IFERROR(__xludf.DUMMYFUNCTION("""COMPUTED_VALUE"""),44725.0)</f>
        <v>44725</v>
      </c>
      <c r="F449" s="54"/>
      <c r="G449" s="19">
        <f>IFERROR(__xludf.DUMMYFUNCTION("""COMPUTED_VALUE"""),51.766666666666666)</f>
        <v>51.76666667</v>
      </c>
      <c r="H449" s="17">
        <f>IFERROR(__xludf.DUMMYFUNCTION("""COMPUTED_VALUE"""),42887.0)</f>
        <v>42887</v>
      </c>
      <c r="I449" s="19">
        <f>IFERROR(__xludf.DUMMYFUNCTION("""COMPUTED_VALUE"""),5.033333333333333)</f>
        <v>5.033333333</v>
      </c>
      <c r="J449" s="21">
        <f>IFERROR(__xludf.DUMMYFUNCTION("""COMPUTED_VALUE"""),59.0)</f>
        <v>59</v>
      </c>
      <c r="K449" s="23">
        <f>IFERROR(__xludf.DUMMYFUNCTION("""COMPUTED_VALUE"""),5.7)</f>
        <v>5.7</v>
      </c>
      <c r="L449" s="24">
        <f>IFERROR(__xludf.DUMMYFUNCTION("""COMPUTED_VALUE"""),33.5)</f>
        <v>33.5</v>
      </c>
      <c r="M449" s="25" t="str">
        <f>IFERROR(__xludf.DUMMYFUNCTION("""COMPUTED_VALUE"""),"RPG")</f>
        <v>RPG</v>
      </c>
      <c r="N449" s="25"/>
      <c r="O449" s="25" t="str">
        <f>IFERROR(__xludf.DUMMYFUNCTION("""COMPUTED_VALUE"""),"Yes")</f>
        <v>Yes</v>
      </c>
      <c r="P449" s="26"/>
    </row>
    <row r="450">
      <c r="A450" s="13" t="str">
        <f>IFERROR(__xludf.DUMMYFUNCTION("""COMPUTED_VALUE"""),"Omega Quintet")</f>
        <v>Omega Quintet</v>
      </c>
      <c r="B450" s="15" t="str">
        <f>IFERROR(__xludf.DUMMYFUNCTION("""COMPUTED_VALUE"""),"PS4")</f>
        <v>PS4</v>
      </c>
      <c r="C450" s="16" t="str">
        <f>IFERROR(__xludf.DUMMYFUNCTION("""COMPUTED_VALUE"""),"Extra")</f>
        <v>Extra</v>
      </c>
      <c r="D450" s="15" t="str">
        <f>IFERROR(__xludf.DUMMYFUNCTION("""COMPUTED_VALUE"""),"Active")</f>
        <v>Active</v>
      </c>
      <c r="E450" s="17">
        <f>IFERROR(__xludf.DUMMYFUNCTION("""COMPUTED_VALUE"""),44725.0)</f>
        <v>44725</v>
      </c>
      <c r="F450" s="54"/>
      <c r="G450" s="19">
        <f>IFERROR(__xludf.DUMMYFUNCTION("""COMPUTED_VALUE"""),51.766666666666666)</f>
        <v>51.76666667</v>
      </c>
      <c r="H450" s="17">
        <f>IFERROR(__xludf.DUMMYFUNCTION("""COMPUTED_VALUE"""),42122.0)</f>
        <v>42122</v>
      </c>
      <c r="I450" s="19">
        <f>IFERROR(__xludf.DUMMYFUNCTION("""COMPUTED_VALUE"""),7.125)</f>
        <v>7.125</v>
      </c>
      <c r="J450" s="21">
        <f>IFERROR(__xludf.DUMMYFUNCTION("""COMPUTED_VALUE"""),59.0)</f>
        <v>59</v>
      </c>
      <c r="K450" s="23">
        <f>IFERROR(__xludf.DUMMYFUNCTION("""COMPUTED_VALUE"""),7.2)</f>
        <v>7.2</v>
      </c>
      <c r="L450" s="24">
        <f>IFERROR(__xludf.DUMMYFUNCTION("""COMPUTED_VALUE"""),35.0)</f>
        <v>35</v>
      </c>
      <c r="M450" s="25" t="str">
        <f>IFERROR(__xludf.DUMMYFUNCTION("""COMPUTED_VALUE"""),"RPG")</f>
        <v>RPG</v>
      </c>
      <c r="N450" s="25"/>
      <c r="O450" s="25" t="str">
        <f>IFERROR(__xludf.DUMMYFUNCTION("""COMPUTED_VALUE"""),"Yes")</f>
        <v>Yes</v>
      </c>
      <c r="P450" s="26"/>
    </row>
    <row r="451">
      <c r="A451" s="13" t="str">
        <f>IFERROR(__xludf.DUMMYFUNCTION("""COMPUTED_VALUE"""),"Shadow of the Beast")</f>
        <v>Shadow of the Beast</v>
      </c>
      <c r="B451" s="15" t="str">
        <f>IFERROR(__xludf.DUMMYFUNCTION("""COMPUTED_VALUE"""),"PS4")</f>
        <v>PS4</v>
      </c>
      <c r="C451" s="16" t="str">
        <f>IFERROR(__xludf.DUMMYFUNCTION("""COMPUTED_VALUE"""),"Extra")</f>
        <v>Extra</v>
      </c>
      <c r="D451" s="15" t="str">
        <f>IFERROR(__xludf.DUMMYFUNCTION("""COMPUTED_VALUE"""),"Active")</f>
        <v>Active</v>
      </c>
      <c r="E451" s="17">
        <f>IFERROR(__xludf.DUMMYFUNCTION("""COMPUTED_VALUE"""),42922.0)</f>
        <v>42922</v>
      </c>
      <c r="F451" s="54"/>
      <c r="G451" s="19">
        <f>IFERROR(__xludf.DUMMYFUNCTION("""COMPUTED_VALUE"""),111.0)</f>
        <v>111</v>
      </c>
      <c r="H451" s="17">
        <f>IFERROR(__xludf.DUMMYFUNCTION("""COMPUTED_VALUE"""),42507.0)</f>
        <v>42507</v>
      </c>
      <c r="I451" s="19">
        <f>IFERROR(__xludf.DUMMYFUNCTION("""COMPUTED_VALUE"""),1.136111111111111)</f>
        <v>1.136111111</v>
      </c>
      <c r="J451" s="21">
        <f>IFERROR(__xludf.DUMMYFUNCTION("""COMPUTED_VALUE"""),59.0)</f>
        <v>59</v>
      </c>
      <c r="K451" s="23">
        <f>IFERROR(__xludf.DUMMYFUNCTION("""COMPUTED_VALUE"""),6.0)</f>
        <v>6</v>
      </c>
      <c r="L451" s="24">
        <f>IFERROR(__xludf.DUMMYFUNCTION("""COMPUTED_VALUE"""),5.0)</f>
        <v>5</v>
      </c>
      <c r="M451" s="25" t="str">
        <f>IFERROR(__xludf.DUMMYFUNCTION("""COMPUTED_VALUE"""),"Action-Adventure")</f>
        <v>Action-Adventure</v>
      </c>
      <c r="N451" s="25"/>
      <c r="O451" s="25" t="str">
        <f>IFERROR(__xludf.DUMMYFUNCTION("""COMPUTED_VALUE"""),"Yes")</f>
        <v>Yes</v>
      </c>
      <c r="P451" s="26"/>
    </row>
    <row r="452">
      <c r="A452" s="13" t="str">
        <f>IFERROR(__xludf.DUMMYFUNCTION("""COMPUTED_VALUE"""),"Hungry Shark World")</f>
        <v>Hungry Shark World</v>
      </c>
      <c r="B452" s="15" t="str">
        <f>IFERROR(__xludf.DUMMYFUNCTION("""COMPUTED_VALUE"""),"PS4")</f>
        <v>PS4</v>
      </c>
      <c r="C452" s="16" t="str">
        <f>IFERROR(__xludf.DUMMYFUNCTION("""COMPUTED_VALUE"""),"Extra")</f>
        <v>Extra</v>
      </c>
      <c r="D452" s="15" t="str">
        <f>IFERROR(__xludf.DUMMYFUNCTION("""COMPUTED_VALUE"""),"Active")</f>
        <v>Active</v>
      </c>
      <c r="E452" s="17">
        <f>IFERROR(__xludf.DUMMYFUNCTION("""COMPUTED_VALUE"""),45615.0)</f>
        <v>45615</v>
      </c>
      <c r="F452" s="54"/>
      <c r="G452" s="19">
        <f>IFERROR(__xludf.DUMMYFUNCTION("""COMPUTED_VALUE"""),22.566666666666666)</f>
        <v>22.56666667</v>
      </c>
      <c r="H452" s="17">
        <f>IFERROR(__xludf.DUMMYFUNCTION("""COMPUTED_VALUE"""),43298.0)</f>
        <v>43298</v>
      </c>
      <c r="I452" s="19">
        <f>IFERROR(__xludf.DUMMYFUNCTION("""COMPUTED_VALUE"""),6.338888888888889)</f>
        <v>6.338888889</v>
      </c>
      <c r="J452" s="21">
        <f>IFERROR(__xludf.DUMMYFUNCTION("""COMPUTED_VALUE"""),58.0)</f>
        <v>58</v>
      </c>
      <c r="K452" s="23">
        <f>IFERROR(__xludf.DUMMYFUNCTION("""COMPUTED_VALUE"""),8.2)</f>
        <v>8.2</v>
      </c>
      <c r="L452" s="24">
        <f>IFERROR(__xludf.DUMMYFUNCTION("""COMPUTED_VALUE"""),25.0)</f>
        <v>25</v>
      </c>
      <c r="M452" s="25" t="str">
        <f>IFERROR(__xludf.DUMMYFUNCTION("""COMPUTED_VALUE"""),"Action-Adventure")</f>
        <v>Action-Adventure</v>
      </c>
      <c r="N452" s="25"/>
      <c r="O452" s="25" t="str">
        <f>IFERROR(__xludf.DUMMYFUNCTION("""COMPUTED_VALUE"""),"Yes")</f>
        <v>Yes</v>
      </c>
      <c r="P452" s="26"/>
    </row>
    <row r="453">
      <c r="A453" s="13" t="str">
        <f>IFERROR(__xludf.DUMMYFUNCTION("""COMPUTED_VALUE"""),"Police Simulator: Patrol Officers")</f>
        <v>Police Simulator: Patrol Officers</v>
      </c>
      <c r="B453" s="15" t="str">
        <f>IFERROR(__xludf.DUMMYFUNCTION("""COMPUTED_VALUE"""),"PS5/PS4")</f>
        <v>PS5/PS4</v>
      </c>
      <c r="C453" s="16" t="str">
        <f>IFERROR(__xludf.DUMMYFUNCTION("""COMPUTED_VALUE"""),"Extra")</f>
        <v>Extra</v>
      </c>
      <c r="D453" s="15" t="str">
        <f>IFERROR(__xludf.DUMMYFUNCTION("""COMPUTED_VALUE"""),"Active")</f>
        <v>Active</v>
      </c>
      <c r="E453" s="17">
        <f>IFERROR(__xludf.DUMMYFUNCTION("""COMPUTED_VALUE"""),45461.0)</f>
        <v>45461</v>
      </c>
      <c r="F453" s="54"/>
      <c r="G453" s="19">
        <f>IFERROR(__xludf.DUMMYFUNCTION("""COMPUTED_VALUE"""),27.599999999999998)</f>
        <v>27.6</v>
      </c>
      <c r="H453" s="17">
        <f>IFERROR(__xludf.DUMMYFUNCTION("""COMPUTED_VALUE"""),44875.0)</f>
        <v>44875</v>
      </c>
      <c r="I453" s="19">
        <f>IFERROR(__xludf.DUMMYFUNCTION("""COMPUTED_VALUE"""),1.6055555555555556)</f>
        <v>1.605555556</v>
      </c>
      <c r="J453" s="21">
        <f>IFERROR(__xludf.DUMMYFUNCTION("""COMPUTED_VALUE"""),58.0)</f>
        <v>58</v>
      </c>
      <c r="K453" s="23">
        <f>IFERROR(__xludf.DUMMYFUNCTION("""COMPUTED_VALUE"""),6.3)</f>
        <v>6.3</v>
      </c>
      <c r="L453" s="24">
        <f>IFERROR(__xludf.DUMMYFUNCTION("""COMPUTED_VALUE"""),28.0)</f>
        <v>28</v>
      </c>
      <c r="M453" s="25" t="str">
        <f>IFERROR(__xludf.DUMMYFUNCTION("""COMPUTED_VALUE"""),"Simulation")</f>
        <v>Simulation</v>
      </c>
      <c r="N453" s="25"/>
      <c r="O453" s="25" t="str">
        <f>IFERROR(__xludf.DUMMYFUNCTION("""COMPUTED_VALUE"""),"Yes")</f>
        <v>Yes</v>
      </c>
      <c r="P453" s="26"/>
    </row>
    <row r="454">
      <c r="A454" s="13" t="str">
        <f>IFERROR(__xludf.DUMMYFUNCTION("""COMPUTED_VALUE"""),"Knack")</f>
        <v>Knack</v>
      </c>
      <c r="B454" s="15" t="str">
        <f>IFERROR(__xludf.DUMMYFUNCTION("""COMPUTED_VALUE"""),"PS4")</f>
        <v>PS4</v>
      </c>
      <c r="C454" s="16" t="str">
        <f>IFERROR(__xludf.DUMMYFUNCTION("""COMPUTED_VALUE"""),"Extra")</f>
        <v>Extra</v>
      </c>
      <c r="D454" s="15" t="str">
        <f>IFERROR(__xludf.DUMMYFUNCTION("""COMPUTED_VALUE"""),"Active")</f>
        <v>Active</v>
      </c>
      <c r="E454" s="17">
        <f>IFERROR(__xludf.DUMMYFUNCTION("""COMPUTED_VALUE"""),43109.0)</f>
        <v>43109</v>
      </c>
      <c r="F454" s="54"/>
      <c r="G454" s="19">
        <f>IFERROR(__xludf.DUMMYFUNCTION("""COMPUTED_VALUE"""),104.9)</f>
        <v>104.9</v>
      </c>
      <c r="H454" s="17">
        <f>IFERROR(__xludf.DUMMYFUNCTION("""COMPUTED_VALUE"""),41579.0)</f>
        <v>41579</v>
      </c>
      <c r="I454" s="19">
        <f>IFERROR(__xludf.DUMMYFUNCTION("""COMPUTED_VALUE"""),4.188888888888889)</f>
        <v>4.188888889</v>
      </c>
      <c r="J454" s="21">
        <f>IFERROR(__xludf.DUMMYFUNCTION("""COMPUTED_VALUE"""),58.0)</f>
        <v>58</v>
      </c>
      <c r="K454" s="23">
        <f>IFERROR(__xludf.DUMMYFUNCTION("""COMPUTED_VALUE"""),6.8)</f>
        <v>6.8</v>
      </c>
      <c r="L454" s="24">
        <f>IFERROR(__xludf.DUMMYFUNCTION("""COMPUTED_VALUE"""),10.5)</f>
        <v>10.5</v>
      </c>
      <c r="M454" s="25" t="str">
        <f>IFERROR(__xludf.DUMMYFUNCTION("""COMPUTED_VALUE"""),"Platformer")</f>
        <v>Platformer</v>
      </c>
      <c r="N454" s="25"/>
      <c r="O454" s="25" t="str">
        <f>IFERROR(__xludf.DUMMYFUNCTION("""COMPUTED_VALUE"""),"Yes")</f>
        <v>Yes</v>
      </c>
      <c r="P454" s="26" t="str">
        <f>IFERROR(__xludf.DUMMYFUNCTION("""COMPUTED_VALUE"""),"Yes")</f>
        <v>Yes</v>
      </c>
    </row>
    <row r="455">
      <c r="A455" s="13" t="str">
        <f>IFERROR(__xludf.DUMMYFUNCTION("""COMPUTED_VALUE"""),"Cricket 24")</f>
        <v>Cricket 24</v>
      </c>
      <c r="B455" s="15" t="str">
        <f>IFERROR(__xludf.DUMMYFUNCTION("""COMPUTED_VALUE"""),"PS5/PS4")</f>
        <v>PS5/PS4</v>
      </c>
      <c r="C455" s="16" t="str">
        <f>IFERROR(__xludf.DUMMYFUNCTION("""COMPUTED_VALUE"""),"Extra")</f>
        <v>Extra</v>
      </c>
      <c r="D455" s="15" t="str">
        <f>IFERROR(__xludf.DUMMYFUNCTION("""COMPUTED_VALUE"""),"Active")</f>
        <v>Active</v>
      </c>
      <c r="E455" s="17">
        <f>IFERROR(__xludf.DUMMYFUNCTION("""COMPUTED_VALUE"""),45448.0)</f>
        <v>45448</v>
      </c>
      <c r="F455" s="54"/>
      <c r="G455" s="19">
        <f>IFERROR(__xludf.DUMMYFUNCTION("""COMPUTED_VALUE"""),28.033333333333335)</f>
        <v>28.03333333</v>
      </c>
      <c r="H455" s="17">
        <f>IFERROR(__xludf.DUMMYFUNCTION("""COMPUTED_VALUE"""),45204.0)</f>
        <v>45204</v>
      </c>
      <c r="I455" s="19">
        <f>IFERROR(__xludf.DUMMYFUNCTION("""COMPUTED_VALUE"""),0.6666666666666666)</f>
        <v>0.6666666667</v>
      </c>
      <c r="J455" s="21">
        <f>IFERROR(__xludf.DUMMYFUNCTION("""COMPUTED_VALUE"""),57.0)</f>
        <v>57</v>
      </c>
      <c r="K455" s="23">
        <f>IFERROR(__xludf.DUMMYFUNCTION("""COMPUTED_VALUE"""),5.1)</f>
        <v>5.1</v>
      </c>
      <c r="L455" s="24">
        <f>IFERROR(__xludf.DUMMYFUNCTION("""COMPUTED_VALUE"""),12.0)</f>
        <v>12</v>
      </c>
      <c r="M455" s="25" t="str">
        <f>IFERROR(__xludf.DUMMYFUNCTION("""COMPUTED_VALUE"""),"Sports")</f>
        <v>Sports</v>
      </c>
      <c r="N455" s="25"/>
      <c r="O455" s="25" t="str">
        <f>IFERROR(__xludf.DUMMYFUNCTION("""COMPUTED_VALUE"""),"Yes")</f>
        <v>Yes</v>
      </c>
      <c r="P455" s="26"/>
    </row>
    <row r="456">
      <c r="A456" s="13" t="str">
        <f>IFERROR(__xludf.DUMMYFUNCTION("""COMPUTED_VALUE"""),"ReadySet Heroes")</f>
        <v>ReadySet Heroes</v>
      </c>
      <c r="B456" s="15" t="str">
        <f>IFERROR(__xludf.DUMMYFUNCTION("""COMPUTED_VALUE"""),"PS4")</f>
        <v>PS4</v>
      </c>
      <c r="C456" s="16" t="str">
        <f>IFERROR(__xludf.DUMMYFUNCTION("""COMPUTED_VALUE"""),"Extra")</f>
        <v>Extra</v>
      </c>
      <c r="D456" s="15" t="str">
        <f>IFERROR(__xludf.DUMMYFUNCTION("""COMPUTED_VALUE"""),"Active")</f>
        <v>Active</v>
      </c>
      <c r="E456" s="17">
        <f>IFERROR(__xludf.DUMMYFUNCTION("""COMPUTED_VALUE"""),44761.0)</f>
        <v>44761</v>
      </c>
      <c r="F456" s="54"/>
      <c r="G456" s="19">
        <f>IFERROR(__xludf.DUMMYFUNCTION("""COMPUTED_VALUE"""),50.56666666666666)</f>
        <v>50.56666667</v>
      </c>
      <c r="H456" s="17">
        <f>IFERROR(__xludf.DUMMYFUNCTION("""COMPUTED_VALUE"""),43739.0)</f>
        <v>43739</v>
      </c>
      <c r="I456" s="19">
        <f>IFERROR(__xludf.DUMMYFUNCTION("""COMPUTED_VALUE"""),2.8)</f>
        <v>2.8</v>
      </c>
      <c r="J456" s="21">
        <f>IFERROR(__xludf.DUMMYFUNCTION("""COMPUTED_VALUE"""),57.0)</f>
        <v>57</v>
      </c>
      <c r="K456" s="23">
        <f>IFERROR(__xludf.DUMMYFUNCTION("""COMPUTED_VALUE"""),6.8)</f>
        <v>6.8</v>
      </c>
      <c r="L456" s="24">
        <f>IFERROR(__xludf.DUMMYFUNCTION("""COMPUTED_VALUE"""),3.0)</f>
        <v>3</v>
      </c>
      <c r="M456" s="25" t="str">
        <f>IFERROR(__xludf.DUMMYFUNCTION("""COMPUTED_VALUE"""),"Action-Adventure")</f>
        <v>Action-Adventure</v>
      </c>
      <c r="N456" s="25"/>
      <c r="O456" s="25" t="str">
        <f>IFERROR(__xludf.DUMMYFUNCTION("""COMPUTED_VALUE"""),"Yes")</f>
        <v>Yes</v>
      </c>
      <c r="P456" s="26"/>
    </row>
    <row r="457">
      <c r="A457" s="13" t="str">
        <f>IFERROR(__xludf.DUMMYFUNCTION("""COMPUTED_VALUE"""),"TRON RUN/r")</f>
        <v>TRON RUN/r</v>
      </c>
      <c r="B457" s="15" t="str">
        <f>IFERROR(__xludf.DUMMYFUNCTION("""COMPUTED_VALUE"""),"PS4")</f>
        <v>PS4</v>
      </c>
      <c r="C457" s="16" t="str">
        <f>IFERROR(__xludf.DUMMYFUNCTION("""COMPUTED_VALUE"""),"Extra")</f>
        <v>Extra</v>
      </c>
      <c r="D457" s="15" t="str">
        <f>IFERROR(__xludf.DUMMYFUNCTION("""COMPUTED_VALUE"""),"Active")</f>
        <v>Active</v>
      </c>
      <c r="E457" s="17">
        <f>IFERROR(__xludf.DUMMYFUNCTION("""COMPUTED_VALUE"""),43438.0)</f>
        <v>43438</v>
      </c>
      <c r="F457" s="54"/>
      <c r="G457" s="19">
        <f>IFERROR(__xludf.DUMMYFUNCTION("""COMPUTED_VALUE"""),94.06666666666666)</f>
        <v>94.06666667</v>
      </c>
      <c r="H457" s="17">
        <f>IFERROR(__xludf.DUMMYFUNCTION("""COMPUTED_VALUE"""),42416.0)</f>
        <v>42416</v>
      </c>
      <c r="I457" s="19">
        <f>IFERROR(__xludf.DUMMYFUNCTION("""COMPUTED_VALUE"""),2.8)</f>
        <v>2.8</v>
      </c>
      <c r="J457" s="21">
        <f>IFERROR(__xludf.DUMMYFUNCTION("""COMPUTED_VALUE"""),57.0)</f>
        <v>57</v>
      </c>
      <c r="K457" s="23">
        <f>IFERROR(__xludf.DUMMYFUNCTION("""COMPUTED_VALUE"""),5.7)</f>
        <v>5.7</v>
      </c>
      <c r="L457" s="24">
        <f>IFERROR(__xludf.DUMMYFUNCTION("""COMPUTED_VALUE"""),5.0)</f>
        <v>5</v>
      </c>
      <c r="M457" s="25" t="str">
        <f>IFERROR(__xludf.DUMMYFUNCTION("""COMPUTED_VALUE"""),"Racing")</f>
        <v>Racing</v>
      </c>
      <c r="N457" s="25"/>
      <c r="O457" s="25" t="str">
        <f>IFERROR(__xludf.DUMMYFUNCTION("""COMPUTED_VALUE"""),"Yes")</f>
        <v>Yes</v>
      </c>
      <c r="P457" s="26"/>
    </row>
    <row r="458">
      <c r="A458" s="13" t="str">
        <f>IFERROR(__xludf.DUMMYFUNCTION("""COMPUTED_VALUE"""),"Bluey: The Videogame")</f>
        <v>Bluey: The Videogame</v>
      </c>
      <c r="B458" s="15" t="str">
        <f>IFERROR(__xludf.DUMMYFUNCTION("""COMPUTED_VALUE"""),"PS5/PS4")</f>
        <v>PS5/PS4</v>
      </c>
      <c r="C458" s="16" t="str">
        <f>IFERROR(__xludf.DUMMYFUNCTION("""COMPUTED_VALUE"""),"Extra")</f>
        <v>Extra</v>
      </c>
      <c r="D458" s="15" t="str">
        <f>IFERROR(__xludf.DUMMYFUNCTION("""COMPUTED_VALUE"""),"Active")</f>
        <v>Active</v>
      </c>
      <c r="E458" s="17">
        <f>IFERROR(__xludf.DUMMYFUNCTION("""COMPUTED_VALUE"""),45853.0)</f>
        <v>45853</v>
      </c>
      <c r="F458" s="54"/>
      <c r="G458" s="19">
        <f>IFERROR(__xludf.DUMMYFUNCTION("""COMPUTED_VALUE"""),14.700000000000001)</f>
        <v>14.7</v>
      </c>
      <c r="H458" s="17">
        <f>IFERROR(__xludf.DUMMYFUNCTION("""COMPUTED_VALUE"""),45247.0)</f>
        <v>45247</v>
      </c>
      <c r="I458" s="19">
        <f>IFERROR(__xludf.DUMMYFUNCTION("""COMPUTED_VALUE"""),1.6611111111111112)</f>
        <v>1.661111111</v>
      </c>
      <c r="J458" s="21">
        <f>IFERROR(__xludf.DUMMYFUNCTION("""COMPUTED_VALUE"""),56.0)</f>
        <v>56</v>
      </c>
      <c r="K458" s="23">
        <f>IFERROR(__xludf.DUMMYFUNCTION("""COMPUTED_VALUE"""),4.8)</f>
        <v>4.8</v>
      </c>
      <c r="L458" s="24">
        <f>IFERROR(__xludf.DUMMYFUNCTION("""COMPUTED_VALUE"""),2.0)</f>
        <v>2</v>
      </c>
      <c r="M458" s="25" t="str">
        <f>IFERROR(__xludf.DUMMYFUNCTION("""COMPUTED_VALUE"""),"Action-Adventure")</f>
        <v>Action-Adventure</v>
      </c>
      <c r="N458" s="25"/>
      <c r="O458" s="25"/>
      <c r="P458" s="26"/>
    </row>
    <row r="459">
      <c r="A459" s="13" t="str">
        <f>IFERROR(__xludf.DUMMYFUNCTION("""COMPUTED_VALUE"""),"Tom Clancy's Ghost Recon: Breakpoint")</f>
        <v>Tom Clancy's Ghost Recon: Breakpoint</v>
      </c>
      <c r="B459" s="15" t="str">
        <f>IFERROR(__xludf.DUMMYFUNCTION("""COMPUTED_VALUE"""),"PS4")</f>
        <v>PS4</v>
      </c>
      <c r="C459" s="16" t="str">
        <f>IFERROR(__xludf.DUMMYFUNCTION("""COMPUTED_VALUE"""),"Extra (Ubisoft+ Classics)")</f>
        <v>Extra (Ubisoft+ Classics)</v>
      </c>
      <c r="D459" s="15" t="str">
        <f>IFERROR(__xludf.DUMMYFUNCTION("""COMPUTED_VALUE"""),"Active")</f>
        <v>Active</v>
      </c>
      <c r="E459" s="17">
        <f>IFERROR(__xludf.DUMMYFUNCTION("""COMPUTED_VALUE"""),44880.0)</f>
        <v>44880</v>
      </c>
      <c r="F459" s="54"/>
      <c r="G459" s="19">
        <f>IFERROR(__xludf.DUMMYFUNCTION("""COMPUTED_VALUE"""),46.7)</f>
        <v>46.7</v>
      </c>
      <c r="H459" s="17">
        <f>IFERROR(__xludf.DUMMYFUNCTION("""COMPUTED_VALUE"""),43742.0)</f>
        <v>43742</v>
      </c>
      <c r="I459" s="19">
        <f>IFERROR(__xludf.DUMMYFUNCTION("""COMPUTED_VALUE"""),3.113888888888889)</f>
        <v>3.113888889</v>
      </c>
      <c r="J459" s="21">
        <f>IFERROR(__xludf.DUMMYFUNCTION("""COMPUTED_VALUE"""),56.0)</f>
        <v>56</v>
      </c>
      <c r="K459" s="23">
        <f>IFERROR(__xludf.DUMMYFUNCTION("""COMPUTED_VALUE"""),3.0)</f>
        <v>3</v>
      </c>
      <c r="L459" s="24">
        <f>IFERROR(__xludf.DUMMYFUNCTION("""COMPUTED_VALUE"""),23.5)</f>
        <v>23.5</v>
      </c>
      <c r="M459" s="25" t="str">
        <f>IFERROR(__xludf.DUMMYFUNCTION("""COMPUTED_VALUE"""),"Shooter")</f>
        <v>Shooter</v>
      </c>
      <c r="N459" s="25"/>
      <c r="O459" s="25" t="str">
        <f>IFERROR(__xludf.DUMMYFUNCTION("""COMPUTED_VALUE"""),"Yes")</f>
        <v>Yes</v>
      </c>
      <c r="P459" s="26"/>
    </row>
    <row r="460">
      <c r="A460" s="13" t="str">
        <f>IFERROR(__xludf.DUMMYFUNCTION("""COMPUTED_VALUE"""),"Fade to Silence")</f>
        <v>Fade to Silence</v>
      </c>
      <c r="B460" s="15" t="str">
        <f>IFERROR(__xludf.DUMMYFUNCTION("""COMPUTED_VALUE"""),"PS4")</f>
        <v>PS4</v>
      </c>
      <c r="C460" s="16" t="str">
        <f>IFERROR(__xludf.DUMMYFUNCTION("""COMPUTED_VALUE"""),"Extra")</f>
        <v>Extra</v>
      </c>
      <c r="D460" s="15" t="str">
        <f>IFERROR(__xludf.DUMMYFUNCTION("""COMPUTED_VALUE"""),"Active")</f>
        <v>Active</v>
      </c>
      <c r="E460" s="17">
        <f>IFERROR(__xludf.DUMMYFUNCTION("""COMPUTED_VALUE"""),44725.0)</f>
        <v>44725</v>
      </c>
      <c r="F460" s="54"/>
      <c r="G460" s="19">
        <f>IFERROR(__xludf.DUMMYFUNCTION("""COMPUTED_VALUE"""),51.766666666666666)</f>
        <v>51.76666667</v>
      </c>
      <c r="H460" s="17">
        <f>IFERROR(__xludf.DUMMYFUNCTION("""COMPUTED_VALUE"""),43083.0)</f>
        <v>43083</v>
      </c>
      <c r="I460" s="19">
        <f>IFERROR(__xludf.DUMMYFUNCTION("""COMPUTED_VALUE"""),4.497222222222222)</f>
        <v>4.497222222</v>
      </c>
      <c r="J460" s="21">
        <f>IFERROR(__xludf.DUMMYFUNCTION("""COMPUTED_VALUE"""),56.0)</f>
        <v>56</v>
      </c>
      <c r="K460" s="23">
        <f>IFERROR(__xludf.DUMMYFUNCTION("""COMPUTED_VALUE"""),5.7)</f>
        <v>5.7</v>
      </c>
      <c r="L460" s="24">
        <f>IFERROR(__xludf.DUMMYFUNCTION("""COMPUTED_VALUE"""),37.5)</f>
        <v>37.5</v>
      </c>
      <c r="M460" s="25" t="str">
        <f>IFERROR(__xludf.DUMMYFUNCTION("""COMPUTED_VALUE"""),"RPG")</f>
        <v>RPG</v>
      </c>
      <c r="N460" s="25"/>
      <c r="O460" s="25" t="str">
        <f>IFERROR(__xludf.DUMMYFUNCTION("""COMPUTED_VALUE"""),"Yes")</f>
        <v>Yes</v>
      </c>
      <c r="P460" s="26" t="str">
        <f>IFERROR(__xludf.DUMMYFUNCTION("""COMPUTED_VALUE"""),"Yes")</f>
        <v>Yes</v>
      </c>
    </row>
    <row r="461">
      <c r="A461" s="13" t="str">
        <f>IFERROR(__xludf.DUMMYFUNCTION("""COMPUTED_VALUE"""),"The Technomancer")</f>
        <v>The Technomancer</v>
      </c>
      <c r="B461" s="15" t="str">
        <f>IFERROR(__xludf.DUMMYFUNCTION("""COMPUTED_VALUE"""),"PS4")</f>
        <v>PS4</v>
      </c>
      <c r="C461" s="16" t="str">
        <f>IFERROR(__xludf.DUMMYFUNCTION("""COMPUTED_VALUE"""),"Extra")</f>
        <v>Extra</v>
      </c>
      <c r="D461" s="15" t="str">
        <f>IFERROR(__xludf.DUMMYFUNCTION("""COMPUTED_VALUE"""),"Active")</f>
        <v>Active</v>
      </c>
      <c r="E461" s="17">
        <f>IFERROR(__xludf.DUMMYFUNCTION("""COMPUTED_VALUE"""),44725.0)</f>
        <v>44725</v>
      </c>
      <c r="F461" s="54"/>
      <c r="G461" s="19">
        <f>IFERROR(__xludf.DUMMYFUNCTION("""COMPUTED_VALUE"""),51.766666666666666)</f>
        <v>51.76666667</v>
      </c>
      <c r="H461" s="17">
        <f>IFERROR(__xludf.DUMMYFUNCTION("""COMPUTED_VALUE"""),42549.0)</f>
        <v>42549</v>
      </c>
      <c r="I461" s="19">
        <f>IFERROR(__xludf.DUMMYFUNCTION("""COMPUTED_VALUE"""),5.958333333333333)</f>
        <v>5.958333333</v>
      </c>
      <c r="J461" s="21">
        <f>IFERROR(__xludf.DUMMYFUNCTION("""COMPUTED_VALUE"""),56.0)</f>
        <v>56</v>
      </c>
      <c r="K461" s="23">
        <f>IFERROR(__xludf.DUMMYFUNCTION("""COMPUTED_VALUE"""),6.5)</f>
        <v>6.5</v>
      </c>
      <c r="L461" s="24">
        <f>IFERROR(__xludf.DUMMYFUNCTION("""COMPUTED_VALUE"""),23.0)</f>
        <v>23</v>
      </c>
      <c r="M461" s="25" t="str">
        <f>IFERROR(__xludf.DUMMYFUNCTION("""COMPUTED_VALUE"""),"RPG")</f>
        <v>RPG</v>
      </c>
      <c r="N461" s="25"/>
      <c r="O461" s="25" t="str">
        <f>IFERROR(__xludf.DUMMYFUNCTION("""COMPUTED_VALUE"""),"Yes")</f>
        <v>Yes</v>
      </c>
      <c r="P461" s="26"/>
    </row>
    <row r="462">
      <c r="A462" s="13" t="str">
        <f>IFERROR(__xludf.DUMMYFUNCTION("""COMPUTED_VALUE"""),"Werewolf: The Apocalypse - Earthblood")</f>
        <v>Werewolf: The Apocalypse - Earthblood</v>
      </c>
      <c r="B462" s="15" t="str">
        <f>IFERROR(__xludf.DUMMYFUNCTION("""COMPUTED_VALUE"""),"PS5/PS4")</f>
        <v>PS5/PS4</v>
      </c>
      <c r="C462" s="16" t="str">
        <f>IFERROR(__xludf.DUMMYFUNCTION("""COMPUTED_VALUE"""),"Extra")</f>
        <v>Extra</v>
      </c>
      <c r="D462" s="15" t="str">
        <f>IFERROR(__xludf.DUMMYFUNCTION("""COMPUTED_VALUE"""),"Active")</f>
        <v>Active</v>
      </c>
      <c r="E462" s="17">
        <f>IFERROR(__xludf.DUMMYFUNCTION("""COMPUTED_VALUE"""),44656.0)</f>
        <v>44656</v>
      </c>
      <c r="F462" s="54"/>
      <c r="G462" s="19">
        <f>IFERROR(__xludf.DUMMYFUNCTION("""COMPUTED_VALUE"""),54.03333333333334)</f>
        <v>54.03333333</v>
      </c>
      <c r="H462" s="17">
        <f>IFERROR(__xludf.DUMMYFUNCTION("""COMPUTED_VALUE"""),44231.0)</f>
        <v>44231</v>
      </c>
      <c r="I462" s="19">
        <f>IFERROR(__xludf.DUMMYFUNCTION("""COMPUTED_VALUE"""),1.1694444444444445)</f>
        <v>1.169444444</v>
      </c>
      <c r="J462" s="21">
        <f>IFERROR(__xludf.DUMMYFUNCTION("""COMPUTED_VALUE"""),56.0)</f>
        <v>56</v>
      </c>
      <c r="K462" s="23">
        <f>IFERROR(__xludf.DUMMYFUNCTION("""COMPUTED_VALUE"""),5.5)</f>
        <v>5.5</v>
      </c>
      <c r="L462" s="24">
        <f>IFERROR(__xludf.DUMMYFUNCTION("""COMPUTED_VALUE"""),8.5)</f>
        <v>8.5</v>
      </c>
      <c r="M462" s="25" t="str">
        <f>IFERROR(__xludf.DUMMYFUNCTION("""COMPUTED_VALUE"""),"Action-Adventure")</f>
        <v>Action-Adventure</v>
      </c>
      <c r="N462" s="25"/>
      <c r="O462" s="25" t="str">
        <f>IFERROR(__xludf.DUMMYFUNCTION("""COMPUTED_VALUE"""),"Portal (PS5 + Premium)")</f>
        <v>Portal (PS5 + Premium)</v>
      </c>
      <c r="P462" s="26"/>
    </row>
    <row r="463">
      <c r="A463" s="13" t="str">
        <f>IFERROR(__xludf.DUMMYFUNCTION("""COMPUTED_VALUE"""),"Ice Age: Scrat's Nutty Adventure")</f>
        <v>Ice Age: Scrat's Nutty Adventure</v>
      </c>
      <c r="B463" s="15" t="str">
        <f>IFERROR(__xludf.DUMMYFUNCTION("""COMPUTED_VALUE"""),"PS4")</f>
        <v>PS4</v>
      </c>
      <c r="C463" s="16" t="str">
        <f>IFERROR(__xludf.DUMMYFUNCTION("""COMPUTED_VALUE"""),"Extra")</f>
        <v>Extra</v>
      </c>
      <c r="D463" s="15" t="str">
        <f>IFERROR(__xludf.DUMMYFUNCTION("""COMPUTED_VALUE"""),"Active")</f>
        <v>Active</v>
      </c>
      <c r="E463" s="17">
        <f>IFERROR(__xludf.DUMMYFUNCTION("""COMPUTED_VALUE"""),44761.0)</f>
        <v>44761</v>
      </c>
      <c r="F463" s="54"/>
      <c r="G463" s="19">
        <f>IFERROR(__xludf.DUMMYFUNCTION("""COMPUTED_VALUE"""),50.56666666666666)</f>
        <v>50.56666667</v>
      </c>
      <c r="H463" s="17">
        <f>IFERROR(__xludf.DUMMYFUNCTION("""COMPUTED_VALUE"""),43756.0)</f>
        <v>43756</v>
      </c>
      <c r="I463" s="19">
        <f>IFERROR(__xludf.DUMMYFUNCTION("""COMPUTED_VALUE"""),2.7527777777777778)</f>
        <v>2.752777778</v>
      </c>
      <c r="J463" s="21">
        <f>IFERROR(__xludf.DUMMYFUNCTION("""COMPUTED_VALUE"""),55.0)</f>
        <v>55</v>
      </c>
      <c r="K463" s="23">
        <f>IFERROR(__xludf.DUMMYFUNCTION("""COMPUTED_VALUE"""),5.2)</f>
        <v>5.2</v>
      </c>
      <c r="L463" s="24">
        <f>IFERROR(__xludf.DUMMYFUNCTION("""COMPUTED_VALUE"""),4.0)</f>
        <v>4</v>
      </c>
      <c r="M463" s="25" t="str">
        <f>IFERROR(__xludf.DUMMYFUNCTION("""COMPUTED_VALUE"""),"Action-Adventure")</f>
        <v>Action-Adventure</v>
      </c>
      <c r="N463" s="25"/>
      <c r="O463" s="25" t="str">
        <f>IFERROR(__xludf.DUMMYFUNCTION("""COMPUTED_VALUE"""),"Yes")</f>
        <v>Yes</v>
      </c>
      <c r="P463" s="26"/>
    </row>
    <row r="464">
      <c r="A464" s="13" t="str">
        <f>IFERROR(__xludf.DUMMYFUNCTION("""COMPUTED_VALUE"""),"Yet Another Zombie Defense")</f>
        <v>Yet Another Zombie Defense</v>
      </c>
      <c r="B464" s="15" t="str">
        <f>IFERROR(__xludf.DUMMYFUNCTION("""COMPUTED_VALUE"""),"PS4")</f>
        <v>PS4</v>
      </c>
      <c r="C464" s="16" t="str">
        <f>IFERROR(__xludf.DUMMYFUNCTION("""COMPUTED_VALUE"""),"Extra")</f>
        <v>Extra</v>
      </c>
      <c r="D464" s="15" t="str">
        <f>IFERROR(__xludf.DUMMYFUNCTION("""COMPUTED_VALUE"""),"Active")</f>
        <v>Active</v>
      </c>
      <c r="E464" s="17">
        <f>IFERROR(__xludf.DUMMYFUNCTION("""COMPUTED_VALUE"""),44474.0)</f>
        <v>44474</v>
      </c>
      <c r="F464" s="54"/>
      <c r="G464" s="19">
        <f>IFERROR(__xludf.DUMMYFUNCTION("""COMPUTED_VALUE"""),60.03333333333334)</f>
        <v>60.03333333</v>
      </c>
      <c r="H464" s="17">
        <f>IFERROR(__xludf.DUMMYFUNCTION("""COMPUTED_VALUE"""),43656.0)</f>
        <v>43656</v>
      </c>
      <c r="I464" s="19">
        <f>IFERROR(__xludf.DUMMYFUNCTION("""COMPUTED_VALUE"""),2.236111111111111)</f>
        <v>2.236111111</v>
      </c>
      <c r="J464" s="21">
        <f>IFERROR(__xludf.DUMMYFUNCTION("""COMPUTED_VALUE"""),55.0)</f>
        <v>55</v>
      </c>
      <c r="K464" s="23">
        <f>IFERROR(__xludf.DUMMYFUNCTION("""COMPUTED_VALUE"""),6.2)</f>
        <v>6.2</v>
      </c>
      <c r="L464" s="24">
        <f>IFERROR(__xludf.DUMMYFUNCTION("""COMPUTED_VALUE"""),2.0)</f>
        <v>2</v>
      </c>
      <c r="M464" s="25" t="str">
        <f>IFERROR(__xludf.DUMMYFUNCTION("""COMPUTED_VALUE"""),"Shooter")</f>
        <v>Shooter</v>
      </c>
      <c r="N464" s="25"/>
      <c r="O464" s="25" t="str">
        <f>IFERROR(__xludf.DUMMYFUNCTION("""COMPUTED_VALUE"""),"Yes")</f>
        <v>Yes</v>
      </c>
      <c r="P464" s="26" t="str">
        <f>IFERROR(__xludf.DUMMYFUNCTION("""COMPUTED_VALUE"""),"Yes")</f>
        <v>Yes</v>
      </c>
    </row>
    <row r="465">
      <c r="A465" s="13" t="str">
        <f>IFERROR(__xludf.DUMMYFUNCTION("""COMPUTED_VALUE"""),"Car Mechanic Simulator")</f>
        <v>Car Mechanic Simulator</v>
      </c>
      <c r="B465" s="15" t="str">
        <f>IFERROR(__xludf.DUMMYFUNCTION("""COMPUTED_VALUE"""),"PS5/PS4")</f>
        <v>PS5/PS4</v>
      </c>
      <c r="C465" s="16" t="str">
        <f>IFERROR(__xludf.DUMMYFUNCTION("""COMPUTED_VALUE"""),"Extra")</f>
        <v>Extra</v>
      </c>
      <c r="D465" s="15" t="str">
        <f>IFERROR(__xludf.DUMMYFUNCTION("""COMPUTED_VALUE"""),"Active")</f>
        <v>Active</v>
      </c>
      <c r="E465" s="17">
        <f>IFERROR(__xludf.DUMMYFUNCTION("""COMPUTED_VALUE"""),44348.0)</f>
        <v>44348</v>
      </c>
      <c r="F465" s="54"/>
      <c r="G465" s="19">
        <f>IFERROR(__xludf.DUMMYFUNCTION("""COMPUTED_VALUE"""),64.16666666666667)</f>
        <v>64.16666667</v>
      </c>
      <c r="H465" s="17">
        <f>IFERROR(__xludf.DUMMYFUNCTION("""COMPUTED_VALUE"""),43511.0)</f>
        <v>43511</v>
      </c>
      <c r="I465" s="19">
        <f>IFERROR(__xludf.DUMMYFUNCTION("""COMPUTED_VALUE"""),2.2944444444444443)</f>
        <v>2.294444444</v>
      </c>
      <c r="J465" s="21">
        <f>IFERROR(__xludf.DUMMYFUNCTION("""COMPUTED_VALUE"""),55.0)</f>
        <v>55</v>
      </c>
      <c r="K465" s="23">
        <f>IFERROR(__xludf.DUMMYFUNCTION("""COMPUTED_VALUE"""),6.4)</f>
        <v>6.4</v>
      </c>
      <c r="L465" s="24">
        <f>IFERROR(__xludf.DUMMYFUNCTION("""COMPUTED_VALUE"""),25.0)</f>
        <v>25</v>
      </c>
      <c r="M465" s="25" t="str">
        <f>IFERROR(__xludf.DUMMYFUNCTION("""COMPUTED_VALUE"""),"Simulation")</f>
        <v>Simulation</v>
      </c>
      <c r="N465" s="25"/>
      <c r="O465" s="25" t="str">
        <f>IFERROR(__xludf.DUMMYFUNCTION("""COMPUTED_VALUE"""),"Yes")</f>
        <v>Yes</v>
      </c>
      <c r="P465" s="26"/>
    </row>
    <row r="466">
      <c r="A466" s="13" t="str">
        <f>IFERROR(__xludf.DUMMYFUNCTION("""COMPUTED_VALUE"""),"The Settlers: New Allies")</f>
        <v>The Settlers: New Allies</v>
      </c>
      <c r="B466" s="15" t="str">
        <f>IFERROR(__xludf.DUMMYFUNCTION("""COMPUTED_VALUE"""),"PS4")</f>
        <v>PS4</v>
      </c>
      <c r="C466" s="16" t="str">
        <f>IFERROR(__xludf.DUMMYFUNCTION("""COMPUTED_VALUE"""),"Extra (Ubisoft+ Classics)")</f>
        <v>Extra (Ubisoft+ Classics)</v>
      </c>
      <c r="D466" s="15" t="str">
        <f>IFERROR(__xludf.DUMMYFUNCTION("""COMPUTED_VALUE"""),"Active")</f>
        <v>Active</v>
      </c>
      <c r="E466" s="17">
        <f>IFERROR(__xludf.DUMMYFUNCTION("""COMPUTED_VALUE"""),45433.0)</f>
        <v>45433</v>
      </c>
      <c r="F466" s="54"/>
      <c r="G466" s="19">
        <f>IFERROR(__xludf.DUMMYFUNCTION("""COMPUTED_VALUE"""),28.5)</f>
        <v>28.5</v>
      </c>
      <c r="H466" s="17">
        <f>IFERROR(__xludf.DUMMYFUNCTION("""COMPUTED_VALUE"""),44974.0)</f>
        <v>44974</v>
      </c>
      <c r="I466" s="19">
        <f>IFERROR(__xludf.DUMMYFUNCTION("""COMPUTED_VALUE"""),1.261111111111111)</f>
        <v>1.261111111</v>
      </c>
      <c r="J466" s="21">
        <f>IFERROR(__xludf.DUMMYFUNCTION("""COMPUTED_VALUE"""),54.0)</f>
        <v>54</v>
      </c>
      <c r="K466" s="23">
        <f>IFERROR(__xludf.DUMMYFUNCTION("""COMPUTED_VALUE"""),3.3)</f>
        <v>3.3</v>
      </c>
      <c r="L466" s="24">
        <f>IFERROR(__xludf.DUMMYFUNCTION("""COMPUTED_VALUE"""),35.0)</f>
        <v>35</v>
      </c>
      <c r="M466" s="25" t="str">
        <f>IFERROR(__xludf.DUMMYFUNCTION("""COMPUTED_VALUE"""),"Management")</f>
        <v>Management</v>
      </c>
      <c r="N466" s="25"/>
      <c r="O466" s="25" t="str">
        <f>IFERROR(__xludf.DUMMYFUNCTION("""COMPUTED_VALUE"""),"No")</f>
        <v>No</v>
      </c>
      <c r="P466" s="26"/>
    </row>
    <row r="467">
      <c r="A467" s="13" t="str">
        <f>IFERROR(__xludf.DUMMYFUNCTION("""COMPUTED_VALUE"""),"Fallout 76")</f>
        <v>Fallout 76</v>
      </c>
      <c r="B467" s="15" t="str">
        <f>IFERROR(__xludf.DUMMYFUNCTION("""COMPUTED_VALUE"""),"PS4")</f>
        <v>PS4</v>
      </c>
      <c r="C467" s="16" t="str">
        <f>IFERROR(__xludf.DUMMYFUNCTION("""COMPUTED_VALUE"""),"Extra")</f>
        <v>Extra</v>
      </c>
      <c r="D467" s="15" t="str">
        <f>IFERROR(__xludf.DUMMYFUNCTION("""COMPUTED_VALUE"""),"Active")</f>
        <v>Active</v>
      </c>
      <c r="E467" s="17">
        <f>IFERROR(__xludf.DUMMYFUNCTION("""COMPUTED_VALUE"""),44725.0)</f>
        <v>44725</v>
      </c>
      <c r="F467" s="54"/>
      <c r="G467" s="19">
        <f>IFERROR(__xludf.DUMMYFUNCTION("""COMPUTED_VALUE"""),51.766666666666666)</f>
        <v>51.76666667</v>
      </c>
      <c r="H467" s="17">
        <f>IFERROR(__xludf.DUMMYFUNCTION("""COMPUTED_VALUE"""),43418.0)</f>
        <v>43418</v>
      </c>
      <c r="I467" s="19">
        <f>IFERROR(__xludf.DUMMYFUNCTION("""COMPUTED_VALUE"""),3.5805555555555557)</f>
        <v>3.580555556</v>
      </c>
      <c r="J467" s="21">
        <f>IFERROR(__xludf.DUMMYFUNCTION("""COMPUTED_VALUE"""),54.0)</f>
        <v>54</v>
      </c>
      <c r="K467" s="23">
        <f>IFERROR(__xludf.DUMMYFUNCTION("""COMPUTED_VALUE"""),5.0)</f>
        <v>5</v>
      </c>
      <c r="L467" s="24">
        <f>IFERROR(__xludf.DUMMYFUNCTION("""COMPUTED_VALUE"""),30.0)</f>
        <v>30</v>
      </c>
      <c r="M467" s="25" t="str">
        <f>IFERROR(__xludf.DUMMYFUNCTION("""COMPUTED_VALUE"""),"RPG")</f>
        <v>RPG</v>
      </c>
      <c r="N467" s="25"/>
      <c r="O467" s="25" t="str">
        <f>IFERROR(__xludf.DUMMYFUNCTION("""COMPUTED_VALUE"""),"Yes")</f>
        <v>Yes</v>
      </c>
      <c r="P467" s="26"/>
    </row>
    <row r="468">
      <c r="A468" s="13" t="str">
        <f>IFERROR(__xludf.DUMMYFUNCTION("""COMPUTED_VALUE"""),"Secret Neighbor")</f>
        <v>Secret Neighbor</v>
      </c>
      <c r="B468" s="15" t="str">
        <f>IFERROR(__xludf.DUMMYFUNCTION("""COMPUTED_VALUE"""),"PS4")</f>
        <v>PS4</v>
      </c>
      <c r="C468" s="16" t="str">
        <f>IFERROR(__xludf.DUMMYFUNCTION("""COMPUTED_VALUE"""),"Extra")</f>
        <v>Extra</v>
      </c>
      <c r="D468" s="15" t="str">
        <f>IFERROR(__xludf.DUMMYFUNCTION("""COMPUTED_VALUE"""),"Active")</f>
        <v>Active</v>
      </c>
      <c r="E468" s="17">
        <f>IFERROR(__xludf.DUMMYFUNCTION("""COMPUTED_VALUE"""),44725.0)</f>
        <v>44725</v>
      </c>
      <c r="F468" s="54"/>
      <c r="G468" s="19">
        <f>IFERROR(__xludf.DUMMYFUNCTION("""COMPUTED_VALUE"""),51.766666666666666)</f>
        <v>51.76666667</v>
      </c>
      <c r="H468" s="17">
        <f>IFERROR(__xludf.DUMMYFUNCTION("""COMPUTED_VALUE"""),43762.0)</f>
        <v>43762</v>
      </c>
      <c r="I468" s="19">
        <f>IFERROR(__xludf.DUMMYFUNCTION("""COMPUTED_VALUE"""),2.636111111111111)</f>
        <v>2.636111111</v>
      </c>
      <c r="J468" s="21">
        <f>IFERROR(__xludf.DUMMYFUNCTION("""COMPUTED_VALUE"""),54.0)</f>
        <v>54</v>
      </c>
      <c r="K468" s="23">
        <f>IFERROR(__xludf.DUMMYFUNCTION("""COMPUTED_VALUE"""),5.7)</f>
        <v>5.7</v>
      </c>
      <c r="L468" s="24"/>
      <c r="M468" s="25" t="str">
        <f>IFERROR(__xludf.DUMMYFUNCTION("""COMPUTED_VALUE"""),"Horror")</f>
        <v>Horror</v>
      </c>
      <c r="N468" s="25"/>
      <c r="O468" s="25" t="str">
        <f>IFERROR(__xludf.DUMMYFUNCTION("""COMPUTED_VALUE"""),"No")</f>
        <v>No</v>
      </c>
      <c r="P468" s="26" t="str">
        <f>IFERROR(__xludf.DUMMYFUNCTION("""COMPUTED_VALUE"""),"Yes")</f>
        <v>Yes</v>
      </c>
    </row>
    <row r="469">
      <c r="A469" s="13" t="str">
        <f>IFERROR(__xludf.DUMMYFUNCTION("""COMPUTED_VALUE"""),"Test Drive Unlimited: Solar Crown")</f>
        <v>Test Drive Unlimited: Solar Crown</v>
      </c>
      <c r="B469" s="15" t="str">
        <f>IFERROR(__xludf.DUMMYFUNCTION("""COMPUTED_VALUE"""),"PS5")</f>
        <v>PS5</v>
      </c>
      <c r="C469" s="16" t="str">
        <f>IFERROR(__xludf.DUMMYFUNCTION("""COMPUTED_VALUE"""),"Extra")</f>
        <v>Extra</v>
      </c>
      <c r="D469" s="15" t="str">
        <f>IFERROR(__xludf.DUMMYFUNCTION("""COMPUTED_VALUE"""),"Active")</f>
        <v>Active</v>
      </c>
      <c r="E469" s="17">
        <f>IFERROR(__xludf.DUMMYFUNCTION("""COMPUTED_VALUE"""),46070.0)</f>
        <v>46070</v>
      </c>
      <c r="F469" s="54"/>
      <c r="G469" s="19">
        <f>IFERROR(__xludf.DUMMYFUNCTION("""COMPUTED_VALUE"""),7.633333333333333)</f>
        <v>7.633333333</v>
      </c>
      <c r="H469" s="17">
        <f>IFERROR(__xludf.DUMMYFUNCTION("""COMPUTED_VALUE"""),45547.0)</f>
        <v>45547</v>
      </c>
      <c r="I469" s="19">
        <f>IFERROR(__xludf.DUMMYFUNCTION("""COMPUTED_VALUE"""),1.4305555555555556)</f>
        <v>1.430555556</v>
      </c>
      <c r="J469" s="21">
        <f>IFERROR(__xludf.DUMMYFUNCTION("""COMPUTED_VALUE"""),53.0)</f>
        <v>53</v>
      </c>
      <c r="K469" s="23">
        <f>IFERROR(__xludf.DUMMYFUNCTION("""COMPUTED_VALUE"""),4.0)</f>
        <v>4</v>
      </c>
      <c r="L469" s="24">
        <f>IFERROR(__xludf.DUMMYFUNCTION("""COMPUTED_VALUE"""),27.0)</f>
        <v>27</v>
      </c>
      <c r="M469" s="25" t="str">
        <f>IFERROR(__xludf.DUMMYFUNCTION("""COMPUTED_VALUE"""),"Racing")</f>
        <v>Racing</v>
      </c>
      <c r="N469" s="25"/>
      <c r="O469" s="25" t="str">
        <f>IFERROR(__xludf.DUMMYFUNCTION("""COMPUTED_VALUE"""),"No")</f>
        <v>No</v>
      </c>
      <c r="P469" s="26"/>
    </row>
    <row r="470">
      <c r="A470" s="13" t="str">
        <f>IFERROR(__xludf.DUMMYFUNCTION("""COMPUTED_VALUE"""),"Rabbids Invasion: The Interactive TV Show")</f>
        <v>Rabbids Invasion: The Interactive TV Show</v>
      </c>
      <c r="B470" s="15" t="str">
        <f>IFERROR(__xludf.DUMMYFUNCTION("""COMPUTED_VALUE"""),"PS4")</f>
        <v>PS4</v>
      </c>
      <c r="C470" s="16" t="str">
        <f>IFERROR(__xludf.DUMMYFUNCTION("""COMPUTED_VALUE"""),"Extra")</f>
        <v>Extra</v>
      </c>
      <c r="D470" s="15" t="str">
        <f>IFERROR(__xludf.DUMMYFUNCTION("""COMPUTED_VALUE"""),"Active")</f>
        <v>Active</v>
      </c>
      <c r="E470" s="17">
        <f>IFERROR(__xludf.DUMMYFUNCTION("""COMPUTED_VALUE"""),44824.0)</f>
        <v>44824</v>
      </c>
      <c r="F470" s="54"/>
      <c r="G470" s="19">
        <f>IFERROR(__xludf.DUMMYFUNCTION("""COMPUTED_VALUE"""),48.53333333333333)</f>
        <v>48.53333333</v>
      </c>
      <c r="H470" s="17">
        <f>IFERROR(__xludf.DUMMYFUNCTION("""COMPUTED_VALUE"""),41961.0)</f>
        <v>41961</v>
      </c>
      <c r="I470" s="19">
        <f>IFERROR(__xludf.DUMMYFUNCTION("""COMPUTED_VALUE"""),7.838888888888889)</f>
        <v>7.838888889</v>
      </c>
      <c r="J470" s="21">
        <f>IFERROR(__xludf.DUMMYFUNCTION("""COMPUTED_VALUE"""),53.0)</f>
        <v>53</v>
      </c>
      <c r="K470" s="23">
        <f>IFERROR(__xludf.DUMMYFUNCTION("""COMPUTED_VALUE"""),4.3)</f>
        <v>4.3</v>
      </c>
      <c r="L470" s="24">
        <f>IFERROR(__xludf.DUMMYFUNCTION("""COMPUTED_VALUE"""),10.0)</f>
        <v>10</v>
      </c>
      <c r="M470" s="25" t="str">
        <f>IFERROR(__xludf.DUMMYFUNCTION("""COMPUTED_VALUE"""),"Action-Adventure")</f>
        <v>Action-Adventure</v>
      </c>
      <c r="N470" s="25"/>
      <c r="O470" s="25" t="str">
        <f>IFERROR(__xludf.DUMMYFUNCTION("""COMPUTED_VALUE"""),"No")</f>
        <v>No</v>
      </c>
      <c r="P470" s="26"/>
    </row>
    <row r="471">
      <c r="A471" s="13" t="str">
        <f>IFERROR(__xludf.DUMMYFUNCTION("""COMPUTED_VALUE"""),"Contra: Rogue Corps")</f>
        <v>Contra: Rogue Corps</v>
      </c>
      <c r="B471" s="15" t="str">
        <f>IFERROR(__xludf.DUMMYFUNCTION("""COMPUTED_VALUE"""),"PS4")</f>
        <v>PS4</v>
      </c>
      <c r="C471" s="16" t="str">
        <f>IFERROR(__xludf.DUMMYFUNCTION("""COMPUTED_VALUE"""),"Extra")</f>
        <v>Extra</v>
      </c>
      <c r="D471" s="15" t="str">
        <f>IFERROR(__xludf.DUMMYFUNCTION("""COMPUTED_VALUE"""),"Active")</f>
        <v>Active</v>
      </c>
      <c r="E471" s="17">
        <f>IFERROR(__xludf.DUMMYFUNCTION("""COMPUTED_VALUE"""),45188.0)</f>
        <v>45188</v>
      </c>
      <c r="F471" s="54"/>
      <c r="G471" s="19">
        <f>IFERROR(__xludf.DUMMYFUNCTION("""COMPUTED_VALUE"""),36.56666666666666)</f>
        <v>36.56666667</v>
      </c>
      <c r="H471" s="17">
        <f>IFERROR(__xludf.DUMMYFUNCTION("""COMPUTED_VALUE"""),43732.0)</f>
        <v>43732</v>
      </c>
      <c r="I471" s="19">
        <f>IFERROR(__xludf.DUMMYFUNCTION("""COMPUTED_VALUE"""),3.986111111111111)</f>
        <v>3.986111111</v>
      </c>
      <c r="J471" s="21">
        <f>IFERROR(__xludf.DUMMYFUNCTION("""COMPUTED_VALUE"""),52.0)</f>
        <v>52</v>
      </c>
      <c r="K471" s="23">
        <f>IFERROR(__xludf.DUMMYFUNCTION("""COMPUTED_VALUE"""),4.0)</f>
        <v>4</v>
      </c>
      <c r="L471" s="24">
        <f>IFERROR(__xludf.DUMMYFUNCTION("""COMPUTED_VALUE"""),16.0)</f>
        <v>16</v>
      </c>
      <c r="M471" s="25" t="str">
        <f>IFERROR(__xludf.DUMMYFUNCTION("""COMPUTED_VALUE"""),"Action-Adventure")</f>
        <v>Action-Adventure</v>
      </c>
      <c r="N471" s="25"/>
      <c r="O471" s="25" t="str">
        <f>IFERROR(__xludf.DUMMYFUNCTION("""COMPUTED_VALUE"""),"Yes")</f>
        <v>Yes</v>
      </c>
      <c r="P471" s="26"/>
    </row>
    <row r="472">
      <c r="A472" s="13" t="str">
        <f>IFERROR(__xludf.DUMMYFUNCTION("""COMPUTED_VALUE"""),"Harvest Moon: One World")</f>
        <v>Harvest Moon: One World</v>
      </c>
      <c r="B472" s="15" t="str">
        <f>IFERROR(__xludf.DUMMYFUNCTION("""COMPUTED_VALUE"""),"PS4")</f>
        <v>PS4</v>
      </c>
      <c r="C472" s="16" t="str">
        <f>IFERROR(__xludf.DUMMYFUNCTION("""COMPUTED_VALUE"""),"Extra")</f>
        <v>Extra</v>
      </c>
      <c r="D472" s="15" t="str">
        <f>IFERROR(__xludf.DUMMYFUNCTION("""COMPUTED_VALUE"""),"Leaving Soon")</f>
        <v>Leaving Soon</v>
      </c>
      <c r="E472" s="17">
        <f>IFERROR(__xludf.DUMMYFUNCTION("""COMPUTED_VALUE"""),44725.0)</f>
        <v>44725</v>
      </c>
      <c r="F472" s="54">
        <f>IFERROR(__xludf.DUMMYFUNCTION("""COMPUTED_VALUE"""),46314.0)</f>
        <v>46314</v>
      </c>
      <c r="G472" s="19">
        <f>IFERROR(__xludf.DUMMYFUNCTION("""COMPUTED_VALUE"""),52.199999999999996)</f>
        <v>52.2</v>
      </c>
      <c r="H472" s="17">
        <f>IFERROR(__xludf.DUMMYFUNCTION("""COMPUTED_VALUE"""),44258.0)</f>
        <v>44258</v>
      </c>
      <c r="I472" s="19">
        <f>IFERROR(__xludf.DUMMYFUNCTION("""COMPUTED_VALUE"""),1.2777777777777777)</f>
        <v>1.277777778</v>
      </c>
      <c r="J472" s="21">
        <f>IFERROR(__xludf.DUMMYFUNCTION("""COMPUTED_VALUE"""),51.0)</f>
        <v>51</v>
      </c>
      <c r="K472" s="23">
        <f>IFERROR(__xludf.DUMMYFUNCTION("""COMPUTED_VALUE"""),5.1)</f>
        <v>5.1</v>
      </c>
      <c r="L472" s="24">
        <f>IFERROR(__xludf.DUMMYFUNCTION("""COMPUTED_VALUE"""),19.5)</f>
        <v>19.5</v>
      </c>
      <c r="M472" s="25" t="str">
        <f>IFERROR(__xludf.DUMMYFUNCTION("""COMPUTED_VALUE"""),"Simulation")</f>
        <v>Simulation</v>
      </c>
      <c r="N472" s="25"/>
      <c r="O472" s="25" t="str">
        <f>IFERROR(__xludf.DUMMYFUNCTION("""COMPUTED_VALUE"""),"No")</f>
        <v>No</v>
      </c>
      <c r="P472" s="26"/>
    </row>
    <row r="473">
      <c r="A473" s="13" t="str">
        <f>IFERROR(__xludf.DUMMYFUNCTION("""COMPUTED_VALUE"""),"Poker Club")</f>
        <v>Poker Club</v>
      </c>
      <c r="B473" s="15" t="str">
        <f>IFERROR(__xludf.DUMMYFUNCTION("""COMPUTED_VALUE"""),"PS4")</f>
        <v>PS4</v>
      </c>
      <c r="C473" s="16" t="str">
        <f>IFERROR(__xludf.DUMMYFUNCTION("""COMPUTED_VALUE"""),"Extra")</f>
        <v>Extra</v>
      </c>
      <c r="D473" s="15" t="str">
        <f>IFERROR(__xludf.DUMMYFUNCTION("""COMPUTED_VALUE"""),"Active")</f>
        <v>Active</v>
      </c>
      <c r="E473" s="17">
        <f>IFERROR(__xludf.DUMMYFUNCTION("""COMPUTED_VALUE"""),45678.0)</f>
        <v>45678</v>
      </c>
      <c r="F473" s="54"/>
      <c r="G473" s="19">
        <f>IFERROR(__xludf.DUMMYFUNCTION("""COMPUTED_VALUE"""),20.5)</f>
        <v>20.5</v>
      </c>
      <c r="H473" s="17">
        <f>IFERROR(__xludf.DUMMYFUNCTION("""COMPUTED_VALUE"""),44524.0)</f>
        <v>44524</v>
      </c>
      <c r="I473" s="19">
        <f>IFERROR(__xludf.DUMMYFUNCTION("""COMPUTED_VALUE"""),3.158333333333333)</f>
        <v>3.158333333</v>
      </c>
      <c r="J473" s="21">
        <f>IFERROR(__xludf.DUMMYFUNCTION("""COMPUTED_VALUE"""),50.0)</f>
        <v>50</v>
      </c>
      <c r="K473" s="23">
        <f>IFERROR(__xludf.DUMMYFUNCTION("""COMPUTED_VALUE"""),5.3)</f>
        <v>5.3</v>
      </c>
      <c r="L473" s="24">
        <f>IFERROR(__xludf.DUMMYFUNCTION("""COMPUTED_VALUE"""),1.5)</f>
        <v>1.5</v>
      </c>
      <c r="M473" s="25" t="str">
        <f>IFERROR(__xludf.DUMMYFUNCTION("""COMPUTED_VALUE"""),"Gambling")</f>
        <v>Gambling</v>
      </c>
      <c r="N473" s="25"/>
      <c r="O473" s="25" t="str">
        <f>IFERROR(__xludf.DUMMYFUNCTION("""COMPUTED_VALUE"""),"No")</f>
        <v>No</v>
      </c>
      <c r="P473" s="26"/>
    </row>
    <row r="474">
      <c r="A474" s="13" t="str">
        <f>IFERROR(__xludf.DUMMYFUNCTION("""COMPUTED_VALUE"""),"Lock's Quest")</f>
        <v>Lock's Quest</v>
      </c>
      <c r="B474" s="15" t="str">
        <f>IFERROR(__xludf.DUMMYFUNCTION("""COMPUTED_VALUE"""),"PS4")</f>
        <v>PS4</v>
      </c>
      <c r="C474" s="16" t="str">
        <f>IFERROR(__xludf.DUMMYFUNCTION("""COMPUTED_VALUE"""),"Extra")</f>
        <v>Extra</v>
      </c>
      <c r="D474" s="15" t="str">
        <f>IFERROR(__xludf.DUMMYFUNCTION("""COMPUTED_VALUE"""),"Active")</f>
        <v>Active</v>
      </c>
      <c r="E474" s="17">
        <f>IFERROR(__xludf.DUMMYFUNCTION("""COMPUTED_VALUE"""),43473.0)</f>
        <v>43473</v>
      </c>
      <c r="F474" s="54"/>
      <c r="G474" s="19">
        <f>IFERROR(__xludf.DUMMYFUNCTION("""COMPUTED_VALUE"""),92.93333333333334)</f>
        <v>92.93333333</v>
      </c>
      <c r="H474" s="17">
        <f>IFERROR(__xludf.DUMMYFUNCTION("""COMPUTED_VALUE"""),42856.0)</f>
        <v>42856</v>
      </c>
      <c r="I474" s="19">
        <f>IFERROR(__xludf.DUMMYFUNCTION("""COMPUTED_VALUE"""),1.6861111111111111)</f>
        <v>1.686111111</v>
      </c>
      <c r="J474" s="21">
        <f>IFERROR(__xludf.DUMMYFUNCTION("""COMPUTED_VALUE"""),50.0)</f>
        <v>50</v>
      </c>
      <c r="K474" s="23">
        <f>IFERROR(__xludf.DUMMYFUNCTION("""COMPUTED_VALUE"""),7.7)</f>
        <v>7.7</v>
      </c>
      <c r="L474" s="24">
        <f>IFERROR(__xludf.DUMMYFUNCTION("""COMPUTED_VALUE"""),12.0)</f>
        <v>12</v>
      </c>
      <c r="M474" s="25" t="str">
        <f>IFERROR(__xludf.DUMMYFUNCTION("""COMPUTED_VALUE"""),"Strategy")</f>
        <v>Strategy</v>
      </c>
      <c r="N474" s="25"/>
      <c r="O474" s="25" t="str">
        <f>IFERROR(__xludf.DUMMYFUNCTION("""COMPUTED_VALUE"""),"Yes")</f>
        <v>Yes</v>
      </c>
      <c r="P474" s="26" t="str">
        <f>IFERROR(__xludf.DUMMYFUNCTION("""COMPUTED_VALUE"""),"Yes")</f>
        <v>Yes</v>
      </c>
    </row>
    <row r="475">
      <c r="A475" s="13" t="str">
        <f>IFERROR(__xludf.DUMMYFUNCTION("""COMPUTED_VALUE"""),"Rapala Fishing: Pro Series")</f>
        <v>Rapala Fishing: Pro Series</v>
      </c>
      <c r="B475" s="15" t="str">
        <f>IFERROR(__xludf.DUMMYFUNCTION("""COMPUTED_VALUE"""),"PS4")</f>
        <v>PS4</v>
      </c>
      <c r="C475" s="16" t="str">
        <f>IFERROR(__xludf.DUMMYFUNCTION("""COMPUTED_VALUE"""),"Extra")</f>
        <v>Extra</v>
      </c>
      <c r="D475" s="15" t="str">
        <f>IFERROR(__xludf.DUMMYFUNCTION("""COMPUTED_VALUE"""),"Active")</f>
        <v>Active</v>
      </c>
      <c r="E475" s="17">
        <f>IFERROR(__xludf.DUMMYFUNCTION("""COMPUTED_VALUE"""),44725.0)</f>
        <v>44725</v>
      </c>
      <c r="F475" s="54"/>
      <c r="G475" s="19">
        <f>IFERROR(__xludf.DUMMYFUNCTION("""COMPUTED_VALUE"""),51.766666666666666)</f>
        <v>51.76666667</v>
      </c>
      <c r="H475" s="17">
        <f>IFERROR(__xludf.DUMMYFUNCTION("""COMPUTED_VALUE"""),43032.0)</f>
        <v>43032</v>
      </c>
      <c r="I475" s="19">
        <f>IFERROR(__xludf.DUMMYFUNCTION("""COMPUTED_VALUE"""),4.636111111111111)</f>
        <v>4.636111111</v>
      </c>
      <c r="J475" s="21">
        <f>IFERROR(__xludf.DUMMYFUNCTION("""COMPUTED_VALUE"""),48.0)</f>
        <v>48</v>
      </c>
      <c r="K475" s="23">
        <f>IFERROR(__xludf.DUMMYFUNCTION("""COMPUTED_VALUE"""),5.2)</f>
        <v>5.2</v>
      </c>
      <c r="L475" s="24"/>
      <c r="M475" s="25" t="str">
        <f>IFERROR(__xludf.DUMMYFUNCTION("""COMPUTED_VALUE"""),"Sports")</f>
        <v>Sports</v>
      </c>
      <c r="N475" s="25"/>
      <c r="O475" s="25" t="str">
        <f>IFERROR(__xludf.DUMMYFUNCTION("""COMPUTED_VALUE"""),"Yes")</f>
        <v>Yes</v>
      </c>
      <c r="P475" s="26"/>
    </row>
    <row r="476">
      <c r="A476" s="13" t="str">
        <f>IFERROR(__xludf.DUMMYFUNCTION("""COMPUTED_VALUE"""),"Hello Neighbor")</f>
        <v>Hello Neighbor</v>
      </c>
      <c r="B476" s="15" t="str">
        <f>IFERROR(__xludf.DUMMYFUNCTION("""COMPUTED_VALUE"""),"PS4")</f>
        <v>PS4</v>
      </c>
      <c r="C476" s="16" t="str">
        <f>IFERROR(__xludf.DUMMYFUNCTION("""COMPUTED_VALUE"""),"Extra")</f>
        <v>Extra</v>
      </c>
      <c r="D476" s="15" t="str">
        <f>IFERROR(__xludf.DUMMYFUNCTION("""COMPUTED_VALUE"""),"Active")</f>
        <v>Active</v>
      </c>
      <c r="E476" s="17">
        <f>IFERROR(__xludf.DUMMYFUNCTION("""COMPUTED_VALUE"""),44725.0)</f>
        <v>44725</v>
      </c>
      <c r="F476" s="54"/>
      <c r="G476" s="19">
        <f>IFERROR(__xludf.DUMMYFUNCTION("""COMPUTED_VALUE"""),51.766666666666666)</f>
        <v>51.76666667</v>
      </c>
      <c r="H476" s="17">
        <f>IFERROR(__xludf.DUMMYFUNCTION("""COMPUTED_VALUE"""),43070.0)</f>
        <v>43070</v>
      </c>
      <c r="I476" s="19">
        <f>IFERROR(__xludf.DUMMYFUNCTION("""COMPUTED_VALUE"""),4.533333333333333)</f>
        <v>4.533333333</v>
      </c>
      <c r="J476" s="21">
        <f>IFERROR(__xludf.DUMMYFUNCTION("""COMPUTED_VALUE"""),45.0)</f>
        <v>45</v>
      </c>
      <c r="K476" s="23">
        <f>IFERROR(__xludf.DUMMYFUNCTION("""COMPUTED_VALUE"""),4.7)</f>
        <v>4.7</v>
      </c>
      <c r="L476" s="24">
        <f>IFERROR(__xludf.DUMMYFUNCTION("""COMPUTED_VALUE"""),6.5)</f>
        <v>6.5</v>
      </c>
      <c r="M476" s="25" t="str">
        <f>IFERROR(__xludf.DUMMYFUNCTION("""COMPUTED_VALUE"""),"Horror")</f>
        <v>Horror</v>
      </c>
      <c r="N476" s="25"/>
      <c r="O476" s="25" t="str">
        <f>IFERROR(__xludf.DUMMYFUNCTION("""COMPUTED_VALUE"""),"Yes")</f>
        <v>Yes</v>
      </c>
      <c r="P476" s="26" t="str">
        <f>IFERROR(__xludf.DUMMYFUNCTION("""COMPUTED_VALUE"""),"Yes")</f>
        <v>Yes</v>
      </c>
    </row>
    <row r="477">
      <c r="A477" s="13" t="str">
        <f>IFERROR(__xludf.DUMMYFUNCTION("""COMPUTED_VALUE"""),"Crime Boss: Rockay City")</f>
        <v>Crime Boss: Rockay City</v>
      </c>
      <c r="B477" s="15" t="str">
        <f>IFERROR(__xludf.DUMMYFUNCTION("""COMPUTED_VALUE"""),"PS5")</f>
        <v>PS5</v>
      </c>
      <c r="C477" s="16" t="str">
        <f>IFERROR(__xludf.DUMMYFUNCTION("""COMPUTED_VALUE"""),"Extra")</f>
        <v>Extra</v>
      </c>
      <c r="D477" s="15" t="str">
        <f>IFERROR(__xludf.DUMMYFUNCTION("""COMPUTED_VALUE"""),"Active")</f>
        <v>Active</v>
      </c>
      <c r="E477" s="17">
        <f>IFERROR(__xludf.DUMMYFUNCTION("""COMPUTED_VALUE"""),45433.0)</f>
        <v>45433</v>
      </c>
      <c r="F477" s="54"/>
      <c r="G477" s="19">
        <f>IFERROR(__xludf.DUMMYFUNCTION("""COMPUTED_VALUE"""),28.5)</f>
        <v>28.5</v>
      </c>
      <c r="H477" s="17">
        <f>IFERROR(__xludf.DUMMYFUNCTION("""COMPUTED_VALUE"""),45013.0)</f>
        <v>45013</v>
      </c>
      <c r="I477" s="19">
        <f>IFERROR(__xludf.DUMMYFUNCTION("""COMPUTED_VALUE"""),1.1472222222222221)</f>
        <v>1.147222222</v>
      </c>
      <c r="J477" s="21">
        <f>IFERROR(__xludf.DUMMYFUNCTION("""COMPUTED_VALUE"""),43.0)</f>
        <v>43</v>
      </c>
      <c r="K477" s="23">
        <f>IFERROR(__xludf.DUMMYFUNCTION("""COMPUTED_VALUE"""),5.5)</f>
        <v>5.5</v>
      </c>
      <c r="L477" s="24">
        <f>IFERROR(__xludf.DUMMYFUNCTION("""COMPUTED_VALUE"""),6.0)</f>
        <v>6</v>
      </c>
      <c r="M477" s="25" t="str">
        <f>IFERROR(__xludf.DUMMYFUNCTION("""COMPUTED_VALUE"""),"Shooter")</f>
        <v>Shooter</v>
      </c>
      <c r="N477" s="25"/>
      <c r="O477" s="25" t="str">
        <f>IFERROR(__xludf.DUMMYFUNCTION("""COMPUTED_VALUE"""),"Portal (PS5 + Premium)")</f>
        <v>Portal (PS5 + Premium)</v>
      </c>
      <c r="P477" s="26"/>
    </row>
    <row r="478">
      <c r="A478" s="13" t="str">
        <f>IFERROR(__xludf.DUMMYFUNCTION("""COMPUTED_VALUE"""),"Ben 10")</f>
        <v>Ben 10</v>
      </c>
      <c r="B478" s="15" t="str">
        <f>IFERROR(__xludf.DUMMYFUNCTION("""COMPUTED_VALUE"""),"PS4")</f>
        <v>PS4</v>
      </c>
      <c r="C478" s="16" t="str">
        <f>IFERROR(__xludf.DUMMYFUNCTION("""COMPUTED_VALUE"""),"Extra")</f>
        <v>Extra</v>
      </c>
      <c r="D478" s="15" t="str">
        <f>IFERROR(__xludf.DUMMYFUNCTION("""COMPUTED_VALUE"""),"Active")</f>
        <v>Active</v>
      </c>
      <c r="E478" s="17">
        <f>IFERROR(__xludf.DUMMYFUNCTION("""COMPUTED_VALUE"""),45552.0)</f>
        <v>45552</v>
      </c>
      <c r="F478" s="54"/>
      <c r="G478" s="19">
        <f>IFERROR(__xludf.DUMMYFUNCTION("""COMPUTED_VALUE"""),24.633333333333333)</f>
        <v>24.63333333</v>
      </c>
      <c r="H478" s="17">
        <f>IFERROR(__xludf.DUMMYFUNCTION("""COMPUTED_VALUE"""),43053.0)</f>
        <v>43053</v>
      </c>
      <c r="I478" s="19">
        <f>IFERROR(__xludf.DUMMYFUNCTION("""COMPUTED_VALUE"""),6.841666666666667)</f>
        <v>6.841666667</v>
      </c>
      <c r="J478" s="21">
        <f>IFERROR(__xludf.DUMMYFUNCTION("""COMPUTED_VALUE"""),41.0)</f>
        <v>41</v>
      </c>
      <c r="K478" s="23">
        <f>IFERROR(__xludf.DUMMYFUNCTION("""COMPUTED_VALUE"""),5.1)</f>
        <v>5.1</v>
      </c>
      <c r="L478" s="24">
        <f>IFERROR(__xludf.DUMMYFUNCTION("""COMPUTED_VALUE"""),3.0)</f>
        <v>3</v>
      </c>
      <c r="M478" s="25" t="str">
        <f>IFERROR(__xludf.DUMMYFUNCTION("""COMPUTED_VALUE"""),"Beat-'Em-Up")</f>
        <v>Beat-'Em-Up</v>
      </c>
      <c r="N478" s="25"/>
      <c r="O478" s="25" t="str">
        <f>IFERROR(__xludf.DUMMYFUNCTION("""COMPUTED_VALUE"""),"Yes")</f>
        <v>Yes</v>
      </c>
      <c r="P478" s="26"/>
    </row>
    <row r="479">
      <c r="A479" s="13" t="str">
        <f>IFERROR(__xludf.DUMMYFUNCTION("""COMPUTED_VALUE"""),"Bubsy: The Woolies Strike Back")</f>
        <v>Bubsy: The Woolies Strike Back</v>
      </c>
      <c r="B479" s="15" t="str">
        <f>IFERROR(__xludf.DUMMYFUNCTION("""COMPUTED_VALUE"""),"PS4")</f>
        <v>PS4</v>
      </c>
      <c r="C479" s="16" t="str">
        <f>IFERROR(__xludf.DUMMYFUNCTION("""COMPUTED_VALUE"""),"Extra")</f>
        <v>Extra</v>
      </c>
      <c r="D479" s="15" t="str">
        <f>IFERROR(__xludf.DUMMYFUNCTION("""COMPUTED_VALUE"""),"Active")</f>
        <v>Active</v>
      </c>
      <c r="E479" s="17">
        <f>IFERROR(__xludf.DUMMYFUNCTION("""COMPUTED_VALUE"""),43438.0)</f>
        <v>43438</v>
      </c>
      <c r="F479" s="54"/>
      <c r="G479" s="19">
        <f>IFERROR(__xludf.DUMMYFUNCTION("""COMPUTED_VALUE"""),94.06666666666666)</f>
        <v>94.06666667</v>
      </c>
      <c r="H479" s="17">
        <f>IFERROR(__xludf.DUMMYFUNCTION("""COMPUTED_VALUE"""),43009.0)</f>
        <v>43009</v>
      </c>
      <c r="I479" s="19">
        <f>IFERROR(__xludf.DUMMYFUNCTION("""COMPUTED_VALUE"""),1.175)</f>
        <v>1.175</v>
      </c>
      <c r="J479" s="21">
        <f>IFERROR(__xludf.DUMMYFUNCTION("""COMPUTED_VALUE"""),39.0)</f>
        <v>39</v>
      </c>
      <c r="K479" s="23">
        <f>IFERROR(__xludf.DUMMYFUNCTION("""COMPUTED_VALUE"""),5.5)</f>
        <v>5.5</v>
      </c>
      <c r="L479" s="24">
        <f>IFERROR(__xludf.DUMMYFUNCTION("""COMPUTED_VALUE"""),1.5)</f>
        <v>1.5</v>
      </c>
      <c r="M479" s="25" t="str">
        <f>IFERROR(__xludf.DUMMYFUNCTION("""COMPUTED_VALUE"""),"Action-Adventure")</f>
        <v>Action-Adventure</v>
      </c>
      <c r="N479" s="25"/>
      <c r="O479" s="25" t="str">
        <f>IFERROR(__xludf.DUMMYFUNCTION("""COMPUTED_VALUE"""),"Yes")</f>
        <v>Yes</v>
      </c>
      <c r="P479" s="26"/>
    </row>
    <row r="480">
      <c r="A480" s="13" t="str">
        <f>IFERROR(__xludf.DUMMYFUNCTION("""COMPUTED_VALUE"""),"Harvest Moon: Mad Dash")</f>
        <v>Harvest Moon: Mad Dash</v>
      </c>
      <c r="B480" s="15" t="str">
        <f>IFERROR(__xludf.DUMMYFUNCTION("""COMPUTED_VALUE"""),"PS4")</f>
        <v>PS4</v>
      </c>
      <c r="C480" s="16" t="str">
        <f>IFERROR(__xludf.DUMMYFUNCTION("""COMPUTED_VALUE"""),"Extra")</f>
        <v>Extra</v>
      </c>
      <c r="D480" s="15" t="str">
        <f>IFERROR(__xludf.DUMMYFUNCTION("""COMPUTED_VALUE"""),"Active")</f>
        <v>Active</v>
      </c>
      <c r="E480" s="17">
        <f>IFERROR(__xludf.DUMMYFUNCTION("""COMPUTED_VALUE"""),44725.0)</f>
        <v>44725</v>
      </c>
      <c r="F480" s="54"/>
      <c r="G480" s="19">
        <f>IFERROR(__xludf.DUMMYFUNCTION("""COMPUTED_VALUE"""),51.766666666666666)</f>
        <v>51.76666667</v>
      </c>
      <c r="H480" s="17">
        <f>IFERROR(__xludf.DUMMYFUNCTION("""COMPUTED_VALUE"""),43767.0)</f>
        <v>43767</v>
      </c>
      <c r="I480" s="19">
        <f>IFERROR(__xludf.DUMMYFUNCTION("""COMPUTED_VALUE"""),2.6222222222222222)</f>
        <v>2.622222222</v>
      </c>
      <c r="J480" s="21">
        <f>IFERROR(__xludf.DUMMYFUNCTION("""COMPUTED_VALUE"""),37.0)</f>
        <v>37</v>
      </c>
      <c r="K480" s="23">
        <f>IFERROR(__xludf.DUMMYFUNCTION("""COMPUTED_VALUE"""),6.2)</f>
        <v>6.2</v>
      </c>
      <c r="L480" s="24">
        <f>IFERROR(__xludf.DUMMYFUNCTION("""COMPUTED_VALUE"""),9.0)</f>
        <v>9</v>
      </c>
      <c r="M480" s="25" t="str">
        <f>IFERROR(__xludf.DUMMYFUNCTION("""COMPUTED_VALUE"""),"Puzzle")</f>
        <v>Puzzle</v>
      </c>
      <c r="N480" s="25"/>
      <c r="O480" s="25" t="str">
        <f>IFERROR(__xludf.DUMMYFUNCTION("""COMPUTED_VALUE"""),"No")</f>
        <v>No</v>
      </c>
      <c r="P480" s="26" t="str">
        <f>IFERROR(__xludf.DUMMYFUNCTION("""COMPUTED_VALUE"""),"Yes")</f>
        <v>Yes</v>
      </c>
    </row>
    <row r="481">
      <c r="A481" s="13" t="str">
        <f>IFERROR(__xludf.DUMMYFUNCTION("""COMPUTED_VALUE"""),"Cartoon Network: Battle Crashers")</f>
        <v>Cartoon Network: Battle Crashers</v>
      </c>
      <c r="B481" s="15" t="str">
        <f>IFERROR(__xludf.DUMMYFUNCTION("""COMPUTED_VALUE"""),"PS4")</f>
        <v>PS4</v>
      </c>
      <c r="C481" s="16" t="str">
        <f>IFERROR(__xludf.DUMMYFUNCTION("""COMPUTED_VALUE"""),"Extra")</f>
        <v>Extra</v>
      </c>
      <c r="D481" s="15" t="str">
        <f>IFERROR(__xludf.DUMMYFUNCTION("""COMPUTED_VALUE"""),"Active")</f>
        <v>Active</v>
      </c>
      <c r="E481" s="17">
        <f>IFERROR(__xludf.DUMMYFUNCTION("""COMPUTED_VALUE"""),44725.0)</f>
        <v>44725</v>
      </c>
      <c r="F481" s="54"/>
      <c r="G481" s="19">
        <f>IFERROR(__xludf.DUMMYFUNCTION("""COMPUTED_VALUE"""),51.766666666666666)</f>
        <v>51.76666667</v>
      </c>
      <c r="H481" s="17">
        <f>IFERROR(__xludf.DUMMYFUNCTION("""COMPUTED_VALUE"""),42682.0)</f>
        <v>42682</v>
      </c>
      <c r="I481" s="19">
        <f>IFERROR(__xludf.DUMMYFUNCTION("""COMPUTED_VALUE"""),5.597222222222222)</f>
        <v>5.597222222</v>
      </c>
      <c r="J481" s="21">
        <f>IFERROR(__xludf.DUMMYFUNCTION("""COMPUTED_VALUE"""),29.0)</f>
        <v>29</v>
      </c>
      <c r="K481" s="23">
        <f>IFERROR(__xludf.DUMMYFUNCTION("""COMPUTED_VALUE"""),5.5)</f>
        <v>5.5</v>
      </c>
      <c r="L481" s="24">
        <f>IFERROR(__xludf.DUMMYFUNCTION("""COMPUTED_VALUE"""),5.0)</f>
        <v>5</v>
      </c>
      <c r="M481" s="25" t="str">
        <f>IFERROR(__xludf.DUMMYFUNCTION("""COMPUTED_VALUE"""),"Arcade")</f>
        <v>Arcade</v>
      </c>
      <c r="N481" s="25"/>
      <c r="O481" s="25" t="str">
        <f>IFERROR(__xludf.DUMMYFUNCTION("""COMPUTED_VALUE"""),"Yes")</f>
        <v>Yes</v>
      </c>
      <c r="P481" s="26" t="str">
        <f>IFERROR(__xludf.DUMMYFUNCTION("""COMPUTED_VALUE"""),"Yes")</f>
        <v>Yes</v>
      </c>
    </row>
    <row r="482">
      <c r="A482" s="13" t="str">
        <f>IFERROR(__xludf.DUMMYFUNCTION("""COMPUTED_VALUE"""),"JUMANJI: The Video Game")</f>
        <v>JUMANJI: The Video Game</v>
      </c>
      <c r="B482" s="15" t="str">
        <f>IFERROR(__xludf.DUMMYFUNCTION("""COMPUTED_VALUE"""),"PS4")</f>
        <v>PS4</v>
      </c>
      <c r="C482" s="16" t="str">
        <f>IFERROR(__xludf.DUMMYFUNCTION("""COMPUTED_VALUE"""),"Extra")</f>
        <v>Extra</v>
      </c>
      <c r="D482" s="15" t="str">
        <f>IFERROR(__xludf.DUMMYFUNCTION("""COMPUTED_VALUE"""),"Active")</f>
        <v>Active</v>
      </c>
      <c r="E482" s="17">
        <f>IFERROR(__xludf.DUMMYFUNCTION("""COMPUTED_VALUE"""),44761.0)</f>
        <v>44761</v>
      </c>
      <c r="F482" s="54"/>
      <c r="G482" s="19">
        <f>IFERROR(__xludf.DUMMYFUNCTION("""COMPUTED_VALUE"""),50.56666666666666)</f>
        <v>50.56666667</v>
      </c>
      <c r="H482" s="17">
        <f>IFERROR(__xludf.DUMMYFUNCTION("""COMPUTED_VALUE"""),43777.0)</f>
        <v>43777</v>
      </c>
      <c r="I482" s="19">
        <f>IFERROR(__xludf.DUMMYFUNCTION("""COMPUTED_VALUE"""),2.6972222222222224)</f>
        <v>2.697222222</v>
      </c>
      <c r="J482" s="21">
        <f>IFERROR(__xludf.DUMMYFUNCTION("""COMPUTED_VALUE"""),25.0)</f>
        <v>25</v>
      </c>
      <c r="K482" s="23">
        <f>IFERROR(__xludf.DUMMYFUNCTION("""COMPUTED_VALUE"""),1.3)</f>
        <v>1.3</v>
      </c>
      <c r="L482" s="24">
        <f>IFERROR(__xludf.DUMMYFUNCTION("""COMPUTED_VALUE"""),1.5)</f>
        <v>1.5</v>
      </c>
      <c r="M482" s="25" t="str">
        <f>IFERROR(__xludf.DUMMYFUNCTION("""COMPUTED_VALUE"""),"Shooter")</f>
        <v>Shooter</v>
      </c>
      <c r="N482" s="25"/>
      <c r="O482" s="25" t="str">
        <f>IFERROR(__xludf.DUMMYFUNCTION("""COMPUTED_VALUE"""),"Yes")</f>
        <v>Yes</v>
      </c>
      <c r="P482" s="26"/>
    </row>
    <row r="483">
      <c r="A483" s="13" t="str">
        <f>IFERROR(__xludf.DUMMYFUNCTION("""COMPUTED_VALUE"""),"RuneScape: Dragonwilds")</f>
        <v>RuneScape: Dragonwilds</v>
      </c>
      <c r="B483" s="15" t="str">
        <f>IFERROR(__xludf.DUMMYFUNCTION("""COMPUTED_VALUE"""),"PS5")</f>
        <v>PS5</v>
      </c>
      <c r="C483" s="16" t="str">
        <f>IFERROR(__xludf.DUMMYFUNCTION("""COMPUTED_VALUE"""),"Extra")</f>
        <v>Extra</v>
      </c>
      <c r="D483" s="15" t="str">
        <f>IFERROR(__xludf.DUMMYFUNCTION("""COMPUTED_VALUE"""),"Active")</f>
        <v>Active</v>
      </c>
      <c r="E483" s="17">
        <f>IFERROR(__xludf.DUMMYFUNCTION("""COMPUTED_VALUE"""),46280.0)</f>
        <v>46280</v>
      </c>
      <c r="F483" s="54"/>
      <c r="G483" s="19">
        <f>IFERROR(__xludf.DUMMYFUNCTION("""COMPUTED_VALUE"""),0.7)</f>
        <v>0.7</v>
      </c>
      <c r="H483" s="17">
        <f>IFERROR(__xludf.DUMMYFUNCTION("""COMPUTED_VALUE"""),46280.0)</f>
        <v>46280</v>
      </c>
      <c r="I483" s="19">
        <f>IFERROR(__xludf.DUMMYFUNCTION("""COMPUTED_VALUE"""),0.0)</f>
        <v>0</v>
      </c>
      <c r="J483" s="21"/>
      <c r="K483" s="23"/>
      <c r="L483" s="24">
        <f>IFERROR(__xludf.DUMMYFUNCTION("""COMPUTED_VALUE"""),20.0)</f>
        <v>20</v>
      </c>
      <c r="M483" s="25" t="str">
        <f>IFERROR(__xludf.DUMMYFUNCTION("""COMPUTED_VALUE"""),"Action-Adventure")</f>
        <v>Action-Adventure</v>
      </c>
      <c r="N483" s="25"/>
      <c r="O483" s="25" t="str">
        <f>IFERROR(__xludf.DUMMYFUNCTION("""COMPUTED_VALUE"""),"No")</f>
        <v>No</v>
      </c>
      <c r="P483" s="26"/>
    </row>
    <row r="484">
      <c r="A484" s="13" t="str">
        <f>IFERROR(__xludf.DUMMYFUNCTION("""COMPUTED_VALUE"""),"Bassmaster Fishing")</f>
        <v>Bassmaster Fishing</v>
      </c>
      <c r="B484" s="15" t="str">
        <f>IFERROR(__xludf.DUMMYFUNCTION("""COMPUTED_VALUE"""),"PS5/PS4")</f>
        <v>PS5/PS4</v>
      </c>
      <c r="C484" s="16" t="str">
        <f>IFERROR(__xludf.DUMMYFUNCTION("""COMPUTED_VALUE"""),"Extra")</f>
        <v>Extra</v>
      </c>
      <c r="D484" s="15" t="str">
        <f>IFERROR(__xludf.DUMMYFUNCTION("""COMPUTED_VALUE"""),"Active")</f>
        <v>Active</v>
      </c>
      <c r="E484" s="17">
        <f>IFERROR(__xludf.DUMMYFUNCTION("""COMPUTED_VALUE"""),45034.0)</f>
        <v>45034</v>
      </c>
      <c r="F484" s="54"/>
      <c r="G484" s="19">
        <f>IFERROR(__xludf.DUMMYFUNCTION("""COMPUTED_VALUE"""),41.6)</f>
        <v>41.6</v>
      </c>
      <c r="H484" s="17">
        <f>IFERROR(__xludf.DUMMYFUNCTION("""COMPUTED_VALUE"""),35122.0)</f>
        <v>35122</v>
      </c>
      <c r="I484" s="19">
        <f>IFERROR(__xludf.DUMMYFUNCTION("""COMPUTED_VALUE"""),27.141666666666666)</f>
        <v>27.14166667</v>
      </c>
      <c r="J484" s="21"/>
      <c r="K484" s="23">
        <f>IFERROR(__xludf.DUMMYFUNCTION("""COMPUTED_VALUE"""),4.0)</f>
        <v>4</v>
      </c>
      <c r="L484" s="24"/>
      <c r="M484" s="25" t="str">
        <f>IFERROR(__xludf.DUMMYFUNCTION("""COMPUTED_VALUE"""),"Sports")</f>
        <v>Sports</v>
      </c>
      <c r="N484" s="25"/>
      <c r="O484" s="25" t="str">
        <f>IFERROR(__xludf.DUMMYFUNCTION("""COMPUTED_VALUE"""),"No")</f>
        <v>No</v>
      </c>
      <c r="P484" s="26"/>
    </row>
    <row r="485">
      <c r="A485" s="52"/>
      <c r="B485" s="15"/>
      <c r="C485" s="16"/>
      <c r="D485" s="15"/>
      <c r="E485" s="17"/>
      <c r="F485" s="54"/>
      <c r="G485" s="19"/>
      <c r="H485" s="17"/>
      <c r="I485" s="19"/>
      <c r="J485" s="21"/>
      <c r="K485" s="57"/>
      <c r="L485" s="24"/>
      <c r="M485" s="25"/>
      <c r="N485" s="25"/>
      <c r="O485" s="25"/>
      <c r="P485" s="26"/>
    </row>
    <row r="486">
      <c r="A486" s="52"/>
      <c r="B486" s="15"/>
      <c r="C486" s="16"/>
      <c r="D486" s="15"/>
      <c r="E486" s="17"/>
      <c r="F486" s="54"/>
      <c r="G486" s="19"/>
      <c r="H486" s="17"/>
      <c r="I486" s="19"/>
      <c r="J486" s="21"/>
      <c r="K486" s="57"/>
      <c r="L486" s="24"/>
      <c r="M486" s="25"/>
      <c r="N486" s="25"/>
      <c r="O486" s="25"/>
      <c r="P486" s="26"/>
    </row>
    <row r="487">
      <c r="A487" s="52"/>
      <c r="B487" s="15"/>
      <c r="C487" s="16"/>
      <c r="D487" s="15"/>
      <c r="E487" s="17"/>
      <c r="F487" s="54"/>
      <c r="G487" s="19"/>
      <c r="H487" s="17"/>
      <c r="I487" s="19"/>
      <c r="J487" s="21"/>
      <c r="K487" s="57"/>
      <c r="L487" s="24"/>
      <c r="M487" s="25"/>
      <c r="N487" s="25"/>
      <c r="O487" s="25"/>
      <c r="P487" s="26"/>
    </row>
    <row r="488">
      <c r="A488" s="52"/>
      <c r="B488" s="15"/>
      <c r="C488" s="16"/>
      <c r="D488" s="15"/>
      <c r="E488" s="17"/>
      <c r="F488" s="54"/>
      <c r="G488" s="19"/>
      <c r="H488" s="17"/>
      <c r="I488" s="19"/>
      <c r="J488" s="21"/>
      <c r="K488" s="57"/>
      <c r="L488" s="24"/>
      <c r="M488" s="25"/>
      <c r="N488" s="25"/>
      <c r="O488" s="25"/>
      <c r="P488" s="26"/>
    </row>
    <row r="489">
      <c r="A489" s="52"/>
      <c r="B489" s="15"/>
      <c r="C489" s="16"/>
      <c r="D489" s="15"/>
      <c r="E489" s="17"/>
      <c r="F489" s="54"/>
      <c r="G489" s="19"/>
      <c r="H489" s="17"/>
      <c r="I489" s="19"/>
      <c r="J489" s="21"/>
      <c r="K489" s="57"/>
      <c r="L489" s="24"/>
      <c r="M489" s="25"/>
      <c r="N489" s="25"/>
      <c r="O489" s="25"/>
      <c r="P489" s="26"/>
    </row>
    <row r="490">
      <c r="A490" s="52"/>
      <c r="B490" s="15"/>
      <c r="C490" s="16"/>
      <c r="D490" s="15"/>
      <c r="E490" s="17"/>
      <c r="F490" s="54"/>
      <c r="G490" s="19"/>
      <c r="H490" s="17"/>
      <c r="I490" s="19"/>
      <c r="J490" s="21"/>
      <c r="K490" s="57"/>
      <c r="L490" s="24"/>
      <c r="M490" s="25"/>
      <c r="N490" s="25"/>
      <c r="O490" s="25"/>
      <c r="P490" s="26"/>
    </row>
    <row r="491">
      <c r="A491" s="52"/>
      <c r="B491" s="15"/>
      <c r="C491" s="16"/>
      <c r="D491" s="15"/>
      <c r="E491" s="17"/>
      <c r="F491" s="54"/>
      <c r="G491" s="19"/>
      <c r="H491" s="17"/>
      <c r="I491" s="19"/>
      <c r="J491" s="21"/>
      <c r="K491" s="57"/>
      <c r="L491" s="24"/>
      <c r="M491" s="25"/>
      <c r="N491" s="25"/>
      <c r="O491" s="25"/>
      <c r="P491" s="26"/>
    </row>
    <row r="492">
      <c r="A492" s="52"/>
      <c r="B492" s="15"/>
      <c r="C492" s="16"/>
      <c r="D492" s="15"/>
      <c r="E492" s="17"/>
      <c r="F492" s="54"/>
      <c r="G492" s="19"/>
      <c r="H492" s="17"/>
      <c r="I492" s="19"/>
      <c r="J492" s="21"/>
      <c r="K492" s="57"/>
      <c r="L492" s="24"/>
      <c r="M492" s="25"/>
      <c r="N492" s="25"/>
      <c r="O492" s="25"/>
      <c r="P492" s="26"/>
    </row>
    <row r="493">
      <c r="A493" s="52"/>
      <c r="B493" s="15"/>
      <c r="C493" s="16"/>
      <c r="D493" s="15"/>
      <c r="E493" s="17"/>
      <c r="F493" s="54"/>
      <c r="G493" s="19"/>
      <c r="H493" s="17"/>
      <c r="I493" s="19"/>
      <c r="J493" s="21"/>
      <c r="K493" s="57"/>
      <c r="L493" s="24"/>
      <c r="M493" s="25"/>
      <c r="N493" s="25"/>
      <c r="O493" s="25"/>
      <c r="P493" s="26"/>
    </row>
    <row r="494">
      <c r="A494" s="52"/>
      <c r="B494" s="15"/>
      <c r="C494" s="16"/>
      <c r="D494" s="15"/>
      <c r="E494" s="17"/>
      <c r="F494" s="54"/>
      <c r="G494" s="19"/>
      <c r="H494" s="17"/>
      <c r="I494" s="19"/>
      <c r="J494" s="21"/>
      <c r="K494" s="57"/>
      <c r="L494" s="24"/>
      <c r="M494" s="25"/>
      <c r="N494" s="25"/>
      <c r="O494" s="25"/>
      <c r="P494" s="26"/>
    </row>
    <row r="495">
      <c r="A495" s="52"/>
      <c r="B495" s="15"/>
      <c r="C495" s="16"/>
      <c r="D495" s="15"/>
      <c r="E495" s="17"/>
      <c r="F495" s="54"/>
      <c r="G495" s="19"/>
      <c r="H495" s="17"/>
      <c r="I495" s="19"/>
      <c r="J495" s="21"/>
      <c r="K495" s="57"/>
      <c r="L495" s="24"/>
      <c r="M495" s="25"/>
      <c r="N495" s="25"/>
      <c r="O495" s="25"/>
      <c r="P495" s="26"/>
    </row>
    <row r="496">
      <c r="A496" s="52"/>
      <c r="B496" s="15"/>
      <c r="C496" s="16"/>
      <c r="D496" s="15"/>
      <c r="E496" s="17"/>
      <c r="F496" s="54"/>
      <c r="G496" s="19"/>
      <c r="H496" s="17"/>
      <c r="I496" s="19"/>
      <c r="J496" s="21"/>
      <c r="K496" s="57"/>
      <c r="L496" s="24"/>
      <c r="M496" s="25"/>
      <c r="N496" s="25"/>
      <c r="O496" s="25"/>
      <c r="P496" s="26"/>
    </row>
    <row r="497">
      <c r="A497" s="52"/>
      <c r="B497" s="15"/>
      <c r="C497" s="16"/>
      <c r="D497" s="15"/>
      <c r="E497" s="17"/>
      <c r="F497" s="54"/>
      <c r="G497" s="19"/>
      <c r="H497" s="17"/>
      <c r="I497" s="19"/>
      <c r="J497" s="21"/>
      <c r="K497" s="57"/>
      <c r="L497" s="24"/>
      <c r="M497" s="25"/>
      <c r="N497" s="25"/>
      <c r="O497" s="25"/>
      <c r="P497" s="26"/>
    </row>
    <row r="498">
      <c r="A498" s="52"/>
      <c r="B498" s="15"/>
      <c r="C498" s="16"/>
      <c r="D498" s="15"/>
      <c r="E498" s="17"/>
      <c r="F498" s="54"/>
      <c r="G498" s="19"/>
      <c r="H498" s="17"/>
      <c r="I498" s="19"/>
      <c r="J498" s="21"/>
      <c r="K498" s="57"/>
      <c r="L498" s="24"/>
      <c r="M498" s="25"/>
      <c r="N498" s="25"/>
      <c r="O498" s="25"/>
      <c r="P498" s="26"/>
    </row>
    <row r="499">
      <c r="A499" s="52"/>
      <c r="B499" s="15"/>
      <c r="C499" s="16"/>
      <c r="D499" s="15"/>
      <c r="E499" s="17"/>
      <c r="F499" s="54"/>
      <c r="G499" s="19"/>
      <c r="H499" s="17"/>
      <c r="I499" s="19"/>
      <c r="J499" s="21"/>
      <c r="K499" s="57"/>
      <c r="L499" s="24"/>
      <c r="M499" s="25"/>
      <c r="N499" s="25"/>
      <c r="O499" s="25"/>
      <c r="P499" s="26"/>
    </row>
    <row r="500">
      <c r="A500" s="52"/>
      <c r="B500" s="15"/>
      <c r="C500" s="16"/>
      <c r="D500" s="15"/>
      <c r="E500" s="17"/>
      <c r="F500" s="54"/>
      <c r="G500" s="19"/>
      <c r="H500" s="17"/>
      <c r="I500" s="19"/>
      <c r="J500" s="21"/>
      <c r="K500" s="57"/>
      <c r="L500" s="24"/>
      <c r="M500" s="25"/>
      <c r="N500" s="25"/>
      <c r="O500" s="25"/>
      <c r="P500" s="26"/>
    </row>
    <row r="501">
      <c r="A501" s="52"/>
      <c r="B501" s="15"/>
      <c r="C501" s="16"/>
      <c r="D501" s="15"/>
      <c r="E501" s="17"/>
      <c r="F501" s="54"/>
      <c r="G501" s="19"/>
      <c r="H501" s="17"/>
      <c r="I501" s="19"/>
      <c r="J501" s="21"/>
      <c r="K501" s="57"/>
      <c r="L501" s="24"/>
      <c r="M501" s="25"/>
      <c r="N501" s="25"/>
      <c r="O501" s="25"/>
      <c r="P501" s="26"/>
    </row>
    <row r="502">
      <c r="A502" s="52"/>
      <c r="B502" s="15"/>
      <c r="C502" s="16"/>
      <c r="D502" s="15"/>
      <c r="E502" s="17"/>
      <c r="F502" s="54"/>
      <c r="G502" s="19"/>
      <c r="H502" s="17"/>
      <c r="I502" s="19"/>
      <c r="J502" s="21"/>
      <c r="K502" s="57"/>
      <c r="L502" s="24"/>
      <c r="M502" s="25"/>
      <c r="N502" s="25"/>
      <c r="O502" s="25"/>
      <c r="P502" s="26"/>
    </row>
    <row r="503">
      <c r="A503" s="52"/>
      <c r="B503" s="15"/>
      <c r="C503" s="16"/>
      <c r="D503" s="15"/>
      <c r="E503" s="17"/>
      <c r="F503" s="54"/>
      <c r="G503" s="19"/>
      <c r="H503" s="17"/>
      <c r="I503" s="19"/>
      <c r="J503" s="21"/>
      <c r="K503" s="57"/>
      <c r="L503" s="24"/>
      <c r="M503" s="25"/>
      <c r="N503" s="25"/>
      <c r="O503" s="25"/>
      <c r="P503" s="26"/>
    </row>
    <row r="504">
      <c r="A504" s="52"/>
      <c r="B504" s="15"/>
      <c r="C504" s="16"/>
      <c r="D504" s="15"/>
      <c r="E504" s="17"/>
      <c r="F504" s="54"/>
      <c r="G504" s="19"/>
      <c r="H504" s="17"/>
      <c r="I504" s="19"/>
      <c r="J504" s="21"/>
      <c r="K504" s="57"/>
      <c r="L504" s="24"/>
      <c r="M504" s="25"/>
      <c r="N504" s="25"/>
      <c r="O504" s="25"/>
      <c r="P504" s="26"/>
    </row>
    <row r="505">
      <c r="A505" s="52"/>
      <c r="B505" s="15"/>
      <c r="C505" s="16"/>
      <c r="D505" s="15"/>
      <c r="E505" s="17"/>
      <c r="F505" s="54"/>
      <c r="G505" s="19"/>
      <c r="H505" s="17"/>
      <c r="I505" s="19"/>
      <c r="J505" s="21"/>
      <c r="K505" s="57"/>
      <c r="L505" s="24"/>
      <c r="M505" s="25"/>
      <c r="N505" s="25"/>
      <c r="O505" s="25"/>
      <c r="P505" s="26"/>
    </row>
    <row r="506">
      <c r="A506" s="52"/>
      <c r="B506" s="15"/>
      <c r="C506" s="16"/>
      <c r="D506" s="15"/>
      <c r="E506" s="17"/>
      <c r="F506" s="54"/>
      <c r="G506" s="19"/>
      <c r="H506" s="17"/>
      <c r="I506" s="19"/>
      <c r="J506" s="21"/>
      <c r="K506" s="57"/>
      <c r="L506" s="24"/>
      <c r="M506" s="25"/>
      <c r="N506" s="25"/>
      <c r="O506" s="25"/>
      <c r="P506" s="26"/>
    </row>
    <row r="507">
      <c r="A507" s="52"/>
      <c r="B507" s="15"/>
      <c r="C507" s="16"/>
      <c r="D507" s="15"/>
      <c r="E507" s="17"/>
      <c r="F507" s="54"/>
      <c r="G507" s="19"/>
      <c r="H507" s="17"/>
      <c r="I507" s="19"/>
      <c r="J507" s="21"/>
      <c r="K507" s="57"/>
      <c r="L507" s="24"/>
      <c r="M507" s="25"/>
      <c r="N507" s="25"/>
      <c r="O507" s="25"/>
      <c r="P507" s="26"/>
    </row>
    <row r="508">
      <c r="A508" s="52"/>
      <c r="B508" s="15"/>
      <c r="C508" s="16"/>
      <c r="D508" s="15"/>
      <c r="E508" s="17"/>
      <c r="F508" s="54"/>
      <c r="G508" s="19"/>
      <c r="H508" s="17"/>
      <c r="I508" s="19"/>
      <c r="J508" s="21"/>
      <c r="K508" s="57"/>
      <c r="L508" s="24"/>
      <c r="M508" s="25"/>
      <c r="N508" s="25"/>
      <c r="O508" s="25"/>
      <c r="P508" s="26"/>
    </row>
    <row r="509">
      <c r="A509" s="52"/>
      <c r="B509" s="15"/>
      <c r="C509" s="16"/>
      <c r="D509" s="15"/>
      <c r="E509" s="17"/>
      <c r="F509" s="54"/>
      <c r="G509" s="19"/>
      <c r="H509" s="17"/>
      <c r="I509" s="19"/>
      <c r="J509" s="21"/>
      <c r="K509" s="57"/>
      <c r="L509" s="24"/>
      <c r="M509" s="25"/>
      <c r="N509" s="25"/>
      <c r="O509" s="25"/>
      <c r="P509" s="26"/>
    </row>
    <row r="510">
      <c r="A510" s="52"/>
      <c r="B510" s="15"/>
      <c r="C510" s="16"/>
      <c r="D510" s="15"/>
      <c r="E510" s="17"/>
      <c r="F510" s="54"/>
      <c r="G510" s="19"/>
      <c r="H510" s="17"/>
      <c r="I510" s="19"/>
      <c r="J510" s="21"/>
      <c r="K510" s="57"/>
      <c r="L510" s="24"/>
      <c r="M510" s="25"/>
      <c r="N510" s="25"/>
      <c r="O510" s="25"/>
      <c r="P510" s="26"/>
    </row>
    <row r="511">
      <c r="A511" s="52"/>
      <c r="B511" s="15"/>
      <c r="C511" s="16"/>
      <c r="D511" s="15"/>
      <c r="E511" s="17"/>
      <c r="F511" s="54"/>
      <c r="G511" s="19"/>
      <c r="H511" s="17"/>
      <c r="I511" s="19"/>
      <c r="J511" s="21"/>
      <c r="K511" s="57"/>
      <c r="L511" s="24"/>
      <c r="M511" s="25"/>
      <c r="N511" s="25"/>
      <c r="O511" s="25"/>
      <c r="P511" s="26"/>
    </row>
    <row r="512">
      <c r="A512" s="52"/>
      <c r="B512" s="15"/>
      <c r="C512" s="16"/>
      <c r="D512" s="15"/>
      <c r="E512" s="17"/>
      <c r="F512" s="54"/>
      <c r="G512" s="19"/>
      <c r="H512" s="17"/>
      <c r="I512" s="19"/>
      <c r="J512" s="21"/>
      <c r="K512" s="57"/>
      <c r="L512" s="24"/>
      <c r="M512" s="25"/>
      <c r="N512" s="25"/>
      <c r="O512" s="25"/>
      <c r="P512" s="26"/>
    </row>
    <row r="513">
      <c r="A513" s="52"/>
      <c r="B513" s="15"/>
      <c r="C513" s="16"/>
      <c r="D513" s="15"/>
      <c r="E513" s="17"/>
      <c r="F513" s="54"/>
      <c r="G513" s="19"/>
      <c r="H513" s="17"/>
      <c r="I513" s="19"/>
      <c r="J513" s="21"/>
      <c r="K513" s="57"/>
      <c r="L513" s="24"/>
      <c r="M513" s="25"/>
      <c r="N513" s="25"/>
      <c r="O513" s="25"/>
      <c r="P513" s="26"/>
    </row>
    <row r="514">
      <c r="A514" s="52"/>
      <c r="B514" s="15"/>
      <c r="C514" s="16"/>
      <c r="D514" s="15"/>
      <c r="E514" s="17"/>
      <c r="F514" s="54"/>
      <c r="G514" s="19"/>
      <c r="H514" s="17"/>
      <c r="I514" s="19"/>
      <c r="J514" s="21"/>
      <c r="K514" s="57"/>
      <c r="L514" s="24"/>
      <c r="M514" s="25"/>
      <c r="N514" s="25"/>
      <c r="O514" s="25"/>
      <c r="P514" s="26"/>
    </row>
    <row r="515">
      <c r="A515" s="52"/>
      <c r="B515" s="15"/>
      <c r="C515" s="16"/>
      <c r="D515" s="15"/>
      <c r="E515" s="17"/>
      <c r="F515" s="54"/>
      <c r="G515" s="19"/>
      <c r="H515" s="17"/>
      <c r="I515" s="19"/>
      <c r="J515" s="21"/>
      <c r="K515" s="57"/>
      <c r="L515" s="24"/>
      <c r="M515" s="25"/>
      <c r="N515" s="25"/>
      <c r="O515" s="25"/>
      <c r="P515" s="26"/>
    </row>
    <row r="516">
      <c r="A516" s="52"/>
      <c r="B516" s="15"/>
      <c r="C516" s="16"/>
      <c r="D516" s="15"/>
      <c r="E516" s="17"/>
      <c r="F516" s="54"/>
      <c r="G516" s="19"/>
      <c r="H516" s="17"/>
      <c r="I516" s="19"/>
      <c r="J516" s="21"/>
      <c r="K516" s="57"/>
      <c r="L516" s="24"/>
      <c r="M516" s="25"/>
      <c r="N516" s="25"/>
      <c r="O516" s="25"/>
      <c r="P516" s="26"/>
    </row>
    <row r="517">
      <c r="A517" s="52"/>
      <c r="B517" s="15"/>
      <c r="C517" s="16"/>
      <c r="D517" s="15"/>
      <c r="E517" s="17"/>
      <c r="F517" s="54"/>
      <c r="G517" s="19"/>
      <c r="H517" s="17"/>
      <c r="I517" s="19"/>
      <c r="J517" s="21"/>
      <c r="K517" s="57"/>
      <c r="L517" s="24"/>
      <c r="M517" s="25"/>
      <c r="N517" s="25"/>
      <c r="O517" s="25"/>
      <c r="P517" s="26"/>
    </row>
    <row r="518">
      <c r="A518" s="52"/>
      <c r="B518" s="15"/>
      <c r="C518" s="16"/>
      <c r="D518" s="15"/>
      <c r="E518" s="17"/>
      <c r="F518" s="54"/>
      <c r="G518" s="19"/>
      <c r="H518" s="17"/>
      <c r="I518" s="19"/>
      <c r="J518" s="21"/>
      <c r="K518" s="57"/>
      <c r="L518" s="24"/>
      <c r="M518" s="25"/>
      <c r="N518" s="25"/>
      <c r="O518" s="25"/>
      <c r="P518" s="26"/>
    </row>
    <row r="519">
      <c r="A519" s="52"/>
      <c r="B519" s="15"/>
      <c r="C519" s="16"/>
      <c r="D519" s="15"/>
      <c r="E519" s="17"/>
      <c r="F519" s="54"/>
      <c r="G519" s="19"/>
      <c r="H519" s="17"/>
      <c r="I519" s="19"/>
      <c r="J519" s="21"/>
      <c r="K519" s="57"/>
      <c r="L519" s="24"/>
      <c r="M519" s="25"/>
      <c r="N519" s="25"/>
      <c r="O519" s="25"/>
      <c r="P519" s="26"/>
    </row>
    <row r="520">
      <c r="A520" s="52"/>
      <c r="B520" s="15"/>
      <c r="C520" s="16"/>
      <c r="D520" s="15"/>
      <c r="E520" s="17"/>
      <c r="F520" s="54"/>
      <c r="G520" s="19"/>
      <c r="H520" s="17"/>
      <c r="I520" s="19"/>
      <c r="J520" s="21"/>
      <c r="K520" s="57"/>
      <c r="L520" s="24"/>
      <c r="M520" s="25"/>
      <c r="N520" s="25"/>
      <c r="O520" s="25"/>
      <c r="P520" s="26"/>
    </row>
    <row r="521">
      <c r="A521" s="52"/>
      <c r="B521" s="15"/>
      <c r="C521" s="16"/>
      <c r="D521" s="15"/>
      <c r="E521" s="17"/>
      <c r="F521" s="54"/>
      <c r="G521" s="19"/>
      <c r="H521" s="17"/>
      <c r="I521" s="19"/>
      <c r="J521" s="21"/>
      <c r="K521" s="57"/>
      <c r="L521" s="24"/>
      <c r="M521" s="25"/>
      <c r="N521" s="25"/>
      <c r="O521" s="25"/>
      <c r="P521" s="26"/>
    </row>
    <row r="522">
      <c r="A522" s="52"/>
      <c r="B522" s="15"/>
      <c r="C522" s="16"/>
      <c r="D522" s="15"/>
      <c r="E522" s="17"/>
      <c r="F522" s="54"/>
      <c r="G522" s="19"/>
      <c r="H522" s="17"/>
      <c r="I522" s="19"/>
      <c r="J522" s="21"/>
      <c r="K522" s="57"/>
      <c r="L522" s="24"/>
      <c r="M522" s="25"/>
      <c r="N522" s="25"/>
      <c r="O522" s="25"/>
      <c r="P522" s="26"/>
    </row>
    <row r="523">
      <c r="A523" s="52"/>
      <c r="B523" s="15"/>
      <c r="C523" s="16"/>
      <c r="D523" s="15"/>
      <c r="E523" s="17"/>
      <c r="F523" s="54"/>
      <c r="G523" s="19"/>
      <c r="H523" s="17"/>
      <c r="I523" s="19"/>
      <c r="J523" s="21"/>
      <c r="K523" s="57"/>
      <c r="L523" s="24"/>
      <c r="M523" s="25"/>
      <c r="N523" s="25"/>
      <c r="O523" s="25"/>
      <c r="P523" s="26"/>
    </row>
    <row r="524">
      <c r="A524" s="52"/>
      <c r="B524" s="15"/>
      <c r="C524" s="16"/>
      <c r="D524" s="15"/>
      <c r="E524" s="17"/>
      <c r="F524" s="54"/>
      <c r="G524" s="19"/>
      <c r="H524" s="17"/>
      <c r="I524" s="19"/>
      <c r="J524" s="21"/>
      <c r="K524" s="57"/>
      <c r="L524" s="24"/>
      <c r="M524" s="25"/>
      <c r="N524" s="25"/>
      <c r="O524" s="25"/>
      <c r="P524" s="26"/>
    </row>
    <row r="525">
      <c r="A525" s="52"/>
      <c r="B525" s="15"/>
      <c r="C525" s="16"/>
      <c r="D525" s="15"/>
      <c r="E525" s="17"/>
      <c r="F525" s="54"/>
      <c r="G525" s="19"/>
      <c r="H525" s="17"/>
      <c r="I525" s="19"/>
      <c r="J525" s="21"/>
      <c r="K525" s="57"/>
      <c r="L525" s="24"/>
      <c r="M525" s="25"/>
      <c r="N525" s="25"/>
      <c r="O525" s="25"/>
      <c r="P525" s="26"/>
    </row>
    <row r="526">
      <c r="A526" s="52"/>
      <c r="B526" s="15"/>
      <c r="C526" s="16"/>
      <c r="D526" s="15"/>
      <c r="E526" s="17"/>
      <c r="F526" s="54"/>
      <c r="G526" s="19"/>
      <c r="H526" s="17"/>
      <c r="I526" s="19"/>
      <c r="J526" s="21"/>
      <c r="K526" s="57"/>
      <c r="L526" s="24"/>
      <c r="M526" s="25"/>
      <c r="N526" s="25"/>
      <c r="O526" s="25"/>
      <c r="P526" s="26"/>
    </row>
    <row r="527">
      <c r="A527" s="52"/>
      <c r="B527" s="15"/>
      <c r="C527" s="16"/>
      <c r="D527" s="15"/>
      <c r="E527" s="17"/>
      <c r="F527" s="54"/>
      <c r="G527" s="19"/>
      <c r="H527" s="17"/>
      <c r="I527" s="19"/>
      <c r="J527" s="21"/>
      <c r="K527" s="57"/>
      <c r="L527" s="24"/>
      <c r="M527" s="25"/>
      <c r="N527" s="25"/>
      <c r="O527" s="25"/>
      <c r="P527" s="26"/>
    </row>
    <row r="528">
      <c r="A528" s="52"/>
      <c r="B528" s="15"/>
      <c r="C528" s="16"/>
      <c r="D528" s="15"/>
      <c r="E528" s="17"/>
      <c r="F528" s="54"/>
      <c r="G528" s="19"/>
      <c r="H528" s="17"/>
      <c r="I528" s="19"/>
      <c r="J528" s="21"/>
      <c r="K528" s="57"/>
      <c r="L528" s="24"/>
      <c r="M528" s="25"/>
      <c r="N528" s="25"/>
      <c r="O528" s="25"/>
      <c r="P528" s="26"/>
    </row>
    <row r="529">
      <c r="A529" s="52"/>
      <c r="B529" s="15"/>
      <c r="C529" s="16"/>
      <c r="D529" s="15"/>
      <c r="E529" s="17"/>
      <c r="F529" s="54"/>
      <c r="G529" s="19"/>
      <c r="H529" s="17"/>
      <c r="I529" s="19"/>
      <c r="J529" s="21"/>
      <c r="K529" s="57"/>
      <c r="L529" s="24"/>
      <c r="M529" s="25"/>
      <c r="N529" s="25"/>
      <c r="O529" s="25"/>
      <c r="P529" s="26"/>
    </row>
    <row r="530">
      <c r="A530" s="52"/>
      <c r="B530" s="15"/>
      <c r="C530" s="16"/>
      <c r="D530" s="15"/>
      <c r="E530" s="17"/>
      <c r="F530" s="54"/>
      <c r="G530" s="19"/>
      <c r="H530" s="17"/>
      <c r="I530" s="19"/>
      <c r="J530" s="21"/>
      <c r="K530" s="57"/>
      <c r="L530" s="24"/>
      <c r="M530" s="25"/>
      <c r="N530" s="25"/>
      <c r="O530" s="25"/>
      <c r="P530" s="26"/>
    </row>
    <row r="531">
      <c r="A531" s="52"/>
      <c r="B531" s="15"/>
      <c r="C531" s="16"/>
      <c r="D531" s="15"/>
      <c r="E531" s="17"/>
      <c r="F531" s="54"/>
      <c r="G531" s="19"/>
      <c r="H531" s="17"/>
      <c r="I531" s="19"/>
      <c r="J531" s="21"/>
      <c r="K531" s="57"/>
      <c r="L531" s="24"/>
      <c r="M531" s="25"/>
      <c r="N531" s="25"/>
      <c r="O531" s="25"/>
      <c r="P531" s="26"/>
    </row>
    <row r="532">
      <c r="A532" s="52"/>
      <c r="B532" s="15"/>
      <c r="C532" s="16"/>
      <c r="D532" s="15"/>
      <c r="E532" s="17"/>
      <c r="F532" s="54"/>
      <c r="G532" s="19"/>
      <c r="H532" s="17"/>
      <c r="I532" s="19"/>
      <c r="J532" s="21"/>
      <c r="K532" s="57"/>
      <c r="L532" s="24"/>
      <c r="M532" s="25"/>
      <c r="N532" s="25"/>
      <c r="O532" s="25"/>
      <c r="P532" s="26"/>
    </row>
    <row r="533">
      <c r="A533" s="52"/>
      <c r="B533" s="15"/>
      <c r="C533" s="16"/>
      <c r="D533" s="15"/>
      <c r="E533" s="17"/>
      <c r="F533" s="54"/>
      <c r="G533" s="19"/>
      <c r="H533" s="17"/>
      <c r="I533" s="19"/>
      <c r="J533" s="21"/>
      <c r="K533" s="57"/>
      <c r="L533" s="24"/>
      <c r="M533" s="25"/>
      <c r="N533" s="25"/>
      <c r="O533" s="25"/>
      <c r="P533" s="26"/>
    </row>
    <row r="534">
      <c r="A534" s="52"/>
      <c r="B534" s="15"/>
      <c r="C534" s="16"/>
      <c r="D534" s="15"/>
      <c r="E534" s="17"/>
      <c r="F534" s="54"/>
      <c r="G534" s="19"/>
      <c r="H534" s="17"/>
      <c r="I534" s="19"/>
      <c r="J534" s="21"/>
      <c r="K534" s="57"/>
      <c r="L534" s="24"/>
      <c r="M534" s="25"/>
      <c r="N534" s="25"/>
      <c r="O534" s="25"/>
      <c r="P534" s="26"/>
    </row>
    <row r="535">
      <c r="A535" s="52"/>
      <c r="B535" s="15"/>
      <c r="C535" s="16"/>
      <c r="D535" s="15"/>
      <c r="E535" s="17"/>
      <c r="F535" s="54"/>
      <c r="G535" s="19"/>
      <c r="H535" s="17"/>
      <c r="I535" s="19"/>
      <c r="J535" s="21"/>
      <c r="K535" s="57"/>
      <c r="L535" s="24"/>
      <c r="M535" s="25"/>
      <c r="N535" s="25"/>
      <c r="O535" s="25"/>
      <c r="P535" s="26"/>
    </row>
    <row r="536">
      <c r="A536" s="52"/>
      <c r="B536" s="15"/>
      <c r="C536" s="16"/>
      <c r="D536" s="15"/>
      <c r="E536" s="17"/>
      <c r="F536" s="54"/>
      <c r="G536" s="19"/>
      <c r="H536" s="17"/>
      <c r="I536" s="19"/>
      <c r="J536" s="21"/>
      <c r="K536" s="57"/>
      <c r="L536" s="24"/>
      <c r="M536" s="25"/>
      <c r="N536" s="25"/>
      <c r="O536" s="25"/>
      <c r="P536" s="26"/>
    </row>
    <row r="537">
      <c r="A537" s="52"/>
      <c r="B537" s="15"/>
      <c r="C537" s="16"/>
      <c r="D537" s="15"/>
      <c r="E537" s="17"/>
      <c r="F537" s="54"/>
      <c r="G537" s="19"/>
      <c r="H537" s="17"/>
      <c r="I537" s="19"/>
      <c r="J537" s="21"/>
      <c r="K537" s="57"/>
      <c r="L537" s="24"/>
      <c r="M537" s="25"/>
      <c r="N537" s="25"/>
      <c r="O537" s="25"/>
      <c r="P537" s="26"/>
    </row>
    <row r="538">
      <c r="A538" s="52"/>
      <c r="B538" s="15"/>
      <c r="C538" s="16"/>
      <c r="D538" s="15"/>
      <c r="E538" s="17"/>
      <c r="F538" s="54"/>
      <c r="G538" s="19"/>
      <c r="H538" s="17"/>
      <c r="I538" s="19"/>
      <c r="J538" s="21"/>
      <c r="K538" s="57"/>
      <c r="L538" s="24"/>
      <c r="M538" s="25"/>
      <c r="N538" s="25"/>
      <c r="O538" s="25"/>
      <c r="P538" s="26"/>
    </row>
    <row r="539">
      <c r="A539" s="52"/>
      <c r="B539" s="15"/>
      <c r="C539" s="16"/>
      <c r="D539" s="15"/>
      <c r="E539" s="17"/>
      <c r="F539" s="54"/>
      <c r="G539" s="19"/>
      <c r="H539" s="17"/>
      <c r="I539" s="19"/>
      <c r="J539" s="21"/>
      <c r="K539" s="57"/>
      <c r="L539" s="24"/>
      <c r="M539" s="25"/>
      <c r="N539" s="25"/>
      <c r="O539" s="25"/>
      <c r="P539" s="26"/>
    </row>
    <row r="540">
      <c r="A540" s="52"/>
      <c r="B540" s="15"/>
      <c r="C540" s="16"/>
      <c r="D540" s="15"/>
      <c r="E540" s="17"/>
      <c r="F540" s="54"/>
      <c r="G540" s="19"/>
      <c r="H540" s="17"/>
      <c r="I540" s="19"/>
      <c r="J540" s="21"/>
      <c r="K540" s="57"/>
      <c r="L540" s="24"/>
      <c r="M540" s="25"/>
      <c r="N540" s="25"/>
      <c r="O540" s="25"/>
      <c r="P540" s="26"/>
    </row>
    <row r="541">
      <c r="A541" s="52"/>
      <c r="B541" s="15"/>
      <c r="C541" s="16"/>
      <c r="D541" s="15"/>
      <c r="E541" s="17"/>
      <c r="F541" s="54"/>
      <c r="G541" s="19"/>
      <c r="H541" s="17"/>
      <c r="I541" s="19"/>
      <c r="J541" s="21"/>
      <c r="K541" s="57"/>
      <c r="L541" s="24"/>
      <c r="M541" s="25"/>
      <c r="N541" s="25"/>
      <c r="O541" s="25"/>
      <c r="P541" s="26"/>
    </row>
    <row r="542">
      <c r="A542" s="52"/>
      <c r="B542" s="15"/>
      <c r="C542" s="16"/>
      <c r="D542" s="15"/>
      <c r="E542" s="17"/>
      <c r="F542" s="54"/>
      <c r="G542" s="19"/>
      <c r="H542" s="17"/>
      <c r="I542" s="19"/>
      <c r="J542" s="21"/>
      <c r="K542" s="57"/>
      <c r="L542" s="24"/>
      <c r="M542" s="25"/>
      <c r="N542" s="25"/>
      <c r="O542" s="25"/>
      <c r="P542" s="26"/>
    </row>
    <row r="543">
      <c r="A543" s="52"/>
      <c r="B543" s="15"/>
      <c r="C543" s="16"/>
      <c r="D543" s="15"/>
      <c r="E543" s="17"/>
      <c r="F543" s="54"/>
      <c r="G543" s="19"/>
      <c r="H543" s="17"/>
      <c r="I543" s="19"/>
      <c r="J543" s="21"/>
      <c r="K543" s="57"/>
      <c r="L543" s="24"/>
      <c r="M543" s="25"/>
      <c r="N543" s="25"/>
      <c r="O543" s="25"/>
      <c r="P543" s="26"/>
    </row>
    <row r="544">
      <c r="A544" s="52"/>
      <c r="B544" s="15"/>
      <c r="C544" s="16"/>
      <c r="D544" s="15"/>
      <c r="E544" s="17"/>
      <c r="F544" s="54"/>
      <c r="G544" s="19"/>
      <c r="H544" s="17"/>
      <c r="I544" s="19"/>
      <c r="J544" s="21"/>
      <c r="K544" s="57"/>
      <c r="L544" s="24"/>
      <c r="M544" s="25"/>
      <c r="N544" s="25"/>
      <c r="O544" s="25"/>
      <c r="P544" s="26"/>
    </row>
    <row r="545">
      <c r="A545" s="52"/>
      <c r="B545" s="15"/>
      <c r="C545" s="16"/>
      <c r="D545" s="15"/>
      <c r="E545" s="17"/>
      <c r="F545" s="54"/>
      <c r="G545" s="19"/>
      <c r="H545" s="17"/>
      <c r="I545" s="19"/>
      <c r="J545" s="21"/>
      <c r="K545" s="57"/>
      <c r="L545" s="24"/>
      <c r="M545" s="25"/>
      <c r="N545" s="25"/>
      <c r="O545" s="25"/>
      <c r="P545" s="26"/>
    </row>
    <row r="546">
      <c r="A546" s="52"/>
      <c r="B546" s="15"/>
      <c r="C546" s="16"/>
      <c r="D546" s="15"/>
      <c r="E546" s="17"/>
      <c r="F546" s="54"/>
      <c r="G546" s="19"/>
      <c r="H546" s="17"/>
      <c r="I546" s="19"/>
      <c r="J546" s="21"/>
      <c r="K546" s="57"/>
      <c r="L546" s="24"/>
      <c r="M546" s="25"/>
      <c r="N546" s="25"/>
      <c r="O546" s="25"/>
      <c r="P546" s="26"/>
    </row>
    <row r="547">
      <c r="A547" s="52"/>
      <c r="B547" s="15"/>
      <c r="C547" s="16"/>
      <c r="D547" s="15"/>
      <c r="E547" s="17"/>
      <c r="F547" s="54"/>
      <c r="G547" s="19"/>
      <c r="H547" s="17"/>
      <c r="I547" s="19"/>
      <c r="J547" s="21"/>
      <c r="K547" s="57"/>
      <c r="L547" s="24"/>
      <c r="M547" s="25"/>
      <c r="N547" s="25"/>
      <c r="O547" s="25"/>
      <c r="P547" s="26"/>
    </row>
    <row r="548">
      <c r="A548" s="52"/>
      <c r="B548" s="15"/>
      <c r="C548" s="16"/>
      <c r="D548" s="15"/>
      <c r="E548" s="17"/>
      <c r="F548" s="54"/>
      <c r="G548" s="19"/>
      <c r="H548" s="17"/>
      <c r="I548" s="19"/>
      <c r="J548" s="21"/>
      <c r="K548" s="57"/>
      <c r="L548" s="24"/>
      <c r="M548" s="25"/>
      <c r="N548" s="25"/>
      <c r="O548" s="25"/>
      <c r="P548" s="26"/>
    </row>
    <row r="549">
      <c r="A549" s="52"/>
      <c r="B549" s="15"/>
      <c r="C549" s="16"/>
      <c r="D549" s="15"/>
      <c r="E549" s="17"/>
      <c r="F549" s="54"/>
      <c r="G549" s="19"/>
      <c r="H549" s="17"/>
      <c r="I549" s="19"/>
      <c r="J549" s="21"/>
      <c r="K549" s="57"/>
      <c r="L549" s="24"/>
      <c r="M549" s="25"/>
      <c r="N549" s="25"/>
      <c r="O549" s="25"/>
      <c r="P549" s="26"/>
    </row>
    <row r="550">
      <c r="A550" s="52"/>
      <c r="B550" s="15"/>
      <c r="C550" s="16"/>
      <c r="D550" s="15"/>
      <c r="E550" s="17"/>
      <c r="F550" s="54"/>
      <c r="G550" s="19"/>
      <c r="H550" s="17"/>
      <c r="I550" s="19"/>
      <c r="J550" s="21"/>
      <c r="K550" s="57"/>
      <c r="L550" s="24"/>
      <c r="M550" s="25"/>
      <c r="N550" s="25"/>
      <c r="O550" s="25"/>
      <c r="P550" s="26"/>
    </row>
    <row r="551">
      <c r="A551" s="52"/>
      <c r="B551" s="15"/>
      <c r="C551" s="16"/>
      <c r="D551" s="15"/>
      <c r="E551" s="17"/>
      <c r="F551" s="54"/>
      <c r="G551" s="19"/>
      <c r="H551" s="17"/>
      <c r="I551" s="19"/>
      <c r="J551" s="21"/>
      <c r="K551" s="57"/>
      <c r="L551" s="24"/>
      <c r="M551" s="25"/>
      <c r="N551" s="25"/>
      <c r="O551" s="25"/>
      <c r="P551" s="26"/>
    </row>
    <row r="552">
      <c r="A552" s="52"/>
      <c r="B552" s="15"/>
      <c r="C552" s="16"/>
      <c r="D552" s="15"/>
      <c r="E552" s="17"/>
      <c r="F552" s="54"/>
      <c r="G552" s="19"/>
      <c r="H552" s="17"/>
      <c r="I552" s="19"/>
      <c r="J552" s="21"/>
      <c r="K552" s="57"/>
      <c r="L552" s="24"/>
      <c r="M552" s="25"/>
      <c r="N552" s="25"/>
      <c r="O552" s="25"/>
      <c r="P552" s="26"/>
    </row>
    <row r="553">
      <c r="A553" s="52"/>
      <c r="B553" s="15"/>
      <c r="C553" s="16"/>
      <c r="D553" s="15"/>
      <c r="E553" s="17"/>
      <c r="F553" s="54"/>
      <c r="G553" s="19"/>
      <c r="H553" s="17"/>
      <c r="I553" s="19"/>
      <c r="J553" s="21"/>
      <c r="K553" s="57"/>
      <c r="L553" s="24"/>
      <c r="M553" s="25"/>
      <c r="N553" s="25"/>
      <c r="O553" s="25"/>
      <c r="P553" s="26"/>
    </row>
    <row r="554">
      <c r="A554" s="52"/>
      <c r="B554" s="15"/>
      <c r="C554" s="16"/>
      <c r="D554" s="15"/>
      <c r="E554" s="17"/>
      <c r="F554" s="54"/>
      <c r="G554" s="19"/>
      <c r="H554" s="17"/>
      <c r="I554" s="19"/>
      <c r="J554" s="21"/>
      <c r="K554" s="57"/>
      <c r="L554" s="24"/>
      <c r="M554" s="25"/>
      <c r="N554" s="25"/>
      <c r="O554" s="25"/>
      <c r="P554" s="26"/>
    </row>
    <row r="555">
      <c r="A555" s="52"/>
      <c r="B555" s="15"/>
      <c r="C555" s="16"/>
      <c r="D555" s="15"/>
      <c r="E555" s="17"/>
      <c r="F555" s="54"/>
      <c r="G555" s="19"/>
      <c r="H555" s="17"/>
      <c r="I555" s="19"/>
      <c r="J555" s="21"/>
      <c r="K555" s="57"/>
      <c r="L555" s="24"/>
      <c r="M555" s="25"/>
      <c r="N555" s="25"/>
      <c r="O555" s="25"/>
      <c r="P555" s="26"/>
    </row>
    <row r="556">
      <c r="A556" s="52"/>
      <c r="B556" s="15"/>
      <c r="C556" s="16"/>
      <c r="D556" s="15"/>
      <c r="E556" s="17"/>
      <c r="F556" s="54"/>
      <c r="G556" s="19"/>
      <c r="H556" s="17"/>
      <c r="I556" s="19"/>
      <c r="J556" s="21"/>
      <c r="K556" s="57"/>
      <c r="L556" s="24"/>
      <c r="M556" s="25"/>
      <c r="N556" s="25"/>
      <c r="O556" s="25"/>
      <c r="P556" s="26"/>
    </row>
    <row r="557">
      <c r="A557" s="52"/>
      <c r="B557" s="15"/>
      <c r="C557" s="16"/>
      <c r="D557" s="15"/>
      <c r="E557" s="17"/>
      <c r="F557" s="54"/>
      <c r="G557" s="19"/>
      <c r="H557" s="17"/>
      <c r="I557" s="19"/>
      <c r="J557" s="21"/>
      <c r="K557" s="57"/>
      <c r="L557" s="24"/>
      <c r="M557" s="25"/>
      <c r="N557" s="25"/>
      <c r="O557" s="25"/>
      <c r="P557" s="26"/>
    </row>
    <row r="558">
      <c r="A558" s="52"/>
      <c r="B558" s="15"/>
      <c r="C558" s="16"/>
      <c r="D558" s="15"/>
      <c r="E558" s="17"/>
      <c r="F558" s="54"/>
      <c r="G558" s="19"/>
      <c r="H558" s="17"/>
      <c r="I558" s="19"/>
      <c r="J558" s="21"/>
      <c r="K558" s="57"/>
      <c r="L558" s="24"/>
      <c r="M558" s="25"/>
      <c r="N558" s="25"/>
      <c r="O558" s="25"/>
      <c r="P558" s="26"/>
    </row>
    <row r="559">
      <c r="A559" s="52"/>
      <c r="B559" s="15"/>
      <c r="C559" s="16"/>
      <c r="D559" s="15"/>
      <c r="E559" s="17"/>
      <c r="F559" s="54"/>
      <c r="G559" s="19"/>
      <c r="H559" s="17"/>
      <c r="I559" s="19"/>
      <c r="J559" s="21"/>
      <c r="K559" s="57"/>
      <c r="L559" s="24"/>
      <c r="M559" s="25"/>
      <c r="N559" s="25"/>
      <c r="O559" s="25"/>
      <c r="P559" s="26"/>
    </row>
    <row r="560">
      <c r="A560" s="52"/>
      <c r="B560" s="15"/>
      <c r="C560" s="16"/>
      <c r="D560" s="15"/>
      <c r="E560" s="17"/>
      <c r="F560" s="54"/>
      <c r="G560" s="19"/>
      <c r="H560" s="17"/>
      <c r="I560" s="19"/>
      <c r="J560" s="21"/>
      <c r="K560" s="57"/>
      <c r="L560" s="24"/>
      <c r="M560" s="25"/>
      <c r="N560" s="25"/>
      <c r="O560" s="25"/>
      <c r="P560" s="26"/>
    </row>
    <row r="561">
      <c r="A561" s="52"/>
      <c r="B561" s="15"/>
      <c r="C561" s="16"/>
      <c r="D561" s="15"/>
      <c r="E561" s="17"/>
      <c r="F561" s="54"/>
      <c r="G561" s="19"/>
      <c r="H561" s="17"/>
      <c r="I561" s="19"/>
      <c r="J561" s="21"/>
      <c r="K561" s="57"/>
      <c r="L561" s="24"/>
      <c r="M561" s="25"/>
      <c r="N561" s="25"/>
      <c r="O561" s="25"/>
      <c r="P561" s="26"/>
    </row>
    <row r="562">
      <c r="A562" s="52"/>
      <c r="B562" s="15"/>
      <c r="C562" s="16"/>
      <c r="D562" s="15"/>
      <c r="E562" s="17"/>
      <c r="F562" s="54"/>
      <c r="G562" s="19"/>
      <c r="H562" s="17"/>
      <c r="I562" s="19"/>
      <c r="J562" s="21"/>
      <c r="K562" s="57"/>
      <c r="L562" s="24"/>
      <c r="M562" s="25"/>
      <c r="N562" s="25"/>
      <c r="O562" s="25"/>
      <c r="P562" s="26"/>
    </row>
    <row r="563">
      <c r="A563" s="52"/>
      <c r="B563" s="15"/>
      <c r="C563" s="16"/>
      <c r="D563" s="15"/>
      <c r="E563" s="17"/>
      <c r="F563" s="54"/>
      <c r="G563" s="19"/>
      <c r="H563" s="17"/>
      <c r="I563" s="19"/>
      <c r="J563" s="21"/>
      <c r="K563" s="57"/>
      <c r="L563" s="24"/>
      <c r="M563" s="25"/>
      <c r="N563" s="25"/>
      <c r="O563" s="25"/>
      <c r="P563" s="26"/>
    </row>
    <row r="564">
      <c r="A564" s="52"/>
      <c r="B564" s="15"/>
      <c r="C564" s="16"/>
      <c r="D564" s="15"/>
      <c r="E564" s="17"/>
      <c r="F564" s="54"/>
      <c r="G564" s="19"/>
      <c r="H564" s="17"/>
      <c r="I564" s="19"/>
      <c r="J564" s="21"/>
      <c r="K564" s="57"/>
      <c r="L564" s="24"/>
      <c r="M564" s="25"/>
      <c r="N564" s="25"/>
      <c r="O564" s="25"/>
      <c r="P564" s="26"/>
    </row>
    <row r="565">
      <c r="A565" s="52"/>
      <c r="B565" s="15"/>
      <c r="C565" s="16"/>
      <c r="D565" s="15"/>
      <c r="E565" s="17"/>
      <c r="F565" s="54"/>
      <c r="G565" s="19"/>
      <c r="H565" s="17"/>
      <c r="I565" s="19"/>
      <c r="J565" s="21"/>
      <c r="K565" s="57"/>
      <c r="L565" s="24"/>
      <c r="M565" s="25"/>
      <c r="N565" s="25"/>
      <c r="O565" s="25"/>
      <c r="P565" s="26"/>
    </row>
    <row r="566">
      <c r="A566" s="52"/>
      <c r="B566" s="15"/>
      <c r="C566" s="16"/>
      <c r="D566" s="15"/>
      <c r="E566" s="17"/>
      <c r="F566" s="54"/>
      <c r="G566" s="19"/>
      <c r="H566" s="17"/>
      <c r="I566" s="19"/>
      <c r="J566" s="21"/>
      <c r="K566" s="57"/>
      <c r="L566" s="24"/>
      <c r="M566" s="25"/>
      <c r="N566" s="25"/>
      <c r="O566" s="25"/>
      <c r="P566" s="26"/>
    </row>
    <row r="567">
      <c r="A567" s="52"/>
      <c r="B567" s="15"/>
      <c r="C567" s="16"/>
      <c r="D567" s="15"/>
      <c r="E567" s="17"/>
      <c r="F567" s="54"/>
      <c r="G567" s="19"/>
      <c r="H567" s="17"/>
      <c r="I567" s="19"/>
      <c r="J567" s="21"/>
      <c r="K567" s="57"/>
      <c r="L567" s="24"/>
      <c r="M567" s="25"/>
      <c r="N567" s="25"/>
      <c r="O567" s="25"/>
      <c r="P567" s="26"/>
    </row>
    <row r="568">
      <c r="A568" s="52"/>
      <c r="B568" s="15"/>
      <c r="C568" s="16"/>
      <c r="D568" s="15"/>
      <c r="E568" s="17"/>
      <c r="F568" s="54"/>
      <c r="G568" s="19"/>
      <c r="H568" s="17"/>
      <c r="I568" s="19"/>
      <c r="J568" s="21"/>
      <c r="K568" s="57"/>
      <c r="L568" s="24"/>
      <c r="M568" s="25"/>
      <c r="N568" s="25"/>
      <c r="O568" s="25"/>
      <c r="P568" s="26"/>
    </row>
    <row r="569">
      <c r="A569" s="52"/>
      <c r="B569" s="15"/>
      <c r="C569" s="16"/>
      <c r="D569" s="15"/>
      <c r="E569" s="17"/>
      <c r="F569" s="54"/>
      <c r="G569" s="19"/>
      <c r="H569" s="17"/>
      <c r="I569" s="19"/>
      <c r="J569" s="21"/>
      <c r="K569" s="57"/>
      <c r="L569" s="24"/>
      <c r="M569" s="25"/>
      <c r="N569" s="25"/>
      <c r="O569" s="25"/>
      <c r="P569" s="26"/>
    </row>
    <row r="570">
      <c r="A570" s="52"/>
      <c r="B570" s="15"/>
      <c r="C570" s="16"/>
      <c r="D570" s="15"/>
      <c r="E570" s="17"/>
      <c r="F570" s="54"/>
      <c r="G570" s="19"/>
      <c r="H570" s="17"/>
      <c r="I570" s="19"/>
      <c r="J570" s="21"/>
      <c r="K570" s="57"/>
      <c r="L570" s="24"/>
      <c r="M570" s="25"/>
      <c r="N570" s="25"/>
      <c r="O570" s="25"/>
      <c r="P570" s="26"/>
    </row>
    <row r="571">
      <c r="A571" s="52"/>
      <c r="B571" s="15"/>
      <c r="C571" s="16"/>
      <c r="D571" s="15"/>
      <c r="E571" s="17"/>
      <c r="F571" s="54"/>
      <c r="G571" s="19"/>
      <c r="H571" s="17"/>
      <c r="I571" s="19"/>
      <c r="J571" s="21"/>
      <c r="K571" s="57"/>
      <c r="L571" s="24"/>
      <c r="M571" s="25"/>
      <c r="N571" s="25"/>
      <c r="O571" s="25"/>
      <c r="P571" s="26"/>
    </row>
    <row r="572">
      <c r="A572" s="52"/>
      <c r="B572" s="15"/>
      <c r="C572" s="16"/>
      <c r="D572" s="15"/>
      <c r="E572" s="17"/>
      <c r="F572" s="54"/>
      <c r="G572" s="19"/>
      <c r="H572" s="17"/>
      <c r="I572" s="19"/>
      <c r="J572" s="21"/>
      <c r="K572" s="57"/>
      <c r="L572" s="24"/>
      <c r="M572" s="25"/>
      <c r="N572" s="25"/>
      <c r="O572" s="25"/>
      <c r="P572" s="26"/>
    </row>
    <row r="573">
      <c r="A573" s="52"/>
      <c r="B573" s="15"/>
      <c r="C573" s="16"/>
      <c r="D573" s="15"/>
      <c r="E573" s="17"/>
      <c r="F573" s="54"/>
      <c r="G573" s="19"/>
      <c r="H573" s="17"/>
      <c r="I573" s="19"/>
      <c r="J573" s="21"/>
      <c r="K573" s="57"/>
      <c r="L573" s="24"/>
      <c r="M573" s="25"/>
      <c r="N573" s="25"/>
      <c r="O573" s="25"/>
      <c r="P573" s="26"/>
    </row>
    <row r="574">
      <c r="A574" s="52"/>
      <c r="B574" s="15"/>
      <c r="C574" s="16"/>
      <c r="D574" s="15"/>
      <c r="E574" s="17"/>
      <c r="F574" s="54"/>
      <c r="G574" s="19"/>
      <c r="H574" s="17"/>
      <c r="I574" s="19"/>
      <c r="J574" s="21"/>
      <c r="K574" s="57"/>
      <c r="L574" s="24"/>
      <c r="M574" s="25"/>
      <c r="N574" s="25"/>
      <c r="O574" s="25"/>
      <c r="P574" s="26"/>
    </row>
    <row r="575">
      <c r="A575" s="52"/>
      <c r="B575" s="15"/>
      <c r="C575" s="16"/>
      <c r="D575" s="15"/>
      <c r="E575" s="17"/>
      <c r="F575" s="54"/>
      <c r="G575" s="19"/>
      <c r="H575" s="17"/>
      <c r="I575" s="19"/>
      <c r="J575" s="21"/>
      <c r="K575" s="57"/>
      <c r="L575" s="24"/>
      <c r="M575" s="25"/>
      <c r="N575" s="25"/>
      <c r="O575" s="25"/>
      <c r="P575" s="26"/>
    </row>
    <row r="576">
      <c r="A576" s="52"/>
      <c r="B576" s="15"/>
      <c r="C576" s="16"/>
      <c r="D576" s="15"/>
      <c r="E576" s="17"/>
      <c r="F576" s="54"/>
      <c r="G576" s="19"/>
      <c r="H576" s="17"/>
      <c r="I576" s="19"/>
      <c r="J576" s="21"/>
      <c r="K576" s="57"/>
      <c r="L576" s="24"/>
      <c r="M576" s="25"/>
      <c r="N576" s="25"/>
      <c r="O576" s="25"/>
      <c r="P576" s="26"/>
    </row>
    <row r="577">
      <c r="A577" s="52"/>
      <c r="B577" s="15"/>
      <c r="C577" s="16"/>
      <c r="D577" s="15"/>
      <c r="E577" s="17"/>
      <c r="F577" s="54"/>
      <c r="G577" s="19"/>
      <c r="H577" s="17"/>
      <c r="I577" s="19"/>
      <c r="J577" s="21"/>
      <c r="K577" s="57"/>
      <c r="L577" s="24"/>
      <c r="M577" s="25"/>
      <c r="N577" s="25"/>
      <c r="O577" s="25"/>
      <c r="P577" s="26"/>
    </row>
    <row r="578">
      <c r="A578" s="52"/>
      <c r="B578" s="15"/>
      <c r="C578" s="16"/>
      <c r="D578" s="15"/>
      <c r="E578" s="17"/>
      <c r="F578" s="54"/>
      <c r="G578" s="19"/>
      <c r="H578" s="17"/>
      <c r="I578" s="19"/>
      <c r="J578" s="21"/>
      <c r="K578" s="57"/>
      <c r="L578" s="24"/>
      <c r="M578" s="25"/>
      <c r="N578" s="25"/>
      <c r="O578" s="25"/>
      <c r="P578" s="26"/>
    </row>
    <row r="579">
      <c r="A579" s="52"/>
      <c r="B579" s="15"/>
      <c r="C579" s="16"/>
      <c r="D579" s="15"/>
      <c r="E579" s="17"/>
      <c r="F579" s="54"/>
      <c r="G579" s="19"/>
      <c r="H579" s="17"/>
      <c r="I579" s="19"/>
      <c r="J579" s="21"/>
      <c r="K579" s="57"/>
      <c r="L579" s="24"/>
      <c r="M579" s="25"/>
      <c r="N579" s="25"/>
      <c r="O579" s="25"/>
      <c r="P579" s="26"/>
    </row>
    <row r="580">
      <c r="A580" s="52"/>
      <c r="B580" s="15"/>
      <c r="C580" s="16"/>
      <c r="D580" s="15"/>
      <c r="E580" s="17"/>
      <c r="F580" s="54"/>
      <c r="G580" s="19"/>
      <c r="H580" s="17"/>
      <c r="I580" s="19"/>
      <c r="J580" s="21"/>
      <c r="K580" s="57"/>
      <c r="L580" s="24"/>
      <c r="M580" s="25"/>
      <c r="N580" s="25"/>
      <c r="O580" s="25"/>
      <c r="P580" s="26"/>
    </row>
    <row r="581">
      <c r="A581" s="52"/>
      <c r="B581" s="15"/>
      <c r="C581" s="16"/>
      <c r="D581" s="15"/>
      <c r="E581" s="17"/>
      <c r="F581" s="54"/>
      <c r="G581" s="19"/>
      <c r="H581" s="17"/>
      <c r="I581" s="19"/>
      <c r="J581" s="21"/>
      <c r="K581" s="57"/>
      <c r="L581" s="24"/>
      <c r="M581" s="25"/>
      <c r="N581" s="25"/>
      <c r="O581" s="25"/>
      <c r="P581" s="26"/>
    </row>
    <row r="582">
      <c r="A582" s="52"/>
      <c r="B582" s="15"/>
      <c r="C582" s="16"/>
      <c r="D582" s="15"/>
      <c r="E582" s="17"/>
      <c r="F582" s="54"/>
      <c r="G582" s="19"/>
      <c r="H582" s="17"/>
      <c r="I582" s="19"/>
      <c r="J582" s="21"/>
      <c r="K582" s="57"/>
      <c r="L582" s="24"/>
      <c r="M582" s="25"/>
      <c r="N582" s="25"/>
      <c r="O582" s="25"/>
      <c r="P582" s="26"/>
    </row>
    <row r="583">
      <c r="A583" s="52"/>
      <c r="B583" s="15"/>
      <c r="C583" s="16"/>
      <c r="D583" s="15"/>
      <c r="E583" s="17"/>
      <c r="F583" s="54"/>
      <c r="G583" s="19"/>
      <c r="H583" s="17"/>
      <c r="I583" s="19"/>
      <c r="J583" s="21"/>
      <c r="K583" s="57"/>
      <c r="L583" s="24"/>
      <c r="M583" s="25"/>
      <c r="N583" s="25"/>
      <c r="O583" s="25"/>
      <c r="P583" s="26"/>
    </row>
    <row r="584">
      <c r="A584" s="52"/>
      <c r="B584" s="15"/>
      <c r="C584" s="16"/>
      <c r="D584" s="15"/>
      <c r="E584" s="17"/>
      <c r="F584" s="54"/>
      <c r="G584" s="19"/>
      <c r="H584" s="17"/>
      <c r="I584" s="19"/>
      <c r="J584" s="21"/>
      <c r="K584" s="57"/>
      <c r="L584" s="24"/>
      <c r="M584" s="25"/>
      <c r="N584" s="25"/>
      <c r="O584" s="25"/>
      <c r="P584" s="26"/>
    </row>
    <row r="585">
      <c r="A585" s="52"/>
      <c r="B585" s="15"/>
      <c r="C585" s="16"/>
      <c r="D585" s="15"/>
      <c r="E585" s="17"/>
      <c r="F585" s="54"/>
      <c r="G585" s="19"/>
      <c r="H585" s="17"/>
      <c r="I585" s="19"/>
      <c r="J585" s="21"/>
      <c r="K585" s="57"/>
      <c r="L585" s="24"/>
      <c r="M585" s="25"/>
      <c r="N585" s="25"/>
      <c r="O585" s="25"/>
      <c r="P585" s="26"/>
    </row>
    <row r="586">
      <c r="A586" s="52"/>
      <c r="B586" s="15"/>
      <c r="C586" s="16"/>
      <c r="D586" s="15"/>
      <c r="E586" s="17"/>
      <c r="F586" s="54"/>
      <c r="G586" s="19"/>
      <c r="H586" s="17"/>
      <c r="I586" s="19"/>
      <c r="J586" s="21"/>
      <c r="K586" s="57"/>
      <c r="L586" s="24"/>
      <c r="M586" s="25"/>
      <c r="N586" s="25"/>
      <c r="O586" s="25"/>
      <c r="P586" s="26"/>
    </row>
    <row r="587">
      <c r="A587" s="52"/>
      <c r="B587" s="15"/>
      <c r="C587" s="16"/>
      <c r="D587" s="15"/>
      <c r="E587" s="17"/>
      <c r="F587" s="54"/>
      <c r="G587" s="19"/>
      <c r="H587" s="17"/>
      <c r="I587" s="19"/>
      <c r="J587" s="21"/>
      <c r="K587" s="57"/>
      <c r="L587" s="24"/>
      <c r="M587" s="25"/>
      <c r="N587" s="25"/>
      <c r="O587" s="25"/>
      <c r="P587" s="26"/>
    </row>
    <row r="588">
      <c r="A588" s="52"/>
      <c r="B588" s="15"/>
      <c r="C588" s="16"/>
      <c r="D588" s="15"/>
      <c r="E588" s="17"/>
      <c r="F588" s="54"/>
      <c r="G588" s="19"/>
      <c r="H588" s="17"/>
      <c r="I588" s="19"/>
      <c r="J588" s="21"/>
      <c r="K588" s="57"/>
      <c r="L588" s="24"/>
      <c r="M588" s="25"/>
      <c r="N588" s="25"/>
      <c r="O588" s="25"/>
      <c r="P588" s="26"/>
    </row>
    <row r="589">
      <c r="A589" s="52"/>
      <c r="B589" s="15"/>
      <c r="C589" s="16"/>
      <c r="D589" s="15"/>
      <c r="E589" s="17"/>
      <c r="F589" s="54"/>
      <c r="G589" s="19"/>
      <c r="H589" s="17"/>
      <c r="I589" s="19"/>
      <c r="J589" s="21"/>
      <c r="K589" s="57"/>
      <c r="L589" s="24"/>
      <c r="M589" s="25"/>
      <c r="N589" s="25"/>
      <c r="O589" s="25"/>
      <c r="P589" s="26"/>
    </row>
    <row r="590">
      <c r="A590" s="52"/>
      <c r="B590" s="15"/>
      <c r="C590" s="16"/>
      <c r="D590" s="15"/>
      <c r="E590" s="17"/>
      <c r="F590" s="54"/>
      <c r="G590" s="19"/>
      <c r="H590" s="17"/>
      <c r="I590" s="19"/>
      <c r="J590" s="21"/>
      <c r="K590" s="57"/>
      <c r="L590" s="24"/>
      <c r="M590" s="25"/>
      <c r="N590" s="25"/>
      <c r="O590" s="25"/>
      <c r="P590" s="26"/>
    </row>
    <row r="591">
      <c r="A591" s="52"/>
      <c r="B591" s="15"/>
      <c r="C591" s="16"/>
      <c r="D591" s="15"/>
      <c r="E591" s="17"/>
      <c r="F591" s="54"/>
      <c r="G591" s="19"/>
      <c r="H591" s="17"/>
      <c r="I591" s="19"/>
      <c r="J591" s="21"/>
      <c r="K591" s="57"/>
      <c r="L591" s="24"/>
      <c r="M591" s="25"/>
      <c r="N591" s="25"/>
      <c r="O591" s="25"/>
      <c r="P591" s="26"/>
    </row>
    <row r="592">
      <c r="A592" s="52"/>
      <c r="B592" s="15"/>
      <c r="C592" s="16"/>
      <c r="D592" s="15"/>
      <c r="E592" s="17"/>
      <c r="F592" s="54"/>
      <c r="G592" s="19"/>
      <c r="H592" s="17"/>
      <c r="I592" s="19"/>
      <c r="J592" s="21"/>
      <c r="K592" s="57"/>
      <c r="L592" s="24"/>
      <c r="M592" s="25"/>
      <c r="N592" s="25"/>
      <c r="O592" s="25"/>
      <c r="P592" s="26"/>
    </row>
    <row r="593">
      <c r="A593" s="52"/>
      <c r="B593" s="15"/>
      <c r="C593" s="16"/>
      <c r="D593" s="15"/>
      <c r="E593" s="17"/>
      <c r="F593" s="54"/>
      <c r="G593" s="19"/>
      <c r="H593" s="17"/>
      <c r="I593" s="19"/>
      <c r="J593" s="21"/>
      <c r="K593" s="57"/>
      <c r="L593" s="24"/>
      <c r="M593" s="25"/>
      <c r="N593" s="25"/>
      <c r="O593" s="25"/>
      <c r="P593" s="26"/>
    </row>
    <row r="594">
      <c r="A594" s="52"/>
      <c r="B594" s="15"/>
      <c r="C594" s="16"/>
      <c r="D594" s="15"/>
      <c r="E594" s="17"/>
      <c r="F594" s="54"/>
      <c r="G594" s="19"/>
      <c r="H594" s="17"/>
      <c r="I594" s="19"/>
      <c r="J594" s="21"/>
      <c r="K594" s="57"/>
      <c r="L594" s="24"/>
      <c r="M594" s="25"/>
      <c r="N594" s="25"/>
      <c r="O594" s="25"/>
      <c r="P594" s="26"/>
    </row>
    <row r="595">
      <c r="A595" s="52"/>
      <c r="B595" s="15"/>
      <c r="C595" s="16"/>
      <c r="D595" s="15"/>
      <c r="E595" s="17"/>
      <c r="F595" s="54"/>
      <c r="G595" s="19"/>
      <c r="H595" s="17"/>
      <c r="I595" s="19"/>
      <c r="J595" s="21"/>
      <c r="K595" s="57"/>
      <c r="L595" s="24"/>
      <c r="M595" s="25"/>
      <c r="N595" s="25"/>
      <c r="O595" s="25"/>
      <c r="P595" s="26"/>
    </row>
    <row r="596">
      <c r="A596" s="52"/>
      <c r="B596" s="15"/>
      <c r="C596" s="16"/>
      <c r="D596" s="15"/>
      <c r="E596" s="17"/>
      <c r="F596" s="54"/>
      <c r="G596" s="19"/>
      <c r="H596" s="17"/>
      <c r="I596" s="19"/>
      <c r="J596" s="21"/>
      <c r="K596" s="57"/>
      <c r="L596" s="24"/>
      <c r="M596" s="25"/>
      <c r="N596" s="25"/>
      <c r="O596" s="25"/>
      <c r="P596" s="26"/>
    </row>
    <row r="597">
      <c r="A597" s="52"/>
      <c r="B597" s="15"/>
      <c r="C597" s="16"/>
      <c r="D597" s="15"/>
      <c r="E597" s="17"/>
      <c r="F597" s="54"/>
      <c r="G597" s="19"/>
      <c r="H597" s="17"/>
      <c r="I597" s="19"/>
      <c r="J597" s="21"/>
      <c r="K597" s="57"/>
      <c r="L597" s="24"/>
      <c r="M597" s="25"/>
      <c r="N597" s="25"/>
      <c r="O597" s="25"/>
      <c r="P597" s="26"/>
    </row>
    <row r="598">
      <c r="A598" s="52"/>
      <c r="B598" s="15"/>
      <c r="C598" s="16"/>
      <c r="D598" s="15"/>
      <c r="E598" s="17"/>
      <c r="F598" s="54"/>
      <c r="G598" s="19"/>
      <c r="H598" s="17"/>
      <c r="I598" s="19"/>
      <c r="J598" s="21"/>
      <c r="K598" s="57"/>
      <c r="L598" s="24"/>
      <c r="M598" s="25"/>
      <c r="N598" s="25"/>
      <c r="O598" s="25"/>
      <c r="P598" s="26"/>
    </row>
    <row r="599">
      <c r="A599" s="52"/>
      <c r="B599" s="15"/>
      <c r="C599" s="16"/>
      <c r="D599" s="15"/>
      <c r="E599" s="17"/>
      <c r="F599" s="54"/>
      <c r="G599" s="19"/>
      <c r="H599" s="17"/>
      <c r="I599" s="19"/>
      <c r="J599" s="21"/>
      <c r="K599" s="57"/>
      <c r="L599" s="24"/>
      <c r="M599" s="25"/>
      <c r="N599" s="25"/>
      <c r="O599" s="25"/>
      <c r="P599" s="26"/>
    </row>
    <row r="600">
      <c r="A600" s="52"/>
      <c r="B600" s="15"/>
      <c r="C600" s="16"/>
      <c r="D600" s="15"/>
      <c r="E600" s="17"/>
      <c r="F600" s="54"/>
      <c r="G600" s="19"/>
      <c r="H600" s="17"/>
      <c r="I600" s="19"/>
      <c r="J600" s="21"/>
      <c r="K600" s="57"/>
      <c r="L600" s="24"/>
      <c r="M600" s="25"/>
      <c r="N600" s="25"/>
      <c r="O600" s="25"/>
      <c r="P600" s="26"/>
    </row>
    <row r="601">
      <c r="A601" s="52"/>
      <c r="B601" s="15"/>
      <c r="C601" s="16"/>
      <c r="D601" s="15"/>
      <c r="E601" s="17"/>
      <c r="F601" s="54"/>
      <c r="G601" s="19"/>
      <c r="H601" s="17"/>
      <c r="I601" s="19"/>
      <c r="J601" s="21"/>
      <c r="K601" s="57"/>
      <c r="L601" s="24"/>
      <c r="M601" s="25"/>
      <c r="N601" s="25"/>
      <c r="O601" s="25"/>
      <c r="P601" s="26"/>
    </row>
    <row r="602">
      <c r="A602" s="52"/>
      <c r="B602" s="15"/>
      <c r="C602" s="16"/>
      <c r="D602" s="15"/>
      <c r="E602" s="17"/>
      <c r="F602" s="54"/>
      <c r="G602" s="19"/>
      <c r="H602" s="17"/>
      <c r="I602" s="19"/>
      <c r="J602" s="21"/>
      <c r="K602" s="57"/>
      <c r="L602" s="24"/>
      <c r="M602" s="25"/>
      <c r="N602" s="25"/>
      <c r="O602" s="25"/>
      <c r="P602" s="26"/>
    </row>
    <row r="603">
      <c r="A603" s="52"/>
      <c r="B603" s="15"/>
      <c r="C603" s="16"/>
      <c r="D603" s="15"/>
      <c r="E603" s="17"/>
      <c r="F603" s="54"/>
      <c r="G603" s="19"/>
      <c r="H603" s="17"/>
      <c r="I603" s="19"/>
      <c r="J603" s="21"/>
      <c r="K603" s="57"/>
      <c r="L603" s="24"/>
      <c r="M603" s="25"/>
      <c r="N603" s="25"/>
      <c r="O603" s="25"/>
      <c r="P603" s="26"/>
    </row>
    <row r="604">
      <c r="A604" s="52"/>
      <c r="B604" s="15"/>
      <c r="C604" s="16"/>
      <c r="D604" s="15"/>
      <c r="E604" s="17"/>
      <c r="F604" s="54"/>
      <c r="G604" s="19"/>
      <c r="H604" s="17"/>
      <c r="I604" s="19"/>
      <c r="J604" s="21"/>
      <c r="K604" s="57"/>
      <c r="L604" s="24"/>
      <c r="M604" s="25"/>
      <c r="N604" s="25"/>
      <c r="O604" s="25"/>
      <c r="P604" s="26"/>
    </row>
    <row r="605">
      <c r="A605" s="52"/>
      <c r="B605" s="15"/>
      <c r="C605" s="16"/>
      <c r="D605" s="15"/>
      <c r="E605" s="17"/>
      <c r="F605" s="54"/>
      <c r="G605" s="19"/>
      <c r="H605" s="17"/>
      <c r="I605" s="19"/>
      <c r="J605" s="21"/>
      <c r="K605" s="57"/>
      <c r="L605" s="24"/>
      <c r="M605" s="25"/>
      <c r="N605" s="25"/>
      <c r="O605" s="25"/>
      <c r="P605" s="26"/>
    </row>
    <row r="606">
      <c r="A606" s="52"/>
      <c r="B606" s="15"/>
      <c r="C606" s="16"/>
      <c r="D606" s="15"/>
      <c r="E606" s="17"/>
      <c r="F606" s="54"/>
      <c r="G606" s="19"/>
      <c r="H606" s="17"/>
      <c r="I606" s="19"/>
      <c r="J606" s="21"/>
      <c r="K606" s="57"/>
      <c r="L606" s="24"/>
      <c r="M606" s="25"/>
      <c r="N606" s="25"/>
      <c r="O606" s="25"/>
      <c r="P606" s="26"/>
    </row>
    <row r="607">
      <c r="A607" s="52"/>
      <c r="B607" s="15"/>
      <c r="C607" s="16"/>
      <c r="D607" s="15"/>
      <c r="E607" s="17"/>
      <c r="F607" s="54"/>
      <c r="G607" s="19"/>
      <c r="H607" s="17"/>
      <c r="I607" s="19"/>
      <c r="J607" s="21"/>
      <c r="K607" s="57"/>
      <c r="L607" s="24"/>
      <c r="M607" s="25"/>
      <c r="N607" s="25"/>
      <c r="O607" s="25"/>
      <c r="P607" s="26"/>
    </row>
    <row r="608">
      <c r="A608" s="52"/>
      <c r="B608" s="15"/>
      <c r="C608" s="16"/>
      <c r="D608" s="15"/>
      <c r="E608" s="17"/>
      <c r="F608" s="54"/>
      <c r="G608" s="19"/>
      <c r="H608" s="17"/>
      <c r="I608" s="19"/>
      <c r="J608" s="21"/>
      <c r="K608" s="57"/>
      <c r="L608" s="24"/>
      <c r="M608" s="25"/>
      <c r="N608" s="25"/>
      <c r="O608" s="25"/>
      <c r="P608" s="26"/>
    </row>
    <row r="609">
      <c r="A609" s="52"/>
      <c r="B609" s="15"/>
      <c r="C609" s="16"/>
      <c r="D609" s="15"/>
      <c r="E609" s="17"/>
      <c r="F609" s="54"/>
      <c r="G609" s="19"/>
      <c r="H609" s="17"/>
      <c r="I609" s="19"/>
      <c r="J609" s="21"/>
      <c r="K609" s="57"/>
      <c r="L609" s="24"/>
      <c r="M609" s="25"/>
      <c r="N609" s="25"/>
      <c r="O609" s="25"/>
      <c r="P609" s="26"/>
    </row>
    <row r="610">
      <c r="A610" s="52"/>
      <c r="B610" s="15"/>
      <c r="C610" s="16"/>
      <c r="D610" s="15"/>
      <c r="E610" s="17"/>
      <c r="F610" s="54"/>
      <c r="G610" s="19"/>
      <c r="H610" s="17"/>
      <c r="I610" s="19"/>
      <c r="J610" s="21"/>
      <c r="K610" s="57"/>
      <c r="L610" s="24"/>
      <c r="M610" s="25"/>
      <c r="N610" s="25"/>
      <c r="O610" s="25"/>
      <c r="P610" s="26"/>
    </row>
    <row r="611">
      <c r="A611" s="52"/>
      <c r="B611" s="15"/>
      <c r="C611" s="16"/>
      <c r="D611" s="15"/>
      <c r="E611" s="17"/>
      <c r="F611" s="54"/>
      <c r="G611" s="19"/>
      <c r="H611" s="17"/>
      <c r="I611" s="19"/>
      <c r="J611" s="21"/>
      <c r="K611" s="57"/>
      <c r="L611" s="24"/>
      <c r="M611" s="25"/>
      <c r="N611" s="25"/>
      <c r="O611" s="25"/>
      <c r="P611" s="26"/>
    </row>
    <row r="612">
      <c r="A612" s="52"/>
      <c r="B612" s="15"/>
      <c r="C612" s="16"/>
      <c r="D612" s="15"/>
      <c r="E612" s="17"/>
      <c r="F612" s="54"/>
      <c r="G612" s="19"/>
      <c r="H612" s="17"/>
      <c r="I612" s="19"/>
      <c r="J612" s="21"/>
      <c r="K612" s="57"/>
      <c r="L612" s="24"/>
      <c r="M612" s="25"/>
      <c r="N612" s="25"/>
      <c r="O612" s="25"/>
      <c r="P612" s="26"/>
    </row>
    <row r="613">
      <c r="A613" s="52"/>
      <c r="B613" s="15"/>
      <c r="C613" s="16"/>
      <c r="D613" s="15"/>
      <c r="E613" s="17"/>
      <c r="F613" s="54"/>
      <c r="G613" s="19"/>
      <c r="H613" s="17"/>
      <c r="I613" s="19"/>
      <c r="J613" s="21"/>
      <c r="K613" s="57"/>
      <c r="L613" s="24"/>
      <c r="M613" s="25"/>
      <c r="N613" s="25"/>
      <c r="O613" s="25"/>
      <c r="P613" s="26"/>
    </row>
    <row r="614">
      <c r="A614" s="52"/>
      <c r="B614" s="15"/>
      <c r="C614" s="16"/>
      <c r="D614" s="15"/>
      <c r="E614" s="17"/>
      <c r="F614" s="54"/>
      <c r="G614" s="19"/>
      <c r="H614" s="17"/>
      <c r="I614" s="19"/>
      <c r="J614" s="21"/>
      <c r="K614" s="57"/>
      <c r="L614" s="24"/>
      <c r="M614" s="25"/>
      <c r="N614" s="25"/>
      <c r="O614" s="25"/>
      <c r="P614" s="26"/>
    </row>
    <row r="615">
      <c r="A615" s="52"/>
      <c r="B615" s="15"/>
      <c r="C615" s="16"/>
      <c r="D615" s="15"/>
      <c r="E615" s="17"/>
      <c r="F615" s="54"/>
      <c r="G615" s="19"/>
      <c r="H615" s="17"/>
      <c r="I615" s="19"/>
      <c r="J615" s="21"/>
      <c r="K615" s="57"/>
      <c r="L615" s="24"/>
      <c r="M615" s="25"/>
      <c r="N615" s="25"/>
      <c r="O615" s="25"/>
      <c r="P615" s="26"/>
    </row>
    <row r="616">
      <c r="A616" s="52"/>
      <c r="B616" s="15"/>
      <c r="C616" s="16"/>
      <c r="D616" s="15"/>
      <c r="E616" s="17"/>
      <c r="F616" s="54"/>
      <c r="G616" s="19"/>
      <c r="H616" s="17"/>
      <c r="I616" s="19"/>
      <c r="J616" s="21"/>
      <c r="K616" s="57"/>
      <c r="L616" s="24"/>
      <c r="M616" s="25"/>
      <c r="N616" s="25"/>
      <c r="O616" s="25"/>
      <c r="P616" s="26"/>
    </row>
    <row r="617">
      <c r="A617" s="52"/>
      <c r="B617" s="15"/>
      <c r="C617" s="16"/>
      <c r="D617" s="15"/>
      <c r="E617" s="17"/>
      <c r="F617" s="54"/>
      <c r="G617" s="19"/>
      <c r="H617" s="17"/>
      <c r="I617" s="19"/>
      <c r="J617" s="21"/>
      <c r="K617" s="57"/>
      <c r="L617" s="24"/>
      <c r="M617" s="25"/>
      <c r="N617" s="25"/>
      <c r="O617" s="25"/>
      <c r="P617" s="26"/>
    </row>
    <row r="618">
      <c r="A618" s="52"/>
      <c r="B618" s="15"/>
      <c r="C618" s="16"/>
      <c r="D618" s="15"/>
      <c r="E618" s="17"/>
      <c r="F618" s="54"/>
      <c r="G618" s="19"/>
      <c r="H618" s="17"/>
      <c r="I618" s="19"/>
      <c r="J618" s="21"/>
      <c r="K618" s="57"/>
      <c r="L618" s="24"/>
      <c r="M618" s="25"/>
      <c r="N618" s="25"/>
      <c r="O618" s="25"/>
      <c r="P618" s="26"/>
    </row>
    <row r="619">
      <c r="A619" s="52"/>
      <c r="B619" s="15"/>
      <c r="C619" s="16"/>
      <c r="D619" s="15"/>
      <c r="E619" s="17"/>
      <c r="F619" s="54"/>
      <c r="G619" s="19"/>
      <c r="H619" s="17"/>
      <c r="I619" s="19"/>
      <c r="J619" s="21"/>
      <c r="K619" s="57"/>
      <c r="L619" s="24"/>
      <c r="M619" s="25"/>
      <c r="N619" s="25"/>
      <c r="O619" s="25"/>
      <c r="P619" s="26"/>
    </row>
    <row r="620">
      <c r="A620" s="52"/>
      <c r="B620" s="15"/>
      <c r="C620" s="16"/>
      <c r="D620" s="15"/>
      <c r="E620" s="17"/>
      <c r="F620" s="54"/>
      <c r="G620" s="19"/>
      <c r="H620" s="17"/>
      <c r="I620" s="19"/>
      <c r="J620" s="21"/>
      <c r="K620" s="57"/>
      <c r="L620" s="24"/>
      <c r="M620" s="25"/>
      <c r="N620" s="25"/>
      <c r="O620" s="25"/>
      <c r="P620" s="26"/>
    </row>
    <row r="621">
      <c r="A621" s="52"/>
      <c r="B621" s="15"/>
      <c r="C621" s="16"/>
      <c r="D621" s="15"/>
      <c r="E621" s="17"/>
      <c r="F621" s="54"/>
      <c r="G621" s="19"/>
      <c r="H621" s="17"/>
      <c r="I621" s="19"/>
      <c r="J621" s="21"/>
      <c r="K621" s="57"/>
      <c r="L621" s="24"/>
      <c r="M621" s="25"/>
      <c r="N621" s="25"/>
      <c r="O621" s="25"/>
      <c r="P621" s="26"/>
    </row>
    <row r="622">
      <c r="A622" s="52"/>
      <c r="B622" s="15"/>
      <c r="C622" s="16"/>
      <c r="D622" s="15"/>
      <c r="E622" s="17"/>
      <c r="F622" s="54"/>
      <c r="G622" s="19"/>
      <c r="H622" s="17"/>
      <c r="I622" s="19"/>
      <c r="J622" s="21"/>
      <c r="K622" s="57"/>
      <c r="L622" s="24"/>
      <c r="M622" s="25"/>
      <c r="N622" s="25"/>
      <c r="O622" s="25"/>
      <c r="P622" s="26"/>
    </row>
    <row r="623">
      <c r="A623" s="52"/>
      <c r="B623" s="15"/>
      <c r="C623" s="16"/>
      <c r="D623" s="15"/>
      <c r="E623" s="17"/>
      <c r="F623" s="54"/>
      <c r="G623" s="19"/>
      <c r="H623" s="17"/>
      <c r="I623" s="19"/>
      <c r="J623" s="21"/>
      <c r="K623" s="57"/>
      <c r="L623" s="24"/>
      <c r="M623" s="25"/>
      <c r="N623" s="25"/>
      <c r="O623" s="25"/>
      <c r="P623" s="26"/>
    </row>
    <row r="624">
      <c r="A624" s="52"/>
      <c r="B624" s="15"/>
      <c r="C624" s="16"/>
      <c r="D624" s="15"/>
      <c r="E624" s="17"/>
      <c r="F624" s="54"/>
      <c r="G624" s="19"/>
      <c r="H624" s="17"/>
      <c r="I624" s="19"/>
      <c r="J624" s="21"/>
      <c r="K624" s="57"/>
      <c r="L624" s="24"/>
      <c r="M624" s="25"/>
      <c r="N624" s="25"/>
      <c r="O624" s="25"/>
      <c r="P624" s="26"/>
    </row>
    <row r="625">
      <c r="A625" s="52"/>
      <c r="B625" s="15"/>
      <c r="C625" s="16"/>
      <c r="D625" s="15"/>
      <c r="E625" s="17"/>
      <c r="F625" s="54"/>
      <c r="G625" s="19"/>
      <c r="H625" s="17"/>
      <c r="I625" s="19"/>
      <c r="J625" s="21"/>
      <c r="K625" s="57"/>
      <c r="L625" s="24"/>
      <c r="M625" s="25"/>
      <c r="N625" s="25"/>
      <c r="O625" s="25"/>
      <c r="P625" s="26"/>
    </row>
    <row r="626">
      <c r="A626" s="52"/>
      <c r="B626" s="15"/>
      <c r="C626" s="16"/>
      <c r="D626" s="15"/>
      <c r="E626" s="17"/>
      <c r="F626" s="54"/>
      <c r="G626" s="19"/>
      <c r="H626" s="17"/>
      <c r="I626" s="19"/>
      <c r="J626" s="21"/>
      <c r="K626" s="57"/>
      <c r="L626" s="24"/>
      <c r="M626" s="25"/>
      <c r="N626" s="25"/>
      <c r="O626" s="25"/>
      <c r="P626" s="26"/>
    </row>
    <row r="627">
      <c r="A627" s="52"/>
      <c r="B627" s="15"/>
      <c r="C627" s="16"/>
      <c r="D627" s="15"/>
      <c r="E627" s="17"/>
      <c r="F627" s="54"/>
      <c r="G627" s="19"/>
      <c r="H627" s="17"/>
      <c r="I627" s="19"/>
      <c r="J627" s="21"/>
      <c r="K627" s="57"/>
      <c r="L627" s="24"/>
      <c r="M627" s="25"/>
      <c r="N627" s="25"/>
      <c r="O627" s="25"/>
      <c r="P627" s="26"/>
    </row>
    <row r="628">
      <c r="A628" s="52"/>
      <c r="B628" s="15"/>
      <c r="C628" s="16"/>
      <c r="D628" s="15"/>
      <c r="E628" s="17"/>
      <c r="F628" s="54"/>
      <c r="G628" s="19"/>
      <c r="H628" s="17"/>
      <c r="I628" s="19"/>
      <c r="J628" s="21"/>
      <c r="K628" s="57"/>
      <c r="L628" s="24"/>
      <c r="M628" s="25"/>
      <c r="N628" s="25"/>
      <c r="O628" s="25"/>
      <c r="P628" s="26"/>
    </row>
    <row r="629">
      <c r="A629" s="52"/>
      <c r="B629" s="15"/>
      <c r="C629" s="16"/>
      <c r="D629" s="15"/>
      <c r="E629" s="17"/>
      <c r="F629" s="54"/>
      <c r="G629" s="19"/>
      <c r="H629" s="17"/>
      <c r="I629" s="19"/>
      <c r="J629" s="21"/>
      <c r="K629" s="57"/>
      <c r="L629" s="24"/>
      <c r="M629" s="25"/>
      <c r="N629" s="25"/>
      <c r="O629" s="25"/>
      <c r="P629" s="26"/>
    </row>
    <row r="630">
      <c r="A630" s="52"/>
      <c r="B630" s="15"/>
      <c r="C630" s="16"/>
      <c r="D630" s="15"/>
      <c r="E630" s="17"/>
      <c r="F630" s="54"/>
      <c r="G630" s="19"/>
      <c r="H630" s="17"/>
      <c r="I630" s="19"/>
      <c r="J630" s="21"/>
      <c r="K630" s="57"/>
      <c r="L630" s="24"/>
      <c r="M630" s="25"/>
      <c r="N630" s="25"/>
      <c r="O630" s="25"/>
      <c r="P630" s="26"/>
    </row>
    <row r="631">
      <c r="A631" s="52"/>
      <c r="B631" s="15"/>
      <c r="C631" s="16"/>
      <c r="D631" s="15"/>
      <c r="E631" s="17"/>
      <c r="F631" s="54"/>
      <c r="G631" s="19"/>
      <c r="H631" s="17"/>
      <c r="I631" s="19"/>
      <c r="J631" s="21"/>
      <c r="K631" s="57"/>
      <c r="L631" s="24"/>
      <c r="M631" s="25"/>
      <c r="N631" s="25"/>
      <c r="O631" s="25"/>
      <c r="P631" s="26"/>
    </row>
    <row r="632">
      <c r="A632" s="52"/>
      <c r="B632" s="15"/>
      <c r="C632" s="16"/>
      <c r="D632" s="15"/>
      <c r="E632" s="17"/>
      <c r="F632" s="54"/>
      <c r="G632" s="19"/>
      <c r="H632" s="17"/>
      <c r="I632" s="19"/>
      <c r="J632" s="21"/>
      <c r="K632" s="57"/>
      <c r="L632" s="24"/>
      <c r="M632" s="25"/>
      <c r="N632" s="25"/>
      <c r="O632" s="25"/>
      <c r="P632" s="26"/>
    </row>
    <row r="633">
      <c r="A633" s="52"/>
      <c r="B633" s="15"/>
      <c r="C633" s="16"/>
      <c r="D633" s="15"/>
      <c r="E633" s="17"/>
      <c r="F633" s="54"/>
      <c r="G633" s="19"/>
      <c r="H633" s="17"/>
      <c r="I633" s="19"/>
      <c r="J633" s="21"/>
      <c r="K633" s="57"/>
      <c r="L633" s="24"/>
      <c r="M633" s="25"/>
      <c r="N633" s="25"/>
      <c r="O633" s="25"/>
      <c r="P633" s="26"/>
    </row>
    <row r="634">
      <c r="A634" s="52"/>
      <c r="B634" s="15"/>
      <c r="C634" s="16"/>
      <c r="D634" s="15"/>
      <c r="E634" s="17"/>
      <c r="F634" s="54"/>
      <c r="G634" s="19"/>
      <c r="H634" s="17"/>
      <c r="I634" s="19"/>
      <c r="J634" s="21"/>
      <c r="K634" s="57"/>
      <c r="L634" s="24"/>
      <c r="M634" s="25"/>
      <c r="N634" s="25"/>
      <c r="O634" s="25"/>
      <c r="P634" s="26"/>
    </row>
    <row r="635">
      <c r="A635" s="52"/>
      <c r="B635" s="15"/>
      <c r="C635" s="16"/>
      <c r="D635" s="15"/>
      <c r="E635" s="17"/>
      <c r="F635" s="54"/>
      <c r="G635" s="19"/>
      <c r="H635" s="17"/>
      <c r="I635" s="19"/>
      <c r="J635" s="21"/>
      <c r="K635" s="57"/>
      <c r="L635" s="24"/>
      <c r="M635" s="25"/>
      <c r="N635" s="25"/>
      <c r="O635" s="25"/>
      <c r="P635" s="26"/>
    </row>
    <row r="636">
      <c r="A636" s="52"/>
      <c r="B636" s="15"/>
      <c r="C636" s="16"/>
      <c r="D636" s="15"/>
      <c r="E636" s="17"/>
      <c r="F636" s="54"/>
      <c r="G636" s="19"/>
      <c r="H636" s="17"/>
      <c r="I636" s="19"/>
      <c r="J636" s="21"/>
      <c r="K636" s="57"/>
      <c r="L636" s="24"/>
      <c r="M636" s="25"/>
      <c r="N636" s="25"/>
      <c r="O636" s="25"/>
      <c r="P636" s="26"/>
    </row>
    <row r="637">
      <c r="A637" s="52"/>
      <c r="B637" s="15"/>
      <c r="C637" s="16"/>
      <c r="D637" s="15"/>
      <c r="E637" s="17"/>
      <c r="F637" s="54"/>
      <c r="G637" s="19"/>
      <c r="H637" s="17"/>
      <c r="I637" s="19"/>
      <c r="J637" s="21"/>
      <c r="K637" s="57"/>
      <c r="L637" s="24"/>
      <c r="M637" s="25"/>
      <c r="N637" s="25"/>
      <c r="O637" s="25"/>
      <c r="P637" s="26"/>
    </row>
    <row r="638">
      <c r="A638" s="52"/>
      <c r="B638" s="15"/>
      <c r="C638" s="16"/>
      <c r="D638" s="15"/>
      <c r="E638" s="17"/>
      <c r="F638" s="54"/>
      <c r="G638" s="19"/>
      <c r="H638" s="17"/>
      <c r="I638" s="19"/>
      <c r="J638" s="21"/>
      <c r="K638" s="57"/>
      <c r="L638" s="24"/>
      <c r="M638" s="25"/>
      <c r="N638" s="25"/>
      <c r="O638" s="25"/>
      <c r="P638" s="26"/>
    </row>
    <row r="639">
      <c r="A639" s="52"/>
      <c r="B639" s="15"/>
      <c r="C639" s="16"/>
      <c r="D639" s="15"/>
      <c r="E639" s="17"/>
      <c r="F639" s="54"/>
      <c r="G639" s="19"/>
      <c r="H639" s="17"/>
      <c r="I639" s="19"/>
      <c r="J639" s="21"/>
      <c r="K639" s="57"/>
      <c r="L639" s="24"/>
      <c r="M639" s="25"/>
      <c r="N639" s="25"/>
      <c r="O639" s="25"/>
      <c r="P639" s="26"/>
    </row>
    <row r="640">
      <c r="A640" s="52"/>
      <c r="B640" s="15"/>
      <c r="C640" s="16"/>
      <c r="D640" s="15"/>
      <c r="E640" s="17"/>
      <c r="F640" s="54"/>
      <c r="G640" s="19"/>
      <c r="H640" s="17"/>
      <c r="I640" s="19"/>
      <c r="J640" s="21"/>
      <c r="K640" s="57"/>
      <c r="L640" s="24"/>
      <c r="M640" s="25"/>
      <c r="N640" s="25"/>
      <c r="O640" s="25"/>
      <c r="P640" s="26"/>
    </row>
    <row r="641">
      <c r="A641" s="52"/>
      <c r="B641" s="15"/>
      <c r="C641" s="16"/>
      <c r="D641" s="15"/>
      <c r="E641" s="17"/>
      <c r="F641" s="54"/>
      <c r="G641" s="19"/>
      <c r="H641" s="17"/>
      <c r="I641" s="19"/>
      <c r="J641" s="21"/>
      <c r="K641" s="57"/>
      <c r="L641" s="24"/>
      <c r="M641" s="25"/>
      <c r="N641" s="25"/>
      <c r="O641" s="25"/>
      <c r="P641" s="26"/>
    </row>
    <row r="642">
      <c r="A642" s="52"/>
      <c r="B642" s="15"/>
      <c r="C642" s="16"/>
      <c r="D642" s="15"/>
      <c r="E642" s="17"/>
      <c r="F642" s="54"/>
      <c r="G642" s="19"/>
      <c r="H642" s="17"/>
      <c r="I642" s="19"/>
      <c r="J642" s="21"/>
      <c r="K642" s="57"/>
      <c r="L642" s="24"/>
      <c r="M642" s="25"/>
      <c r="N642" s="25"/>
      <c r="O642" s="25"/>
      <c r="P642" s="26"/>
    </row>
    <row r="643">
      <c r="A643" s="52"/>
      <c r="B643" s="15"/>
      <c r="C643" s="16"/>
      <c r="D643" s="15"/>
      <c r="E643" s="17"/>
      <c r="F643" s="54"/>
      <c r="G643" s="19"/>
      <c r="H643" s="17"/>
      <c r="I643" s="19"/>
      <c r="J643" s="21"/>
      <c r="K643" s="57"/>
      <c r="L643" s="24"/>
      <c r="M643" s="25"/>
      <c r="N643" s="25"/>
      <c r="O643" s="25"/>
      <c r="P643" s="26"/>
    </row>
    <row r="644">
      <c r="A644" s="52"/>
      <c r="B644" s="15"/>
      <c r="C644" s="16"/>
      <c r="D644" s="15"/>
      <c r="E644" s="17"/>
      <c r="F644" s="54"/>
      <c r="G644" s="19"/>
      <c r="H644" s="17"/>
      <c r="I644" s="19"/>
      <c r="J644" s="21"/>
      <c r="K644" s="57"/>
      <c r="L644" s="24"/>
      <c r="M644" s="25"/>
      <c r="N644" s="25"/>
      <c r="O644" s="25"/>
      <c r="P644" s="26"/>
    </row>
    <row r="645">
      <c r="A645" s="52"/>
      <c r="B645" s="15"/>
      <c r="C645" s="16"/>
      <c r="D645" s="15"/>
      <c r="E645" s="17"/>
      <c r="F645" s="54"/>
      <c r="G645" s="19"/>
      <c r="H645" s="17"/>
      <c r="I645" s="19"/>
      <c r="J645" s="21"/>
      <c r="K645" s="57"/>
      <c r="L645" s="24"/>
      <c r="M645" s="25"/>
      <c r="N645" s="25"/>
      <c r="O645" s="25"/>
      <c r="P645" s="26"/>
    </row>
    <row r="646">
      <c r="A646" s="52"/>
      <c r="B646" s="15"/>
      <c r="C646" s="16"/>
      <c r="D646" s="15"/>
      <c r="E646" s="17"/>
      <c r="F646" s="54"/>
      <c r="G646" s="19"/>
      <c r="H646" s="17"/>
      <c r="I646" s="19"/>
      <c r="J646" s="21"/>
      <c r="K646" s="57"/>
      <c r="L646" s="24"/>
      <c r="M646" s="25"/>
      <c r="N646" s="25"/>
      <c r="O646" s="25"/>
      <c r="P646" s="26"/>
    </row>
    <row r="647">
      <c r="A647" s="52"/>
      <c r="B647" s="15"/>
      <c r="C647" s="16"/>
      <c r="D647" s="15"/>
      <c r="E647" s="17"/>
      <c r="F647" s="54"/>
      <c r="G647" s="19"/>
      <c r="H647" s="17"/>
      <c r="I647" s="19"/>
      <c r="J647" s="21"/>
      <c r="K647" s="57"/>
      <c r="L647" s="24"/>
      <c r="M647" s="25"/>
      <c r="N647" s="25"/>
      <c r="O647" s="25"/>
      <c r="P647" s="26"/>
    </row>
    <row r="648">
      <c r="A648" s="52"/>
      <c r="B648" s="15"/>
      <c r="C648" s="16"/>
      <c r="D648" s="15"/>
      <c r="E648" s="17"/>
      <c r="F648" s="54"/>
      <c r="G648" s="19"/>
      <c r="H648" s="17"/>
      <c r="I648" s="19"/>
      <c r="J648" s="21"/>
      <c r="K648" s="57"/>
      <c r="L648" s="24"/>
      <c r="M648" s="25"/>
      <c r="N648" s="25"/>
      <c r="O648" s="25"/>
      <c r="P648" s="26"/>
    </row>
    <row r="649">
      <c r="A649" s="52"/>
      <c r="B649" s="15"/>
      <c r="C649" s="16"/>
      <c r="D649" s="15"/>
      <c r="E649" s="17"/>
      <c r="F649" s="54"/>
      <c r="G649" s="19"/>
      <c r="H649" s="17"/>
      <c r="I649" s="19"/>
      <c r="J649" s="21"/>
      <c r="K649" s="57"/>
      <c r="L649" s="24"/>
      <c r="M649" s="25"/>
      <c r="N649" s="25"/>
      <c r="O649" s="25"/>
      <c r="P649" s="26"/>
    </row>
    <row r="650">
      <c r="A650" s="52"/>
      <c r="B650" s="15"/>
      <c r="C650" s="16"/>
      <c r="D650" s="15"/>
      <c r="E650" s="17"/>
      <c r="F650" s="54"/>
      <c r="G650" s="19"/>
      <c r="H650" s="17"/>
      <c r="I650" s="19"/>
      <c r="J650" s="21"/>
      <c r="K650" s="57"/>
      <c r="L650" s="24"/>
      <c r="M650" s="25"/>
      <c r="N650" s="25"/>
      <c r="O650" s="25"/>
      <c r="P650" s="26"/>
    </row>
    <row r="651">
      <c r="A651" s="52"/>
      <c r="B651" s="15"/>
      <c r="C651" s="16"/>
      <c r="D651" s="15"/>
      <c r="E651" s="17"/>
      <c r="F651" s="54"/>
      <c r="G651" s="19"/>
      <c r="H651" s="17"/>
      <c r="I651" s="19"/>
      <c r="J651" s="21"/>
      <c r="K651" s="57"/>
      <c r="L651" s="24"/>
      <c r="M651" s="25"/>
      <c r="N651" s="25"/>
      <c r="O651" s="25"/>
      <c r="P651" s="26"/>
    </row>
    <row r="652">
      <c r="A652" s="52"/>
      <c r="B652" s="15"/>
      <c r="C652" s="16"/>
      <c r="D652" s="15"/>
      <c r="E652" s="17"/>
      <c r="F652" s="54"/>
      <c r="G652" s="19"/>
      <c r="H652" s="17"/>
      <c r="I652" s="19"/>
      <c r="J652" s="21"/>
      <c r="K652" s="57"/>
      <c r="L652" s="24"/>
      <c r="M652" s="25"/>
      <c r="N652" s="25"/>
      <c r="O652" s="25"/>
      <c r="P652" s="26"/>
    </row>
    <row r="653">
      <c r="A653" s="52"/>
      <c r="B653" s="15"/>
      <c r="C653" s="16"/>
      <c r="D653" s="15"/>
      <c r="E653" s="17"/>
      <c r="F653" s="54"/>
      <c r="G653" s="19"/>
      <c r="H653" s="17"/>
      <c r="I653" s="19"/>
      <c r="J653" s="21"/>
      <c r="K653" s="57"/>
      <c r="L653" s="24"/>
      <c r="M653" s="25"/>
      <c r="N653" s="25"/>
      <c r="O653" s="25"/>
      <c r="P653" s="26"/>
    </row>
    <row r="654">
      <c r="A654" s="52"/>
      <c r="B654" s="15"/>
      <c r="C654" s="16"/>
      <c r="D654" s="15"/>
      <c r="E654" s="17"/>
      <c r="F654" s="54"/>
      <c r="G654" s="19"/>
      <c r="H654" s="17"/>
      <c r="I654" s="19"/>
      <c r="J654" s="21"/>
      <c r="K654" s="57"/>
      <c r="L654" s="24"/>
      <c r="M654" s="25"/>
      <c r="N654" s="25"/>
      <c r="O654" s="25"/>
      <c r="P654" s="26"/>
    </row>
    <row r="655">
      <c r="A655" s="52"/>
      <c r="B655" s="15"/>
      <c r="C655" s="16"/>
      <c r="D655" s="15"/>
      <c r="E655" s="17"/>
      <c r="F655" s="54"/>
      <c r="G655" s="19"/>
      <c r="H655" s="17"/>
      <c r="I655" s="19"/>
      <c r="J655" s="21"/>
      <c r="K655" s="57"/>
      <c r="L655" s="24"/>
      <c r="M655" s="25"/>
      <c r="N655" s="25"/>
      <c r="O655" s="25"/>
      <c r="P655" s="26"/>
    </row>
    <row r="656">
      <c r="A656" s="52"/>
      <c r="B656" s="15"/>
      <c r="C656" s="16"/>
      <c r="D656" s="15"/>
      <c r="E656" s="17"/>
      <c r="F656" s="54"/>
      <c r="G656" s="19"/>
      <c r="H656" s="17"/>
      <c r="I656" s="19"/>
      <c r="J656" s="21"/>
      <c r="K656" s="57"/>
      <c r="L656" s="24"/>
      <c r="M656" s="25"/>
      <c r="N656" s="25"/>
      <c r="O656" s="25"/>
      <c r="P656" s="26"/>
    </row>
    <row r="657">
      <c r="A657" s="52"/>
      <c r="B657" s="15"/>
      <c r="C657" s="16"/>
      <c r="D657" s="15"/>
      <c r="E657" s="17"/>
      <c r="F657" s="54"/>
      <c r="G657" s="19"/>
      <c r="H657" s="17"/>
      <c r="I657" s="19"/>
      <c r="J657" s="21"/>
      <c r="K657" s="57"/>
      <c r="L657" s="24"/>
      <c r="M657" s="25"/>
      <c r="N657" s="25"/>
      <c r="O657" s="25"/>
      <c r="P657" s="26"/>
    </row>
    <row r="658">
      <c r="A658" s="52"/>
      <c r="B658" s="15"/>
      <c r="C658" s="16"/>
      <c r="D658" s="15"/>
      <c r="E658" s="17"/>
      <c r="F658" s="54"/>
      <c r="G658" s="19"/>
      <c r="H658" s="17"/>
      <c r="I658" s="19"/>
      <c r="J658" s="21"/>
      <c r="K658" s="57"/>
      <c r="L658" s="24"/>
      <c r="M658" s="25"/>
      <c r="N658" s="25"/>
      <c r="O658" s="25"/>
      <c r="P658" s="26"/>
    </row>
    <row r="659">
      <c r="A659" s="52"/>
      <c r="B659" s="15"/>
      <c r="C659" s="16"/>
      <c r="D659" s="15"/>
      <c r="E659" s="17"/>
      <c r="F659" s="54"/>
      <c r="G659" s="19"/>
      <c r="H659" s="17"/>
      <c r="I659" s="19"/>
      <c r="J659" s="21"/>
      <c r="K659" s="57"/>
      <c r="L659" s="24"/>
      <c r="M659" s="25"/>
      <c r="N659" s="25"/>
      <c r="O659" s="25"/>
      <c r="P659" s="26"/>
    </row>
    <row r="660">
      <c r="A660" s="52"/>
      <c r="B660" s="15"/>
      <c r="C660" s="16"/>
      <c r="D660" s="15"/>
      <c r="E660" s="17"/>
      <c r="F660" s="54"/>
      <c r="G660" s="19"/>
      <c r="H660" s="17"/>
      <c r="I660" s="19"/>
      <c r="J660" s="21"/>
      <c r="K660" s="57"/>
      <c r="L660" s="24"/>
      <c r="M660" s="25"/>
      <c r="N660" s="25"/>
      <c r="O660" s="25"/>
      <c r="P660" s="26"/>
    </row>
    <row r="661">
      <c r="A661" s="52"/>
      <c r="B661" s="15"/>
      <c r="C661" s="16"/>
      <c r="D661" s="15"/>
      <c r="E661" s="17"/>
      <c r="F661" s="54"/>
      <c r="G661" s="19"/>
      <c r="H661" s="17"/>
      <c r="I661" s="19"/>
      <c r="J661" s="21"/>
      <c r="K661" s="57"/>
      <c r="L661" s="24"/>
      <c r="M661" s="25"/>
      <c r="N661" s="25"/>
      <c r="O661" s="25"/>
      <c r="P661" s="26"/>
    </row>
    <row r="662">
      <c r="A662" s="52"/>
      <c r="B662" s="15"/>
      <c r="C662" s="16"/>
      <c r="D662" s="15"/>
      <c r="E662" s="17"/>
      <c r="F662" s="54"/>
      <c r="G662" s="19"/>
      <c r="H662" s="17"/>
      <c r="I662" s="19"/>
      <c r="J662" s="21"/>
      <c r="K662" s="57"/>
      <c r="L662" s="24"/>
      <c r="M662" s="25"/>
      <c r="N662" s="25"/>
      <c r="O662" s="25"/>
      <c r="P662" s="26"/>
    </row>
    <row r="663">
      <c r="A663" s="52"/>
      <c r="B663" s="15"/>
      <c r="C663" s="16"/>
      <c r="D663" s="15"/>
      <c r="E663" s="17"/>
      <c r="F663" s="54"/>
      <c r="G663" s="19"/>
      <c r="H663" s="17"/>
      <c r="I663" s="19"/>
      <c r="J663" s="21"/>
      <c r="K663" s="57"/>
      <c r="L663" s="24"/>
      <c r="M663" s="25"/>
      <c r="N663" s="25"/>
      <c r="O663" s="25"/>
      <c r="P663" s="26"/>
    </row>
    <row r="664">
      <c r="A664" s="52"/>
      <c r="B664" s="15"/>
      <c r="C664" s="16"/>
      <c r="D664" s="15"/>
      <c r="E664" s="17"/>
      <c r="F664" s="54"/>
      <c r="G664" s="19"/>
      <c r="H664" s="17"/>
      <c r="I664" s="19"/>
      <c r="J664" s="21"/>
      <c r="K664" s="57"/>
      <c r="L664" s="24"/>
      <c r="M664" s="25"/>
      <c r="N664" s="25"/>
      <c r="O664" s="25"/>
      <c r="P664" s="26"/>
    </row>
    <row r="665">
      <c r="A665" s="52"/>
      <c r="B665" s="15"/>
      <c r="C665" s="16"/>
      <c r="D665" s="15"/>
      <c r="E665" s="17"/>
      <c r="F665" s="54"/>
      <c r="G665" s="19"/>
      <c r="H665" s="17"/>
      <c r="I665" s="19"/>
      <c r="J665" s="21"/>
      <c r="K665" s="57"/>
      <c r="L665" s="24"/>
      <c r="M665" s="25"/>
      <c r="N665" s="25"/>
      <c r="O665" s="25"/>
      <c r="P665" s="26"/>
    </row>
    <row r="666">
      <c r="A666" s="52"/>
      <c r="B666" s="15"/>
      <c r="C666" s="16"/>
      <c r="D666" s="15"/>
      <c r="E666" s="17"/>
      <c r="F666" s="54"/>
      <c r="G666" s="19"/>
      <c r="H666" s="17"/>
      <c r="I666" s="19"/>
      <c r="J666" s="21"/>
      <c r="K666" s="57"/>
      <c r="L666" s="24"/>
      <c r="M666" s="25"/>
      <c r="N666" s="25"/>
      <c r="O666" s="25"/>
      <c r="P666" s="26"/>
    </row>
    <row r="667">
      <c r="A667" s="52"/>
      <c r="B667" s="15"/>
      <c r="C667" s="16"/>
      <c r="D667" s="15"/>
      <c r="E667" s="17"/>
      <c r="F667" s="54"/>
      <c r="G667" s="19"/>
      <c r="H667" s="17"/>
      <c r="I667" s="19"/>
      <c r="J667" s="21"/>
      <c r="K667" s="57"/>
      <c r="L667" s="24"/>
      <c r="M667" s="25"/>
      <c r="N667" s="25"/>
      <c r="O667" s="25"/>
      <c r="P667" s="26"/>
    </row>
    <row r="668">
      <c r="A668" s="52"/>
      <c r="B668" s="15"/>
      <c r="C668" s="16"/>
      <c r="D668" s="15"/>
      <c r="E668" s="17"/>
      <c r="F668" s="54"/>
      <c r="G668" s="19"/>
      <c r="H668" s="17"/>
      <c r="I668" s="19"/>
      <c r="J668" s="21"/>
      <c r="K668" s="57"/>
      <c r="L668" s="24"/>
      <c r="M668" s="25"/>
      <c r="N668" s="25"/>
      <c r="O668" s="25"/>
      <c r="P668" s="26"/>
    </row>
    <row r="669">
      <c r="A669" s="52"/>
      <c r="B669" s="15"/>
      <c r="C669" s="16"/>
      <c r="D669" s="15"/>
      <c r="E669" s="17"/>
      <c r="F669" s="54"/>
      <c r="G669" s="19"/>
      <c r="H669" s="17"/>
      <c r="I669" s="19"/>
      <c r="J669" s="21"/>
      <c r="K669" s="57"/>
      <c r="L669" s="24"/>
      <c r="M669" s="25"/>
      <c r="N669" s="25"/>
      <c r="O669" s="25"/>
      <c r="P669" s="26"/>
    </row>
    <row r="670">
      <c r="A670" s="52"/>
      <c r="B670" s="15"/>
      <c r="C670" s="16"/>
      <c r="D670" s="15"/>
      <c r="E670" s="17"/>
      <c r="F670" s="54"/>
      <c r="G670" s="19"/>
      <c r="H670" s="17"/>
      <c r="I670" s="19"/>
      <c r="J670" s="21"/>
      <c r="K670" s="57"/>
      <c r="L670" s="24"/>
      <c r="M670" s="25"/>
      <c r="N670" s="25"/>
      <c r="O670" s="25"/>
      <c r="P670" s="26"/>
    </row>
    <row r="671">
      <c r="A671" s="52"/>
      <c r="B671" s="15"/>
      <c r="C671" s="16"/>
      <c r="D671" s="15"/>
      <c r="E671" s="17"/>
      <c r="F671" s="54"/>
      <c r="G671" s="19"/>
      <c r="H671" s="17"/>
      <c r="I671" s="19"/>
      <c r="J671" s="21"/>
      <c r="K671" s="57"/>
      <c r="L671" s="24"/>
      <c r="M671" s="25"/>
      <c r="N671" s="25"/>
      <c r="O671" s="25"/>
      <c r="P671" s="26"/>
    </row>
    <row r="672">
      <c r="A672" s="52"/>
      <c r="B672" s="15"/>
      <c r="C672" s="16"/>
      <c r="D672" s="15"/>
      <c r="E672" s="17"/>
      <c r="F672" s="54"/>
      <c r="G672" s="19"/>
      <c r="H672" s="17"/>
      <c r="I672" s="19"/>
      <c r="J672" s="21"/>
      <c r="K672" s="57"/>
      <c r="L672" s="24"/>
      <c r="M672" s="25"/>
      <c r="N672" s="25"/>
      <c r="O672" s="25"/>
      <c r="P672" s="26"/>
    </row>
    <row r="673">
      <c r="A673" s="52"/>
      <c r="B673" s="15"/>
      <c r="C673" s="16"/>
      <c r="D673" s="15"/>
      <c r="E673" s="17"/>
      <c r="F673" s="54"/>
      <c r="G673" s="19"/>
      <c r="H673" s="17"/>
      <c r="I673" s="19"/>
      <c r="J673" s="21"/>
      <c r="K673" s="57"/>
      <c r="L673" s="24"/>
      <c r="M673" s="25"/>
      <c r="N673" s="25"/>
      <c r="O673" s="25"/>
      <c r="P673" s="26"/>
    </row>
    <row r="674">
      <c r="A674" s="52"/>
      <c r="B674" s="15"/>
      <c r="C674" s="16"/>
      <c r="D674" s="15"/>
      <c r="E674" s="17"/>
      <c r="F674" s="54"/>
      <c r="G674" s="19"/>
      <c r="H674" s="17"/>
      <c r="I674" s="19"/>
      <c r="J674" s="21"/>
      <c r="K674" s="57"/>
      <c r="L674" s="24"/>
      <c r="M674" s="25"/>
      <c r="N674" s="25"/>
      <c r="O674" s="25"/>
      <c r="P674" s="26"/>
    </row>
    <row r="675">
      <c r="A675" s="52"/>
      <c r="B675" s="15"/>
      <c r="C675" s="16"/>
      <c r="D675" s="15"/>
      <c r="E675" s="17"/>
      <c r="F675" s="54"/>
      <c r="G675" s="19"/>
      <c r="H675" s="17"/>
      <c r="I675" s="19"/>
      <c r="J675" s="21"/>
      <c r="K675" s="57"/>
      <c r="L675" s="24"/>
      <c r="M675" s="25"/>
      <c r="N675" s="25"/>
      <c r="O675" s="25"/>
      <c r="P675" s="26"/>
    </row>
    <row r="676">
      <c r="A676" s="52"/>
      <c r="B676" s="15"/>
      <c r="C676" s="16"/>
      <c r="D676" s="15"/>
      <c r="E676" s="17"/>
      <c r="F676" s="54"/>
      <c r="G676" s="19"/>
      <c r="H676" s="17"/>
      <c r="I676" s="19"/>
      <c r="J676" s="21"/>
      <c r="K676" s="57"/>
      <c r="L676" s="24"/>
      <c r="M676" s="25"/>
      <c r="N676" s="25"/>
      <c r="O676" s="25"/>
      <c r="P676" s="26"/>
    </row>
    <row r="677">
      <c r="A677" s="52"/>
      <c r="B677" s="15"/>
      <c r="C677" s="16"/>
      <c r="D677" s="15"/>
      <c r="E677" s="17"/>
      <c r="F677" s="54"/>
      <c r="G677" s="19"/>
      <c r="H677" s="17"/>
      <c r="I677" s="19"/>
      <c r="J677" s="21"/>
      <c r="K677" s="57"/>
      <c r="L677" s="24"/>
      <c r="M677" s="25"/>
      <c r="N677" s="25"/>
      <c r="O677" s="25"/>
      <c r="P677" s="26"/>
    </row>
    <row r="678">
      <c r="A678" s="52"/>
      <c r="B678" s="15"/>
      <c r="C678" s="16"/>
      <c r="D678" s="15"/>
      <c r="E678" s="17"/>
      <c r="F678" s="54"/>
      <c r="G678" s="19"/>
      <c r="H678" s="17"/>
      <c r="I678" s="19"/>
      <c r="J678" s="21"/>
      <c r="K678" s="57"/>
      <c r="L678" s="24"/>
      <c r="M678" s="25"/>
      <c r="N678" s="25"/>
      <c r="O678" s="25"/>
      <c r="P678" s="26"/>
    </row>
    <row r="679">
      <c r="A679" s="52"/>
      <c r="B679" s="15"/>
      <c r="C679" s="16"/>
      <c r="D679" s="15"/>
      <c r="E679" s="17"/>
      <c r="F679" s="54"/>
      <c r="G679" s="19"/>
      <c r="H679" s="17"/>
      <c r="I679" s="19"/>
      <c r="J679" s="21"/>
      <c r="K679" s="57"/>
      <c r="L679" s="24"/>
      <c r="M679" s="25"/>
      <c r="N679" s="25"/>
      <c r="O679" s="25"/>
      <c r="P679" s="26"/>
    </row>
    <row r="680">
      <c r="A680" s="52"/>
      <c r="B680" s="15"/>
      <c r="C680" s="16"/>
      <c r="D680" s="15"/>
      <c r="E680" s="17"/>
      <c r="F680" s="54"/>
      <c r="G680" s="19"/>
      <c r="H680" s="17"/>
      <c r="I680" s="19"/>
      <c r="J680" s="21"/>
      <c r="K680" s="57"/>
      <c r="L680" s="24"/>
      <c r="M680" s="25"/>
      <c r="N680" s="25"/>
      <c r="O680" s="25"/>
      <c r="P680" s="26"/>
    </row>
    <row r="681">
      <c r="A681" s="52"/>
      <c r="B681" s="15"/>
      <c r="C681" s="16"/>
      <c r="D681" s="15"/>
      <c r="E681" s="17"/>
      <c r="F681" s="54"/>
      <c r="G681" s="19"/>
      <c r="H681" s="17"/>
      <c r="I681" s="19"/>
      <c r="J681" s="21"/>
      <c r="K681" s="57"/>
      <c r="L681" s="24"/>
      <c r="M681" s="25"/>
      <c r="N681" s="25"/>
      <c r="O681" s="25"/>
      <c r="P681" s="26"/>
    </row>
    <row r="682">
      <c r="A682" s="52"/>
      <c r="B682" s="15"/>
      <c r="C682" s="16"/>
      <c r="D682" s="15"/>
      <c r="E682" s="17"/>
      <c r="F682" s="54"/>
      <c r="G682" s="19"/>
      <c r="H682" s="17"/>
      <c r="I682" s="19"/>
      <c r="J682" s="21"/>
      <c r="K682" s="57"/>
      <c r="L682" s="24"/>
      <c r="M682" s="25"/>
      <c r="N682" s="25"/>
      <c r="O682" s="25"/>
      <c r="P682" s="26"/>
    </row>
    <row r="683">
      <c r="A683" s="52"/>
      <c r="B683" s="15"/>
      <c r="C683" s="16"/>
      <c r="D683" s="15"/>
      <c r="E683" s="17"/>
      <c r="F683" s="54"/>
      <c r="G683" s="19"/>
      <c r="H683" s="17"/>
      <c r="I683" s="19"/>
      <c r="J683" s="21"/>
      <c r="K683" s="57"/>
      <c r="L683" s="24"/>
      <c r="M683" s="25"/>
      <c r="N683" s="25"/>
      <c r="O683" s="25"/>
      <c r="P683" s="26"/>
    </row>
    <row r="684">
      <c r="A684" s="52"/>
      <c r="B684" s="15"/>
      <c r="C684" s="16"/>
      <c r="D684" s="15"/>
      <c r="E684" s="17"/>
      <c r="F684" s="54"/>
      <c r="G684" s="19"/>
      <c r="H684" s="17"/>
      <c r="I684" s="19"/>
      <c r="J684" s="21"/>
      <c r="K684" s="57"/>
      <c r="L684" s="24"/>
      <c r="M684" s="25"/>
      <c r="N684" s="25"/>
      <c r="O684" s="25"/>
      <c r="P684" s="26"/>
    </row>
    <row r="685">
      <c r="A685" s="52"/>
      <c r="B685" s="15"/>
      <c r="C685" s="16"/>
      <c r="D685" s="15"/>
      <c r="E685" s="17"/>
      <c r="F685" s="54"/>
      <c r="G685" s="19"/>
      <c r="H685" s="17"/>
      <c r="I685" s="19"/>
      <c r="J685" s="21"/>
      <c r="K685" s="57"/>
      <c r="L685" s="24"/>
      <c r="M685" s="25"/>
      <c r="N685" s="25"/>
      <c r="O685" s="25"/>
      <c r="P685" s="26"/>
    </row>
    <row r="686">
      <c r="A686" s="52"/>
      <c r="B686" s="15"/>
      <c r="C686" s="16"/>
      <c r="D686" s="15"/>
      <c r="E686" s="17"/>
      <c r="F686" s="54"/>
      <c r="G686" s="19"/>
      <c r="H686" s="17"/>
      <c r="I686" s="19"/>
      <c r="J686" s="21"/>
      <c r="K686" s="57"/>
      <c r="L686" s="24"/>
      <c r="M686" s="25"/>
      <c r="N686" s="25"/>
      <c r="O686" s="25"/>
      <c r="P686" s="26"/>
    </row>
    <row r="687">
      <c r="A687" s="52"/>
      <c r="B687" s="15"/>
      <c r="C687" s="16"/>
      <c r="D687" s="15"/>
      <c r="E687" s="17"/>
      <c r="F687" s="54"/>
      <c r="G687" s="19"/>
      <c r="H687" s="17"/>
      <c r="I687" s="19"/>
      <c r="J687" s="21"/>
      <c r="K687" s="57"/>
      <c r="L687" s="24"/>
      <c r="M687" s="25"/>
      <c r="N687" s="25"/>
      <c r="O687" s="25"/>
      <c r="P687" s="26"/>
    </row>
    <row r="688">
      <c r="A688" s="52"/>
      <c r="B688" s="15"/>
      <c r="C688" s="16"/>
      <c r="D688" s="15"/>
      <c r="E688" s="17"/>
      <c r="F688" s="54"/>
      <c r="G688" s="19"/>
      <c r="H688" s="17"/>
      <c r="I688" s="19"/>
      <c r="J688" s="21"/>
      <c r="K688" s="57"/>
      <c r="L688" s="24"/>
      <c r="M688" s="25"/>
      <c r="N688" s="25"/>
      <c r="O688" s="25"/>
      <c r="P688" s="26"/>
    </row>
    <row r="689">
      <c r="A689" s="52"/>
      <c r="B689" s="15"/>
      <c r="C689" s="16"/>
      <c r="D689" s="15"/>
      <c r="E689" s="17"/>
      <c r="F689" s="54"/>
      <c r="G689" s="19"/>
      <c r="H689" s="17"/>
      <c r="I689" s="19"/>
      <c r="J689" s="21"/>
      <c r="K689" s="57"/>
      <c r="L689" s="24"/>
      <c r="M689" s="25"/>
      <c r="N689" s="25"/>
      <c r="O689" s="25"/>
      <c r="P689" s="26"/>
    </row>
    <row r="690">
      <c r="A690" s="52"/>
      <c r="B690" s="15"/>
      <c r="C690" s="16"/>
      <c r="D690" s="15"/>
      <c r="E690" s="17"/>
      <c r="F690" s="54"/>
      <c r="G690" s="19"/>
      <c r="H690" s="17"/>
      <c r="I690" s="19"/>
      <c r="J690" s="21"/>
      <c r="K690" s="57"/>
      <c r="L690" s="24"/>
      <c r="M690" s="25"/>
      <c r="N690" s="25"/>
      <c r="O690" s="25"/>
      <c r="P690" s="26"/>
    </row>
    <row r="691">
      <c r="A691" s="52"/>
      <c r="B691" s="15"/>
      <c r="C691" s="16"/>
      <c r="D691" s="15"/>
      <c r="E691" s="17"/>
      <c r="F691" s="54"/>
      <c r="G691" s="19"/>
      <c r="H691" s="17"/>
      <c r="I691" s="19"/>
      <c r="J691" s="21"/>
      <c r="K691" s="57"/>
      <c r="L691" s="24"/>
      <c r="M691" s="25"/>
      <c r="N691" s="25"/>
      <c r="O691" s="25"/>
      <c r="P691" s="26"/>
    </row>
    <row r="692">
      <c r="A692" s="52"/>
      <c r="B692" s="15"/>
      <c r="C692" s="16"/>
      <c r="D692" s="15"/>
      <c r="E692" s="17"/>
      <c r="F692" s="54"/>
      <c r="G692" s="19"/>
      <c r="H692" s="17"/>
      <c r="I692" s="19"/>
      <c r="J692" s="21"/>
      <c r="K692" s="57"/>
      <c r="L692" s="24"/>
      <c r="M692" s="25"/>
      <c r="N692" s="25"/>
      <c r="O692" s="25"/>
      <c r="P692" s="26"/>
    </row>
    <row r="693">
      <c r="A693" s="52"/>
      <c r="B693" s="15"/>
      <c r="C693" s="16"/>
      <c r="D693" s="15"/>
      <c r="E693" s="17"/>
      <c r="F693" s="54"/>
      <c r="G693" s="19"/>
      <c r="H693" s="17"/>
      <c r="I693" s="19"/>
      <c r="J693" s="21"/>
      <c r="K693" s="57"/>
      <c r="L693" s="24"/>
      <c r="M693" s="25"/>
      <c r="N693" s="25"/>
      <c r="O693" s="25"/>
      <c r="P693" s="26"/>
    </row>
    <row r="694">
      <c r="A694" s="52"/>
      <c r="B694" s="15"/>
      <c r="C694" s="16"/>
      <c r="D694" s="15"/>
      <c r="E694" s="17"/>
      <c r="F694" s="54"/>
      <c r="G694" s="19"/>
      <c r="H694" s="17"/>
      <c r="I694" s="19"/>
      <c r="J694" s="21"/>
      <c r="K694" s="57"/>
      <c r="L694" s="24"/>
      <c r="M694" s="25"/>
      <c r="N694" s="25"/>
      <c r="O694" s="25"/>
      <c r="P694" s="26"/>
    </row>
    <row r="695">
      <c r="A695" s="52"/>
      <c r="B695" s="15"/>
      <c r="C695" s="16"/>
      <c r="D695" s="15"/>
      <c r="E695" s="17"/>
      <c r="F695" s="54"/>
      <c r="G695" s="19"/>
      <c r="H695" s="17"/>
      <c r="I695" s="19"/>
      <c r="J695" s="21"/>
      <c r="K695" s="57"/>
      <c r="L695" s="24"/>
      <c r="M695" s="25"/>
      <c r="N695" s="25"/>
      <c r="O695" s="25"/>
      <c r="P695" s="26"/>
    </row>
    <row r="696">
      <c r="A696" s="52"/>
      <c r="B696" s="15"/>
      <c r="C696" s="16"/>
      <c r="D696" s="15"/>
      <c r="E696" s="17"/>
      <c r="F696" s="54"/>
      <c r="G696" s="19"/>
      <c r="H696" s="17"/>
      <c r="I696" s="19"/>
      <c r="J696" s="21"/>
      <c r="K696" s="57"/>
      <c r="L696" s="24"/>
      <c r="M696" s="25"/>
      <c r="N696" s="25"/>
      <c r="O696" s="25"/>
      <c r="P696" s="26"/>
    </row>
    <row r="697">
      <c r="A697" s="52"/>
      <c r="B697" s="15"/>
      <c r="C697" s="16"/>
      <c r="D697" s="15"/>
      <c r="E697" s="17"/>
      <c r="F697" s="54"/>
      <c r="G697" s="19"/>
      <c r="H697" s="17"/>
      <c r="I697" s="19"/>
      <c r="J697" s="21"/>
      <c r="K697" s="57"/>
      <c r="L697" s="24"/>
      <c r="M697" s="25"/>
      <c r="N697" s="25"/>
      <c r="O697" s="25"/>
      <c r="P697" s="26"/>
    </row>
    <row r="698">
      <c r="A698" s="52"/>
      <c r="B698" s="15"/>
      <c r="C698" s="16"/>
      <c r="D698" s="15"/>
      <c r="E698" s="17"/>
      <c r="F698" s="54"/>
      <c r="G698" s="19"/>
      <c r="H698" s="17"/>
      <c r="I698" s="19"/>
      <c r="J698" s="21"/>
      <c r="K698" s="57"/>
      <c r="L698" s="24"/>
      <c r="M698" s="25"/>
      <c r="N698" s="25"/>
      <c r="O698" s="25"/>
      <c r="P698" s="26"/>
    </row>
    <row r="699">
      <c r="A699" s="52"/>
      <c r="B699" s="15"/>
      <c r="C699" s="16"/>
      <c r="D699" s="15"/>
      <c r="E699" s="17"/>
      <c r="F699" s="54"/>
      <c r="G699" s="19"/>
      <c r="H699" s="17"/>
      <c r="I699" s="19"/>
      <c r="J699" s="21"/>
      <c r="K699" s="57"/>
      <c r="L699" s="24"/>
      <c r="M699" s="25"/>
      <c r="N699" s="25"/>
      <c r="O699" s="25"/>
      <c r="P699" s="26"/>
    </row>
    <row r="700">
      <c r="A700" s="52"/>
      <c r="B700" s="15"/>
      <c r="C700" s="16"/>
      <c r="D700" s="15"/>
      <c r="E700" s="17"/>
      <c r="F700" s="54"/>
      <c r="G700" s="19"/>
      <c r="H700" s="17"/>
      <c r="I700" s="19"/>
      <c r="J700" s="21"/>
      <c r="K700" s="57"/>
      <c r="L700" s="24"/>
      <c r="M700" s="25"/>
      <c r="N700" s="25"/>
      <c r="O700" s="25"/>
      <c r="P700" s="26"/>
    </row>
    <row r="701">
      <c r="A701" s="52"/>
      <c r="B701" s="15"/>
      <c r="C701" s="16"/>
      <c r="D701" s="15"/>
      <c r="E701" s="17"/>
      <c r="F701" s="54"/>
      <c r="G701" s="19"/>
      <c r="H701" s="17"/>
      <c r="I701" s="19"/>
      <c r="J701" s="21"/>
      <c r="K701" s="57"/>
      <c r="L701" s="24"/>
      <c r="M701" s="25"/>
      <c r="N701" s="25"/>
      <c r="O701" s="25"/>
      <c r="P701" s="26"/>
    </row>
    <row r="702">
      <c r="A702" s="52"/>
      <c r="B702" s="15"/>
      <c r="C702" s="16"/>
      <c r="D702" s="15"/>
      <c r="E702" s="17"/>
      <c r="F702" s="54"/>
      <c r="G702" s="19"/>
      <c r="H702" s="17"/>
      <c r="I702" s="19"/>
      <c r="J702" s="21"/>
      <c r="K702" s="57"/>
      <c r="L702" s="24"/>
      <c r="M702" s="25"/>
      <c r="N702" s="25"/>
      <c r="O702" s="25"/>
      <c r="P702" s="26"/>
    </row>
    <row r="703">
      <c r="A703" s="52"/>
      <c r="B703" s="15"/>
      <c r="C703" s="16"/>
      <c r="D703" s="15"/>
      <c r="E703" s="17"/>
      <c r="F703" s="54"/>
      <c r="G703" s="19"/>
      <c r="H703" s="17"/>
      <c r="I703" s="19"/>
      <c r="J703" s="21"/>
      <c r="K703" s="57"/>
      <c r="L703" s="24"/>
      <c r="M703" s="25"/>
      <c r="N703" s="25"/>
      <c r="O703" s="25"/>
      <c r="P703" s="26"/>
    </row>
    <row r="704">
      <c r="A704" s="52"/>
      <c r="B704" s="15"/>
      <c r="C704" s="16"/>
      <c r="D704" s="15"/>
      <c r="E704" s="17"/>
      <c r="F704" s="54"/>
      <c r="G704" s="19"/>
      <c r="H704" s="17"/>
      <c r="I704" s="19"/>
      <c r="J704" s="21"/>
      <c r="K704" s="57"/>
      <c r="L704" s="24"/>
      <c r="M704" s="25"/>
      <c r="N704" s="25"/>
      <c r="O704" s="25"/>
      <c r="P704" s="26"/>
    </row>
    <row r="705">
      <c r="A705" s="52"/>
      <c r="B705" s="15"/>
      <c r="C705" s="16"/>
      <c r="D705" s="15"/>
      <c r="E705" s="17"/>
      <c r="F705" s="54"/>
      <c r="G705" s="19"/>
      <c r="H705" s="17"/>
      <c r="I705" s="19"/>
      <c r="J705" s="21"/>
      <c r="K705" s="57"/>
      <c r="L705" s="24"/>
      <c r="M705" s="25"/>
      <c r="N705" s="25"/>
      <c r="O705" s="25"/>
      <c r="P705" s="26"/>
    </row>
    <row r="706">
      <c r="A706" s="52"/>
      <c r="B706" s="15"/>
      <c r="C706" s="16"/>
      <c r="D706" s="15"/>
      <c r="E706" s="17"/>
      <c r="F706" s="54"/>
      <c r="G706" s="19"/>
      <c r="H706" s="17"/>
      <c r="I706" s="19"/>
      <c r="J706" s="21"/>
      <c r="K706" s="57"/>
      <c r="L706" s="24"/>
      <c r="M706" s="25"/>
      <c r="N706" s="25"/>
      <c r="O706" s="25"/>
      <c r="P706" s="26"/>
    </row>
    <row r="707">
      <c r="A707" s="52"/>
      <c r="B707" s="15"/>
      <c r="C707" s="16"/>
      <c r="D707" s="15"/>
      <c r="E707" s="17"/>
      <c r="F707" s="54"/>
      <c r="G707" s="19"/>
      <c r="H707" s="17"/>
      <c r="I707" s="19"/>
      <c r="J707" s="21"/>
      <c r="K707" s="57"/>
      <c r="L707" s="24"/>
      <c r="M707" s="25"/>
      <c r="N707" s="25"/>
      <c r="O707" s="25"/>
      <c r="P707" s="26"/>
    </row>
    <row r="708">
      <c r="A708" s="52"/>
      <c r="B708" s="15"/>
      <c r="C708" s="16"/>
      <c r="D708" s="15"/>
      <c r="E708" s="17"/>
      <c r="F708" s="54"/>
      <c r="G708" s="19"/>
      <c r="H708" s="17"/>
      <c r="I708" s="19"/>
      <c r="J708" s="21"/>
      <c r="K708" s="57"/>
      <c r="L708" s="24"/>
      <c r="M708" s="25"/>
      <c r="N708" s="25"/>
      <c r="O708" s="25"/>
      <c r="P708" s="26"/>
    </row>
    <row r="709">
      <c r="A709" s="52"/>
      <c r="B709" s="15"/>
      <c r="C709" s="16"/>
      <c r="D709" s="15"/>
      <c r="E709" s="17"/>
      <c r="F709" s="54"/>
      <c r="G709" s="19"/>
      <c r="H709" s="17"/>
      <c r="I709" s="19"/>
      <c r="J709" s="21"/>
      <c r="K709" s="57"/>
      <c r="L709" s="24"/>
      <c r="M709" s="25"/>
      <c r="N709" s="25"/>
      <c r="O709" s="25"/>
      <c r="P709" s="26"/>
    </row>
    <row r="710">
      <c r="A710" s="52"/>
      <c r="B710" s="15"/>
      <c r="C710" s="16"/>
      <c r="D710" s="15"/>
      <c r="E710" s="17"/>
      <c r="F710" s="54"/>
      <c r="G710" s="19"/>
      <c r="H710" s="17"/>
      <c r="I710" s="19"/>
      <c r="J710" s="21"/>
      <c r="K710" s="57"/>
      <c r="L710" s="24"/>
      <c r="M710" s="25"/>
      <c r="N710" s="25"/>
      <c r="O710" s="25"/>
      <c r="P710" s="26"/>
    </row>
    <row r="711">
      <c r="A711" s="52"/>
      <c r="B711" s="15"/>
      <c r="C711" s="16"/>
      <c r="D711" s="15"/>
      <c r="E711" s="17"/>
      <c r="F711" s="54"/>
      <c r="G711" s="19"/>
      <c r="H711" s="17"/>
      <c r="I711" s="19"/>
      <c r="J711" s="21"/>
      <c r="K711" s="57"/>
      <c r="L711" s="24"/>
      <c r="M711" s="25"/>
      <c r="N711" s="25"/>
      <c r="O711" s="25"/>
      <c r="P711" s="26"/>
    </row>
    <row r="712">
      <c r="A712" s="52"/>
      <c r="B712" s="15"/>
      <c r="C712" s="16"/>
      <c r="D712" s="15"/>
      <c r="E712" s="17"/>
      <c r="F712" s="54"/>
      <c r="G712" s="19"/>
      <c r="H712" s="17"/>
      <c r="I712" s="19"/>
      <c r="J712" s="21"/>
      <c r="K712" s="57"/>
      <c r="L712" s="24"/>
      <c r="M712" s="25"/>
      <c r="N712" s="25"/>
      <c r="O712" s="25"/>
      <c r="P712" s="26"/>
    </row>
    <row r="713">
      <c r="A713" s="52"/>
      <c r="B713" s="15"/>
      <c r="C713" s="16"/>
      <c r="D713" s="15"/>
      <c r="E713" s="17"/>
      <c r="F713" s="54"/>
      <c r="G713" s="19"/>
      <c r="H713" s="17"/>
      <c r="I713" s="19"/>
      <c r="J713" s="21"/>
      <c r="K713" s="57"/>
      <c r="L713" s="24"/>
      <c r="M713" s="25"/>
      <c r="N713" s="25"/>
      <c r="O713" s="25"/>
      <c r="P713" s="26"/>
    </row>
    <row r="714">
      <c r="A714" s="52"/>
      <c r="B714" s="15"/>
      <c r="C714" s="16"/>
      <c r="D714" s="15"/>
      <c r="E714" s="17"/>
      <c r="F714" s="54"/>
      <c r="G714" s="19"/>
      <c r="H714" s="17"/>
      <c r="I714" s="19"/>
      <c r="J714" s="21"/>
      <c r="K714" s="57"/>
      <c r="L714" s="24"/>
      <c r="M714" s="25"/>
      <c r="N714" s="25"/>
      <c r="O714" s="25"/>
      <c r="P714" s="26"/>
    </row>
    <row r="715">
      <c r="A715" s="52"/>
      <c r="B715" s="15"/>
      <c r="C715" s="16"/>
      <c r="D715" s="15"/>
      <c r="E715" s="17"/>
      <c r="F715" s="54"/>
      <c r="G715" s="19"/>
      <c r="H715" s="17"/>
      <c r="I715" s="19"/>
      <c r="J715" s="21"/>
      <c r="K715" s="57"/>
      <c r="L715" s="24"/>
      <c r="M715" s="25"/>
      <c r="N715" s="25"/>
      <c r="O715" s="25"/>
      <c r="P715" s="26"/>
    </row>
    <row r="716">
      <c r="A716" s="52"/>
      <c r="B716" s="15"/>
      <c r="C716" s="16"/>
      <c r="D716" s="15"/>
      <c r="E716" s="17"/>
      <c r="F716" s="54"/>
      <c r="G716" s="19"/>
      <c r="H716" s="17"/>
      <c r="I716" s="19"/>
      <c r="J716" s="21"/>
      <c r="K716" s="57"/>
      <c r="L716" s="24"/>
      <c r="M716" s="25"/>
      <c r="N716" s="25"/>
      <c r="O716" s="25"/>
      <c r="P716" s="26"/>
    </row>
    <row r="717">
      <c r="A717" s="52"/>
      <c r="B717" s="15"/>
      <c r="C717" s="16"/>
      <c r="D717" s="15"/>
      <c r="E717" s="17"/>
      <c r="F717" s="54"/>
      <c r="G717" s="19"/>
      <c r="H717" s="17"/>
      <c r="I717" s="19"/>
      <c r="J717" s="21"/>
      <c r="K717" s="57"/>
      <c r="L717" s="24"/>
      <c r="M717" s="25"/>
      <c r="N717" s="25"/>
      <c r="O717" s="25"/>
      <c r="P717" s="26"/>
    </row>
    <row r="718">
      <c r="A718" s="52"/>
      <c r="B718" s="15"/>
      <c r="C718" s="16"/>
      <c r="D718" s="15"/>
      <c r="E718" s="17"/>
      <c r="F718" s="54"/>
      <c r="G718" s="19"/>
      <c r="H718" s="17"/>
      <c r="I718" s="19"/>
      <c r="J718" s="21"/>
      <c r="K718" s="57"/>
      <c r="L718" s="24"/>
      <c r="M718" s="25"/>
      <c r="N718" s="25"/>
      <c r="O718" s="25"/>
      <c r="P718" s="26"/>
    </row>
    <row r="719">
      <c r="A719" s="52"/>
      <c r="B719" s="15"/>
      <c r="C719" s="16"/>
      <c r="D719" s="15"/>
      <c r="E719" s="17"/>
      <c r="F719" s="54"/>
      <c r="G719" s="19"/>
      <c r="H719" s="17"/>
      <c r="I719" s="19"/>
      <c r="J719" s="21"/>
      <c r="K719" s="57"/>
      <c r="L719" s="24"/>
      <c r="M719" s="25"/>
      <c r="N719" s="25"/>
      <c r="O719" s="25"/>
      <c r="P719" s="26"/>
    </row>
    <row r="720">
      <c r="A720" s="52"/>
      <c r="B720" s="15"/>
      <c r="C720" s="16"/>
      <c r="D720" s="15"/>
      <c r="E720" s="17"/>
      <c r="F720" s="54"/>
      <c r="G720" s="19"/>
      <c r="H720" s="17"/>
      <c r="I720" s="19"/>
      <c r="J720" s="21"/>
      <c r="K720" s="57"/>
      <c r="L720" s="24"/>
      <c r="M720" s="25"/>
      <c r="N720" s="25"/>
      <c r="O720" s="25"/>
      <c r="P720" s="26"/>
    </row>
    <row r="721">
      <c r="A721" s="52"/>
      <c r="B721" s="15"/>
      <c r="C721" s="16"/>
      <c r="D721" s="15"/>
      <c r="E721" s="17"/>
      <c r="F721" s="54"/>
      <c r="G721" s="19"/>
      <c r="H721" s="17"/>
      <c r="I721" s="19"/>
      <c r="J721" s="21"/>
      <c r="K721" s="57"/>
      <c r="L721" s="24"/>
      <c r="M721" s="25"/>
      <c r="N721" s="25"/>
      <c r="O721" s="25"/>
      <c r="P721" s="26"/>
    </row>
    <row r="722">
      <c r="A722" s="52"/>
      <c r="B722" s="15"/>
      <c r="C722" s="16"/>
      <c r="D722" s="15"/>
      <c r="E722" s="17"/>
      <c r="F722" s="54"/>
      <c r="G722" s="19"/>
      <c r="H722" s="17"/>
      <c r="I722" s="19"/>
      <c r="J722" s="21"/>
      <c r="K722" s="57"/>
      <c r="L722" s="24"/>
      <c r="M722" s="25"/>
      <c r="N722" s="25"/>
      <c r="O722" s="25"/>
      <c r="P722" s="26"/>
    </row>
    <row r="723">
      <c r="A723" s="52"/>
      <c r="B723" s="15"/>
      <c r="C723" s="16"/>
      <c r="D723" s="15"/>
      <c r="E723" s="17"/>
      <c r="F723" s="54"/>
      <c r="G723" s="19"/>
      <c r="H723" s="17"/>
      <c r="I723" s="19"/>
      <c r="J723" s="21"/>
      <c r="K723" s="57"/>
      <c r="L723" s="24"/>
      <c r="M723" s="25"/>
      <c r="N723" s="25"/>
      <c r="O723" s="25"/>
      <c r="P723" s="26"/>
    </row>
    <row r="724">
      <c r="A724" s="52"/>
      <c r="B724" s="15"/>
      <c r="C724" s="16"/>
      <c r="D724" s="15"/>
      <c r="E724" s="17"/>
      <c r="F724" s="54"/>
      <c r="G724" s="19"/>
      <c r="H724" s="17"/>
      <c r="I724" s="19"/>
      <c r="J724" s="21"/>
      <c r="K724" s="57"/>
      <c r="L724" s="24"/>
      <c r="M724" s="25"/>
      <c r="N724" s="25"/>
      <c r="O724" s="25"/>
      <c r="P724" s="26"/>
    </row>
    <row r="725">
      <c r="A725" s="52"/>
      <c r="B725" s="15"/>
      <c r="C725" s="16"/>
      <c r="D725" s="15"/>
      <c r="E725" s="17"/>
      <c r="F725" s="54"/>
      <c r="G725" s="19"/>
      <c r="H725" s="17"/>
      <c r="I725" s="19"/>
      <c r="J725" s="21"/>
      <c r="K725" s="57"/>
      <c r="L725" s="24"/>
      <c r="M725" s="25"/>
      <c r="N725" s="25"/>
      <c r="O725" s="25"/>
      <c r="P725" s="26"/>
    </row>
    <row r="726">
      <c r="A726" s="52"/>
      <c r="B726" s="15"/>
      <c r="C726" s="16"/>
      <c r="D726" s="15"/>
      <c r="E726" s="17"/>
      <c r="F726" s="54"/>
      <c r="G726" s="19"/>
      <c r="H726" s="17"/>
      <c r="I726" s="19"/>
      <c r="J726" s="21"/>
      <c r="K726" s="57"/>
      <c r="L726" s="24"/>
      <c r="M726" s="25"/>
      <c r="N726" s="25"/>
      <c r="O726" s="25"/>
      <c r="P726" s="26"/>
    </row>
    <row r="727">
      <c r="A727" s="52"/>
      <c r="B727" s="15"/>
      <c r="C727" s="16"/>
      <c r="D727" s="15"/>
      <c r="E727" s="17"/>
      <c r="F727" s="54"/>
      <c r="G727" s="19"/>
      <c r="H727" s="17"/>
      <c r="I727" s="19"/>
      <c r="J727" s="21"/>
      <c r="K727" s="57"/>
      <c r="L727" s="24"/>
      <c r="M727" s="25"/>
      <c r="N727" s="25"/>
      <c r="O727" s="25"/>
      <c r="P727" s="26"/>
    </row>
    <row r="728">
      <c r="A728" s="52"/>
      <c r="B728" s="15"/>
      <c r="C728" s="16"/>
      <c r="D728" s="15"/>
      <c r="E728" s="17"/>
      <c r="F728" s="54"/>
      <c r="G728" s="19"/>
      <c r="H728" s="17"/>
      <c r="I728" s="19"/>
      <c r="J728" s="21"/>
      <c r="K728" s="57"/>
      <c r="L728" s="24"/>
      <c r="M728" s="25"/>
      <c r="N728" s="25"/>
      <c r="O728" s="25"/>
      <c r="P728" s="26"/>
    </row>
    <row r="729">
      <c r="A729" s="52"/>
      <c r="B729" s="15"/>
      <c r="C729" s="16"/>
      <c r="D729" s="15"/>
      <c r="E729" s="17"/>
      <c r="F729" s="54"/>
      <c r="G729" s="19"/>
      <c r="H729" s="17"/>
      <c r="I729" s="19"/>
      <c r="J729" s="21"/>
      <c r="K729" s="57"/>
      <c r="L729" s="24"/>
      <c r="M729" s="25"/>
      <c r="N729" s="25"/>
      <c r="O729" s="25"/>
      <c r="P729" s="26"/>
    </row>
    <row r="730">
      <c r="A730" s="52"/>
      <c r="B730" s="15"/>
      <c r="C730" s="16"/>
      <c r="D730" s="15"/>
      <c r="E730" s="17"/>
      <c r="F730" s="54"/>
      <c r="G730" s="19"/>
      <c r="H730" s="17"/>
      <c r="I730" s="19"/>
      <c r="J730" s="21"/>
      <c r="K730" s="57"/>
      <c r="L730" s="24"/>
      <c r="M730" s="25"/>
      <c r="N730" s="25"/>
      <c r="O730" s="25"/>
      <c r="P730" s="26"/>
    </row>
    <row r="731">
      <c r="A731" s="52"/>
      <c r="B731" s="15"/>
      <c r="C731" s="16"/>
      <c r="D731" s="15"/>
      <c r="E731" s="17"/>
      <c r="F731" s="54"/>
      <c r="G731" s="19"/>
      <c r="H731" s="17"/>
      <c r="I731" s="19"/>
      <c r="J731" s="21"/>
      <c r="K731" s="57"/>
      <c r="L731" s="24"/>
      <c r="M731" s="25"/>
      <c r="N731" s="25"/>
      <c r="O731" s="25"/>
      <c r="P731" s="26"/>
    </row>
    <row r="732">
      <c r="A732" s="52"/>
      <c r="B732" s="15"/>
      <c r="C732" s="16"/>
      <c r="D732" s="15"/>
      <c r="E732" s="17"/>
      <c r="F732" s="54"/>
      <c r="G732" s="19"/>
      <c r="H732" s="17"/>
      <c r="I732" s="19"/>
      <c r="J732" s="21"/>
      <c r="K732" s="57"/>
      <c r="L732" s="24"/>
      <c r="M732" s="25"/>
      <c r="N732" s="25"/>
      <c r="O732" s="25"/>
      <c r="P732" s="26"/>
    </row>
    <row r="733">
      <c r="A733" s="52"/>
      <c r="B733" s="15"/>
      <c r="C733" s="16"/>
      <c r="D733" s="15"/>
      <c r="E733" s="17"/>
      <c r="F733" s="54"/>
      <c r="G733" s="19"/>
      <c r="H733" s="17"/>
      <c r="I733" s="19"/>
      <c r="J733" s="21"/>
      <c r="K733" s="57"/>
      <c r="L733" s="24"/>
      <c r="M733" s="25"/>
      <c r="N733" s="25"/>
      <c r="O733" s="25"/>
      <c r="P733" s="26"/>
    </row>
    <row r="734">
      <c r="A734" s="52"/>
      <c r="B734" s="15"/>
      <c r="C734" s="16"/>
      <c r="D734" s="15"/>
      <c r="E734" s="17"/>
      <c r="F734" s="54"/>
      <c r="G734" s="19"/>
      <c r="H734" s="17"/>
      <c r="I734" s="19"/>
      <c r="J734" s="21"/>
      <c r="K734" s="57"/>
      <c r="L734" s="24"/>
      <c r="M734" s="25"/>
      <c r="N734" s="25"/>
      <c r="O734" s="25"/>
      <c r="P734" s="26"/>
    </row>
    <row r="735">
      <c r="A735" s="52"/>
      <c r="B735" s="15"/>
      <c r="C735" s="16"/>
      <c r="D735" s="15"/>
      <c r="E735" s="17"/>
      <c r="F735" s="54"/>
      <c r="G735" s="19"/>
      <c r="H735" s="17"/>
      <c r="I735" s="19"/>
      <c r="J735" s="21"/>
      <c r="K735" s="57"/>
      <c r="L735" s="24"/>
      <c r="M735" s="25"/>
      <c r="N735" s="25"/>
      <c r="O735" s="25"/>
      <c r="P735" s="26"/>
    </row>
    <row r="736">
      <c r="A736" s="52"/>
      <c r="B736" s="15"/>
      <c r="C736" s="16"/>
      <c r="D736" s="15"/>
      <c r="E736" s="17"/>
      <c r="F736" s="54"/>
      <c r="G736" s="19"/>
      <c r="H736" s="17"/>
      <c r="I736" s="19"/>
      <c r="J736" s="21"/>
      <c r="K736" s="57"/>
      <c r="L736" s="24"/>
      <c r="M736" s="25"/>
      <c r="N736" s="25"/>
      <c r="O736" s="25"/>
      <c r="P736" s="26"/>
    </row>
    <row r="737">
      <c r="A737" s="52"/>
      <c r="B737" s="15"/>
      <c r="C737" s="16"/>
      <c r="D737" s="15"/>
      <c r="E737" s="17"/>
      <c r="F737" s="54"/>
      <c r="G737" s="19"/>
      <c r="H737" s="17"/>
      <c r="I737" s="19"/>
      <c r="J737" s="21"/>
      <c r="K737" s="57"/>
      <c r="L737" s="24"/>
      <c r="M737" s="25"/>
      <c r="N737" s="25"/>
      <c r="O737" s="25"/>
      <c r="P737" s="26"/>
    </row>
    <row r="738">
      <c r="A738" s="52"/>
      <c r="B738" s="15"/>
      <c r="C738" s="16"/>
      <c r="D738" s="15"/>
      <c r="E738" s="17"/>
      <c r="F738" s="54"/>
      <c r="G738" s="19"/>
      <c r="H738" s="17"/>
      <c r="I738" s="19"/>
      <c r="J738" s="21"/>
      <c r="K738" s="57"/>
      <c r="L738" s="24"/>
      <c r="M738" s="25"/>
      <c r="N738" s="25"/>
      <c r="O738" s="25"/>
      <c r="P738" s="26"/>
    </row>
    <row r="739">
      <c r="A739" s="52"/>
      <c r="B739" s="15"/>
      <c r="C739" s="16"/>
      <c r="D739" s="15"/>
      <c r="E739" s="17"/>
      <c r="F739" s="54"/>
      <c r="G739" s="19"/>
      <c r="H739" s="17"/>
      <c r="I739" s="19"/>
      <c r="J739" s="21"/>
      <c r="K739" s="57"/>
      <c r="L739" s="24"/>
      <c r="M739" s="25"/>
      <c r="N739" s="25"/>
      <c r="O739" s="25"/>
      <c r="P739" s="26"/>
    </row>
    <row r="740">
      <c r="A740" s="52"/>
      <c r="B740" s="15"/>
      <c r="C740" s="16"/>
      <c r="D740" s="15"/>
      <c r="E740" s="17"/>
      <c r="F740" s="54"/>
      <c r="G740" s="19"/>
      <c r="H740" s="17"/>
      <c r="I740" s="19"/>
      <c r="J740" s="21"/>
      <c r="K740" s="57"/>
      <c r="L740" s="24"/>
      <c r="M740" s="25"/>
      <c r="N740" s="25"/>
      <c r="O740" s="25"/>
      <c r="P740" s="26"/>
    </row>
    <row r="741">
      <c r="A741" s="52"/>
      <c r="B741" s="15"/>
      <c r="C741" s="16"/>
      <c r="D741" s="15"/>
      <c r="E741" s="17"/>
      <c r="F741" s="54"/>
      <c r="G741" s="19"/>
      <c r="H741" s="17"/>
      <c r="I741" s="19"/>
      <c r="J741" s="21"/>
      <c r="K741" s="57"/>
      <c r="L741" s="24"/>
      <c r="M741" s="25"/>
      <c r="N741" s="25"/>
      <c r="O741" s="25"/>
      <c r="P741" s="26"/>
    </row>
    <row r="742">
      <c r="A742" s="52"/>
      <c r="B742" s="15"/>
      <c r="C742" s="16"/>
      <c r="D742" s="15"/>
      <c r="E742" s="17"/>
      <c r="F742" s="54"/>
      <c r="G742" s="19"/>
      <c r="H742" s="17"/>
      <c r="I742" s="19"/>
      <c r="J742" s="21"/>
      <c r="K742" s="57"/>
      <c r="L742" s="24"/>
      <c r="M742" s="25"/>
      <c r="N742" s="25"/>
      <c r="O742" s="25"/>
      <c r="P742" s="26"/>
    </row>
    <row r="743">
      <c r="A743" s="52"/>
      <c r="B743" s="15"/>
      <c r="C743" s="16"/>
      <c r="D743" s="15"/>
      <c r="E743" s="17"/>
      <c r="F743" s="54"/>
      <c r="G743" s="19"/>
      <c r="H743" s="17"/>
      <c r="I743" s="19"/>
      <c r="J743" s="21"/>
      <c r="K743" s="57"/>
      <c r="L743" s="24"/>
      <c r="M743" s="25"/>
      <c r="N743" s="25"/>
      <c r="O743" s="25"/>
      <c r="P743" s="26"/>
    </row>
    <row r="744">
      <c r="A744" s="52"/>
      <c r="B744" s="15"/>
      <c r="C744" s="16"/>
      <c r="D744" s="15"/>
      <c r="E744" s="17"/>
      <c r="F744" s="54"/>
      <c r="G744" s="19"/>
      <c r="H744" s="17"/>
      <c r="I744" s="19"/>
      <c r="J744" s="21"/>
      <c r="K744" s="57"/>
      <c r="L744" s="24"/>
      <c r="M744" s="25"/>
      <c r="N744" s="25"/>
      <c r="O744" s="25"/>
      <c r="P744" s="26"/>
    </row>
    <row r="745">
      <c r="A745" s="52"/>
      <c r="B745" s="15"/>
      <c r="C745" s="16"/>
      <c r="D745" s="15"/>
      <c r="E745" s="17"/>
      <c r="F745" s="54"/>
      <c r="G745" s="19"/>
      <c r="H745" s="17"/>
      <c r="I745" s="19"/>
      <c r="J745" s="21"/>
      <c r="K745" s="57"/>
      <c r="L745" s="24"/>
      <c r="M745" s="25"/>
      <c r="N745" s="25"/>
      <c r="O745" s="25"/>
      <c r="P745" s="26"/>
    </row>
    <row r="746">
      <c r="A746" s="52"/>
      <c r="B746" s="15"/>
      <c r="C746" s="16"/>
      <c r="D746" s="15"/>
      <c r="E746" s="17"/>
      <c r="F746" s="54"/>
      <c r="G746" s="19"/>
      <c r="H746" s="17"/>
      <c r="I746" s="19"/>
      <c r="J746" s="21"/>
      <c r="K746" s="57"/>
      <c r="L746" s="24"/>
      <c r="M746" s="25"/>
      <c r="N746" s="25"/>
      <c r="O746" s="25"/>
      <c r="P746" s="26"/>
    </row>
    <row r="747">
      <c r="A747" s="74"/>
      <c r="B747" s="15"/>
      <c r="C747" s="16"/>
      <c r="D747" s="15"/>
      <c r="E747" s="17"/>
      <c r="F747" s="54"/>
      <c r="G747" s="19"/>
      <c r="H747" s="17"/>
      <c r="I747" s="19"/>
      <c r="J747" s="21"/>
      <c r="K747" s="57"/>
      <c r="L747" s="24"/>
      <c r="M747" s="25"/>
      <c r="N747" s="25"/>
      <c r="O747" s="25"/>
      <c r="P747" s="26"/>
    </row>
    <row r="748">
      <c r="A748" s="74"/>
      <c r="B748" s="15"/>
      <c r="C748" s="16"/>
      <c r="D748" s="15"/>
      <c r="E748" s="17"/>
      <c r="F748" s="54"/>
      <c r="G748" s="19"/>
      <c r="H748" s="17"/>
      <c r="I748" s="19"/>
      <c r="J748" s="21"/>
      <c r="K748" s="57"/>
      <c r="L748" s="24"/>
      <c r="M748" s="25"/>
      <c r="N748" s="25"/>
      <c r="O748" s="25"/>
      <c r="P748" s="26"/>
    </row>
    <row r="749">
      <c r="A749" s="74"/>
      <c r="B749" s="15"/>
      <c r="C749" s="16"/>
      <c r="D749" s="15"/>
      <c r="E749" s="17"/>
      <c r="F749" s="54"/>
      <c r="G749" s="19"/>
      <c r="H749" s="17"/>
      <c r="I749" s="19"/>
      <c r="J749" s="21"/>
      <c r="K749" s="57"/>
      <c r="L749" s="24"/>
      <c r="M749" s="25"/>
      <c r="N749" s="25"/>
      <c r="O749" s="25"/>
      <c r="P749" s="26"/>
    </row>
    <row r="750">
      <c r="A750" s="74"/>
      <c r="B750" s="15"/>
      <c r="C750" s="16"/>
      <c r="D750" s="15"/>
      <c r="E750" s="17"/>
      <c r="F750" s="54"/>
      <c r="G750" s="19"/>
      <c r="H750" s="17"/>
      <c r="I750" s="19"/>
      <c r="J750" s="21"/>
      <c r="K750" s="57"/>
      <c r="L750" s="24"/>
      <c r="M750" s="25"/>
      <c r="N750" s="25"/>
      <c r="O750" s="25"/>
      <c r="P750" s="26"/>
    </row>
    <row r="751">
      <c r="A751" s="52"/>
      <c r="B751" s="15"/>
      <c r="C751" s="16"/>
      <c r="D751" s="15"/>
      <c r="E751" s="17"/>
      <c r="F751" s="54"/>
      <c r="G751" s="19"/>
      <c r="H751" s="17"/>
      <c r="I751" s="19"/>
      <c r="J751" s="21"/>
      <c r="K751" s="57"/>
      <c r="L751" s="24"/>
      <c r="M751" s="25"/>
      <c r="N751" s="25"/>
      <c r="O751" s="25"/>
      <c r="P751" s="26"/>
    </row>
    <row r="752">
      <c r="A752" s="52"/>
      <c r="B752" s="15"/>
      <c r="C752" s="16"/>
      <c r="D752" s="15"/>
      <c r="E752" s="17"/>
      <c r="F752" s="54"/>
      <c r="G752" s="19"/>
      <c r="H752" s="17"/>
      <c r="I752" s="19"/>
      <c r="J752" s="21"/>
      <c r="K752" s="57"/>
      <c r="L752" s="24"/>
      <c r="M752" s="25"/>
      <c r="N752" s="25"/>
      <c r="O752" s="25"/>
      <c r="P752" s="26"/>
    </row>
    <row r="753">
      <c r="A753" s="52"/>
      <c r="B753" s="15"/>
      <c r="C753" s="16"/>
      <c r="D753" s="15"/>
      <c r="E753" s="17"/>
      <c r="F753" s="54"/>
      <c r="G753" s="19"/>
      <c r="H753" s="17"/>
      <c r="I753" s="19"/>
      <c r="J753" s="21"/>
      <c r="K753" s="57"/>
      <c r="L753" s="24"/>
      <c r="M753" s="25"/>
      <c r="N753" s="25"/>
      <c r="O753" s="25"/>
      <c r="P753" s="26"/>
    </row>
    <row r="754">
      <c r="A754" s="52"/>
      <c r="B754" s="15"/>
      <c r="C754" s="16"/>
      <c r="D754" s="15"/>
      <c r="E754" s="17"/>
      <c r="F754" s="54"/>
      <c r="G754" s="19"/>
      <c r="H754" s="17"/>
      <c r="I754" s="19"/>
      <c r="J754" s="21"/>
      <c r="K754" s="57"/>
      <c r="L754" s="24"/>
      <c r="M754" s="25"/>
      <c r="N754" s="25"/>
      <c r="O754" s="25"/>
      <c r="P754" s="26"/>
    </row>
    <row r="755">
      <c r="A755" s="52"/>
      <c r="B755" s="15"/>
      <c r="C755" s="16"/>
      <c r="D755" s="15"/>
      <c r="E755" s="17"/>
      <c r="F755" s="54"/>
      <c r="G755" s="19"/>
      <c r="H755" s="17"/>
      <c r="I755" s="19"/>
      <c r="J755" s="21"/>
      <c r="K755" s="57"/>
      <c r="L755" s="24"/>
      <c r="M755" s="25"/>
      <c r="N755" s="25"/>
      <c r="O755" s="25"/>
      <c r="P755" s="26"/>
    </row>
    <row r="756">
      <c r="A756" s="52"/>
      <c r="B756" s="15"/>
      <c r="C756" s="16"/>
      <c r="D756" s="15"/>
      <c r="E756" s="17"/>
      <c r="F756" s="54"/>
      <c r="G756" s="19"/>
      <c r="H756" s="17"/>
      <c r="I756" s="19"/>
      <c r="J756" s="21"/>
      <c r="K756" s="57"/>
      <c r="L756" s="24"/>
      <c r="M756" s="25"/>
      <c r="N756" s="25"/>
      <c r="O756" s="25"/>
      <c r="P756" s="26"/>
    </row>
    <row r="757">
      <c r="A757" s="52"/>
      <c r="B757" s="15"/>
      <c r="C757" s="16"/>
      <c r="D757" s="15"/>
      <c r="E757" s="17"/>
      <c r="F757" s="54"/>
      <c r="G757" s="19"/>
      <c r="H757" s="17"/>
      <c r="I757" s="19"/>
      <c r="J757" s="21"/>
      <c r="K757" s="57"/>
      <c r="L757" s="24"/>
      <c r="M757" s="25"/>
      <c r="N757" s="25"/>
      <c r="O757" s="25"/>
      <c r="P757" s="26"/>
    </row>
    <row r="758">
      <c r="A758" s="52"/>
      <c r="B758" s="15"/>
      <c r="C758" s="16"/>
      <c r="D758" s="15"/>
      <c r="E758" s="17"/>
      <c r="F758" s="54"/>
      <c r="G758" s="19"/>
      <c r="H758" s="17"/>
      <c r="I758" s="19"/>
      <c r="J758" s="21"/>
      <c r="K758" s="57"/>
      <c r="L758" s="24"/>
      <c r="M758" s="25"/>
      <c r="N758" s="25"/>
      <c r="O758" s="25"/>
      <c r="P758" s="26"/>
    </row>
    <row r="759">
      <c r="A759" s="52"/>
      <c r="B759" s="15"/>
      <c r="C759" s="16"/>
      <c r="D759" s="15"/>
      <c r="E759" s="17"/>
      <c r="F759" s="54"/>
      <c r="G759" s="19"/>
      <c r="H759" s="17"/>
      <c r="I759" s="19"/>
      <c r="J759" s="21"/>
      <c r="K759" s="57"/>
      <c r="L759" s="24"/>
      <c r="M759" s="25"/>
      <c r="N759" s="25"/>
      <c r="O759" s="25"/>
      <c r="P759" s="26"/>
    </row>
    <row r="760">
      <c r="A760" s="52"/>
      <c r="B760" s="15"/>
      <c r="C760" s="16"/>
      <c r="D760" s="15"/>
      <c r="E760" s="17"/>
      <c r="F760" s="54"/>
      <c r="G760" s="19"/>
      <c r="H760" s="17"/>
      <c r="I760" s="19"/>
      <c r="J760" s="21"/>
      <c r="K760" s="57"/>
      <c r="L760" s="24"/>
      <c r="M760" s="25"/>
      <c r="N760" s="25"/>
      <c r="O760" s="25"/>
      <c r="P760" s="26"/>
    </row>
    <row r="761">
      <c r="A761" s="52"/>
      <c r="B761" s="15"/>
      <c r="C761" s="16"/>
      <c r="D761" s="15"/>
      <c r="E761" s="17"/>
      <c r="F761" s="54"/>
      <c r="G761" s="19"/>
      <c r="H761" s="17"/>
      <c r="I761" s="19"/>
      <c r="J761" s="21"/>
      <c r="K761" s="57"/>
      <c r="L761" s="24"/>
      <c r="M761" s="25"/>
      <c r="N761" s="25"/>
      <c r="O761" s="25"/>
      <c r="P761" s="26"/>
    </row>
    <row r="762">
      <c r="A762" s="52"/>
      <c r="B762" s="15"/>
      <c r="C762" s="16"/>
      <c r="D762" s="15"/>
      <c r="E762" s="17"/>
      <c r="F762" s="54"/>
      <c r="G762" s="19"/>
      <c r="H762" s="17"/>
      <c r="I762" s="19"/>
      <c r="J762" s="21"/>
      <c r="K762" s="57"/>
      <c r="L762" s="24"/>
      <c r="M762" s="25"/>
      <c r="N762" s="25"/>
      <c r="O762" s="25"/>
      <c r="P762" s="26"/>
    </row>
    <row r="763">
      <c r="A763" s="52"/>
      <c r="B763" s="15"/>
      <c r="C763" s="16"/>
      <c r="D763" s="15"/>
      <c r="E763" s="17"/>
      <c r="F763" s="54"/>
      <c r="G763" s="19"/>
      <c r="H763" s="17"/>
      <c r="I763" s="19"/>
      <c r="J763" s="21"/>
      <c r="K763" s="57"/>
      <c r="L763" s="24"/>
      <c r="M763" s="25"/>
      <c r="N763" s="25"/>
      <c r="O763" s="25"/>
      <c r="P763" s="26"/>
    </row>
    <row r="764">
      <c r="A764" s="52"/>
      <c r="B764" s="15"/>
      <c r="C764" s="16"/>
      <c r="D764" s="15"/>
      <c r="E764" s="17"/>
      <c r="F764" s="54"/>
      <c r="G764" s="19"/>
      <c r="H764" s="17"/>
      <c r="I764" s="19"/>
      <c r="J764" s="21"/>
      <c r="K764" s="57"/>
      <c r="L764" s="24"/>
      <c r="M764" s="25"/>
      <c r="N764" s="25"/>
      <c r="O764" s="25"/>
      <c r="P764" s="26"/>
    </row>
    <row r="765">
      <c r="A765" s="52"/>
      <c r="B765" s="15"/>
      <c r="C765" s="16"/>
      <c r="D765" s="15"/>
      <c r="E765" s="17"/>
      <c r="F765" s="54"/>
      <c r="G765" s="19"/>
      <c r="H765" s="17"/>
      <c r="I765" s="19"/>
      <c r="J765" s="21"/>
      <c r="K765" s="57"/>
      <c r="L765" s="24"/>
      <c r="M765" s="25"/>
      <c r="N765" s="25"/>
      <c r="O765" s="25"/>
      <c r="P765" s="26"/>
    </row>
    <row r="766">
      <c r="A766" s="52"/>
      <c r="B766" s="15"/>
      <c r="C766" s="16"/>
      <c r="D766" s="15"/>
      <c r="E766" s="17"/>
      <c r="F766" s="54"/>
      <c r="G766" s="19"/>
      <c r="H766" s="17"/>
      <c r="I766" s="19"/>
      <c r="J766" s="21"/>
      <c r="K766" s="57"/>
      <c r="L766" s="24"/>
      <c r="M766" s="25"/>
      <c r="N766" s="25"/>
      <c r="O766" s="25"/>
      <c r="P766" s="26"/>
    </row>
    <row r="767">
      <c r="A767" s="52"/>
      <c r="B767" s="15"/>
      <c r="C767" s="16"/>
      <c r="D767" s="15"/>
      <c r="E767" s="17"/>
      <c r="F767" s="54"/>
      <c r="G767" s="19"/>
      <c r="H767" s="17"/>
      <c r="I767" s="19"/>
      <c r="J767" s="21"/>
      <c r="K767" s="57"/>
      <c r="L767" s="24"/>
      <c r="M767" s="25"/>
      <c r="N767" s="25"/>
      <c r="O767" s="25"/>
      <c r="P767" s="26"/>
    </row>
    <row r="768">
      <c r="A768" s="52"/>
      <c r="B768" s="15"/>
      <c r="C768" s="16"/>
      <c r="D768" s="15"/>
      <c r="E768" s="17"/>
      <c r="F768" s="54"/>
      <c r="G768" s="19"/>
      <c r="H768" s="17"/>
      <c r="I768" s="19"/>
      <c r="J768" s="21"/>
      <c r="K768" s="57"/>
      <c r="L768" s="24"/>
      <c r="M768" s="25"/>
      <c r="N768" s="25"/>
      <c r="O768" s="25"/>
      <c r="P768" s="26"/>
    </row>
    <row r="769">
      <c r="A769" s="52"/>
      <c r="B769" s="15"/>
      <c r="C769" s="16"/>
      <c r="D769" s="15"/>
      <c r="E769" s="17"/>
      <c r="F769" s="54"/>
      <c r="G769" s="19"/>
      <c r="H769" s="17"/>
      <c r="I769" s="19"/>
      <c r="J769" s="21"/>
      <c r="K769" s="57"/>
      <c r="L769" s="24"/>
      <c r="M769" s="25"/>
      <c r="N769" s="25"/>
      <c r="O769" s="25"/>
      <c r="P769" s="26"/>
    </row>
    <row r="770">
      <c r="A770" s="52"/>
      <c r="B770" s="15"/>
      <c r="C770" s="16"/>
      <c r="D770" s="15"/>
      <c r="E770" s="17"/>
      <c r="F770" s="54"/>
      <c r="G770" s="19"/>
      <c r="H770" s="17"/>
      <c r="I770" s="19"/>
      <c r="J770" s="21"/>
      <c r="K770" s="57"/>
      <c r="L770" s="24"/>
      <c r="M770" s="25"/>
      <c r="N770" s="25"/>
      <c r="O770" s="25"/>
      <c r="P770" s="26"/>
    </row>
    <row r="771">
      <c r="A771" s="52"/>
      <c r="B771" s="15"/>
      <c r="C771" s="16"/>
      <c r="D771" s="15"/>
      <c r="E771" s="17"/>
      <c r="F771" s="54"/>
      <c r="G771" s="19"/>
      <c r="H771" s="17"/>
      <c r="I771" s="19"/>
      <c r="J771" s="21"/>
      <c r="K771" s="57"/>
      <c r="L771" s="24"/>
      <c r="M771" s="25"/>
      <c r="N771" s="25"/>
      <c r="O771" s="25"/>
      <c r="P771" s="26"/>
    </row>
    <row r="772">
      <c r="A772" s="52"/>
      <c r="B772" s="15"/>
      <c r="C772" s="16"/>
      <c r="D772" s="15"/>
      <c r="E772" s="17"/>
      <c r="F772" s="54"/>
      <c r="G772" s="19"/>
      <c r="H772" s="17"/>
      <c r="I772" s="19"/>
      <c r="J772" s="21"/>
      <c r="K772" s="57"/>
      <c r="L772" s="24"/>
      <c r="M772" s="25"/>
      <c r="N772" s="25"/>
      <c r="O772" s="25"/>
      <c r="P772" s="26"/>
    </row>
    <row r="773">
      <c r="A773" s="52"/>
      <c r="B773" s="15"/>
      <c r="C773" s="16"/>
      <c r="D773" s="15"/>
      <c r="E773" s="17"/>
      <c r="F773" s="54"/>
      <c r="G773" s="19"/>
      <c r="H773" s="17"/>
      <c r="I773" s="19"/>
      <c r="J773" s="21"/>
      <c r="K773" s="57"/>
      <c r="L773" s="24"/>
      <c r="M773" s="25"/>
      <c r="N773" s="25"/>
      <c r="O773" s="25"/>
      <c r="P773" s="26"/>
    </row>
    <row r="774">
      <c r="A774" s="52"/>
      <c r="B774" s="15"/>
      <c r="C774" s="16"/>
      <c r="D774" s="15"/>
      <c r="E774" s="17"/>
      <c r="F774" s="54"/>
      <c r="G774" s="19"/>
      <c r="H774" s="17"/>
      <c r="I774" s="19"/>
      <c r="J774" s="21"/>
      <c r="K774" s="57"/>
      <c r="L774" s="24"/>
      <c r="M774" s="25"/>
      <c r="N774" s="25"/>
      <c r="O774" s="25"/>
      <c r="P774" s="26"/>
    </row>
    <row r="775">
      <c r="A775" s="52"/>
      <c r="B775" s="15"/>
      <c r="C775" s="16"/>
      <c r="D775" s="15"/>
      <c r="E775" s="17"/>
      <c r="F775" s="54"/>
      <c r="G775" s="19"/>
      <c r="H775" s="17"/>
      <c r="I775" s="19"/>
      <c r="J775" s="21"/>
      <c r="K775" s="57"/>
      <c r="L775" s="24"/>
      <c r="M775" s="25"/>
      <c r="N775" s="25"/>
      <c r="O775" s="25"/>
      <c r="P775" s="26"/>
    </row>
    <row r="776">
      <c r="A776" s="52"/>
      <c r="B776" s="15"/>
      <c r="C776" s="16"/>
      <c r="D776" s="15"/>
      <c r="E776" s="17"/>
      <c r="F776" s="54"/>
      <c r="G776" s="19"/>
      <c r="H776" s="17"/>
      <c r="I776" s="19"/>
      <c r="J776" s="21"/>
      <c r="K776" s="57"/>
      <c r="L776" s="24"/>
      <c r="M776" s="25"/>
      <c r="N776" s="25"/>
      <c r="O776" s="25"/>
      <c r="P776" s="26"/>
    </row>
    <row r="777">
      <c r="A777" s="52"/>
      <c r="B777" s="15"/>
      <c r="C777" s="16"/>
      <c r="D777" s="15"/>
      <c r="E777" s="17"/>
      <c r="F777" s="54"/>
      <c r="G777" s="19"/>
      <c r="H777" s="17"/>
      <c r="I777" s="19"/>
      <c r="J777" s="21"/>
      <c r="K777" s="57"/>
      <c r="L777" s="24"/>
      <c r="M777" s="25"/>
      <c r="N777" s="25"/>
      <c r="O777" s="25"/>
      <c r="P777" s="26"/>
    </row>
    <row r="778">
      <c r="A778" s="52"/>
      <c r="B778" s="15"/>
      <c r="C778" s="16"/>
      <c r="D778" s="15"/>
      <c r="E778" s="17"/>
      <c r="F778" s="54"/>
      <c r="G778" s="19"/>
      <c r="H778" s="17"/>
      <c r="I778" s="19"/>
      <c r="J778" s="21"/>
      <c r="K778" s="57"/>
      <c r="L778" s="24"/>
      <c r="M778" s="25"/>
      <c r="N778" s="25"/>
      <c r="O778" s="25"/>
      <c r="P778" s="26"/>
    </row>
    <row r="779">
      <c r="A779" s="52"/>
      <c r="B779" s="15"/>
      <c r="C779" s="16"/>
      <c r="D779" s="15"/>
      <c r="E779" s="17"/>
      <c r="F779" s="54"/>
      <c r="G779" s="19"/>
      <c r="H779" s="17"/>
      <c r="I779" s="19"/>
      <c r="J779" s="21"/>
      <c r="K779" s="57"/>
      <c r="L779" s="24"/>
      <c r="M779" s="25"/>
      <c r="N779" s="25"/>
      <c r="O779" s="25"/>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7.57"/>
    <col customWidth="1" min="4" max="4" width="13.0"/>
    <col customWidth="1" min="5" max="5" width="13.14"/>
    <col customWidth="1" min="6" max="6" width="14.71"/>
    <col customWidth="1" min="7" max="7" width="10.71"/>
    <col customWidth="1" min="8" max="10" width="13.14"/>
    <col customWidth="1" min="11" max="11" width="14.14"/>
    <col customWidth="1" min="12" max="12" width="14.43"/>
    <col customWidth="1" min="13" max="13" width="43.29"/>
    <col customWidth="1" min="14" max="16" width="9.29"/>
  </cols>
  <sheetData>
    <row r="1">
      <c r="A1" s="1" t="s">
        <v>0</v>
      </c>
      <c r="B1" s="2">
        <f>COUNTA(D2:D1940)</f>
        <v>1771</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List'!A2:P1940, REGEXMATCH('Master List'!D2:D1940, ""Removed"") ), 6, false)"),"Sniper Elite: Resistance")</f>
        <v>Sniper Elite: Resistance</v>
      </c>
      <c r="B3" s="15" t="str">
        <f>IFERROR(__xludf.DUMMYFUNCTION("""COMPUTED_VALUE"""),"PS5/PS4")</f>
        <v>PS5/PS4</v>
      </c>
      <c r="C3" s="16" t="str">
        <f>IFERROR(__xludf.DUMMYFUNCTION("""COMPUTED_VALUE"""),"Essential")</f>
        <v>Essential</v>
      </c>
      <c r="D3" s="15" t="str">
        <f>IFERROR(__xludf.DUMMYFUNCTION("""COMPUTED_VALUE"""),"Removed")</f>
        <v>Removed</v>
      </c>
      <c r="E3" s="17">
        <f>IFERROR(__xludf.DUMMYFUNCTION("""COMPUTED_VALUE"""),46266.0)</f>
        <v>46266</v>
      </c>
      <c r="F3" s="18">
        <f>IFERROR(__xludf.DUMMYFUNCTION("""COMPUTED_VALUE"""),46300.0)</f>
        <v>46300</v>
      </c>
      <c r="G3" s="19">
        <f>IFERROR(__xludf.DUMMYFUNCTION("""COMPUTED_VALUE"""),1.1333333333333333)</f>
        <v>1.133333333</v>
      </c>
      <c r="H3" s="17">
        <f>IFERROR(__xludf.DUMMYFUNCTION("""COMPUTED_VALUE"""),45687.0)</f>
        <v>45687</v>
      </c>
      <c r="I3" s="19">
        <f>IFERROR(__xludf.DUMMYFUNCTION("""COMPUTED_VALUE"""),1.586111111111111)</f>
        <v>1.586111111</v>
      </c>
      <c r="J3" s="21">
        <f>IFERROR(__xludf.DUMMYFUNCTION("""COMPUTED_VALUE"""),75.0)</f>
        <v>75</v>
      </c>
      <c r="K3" s="23">
        <f>IFERROR(__xludf.DUMMYFUNCTION("""COMPUTED_VALUE"""),5.9)</f>
        <v>5.9</v>
      </c>
      <c r="L3" s="24">
        <f>IFERROR(__xludf.DUMMYFUNCTION("""COMPUTED_VALUE"""),9.0)</f>
        <v>9</v>
      </c>
      <c r="M3" s="25" t="str">
        <f>IFERROR(__xludf.DUMMYFUNCTION("""COMPUTED_VALUE"""),"Shooter")</f>
        <v>Shooter</v>
      </c>
      <c r="N3" s="25"/>
      <c r="O3" s="26" t="str">
        <f>IFERROR(__xludf.DUMMYFUNCTION("""COMPUTED_VALUE"""),"No")</f>
        <v>No</v>
      </c>
      <c r="P3" s="26"/>
    </row>
    <row r="4">
      <c r="A4" s="13" t="str">
        <f>IFERROR(__xludf.DUMMYFUNCTION("""COMPUTED_VALUE"""),"MLB The Show 26")</f>
        <v>MLB The Show 26</v>
      </c>
      <c r="B4" s="15" t="str">
        <f>IFERROR(__xludf.DUMMYFUNCTION("""COMPUTED_VALUE"""),"PS5")</f>
        <v>PS5</v>
      </c>
      <c r="C4" s="16" t="str">
        <f>IFERROR(__xludf.DUMMYFUNCTION("""COMPUTED_VALUE"""),"Essential")</f>
        <v>Essential</v>
      </c>
      <c r="D4" s="15" t="str">
        <f>IFERROR(__xludf.DUMMYFUNCTION("""COMPUTED_VALUE"""),"Removed")</f>
        <v>Removed</v>
      </c>
      <c r="E4" s="17">
        <f>IFERROR(__xludf.DUMMYFUNCTION("""COMPUTED_VALUE"""),46266.0)</f>
        <v>46266</v>
      </c>
      <c r="F4" s="18">
        <f>IFERROR(__xludf.DUMMYFUNCTION("""COMPUTED_VALUE"""),46300.0)</f>
        <v>46300</v>
      </c>
      <c r="G4" s="19">
        <f>IFERROR(__xludf.DUMMYFUNCTION("""COMPUTED_VALUE"""),1.1333333333333333)</f>
        <v>1.133333333</v>
      </c>
      <c r="H4" s="17">
        <f>IFERROR(__xludf.DUMMYFUNCTION("""COMPUTED_VALUE"""),46098.0)</f>
        <v>46098</v>
      </c>
      <c r="I4" s="19">
        <f>IFERROR(__xludf.DUMMYFUNCTION("""COMPUTED_VALUE"""),0.45555555555555555)</f>
        <v>0.4555555556</v>
      </c>
      <c r="J4" s="21">
        <f>IFERROR(__xludf.DUMMYFUNCTION("""COMPUTED_VALUE"""),73.0)</f>
        <v>73</v>
      </c>
      <c r="K4" s="23">
        <f>IFERROR(__xludf.DUMMYFUNCTION("""COMPUTED_VALUE"""),2.3)</f>
        <v>2.3</v>
      </c>
      <c r="L4" s="24"/>
      <c r="M4" s="25" t="str">
        <f>IFERROR(__xludf.DUMMYFUNCTION("""COMPUTED_VALUE"""),"Baseball Sim")</f>
        <v>Baseball Sim</v>
      </c>
      <c r="N4" s="25"/>
      <c r="O4" s="26" t="str">
        <f>IFERROR(__xludf.DUMMYFUNCTION("""COMPUTED_VALUE"""),"No")</f>
        <v>No</v>
      </c>
      <c r="P4" s="26"/>
    </row>
    <row r="5">
      <c r="A5" s="13" t="str">
        <f>IFERROR(__xludf.DUMMYFUNCTION("""COMPUTED_VALUE"""),"Wobbly Life")</f>
        <v>Wobbly Life</v>
      </c>
      <c r="B5" s="15" t="str">
        <f>IFERROR(__xludf.DUMMYFUNCTION("""COMPUTED_VALUE"""),"PS5/PS4")</f>
        <v>PS5/PS4</v>
      </c>
      <c r="C5" s="16" t="str">
        <f>IFERROR(__xludf.DUMMYFUNCTION("""COMPUTED_VALUE"""),"Essential")</f>
        <v>Essential</v>
      </c>
      <c r="D5" s="15" t="str">
        <f>IFERROR(__xludf.DUMMYFUNCTION("""COMPUTED_VALUE"""),"Removed")</f>
        <v>Removed</v>
      </c>
      <c r="E5" s="17">
        <f>IFERROR(__xludf.DUMMYFUNCTION("""COMPUTED_VALUE"""),46266.0)</f>
        <v>46266</v>
      </c>
      <c r="F5" s="18">
        <f>IFERROR(__xludf.DUMMYFUNCTION("""COMPUTED_VALUE"""),46300.0)</f>
        <v>46300</v>
      </c>
      <c r="G5" s="19">
        <f>IFERROR(__xludf.DUMMYFUNCTION("""COMPUTED_VALUE"""),1.1333333333333333)</f>
        <v>1.133333333</v>
      </c>
      <c r="H5" s="17">
        <f>IFERROR(__xludf.DUMMYFUNCTION("""COMPUTED_VALUE"""),45806.0)</f>
        <v>45806</v>
      </c>
      <c r="I5" s="19">
        <f>IFERROR(__xludf.DUMMYFUNCTION("""COMPUTED_VALUE"""),1.2555555555555555)</f>
        <v>1.255555556</v>
      </c>
      <c r="J5" s="21"/>
      <c r="K5" s="23">
        <f>IFERROR(__xludf.DUMMYFUNCTION("""COMPUTED_VALUE"""),7.4)</f>
        <v>7.4</v>
      </c>
      <c r="L5" s="24">
        <f>IFERROR(__xludf.DUMMYFUNCTION("""COMPUTED_VALUE"""),17.0)</f>
        <v>17</v>
      </c>
      <c r="M5" s="25" t="str">
        <f>IFERROR(__xludf.DUMMYFUNCTION("""COMPUTED_VALUE"""),"Action-Adventure")</f>
        <v>Action-Adventure</v>
      </c>
      <c r="N5" s="25"/>
      <c r="O5" s="26" t="str">
        <f>IFERROR(__xludf.DUMMYFUNCTION("""COMPUTED_VALUE"""),"No")</f>
        <v>No</v>
      </c>
      <c r="P5" s="26"/>
    </row>
    <row r="6">
      <c r="A6" s="13" t="str">
        <f>IFERROR(__xludf.DUMMYFUNCTION("""COMPUTED_VALUE"""),"Chained Echoes")</f>
        <v>Chained Echoes</v>
      </c>
      <c r="B6" s="15" t="str">
        <f>IFERROR(__xludf.DUMMYFUNCTION("""COMPUTED_VALUE"""),"PS4")</f>
        <v>PS4</v>
      </c>
      <c r="C6" s="16" t="str">
        <f>IFERROR(__xludf.DUMMYFUNCTION("""COMPUTED_VALUE"""),"Essential")</f>
        <v>Essential</v>
      </c>
      <c r="D6" s="15" t="str">
        <f>IFERROR(__xludf.DUMMYFUNCTION("""COMPUTED_VALUE"""),"Removed")</f>
        <v>Removed</v>
      </c>
      <c r="E6" s="17">
        <f>IFERROR(__xludf.DUMMYFUNCTION("""COMPUTED_VALUE"""),46266.0)</f>
        <v>46266</v>
      </c>
      <c r="F6" s="18">
        <f>IFERROR(__xludf.DUMMYFUNCTION("""COMPUTED_VALUE"""),46300.0)</f>
        <v>46300</v>
      </c>
      <c r="G6" s="19">
        <f>IFERROR(__xludf.DUMMYFUNCTION("""COMPUTED_VALUE"""),1.1333333333333333)</f>
        <v>1.133333333</v>
      </c>
      <c r="H6" s="17">
        <f>IFERROR(__xludf.DUMMYFUNCTION("""COMPUTED_VALUE"""),44903.0)</f>
        <v>44903</v>
      </c>
      <c r="I6" s="19">
        <f>IFERROR(__xludf.DUMMYFUNCTION("""COMPUTED_VALUE"""),3.7305555555555556)</f>
        <v>3.730555556</v>
      </c>
      <c r="J6" s="21">
        <f>IFERROR(__xludf.DUMMYFUNCTION("""COMPUTED_VALUE"""),90.0)</f>
        <v>90</v>
      </c>
      <c r="K6" s="23">
        <f>IFERROR(__xludf.DUMMYFUNCTION("""COMPUTED_VALUE"""),8.4)</f>
        <v>8.4</v>
      </c>
      <c r="L6" s="24">
        <f>IFERROR(__xludf.DUMMYFUNCTION("""COMPUTED_VALUE"""),35.0)</f>
        <v>35</v>
      </c>
      <c r="M6" s="25" t="str">
        <f>IFERROR(__xludf.DUMMYFUNCTION("""COMPUTED_VALUE"""),"RPG")</f>
        <v>RPG</v>
      </c>
      <c r="N6" s="25"/>
      <c r="O6" s="26" t="str">
        <f>IFERROR(__xludf.DUMMYFUNCTION("""COMPUTED_VALUE"""),"No")</f>
        <v>No</v>
      </c>
      <c r="P6" s="26"/>
    </row>
    <row r="7">
      <c r="A7" s="13" t="str">
        <f>IFERROR(__xludf.DUMMYFUNCTION("""COMPUTED_VALUE"""),"Madden NFL 26")</f>
        <v>Madden NFL 26</v>
      </c>
      <c r="B7" s="15" t="str">
        <f>IFERROR(__xludf.DUMMYFUNCTION("""COMPUTED_VALUE"""),"PS5")</f>
        <v>PS5</v>
      </c>
      <c r="C7" s="16" t="str">
        <f>IFERROR(__xludf.DUMMYFUNCTION("""COMPUTED_VALUE"""),"Extra")</f>
        <v>Extra</v>
      </c>
      <c r="D7" s="15" t="str">
        <f>IFERROR(__xludf.DUMMYFUNCTION("""COMPUTED_VALUE"""),"Removed")</f>
        <v>Removed</v>
      </c>
      <c r="E7" s="17">
        <f>IFERROR(__xludf.DUMMYFUNCTION("""COMPUTED_VALUE"""),46098.0)</f>
        <v>46098</v>
      </c>
      <c r="F7" s="18">
        <f>IFERROR(__xludf.DUMMYFUNCTION("""COMPUTED_VALUE"""),46279.0)</f>
        <v>46279</v>
      </c>
      <c r="G7" s="19">
        <f>IFERROR(__xludf.DUMMYFUNCTION("""COMPUTED_VALUE"""),5.8999999999999995)</f>
        <v>5.9</v>
      </c>
      <c r="H7" s="17">
        <f>IFERROR(__xludf.DUMMYFUNCTION("""COMPUTED_VALUE"""),45884.0)</f>
        <v>45884</v>
      </c>
      <c r="I7" s="19">
        <f>IFERROR(__xludf.DUMMYFUNCTION("""COMPUTED_VALUE"""),0.5888888888888889)</f>
        <v>0.5888888889</v>
      </c>
      <c r="J7" s="21">
        <f>IFERROR(__xludf.DUMMYFUNCTION("""COMPUTED_VALUE"""),77.0)</f>
        <v>77</v>
      </c>
      <c r="K7" s="23">
        <f>IFERROR(__xludf.DUMMYFUNCTION("""COMPUTED_VALUE"""),4.0)</f>
        <v>4</v>
      </c>
      <c r="L7" s="24">
        <f>IFERROR(__xludf.DUMMYFUNCTION("""COMPUTED_VALUE"""),8.0)</f>
        <v>8</v>
      </c>
      <c r="M7" s="25" t="str">
        <f>IFERROR(__xludf.DUMMYFUNCTION("""COMPUTED_VALUE"""),"Sports")</f>
        <v>Sports</v>
      </c>
      <c r="N7" s="25"/>
      <c r="O7" s="26" t="str">
        <f>IFERROR(__xludf.DUMMYFUNCTION("""COMPUTED_VALUE"""),"No")</f>
        <v>No</v>
      </c>
      <c r="P7" s="26"/>
    </row>
    <row r="8">
      <c r="A8" s="13" t="str">
        <f>IFERROR(__xludf.DUMMYFUNCTION("""COMPUTED_VALUE"""),"Persona 5 Tactica")</f>
        <v>Persona 5 Tactica</v>
      </c>
      <c r="B8" s="15" t="str">
        <f>IFERROR(__xludf.DUMMYFUNCTION("""COMPUTED_VALUE"""),"PS5/PS4")</f>
        <v>PS5/PS4</v>
      </c>
      <c r="C8" s="16" t="str">
        <f>IFERROR(__xludf.DUMMYFUNCTION("""COMPUTED_VALUE"""),"Extra")</f>
        <v>Extra</v>
      </c>
      <c r="D8" s="15" t="str">
        <f>IFERROR(__xludf.DUMMYFUNCTION("""COMPUTED_VALUE"""),"Removed")</f>
        <v>Removed</v>
      </c>
      <c r="E8" s="17">
        <f>IFERROR(__xludf.DUMMYFUNCTION("""COMPUTED_VALUE"""),45916.0)</f>
        <v>45916</v>
      </c>
      <c r="F8" s="18">
        <f>IFERROR(__xludf.DUMMYFUNCTION("""COMPUTED_VALUE"""),46279.0)</f>
        <v>46279</v>
      </c>
      <c r="G8" s="19">
        <f>IFERROR(__xludf.DUMMYFUNCTION("""COMPUTED_VALUE"""),11.933333333333334)</f>
        <v>11.93333333</v>
      </c>
      <c r="H8" s="17">
        <f>IFERROR(__xludf.DUMMYFUNCTION("""COMPUTED_VALUE"""),45247.0)</f>
        <v>45247</v>
      </c>
      <c r="I8" s="19">
        <f>IFERROR(__xludf.DUMMYFUNCTION("""COMPUTED_VALUE"""),1.8305555555555555)</f>
        <v>1.830555556</v>
      </c>
      <c r="J8" s="21">
        <f>IFERROR(__xludf.DUMMYFUNCTION("""COMPUTED_VALUE"""),74.0)</f>
        <v>74</v>
      </c>
      <c r="K8" s="23">
        <f>IFERROR(__xludf.DUMMYFUNCTION("""COMPUTED_VALUE"""),7.1)</f>
        <v>7.1</v>
      </c>
      <c r="L8" s="24">
        <f>IFERROR(__xludf.DUMMYFUNCTION("""COMPUTED_VALUE"""),24.0)</f>
        <v>24</v>
      </c>
      <c r="M8" s="25" t="str">
        <f>IFERROR(__xludf.DUMMYFUNCTION("""COMPUTED_VALUE"""),"Strategy")</f>
        <v>Strategy</v>
      </c>
      <c r="N8" s="25"/>
      <c r="O8" s="26"/>
      <c r="P8" s="26"/>
    </row>
    <row r="9">
      <c r="A9" s="35" t="str">
        <f>IFERROR(__xludf.DUMMYFUNCTION("""COMPUTED_VALUE"""),"Shadowrun Returns")</f>
        <v>Shadowrun Returns</v>
      </c>
      <c r="B9" s="15" t="str">
        <f>IFERROR(__xludf.DUMMYFUNCTION("""COMPUTED_VALUE"""),"PS5/PS4")</f>
        <v>PS5/PS4</v>
      </c>
      <c r="C9" s="16" t="str">
        <f>IFERROR(__xludf.DUMMYFUNCTION("""COMPUTED_VALUE"""),"Extra")</f>
        <v>Extra</v>
      </c>
      <c r="D9" s="15" t="str">
        <f>IFERROR(__xludf.DUMMYFUNCTION("""COMPUTED_VALUE"""),"Removed")</f>
        <v>Removed</v>
      </c>
      <c r="E9" s="17">
        <f>IFERROR(__xludf.DUMMYFUNCTION("""COMPUTED_VALUE"""),45279.0)</f>
        <v>45279</v>
      </c>
      <c r="F9" s="18">
        <f>IFERROR(__xludf.DUMMYFUNCTION("""COMPUTED_VALUE"""),46279.0)</f>
        <v>46279</v>
      </c>
      <c r="G9" s="19">
        <f>IFERROR(__xludf.DUMMYFUNCTION("""COMPUTED_VALUE"""),32.833333333333336)</f>
        <v>32.83333333</v>
      </c>
      <c r="H9" s="17">
        <f>IFERROR(__xludf.DUMMYFUNCTION("""COMPUTED_VALUE"""),41480.0)</f>
        <v>41480</v>
      </c>
      <c r="I9" s="19">
        <f>IFERROR(__xludf.DUMMYFUNCTION("""COMPUTED_VALUE"""),10.4)</f>
        <v>10.4</v>
      </c>
      <c r="J9" s="21">
        <f>IFERROR(__xludf.DUMMYFUNCTION("""COMPUTED_VALUE"""),76.0)</f>
        <v>76</v>
      </c>
      <c r="K9" s="23">
        <f>IFERROR(__xludf.DUMMYFUNCTION("""COMPUTED_VALUE"""),7.5)</f>
        <v>7.5</v>
      </c>
      <c r="L9" s="24">
        <f>IFERROR(__xludf.DUMMYFUNCTION("""COMPUTED_VALUE"""),12.0)</f>
        <v>12</v>
      </c>
      <c r="M9" s="25" t="str">
        <f>IFERROR(__xludf.DUMMYFUNCTION("""COMPUTED_VALUE"""),"Strategy")</f>
        <v>Strategy</v>
      </c>
      <c r="N9" s="25"/>
      <c r="O9" s="26" t="str">
        <f>IFERROR(__xludf.DUMMYFUNCTION("""COMPUTED_VALUE"""),"Yes")</f>
        <v>Yes</v>
      </c>
      <c r="P9" s="26"/>
    </row>
    <row r="10">
      <c r="A10" s="13" t="str">
        <f>IFERROR(__xludf.DUMMYFUNCTION("""COMPUTED_VALUE"""),"Shadowrun: Dragonfall - Director's Cut")</f>
        <v>Shadowrun: Dragonfall - Director's Cut</v>
      </c>
      <c r="B10" s="15" t="str">
        <f>IFERROR(__xludf.DUMMYFUNCTION("""COMPUTED_VALUE"""),"PS5/PS4")</f>
        <v>PS5/PS4</v>
      </c>
      <c r="C10" s="16" t="str">
        <f>IFERROR(__xludf.DUMMYFUNCTION("""COMPUTED_VALUE"""),"Extra")</f>
        <v>Extra</v>
      </c>
      <c r="D10" s="15" t="str">
        <f>IFERROR(__xludf.DUMMYFUNCTION("""COMPUTED_VALUE"""),"Removed")</f>
        <v>Removed</v>
      </c>
      <c r="E10" s="17">
        <f>IFERROR(__xludf.DUMMYFUNCTION("""COMPUTED_VALUE"""),45279.0)</f>
        <v>45279</v>
      </c>
      <c r="F10" s="18">
        <f>IFERROR(__xludf.DUMMYFUNCTION("""COMPUTED_VALUE"""),46279.0)</f>
        <v>46279</v>
      </c>
      <c r="G10" s="19">
        <f>IFERROR(__xludf.DUMMYFUNCTION("""COMPUTED_VALUE"""),32.833333333333336)</f>
        <v>32.83333333</v>
      </c>
      <c r="H10" s="17">
        <f>IFERROR(__xludf.DUMMYFUNCTION("""COMPUTED_VALUE"""),41900.0)</f>
        <v>41900</v>
      </c>
      <c r="I10" s="19">
        <f>IFERROR(__xludf.DUMMYFUNCTION("""COMPUTED_VALUE"""),9.252777777777778)</f>
        <v>9.252777778</v>
      </c>
      <c r="J10" s="21">
        <f>IFERROR(__xludf.DUMMYFUNCTION("""COMPUTED_VALUE"""),87.0)</f>
        <v>87</v>
      </c>
      <c r="K10" s="23">
        <f>IFERROR(__xludf.DUMMYFUNCTION("""COMPUTED_VALUE"""),8.3)</f>
        <v>8.3</v>
      </c>
      <c r="L10" s="24">
        <f>IFERROR(__xludf.DUMMYFUNCTION("""COMPUTED_VALUE"""),21.0)</f>
        <v>21</v>
      </c>
      <c r="M10" s="25" t="str">
        <f>IFERROR(__xludf.DUMMYFUNCTION("""COMPUTED_VALUE"""),"Strategy")</f>
        <v>Strategy</v>
      </c>
      <c r="N10" s="25"/>
      <c r="O10" s="26" t="str">
        <f>IFERROR(__xludf.DUMMYFUNCTION("""COMPUTED_VALUE"""),"Yes")</f>
        <v>Yes</v>
      </c>
      <c r="P10" s="26"/>
    </row>
    <row r="11">
      <c r="A11" s="13" t="str">
        <f>IFERROR(__xludf.DUMMYFUNCTION("""COMPUTED_VALUE"""),"Shadowrun: Hong Kong - Extended Edition")</f>
        <v>Shadowrun: Hong Kong - Extended Edition</v>
      </c>
      <c r="B11" s="15" t="str">
        <f>IFERROR(__xludf.DUMMYFUNCTION("""COMPUTED_VALUE"""),"PS5/PS4")</f>
        <v>PS5/PS4</v>
      </c>
      <c r="C11" s="16" t="str">
        <f>IFERROR(__xludf.DUMMYFUNCTION("""COMPUTED_VALUE"""),"Extra")</f>
        <v>Extra</v>
      </c>
      <c r="D11" s="15" t="str">
        <f>IFERROR(__xludf.DUMMYFUNCTION("""COMPUTED_VALUE"""),"Removed")</f>
        <v>Removed</v>
      </c>
      <c r="E11" s="17">
        <f>IFERROR(__xludf.DUMMYFUNCTION("""COMPUTED_VALUE"""),45279.0)</f>
        <v>45279</v>
      </c>
      <c r="F11" s="18">
        <f>IFERROR(__xludf.DUMMYFUNCTION("""COMPUTED_VALUE"""),46279.0)</f>
        <v>46279</v>
      </c>
      <c r="G11" s="19">
        <f>IFERROR(__xludf.DUMMYFUNCTION("""COMPUTED_VALUE"""),32.833333333333336)</f>
        <v>32.83333333</v>
      </c>
      <c r="H11" s="17">
        <f>IFERROR(__xludf.DUMMYFUNCTION("""COMPUTED_VALUE"""),42236.0)</f>
        <v>42236</v>
      </c>
      <c r="I11" s="19">
        <f>IFERROR(__xludf.DUMMYFUNCTION("""COMPUTED_VALUE"""),8.330555555555556)</f>
        <v>8.330555556</v>
      </c>
      <c r="J11" s="21">
        <f>IFERROR(__xludf.DUMMYFUNCTION("""COMPUTED_VALUE"""),81.0)</f>
        <v>81</v>
      </c>
      <c r="K11" s="23">
        <f>IFERROR(__xludf.DUMMYFUNCTION("""COMPUTED_VALUE"""),7.7)</f>
        <v>7.7</v>
      </c>
      <c r="L11" s="24">
        <f>IFERROR(__xludf.DUMMYFUNCTION("""COMPUTED_VALUE"""),21.0)</f>
        <v>21</v>
      </c>
      <c r="M11" s="25" t="str">
        <f>IFERROR(__xludf.DUMMYFUNCTION("""COMPUTED_VALUE"""),"Strategy")</f>
        <v>Strategy</v>
      </c>
      <c r="N11" s="25"/>
      <c r="O11" s="26" t="str">
        <f>IFERROR(__xludf.DUMMYFUNCTION("""COMPUTED_VALUE"""),"Yes")</f>
        <v>Yes</v>
      </c>
      <c r="P11" s="26"/>
    </row>
    <row r="12">
      <c r="A12" s="13" t="str">
        <f>IFERROR(__xludf.DUMMYFUNCTION("""COMPUTED_VALUE"""),"Disney/PIXAR Toy Story 3")</f>
        <v>Disney/PIXAR Toy Story 3</v>
      </c>
      <c r="B12" s="15" t="str">
        <f>IFERROR(__xludf.DUMMYFUNCTION("""COMPUTED_VALUE"""),"PS5/PS4")</f>
        <v>PS5/PS4</v>
      </c>
      <c r="C12" s="16" t="str">
        <f>IFERROR(__xludf.DUMMYFUNCTION("""COMPUTED_VALUE"""),"Premium (Classics)")</f>
        <v>Premium (Classics)</v>
      </c>
      <c r="D12" s="15" t="str">
        <f>IFERROR(__xludf.DUMMYFUNCTION("""COMPUTED_VALUE"""),"Removed")</f>
        <v>Removed</v>
      </c>
      <c r="E12" s="53">
        <f>IFERROR(__xludf.DUMMYFUNCTION("""COMPUTED_VALUE"""),44824.0)</f>
        <v>44824</v>
      </c>
      <c r="F12" s="54">
        <f>IFERROR(__xludf.DUMMYFUNCTION("""COMPUTED_VALUE"""),46279.0)</f>
        <v>46279</v>
      </c>
      <c r="G12" s="19">
        <f>IFERROR(__xludf.DUMMYFUNCTION("""COMPUTED_VALUE"""),47.8)</f>
        <v>47.8</v>
      </c>
      <c r="H12" s="17">
        <f>IFERROR(__xludf.DUMMYFUNCTION("""COMPUTED_VALUE"""),40344.0)</f>
        <v>40344</v>
      </c>
      <c r="I12" s="19">
        <f>IFERROR(__xludf.DUMMYFUNCTION("""COMPUTED_VALUE"""),12.26388888888889)</f>
        <v>12.26388889</v>
      </c>
      <c r="J12" s="21">
        <f>IFERROR(__xludf.DUMMYFUNCTION("""COMPUTED_VALUE"""),78.0)</f>
        <v>78</v>
      </c>
      <c r="K12" s="23">
        <f>IFERROR(__xludf.DUMMYFUNCTION("""COMPUTED_VALUE"""),8.0)</f>
        <v>8</v>
      </c>
      <c r="L12" s="24">
        <f>IFERROR(__xludf.DUMMYFUNCTION("""COMPUTED_VALUE"""),4.5)</f>
        <v>4.5</v>
      </c>
      <c r="M12" s="25" t="str">
        <f>IFERROR(__xludf.DUMMYFUNCTION("""COMPUTED_VALUE"""),"Platformer")</f>
        <v>Platformer</v>
      </c>
      <c r="N12" s="25" t="str">
        <f>IFERROR(__xludf.DUMMYFUNCTION("""COMPUTED_VALUE"""),"PSP")</f>
        <v>PSP</v>
      </c>
      <c r="O12" s="26" t="str">
        <f>IFERROR(__xludf.DUMMYFUNCTION("""COMPUTED_VALUE"""),"Yes")</f>
        <v>Yes</v>
      </c>
      <c r="P12" s="26"/>
    </row>
    <row r="13">
      <c r="A13" s="13" t="str">
        <f>IFERROR(__xludf.DUMMYFUNCTION("""COMPUTED_VALUE"""),"Disney/PIXAR Toy Story 2: Buzz Lightyear to the Rescue!")</f>
        <v>Disney/PIXAR Toy Story 2: Buzz Lightyear to the Rescue!</v>
      </c>
      <c r="B13" s="15" t="str">
        <f>IFERROR(__xludf.DUMMYFUNCTION("""COMPUTED_VALUE"""),"PS5/PS4")</f>
        <v>PS5/PS4</v>
      </c>
      <c r="C13" s="16" t="str">
        <f>IFERROR(__xludf.DUMMYFUNCTION("""COMPUTED_VALUE"""),"Premium (Classics)")</f>
        <v>Premium (Classics)</v>
      </c>
      <c r="D13" s="15" t="str">
        <f>IFERROR(__xludf.DUMMYFUNCTION("""COMPUTED_VALUE"""),"Removed")</f>
        <v>Removed</v>
      </c>
      <c r="E13" s="17">
        <f>IFERROR(__xludf.DUMMYFUNCTION("""COMPUTED_VALUE"""),44725.0)</f>
        <v>44725</v>
      </c>
      <c r="F13" s="54">
        <f>IFERROR(__xludf.DUMMYFUNCTION("""COMPUTED_VALUE"""),46279.0)</f>
        <v>46279</v>
      </c>
      <c r="G13" s="19">
        <f>IFERROR(__xludf.DUMMYFUNCTION("""COMPUTED_VALUE"""),51.03333333333334)</f>
        <v>51.03333333</v>
      </c>
      <c r="H13" s="17">
        <f>IFERROR(__xludf.DUMMYFUNCTION("""COMPUTED_VALUE"""),36480.0)</f>
        <v>36480</v>
      </c>
      <c r="I13" s="19">
        <f>IFERROR(__xludf.DUMMYFUNCTION("""COMPUTED_VALUE"""),22.575)</f>
        <v>22.575</v>
      </c>
      <c r="J13" s="21">
        <f>IFERROR(__xludf.DUMMYFUNCTION("""COMPUTED_VALUE"""),69.0)</f>
        <v>69</v>
      </c>
      <c r="K13" s="23">
        <f>IFERROR(__xludf.DUMMYFUNCTION("""COMPUTED_VALUE"""),7.9)</f>
        <v>7.9</v>
      </c>
      <c r="L13" s="24">
        <f>IFERROR(__xludf.DUMMYFUNCTION("""COMPUTED_VALUE"""),5.0)</f>
        <v>5</v>
      </c>
      <c r="M13" s="25" t="str">
        <f>IFERROR(__xludf.DUMMYFUNCTION("""COMPUTED_VALUE"""),"Action-Adventure")</f>
        <v>Action-Adventure</v>
      </c>
      <c r="N13" s="25" t="str">
        <f>IFERROR(__xludf.DUMMYFUNCTION("""COMPUTED_VALUE"""),"PS1")</f>
        <v>PS1</v>
      </c>
      <c r="O13" s="26" t="str">
        <f>IFERROR(__xludf.DUMMYFUNCTION("""COMPUTED_VALUE"""),"No")</f>
        <v>No</v>
      </c>
      <c r="P13" s="26" t="str">
        <f>IFERROR(__xludf.DUMMYFUNCTION("""COMPUTED_VALUE"""),"")</f>
        <v/>
      </c>
    </row>
    <row r="14">
      <c r="A14" s="13" t="str">
        <f>IFERROR(__xludf.DUMMYFUNCTION("""COMPUTED_VALUE"""),"Bubsy: The Woolies Strike Back")</f>
        <v>Bubsy: The Woolies Strike Back</v>
      </c>
      <c r="B14" s="15" t="str">
        <f>IFERROR(__xludf.DUMMYFUNCTION("""COMPUTED_VALUE"""),"PS5/PS4")</f>
        <v>PS5/PS4</v>
      </c>
      <c r="C14" s="16" t="str">
        <f>IFERROR(__xludf.DUMMYFUNCTION("""COMPUTED_VALUE"""),"Premium (Streaming Only)")</f>
        <v>Premium (Streaming Only)</v>
      </c>
      <c r="D14" s="15" t="str">
        <f>IFERROR(__xludf.DUMMYFUNCTION("""COMPUTED_VALUE"""),"Removed")</f>
        <v>Removed</v>
      </c>
      <c r="E14" s="17">
        <f>IFERROR(__xludf.DUMMYFUNCTION("""COMPUTED_VALUE"""),44725.0)</f>
        <v>44725</v>
      </c>
      <c r="F14" s="54">
        <f>IFERROR(__xludf.DUMMYFUNCTION("""COMPUTED_VALUE"""),46279.0)</f>
        <v>46279</v>
      </c>
      <c r="G14" s="19">
        <f>IFERROR(__xludf.DUMMYFUNCTION("""COMPUTED_VALUE"""),51.03333333333334)</f>
        <v>51.03333333</v>
      </c>
      <c r="H14" s="17">
        <f>IFERROR(__xludf.DUMMYFUNCTION("""COMPUTED_VALUE"""),43009.0)</f>
        <v>43009</v>
      </c>
      <c r="I14" s="19">
        <f>IFERROR(__xludf.DUMMYFUNCTION("""COMPUTED_VALUE"""),4.7)</f>
        <v>4.7</v>
      </c>
      <c r="J14" s="21">
        <f>IFERROR(__xludf.DUMMYFUNCTION("""COMPUTED_VALUE"""),45.0)</f>
        <v>45</v>
      </c>
      <c r="K14" s="23">
        <f>IFERROR(__xludf.DUMMYFUNCTION("""COMPUTED_VALUE"""),5.2)</f>
        <v>5.2</v>
      </c>
      <c r="L14" s="24">
        <f>IFERROR(__xludf.DUMMYFUNCTION("""COMPUTED_VALUE"""),3.0)</f>
        <v>3</v>
      </c>
      <c r="M14" s="25" t="str">
        <f>IFERROR(__xludf.DUMMYFUNCTION("""COMPUTED_VALUE"""),"Platformer")</f>
        <v>Platformer</v>
      </c>
      <c r="N14" s="25" t="str">
        <f>IFERROR(__xludf.DUMMYFUNCTION("""COMPUTED_VALUE"""),"PS3")</f>
        <v>PS3</v>
      </c>
      <c r="O14" s="26" t="str">
        <f>IFERROR(__xludf.DUMMYFUNCTION("""COMPUTED_VALUE"""),"Yes")</f>
        <v>Yes</v>
      </c>
      <c r="P14" s="26" t="str">
        <f>IFERROR(__xludf.DUMMYFUNCTION("""COMPUTED_VALUE"""),"")</f>
        <v/>
      </c>
    </row>
    <row r="15">
      <c r="A15" s="13" t="str">
        <f>IFERROR(__xludf.DUMMYFUNCTION("""COMPUTED_VALUE"""),"Romance of the Three Kingdoms XIII")</f>
        <v>Romance of the Three Kingdoms XIII</v>
      </c>
      <c r="B15" s="15" t="str">
        <f>IFERROR(__xludf.DUMMYFUNCTION("""COMPUTED_VALUE"""),"PS4")</f>
        <v>PS4</v>
      </c>
      <c r="C15" s="16" t="str">
        <f>IFERROR(__xludf.DUMMYFUNCTION("""COMPUTED_VALUE"""),"Extra")</f>
        <v>Extra</v>
      </c>
      <c r="D15" s="15" t="str">
        <f>IFERROR(__xludf.DUMMYFUNCTION("""COMPUTED_VALUE"""),"Removed")</f>
        <v>Removed</v>
      </c>
      <c r="E15" s="17">
        <f>IFERROR(__xludf.DUMMYFUNCTION("""COMPUTED_VALUE"""),43893.0)</f>
        <v>43893</v>
      </c>
      <c r="F15" s="54">
        <f>IFERROR(__xludf.DUMMYFUNCTION("""COMPUTED_VALUE"""),46279.0)</f>
        <v>46279</v>
      </c>
      <c r="G15" s="19">
        <f>IFERROR(__xludf.DUMMYFUNCTION("""COMPUTED_VALUE"""),78.36666666666667)</f>
        <v>78.36666667</v>
      </c>
      <c r="H15" s="17">
        <f>IFERROR(__xludf.DUMMYFUNCTION("""COMPUTED_VALUE"""),42396.0)</f>
        <v>42396</v>
      </c>
      <c r="I15" s="19">
        <f>IFERROR(__xludf.DUMMYFUNCTION("""COMPUTED_VALUE"""),4.1)</f>
        <v>4.1</v>
      </c>
      <c r="J15" s="21">
        <f>IFERROR(__xludf.DUMMYFUNCTION("""COMPUTED_VALUE"""),70.0)</f>
        <v>70</v>
      </c>
      <c r="K15" s="23">
        <f>IFERROR(__xludf.DUMMYFUNCTION("""COMPUTED_VALUE"""),6.8)</f>
        <v>6.8</v>
      </c>
      <c r="L15" s="24"/>
      <c r="M15" s="25" t="str">
        <f>IFERROR(__xludf.DUMMYFUNCTION("""COMPUTED_VALUE"""),"Strategy")</f>
        <v>Strategy</v>
      </c>
      <c r="N15" s="25"/>
      <c r="O15" s="26" t="str">
        <f>IFERROR(__xludf.DUMMYFUNCTION("""COMPUTED_VALUE"""),"Yes")</f>
        <v>Yes</v>
      </c>
      <c r="P15" s="26"/>
    </row>
    <row r="16">
      <c r="A16" s="13" t="str">
        <f>IFERROR(__xludf.DUMMYFUNCTION("""COMPUTED_VALUE"""),"Toukiden 2")</f>
        <v>Toukiden 2</v>
      </c>
      <c r="B16" s="15" t="str">
        <f>IFERROR(__xludf.DUMMYFUNCTION("""COMPUTED_VALUE"""),"PS4")</f>
        <v>PS4</v>
      </c>
      <c r="C16" s="16" t="str">
        <f>IFERROR(__xludf.DUMMYFUNCTION("""COMPUTED_VALUE"""),"Extra")</f>
        <v>Extra</v>
      </c>
      <c r="D16" s="15" t="str">
        <f>IFERROR(__xludf.DUMMYFUNCTION("""COMPUTED_VALUE"""),"Removed")</f>
        <v>Removed</v>
      </c>
      <c r="E16" s="17">
        <f>IFERROR(__xludf.DUMMYFUNCTION("""COMPUTED_VALUE"""),43893.0)</f>
        <v>43893</v>
      </c>
      <c r="F16" s="54">
        <f>IFERROR(__xludf.DUMMYFUNCTION("""COMPUTED_VALUE"""),46279.0)</f>
        <v>46279</v>
      </c>
      <c r="G16" s="19">
        <f>IFERROR(__xludf.DUMMYFUNCTION("""COMPUTED_VALUE"""),78.36666666666667)</f>
        <v>78.36666667</v>
      </c>
      <c r="H16" s="17">
        <f>IFERROR(__xludf.DUMMYFUNCTION("""COMPUTED_VALUE"""),42552.0)</f>
        <v>42552</v>
      </c>
      <c r="I16" s="19">
        <f>IFERROR(__xludf.DUMMYFUNCTION("""COMPUTED_VALUE"""),3.672222222222222)</f>
        <v>3.672222222</v>
      </c>
      <c r="J16" s="21">
        <f>IFERROR(__xludf.DUMMYFUNCTION("""COMPUTED_VALUE"""),76.0)</f>
        <v>76</v>
      </c>
      <c r="K16" s="23">
        <f>IFERROR(__xludf.DUMMYFUNCTION("""COMPUTED_VALUE"""),7.7)</f>
        <v>7.7</v>
      </c>
      <c r="L16" s="24">
        <f>IFERROR(__xludf.DUMMYFUNCTION("""COMPUTED_VALUE"""),37.0)</f>
        <v>37</v>
      </c>
      <c r="M16" s="25" t="str">
        <f>IFERROR(__xludf.DUMMYFUNCTION("""COMPUTED_VALUE"""),"Action-Adventure")</f>
        <v>Action-Adventure</v>
      </c>
      <c r="N16" s="25"/>
      <c r="O16" s="26" t="str">
        <f>IFERROR(__xludf.DUMMYFUNCTION("""COMPUTED_VALUE"""),"Yes")</f>
        <v>Yes</v>
      </c>
      <c r="P16" s="26"/>
    </row>
    <row r="17">
      <c r="A17" s="13" t="str">
        <f>IFERROR(__xludf.DUMMYFUNCTION("""COMPUTED_VALUE"""),"Dying Light 2: Reloaded Edition")</f>
        <v>Dying Light 2: Reloaded Edition</v>
      </c>
      <c r="B17" s="15" t="str">
        <f>IFERROR(__xludf.DUMMYFUNCTION("""COMPUTED_VALUE"""),"PS5/PS4")</f>
        <v>PS5/PS4</v>
      </c>
      <c r="C17" s="16" t="str">
        <f>IFERROR(__xludf.DUMMYFUNCTION("""COMPUTED_VALUE"""),"Essential")</f>
        <v>Essential</v>
      </c>
      <c r="D17" s="15" t="str">
        <f>IFERROR(__xludf.DUMMYFUNCTION("""COMPUTED_VALUE"""),"Removed")</f>
        <v>Removed</v>
      </c>
      <c r="E17" s="17">
        <f>IFERROR(__xludf.DUMMYFUNCTION("""COMPUTED_VALUE"""),46238.0)</f>
        <v>46238</v>
      </c>
      <c r="F17" s="54">
        <f>IFERROR(__xludf.DUMMYFUNCTION("""COMPUTED_VALUE"""),46265.0)</f>
        <v>46265</v>
      </c>
      <c r="G17" s="19">
        <f>IFERROR(__xludf.DUMMYFUNCTION("""COMPUTED_VALUE"""),0.8666666666666666)</f>
        <v>0.8666666667</v>
      </c>
      <c r="H17" s="17">
        <f>IFERROR(__xludf.DUMMYFUNCTION("""COMPUTED_VALUE"""),44596.0)</f>
        <v>44596</v>
      </c>
      <c r="I17" s="19">
        <f>IFERROR(__xludf.DUMMYFUNCTION("""COMPUTED_VALUE"""),4.5)</f>
        <v>4.5</v>
      </c>
      <c r="J17" s="21">
        <f>IFERROR(__xludf.DUMMYFUNCTION("""COMPUTED_VALUE"""),76.0)</f>
        <v>76</v>
      </c>
      <c r="K17" s="23">
        <f>IFERROR(__xludf.DUMMYFUNCTION("""COMPUTED_VALUE"""),7.2)</f>
        <v>7.2</v>
      </c>
      <c r="L17" s="24">
        <f>IFERROR(__xludf.DUMMYFUNCTION("""COMPUTED_VALUE"""),25.0)</f>
        <v>25</v>
      </c>
      <c r="M17" s="25" t="str">
        <f>IFERROR(__xludf.DUMMYFUNCTION("""COMPUTED_VALUE"""),"Survival")</f>
        <v>Survival</v>
      </c>
      <c r="N17" s="25"/>
      <c r="O17" s="26" t="str">
        <f>IFERROR(__xludf.DUMMYFUNCTION("""COMPUTED_VALUE"""),"No")</f>
        <v>No</v>
      </c>
      <c r="P17" s="26"/>
    </row>
    <row r="18">
      <c r="A18" s="13" t="str">
        <f>IFERROR(__xludf.DUMMYFUNCTION("""COMPUTED_VALUE"""),"Big Walk")</f>
        <v>Big Walk</v>
      </c>
      <c r="B18" s="15" t="str">
        <f>IFERROR(__xludf.DUMMYFUNCTION("""COMPUTED_VALUE"""),"PS5")</f>
        <v>PS5</v>
      </c>
      <c r="C18" s="16" t="str">
        <f>IFERROR(__xludf.DUMMYFUNCTION("""COMPUTED_VALUE"""),"Essential")</f>
        <v>Essential</v>
      </c>
      <c r="D18" s="15" t="str">
        <f>IFERROR(__xludf.DUMMYFUNCTION("""COMPUTED_VALUE"""),"Removed")</f>
        <v>Removed</v>
      </c>
      <c r="E18" s="17">
        <f>IFERROR(__xludf.DUMMYFUNCTION("""COMPUTED_VALUE"""),46238.0)</f>
        <v>46238</v>
      </c>
      <c r="F18" s="54">
        <f>IFERROR(__xludf.DUMMYFUNCTION("""COMPUTED_VALUE"""),46265.0)</f>
        <v>46265</v>
      </c>
      <c r="G18" s="19">
        <f>IFERROR(__xludf.DUMMYFUNCTION("""COMPUTED_VALUE"""),0.8666666666666666)</f>
        <v>0.8666666667</v>
      </c>
      <c r="H18" s="17">
        <f>IFERROR(__xludf.DUMMYFUNCTION("""COMPUTED_VALUE"""),46238.0)</f>
        <v>46238</v>
      </c>
      <c r="I18" s="19">
        <f>IFERROR(__xludf.DUMMYFUNCTION("""COMPUTED_VALUE"""),0.0)</f>
        <v>0</v>
      </c>
      <c r="J18" s="21">
        <f>IFERROR(__xludf.DUMMYFUNCTION("""COMPUTED_VALUE"""),91.0)</f>
        <v>91</v>
      </c>
      <c r="K18" s="23">
        <f>IFERROR(__xludf.DUMMYFUNCTION("""COMPUTED_VALUE"""),8.2)</f>
        <v>8.2</v>
      </c>
      <c r="L18" s="24">
        <f>IFERROR(__xludf.DUMMYFUNCTION("""COMPUTED_VALUE"""),11.0)</f>
        <v>11</v>
      </c>
      <c r="M18" s="25" t="str">
        <f>IFERROR(__xludf.DUMMYFUNCTION("""COMPUTED_VALUE"""),"Action-Adventure")</f>
        <v>Action-Adventure</v>
      </c>
      <c r="N18" s="25"/>
      <c r="O18" s="26"/>
      <c r="P18" s="26"/>
    </row>
    <row r="19">
      <c r="A19" s="13" t="str">
        <f>IFERROR(__xludf.DUMMYFUNCTION("""COMPUTED_VALUE"""),"Signalis")</f>
        <v>Signalis</v>
      </c>
      <c r="B19" s="15" t="str">
        <f>IFERROR(__xludf.DUMMYFUNCTION("""COMPUTED_VALUE"""),"PS4")</f>
        <v>PS4</v>
      </c>
      <c r="C19" s="16" t="str">
        <f>IFERROR(__xludf.DUMMYFUNCTION("""COMPUTED_VALUE"""),"Essential")</f>
        <v>Essential</v>
      </c>
      <c r="D19" s="15" t="str">
        <f>IFERROR(__xludf.DUMMYFUNCTION("""COMPUTED_VALUE"""),"Removed")</f>
        <v>Removed</v>
      </c>
      <c r="E19" s="17">
        <f>IFERROR(__xludf.DUMMYFUNCTION("""COMPUTED_VALUE"""),46238.0)</f>
        <v>46238</v>
      </c>
      <c r="F19" s="54">
        <f>IFERROR(__xludf.DUMMYFUNCTION("""COMPUTED_VALUE"""),46265.0)</f>
        <v>46265</v>
      </c>
      <c r="G19" s="19">
        <f>IFERROR(__xludf.DUMMYFUNCTION("""COMPUTED_VALUE"""),0.8666666666666666)</f>
        <v>0.8666666667</v>
      </c>
      <c r="H19" s="17">
        <f>IFERROR(__xludf.DUMMYFUNCTION("""COMPUTED_VALUE"""),44861.0)</f>
        <v>44861</v>
      </c>
      <c r="I19" s="19">
        <f>IFERROR(__xludf.DUMMYFUNCTION("""COMPUTED_VALUE"""),3.7694444444444444)</f>
        <v>3.769444444</v>
      </c>
      <c r="J19" s="21">
        <f>IFERROR(__xludf.DUMMYFUNCTION("""COMPUTED_VALUE"""),81.0)</f>
        <v>81</v>
      </c>
      <c r="K19" s="23">
        <f>IFERROR(__xludf.DUMMYFUNCTION("""COMPUTED_VALUE"""),8.4)</f>
        <v>8.4</v>
      </c>
      <c r="L19" s="24">
        <f>IFERROR(__xludf.DUMMYFUNCTION("""COMPUTED_VALUE"""),9.0)</f>
        <v>9</v>
      </c>
      <c r="M19" s="25" t="str">
        <f>IFERROR(__xludf.DUMMYFUNCTION("""COMPUTED_VALUE"""),"Survival")</f>
        <v>Survival</v>
      </c>
      <c r="N19" s="25"/>
      <c r="O19" s="26"/>
      <c r="P19" s="26"/>
    </row>
    <row r="20">
      <c r="A20" s="13" t="str">
        <f>IFERROR(__xludf.DUMMYFUNCTION("""COMPUTED_VALUE"""),"Earth Defense Force 6")</f>
        <v>Earth Defense Force 6</v>
      </c>
      <c r="B20" s="15" t="str">
        <f>IFERROR(__xludf.DUMMYFUNCTION("""COMPUTED_VALUE"""),"PS5/PS4")</f>
        <v>PS5/PS4</v>
      </c>
      <c r="C20" s="16" t="str">
        <f>IFERROR(__xludf.DUMMYFUNCTION("""COMPUTED_VALUE"""),"Extra")</f>
        <v>Extra</v>
      </c>
      <c r="D20" s="15" t="str">
        <f>IFERROR(__xludf.DUMMYFUNCTION("""COMPUTED_VALUE"""),"Removed")</f>
        <v>Removed</v>
      </c>
      <c r="E20" s="17">
        <f>IFERROR(__xludf.DUMMYFUNCTION("""COMPUTED_VALUE"""),45888.0)</f>
        <v>45888</v>
      </c>
      <c r="F20" s="54">
        <f>IFERROR(__xludf.DUMMYFUNCTION("""COMPUTED_VALUE"""),46251.0)</f>
        <v>46251</v>
      </c>
      <c r="G20" s="19">
        <f>IFERROR(__xludf.DUMMYFUNCTION("""COMPUTED_VALUE"""),11.933333333333334)</f>
        <v>11.93333333</v>
      </c>
      <c r="H20" s="17">
        <f>IFERROR(__xludf.DUMMYFUNCTION("""COMPUTED_VALUE"""),45498.0)</f>
        <v>45498</v>
      </c>
      <c r="I20" s="19">
        <f>IFERROR(__xludf.DUMMYFUNCTION("""COMPUTED_VALUE"""),1.0666666666666667)</f>
        <v>1.066666667</v>
      </c>
      <c r="J20" s="21">
        <f>IFERROR(__xludf.DUMMYFUNCTION("""COMPUTED_VALUE"""),73.0)</f>
        <v>73</v>
      </c>
      <c r="K20" s="23">
        <f>IFERROR(__xludf.DUMMYFUNCTION("""COMPUTED_VALUE"""),5.8)</f>
        <v>5.8</v>
      </c>
      <c r="L20" s="24">
        <f>IFERROR(__xludf.DUMMYFUNCTION("""COMPUTED_VALUE"""),44.0)</f>
        <v>44</v>
      </c>
      <c r="M20" s="25" t="str">
        <f>IFERROR(__xludf.DUMMYFUNCTION("""COMPUTED_VALUE"""),"Shooter")</f>
        <v>Shooter</v>
      </c>
      <c r="N20" s="25"/>
      <c r="O20" s="26"/>
      <c r="P20" s="26"/>
    </row>
    <row r="21">
      <c r="A21" s="13" t="str">
        <f>IFERROR(__xludf.DUMMYFUNCTION("""COMPUTED_VALUE"""),"Harold Halibut")</f>
        <v>Harold Halibut</v>
      </c>
      <c r="B21" s="15" t="str">
        <f>IFERROR(__xludf.DUMMYFUNCTION("""COMPUTED_VALUE"""),"PS5")</f>
        <v>PS5</v>
      </c>
      <c r="C21" s="16" t="str">
        <f>IFERROR(__xludf.DUMMYFUNCTION("""COMPUTED_VALUE"""),"Extra")</f>
        <v>Extra</v>
      </c>
      <c r="D21" s="15" t="str">
        <f>IFERROR(__xludf.DUMMYFUNCTION("""COMPUTED_VALUE"""),"Removed")</f>
        <v>Removed</v>
      </c>
      <c r="E21" s="17">
        <f>IFERROR(__xludf.DUMMYFUNCTION("""COMPUTED_VALUE"""),45888.0)</f>
        <v>45888</v>
      </c>
      <c r="F21" s="18">
        <f>IFERROR(__xludf.DUMMYFUNCTION("""COMPUTED_VALUE"""),46251.0)</f>
        <v>46251</v>
      </c>
      <c r="G21" s="19">
        <f>IFERROR(__xludf.DUMMYFUNCTION("""COMPUTED_VALUE"""),11.933333333333334)</f>
        <v>11.93333333</v>
      </c>
      <c r="H21" s="17">
        <f>IFERROR(__xludf.DUMMYFUNCTION("""COMPUTED_VALUE"""),45398.0)</f>
        <v>45398</v>
      </c>
      <c r="I21" s="19">
        <f>IFERROR(__xludf.DUMMYFUNCTION("""COMPUTED_VALUE"""),1.3416666666666666)</f>
        <v>1.341666667</v>
      </c>
      <c r="J21" s="21">
        <f>IFERROR(__xludf.DUMMYFUNCTION("""COMPUTED_VALUE"""),69.0)</f>
        <v>69</v>
      </c>
      <c r="K21" s="23">
        <f>IFERROR(__xludf.DUMMYFUNCTION("""COMPUTED_VALUE"""),6.7)</f>
        <v>6.7</v>
      </c>
      <c r="L21" s="24">
        <f>IFERROR(__xludf.DUMMYFUNCTION("""COMPUTED_VALUE"""),11.0)</f>
        <v>11</v>
      </c>
      <c r="M21" s="25" t="str">
        <f>IFERROR(__xludf.DUMMYFUNCTION("""COMPUTED_VALUE"""),"Action-Adventure")</f>
        <v>Action-Adventure</v>
      </c>
      <c r="N21" s="25"/>
      <c r="O21" s="26" t="str">
        <f>IFERROR(__xludf.DUMMYFUNCTION("""COMPUTED_VALUE"""),"No")</f>
        <v>No</v>
      </c>
      <c r="P21" s="26"/>
    </row>
    <row r="22">
      <c r="A22" s="13" t="str">
        <f>IFERROR(__xludf.DUMMYFUNCTION("""COMPUTED_VALUE"""),"Unicorn Overlord")</f>
        <v>Unicorn Overlord</v>
      </c>
      <c r="B22" s="15" t="str">
        <f>IFERROR(__xludf.DUMMYFUNCTION("""COMPUTED_VALUE"""),"PS5/PS4")</f>
        <v>PS5/PS4</v>
      </c>
      <c r="C22" s="16" t="str">
        <f>IFERROR(__xludf.DUMMYFUNCTION("""COMPUTED_VALUE"""),"Extra")</f>
        <v>Extra</v>
      </c>
      <c r="D22" s="15" t="str">
        <f>IFERROR(__xludf.DUMMYFUNCTION("""COMPUTED_VALUE"""),"Removed")</f>
        <v>Removed</v>
      </c>
      <c r="E22" s="17">
        <f>IFERROR(__xludf.DUMMYFUNCTION("""COMPUTED_VALUE"""),45888.0)</f>
        <v>45888</v>
      </c>
      <c r="F22" s="54">
        <f>IFERROR(__xludf.DUMMYFUNCTION("""COMPUTED_VALUE"""),46251.0)</f>
        <v>46251</v>
      </c>
      <c r="G22" s="19">
        <f>IFERROR(__xludf.DUMMYFUNCTION("""COMPUTED_VALUE"""),11.933333333333334)</f>
        <v>11.93333333</v>
      </c>
      <c r="H22" s="17">
        <f>IFERROR(__xludf.DUMMYFUNCTION("""COMPUTED_VALUE"""),45359.0)</f>
        <v>45359</v>
      </c>
      <c r="I22" s="19">
        <f>IFERROR(__xludf.DUMMYFUNCTION("""COMPUTED_VALUE"""),1.4472222222222222)</f>
        <v>1.447222222</v>
      </c>
      <c r="J22" s="21">
        <f>IFERROR(__xludf.DUMMYFUNCTION("""COMPUTED_VALUE"""),86.0)</f>
        <v>86</v>
      </c>
      <c r="K22" s="23">
        <f>IFERROR(__xludf.DUMMYFUNCTION("""COMPUTED_VALUE"""),8.4)</f>
        <v>8.4</v>
      </c>
      <c r="L22" s="24">
        <f>IFERROR(__xludf.DUMMYFUNCTION("""COMPUTED_VALUE"""),47.0)</f>
        <v>47</v>
      </c>
      <c r="M22" s="25" t="str">
        <f>IFERROR(__xludf.DUMMYFUNCTION("""COMPUTED_VALUE"""),"Strategy")</f>
        <v>Strategy</v>
      </c>
      <c r="N22" s="25"/>
      <c r="O22" s="26"/>
      <c r="P22" s="26"/>
    </row>
    <row r="23">
      <c r="A23" s="13" t="str">
        <f>IFERROR(__xludf.DUMMYFUNCTION("""COMPUTED_VALUE"""),"Clash: Artifacts of Chaos")</f>
        <v>Clash: Artifacts of Chaos</v>
      </c>
      <c r="B23" s="15" t="str">
        <f>IFERROR(__xludf.DUMMYFUNCTION("""COMPUTED_VALUE"""),"PS5/PS4")</f>
        <v>PS5/PS4</v>
      </c>
      <c r="C23" s="16" t="str">
        <f>IFERROR(__xludf.DUMMYFUNCTION("""COMPUTED_VALUE"""),"Extra")</f>
        <v>Extra</v>
      </c>
      <c r="D23" s="15" t="str">
        <f>IFERROR(__xludf.DUMMYFUNCTION("""COMPUTED_VALUE"""),"Removed")</f>
        <v>Removed</v>
      </c>
      <c r="E23" s="17">
        <f>IFERROR(__xludf.DUMMYFUNCTION("""COMPUTED_VALUE"""),45615.0)</f>
        <v>45615</v>
      </c>
      <c r="F23" s="18">
        <f>IFERROR(__xludf.DUMMYFUNCTION("""COMPUTED_VALUE"""),46251.0)</f>
        <v>46251</v>
      </c>
      <c r="G23" s="19">
        <f>IFERROR(__xludf.DUMMYFUNCTION("""COMPUTED_VALUE"""),20.933333333333334)</f>
        <v>20.93333333</v>
      </c>
      <c r="H23" s="17">
        <f>IFERROR(__xludf.DUMMYFUNCTION("""COMPUTED_VALUE"""),44994.0)</f>
        <v>44994</v>
      </c>
      <c r="I23" s="19">
        <f>IFERROR(__xludf.DUMMYFUNCTION("""COMPUTED_VALUE"""),1.6944444444444444)</f>
        <v>1.694444444</v>
      </c>
      <c r="J23" s="21">
        <f>IFERROR(__xludf.DUMMYFUNCTION("""COMPUTED_VALUE"""),69.0)</f>
        <v>69</v>
      </c>
      <c r="K23" s="23">
        <f>IFERROR(__xludf.DUMMYFUNCTION("""COMPUTED_VALUE"""),7.1)</f>
        <v>7.1</v>
      </c>
      <c r="L23" s="24">
        <f>IFERROR(__xludf.DUMMYFUNCTION("""COMPUTED_VALUE"""),12.0)</f>
        <v>12</v>
      </c>
      <c r="M23" s="25" t="str">
        <f>IFERROR(__xludf.DUMMYFUNCTION("""COMPUTED_VALUE"""),"Action-Adventure")</f>
        <v>Action-Adventure</v>
      </c>
      <c r="N23" s="25"/>
      <c r="O23" s="26" t="str">
        <f>IFERROR(__xludf.DUMMYFUNCTION("""COMPUTED_VALUE"""),"Yes")</f>
        <v>Yes</v>
      </c>
      <c r="P23" s="26"/>
    </row>
    <row r="24">
      <c r="A24" s="13" t="str">
        <f>IFERROR(__xludf.DUMMYFUNCTION("""COMPUTED_VALUE"""),"Dead Island 2")</f>
        <v>Dead Island 2</v>
      </c>
      <c r="B24" s="15" t="str">
        <f>IFERROR(__xludf.DUMMYFUNCTION("""COMPUTED_VALUE"""),"PS5/PS4")</f>
        <v>PS5/PS4</v>
      </c>
      <c r="C24" s="16" t="str">
        <f>IFERROR(__xludf.DUMMYFUNCTION("""COMPUTED_VALUE"""),"Extra")</f>
        <v>Extra</v>
      </c>
      <c r="D24" s="15" t="str">
        <f>IFERROR(__xludf.DUMMYFUNCTION("""COMPUTED_VALUE"""),"Removed")</f>
        <v>Removed</v>
      </c>
      <c r="E24" s="17">
        <f>IFERROR(__xludf.DUMMYFUNCTION("""COMPUTED_VALUE"""),45580.0)</f>
        <v>45580</v>
      </c>
      <c r="F24" s="18">
        <f>IFERROR(__xludf.DUMMYFUNCTION("""COMPUTED_VALUE"""),46251.0)</f>
        <v>46251</v>
      </c>
      <c r="G24" s="19">
        <f>IFERROR(__xludf.DUMMYFUNCTION("""COMPUTED_VALUE"""),22.066666666666666)</f>
        <v>22.06666667</v>
      </c>
      <c r="H24" s="17">
        <f>IFERROR(__xludf.DUMMYFUNCTION("""COMPUTED_VALUE"""),45037.0)</f>
        <v>45037</v>
      </c>
      <c r="I24" s="19">
        <f>IFERROR(__xludf.DUMMYFUNCTION("""COMPUTED_VALUE"""),1.4833333333333334)</f>
        <v>1.483333333</v>
      </c>
      <c r="J24" s="21">
        <f>IFERROR(__xludf.DUMMYFUNCTION("""COMPUTED_VALUE"""),73.0)</f>
        <v>73</v>
      </c>
      <c r="K24" s="23">
        <f>IFERROR(__xludf.DUMMYFUNCTION("""COMPUTED_VALUE"""),7.4)</f>
        <v>7.4</v>
      </c>
      <c r="L24" s="24">
        <f>IFERROR(__xludf.DUMMYFUNCTION("""COMPUTED_VALUE"""),16.0)</f>
        <v>16</v>
      </c>
      <c r="M24" s="25" t="str">
        <f>IFERROR(__xludf.DUMMYFUNCTION("""COMPUTED_VALUE"""),"Shooter")</f>
        <v>Shooter</v>
      </c>
      <c r="N24" s="25"/>
      <c r="O24" s="26" t="str">
        <f>IFERROR(__xludf.DUMMYFUNCTION("""COMPUTED_VALUE"""),"Yes")</f>
        <v>Yes</v>
      </c>
      <c r="P24" s="26"/>
    </row>
    <row r="25">
      <c r="A25" s="13" t="str">
        <f>IFERROR(__xludf.DUMMYFUNCTION("""COMPUTED_VALUE"""),"Röki")</f>
        <v>Röki</v>
      </c>
      <c r="B25" s="15" t="str">
        <f>IFERROR(__xludf.DUMMYFUNCTION("""COMPUTED_VALUE"""),"PS5/PS4")</f>
        <v>PS5/PS4</v>
      </c>
      <c r="C25" s="16" t="str">
        <f>IFERROR(__xludf.DUMMYFUNCTION("""COMPUTED_VALUE"""),"Extra")</f>
        <v>Extra</v>
      </c>
      <c r="D25" s="15" t="str">
        <f>IFERROR(__xludf.DUMMYFUNCTION("""COMPUTED_VALUE"""),"Removed")</f>
        <v>Removed</v>
      </c>
      <c r="E25" s="17">
        <f>IFERROR(__xludf.DUMMYFUNCTION("""COMPUTED_VALUE"""),45216.0)</f>
        <v>45216</v>
      </c>
      <c r="F25" s="54">
        <f>IFERROR(__xludf.DUMMYFUNCTION("""COMPUTED_VALUE"""),46251.0)</f>
        <v>46251</v>
      </c>
      <c r="G25" s="19">
        <f>IFERROR(__xludf.DUMMYFUNCTION("""COMPUTED_VALUE"""),34.0)</f>
        <v>34</v>
      </c>
      <c r="H25" s="17">
        <f>IFERROR(__xludf.DUMMYFUNCTION("""COMPUTED_VALUE"""),44035.0)</f>
        <v>44035</v>
      </c>
      <c r="I25" s="19">
        <f>IFERROR(__xludf.DUMMYFUNCTION("""COMPUTED_VALUE"""),3.2333333333333334)</f>
        <v>3.233333333</v>
      </c>
      <c r="J25" s="21">
        <f>IFERROR(__xludf.DUMMYFUNCTION("""COMPUTED_VALUE"""),82.0)</f>
        <v>82</v>
      </c>
      <c r="K25" s="23">
        <f>IFERROR(__xludf.DUMMYFUNCTION("""COMPUTED_VALUE"""),8.0)</f>
        <v>8</v>
      </c>
      <c r="L25" s="24">
        <f>IFERROR(__xludf.DUMMYFUNCTION("""COMPUTED_VALUE"""),10.0)</f>
        <v>10</v>
      </c>
      <c r="M25" s="25" t="str">
        <f>IFERROR(__xludf.DUMMYFUNCTION("""COMPUTED_VALUE"""),"Action-Adventure")</f>
        <v>Action-Adventure</v>
      </c>
      <c r="N25" s="25"/>
      <c r="O25" s="26" t="str">
        <f>IFERROR(__xludf.DUMMYFUNCTION("""COMPUTED_VALUE"""),"Yes")</f>
        <v>Yes</v>
      </c>
      <c r="P25" s="26"/>
    </row>
    <row r="26">
      <c r="A26" s="13" t="str">
        <f>IFERROR(__xludf.DUMMYFUNCTION("""COMPUTED_VALUE"""),"Onee Chanbara Origin")</f>
        <v>Onee Chanbara Origin</v>
      </c>
      <c r="B26" s="15" t="str">
        <f>IFERROR(__xludf.DUMMYFUNCTION("""COMPUTED_VALUE"""),"PS4")</f>
        <v>PS4</v>
      </c>
      <c r="C26" s="16" t="str">
        <f>IFERROR(__xludf.DUMMYFUNCTION("""COMPUTED_VALUE"""),"Extra")</f>
        <v>Extra</v>
      </c>
      <c r="D26" s="15" t="str">
        <f>IFERROR(__xludf.DUMMYFUNCTION("""COMPUTED_VALUE"""),"Removed")</f>
        <v>Removed</v>
      </c>
      <c r="E26" s="17">
        <f>IFERROR(__xludf.DUMMYFUNCTION("""COMPUTED_VALUE"""),44880.0)</f>
        <v>44880</v>
      </c>
      <c r="F26" s="54">
        <f>IFERROR(__xludf.DUMMYFUNCTION("""COMPUTED_VALUE"""),46251.0)</f>
        <v>46251</v>
      </c>
      <c r="G26" s="19">
        <f>IFERROR(__xludf.DUMMYFUNCTION("""COMPUTED_VALUE"""),45.06666666666666)</f>
        <v>45.06666667</v>
      </c>
      <c r="H26" s="17">
        <f>IFERROR(__xludf.DUMMYFUNCTION("""COMPUTED_VALUE"""),43804.0)</f>
        <v>43804</v>
      </c>
      <c r="I26" s="19">
        <f>IFERROR(__xludf.DUMMYFUNCTION("""COMPUTED_VALUE"""),2.9444444444444446)</f>
        <v>2.944444444</v>
      </c>
      <c r="J26" s="21">
        <f>IFERROR(__xludf.DUMMYFUNCTION("""COMPUTED_VALUE"""),69.0)</f>
        <v>69</v>
      </c>
      <c r="K26" s="23">
        <f>IFERROR(__xludf.DUMMYFUNCTION("""COMPUTED_VALUE"""),7.8)</f>
        <v>7.8</v>
      </c>
      <c r="L26" s="24">
        <f>IFERROR(__xludf.DUMMYFUNCTION("""COMPUTED_VALUE"""),5.0)</f>
        <v>5</v>
      </c>
      <c r="M26" s="25" t="str">
        <f>IFERROR(__xludf.DUMMYFUNCTION("""COMPUTED_VALUE"""),"Action-Adventure")</f>
        <v>Action-Adventure</v>
      </c>
      <c r="N26" s="25"/>
      <c r="O26" s="26" t="str">
        <f>IFERROR(__xludf.DUMMYFUNCTION("""COMPUTED_VALUE"""),"Yes")</f>
        <v>Yes</v>
      </c>
      <c r="P26" s="26"/>
    </row>
    <row r="27">
      <c r="A27" s="13" t="str">
        <f>IFERROR(__xludf.DUMMYFUNCTION("""COMPUTED_VALUE"""),"Space Crew: Legendary Edition")</f>
        <v>Space Crew: Legendary Edition</v>
      </c>
      <c r="B27" s="15" t="str">
        <f>IFERROR(__xludf.DUMMYFUNCTION("""COMPUTED_VALUE"""),"PS4")</f>
        <v>PS4</v>
      </c>
      <c r="C27" s="16" t="str">
        <f>IFERROR(__xludf.DUMMYFUNCTION("""COMPUTED_VALUE"""),"Extra")</f>
        <v>Extra</v>
      </c>
      <c r="D27" s="15" t="str">
        <f>IFERROR(__xludf.DUMMYFUNCTION("""COMPUTED_VALUE"""),"Removed")</f>
        <v>Removed</v>
      </c>
      <c r="E27" s="17">
        <f>IFERROR(__xludf.DUMMYFUNCTION("""COMPUTED_VALUE"""),44725.0)</f>
        <v>44725</v>
      </c>
      <c r="F27" s="54">
        <f>IFERROR(__xludf.DUMMYFUNCTION("""COMPUTED_VALUE"""),46251.0)</f>
        <v>46251</v>
      </c>
      <c r="G27" s="19">
        <f>IFERROR(__xludf.DUMMYFUNCTION("""COMPUTED_VALUE"""),50.13333333333334)</f>
        <v>50.13333333</v>
      </c>
      <c r="H27" s="17">
        <f>IFERROR(__xludf.DUMMYFUNCTION("""COMPUTED_VALUE"""),44119.0)</f>
        <v>44119</v>
      </c>
      <c r="I27" s="19">
        <f>IFERROR(__xludf.DUMMYFUNCTION("""COMPUTED_VALUE"""),1.6611111111111112)</f>
        <v>1.661111111</v>
      </c>
      <c r="J27" s="21">
        <f>IFERROR(__xludf.DUMMYFUNCTION("""COMPUTED_VALUE"""),68.0)</f>
        <v>68</v>
      </c>
      <c r="K27" s="23">
        <f>IFERROR(__xludf.DUMMYFUNCTION("""COMPUTED_VALUE"""),6.8)</f>
        <v>6.8</v>
      </c>
      <c r="L27" s="24">
        <f>IFERROR(__xludf.DUMMYFUNCTION("""COMPUTED_VALUE"""),12.0)</f>
        <v>12</v>
      </c>
      <c r="M27" s="25" t="str">
        <f>IFERROR(__xludf.DUMMYFUNCTION("""COMPUTED_VALUE"""),"Strategy")</f>
        <v>Strategy</v>
      </c>
      <c r="N27" s="25"/>
      <c r="O27" s="26" t="str">
        <f>IFERROR(__xludf.DUMMYFUNCTION("""COMPUTED_VALUE"""),"Yes")</f>
        <v>Yes</v>
      </c>
      <c r="P27" s="26"/>
    </row>
    <row r="28">
      <c r="A28" s="13" t="str">
        <f>IFERROR(__xludf.DUMMYFUNCTION("""COMPUTED_VALUE"""),"Bomber Crew")</f>
        <v>Bomber Crew</v>
      </c>
      <c r="B28" s="15" t="str">
        <f>IFERROR(__xludf.DUMMYFUNCTION("""COMPUTED_VALUE"""),"PS4")</f>
        <v>PS4</v>
      </c>
      <c r="C28" s="16" t="str">
        <f>IFERROR(__xludf.DUMMYFUNCTION("""COMPUTED_VALUE"""),"Extra")</f>
        <v>Extra</v>
      </c>
      <c r="D28" s="15" t="str">
        <f>IFERROR(__xludf.DUMMYFUNCTION("""COMPUTED_VALUE"""),"Removed")</f>
        <v>Removed</v>
      </c>
      <c r="E28" s="17">
        <f>IFERROR(__xludf.DUMMYFUNCTION("""COMPUTED_VALUE"""),43865.0)</f>
        <v>43865</v>
      </c>
      <c r="F28" s="54">
        <f>IFERROR(__xludf.DUMMYFUNCTION("""COMPUTED_VALUE"""),46251.0)</f>
        <v>46251</v>
      </c>
      <c r="G28" s="19">
        <f>IFERROR(__xludf.DUMMYFUNCTION("""COMPUTED_VALUE"""),78.43333333333334)</f>
        <v>78.43333333</v>
      </c>
      <c r="H28" s="17">
        <f>IFERROR(__xludf.DUMMYFUNCTION("""COMPUTED_VALUE"""),43027.0)</f>
        <v>43027</v>
      </c>
      <c r="I28" s="19">
        <f>IFERROR(__xludf.DUMMYFUNCTION("""COMPUTED_VALUE"""),2.2916666666666665)</f>
        <v>2.291666667</v>
      </c>
      <c r="J28" s="21">
        <f>IFERROR(__xludf.DUMMYFUNCTION("""COMPUTED_VALUE"""),78.0)</f>
        <v>78</v>
      </c>
      <c r="K28" s="23">
        <f>IFERROR(__xludf.DUMMYFUNCTION("""COMPUTED_VALUE"""),7.0)</f>
        <v>7</v>
      </c>
      <c r="L28" s="24">
        <f>IFERROR(__xludf.DUMMYFUNCTION("""COMPUTED_VALUE"""),15.0)</f>
        <v>15</v>
      </c>
      <c r="M28" s="25" t="str">
        <f>IFERROR(__xludf.DUMMYFUNCTION("""COMPUTED_VALUE"""),"Strategy")</f>
        <v>Strategy</v>
      </c>
      <c r="N28" s="25"/>
      <c r="O28" s="26" t="str">
        <f>IFERROR(__xludf.DUMMYFUNCTION("""COMPUTED_VALUE"""),"Yes")</f>
        <v>Yes</v>
      </c>
      <c r="P28" s="26"/>
    </row>
    <row r="29">
      <c r="A29" s="13" t="str">
        <f>IFERROR(__xludf.DUMMYFUNCTION("""COMPUTED_VALUE"""),"Call of Duty: Modern Warfare III")</f>
        <v>Call of Duty: Modern Warfare III</v>
      </c>
      <c r="B29" s="15" t="str">
        <f>IFERROR(__xludf.DUMMYFUNCTION("""COMPUTED_VALUE"""),"PS5/PS4")</f>
        <v>PS5/PS4</v>
      </c>
      <c r="C29" s="16" t="str">
        <f>IFERROR(__xludf.DUMMYFUNCTION("""COMPUTED_VALUE"""),"Essential")</f>
        <v>Essential</v>
      </c>
      <c r="D29" s="15" t="str">
        <f>IFERROR(__xludf.DUMMYFUNCTION("""COMPUTED_VALUE"""),"Removed")</f>
        <v>Removed</v>
      </c>
      <c r="E29" s="17">
        <f>IFERROR(__xludf.DUMMYFUNCTION("""COMPUTED_VALUE"""),46210.0)</f>
        <v>46210</v>
      </c>
      <c r="F29" s="54">
        <f>IFERROR(__xludf.DUMMYFUNCTION("""COMPUTED_VALUE"""),46237.0)</f>
        <v>46237</v>
      </c>
      <c r="G29" s="19">
        <f>IFERROR(__xludf.DUMMYFUNCTION("""COMPUTED_VALUE"""),0.8666666666666666)</f>
        <v>0.8666666667</v>
      </c>
      <c r="H29" s="17">
        <f>IFERROR(__xludf.DUMMYFUNCTION("""COMPUTED_VALUE"""),45240.0)</f>
        <v>45240</v>
      </c>
      <c r="I29" s="19">
        <f>IFERROR(__xludf.DUMMYFUNCTION("""COMPUTED_VALUE"""),2.658333333333333)</f>
        <v>2.658333333</v>
      </c>
      <c r="J29" s="21">
        <f>IFERROR(__xludf.DUMMYFUNCTION("""COMPUTED_VALUE"""),56.0)</f>
        <v>56</v>
      </c>
      <c r="K29" s="23">
        <f>IFERROR(__xludf.DUMMYFUNCTION("""COMPUTED_VALUE"""),2.5)</f>
        <v>2.5</v>
      </c>
      <c r="L29" s="24">
        <f>IFERROR(__xludf.DUMMYFUNCTION("""COMPUTED_VALUE"""),5.0)</f>
        <v>5</v>
      </c>
      <c r="M29" s="25" t="str">
        <f>IFERROR(__xludf.DUMMYFUNCTION("""COMPUTED_VALUE"""),"Shooter")</f>
        <v>Shooter</v>
      </c>
      <c r="N29" s="25"/>
      <c r="O29" s="26" t="str">
        <f>IFERROR(__xludf.DUMMYFUNCTION("""COMPUTED_VALUE"""),"No")</f>
        <v>No</v>
      </c>
      <c r="P29" s="26"/>
    </row>
    <row r="30">
      <c r="A30" s="13" t="str">
        <f>IFERROR(__xludf.DUMMYFUNCTION("""COMPUTED_VALUE"""),"For the King II")</f>
        <v>For the King II</v>
      </c>
      <c r="B30" s="15" t="str">
        <f>IFERROR(__xludf.DUMMYFUNCTION("""COMPUTED_VALUE"""),"PS5/PS4")</f>
        <v>PS5/PS4</v>
      </c>
      <c r="C30" s="16" t="str">
        <f>IFERROR(__xludf.DUMMYFUNCTION("""COMPUTED_VALUE"""),"Essential")</f>
        <v>Essential</v>
      </c>
      <c r="D30" s="15" t="str">
        <f>IFERROR(__xludf.DUMMYFUNCTION("""COMPUTED_VALUE"""),"Removed")</f>
        <v>Removed</v>
      </c>
      <c r="E30" s="17">
        <f>IFERROR(__xludf.DUMMYFUNCTION("""COMPUTED_VALUE"""),46210.0)</f>
        <v>46210</v>
      </c>
      <c r="F30" s="54">
        <f>IFERROR(__xludf.DUMMYFUNCTION("""COMPUTED_VALUE"""),46237.0)</f>
        <v>46237</v>
      </c>
      <c r="G30" s="19">
        <f>IFERROR(__xludf.DUMMYFUNCTION("""COMPUTED_VALUE"""),0.8666666666666666)</f>
        <v>0.8666666667</v>
      </c>
      <c r="H30" s="17">
        <f>IFERROR(__xludf.DUMMYFUNCTION("""COMPUTED_VALUE"""),45232.0)</f>
        <v>45232</v>
      </c>
      <c r="I30" s="19">
        <f>IFERROR(__xludf.DUMMYFUNCTION("""COMPUTED_VALUE"""),2.6805555555555554)</f>
        <v>2.680555556</v>
      </c>
      <c r="J30" s="21">
        <f>IFERROR(__xludf.DUMMYFUNCTION("""COMPUTED_VALUE"""),79.0)</f>
        <v>79</v>
      </c>
      <c r="K30" s="23">
        <f>IFERROR(__xludf.DUMMYFUNCTION("""COMPUTED_VALUE"""),7.5)</f>
        <v>7.5</v>
      </c>
      <c r="L30" s="24">
        <f>IFERROR(__xludf.DUMMYFUNCTION("""COMPUTED_VALUE"""),18.0)</f>
        <v>18</v>
      </c>
      <c r="M30" s="25" t="str">
        <f>IFERROR(__xludf.DUMMYFUNCTION("""COMPUTED_VALUE"""),"Roguelike")</f>
        <v>Roguelike</v>
      </c>
      <c r="N30" s="25"/>
      <c r="O30" s="26" t="str">
        <f>IFERROR(__xludf.DUMMYFUNCTION("""COMPUTED_VALUE"""),"No")</f>
        <v>No</v>
      </c>
      <c r="P30" s="26"/>
    </row>
    <row r="31">
      <c r="A31" s="13" t="str">
        <f>IFERROR(__xludf.DUMMYFUNCTION("""COMPUTED_VALUE"""),"CrossCode")</f>
        <v>CrossCode</v>
      </c>
      <c r="B31" s="15" t="str">
        <f>IFERROR(__xludf.DUMMYFUNCTION("""COMPUTED_VALUE"""),"PS5/PS4")</f>
        <v>PS5/PS4</v>
      </c>
      <c r="C31" s="16" t="str">
        <f>IFERROR(__xludf.DUMMYFUNCTION("""COMPUTED_VALUE"""),"Essential")</f>
        <v>Essential</v>
      </c>
      <c r="D31" s="15" t="str">
        <f>IFERROR(__xludf.DUMMYFUNCTION("""COMPUTED_VALUE"""),"Removed")</f>
        <v>Removed</v>
      </c>
      <c r="E31" s="17">
        <f>IFERROR(__xludf.DUMMYFUNCTION("""COMPUTED_VALUE"""),46210.0)</f>
        <v>46210</v>
      </c>
      <c r="F31" s="54">
        <f>IFERROR(__xludf.DUMMYFUNCTION("""COMPUTED_VALUE"""),46237.0)</f>
        <v>46237</v>
      </c>
      <c r="G31" s="19">
        <f>IFERROR(__xludf.DUMMYFUNCTION("""COMPUTED_VALUE"""),0.8666666666666666)</f>
        <v>0.8666666667</v>
      </c>
      <c r="H31" s="17">
        <f>IFERROR(__xludf.DUMMYFUNCTION("""COMPUTED_VALUE"""),44021.0)</f>
        <v>44021</v>
      </c>
      <c r="I31" s="19">
        <f>IFERROR(__xludf.DUMMYFUNCTION("""COMPUTED_VALUE"""),5.9944444444444445)</f>
        <v>5.994444444</v>
      </c>
      <c r="J31" s="21">
        <f>IFERROR(__xludf.DUMMYFUNCTION("""COMPUTED_VALUE"""),86.0)</f>
        <v>86</v>
      </c>
      <c r="K31" s="23">
        <f>IFERROR(__xludf.DUMMYFUNCTION("""COMPUTED_VALUE"""),8.3)</f>
        <v>8.3</v>
      </c>
      <c r="L31" s="24">
        <f>IFERROR(__xludf.DUMMYFUNCTION("""COMPUTED_VALUE"""),30.0)</f>
        <v>30</v>
      </c>
      <c r="M31" s="25" t="str">
        <f>IFERROR(__xludf.DUMMYFUNCTION("""COMPUTED_VALUE"""),"RPG")</f>
        <v>RPG</v>
      </c>
      <c r="N31" s="25"/>
      <c r="O31" s="26" t="str">
        <f>IFERROR(__xludf.DUMMYFUNCTION("""COMPUTED_VALUE"""),"No")</f>
        <v>No</v>
      </c>
      <c r="P31" s="26"/>
    </row>
    <row r="32">
      <c r="A32" s="13" t="str">
        <f>IFERROR(__xludf.DUMMYFUNCTION("""COMPUTED_VALUE"""),"Risk of Rain 2")</f>
        <v>Risk of Rain 2</v>
      </c>
      <c r="B32" s="15" t="str">
        <f>IFERROR(__xludf.DUMMYFUNCTION("""COMPUTED_VALUE"""),"PS5/PS4")</f>
        <v>PS5/PS4</v>
      </c>
      <c r="C32" s="16" t="str">
        <f>IFERROR(__xludf.DUMMYFUNCTION("""COMPUTED_VALUE"""),"Extra")</f>
        <v>Extra</v>
      </c>
      <c r="D32" s="15" t="str">
        <f>IFERROR(__xludf.DUMMYFUNCTION("""COMPUTED_VALUE"""),"Removed")</f>
        <v>Removed</v>
      </c>
      <c r="E32" s="17">
        <f>IFERROR(__xludf.DUMMYFUNCTION("""COMPUTED_VALUE"""),45853.0)</f>
        <v>45853</v>
      </c>
      <c r="F32" s="54">
        <f>IFERROR(__xludf.DUMMYFUNCTION("""COMPUTED_VALUE"""),46223.0)</f>
        <v>46223</v>
      </c>
      <c r="G32" s="19">
        <f>IFERROR(__xludf.DUMMYFUNCTION("""COMPUTED_VALUE"""),12.166666666666666)</f>
        <v>12.16666667</v>
      </c>
      <c r="H32" s="17">
        <f>IFERROR(__xludf.DUMMYFUNCTION("""COMPUTED_VALUE"""),44054.0)</f>
        <v>44054</v>
      </c>
      <c r="I32" s="19">
        <f>IFERROR(__xludf.DUMMYFUNCTION("""COMPUTED_VALUE"""),4.927777777777778)</f>
        <v>4.927777778</v>
      </c>
      <c r="J32" s="21">
        <f>IFERROR(__xludf.DUMMYFUNCTION("""COMPUTED_VALUE"""),85.0)</f>
        <v>85</v>
      </c>
      <c r="K32" s="23">
        <f>IFERROR(__xludf.DUMMYFUNCTION("""COMPUTED_VALUE"""),8.3)</f>
        <v>8.3</v>
      </c>
      <c r="L32" s="24">
        <f>IFERROR(__xludf.DUMMYFUNCTION("""COMPUTED_VALUE"""),11.0)</f>
        <v>11</v>
      </c>
      <c r="M32" s="25" t="str">
        <f>IFERROR(__xludf.DUMMYFUNCTION("""COMPUTED_VALUE"""),"Shooter")</f>
        <v>Shooter</v>
      </c>
      <c r="N32" s="25"/>
      <c r="O32" s="26"/>
      <c r="P32" s="26"/>
    </row>
    <row r="33">
      <c r="A33" s="13" t="str">
        <f>IFERROR(__xludf.DUMMYFUNCTION("""COMPUTED_VALUE"""),"Tropico 6")</f>
        <v>Tropico 6</v>
      </c>
      <c r="B33" s="15" t="str">
        <f>IFERROR(__xludf.DUMMYFUNCTION("""COMPUTED_VALUE"""),"PS5/PS4")</f>
        <v>PS5/PS4</v>
      </c>
      <c r="C33" s="16" t="str">
        <f>IFERROR(__xludf.DUMMYFUNCTION("""COMPUTED_VALUE"""),"Extra")</f>
        <v>Extra</v>
      </c>
      <c r="D33" s="15" t="str">
        <f>IFERROR(__xludf.DUMMYFUNCTION("""COMPUTED_VALUE"""),"Removed")</f>
        <v>Removed</v>
      </c>
      <c r="E33" s="17">
        <f>IFERROR(__xludf.DUMMYFUNCTION("""COMPUTED_VALUE"""),45853.0)</f>
        <v>45853</v>
      </c>
      <c r="F33" s="54">
        <f>IFERROR(__xludf.DUMMYFUNCTION("""COMPUTED_VALUE"""),46223.0)</f>
        <v>46223</v>
      </c>
      <c r="G33" s="19">
        <f>IFERROR(__xludf.DUMMYFUNCTION("""COMPUTED_VALUE"""),12.166666666666666)</f>
        <v>12.16666667</v>
      </c>
      <c r="H33" s="17">
        <f>IFERROR(__xludf.DUMMYFUNCTION("""COMPUTED_VALUE"""),43553.0)</f>
        <v>43553</v>
      </c>
      <c r="I33" s="19">
        <f>IFERROR(__xludf.DUMMYFUNCTION("""COMPUTED_VALUE"""),6.294444444444444)</f>
        <v>6.294444444</v>
      </c>
      <c r="J33" s="21">
        <f>IFERROR(__xludf.DUMMYFUNCTION("""COMPUTED_VALUE"""),78.0)</f>
        <v>78</v>
      </c>
      <c r="K33" s="23">
        <f>IFERROR(__xludf.DUMMYFUNCTION("""COMPUTED_VALUE"""),6.8)</f>
        <v>6.8</v>
      </c>
      <c r="L33" s="24">
        <f>IFERROR(__xludf.DUMMYFUNCTION("""COMPUTED_VALUE"""),36.0)</f>
        <v>36</v>
      </c>
      <c r="M33" s="25" t="str">
        <f>IFERROR(__xludf.DUMMYFUNCTION("""COMPUTED_VALUE"""),"Management ")</f>
        <v>Management </v>
      </c>
      <c r="N33" s="25"/>
      <c r="O33" s="26"/>
      <c r="P33" s="26"/>
    </row>
    <row r="34">
      <c r="A34" s="13" t="str">
        <f>IFERROR(__xludf.DUMMYFUNCTION("""COMPUTED_VALUE"""),"The Jackbox Party Pack 9")</f>
        <v>The Jackbox Party Pack 9</v>
      </c>
      <c r="B34" s="15" t="str">
        <f>IFERROR(__xludf.DUMMYFUNCTION("""COMPUTED_VALUE"""),"PS5/PS4")</f>
        <v>PS5/PS4</v>
      </c>
      <c r="C34" s="16" t="str">
        <f>IFERROR(__xludf.DUMMYFUNCTION("""COMPUTED_VALUE"""),"Extra")</f>
        <v>Extra</v>
      </c>
      <c r="D34" s="15" t="str">
        <f>IFERROR(__xludf.DUMMYFUNCTION("""COMPUTED_VALUE"""),"Removed")</f>
        <v>Removed</v>
      </c>
      <c r="E34" s="17">
        <f>IFERROR(__xludf.DUMMYFUNCTION("""COMPUTED_VALUE"""),45489.0)</f>
        <v>45489</v>
      </c>
      <c r="F34" s="54">
        <f>IFERROR(__xludf.DUMMYFUNCTION("""COMPUTED_VALUE"""),46223.0)</f>
        <v>46223</v>
      </c>
      <c r="G34" s="19">
        <f>IFERROR(__xludf.DUMMYFUNCTION("""COMPUTED_VALUE"""),24.133333333333333)</f>
        <v>24.13333333</v>
      </c>
      <c r="H34" s="17">
        <f>IFERROR(__xludf.DUMMYFUNCTION("""COMPUTED_VALUE"""),44836.0)</f>
        <v>44836</v>
      </c>
      <c r="I34" s="19">
        <f>IFERROR(__xludf.DUMMYFUNCTION("""COMPUTED_VALUE"""),1.788888888888889)</f>
        <v>1.788888889</v>
      </c>
      <c r="J34" s="21">
        <f>IFERROR(__xludf.DUMMYFUNCTION("""COMPUTED_VALUE"""),81.0)</f>
        <v>81</v>
      </c>
      <c r="K34" s="23">
        <f>IFERROR(__xludf.DUMMYFUNCTION("""COMPUTED_VALUE"""),9.0)</f>
        <v>9</v>
      </c>
      <c r="L34" s="24">
        <f>IFERROR(__xludf.DUMMYFUNCTION("""COMPUTED_VALUE"""),3.0)</f>
        <v>3</v>
      </c>
      <c r="M34" s="25" t="str">
        <f>IFERROR(__xludf.DUMMYFUNCTION("""COMPUTED_VALUE"""),"Party")</f>
        <v>Party</v>
      </c>
      <c r="N34" s="25"/>
      <c r="O34" s="26" t="str">
        <f>IFERROR(__xludf.DUMMYFUNCTION("""COMPUTED_VALUE"""),"Portal (PS5 + Premium)")</f>
        <v>Portal (PS5 + Premium)</v>
      </c>
      <c r="P34" s="26"/>
    </row>
    <row r="35">
      <c r="A35" s="13" t="str">
        <f>IFERROR(__xludf.DUMMYFUNCTION("""COMPUTED_VALUE"""),"Cursed to Golf")</f>
        <v>Cursed to Golf</v>
      </c>
      <c r="B35" s="15" t="str">
        <f>IFERROR(__xludf.DUMMYFUNCTION("""COMPUTED_VALUE"""),"PS5/PS4")</f>
        <v>PS5/PS4</v>
      </c>
      <c r="C35" s="16" t="str">
        <f>IFERROR(__xludf.DUMMYFUNCTION("""COMPUTED_VALUE"""),"Extra")</f>
        <v>Extra</v>
      </c>
      <c r="D35" s="15" t="str">
        <f>IFERROR(__xludf.DUMMYFUNCTION("""COMPUTED_VALUE"""),"Removed")</f>
        <v>Removed</v>
      </c>
      <c r="E35" s="17">
        <f>IFERROR(__xludf.DUMMYFUNCTION("""COMPUTED_VALUE"""),45153.0)</f>
        <v>45153</v>
      </c>
      <c r="F35" s="54">
        <f>IFERROR(__xludf.DUMMYFUNCTION("""COMPUTED_VALUE"""),46223.0)</f>
        <v>46223</v>
      </c>
      <c r="G35" s="19">
        <f>IFERROR(__xludf.DUMMYFUNCTION("""COMPUTED_VALUE"""),35.166666666666664)</f>
        <v>35.16666667</v>
      </c>
      <c r="H35" s="17">
        <f>IFERROR(__xludf.DUMMYFUNCTION("""COMPUTED_VALUE"""),44791.0)</f>
        <v>44791</v>
      </c>
      <c r="I35" s="19">
        <f>IFERROR(__xludf.DUMMYFUNCTION("""COMPUTED_VALUE"""),0.9916666666666667)</f>
        <v>0.9916666667</v>
      </c>
      <c r="J35" s="21">
        <f>IFERROR(__xludf.DUMMYFUNCTION("""COMPUTED_VALUE"""),74.0)</f>
        <v>74</v>
      </c>
      <c r="K35" s="23">
        <f>IFERROR(__xludf.DUMMYFUNCTION("""COMPUTED_VALUE"""),5.3)</f>
        <v>5.3</v>
      </c>
      <c r="L35" s="24">
        <f>IFERROR(__xludf.DUMMYFUNCTION("""COMPUTED_VALUE"""),8.0)</f>
        <v>8</v>
      </c>
      <c r="M35" s="25" t="str">
        <f>IFERROR(__xludf.DUMMYFUNCTION("""COMPUTED_VALUE"""),"Sports")</f>
        <v>Sports</v>
      </c>
      <c r="N35" s="25"/>
      <c r="O35" s="26" t="str">
        <f>IFERROR(__xludf.DUMMYFUNCTION("""COMPUTED_VALUE"""),"Yes")</f>
        <v>Yes</v>
      </c>
      <c r="P35" s="26"/>
    </row>
    <row r="36">
      <c r="A36" s="13" t="str">
        <f>IFERROR(__xludf.DUMMYFUNCTION("""COMPUTED_VALUE"""),"Source of Madness")</f>
        <v>Source of Madness</v>
      </c>
      <c r="B36" s="15" t="str">
        <f>IFERROR(__xludf.DUMMYFUNCTION("""COMPUTED_VALUE"""),"PS5/PS4")</f>
        <v>PS5/PS4</v>
      </c>
      <c r="C36" s="16" t="str">
        <f>IFERROR(__xludf.DUMMYFUNCTION("""COMPUTED_VALUE"""),"Extra")</f>
        <v>Extra</v>
      </c>
      <c r="D36" s="15" t="str">
        <f>IFERROR(__xludf.DUMMYFUNCTION("""COMPUTED_VALUE"""),"Removed")</f>
        <v>Removed</v>
      </c>
      <c r="E36" s="17">
        <f>IFERROR(__xludf.DUMMYFUNCTION("""COMPUTED_VALUE"""),45153.0)</f>
        <v>45153</v>
      </c>
      <c r="F36" s="54">
        <f>IFERROR(__xludf.DUMMYFUNCTION("""COMPUTED_VALUE"""),46223.0)</f>
        <v>46223</v>
      </c>
      <c r="G36" s="19">
        <f>IFERROR(__xludf.DUMMYFUNCTION("""COMPUTED_VALUE"""),35.166666666666664)</f>
        <v>35.16666667</v>
      </c>
      <c r="H36" s="17">
        <f>IFERROR(__xludf.DUMMYFUNCTION("""COMPUTED_VALUE"""),44692.0)</f>
        <v>44692</v>
      </c>
      <c r="I36" s="19">
        <f>IFERROR(__xludf.DUMMYFUNCTION("""COMPUTED_VALUE"""),1.261111111111111)</f>
        <v>1.261111111</v>
      </c>
      <c r="J36" s="21">
        <f>IFERROR(__xludf.DUMMYFUNCTION("""COMPUTED_VALUE"""),67.0)</f>
        <v>67</v>
      </c>
      <c r="K36" s="23">
        <f>IFERROR(__xludf.DUMMYFUNCTION("""COMPUTED_VALUE"""),6.0)</f>
        <v>6</v>
      </c>
      <c r="L36" s="24">
        <f>IFERROR(__xludf.DUMMYFUNCTION("""COMPUTED_VALUE"""),3.0)</f>
        <v>3</v>
      </c>
      <c r="M36" s="25" t="str">
        <f>IFERROR(__xludf.DUMMYFUNCTION("""COMPUTED_VALUE"""),"Action-Adventure")</f>
        <v>Action-Adventure</v>
      </c>
      <c r="N36" s="25"/>
      <c r="O36" s="26" t="str">
        <f>IFERROR(__xludf.DUMMYFUNCTION("""COMPUTED_VALUE"""),"Yes")</f>
        <v>Yes</v>
      </c>
      <c r="P36" s="26"/>
    </row>
    <row r="37">
      <c r="A37" s="13" t="str">
        <f>IFERROR(__xludf.DUMMYFUNCTION("""COMPUTED_VALUE"""),"Hundred Days: Winemaking Simulator")</f>
        <v>Hundred Days: Winemaking Simulator</v>
      </c>
      <c r="B37" s="15" t="str">
        <f>IFERROR(__xludf.DUMMYFUNCTION("""COMPUTED_VALUE"""),"PS5/PS4")</f>
        <v>PS5/PS4</v>
      </c>
      <c r="C37" s="16" t="str">
        <f>IFERROR(__xludf.DUMMYFUNCTION("""COMPUTED_VALUE"""),"Extra")</f>
        <v>Extra</v>
      </c>
      <c r="D37" s="15" t="str">
        <f>IFERROR(__xludf.DUMMYFUNCTION("""COMPUTED_VALUE"""),"Removed")</f>
        <v>Removed</v>
      </c>
      <c r="E37" s="17">
        <f>IFERROR(__xludf.DUMMYFUNCTION("""COMPUTED_VALUE"""),45097.0)</f>
        <v>45097</v>
      </c>
      <c r="F37" s="54">
        <f>IFERROR(__xludf.DUMMYFUNCTION("""COMPUTED_VALUE"""),46223.0)</f>
        <v>46223</v>
      </c>
      <c r="G37" s="19">
        <f>IFERROR(__xludf.DUMMYFUNCTION("""COMPUTED_VALUE"""),37.0)</f>
        <v>37</v>
      </c>
      <c r="H37" s="17">
        <f>IFERROR(__xludf.DUMMYFUNCTION("""COMPUTED_VALUE"""),44329.0)</f>
        <v>44329</v>
      </c>
      <c r="I37" s="19">
        <f>IFERROR(__xludf.DUMMYFUNCTION("""COMPUTED_VALUE"""),2.102777777777778)</f>
        <v>2.102777778</v>
      </c>
      <c r="J37" s="21">
        <f>IFERROR(__xludf.DUMMYFUNCTION("""COMPUTED_VALUE"""),74.0)</f>
        <v>74</v>
      </c>
      <c r="K37" s="23">
        <f>IFERROR(__xludf.DUMMYFUNCTION("""COMPUTED_VALUE"""),6.3)</f>
        <v>6.3</v>
      </c>
      <c r="L37" s="24">
        <f>IFERROR(__xludf.DUMMYFUNCTION("""COMPUTED_VALUE"""),3.0)</f>
        <v>3</v>
      </c>
      <c r="M37" s="25" t="str">
        <f>IFERROR(__xludf.DUMMYFUNCTION("""COMPUTED_VALUE"""),"Strategy")</f>
        <v>Strategy</v>
      </c>
      <c r="N37" s="25"/>
      <c r="O37" s="26" t="str">
        <f>IFERROR(__xludf.DUMMYFUNCTION("""COMPUTED_VALUE"""),"Yes")</f>
        <v>Yes</v>
      </c>
      <c r="P37" s="26"/>
    </row>
    <row r="38">
      <c r="A38" s="13" t="str">
        <f>IFERROR(__xludf.DUMMYFUNCTION("""COMPUTED_VALUE"""),"Infinite Minigolf")</f>
        <v>Infinite Minigolf</v>
      </c>
      <c r="B38" s="15" t="str">
        <f>IFERROR(__xludf.DUMMYFUNCTION("""COMPUTED_VALUE"""),"PS4")</f>
        <v>PS4</v>
      </c>
      <c r="C38" s="16" t="str">
        <f>IFERROR(__xludf.DUMMYFUNCTION("""COMPUTED_VALUE"""),"Extra")</f>
        <v>Extra</v>
      </c>
      <c r="D38" s="15" t="str">
        <f>IFERROR(__xludf.DUMMYFUNCTION("""COMPUTED_VALUE"""),"Removed")</f>
        <v>Removed</v>
      </c>
      <c r="E38" s="17">
        <f>IFERROR(__xludf.DUMMYFUNCTION("""COMPUTED_VALUE"""),44725.0)</f>
        <v>44725</v>
      </c>
      <c r="F38" s="54">
        <f>IFERROR(__xludf.DUMMYFUNCTION("""COMPUTED_VALUE"""),46223.0)</f>
        <v>46223</v>
      </c>
      <c r="G38" s="19">
        <f>IFERROR(__xludf.DUMMYFUNCTION("""COMPUTED_VALUE"""),49.233333333333334)</f>
        <v>49.23333333</v>
      </c>
      <c r="H38" s="17">
        <f>IFERROR(__xludf.DUMMYFUNCTION("""COMPUTED_VALUE"""),42934.0)</f>
        <v>42934</v>
      </c>
      <c r="I38" s="19">
        <f>IFERROR(__xludf.DUMMYFUNCTION("""COMPUTED_VALUE"""),4.902777777777778)</f>
        <v>4.902777778</v>
      </c>
      <c r="J38" s="21">
        <f>IFERROR(__xludf.DUMMYFUNCTION("""COMPUTED_VALUE"""),74.0)</f>
        <v>74</v>
      </c>
      <c r="K38" s="23">
        <f>IFERROR(__xludf.DUMMYFUNCTION("""COMPUTED_VALUE"""),6.6)</f>
        <v>6.6</v>
      </c>
      <c r="L38" s="24">
        <f>IFERROR(__xludf.DUMMYFUNCTION("""COMPUTED_VALUE"""),2.0)</f>
        <v>2</v>
      </c>
      <c r="M38" s="25" t="str">
        <f>IFERROR(__xludf.DUMMYFUNCTION("""COMPUTED_VALUE"""),"Sports")</f>
        <v>Sports</v>
      </c>
      <c r="N38" s="25"/>
      <c r="O38" s="26" t="str">
        <f>IFERROR(__xludf.DUMMYFUNCTION("""COMPUTED_VALUE"""),"Yes")</f>
        <v>Yes</v>
      </c>
      <c r="P38" s="26" t="str">
        <f>IFERROR(__xludf.DUMMYFUNCTION("""COMPUTED_VALUE"""),"Yes")</f>
        <v>Yes</v>
      </c>
    </row>
    <row r="39">
      <c r="A39" s="13" t="str">
        <f>IFERROR(__xludf.DUMMYFUNCTION("""COMPUTED_VALUE"""),"Get Even")</f>
        <v>Get Even</v>
      </c>
      <c r="B39" s="15" t="str">
        <f>IFERROR(__xludf.DUMMYFUNCTION("""COMPUTED_VALUE"""),"PS4")</f>
        <v>PS4</v>
      </c>
      <c r="C39" s="16" t="str">
        <f>IFERROR(__xludf.DUMMYFUNCTION("""COMPUTED_VALUE"""),"Extra")</f>
        <v>Extra</v>
      </c>
      <c r="D39" s="15" t="str">
        <f>IFERROR(__xludf.DUMMYFUNCTION("""COMPUTED_VALUE"""),"Removed")</f>
        <v>Removed</v>
      </c>
      <c r="E39" s="17">
        <f>IFERROR(__xludf.DUMMYFUNCTION("""COMPUTED_VALUE"""),43683.0)</f>
        <v>43683</v>
      </c>
      <c r="F39" s="54">
        <f>IFERROR(__xludf.DUMMYFUNCTION("""COMPUTED_VALUE"""),46223.0)</f>
        <v>46223</v>
      </c>
      <c r="G39" s="19">
        <f>IFERROR(__xludf.DUMMYFUNCTION("""COMPUTED_VALUE"""),83.46666666666667)</f>
        <v>83.46666667</v>
      </c>
      <c r="H39" s="17">
        <f>IFERROR(__xludf.DUMMYFUNCTION("""COMPUTED_VALUE"""),42887.0)</f>
        <v>42887</v>
      </c>
      <c r="I39" s="19">
        <f>IFERROR(__xludf.DUMMYFUNCTION("""COMPUTED_VALUE"""),2.1805555555555554)</f>
        <v>2.180555556</v>
      </c>
      <c r="J39" s="21">
        <f>IFERROR(__xludf.DUMMYFUNCTION("""COMPUTED_VALUE"""),72.0)</f>
        <v>72</v>
      </c>
      <c r="K39" s="23">
        <f>IFERROR(__xludf.DUMMYFUNCTION("""COMPUTED_VALUE"""),7.0)</f>
        <v>7</v>
      </c>
      <c r="L39" s="24">
        <f>IFERROR(__xludf.DUMMYFUNCTION("""COMPUTED_VALUE"""),7.5)</f>
        <v>7.5</v>
      </c>
      <c r="M39" s="25" t="str">
        <f>IFERROR(__xludf.DUMMYFUNCTION("""COMPUTED_VALUE"""),"Action-Adventure")</f>
        <v>Action-Adventure</v>
      </c>
      <c r="N39" s="25"/>
      <c r="O39" s="26" t="str">
        <f>IFERROR(__xludf.DUMMYFUNCTION("""COMPUTED_VALUE"""),"Yes")</f>
        <v>Yes</v>
      </c>
      <c r="P39" s="26"/>
    </row>
    <row r="40">
      <c r="A40" s="13" t="str">
        <f>IFERROR(__xludf.DUMMYFUNCTION("""COMPUTED_VALUE"""),"Grounded: Fully Yoked Edition")</f>
        <v>Grounded: Fully Yoked Edition</v>
      </c>
      <c r="B40" s="15" t="str">
        <f>IFERROR(__xludf.DUMMYFUNCTION("""COMPUTED_VALUE"""),"PS5/PS4")</f>
        <v>PS5/PS4</v>
      </c>
      <c r="C40" s="16" t="str">
        <f>IFERROR(__xludf.DUMMYFUNCTION("""COMPUTED_VALUE"""),"Essential")</f>
        <v>Essential</v>
      </c>
      <c r="D40" s="15" t="str">
        <f>IFERROR(__xludf.DUMMYFUNCTION("""COMPUTED_VALUE"""),"Removed")</f>
        <v>Removed</v>
      </c>
      <c r="E40" s="17">
        <f>IFERROR(__xludf.DUMMYFUNCTION("""COMPUTED_VALUE"""),46175.0)</f>
        <v>46175</v>
      </c>
      <c r="F40" s="54">
        <f>IFERROR(__xludf.DUMMYFUNCTION("""COMPUTED_VALUE"""),46209.0)</f>
        <v>46209</v>
      </c>
      <c r="G40" s="19">
        <f>IFERROR(__xludf.DUMMYFUNCTION("""COMPUTED_VALUE"""),1.1333333333333333)</f>
        <v>1.133333333</v>
      </c>
      <c r="H40" s="17">
        <f>IFERROR(__xludf.DUMMYFUNCTION("""COMPUTED_VALUE"""),45398.0)</f>
        <v>45398</v>
      </c>
      <c r="I40" s="19">
        <f>IFERROR(__xludf.DUMMYFUNCTION("""COMPUTED_VALUE"""),2.1277777777777778)</f>
        <v>2.127777778</v>
      </c>
      <c r="J40" s="21">
        <f>IFERROR(__xludf.DUMMYFUNCTION("""COMPUTED_VALUE"""),83.0)</f>
        <v>83</v>
      </c>
      <c r="K40" s="23">
        <f>IFERROR(__xludf.DUMMYFUNCTION("""COMPUTED_VALUE"""),7.9)</f>
        <v>7.9</v>
      </c>
      <c r="L40" s="24">
        <f>IFERROR(__xludf.DUMMYFUNCTION("""COMPUTED_VALUE"""),23.0)</f>
        <v>23</v>
      </c>
      <c r="M40" s="25" t="str">
        <f>IFERROR(__xludf.DUMMYFUNCTION("""COMPUTED_VALUE"""),"Action-Adventure")</f>
        <v>Action-Adventure</v>
      </c>
      <c r="N40" s="25"/>
      <c r="O40" s="26" t="str">
        <f>IFERROR(__xludf.DUMMYFUNCTION("""COMPUTED_VALUE"""),"No")</f>
        <v>No</v>
      </c>
      <c r="P40" s="26"/>
    </row>
    <row r="41">
      <c r="A41" s="13" t="str">
        <f>IFERROR(__xludf.DUMMYFUNCTION("""COMPUTED_VALUE"""),"Nickelodeon All-Star Brawl 2")</f>
        <v>Nickelodeon All-Star Brawl 2</v>
      </c>
      <c r="B41" s="15" t="str">
        <f>IFERROR(__xludf.DUMMYFUNCTION("""COMPUTED_VALUE"""),"PS5/PS4")</f>
        <v>PS5/PS4</v>
      </c>
      <c r="C41" s="16" t="str">
        <f>IFERROR(__xludf.DUMMYFUNCTION("""COMPUTED_VALUE"""),"Essential")</f>
        <v>Essential</v>
      </c>
      <c r="D41" s="15" t="str">
        <f>IFERROR(__xludf.DUMMYFUNCTION("""COMPUTED_VALUE"""),"Removed")</f>
        <v>Removed</v>
      </c>
      <c r="E41" s="17">
        <f>IFERROR(__xludf.DUMMYFUNCTION("""COMPUTED_VALUE"""),46175.0)</f>
        <v>46175</v>
      </c>
      <c r="F41" s="54">
        <f>IFERROR(__xludf.DUMMYFUNCTION("""COMPUTED_VALUE"""),46209.0)</f>
        <v>46209</v>
      </c>
      <c r="G41" s="19">
        <f>IFERROR(__xludf.DUMMYFUNCTION("""COMPUTED_VALUE"""),1.1333333333333333)</f>
        <v>1.133333333</v>
      </c>
      <c r="H41" s="17">
        <f>IFERROR(__xludf.DUMMYFUNCTION("""COMPUTED_VALUE"""),45237.0)</f>
        <v>45237</v>
      </c>
      <c r="I41" s="19">
        <f>IFERROR(__xludf.DUMMYFUNCTION("""COMPUTED_VALUE"""),2.5694444444444446)</f>
        <v>2.569444444</v>
      </c>
      <c r="J41" s="21">
        <f>IFERROR(__xludf.DUMMYFUNCTION("""COMPUTED_VALUE"""),77.0)</f>
        <v>77</v>
      </c>
      <c r="K41" s="23">
        <f>IFERROR(__xludf.DUMMYFUNCTION("""COMPUTED_VALUE"""),6.8)</f>
        <v>6.8</v>
      </c>
      <c r="L41" s="24">
        <f>IFERROR(__xludf.DUMMYFUNCTION("""COMPUTED_VALUE"""),8.0)</f>
        <v>8</v>
      </c>
      <c r="M41" s="25" t="str">
        <f>IFERROR(__xludf.DUMMYFUNCTION("""COMPUTED_VALUE"""),"Fighting")</f>
        <v>Fighting</v>
      </c>
      <c r="N41" s="25"/>
      <c r="O41" s="26" t="str">
        <f>IFERROR(__xludf.DUMMYFUNCTION("""COMPUTED_VALUE"""),"No")</f>
        <v>No</v>
      </c>
      <c r="P41" s="26"/>
    </row>
    <row r="42">
      <c r="A42" s="13" t="str">
        <f>IFERROR(__xludf.DUMMYFUNCTION("""COMPUTED_VALUE"""),"Warhammer 40,000: Darktide")</f>
        <v>Warhammer 40,000: Darktide</v>
      </c>
      <c r="B42" s="15" t="str">
        <f>IFERROR(__xludf.DUMMYFUNCTION("""COMPUTED_VALUE"""),"PS5")</f>
        <v>PS5</v>
      </c>
      <c r="C42" s="16" t="str">
        <f>IFERROR(__xludf.DUMMYFUNCTION("""COMPUTED_VALUE"""),"Essential")</f>
        <v>Essential</v>
      </c>
      <c r="D42" s="15" t="str">
        <f>IFERROR(__xludf.DUMMYFUNCTION("""COMPUTED_VALUE"""),"Removed")</f>
        <v>Removed</v>
      </c>
      <c r="E42" s="17">
        <f>IFERROR(__xludf.DUMMYFUNCTION("""COMPUTED_VALUE"""),46175.0)</f>
        <v>46175</v>
      </c>
      <c r="F42" s="54">
        <f>IFERROR(__xludf.DUMMYFUNCTION("""COMPUTED_VALUE"""),46209.0)</f>
        <v>46209</v>
      </c>
      <c r="G42" s="19">
        <f>IFERROR(__xludf.DUMMYFUNCTION("""COMPUTED_VALUE"""),1.1333333333333333)</f>
        <v>1.133333333</v>
      </c>
      <c r="H42" s="17">
        <f>IFERROR(__xludf.DUMMYFUNCTION("""COMPUTED_VALUE"""),44895.0)</f>
        <v>44895</v>
      </c>
      <c r="I42" s="19">
        <f>IFERROR(__xludf.DUMMYFUNCTION("""COMPUTED_VALUE"""),3.5055555555555555)</f>
        <v>3.505555556</v>
      </c>
      <c r="J42" s="21">
        <f>IFERROR(__xludf.DUMMYFUNCTION("""COMPUTED_VALUE"""),75.0)</f>
        <v>75</v>
      </c>
      <c r="K42" s="23">
        <f>IFERROR(__xludf.DUMMYFUNCTION("""COMPUTED_VALUE"""),4.9)</f>
        <v>4.9</v>
      </c>
      <c r="L42" s="24">
        <f>IFERROR(__xludf.DUMMYFUNCTION("""COMPUTED_VALUE"""),31.0)</f>
        <v>31</v>
      </c>
      <c r="M42" s="25" t="str">
        <f>IFERROR(__xludf.DUMMYFUNCTION("""COMPUTED_VALUE"""),"Shooter")</f>
        <v>Shooter</v>
      </c>
      <c r="N42" s="25"/>
      <c r="O42" s="26" t="str">
        <f>IFERROR(__xludf.DUMMYFUNCTION("""COMPUTED_VALUE"""),"No")</f>
        <v>No</v>
      </c>
      <c r="P42" s="26"/>
    </row>
    <row r="43">
      <c r="A43" s="13" t="str">
        <f>IFERROR(__xludf.DUMMYFUNCTION("""COMPUTED_VALUE"""),"EA Sports FC 26")</f>
        <v>EA Sports FC 26</v>
      </c>
      <c r="B43" s="15" t="str">
        <f>IFERROR(__xludf.DUMMYFUNCTION("""COMPUTED_VALUE"""),"PS5/PS4")</f>
        <v>PS5/PS4</v>
      </c>
      <c r="C43" s="16" t="str">
        <f>IFERROR(__xludf.DUMMYFUNCTION("""COMPUTED_VALUE"""),"Essential")</f>
        <v>Essential</v>
      </c>
      <c r="D43" s="15" t="str">
        <f>IFERROR(__xludf.DUMMYFUNCTION("""COMPUTED_VALUE"""),"Removed")</f>
        <v>Removed</v>
      </c>
      <c r="E43" s="17">
        <f>IFERROR(__xludf.DUMMYFUNCTION("""COMPUTED_VALUE"""),46147.0)</f>
        <v>46147</v>
      </c>
      <c r="F43" s="54">
        <f>IFERROR(__xludf.DUMMYFUNCTION("""COMPUTED_VALUE"""),46189.0)</f>
        <v>46189</v>
      </c>
      <c r="G43" s="19">
        <f>IFERROR(__xludf.DUMMYFUNCTION("""COMPUTED_VALUE"""),1.3666666666666667)</f>
        <v>1.366666667</v>
      </c>
      <c r="H43" s="17">
        <f>IFERROR(__xludf.DUMMYFUNCTION("""COMPUTED_VALUE"""),45926.0)</f>
        <v>45926</v>
      </c>
      <c r="I43" s="19">
        <f>IFERROR(__xludf.DUMMYFUNCTION("""COMPUTED_VALUE"""),0.6083333333333333)</f>
        <v>0.6083333333</v>
      </c>
      <c r="J43" s="21">
        <f>IFERROR(__xludf.DUMMYFUNCTION("""COMPUTED_VALUE"""),77.0)</f>
        <v>77</v>
      </c>
      <c r="K43" s="23">
        <f>IFERROR(__xludf.DUMMYFUNCTION("""COMPUTED_VALUE"""),2.9)</f>
        <v>2.9</v>
      </c>
      <c r="L43" s="24">
        <f>IFERROR(__xludf.DUMMYFUNCTION("""COMPUTED_VALUE"""),32.0)</f>
        <v>32</v>
      </c>
      <c r="M43" s="25" t="str">
        <f>IFERROR(__xludf.DUMMYFUNCTION("""COMPUTED_VALUE"""),"Sports")</f>
        <v>Sports</v>
      </c>
      <c r="N43" s="25"/>
      <c r="O43" s="26" t="str">
        <f>IFERROR(__xludf.DUMMYFUNCTION("""COMPUTED_VALUE"""),"No")</f>
        <v>No</v>
      </c>
      <c r="P43" s="26"/>
    </row>
    <row r="44">
      <c r="A44" s="13" t="str">
        <f>IFERROR(__xludf.DUMMYFUNCTION("""COMPUTED_VALUE"""),"Red Dead Redemption")</f>
        <v>Red Dead Redemption</v>
      </c>
      <c r="B44" s="15" t="str">
        <f>IFERROR(__xludf.DUMMYFUNCTION("""COMPUTED_VALUE"""),"PS5/PS4")</f>
        <v>PS5/PS4</v>
      </c>
      <c r="C44" s="16" t="str">
        <f>IFERROR(__xludf.DUMMYFUNCTION("""COMPUTED_VALUE"""),"Premium (Streaming Only)")</f>
        <v>Premium (Streaming Only)</v>
      </c>
      <c r="D44" s="15" t="str">
        <f>IFERROR(__xludf.DUMMYFUNCTION("""COMPUTED_VALUE"""),"Removed")</f>
        <v>Removed</v>
      </c>
      <c r="E44" s="17">
        <f>IFERROR(__xludf.DUMMYFUNCTION("""COMPUTED_VALUE"""),45993.0)</f>
        <v>45993</v>
      </c>
      <c r="F44" s="54">
        <f>IFERROR(__xludf.DUMMYFUNCTION("""COMPUTED_VALUE"""),46188.0)</f>
        <v>46188</v>
      </c>
      <c r="G44" s="19">
        <f>IFERROR(__xludf.DUMMYFUNCTION("""COMPUTED_VALUE"""),6.433333333333334)</f>
        <v>6.433333333</v>
      </c>
      <c r="H44" s="17">
        <f>IFERROR(__xludf.DUMMYFUNCTION("""COMPUTED_VALUE"""),40316.0)</f>
        <v>40316</v>
      </c>
      <c r="I44" s="19">
        <f>IFERROR(__xludf.DUMMYFUNCTION("""COMPUTED_VALUE"""),15.53888888888889)</f>
        <v>15.53888889</v>
      </c>
      <c r="J44" s="21">
        <f>IFERROR(__xludf.DUMMYFUNCTION("""COMPUTED_VALUE"""),95.0)</f>
        <v>95</v>
      </c>
      <c r="K44" s="23">
        <f>IFERROR(__xludf.DUMMYFUNCTION("""COMPUTED_VALUE"""),8.8)</f>
        <v>8.8</v>
      </c>
      <c r="L44" s="24">
        <f>IFERROR(__xludf.DUMMYFUNCTION("""COMPUTED_VALUE"""),18.0)</f>
        <v>18</v>
      </c>
      <c r="M44" s="25" t="str">
        <f>IFERROR(__xludf.DUMMYFUNCTION("""COMPUTED_VALUE"""),"Action-Adventure")</f>
        <v>Action-Adventure</v>
      </c>
      <c r="N44" s="25" t="str">
        <f>IFERROR(__xludf.DUMMYFUNCTION("""COMPUTED_VALUE"""),"PS3")</f>
        <v>PS3</v>
      </c>
      <c r="O44" s="26"/>
      <c r="P44" s="26"/>
    </row>
    <row r="45">
      <c r="A45" s="13" t="str">
        <f>IFERROR(__xludf.DUMMYFUNCTION("""COMPUTED_VALUE"""),"Red Dead Redemption: Undead Nightmare")</f>
        <v>Red Dead Redemption: Undead Nightmare</v>
      </c>
      <c r="B45" s="15" t="str">
        <f>IFERROR(__xludf.DUMMYFUNCTION("""COMPUTED_VALUE"""),"PS5/PS4")</f>
        <v>PS5/PS4</v>
      </c>
      <c r="C45" s="16" t="str">
        <f>IFERROR(__xludf.DUMMYFUNCTION("""COMPUTED_VALUE"""),"Premium (Streaming Only)")</f>
        <v>Premium (Streaming Only)</v>
      </c>
      <c r="D45" s="15" t="str">
        <f>IFERROR(__xludf.DUMMYFUNCTION("""COMPUTED_VALUE"""),"Removed")</f>
        <v>Removed</v>
      </c>
      <c r="E45" s="17">
        <f>IFERROR(__xludf.DUMMYFUNCTION("""COMPUTED_VALUE"""),45993.0)</f>
        <v>45993</v>
      </c>
      <c r="F45" s="54">
        <f>IFERROR(__xludf.DUMMYFUNCTION("""COMPUTED_VALUE"""),46188.0)</f>
        <v>46188</v>
      </c>
      <c r="G45" s="19">
        <f>IFERROR(__xludf.DUMMYFUNCTION("""COMPUTED_VALUE"""),6.433333333333334)</f>
        <v>6.433333333</v>
      </c>
      <c r="H45" s="17">
        <f>IFERROR(__xludf.DUMMYFUNCTION("""COMPUTED_VALUE"""),40477.0)</f>
        <v>40477</v>
      </c>
      <c r="I45" s="19">
        <f>IFERROR(__xludf.DUMMYFUNCTION("""COMPUTED_VALUE"""),15.1)</f>
        <v>15.1</v>
      </c>
      <c r="J45" s="21">
        <f>IFERROR(__xludf.DUMMYFUNCTION("""COMPUTED_VALUE"""),87.0)</f>
        <v>87</v>
      </c>
      <c r="K45" s="23">
        <f>IFERROR(__xludf.DUMMYFUNCTION("""COMPUTED_VALUE"""),8.4)</f>
        <v>8.4</v>
      </c>
      <c r="L45" s="24">
        <f>IFERROR(__xludf.DUMMYFUNCTION("""COMPUTED_VALUE"""),7.0)</f>
        <v>7</v>
      </c>
      <c r="M45" s="25" t="str">
        <f>IFERROR(__xludf.DUMMYFUNCTION("""COMPUTED_VALUE"""),"Action-Adventure")</f>
        <v>Action-Adventure</v>
      </c>
      <c r="N45" s="25" t="str">
        <f>IFERROR(__xludf.DUMMYFUNCTION("""COMPUTED_VALUE"""),"PS3")</f>
        <v>PS3</v>
      </c>
      <c r="O45" s="26" t="str">
        <f>IFERROR(__xludf.DUMMYFUNCTION("""COMPUTED_VALUE"""),"Yes")</f>
        <v>Yes</v>
      </c>
      <c r="P45" s="26" t="str">
        <f>IFERROR(__xludf.DUMMYFUNCTION("""COMPUTED_VALUE"""),"")</f>
        <v/>
      </c>
    </row>
    <row r="46">
      <c r="A46" s="13" t="str">
        <f>IFERROR(__xludf.DUMMYFUNCTION("""COMPUTED_VALUE"""),"We Love Katamari Reroll + Royal Reverie")</f>
        <v>We Love Katamari Reroll + Royal Reverie</v>
      </c>
      <c r="B46" s="15" t="str">
        <f>IFERROR(__xludf.DUMMYFUNCTION("""COMPUTED_VALUE"""),"PS5/PS4")</f>
        <v>PS5/PS4</v>
      </c>
      <c r="C46" s="16" t="str">
        <f>IFERROR(__xludf.DUMMYFUNCTION("""COMPUTED_VALUE"""),"Extra")</f>
        <v>Extra</v>
      </c>
      <c r="D46" s="15" t="str">
        <f>IFERROR(__xludf.DUMMYFUNCTION("""COMPUTED_VALUE"""),"Removed")</f>
        <v>Removed</v>
      </c>
      <c r="E46" s="17">
        <f>IFERROR(__xludf.DUMMYFUNCTION("""COMPUTED_VALUE"""),45825.0)</f>
        <v>45825</v>
      </c>
      <c r="F46" s="54">
        <f>IFERROR(__xludf.DUMMYFUNCTION("""COMPUTED_VALUE"""),46188.0)</f>
        <v>46188</v>
      </c>
      <c r="G46" s="19">
        <f>IFERROR(__xludf.DUMMYFUNCTION("""COMPUTED_VALUE"""),11.933333333333334)</f>
        <v>11.93333333</v>
      </c>
      <c r="H46" s="17">
        <f>IFERROR(__xludf.DUMMYFUNCTION("""COMPUTED_VALUE"""),45079.0)</f>
        <v>45079</v>
      </c>
      <c r="I46" s="19">
        <f>IFERROR(__xludf.DUMMYFUNCTION("""COMPUTED_VALUE"""),2.0416666666666665)</f>
        <v>2.041666667</v>
      </c>
      <c r="J46" s="21">
        <f>IFERROR(__xludf.DUMMYFUNCTION("""COMPUTED_VALUE"""),81.0)</f>
        <v>81</v>
      </c>
      <c r="K46" s="23">
        <f>IFERROR(__xludf.DUMMYFUNCTION("""COMPUTED_VALUE"""),7.1)</f>
        <v>7.1</v>
      </c>
      <c r="L46" s="24">
        <f>IFERROR(__xludf.DUMMYFUNCTION("""COMPUTED_VALUE"""),5.0)</f>
        <v>5</v>
      </c>
      <c r="M46" s="25" t="str">
        <f>IFERROR(__xludf.DUMMYFUNCTION("""COMPUTED_VALUE"""),"Action-Adventure")</f>
        <v>Action-Adventure</v>
      </c>
      <c r="N46" s="25"/>
      <c r="O46" s="26"/>
      <c r="P46" s="26"/>
    </row>
    <row r="47">
      <c r="A47" s="13" t="str">
        <f>IFERROR(__xludf.DUMMYFUNCTION("""COMPUTED_VALUE"""),"LEGO The Incredibles")</f>
        <v>LEGO The Incredibles</v>
      </c>
      <c r="B47" s="15" t="str">
        <f>IFERROR(__xludf.DUMMYFUNCTION("""COMPUTED_VALUE"""),"PS4")</f>
        <v>PS4</v>
      </c>
      <c r="C47" s="16" t="str">
        <f>IFERROR(__xludf.DUMMYFUNCTION("""COMPUTED_VALUE"""),"Extra")</f>
        <v>Extra</v>
      </c>
      <c r="D47" s="15" t="str">
        <f>IFERROR(__xludf.DUMMYFUNCTION("""COMPUTED_VALUE"""),"Removed")</f>
        <v>Removed</v>
      </c>
      <c r="E47" s="17">
        <f>IFERROR(__xludf.DUMMYFUNCTION("""COMPUTED_VALUE"""),45461.0)</f>
        <v>45461</v>
      </c>
      <c r="F47" s="54">
        <f>IFERROR(__xludf.DUMMYFUNCTION("""COMPUTED_VALUE"""),46188.0)</f>
        <v>46188</v>
      </c>
      <c r="G47" s="19">
        <f>IFERROR(__xludf.DUMMYFUNCTION("""COMPUTED_VALUE"""),23.9)</f>
        <v>23.9</v>
      </c>
      <c r="H47" s="17">
        <f>IFERROR(__xludf.DUMMYFUNCTION("""COMPUTED_VALUE"""),43266.0)</f>
        <v>43266</v>
      </c>
      <c r="I47" s="19">
        <f>IFERROR(__xludf.DUMMYFUNCTION("""COMPUTED_VALUE"""),6.008333333333334)</f>
        <v>6.008333333</v>
      </c>
      <c r="J47" s="21">
        <f>IFERROR(__xludf.DUMMYFUNCTION("""COMPUTED_VALUE"""),69.0)</f>
        <v>69</v>
      </c>
      <c r="K47" s="23">
        <f>IFERROR(__xludf.DUMMYFUNCTION("""COMPUTED_VALUE"""),5.6)</f>
        <v>5.6</v>
      </c>
      <c r="L47" s="24">
        <f>IFERROR(__xludf.DUMMYFUNCTION("""COMPUTED_VALUE"""),7.0)</f>
        <v>7</v>
      </c>
      <c r="M47" s="25" t="str">
        <f>IFERROR(__xludf.DUMMYFUNCTION("""COMPUTED_VALUE"""),"Action-Adventure")</f>
        <v>Action-Adventure</v>
      </c>
      <c r="N47" s="25"/>
      <c r="O47" s="26" t="str">
        <f>IFERROR(__xludf.DUMMYFUNCTION("""COMPUTED_VALUE"""),"Yes")</f>
        <v>Yes</v>
      </c>
      <c r="P47" s="26"/>
    </row>
    <row r="48">
      <c r="A48" s="13" t="str">
        <f>IFERROR(__xludf.DUMMYFUNCTION("""COMPUTED_VALUE"""),"Lawn Mowing Simulator: Landmark Edition")</f>
        <v>Lawn Mowing Simulator: Landmark Edition</v>
      </c>
      <c r="B48" s="15" t="str">
        <f>IFERROR(__xludf.DUMMYFUNCTION("""COMPUTED_VALUE"""),"PS5/PS4")</f>
        <v>PS5/PS4</v>
      </c>
      <c r="C48" s="16" t="str">
        <f>IFERROR(__xludf.DUMMYFUNCTION("""COMPUTED_VALUE"""),"Extra")</f>
        <v>Extra</v>
      </c>
      <c r="D48" s="15" t="str">
        <f>IFERROR(__xludf.DUMMYFUNCTION("""COMPUTED_VALUE"""),"Removed")</f>
        <v>Removed</v>
      </c>
      <c r="E48" s="17">
        <f>IFERROR(__xludf.DUMMYFUNCTION("""COMPUTED_VALUE"""),45166.0)</f>
        <v>45166</v>
      </c>
      <c r="F48" s="18">
        <f>IFERROR(__xludf.DUMMYFUNCTION("""COMPUTED_VALUE"""),46188.0)</f>
        <v>46188</v>
      </c>
      <c r="G48" s="19">
        <f>IFERROR(__xludf.DUMMYFUNCTION("""COMPUTED_VALUE"""),33.56666666666666)</f>
        <v>33.56666667</v>
      </c>
      <c r="H48" s="17">
        <f>IFERROR(__xludf.DUMMYFUNCTION("""COMPUTED_VALUE"""),44651.0)</f>
        <v>44651</v>
      </c>
      <c r="I48" s="19">
        <f>IFERROR(__xludf.DUMMYFUNCTION("""COMPUTED_VALUE"""),1.4111111111111112)</f>
        <v>1.411111111</v>
      </c>
      <c r="J48" s="21">
        <f>IFERROR(__xludf.DUMMYFUNCTION("""COMPUTED_VALUE"""),70.0)</f>
        <v>70</v>
      </c>
      <c r="K48" s="23">
        <f>IFERROR(__xludf.DUMMYFUNCTION("""COMPUTED_VALUE"""),3.3)</f>
        <v>3.3</v>
      </c>
      <c r="L48" s="24">
        <f>IFERROR(__xludf.DUMMYFUNCTION("""COMPUTED_VALUE"""),21.0)</f>
        <v>21</v>
      </c>
      <c r="M48" s="25" t="str">
        <f>IFERROR(__xludf.DUMMYFUNCTION("""COMPUTED_VALUE"""),"Simulation")</f>
        <v>Simulation</v>
      </c>
      <c r="N48" s="25"/>
      <c r="O48" s="26" t="str">
        <f>IFERROR(__xludf.DUMMYFUNCTION("""COMPUTED_VALUE"""),"Yes")</f>
        <v>Yes</v>
      </c>
      <c r="P48" s="26"/>
    </row>
    <row r="49">
      <c r="A49" s="13" t="str">
        <f>IFERROR(__xludf.DUMMYFUNCTION("""COMPUTED_VALUE"""),"Scott Pilgrim vs. The World: The Game - Complete Edition")</f>
        <v>Scott Pilgrim vs. The World: The Game - Complete Edition</v>
      </c>
      <c r="B49" s="15" t="str">
        <f>IFERROR(__xludf.DUMMYFUNCTION("""COMPUTED_VALUE"""),"PS4")</f>
        <v>PS4</v>
      </c>
      <c r="C49" s="16" t="str">
        <f>IFERROR(__xludf.DUMMYFUNCTION("""COMPUTED_VALUE"""),"Extra (Ubisoft+ Classics)")</f>
        <v>Extra (Ubisoft+ Classics)</v>
      </c>
      <c r="D49" s="15" t="str">
        <f>IFERROR(__xludf.DUMMYFUNCTION("""COMPUTED_VALUE"""),"Removed")</f>
        <v>Removed</v>
      </c>
      <c r="E49" s="17">
        <f>IFERROR(__xludf.DUMMYFUNCTION("""COMPUTED_VALUE"""),44824.0)</f>
        <v>44824</v>
      </c>
      <c r="F49" s="18">
        <f>IFERROR(__xludf.DUMMYFUNCTION("""COMPUTED_VALUE"""),46188.0)</f>
        <v>46188</v>
      </c>
      <c r="G49" s="19">
        <f>IFERROR(__xludf.DUMMYFUNCTION("""COMPUTED_VALUE"""),44.833333333333336)</f>
        <v>44.83333333</v>
      </c>
      <c r="H49" s="17">
        <f>IFERROR(__xludf.DUMMYFUNCTION("""COMPUTED_VALUE"""),40491.0)</f>
        <v>40491</v>
      </c>
      <c r="I49" s="19">
        <f>IFERROR(__xludf.DUMMYFUNCTION("""COMPUTED_VALUE"""),11.863888888888889)</f>
        <v>11.86388889</v>
      </c>
      <c r="J49" s="21">
        <f>IFERROR(__xludf.DUMMYFUNCTION("""COMPUTED_VALUE"""),75.0)</f>
        <v>75</v>
      </c>
      <c r="K49" s="23">
        <f>IFERROR(__xludf.DUMMYFUNCTION("""COMPUTED_VALUE"""),6.4)</f>
        <v>6.4</v>
      </c>
      <c r="L49" s="24">
        <f>IFERROR(__xludf.DUMMYFUNCTION("""COMPUTED_VALUE"""),5.0)</f>
        <v>5</v>
      </c>
      <c r="M49" s="25" t="str">
        <f>IFERROR(__xludf.DUMMYFUNCTION("""COMPUTED_VALUE"""),"Fighting")</f>
        <v>Fighting</v>
      </c>
      <c r="N49" s="25"/>
      <c r="O49" s="26" t="str">
        <f>IFERROR(__xludf.DUMMYFUNCTION("""COMPUTED_VALUE"""),"Yes")</f>
        <v>Yes</v>
      </c>
      <c r="P49" s="26"/>
    </row>
    <row r="50">
      <c r="A50" s="13" t="str">
        <f>IFERROR(__xludf.DUMMYFUNCTION("""COMPUTED_VALUE"""),"Lawn Mowing Simulator")</f>
        <v>Lawn Mowing Simulator</v>
      </c>
      <c r="B50" s="15" t="str">
        <f>IFERROR(__xludf.DUMMYFUNCTION("""COMPUTED_VALUE"""),"PS5/PS4")</f>
        <v>PS5/PS4</v>
      </c>
      <c r="C50" s="16" t="str">
        <f>IFERROR(__xludf.DUMMYFUNCTION("""COMPUTED_VALUE"""),"Extra")</f>
        <v>Extra</v>
      </c>
      <c r="D50" s="15" t="str">
        <f>IFERROR(__xludf.DUMMYFUNCTION("""COMPUTED_VALUE"""),"Removed")</f>
        <v>Removed</v>
      </c>
      <c r="E50" s="17">
        <f>IFERROR(__xludf.DUMMYFUNCTION("""COMPUTED_VALUE"""),44810.0)</f>
        <v>44810</v>
      </c>
      <c r="F50" s="54">
        <f>IFERROR(__xludf.DUMMYFUNCTION("""COMPUTED_VALUE"""),46188.0)</f>
        <v>46188</v>
      </c>
      <c r="G50" s="19">
        <f>IFERROR(__xludf.DUMMYFUNCTION("""COMPUTED_VALUE"""),45.3)</f>
        <v>45.3</v>
      </c>
      <c r="H50" s="17">
        <f>IFERROR(__xludf.DUMMYFUNCTION("""COMPUTED_VALUE"""),44418.0)</f>
        <v>44418</v>
      </c>
      <c r="I50" s="19">
        <f>IFERROR(__xludf.DUMMYFUNCTION("""COMPUTED_VALUE"""),1.0722222222222222)</f>
        <v>1.072222222</v>
      </c>
      <c r="J50" s="21">
        <f>IFERROR(__xludf.DUMMYFUNCTION("""COMPUTED_VALUE"""),71.0)</f>
        <v>71</v>
      </c>
      <c r="K50" s="23">
        <f>IFERROR(__xludf.DUMMYFUNCTION("""COMPUTED_VALUE"""),6.8)</f>
        <v>6.8</v>
      </c>
      <c r="L50" s="24">
        <f>IFERROR(__xludf.DUMMYFUNCTION("""COMPUTED_VALUE"""),70.0)</f>
        <v>70</v>
      </c>
      <c r="M50" s="25" t="str">
        <f>IFERROR(__xludf.DUMMYFUNCTION("""COMPUTED_VALUE"""),"Simulation")</f>
        <v>Simulation</v>
      </c>
      <c r="N50" s="25"/>
      <c r="O50" s="26" t="str">
        <f>IFERROR(__xludf.DUMMYFUNCTION("""COMPUTED_VALUE"""),"No")</f>
        <v>No</v>
      </c>
      <c r="P50" s="26"/>
    </row>
    <row r="51">
      <c r="A51" s="13" t="str">
        <f>IFERROR(__xludf.DUMMYFUNCTION("""COMPUTED_VALUE"""),"Destiny 2: Legacy Collection (2024)")</f>
        <v>Destiny 2: Legacy Collection (2024)</v>
      </c>
      <c r="B51" s="15" t="str">
        <f>IFERROR(__xludf.DUMMYFUNCTION("""COMPUTED_VALUE"""),"PS5/PS4")</f>
        <v>PS5/PS4</v>
      </c>
      <c r="C51" s="16" t="str">
        <f>IFERROR(__xludf.DUMMYFUNCTION("""COMPUTED_VALUE"""),"Extra")</f>
        <v>Extra</v>
      </c>
      <c r="D51" s="15" t="str">
        <f>IFERROR(__xludf.DUMMYFUNCTION("""COMPUTED_VALUE"""),"Removed")</f>
        <v>Removed</v>
      </c>
      <c r="E51" s="17">
        <f>IFERROR(__xludf.DUMMYFUNCTION("""COMPUTED_VALUE"""),45812.0)</f>
        <v>45812</v>
      </c>
      <c r="F51" s="54">
        <f>IFERROR(__xludf.DUMMYFUNCTION("""COMPUTED_VALUE"""),46181.0)</f>
        <v>46181</v>
      </c>
      <c r="G51" s="19">
        <f>IFERROR(__xludf.DUMMYFUNCTION("""COMPUTED_VALUE"""),12.133333333333333)</f>
        <v>12.13333333</v>
      </c>
      <c r="H51" s="17">
        <f>IFERROR(__xludf.DUMMYFUNCTION("""COMPUTED_VALUE"""),45447.0)</f>
        <v>45447</v>
      </c>
      <c r="I51" s="19">
        <f>IFERROR(__xludf.DUMMYFUNCTION("""COMPUTED_VALUE"""),1.0)</f>
        <v>1</v>
      </c>
      <c r="J51" s="21">
        <f>IFERROR(__xludf.DUMMYFUNCTION("""COMPUTED_VALUE"""),76.0)</f>
        <v>76</v>
      </c>
      <c r="K51" s="23">
        <f>IFERROR(__xludf.DUMMYFUNCTION("""COMPUTED_VALUE"""),5.1)</f>
        <v>5.1</v>
      </c>
      <c r="L51" s="24">
        <f>IFERROR(__xludf.DUMMYFUNCTION("""COMPUTED_VALUE"""),32.0)</f>
        <v>32</v>
      </c>
      <c r="M51" s="25" t="str">
        <f>IFERROR(__xludf.DUMMYFUNCTION("""COMPUTED_VALUE"""),"Shooter")</f>
        <v>Shooter</v>
      </c>
      <c r="N51" s="25" t="str">
        <f>IFERROR(__xludf.DUMMYFUNCTION("""COMPUTED_VALUE"""),"Lightfall, The Witch Queen, Beyond Light, and Shadowkeep")</f>
        <v>Lightfall, The Witch Queen, Beyond Light, and Shadowkeep</v>
      </c>
      <c r="O51" s="26"/>
      <c r="P51" s="26"/>
    </row>
    <row r="52">
      <c r="A52" s="13" t="str">
        <f>IFERROR(__xludf.DUMMYFUNCTION("""COMPUTED_VALUE"""),"WUCHANG: Fallen Feathers")</f>
        <v>WUCHANG: Fallen Feathers</v>
      </c>
      <c r="B52" s="15" t="str">
        <f>IFERROR(__xludf.DUMMYFUNCTION("""COMPUTED_VALUE"""),"PS5")</f>
        <v>PS5</v>
      </c>
      <c r="C52" s="16" t="str">
        <f>IFERROR(__xludf.DUMMYFUNCTION("""COMPUTED_VALUE"""),"Essential")</f>
        <v>Essential</v>
      </c>
      <c r="D52" s="15" t="str">
        <f>IFERROR(__xludf.DUMMYFUNCTION("""COMPUTED_VALUE"""),"Removed")</f>
        <v>Removed</v>
      </c>
      <c r="E52" s="17">
        <f>IFERROR(__xludf.DUMMYFUNCTION("""COMPUTED_VALUE"""),46147.0)</f>
        <v>46147</v>
      </c>
      <c r="F52" s="54">
        <f>IFERROR(__xludf.DUMMYFUNCTION("""COMPUTED_VALUE"""),46174.0)</f>
        <v>46174</v>
      </c>
      <c r="G52" s="19">
        <f>IFERROR(__xludf.DUMMYFUNCTION("""COMPUTED_VALUE"""),0.8666666666666666)</f>
        <v>0.8666666667</v>
      </c>
      <c r="H52" s="17">
        <f>IFERROR(__xludf.DUMMYFUNCTION("""COMPUTED_VALUE"""),45862.0)</f>
        <v>45862</v>
      </c>
      <c r="I52" s="19">
        <f>IFERROR(__xludf.DUMMYFUNCTION("""COMPUTED_VALUE"""),0.7805555555555556)</f>
        <v>0.7805555556</v>
      </c>
      <c r="J52" s="21">
        <f>IFERROR(__xludf.DUMMYFUNCTION("""COMPUTED_VALUE"""),74.0)</f>
        <v>74</v>
      </c>
      <c r="K52" s="23">
        <f>IFERROR(__xludf.DUMMYFUNCTION("""COMPUTED_VALUE"""),6.8)</f>
        <v>6.8</v>
      </c>
      <c r="L52" s="24">
        <f>IFERROR(__xludf.DUMMYFUNCTION("""COMPUTED_VALUE"""),31.0)</f>
        <v>31</v>
      </c>
      <c r="M52" s="25" t="str">
        <f>IFERROR(__xludf.DUMMYFUNCTION("""COMPUTED_VALUE"""),"RPG")</f>
        <v>RPG</v>
      </c>
      <c r="N52" s="25"/>
      <c r="O52" s="26" t="str">
        <f>IFERROR(__xludf.DUMMYFUNCTION("""COMPUTED_VALUE"""),"No")</f>
        <v>No</v>
      </c>
      <c r="P52" s="26"/>
    </row>
    <row r="53">
      <c r="A53" s="13" t="str">
        <f>IFERROR(__xludf.DUMMYFUNCTION("""COMPUTED_VALUE"""),"Nine Sols")</f>
        <v>Nine Sols</v>
      </c>
      <c r="B53" s="15" t="str">
        <f>IFERROR(__xludf.DUMMYFUNCTION("""COMPUTED_VALUE"""),"PS5/PS4")</f>
        <v>PS5/PS4</v>
      </c>
      <c r="C53" s="16" t="str">
        <f>IFERROR(__xludf.DUMMYFUNCTION("""COMPUTED_VALUE"""),"Essential")</f>
        <v>Essential</v>
      </c>
      <c r="D53" s="15" t="str">
        <f>IFERROR(__xludf.DUMMYFUNCTION("""COMPUTED_VALUE"""),"Removed")</f>
        <v>Removed</v>
      </c>
      <c r="E53" s="17">
        <f>IFERROR(__xludf.DUMMYFUNCTION("""COMPUTED_VALUE"""),46147.0)</f>
        <v>46147</v>
      </c>
      <c r="F53" s="54">
        <f>IFERROR(__xludf.DUMMYFUNCTION("""COMPUTED_VALUE"""),46174.0)</f>
        <v>46174</v>
      </c>
      <c r="G53" s="19">
        <f>IFERROR(__xludf.DUMMYFUNCTION("""COMPUTED_VALUE"""),0.8666666666666666)</f>
        <v>0.8666666667</v>
      </c>
      <c r="H53" s="17">
        <f>IFERROR(__xludf.DUMMYFUNCTION("""COMPUTED_VALUE"""),45440.0)</f>
        <v>45440</v>
      </c>
      <c r="I53" s="19">
        <f>IFERROR(__xludf.DUMMYFUNCTION("""COMPUTED_VALUE"""),1.9361111111111111)</f>
        <v>1.936111111</v>
      </c>
      <c r="J53" s="21">
        <f>IFERROR(__xludf.DUMMYFUNCTION("""COMPUTED_VALUE"""),84.0)</f>
        <v>84</v>
      </c>
      <c r="K53" s="23">
        <f>IFERROR(__xludf.DUMMYFUNCTION("""COMPUTED_VALUE"""),8.4)</f>
        <v>8.4</v>
      </c>
      <c r="L53" s="24">
        <f>IFERROR(__xludf.DUMMYFUNCTION("""COMPUTED_VALUE"""),22.0)</f>
        <v>22</v>
      </c>
      <c r="M53" s="25" t="str">
        <f>IFERROR(__xludf.DUMMYFUNCTION("""COMPUTED_VALUE"""),"Metroidvania")</f>
        <v>Metroidvania</v>
      </c>
      <c r="N53" s="25"/>
      <c r="O53" s="26" t="str">
        <f>IFERROR(__xludf.DUMMYFUNCTION("""COMPUTED_VALUE"""),"No")</f>
        <v>No</v>
      </c>
      <c r="P53" s="26"/>
    </row>
    <row r="54">
      <c r="A54" s="13" t="str">
        <f>IFERROR(__xludf.DUMMYFUNCTION("""COMPUTED_VALUE"""),"MotoGP 25")</f>
        <v>MotoGP 25</v>
      </c>
      <c r="B54" s="15" t="str">
        <f>IFERROR(__xludf.DUMMYFUNCTION("""COMPUTED_VALUE"""),"PS5/PS4")</f>
        <v>PS5/PS4</v>
      </c>
      <c r="C54" s="16" t="str">
        <f>IFERROR(__xludf.DUMMYFUNCTION("""COMPUTED_VALUE"""),"Extra")</f>
        <v>Extra</v>
      </c>
      <c r="D54" s="15" t="str">
        <f>IFERROR(__xludf.DUMMYFUNCTION("""COMPUTED_VALUE"""),"Removed")</f>
        <v>Removed</v>
      </c>
      <c r="E54" s="17">
        <f>IFERROR(__xludf.DUMMYFUNCTION("""COMPUTED_VALUE"""),45979.0)</f>
        <v>45979</v>
      </c>
      <c r="F54" s="54">
        <f>IFERROR(__xludf.DUMMYFUNCTION("""COMPUTED_VALUE"""),46160.0)</f>
        <v>46160</v>
      </c>
      <c r="G54" s="19">
        <f>IFERROR(__xludf.DUMMYFUNCTION("""COMPUTED_VALUE"""),6.0)</f>
        <v>6</v>
      </c>
      <c r="H54" s="17">
        <f>IFERROR(__xludf.DUMMYFUNCTION("""COMPUTED_VALUE"""),45777.0)</f>
        <v>45777</v>
      </c>
      <c r="I54" s="19">
        <f>IFERROR(__xludf.DUMMYFUNCTION("""COMPUTED_VALUE"""),0.55)</f>
        <v>0.55</v>
      </c>
      <c r="J54" s="21">
        <f>IFERROR(__xludf.DUMMYFUNCTION("""COMPUTED_VALUE"""),78.0)</f>
        <v>78</v>
      </c>
      <c r="K54" s="23">
        <f>IFERROR(__xludf.DUMMYFUNCTION("""COMPUTED_VALUE"""),6.5)</f>
        <v>6.5</v>
      </c>
      <c r="L54" s="24">
        <f>IFERROR(__xludf.DUMMYFUNCTION("""COMPUTED_VALUE"""),27.0)</f>
        <v>27</v>
      </c>
      <c r="M54" s="25" t="str">
        <f>IFERROR(__xludf.DUMMYFUNCTION("""COMPUTED_VALUE"""),"Racing")</f>
        <v>Racing</v>
      </c>
      <c r="N54" s="25"/>
      <c r="O54" s="26"/>
      <c r="P54" s="26"/>
    </row>
    <row r="55">
      <c r="A55" s="13" t="str">
        <f>IFERROR(__xludf.DUMMYFUNCTION("""COMPUTED_VALUE"""),"SAND LAND")</f>
        <v>SAND LAND</v>
      </c>
      <c r="B55" s="15" t="str">
        <f>IFERROR(__xludf.DUMMYFUNCTION("""COMPUTED_VALUE"""),"PS5/PS4")</f>
        <v>PS5/PS4</v>
      </c>
      <c r="C55" s="16" t="str">
        <f>IFERROR(__xludf.DUMMYFUNCTION("""COMPUTED_VALUE"""),"Extra")</f>
        <v>Extra</v>
      </c>
      <c r="D55" s="15" t="str">
        <f>IFERROR(__xludf.DUMMYFUNCTION("""COMPUTED_VALUE"""),"Removed")</f>
        <v>Removed</v>
      </c>
      <c r="E55" s="17">
        <f>IFERROR(__xludf.DUMMYFUNCTION("""COMPUTED_VALUE"""),45797.0)</f>
        <v>45797</v>
      </c>
      <c r="F55" s="54">
        <f>IFERROR(__xludf.DUMMYFUNCTION("""COMPUTED_VALUE"""),46160.0)</f>
        <v>46160</v>
      </c>
      <c r="G55" s="19">
        <f>IFERROR(__xludf.DUMMYFUNCTION("""COMPUTED_VALUE"""),11.933333333333334)</f>
        <v>11.93333333</v>
      </c>
      <c r="H55" s="17">
        <f>IFERROR(__xludf.DUMMYFUNCTION("""COMPUTED_VALUE"""),45408.0)</f>
        <v>45408</v>
      </c>
      <c r="I55" s="19">
        <f>IFERROR(__xludf.DUMMYFUNCTION("""COMPUTED_VALUE"""),1.0666666666666667)</f>
        <v>1.066666667</v>
      </c>
      <c r="J55" s="21">
        <f>IFERROR(__xludf.DUMMYFUNCTION("""COMPUTED_VALUE"""),71.0)</f>
        <v>71</v>
      </c>
      <c r="K55" s="23">
        <f>IFERROR(__xludf.DUMMYFUNCTION("""COMPUTED_VALUE"""),8.0)</f>
        <v>8</v>
      </c>
      <c r="L55" s="24">
        <f>IFERROR(__xludf.DUMMYFUNCTION("""COMPUTED_VALUE"""),20.0)</f>
        <v>20</v>
      </c>
      <c r="M55" s="25" t="str">
        <f>IFERROR(__xludf.DUMMYFUNCTION("""COMPUTED_VALUE"""),"RPG")</f>
        <v>RPG</v>
      </c>
      <c r="N55" s="25"/>
      <c r="O55" s="26"/>
      <c r="P55" s="26"/>
    </row>
    <row r="56">
      <c r="A56" s="13" t="str">
        <f>IFERROR(__xludf.DUMMYFUNCTION("""COMPUTED_VALUE"""),"Soul Hackers 2")</f>
        <v>Soul Hackers 2</v>
      </c>
      <c r="B56" s="15" t="str">
        <f>IFERROR(__xludf.DUMMYFUNCTION("""COMPUTED_VALUE"""),"PS5")</f>
        <v>PS5</v>
      </c>
      <c r="C56" s="16" t="str">
        <f>IFERROR(__xludf.DUMMYFUNCTION("""COMPUTED_VALUE"""),"Extra")</f>
        <v>Extra</v>
      </c>
      <c r="D56" s="15" t="str">
        <f>IFERROR(__xludf.DUMMYFUNCTION("""COMPUTED_VALUE"""),"Removed")</f>
        <v>Removed</v>
      </c>
      <c r="E56" s="17">
        <f>IFERROR(__xludf.DUMMYFUNCTION("""COMPUTED_VALUE"""),45797.0)</f>
        <v>45797</v>
      </c>
      <c r="F56" s="54">
        <f>IFERROR(__xludf.DUMMYFUNCTION("""COMPUTED_VALUE"""),46160.0)</f>
        <v>46160</v>
      </c>
      <c r="G56" s="19">
        <f>IFERROR(__xludf.DUMMYFUNCTION("""COMPUTED_VALUE"""),11.933333333333334)</f>
        <v>11.93333333</v>
      </c>
      <c r="H56" s="17">
        <f>IFERROR(__xludf.DUMMYFUNCTION("""COMPUTED_VALUE"""),44797.0)</f>
        <v>44797</v>
      </c>
      <c r="I56" s="19">
        <f>IFERROR(__xludf.DUMMYFUNCTION("""COMPUTED_VALUE"""),2.738888888888889)</f>
        <v>2.738888889</v>
      </c>
      <c r="J56" s="21">
        <f>IFERROR(__xludf.DUMMYFUNCTION("""COMPUTED_VALUE"""),74.0)</f>
        <v>74</v>
      </c>
      <c r="K56" s="23">
        <f>IFERROR(__xludf.DUMMYFUNCTION("""COMPUTED_VALUE"""),6.9)</f>
        <v>6.9</v>
      </c>
      <c r="L56" s="24">
        <f>IFERROR(__xludf.DUMMYFUNCTION("""COMPUTED_VALUE"""),31.0)</f>
        <v>31</v>
      </c>
      <c r="M56" s="25" t="str">
        <f>IFERROR(__xludf.DUMMYFUNCTION("""COMPUTED_VALUE"""),"RPG")</f>
        <v>RPG</v>
      </c>
      <c r="N56" s="25"/>
      <c r="O56" s="26" t="str">
        <f>IFERROR(__xludf.DUMMYFUNCTION("""COMPUTED_VALUE"""),"No")</f>
        <v>No</v>
      </c>
      <c r="P56" s="26"/>
    </row>
    <row r="57">
      <c r="A57" s="13" t="str">
        <f>IFERROR(__xludf.DUMMYFUNCTION("""COMPUTED_VALUE"""),"The Dark Pictures Anthology: Little Hope")</f>
        <v>The Dark Pictures Anthology: Little Hope</v>
      </c>
      <c r="B57" s="15" t="str">
        <f>IFERROR(__xludf.DUMMYFUNCTION("""COMPUTED_VALUE"""),"PS4")</f>
        <v>PS4</v>
      </c>
      <c r="C57" s="16" t="str">
        <f>IFERROR(__xludf.DUMMYFUNCTION("""COMPUTED_VALUE"""),"Extra")</f>
        <v>Extra</v>
      </c>
      <c r="D57" s="15" t="str">
        <f>IFERROR(__xludf.DUMMYFUNCTION("""COMPUTED_VALUE"""),"Removed")</f>
        <v>Removed</v>
      </c>
      <c r="E57" s="17">
        <f>IFERROR(__xludf.DUMMYFUNCTION("""COMPUTED_VALUE"""),44725.0)</f>
        <v>44725</v>
      </c>
      <c r="F57" s="54">
        <f>IFERROR(__xludf.DUMMYFUNCTION("""COMPUTED_VALUE"""),46160.0)</f>
        <v>46160</v>
      </c>
      <c r="G57" s="19">
        <f>IFERROR(__xludf.DUMMYFUNCTION("""COMPUTED_VALUE"""),47.166666666666664)</f>
        <v>47.16666667</v>
      </c>
      <c r="H57" s="17">
        <f>IFERROR(__xludf.DUMMYFUNCTION("""COMPUTED_VALUE"""),44134.0)</f>
        <v>44134</v>
      </c>
      <c r="I57" s="19">
        <f>IFERROR(__xludf.DUMMYFUNCTION("""COMPUTED_VALUE"""),1.6194444444444445)</f>
        <v>1.619444444</v>
      </c>
      <c r="J57" s="21">
        <f>IFERROR(__xludf.DUMMYFUNCTION("""COMPUTED_VALUE"""),73.0)</f>
        <v>73</v>
      </c>
      <c r="K57" s="23">
        <f>IFERROR(__xludf.DUMMYFUNCTION("""COMPUTED_VALUE"""),6.1)</f>
        <v>6.1</v>
      </c>
      <c r="L57" s="24">
        <f>IFERROR(__xludf.DUMMYFUNCTION("""COMPUTED_VALUE"""),6.0)</f>
        <v>6</v>
      </c>
      <c r="M57" s="25" t="str">
        <f>IFERROR(__xludf.DUMMYFUNCTION("""COMPUTED_VALUE"""),"Horror")</f>
        <v>Horror</v>
      </c>
      <c r="N57" s="25"/>
      <c r="O57" s="26" t="str">
        <f>IFERROR(__xludf.DUMMYFUNCTION("""COMPUTED_VALUE"""),"Yes")</f>
        <v>Yes</v>
      </c>
      <c r="P57" s="26"/>
    </row>
    <row r="58">
      <c r="A58" s="13" t="str">
        <f>IFERROR(__xludf.DUMMYFUNCTION("""COMPUTED_VALUE"""),"The Dark Pictures Anthology: Man of Medan")</f>
        <v>The Dark Pictures Anthology: Man of Medan</v>
      </c>
      <c r="B58" s="15" t="str">
        <f>IFERROR(__xludf.DUMMYFUNCTION("""COMPUTED_VALUE"""),"PS4")</f>
        <v>PS4</v>
      </c>
      <c r="C58" s="16" t="str">
        <f>IFERROR(__xludf.DUMMYFUNCTION("""COMPUTED_VALUE"""),"Extra")</f>
        <v>Extra</v>
      </c>
      <c r="D58" s="15" t="str">
        <f>IFERROR(__xludf.DUMMYFUNCTION("""COMPUTED_VALUE"""),"Removed")</f>
        <v>Removed</v>
      </c>
      <c r="E58" s="17">
        <f>IFERROR(__xludf.DUMMYFUNCTION("""COMPUTED_VALUE"""),44725.0)</f>
        <v>44725</v>
      </c>
      <c r="F58" s="54">
        <f>IFERROR(__xludf.DUMMYFUNCTION("""COMPUTED_VALUE"""),46160.0)</f>
        <v>46160</v>
      </c>
      <c r="G58" s="19">
        <f>IFERROR(__xludf.DUMMYFUNCTION("""COMPUTED_VALUE"""),47.166666666666664)</f>
        <v>47.16666667</v>
      </c>
      <c r="H58" s="17">
        <f>IFERROR(__xludf.DUMMYFUNCTION("""COMPUTED_VALUE"""),43707.0)</f>
        <v>43707</v>
      </c>
      <c r="I58" s="19">
        <f>IFERROR(__xludf.DUMMYFUNCTION("""COMPUTED_VALUE"""),2.786111111111111)</f>
        <v>2.786111111</v>
      </c>
      <c r="J58" s="21">
        <f>IFERROR(__xludf.DUMMYFUNCTION("""COMPUTED_VALUE"""),69.0)</f>
        <v>69</v>
      </c>
      <c r="K58" s="23">
        <f>IFERROR(__xludf.DUMMYFUNCTION("""COMPUTED_VALUE"""),6.6)</f>
        <v>6.6</v>
      </c>
      <c r="L58" s="24">
        <f>IFERROR(__xludf.DUMMYFUNCTION("""COMPUTED_VALUE"""),4.5)</f>
        <v>4.5</v>
      </c>
      <c r="M58" s="25" t="str">
        <f>IFERROR(__xludf.DUMMYFUNCTION("""COMPUTED_VALUE"""),"Horror")</f>
        <v>Horror</v>
      </c>
      <c r="N58" s="25"/>
      <c r="O58" s="26" t="str">
        <f>IFERROR(__xludf.DUMMYFUNCTION("""COMPUTED_VALUE"""),"Yes")</f>
        <v>Yes</v>
      </c>
      <c r="P58" s="26"/>
    </row>
    <row r="59">
      <c r="A59" s="13" t="str">
        <f>IFERROR(__xludf.DUMMYFUNCTION("""COMPUTED_VALUE"""),"Control: Ultimate Edition")</f>
        <v>Control: Ultimate Edition</v>
      </c>
      <c r="B59" s="15" t="str">
        <f>IFERROR(__xludf.DUMMYFUNCTION("""COMPUTED_VALUE"""),"PS5/PS4")</f>
        <v>PS5/PS4</v>
      </c>
      <c r="C59" s="16" t="str">
        <f>IFERROR(__xludf.DUMMYFUNCTION("""COMPUTED_VALUE"""),"Extra")</f>
        <v>Extra</v>
      </c>
      <c r="D59" s="15" t="str">
        <f>IFERROR(__xludf.DUMMYFUNCTION("""COMPUTED_VALUE"""),"Removed")</f>
        <v>Removed</v>
      </c>
      <c r="E59" s="17">
        <f>IFERROR(__xludf.DUMMYFUNCTION("""COMPUTED_VALUE"""),44725.0)</f>
        <v>44725</v>
      </c>
      <c r="F59" s="54">
        <f>IFERROR(__xludf.DUMMYFUNCTION("""COMPUTED_VALUE"""),46160.0)</f>
        <v>46160</v>
      </c>
      <c r="G59" s="19">
        <f>IFERROR(__xludf.DUMMYFUNCTION("""COMPUTED_VALUE"""),47.166666666666664)</f>
        <v>47.16666667</v>
      </c>
      <c r="H59" s="17">
        <f>IFERROR(__xludf.DUMMYFUNCTION("""COMPUTED_VALUE"""),44070.0)</f>
        <v>44070</v>
      </c>
      <c r="I59" s="19">
        <f>IFERROR(__xludf.DUMMYFUNCTION("""COMPUTED_VALUE"""),1.7944444444444445)</f>
        <v>1.794444444</v>
      </c>
      <c r="J59" s="21">
        <f>IFERROR(__xludf.DUMMYFUNCTION("""COMPUTED_VALUE"""),85.0)</f>
        <v>85</v>
      </c>
      <c r="K59" s="23">
        <f>IFERROR(__xludf.DUMMYFUNCTION("""COMPUTED_VALUE"""),7.7)</f>
        <v>7.7</v>
      </c>
      <c r="L59" s="24">
        <f>IFERROR(__xludf.DUMMYFUNCTION("""COMPUTED_VALUE"""),12.5)</f>
        <v>12.5</v>
      </c>
      <c r="M59" s="25" t="str">
        <f>IFERROR(__xludf.DUMMYFUNCTION("""COMPUTED_VALUE"""),"Action-Adventure")</f>
        <v>Action-Adventure</v>
      </c>
      <c r="N59" s="25"/>
      <c r="O59" s="26" t="str">
        <f>IFERROR(__xludf.DUMMYFUNCTION("""COMPUTED_VALUE"""),"Yes")</f>
        <v>Yes</v>
      </c>
      <c r="P59" s="26"/>
    </row>
    <row r="60">
      <c r="A60" s="13" t="str">
        <f>IFERROR(__xludf.DUMMYFUNCTION("""COMPUTED_VALUE"""),"Mortal Shell")</f>
        <v>Mortal Shell</v>
      </c>
      <c r="B60" s="15" t="str">
        <f>IFERROR(__xludf.DUMMYFUNCTION("""COMPUTED_VALUE"""),"PS4")</f>
        <v>PS4</v>
      </c>
      <c r="C60" s="16" t="str">
        <f>IFERROR(__xludf.DUMMYFUNCTION("""COMPUTED_VALUE"""),"Extra")</f>
        <v>Extra</v>
      </c>
      <c r="D60" s="15" t="str">
        <f>IFERROR(__xludf.DUMMYFUNCTION("""COMPUTED_VALUE"""),"Removed")</f>
        <v>Removed</v>
      </c>
      <c r="E60" s="17">
        <f>IFERROR(__xludf.DUMMYFUNCTION("""COMPUTED_VALUE"""),44537.0)</f>
        <v>44537</v>
      </c>
      <c r="F60" s="54">
        <f>IFERROR(__xludf.DUMMYFUNCTION("""COMPUTED_VALUE"""),46160.0)</f>
        <v>46160</v>
      </c>
      <c r="G60" s="19">
        <f>IFERROR(__xludf.DUMMYFUNCTION("""COMPUTED_VALUE"""),53.36666666666666)</f>
        <v>53.36666667</v>
      </c>
      <c r="H60" s="17">
        <f>IFERROR(__xludf.DUMMYFUNCTION("""COMPUTED_VALUE"""),44061.0)</f>
        <v>44061</v>
      </c>
      <c r="I60" s="19">
        <f>IFERROR(__xludf.DUMMYFUNCTION("""COMPUTED_VALUE"""),1.3027777777777778)</f>
        <v>1.302777778</v>
      </c>
      <c r="J60" s="21">
        <f>IFERROR(__xludf.DUMMYFUNCTION("""COMPUTED_VALUE"""),76.0)</f>
        <v>76</v>
      </c>
      <c r="K60" s="23">
        <f>IFERROR(__xludf.DUMMYFUNCTION("""COMPUTED_VALUE"""),6.2)</f>
        <v>6.2</v>
      </c>
      <c r="L60" s="24">
        <f>IFERROR(__xludf.DUMMYFUNCTION("""COMPUTED_VALUE"""),11.0)</f>
        <v>11</v>
      </c>
      <c r="M60" s="25" t="str">
        <f>IFERROR(__xludf.DUMMYFUNCTION("""COMPUTED_VALUE"""),"Action-Adventure")</f>
        <v>Action-Adventure</v>
      </c>
      <c r="N60" s="25"/>
      <c r="O60" s="26" t="str">
        <f>IFERROR(__xludf.DUMMYFUNCTION("""COMPUTED_VALUE"""),"Yes")</f>
        <v>Yes</v>
      </c>
      <c r="P60" s="26"/>
    </row>
    <row r="61">
      <c r="A61" s="13" t="str">
        <f>IFERROR(__xludf.DUMMYFUNCTION("""COMPUTED_VALUE"""),"Lords of the Fallen (2023)")</f>
        <v>Lords of the Fallen (2023)</v>
      </c>
      <c r="B61" s="15" t="str">
        <f>IFERROR(__xludf.DUMMYFUNCTION("""COMPUTED_VALUE"""),"PS5")</f>
        <v>PS5</v>
      </c>
      <c r="C61" s="16" t="str">
        <f>IFERROR(__xludf.DUMMYFUNCTION("""COMPUTED_VALUE"""),"Essential")</f>
        <v>Essential</v>
      </c>
      <c r="D61" s="15" t="str">
        <f>IFERROR(__xludf.DUMMYFUNCTION("""COMPUTED_VALUE"""),"Removed")</f>
        <v>Removed</v>
      </c>
      <c r="E61" s="17">
        <f>IFERROR(__xludf.DUMMYFUNCTION("""COMPUTED_VALUE"""),46119.0)</f>
        <v>46119</v>
      </c>
      <c r="F61" s="54">
        <f>IFERROR(__xludf.DUMMYFUNCTION("""COMPUTED_VALUE"""),46146.0)</f>
        <v>46146</v>
      </c>
      <c r="G61" s="19">
        <f>IFERROR(__xludf.DUMMYFUNCTION("""COMPUTED_VALUE"""),0.8999999999999999)</f>
        <v>0.9</v>
      </c>
      <c r="H61" s="17">
        <f>IFERROR(__xludf.DUMMYFUNCTION("""COMPUTED_VALUE"""),45212.0)</f>
        <v>45212</v>
      </c>
      <c r="I61" s="19">
        <f>IFERROR(__xludf.DUMMYFUNCTION("""COMPUTED_VALUE"""),2.4833333333333334)</f>
        <v>2.483333333</v>
      </c>
      <c r="J61" s="21">
        <f>IFERROR(__xludf.DUMMYFUNCTION("""COMPUTED_VALUE"""),75.0)</f>
        <v>75</v>
      </c>
      <c r="K61" s="23">
        <f>IFERROR(__xludf.DUMMYFUNCTION("""COMPUTED_VALUE"""),6.8)</f>
        <v>6.8</v>
      </c>
      <c r="L61" s="24">
        <f>IFERROR(__xludf.DUMMYFUNCTION("""COMPUTED_VALUE"""),29.0)</f>
        <v>29</v>
      </c>
      <c r="M61" s="25" t="str">
        <f>IFERROR(__xludf.DUMMYFUNCTION("""COMPUTED_VALUE"""),"RPG")</f>
        <v>RPG</v>
      </c>
      <c r="N61" s="25"/>
      <c r="O61" s="26" t="str">
        <f>IFERROR(__xludf.DUMMYFUNCTION("""COMPUTED_VALUE"""),"No")</f>
        <v>No</v>
      </c>
      <c r="P61" s="26"/>
    </row>
    <row r="62">
      <c r="A62" s="13" t="str">
        <f>IFERROR(__xludf.DUMMYFUNCTION("""COMPUTED_VALUE"""),"Sword Art Online: Fractured Daydream")</f>
        <v>Sword Art Online: Fractured Daydream</v>
      </c>
      <c r="B62" s="15" t="str">
        <f>IFERROR(__xludf.DUMMYFUNCTION("""COMPUTED_VALUE"""),"PS5")</f>
        <v>PS5</v>
      </c>
      <c r="C62" s="16" t="str">
        <f>IFERROR(__xludf.DUMMYFUNCTION("""COMPUTED_VALUE"""),"Essential")</f>
        <v>Essential</v>
      </c>
      <c r="D62" s="15" t="str">
        <f>IFERROR(__xludf.DUMMYFUNCTION("""COMPUTED_VALUE"""),"Removed")</f>
        <v>Removed</v>
      </c>
      <c r="E62" s="17">
        <f>IFERROR(__xludf.DUMMYFUNCTION("""COMPUTED_VALUE"""),46119.0)</f>
        <v>46119</v>
      </c>
      <c r="F62" s="54">
        <f>IFERROR(__xludf.DUMMYFUNCTION("""COMPUTED_VALUE"""),46146.0)</f>
        <v>46146</v>
      </c>
      <c r="G62" s="19">
        <f>IFERROR(__xludf.DUMMYFUNCTION("""COMPUTED_VALUE"""),0.8999999999999999)</f>
        <v>0.9</v>
      </c>
      <c r="H62" s="17">
        <f>IFERROR(__xludf.DUMMYFUNCTION("""COMPUTED_VALUE"""),45569.0)</f>
        <v>45569</v>
      </c>
      <c r="I62" s="19">
        <f>IFERROR(__xludf.DUMMYFUNCTION("""COMPUTED_VALUE"""),1.5083333333333333)</f>
        <v>1.508333333</v>
      </c>
      <c r="J62" s="21">
        <f>IFERROR(__xludf.DUMMYFUNCTION("""COMPUTED_VALUE"""),68.0)</f>
        <v>68</v>
      </c>
      <c r="K62" s="23">
        <f>IFERROR(__xludf.DUMMYFUNCTION("""COMPUTED_VALUE"""),7.1)</f>
        <v>7.1</v>
      </c>
      <c r="L62" s="24">
        <f>IFERROR(__xludf.DUMMYFUNCTION("""COMPUTED_VALUE"""),18.0)</f>
        <v>18</v>
      </c>
      <c r="M62" s="25" t="str">
        <f>IFERROR(__xludf.DUMMYFUNCTION("""COMPUTED_VALUE"""),"RPG")</f>
        <v>RPG</v>
      </c>
      <c r="N62" s="25"/>
      <c r="O62" s="26" t="str">
        <f>IFERROR(__xludf.DUMMYFUNCTION("""COMPUTED_VALUE"""),"No")</f>
        <v>No</v>
      </c>
      <c r="P62" s="26"/>
    </row>
    <row r="63">
      <c r="A63" s="13" t="str">
        <f>IFERROR(__xludf.DUMMYFUNCTION("""COMPUTED_VALUE"""),"Tomb Raider I-III Remastered")</f>
        <v>Tomb Raider I-III Remastered</v>
      </c>
      <c r="B63" s="15" t="str">
        <f>IFERROR(__xludf.DUMMYFUNCTION("""COMPUTED_VALUE"""),"PS5/PS4")</f>
        <v>PS5/PS4</v>
      </c>
      <c r="C63" s="16" t="str">
        <f>IFERROR(__xludf.DUMMYFUNCTION("""COMPUTED_VALUE"""),"Essential")</f>
        <v>Essential</v>
      </c>
      <c r="D63" s="15" t="str">
        <f>IFERROR(__xludf.DUMMYFUNCTION("""COMPUTED_VALUE"""),"Removed")</f>
        <v>Removed</v>
      </c>
      <c r="E63" s="17">
        <f>IFERROR(__xludf.DUMMYFUNCTION("""COMPUTED_VALUE"""),46119.0)</f>
        <v>46119</v>
      </c>
      <c r="F63" s="54">
        <f>IFERROR(__xludf.DUMMYFUNCTION("""COMPUTED_VALUE"""),46146.0)</f>
        <v>46146</v>
      </c>
      <c r="G63" s="19">
        <f>IFERROR(__xludf.DUMMYFUNCTION("""COMPUTED_VALUE"""),0.8999999999999999)</f>
        <v>0.9</v>
      </c>
      <c r="H63" s="17">
        <f>IFERROR(__xludf.DUMMYFUNCTION("""COMPUTED_VALUE"""),45336.0)</f>
        <v>45336</v>
      </c>
      <c r="I63" s="19">
        <f>IFERROR(__xludf.DUMMYFUNCTION("""COMPUTED_VALUE"""),2.147222222222222)</f>
        <v>2.147222222</v>
      </c>
      <c r="J63" s="21">
        <f>IFERROR(__xludf.DUMMYFUNCTION("""COMPUTED_VALUE"""),75.0)</f>
        <v>75</v>
      </c>
      <c r="K63" s="23">
        <f>IFERROR(__xludf.DUMMYFUNCTION("""COMPUTED_VALUE"""),7.7)</f>
        <v>7.7</v>
      </c>
      <c r="L63" s="24">
        <f>IFERROR(__xludf.DUMMYFUNCTION("""COMPUTED_VALUE"""),66.0)</f>
        <v>66</v>
      </c>
      <c r="M63" s="25" t="str">
        <f>IFERROR(__xludf.DUMMYFUNCTION("""COMPUTED_VALUE"""),"Action-Adventure")</f>
        <v>Action-Adventure</v>
      </c>
      <c r="N63" s="25"/>
      <c r="O63" s="26" t="str">
        <f>IFERROR(__xludf.DUMMYFUNCTION("""COMPUTED_VALUE"""),"No")</f>
        <v>No</v>
      </c>
      <c r="P63" s="26"/>
    </row>
    <row r="64">
      <c r="A64" s="13" t="str">
        <f>IFERROR(__xludf.DUMMYFUNCTION("""COMPUTED_VALUE"""),"Lost Records: Bloom &amp; Rage - Tape 2: Rage")</f>
        <v>Lost Records: Bloom &amp; Rage - Tape 2: Rage</v>
      </c>
      <c r="B64" s="15" t="str">
        <f>IFERROR(__xludf.DUMMYFUNCTION("""COMPUTED_VALUE"""),"PS5")</f>
        <v>PS5</v>
      </c>
      <c r="C64" s="16" t="str">
        <f>IFERROR(__xludf.DUMMYFUNCTION("""COMPUTED_VALUE"""),"Extra")</f>
        <v>Extra</v>
      </c>
      <c r="D64" s="15" t="str">
        <f>IFERROR(__xludf.DUMMYFUNCTION("""COMPUTED_VALUE"""),"Removed")</f>
        <v>Removed</v>
      </c>
      <c r="E64" s="17">
        <f>IFERROR(__xludf.DUMMYFUNCTION("""COMPUTED_VALUE"""),45762.0)</f>
        <v>45762</v>
      </c>
      <c r="F64" s="54">
        <f>IFERROR(__xludf.DUMMYFUNCTION("""COMPUTED_VALUE"""),46132.0)</f>
        <v>46132</v>
      </c>
      <c r="G64" s="19">
        <f>IFERROR(__xludf.DUMMYFUNCTION("""COMPUTED_VALUE"""),12.166666666666666)</f>
        <v>12.16666667</v>
      </c>
      <c r="H64" s="17">
        <f>IFERROR(__xludf.DUMMYFUNCTION("""COMPUTED_VALUE"""),45762.0)</f>
        <v>45762</v>
      </c>
      <c r="I64" s="19">
        <f>IFERROR(__xludf.DUMMYFUNCTION("""COMPUTED_VALUE"""),0.0)</f>
        <v>0</v>
      </c>
      <c r="J64" s="21">
        <f>IFERROR(__xludf.DUMMYFUNCTION("""COMPUTED_VALUE"""),69.0)</f>
        <v>69</v>
      </c>
      <c r="K64" s="23">
        <f>IFERROR(__xludf.DUMMYFUNCTION("""COMPUTED_VALUE"""),6.8)</f>
        <v>6.8</v>
      </c>
      <c r="L64" s="24">
        <f>IFERROR(__xludf.DUMMYFUNCTION("""COMPUTED_VALUE"""),5.0)</f>
        <v>5</v>
      </c>
      <c r="M64" s="25" t="str">
        <f>IFERROR(__xludf.DUMMYFUNCTION("""COMPUTED_VALUE"""),"Action-Adventure")</f>
        <v>Action-Adventure</v>
      </c>
      <c r="N64" s="25"/>
      <c r="O64" s="26" t="str">
        <f>IFERROR(__xludf.DUMMYFUNCTION("""COMPUTED_VALUE"""),"No")</f>
        <v>No</v>
      </c>
      <c r="P64" s="26"/>
    </row>
    <row r="65">
      <c r="A65" s="13" t="str">
        <f>IFERROR(__xludf.DUMMYFUNCTION("""COMPUTED_VALUE"""),"EA Sports PGA Tour")</f>
        <v>EA Sports PGA Tour</v>
      </c>
      <c r="B65" s="15" t="str">
        <f>IFERROR(__xludf.DUMMYFUNCTION("""COMPUTED_VALUE"""),"PS5")</f>
        <v>PS5</v>
      </c>
      <c r="C65" s="16" t="str">
        <f>IFERROR(__xludf.DUMMYFUNCTION("""COMPUTED_VALUE"""),"Extra")</f>
        <v>Extra</v>
      </c>
      <c r="D65" s="15" t="str">
        <f>IFERROR(__xludf.DUMMYFUNCTION("""COMPUTED_VALUE"""),"Removed")</f>
        <v>Removed</v>
      </c>
      <c r="E65" s="17">
        <f>IFERROR(__xludf.DUMMYFUNCTION("""COMPUTED_VALUE"""),45748.0)</f>
        <v>45748</v>
      </c>
      <c r="F65" s="54">
        <f>IFERROR(__xludf.DUMMYFUNCTION("""COMPUTED_VALUE"""),46132.0)</f>
        <v>46132</v>
      </c>
      <c r="G65" s="19">
        <f>IFERROR(__xludf.DUMMYFUNCTION("""COMPUTED_VALUE"""),12.633333333333333)</f>
        <v>12.63333333</v>
      </c>
      <c r="H65" s="17">
        <f>IFERROR(__xludf.DUMMYFUNCTION("""COMPUTED_VALUE"""),45020.0)</f>
        <v>45020</v>
      </c>
      <c r="I65" s="19">
        <f>IFERROR(__xludf.DUMMYFUNCTION("""COMPUTED_VALUE"""),1.9916666666666667)</f>
        <v>1.991666667</v>
      </c>
      <c r="J65" s="21">
        <f>IFERROR(__xludf.DUMMYFUNCTION("""COMPUTED_VALUE"""),76.0)</f>
        <v>76</v>
      </c>
      <c r="K65" s="23">
        <f>IFERROR(__xludf.DUMMYFUNCTION("""COMPUTED_VALUE"""),9.2)</f>
        <v>9.2</v>
      </c>
      <c r="L65" s="24"/>
      <c r="M65" s="25" t="str">
        <f>IFERROR(__xludf.DUMMYFUNCTION("""COMPUTED_VALUE"""),"Sports")</f>
        <v>Sports</v>
      </c>
      <c r="N65" s="25"/>
      <c r="O65" s="26" t="str">
        <f>IFERROR(__xludf.DUMMYFUNCTION("""COMPUTED_VALUE"""),"No")</f>
        <v>No</v>
      </c>
      <c r="P65" s="26"/>
    </row>
    <row r="66">
      <c r="A66" s="13" t="str">
        <f>IFERROR(__xludf.DUMMYFUNCTION("""COMPUTED_VALUE"""),"Lost Records: Bloom &amp; Rage - Tape 1: Bloom")</f>
        <v>Lost Records: Bloom &amp; Rage - Tape 1: Bloom</v>
      </c>
      <c r="B66" s="15" t="str">
        <f>IFERROR(__xludf.DUMMYFUNCTION("""COMPUTED_VALUE"""),"PS5")</f>
        <v>PS5</v>
      </c>
      <c r="C66" s="16" t="str">
        <f>IFERROR(__xludf.DUMMYFUNCTION("""COMPUTED_VALUE"""),"Extra")</f>
        <v>Extra</v>
      </c>
      <c r="D66" s="15" t="str">
        <f>IFERROR(__xludf.DUMMYFUNCTION("""COMPUTED_VALUE"""),"Removed")</f>
        <v>Removed</v>
      </c>
      <c r="E66" s="17">
        <f>IFERROR(__xludf.DUMMYFUNCTION("""COMPUTED_VALUE"""),45706.0)</f>
        <v>45706</v>
      </c>
      <c r="F66" s="54">
        <f>IFERROR(__xludf.DUMMYFUNCTION("""COMPUTED_VALUE"""),46132.0)</f>
        <v>46132</v>
      </c>
      <c r="G66" s="19">
        <f>IFERROR(__xludf.DUMMYFUNCTION("""COMPUTED_VALUE"""),14.066666666666666)</f>
        <v>14.06666667</v>
      </c>
      <c r="H66" s="17">
        <f>IFERROR(__xludf.DUMMYFUNCTION("""COMPUTED_VALUE"""),45706.0)</f>
        <v>45706</v>
      </c>
      <c r="I66" s="19">
        <f>IFERROR(__xludf.DUMMYFUNCTION("""COMPUTED_VALUE"""),0.0)</f>
        <v>0</v>
      </c>
      <c r="J66" s="21">
        <f>IFERROR(__xludf.DUMMYFUNCTION("""COMPUTED_VALUE"""),75.0)</f>
        <v>75</v>
      </c>
      <c r="K66" s="23">
        <f>IFERROR(__xludf.DUMMYFUNCTION("""COMPUTED_VALUE"""),6.2)</f>
        <v>6.2</v>
      </c>
      <c r="L66" s="24">
        <f>IFERROR(__xludf.DUMMYFUNCTION("""COMPUTED_VALUE"""),7.0)</f>
        <v>7</v>
      </c>
      <c r="M66" s="25" t="str">
        <f>IFERROR(__xludf.DUMMYFUNCTION("""COMPUTED_VALUE"""),"Action-Adventure")</f>
        <v>Action-Adventure</v>
      </c>
      <c r="N66" s="25" t="str">
        <f>IFERROR(__xludf.DUMMYFUNCTION("""COMPUTED_VALUE"""),"Tape 2 day one launch 4/15/25")</f>
        <v>Tape 2 day one launch 4/15/25</v>
      </c>
      <c r="O66" s="26" t="str">
        <f>IFERROR(__xludf.DUMMYFUNCTION("""COMPUTED_VALUE"""),"No")</f>
        <v>No</v>
      </c>
      <c r="P66" s="26"/>
    </row>
    <row r="67">
      <c r="A67" s="13" t="str">
        <f>IFERROR(__xludf.DUMMYFUNCTION("""COMPUTED_VALUE"""),"Dave the Diver")</f>
        <v>Dave the Diver</v>
      </c>
      <c r="B67" s="15" t="str">
        <f>IFERROR(__xludf.DUMMYFUNCTION("""COMPUTED_VALUE"""),"PS5/PS4")</f>
        <v>PS5/PS4</v>
      </c>
      <c r="C67" s="16" t="str">
        <f>IFERROR(__xludf.DUMMYFUNCTION("""COMPUTED_VALUE"""),"Extra")</f>
        <v>Extra</v>
      </c>
      <c r="D67" s="15" t="str">
        <f>IFERROR(__xludf.DUMMYFUNCTION("""COMPUTED_VALUE"""),"Removed")</f>
        <v>Removed</v>
      </c>
      <c r="E67" s="17">
        <f>IFERROR(__xludf.DUMMYFUNCTION("""COMPUTED_VALUE"""),45398.0)</f>
        <v>45398</v>
      </c>
      <c r="F67" s="54">
        <f>IFERROR(__xludf.DUMMYFUNCTION("""COMPUTED_VALUE"""),46132.0)</f>
        <v>46132</v>
      </c>
      <c r="G67" s="19">
        <f>IFERROR(__xludf.DUMMYFUNCTION("""COMPUTED_VALUE"""),24.133333333333333)</f>
        <v>24.13333333</v>
      </c>
      <c r="H67" s="17">
        <f>IFERROR(__xludf.DUMMYFUNCTION("""COMPUTED_VALUE"""),45105.0)</f>
        <v>45105</v>
      </c>
      <c r="I67" s="19">
        <f>IFERROR(__xludf.DUMMYFUNCTION("""COMPUTED_VALUE"""),0.8)</f>
        <v>0.8</v>
      </c>
      <c r="J67" s="21">
        <f>IFERROR(__xludf.DUMMYFUNCTION("""COMPUTED_VALUE"""),90.0)</f>
        <v>90</v>
      </c>
      <c r="K67" s="23">
        <f>IFERROR(__xludf.DUMMYFUNCTION("""COMPUTED_VALUE"""),8.3)</f>
        <v>8.3</v>
      </c>
      <c r="L67" s="24">
        <f>IFERROR(__xludf.DUMMYFUNCTION("""COMPUTED_VALUE"""),24.0)</f>
        <v>24</v>
      </c>
      <c r="M67" s="25" t="str">
        <f>IFERROR(__xludf.DUMMYFUNCTION("""COMPUTED_VALUE"""),"Action-Adventure")</f>
        <v>Action-Adventure</v>
      </c>
      <c r="N67" s="25"/>
      <c r="O67" s="26" t="str">
        <f>IFERROR(__xludf.DUMMYFUNCTION("""COMPUTED_VALUE"""),"Yes")</f>
        <v>Yes</v>
      </c>
      <c r="P67" s="26"/>
    </row>
    <row r="68">
      <c r="A68" s="13" t="str">
        <f>IFERROR(__xludf.DUMMYFUNCTION("""COMPUTED_VALUE"""),"Disaster Report 4 Plus: Summer Memories")</f>
        <v>Disaster Report 4 Plus: Summer Memories</v>
      </c>
      <c r="B68" s="15" t="str">
        <f>IFERROR(__xludf.DUMMYFUNCTION("""COMPUTED_VALUE"""),"PS4/PSVR")</f>
        <v>PS4/PSVR</v>
      </c>
      <c r="C68" s="16" t="str">
        <f>IFERROR(__xludf.DUMMYFUNCTION("""COMPUTED_VALUE"""),"Extra")</f>
        <v>Extra</v>
      </c>
      <c r="D68" s="15" t="str">
        <f>IFERROR(__xludf.DUMMYFUNCTION("""COMPUTED_VALUE"""),"Removed")</f>
        <v>Removed</v>
      </c>
      <c r="E68" s="17">
        <f>IFERROR(__xludf.DUMMYFUNCTION("""COMPUTED_VALUE"""),44725.0)</f>
        <v>44725</v>
      </c>
      <c r="F68" s="54">
        <f>IFERROR(__xludf.DUMMYFUNCTION("""COMPUTED_VALUE"""),46132.0)</f>
        <v>46132</v>
      </c>
      <c r="G68" s="19">
        <f>IFERROR(__xludf.DUMMYFUNCTION("""COMPUTED_VALUE"""),46.233333333333334)</f>
        <v>46.23333333</v>
      </c>
      <c r="H68" s="17">
        <f>IFERROR(__xludf.DUMMYFUNCTION("""COMPUTED_VALUE"""),43426.0)</f>
        <v>43426</v>
      </c>
      <c r="I68" s="19">
        <f>IFERROR(__xludf.DUMMYFUNCTION("""COMPUTED_VALUE"""),3.558333333333333)</f>
        <v>3.558333333</v>
      </c>
      <c r="J68" s="21">
        <f>IFERROR(__xludf.DUMMYFUNCTION("""COMPUTED_VALUE"""),56.0)</f>
        <v>56</v>
      </c>
      <c r="K68" s="23">
        <f>IFERROR(__xludf.DUMMYFUNCTION("""COMPUTED_VALUE"""),7.1)</f>
        <v>7.1</v>
      </c>
      <c r="L68" s="24">
        <f>IFERROR(__xludf.DUMMYFUNCTION("""COMPUTED_VALUE"""),11.0)</f>
        <v>11</v>
      </c>
      <c r="M68" s="25" t="str">
        <f>IFERROR(__xludf.DUMMYFUNCTION("""COMPUTED_VALUE"""),"Action-Adventure")</f>
        <v>Action-Adventure</v>
      </c>
      <c r="N68" s="25"/>
      <c r="O68" s="26" t="str">
        <f>IFERROR(__xludf.DUMMYFUNCTION("""COMPUTED_VALUE"""),"No")</f>
        <v>No</v>
      </c>
      <c r="P68" s="26"/>
    </row>
    <row r="69">
      <c r="A69" s="13" t="str">
        <f>IFERROR(__xludf.DUMMYFUNCTION("""COMPUTED_VALUE"""),"Towerfall Ascension")</f>
        <v>Towerfall Ascension</v>
      </c>
      <c r="B69" s="15" t="str">
        <f>IFERROR(__xludf.DUMMYFUNCTION("""COMPUTED_VALUE"""),"PS4")</f>
        <v>PS4</v>
      </c>
      <c r="C69" s="16" t="str">
        <f>IFERROR(__xludf.DUMMYFUNCTION("""COMPUTED_VALUE"""),"Extra")</f>
        <v>Extra</v>
      </c>
      <c r="D69" s="15" t="str">
        <f>IFERROR(__xludf.DUMMYFUNCTION("""COMPUTED_VALUE"""),"Removed")</f>
        <v>Removed</v>
      </c>
      <c r="E69" s="17">
        <f>IFERROR(__xludf.DUMMYFUNCTION("""COMPUTED_VALUE"""),44725.0)</f>
        <v>44725</v>
      </c>
      <c r="F69" s="54">
        <f>IFERROR(__xludf.DUMMYFUNCTION("""COMPUTED_VALUE"""),46132.0)</f>
        <v>46132</v>
      </c>
      <c r="G69" s="19">
        <f>IFERROR(__xludf.DUMMYFUNCTION("""COMPUTED_VALUE"""),46.233333333333334)</f>
        <v>46.23333333</v>
      </c>
      <c r="H69" s="17">
        <f>IFERROR(__xludf.DUMMYFUNCTION("""COMPUTED_VALUE"""),41450.0)</f>
        <v>41450</v>
      </c>
      <c r="I69" s="19">
        <f>IFERROR(__xludf.DUMMYFUNCTION("""COMPUTED_VALUE"""),8.966666666666667)</f>
        <v>8.966666667</v>
      </c>
      <c r="J69" s="21">
        <f>IFERROR(__xludf.DUMMYFUNCTION("""COMPUTED_VALUE"""),83.0)</f>
        <v>83</v>
      </c>
      <c r="K69" s="23">
        <f>IFERROR(__xludf.DUMMYFUNCTION("""COMPUTED_VALUE"""),8.0)</f>
        <v>8</v>
      </c>
      <c r="L69" s="24">
        <f>IFERROR(__xludf.DUMMYFUNCTION("""COMPUTED_VALUE"""),4.0)</f>
        <v>4</v>
      </c>
      <c r="M69" s="25" t="str">
        <f>IFERROR(__xludf.DUMMYFUNCTION("""COMPUTED_VALUE"""),"Action-Adventure")</f>
        <v>Action-Adventure</v>
      </c>
      <c r="N69" s="25"/>
      <c r="O69" s="26" t="str">
        <f>IFERROR(__xludf.DUMMYFUNCTION("""COMPUTED_VALUE"""),"Yes")</f>
        <v>Yes</v>
      </c>
      <c r="P69" s="26" t="str">
        <f>IFERROR(__xludf.DUMMYFUNCTION("""COMPUTED_VALUE"""),"Yes")</f>
        <v>Yes</v>
      </c>
    </row>
    <row r="70">
      <c r="A70" s="13" t="str">
        <f>IFERROR(__xludf.DUMMYFUNCTION("""COMPUTED_VALUE"""),"Spitlings")</f>
        <v>Spitlings</v>
      </c>
      <c r="B70" s="15" t="str">
        <f>IFERROR(__xludf.DUMMYFUNCTION("""COMPUTED_VALUE"""),"PS4")</f>
        <v>PS4</v>
      </c>
      <c r="C70" s="16" t="str">
        <f>IFERROR(__xludf.DUMMYFUNCTION("""COMPUTED_VALUE"""),"Extra")</f>
        <v>Extra</v>
      </c>
      <c r="D70" s="15" t="str">
        <f>IFERROR(__xludf.DUMMYFUNCTION("""COMPUTED_VALUE"""),"Removed")</f>
        <v>Removed</v>
      </c>
      <c r="E70" s="17">
        <f>IFERROR(__xludf.DUMMYFUNCTION("""COMPUTED_VALUE"""),44537.0)</f>
        <v>44537</v>
      </c>
      <c r="F70" s="54">
        <f>IFERROR(__xludf.DUMMYFUNCTION("""COMPUTED_VALUE"""),46132.0)</f>
        <v>46132</v>
      </c>
      <c r="G70" s="19">
        <f>IFERROR(__xludf.DUMMYFUNCTION("""COMPUTED_VALUE"""),52.43333333333334)</f>
        <v>52.43333333</v>
      </c>
      <c r="H70" s="17">
        <f>IFERROR(__xludf.DUMMYFUNCTION("""COMPUTED_VALUE"""),43886.0)</f>
        <v>43886</v>
      </c>
      <c r="I70" s="19">
        <f>IFERROR(__xludf.DUMMYFUNCTION("""COMPUTED_VALUE"""),1.7833333333333334)</f>
        <v>1.783333333</v>
      </c>
      <c r="J70" s="21">
        <f>IFERROR(__xludf.DUMMYFUNCTION("""COMPUTED_VALUE"""),71.0)</f>
        <v>71</v>
      </c>
      <c r="K70" s="23">
        <f>IFERROR(__xludf.DUMMYFUNCTION("""COMPUTED_VALUE"""),6.4)</f>
        <v>6.4</v>
      </c>
      <c r="L70" s="24"/>
      <c r="M70" s="25" t="str">
        <f>IFERROR(__xludf.DUMMYFUNCTION("""COMPUTED_VALUE"""),"Arcade")</f>
        <v>Arcade</v>
      </c>
      <c r="N70" s="25"/>
      <c r="O70" s="26" t="str">
        <f>IFERROR(__xludf.DUMMYFUNCTION("""COMPUTED_VALUE"""),"Yes")</f>
        <v>Yes</v>
      </c>
      <c r="P70" s="26" t="str">
        <f>IFERROR(__xludf.DUMMYFUNCTION("""COMPUTED_VALUE"""),"Yes")</f>
        <v>Yes</v>
      </c>
    </row>
    <row r="71">
      <c r="A71" s="13" t="str">
        <f>IFERROR(__xludf.DUMMYFUNCTION("""COMPUTED_VALUE"""),"Mobile Suit Gundam Battle Operation Code Fairy")</f>
        <v>Mobile Suit Gundam Battle Operation Code Fairy</v>
      </c>
      <c r="B71" s="15" t="str">
        <f>IFERROR(__xludf.DUMMYFUNCTION("""COMPUTED_VALUE"""),"PS5/PS4")</f>
        <v>PS5/PS4</v>
      </c>
      <c r="C71" s="16" t="str">
        <f>IFERROR(__xludf.DUMMYFUNCTION("""COMPUTED_VALUE"""),"Extra")</f>
        <v>Extra</v>
      </c>
      <c r="D71" s="15" t="str">
        <f>IFERROR(__xludf.DUMMYFUNCTION("""COMPUTED_VALUE"""),"Removed")</f>
        <v>Removed</v>
      </c>
      <c r="E71" s="17">
        <f>IFERROR(__xludf.DUMMYFUNCTION("""COMPUTED_VALUE"""),45734.0)</f>
        <v>45734</v>
      </c>
      <c r="F71" s="54">
        <f>IFERROR(__xludf.DUMMYFUNCTION("""COMPUTED_VALUE"""),46097.0)</f>
        <v>46097</v>
      </c>
      <c r="G71" s="19">
        <f>IFERROR(__xludf.DUMMYFUNCTION("""COMPUTED_VALUE"""),11.933333333333334)</f>
        <v>11.93333333</v>
      </c>
      <c r="H71" s="17">
        <f>IFERROR(__xludf.DUMMYFUNCTION("""COMPUTED_VALUE"""),44505.0)</f>
        <v>44505</v>
      </c>
      <c r="I71" s="19">
        <f>IFERROR(__xludf.DUMMYFUNCTION("""COMPUTED_VALUE"""),3.3694444444444445)</f>
        <v>3.369444444</v>
      </c>
      <c r="J71" s="21">
        <f>IFERROR(__xludf.DUMMYFUNCTION("""COMPUTED_VALUE"""),66.0)</f>
        <v>66</v>
      </c>
      <c r="K71" s="23">
        <f>IFERROR(__xludf.DUMMYFUNCTION("""COMPUTED_VALUE"""),5.4)</f>
        <v>5.4</v>
      </c>
      <c r="L71" s="24">
        <f>IFERROR(__xludf.DUMMYFUNCTION("""COMPUTED_VALUE"""),18.0)</f>
        <v>18</v>
      </c>
      <c r="M71" s="26" t="str">
        <f>IFERROR(__xludf.DUMMYFUNCTION("""COMPUTED_VALUE"""),"Vehicle Combat Sim")</f>
        <v>Vehicle Combat Sim</v>
      </c>
      <c r="N71" s="25"/>
      <c r="O71" s="26" t="str">
        <f>IFERROR(__xludf.DUMMYFUNCTION("""COMPUTED_VALUE"""),"No")</f>
        <v>No</v>
      </c>
      <c r="P71" s="26"/>
    </row>
    <row r="72">
      <c r="A72" s="13" t="str">
        <f>IFERROR(__xludf.DUMMYFUNCTION("""COMPUTED_VALUE"""),"Circus Electrique")</f>
        <v>Circus Electrique</v>
      </c>
      <c r="B72" s="15" t="str">
        <f>IFERROR(__xludf.DUMMYFUNCTION("""COMPUTED_VALUE"""),"PS4")</f>
        <v>PS4</v>
      </c>
      <c r="C72" s="16" t="str">
        <f>IFERROR(__xludf.DUMMYFUNCTION("""COMPUTED_VALUE"""),"Extra")</f>
        <v>Extra</v>
      </c>
      <c r="D72" s="15" t="str">
        <f>IFERROR(__xludf.DUMMYFUNCTION("""COMPUTED_VALUE"""),"Removed")</f>
        <v>Removed</v>
      </c>
      <c r="E72" s="17">
        <f>IFERROR(__xludf.DUMMYFUNCTION("""COMPUTED_VALUE"""),45125.0)</f>
        <v>45125</v>
      </c>
      <c r="F72" s="54">
        <f>IFERROR(__xludf.DUMMYFUNCTION("""COMPUTED_VALUE"""),46097.0)</f>
        <v>46097</v>
      </c>
      <c r="G72" s="19">
        <f>IFERROR(__xludf.DUMMYFUNCTION("""COMPUTED_VALUE"""),31.93333333333333)</f>
        <v>31.93333333</v>
      </c>
      <c r="H72" s="17">
        <f>IFERROR(__xludf.DUMMYFUNCTION("""COMPUTED_VALUE"""),44810.0)</f>
        <v>44810</v>
      </c>
      <c r="I72" s="19">
        <f>IFERROR(__xludf.DUMMYFUNCTION("""COMPUTED_VALUE"""),0.8666666666666667)</f>
        <v>0.8666666667</v>
      </c>
      <c r="J72" s="21">
        <f>IFERROR(__xludf.DUMMYFUNCTION("""COMPUTED_VALUE"""),71.0)</f>
        <v>71</v>
      </c>
      <c r="K72" s="23">
        <f>IFERROR(__xludf.DUMMYFUNCTION("""COMPUTED_VALUE"""),3.0)</f>
        <v>3</v>
      </c>
      <c r="L72" s="24">
        <f>IFERROR(__xludf.DUMMYFUNCTION("""COMPUTED_VALUE"""),11.0)</f>
        <v>11</v>
      </c>
      <c r="M72" s="25" t="str">
        <f>IFERROR(__xludf.DUMMYFUNCTION("""COMPUTED_VALUE"""),"Strategy")</f>
        <v>Strategy</v>
      </c>
      <c r="N72" s="25"/>
      <c r="O72" s="26" t="str">
        <f>IFERROR(__xludf.DUMMYFUNCTION("""COMPUTED_VALUE"""),"Yes")</f>
        <v>Yes</v>
      </c>
      <c r="P72" s="26"/>
    </row>
    <row r="73">
      <c r="A73" s="13" t="str">
        <f>IFERROR(__xludf.DUMMYFUNCTION("""COMPUTED_VALUE"""),"Teenage Mutant Ninja Turtles: Shredder's Revenge")</f>
        <v>Teenage Mutant Ninja Turtles: Shredder's Revenge</v>
      </c>
      <c r="B73" s="15" t="str">
        <f>IFERROR(__xludf.DUMMYFUNCTION("""COMPUTED_VALUE"""),"PS5/PS4")</f>
        <v>PS5/PS4</v>
      </c>
      <c r="C73" s="16" t="str">
        <f>IFERROR(__xludf.DUMMYFUNCTION("""COMPUTED_VALUE"""),"Extra")</f>
        <v>Extra</v>
      </c>
      <c r="D73" s="15" t="str">
        <f>IFERROR(__xludf.DUMMYFUNCTION("""COMPUTED_VALUE"""),"Removed")</f>
        <v>Removed</v>
      </c>
      <c r="E73" s="17">
        <f>IFERROR(__xludf.DUMMYFUNCTION("""COMPUTED_VALUE"""),45097.0)</f>
        <v>45097</v>
      </c>
      <c r="F73" s="54">
        <f>IFERROR(__xludf.DUMMYFUNCTION("""COMPUTED_VALUE"""),46097.0)</f>
        <v>46097</v>
      </c>
      <c r="G73" s="19">
        <f>IFERROR(__xludf.DUMMYFUNCTION("""COMPUTED_VALUE"""),32.86666666666667)</f>
        <v>32.86666667</v>
      </c>
      <c r="H73" s="17">
        <f>IFERROR(__xludf.DUMMYFUNCTION("""COMPUTED_VALUE"""),44728.0)</f>
        <v>44728</v>
      </c>
      <c r="I73" s="19">
        <f>IFERROR(__xludf.DUMMYFUNCTION("""COMPUTED_VALUE"""),1.011111111111111)</f>
        <v>1.011111111</v>
      </c>
      <c r="J73" s="21">
        <f>IFERROR(__xludf.DUMMYFUNCTION("""COMPUTED_VALUE"""),85.0)</f>
        <v>85</v>
      </c>
      <c r="K73" s="23">
        <f>IFERROR(__xludf.DUMMYFUNCTION("""COMPUTED_VALUE"""),8.5)</f>
        <v>8.5</v>
      </c>
      <c r="L73" s="24">
        <f>IFERROR(__xludf.DUMMYFUNCTION("""COMPUTED_VALUE"""),3.0)</f>
        <v>3</v>
      </c>
      <c r="M73" s="25" t="str">
        <f>IFERROR(__xludf.DUMMYFUNCTION("""COMPUTED_VALUE"""),"Action-Adventure")</f>
        <v>Action-Adventure</v>
      </c>
      <c r="N73" s="25"/>
      <c r="O73" s="26" t="str">
        <f>IFERROR(__xludf.DUMMYFUNCTION("""COMPUTED_VALUE"""),"Yes")</f>
        <v>Yes</v>
      </c>
      <c r="P73" s="26"/>
    </row>
    <row r="74">
      <c r="A74" s="13" t="str">
        <f>IFERROR(__xludf.DUMMYFUNCTION("""COMPUTED_VALUE"""),"Redout II")</f>
        <v>Redout II</v>
      </c>
      <c r="B74" s="15" t="str">
        <f>IFERROR(__xludf.DUMMYFUNCTION("""COMPUTED_VALUE"""),"PS5/PS4")</f>
        <v>PS5/PS4</v>
      </c>
      <c r="C74" s="16" t="str">
        <f>IFERROR(__xludf.DUMMYFUNCTION("""COMPUTED_VALUE"""),"Extra")</f>
        <v>Extra</v>
      </c>
      <c r="D74" s="15" t="str">
        <f>IFERROR(__xludf.DUMMYFUNCTION("""COMPUTED_VALUE"""),"Removed")</f>
        <v>Removed</v>
      </c>
      <c r="E74" s="17">
        <f>IFERROR(__xludf.DUMMYFUNCTION("""COMPUTED_VALUE"""),45097.0)</f>
        <v>45097</v>
      </c>
      <c r="F74" s="54">
        <f>IFERROR(__xludf.DUMMYFUNCTION("""COMPUTED_VALUE"""),46097.0)</f>
        <v>46097</v>
      </c>
      <c r="G74" s="19">
        <f>IFERROR(__xludf.DUMMYFUNCTION("""COMPUTED_VALUE"""),32.86666666666667)</f>
        <v>32.86666667</v>
      </c>
      <c r="H74" s="17">
        <f>IFERROR(__xludf.DUMMYFUNCTION("""COMPUTED_VALUE"""),44728.0)</f>
        <v>44728</v>
      </c>
      <c r="I74" s="19">
        <f>IFERROR(__xludf.DUMMYFUNCTION("""COMPUTED_VALUE"""),1.011111111111111)</f>
        <v>1.011111111</v>
      </c>
      <c r="J74" s="21">
        <f>IFERROR(__xludf.DUMMYFUNCTION("""COMPUTED_VALUE"""),66.0)</f>
        <v>66</v>
      </c>
      <c r="K74" s="23">
        <f>IFERROR(__xludf.DUMMYFUNCTION("""COMPUTED_VALUE"""),5.0)</f>
        <v>5</v>
      </c>
      <c r="L74" s="24">
        <f>IFERROR(__xludf.DUMMYFUNCTION("""COMPUTED_VALUE"""),33.0)</f>
        <v>33</v>
      </c>
      <c r="M74" s="25" t="str">
        <f>IFERROR(__xludf.DUMMYFUNCTION("""COMPUTED_VALUE"""),"Racing")</f>
        <v>Racing</v>
      </c>
      <c r="N74" s="25"/>
      <c r="O74" s="26" t="str">
        <f>IFERROR(__xludf.DUMMYFUNCTION("""COMPUTED_VALUE"""),"Yes")</f>
        <v>Yes</v>
      </c>
      <c r="P74" s="26"/>
    </row>
    <row r="75">
      <c r="A75" s="13" t="str">
        <f>IFERROR(__xludf.DUMMYFUNCTION("""COMPUTED_VALUE"""),"Paradise Killer")</f>
        <v>Paradise Killer</v>
      </c>
      <c r="B75" s="15" t="str">
        <f>IFERROR(__xludf.DUMMYFUNCTION("""COMPUTED_VALUE"""),"PS5/PS4")</f>
        <v>PS5/PS4</v>
      </c>
      <c r="C75" s="16" t="str">
        <f>IFERROR(__xludf.DUMMYFUNCTION("""COMPUTED_VALUE"""),"Extra")</f>
        <v>Extra</v>
      </c>
      <c r="D75" s="15" t="str">
        <f>IFERROR(__xludf.DUMMYFUNCTION("""COMPUTED_VALUE"""),"Removed")</f>
        <v>Removed</v>
      </c>
      <c r="E75" s="17">
        <f>IFERROR(__xludf.DUMMYFUNCTION("""COMPUTED_VALUE"""),45034.0)</f>
        <v>45034</v>
      </c>
      <c r="F75" s="54">
        <f>IFERROR(__xludf.DUMMYFUNCTION("""COMPUTED_VALUE"""),46097.0)</f>
        <v>46097</v>
      </c>
      <c r="G75" s="19">
        <f>IFERROR(__xludf.DUMMYFUNCTION("""COMPUTED_VALUE"""),34.93333333333333)</f>
        <v>34.93333333</v>
      </c>
      <c r="H75" s="17">
        <f>IFERROR(__xludf.DUMMYFUNCTION("""COMPUTED_VALUE"""),44636.0)</f>
        <v>44636</v>
      </c>
      <c r="I75" s="19">
        <f>IFERROR(__xludf.DUMMYFUNCTION("""COMPUTED_VALUE"""),1.0888888888888888)</f>
        <v>1.088888889</v>
      </c>
      <c r="J75" s="21">
        <f>IFERROR(__xludf.DUMMYFUNCTION("""COMPUTED_VALUE"""),89.0)</f>
        <v>89</v>
      </c>
      <c r="K75" s="23">
        <f>IFERROR(__xludf.DUMMYFUNCTION("""COMPUTED_VALUE"""),7.0)</f>
        <v>7</v>
      </c>
      <c r="L75" s="24">
        <f>IFERROR(__xludf.DUMMYFUNCTION("""COMPUTED_VALUE"""),12.0)</f>
        <v>12</v>
      </c>
      <c r="M75" s="25" t="str">
        <f>IFERROR(__xludf.DUMMYFUNCTION("""COMPUTED_VALUE"""),"Action-Adventure")</f>
        <v>Action-Adventure</v>
      </c>
      <c r="N75" s="25"/>
      <c r="O75" s="26" t="str">
        <f>IFERROR(__xludf.DUMMYFUNCTION("""COMPUTED_VALUE"""),"Yes")</f>
        <v>Yes</v>
      </c>
      <c r="P75" s="26"/>
    </row>
    <row r="76">
      <c r="A76" s="13" t="str">
        <f>IFERROR(__xludf.DUMMYFUNCTION("""COMPUTED_VALUE"""),"Cris Tales")</f>
        <v>Cris Tales</v>
      </c>
      <c r="B76" s="15" t="str">
        <f>IFERROR(__xludf.DUMMYFUNCTION("""COMPUTED_VALUE"""),"PS5/PS4")</f>
        <v>PS5/PS4</v>
      </c>
      <c r="C76" s="16" t="str">
        <f>IFERROR(__xludf.DUMMYFUNCTION("""COMPUTED_VALUE"""),"Extra")</f>
        <v>Extra</v>
      </c>
      <c r="D76" s="15" t="str">
        <f>IFERROR(__xludf.DUMMYFUNCTION("""COMPUTED_VALUE"""),"Removed")</f>
        <v>Removed</v>
      </c>
      <c r="E76" s="17">
        <f>IFERROR(__xludf.DUMMYFUNCTION("""COMPUTED_VALUE"""),44725.0)</f>
        <v>44725</v>
      </c>
      <c r="F76" s="54">
        <f>IFERROR(__xludf.DUMMYFUNCTION("""COMPUTED_VALUE"""),46097.0)</f>
        <v>46097</v>
      </c>
      <c r="G76" s="19">
        <f>IFERROR(__xludf.DUMMYFUNCTION("""COMPUTED_VALUE"""),45.1)</f>
        <v>45.1</v>
      </c>
      <c r="H76" s="17">
        <f>IFERROR(__xludf.DUMMYFUNCTION("""COMPUTED_VALUE"""),44397.0)</f>
        <v>44397</v>
      </c>
      <c r="I76" s="19">
        <f>IFERROR(__xludf.DUMMYFUNCTION("""COMPUTED_VALUE"""),0.8972222222222223)</f>
        <v>0.8972222222</v>
      </c>
      <c r="J76" s="21">
        <f>IFERROR(__xludf.DUMMYFUNCTION("""COMPUTED_VALUE"""),74.0)</f>
        <v>74</v>
      </c>
      <c r="K76" s="23">
        <f>IFERROR(__xludf.DUMMYFUNCTION("""COMPUTED_VALUE"""),6.7)</f>
        <v>6.7</v>
      </c>
      <c r="L76" s="24">
        <f>IFERROR(__xludf.DUMMYFUNCTION("""COMPUTED_VALUE"""),21.0)</f>
        <v>21</v>
      </c>
      <c r="M76" s="25" t="str">
        <f>IFERROR(__xludf.DUMMYFUNCTION("""COMPUTED_VALUE"""),"RPG")</f>
        <v>RPG</v>
      </c>
      <c r="N76" s="25"/>
      <c r="O76" s="26" t="str">
        <f>IFERROR(__xludf.DUMMYFUNCTION("""COMPUTED_VALUE"""),"Yes")</f>
        <v>Yes</v>
      </c>
      <c r="P76" s="26" t="str">
        <f>IFERROR(__xludf.DUMMYFUNCTION("""COMPUTED_VALUE"""),"Yes")</f>
        <v>Yes</v>
      </c>
    </row>
    <row r="77">
      <c r="A77" s="13" t="str">
        <f>IFERROR(__xludf.DUMMYFUNCTION("""COMPUTED_VALUE"""),"Undisputed")</f>
        <v>Undisputed</v>
      </c>
      <c r="B77" s="15" t="str">
        <f>IFERROR(__xludf.DUMMYFUNCTION("""COMPUTED_VALUE"""),"PS5")</f>
        <v>PS5</v>
      </c>
      <c r="C77" s="16" t="str">
        <f>IFERROR(__xludf.DUMMYFUNCTION("""COMPUTED_VALUE"""),"Essential")</f>
        <v>Essential</v>
      </c>
      <c r="D77" s="15" t="str">
        <f>IFERROR(__xludf.DUMMYFUNCTION("""COMPUTED_VALUE"""),"Removed")</f>
        <v>Removed</v>
      </c>
      <c r="E77" s="17">
        <f>IFERROR(__xludf.DUMMYFUNCTION("""COMPUTED_VALUE"""),46056.0)</f>
        <v>46056</v>
      </c>
      <c r="F77" s="54">
        <f>IFERROR(__xludf.DUMMYFUNCTION("""COMPUTED_VALUE"""),46083.0)</f>
        <v>46083</v>
      </c>
      <c r="G77" s="19">
        <f>IFERROR(__xludf.DUMMYFUNCTION("""COMPUTED_VALUE"""),0.9666666666666668)</f>
        <v>0.9666666667</v>
      </c>
      <c r="H77" s="17">
        <f>IFERROR(__xludf.DUMMYFUNCTION("""COMPUTED_VALUE"""),45576.0)</f>
        <v>45576</v>
      </c>
      <c r="I77" s="19">
        <f>IFERROR(__xludf.DUMMYFUNCTION("""COMPUTED_VALUE"""),1.3111111111111111)</f>
        <v>1.311111111</v>
      </c>
      <c r="J77" s="21">
        <f>IFERROR(__xludf.DUMMYFUNCTION("""COMPUTED_VALUE"""),70.0)</f>
        <v>70</v>
      </c>
      <c r="K77" s="23">
        <f>IFERROR(__xludf.DUMMYFUNCTION("""COMPUTED_VALUE"""),4.9)</f>
        <v>4.9</v>
      </c>
      <c r="L77" s="24">
        <f>IFERROR(__xludf.DUMMYFUNCTION("""COMPUTED_VALUE"""),16.0)</f>
        <v>16</v>
      </c>
      <c r="M77" s="25" t="str">
        <f>IFERROR(__xludf.DUMMYFUNCTION("""COMPUTED_VALUE"""),"Sports")</f>
        <v>Sports</v>
      </c>
      <c r="N77" s="25"/>
      <c r="O77" s="26"/>
      <c r="P77" s="26"/>
    </row>
    <row r="78">
      <c r="A78" s="13" t="str">
        <f>IFERROR(__xludf.DUMMYFUNCTION("""COMPUTED_VALUE"""),"Subnautica: Below Zero")</f>
        <v>Subnautica: Below Zero</v>
      </c>
      <c r="B78" s="15" t="str">
        <f>IFERROR(__xludf.DUMMYFUNCTION("""COMPUTED_VALUE"""),"PS5/PS4")</f>
        <v>PS5/PS4</v>
      </c>
      <c r="C78" s="16" t="str">
        <f>IFERROR(__xludf.DUMMYFUNCTION("""COMPUTED_VALUE"""),"Essential")</f>
        <v>Essential</v>
      </c>
      <c r="D78" s="15" t="str">
        <f>IFERROR(__xludf.DUMMYFUNCTION("""COMPUTED_VALUE"""),"Removed")</f>
        <v>Removed</v>
      </c>
      <c r="E78" s="17">
        <f>IFERROR(__xludf.DUMMYFUNCTION("""COMPUTED_VALUE"""),46056.0)</f>
        <v>46056</v>
      </c>
      <c r="F78" s="54">
        <f>IFERROR(__xludf.DUMMYFUNCTION("""COMPUTED_VALUE"""),46083.0)</f>
        <v>46083</v>
      </c>
      <c r="G78" s="19">
        <f>IFERROR(__xludf.DUMMYFUNCTION("""COMPUTED_VALUE"""),0.9666666666666668)</f>
        <v>0.9666666667</v>
      </c>
      <c r="H78" s="17">
        <f>IFERROR(__xludf.DUMMYFUNCTION("""COMPUTED_VALUE"""),44330.0)</f>
        <v>44330</v>
      </c>
      <c r="I78" s="19">
        <f>IFERROR(__xludf.DUMMYFUNCTION("""COMPUTED_VALUE"""),4.719444444444444)</f>
        <v>4.719444444</v>
      </c>
      <c r="J78" s="21">
        <f>IFERROR(__xludf.DUMMYFUNCTION("""COMPUTED_VALUE"""),82.0)</f>
        <v>82</v>
      </c>
      <c r="K78" s="23">
        <f>IFERROR(__xludf.DUMMYFUNCTION("""COMPUTED_VALUE"""),7.1)</f>
        <v>7.1</v>
      </c>
      <c r="L78" s="24">
        <f>IFERROR(__xludf.DUMMYFUNCTION("""COMPUTED_VALUE"""),20.0)</f>
        <v>20</v>
      </c>
      <c r="M78" s="25" t="str">
        <f>IFERROR(__xludf.DUMMYFUNCTION("""COMPUTED_VALUE"""),"Action-Adventure")</f>
        <v>Action-Adventure</v>
      </c>
      <c r="N78" s="25"/>
      <c r="O78" s="26"/>
      <c r="P78" s="26"/>
    </row>
    <row r="79">
      <c r="A79" s="13" t="str">
        <f>IFERROR(__xludf.DUMMYFUNCTION("""COMPUTED_VALUE"""),"Ultros")</f>
        <v>Ultros</v>
      </c>
      <c r="B79" s="15" t="str">
        <f>IFERROR(__xludf.DUMMYFUNCTION("""COMPUTED_VALUE"""),"PS5/PS4")</f>
        <v>PS5/PS4</v>
      </c>
      <c r="C79" s="16" t="str">
        <f>IFERROR(__xludf.DUMMYFUNCTION("""COMPUTED_VALUE"""),"Essential")</f>
        <v>Essential</v>
      </c>
      <c r="D79" s="15" t="str">
        <f>IFERROR(__xludf.DUMMYFUNCTION("""COMPUTED_VALUE"""),"Removed")</f>
        <v>Removed</v>
      </c>
      <c r="E79" s="17">
        <f>IFERROR(__xludf.DUMMYFUNCTION("""COMPUTED_VALUE"""),46056.0)</f>
        <v>46056</v>
      </c>
      <c r="F79" s="54">
        <f>IFERROR(__xludf.DUMMYFUNCTION("""COMPUTED_VALUE"""),46083.0)</f>
        <v>46083</v>
      </c>
      <c r="G79" s="19">
        <f>IFERROR(__xludf.DUMMYFUNCTION("""COMPUTED_VALUE"""),0.9666666666666668)</f>
        <v>0.9666666667</v>
      </c>
      <c r="H79" s="17">
        <f>IFERROR(__xludf.DUMMYFUNCTION("""COMPUTED_VALUE"""),45335.0)</f>
        <v>45335</v>
      </c>
      <c r="I79" s="19">
        <f>IFERROR(__xludf.DUMMYFUNCTION("""COMPUTED_VALUE"""),1.9722222222222223)</f>
        <v>1.972222222</v>
      </c>
      <c r="J79" s="21">
        <f>IFERROR(__xludf.DUMMYFUNCTION("""COMPUTED_VALUE"""),79.0)</f>
        <v>79</v>
      </c>
      <c r="K79" s="23">
        <f>IFERROR(__xludf.DUMMYFUNCTION("""COMPUTED_VALUE"""),7.9)</f>
        <v>7.9</v>
      </c>
      <c r="L79" s="24">
        <f>IFERROR(__xludf.DUMMYFUNCTION("""COMPUTED_VALUE"""),12.0)</f>
        <v>12</v>
      </c>
      <c r="M79" s="25" t="str">
        <f>IFERROR(__xludf.DUMMYFUNCTION("""COMPUTED_VALUE"""),"Metroidvania")</f>
        <v>Metroidvania</v>
      </c>
      <c r="N79" s="25"/>
      <c r="O79" s="26"/>
      <c r="P79" s="26"/>
    </row>
    <row r="80">
      <c r="A80" s="13" t="str">
        <f>IFERROR(__xludf.DUMMYFUNCTION("""COMPUTED_VALUE"""),"Ace Combat 7: Skies Unknown")</f>
        <v>Ace Combat 7: Skies Unknown</v>
      </c>
      <c r="B80" s="15" t="str">
        <f>IFERROR(__xludf.DUMMYFUNCTION("""COMPUTED_VALUE"""),"PS4")</f>
        <v>PS4</v>
      </c>
      <c r="C80" s="16" t="str">
        <f>IFERROR(__xludf.DUMMYFUNCTION("""COMPUTED_VALUE"""),"Essential")</f>
        <v>Essential</v>
      </c>
      <c r="D80" s="15" t="str">
        <f>IFERROR(__xludf.DUMMYFUNCTION("""COMPUTED_VALUE"""),"Removed")</f>
        <v>Removed</v>
      </c>
      <c r="E80" s="17">
        <f>IFERROR(__xludf.DUMMYFUNCTION("""COMPUTED_VALUE"""),46056.0)</f>
        <v>46056</v>
      </c>
      <c r="F80" s="54">
        <f>IFERROR(__xludf.DUMMYFUNCTION("""COMPUTED_VALUE"""),46083.0)</f>
        <v>46083</v>
      </c>
      <c r="G80" s="19">
        <f>IFERROR(__xludf.DUMMYFUNCTION("""COMPUTED_VALUE"""),0.9666666666666668)</f>
        <v>0.9666666667</v>
      </c>
      <c r="H80" s="17">
        <f>IFERROR(__xludf.DUMMYFUNCTION("""COMPUTED_VALUE"""),43483.0)</f>
        <v>43483</v>
      </c>
      <c r="I80" s="19">
        <f>IFERROR(__xludf.DUMMYFUNCTION("""COMPUTED_VALUE"""),7.041666666666667)</f>
        <v>7.041666667</v>
      </c>
      <c r="J80" s="21">
        <f>IFERROR(__xludf.DUMMYFUNCTION("""COMPUTED_VALUE"""),80.0)</f>
        <v>80</v>
      </c>
      <c r="K80" s="23">
        <f>IFERROR(__xludf.DUMMYFUNCTION("""COMPUTED_VALUE"""),7.9)</f>
        <v>7.9</v>
      </c>
      <c r="L80" s="24">
        <f>IFERROR(__xludf.DUMMYFUNCTION("""COMPUTED_VALUE"""),12.0)</f>
        <v>12</v>
      </c>
      <c r="M80" s="25" t="str">
        <f>IFERROR(__xludf.DUMMYFUNCTION("""COMPUTED_VALUE"""),"Action-Adventure")</f>
        <v>Action-Adventure</v>
      </c>
      <c r="N80" s="25"/>
      <c r="O80" s="26"/>
      <c r="P80" s="26"/>
    </row>
    <row r="81">
      <c r="A81" s="13" t="str">
        <f>IFERROR(__xludf.DUMMYFUNCTION("""COMPUTED_VALUE"""),"Need For Speed: Unbound")</f>
        <v>Need For Speed: Unbound</v>
      </c>
      <c r="B81" s="15" t="str">
        <f>IFERROR(__xludf.DUMMYFUNCTION("""COMPUTED_VALUE"""),"PS5")</f>
        <v>PS5</v>
      </c>
      <c r="C81" s="16" t="str">
        <f>IFERROR(__xludf.DUMMYFUNCTION("""COMPUTED_VALUE"""),"Essential")</f>
        <v>Essential</v>
      </c>
      <c r="D81" s="15" t="str">
        <f>IFERROR(__xludf.DUMMYFUNCTION("""COMPUTED_VALUE"""),"Removed")</f>
        <v>Removed</v>
      </c>
      <c r="E81" s="17">
        <f>IFERROR(__xludf.DUMMYFUNCTION("""COMPUTED_VALUE"""),46028.0)</f>
        <v>46028</v>
      </c>
      <c r="F81" s="54">
        <f>IFERROR(__xludf.DUMMYFUNCTION("""COMPUTED_VALUE"""),46055.0)</f>
        <v>46055</v>
      </c>
      <c r="G81" s="19">
        <f>IFERROR(__xludf.DUMMYFUNCTION("""COMPUTED_VALUE"""),0.8666666666666666)</f>
        <v>0.8666666667</v>
      </c>
      <c r="H81" s="17">
        <f>IFERROR(__xludf.DUMMYFUNCTION("""COMPUTED_VALUE"""),44897.0)</f>
        <v>44897</v>
      </c>
      <c r="I81" s="19">
        <f>IFERROR(__xludf.DUMMYFUNCTION("""COMPUTED_VALUE"""),3.0944444444444446)</f>
        <v>3.094444444</v>
      </c>
      <c r="J81" s="21">
        <f>IFERROR(__xludf.DUMMYFUNCTION("""COMPUTED_VALUE"""),77.0)</f>
        <v>77</v>
      </c>
      <c r="K81" s="23">
        <f>IFERROR(__xludf.DUMMYFUNCTION("""COMPUTED_VALUE"""),5.9)</f>
        <v>5.9</v>
      </c>
      <c r="L81" s="24">
        <f>IFERROR(__xludf.DUMMYFUNCTION("""COMPUTED_VALUE"""),23.0)</f>
        <v>23</v>
      </c>
      <c r="M81" s="25" t="str">
        <f>IFERROR(__xludf.DUMMYFUNCTION("""COMPUTED_VALUE"""),"Racing")</f>
        <v>Racing</v>
      </c>
      <c r="N81" s="25"/>
      <c r="O81" s="26" t="str">
        <f>IFERROR(__xludf.DUMMYFUNCTION("""COMPUTED_VALUE"""),"No")</f>
        <v>No</v>
      </c>
      <c r="P81" s="26"/>
    </row>
    <row r="82">
      <c r="A82" s="13" t="str">
        <f>IFERROR(__xludf.DUMMYFUNCTION("""COMPUTED_VALUE"""),"Core Keeper")</f>
        <v>Core Keeper</v>
      </c>
      <c r="B82" s="15" t="str">
        <f>IFERROR(__xludf.DUMMYFUNCTION("""COMPUTED_VALUE"""),"PS5/PS4")</f>
        <v>PS5/PS4</v>
      </c>
      <c r="C82" s="16" t="str">
        <f>IFERROR(__xludf.DUMMYFUNCTION("""COMPUTED_VALUE"""),"Essential")</f>
        <v>Essential</v>
      </c>
      <c r="D82" s="15" t="str">
        <f>IFERROR(__xludf.DUMMYFUNCTION("""COMPUTED_VALUE"""),"Removed")</f>
        <v>Removed</v>
      </c>
      <c r="E82" s="17">
        <f>IFERROR(__xludf.DUMMYFUNCTION("""COMPUTED_VALUE"""),46028.0)</f>
        <v>46028</v>
      </c>
      <c r="F82" s="54">
        <f>IFERROR(__xludf.DUMMYFUNCTION("""COMPUTED_VALUE"""),46055.0)</f>
        <v>46055</v>
      </c>
      <c r="G82" s="19">
        <f>IFERROR(__xludf.DUMMYFUNCTION("""COMPUTED_VALUE"""),0.8666666666666666)</f>
        <v>0.8666666667</v>
      </c>
      <c r="H82" s="17">
        <f>IFERROR(__xludf.DUMMYFUNCTION("""COMPUTED_VALUE"""),45531.0)</f>
        <v>45531</v>
      </c>
      <c r="I82" s="19">
        <f>IFERROR(__xludf.DUMMYFUNCTION("""COMPUTED_VALUE"""),1.3583333333333334)</f>
        <v>1.358333333</v>
      </c>
      <c r="J82" s="21">
        <f>IFERROR(__xludf.DUMMYFUNCTION("""COMPUTED_VALUE"""),85.0)</f>
        <v>85</v>
      </c>
      <c r="K82" s="23">
        <f>IFERROR(__xludf.DUMMYFUNCTION("""COMPUTED_VALUE"""),7.5)</f>
        <v>7.5</v>
      </c>
      <c r="L82" s="24">
        <f>IFERROR(__xludf.DUMMYFUNCTION("""COMPUTED_VALUE"""),36.0)</f>
        <v>36</v>
      </c>
      <c r="M82" s="25" t="str">
        <f>IFERROR(__xludf.DUMMYFUNCTION("""COMPUTED_VALUE"""),"Action-Adventure")</f>
        <v>Action-Adventure</v>
      </c>
      <c r="N82" s="25"/>
      <c r="O82" s="26" t="str">
        <f>IFERROR(__xludf.DUMMYFUNCTION("""COMPUTED_VALUE"""),"No")</f>
        <v>No</v>
      </c>
      <c r="P82" s="26"/>
    </row>
    <row r="83">
      <c r="A83" s="13" t="str">
        <f>IFERROR(__xludf.DUMMYFUNCTION("""COMPUTED_VALUE"""),"Disney Epic Mickey: Rebrushed")</f>
        <v>Disney Epic Mickey: Rebrushed</v>
      </c>
      <c r="B83" s="15" t="str">
        <f>IFERROR(__xludf.DUMMYFUNCTION("""COMPUTED_VALUE"""),"PS5/PS4")</f>
        <v>PS5/PS4</v>
      </c>
      <c r="C83" s="16" t="str">
        <f>IFERROR(__xludf.DUMMYFUNCTION("""COMPUTED_VALUE"""),"Essential")</f>
        <v>Essential</v>
      </c>
      <c r="D83" s="15" t="str">
        <f>IFERROR(__xludf.DUMMYFUNCTION("""COMPUTED_VALUE"""),"Removed")</f>
        <v>Removed</v>
      </c>
      <c r="E83" s="17">
        <f>IFERROR(__xludf.DUMMYFUNCTION("""COMPUTED_VALUE"""),46028.0)</f>
        <v>46028</v>
      </c>
      <c r="F83" s="54">
        <f>IFERROR(__xludf.DUMMYFUNCTION("""COMPUTED_VALUE"""),46055.0)</f>
        <v>46055</v>
      </c>
      <c r="G83" s="19">
        <f>IFERROR(__xludf.DUMMYFUNCTION("""COMPUTED_VALUE"""),0.8666666666666666)</f>
        <v>0.8666666667</v>
      </c>
      <c r="H83" s="17">
        <f>IFERROR(__xludf.DUMMYFUNCTION("""COMPUTED_VALUE"""),45559.0)</f>
        <v>45559</v>
      </c>
      <c r="I83" s="19">
        <f>IFERROR(__xludf.DUMMYFUNCTION("""COMPUTED_VALUE"""),1.2833333333333334)</f>
        <v>1.283333333</v>
      </c>
      <c r="J83" s="21">
        <f>IFERROR(__xludf.DUMMYFUNCTION("""COMPUTED_VALUE"""),76.0)</f>
        <v>76</v>
      </c>
      <c r="K83" s="23">
        <f>IFERROR(__xludf.DUMMYFUNCTION("""COMPUTED_VALUE"""),7.6)</f>
        <v>7.6</v>
      </c>
      <c r="L83" s="24">
        <f>IFERROR(__xludf.DUMMYFUNCTION("""COMPUTED_VALUE"""),9.0)</f>
        <v>9</v>
      </c>
      <c r="M83" s="25" t="str">
        <f>IFERROR(__xludf.DUMMYFUNCTION("""COMPUTED_VALUE"""),"Action-Adventure")</f>
        <v>Action-Adventure</v>
      </c>
      <c r="N83" s="25"/>
      <c r="O83" s="26" t="str">
        <f>IFERROR(__xludf.DUMMYFUNCTION("""COMPUTED_VALUE"""),"No")</f>
        <v>No</v>
      </c>
      <c r="P83" s="26"/>
    </row>
    <row r="84">
      <c r="A84" s="13" t="str">
        <f>IFERROR(__xludf.DUMMYFUNCTION("""COMPUTED_VALUE"""),"WWE 2K25")</f>
        <v>WWE 2K25</v>
      </c>
      <c r="B84" s="15" t="str">
        <f>IFERROR(__xludf.DUMMYFUNCTION("""COMPUTED_VALUE"""),"PS5/PS4")</f>
        <v>PS5/PS4</v>
      </c>
      <c r="C84" s="16" t="str">
        <f>IFERROR(__xludf.DUMMYFUNCTION("""COMPUTED_VALUE"""),"Extra")</f>
        <v>Extra</v>
      </c>
      <c r="D84" s="15" t="str">
        <f>IFERROR(__xludf.DUMMYFUNCTION("""COMPUTED_VALUE"""),"Removed")</f>
        <v>Removed</v>
      </c>
      <c r="E84" s="17">
        <f>IFERROR(__xludf.DUMMYFUNCTION("""COMPUTED_VALUE"""),45916.0)</f>
        <v>45916</v>
      </c>
      <c r="F84" s="54">
        <f>IFERROR(__xludf.DUMMYFUNCTION("""COMPUTED_VALUE"""),46055.0)</f>
        <v>46055</v>
      </c>
      <c r="G84" s="19">
        <f>IFERROR(__xludf.DUMMYFUNCTION("""COMPUTED_VALUE"""),4.533333333333333)</f>
        <v>4.533333333</v>
      </c>
      <c r="H84" s="17">
        <f>IFERROR(__xludf.DUMMYFUNCTION("""COMPUTED_VALUE"""),45730.0)</f>
        <v>45730</v>
      </c>
      <c r="I84" s="19">
        <f>IFERROR(__xludf.DUMMYFUNCTION("""COMPUTED_VALUE"""),0.5055555555555555)</f>
        <v>0.5055555556</v>
      </c>
      <c r="J84" s="21">
        <f>IFERROR(__xludf.DUMMYFUNCTION("""COMPUTED_VALUE"""),80.0)</f>
        <v>80</v>
      </c>
      <c r="K84" s="23">
        <f>IFERROR(__xludf.DUMMYFUNCTION("""COMPUTED_VALUE"""),6.1)</f>
        <v>6.1</v>
      </c>
      <c r="L84" s="24">
        <f>IFERROR(__xludf.DUMMYFUNCTION("""COMPUTED_VALUE"""),10.0)</f>
        <v>10</v>
      </c>
      <c r="M84" s="25" t="str">
        <f>IFERROR(__xludf.DUMMYFUNCTION("""COMPUTED_VALUE"""),"Fighting")</f>
        <v>Fighting</v>
      </c>
      <c r="N84" s="25"/>
      <c r="O84" s="26"/>
      <c r="P84" s="26"/>
    </row>
    <row r="85">
      <c r="A85" s="13" t="str">
        <f>IFERROR(__xludf.DUMMYFUNCTION("""COMPUTED_VALUE"""),"SaGa Frontier: Remastered")</f>
        <v>SaGa Frontier: Remastered</v>
      </c>
      <c r="B85" s="15" t="str">
        <f>IFERROR(__xludf.DUMMYFUNCTION("""COMPUTED_VALUE"""),"PS4")</f>
        <v>PS4</v>
      </c>
      <c r="C85" s="16" t="str">
        <f>IFERROR(__xludf.DUMMYFUNCTION("""COMPUTED_VALUE"""),"Extra")</f>
        <v>Extra</v>
      </c>
      <c r="D85" s="15" t="str">
        <f>IFERROR(__xludf.DUMMYFUNCTION("""COMPUTED_VALUE"""),"Removed")</f>
        <v>Removed</v>
      </c>
      <c r="E85" s="17">
        <f>IFERROR(__xludf.DUMMYFUNCTION("""COMPUTED_VALUE"""),45705.0)</f>
        <v>45705</v>
      </c>
      <c r="F85" s="54">
        <f>IFERROR(__xludf.DUMMYFUNCTION("""COMPUTED_VALUE"""),46055.0)</f>
        <v>46055</v>
      </c>
      <c r="G85" s="19">
        <f>IFERROR(__xludf.DUMMYFUNCTION("""COMPUTED_VALUE"""),11.5)</f>
        <v>11.5</v>
      </c>
      <c r="H85" s="17">
        <f>IFERROR(__xludf.DUMMYFUNCTION("""COMPUTED_VALUE"""),44301.0)</f>
        <v>44301</v>
      </c>
      <c r="I85" s="19">
        <f>IFERROR(__xludf.DUMMYFUNCTION("""COMPUTED_VALUE"""),3.838888888888889)</f>
        <v>3.838888889</v>
      </c>
      <c r="J85" s="21">
        <f>IFERROR(__xludf.DUMMYFUNCTION("""COMPUTED_VALUE"""),77.0)</f>
        <v>77</v>
      </c>
      <c r="K85" s="23">
        <f>IFERROR(__xludf.DUMMYFUNCTION("""COMPUTED_VALUE"""),6.7)</f>
        <v>6.7</v>
      </c>
      <c r="L85" s="24">
        <f>IFERROR(__xludf.DUMMYFUNCTION("""COMPUTED_VALUE"""),14.0)</f>
        <v>14</v>
      </c>
      <c r="M85" s="25" t="str">
        <f>IFERROR(__xludf.DUMMYFUNCTION("""COMPUTED_VALUE"""),"RPG")</f>
        <v>RPG</v>
      </c>
      <c r="N85" s="25"/>
      <c r="O85" s="26" t="str">
        <f>IFERROR(__xludf.DUMMYFUNCTION("""COMPUTED_VALUE"""),"Yes")</f>
        <v>Yes</v>
      </c>
      <c r="P85" s="26"/>
    </row>
    <row r="86">
      <c r="A86" s="13" t="str">
        <f>IFERROR(__xludf.DUMMYFUNCTION("""COMPUTED_VALUE"""),"Cult of the Lamb")</f>
        <v>Cult of the Lamb</v>
      </c>
      <c r="B86" s="15" t="str">
        <f>IFERROR(__xludf.DUMMYFUNCTION("""COMPUTED_VALUE"""),"PS5/PS4")</f>
        <v>PS5/PS4</v>
      </c>
      <c r="C86" s="16" t="str">
        <f>IFERROR(__xludf.DUMMYFUNCTION("""COMPUTED_VALUE"""),"Extra")</f>
        <v>Extra</v>
      </c>
      <c r="D86" s="15" t="str">
        <f>IFERROR(__xludf.DUMMYFUNCTION("""COMPUTED_VALUE"""),"Removed")</f>
        <v>Removed</v>
      </c>
      <c r="E86" s="17">
        <f>IFERROR(__xludf.DUMMYFUNCTION("""COMPUTED_VALUE"""),45524.0)</f>
        <v>45524</v>
      </c>
      <c r="F86" s="54">
        <f>IFERROR(__xludf.DUMMYFUNCTION("""COMPUTED_VALUE"""),46055.0)</f>
        <v>46055</v>
      </c>
      <c r="G86" s="19">
        <f>IFERROR(__xludf.DUMMYFUNCTION("""COMPUTED_VALUE"""),17.4)</f>
        <v>17.4</v>
      </c>
      <c r="H86" s="17">
        <f>IFERROR(__xludf.DUMMYFUNCTION("""COMPUTED_VALUE"""),44784.0)</f>
        <v>44784</v>
      </c>
      <c r="I86" s="19">
        <f>IFERROR(__xludf.DUMMYFUNCTION("""COMPUTED_VALUE"""),2.025)</f>
        <v>2.025</v>
      </c>
      <c r="J86" s="21">
        <f>IFERROR(__xludf.DUMMYFUNCTION("""COMPUTED_VALUE"""),82.0)</f>
        <v>82</v>
      </c>
      <c r="K86" s="23">
        <f>IFERROR(__xludf.DUMMYFUNCTION("""COMPUTED_VALUE"""),7.8)</f>
        <v>7.8</v>
      </c>
      <c r="L86" s="24">
        <f>IFERROR(__xludf.DUMMYFUNCTION("""COMPUTED_VALUE"""),15.0)</f>
        <v>15</v>
      </c>
      <c r="M86" s="25" t="str">
        <f>IFERROR(__xludf.DUMMYFUNCTION("""COMPUTED_VALUE"""),"Action-Adventure")</f>
        <v>Action-Adventure</v>
      </c>
      <c r="N86" s="25"/>
      <c r="O86" s="26" t="str">
        <f>IFERROR(__xludf.DUMMYFUNCTION("""COMPUTED_VALUE"""),"Yes")</f>
        <v>Yes</v>
      </c>
      <c r="P86" s="26"/>
    </row>
    <row r="87">
      <c r="A87" s="13" t="str">
        <f>IFERROR(__xludf.DUMMYFUNCTION("""COMPUTED_VALUE"""),"Super Neptunia RPG")</f>
        <v>Super Neptunia RPG</v>
      </c>
      <c r="B87" s="15" t="str">
        <f>IFERROR(__xludf.DUMMYFUNCTION("""COMPUTED_VALUE"""),"PS4")</f>
        <v>PS4</v>
      </c>
      <c r="C87" s="16" t="str">
        <f>IFERROR(__xludf.DUMMYFUNCTION("""COMPUTED_VALUE"""),"Extra")</f>
        <v>Extra</v>
      </c>
      <c r="D87" s="15" t="str">
        <f>IFERROR(__xludf.DUMMYFUNCTION("""COMPUTED_VALUE"""),"Removed")</f>
        <v>Removed</v>
      </c>
      <c r="E87" s="17">
        <f>IFERROR(__xludf.DUMMYFUNCTION("""COMPUTED_VALUE"""),45370.0)</f>
        <v>45370</v>
      </c>
      <c r="F87" s="54">
        <f>IFERROR(__xludf.DUMMYFUNCTION("""COMPUTED_VALUE"""),46055.0)</f>
        <v>46055</v>
      </c>
      <c r="G87" s="19">
        <f>IFERROR(__xludf.DUMMYFUNCTION("""COMPUTED_VALUE"""),22.433333333333334)</f>
        <v>22.43333333</v>
      </c>
      <c r="H87" s="17">
        <f>IFERROR(__xludf.DUMMYFUNCTION("""COMPUTED_VALUE"""),43641.0)</f>
        <v>43641</v>
      </c>
      <c r="I87" s="19">
        <f>IFERROR(__xludf.DUMMYFUNCTION("""COMPUTED_VALUE"""),4.733333333333333)</f>
        <v>4.733333333</v>
      </c>
      <c r="J87" s="21">
        <f>IFERROR(__xludf.DUMMYFUNCTION("""COMPUTED_VALUE"""),60.0)</f>
        <v>60</v>
      </c>
      <c r="K87" s="23">
        <f>IFERROR(__xludf.DUMMYFUNCTION("""COMPUTED_VALUE"""),3.9)</f>
        <v>3.9</v>
      </c>
      <c r="L87" s="24">
        <f>IFERROR(__xludf.DUMMYFUNCTION("""COMPUTED_VALUE"""),16.0)</f>
        <v>16</v>
      </c>
      <c r="M87" s="25" t="str">
        <f>IFERROR(__xludf.DUMMYFUNCTION("""COMPUTED_VALUE"""),"RPG")</f>
        <v>RPG</v>
      </c>
      <c r="N87" s="25"/>
      <c r="O87" s="26" t="str">
        <f>IFERROR(__xludf.DUMMYFUNCTION("""COMPUTED_VALUE"""),"No")</f>
        <v>No</v>
      </c>
      <c r="P87" s="26"/>
    </row>
    <row r="88">
      <c r="A88" s="13" t="str">
        <f>IFERROR(__xludf.DUMMYFUNCTION("""COMPUTED_VALUE"""),"The Ascent")</f>
        <v>The Ascent</v>
      </c>
      <c r="B88" s="15" t="str">
        <f>IFERROR(__xludf.DUMMYFUNCTION("""COMPUTED_VALUE"""),"PS5/PS4")</f>
        <v>PS5/PS4</v>
      </c>
      <c r="C88" s="16" t="str">
        <f>IFERROR(__xludf.DUMMYFUNCTION("""COMPUTED_VALUE"""),"Extra")</f>
        <v>Extra</v>
      </c>
      <c r="D88" s="15" t="str">
        <f>IFERROR(__xludf.DUMMYFUNCTION("""COMPUTED_VALUE"""),"Removed")</f>
        <v>Removed</v>
      </c>
      <c r="E88" s="17">
        <f>IFERROR(__xludf.DUMMYFUNCTION("""COMPUTED_VALUE"""),45125.0)</f>
        <v>45125</v>
      </c>
      <c r="F88" s="54">
        <f>IFERROR(__xludf.DUMMYFUNCTION("""COMPUTED_VALUE"""),46055.0)</f>
        <v>46055</v>
      </c>
      <c r="G88" s="19">
        <f>IFERROR(__xludf.DUMMYFUNCTION("""COMPUTED_VALUE"""),30.466666666666665)</f>
        <v>30.46666667</v>
      </c>
      <c r="H88" s="17">
        <f>IFERROR(__xludf.DUMMYFUNCTION("""COMPUTED_VALUE"""),44644.0)</f>
        <v>44644</v>
      </c>
      <c r="I88" s="19">
        <f>IFERROR(__xludf.DUMMYFUNCTION("""COMPUTED_VALUE"""),1.3166666666666667)</f>
        <v>1.316666667</v>
      </c>
      <c r="J88" s="21">
        <f>IFERROR(__xludf.DUMMYFUNCTION("""COMPUTED_VALUE"""),77.0)</f>
        <v>77</v>
      </c>
      <c r="K88" s="23">
        <f>IFERROR(__xludf.DUMMYFUNCTION("""COMPUTED_VALUE"""),6.3)</f>
        <v>6.3</v>
      </c>
      <c r="L88" s="24">
        <f>IFERROR(__xludf.DUMMYFUNCTION("""COMPUTED_VALUE"""),12.0)</f>
        <v>12</v>
      </c>
      <c r="M88" s="25" t="str">
        <f>IFERROR(__xludf.DUMMYFUNCTION("""COMPUTED_VALUE"""),"Action-Adventure")</f>
        <v>Action-Adventure</v>
      </c>
      <c r="N88" s="25"/>
      <c r="O88" s="26" t="str">
        <f>IFERROR(__xludf.DUMMYFUNCTION("""COMPUTED_VALUE"""),"Yes")</f>
        <v>Yes</v>
      </c>
      <c r="P88" s="26"/>
    </row>
    <row r="89">
      <c r="A89" s="13" t="str">
        <f>IFERROR(__xludf.DUMMYFUNCTION("""COMPUTED_VALUE"""),"Rez Infinite")</f>
        <v>Rez Infinite</v>
      </c>
      <c r="B89" s="15" t="str">
        <f>IFERROR(__xludf.DUMMYFUNCTION("""COMPUTED_VALUE"""),"PS4/PSVR")</f>
        <v>PS4/PSVR</v>
      </c>
      <c r="C89" s="16" t="str">
        <f>IFERROR(__xludf.DUMMYFUNCTION("""COMPUTED_VALUE"""),"Extra")</f>
        <v>Extra</v>
      </c>
      <c r="D89" s="15" t="str">
        <f>IFERROR(__xludf.DUMMYFUNCTION("""COMPUTED_VALUE"""),"Removed")</f>
        <v>Removed</v>
      </c>
      <c r="E89" s="17">
        <f>IFERROR(__xludf.DUMMYFUNCTION("""COMPUTED_VALUE"""),43046.0)</f>
        <v>43046</v>
      </c>
      <c r="F89" s="54">
        <f>IFERROR(__xludf.DUMMYFUNCTION("""COMPUTED_VALUE"""),46055.0)</f>
        <v>46055</v>
      </c>
      <c r="G89" s="19">
        <f>IFERROR(__xludf.DUMMYFUNCTION("""COMPUTED_VALUE"""),98.83333333333333)</f>
        <v>98.83333333</v>
      </c>
      <c r="H89" s="17">
        <f>IFERROR(__xludf.DUMMYFUNCTION("""COMPUTED_VALUE"""),42656.0)</f>
        <v>42656</v>
      </c>
      <c r="I89" s="19">
        <f>IFERROR(__xludf.DUMMYFUNCTION("""COMPUTED_VALUE"""),1.0666666666666667)</f>
        <v>1.066666667</v>
      </c>
      <c r="J89" s="21">
        <f>IFERROR(__xludf.DUMMYFUNCTION("""COMPUTED_VALUE"""),89.0)</f>
        <v>89</v>
      </c>
      <c r="K89" s="23">
        <f>IFERROR(__xludf.DUMMYFUNCTION("""COMPUTED_VALUE"""),8.6)</f>
        <v>8.6</v>
      </c>
      <c r="L89" s="24">
        <f>IFERROR(__xludf.DUMMYFUNCTION("""COMPUTED_VALUE"""),2.0)</f>
        <v>2</v>
      </c>
      <c r="M89" s="25" t="str">
        <f>IFERROR(__xludf.DUMMYFUNCTION("""COMPUTED_VALUE"""),"Music")</f>
        <v>Music</v>
      </c>
      <c r="N89" s="25"/>
      <c r="O89" s="26" t="str">
        <f>IFERROR(__xludf.DUMMYFUNCTION("""COMPUTED_VALUE"""),"No")</f>
        <v>No</v>
      </c>
      <c r="P89" s="26"/>
    </row>
    <row r="90">
      <c r="A90" s="13" t="str">
        <f>IFERROR(__xludf.DUMMYFUNCTION("""COMPUTED_VALUE"""),"Like a Dragon Gaiden: The Man Who Erased His Name")</f>
        <v>Like a Dragon Gaiden: The Man Who Erased His Name</v>
      </c>
      <c r="B90" s="15" t="str">
        <f>IFERROR(__xludf.DUMMYFUNCTION("""COMPUTED_VALUE"""),"PS5/PS4")</f>
        <v>PS5/PS4</v>
      </c>
      <c r="C90" s="16" t="str">
        <f>IFERROR(__xludf.DUMMYFUNCTION("""COMPUTED_VALUE"""),"Extra")</f>
        <v>Extra</v>
      </c>
      <c r="D90" s="15" t="str">
        <f>IFERROR(__xludf.DUMMYFUNCTION("""COMPUTED_VALUE"""),"Removed")</f>
        <v>Removed</v>
      </c>
      <c r="E90" s="17">
        <f>IFERROR(__xludf.DUMMYFUNCTION("""COMPUTED_VALUE"""),45678.0)</f>
        <v>45678</v>
      </c>
      <c r="F90" s="54">
        <f>IFERROR(__xludf.DUMMYFUNCTION("""COMPUTED_VALUE"""),46041.0)</f>
        <v>46041</v>
      </c>
      <c r="G90" s="19">
        <f>IFERROR(__xludf.DUMMYFUNCTION("""COMPUTED_VALUE"""),11.933333333333334)</f>
        <v>11.93333333</v>
      </c>
      <c r="H90" s="17">
        <f>IFERROR(__xludf.DUMMYFUNCTION("""COMPUTED_VALUE"""),45239.0)</f>
        <v>45239</v>
      </c>
      <c r="I90" s="19">
        <f>IFERROR(__xludf.DUMMYFUNCTION("""COMPUTED_VALUE"""),1.2)</f>
        <v>1.2</v>
      </c>
      <c r="J90" s="21">
        <f>IFERROR(__xludf.DUMMYFUNCTION("""COMPUTED_VALUE"""),78.0)</f>
        <v>78</v>
      </c>
      <c r="K90" s="23">
        <f>IFERROR(__xludf.DUMMYFUNCTION("""COMPUTED_VALUE"""),8.4)</f>
        <v>8.4</v>
      </c>
      <c r="L90" s="24">
        <f>IFERROR(__xludf.DUMMYFUNCTION("""COMPUTED_VALUE"""),13.0)</f>
        <v>13</v>
      </c>
      <c r="M90" s="25" t="str">
        <f>IFERROR(__xludf.DUMMYFUNCTION("""COMPUTED_VALUE"""),"Action-Adventure")</f>
        <v>Action-Adventure</v>
      </c>
      <c r="N90" s="25"/>
      <c r="O90" s="26" t="str">
        <f>IFERROR(__xludf.DUMMYFUNCTION("""COMPUTED_VALUE"""),"Yes")</f>
        <v>Yes</v>
      </c>
      <c r="P90" s="26"/>
    </row>
    <row r="91">
      <c r="A91" s="13" t="str">
        <f>IFERROR(__xludf.DUMMYFUNCTION("""COMPUTED_VALUE"""),"SD Gundam Battle Alliance")</f>
        <v>SD Gundam Battle Alliance</v>
      </c>
      <c r="B91" s="15" t="str">
        <f>IFERROR(__xludf.DUMMYFUNCTION("""COMPUTED_VALUE"""),"PS5/PS4")</f>
        <v>PS5/PS4</v>
      </c>
      <c r="C91" s="16" t="str">
        <f>IFERROR(__xludf.DUMMYFUNCTION("""COMPUTED_VALUE"""),"Extra")</f>
        <v>Extra</v>
      </c>
      <c r="D91" s="15" t="str">
        <f>IFERROR(__xludf.DUMMYFUNCTION("""COMPUTED_VALUE"""),"Removed")</f>
        <v>Removed</v>
      </c>
      <c r="E91" s="17">
        <f>IFERROR(__xludf.DUMMYFUNCTION("""COMPUTED_VALUE"""),45678.0)</f>
        <v>45678</v>
      </c>
      <c r="F91" s="54">
        <f>IFERROR(__xludf.DUMMYFUNCTION("""COMPUTED_VALUE"""),46041.0)</f>
        <v>46041</v>
      </c>
      <c r="G91" s="19">
        <f>IFERROR(__xludf.DUMMYFUNCTION("""COMPUTED_VALUE"""),11.933333333333334)</f>
        <v>11.93333333</v>
      </c>
      <c r="H91" s="17">
        <f>IFERROR(__xludf.DUMMYFUNCTION("""COMPUTED_VALUE"""),44798.0)</f>
        <v>44798</v>
      </c>
      <c r="I91" s="19">
        <f>IFERROR(__xludf.DUMMYFUNCTION("""COMPUTED_VALUE"""),2.4055555555555554)</f>
        <v>2.405555556</v>
      </c>
      <c r="J91" s="21">
        <f>IFERROR(__xludf.DUMMYFUNCTION("""COMPUTED_VALUE"""),74.0)</f>
        <v>74</v>
      </c>
      <c r="K91" s="23">
        <f>IFERROR(__xludf.DUMMYFUNCTION("""COMPUTED_VALUE"""),7.7)</f>
        <v>7.7</v>
      </c>
      <c r="L91" s="24">
        <f>IFERROR(__xludf.DUMMYFUNCTION("""COMPUTED_VALUE"""),18.0)</f>
        <v>18</v>
      </c>
      <c r="M91" s="25" t="str">
        <f>IFERROR(__xludf.DUMMYFUNCTION("""COMPUTED_VALUE"""),"RPG")</f>
        <v>RPG</v>
      </c>
      <c r="N91" s="25"/>
      <c r="O91" s="26" t="str">
        <f>IFERROR(__xludf.DUMMYFUNCTION("""COMPUTED_VALUE"""),"No")</f>
        <v>No</v>
      </c>
      <c r="P91" s="26"/>
    </row>
    <row r="92">
      <c r="A92" s="13" t="str">
        <f>IFERROR(__xludf.DUMMYFUNCTION("""COMPUTED_VALUE"""),"Sayonara Wild Hearts")</f>
        <v>Sayonara Wild Hearts</v>
      </c>
      <c r="B92" s="15" t="str">
        <f>IFERROR(__xludf.DUMMYFUNCTION("""COMPUTED_VALUE"""),"PS4")</f>
        <v>PS4</v>
      </c>
      <c r="C92" s="16" t="str">
        <f>IFERROR(__xludf.DUMMYFUNCTION("""COMPUTED_VALUE"""),"Extra")</f>
        <v>Extra</v>
      </c>
      <c r="D92" s="15" t="str">
        <f>IFERROR(__xludf.DUMMYFUNCTION("""COMPUTED_VALUE"""),"Removed")</f>
        <v>Removed</v>
      </c>
      <c r="E92" s="17">
        <f>IFERROR(__xludf.DUMMYFUNCTION("""COMPUTED_VALUE"""),45678.0)</f>
        <v>45678</v>
      </c>
      <c r="F92" s="54">
        <f>IFERROR(__xludf.DUMMYFUNCTION("""COMPUTED_VALUE"""),46041.0)</f>
        <v>46041</v>
      </c>
      <c r="G92" s="19">
        <f>IFERROR(__xludf.DUMMYFUNCTION("""COMPUTED_VALUE"""),11.933333333333334)</f>
        <v>11.93333333</v>
      </c>
      <c r="H92" s="17">
        <f>IFERROR(__xludf.DUMMYFUNCTION("""COMPUTED_VALUE"""),43727.0)</f>
        <v>43727</v>
      </c>
      <c r="I92" s="19">
        <f>IFERROR(__xludf.DUMMYFUNCTION("""COMPUTED_VALUE"""),5.338888888888889)</f>
        <v>5.338888889</v>
      </c>
      <c r="J92" s="21">
        <f>IFERROR(__xludf.DUMMYFUNCTION("""COMPUTED_VALUE"""),84.0)</f>
        <v>84</v>
      </c>
      <c r="K92" s="23">
        <f>IFERROR(__xludf.DUMMYFUNCTION("""COMPUTED_VALUE"""),8.3)</f>
        <v>8.3</v>
      </c>
      <c r="L92" s="24">
        <f>IFERROR(__xludf.DUMMYFUNCTION("""COMPUTED_VALUE"""),2.0)</f>
        <v>2</v>
      </c>
      <c r="M92" s="25" t="str">
        <f>IFERROR(__xludf.DUMMYFUNCTION("""COMPUTED_VALUE"""),"Rhythym")</f>
        <v>Rhythym</v>
      </c>
      <c r="N92" s="25"/>
      <c r="O92" s="26" t="str">
        <f>IFERROR(__xludf.DUMMYFUNCTION("""COMPUTED_VALUE"""),"Yes")</f>
        <v>Yes</v>
      </c>
      <c r="P92" s="26"/>
    </row>
    <row r="93">
      <c r="A93" s="13" t="str">
        <f>IFERROR(__xludf.DUMMYFUNCTION("""COMPUTED_VALUE"""),"Monopoly Plus")</f>
        <v>Monopoly Plus</v>
      </c>
      <c r="B93" s="15" t="str">
        <f>IFERROR(__xludf.DUMMYFUNCTION("""COMPUTED_VALUE"""),"PS4")</f>
        <v>PS4</v>
      </c>
      <c r="C93" s="16" t="str">
        <f>IFERROR(__xludf.DUMMYFUNCTION("""COMPUTED_VALUE"""),"Extra (Ubisoft+ Classics)")</f>
        <v>Extra (Ubisoft+ Classics)</v>
      </c>
      <c r="D93" s="15" t="str">
        <f>IFERROR(__xludf.DUMMYFUNCTION("""COMPUTED_VALUE"""),"Removed")</f>
        <v>Removed</v>
      </c>
      <c r="E93" s="17">
        <f>IFERROR(__xludf.DUMMYFUNCTION("""COMPUTED_VALUE"""),44789.0)</f>
        <v>44789</v>
      </c>
      <c r="F93" s="18">
        <f>IFERROR(__xludf.DUMMYFUNCTION("""COMPUTED_VALUE"""),46041.0)</f>
        <v>46041</v>
      </c>
      <c r="G93" s="19">
        <f>IFERROR(__xludf.DUMMYFUNCTION("""COMPUTED_VALUE"""),41.099999999999994)</f>
        <v>41.1</v>
      </c>
      <c r="H93" s="17">
        <f>IFERROR(__xludf.DUMMYFUNCTION("""COMPUTED_VALUE"""),41974.0)</f>
        <v>41974</v>
      </c>
      <c r="I93" s="19">
        <f>IFERROR(__xludf.DUMMYFUNCTION("""COMPUTED_VALUE"""),7.708333333333333)</f>
        <v>7.708333333</v>
      </c>
      <c r="J93" s="21">
        <f>IFERROR(__xludf.DUMMYFUNCTION("""COMPUTED_VALUE"""),70.0)</f>
        <v>70</v>
      </c>
      <c r="K93" s="23">
        <f>IFERROR(__xludf.DUMMYFUNCTION("""COMPUTED_VALUE"""),6.2)</f>
        <v>6.2</v>
      </c>
      <c r="L93" s="17">
        <f>IFERROR(__xludf.DUMMYFUNCTION("""COMPUTED_VALUE"""),3.0)</f>
        <v>3</v>
      </c>
      <c r="M93" s="25" t="str">
        <f>IFERROR(__xludf.DUMMYFUNCTION("""COMPUTED_VALUE"""),"Board/Card Game")</f>
        <v>Board/Card Game</v>
      </c>
      <c r="N93" s="25"/>
      <c r="O93" s="26" t="str">
        <f>IFERROR(__xludf.DUMMYFUNCTION("""COMPUTED_VALUE"""),"Yes")</f>
        <v>Yes</v>
      </c>
      <c r="P93" s="26"/>
    </row>
    <row r="94">
      <c r="A94" s="13" t="str">
        <f>IFERROR(__xludf.DUMMYFUNCTION("""COMPUTED_VALUE"""),"New World: Aeternum")</f>
        <v>New World: Aeternum</v>
      </c>
      <c r="B94" s="15" t="str">
        <f>IFERROR(__xludf.DUMMYFUNCTION("""COMPUTED_VALUE"""),"PS5")</f>
        <v>PS5</v>
      </c>
      <c r="C94" s="16" t="str">
        <f>IFERROR(__xludf.DUMMYFUNCTION("""COMPUTED_VALUE"""),"Extra")</f>
        <v>Extra</v>
      </c>
      <c r="D94" s="15" t="str">
        <f>IFERROR(__xludf.DUMMYFUNCTION("""COMPUTED_VALUE"""),"Removed")</f>
        <v>Removed</v>
      </c>
      <c r="E94" s="17">
        <f>IFERROR(__xludf.DUMMYFUNCTION("""COMPUTED_VALUE"""),45853.0)</f>
        <v>45853</v>
      </c>
      <c r="F94" s="18">
        <f>IFERROR(__xludf.DUMMYFUNCTION("""COMPUTED_VALUE"""),46037.0)</f>
        <v>46037</v>
      </c>
      <c r="G94" s="19">
        <f>IFERROR(__xludf.DUMMYFUNCTION("""COMPUTED_VALUE"""),6.0)</f>
        <v>6</v>
      </c>
      <c r="H94" s="17">
        <f>IFERROR(__xludf.DUMMYFUNCTION("""COMPUTED_VALUE"""),45580.0)</f>
        <v>45580</v>
      </c>
      <c r="I94" s="19">
        <f>IFERROR(__xludf.DUMMYFUNCTION("""COMPUTED_VALUE"""),0.75)</f>
        <v>0.75</v>
      </c>
      <c r="J94" s="21">
        <f>IFERROR(__xludf.DUMMYFUNCTION("""COMPUTED_VALUE"""),75.0)</f>
        <v>75</v>
      </c>
      <c r="K94" s="23">
        <f>IFERROR(__xludf.DUMMYFUNCTION("""COMPUTED_VALUE"""),6.9)</f>
        <v>6.9</v>
      </c>
      <c r="L94" s="24">
        <f>IFERROR(__xludf.DUMMYFUNCTION("""COMPUTED_VALUE"""),87.0)</f>
        <v>87</v>
      </c>
      <c r="M94" s="25" t="str">
        <f>IFERROR(__xludf.DUMMYFUNCTION("""COMPUTED_VALUE"""),"RPG")</f>
        <v>RPG</v>
      </c>
      <c r="N94" s="25" t="str">
        <f>IFERROR(__xludf.DUMMYFUNCTION("""COMPUTED_VALUE"""),"Shuts down 1/30/27, delisted1/15/26")</f>
        <v>Shuts down 1/30/27, delisted1/15/26</v>
      </c>
      <c r="O94" s="26" t="str">
        <f>IFERROR(__xludf.DUMMYFUNCTION("""COMPUTED_VALUE"""),"No")</f>
        <v>No</v>
      </c>
      <c r="P94" s="26"/>
    </row>
    <row r="95">
      <c r="A95" s="13" t="str">
        <f>IFERROR(__xludf.DUMMYFUNCTION("""COMPUTED_VALUE"""),"LEGO Horizon Adventures")</f>
        <v>LEGO Horizon Adventures</v>
      </c>
      <c r="B95" s="15" t="str">
        <f>IFERROR(__xludf.DUMMYFUNCTION("""COMPUTED_VALUE"""),"PS5")</f>
        <v>PS5</v>
      </c>
      <c r="C95" s="16" t="str">
        <f>IFERROR(__xludf.DUMMYFUNCTION("""COMPUTED_VALUE"""),"Essential")</f>
        <v>Essential</v>
      </c>
      <c r="D95" s="15" t="str">
        <f>IFERROR(__xludf.DUMMYFUNCTION("""COMPUTED_VALUE"""),"Removed")</f>
        <v>Removed</v>
      </c>
      <c r="E95" s="17">
        <f>IFERROR(__xludf.DUMMYFUNCTION("""COMPUTED_VALUE"""),45993.0)</f>
        <v>45993</v>
      </c>
      <c r="F95" s="18">
        <f>IFERROR(__xludf.DUMMYFUNCTION("""COMPUTED_VALUE"""),46027.0)</f>
        <v>46027</v>
      </c>
      <c r="G95" s="19">
        <f>IFERROR(__xludf.DUMMYFUNCTION("""COMPUTED_VALUE"""),1.0999999999999999)</f>
        <v>1.1</v>
      </c>
      <c r="H95" s="17">
        <f>IFERROR(__xludf.DUMMYFUNCTION("""COMPUTED_VALUE"""),45610.0)</f>
        <v>45610</v>
      </c>
      <c r="I95" s="19">
        <f>IFERROR(__xludf.DUMMYFUNCTION("""COMPUTED_VALUE"""),1.05)</f>
        <v>1.05</v>
      </c>
      <c r="J95" s="21">
        <f>IFERROR(__xludf.DUMMYFUNCTION("""COMPUTED_VALUE"""),70.0)</f>
        <v>70</v>
      </c>
      <c r="K95" s="23">
        <f>IFERROR(__xludf.DUMMYFUNCTION("""COMPUTED_VALUE"""),5.8)</f>
        <v>5.8</v>
      </c>
      <c r="L95" s="24">
        <f>IFERROR(__xludf.DUMMYFUNCTION("""COMPUTED_VALUE"""),7.0)</f>
        <v>7</v>
      </c>
      <c r="M95" s="25" t="str">
        <f>IFERROR(__xludf.DUMMYFUNCTION("""COMPUTED_VALUE"""),"Action-Adventure")</f>
        <v>Action-Adventure</v>
      </c>
      <c r="N95" s="25"/>
      <c r="O95" s="26" t="str">
        <f>IFERROR(__xludf.DUMMYFUNCTION("""COMPUTED_VALUE"""),"No")</f>
        <v>No</v>
      </c>
      <c r="P95" s="26"/>
    </row>
    <row r="96">
      <c r="A96" s="13" t="str">
        <f>IFERROR(__xludf.DUMMYFUNCTION("""COMPUTED_VALUE"""),"Killing Floor 3")</f>
        <v>Killing Floor 3</v>
      </c>
      <c r="B96" s="15" t="str">
        <f>IFERROR(__xludf.DUMMYFUNCTION("""COMPUTED_VALUE"""),"PS5")</f>
        <v>PS5</v>
      </c>
      <c r="C96" s="16" t="str">
        <f>IFERROR(__xludf.DUMMYFUNCTION("""COMPUTED_VALUE"""),"Essential")</f>
        <v>Essential</v>
      </c>
      <c r="D96" s="15" t="str">
        <f>IFERROR(__xludf.DUMMYFUNCTION("""COMPUTED_VALUE"""),"Removed")</f>
        <v>Removed</v>
      </c>
      <c r="E96" s="17">
        <f>IFERROR(__xludf.DUMMYFUNCTION("""COMPUTED_VALUE"""),45993.0)</f>
        <v>45993</v>
      </c>
      <c r="F96" s="54">
        <f>IFERROR(__xludf.DUMMYFUNCTION("""COMPUTED_VALUE"""),46027.0)</f>
        <v>46027</v>
      </c>
      <c r="G96" s="19">
        <f>IFERROR(__xludf.DUMMYFUNCTION("""COMPUTED_VALUE"""),1.0999999999999999)</f>
        <v>1.1</v>
      </c>
      <c r="H96" s="17">
        <f>IFERROR(__xludf.DUMMYFUNCTION("""COMPUTED_VALUE"""),45862.0)</f>
        <v>45862</v>
      </c>
      <c r="I96" s="19">
        <f>IFERROR(__xludf.DUMMYFUNCTION("""COMPUTED_VALUE"""),0.35555555555555557)</f>
        <v>0.3555555556</v>
      </c>
      <c r="J96" s="21">
        <f>IFERROR(__xludf.DUMMYFUNCTION("""COMPUTED_VALUE"""),68.0)</f>
        <v>68</v>
      </c>
      <c r="K96" s="23">
        <f>IFERROR(__xludf.DUMMYFUNCTION("""COMPUTED_VALUE"""),6.5)</f>
        <v>6.5</v>
      </c>
      <c r="L96" s="24">
        <f>IFERROR(__xludf.DUMMYFUNCTION("""COMPUTED_VALUE"""),9.0)</f>
        <v>9</v>
      </c>
      <c r="M96" s="25" t="str">
        <f>IFERROR(__xludf.DUMMYFUNCTION("""COMPUTED_VALUE"""),"Shooter")</f>
        <v>Shooter</v>
      </c>
      <c r="N96" s="25"/>
      <c r="O96" s="26" t="str">
        <f>IFERROR(__xludf.DUMMYFUNCTION("""COMPUTED_VALUE"""),"No")</f>
        <v>No</v>
      </c>
      <c r="P96" s="26"/>
    </row>
    <row r="97">
      <c r="A97" s="13" t="str">
        <f>IFERROR(__xludf.DUMMYFUNCTION("""COMPUTED_VALUE"""),"The Outlast Trials")</f>
        <v>The Outlast Trials</v>
      </c>
      <c r="B97" s="15" t="str">
        <f>IFERROR(__xludf.DUMMYFUNCTION("""COMPUTED_VALUE"""),"PS5/PS4")</f>
        <v>PS5/PS4</v>
      </c>
      <c r="C97" s="16" t="str">
        <f>IFERROR(__xludf.DUMMYFUNCTION("""COMPUTED_VALUE"""),"Essential")</f>
        <v>Essential</v>
      </c>
      <c r="D97" s="15" t="str">
        <f>IFERROR(__xludf.DUMMYFUNCTION("""COMPUTED_VALUE"""),"Removed")</f>
        <v>Removed</v>
      </c>
      <c r="E97" s="17">
        <f>IFERROR(__xludf.DUMMYFUNCTION("""COMPUTED_VALUE"""),45993.0)</f>
        <v>45993</v>
      </c>
      <c r="F97" s="54">
        <f>IFERROR(__xludf.DUMMYFUNCTION("""COMPUTED_VALUE"""),46027.0)</f>
        <v>46027</v>
      </c>
      <c r="G97" s="19">
        <f>IFERROR(__xludf.DUMMYFUNCTION("""COMPUTED_VALUE"""),1.0999999999999999)</f>
        <v>1.1</v>
      </c>
      <c r="H97" s="17">
        <f>IFERROR(__xludf.DUMMYFUNCTION("""COMPUTED_VALUE"""),45356.0)</f>
        <v>45356</v>
      </c>
      <c r="I97" s="19">
        <f>IFERROR(__xludf.DUMMYFUNCTION("""COMPUTED_VALUE"""),1.7416666666666667)</f>
        <v>1.741666667</v>
      </c>
      <c r="J97" s="21">
        <f>IFERROR(__xludf.DUMMYFUNCTION("""COMPUTED_VALUE"""),75.0)</f>
        <v>75</v>
      </c>
      <c r="K97" s="23">
        <f>IFERROR(__xludf.DUMMYFUNCTION("""COMPUTED_VALUE"""),7.7)</f>
        <v>7.7</v>
      </c>
      <c r="L97" s="24">
        <f>IFERROR(__xludf.DUMMYFUNCTION("""COMPUTED_VALUE"""),19.0)</f>
        <v>19</v>
      </c>
      <c r="M97" s="25" t="str">
        <f>IFERROR(__xludf.DUMMYFUNCTION("""COMPUTED_VALUE"""),"Survival horror")</f>
        <v>Survival horror</v>
      </c>
      <c r="N97" s="25"/>
      <c r="O97" s="26" t="str">
        <f>IFERROR(__xludf.DUMMYFUNCTION("""COMPUTED_VALUE"""),"No")</f>
        <v>No</v>
      </c>
      <c r="P97" s="26"/>
    </row>
    <row r="98">
      <c r="A98" s="13" t="str">
        <f>IFERROR(__xludf.DUMMYFUNCTION("""COMPUTED_VALUE"""),"Synduality Echo of Ada")</f>
        <v>Synduality Echo of Ada</v>
      </c>
      <c r="B98" s="15" t="str">
        <f>IFERROR(__xludf.DUMMYFUNCTION("""COMPUTED_VALUE"""),"PS5")</f>
        <v>PS5</v>
      </c>
      <c r="C98" s="16" t="str">
        <f>IFERROR(__xludf.DUMMYFUNCTION("""COMPUTED_VALUE"""),"Essential")</f>
        <v>Essential</v>
      </c>
      <c r="D98" s="15" t="str">
        <f>IFERROR(__xludf.DUMMYFUNCTION("""COMPUTED_VALUE"""),"Removed")</f>
        <v>Removed</v>
      </c>
      <c r="E98" s="17">
        <f>IFERROR(__xludf.DUMMYFUNCTION("""COMPUTED_VALUE"""),45993.0)</f>
        <v>45993</v>
      </c>
      <c r="F98" s="54">
        <f>IFERROR(__xludf.DUMMYFUNCTION("""COMPUTED_VALUE"""),46027.0)</f>
        <v>46027</v>
      </c>
      <c r="G98" s="19">
        <f>IFERROR(__xludf.DUMMYFUNCTION("""COMPUTED_VALUE"""),1.0999999999999999)</f>
        <v>1.1</v>
      </c>
      <c r="H98" s="17">
        <f>IFERROR(__xludf.DUMMYFUNCTION("""COMPUTED_VALUE"""),45680.0)</f>
        <v>45680</v>
      </c>
      <c r="I98" s="19">
        <f>IFERROR(__xludf.DUMMYFUNCTION("""COMPUTED_VALUE"""),0.8583333333333333)</f>
        <v>0.8583333333</v>
      </c>
      <c r="J98" s="21">
        <f>IFERROR(__xludf.DUMMYFUNCTION("""COMPUTED_VALUE"""),65.0)</f>
        <v>65</v>
      </c>
      <c r="K98" s="23">
        <f>IFERROR(__xludf.DUMMYFUNCTION("""COMPUTED_VALUE"""),4.0)</f>
        <v>4</v>
      </c>
      <c r="L98" s="24"/>
      <c r="M98" s="25" t="str">
        <f>IFERROR(__xludf.DUMMYFUNCTION("""COMPUTED_VALUE"""),"Shooter")</f>
        <v>Shooter</v>
      </c>
      <c r="N98" s="25"/>
      <c r="O98" s="26" t="str">
        <f>IFERROR(__xludf.DUMMYFUNCTION("""COMPUTED_VALUE"""),"No")</f>
        <v>No</v>
      </c>
      <c r="P98" s="26"/>
    </row>
    <row r="99">
      <c r="A99" s="13" t="str">
        <f>IFERROR(__xludf.DUMMYFUNCTION("""COMPUTED_VALUE"""),"Neon White")</f>
        <v>Neon White</v>
      </c>
      <c r="B99" s="15" t="str">
        <f>IFERROR(__xludf.DUMMYFUNCTION("""COMPUTED_VALUE"""),"PS5/PS4")</f>
        <v>PS5/PS4</v>
      </c>
      <c r="C99" s="16" t="str">
        <f>IFERROR(__xludf.DUMMYFUNCTION("""COMPUTED_VALUE"""),"Essential")</f>
        <v>Essential</v>
      </c>
      <c r="D99" s="15" t="str">
        <f>IFERROR(__xludf.DUMMYFUNCTION("""COMPUTED_VALUE"""),"Removed")</f>
        <v>Removed</v>
      </c>
      <c r="E99" s="17">
        <f>IFERROR(__xludf.DUMMYFUNCTION("""COMPUTED_VALUE"""),45993.0)</f>
        <v>45993</v>
      </c>
      <c r="F99" s="54">
        <f>IFERROR(__xludf.DUMMYFUNCTION("""COMPUTED_VALUE"""),46027.0)</f>
        <v>46027</v>
      </c>
      <c r="G99" s="19">
        <f>IFERROR(__xludf.DUMMYFUNCTION("""COMPUTED_VALUE"""),1.0999999999999999)</f>
        <v>1.1</v>
      </c>
      <c r="H99" s="17">
        <f>IFERROR(__xludf.DUMMYFUNCTION("""COMPUTED_VALUE"""),44728.0)</f>
        <v>44728</v>
      </c>
      <c r="I99" s="19">
        <f>IFERROR(__xludf.DUMMYFUNCTION("""COMPUTED_VALUE"""),3.4611111111111112)</f>
        <v>3.461111111</v>
      </c>
      <c r="J99" s="21">
        <f>IFERROR(__xludf.DUMMYFUNCTION("""COMPUTED_VALUE"""),89.0)</f>
        <v>89</v>
      </c>
      <c r="K99" s="23">
        <f>IFERROR(__xludf.DUMMYFUNCTION("""COMPUTED_VALUE"""),8.3)</f>
        <v>8.3</v>
      </c>
      <c r="L99" s="24">
        <f>IFERROR(__xludf.DUMMYFUNCTION("""COMPUTED_VALUE"""),11.0)</f>
        <v>11</v>
      </c>
      <c r="M99" s="25" t="str">
        <f>IFERROR(__xludf.DUMMYFUNCTION("""COMPUTED_VALUE"""),"Shooter")</f>
        <v>Shooter</v>
      </c>
      <c r="N99" s="25"/>
      <c r="O99" s="26" t="str">
        <f>IFERROR(__xludf.DUMMYFUNCTION("""COMPUTED_VALUE"""),"No")</f>
        <v>No</v>
      </c>
      <c r="P99" s="26"/>
    </row>
    <row r="100">
      <c r="A100" s="13" t="str">
        <f>IFERROR(__xludf.DUMMYFUNCTION("""COMPUTED_VALUE"""),"Battlefield 2042")</f>
        <v>Battlefield 2042</v>
      </c>
      <c r="B100" s="15" t="str">
        <f>IFERROR(__xludf.DUMMYFUNCTION("""COMPUTED_VALUE"""),"PS5/PS4")</f>
        <v>PS5/PS4</v>
      </c>
      <c r="C100" s="16" t="str">
        <f>IFERROR(__xludf.DUMMYFUNCTION("""COMPUTED_VALUE"""),"Extra")</f>
        <v>Extra</v>
      </c>
      <c r="D100" s="15" t="str">
        <f>IFERROR(__xludf.DUMMYFUNCTION("""COMPUTED_VALUE"""),"Removed")</f>
        <v>Removed</v>
      </c>
      <c r="E100" s="17">
        <f>IFERROR(__xludf.DUMMYFUNCTION("""COMPUTED_VALUE"""),45825.0)</f>
        <v>45825</v>
      </c>
      <c r="F100" s="54">
        <f>IFERROR(__xludf.DUMMYFUNCTION("""COMPUTED_VALUE"""),46006.0)</f>
        <v>46006</v>
      </c>
      <c r="G100" s="19">
        <f>IFERROR(__xludf.DUMMYFUNCTION("""COMPUTED_VALUE"""),5.933333333333334)</f>
        <v>5.933333333</v>
      </c>
      <c r="H100" s="17">
        <f>IFERROR(__xludf.DUMMYFUNCTION("""COMPUTED_VALUE"""),44519.0)</f>
        <v>44519</v>
      </c>
      <c r="I100" s="19">
        <f>IFERROR(__xludf.DUMMYFUNCTION("""COMPUTED_VALUE"""),3.577777777777778)</f>
        <v>3.577777778</v>
      </c>
      <c r="J100" s="21">
        <f>IFERROR(__xludf.DUMMYFUNCTION("""COMPUTED_VALUE"""),68.0)</f>
        <v>68</v>
      </c>
      <c r="K100" s="23">
        <f>IFERROR(__xludf.DUMMYFUNCTION("""COMPUTED_VALUE"""),2.3)</f>
        <v>2.3</v>
      </c>
      <c r="L100" s="24">
        <f>IFERROR(__xludf.DUMMYFUNCTION("""COMPUTED_VALUE"""),0.5)</f>
        <v>0.5</v>
      </c>
      <c r="M100" s="25" t="str">
        <f>IFERROR(__xludf.DUMMYFUNCTION("""COMPUTED_VALUE"""),"Shooter")</f>
        <v>Shooter</v>
      </c>
      <c r="N100" s="25"/>
      <c r="O100" s="26"/>
      <c r="P100" s="26"/>
    </row>
    <row r="101">
      <c r="A101" s="13" t="str">
        <f>IFERROR(__xludf.DUMMYFUNCTION("""COMPUTED_VALUE"""),"Grand Theft Auto III")</f>
        <v>Grand Theft Auto III</v>
      </c>
      <c r="B101" s="15" t="str">
        <f>IFERROR(__xludf.DUMMYFUNCTION("""COMPUTED_VALUE"""),"PS5/PS4")</f>
        <v>PS5/PS4</v>
      </c>
      <c r="C101" s="16" t="str">
        <f>IFERROR(__xludf.DUMMYFUNCTION("""COMPUTED_VALUE"""),"Extra")</f>
        <v>Extra</v>
      </c>
      <c r="D101" s="15" t="str">
        <f>IFERROR(__xludf.DUMMYFUNCTION("""COMPUTED_VALUE"""),"Removed")</f>
        <v>Removed</v>
      </c>
      <c r="E101" s="17">
        <f>IFERROR(__xludf.DUMMYFUNCTION("""COMPUTED_VALUE"""),45818.0)</f>
        <v>45818</v>
      </c>
      <c r="F101" s="54">
        <f>IFERROR(__xludf.DUMMYFUNCTION("""COMPUTED_VALUE"""),46006.0)</f>
        <v>46006</v>
      </c>
      <c r="G101" s="19">
        <f>IFERROR(__xludf.DUMMYFUNCTION("""COMPUTED_VALUE"""),6.166666666666666)</f>
        <v>6.166666667</v>
      </c>
      <c r="H101" s="17">
        <f>IFERROR(__xludf.DUMMYFUNCTION("""COMPUTED_VALUE"""),37191.0)</f>
        <v>37191</v>
      </c>
      <c r="I101" s="19">
        <f>IFERROR(__xludf.DUMMYFUNCTION("""COMPUTED_VALUE"""),23.619444444444444)</f>
        <v>23.61944444</v>
      </c>
      <c r="J101" s="21">
        <f>IFERROR(__xludf.DUMMYFUNCTION("""COMPUTED_VALUE"""),97.0)</f>
        <v>97</v>
      </c>
      <c r="K101" s="23">
        <f>IFERROR(__xludf.DUMMYFUNCTION("""COMPUTED_VALUE"""),8.0)</f>
        <v>8</v>
      </c>
      <c r="L101" s="24">
        <f>IFERROR(__xludf.DUMMYFUNCTION("""COMPUTED_VALUE"""),15.0)</f>
        <v>15</v>
      </c>
      <c r="M101" s="25" t="str">
        <f>IFERROR(__xludf.DUMMYFUNCTION("""COMPUTED_VALUE"""),"Action-Adventure")</f>
        <v>Action-Adventure</v>
      </c>
      <c r="N101" s="25" t="str">
        <f>IFERROR(__xludf.DUMMYFUNCTION("""COMPUTED_VALUE"""),"PS2")</f>
        <v>PS2</v>
      </c>
      <c r="O101" s="26"/>
      <c r="P101" s="26"/>
    </row>
    <row r="102">
      <c r="A102" s="13" t="str">
        <f>IFERROR(__xludf.DUMMYFUNCTION("""COMPUTED_VALUE"""),"Arcade Paradise VR")</f>
        <v>Arcade Paradise VR</v>
      </c>
      <c r="B102" s="15" t="str">
        <f>IFERROR(__xludf.DUMMYFUNCTION("""COMPUTED_VALUE"""),"PS5/PSVR2")</f>
        <v>PS5/PSVR2</v>
      </c>
      <c r="C102" s="16" t="str">
        <f>IFERROR(__xludf.DUMMYFUNCTION("""COMPUTED_VALUE"""),"Premium (VR)")</f>
        <v>Premium (VR)</v>
      </c>
      <c r="D102" s="15" t="str">
        <f>IFERROR(__xludf.DUMMYFUNCTION("""COMPUTED_VALUE"""),"Removed")</f>
        <v>Removed</v>
      </c>
      <c r="E102" s="17">
        <f>IFERROR(__xludf.DUMMYFUNCTION("""COMPUTED_VALUE"""),45734.0)</f>
        <v>45734</v>
      </c>
      <c r="F102" s="54">
        <f>IFERROR(__xludf.DUMMYFUNCTION("""COMPUTED_VALUE"""),46006.0)</f>
        <v>46006</v>
      </c>
      <c r="G102" s="19">
        <f>IFERROR(__xludf.DUMMYFUNCTION("""COMPUTED_VALUE"""),8.9)</f>
        <v>8.9</v>
      </c>
      <c r="H102" s="17">
        <f>IFERROR(__xludf.DUMMYFUNCTION("""COMPUTED_VALUE"""),45512.0)</f>
        <v>45512</v>
      </c>
      <c r="I102" s="19">
        <f>IFERROR(__xludf.DUMMYFUNCTION("""COMPUTED_VALUE"""),0.6111111111111112)</f>
        <v>0.6111111111</v>
      </c>
      <c r="J102" s="21">
        <f>IFERROR(__xludf.DUMMYFUNCTION("""COMPUTED_VALUE"""),75.0)</f>
        <v>75</v>
      </c>
      <c r="K102" s="23">
        <f>IFERROR(__xludf.DUMMYFUNCTION("""COMPUTED_VALUE"""),5.8)</f>
        <v>5.8</v>
      </c>
      <c r="L102" s="24">
        <f>IFERROR(__xludf.DUMMYFUNCTION("""COMPUTED_VALUE"""),25.0)</f>
        <v>25</v>
      </c>
      <c r="M102" s="25" t="str">
        <f>IFERROR(__xludf.DUMMYFUNCTION("""COMPUTED_VALUE"""),"Virtual Career ")</f>
        <v>Virtual Career </v>
      </c>
      <c r="N102" s="25" t="str">
        <f>IFERROR(__xludf.DUMMYFUNCTION("""COMPUTED_VALUE"""),"PSVR2")</f>
        <v>PSVR2</v>
      </c>
      <c r="O102" s="26" t="str">
        <f>IFERROR(__xludf.DUMMYFUNCTION("""COMPUTED_VALUE"""),"No")</f>
        <v>No</v>
      </c>
      <c r="P102" s="26"/>
    </row>
    <row r="103">
      <c r="A103" s="13" t="str">
        <f>IFERROR(__xludf.DUMMYFUNCTION("""COMPUTED_VALUE"""),"Sonic Frontiers")</f>
        <v>Sonic Frontiers</v>
      </c>
      <c r="B103" s="15" t="str">
        <f>IFERROR(__xludf.DUMMYFUNCTION("""COMPUTED_VALUE"""),"PS5/PS4")</f>
        <v>PS5/PS4</v>
      </c>
      <c r="C103" s="16" t="str">
        <f>IFERROR(__xludf.DUMMYFUNCTION("""COMPUTED_VALUE"""),"Extra")</f>
        <v>Extra</v>
      </c>
      <c r="D103" s="15" t="str">
        <f>IFERROR(__xludf.DUMMYFUNCTION("""COMPUTED_VALUE"""),"Removed")</f>
        <v>Removed</v>
      </c>
      <c r="E103" s="17">
        <f>IFERROR(__xludf.DUMMYFUNCTION("""COMPUTED_VALUE"""),45643.0)</f>
        <v>45643</v>
      </c>
      <c r="F103" s="54">
        <f>IFERROR(__xludf.DUMMYFUNCTION("""COMPUTED_VALUE"""),46006.0)</f>
        <v>46006</v>
      </c>
      <c r="G103" s="19">
        <f>IFERROR(__xludf.DUMMYFUNCTION("""COMPUTED_VALUE"""),11.933333333333334)</f>
        <v>11.93333333</v>
      </c>
      <c r="H103" s="17">
        <f>IFERROR(__xludf.DUMMYFUNCTION("""COMPUTED_VALUE"""),44873.0)</f>
        <v>44873</v>
      </c>
      <c r="I103" s="19">
        <f>IFERROR(__xludf.DUMMYFUNCTION("""COMPUTED_VALUE"""),2.1083333333333334)</f>
        <v>2.108333333</v>
      </c>
      <c r="J103" s="21">
        <f>IFERROR(__xludf.DUMMYFUNCTION("""COMPUTED_VALUE"""),70.0)</f>
        <v>70</v>
      </c>
      <c r="K103" s="23">
        <f>IFERROR(__xludf.DUMMYFUNCTION("""COMPUTED_VALUE"""),8.2)</f>
        <v>8.2</v>
      </c>
      <c r="L103" s="24">
        <f>IFERROR(__xludf.DUMMYFUNCTION("""COMPUTED_VALUE"""),17.0)</f>
        <v>17</v>
      </c>
      <c r="M103" s="25" t="str">
        <f>IFERROR(__xludf.DUMMYFUNCTION("""COMPUTED_VALUE"""),"Platformer")</f>
        <v>Platformer</v>
      </c>
      <c r="N103" s="25"/>
      <c r="O103" s="26" t="str">
        <f>IFERROR(__xludf.DUMMYFUNCTION("""COMPUTED_VALUE"""),"No")</f>
        <v>No</v>
      </c>
      <c r="P103" s="26"/>
    </row>
    <row r="104">
      <c r="A104" s="13" t="str">
        <f>IFERROR(__xludf.DUMMYFUNCTION("""COMPUTED_VALUE"""),"Forspoken")</f>
        <v>Forspoken</v>
      </c>
      <c r="B104" s="15" t="str">
        <f>IFERROR(__xludf.DUMMYFUNCTION("""COMPUTED_VALUE"""),"PS5")</f>
        <v>PS5</v>
      </c>
      <c r="C104" s="16" t="str">
        <f>IFERROR(__xludf.DUMMYFUNCTION("""COMPUTED_VALUE"""),"Extra")</f>
        <v>Extra</v>
      </c>
      <c r="D104" s="15" t="str">
        <f>IFERROR(__xludf.DUMMYFUNCTION("""COMPUTED_VALUE"""),"Removed")</f>
        <v>Removed</v>
      </c>
      <c r="E104" s="17">
        <f>IFERROR(__xludf.DUMMYFUNCTION("""COMPUTED_VALUE"""),45643.0)</f>
        <v>45643</v>
      </c>
      <c r="F104" s="54">
        <f>IFERROR(__xludf.DUMMYFUNCTION("""COMPUTED_VALUE"""),46006.0)</f>
        <v>46006</v>
      </c>
      <c r="G104" s="19">
        <f>IFERROR(__xludf.DUMMYFUNCTION("""COMPUTED_VALUE"""),11.933333333333334)</f>
        <v>11.93333333</v>
      </c>
      <c r="H104" s="17">
        <f>IFERROR(__xludf.DUMMYFUNCTION("""COMPUTED_VALUE"""),44950.0)</f>
        <v>44950</v>
      </c>
      <c r="I104" s="19">
        <f>IFERROR(__xludf.DUMMYFUNCTION("""COMPUTED_VALUE"""),1.8972222222222221)</f>
        <v>1.897222222</v>
      </c>
      <c r="J104" s="21">
        <f>IFERROR(__xludf.DUMMYFUNCTION("""COMPUTED_VALUE"""),64.0)</f>
        <v>64</v>
      </c>
      <c r="K104" s="23">
        <f>IFERROR(__xludf.DUMMYFUNCTION("""COMPUTED_VALUE"""),4.1)</f>
        <v>4.1</v>
      </c>
      <c r="L104" s="24">
        <f>IFERROR(__xludf.DUMMYFUNCTION("""COMPUTED_VALUE"""),14.0)</f>
        <v>14</v>
      </c>
      <c r="M104" s="25" t="str">
        <f>IFERROR(__xludf.DUMMYFUNCTION("""COMPUTED_VALUE"""),"RPG")</f>
        <v>RPG</v>
      </c>
      <c r="N104" s="25"/>
      <c r="O104" s="26" t="str">
        <f>IFERROR(__xludf.DUMMYFUNCTION("""COMPUTED_VALUE"""),"No")</f>
        <v>No</v>
      </c>
      <c r="P104" s="26"/>
    </row>
    <row r="105">
      <c r="A105" s="13" t="str">
        <f>IFERROR(__xludf.DUMMYFUNCTION("""COMPUTED_VALUE"""),"Star Wars: Tales from the Galaxy's Edge")</f>
        <v>Star Wars: Tales from the Galaxy's Edge</v>
      </c>
      <c r="B105" s="15" t="str">
        <f>IFERROR(__xludf.DUMMYFUNCTION("""COMPUTED_VALUE"""),"PS5/PSVR2")</f>
        <v>PS5/PSVR2</v>
      </c>
      <c r="C105" s="16" t="str">
        <f>IFERROR(__xludf.DUMMYFUNCTION("""COMPUTED_VALUE"""),"Premium (VR)")</f>
        <v>Premium (VR)</v>
      </c>
      <c r="D105" s="15" t="str">
        <f>IFERROR(__xludf.DUMMYFUNCTION("""COMPUTED_VALUE"""),"Removed")</f>
        <v>Removed</v>
      </c>
      <c r="E105" s="17">
        <f>IFERROR(__xludf.DUMMYFUNCTION("""COMPUTED_VALUE"""),45643.0)</f>
        <v>45643</v>
      </c>
      <c r="F105" s="18">
        <f>IFERROR(__xludf.DUMMYFUNCTION("""COMPUTED_VALUE"""),46006.0)</f>
        <v>46006</v>
      </c>
      <c r="G105" s="19">
        <f>IFERROR(__xludf.DUMMYFUNCTION("""COMPUTED_VALUE"""),11.933333333333334)</f>
        <v>11.93333333</v>
      </c>
      <c r="H105" s="17">
        <f>IFERROR(__xludf.DUMMYFUNCTION("""COMPUTED_VALUE"""),45129.0)</f>
        <v>45129</v>
      </c>
      <c r="I105" s="19">
        <f>IFERROR(__xludf.DUMMYFUNCTION("""COMPUTED_VALUE"""),1.4027777777777777)</f>
        <v>1.402777778</v>
      </c>
      <c r="J105" s="21">
        <f>IFERROR(__xludf.DUMMYFUNCTION("""COMPUTED_VALUE"""),73.0)</f>
        <v>73</v>
      </c>
      <c r="K105" s="23">
        <f>IFERROR(__xludf.DUMMYFUNCTION("""COMPUTED_VALUE"""),6.9)</f>
        <v>6.9</v>
      </c>
      <c r="L105" s="24">
        <f>IFERROR(__xludf.DUMMYFUNCTION("""COMPUTED_VALUE"""),3.0)</f>
        <v>3</v>
      </c>
      <c r="M105" s="25" t="str">
        <f>IFERROR(__xludf.DUMMYFUNCTION("""COMPUTED_VALUE"""),"Action-Adventure")</f>
        <v>Action-Adventure</v>
      </c>
      <c r="N105" s="25" t="str">
        <f>IFERROR(__xludf.DUMMYFUNCTION("""COMPUTED_VALUE"""),"PSVR2")</f>
        <v>PSVR2</v>
      </c>
      <c r="O105" s="26" t="str">
        <f>IFERROR(__xludf.DUMMYFUNCTION("""COMPUTED_VALUE"""),"No")</f>
        <v>No</v>
      </c>
      <c r="P105" s="26"/>
    </row>
    <row r="106">
      <c r="A106" s="13" t="str">
        <f>IFERROR(__xludf.DUMMYFUNCTION("""COMPUTED_VALUE"""),"Firefighting Simulator: The Squad")</f>
        <v>Firefighting Simulator: The Squad</v>
      </c>
      <c r="B106" s="15" t="str">
        <f>IFERROR(__xludf.DUMMYFUNCTION("""COMPUTED_VALUE"""),"PS5/PS4")</f>
        <v>PS5/PS4</v>
      </c>
      <c r="C106" s="16" t="str">
        <f>IFERROR(__xludf.DUMMYFUNCTION("""COMPUTED_VALUE"""),"Extra")</f>
        <v>Extra</v>
      </c>
      <c r="D106" s="15" t="str">
        <f>IFERROR(__xludf.DUMMYFUNCTION("""COMPUTED_VALUE"""),"Removed")</f>
        <v>Removed</v>
      </c>
      <c r="E106" s="17">
        <f>IFERROR(__xludf.DUMMYFUNCTION("""COMPUTED_VALUE"""),45580.0)</f>
        <v>45580</v>
      </c>
      <c r="F106" s="54">
        <f>IFERROR(__xludf.DUMMYFUNCTION("""COMPUTED_VALUE"""),46006.0)</f>
        <v>46006</v>
      </c>
      <c r="G106" s="19">
        <f>IFERROR(__xludf.DUMMYFUNCTION("""COMPUTED_VALUE"""),14.0)</f>
        <v>14</v>
      </c>
      <c r="H106" s="17">
        <f>IFERROR(__xludf.DUMMYFUNCTION("""COMPUTED_VALUE"""),44901.0)</f>
        <v>44901</v>
      </c>
      <c r="I106" s="19">
        <f>IFERROR(__xludf.DUMMYFUNCTION("""COMPUTED_VALUE"""),1.8583333333333334)</f>
        <v>1.858333333</v>
      </c>
      <c r="J106" s="21">
        <f>IFERROR(__xludf.DUMMYFUNCTION("""COMPUTED_VALUE"""),60.0)</f>
        <v>60</v>
      </c>
      <c r="K106" s="23">
        <f>IFERROR(__xludf.DUMMYFUNCTION("""COMPUTED_VALUE"""),5.9)</f>
        <v>5.9</v>
      </c>
      <c r="L106" s="24">
        <f>IFERROR(__xludf.DUMMYFUNCTION("""COMPUTED_VALUE"""),11.0)</f>
        <v>11</v>
      </c>
      <c r="M106" s="25" t="str">
        <f>IFERROR(__xludf.DUMMYFUNCTION("""COMPUTED_VALUE"""),"Simulation")</f>
        <v>Simulation</v>
      </c>
      <c r="N106" s="25"/>
      <c r="O106" s="26" t="str">
        <f>IFERROR(__xludf.DUMMYFUNCTION("""COMPUTED_VALUE"""),"Yes")</f>
        <v>Yes</v>
      </c>
      <c r="P106" s="26"/>
    </row>
    <row r="107">
      <c r="A107" s="13" t="str">
        <f>IFERROR(__xludf.DUMMYFUNCTION("""COMPUTED_VALUE"""),"River City Melee Mach!!")</f>
        <v>River City Melee Mach!!</v>
      </c>
      <c r="B107" s="15" t="str">
        <f>IFERROR(__xludf.DUMMYFUNCTION("""COMPUTED_VALUE"""),"PS4")</f>
        <v>PS4</v>
      </c>
      <c r="C107" s="16" t="str">
        <f>IFERROR(__xludf.DUMMYFUNCTION("""COMPUTED_VALUE"""),"Extra")</f>
        <v>Extra</v>
      </c>
      <c r="D107" s="15" t="str">
        <f>IFERROR(__xludf.DUMMYFUNCTION("""COMPUTED_VALUE"""),"Removed")</f>
        <v>Removed</v>
      </c>
      <c r="E107" s="17">
        <f>IFERROR(__xludf.DUMMYFUNCTION("""COMPUTED_VALUE"""),45251.0)</f>
        <v>45251</v>
      </c>
      <c r="F107" s="54">
        <f>IFERROR(__xludf.DUMMYFUNCTION("""COMPUTED_VALUE"""),46006.0)</f>
        <v>46006</v>
      </c>
      <c r="G107" s="19">
        <f>IFERROR(__xludf.DUMMYFUNCTION("""COMPUTED_VALUE"""),24.800000000000004)</f>
        <v>24.8</v>
      </c>
      <c r="H107" s="17">
        <f>IFERROR(__xludf.DUMMYFUNCTION("""COMPUTED_VALUE"""),43748.0)</f>
        <v>43748</v>
      </c>
      <c r="I107" s="19">
        <f>IFERROR(__xludf.DUMMYFUNCTION("""COMPUTED_VALUE"""),4.113888888888889)</f>
        <v>4.113888889</v>
      </c>
      <c r="J107" s="21">
        <f>IFERROR(__xludf.DUMMYFUNCTION("""COMPUTED_VALUE"""),70.0)</f>
        <v>70</v>
      </c>
      <c r="K107" s="23">
        <f>IFERROR(__xludf.DUMMYFUNCTION("""COMPUTED_VALUE"""),10.0)</f>
        <v>10</v>
      </c>
      <c r="L107" s="24"/>
      <c r="M107" s="25" t="str">
        <f>IFERROR(__xludf.DUMMYFUNCTION("""COMPUTED_VALUE"""),"Action-Adventure")</f>
        <v>Action-Adventure</v>
      </c>
      <c r="N107" s="25"/>
      <c r="O107" s="26" t="str">
        <f>IFERROR(__xludf.DUMMYFUNCTION("""COMPUTED_VALUE"""),"Yes")</f>
        <v>Yes</v>
      </c>
      <c r="P107" s="26"/>
    </row>
    <row r="108">
      <c r="A108" s="13" t="str">
        <f>IFERROR(__xludf.DUMMYFUNCTION("""COMPUTED_VALUE"""),"Touhou Genso Rondo: Bullet Ballet")</f>
        <v>Touhou Genso Rondo: Bullet Ballet</v>
      </c>
      <c r="B108" s="15" t="str">
        <f>IFERROR(__xludf.DUMMYFUNCTION("""COMPUTED_VALUE"""),"PS4")</f>
        <v>PS4</v>
      </c>
      <c r="C108" s="16" t="str">
        <f>IFERROR(__xludf.DUMMYFUNCTION("""COMPUTED_VALUE"""),"Extra")</f>
        <v>Extra</v>
      </c>
      <c r="D108" s="15" t="str">
        <f>IFERROR(__xludf.DUMMYFUNCTION("""COMPUTED_VALUE"""),"Removed")</f>
        <v>Removed</v>
      </c>
      <c r="E108" s="17">
        <f>IFERROR(__xludf.DUMMYFUNCTION("""COMPUTED_VALUE"""),44725.0)</f>
        <v>44725</v>
      </c>
      <c r="F108" s="54">
        <f>IFERROR(__xludf.DUMMYFUNCTION("""COMPUTED_VALUE"""),46006.0)</f>
        <v>46006</v>
      </c>
      <c r="G108" s="19">
        <f>IFERROR(__xludf.DUMMYFUNCTION("""COMPUTED_VALUE"""),42.06666666666666)</f>
        <v>42.06666667</v>
      </c>
      <c r="H108" s="17">
        <f>IFERROR(__xludf.DUMMYFUNCTION("""COMPUTED_VALUE"""),42614.0)</f>
        <v>42614</v>
      </c>
      <c r="I108" s="19">
        <f>IFERROR(__xludf.DUMMYFUNCTION("""COMPUTED_VALUE"""),5.783333333333333)</f>
        <v>5.783333333</v>
      </c>
      <c r="J108" s="21">
        <f>IFERROR(__xludf.DUMMYFUNCTION("""COMPUTED_VALUE"""),63.0)</f>
        <v>63</v>
      </c>
      <c r="K108" s="23">
        <f>IFERROR(__xludf.DUMMYFUNCTION("""COMPUTED_VALUE"""),6.3)</f>
        <v>6.3</v>
      </c>
      <c r="L108" s="24"/>
      <c r="M108" s="25" t="str">
        <f>IFERROR(__xludf.DUMMYFUNCTION("""COMPUTED_VALUE"""),"Action-Adventure")</f>
        <v>Action-Adventure</v>
      </c>
      <c r="N108" s="25"/>
      <c r="O108" s="26" t="str">
        <f>IFERROR(__xludf.DUMMYFUNCTION("""COMPUTED_VALUE"""),"Yes")</f>
        <v>Yes</v>
      </c>
      <c r="P108" s="26" t="str">
        <f>IFERROR(__xludf.DUMMYFUNCTION("""COMPUTED_VALUE"""),"Yes")</f>
        <v>Yes</v>
      </c>
    </row>
    <row r="109">
      <c r="A109" s="13" t="str">
        <f>IFERROR(__xludf.DUMMYFUNCTION("""COMPUTED_VALUE"""),"11-11 Memories Retold")</f>
        <v>11-11 Memories Retold</v>
      </c>
      <c r="B109" s="15" t="str">
        <f>IFERROR(__xludf.DUMMYFUNCTION("""COMPUTED_VALUE"""),"PS4")</f>
        <v>PS4</v>
      </c>
      <c r="C109" s="16" t="str">
        <f>IFERROR(__xludf.DUMMYFUNCTION("""COMPUTED_VALUE"""),"Extra")</f>
        <v>Extra</v>
      </c>
      <c r="D109" s="15" t="str">
        <f>IFERROR(__xludf.DUMMYFUNCTION("""COMPUTED_VALUE"""),"Removed")</f>
        <v>Removed</v>
      </c>
      <c r="E109" s="17">
        <f>IFERROR(__xludf.DUMMYFUNCTION("""COMPUTED_VALUE"""),44725.0)</f>
        <v>44725</v>
      </c>
      <c r="F109" s="54">
        <f>IFERROR(__xludf.DUMMYFUNCTION("""COMPUTED_VALUE"""),46006.0)</f>
        <v>46006</v>
      </c>
      <c r="G109" s="19">
        <f>IFERROR(__xludf.DUMMYFUNCTION("""COMPUTED_VALUE"""),42.06666666666666)</f>
        <v>42.06666667</v>
      </c>
      <c r="H109" s="17">
        <f>IFERROR(__xludf.DUMMYFUNCTION("""COMPUTED_VALUE"""),43405.0)</f>
        <v>43405</v>
      </c>
      <c r="I109" s="19">
        <f>IFERROR(__xludf.DUMMYFUNCTION("""COMPUTED_VALUE"""),3.6166666666666667)</f>
        <v>3.616666667</v>
      </c>
      <c r="J109" s="21">
        <f>IFERROR(__xludf.DUMMYFUNCTION("""COMPUTED_VALUE"""),78.0)</f>
        <v>78</v>
      </c>
      <c r="K109" s="23">
        <f>IFERROR(__xludf.DUMMYFUNCTION("""COMPUTED_VALUE"""),7.0)</f>
        <v>7</v>
      </c>
      <c r="L109" s="24">
        <f>IFERROR(__xludf.DUMMYFUNCTION("""COMPUTED_VALUE"""),5.0)</f>
        <v>5</v>
      </c>
      <c r="M109" s="25" t="str">
        <f>IFERROR(__xludf.DUMMYFUNCTION("""COMPUTED_VALUE"""),"Interactive Story")</f>
        <v>Interactive Story</v>
      </c>
      <c r="N109" s="25"/>
      <c r="O109" s="26" t="str">
        <f>IFERROR(__xludf.DUMMYFUNCTION("""COMPUTED_VALUE"""),"Yes")</f>
        <v>Yes</v>
      </c>
      <c r="P109" s="26"/>
    </row>
    <row r="110">
      <c r="A110" s="13" t="str">
        <f>IFERROR(__xludf.DUMMYFUNCTION("""COMPUTED_VALUE"""),"Star Trek: Bridge Crew")</f>
        <v>Star Trek: Bridge Crew</v>
      </c>
      <c r="B110" s="15" t="str">
        <f>IFERROR(__xludf.DUMMYFUNCTION("""COMPUTED_VALUE"""),"PS4/PSVR")</f>
        <v>PS4/PSVR</v>
      </c>
      <c r="C110" s="16" t="str">
        <f>IFERROR(__xludf.DUMMYFUNCTION("""COMPUTED_VALUE"""),"Extra (Ubisoft+ Classics)")</f>
        <v>Extra (Ubisoft+ Classics)</v>
      </c>
      <c r="D110" s="15" t="str">
        <f>IFERROR(__xludf.DUMMYFUNCTION("""COMPUTED_VALUE"""),"Removed")</f>
        <v>Removed</v>
      </c>
      <c r="E110" s="17">
        <f>IFERROR(__xludf.DUMMYFUNCTION("""COMPUTED_VALUE"""),44725.0)</f>
        <v>44725</v>
      </c>
      <c r="F110" s="54">
        <f>IFERROR(__xludf.DUMMYFUNCTION("""COMPUTED_VALUE"""),46006.0)</f>
        <v>46006</v>
      </c>
      <c r="G110" s="19">
        <f>IFERROR(__xludf.DUMMYFUNCTION("""COMPUTED_VALUE"""),42.06666666666666)</f>
        <v>42.06666667</v>
      </c>
      <c r="H110" s="17">
        <f>IFERROR(__xludf.DUMMYFUNCTION("""COMPUTED_VALUE"""),42885.0)</f>
        <v>42885</v>
      </c>
      <c r="I110" s="19">
        <f>IFERROR(__xludf.DUMMYFUNCTION("""COMPUTED_VALUE"""),5.036111111111111)</f>
        <v>5.036111111</v>
      </c>
      <c r="J110" s="21">
        <f>IFERROR(__xludf.DUMMYFUNCTION("""COMPUTED_VALUE"""),76.0)</f>
        <v>76</v>
      </c>
      <c r="K110" s="23">
        <f>IFERROR(__xludf.DUMMYFUNCTION("""COMPUTED_VALUE"""),6.6)</f>
        <v>6.6</v>
      </c>
      <c r="L110" s="24">
        <f>IFERROR(__xludf.DUMMYFUNCTION("""COMPUTED_VALUE"""),24.0)</f>
        <v>24</v>
      </c>
      <c r="M110" s="25" t="str">
        <f>IFERROR(__xludf.DUMMYFUNCTION("""COMPUTED_VALUE"""),"Simulation")</f>
        <v>Simulation</v>
      </c>
      <c r="N110" s="25"/>
      <c r="O110" s="26" t="str">
        <f>IFERROR(__xludf.DUMMYFUNCTION("""COMPUTED_VALUE"""),"No")</f>
        <v>No</v>
      </c>
      <c r="P110" s="26" t="str">
        <f>IFERROR(__xludf.DUMMYFUNCTION("""COMPUTED_VALUE"""),"Yes")</f>
        <v>Yes</v>
      </c>
    </row>
    <row r="111">
      <c r="A111" s="13" t="str">
        <f>IFERROR(__xludf.DUMMYFUNCTION("""COMPUTED_VALUE"""),"Stray")</f>
        <v>Stray</v>
      </c>
      <c r="B111" s="15" t="str">
        <f>IFERROR(__xludf.DUMMYFUNCTION("""COMPUTED_VALUE"""),"PS5/PS4")</f>
        <v>PS5/PS4</v>
      </c>
      <c r="C111" s="16" t="str">
        <f>IFERROR(__xludf.DUMMYFUNCTION("""COMPUTED_VALUE"""),"Essential")</f>
        <v>Essential</v>
      </c>
      <c r="D111" s="15" t="str">
        <f>IFERROR(__xludf.DUMMYFUNCTION("""COMPUTED_VALUE"""),"Removed")</f>
        <v>Removed</v>
      </c>
      <c r="E111" s="17">
        <f>IFERROR(__xludf.DUMMYFUNCTION("""COMPUTED_VALUE"""),45965.0)</f>
        <v>45965</v>
      </c>
      <c r="F111" s="54">
        <f>IFERROR(__xludf.DUMMYFUNCTION("""COMPUTED_VALUE"""),45992.0)</f>
        <v>45992</v>
      </c>
      <c r="G111" s="19">
        <f>IFERROR(__xludf.DUMMYFUNCTION("""COMPUTED_VALUE"""),0.8999999999999999)</f>
        <v>0.9</v>
      </c>
      <c r="H111" s="17">
        <f>IFERROR(__xludf.DUMMYFUNCTION("""COMPUTED_VALUE"""),44761.0)</f>
        <v>44761</v>
      </c>
      <c r="I111" s="19">
        <f>IFERROR(__xludf.DUMMYFUNCTION("""COMPUTED_VALUE"""),3.2916666666666665)</f>
        <v>3.291666667</v>
      </c>
      <c r="J111" s="21">
        <f>IFERROR(__xludf.DUMMYFUNCTION("""COMPUTED_VALUE"""),83.0)</f>
        <v>83</v>
      </c>
      <c r="K111" s="23">
        <f>IFERROR(__xludf.DUMMYFUNCTION("""COMPUTED_VALUE"""),8.3)</f>
        <v>8.3</v>
      </c>
      <c r="L111" s="24">
        <f>IFERROR(__xludf.DUMMYFUNCTION("""COMPUTED_VALUE"""),5.0)</f>
        <v>5</v>
      </c>
      <c r="M111" s="25" t="str">
        <f>IFERROR(__xludf.DUMMYFUNCTION("""COMPUTED_VALUE"""),"Action-Adventure")</f>
        <v>Action-Adventure</v>
      </c>
      <c r="N111" s="25"/>
      <c r="O111" s="26"/>
      <c r="P111" s="26"/>
    </row>
    <row r="112">
      <c r="A112" s="13" t="str">
        <f>IFERROR(__xludf.DUMMYFUNCTION("""COMPUTED_VALUE"""),"EA Sports WRC 24")</f>
        <v>EA Sports WRC 24</v>
      </c>
      <c r="B112" s="15" t="str">
        <f>IFERROR(__xludf.DUMMYFUNCTION("""COMPUTED_VALUE"""),"PS5")</f>
        <v>PS5</v>
      </c>
      <c r="C112" s="16" t="str">
        <f>IFERROR(__xludf.DUMMYFUNCTION("""COMPUTED_VALUE"""),"Essential")</f>
        <v>Essential</v>
      </c>
      <c r="D112" s="15" t="str">
        <f>IFERROR(__xludf.DUMMYFUNCTION("""COMPUTED_VALUE"""),"Removed")</f>
        <v>Removed</v>
      </c>
      <c r="E112" s="17">
        <f>IFERROR(__xludf.DUMMYFUNCTION("""COMPUTED_VALUE"""),45965.0)</f>
        <v>45965</v>
      </c>
      <c r="F112" s="54">
        <f>IFERROR(__xludf.DUMMYFUNCTION("""COMPUTED_VALUE"""),45992.0)</f>
        <v>45992</v>
      </c>
      <c r="G112" s="19">
        <f>IFERROR(__xludf.DUMMYFUNCTION("""COMPUTED_VALUE"""),0.8999999999999999)</f>
        <v>0.9</v>
      </c>
      <c r="H112" s="17">
        <f>IFERROR(__xludf.DUMMYFUNCTION("""COMPUTED_VALUE"""),45573.0)</f>
        <v>45573</v>
      </c>
      <c r="I112" s="19">
        <f>IFERROR(__xludf.DUMMYFUNCTION("""COMPUTED_VALUE"""),1.0722222222222222)</f>
        <v>1.072222222</v>
      </c>
      <c r="J112" s="21">
        <f>IFERROR(__xludf.DUMMYFUNCTION("""COMPUTED_VALUE"""),70.0)</f>
        <v>70</v>
      </c>
      <c r="K112" s="23">
        <f>IFERROR(__xludf.DUMMYFUNCTION("""COMPUTED_VALUE"""),6.7)</f>
        <v>6.7</v>
      </c>
      <c r="L112" s="24">
        <f>IFERROR(__xludf.DUMMYFUNCTION("""COMPUTED_VALUE"""),15.0)</f>
        <v>15</v>
      </c>
      <c r="M112" s="25" t="str">
        <f>IFERROR(__xludf.DUMMYFUNCTION("""COMPUTED_VALUE"""),"Racing")</f>
        <v>Racing</v>
      </c>
      <c r="N112" s="25"/>
      <c r="O112" s="26" t="str">
        <f>IFERROR(__xludf.DUMMYFUNCTION("""COMPUTED_VALUE"""),"No")</f>
        <v>No</v>
      </c>
      <c r="P112" s="26"/>
    </row>
    <row r="113">
      <c r="A113" s="13" t="str">
        <f>IFERROR(__xludf.DUMMYFUNCTION("""COMPUTED_VALUE"""),"Totally Accurate Battle Simulator")</f>
        <v>Totally Accurate Battle Simulator</v>
      </c>
      <c r="B113" s="15" t="str">
        <f>IFERROR(__xludf.DUMMYFUNCTION("""COMPUTED_VALUE"""),"PS5/PS4")</f>
        <v>PS5/PS4</v>
      </c>
      <c r="C113" s="16" t="str">
        <f>IFERROR(__xludf.DUMMYFUNCTION("""COMPUTED_VALUE"""),"Essential")</f>
        <v>Essential</v>
      </c>
      <c r="D113" s="15" t="str">
        <f>IFERROR(__xludf.DUMMYFUNCTION("""COMPUTED_VALUE"""),"Removed")</f>
        <v>Removed</v>
      </c>
      <c r="E113" s="17">
        <f>IFERROR(__xludf.DUMMYFUNCTION("""COMPUTED_VALUE"""),45965.0)</f>
        <v>45965</v>
      </c>
      <c r="F113" s="54">
        <f>IFERROR(__xludf.DUMMYFUNCTION("""COMPUTED_VALUE"""),45992.0)</f>
        <v>45992</v>
      </c>
      <c r="G113" s="19">
        <f>IFERROR(__xludf.DUMMYFUNCTION("""COMPUTED_VALUE"""),0.8999999999999999)</f>
        <v>0.9</v>
      </c>
      <c r="H113" s="17">
        <f>IFERROR(__xludf.DUMMYFUNCTION("""COMPUTED_VALUE"""),43816.0)</f>
        <v>43816</v>
      </c>
      <c r="I113" s="19">
        <f>IFERROR(__xludf.DUMMYFUNCTION("""COMPUTED_VALUE"""),5.8805555555555555)</f>
        <v>5.880555556</v>
      </c>
      <c r="J113" s="21">
        <f>IFERROR(__xludf.DUMMYFUNCTION("""COMPUTED_VALUE"""),55.0)</f>
        <v>55</v>
      </c>
      <c r="K113" s="23">
        <f>IFERROR(__xludf.DUMMYFUNCTION("""COMPUTED_VALUE"""),7.8)</f>
        <v>7.8</v>
      </c>
      <c r="L113" s="24">
        <f>IFERROR(__xludf.DUMMYFUNCTION("""COMPUTED_VALUE"""),9.0)</f>
        <v>9</v>
      </c>
      <c r="M113" s="25" t="str">
        <f>IFERROR(__xludf.DUMMYFUNCTION("""COMPUTED_VALUE"""),"Strategy")</f>
        <v>Strategy</v>
      </c>
      <c r="N113" s="25"/>
      <c r="O113" s="26"/>
      <c r="P113" s="26"/>
    </row>
    <row r="114">
      <c r="A114" s="13" t="str">
        <f>IFERROR(__xludf.DUMMYFUNCTION("""COMPUTED_VALUE"""),"Battlefield V")</f>
        <v>Battlefield V</v>
      </c>
      <c r="B114" s="15" t="str">
        <f>IFERROR(__xludf.DUMMYFUNCTION("""COMPUTED_VALUE"""),"PS4")</f>
        <v>PS4</v>
      </c>
      <c r="C114" s="16" t="str">
        <f>IFERROR(__xludf.DUMMYFUNCTION("""COMPUTED_VALUE"""),"Extra")</f>
        <v>Extra</v>
      </c>
      <c r="D114" s="15" t="str">
        <f>IFERROR(__xludf.DUMMYFUNCTION("""COMPUTED_VALUE"""),"Removed")</f>
        <v>Removed</v>
      </c>
      <c r="E114" s="17">
        <f>IFERROR(__xludf.DUMMYFUNCTION("""COMPUTED_VALUE"""),45797.0)</f>
        <v>45797</v>
      </c>
      <c r="F114" s="54">
        <f>IFERROR(__xludf.DUMMYFUNCTION("""COMPUTED_VALUE"""),45978.0)</f>
        <v>45978</v>
      </c>
      <c r="G114" s="19">
        <f>IFERROR(__xludf.DUMMYFUNCTION("""COMPUTED_VALUE"""),5.8999999999999995)</f>
        <v>5.9</v>
      </c>
      <c r="H114" s="17">
        <f>IFERROR(__xludf.DUMMYFUNCTION("""COMPUTED_VALUE"""),43424.0)</f>
        <v>43424</v>
      </c>
      <c r="I114" s="19">
        <f>IFERROR(__xludf.DUMMYFUNCTION("""COMPUTED_VALUE"""),6.5)</f>
        <v>6.5</v>
      </c>
      <c r="J114" s="21">
        <f>IFERROR(__xludf.DUMMYFUNCTION("""COMPUTED_VALUE"""),81.0)</f>
        <v>81</v>
      </c>
      <c r="K114" s="23">
        <f>IFERROR(__xludf.DUMMYFUNCTION("""COMPUTED_VALUE"""),3.5)</f>
        <v>3.5</v>
      </c>
      <c r="L114" s="24">
        <f>IFERROR(__xludf.DUMMYFUNCTION("""COMPUTED_VALUE"""),6.0)</f>
        <v>6</v>
      </c>
      <c r="M114" s="25" t="str">
        <f>IFERROR(__xludf.DUMMYFUNCTION("""COMPUTED_VALUE"""),"Shooter")</f>
        <v>Shooter</v>
      </c>
      <c r="N114" s="25"/>
      <c r="O114" s="26"/>
      <c r="P114" s="26"/>
    </row>
    <row r="115">
      <c r="A115" s="13" t="str">
        <f>IFERROR(__xludf.DUMMYFUNCTION("""COMPUTED_VALUE"""),"Like a Dragon: Ishin!")</f>
        <v>Like a Dragon: Ishin!</v>
      </c>
      <c r="B115" s="15" t="str">
        <f>IFERROR(__xludf.DUMMYFUNCTION("""COMPUTED_VALUE"""),"PS5/PS4")</f>
        <v>PS5/PS4</v>
      </c>
      <c r="C115" s="16" t="str">
        <f>IFERROR(__xludf.DUMMYFUNCTION("""COMPUTED_VALUE"""),"Extra")</f>
        <v>Extra</v>
      </c>
      <c r="D115" s="15" t="str">
        <f>IFERROR(__xludf.DUMMYFUNCTION("""COMPUTED_VALUE"""),"Removed")</f>
        <v>Removed</v>
      </c>
      <c r="E115" s="17">
        <f>IFERROR(__xludf.DUMMYFUNCTION("""COMPUTED_VALUE"""),45615.0)</f>
        <v>45615</v>
      </c>
      <c r="F115" s="54">
        <f>IFERROR(__xludf.DUMMYFUNCTION("""COMPUTED_VALUE"""),45978.0)</f>
        <v>45978</v>
      </c>
      <c r="G115" s="19">
        <f>IFERROR(__xludf.DUMMYFUNCTION("""COMPUTED_VALUE"""),11.933333333333334)</f>
        <v>11.93333333</v>
      </c>
      <c r="H115" s="17">
        <f>IFERROR(__xludf.DUMMYFUNCTION("""COMPUTED_VALUE"""),44978.0)</f>
        <v>44978</v>
      </c>
      <c r="I115" s="19">
        <f>IFERROR(__xludf.DUMMYFUNCTION("""COMPUTED_VALUE"""),1.7444444444444445)</f>
        <v>1.744444444</v>
      </c>
      <c r="J115" s="21">
        <f>IFERROR(__xludf.DUMMYFUNCTION("""COMPUTED_VALUE"""),81.0)</f>
        <v>81</v>
      </c>
      <c r="K115" s="23">
        <f>IFERROR(__xludf.DUMMYFUNCTION("""COMPUTED_VALUE"""),7.5)</f>
        <v>7.5</v>
      </c>
      <c r="L115" s="24">
        <f>IFERROR(__xludf.DUMMYFUNCTION("""COMPUTED_VALUE"""),24.0)</f>
        <v>24</v>
      </c>
      <c r="M115" s="25" t="str">
        <f>IFERROR(__xludf.DUMMYFUNCTION("""COMPUTED_VALUE"""),"Action-Adventure")</f>
        <v>Action-Adventure</v>
      </c>
      <c r="N115" s="25"/>
      <c r="O115" s="26" t="str">
        <f>IFERROR(__xludf.DUMMYFUNCTION("""COMPUTED_VALUE"""),"Yes")</f>
        <v>Yes</v>
      </c>
      <c r="P115" s="26"/>
    </row>
    <row r="116">
      <c r="A116" s="13" t="str">
        <f>IFERROR(__xludf.DUMMYFUNCTION("""COMPUTED_VALUE"""),"Digimon Survive")</f>
        <v>Digimon Survive</v>
      </c>
      <c r="B116" s="15" t="str">
        <f>IFERROR(__xludf.DUMMYFUNCTION("""COMPUTED_VALUE"""),"PS4")</f>
        <v>PS4</v>
      </c>
      <c r="C116" s="16" t="str">
        <f>IFERROR(__xludf.DUMMYFUNCTION("""COMPUTED_VALUE"""),"Extra")</f>
        <v>Extra</v>
      </c>
      <c r="D116" s="15" t="str">
        <f>IFERROR(__xludf.DUMMYFUNCTION("""COMPUTED_VALUE"""),"Removed")</f>
        <v>Removed</v>
      </c>
      <c r="E116" s="17">
        <f>IFERROR(__xludf.DUMMYFUNCTION("""COMPUTED_VALUE"""),45615.0)</f>
        <v>45615</v>
      </c>
      <c r="F116" s="54">
        <f>IFERROR(__xludf.DUMMYFUNCTION("""COMPUTED_VALUE"""),45978.0)</f>
        <v>45978</v>
      </c>
      <c r="G116" s="19">
        <f>IFERROR(__xludf.DUMMYFUNCTION("""COMPUTED_VALUE"""),11.933333333333334)</f>
        <v>11.93333333</v>
      </c>
      <c r="H116" s="17">
        <f>IFERROR(__xludf.DUMMYFUNCTION("""COMPUTED_VALUE"""),44771.0)</f>
        <v>44771</v>
      </c>
      <c r="I116" s="19">
        <f>IFERROR(__xludf.DUMMYFUNCTION("""COMPUTED_VALUE"""),2.3055555555555554)</f>
        <v>2.305555556</v>
      </c>
      <c r="J116" s="21">
        <f>IFERROR(__xludf.DUMMYFUNCTION("""COMPUTED_VALUE"""),70.0)</f>
        <v>70</v>
      </c>
      <c r="K116" s="23">
        <f>IFERROR(__xludf.DUMMYFUNCTION("""COMPUTED_VALUE"""),8.3)</f>
        <v>8.3</v>
      </c>
      <c r="L116" s="24">
        <f>IFERROR(__xludf.DUMMYFUNCTION("""COMPUTED_VALUE"""),32.0)</f>
        <v>32</v>
      </c>
      <c r="M116" s="25" t="str">
        <f>IFERROR(__xludf.DUMMYFUNCTION("""COMPUTED_VALUE"""),"Strategy")</f>
        <v>Strategy</v>
      </c>
      <c r="N116" s="25"/>
      <c r="O116" s="26" t="str">
        <f>IFERROR(__xludf.DUMMYFUNCTION("""COMPUTED_VALUE"""),"Yes")</f>
        <v>Yes</v>
      </c>
      <c r="P116" s="26"/>
    </row>
    <row r="117">
      <c r="A117" s="13" t="str">
        <f>IFERROR(__xludf.DUMMYFUNCTION("""COMPUTED_VALUE"""),"Synapse")</f>
        <v>Synapse</v>
      </c>
      <c r="B117" s="15" t="str">
        <f>IFERROR(__xludf.DUMMYFUNCTION("""COMPUTED_VALUE"""),"PS5/PSVR2")</f>
        <v>PS5/PSVR2</v>
      </c>
      <c r="C117" s="16" t="str">
        <f>IFERROR(__xludf.DUMMYFUNCTION("""COMPUTED_VALUE"""),"Premium (VR)")</f>
        <v>Premium (VR)</v>
      </c>
      <c r="D117" s="15" t="str">
        <f>IFERROR(__xludf.DUMMYFUNCTION("""COMPUTED_VALUE"""),"Removed")</f>
        <v>Removed</v>
      </c>
      <c r="E117" s="17">
        <f>IFERROR(__xludf.DUMMYFUNCTION("""COMPUTED_VALUE"""),45615.0)</f>
        <v>45615</v>
      </c>
      <c r="F117" s="54">
        <f>IFERROR(__xludf.DUMMYFUNCTION("""COMPUTED_VALUE"""),45978.0)</f>
        <v>45978</v>
      </c>
      <c r="G117" s="19">
        <f>IFERROR(__xludf.DUMMYFUNCTION("""COMPUTED_VALUE"""),11.933333333333334)</f>
        <v>11.93333333</v>
      </c>
      <c r="H117" s="17">
        <f>IFERROR(__xludf.DUMMYFUNCTION("""COMPUTED_VALUE"""),45111.0)</f>
        <v>45111</v>
      </c>
      <c r="I117" s="19">
        <f>IFERROR(__xludf.DUMMYFUNCTION("""COMPUTED_VALUE"""),1.375)</f>
        <v>1.375</v>
      </c>
      <c r="J117" s="21">
        <f>IFERROR(__xludf.DUMMYFUNCTION("""COMPUTED_VALUE"""),77.0)</f>
        <v>77</v>
      </c>
      <c r="K117" s="23">
        <f>IFERROR(__xludf.DUMMYFUNCTION("""COMPUTED_VALUE"""),8.9)</f>
        <v>8.9</v>
      </c>
      <c r="L117" s="24">
        <f>IFERROR(__xludf.DUMMYFUNCTION("""COMPUTED_VALUE"""),5.0)</f>
        <v>5</v>
      </c>
      <c r="M117" s="25" t="str">
        <f>IFERROR(__xludf.DUMMYFUNCTION("""COMPUTED_VALUE"""),"Shooter")</f>
        <v>Shooter</v>
      </c>
      <c r="N117" s="25" t="str">
        <f>IFERROR(__xludf.DUMMYFUNCTION("""COMPUTED_VALUE"""),"PSVR2")</f>
        <v>PSVR2</v>
      </c>
      <c r="O117" s="26" t="str">
        <f>IFERROR(__xludf.DUMMYFUNCTION("""COMPUTED_VALUE"""),"No")</f>
        <v>No</v>
      </c>
      <c r="P117" s="26"/>
    </row>
    <row r="118">
      <c r="A118" s="13" t="str">
        <f>IFERROR(__xludf.DUMMYFUNCTION("""COMPUTED_VALUE"""),"Travis Strikes Again: No More Heroes - Complete Edition")</f>
        <v>Travis Strikes Again: No More Heroes - Complete Edition</v>
      </c>
      <c r="B118" s="15" t="str">
        <f>IFERROR(__xludf.DUMMYFUNCTION("""COMPUTED_VALUE"""),"PS4")</f>
        <v>PS4</v>
      </c>
      <c r="C118" s="16" t="str">
        <f>IFERROR(__xludf.DUMMYFUNCTION("""COMPUTED_VALUE"""),"Extra")</f>
        <v>Extra</v>
      </c>
      <c r="D118" s="15" t="str">
        <f>IFERROR(__xludf.DUMMYFUNCTION("""COMPUTED_VALUE"""),"Removed")</f>
        <v>Removed</v>
      </c>
      <c r="E118" s="17">
        <f>IFERROR(__xludf.DUMMYFUNCTION("""COMPUTED_VALUE"""),45489.0)</f>
        <v>45489</v>
      </c>
      <c r="F118" s="54">
        <f>IFERROR(__xludf.DUMMYFUNCTION("""COMPUTED_VALUE"""),45978.0)</f>
        <v>45978</v>
      </c>
      <c r="G118" s="19">
        <f>IFERROR(__xludf.DUMMYFUNCTION("""COMPUTED_VALUE"""),16.03333333333333)</f>
        <v>16.03333333</v>
      </c>
      <c r="H118" s="17">
        <f>IFERROR(__xludf.DUMMYFUNCTION("""COMPUTED_VALUE"""),43483.0)</f>
        <v>43483</v>
      </c>
      <c r="I118" s="19">
        <f>IFERROR(__xludf.DUMMYFUNCTION("""COMPUTED_VALUE"""),5.4944444444444445)</f>
        <v>5.494444444</v>
      </c>
      <c r="J118" s="21">
        <f>IFERROR(__xludf.DUMMYFUNCTION("""COMPUTED_VALUE"""),67.0)</f>
        <v>67</v>
      </c>
      <c r="K118" s="23">
        <f>IFERROR(__xludf.DUMMYFUNCTION("""COMPUTED_VALUE"""),7.8)</f>
        <v>7.8</v>
      </c>
      <c r="L118" s="24">
        <f>IFERROR(__xludf.DUMMYFUNCTION("""COMPUTED_VALUE"""),10.0)</f>
        <v>10</v>
      </c>
      <c r="M118" s="25" t="str">
        <f>IFERROR(__xludf.DUMMYFUNCTION("""COMPUTED_VALUE"""),"Beat-'Em-Up")</f>
        <v>Beat-'Em-Up</v>
      </c>
      <c r="N118" s="25"/>
      <c r="O118" s="26" t="str">
        <f>IFERROR(__xludf.DUMMYFUNCTION("""COMPUTED_VALUE"""),"No")</f>
        <v>No</v>
      </c>
      <c r="P118" s="26"/>
    </row>
    <row r="119">
      <c r="A119" s="13" t="str">
        <f>IFERROR(__xludf.DUMMYFUNCTION("""COMPUTED_VALUE"""),"Football Manager 2024")</f>
        <v>Football Manager 2024</v>
      </c>
      <c r="B119" s="15" t="str">
        <f>IFERROR(__xludf.DUMMYFUNCTION("""COMPUTED_VALUE"""),"PS5")</f>
        <v>PS5</v>
      </c>
      <c r="C119" s="16" t="str">
        <f>IFERROR(__xludf.DUMMYFUNCTION("""COMPUTED_VALUE"""),"Extra")</f>
        <v>Extra</v>
      </c>
      <c r="D119" s="15" t="str">
        <f>IFERROR(__xludf.DUMMYFUNCTION("""COMPUTED_VALUE"""),"Removed")</f>
        <v>Removed</v>
      </c>
      <c r="E119" s="17">
        <f>IFERROR(__xludf.DUMMYFUNCTION("""COMPUTED_VALUE"""),45461.0)</f>
        <v>45461</v>
      </c>
      <c r="F119" s="54">
        <f>IFERROR(__xludf.DUMMYFUNCTION("""COMPUTED_VALUE"""),45978.0)</f>
        <v>45978</v>
      </c>
      <c r="G119" s="19">
        <f>IFERROR(__xludf.DUMMYFUNCTION("""COMPUTED_VALUE"""),16.96666666666667)</f>
        <v>16.96666667</v>
      </c>
      <c r="H119" s="17">
        <f>IFERROR(__xludf.DUMMYFUNCTION("""COMPUTED_VALUE"""),45236.0)</f>
        <v>45236</v>
      </c>
      <c r="I119" s="19">
        <f>IFERROR(__xludf.DUMMYFUNCTION("""COMPUTED_VALUE"""),0.6166666666666667)</f>
        <v>0.6166666667</v>
      </c>
      <c r="J119" s="21">
        <f>IFERROR(__xludf.DUMMYFUNCTION("""COMPUTED_VALUE"""),84.0)</f>
        <v>84</v>
      </c>
      <c r="K119" s="23">
        <f>IFERROR(__xludf.DUMMYFUNCTION("""COMPUTED_VALUE"""),7.0)</f>
        <v>7</v>
      </c>
      <c r="L119" s="24">
        <f>IFERROR(__xludf.DUMMYFUNCTION("""COMPUTED_VALUE"""),66.0)</f>
        <v>66</v>
      </c>
      <c r="M119" s="25" t="str">
        <f>IFERROR(__xludf.DUMMYFUNCTION("""COMPUTED_VALUE"""),"Management")</f>
        <v>Management</v>
      </c>
      <c r="N119" s="25"/>
      <c r="O119" s="26" t="str">
        <f>IFERROR(__xludf.DUMMYFUNCTION("""COMPUTED_VALUE"""),"Portal (PS5 + Premium)")</f>
        <v>Portal (PS5 + Premium)</v>
      </c>
      <c r="P119" s="26"/>
    </row>
    <row r="120">
      <c r="A120" s="13" t="str">
        <f>IFERROR(__xludf.DUMMYFUNCTION("""COMPUTED_VALUE"""),"Goat Simulator 3")</f>
        <v>Goat Simulator 3</v>
      </c>
      <c r="B120" s="15" t="str">
        <f>IFERROR(__xludf.DUMMYFUNCTION("""COMPUTED_VALUE"""),"PS5/PS4")</f>
        <v>PS5/PS4</v>
      </c>
      <c r="C120" s="16" t="str">
        <f>IFERROR(__xludf.DUMMYFUNCTION("""COMPUTED_VALUE"""),"Essential")</f>
        <v>Essential</v>
      </c>
      <c r="D120" s="15" t="str">
        <f>IFERROR(__xludf.DUMMYFUNCTION("""COMPUTED_VALUE"""),"Removed")</f>
        <v>Removed</v>
      </c>
      <c r="E120" s="17">
        <f>IFERROR(__xludf.DUMMYFUNCTION("""COMPUTED_VALUE"""),45937.0)</f>
        <v>45937</v>
      </c>
      <c r="F120" s="54">
        <f>IFERROR(__xludf.DUMMYFUNCTION("""COMPUTED_VALUE"""),45964.0)</f>
        <v>45964</v>
      </c>
      <c r="G120" s="19">
        <f>IFERROR(__xludf.DUMMYFUNCTION("""COMPUTED_VALUE"""),0.8666666666666666)</f>
        <v>0.8666666667</v>
      </c>
      <c r="H120" s="17">
        <f>IFERROR(__xludf.DUMMYFUNCTION("""COMPUTED_VALUE"""),44882.0)</f>
        <v>44882</v>
      </c>
      <c r="I120" s="19">
        <f>IFERROR(__xludf.DUMMYFUNCTION("""COMPUTED_VALUE"""),2.888888888888889)</f>
        <v>2.888888889</v>
      </c>
      <c r="J120" s="21">
        <f>IFERROR(__xludf.DUMMYFUNCTION("""COMPUTED_VALUE"""),68.0)</f>
        <v>68</v>
      </c>
      <c r="K120" s="23">
        <f>IFERROR(__xludf.DUMMYFUNCTION("""COMPUTED_VALUE"""),7.3)</f>
        <v>7.3</v>
      </c>
      <c r="L120" s="24">
        <f>IFERROR(__xludf.DUMMYFUNCTION("""COMPUTED_VALUE"""),8.0)</f>
        <v>8</v>
      </c>
      <c r="M120" s="25" t="str">
        <f>IFERROR(__xludf.DUMMYFUNCTION("""COMPUTED_VALUE"""),"Action-Adventure")</f>
        <v>Action-Adventure</v>
      </c>
      <c r="N120" s="25"/>
      <c r="O120" s="26" t="str">
        <f>IFERROR(__xludf.DUMMYFUNCTION("""COMPUTED_VALUE"""),"No")</f>
        <v>No</v>
      </c>
      <c r="P120" s="26"/>
    </row>
    <row r="121">
      <c r="A121" s="13" t="str">
        <f>IFERROR(__xludf.DUMMYFUNCTION("""COMPUTED_VALUE"""),"Alan Wake II")</f>
        <v>Alan Wake II</v>
      </c>
      <c r="B121" s="15" t="str">
        <f>IFERROR(__xludf.DUMMYFUNCTION("""COMPUTED_VALUE"""),"PS5/PS4")</f>
        <v>PS5/PS4</v>
      </c>
      <c r="C121" s="16" t="str">
        <f>IFERROR(__xludf.DUMMYFUNCTION("""COMPUTED_VALUE"""),"Essential")</f>
        <v>Essential</v>
      </c>
      <c r="D121" s="15" t="str">
        <f>IFERROR(__xludf.DUMMYFUNCTION("""COMPUTED_VALUE"""),"Removed")</f>
        <v>Removed</v>
      </c>
      <c r="E121" s="17">
        <f>IFERROR(__xludf.DUMMYFUNCTION("""COMPUTED_VALUE"""),45937.0)</f>
        <v>45937</v>
      </c>
      <c r="F121" s="54">
        <f>IFERROR(__xludf.DUMMYFUNCTION("""COMPUTED_VALUE"""),45964.0)</f>
        <v>45964</v>
      </c>
      <c r="G121" s="19">
        <f>IFERROR(__xludf.DUMMYFUNCTION("""COMPUTED_VALUE"""),0.8666666666666666)</f>
        <v>0.8666666667</v>
      </c>
      <c r="H121" s="17">
        <f>IFERROR(__xludf.DUMMYFUNCTION("""COMPUTED_VALUE"""),45226.0)</f>
        <v>45226</v>
      </c>
      <c r="I121" s="19">
        <f>IFERROR(__xludf.DUMMYFUNCTION("""COMPUTED_VALUE"""),1.9444444444444444)</f>
        <v>1.944444444</v>
      </c>
      <c r="J121" s="21">
        <f>IFERROR(__xludf.DUMMYFUNCTION("""COMPUTED_VALUE"""),89.0)</f>
        <v>89</v>
      </c>
      <c r="K121" s="23">
        <f>IFERROR(__xludf.DUMMYFUNCTION("""COMPUTED_VALUE"""),8.5)</f>
        <v>8.5</v>
      </c>
      <c r="L121" s="24">
        <f>IFERROR(__xludf.DUMMYFUNCTION("""COMPUTED_VALUE"""),19.0)</f>
        <v>19</v>
      </c>
      <c r="M121" s="25" t="str">
        <f>IFERROR(__xludf.DUMMYFUNCTION("""COMPUTED_VALUE"""),"Survival")</f>
        <v>Survival</v>
      </c>
      <c r="N121" s="25"/>
      <c r="O121" s="26" t="str">
        <f>IFERROR(__xludf.DUMMYFUNCTION("""COMPUTED_VALUE"""),"No")</f>
        <v>No</v>
      </c>
      <c r="P121" s="26"/>
    </row>
    <row r="122">
      <c r="A122" s="13" t="str">
        <f>IFERROR(__xludf.DUMMYFUNCTION("""COMPUTED_VALUE"""),"Cocoon")</f>
        <v>Cocoon</v>
      </c>
      <c r="B122" s="15" t="str">
        <f>IFERROR(__xludf.DUMMYFUNCTION("""COMPUTED_VALUE"""),"PS5/PS4")</f>
        <v>PS5/PS4</v>
      </c>
      <c r="C122" s="16" t="str">
        <f>IFERROR(__xludf.DUMMYFUNCTION("""COMPUTED_VALUE"""),"Essential")</f>
        <v>Essential</v>
      </c>
      <c r="D122" s="15" t="str">
        <f>IFERROR(__xludf.DUMMYFUNCTION("""COMPUTED_VALUE"""),"Removed")</f>
        <v>Removed</v>
      </c>
      <c r="E122" s="17">
        <f>IFERROR(__xludf.DUMMYFUNCTION("""COMPUTED_VALUE"""),45937.0)</f>
        <v>45937</v>
      </c>
      <c r="F122" s="54">
        <f>IFERROR(__xludf.DUMMYFUNCTION("""COMPUTED_VALUE"""),45964.0)</f>
        <v>45964</v>
      </c>
      <c r="G122" s="19">
        <f>IFERROR(__xludf.DUMMYFUNCTION("""COMPUTED_VALUE"""),0.8666666666666666)</f>
        <v>0.8666666667</v>
      </c>
      <c r="H122" s="17">
        <f>IFERROR(__xludf.DUMMYFUNCTION("""COMPUTED_VALUE"""),45198.0)</f>
        <v>45198</v>
      </c>
      <c r="I122" s="19">
        <f>IFERROR(__xludf.DUMMYFUNCTION("""COMPUTED_VALUE"""),2.022222222222222)</f>
        <v>2.022222222</v>
      </c>
      <c r="J122" s="21">
        <f>IFERROR(__xludf.DUMMYFUNCTION("""COMPUTED_VALUE"""),88.0)</f>
        <v>88</v>
      </c>
      <c r="K122" s="23">
        <f>IFERROR(__xludf.DUMMYFUNCTION("""COMPUTED_VALUE"""),8.0)</f>
        <v>8</v>
      </c>
      <c r="L122" s="24">
        <f>IFERROR(__xludf.DUMMYFUNCTION("""COMPUTED_VALUE"""),5.0)</f>
        <v>5</v>
      </c>
      <c r="M122" s="25" t="str">
        <f>IFERROR(__xludf.DUMMYFUNCTION("""COMPUTED_VALUE"""),"Action-Adventure")</f>
        <v>Action-Adventure</v>
      </c>
      <c r="N122" s="25"/>
      <c r="O122" s="26" t="str">
        <f>IFERROR(__xludf.DUMMYFUNCTION("""COMPUTED_VALUE"""),"No")</f>
        <v>No</v>
      </c>
      <c r="P122" s="26"/>
    </row>
    <row r="123">
      <c r="A123" s="13" t="str">
        <f>IFERROR(__xludf.DUMMYFUNCTION("""COMPUTED_VALUE"""),"Battlefield 1")</f>
        <v>Battlefield 1</v>
      </c>
      <c r="B123" s="15" t="str">
        <f>IFERROR(__xludf.DUMMYFUNCTION("""COMPUTED_VALUE"""),"PS4")</f>
        <v>PS4</v>
      </c>
      <c r="C123" s="16" t="str">
        <f>IFERROR(__xludf.DUMMYFUNCTION("""COMPUTED_VALUE"""),"Extra")</f>
        <v>Extra</v>
      </c>
      <c r="D123" s="15" t="str">
        <f>IFERROR(__xludf.DUMMYFUNCTION("""COMPUTED_VALUE"""),"Removed")</f>
        <v>Removed</v>
      </c>
      <c r="E123" s="17">
        <f>IFERROR(__xludf.DUMMYFUNCTION("""COMPUTED_VALUE"""),45762.0)</f>
        <v>45762</v>
      </c>
      <c r="F123" s="54">
        <f>IFERROR(__xludf.DUMMYFUNCTION("""COMPUTED_VALUE"""),45950.0)</f>
        <v>45950</v>
      </c>
      <c r="G123" s="19">
        <f>IFERROR(__xludf.DUMMYFUNCTION("""COMPUTED_VALUE"""),6.166666666666666)</f>
        <v>6.166666667</v>
      </c>
      <c r="H123" s="17">
        <f>IFERROR(__xludf.DUMMYFUNCTION("""COMPUTED_VALUE"""),42664.0)</f>
        <v>42664</v>
      </c>
      <c r="I123" s="19">
        <f>IFERROR(__xludf.DUMMYFUNCTION("""COMPUTED_VALUE"""),8.483333333333333)</f>
        <v>8.483333333</v>
      </c>
      <c r="J123" s="21">
        <f>IFERROR(__xludf.DUMMYFUNCTION("""COMPUTED_VALUE"""),88.0)</f>
        <v>88</v>
      </c>
      <c r="K123" s="23">
        <f>IFERROR(__xludf.DUMMYFUNCTION("""COMPUTED_VALUE"""),7.4)</f>
        <v>7.4</v>
      </c>
      <c r="L123" s="24">
        <f>IFERROR(__xludf.DUMMYFUNCTION("""COMPUTED_VALUE"""),7.0)</f>
        <v>7</v>
      </c>
      <c r="M123" s="25" t="str">
        <f>IFERROR(__xludf.DUMMYFUNCTION("""COMPUTED_VALUE"""),"Shooter")</f>
        <v>Shooter</v>
      </c>
      <c r="N123" s="25"/>
      <c r="O123" s="26" t="str">
        <f>IFERROR(__xludf.DUMMYFUNCTION("""COMPUTED_VALUE"""),"Yes")</f>
        <v>Yes</v>
      </c>
      <c r="P123" s="26"/>
    </row>
    <row r="124">
      <c r="A124" s="13" t="str">
        <f>IFERROR(__xludf.DUMMYFUNCTION("""COMPUTED_VALUE"""),"The Dark Pictures Anthology: The Devil in Me")</f>
        <v>The Dark Pictures Anthology: The Devil in Me</v>
      </c>
      <c r="B124" s="15" t="str">
        <f>IFERROR(__xludf.DUMMYFUNCTION("""COMPUTED_VALUE"""),"PS5/PS4")</f>
        <v>PS5/PS4</v>
      </c>
      <c r="C124" s="16" t="str">
        <f>IFERROR(__xludf.DUMMYFUNCTION("""COMPUTED_VALUE"""),"Extra")</f>
        <v>Extra</v>
      </c>
      <c r="D124" s="15" t="str">
        <f>IFERROR(__xludf.DUMMYFUNCTION("""COMPUTED_VALUE"""),"Removed")</f>
        <v>Removed</v>
      </c>
      <c r="E124" s="17">
        <f>IFERROR(__xludf.DUMMYFUNCTION("""COMPUTED_VALUE"""),45580.0)</f>
        <v>45580</v>
      </c>
      <c r="F124" s="54">
        <f>IFERROR(__xludf.DUMMYFUNCTION("""COMPUTED_VALUE"""),45950.0)</f>
        <v>45950</v>
      </c>
      <c r="G124" s="19">
        <f>IFERROR(__xludf.DUMMYFUNCTION("""COMPUTED_VALUE"""),12.166666666666666)</f>
        <v>12.16666667</v>
      </c>
      <c r="H124" s="17">
        <f>IFERROR(__xludf.DUMMYFUNCTION("""COMPUTED_VALUE"""),44883.0)</f>
        <v>44883</v>
      </c>
      <c r="I124" s="19">
        <f>IFERROR(__xludf.DUMMYFUNCTION("""COMPUTED_VALUE"""),1.9083333333333334)</f>
        <v>1.908333333</v>
      </c>
      <c r="J124" s="21">
        <f>IFERROR(__xludf.DUMMYFUNCTION("""COMPUTED_VALUE"""),69.0)</f>
        <v>69</v>
      </c>
      <c r="K124" s="23">
        <f>IFERROR(__xludf.DUMMYFUNCTION("""COMPUTED_VALUE"""),6.2)</f>
        <v>6.2</v>
      </c>
      <c r="L124" s="24">
        <f>IFERROR(__xludf.DUMMYFUNCTION("""COMPUTED_VALUE"""),7.0)</f>
        <v>7</v>
      </c>
      <c r="M124" s="25" t="str">
        <f>IFERROR(__xludf.DUMMYFUNCTION("""COMPUTED_VALUE"""),"Action-Adventure")</f>
        <v>Action-Adventure</v>
      </c>
      <c r="N124" s="25"/>
      <c r="O124" s="26" t="str">
        <f>IFERROR(__xludf.DUMMYFUNCTION("""COMPUTED_VALUE"""),"No")</f>
        <v>No</v>
      </c>
      <c r="P124" s="26"/>
    </row>
    <row r="125">
      <c r="A125" s="13" t="str">
        <f>IFERROR(__xludf.DUMMYFUNCTION("""COMPUTED_VALUE"""),"Ghostbusters: Spirits Unleashed")</f>
        <v>Ghostbusters: Spirits Unleashed</v>
      </c>
      <c r="B125" s="15" t="str">
        <f>IFERROR(__xludf.DUMMYFUNCTION("""COMPUTED_VALUE"""),"PS5/PS4")</f>
        <v>PS5/PS4</v>
      </c>
      <c r="C125" s="16" t="str">
        <f>IFERROR(__xludf.DUMMYFUNCTION("""COMPUTED_VALUE"""),"Extra")</f>
        <v>Extra</v>
      </c>
      <c r="D125" s="15" t="str">
        <f>IFERROR(__xludf.DUMMYFUNCTION("""COMPUTED_VALUE"""),"Removed")</f>
        <v>Removed</v>
      </c>
      <c r="E125" s="17">
        <f>IFERROR(__xludf.DUMMYFUNCTION("""COMPUTED_VALUE"""),45580.0)</f>
        <v>45580</v>
      </c>
      <c r="F125" s="54">
        <f>IFERROR(__xludf.DUMMYFUNCTION("""COMPUTED_VALUE"""),45950.0)</f>
        <v>45950</v>
      </c>
      <c r="G125" s="19">
        <f>IFERROR(__xludf.DUMMYFUNCTION("""COMPUTED_VALUE"""),12.166666666666666)</f>
        <v>12.16666667</v>
      </c>
      <c r="H125" s="17">
        <f>IFERROR(__xludf.DUMMYFUNCTION("""COMPUTED_VALUE"""),44852.0)</f>
        <v>44852</v>
      </c>
      <c r="I125" s="19">
        <f>IFERROR(__xludf.DUMMYFUNCTION("""COMPUTED_VALUE"""),1.9916666666666667)</f>
        <v>1.991666667</v>
      </c>
      <c r="J125" s="21">
        <f>IFERROR(__xludf.DUMMYFUNCTION("""COMPUTED_VALUE"""),68.0)</f>
        <v>68</v>
      </c>
      <c r="K125" s="23">
        <f>IFERROR(__xludf.DUMMYFUNCTION("""COMPUTED_VALUE"""),8.0)</f>
        <v>8</v>
      </c>
      <c r="L125" s="24">
        <f>IFERROR(__xludf.DUMMYFUNCTION("""COMPUTED_VALUE"""),8.0)</f>
        <v>8</v>
      </c>
      <c r="M125" s="25" t="str">
        <f>IFERROR(__xludf.DUMMYFUNCTION("""COMPUTED_VALUE"""),"Action-Adventure")</f>
        <v>Action-Adventure</v>
      </c>
      <c r="N125" s="25"/>
      <c r="O125" s="26" t="str">
        <f>IFERROR(__xludf.DUMMYFUNCTION("""COMPUTED_VALUE"""),"Yes")</f>
        <v>Yes</v>
      </c>
      <c r="P125" s="26"/>
    </row>
    <row r="126">
      <c r="A126" s="13" t="str">
        <f>IFERROR(__xludf.DUMMYFUNCTION("""COMPUTED_VALUE"""),"Tour de France 2023")</f>
        <v>Tour de France 2023</v>
      </c>
      <c r="B126" s="15" t="str">
        <f>IFERROR(__xludf.DUMMYFUNCTION("""COMPUTED_VALUE"""),"PS5/PS4")</f>
        <v>PS5/PS4</v>
      </c>
      <c r="C126" s="16" t="str">
        <f>IFERROR(__xludf.DUMMYFUNCTION("""COMPUTED_VALUE"""),"Extra")</f>
        <v>Extra</v>
      </c>
      <c r="D126" s="15" t="str">
        <f>IFERROR(__xludf.DUMMYFUNCTION("""COMPUTED_VALUE"""),"Removed")</f>
        <v>Removed</v>
      </c>
      <c r="E126" s="17">
        <f>IFERROR(__xludf.DUMMYFUNCTION("""COMPUTED_VALUE"""),45580.0)</f>
        <v>45580</v>
      </c>
      <c r="F126" s="54">
        <f>IFERROR(__xludf.DUMMYFUNCTION("""COMPUTED_VALUE"""),45950.0)</f>
        <v>45950</v>
      </c>
      <c r="G126" s="19">
        <f>IFERROR(__xludf.DUMMYFUNCTION("""COMPUTED_VALUE"""),12.166666666666666)</f>
        <v>12.16666667</v>
      </c>
      <c r="H126" s="17">
        <f>IFERROR(__xludf.DUMMYFUNCTION("""COMPUTED_VALUE"""),45085.0)</f>
        <v>45085</v>
      </c>
      <c r="I126" s="19">
        <f>IFERROR(__xludf.DUMMYFUNCTION("""COMPUTED_VALUE"""),1.3527777777777779)</f>
        <v>1.352777778</v>
      </c>
      <c r="J126" s="21">
        <f>IFERROR(__xludf.DUMMYFUNCTION("""COMPUTED_VALUE"""),73.0)</f>
        <v>73</v>
      </c>
      <c r="K126" s="23">
        <f>IFERROR(__xludf.DUMMYFUNCTION("""COMPUTED_VALUE"""),3.5)</f>
        <v>3.5</v>
      </c>
      <c r="L126" s="24">
        <f>IFERROR(__xludf.DUMMYFUNCTION("""COMPUTED_VALUE"""),9.0)</f>
        <v>9</v>
      </c>
      <c r="M126" s="25" t="str">
        <f>IFERROR(__xludf.DUMMYFUNCTION("""COMPUTED_VALUE"""),"Racing")</f>
        <v>Racing</v>
      </c>
      <c r="N126" s="25"/>
      <c r="O126" s="26" t="str">
        <f>IFERROR(__xludf.DUMMYFUNCTION("""COMPUTED_VALUE"""),"Portal (PS5 + Premium)")</f>
        <v>Portal (PS5 + Premium)</v>
      </c>
      <c r="P126" s="26"/>
    </row>
    <row r="127">
      <c r="A127" s="13" t="str">
        <f>IFERROR(__xludf.DUMMYFUNCTION("""COMPUTED_VALUE"""),"The Last Clockwinder")</f>
        <v>The Last Clockwinder</v>
      </c>
      <c r="B127" s="15" t="str">
        <f>IFERROR(__xludf.DUMMYFUNCTION("""COMPUTED_VALUE"""),"PS5/PSVR2")</f>
        <v>PS5/PSVR2</v>
      </c>
      <c r="C127" s="16" t="str">
        <f>IFERROR(__xludf.DUMMYFUNCTION("""COMPUTED_VALUE"""),"Premium (VR)")</f>
        <v>Premium (VR)</v>
      </c>
      <c r="D127" s="15" t="str">
        <f>IFERROR(__xludf.DUMMYFUNCTION("""COMPUTED_VALUE"""),"Removed")</f>
        <v>Removed</v>
      </c>
      <c r="E127" s="17">
        <f>IFERROR(__xludf.DUMMYFUNCTION("""COMPUTED_VALUE"""),45580.0)</f>
        <v>45580</v>
      </c>
      <c r="F127" s="54">
        <f>IFERROR(__xludf.DUMMYFUNCTION("""COMPUTED_VALUE"""),45950.0)</f>
        <v>45950</v>
      </c>
      <c r="G127" s="19">
        <f>IFERROR(__xludf.DUMMYFUNCTION("""COMPUTED_VALUE"""),12.166666666666666)</f>
        <v>12.16666667</v>
      </c>
      <c r="H127" s="17">
        <f>IFERROR(__xludf.DUMMYFUNCTION("""COMPUTED_VALUE"""),45038.0)</f>
        <v>45038</v>
      </c>
      <c r="I127" s="19">
        <f>IFERROR(__xludf.DUMMYFUNCTION("""COMPUTED_VALUE"""),1.4805555555555556)</f>
        <v>1.480555556</v>
      </c>
      <c r="J127" s="21">
        <f>IFERROR(__xludf.DUMMYFUNCTION("""COMPUTED_VALUE"""),83.0)</f>
        <v>83</v>
      </c>
      <c r="K127" s="23">
        <f>IFERROR(__xludf.DUMMYFUNCTION("""COMPUTED_VALUE"""),6.9)</f>
        <v>6.9</v>
      </c>
      <c r="L127" s="24">
        <f>IFERROR(__xludf.DUMMYFUNCTION("""COMPUTED_VALUE"""),5.0)</f>
        <v>5</v>
      </c>
      <c r="M127" s="25" t="str">
        <f>IFERROR(__xludf.DUMMYFUNCTION("""COMPUTED_VALUE"""),"Action-Adventure")</f>
        <v>Action-Adventure</v>
      </c>
      <c r="N127" s="25" t="str">
        <f>IFERROR(__xludf.DUMMYFUNCTION("""COMPUTED_VALUE"""),"PSVR2")</f>
        <v>PSVR2</v>
      </c>
      <c r="O127" s="26" t="str">
        <f>IFERROR(__xludf.DUMMYFUNCTION("""COMPUTED_VALUE"""),"No")</f>
        <v>No</v>
      </c>
      <c r="P127" s="26"/>
    </row>
    <row r="128">
      <c r="A128" s="13" t="str">
        <f>IFERROR(__xludf.DUMMYFUNCTION("""COMPUTED_VALUE"""),"The Dark Pictures Anthology: House of Ashes")</f>
        <v>The Dark Pictures Anthology: House of Ashes</v>
      </c>
      <c r="B128" s="15" t="str">
        <f>IFERROR(__xludf.DUMMYFUNCTION("""COMPUTED_VALUE"""),"PS5/PS4")</f>
        <v>PS5/PS4</v>
      </c>
      <c r="C128" s="16" t="str">
        <f>IFERROR(__xludf.DUMMYFUNCTION("""COMPUTED_VALUE"""),"Extra")</f>
        <v>Extra</v>
      </c>
      <c r="D128" s="15" t="str">
        <f>IFERROR(__xludf.DUMMYFUNCTION("""COMPUTED_VALUE"""),"Removed")</f>
        <v>Removed</v>
      </c>
      <c r="E128" s="17">
        <f>IFERROR(__xludf.DUMMYFUNCTION("""COMPUTED_VALUE"""),45216.0)</f>
        <v>45216</v>
      </c>
      <c r="F128" s="54">
        <f>IFERROR(__xludf.DUMMYFUNCTION("""COMPUTED_VALUE"""),45950.0)</f>
        <v>45950</v>
      </c>
      <c r="G128" s="19">
        <f>IFERROR(__xludf.DUMMYFUNCTION("""COMPUTED_VALUE"""),24.1)</f>
        <v>24.1</v>
      </c>
      <c r="H128" s="17">
        <f>IFERROR(__xludf.DUMMYFUNCTION("""COMPUTED_VALUE"""),44491.0)</f>
        <v>44491</v>
      </c>
      <c r="I128" s="19">
        <f>IFERROR(__xludf.DUMMYFUNCTION("""COMPUTED_VALUE"""),1.9861111111111112)</f>
        <v>1.986111111</v>
      </c>
      <c r="J128" s="21">
        <f>IFERROR(__xludf.DUMMYFUNCTION("""COMPUTED_VALUE"""),72.0)</f>
        <v>72</v>
      </c>
      <c r="K128" s="23">
        <f>IFERROR(__xludf.DUMMYFUNCTION("""COMPUTED_VALUE"""),8.0)</f>
        <v>8</v>
      </c>
      <c r="L128" s="24">
        <f>IFERROR(__xludf.DUMMYFUNCTION("""COMPUTED_VALUE"""),6.0)</f>
        <v>6</v>
      </c>
      <c r="M128" s="25" t="str">
        <f>IFERROR(__xludf.DUMMYFUNCTION("""COMPUTED_VALUE"""),"Survival")</f>
        <v>Survival</v>
      </c>
      <c r="N128" s="25"/>
      <c r="O128" s="26" t="str">
        <f>IFERROR(__xludf.DUMMYFUNCTION("""COMPUTED_VALUE"""),"Portal (PS5 + Premium)")</f>
        <v>Portal (PS5 + Premium)</v>
      </c>
      <c r="P128" s="26"/>
    </row>
    <row r="129">
      <c r="A129" s="13" t="str">
        <f>IFERROR(__xludf.DUMMYFUNCTION("""COMPUTED_VALUE"""),"Psychonauts 2")</f>
        <v>Psychonauts 2</v>
      </c>
      <c r="B129" s="15" t="str">
        <f>IFERROR(__xludf.DUMMYFUNCTION("""COMPUTED_VALUE"""),"PS4")</f>
        <v>PS4</v>
      </c>
      <c r="C129" s="16" t="str">
        <f>IFERROR(__xludf.DUMMYFUNCTION("""COMPUTED_VALUE"""),"Essential")</f>
        <v>Essential</v>
      </c>
      <c r="D129" s="15" t="str">
        <f>IFERROR(__xludf.DUMMYFUNCTION("""COMPUTED_VALUE"""),"Removed")</f>
        <v>Removed</v>
      </c>
      <c r="E129" s="17">
        <f>IFERROR(__xludf.DUMMYFUNCTION("""COMPUTED_VALUE"""),45902.0)</f>
        <v>45902</v>
      </c>
      <c r="F129" s="54">
        <f>IFERROR(__xludf.DUMMYFUNCTION("""COMPUTED_VALUE"""),45936.0)</f>
        <v>45936</v>
      </c>
      <c r="G129" s="19">
        <f>IFERROR(__xludf.DUMMYFUNCTION("""COMPUTED_VALUE"""),1.1333333333333333)</f>
        <v>1.133333333</v>
      </c>
      <c r="H129" s="17">
        <f>IFERROR(__xludf.DUMMYFUNCTION("""COMPUTED_VALUE"""),44433.0)</f>
        <v>44433</v>
      </c>
      <c r="I129" s="19">
        <f>IFERROR(__xludf.DUMMYFUNCTION("""COMPUTED_VALUE"""),4.019444444444445)</f>
        <v>4.019444444</v>
      </c>
      <c r="J129" s="21">
        <f>IFERROR(__xludf.DUMMYFUNCTION("""COMPUTED_VALUE"""),87.0)</f>
        <v>87</v>
      </c>
      <c r="K129" s="23">
        <f>IFERROR(__xludf.DUMMYFUNCTION("""COMPUTED_VALUE"""),8.1)</f>
        <v>8.1</v>
      </c>
      <c r="L129" s="24">
        <f>IFERROR(__xludf.DUMMYFUNCTION("""COMPUTED_VALUE"""),15.0)</f>
        <v>15</v>
      </c>
      <c r="M129" s="25" t="str">
        <f>IFERROR(__xludf.DUMMYFUNCTION("""COMPUTED_VALUE"""),"Platformer")</f>
        <v>Platformer</v>
      </c>
      <c r="N129" s="25"/>
      <c r="O129" s="26" t="str">
        <f>IFERROR(__xludf.DUMMYFUNCTION("""COMPUTED_VALUE"""),"No")</f>
        <v>No</v>
      </c>
      <c r="P129" s="26"/>
    </row>
    <row r="130">
      <c r="A130" s="13" t="str">
        <f>IFERROR(__xludf.DUMMYFUNCTION("""COMPUTED_VALUE"""),"Stardew Valley")</f>
        <v>Stardew Valley</v>
      </c>
      <c r="B130" s="15" t="str">
        <f>IFERROR(__xludf.DUMMYFUNCTION("""COMPUTED_VALUE"""),"PS4")</f>
        <v>PS4</v>
      </c>
      <c r="C130" s="16" t="str">
        <f>IFERROR(__xludf.DUMMYFUNCTION("""COMPUTED_VALUE"""),"Essential")</f>
        <v>Essential</v>
      </c>
      <c r="D130" s="15" t="str">
        <f>IFERROR(__xludf.DUMMYFUNCTION("""COMPUTED_VALUE"""),"Removed")</f>
        <v>Removed</v>
      </c>
      <c r="E130" s="17">
        <f>IFERROR(__xludf.DUMMYFUNCTION("""COMPUTED_VALUE"""),45902.0)</f>
        <v>45902</v>
      </c>
      <c r="F130" s="54">
        <f>IFERROR(__xludf.DUMMYFUNCTION("""COMPUTED_VALUE"""),45936.0)</f>
        <v>45936</v>
      </c>
      <c r="G130" s="19">
        <f>IFERROR(__xludf.DUMMYFUNCTION("""COMPUTED_VALUE"""),1.1333333333333333)</f>
        <v>1.133333333</v>
      </c>
      <c r="H130" s="17">
        <f>IFERROR(__xludf.DUMMYFUNCTION("""COMPUTED_VALUE"""),43522.0)</f>
        <v>43522</v>
      </c>
      <c r="I130" s="19">
        <f>IFERROR(__xludf.DUMMYFUNCTION("""COMPUTED_VALUE"""),6.516666666666667)</f>
        <v>6.516666667</v>
      </c>
      <c r="J130" s="21">
        <f>IFERROR(__xludf.DUMMYFUNCTION("""COMPUTED_VALUE"""),89.0)</f>
        <v>89</v>
      </c>
      <c r="K130" s="23">
        <f>IFERROR(__xludf.DUMMYFUNCTION("""COMPUTED_VALUE"""),8.8)</f>
        <v>8.8</v>
      </c>
      <c r="L130" s="24">
        <f>IFERROR(__xludf.DUMMYFUNCTION("""COMPUTED_VALUE"""),54.0)</f>
        <v>54</v>
      </c>
      <c r="M130" s="25" t="str">
        <f>IFERROR(__xludf.DUMMYFUNCTION("""COMPUTED_VALUE"""),"Virtual Life")</f>
        <v>Virtual Life</v>
      </c>
      <c r="N130" s="25"/>
      <c r="O130" s="26" t="str">
        <f>IFERROR(__xludf.DUMMYFUNCTION("""COMPUTED_VALUE"""),"No")</f>
        <v>No</v>
      </c>
      <c r="P130" s="26"/>
    </row>
    <row r="131">
      <c r="A131" s="13" t="str">
        <f>IFERROR(__xludf.DUMMYFUNCTION("""COMPUTED_VALUE"""),"Viewfinder")</f>
        <v>Viewfinder</v>
      </c>
      <c r="B131" s="15" t="str">
        <f>IFERROR(__xludf.DUMMYFUNCTION("""COMPUTED_VALUE"""),"PS5/PS4")</f>
        <v>PS5/PS4</v>
      </c>
      <c r="C131" s="16" t="str">
        <f>IFERROR(__xludf.DUMMYFUNCTION("""COMPUTED_VALUE"""),"Essential")</f>
        <v>Essential</v>
      </c>
      <c r="D131" s="15" t="str">
        <f>IFERROR(__xludf.DUMMYFUNCTION("""COMPUTED_VALUE"""),"Removed")</f>
        <v>Removed</v>
      </c>
      <c r="E131" s="17">
        <f>IFERROR(__xludf.DUMMYFUNCTION("""COMPUTED_VALUE"""),45902.0)</f>
        <v>45902</v>
      </c>
      <c r="F131" s="54">
        <f>IFERROR(__xludf.DUMMYFUNCTION("""COMPUTED_VALUE"""),45936.0)</f>
        <v>45936</v>
      </c>
      <c r="G131" s="19">
        <f>IFERROR(__xludf.DUMMYFUNCTION("""COMPUTED_VALUE"""),1.1333333333333333)</f>
        <v>1.133333333</v>
      </c>
      <c r="H131" s="17">
        <f>IFERROR(__xludf.DUMMYFUNCTION("""COMPUTED_VALUE"""),45125.0)</f>
        <v>45125</v>
      </c>
      <c r="I131" s="19">
        <f>IFERROR(__xludf.DUMMYFUNCTION("""COMPUTED_VALUE"""),2.1222222222222222)</f>
        <v>2.122222222</v>
      </c>
      <c r="J131" s="21">
        <f>IFERROR(__xludf.DUMMYFUNCTION("""COMPUTED_VALUE"""),84.0)</f>
        <v>84</v>
      </c>
      <c r="K131" s="23">
        <f>IFERROR(__xludf.DUMMYFUNCTION("""COMPUTED_VALUE"""),7.9)</f>
        <v>7.9</v>
      </c>
      <c r="L131" s="24">
        <f>IFERROR(__xludf.DUMMYFUNCTION("""COMPUTED_VALUE"""),4.0)</f>
        <v>4</v>
      </c>
      <c r="M131" s="25" t="str">
        <f>IFERROR(__xludf.DUMMYFUNCTION("""COMPUTED_VALUE"""),"Action-Adventure")</f>
        <v>Action-Adventure</v>
      </c>
      <c r="N131" s="25"/>
      <c r="O131" s="26" t="str">
        <f>IFERROR(__xludf.DUMMYFUNCTION("""COMPUTED_VALUE"""),"No")</f>
        <v>No</v>
      </c>
      <c r="P131" s="26"/>
    </row>
    <row r="132">
      <c r="A132" s="13" t="str">
        <f>IFERROR(__xludf.DUMMYFUNCTION("""COMPUTED_VALUE"""),"F.I.S.T.: Forged in Shadow Torch")</f>
        <v>F.I.S.T.: Forged in Shadow Torch</v>
      </c>
      <c r="B132" s="15" t="str">
        <f>IFERROR(__xludf.DUMMYFUNCTION("""COMPUTED_VALUE"""),"PS5/PS4")</f>
        <v>PS5/PS4</v>
      </c>
      <c r="C132" s="16" t="str">
        <f>IFERROR(__xludf.DUMMYFUNCTION("""COMPUTED_VALUE"""),"Extra")</f>
        <v>Extra</v>
      </c>
      <c r="D132" s="15" t="str">
        <f>IFERROR(__xludf.DUMMYFUNCTION("""COMPUTED_VALUE"""),"Removed")</f>
        <v>Removed</v>
      </c>
      <c r="E132" s="17">
        <f>IFERROR(__xludf.DUMMYFUNCTION("""COMPUTED_VALUE"""),45643.0)</f>
        <v>45643</v>
      </c>
      <c r="F132" s="54">
        <f>IFERROR(__xludf.DUMMYFUNCTION("""COMPUTED_VALUE"""),45915.0)</f>
        <v>45915</v>
      </c>
      <c r="G132" s="19">
        <f>IFERROR(__xludf.DUMMYFUNCTION("""COMPUTED_VALUE"""),8.933333333333334)</f>
        <v>8.933333333</v>
      </c>
      <c r="H132" s="17">
        <f>IFERROR(__xludf.DUMMYFUNCTION("""COMPUTED_VALUE"""),44446.0)</f>
        <v>44446</v>
      </c>
      <c r="I132" s="19">
        <f>IFERROR(__xludf.DUMMYFUNCTION("""COMPUTED_VALUE"""),3.2777777777777777)</f>
        <v>3.277777778</v>
      </c>
      <c r="J132" s="21">
        <f>IFERROR(__xludf.DUMMYFUNCTION("""COMPUTED_VALUE"""),80.0)</f>
        <v>80</v>
      </c>
      <c r="K132" s="23">
        <f>IFERROR(__xludf.DUMMYFUNCTION("""COMPUTED_VALUE"""),7.7)</f>
        <v>7.7</v>
      </c>
      <c r="L132" s="24">
        <f>IFERROR(__xludf.DUMMYFUNCTION("""COMPUTED_VALUE"""),13.0)</f>
        <v>13</v>
      </c>
      <c r="M132" s="25" t="str">
        <f>IFERROR(__xludf.DUMMYFUNCTION("""COMPUTED_VALUE"""),"Metroidvania ")</f>
        <v>Metroidvania </v>
      </c>
      <c r="N132" s="25"/>
      <c r="O132" s="26" t="str">
        <f>IFERROR(__xludf.DUMMYFUNCTION("""COMPUTED_VALUE"""),"Yes")</f>
        <v>Yes</v>
      </c>
      <c r="P132" s="26"/>
    </row>
    <row r="133">
      <c r="A133" s="13" t="str">
        <f>IFERROR(__xludf.DUMMYFUNCTION("""COMPUTED_VALUE"""),"The Plucky Squire")</f>
        <v>The Plucky Squire</v>
      </c>
      <c r="B133" s="15" t="str">
        <f>IFERROR(__xludf.DUMMYFUNCTION("""COMPUTED_VALUE"""),"PS5")</f>
        <v>PS5</v>
      </c>
      <c r="C133" s="16" t="str">
        <f>IFERROR(__xludf.DUMMYFUNCTION("""COMPUTED_VALUE"""),"Extra")</f>
        <v>Extra</v>
      </c>
      <c r="D133" s="15" t="str">
        <f>IFERROR(__xludf.DUMMYFUNCTION("""COMPUTED_VALUE"""),"Removed")</f>
        <v>Removed</v>
      </c>
      <c r="E133" s="17">
        <f>IFERROR(__xludf.DUMMYFUNCTION("""COMPUTED_VALUE"""),45552.0)</f>
        <v>45552</v>
      </c>
      <c r="F133" s="54">
        <f>IFERROR(__xludf.DUMMYFUNCTION("""COMPUTED_VALUE"""),45915.0)</f>
        <v>45915</v>
      </c>
      <c r="G133" s="19">
        <f>IFERROR(__xludf.DUMMYFUNCTION("""COMPUTED_VALUE"""),11.933333333333334)</f>
        <v>11.93333333</v>
      </c>
      <c r="H133" s="17">
        <f>IFERROR(__xludf.DUMMYFUNCTION("""COMPUTED_VALUE"""),45552.0)</f>
        <v>45552</v>
      </c>
      <c r="I133" s="19">
        <f>IFERROR(__xludf.DUMMYFUNCTION("""COMPUTED_VALUE"""),0.0)</f>
        <v>0</v>
      </c>
      <c r="J133" s="21">
        <f>IFERROR(__xludf.DUMMYFUNCTION("""COMPUTED_VALUE"""),83.0)</f>
        <v>83</v>
      </c>
      <c r="K133" s="23">
        <f>IFERROR(__xludf.DUMMYFUNCTION("""COMPUTED_VALUE"""),7.5)</f>
        <v>7.5</v>
      </c>
      <c r="L133" s="24">
        <f>IFERROR(__xludf.DUMMYFUNCTION("""COMPUTED_VALUE"""),9.0)</f>
        <v>9</v>
      </c>
      <c r="M133" s="68" t="str">
        <f>IFERROR(__xludf.DUMMYFUNCTION("""COMPUTED_VALUE"""),"Action-Adventure")</f>
        <v>Action-Adventure</v>
      </c>
      <c r="N133" s="68"/>
      <c r="O133" s="69" t="str">
        <f>IFERROR(__xludf.DUMMYFUNCTION("""COMPUTED_VALUE"""),"Portal (PS5 + Premium)")</f>
        <v>Portal (PS5 + Premium)</v>
      </c>
      <c r="P133" s="69"/>
    </row>
    <row r="134">
      <c r="A134" s="13" t="str">
        <f>IFERROR(__xludf.DUMMYFUNCTION("""COMPUTED_VALUE"""),"Night in the Woods")</f>
        <v>Night in the Woods</v>
      </c>
      <c r="B134" s="15" t="str">
        <f>IFERROR(__xludf.DUMMYFUNCTION("""COMPUTED_VALUE"""),"PS5/PS4")</f>
        <v>PS5/PS4</v>
      </c>
      <c r="C134" s="16" t="str">
        <f>IFERROR(__xludf.DUMMYFUNCTION("""COMPUTED_VALUE"""),"Extra")</f>
        <v>Extra</v>
      </c>
      <c r="D134" s="15" t="str">
        <f>IFERROR(__xludf.DUMMYFUNCTION("""COMPUTED_VALUE"""),"Removed")</f>
        <v>Removed</v>
      </c>
      <c r="E134" s="17">
        <f>IFERROR(__xludf.DUMMYFUNCTION("""COMPUTED_VALUE"""),45552.0)</f>
        <v>45552</v>
      </c>
      <c r="F134" s="54">
        <f>IFERROR(__xludf.DUMMYFUNCTION("""COMPUTED_VALUE"""),45915.0)</f>
        <v>45915</v>
      </c>
      <c r="G134" s="19">
        <f>IFERROR(__xludf.DUMMYFUNCTION("""COMPUTED_VALUE"""),11.933333333333334)</f>
        <v>11.93333333</v>
      </c>
      <c r="H134" s="17">
        <f>IFERROR(__xludf.DUMMYFUNCTION("""COMPUTED_VALUE"""),42787.0)</f>
        <v>42787</v>
      </c>
      <c r="I134" s="19">
        <f>IFERROR(__xludf.DUMMYFUNCTION("""COMPUTED_VALUE"""),7.572222222222222)</f>
        <v>7.572222222</v>
      </c>
      <c r="J134" s="21">
        <f>IFERROR(__xludf.DUMMYFUNCTION("""COMPUTED_VALUE"""),88.0)</f>
        <v>88</v>
      </c>
      <c r="K134" s="23">
        <f>IFERROR(__xludf.DUMMYFUNCTION("""COMPUTED_VALUE"""),7.7)</f>
        <v>7.7</v>
      </c>
      <c r="L134" s="24">
        <f>IFERROR(__xludf.DUMMYFUNCTION("""COMPUTED_VALUE"""),9.0)</f>
        <v>9</v>
      </c>
      <c r="M134" s="25" t="str">
        <f>IFERROR(__xludf.DUMMYFUNCTION("""COMPUTED_VALUE"""),"Action-Adventure")</f>
        <v>Action-Adventure</v>
      </c>
      <c r="N134" s="25"/>
      <c r="O134" s="26" t="str">
        <f>IFERROR(__xludf.DUMMYFUNCTION("""COMPUTED_VALUE"""),"Yes")</f>
        <v>Yes</v>
      </c>
      <c r="P134" s="26"/>
    </row>
    <row r="135">
      <c r="A135" s="13" t="str">
        <f>IFERROR(__xludf.DUMMYFUNCTION("""COMPUTED_VALUE"""),"Road 96")</f>
        <v>Road 96</v>
      </c>
      <c r="B135" s="15" t="str">
        <f>IFERROR(__xludf.DUMMYFUNCTION("""COMPUTED_VALUE"""),"PS5/PS4")</f>
        <v>PS5/PS4</v>
      </c>
      <c r="C135" s="16" t="str">
        <f>IFERROR(__xludf.DUMMYFUNCTION("""COMPUTED_VALUE"""),"Extra")</f>
        <v>Extra</v>
      </c>
      <c r="D135" s="15" t="str">
        <f>IFERROR(__xludf.DUMMYFUNCTION("""COMPUTED_VALUE"""),"Removed")</f>
        <v>Removed</v>
      </c>
      <c r="E135" s="17">
        <f>IFERROR(__xludf.DUMMYFUNCTION("""COMPUTED_VALUE"""),45552.0)</f>
        <v>45552</v>
      </c>
      <c r="F135" s="54">
        <f>IFERROR(__xludf.DUMMYFUNCTION("""COMPUTED_VALUE"""),45915.0)</f>
        <v>45915</v>
      </c>
      <c r="G135" s="19">
        <f>IFERROR(__xludf.DUMMYFUNCTION("""COMPUTED_VALUE"""),11.933333333333334)</f>
        <v>11.93333333</v>
      </c>
      <c r="H135" s="17">
        <f>IFERROR(__xludf.DUMMYFUNCTION("""COMPUTED_VALUE"""),44424.0)</f>
        <v>44424</v>
      </c>
      <c r="I135" s="19">
        <f>IFERROR(__xludf.DUMMYFUNCTION("""COMPUTED_VALUE"""),3.0861111111111112)</f>
        <v>3.086111111</v>
      </c>
      <c r="J135" s="21">
        <f>IFERROR(__xludf.DUMMYFUNCTION("""COMPUTED_VALUE"""),79.0)</f>
        <v>79</v>
      </c>
      <c r="K135" s="23">
        <f>IFERROR(__xludf.DUMMYFUNCTION("""COMPUTED_VALUE"""),7.7)</f>
        <v>7.7</v>
      </c>
      <c r="L135" s="24">
        <f>IFERROR(__xludf.DUMMYFUNCTION("""COMPUTED_VALUE"""),8.0)</f>
        <v>8</v>
      </c>
      <c r="M135" s="25" t="str">
        <f>IFERROR(__xludf.DUMMYFUNCTION("""COMPUTED_VALUE"""),"Action-Adventure")</f>
        <v>Action-Adventure</v>
      </c>
      <c r="N135" s="25"/>
      <c r="O135" s="26" t="str">
        <f>IFERROR(__xludf.DUMMYFUNCTION("""COMPUTED_VALUE"""),"No")</f>
        <v>No</v>
      </c>
      <c r="P135" s="26"/>
    </row>
    <row r="136">
      <c r="A136" s="13" t="str">
        <f>IFERROR(__xludf.DUMMYFUNCTION("""COMPUTED_VALUE"""),"Pistol Whip")</f>
        <v>Pistol Whip</v>
      </c>
      <c r="B136" s="15" t="str">
        <f>IFERROR(__xludf.DUMMYFUNCTION("""COMPUTED_VALUE"""),"PS5/PSVR2")</f>
        <v>PS5/PSVR2</v>
      </c>
      <c r="C136" s="16" t="str">
        <f>IFERROR(__xludf.DUMMYFUNCTION("""COMPUTED_VALUE"""),"Premium (VR)")</f>
        <v>Premium (VR)</v>
      </c>
      <c r="D136" s="15" t="str">
        <f>IFERROR(__xludf.DUMMYFUNCTION("""COMPUTED_VALUE"""),"Removed")</f>
        <v>Removed</v>
      </c>
      <c r="E136" s="17">
        <f>IFERROR(__xludf.DUMMYFUNCTION("""COMPUTED_VALUE"""),45552.0)</f>
        <v>45552</v>
      </c>
      <c r="F136" s="54">
        <f>IFERROR(__xludf.DUMMYFUNCTION("""COMPUTED_VALUE"""),45915.0)</f>
        <v>45915</v>
      </c>
      <c r="G136" s="19">
        <f>IFERROR(__xludf.DUMMYFUNCTION("""COMPUTED_VALUE"""),11.933333333333334)</f>
        <v>11.93333333</v>
      </c>
      <c r="H136" s="17">
        <f>IFERROR(__xludf.DUMMYFUNCTION("""COMPUTED_VALUE"""),43776.0)</f>
        <v>43776</v>
      </c>
      <c r="I136" s="19">
        <f>IFERROR(__xludf.DUMMYFUNCTION("""COMPUTED_VALUE"""),4.861111111111111)</f>
        <v>4.861111111</v>
      </c>
      <c r="J136" s="21">
        <f>IFERROR(__xludf.DUMMYFUNCTION("""COMPUTED_VALUE"""),83.0)</f>
        <v>83</v>
      </c>
      <c r="K136" s="23">
        <f>IFERROR(__xludf.DUMMYFUNCTION("""COMPUTED_VALUE"""),7.6)</f>
        <v>7.6</v>
      </c>
      <c r="L136" s="24">
        <f>IFERROR(__xludf.DUMMYFUNCTION("""COMPUTED_VALUE"""),2.0)</f>
        <v>2</v>
      </c>
      <c r="M136" s="25" t="str">
        <f>IFERROR(__xludf.DUMMYFUNCTION("""COMPUTED_VALUE"""),"Shooter")</f>
        <v>Shooter</v>
      </c>
      <c r="N136" s="25" t="str">
        <f>IFERROR(__xludf.DUMMYFUNCTION("""COMPUTED_VALUE"""),"PSVR2")</f>
        <v>PSVR2</v>
      </c>
      <c r="O136" s="26" t="str">
        <f>IFERROR(__xludf.DUMMYFUNCTION("""COMPUTED_VALUE"""),"No")</f>
        <v>No</v>
      </c>
      <c r="P136" s="26"/>
    </row>
    <row r="137">
      <c r="A137" s="13" t="str">
        <f>IFERROR(__xludf.DUMMYFUNCTION("""COMPUTED_VALUE"""),"Odin Sphere: Leifthrasir")</f>
        <v>Odin Sphere: Leifthrasir</v>
      </c>
      <c r="B137" s="15" t="str">
        <f>IFERROR(__xludf.DUMMYFUNCTION("""COMPUTED_VALUE"""),"PS4")</f>
        <v>PS4</v>
      </c>
      <c r="C137" s="16" t="str">
        <f>IFERROR(__xludf.DUMMYFUNCTION("""COMPUTED_VALUE"""),"Extra")</f>
        <v>Extra</v>
      </c>
      <c r="D137" s="15" t="str">
        <f>IFERROR(__xludf.DUMMYFUNCTION("""COMPUTED_VALUE"""),"Removed")</f>
        <v>Removed</v>
      </c>
      <c r="E137" s="17">
        <f>IFERROR(__xludf.DUMMYFUNCTION("""COMPUTED_VALUE"""),45188.0)</f>
        <v>45188</v>
      </c>
      <c r="F137" s="54">
        <f>IFERROR(__xludf.DUMMYFUNCTION("""COMPUTED_VALUE"""),45915.0)</f>
        <v>45915</v>
      </c>
      <c r="G137" s="19">
        <f>IFERROR(__xludf.DUMMYFUNCTION("""COMPUTED_VALUE"""),23.866666666666667)</f>
        <v>23.86666667</v>
      </c>
      <c r="H137" s="17">
        <f>IFERROR(__xludf.DUMMYFUNCTION("""COMPUTED_VALUE"""),42528.0)</f>
        <v>42528</v>
      </c>
      <c r="I137" s="19">
        <f>IFERROR(__xludf.DUMMYFUNCTION("""COMPUTED_VALUE"""),7.283333333333333)</f>
        <v>7.283333333</v>
      </c>
      <c r="J137" s="21">
        <f>IFERROR(__xludf.DUMMYFUNCTION("""COMPUTED_VALUE"""),87.0)</f>
        <v>87</v>
      </c>
      <c r="K137" s="23">
        <f>IFERROR(__xludf.DUMMYFUNCTION("""COMPUTED_VALUE"""),8.2)</f>
        <v>8.2</v>
      </c>
      <c r="L137" s="24">
        <f>IFERROR(__xludf.DUMMYFUNCTION("""COMPUTED_VALUE"""),30.0)</f>
        <v>30</v>
      </c>
      <c r="M137" s="25" t="str">
        <f>IFERROR(__xludf.DUMMYFUNCTION("""COMPUTED_VALUE"""),"RPG")</f>
        <v>RPG</v>
      </c>
      <c r="N137" s="25"/>
      <c r="O137" s="26" t="str">
        <f>IFERROR(__xludf.DUMMYFUNCTION("""COMPUTED_VALUE"""),"Yes")</f>
        <v>Yes</v>
      </c>
      <c r="P137" s="26"/>
    </row>
    <row r="138">
      <c r="A138" s="13" t="str">
        <f>IFERROR(__xludf.DUMMYFUNCTION("""COMPUTED_VALUE"""),"Dragon's Crown Pro")</f>
        <v>Dragon's Crown Pro</v>
      </c>
      <c r="B138" s="15" t="str">
        <f>IFERROR(__xludf.DUMMYFUNCTION("""COMPUTED_VALUE"""),"PS4")</f>
        <v>PS4</v>
      </c>
      <c r="C138" s="16" t="str">
        <f>IFERROR(__xludf.DUMMYFUNCTION("""COMPUTED_VALUE"""),"Premium (Classics)")</f>
        <v>Premium (Classics)</v>
      </c>
      <c r="D138" s="15" t="str">
        <f>IFERROR(__xludf.DUMMYFUNCTION("""COMPUTED_VALUE"""),"Removed")</f>
        <v>Removed</v>
      </c>
      <c r="E138" s="17">
        <f>IFERROR(__xludf.DUMMYFUNCTION("""COMPUTED_VALUE"""),45188.0)</f>
        <v>45188</v>
      </c>
      <c r="F138" s="18">
        <f>IFERROR(__xludf.DUMMYFUNCTION("""COMPUTED_VALUE"""),45915.0)</f>
        <v>45915</v>
      </c>
      <c r="G138" s="19">
        <f>IFERROR(__xludf.DUMMYFUNCTION("""COMPUTED_VALUE"""),23.866666666666667)</f>
        <v>23.86666667</v>
      </c>
      <c r="H138" s="17">
        <f>IFERROR(__xludf.DUMMYFUNCTION("""COMPUTED_VALUE"""),41492.0)</f>
        <v>41492</v>
      </c>
      <c r="I138" s="19">
        <f>IFERROR(__xludf.DUMMYFUNCTION("""COMPUTED_VALUE"""),10.119444444444444)</f>
        <v>10.11944444</v>
      </c>
      <c r="J138" s="21">
        <f>IFERROR(__xludf.DUMMYFUNCTION("""COMPUTED_VALUE"""),82.0)</f>
        <v>82</v>
      </c>
      <c r="K138" s="23">
        <f>IFERROR(__xludf.DUMMYFUNCTION("""COMPUTED_VALUE"""),8.2)</f>
        <v>8.2</v>
      </c>
      <c r="L138" s="24">
        <f>IFERROR(__xludf.DUMMYFUNCTION("""COMPUTED_VALUE"""),15.0)</f>
        <v>15</v>
      </c>
      <c r="M138" s="25" t="str">
        <f>IFERROR(__xludf.DUMMYFUNCTION("""COMPUTED_VALUE"""),"RPG")</f>
        <v>RPG</v>
      </c>
      <c r="N138" s="25" t="str">
        <f>IFERROR(__xludf.DUMMYFUNCTION("""COMPUTED_VALUE"""),"PS3")</f>
        <v>PS3</v>
      </c>
      <c r="O138" s="26" t="str">
        <f>IFERROR(__xludf.DUMMYFUNCTION("""COMPUTED_VALUE"""),"Yes")</f>
        <v>Yes</v>
      </c>
      <c r="P138" s="26"/>
    </row>
    <row r="139">
      <c r="A139" s="13" t="str">
        <f>IFERROR(__xludf.DUMMYFUNCTION("""COMPUTED_VALUE"""),"Lies of P")</f>
        <v>Lies of P</v>
      </c>
      <c r="B139" s="15" t="str">
        <f>IFERROR(__xludf.DUMMYFUNCTION("""COMPUTED_VALUE"""),"PS5/PS4")</f>
        <v>PS5/PS4</v>
      </c>
      <c r="C139" s="16" t="str">
        <f>IFERROR(__xludf.DUMMYFUNCTION("""COMPUTED_VALUE"""),"Essential")</f>
        <v>Essential</v>
      </c>
      <c r="D139" s="15" t="str">
        <f>IFERROR(__xludf.DUMMYFUNCTION("""COMPUTED_VALUE"""),"Removed")</f>
        <v>Removed</v>
      </c>
      <c r="E139" s="17">
        <f>IFERROR(__xludf.DUMMYFUNCTION("""COMPUTED_VALUE"""),45874.0)</f>
        <v>45874</v>
      </c>
      <c r="F139" s="54">
        <f>IFERROR(__xludf.DUMMYFUNCTION("""COMPUTED_VALUE"""),45901.0)</f>
        <v>45901</v>
      </c>
      <c r="G139" s="19">
        <f>IFERROR(__xludf.DUMMYFUNCTION("""COMPUTED_VALUE"""),0.8666666666666666)</f>
        <v>0.8666666667</v>
      </c>
      <c r="H139" s="17">
        <f>IFERROR(__xludf.DUMMYFUNCTION("""COMPUTED_VALUE"""),45188.0)</f>
        <v>45188</v>
      </c>
      <c r="I139" s="19">
        <f>IFERROR(__xludf.DUMMYFUNCTION("""COMPUTED_VALUE"""),1.8777777777777778)</f>
        <v>1.877777778</v>
      </c>
      <c r="J139" s="21">
        <f>IFERROR(__xludf.DUMMYFUNCTION("""COMPUTED_VALUE"""),80.0)</f>
        <v>80</v>
      </c>
      <c r="K139" s="23">
        <f>IFERROR(__xludf.DUMMYFUNCTION("""COMPUTED_VALUE"""),8.3)</f>
        <v>8.3</v>
      </c>
      <c r="L139" s="24">
        <f>IFERROR(__xludf.DUMMYFUNCTION("""COMPUTED_VALUE"""),29.0)</f>
        <v>29</v>
      </c>
      <c r="M139" s="25" t="str">
        <f>IFERROR(__xludf.DUMMYFUNCTION("""COMPUTED_VALUE"""),"RPG")</f>
        <v>RPG</v>
      </c>
      <c r="N139" s="25"/>
      <c r="O139" s="26" t="str">
        <f>IFERROR(__xludf.DUMMYFUNCTION("""COMPUTED_VALUE"""),"No")</f>
        <v>No</v>
      </c>
      <c r="P139" s="26"/>
    </row>
    <row r="140">
      <c r="A140" s="13" t="str">
        <f>IFERROR(__xludf.DUMMYFUNCTION("""COMPUTED_VALUE"""),"DayZ")</f>
        <v>DayZ</v>
      </c>
      <c r="B140" s="15" t="str">
        <f>IFERROR(__xludf.DUMMYFUNCTION("""COMPUTED_VALUE"""),"PS4")</f>
        <v>PS4</v>
      </c>
      <c r="C140" s="16" t="str">
        <f>IFERROR(__xludf.DUMMYFUNCTION("""COMPUTED_VALUE"""),"Essential")</f>
        <v>Essential</v>
      </c>
      <c r="D140" s="15" t="str">
        <f>IFERROR(__xludf.DUMMYFUNCTION("""COMPUTED_VALUE"""),"Removed")</f>
        <v>Removed</v>
      </c>
      <c r="E140" s="17">
        <f>IFERROR(__xludf.DUMMYFUNCTION("""COMPUTED_VALUE"""),45874.0)</f>
        <v>45874</v>
      </c>
      <c r="F140" s="18">
        <f>IFERROR(__xludf.DUMMYFUNCTION("""COMPUTED_VALUE"""),45901.0)</f>
        <v>45901</v>
      </c>
      <c r="G140" s="19">
        <f>IFERROR(__xludf.DUMMYFUNCTION("""COMPUTED_VALUE"""),0.8666666666666666)</f>
        <v>0.8666666667</v>
      </c>
      <c r="H140" s="17">
        <f>IFERROR(__xludf.DUMMYFUNCTION("""COMPUTED_VALUE"""),43447.0)</f>
        <v>43447</v>
      </c>
      <c r="I140" s="19">
        <f>IFERROR(__xludf.DUMMYFUNCTION("""COMPUTED_VALUE"""),6.644444444444445)</f>
        <v>6.644444444</v>
      </c>
      <c r="J140" s="21">
        <f>IFERROR(__xludf.DUMMYFUNCTION("""COMPUTED_VALUE"""),31.0)</f>
        <v>31</v>
      </c>
      <c r="K140" s="23">
        <f>IFERROR(__xludf.DUMMYFUNCTION("""COMPUTED_VALUE"""),4.1)</f>
        <v>4.1</v>
      </c>
      <c r="L140" s="24">
        <f>IFERROR(__xludf.DUMMYFUNCTION("""COMPUTED_VALUE"""),62.0)</f>
        <v>62</v>
      </c>
      <c r="M140" s="70" t="str">
        <f>IFERROR(__xludf.DUMMYFUNCTION("""COMPUTED_VALUE"""),"Survival")</f>
        <v>Survival</v>
      </c>
      <c r="N140" s="25"/>
      <c r="O140" s="26" t="str">
        <f>IFERROR(__xludf.DUMMYFUNCTION("""COMPUTED_VALUE"""),"No")</f>
        <v>No</v>
      </c>
      <c r="P140" s="26"/>
    </row>
    <row r="141">
      <c r="A141" s="13" t="str">
        <f>IFERROR(__xludf.DUMMYFUNCTION("""COMPUTED_VALUE"""),"My Hero One's Justice 2")</f>
        <v>My Hero One's Justice 2</v>
      </c>
      <c r="B141" s="15" t="str">
        <f>IFERROR(__xludf.DUMMYFUNCTION("""COMPUTED_VALUE"""),"PS4")</f>
        <v>PS4</v>
      </c>
      <c r="C141" s="16" t="str">
        <f>IFERROR(__xludf.DUMMYFUNCTION("""COMPUTED_VALUE"""),"Essential")</f>
        <v>Essential</v>
      </c>
      <c r="D141" s="15" t="str">
        <f>IFERROR(__xludf.DUMMYFUNCTION("""COMPUTED_VALUE"""),"Removed")</f>
        <v>Removed</v>
      </c>
      <c r="E141" s="17">
        <f>IFERROR(__xludf.DUMMYFUNCTION("""COMPUTED_VALUE"""),45874.0)</f>
        <v>45874</v>
      </c>
      <c r="F141" s="18">
        <f>IFERROR(__xludf.DUMMYFUNCTION("""COMPUTED_VALUE"""),45901.0)</f>
        <v>45901</v>
      </c>
      <c r="G141" s="19">
        <f>IFERROR(__xludf.DUMMYFUNCTION("""COMPUTED_VALUE"""),0.8666666666666666)</f>
        <v>0.8666666667</v>
      </c>
      <c r="H141" s="17">
        <f>IFERROR(__xludf.DUMMYFUNCTION("""COMPUTED_VALUE"""),43891.0)</f>
        <v>43891</v>
      </c>
      <c r="I141" s="19">
        <f>IFERROR(__xludf.DUMMYFUNCTION("""COMPUTED_VALUE"""),5.427777777777778)</f>
        <v>5.427777778</v>
      </c>
      <c r="J141" s="21">
        <f>IFERROR(__xludf.DUMMYFUNCTION("""COMPUTED_VALUE"""),68.0)</f>
        <v>68</v>
      </c>
      <c r="K141" s="23">
        <f>IFERROR(__xludf.DUMMYFUNCTION("""COMPUTED_VALUE"""),7.5)</f>
        <v>7.5</v>
      </c>
      <c r="L141" s="24">
        <f>IFERROR(__xludf.DUMMYFUNCTION("""COMPUTED_VALUE"""),8.0)</f>
        <v>8</v>
      </c>
      <c r="M141" s="25" t="str">
        <f>IFERROR(__xludf.DUMMYFUNCTION("""COMPUTED_VALUE"""),"Fighting")</f>
        <v>Fighting</v>
      </c>
      <c r="N141" s="25"/>
      <c r="O141" s="26" t="str">
        <f>IFERROR(__xludf.DUMMYFUNCTION("""COMPUTED_VALUE"""),"No")</f>
        <v>No</v>
      </c>
      <c r="P141" s="26"/>
    </row>
    <row r="142">
      <c r="A142" s="13" t="str">
        <f>IFERROR(__xludf.DUMMYFUNCTION("""COMPUTED_VALUE"""),"UFC 5")</f>
        <v>UFC 5</v>
      </c>
      <c r="B142" s="15" t="str">
        <f>IFERROR(__xludf.DUMMYFUNCTION("""COMPUTED_VALUE"""),"PS5")</f>
        <v>PS5</v>
      </c>
      <c r="C142" s="16" t="str">
        <f>IFERROR(__xludf.DUMMYFUNCTION("""COMPUTED_VALUE"""),"Extra")</f>
        <v>Extra</v>
      </c>
      <c r="D142" s="15" t="str">
        <f>IFERROR(__xludf.DUMMYFUNCTION("""COMPUTED_VALUE"""),"Removed")</f>
        <v>Removed</v>
      </c>
      <c r="E142" s="17">
        <f>IFERROR(__xludf.DUMMYFUNCTION("""COMPUTED_VALUE"""),45734.0)</f>
        <v>45734</v>
      </c>
      <c r="F142" s="54">
        <f>IFERROR(__xludf.DUMMYFUNCTION("""COMPUTED_VALUE"""),45887.0)</f>
        <v>45887</v>
      </c>
      <c r="G142" s="19">
        <f>IFERROR(__xludf.DUMMYFUNCTION("""COMPUTED_VALUE"""),5.0)</f>
        <v>5</v>
      </c>
      <c r="H142" s="17">
        <f>IFERROR(__xludf.DUMMYFUNCTION("""COMPUTED_VALUE"""),45226.0)</f>
        <v>45226</v>
      </c>
      <c r="I142" s="19">
        <f>IFERROR(__xludf.DUMMYFUNCTION("""COMPUTED_VALUE"""),1.3916666666666666)</f>
        <v>1.391666667</v>
      </c>
      <c r="J142" s="21">
        <f>IFERROR(__xludf.DUMMYFUNCTION("""COMPUTED_VALUE"""),78.0)</f>
        <v>78</v>
      </c>
      <c r="K142" s="23">
        <f>IFERROR(__xludf.DUMMYFUNCTION("""COMPUTED_VALUE"""),3.2)</f>
        <v>3.2</v>
      </c>
      <c r="L142" s="24">
        <f>IFERROR(__xludf.DUMMYFUNCTION("""COMPUTED_VALUE"""),7.0)</f>
        <v>7</v>
      </c>
      <c r="M142" s="25" t="str">
        <f>IFERROR(__xludf.DUMMYFUNCTION("""COMPUTED_VALUE"""),"Combat Sport")</f>
        <v>Combat Sport</v>
      </c>
      <c r="N142" s="25"/>
      <c r="O142" s="26" t="str">
        <f>IFERROR(__xludf.DUMMYFUNCTION("""COMPUTED_VALUE"""),"No")</f>
        <v>No</v>
      </c>
      <c r="P142" s="26"/>
    </row>
    <row r="143">
      <c r="A143" s="13" t="str">
        <f>IFERROR(__xludf.DUMMYFUNCTION("""COMPUTED_VALUE"""),"Star Wars Jedi: Survivor")</f>
        <v>Star Wars Jedi: Survivor</v>
      </c>
      <c r="B143" s="15" t="str">
        <f>IFERROR(__xludf.DUMMYFUNCTION("""COMPUTED_VALUE"""),"PS5/PS4")</f>
        <v>PS5/PS4</v>
      </c>
      <c r="C143" s="16" t="str">
        <f>IFERROR(__xludf.DUMMYFUNCTION("""COMPUTED_VALUE"""),"Extra")</f>
        <v>Extra</v>
      </c>
      <c r="D143" s="15" t="str">
        <f>IFERROR(__xludf.DUMMYFUNCTION("""COMPUTED_VALUE"""),"Removed")</f>
        <v>Removed</v>
      </c>
      <c r="E143" s="17">
        <f>IFERROR(__xludf.DUMMYFUNCTION("""COMPUTED_VALUE"""),45705.0)</f>
        <v>45705</v>
      </c>
      <c r="F143" s="54">
        <f>IFERROR(__xludf.DUMMYFUNCTION("""COMPUTED_VALUE"""),45887.0)</f>
        <v>45887</v>
      </c>
      <c r="G143" s="19">
        <f>IFERROR(__xludf.DUMMYFUNCTION("""COMPUTED_VALUE"""),6.033333333333333)</f>
        <v>6.033333333</v>
      </c>
      <c r="H143" s="17">
        <f>IFERROR(__xludf.DUMMYFUNCTION("""COMPUTED_VALUE"""),45044.0)</f>
        <v>45044</v>
      </c>
      <c r="I143" s="19">
        <f>IFERROR(__xludf.DUMMYFUNCTION("""COMPUTED_VALUE"""),1.8027777777777778)</f>
        <v>1.802777778</v>
      </c>
      <c r="J143" s="21">
        <f>IFERROR(__xludf.DUMMYFUNCTION("""COMPUTED_VALUE"""),85.0)</f>
        <v>85</v>
      </c>
      <c r="K143" s="23">
        <f>IFERROR(__xludf.DUMMYFUNCTION("""COMPUTED_VALUE"""),6.9)</f>
        <v>6.9</v>
      </c>
      <c r="L143" s="24">
        <f>IFERROR(__xludf.DUMMYFUNCTION("""COMPUTED_VALUE"""),21.0)</f>
        <v>21</v>
      </c>
      <c r="M143" s="25" t="str">
        <f>IFERROR(__xludf.DUMMYFUNCTION("""COMPUTED_VALUE"""),"Action-Adventure")</f>
        <v>Action-Adventure</v>
      </c>
      <c r="N143" s="25"/>
      <c r="O143" s="26" t="str">
        <f>IFERROR(__xludf.DUMMYFUNCTION("""COMPUTED_VALUE"""),"No")</f>
        <v>No</v>
      </c>
      <c r="P143" s="26"/>
    </row>
    <row r="144">
      <c r="A144" s="13" t="str">
        <f>IFERROR(__xludf.DUMMYFUNCTION("""COMPUTED_VALUE"""),"TopSpin 2K25")</f>
        <v>TopSpin 2K25</v>
      </c>
      <c r="B144" s="15" t="str">
        <f>IFERROR(__xludf.DUMMYFUNCTION("""COMPUTED_VALUE"""),"PS5/PS4")</f>
        <v>PS5/PS4</v>
      </c>
      <c r="C144" s="16" t="str">
        <f>IFERROR(__xludf.DUMMYFUNCTION("""COMPUTED_VALUE"""),"Extra")</f>
        <v>Extra</v>
      </c>
      <c r="D144" s="15" t="str">
        <f>IFERROR(__xludf.DUMMYFUNCTION("""COMPUTED_VALUE"""),"Removed")</f>
        <v>Removed</v>
      </c>
      <c r="E144" s="17">
        <f>IFERROR(__xludf.DUMMYFUNCTION("""COMPUTED_VALUE"""),45705.0)</f>
        <v>45705</v>
      </c>
      <c r="F144" s="54">
        <f>IFERROR(__xludf.DUMMYFUNCTION("""COMPUTED_VALUE"""),45887.0)</f>
        <v>45887</v>
      </c>
      <c r="G144" s="19">
        <f>IFERROR(__xludf.DUMMYFUNCTION("""COMPUTED_VALUE"""),6.033333333333333)</f>
        <v>6.033333333</v>
      </c>
      <c r="H144" s="17">
        <f>IFERROR(__xludf.DUMMYFUNCTION("""COMPUTED_VALUE"""),45408.0)</f>
        <v>45408</v>
      </c>
      <c r="I144" s="19">
        <f>IFERROR(__xludf.DUMMYFUNCTION("""COMPUTED_VALUE"""),0.8083333333333333)</f>
        <v>0.8083333333</v>
      </c>
      <c r="J144" s="21">
        <f>IFERROR(__xludf.DUMMYFUNCTION("""COMPUTED_VALUE"""),76.0)</f>
        <v>76</v>
      </c>
      <c r="K144" s="23">
        <f>IFERROR(__xludf.DUMMYFUNCTION("""COMPUTED_VALUE"""),4.9)</f>
        <v>4.9</v>
      </c>
      <c r="L144" s="24">
        <f>IFERROR(__xludf.DUMMYFUNCTION("""COMPUTED_VALUE"""),21.0)</f>
        <v>21</v>
      </c>
      <c r="M144" s="25" t="str">
        <f>IFERROR(__xludf.DUMMYFUNCTION("""COMPUTED_VALUE"""),"Sports")</f>
        <v>Sports</v>
      </c>
      <c r="N144" s="25"/>
      <c r="O144" s="26" t="str">
        <f>IFERROR(__xludf.DUMMYFUNCTION("""COMPUTED_VALUE"""),"No")</f>
        <v>No</v>
      </c>
      <c r="P144" s="26"/>
    </row>
    <row r="145">
      <c r="A145" s="13" t="str">
        <f>IFERROR(__xludf.DUMMYFUNCTION("""COMPUTED_VALUE"""),"RIDE 5")</f>
        <v>RIDE 5</v>
      </c>
      <c r="B145" s="15" t="str">
        <f>IFERROR(__xludf.DUMMYFUNCTION("""COMPUTED_VALUE"""),"PS5")</f>
        <v>PS5</v>
      </c>
      <c r="C145" s="16" t="str">
        <f>IFERROR(__xludf.DUMMYFUNCTION("""COMPUTED_VALUE"""),"Extra")</f>
        <v>Extra</v>
      </c>
      <c r="D145" s="15" t="str">
        <f>IFERROR(__xludf.DUMMYFUNCTION("""COMPUTED_VALUE"""),"Removed")</f>
        <v>Removed</v>
      </c>
      <c r="E145" s="17">
        <f>IFERROR(__xludf.DUMMYFUNCTION("""COMPUTED_VALUE"""),45524.0)</f>
        <v>45524</v>
      </c>
      <c r="F145" s="54">
        <f>IFERROR(__xludf.DUMMYFUNCTION("""COMPUTED_VALUE"""),45887.0)</f>
        <v>45887</v>
      </c>
      <c r="G145" s="19">
        <f>IFERROR(__xludf.DUMMYFUNCTION("""COMPUTED_VALUE"""),11.933333333333334)</f>
        <v>11.93333333</v>
      </c>
      <c r="H145" s="17">
        <f>IFERROR(__xludf.DUMMYFUNCTION("""COMPUTED_VALUE"""),45162.0)</f>
        <v>45162</v>
      </c>
      <c r="I145" s="19">
        <f>IFERROR(__xludf.DUMMYFUNCTION("""COMPUTED_VALUE"""),0.9888888888888889)</f>
        <v>0.9888888889</v>
      </c>
      <c r="J145" s="21">
        <f>IFERROR(__xludf.DUMMYFUNCTION("""COMPUTED_VALUE"""),75.0)</f>
        <v>75</v>
      </c>
      <c r="K145" s="23">
        <f>IFERROR(__xludf.DUMMYFUNCTION("""COMPUTED_VALUE"""),6.8)</f>
        <v>6.8</v>
      </c>
      <c r="L145" s="24"/>
      <c r="M145" s="25" t="str">
        <f>IFERROR(__xludf.DUMMYFUNCTION("""COMPUTED_VALUE"""),"Racing")</f>
        <v>Racing</v>
      </c>
      <c r="N145" s="25"/>
      <c r="O145" s="26" t="str">
        <f>IFERROR(__xludf.DUMMYFUNCTION("""COMPUTED_VALUE"""),"Portal (PS5 + Premium)")</f>
        <v>Portal (PS5 + Premium)</v>
      </c>
      <c r="P145" s="26"/>
    </row>
    <row r="146">
      <c r="A146" s="13" t="str">
        <f>IFERROR(__xludf.DUMMYFUNCTION("""COMPUTED_VALUE"""),"Wild Hearts")</f>
        <v>Wild Hearts</v>
      </c>
      <c r="B146" s="15" t="str">
        <f>IFERROR(__xludf.DUMMYFUNCTION("""COMPUTED_VALUE"""),"PS5")</f>
        <v>PS5</v>
      </c>
      <c r="C146" s="16" t="str">
        <f>IFERROR(__xludf.DUMMYFUNCTION("""COMPUTED_VALUE"""),"Extra")</f>
        <v>Extra</v>
      </c>
      <c r="D146" s="15" t="str">
        <f>IFERROR(__xludf.DUMMYFUNCTION("""COMPUTED_VALUE"""),"Removed")</f>
        <v>Removed</v>
      </c>
      <c r="E146" s="17">
        <f>IFERROR(__xludf.DUMMYFUNCTION("""COMPUTED_VALUE"""),45524.0)</f>
        <v>45524</v>
      </c>
      <c r="F146" s="54">
        <f>IFERROR(__xludf.DUMMYFUNCTION("""COMPUTED_VALUE"""),45887.0)</f>
        <v>45887</v>
      </c>
      <c r="G146" s="19">
        <f>IFERROR(__xludf.DUMMYFUNCTION("""COMPUTED_VALUE"""),11.933333333333334)</f>
        <v>11.93333333</v>
      </c>
      <c r="H146" s="17">
        <f>IFERROR(__xludf.DUMMYFUNCTION("""COMPUTED_VALUE"""),44974.0)</f>
        <v>44974</v>
      </c>
      <c r="I146" s="19">
        <f>IFERROR(__xludf.DUMMYFUNCTION("""COMPUTED_VALUE"""),1.5083333333333333)</f>
        <v>1.508333333</v>
      </c>
      <c r="J146" s="21">
        <f>IFERROR(__xludf.DUMMYFUNCTION("""COMPUTED_VALUE"""),79.0)</f>
        <v>79</v>
      </c>
      <c r="K146" s="23">
        <f>IFERROR(__xludf.DUMMYFUNCTION("""COMPUTED_VALUE"""),8.0)</f>
        <v>8</v>
      </c>
      <c r="L146" s="24">
        <f>IFERROR(__xludf.DUMMYFUNCTION("""COMPUTED_VALUE"""),40.0)</f>
        <v>40</v>
      </c>
      <c r="M146" s="25" t="str">
        <f>IFERROR(__xludf.DUMMYFUNCTION("""COMPUTED_VALUE"""),"RPG")</f>
        <v>RPG</v>
      </c>
      <c r="N146" s="25"/>
      <c r="O146" s="26" t="str">
        <f>IFERROR(__xludf.DUMMYFUNCTION("""COMPUTED_VALUE"""),"Portal (PS5 + Premium)")</f>
        <v>Portal (PS5 + Premium)</v>
      </c>
      <c r="P146" s="26"/>
    </row>
    <row r="147">
      <c r="A147" s="13" t="str">
        <f>IFERROR(__xludf.DUMMYFUNCTION("""COMPUTED_VALUE"""),"The Witcher 3: Wild Hunt")</f>
        <v>The Witcher 3: Wild Hunt</v>
      </c>
      <c r="B147" s="15" t="str">
        <f>IFERROR(__xludf.DUMMYFUNCTION("""COMPUTED_VALUE"""),"PS5/PS4")</f>
        <v>PS5/PS4</v>
      </c>
      <c r="C147" s="16" t="str">
        <f>IFERROR(__xludf.DUMMYFUNCTION("""COMPUTED_VALUE"""),"Extra")</f>
        <v>Extra</v>
      </c>
      <c r="D147" s="15" t="str">
        <f>IFERROR(__xludf.DUMMYFUNCTION("""COMPUTED_VALUE"""),"Removed")</f>
        <v>Removed</v>
      </c>
      <c r="E147" s="17">
        <f>IFERROR(__xludf.DUMMYFUNCTION("""COMPUTED_VALUE"""),45524.0)</f>
        <v>45524</v>
      </c>
      <c r="F147" s="54">
        <f>IFERROR(__xludf.DUMMYFUNCTION("""COMPUTED_VALUE"""),45887.0)</f>
        <v>45887</v>
      </c>
      <c r="G147" s="19">
        <f>IFERROR(__xludf.DUMMYFUNCTION("""COMPUTED_VALUE"""),11.933333333333334)</f>
        <v>11.93333333</v>
      </c>
      <c r="H147" s="17">
        <f>IFERROR(__xludf.DUMMYFUNCTION("""COMPUTED_VALUE"""),42143.0)</f>
        <v>42143</v>
      </c>
      <c r="I147" s="19">
        <f>IFERROR(__xludf.DUMMYFUNCTION("""COMPUTED_VALUE"""),9.252777777777778)</f>
        <v>9.252777778</v>
      </c>
      <c r="J147" s="21">
        <f>IFERROR(__xludf.DUMMYFUNCTION("""COMPUTED_VALUE"""),92.0)</f>
        <v>92</v>
      </c>
      <c r="K147" s="23">
        <f>IFERROR(__xludf.DUMMYFUNCTION("""COMPUTED_VALUE"""),9.2)</f>
        <v>9.2</v>
      </c>
      <c r="L147" s="24">
        <f>IFERROR(__xludf.DUMMYFUNCTION("""COMPUTED_VALUE"""),52.0)</f>
        <v>52</v>
      </c>
      <c r="M147" s="25" t="str">
        <f>IFERROR(__xludf.DUMMYFUNCTION("""COMPUTED_VALUE"""),"RPG")</f>
        <v>RPG</v>
      </c>
      <c r="N147" s="25"/>
      <c r="O147" s="26" t="str">
        <f>IFERROR(__xludf.DUMMYFUNCTION("""COMPUTED_VALUE"""),"Portal (PS5 + Premium)")</f>
        <v>Portal (PS5 + Premium)</v>
      </c>
      <c r="P147" s="26"/>
    </row>
    <row r="148">
      <c r="A148" s="13" t="str">
        <f>IFERROR(__xludf.DUMMYFUNCTION("""COMPUTED_VALUE"""),"Sword Art Online: Last Recollection")</f>
        <v>Sword Art Online: Last Recollection</v>
      </c>
      <c r="B148" s="15" t="str">
        <f>IFERROR(__xludf.DUMMYFUNCTION("""COMPUTED_VALUE"""),"PS5/PS4")</f>
        <v>PS5/PS4</v>
      </c>
      <c r="C148" s="16" t="str">
        <f>IFERROR(__xludf.DUMMYFUNCTION("""COMPUTED_VALUE"""),"Extra")</f>
        <v>Extra</v>
      </c>
      <c r="D148" s="15" t="str">
        <f>IFERROR(__xludf.DUMMYFUNCTION("""COMPUTED_VALUE"""),"Removed")</f>
        <v>Removed</v>
      </c>
      <c r="E148" s="17">
        <f>IFERROR(__xludf.DUMMYFUNCTION("""COMPUTED_VALUE"""),45524.0)</f>
        <v>45524</v>
      </c>
      <c r="F148" s="54">
        <f>IFERROR(__xludf.DUMMYFUNCTION("""COMPUTED_VALUE"""),45884.0)</f>
        <v>45884</v>
      </c>
      <c r="G148" s="19">
        <f>IFERROR(__xludf.DUMMYFUNCTION("""COMPUTED_VALUE"""),11.833333333333334)</f>
        <v>11.83333333</v>
      </c>
      <c r="H148" s="17">
        <f>IFERROR(__xludf.DUMMYFUNCTION("""COMPUTED_VALUE"""),45205.0)</f>
        <v>45205</v>
      </c>
      <c r="I148" s="19">
        <f>IFERROR(__xludf.DUMMYFUNCTION("""COMPUTED_VALUE"""),0.8722222222222222)</f>
        <v>0.8722222222</v>
      </c>
      <c r="J148" s="21">
        <f>IFERROR(__xludf.DUMMYFUNCTION("""COMPUTED_VALUE"""),65.0)</f>
        <v>65</v>
      </c>
      <c r="K148" s="23">
        <f>IFERROR(__xludf.DUMMYFUNCTION("""COMPUTED_VALUE"""),6.8)</f>
        <v>6.8</v>
      </c>
      <c r="L148" s="24">
        <f>IFERROR(__xludf.DUMMYFUNCTION("""COMPUTED_VALUE"""),29.0)</f>
        <v>29</v>
      </c>
      <c r="M148" s="25" t="str">
        <f>IFERROR(__xludf.DUMMYFUNCTION("""COMPUTED_VALUE"""),"RPG")</f>
        <v>RPG</v>
      </c>
      <c r="N148" s="25"/>
      <c r="O148" s="26" t="str">
        <f>IFERROR(__xludf.DUMMYFUNCTION("""COMPUTED_VALUE"""),"Yes")</f>
        <v>Yes</v>
      </c>
      <c r="P148" s="26"/>
    </row>
    <row r="149">
      <c r="A149" s="13" t="str">
        <f>IFERROR(__xludf.DUMMYFUNCTION("""COMPUTED_VALUE"""),"Sword Art Online: Alicization Lycoris")</f>
        <v>Sword Art Online: Alicization Lycoris</v>
      </c>
      <c r="B149" s="15" t="str">
        <f>IFERROR(__xludf.DUMMYFUNCTION("""COMPUTED_VALUE"""),"PS4")</f>
        <v>PS4</v>
      </c>
      <c r="C149" s="16" t="str">
        <f>IFERROR(__xludf.DUMMYFUNCTION("""COMPUTED_VALUE"""),"Extra")</f>
        <v>Extra</v>
      </c>
      <c r="D149" s="15" t="str">
        <f>IFERROR(__xludf.DUMMYFUNCTION("""COMPUTED_VALUE"""),"Removed")</f>
        <v>Removed</v>
      </c>
      <c r="E149" s="17">
        <f>IFERROR(__xludf.DUMMYFUNCTION("""COMPUTED_VALUE"""),45524.0)</f>
        <v>45524</v>
      </c>
      <c r="F149" s="54">
        <f>IFERROR(__xludf.DUMMYFUNCTION("""COMPUTED_VALUE"""),45884.0)</f>
        <v>45884</v>
      </c>
      <c r="G149" s="19">
        <f>IFERROR(__xludf.DUMMYFUNCTION("""COMPUTED_VALUE"""),11.833333333333334)</f>
        <v>11.83333333</v>
      </c>
      <c r="H149" s="17">
        <f>IFERROR(__xludf.DUMMYFUNCTION("""COMPUTED_VALUE"""),44022.0)</f>
        <v>44022</v>
      </c>
      <c r="I149" s="19">
        <f>IFERROR(__xludf.DUMMYFUNCTION("""COMPUTED_VALUE"""),4.111111111111111)</f>
        <v>4.111111111</v>
      </c>
      <c r="J149" s="21">
        <f>IFERROR(__xludf.DUMMYFUNCTION("""COMPUTED_VALUE"""),58.0)</f>
        <v>58</v>
      </c>
      <c r="K149" s="23">
        <f>IFERROR(__xludf.DUMMYFUNCTION("""COMPUTED_VALUE"""),5.9)</f>
        <v>5.9</v>
      </c>
      <c r="L149" s="24">
        <f>IFERROR(__xludf.DUMMYFUNCTION("""COMPUTED_VALUE"""),64.0)</f>
        <v>64</v>
      </c>
      <c r="M149" s="25" t="str">
        <f>IFERROR(__xludf.DUMMYFUNCTION("""COMPUTED_VALUE"""),"RPG")</f>
        <v>RPG</v>
      </c>
      <c r="N149" s="25"/>
      <c r="O149" s="26" t="str">
        <f>IFERROR(__xludf.DUMMYFUNCTION("""COMPUTED_VALUE"""),"No")</f>
        <v>No</v>
      </c>
      <c r="P149" s="26"/>
    </row>
    <row r="150">
      <c r="A150" s="13" t="str">
        <f>IFERROR(__xludf.DUMMYFUNCTION("""COMPUTED_VALUE"""),"Sword Art Online: Fatal Bullet")</f>
        <v>Sword Art Online: Fatal Bullet</v>
      </c>
      <c r="B150" s="15" t="str">
        <f>IFERROR(__xludf.DUMMYFUNCTION("""COMPUTED_VALUE"""),"PS4")</f>
        <v>PS4</v>
      </c>
      <c r="C150" s="16" t="str">
        <f>IFERROR(__xludf.DUMMYFUNCTION("""COMPUTED_VALUE"""),"Extra")</f>
        <v>Extra</v>
      </c>
      <c r="D150" s="15" t="str">
        <f>IFERROR(__xludf.DUMMYFUNCTION("""COMPUTED_VALUE"""),"Removed")</f>
        <v>Removed</v>
      </c>
      <c r="E150" s="17">
        <f>IFERROR(__xludf.DUMMYFUNCTION("""COMPUTED_VALUE"""),45524.0)</f>
        <v>45524</v>
      </c>
      <c r="F150" s="54">
        <f>IFERROR(__xludf.DUMMYFUNCTION("""COMPUTED_VALUE"""),45884.0)</f>
        <v>45884</v>
      </c>
      <c r="G150" s="19">
        <f>IFERROR(__xludf.DUMMYFUNCTION("""COMPUTED_VALUE"""),11.833333333333334)</f>
        <v>11.83333333</v>
      </c>
      <c r="H150" s="17">
        <f>IFERROR(__xludf.DUMMYFUNCTION("""COMPUTED_VALUE"""),43686.0)</f>
        <v>43686</v>
      </c>
      <c r="I150" s="19">
        <f>IFERROR(__xludf.DUMMYFUNCTION("""COMPUTED_VALUE"""),5.030555555555556)</f>
        <v>5.030555556</v>
      </c>
      <c r="J150" s="21">
        <f>IFERROR(__xludf.DUMMYFUNCTION("""COMPUTED_VALUE"""),63.0)</f>
        <v>63</v>
      </c>
      <c r="K150" s="23">
        <f>IFERROR(__xludf.DUMMYFUNCTION("""COMPUTED_VALUE"""),6.9)</f>
        <v>6.9</v>
      </c>
      <c r="L150" s="24">
        <f>IFERROR(__xludf.DUMMYFUNCTION("""COMPUTED_VALUE"""),26.0)</f>
        <v>26</v>
      </c>
      <c r="M150" s="25" t="str">
        <f>IFERROR(__xludf.DUMMYFUNCTION("""COMPUTED_VALUE"""),"RPG")</f>
        <v>RPG</v>
      </c>
      <c r="N150" s="25"/>
      <c r="O150" s="26" t="str">
        <f>IFERROR(__xludf.DUMMYFUNCTION("""COMPUTED_VALUE"""),"No")</f>
        <v>No</v>
      </c>
      <c r="P150" s="26"/>
    </row>
    <row r="151">
      <c r="A151" s="13" t="str">
        <f>IFERROR(__xludf.DUMMYFUNCTION("""COMPUTED_VALUE"""),"Sword Art Online: Hollow Realization")</f>
        <v>Sword Art Online: Hollow Realization</v>
      </c>
      <c r="B151" s="15" t="str">
        <f>IFERROR(__xludf.DUMMYFUNCTION("""COMPUTED_VALUE"""),"PS4")</f>
        <v>PS4</v>
      </c>
      <c r="C151" s="16" t="str">
        <f>IFERROR(__xludf.DUMMYFUNCTION("""COMPUTED_VALUE"""),"Extra")</f>
        <v>Extra</v>
      </c>
      <c r="D151" s="15" t="str">
        <f>IFERROR(__xludf.DUMMYFUNCTION("""COMPUTED_VALUE"""),"Removed")</f>
        <v>Removed</v>
      </c>
      <c r="E151" s="17">
        <f>IFERROR(__xludf.DUMMYFUNCTION("""COMPUTED_VALUE"""),45524.0)</f>
        <v>45524</v>
      </c>
      <c r="F151" s="54">
        <f>IFERROR(__xludf.DUMMYFUNCTION("""COMPUTED_VALUE"""),45884.0)</f>
        <v>45884</v>
      </c>
      <c r="G151" s="19">
        <f>IFERROR(__xludf.DUMMYFUNCTION("""COMPUTED_VALUE"""),11.833333333333334)</f>
        <v>11.83333333</v>
      </c>
      <c r="H151" s="17">
        <f>IFERROR(__xludf.DUMMYFUNCTION("""COMPUTED_VALUE"""),43609.0)</f>
        <v>43609</v>
      </c>
      <c r="I151" s="19">
        <f>IFERROR(__xludf.DUMMYFUNCTION("""COMPUTED_VALUE"""),5.238888888888889)</f>
        <v>5.238888889</v>
      </c>
      <c r="J151" s="21">
        <f>IFERROR(__xludf.DUMMYFUNCTION("""COMPUTED_VALUE"""),68.0)</f>
        <v>68</v>
      </c>
      <c r="K151" s="23">
        <f>IFERROR(__xludf.DUMMYFUNCTION("""COMPUTED_VALUE"""),7.2)</f>
        <v>7.2</v>
      </c>
      <c r="L151" s="24">
        <f>IFERROR(__xludf.DUMMYFUNCTION("""COMPUTED_VALUE"""),34.0)</f>
        <v>34</v>
      </c>
      <c r="M151" s="25" t="str">
        <f>IFERROR(__xludf.DUMMYFUNCTION("""COMPUTED_VALUE"""),"RPG")</f>
        <v>RPG</v>
      </c>
      <c r="N151" s="25"/>
      <c r="O151" s="26" t="str">
        <f>IFERROR(__xludf.DUMMYFUNCTION("""COMPUTED_VALUE"""),"No")</f>
        <v>No</v>
      </c>
      <c r="P151" s="26"/>
    </row>
    <row r="152">
      <c r="A152" s="13" t="str">
        <f>IFERROR(__xludf.DUMMYFUNCTION("""COMPUTED_VALUE"""),"Naruto to Boruto: Shinobi Striker")</f>
        <v>Naruto to Boruto: Shinobi Striker</v>
      </c>
      <c r="B152" s="15" t="str">
        <f>IFERROR(__xludf.DUMMYFUNCTION("""COMPUTED_VALUE"""),"PS4")</f>
        <v>PS4</v>
      </c>
      <c r="C152" s="16" t="str">
        <f>IFERROR(__xludf.DUMMYFUNCTION("""COMPUTED_VALUE"""),"Extra")</f>
        <v>Extra</v>
      </c>
      <c r="D152" s="15" t="str">
        <f>IFERROR(__xludf.DUMMYFUNCTION("""COMPUTED_VALUE"""),"Removed")</f>
        <v>Removed</v>
      </c>
      <c r="E152" s="17">
        <f>IFERROR(__xludf.DUMMYFUNCTION("""COMPUTED_VALUE"""),45524.0)</f>
        <v>45524</v>
      </c>
      <c r="F152" s="54">
        <f>IFERROR(__xludf.DUMMYFUNCTION("""COMPUTED_VALUE"""),45884.0)</f>
        <v>45884</v>
      </c>
      <c r="G152" s="19">
        <f>IFERROR(__xludf.DUMMYFUNCTION("""COMPUTED_VALUE"""),11.833333333333334)</f>
        <v>11.83333333</v>
      </c>
      <c r="H152" s="17">
        <f>IFERROR(__xludf.DUMMYFUNCTION("""COMPUTED_VALUE"""),43342.0)</f>
        <v>43342</v>
      </c>
      <c r="I152" s="19">
        <f>IFERROR(__xludf.DUMMYFUNCTION("""COMPUTED_VALUE"""),5.972222222222222)</f>
        <v>5.972222222</v>
      </c>
      <c r="J152" s="21">
        <f>IFERROR(__xludf.DUMMYFUNCTION("""COMPUTED_VALUE"""),61.0)</f>
        <v>61</v>
      </c>
      <c r="K152" s="23">
        <f>IFERROR(__xludf.DUMMYFUNCTION("""COMPUTED_VALUE"""),6.0)</f>
        <v>6</v>
      </c>
      <c r="L152" s="24">
        <f>IFERROR(__xludf.DUMMYFUNCTION("""COMPUTED_VALUE"""),6.5)</f>
        <v>6.5</v>
      </c>
      <c r="M152" s="25" t="str">
        <f>IFERROR(__xludf.DUMMYFUNCTION("""COMPUTED_VALUE"""),"Fighting")</f>
        <v>Fighting</v>
      </c>
      <c r="N152" s="25" t="str">
        <f>IFERROR(__xludf.DUMMYFUNCTION("""COMPUTED_VALUE"""),"Returning game")</f>
        <v>Returning game</v>
      </c>
      <c r="O152" s="26" t="str">
        <f>IFERROR(__xludf.DUMMYFUNCTION("""COMPUTED_VALUE"""),"Yes")</f>
        <v>Yes</v>
      </c>
      <c r="P152" s="26"/>
    </row>
    <row r="153">
      <c r="A153" s="13" t="str">
        <f>IFERROR(__xludf.DUMMYFUNCTION("""COMPUTED_VALUE"""),"Sword Art Online: Lost Song")</f>
        <v>Sword Art Online: Lost Song</v>
      </c>
      <c r="B153" s="15" t="str">
        <f>IFERROR(__xludf.DUMMYFUNCTION("""COMPUTED_VALUE"""),"PS4")</f>
        <v>PS4</v>
      </c>
      <c r="C153" s="16" t="str">
        <f>IFERROR(__xludf.DUMMYFUNCTION("""COMPUTED_VALUE"""),"Premium (Classics)")</f>
        <v>Premium (Classics)</v>
      </c>
      <c r="D153" s="15" t="str">
        <f>IFERROR(__xludf.DUMMYFUNCTION("""COMPUTED_VALUE"""),"Removed")</f>
        <v>Removed</v>
      </c>
      <c r="E153" s="17">
        <f>IFERROR(__xludf.DUMMYFUNCTION("""COMPUTED_VALUE"""),45524.0)</f>
        <v>45524</v>
      </c>
      <c r="F153" s="54">
        <f>IFERROR(__xludf.DUMMYFUNCTION("""COMPUTED_VALUE"""),45884.0)</f>
        <v>45884</v>
      </c>
      <c r="G153" s="19">
        <f>IFERROR(__xludf.DUMMYFUNCTION("""COMPUTED_VALUE"""),11.833333333333334)</f>
        <v>11.83333333</v>
      </c>
      <c r="H153" s="17">
        <f>IFERROR(__xludf.DUMMYFUNCTION("""COMPUTED_VALUE"""),42325.0)</f>
        <v>42325</v>
      </c>
      <c r="I153" s="19">
        <f>IFERROR(__xludf.DUMMYFUNCTION("""COMPUTED_VALUE"""),8.758333333333333)</f>
        <v>8.758333333</v>
      </c>
      <c r="J153" s="21">
        <f>IFERROR(__xludf.DUMMYFUNCTION("""COMPUTED_VALUE"""),63.0)</f>
        <v>63</v>
      </c>
      <c r="K153" s="23">
        <f>IFERROR(__xludf.DUMMYFUNCTION("""COMPUTED_VALUE"""),6.1)</f>
        <v>6.1</v>
      </c>
      <c r="L153" s="24">
        <f>IFERROR(__xludf.DUMMYFUNCTION("""COMPUTED_VALUE"""),24.0)</f>
        <v>24</v>
      </c>
      <c r="M153" s="25" t="str">
        <f>IFERROR(__xludf.DUMMYFUNCTION("""COMPUTED_VALUE"""),"RPG")</f>
        <v>RPG</v>
      </c>
      <c r="N153" s="25" t="str">
        <f>IFERROR(__xludf.DUMMYFUNCTION("""COMPUTED_VALUE"""),"PS3, Streaming Only")</f>
        <v>PS3, Streaming Only</v>
      </c>
      <c r="O153" s="26" t="str">
        <f>IFERROR(__xludf.DUMMYFUNCTION("""COMPUTED_VALUE"""),"Yes")</f>
        <v>Yes</v>
      </c>
      <c r="P153" s="26"/>
    </row>
    <row r="154">
      <c r="A154" s="13" t="str">
        <f>IFERROR(__xludf.DUMMYFUNCTION("""COMPUTED_VALUE"""),"Vacation Simulator")</f>
        <v>Vacation Simulator</v>
      </c>
      <c r="B154" s="15" t="str">
        <f>IFERROR(__xludf.DUMMYFUNCTION("""COMPUTED_VALUE"""),"PS5/PSVR2")</f>
        <v>PS5/PSVR2</v>
      </c>
      <c r="C154" s="16" t="str">
        <f>IFERROR(__xludf.DUMMYFUNCTION("""COMPUTED_VALUE"""),"Premium (VR)")</f>
        <v>Premium (VR)</v>
      </c>
      <c r="D154" s="15" t="str">
        <f>IFERROR(__xludf.DUMMYFUNCTION("""COMPUTED_VALUE"""),"Removed")</f>
        <v>Removed</v>
      </c>
      <c r="E154" s="17">
        <f>IFERROR(__xludf.DUMMYFUNCTION("""COMPUTED_VALUE"""),45524.0)</f>
        <v>45524</v>
      </c>
      <c r="F154" s="54">
        <f>IFERROR(__xludf.DUMMYFUNCTION("""COMPUTED_VALUE"""),45884.0)</f>
        <v>45884</v>
      </c>
      <c r="G154" s="19">
        <f>IFERROR(__xludf.DUMMYFUNCTION("""COMPUTED_VALUE"""),11.833333333333334)</f>
        <v>11.83333333</v>
      </c>
      <c r="H154" s="17">
        <f>IFERROR(__xludf.DUMMYFUNCTION("""COMPUTED_VALUE"""),43564.0)</f>
        <v>43564</v>
      </c>
      <c r="I154" s="19">
        <f>IFERROR(__xludf.DUMMYFUNCTION("""COMPUTED_VALUE"""),5.363888888888889)</f>
        <v>5.363888889</v>
      </c>
      <c r="J154" s="21">
        <f>IFERROR(__xludf.DUMMYFUNCTION("""COMPUTED_VALUE"""),77.0)</f>
        <v>77</v>
      </c>
      <c r="K154" s="23">
        <f>IFERROR(__xludf.DUMMYFUNCTION("""COMPUTED_VALUE"""),7.1)</f>
        <v>7.1</v>
      </c>
      <c r="L154" s="24">
        <f>IFERROR(__xludf.DUMMYFUNCTION("""COMPUTED_VALUE"""),5.0)</f>
        <v>5</v>
      </c>
      <c r="M154" s="25" t="str">
        <f>IFERROR(__xludf.DUMMYFUNCTION("""COMPUTED_VALUE"""),"Management")</f>
        <v>Management</v>
      </c>
      <c r="N154" s="25" t="str">
        <f>IFERROR(__xludf.DUMMYFUNCTION("""COMPUTED_VALUE"""),"PSVR2")</f>
        <v>PSVR2</v>
      </c>
      <c r="O154" s="26" t="str">
        <f>IFERROR(__xludf.DUMMYFUNCTION("""COMPUTED_VALUE"""),"No")</f>
        <v>No</v>
      </c>
      <c r="P154" s="26"/>
    </row>
    <row r="155">
      <c r="A155" s="13" t="str">
        <f>IFERROR(__xludf.DUMMYFUNCTION("""COMPUTED_VALUE"""),"Bugsnax")</f>
        <v>Bugsnax</v>
      </c>
      <c r="B155" s="15" t="str">
        <f>IFERROR(__xludf.DUMMYFUNCTION("""COMPUTED_VALUE"""),"PS5/PS4")</f>
        <v>PS5/PS4</v>
      </c>
      <c r="C155" s="16" t="str">
        <f>IFERROR(__xludf.DUMMYFUNCTION("""COMPUTED_VALUE"""),"Extra")</f>
        <v>Extra</v>
      </c>
      <c r="D155" s="15" t="str">
        <f>IFERROR(__xludf.DUMMYFUNCTION("""COMPUTED_VALUE"""),"Removed")</f>
        <v>Removed</v>
      </c>
      <c r="E155" s="17">
        <f>IFERROR(__xludf.DUMMYFUNCTION("""COMPUTED_VALUE"""),44789.0)</f>
        <v>44789</v>
      </c>
      <c r="F155" s="54">
        <f>IFERROR(__xludf.DUMMYFUNCTION("""COMPUTED_VALUE"""),45884.0)</f>
        <v>45884</v>
      </c>
      <c r="G155" s="19">
        <f>IFERROR(__xludf.DUMMYFUNCTION("""COMPUTED_VALUE"""),35.96666666666667)</f>
        <v>35.96666667</v>
      </c>
      <c r="H155" s="17">
        <f>IFERROR(__xludf.DUMMYFUNCTION("""COMPUTED_VALUE"""),44147.0)</f>
        <v>44147</v>
      </c>
      <c r="I155" s="19">
        <f>IFERROR(__xludf.DUMMYFUNCTION("""COMPUTED_VALUE"""),1.761111111111111)</f>
        <v>1.761111111</v>
      </c>
      <c r="J155" s="21">
        <f>IFERROR(__xludf.DUMMYFUNCTION("""COMPUTED_VALUE"""),75.0)</f>
        <v>75</v>
      </c>
      <c r="K155" s="23">
        <f>IFERROR(__xludf.DUMMYFUNCTION("""COMPUTED_VALUE"""),7.6)</f>
        <v>7.6</v>
      </c>
      <c r="L155" s="24">
        <f>IFERROR(__xludf.DUMMYFUNCTION("""COMPUTED_VALUE"""),8.0)</f>
        <v>8</v>
      </c>
      <c r="M155" s="25" t="str">
        <f>IFERROR(__xludf.DUMMYFUNCTION("""COMPUTED_VALUE"""),"Action-Adventure")</f>
        <v>Action-Adventure</v>
      </c>
      <c r="N155" s="25"/>
      <c r="O155" s="26" t="str">
        <f>IFERROR(__xludf.DUMMYFUNCTION("""COMPUTED_VALUE"""),"Yes")</f>
        <v>Yes</v>
      </c>
      <c r="P155" s="26"/>
    </row>
    <row r="156">
      <c r="A156" s="13" t="str">
        <f>IFERROR(__xludf.DUMMYFUNCTION("""COMPUTED_VALUE"""),"Jusant")</f>
        <v>Jusant</v>
      </c>
      <c r="B156" s="15" t="str">
        <f>IFERROR(__xludf.DUMMYFUNCTION("""COMPUTED_VALUE"""),"PS5")</f>
        <v>PS5</v>
      </c>
      <c r="C156" s="16" t="str">
        <f>IFERROR(__xludf.DUMMYFUNCTION("""COMPUTED_VALUE"""),"Essential")</f>
        <v>Essential</v>
      </c>
      <c r="D156" s="15" t="str">
        <f>IFERROR(__xludf.DUMMYFUNCTION("""COMPUTED_VALUE"""),"Removed")</f>
        <v>Removed</v>
      </c>
      <c r="E156" s="17">
        <f>IFERROR(__xludf.DUMMYFUNCTION("""COMPUTED_VALUE"""),45839.0)</f>
        <v>45839</v>
      </c>
      <c r="F156" s="54">
        <f>IFERROR(__xludf.DUMMYFUNCTION("""COMPUTED_VALUE"""),45873.0)</f>
        <v>45873</v>
      </c>
      <c r="G156" s="19">
        <f>IFERROR(__xludf.DUMMYFUNCTION("""COMPUTED_VALUE"""),1.0999999999999999)</f>
        <v>1.1</v>
      </c>
      <c r="H156" s="17">
        <f>IFERROR(__xludf.DUMMYFUNCTION("""COMPUTED_VALUE"""),45230.0)</f>
        <v>45230</v>
      </c>
      <c r="I156" s="19">
        <f>IFERROR(__xludf.DUMMYFUNCTION("""COMPUTED_VALUE"""),1.6694444444444445)</f>
        <v>1.669444444</v>
      </c>
      <c r="J156" s="21">
        <f>IFERROR(__xludf.DUMMYFUNCTION("""COMPUTED_VALUE"""),85.0)</f>
        <v>85</v>
      </c>
      <c r="K156" s="23">
        <f>IFERROR(__xludf.DUMMYFUNCTION("""COMPUTED_VALUE"""),7.6)</f>
        <v>7.6</v>
      </c>
      <c r="L156" s="24">
        <f>IFERROR(__xludf.DUMMYFUNCTION("""COMPUTED_VALUE"""),5.0)</f>
        <v>5</v>
      </c>
      <c r="M156" s="25" t="str">
        <f>IFERROR(__xludf.DUMMYFUNCTION("""COMPUTED_VALUE"""),"Action-Adventure")</f>
        <v>Action-Adventure</v>
      </c>
      <c r="N156" s="25"/>
      <c r="O156" s="26" t="str">
        <f>IFERROR(__xludf.DUMMYFUNCTION("""COMPUTED_VALUE"""),"No")</f>
        <v>No</v>
      </c>
      <c r="P156" s="26"/>
    </row>
    <row r="157">
      <c r="A157" s="13" t="str">
        <f>IFERROR(__xludf.DUMMYFUNCTION("""COMPUTED_VALUE"""),"Diablo IV")</f>
        <v>Diablo IV</v>
      </c>
      <c r="B157" s="15" t="str">
        <f>IFERROR(__xludf.DUMMYFUNCTION("""COMPUTED_VALUE"""),"PS5/PS4")</f>
        <v>PS5/PS4</v>
      </c>
      <c r="C157" s="16" t="str">
        <f>IFERROR(__xludf.DUMMYFUNCTION("""COMPUTED_VALUE"""),"Essential")</f>
        <v>Essential</v>
      </c>
      <c r="D157" s="15" t="str">
        <f>IFERROR(__xludf.DUMMYFUNCTION("""COMPUTED_VALUE"""),"Removed")</f>
        <v>Removed</v>
      </c>
      <c r="E157" s="17">
        <f>IFERROR(__xludf.DUMMYFUNCTION("""COMPUTED_VALUE"""),45839.0)</f>
        <v>45839</v>
      </c>
      <c r="F157" s="18">
        <f>IFERROR(__xludf.DUMMYFUNCTION("""COMPUTED_VALUE"""),45873.0)</f>
        <v>45873</v>
      </c>
      <c r="G157" s="19">
        <f>IFERROR(__xludf.DUMMYFUNCTION("""COMPUTED_VALUE"""),1.0999999999999999)</f>
        <v>1.1</v>
      </c>
      <c r="H157" s="17">
        <f>IFERROR(__xludf.DUMMYFUNCTION("""COMPUTED_VALUE"""),45083.0)</f>
        <v>45083</v>
      </c>
      <c r="I157" s="19">
        <f>IFERROR(__xludf.DUMMYFUNCTION("""COMPUTED_VALUE"""),2.0694444444444446)</f>
        <v>2.069444444</v>
      </c>
      <c r="J157" s="21">
        <f>IFERROR(__xludf.DUMMYFUNCTION("""COMPUTED_VALUE"""),86.0)</f>
        <v>86</v>
      </c>
      <c r="K157" s="23">
        <f>IFERROR(__xludf.DUMMYFUNCTION("""COMPUTED_VALUE"""),2.5)</f>
        <v>2.5</v>
      </c>
      <c r="L157" s="24">
        <f>IFERROR(__xludf.DUMMYFUNCTION("""COMPUTED_VALUE"""),26.0)</f>
        <v>26</v>
      </c>
      <c r="M157" s="25" t="str">
        <f>IFERROR(__xludf.DUMMYFUNCTION("""COMPUTED_VALUE"""),"RPG")</f>
        <v>RPG</v>
      </c>
      <c r="N157" s="25"/>
      <c r="O157" s="26"/>
      <c r="P157" s="26"/>
    </row>
    <row r="158">
      <c r="A158" s="13" t="str">
        <f>IFERROR(__xludf.DUMMYFUNCTION("""COMPUTED_VALUE"""),"The King of Fighters XV")</f>
        <v>The King of Fighters XV</v>
      </c>
      <c r="B158" s="15" t="str">
        <f>IFERROR(__xludf.DUMMYFUNCTION("""COMPUTED_VALUE"""),"PS5/PS4")</f>
        <v>PS5/PS4</v>
      </c>
      <c r="C158" s="16" t="str">
        <f>IFERROR(__xludf.DUMMYFUNCTION("""COMPUTED_VALUE"""),"Essential")</f>
        <v>Essential</v>
      </c>
      <c r="D158" s="15" t="str">
        <f>IFERROR(__xludf.DUMMYFUNCTION("""COMPUTED_VALUE"""),"Removed")</f>
        <v>Removed</v>
      </c>
      <c r="E158" s="17">
        <f>IFERROR(__xludf.DUMMYFUNCTION("""COMPUTED_VALUE"""),45839.0)</f>
        <v>45839</v>
      </c>
      <c r="F158" s="54">
        <f>IFERROR(__xludf.DUMMYFUNCTION("""COMPUTED_VALUE"""),45873.0)</f>
        <v>45873</v>
      </c>
      <c r="G158" s="19">
        <f>IFERROR(__xludf.DUMMYFUNCTION("""COMPUTED_VALUE"""),1.0999999999999999)</f>
        <v>1.1</v>
      </c>
      <c r="H158" s="17">
        <f>IFERROR(__xludf.DUMMYFUNCTION("""COMPUTED_VALUE"""),44606.0)</f>
        <v>44606</v>
      </c>
      <c r="I158" s="19">
        <f>IFERROR(__xludf.DUMMYFUNCTION("""COMPUTED_VALUE"""),3.3805555555555555)</f>
        <v>3.380555556</v>
      </c>
      <c r="J158" s="21">
        <f>IFERROR(__xludf.DUMMYFUNCTION("""COMPUTED_VALUE"""),79.0)</f>
        <v>79</v>
      </c>
      <c r="K158" s="23">
        <f>IFERROR(__xludf.DUMMYFUNCTION("""COMPUTED_VALUE"""),7.7)</f>
        <v>7.7</v>
      </c>
      <c r="L158" s="24">
        <f>IFERROR(__xludf.DUMMYFUNCTION("""COMPUTED_VALUE"""),1.0)</f>
        <v>1</v>
      </c>
      <c r="M158" s="25" t="str">
        <f>IFERROR(__xludf.DUMMYFUNCTION("""COMPUTED_VALUE"""),"Fighting")</f>
        <v>Fighting</v>
      </c>
      <c r="N158" s="25"/>
      <c r="O158" s="26"/>
      <c r="P158" s="26"/>
    </row>
    <row r="159">
      <c r="A159" s="13" t="str">
        <f>IFERROR(__xludf.DUMMYFUNCTION("""COMPUTED_VALUE"""),"Dying Light 2: Stay Human")</f>
        <v>Dying Light 2: Stay Human</v>
      </c>
      <c r="B159" s="15" t="str">
        <f>IFERROR(__xludf.DUMMYFUNCTION("""COMPUTED_VALUE"""),"PS5/PS4")</f>
        <v>PS5/PS4</v>
      </c>
      <c r="C159" s="16" t="str">
        <f>IFERROR(__xludf.DUMMYFUNCTION("""COMPUTED_VALUE"""),"Extra")</f>
        <v>Extra</v>
      </c>
      <c r="D159" s="15" t="str">
        <f>IFERROR(__xludf.DUMMYFUNCTION("""COMPUTED_VALUE"""),"Removed")</f>
        <v>Removed</v>
      </c>
      <c r="E159" s="17">
        <f>IFERROR(__xludf.DUMMYFUNCTION("""COMPUTED_VALUE"""),45615.0)</f>
        <v>45615</v>
      </c>
      <c r="F159" s="18">
        <f>IFERROR(__xludf.DUMMYFUNCTION("""COMPUTED_VALUE"""),45852.0)</f>
        <v>45852</v>
      </c>
      <c r="G159" s="19">
        <f>IFERROR(__xludf.DUMMYFUNCTION("""COMPUTED_VALUE"""),7.833333333333334)</f>
        <v>7.833333333</v>
      </c>
      <c r="H159" s="17">
        <f>IFERROR(__xludf.DUMMYFUNCTION("""COMPUTED_VALUE"""),44596.0)</f>
        <v>44596</v>
      </c>
      <c r="I159" s="19">
        <f>IFERROR(__xludf.DUMMYFUNCTION("""COMPUTED_VALUE"""),2.7916666666666665)</f>
        <v>2.791666667</v>
      </c>
      <c r="J159" s="21">
        <f>IFERROR(__xludf.DUMMYFUNCTION("""COMPUTED_VALUE"""),76.0)</f>
        <v>76</v>
      </c>
      <c r="K159" s="23">
        <f>IFERROR(__xludf.DUMMYFUNCTION("""COMPUTED_VALUE"""),7.2)</f>
        <v>7.2</v>
      </c>
      <c r="L159" s="24">
        <f>IFERROR(__xludf.DUMMYFUNCTION("""COMPUTED_VALUE"""),25.0)</f>
        <v>25</v>
      </c>
      <c r="M159" s="25" t="str">
        <f>IFERROR(__xludf.DUMMYFUNCTION("""COMPUTED_VALUE"""),"Survival")</f>
        <v>Survival</v>
      </c>
      <c r="N159" s="25"/>
      <c r="O159" s="26" t="str">
        <f>IFERROR(__xludf.DUMMYFUNCTION("""COMPUTED_VALUE"""),"Yes")</f>
        <v>Yes</v>
      </c>
      <c r="P159" s="26"/>
    </row>
    <row r="160">
      <c r="A160" s="13" t="str">
        <f>IFERROR(__xludf.DUMMYFUNCTION("""COMPUTED_VALUE"""),"Remnant II")</f>
        <v>Remnant II</v>
      </c>
      <c r="B160" s="15" t="str">
        <f>IFERROR(__xludf.DUMMYFUNCTION("""COMPUTED_VALUE"""),"PS5")</f>
        <v>PS5</v>
      </c>
      <c r="C160" s="16" t="str">
        <f>IFERROR(__xludf.DUMMYFUNCTION("""COMPUTED_VALUE"""),"Extra")</f>
        <v>Extra</v>
      </c>
      <c r="D160" s="15" t="str">
        <f>IFERROR(__xludf.DUMMYFUNCTION("""COMPUTED_VALUE"""),"Removed")</f>
        <v>Removed</v>
      </c>
      <c r="E160" s="17">
        <f>IFERROR(__xludf.DUMMYFUNCTION("""COMPUTED_VALUE"""),45489.0)</f>
        <v>45489</v>
      </c>
      <c r="F160" s="54">
        <f>IFERROR(__xludf.DUMMYFUNCTION("""COMPUTED_VALUE"""),45852.0)</f>
        <v>45852</v>
      </c>
      <c r="G160" s="19">
        <f>IFERROR(__xludf.DUMMYFUNCTION("""COMPUTED_VALUE"""),11.933333333333334)</f>
        <v>11.93333333</v>
      </c>
      <c r="H160" s="17">
        <f>IFERROR(__xludf.DUMMYFUNCTION("""COMPUTED_VALUE"""),45244.0)</f>
        <v>45244</v>
      </c>
      <c r="I160" s="19">
        <f>IFERROR(__xludf.DUMMYFUNCTION("""COMPUTED_VALUE"""),0.6722222222222223)</f>
        <v>0.6722222222</v>
      </c>
      <c r="J160" s="21">
        <f>IFERROR(__xludf.DUMMYFUNCTION("""COMPUTED_VALUE"""),82.0)</f>
        <v>82</v>
      </c>
      <c r="K160" s="23">
        <f>IFERROR(__xludf.DUMMYFUNCTION("""COMPUTED_VALUE"""),6.8)</f>
        <v>6.8</v>
      </c>
      <c r="L160" s="24">
        <f>IFERROR(__xludf.DUMMYFUNCTION("""COMPUTED_VALUE"""),18.0)</f>
        <v>18</v>
      </c>
      <c r="M160" s="25" t="str">
        <f>IFERROR(__xludf.DUMMYFUNCTION("""COMPUTED_VALUE"""),"Shooter")</f>
        <v>Shooter</v>
      </c>
      <c r="N160" s="25"/>
      <c r="O160" s="26" t="str">
        <f>IFERROR(__xludf.DUMMYFUNCTION("""COMPUTED_VALUE"""),"Portal (PS5 + Premium)")</f>
        <v>Portal (PS5 + Premium)</v>
      </c>
      <c r="P160" s="26"/>
    </row>
    <row r="161">
      <c r="A161" s="13" t="str">
        <f>IFERROR(__xludf.DUMMYFUNCTION("""COMPUTED_VALUE"""),"Crisis Core: Final Fantasy VII - Reunion")</f>
        <v>Crisis Core: Final Fantasy VII - Reunion</v>
      </c>
      <c r="B161" s="15" t="str">
        <f>IFERROR(__xludf.DUMMYFUNCTION("""COMPUTED_VALUE"""),"PS5/PS4")</f>
        <v>PS5/PS4</v>
      </c>
      <c r="C161" s="16" t="str">
        <f>IFERROR(__xludf.DUMMYFUNCTION("""COMPUTED_VALUE"""),"Extra")</f>
        <v>Extra</v>
      </c>
      <c r="D161" s="15" t="str">
        <f>IFERROR(__xludf.DUMMYFUNCTION("""COMPUTED_VALUE"""),"Removed")</f>
        <v>Removed</v>
      </c>
      <c r="E161" s="17">
        <f>IFERROR(__xludf.DUMMYFUNCTION("""COMPUTED_VALUE"""),45489.0)</f>
        <v>45489</v>
      </c>
      <c r="F161" s="54">
        <f>IFERROR(__xludf.DUMMYFUNCTION("""COMPUTED_VALUE"""),45852.0)</f>
        <v>45852</v>
      </c>
      <c r="G161" s="19">
        <f>IFERROR(__xludf.DUMMYFUNCTION("""COMPUTED_VALUE"""),11.933333333333334)</f>
        <v>11.93333333</v>
      </c>
      <c r="H161" s="17">
        <f>IFERROR(__xludf.DUMMYFUNCTION("""COMPUTED_VALUE"""),44908.0)</f>
        <v>44908</v>
      </c>
      <c r="I161" s="19">
        <f>IFERROR(__xludf.DUMMYFUNCTION("""COMPUTED_VALUE"""),1.5916666666666666)</f>
        <v>1.591666667</v>
      </c>
      <c r="J161" s="21">
        <f>IFERROR(__xludf.DUMMYFUNCTION("""COMPUTED_VALUE"""),78.0)</f>
        <v>78</v>
      </c>
      <c r="K161" s="23">
        <f>IFERROR(__xludf.DUMMYFUNCTION("""COMPUTED_VALUE"""),8.0)</f>
        <v>8</v>
      </c>
      <c r="L161" s="24">
        <f>IFERROR(__xludf.DUMMYFUNCTION("""COMPUTED_VALUE"""),14.0)</f>
        <v>14</v>
      </c>
      <c r="M161" s="25" t="str">
        <f>IFERROR(__xludf.DUMMYFUNCTION("""COMPUTED_VALUE"""),"Action-Adventure")</f>
        <v>Action-Adventure</v>
      </c>
      <c r="N161" s="25"/>
      <c r="O161" s="26" t="str">
        <f>IFERROR(__xludf.DUMMYFUNCTION("""COMPUTED_VALUE"""),"Yes")</f>
        <v>Yes</v>
      </c>
      <c r="P161" s="26"/>
    </row>
    <row r="162">
      <c r="A162" s="13" t="str">
        <f>IFERROR(__xludf.DUMMYFUNCTION("""COMPUTED_VALUE"""),"Mount &amp; Blade II: Bannerlord")</f>
        <v>Mount &amp; Blade II: Bannerlord</v>
      </c>
      <c r="B162" s="15" t="str">
        <f>IFERROR(__xludf.DUMMYFUNCTION("""COMPUTED_VALUE"""),"PS5/PS4")</f>
        <v>PS5/PS4</v>
      </c>
      <c r="C162" s="16" t="str">
        <f>IFERROR(__xludf.DUMMYFUNCTION("""COMPUTED_VALUE"""),"Extra")</f>
        <v>Extra</v>
      </c>
      <c r="D162" s="15" t="str">
        <f>IFERROR(__xludf.DUMMYFUNCTION("""COMPUTED_VALUE"""),"Removed")</f>
        <v>Removed</v>
      </c>
      <c r="E162" s="17">
        <f>IFERROR(__xludf.DUMMYFUNCTION("""COMPUTED_VALUE"""),45489.0)</f>
        <v>45489</v>
      </c>
      <c r="F162" s="54">
        <f>IFERROR(__xludf.DUMMYFUNCTION("""COMPUTED_VALUE"""),45852.0)</f>
        <v>45852</v>
      </c>
      <c r="G162" s="19">
        <f>IFERROR(__xludf.DUMMYFUNCTION("""COMPUTED_VALUE"""),11.933333333333334)</f>
        <v>11.93333333</v>
      </c>
      <c r="H162" s="17">
        <f>IFERROR(__xludf.DUMMYFUNCTION("""COMPUTED_VALUE"""),44859.0)</f>
        <v>44859</v>
      </c>
      <c r="I162" s="19">
        <f>IFERROR(__xludf.DUMMYFUNCTION("""COMPUTED_VALUE"""),1.725)</f>
        <v>1.725</v>
      </c>
      <c r="J162" s="21">
        <f>IFERROR(__xludf.DUMMYFUNCTION("""COMPUTED_VALUE"""),77.0)</f>
        <v>77</v>
      </c>
      <c r="K162" s="23">
        <f>IFERROR(__xludf.DUMMYFUNCTION("""COMPUTED_VALUE"""),8.0)</f>
        <v>8</v>
      </c>
      <c r="L162" s="24">
        <f>IFERROR(__xludf.DUMMYFUNCTION("""COMPUTED_VALUE"""),45.0)</f>
        <v>45</v>
      </c>
      <c r="M162" s="25" t="str">
        <f>IFERROR(__xludf.DUMMYFUNCTION("""COMPUTED_VALUE"""),"RPG")</f>
        <v>RPG</v>
      </c>
      <c r="N162" s="25"/>
      <c r="O162" s="26" t="str">
        <f>IFERROR(__xludf.DUMMYFUNCTION("""COMPUTED_VALUE"""),"Yes")</f>
        <v>Yes</v>
      </c>
      <c r="P162" s="26"/>
    </row>
    <row r="163">
      <c r="A163" s="13" t="str">
        <f>IFERROR(__xludf.DUMMYFUNCTION("""COMPUTED_VALUE"""),"Job Simulator")</f>
        <v>Job Simulator</v>
      </c>
      <c r="B163" s="15" t="str">
        <f>IFERROR(__xludf.DUMMYFUNCTION("""COMPUTED_VALUE"""),"PS5/PSVR2")</f>
        <v>PS5/PSVR2</v>
      </c>
      <c r="C163" s="16" t="str">
        <f>IFERROR(__xludf.DUMMYFUNCTION("""COMPUTED_VALUE"""),"Premium (VR)")</f>
        <v>Premium (VR)</v>
      </c>
      <c r="D163" s="15" t="str">
        <f>IFERROR(__xludf.DUMMYFUNCTION("""COMPUTED_VALUE"""),"Removed")</f>
        <v>Removed</v>
      </c>
      <c r="E163" s="17">
        <f>IFERROR(__xludf.DUMMYFUNCTION("""COMPUTED_VALUE"""),45489.0)</f>
        <v>45489</v>
      </c>
      <c r="F163" s="54">
        <f>IFERROR(__xludf.DUMMYFUNCTION("""COMPUTED_VALUE"""),45852.0)</f>
        <v>45852</v>
      </c>
      <c r="G163" s="19">
        <f>IFERROR(__xludf.DUMMYFUNCTION("""COMPUTED_VALUE"""),11.933333333333334)</f>
        <v>11.93333333</v>
      </c>
      <c r="H163" s="17">
        <f>IFERROR(__xludf.DUMMYFUNCTION("""COMPUTED_VALUE"""),42656.0)</f>
        <v>42656</v>
      </c>
      <c r="I163" s="19">
        <f>IFERROR(__xludf.DUMMYFUNCTION("""COMPUTED_VALUE"""),7.758333333333334)</f>
        <v>7.758333333</v>
      </c>
      <c r="J163" s="21">
        <f>IFERROR(__xludf.DUMMYFUNCTION("""COMPUTED_VALUE"""),71.0)</f>
        <v>71</v>
      </c>
      <c r="K163" s="23">
        <f>IFERROR(__xludf.DUMMYFUNCTION("""COMPUTED_VALUE"""),7.7)</f>
        <v>7.7</v>
      </c>
      <c r="L163" s="24">
        <f>IFERROR(__xludf.DUMMYFUNCTION("""COMPUTED_VALUE"""),3.0)</f>
        <v>3</v>
      </c>
      <c r="M163" s="25" t="str">
        <f>IFERROR(__xludf.DUMMYFUNCTION("""COMPUTED_VALUE"""),"Management")</f>
        <v>Management</v>
      </c>
      <c r="N163" s="25" t="str">
        <f>IFERROR(__xludf.DUMMYFUNCTION("""COMPUTED_VALUE"""),"PSVR2")</f>
        <v>PSVR2</v>
      </c>
      <c r="O163" s="26" t="str">
        <f>IFERROR(__xludf.DUMMYFUNCTION("""COMPUTED_VALUE"""),"No")</f>
        <v>No</v>
      </c>
      <c r="P163" s="26"/>
    </row>
    <row r="164">
      <c r="A164" s="13" t="str">
        <f>IFERROR(__xludf.DUMMYFUNCTION("""COMPUTED_VALUE"""),"Vampire: The Masquerade - Swansong")</f>
        <v>Vampire: The Masquerade - Swansong</v>
      </c>
      <c r="B164" s="15" t="str">
        <f>IFERROR(__xludf.DUMMYFUNCTION("""COMPUTED_VALUE"""),"PS5/PS4")</f>
        <v>PS5/PS4</v>
      </c>
      <c r="C164" s="16" t="str">
        <f>IFERROR(__xludf.DUMMYFUNCTION("""COMPUTED_VALUE"""),"Extra")</f>
        <v>Extra</v>
      </c>
      <c r="D164" s="15" t="str">
        <f>IFERROR(__xludf.DUMMYFUNCTION("""COMPUTED_VALUE"""),"Removed")</f>
        <v>Removed</v>
      </c>
      <c r="E164" s="17">
        <f>IFERROR(__xludf.DUMMYFUNCTION("""COMPUTED_VALUE"""),45307.0)</f>
        <v>45307</v>
      </c>
      <c r="F164" s="54">
        <f>IFERROR(__xludf.DUMMYFUNCTION("""COMPUTED_VALUE"""),45852.0)</f>
        <v>45852</v>
      </c>
      <c r="G164" s="19">
        <f>IFERROR(__xludf.DUMMYFUNCTION("""COMPUTED_VALUE"""),17.933333333333334)</f>
        <v>17.93333333</v>
      </c>
      <c r="H164" s="17">
        <f>IFERROR(__xludf.DUMMYFUNCTION("""COMPUTED_VALUE"""),44700.0)</f>
        <v>44700</v>
      </c>
      <c r="I164" s="19">
        <f>IFERROR(__xludf.DUMMYFUNCTION("""COMPUTED_VALUE"""),1.6583333333333334)</f>
        <v>1.658333333</v>
      </c>
      <c r="J164" s="21">
        <f>IFERROR(__xludf.DUMMYFUNCTION("""COMPUTED_VALUE"""),66.0)</f>
        <v>66</v>
      </c>
      <c r="K164" s="23">
        <f>IFERROR(__xludf.DUMMYFUNCTION("""COMPUTED_VALUE"""),3.4)</f>
        <v>3.4</v>
      </c>
      <c r="L164" s="24">
        <f>IFERROR(__xludf.DUMMYFUNCTION("""COMPUTED_VALUE"""),15.0)</f>
        <v>15</v>
      </c>
      <c r="M164" s="25" t="str">
        <f>IFERROR(__xludf.DUMMYFUNCTION("""COMPUTED_VALUE"""),"RPG")</f>
        <v>RPG</v>
      </c>
      <c r="N164" s="25"/>
      <c r="O164" s="26" t="str">
        <f>IFERROR(__xludf.DUMMYFUNCTION("""COMPUTED_VALUE"""),"Yes")</f>
        <v>Yes</v>
      </c>
      <c r="P164" s="26"/>
    </row>
    <row r="165">
      <c r="A165" s="13" t="str">
        <f>IFERROR(__xludf.DUMMYFUNCTION("""COMPUTED_VALUE"""),"NBA 2K25")</f>
        <v>NBA 2K25</v>
      </c>
      <c r="B165" s="15" t="str">
        <f>IFERROR(__xludf.DUMMYFUNCTION("""COMPUTED_VALUE"""),"PS5/PS4")</f>
        <v>PS5/PS4</v>
      </c>
      <c r="C165" s="16" t="str">
        <f>IFERROR(__xludf.DUMMYFUNCTION("""COMPUTED_VALUE"""),"Essential")</f>
        <v>Essential</v>
      </c>
      <c r="D165" s="15" t="str">
        <f>IFERROR(__xludf.DUMMYFUNCTION("""COMPUTED_VALUE"""),"Removed")</f>
        <v>Removed</v>
      </c>
      <c r="E165" s="17">
        <f>IFERROR(__xludf.DUMMYFUNCTION("""COMPUTED_VALUE"""),45811.0)</f>
        <v>45811</v>
      </c>
      <c r="F165" s="54">
        <f>IFERROR(__xludf.DUMMYFUNCTION("""COMPUTED_VALUE"""),45838.0)</f>
        <v>45838</v>
      </c>
      <c r="G165" s="19">
        <f>IFERROR(__xludf.DUMMYFUNCTION("""COMPUTED_VALUE"""),0.8999999999999999)</f>
        <v>0.9</v>
      </c>
      <c r="H165" s="17">
        <f>IFERROR(__xludf.DUMMYFUNCTION("""COMPUTED_VALUE"""),45541.0)</f>
        <v>45541</v>
      </c>
      <c r="I165" s="19">
        <f>IFERROR(__xludf.DUMMYFUNCTION("""COMPUTED_VALUE"""),0.7416666666666667)</f>
        <v>0.7416666667</v>
      </c>
      <c r="J165" s="21">
        <f>IFERROR(__xludf.DUMMYFUNCTION("""COMPUTED_VALUE"""),79.0)</f>
        <v>79</v>
      </c>
      <c r="K165" s="23">
        <f>IFERROR(__xludf.DUMMYFUNCTION("""COMPUTED_VALUE"""),5.1)</f>
        <v>5.1</v>
      </c>
      <c r="L165" s="24">
        <f>IFERROR(__xludf.DUMMYFUNCTION("""COMPUTED_VALUE"""),20.0)</f>
        <v>20</v>
      </c>
      <c r="M165" s="25" t="str">
        <f>IFERROR(__xludf.DUMMYFUNCTION("""COMPUTED_VALUE"""),"Sports")</f>
        <v>Sports</v>
      </c>
      <c r="N165" s="25"/>
      <c r="O165" s="26"/>
      <c r="P165" s="26"/>
    </row>
    <row r="166">
      <c r="A166" s="13" t="str">
        <f>IFERROR(__xludf.DUMMYFUNCTION("""COMPUTED_VALUE"""),"Alone in the Dark (2024)")</f>
        <v>Alone in the Dark (2024)</v>
      </c>
      <c r="B166" s="15" t="str">
        <f>IFERROR(__xludf.DUMMYFUNCTION("""COMPUTED_VALUE"""),"PS5")</f>
        <v>PS5</v>
      </c>
      <c r="C166" s="16" t="str">
        <f>IFERROR(__xludf.DUMMYFUNCTION("""COMPUTED_VALUE"""),"Essential")</f>
        <v>Essential</v>
      </c>
      <c r="D166" s="15" t="str">
        <f>IFERROR(__xludf.DUMMYFUNCTION("""COMPUTED_VALUE"""),"Removed")</f>
        <v>Removed</v>
      </c>
      <c r="E166" s="17">
        <f>IFERROR(__xludf.DUMMYFUNCTION("""COMPUTED_VALUE"""),45811.0)</f>
        <v>45811</v>
      </c>
      <c r="F166" s="54">
        <f>IFERROR(__xludf.DUMMYFUNCTION("""COMPUTED_VALUE"""),45838.0)</f>
        <v>45838</v>
      </c>
      <c r="G166" s="19">
        <f>IFERROR(__xludf.DUMMYFUNCTION("""COMPUTED_VALUE"""),0.8999999999999999)</f>
        <v>0.9</v>
      </c>
      <c r="H166" s="17">
        <f>IFERROR(__xludf.DUMMYFUNCTION("""COMPUTED_VALUE"""),45371.0)</f>
        <v>45371</v>
      </c>
      <c r="I166" s="19">
        <f>IFERROR(__xludf.DUMMYFUNCTION("""COMPUTED_VALUE"""),1.2027777777777777)</f>
        <v>1.202777778</v>
      </c>
      <c r="J166" s="21">
        <f>IFERROR(__xludf.DUMMYFUNCTION("""COMPUTED_VALUE"""),63.0)</f>
        <v>63</v>
      </c>
      <c r="K166" s="23">
        <f>IFERROR(__xludf.DUMMYFUNCTION("""COMPUTED_VALUE"""),7.4)</f>
        <v>7.4</v>
      </c>
      <c r="L166" s="24">
        <f>IFERROR(__xludf.DUMMYFUNCTION("""COMPUTED_VALUE"""),8.0)</f>
        <v>8</v>
      </c>
      <c r="M166" s="25" t="str">
        <f>IFERROR(__xludf.DUMMYFUNCTION("""COMPUTED_VALUE"""),"Survival")</f>
        <v>Survival</v>
      </c>
      <c r="N166" s="25"/>
      <c r="O166" s="26" t="str">
        <f>IFERROR(__xludf.DUMMYFUNCTION("""COMPUTED_VALUE"""),"No")</f>
        <v>No</v>
      </c>
      <c r="P166" s="26"/>
    </row>
    <row r="167">
      <c r="A167" s="13" t="str">
        <f>IFERROR(__xludf.DUMMYFUNCTION("""COMPUTED_VALUE"""),"Bomb Rush Cyberfunk")</f>
        <v>Bomb Rush Cyberfunk</v>
      </c>
      <c r="B167" s="15" t="str">
        <f>IFERROR(__xludf.DUMMYFUNCTION("""COMPUTED_VALUE"""),"PS5/PS4")</f>
        <v>PS5/PS4</v>
      </c>
      <c r="C167" s="16" t="str">
        <f>IFERROR(__xludf.DUMMYFUNCTION("""COMPUTED_VALUE"""),"Essential")</f>
        <v>Essential</v>
      </c>
      <c r="D167" s="15" t="str">
        <f>IFERROR(__xludf.DUMMYFUNCTION("""COMPUTED_VALUE"""),"Removed")</f>
        <v>Removed</v>
      </c>
      <c r="E167" s="17">
        <f>IFERROR(__xludf.DUMMYFUNCTION("""COMPUTED_VALUE"""),45811.0)</f>
        <v>45811</v>
      </c>
      <c r="F167" s="54">
        <f>IFERROR(__xludf.DUMMYFUNCTION("""COMPUTED_VALUE"""),45838.0)</f>
        <v>45838</v>
      </c>
      <c r="G167" s="19">
        <f>IFERROR(__xludf.DUMMYFUNCTION("""COMPUTED_VALUE"""),0.8999999999999999)</f>
        <v>0.9</v>
      </c>
      <c r="H167" s="17">
        <f>IFERROR(__xludf.DUMMYFUNCTION("""COMPUTED_VALUE"""),45156.0)</f>
        <v>45156</v>
      </c>
      <c r="I167" s="19">
        <f>IFERROR(__xludf.DUMMYFUNCTION("""COMPUTED_VALUE"""),1.7916666666666667)</f>
        <v>1.791666667</v>
      </c>
      <c r="J167" s="21">
        <f>IFERROR(__xludf.DUMMYFUNCTION("""COMPUTED_VALUE"""),75.0)</f>
        <v>75</v>
      </c>
      <c r="K167" s="23">
        <f>IFERROR(__xludf.DUMMYFUNCTION("""COMPUTED_VALUE"""),8.6)</f>
        <v>8.6</v>
      </c>
      <c r="L167" s="24">
        <f>IFERROR(__xludf.DUMMYFUNCTION("""COMPUTED_VALUE"""),10.0)</f>
        <v>10</v>
      </c>
      <c r="M167" s="25" t="str">
        <f>IFERROR(__xludf.DUMMYFUNCTION("""COMPUTED_VALUE"""),"Platformer")</f>
        <v>Platformer</v>
      </c>
      <c r="N167" s="25"/>
      <c r="O167" s="26"/>
      <c r="P167" s="26"/>
    </row>
    <row r="168">
      <c r="A168" s="13" t="str">
        <f>IFERROR(__xludf.DUMMYFUNCTION("""COMPUTED_VALUE"""),"Destiny 2: The Final Shape")</f>
        <v>Destiny 2: The Final Shape</v>
      </c>
      <c r="B168" s="15" t="str">
        <f>IFERROR(__xludf.DUMMYFUNCTION("""COMPUTED_VALUE"""),"PS5/PS4")</f>
        <v>PS5/PS4</v>
      </c>
      <c r="C168" s="16" t="str">
        <f>IFERROR(__xludf.DUMMYFUNCTION("""COMPUTED_VALUE"""),"Essential")</f>
        <v>Essential</v>
      </c>
      <c r="D168" s="15" t="str">
        <f>IFERROR(__xludf.DUMMYFUNCTION("""COMPUTED_VALUE"""),"Removed")</f>
        <v>Removed</v>
      </c>
      <c r="E168" s="17">
        <f>IFERROR(__xludf.DUMMYFUNCTION("""COMPUTED_VALUE"""),45805.0)</f>
        <v>45805</v>
      </c>
      <c r="F168" s="54">
        <f>IFERROR(__xludf.DUMMYFUNCTION("""COMPUTED_VALUE"""),45838.0)</f>
        <v>45838</v>
      </c>
      <c r="G168" s="19">
        <f>IFERROR(__xludf.DUMMYFUNCTION("""COMPUTED_VALUE"""),1.0666666666666667)</f>
        <v>1.066666667</v>
      </c>
      <c r="H168" s="17">
        <f>IFERROR(__xludf.DUMMYFUNCTION("""COMPUTED_VALUE"""),45447.0)</f>
        <v>45447</v>
      </c>
      <c r="I168" s="19">
        <f>IFERROR(__xludf.DUMMYFUNCTION("""COMPUTED_VALUE"""),0.9833333333333333)</f>
        <v>0.9833333333</v>
      </c>
      <c r="J168" s="21">
        <f>IFERROR(__xludf.DUMMYFUNCTION("""COMPUTED_VALUE"""),89.0)</f>
        <v>89</v>
      </c>
      <c r="K168" s="23">
        <f>IFERROR(__xludf.DUMMYFUNCTION("""COMPUTED_VALUE"""),7.6)</f>
        <v>7.6</v>
      </c>
      <c r="L168" s="24">
        <f>IFERROR(__xludf.DUMMYFUNCTION("""COMPUTED_VALUE"""),11.0)</f>
        <v>11</v>
      </c>
      <c r="M168" s="25" t="str">
        <f>IFERROR(__xludf.DUMMYFUNCTION("""COMPUTED_VALUE"""),"Shooter")</f>
        <v>Shooter</v>
      </c>
      <c r="N168" s="25"/>
      <c r="O168" s="26"/>
      <c r="P168" s="26"/>
    </row>
    <row r="169">
      <c r="A169" s="13" t="str">
        <f>IFERROR(__xludf.DUMMYFUNCTION("""COMPUTED_VALUE"""),"After Us")</f>
        <v>After Us</v>
      </c>
      <c r="B169" s="15" t="str">
        <f>IFERROR(__xludf.DUMMYFUNCTION("""COMPUTED_VALUE"""),"PS5")</f>
        <v>PS5</v>
      </c>
      <c r="C169" s="16" t="str">
        <f>IFERROR(__xludf.DUMMYFUNCTION("""COMPUTED_VALUE"""),"Extra")</f>
        <v>Extra</v>
      </c>
      <c r="D169" s="15" t="str">
        <f>IFERROR(__xludf.DUMMYFUNCTION("""COMPUTED_VALUE"""),"Removed")</f>
        <v>Removed</v>
      </c>
      <c r="E169" s="17">
        <f>IFERROR(__xludf.DUMMYFUNCTION("""COMPUTED_VALUE"""),45461.0)</f>
        <v>45461</v>
      </c>
      <c r="F169" s="54">
        <f>IFERROR(__xludf.DUMMYFUNCTION("""COMPUTED_VALUE"""),45824.0)</f>
        <v>45824</v>
      </c>
      <c r="G169" s="19">
        <f>IFERROR(__xludf.DUMMYFUNCTION("""COMPUTED_VALUE"""),11.933333333333334)</f>
        <v>11.93333333</v>
      </c>
      <c r="H169" s="17">
        <f>IFERROR(__xludf.DUMMYFUNCTION("""COMPUTED_VALUE"""),45069.0)</f>
        <v>45069</v>
      </c>
      <c r="I169" s="19">
        <f>IFERROR(__xludf.DUMMYFUNCTION("""COMPUTED_VALUE"""),1.0694444444444444)</f>
        <v>1.069444444</v>
      </c>
      <c r="J169" s="21">
        <f>IFERROR(__xludf.DUMMYFUNCTION("""COMPUTED_VALUE"""),65.0)</f>
        <v>65</v>
      </c>
      <c r="K169" s="23">
        <f>IFERROR(__xludf.DUMMYFUNCTION("""COMPUTED_VALUE"""),6.1)</f>
        <v>6.1</v>
      </c>
      <c r="L169" s="24">
        <f>IFERROR(__xludf.DUMMYFUNCTION("""COMPUTED_VALUE"""),7.0)</f>
        <v>7</v>
      </c>
      <c r="M169" s="25" t="str">
        <f>IFERROR(__xludf.DUMMYFUNCTION("""COMPUTED_VALUE"""),"Action-Adventure")</f>
        <v>Action-Adventure</v>
      </c>
      <c r="N169" s="25"/>
      <c r="O169" s="26" t="str">
        <f>IFERROR(__xludf.DUMMYFUNCTION("""COMPUTED_VALUE"""),"Portal (PS5 + Premium)")</f>
        <v>Portal (PS5 + Premium)</v>
      </c>
      <c r="P169" s="26"/>
    </row>
    <row r="170">
      <c r="A170" s="13" t="str">
        <f>IFERROR(__xludf.DUMMYFUNCTION("""COMPUTED_VALUE"""),"Monster Hunter: Rise")</f>
        <v>Monster Hunter: Rise</v>
      </c>
      <c r="B170" s="15" t="str">
        <f>IFERROR(__xludf.DUMMYFUNCTION("""COMPUTED_VALUE"""),"PS5/PS4")</f>
        <v>PS5/PS4</v>
      </c>
      <c r="C170" s="16" t="str">
        <f>IFERROR(__xludf.DUMMYFUNCTION("""COMPUTED_VALUE"""),"Extra")</f>
        <v>Extra</v>
      </c>
      <c r="D170" s="15" t="str">
        <f>IFERROR(__xludf.DUMMYFUNCTION("""COMPUTED_VALUE"""),"Removed")</f>
        <v>Removed</v>
      </c>
      <c r="E170" s="17">
        <f>IFERROR(__xludf.DUMMYFUNCTION("""COMPUTED_VALUE"""),45461.0)</f>
        <v>45461</v>
      </c>
      <c r="F170" s="54">
        <f>IFERROR(__xludf.DUMMYFUNCTION("""COMPUTED_VALUE"""),45824.0)</f>
        <v>45824</v>
      </c>
      <c r="G170" s="19">
        <f>IFERROR(__xludf.DUMMYFUNCTION("""COMPUTED_VALUE"""),11.933333333333334)</f>
        <v>11.93333333</v>
      </c>
      <c r="H170" s="17">
        <f>IFERROR(__xludf.DUMMYFUNCTION("""COMPUTED_VALUE"""),44281.0)</f>
        <v>44281</v>
      </c>
      <c r="I170" s="19">
        <f>IFERROR(__xludf.DUMMYFUNCTION("""COMPUTED_VALUE"""),3.227777777777778)</f>
        <v>3.227777778</v>
      </c>
      <c r="J170" s="21">
        <f>IFERROR(__xludf.DUMMYFUNCTION("""COMPUTED_VALUE"""),88.0)</f>
        <v>88</v>
      </c>
      <c r="K170" s="23">
        <f>IFERROR(__xludf.DUMMYFUNCTION("""COMPUTED_VALUE"""),6.9)</f>
        <v>6.9</v>
      </c>
      <c r="L170" s="24">
        <f>IFERROR(__xludf.DUMMYFUNCTION("""COMPUTED_VALUE"""),22.0)</f>
        <v>22</v>
      </c>
      <c r="M170" s="25" t="str">
        <f>IFERROR(__xludf.DUMMYFUNCTION("""COMPUTED_VALUE"""),"RPG")</f>
        <v>RPG</v>
      </c>
      <c r="N170" s="25"/>
      <c r="O170" s="26" t="str">
        <f>IFERROR(__xludf.DUMMYFUNCTION("""COMPUTED_VALUE"""),"Yes")</f>
        <v>Yes</v>
      </c>
      <c r="P170" s="26"/>
    </row>
    <row r="171">
      <c r="A171" s="13" t="str">
        <f>IFERROR(__xludf.DUMMYFUNCTION("""COMPUTED_VALUE"""),"Kayak VR: Mirage")</f>
        <v>Kayak VR: Mirage</v>
      </c>
      <c r="B171" s="15" t="str">
        <f>IFERROR(__xludf.DUMMYFUNCTION("""COMPUTED_VALUE"""),"PS5/PSVR2")</f>
        <v>PS5/PSVR2</v>
      </c>
      <c r="C171" s="16" t="str">
        <f>IFERROR(__xludf.DUMMYFUNCTION("""COMPUTED_VALUE"""),"Premium (VR)")</f>
        <v>Premium (VR)</v>
      </c>
      <c r="D171" s="15" t="str">
        <f>IFERROR(__xludf.DUMMYFUNCTION("""COMPUTED_VALUE"""),"Removed")</f>
        <v>Removed</v>
      </c>
      <c r="E171" s="17">
        <f>IFERROR(__xludf.DUMMYFUNCTION("""COMPUTED_VALUE"""),45461.0)</f>
        <v>45461</v>
      </c>
      <c r="F171" s="54">
        <f>IFERROR(__xludf.DUMMYFUNCTION("""COMPUTED_VALUE"""),45824.0)</f>
        <v>45824</v>
      </c>
      <c r="G171" s="19">
        <f>IFERROR(__xludf.DUMMYFUNCTION("""COMPUTED_VALUE"""),11.933333333333334)</f>
        <v>11.93333333</v>
      </c>
      <c r="H171" s="17">
        <f>IFERROR(__xludf.DUMMYFUNCTION("""COMPUTED_VALUE"""),44979.0)</f>
        <v>44979</v>
      </c>
      <c r="I171" s="19">
        <f>IFERROR(__xludf.DUMMYFUNCTION("""COMPUTED_VALUE"""),1.3222222222222222)</f>
        <v>1.322222222</v>
      </c>
      <c r="J171" s="21">
        <f>IFERROR(__xludf.DUMMYFUNCTION("""COMPUTED_VALUE"""),73.0)</f>
        <v>73</v>
      </c>
      <c r="K171" s="23">
        <f>IFERROR(__xludf.DUMMYFUNCTION("""COMPUTED_VALUE"""),5.1)</f>
        <v>5.1</v>
      </c>
      <c r="L171" s="24">
        <f>IFERROR(__xludf.DUMMYFUNCTION("""COMPUTED_VALUE"""),3.0)</f>
        <v>3</v>
      </c>
      <c r="M171" s="25" t="str">
        <f>IFERROR(__xludf.DUMMYFUNCTION("""COMPUTED_VALUE"""),"Sports")</f>
        <v>Sports</v>
      </c>
      <c r="N171" s="25" t="str">
        <f>IFERROR(__xludf.DUMMYFUNCTION("""COMPUTED_VALUE"""),"PSVR2")</f>
        <v>PSVR2</v>
      </c>
      <c r="O171" s="26" t="str">
        <f>IFERROR(__xludf.DUMMYFUNCTION("""COMPUTED_VALUE"""),"No")</f>
        <v>No</v>
      </c>
      <c r="P171" s="26"/>
    </row>
    <row r="172">
      <c r="A172" s="13" t="str">
        <f>IFERROR(__xludf.DUMMYFUNCTION("""COMPUTED_VALUE"""),"Inscryption")</f>
        <v>Inscryption</v>
      </c>
      <c r="B172" s="15" t="str">
        <f>IFERROR(__xludf.DUMMYFUNCTION("""COMPUTED_VALUE"""),"PS5/PS4")</f>
        <v>PS5/PS4</v>
      </c>
      <c r="C172" s="16" t="str">
        <f>IFERROR(__xludf.DUMMYFUNCTION("""COMPUTED_VALUE"""),"Extra")</f>
        <v>Extra</v>
      </c>
      <c r="D172" s="15" t="str">
        <f>IFERROR(__xludf.DUMMYFUNCTION("""COMPUTED_VALUE"""),"Removed")</f>
        <v>Removed</v>
      </c>
      <c r="E172" s="17">
        <f>IFERROR(__xludf.DUMMYFUNCTION("""COMPUTED_VALUE"""),45097.0)</f>
        <v>45097</v>
      </c>
      <c r="F172" s="54">
        <f>IFERROR(__xludf.DUMMYFUNCTION("""COMPUTED_VALUE"""),45824.0)</f>
        <v>45824</v>
      </c>
      <c r="G172" s="19">
        <f>IFERROR(__xludf.DUMMYFUNCTION("""COMPUTED_VALUE"""),23.866666666666667)</f>
        <v>23.86666667</v>
      </c>
      <c r="H172" s="17">
        <f>IFERROR(__xludf.DUMMYFUNCTION("""COMPUTED_VALUE"""),44803.0)</f>
        <v>44803</v>
      </c>
      <c r="I172" s="19">
        <f>IFERROR(__xludf.DUMMYFUNCTION("""COMPUTED_VALUE"""),0.8055555555555556)</f>
        <v>0.8055555556</v>
      </c>
      <c r="J172" s="21">
        <f>IFERROR(__xludf.DUMMYFUNCTION("""COMPUTED_VALUE"""),87.0)</f>
        <v>87</v>
      </c>
      <c r="K172" s="23">
        <f>IFERROR(__xludf.DUMMYFUNCTION("""COMPUTED_VALUE"""),8.5)</f>
        <v>8.5</v>
      </c>
      <c r="L172" s="24">
        <f>IFERROR(__xludf.DUMMYFUNCTION("""COMPUTED_VALUE"""),13.0)</f>
        <v>13</v>
      </c>
      <c r="M172" s="25" t="str">
        <f>IFERROR(__xludf.DUMMYFUNCTION("""COMPUTED_VALUE"""),"Strategy")</f>
        <v>Strategy</v>
      </c>
      <c r="N172" s="25"/>
      <c r="O172" s="26" t="str">
        <f>IFERROR(__xludf.DUMMYFUNCTION("""COMPUTED_VALUE"""),"Yes")</f>
        <v>Yes</v>
      </c>
      <c r="P172" s="26"/>
    </row>
    <row r="173">
      <c r="A173" s="13" t="str">
        <f>IFERROR(__xludf.DUMMYFUNCTION("""COMPUTED_VALUE"""),"Rogue Legacy 2")</f>
        <v>Rogue Legacy 2</v>
      </c>
      <c r="B173" s="15" t="str">
        <f>IFERROR(__xludf.DUMMYFUNCTION("""COMPUTED_VALUE"""),"PS5/PS4")</f>
        <v>PS5/PS4</v>
      </c>
      <c r="C173" s="16" t="str">
        <f>IFERROR(__xludf.DUMMYFUNCTION("""COMPUTED_VALUE"""),"Extra")</f>
        <v>Extra</v>
      </c>
      <c r="D173" s="15" t="str">
        <f>IFERROR(__xludf.DUMMYFUNCTION("""COMPUTED_VALUE"""),"Removed")</f>
        <v>Removed</v>
      </c>
      <c r="E173" s="17">
        <f>IFERROR(__xludf.DUMMYFUNCTION("""COMPUTED_VALUE"""),45097.0)</f>
        <v>45097</v>
      </c>
      <c r="F173" s="71">
        <f>IFERROR(__xludf.DUMMYFUNCTION("""COMPUTED_VALUE"""),45824.0)</f>
        <v>45824</v>
      </c>
      <c r="G173" s="19">
        <f>IFERROR(__xludf.DUMMYFUNCTION("""COMPUTED_VALUE"""),23.866666666666667)</f>
        <v>23.86666667</v>
      </c>
      <c r="H173" s="17">
        <f>IFERROR(__xludf.DUMMYFUNCTION("""COMPUTED_VALUE"""),44874.0)</f>
        <v>44874</v>
      </c>
      <c r="I173" s="19">
        <f>IFERROR(__xludf.DUMMYFUNCTION("""COMPUTED_VALUE"""),0.6138888888888889)</f>
        <v>0.6138888889</v>
      </c>
      <c r="J173" s="21">
        <f>IFERROR(__xludf.DUMMYFUNCTION("""COMPUTED_VALUE"""),87.0)</f>
        <v>87</v>
      </c>
      <c r="K173" s="23">
        <f>IFERROR(__xludf.DUMMYFUNCTION("""COMPUTED_VALUE"""),8.1)</f>
        <v>8.1</v>
      </c>
      <c r="L173" s="24">
        <f>IFERROR(__xludf.DUMMYFUNCTION("""COMPUTED_VALUE"""),27.0)</f>
        <v>27</v>
      </c>
      <c r="M173" s="25" t="str">
        <f>IFERROR(__xludf.DUMMYFUNCTION("""COMPUTED_VALUE"""),"RPG")</f>
        <v>RPG</v>
      </c>
      <c r="N173" s="25"/>
      <c r="O173" s="26" t="str">
        <f>IFERROR(__xludf.DUMMYFUNCTION("""COMPUTED_VALUE"""),"Yes")</f>
        <v>Yes</v>
      </c>
      <c r="P173" s="26"/>
    </row>
    <row r="174">
      <c r="A174" s="13" t="str">
        <f>IFERROR(__xludf.DUMMYFUNCTION("""COMPUTED_VALUE"""),"Ark: Survival Ascended")</f>
        <v>Ark: Survival Ascended</v>
      </c>
      <c r="B174" s="15" t="str">
        <f>IFERROR(__xludf.DUMMYFUNCTION("""COMPUTED_VALUE"""),"PS5")</f>
        <v>PS5</v>
      </c>
      <c r="C174" s="16" t="str">
        <f>IFERROR(__xludf.DUMMYFUNCTION("""COMPUTED_VALUE"""),"Essential")</f>
        <v>Essential</v>
      </c>
      <c r="D174" s="15" t="str">
        <f>IFERROR(__xludf.DUMMYFUNCTION("""COMPUTED_VALUE"""),"Removed")</f>
        <v>Removed</v>
      </c>
      <c r="E174" s="17">
        <f>IFERROR(__xludf.DUMMYFUNCTION("""COMPUTED_VALUE"""),45783.0)</f>
        <v>45783</v>
      </c>
      <c r="F174" s="71">
        <f>IFERROR(__xludf.DUMMYFUNCTION("""COMPUTED_VALUE"""),45809.0)</f>
        <v>45809</v>
      </c>
      <c r="G174" s="19">
        <f>IFERROR(__xludf.DUMMYFUNCTION("""COMPUTED_VALUE"""),0.8333333333333334)</f>
        <v>0.8333333333</v>
      </c>
      <c r="H174" s="17">
        <f>IFERROR(__xludf.DUMMYFUNCTION("""COMPUTED_VALUE"""),42974.0)</f>
        <v>42974</v>
      </c>
      <c r="I174" s="19">
        <f>IFERROR(__xludf.DUMMYFUNCTION("""COMPUTED_VALUE"""),7.691666666666666)</f>
        <v>7.691666667</v>
      </c>
      <c r="J174" s="21">
        <f>IFERROR(__xludf.DUMMYFUNCTION("""COMPUTED_VALUE"""),70.0)</f>
        <v>70</v>
      </c>
      <c r="K174" s="23">
        <f>IFERROR(__xludf.DUMMYFUNCTION("""COMPUTED_VALUE"""),6.5)</f>
        <v>6.5</v>
      </c>
      <c r="L174" s="24">
        <f>IFERROR(__xludf.DUMMYFUNCTION("""COMPUTED_VALUE"""),331.0)</f>
        <v>331</v>
      </c>
      <c r="M174" s="25" t="str">
        <f>IFERROR(__xludf.DUMMYFUNCTION("""COMPUTED_VALUE"""),"Sandbox")</f>
        <v>Sandbox</v>
      </c>
      <c r="N174" s="25"/>
      <c r="O174" s="26" t="str">
        <f>IFERROR(__xludf.DUMMYFUNCTION("""COMPUTED_VALUE"""),"No")</f>
        <v>No</v>
      </c>
      <c r="P174" s="26"/>
    </row>
    <row r="175">
      <c r="A175" s="13" t="str">
        <f>IFERROR(__xludf.DUMMYFUNCTION("""COMPUTED_VALUE"""),"Balatro")</f>
        <v>Balatro</v>
      </c>
      <c r="B175" s="15" t="str">
        <f>IFERROR(__xludf.DUMMYFUNCTION("""COMPUTED_VALUE"""),"PS5/PS4")</f>
        <v>PS5/PS4</v>
      </c>
      <c r="C175" s="16" t="str">
        <f>IFERROR(__xludf.DUMMYFUNCTION("""COMPUTED_VALUE"""),"Essential")</f>
        <v>Essential</v>
      </c>
      <c r="D175" s="15" t="str">
        <f>IFERROR(__xludf.DUMMYFUNCTION("""COMPUTED_VALUE"""),"Removed")</f>
        <v>Removed</v>
      </c>
      <c r="E175" s="17">
        <f>IFERROR(__xludf.DUMMYFUNCTION("""COMPUTED_VALUE"""),45783.0)</f>
        <v>45783</v>
      </c>
      <c r="F175" s="54">
        <f>IFERROR(__xludf.DUMMYFUNCTION("""COMPUTED_VALUE"""),45809.0)</f>
        <v>45809</v>
      </c>
      <c r="G175" s="19">
        <f>IFERROR(__xludf.DUMMYFUNCTION("""COMPUTED_VALUE"""),0.8333333333333334)</f>
        <v>0.8333333333</v>
      </c>
      <c r="H175" s="17">
        <f>IFERROR(__xludf.DUMMYFUNCTION("""COMPUTED_VALUE"""),45342.0)</f>
        <v>45342</v>
      </c>
      <c r="I175" s="19">
        <f>IFERROR(__xludf.DUMMYFUNCTION("""COMPUTED_VALUE"""),1.211111111111111)</f>
        <v>1.211111111</v>
      </c>
      <c r="J175" s="21">
        <f>IFERROR(__xludf.DUMMYFUNCTION("""COMPUTED_VALUE"""),90.0)</f>
        <v>90</v>
      </c>
      <c r="K175" s="23">
        <f>IFERROR(__xludf.DUMMYFUNCTION("""COMPUTED_VALUE"""),8.3)</f>
        <v>8.3</v>
      </c>
      <c r="L175" s="24">
        <f>IFERROR(__xludf.DUMMYFUNCTION("""COMPUTED_VALUE"""),7.0)</f>
        <v>7</v>
      </c>
      <c r="M175" s="25" t="str">
        <f>IFERROR(__xludf.DUMMYFUNCTION("""COMPUTED_VALUE"""),"Card Battle")</f>
        <v>Card Battle</v>
      </c>
      <c r="N175" s="25"/>
      <c r="O175" s="26" t="str">
        <f>IFERROR(__xludf.DUMMYFUNCTION("""COMPUTED_VALUE"""),"No")</f>
        <v>No</v>
      </c>
      <c r="P175" s="26"/>
    </row>
    <row r="176">
      <c r="A176" s="13" t="str">
        <f>IFERROR(__xludf.DUMMYFUNCTION("""COMPUTED_VALUE"""),"Warhammer 40,000: Boltgun")</f>
        <v>Warhammer 40,000: Boltgun</v>
      </c>
      <c r="B176" s="15" t="str">
        <f>IFERROR(__xludf.DUMMYFUNCTION("""COMPUTED_VALUE"""),"PS5/PS4")</f>
        <v>PS5/PS4</v>
      </c>
      <c r="C176" s="16" t="str">
        <f>IFERROR(__xludf.DUMMYFUNCTION("""COMPUTED_VALUE"""),"Essential")</f>
        <v>Essential</v>
      </c>
      <c r="D176" s="15" t="str">
        <f>IFERROR(__xludf.DUMMYFUNCTION("""COMPUTED_VALUE"""),"Removed")</f>
        <v>Removed</v>
      </c>
      <c r="E176" s="17">
        <f>IFERROR(__xludf.DUMMYFUNCTION("""COMPUTED_VALUE"""),45783.0)</f>
        <v>45783</v>
      </c>
      <c r="F176" s="54">
        <f>IFERROR(__xludf.DUMMYFUNCTION("""COMPUTED_VALUE"""),45809.0)</f>
        <v>45809</v>
      </c>
      <c r="G176" s="19">
        <f>IFERROR(__xludf.DUMMYFUNCTION("""COMPUTED_VALUE"""),0.8333333333333334)</f>
        <v>0.8333333333</v>
      </c>
      <c r="H176" s="17">
        <f>IFERROR(__xludf.DUMMYFUNCTION("""COMPUTED_VALUE"""),45047.0)</f>
        <v>45047</v>
      </c>
      <c r="I176" s="19">
        <f>IFERROR(__xludf.DUMMYFUNCTION("""COMPUTED_VALUE"""),2.013888888888889)</f>
        <v>2.013888889</v>
      </c>
      <c r="J176" s="21">
        <f>IFERROR(__xludf.DUMMYFUNCTION("""COMPUTED_VALUE"""),75.0)</f>
        <v>75</v>
      </c>
      <c r="K176" s="23">
        <f>IFERROR(__xludf.DUMMYFUNCTION("""COMPUTED_VALUE"""),8.0)</f>
        <v>8</v>
      </c>
      <c r="L176" s="24">
        <f>IFERROR(__xludf.DUMMYFUNCTION("""COMPUTED_VALUE"""),10.0)</f>
        <v>10</v>
      </c>
      <c r="M176" s="25" t="str">
        <f>IFERROR(__xludf.DUMMYFUNCTION("""COMPUTED_VALUE"""),"Shooter")</f>
        <v>Shooter</v>
      </c>
      <c r="N176" s="25"/>
      <c r="O176" s="26" t="str">
        <f>IFERROR(__xludf.DUMMYFUNCTION("""COMPUTED_VALUE"""),"No")</f>
        <v>No</v>
      </c>
      <c r="P176" s="26"/>
    </row>
    <row r="177">
      <c r="A177" s="13" t="str">
        <f>IFERROR(__xludf.DUMMYFUNCTION("""COMPUTED_VALUE"""),"MotoGP 24")</f>
        <v>MotoGP 24</v>
      </c>
      <c r="B177" s="15" t="str">
        <f>IFERROR(__xludf.DUMMYFUNCTION("""COMPUTED_VALUE"""),"PS5/PS4")</f>
        <v>PS5/PS4</v>
      </c>
      <c r="C177" s="16" t="str">
        <f>IFERROR(__xludf.DUMMYFUNCTION("""COMPUTED_VALUE"""),"Extra")</f>
        <v>Extra</v>
      </c>
      <c r="D177" s="15" t="str">
        <f>IFERROR(__xludf.DUMMYFUNCTION("""COMPUTED_VALUE"""),"Removed")</f>
        <v>Removed</v>
      </c>
      <c r="E177" s="17">
        <f>IFERROR(__xludf.DUMMYFUNCTION("""COMPUTED_VALUE"""),45615.0)</f>
        <v>45615</v>
      </c>
      <c r="F177" s="54">
        <f>IFERROR(__xludf.DUMMYFUNCTION("""COMPUTED_VALUE"""),45796.0)</f>
        <v>45796</v>
      </c>
      <c r="G177" s="19">
        <f>IFERROR(__xludf.DUMMYFUNCTION("""COMPUTED_VALUE"""),6.0)</f>
        <v>6</v>
      </c>
      <c r="H177" s="17">
        <f>IFERROR(__xludf.DUMMYFUNCTION("""COMPUTED_VALUE"""),45414.0)</f>
        <v>45414</v>
      </c>
      <c r="I177" s="19">
        <f>IFERROR(__xludf.DUMMYFUNCTION("""COMPUTED_VALUE"""),0.5472222222222223)</f>
        <v>0.5472222222</v>
      </c>
      <c r="J177" s="21">
        <f>IFERROR(__xludf.DUMMYFUNCTION("""COMPUTED_VALUE"""),76.0)</f>
        <v>76</v>
      </c>
      <c r="K177" s="23">
        <f>IFERROR(__xludf.DUMMYFUNCTION("""COMPUTED_VALUE"""),5.5)</f>
        <v>5.5</v>
      </c>
      <c r="L177" s="24">
        <f>IFERROR(__xludf.DUMMYFUNCTION("""COMPUTED_VALUE"""),16.0)</f>
        <v>16</v>
      </c>
      <c r="M177" s="25" t="str">
        <f>IFERROR(__xludf.DUMMYFUNCTION("""COMPUTED_VALUE"""),"Racing")</f>
        <v>Racing</v>
      </c>
      <c r="N177" s="25"/>
      <c r="O177" s="26" t="str">
        <f>IFERROR(__xludf.DUMMYFUNCTION("""COMPUTED_VALUE"""),"Yes")</f>
        <v>Yes</v>
      </c>
      <c r="P177" s="26"/>
    </row>
    <row r="178">
      <c r="A178" s="13" t="str">
        <f>IFERROR(__xludf.DUMMYFUNCTION("""COMPUTED_VALUE"""),"The Sims 4: Island Living")</f>
        <v>The Sims 4: Island Living</v>
      </c>
      <c r="B178" s="15" t="str">
        <f>IFERROR(__xludf.DUMMYFUNCTION("""COMPUTED_VALUE"""),"PS4")</f>
        <v>PS4</v>
      </c>
      <c r="C178" s="16" t="str">
        <f>IFERROR(__xludf.DUMMYFUNCTION("""COMPUTED_VALUE"""),"Extra")</f>
        <v>Extra</v>
      </c>
      <c r="D178" s="15" t="str">
        <f>IFERROR(__xludf.DUMMYFUNCTION("""COMPUTED_VALUE"""),"Removed")</f>
        <v>Removed</v>
      </c>
      <c r="E178" s="17">
        <f>IFERROR(__xludf.DUMMYFUNCTION("""COMPUTED_VALUE"""),45615.0)</f>
        <v>45615</v>
      </c>
      <c r="F178" s="54">
        <f>IFERROR(__xludf.DUMMYFUNCTION("""COMPUTED_VALUE"""),45796.0)</f>
        <v>45796</v>
      </c>
      <c r="G178" s="19">
        <f>IFERROR(__xludf.DUMMYFUNCTION("""COMPUTED_VALUE"""),6.0)</f>
        <v>6</v>
      </c>
      <c r="H178" s="17">
        <f>IFERROR(__xludf.DUMMYFUNCTION("""COMPUTED_VALUE"""),43637.0)</f>
        <v>43637</v>
      </c>
      <c r="I178" s="19">
        <f>IFERROR(__xludf.DUMMYFUNCTION("""COMPUTED_VALUE"""),5.411111111111111)</f>
        <v>5.411111111</v>
      </c>
      <c r="J178" s="21">
        <f>IFERROR(__xludf.DUMMYFUNCTION("""COMPUTED_VALUE"""),84.0)</f>
        <v>84</v>
      </c>
      <c r="K178" s="23">
        <f>IFERROR(__xludf.DUMMYFUNCTION("""COMPUTED_VALUE"""),4.7)</f>
        <v>4.7</v>
      </c>
      <c r="L178" s="24"/>
      <c r="M178" s="25" t="str">
        <f>IFERROR(__xludf.DUMMYFUNCTION("""COMPUTED_VALUE"""),"Simulation")</f>
        <v>Simulation</v>
      </c>
      <c r="N178" s="25"/>
      <c r="O178" s="26" t="str">
        <f>IFERROR(__xludf.DUMMYFUNCTION("""COMPUTED_VALUE"""),"No")</f>
        <v>No</v>
      </c>
      <c r="P178" s="26"/>
    </row>
    <row r="179">
      <c r="A179" s="13" t="str">
        <f>IFERROR(__xludf.DUMMYFUNCTION("""COMPUTED_VALUE"""),"Resistance: Fall of Man")</f>
        <v>Resistance: Fall of Man</v>
      </c>
      <c r="B179" s="15" t="str">
        <f>IFERROR(__xludf.DUMMYFUNCTION("""COMPUTED_VALUE"""),"PS5/PS4")</f>
        <v>PS5/PS4</v>
      </c>
      <c r="C179" s="16" t="str">
        <f>IFERROR(__xludf.DUMMYFUNCTION("""COMPUTED_VALUE"""),"Premium (Streaming Only)")</f>
        <v>Premium (Streaming Only)</v>
      </c>
      <c r="D179" s="15" t="str">
        <f>IFERROR(__xludf.DUMMYFUNCTION("""COMPUTED_VALUE"""),"Removed")</f>
        <v>Removed</v>
      </c>
      <c r="E179" s="17">
        <f>IFERROR(__xludf.DUMMYFUNCTION("""COMPUTED_VALUE"""),45615.0)</f>
        <v>45615</v>
      </c>
      <c r="F179" s="54">
        <f>IFERROR(__xludf.DUMMYFUNCTION("""COMPUTED_VALUE"""),45796.0)</f>
        <v>45796</v>
      </c>
      <c r="G179" s="19">
        <f>IFERROR(__xludf.DUMMYFUNCTION("""COMPUTED_VALUE"""),6.0)</f>
        <v>6</v>
      </c>
      <c r="H179" s="17">
        <f>IFERROR(__xludf.DUMMYFUNCTION("""COMPUTED_VALUE"""),39035.0)</f>
        <v>39035</v>
      </c>
      <c r="I179" s="19">
        <f>IFERROR(__xludf.DUMMYFUNCTION("""COMPUTED_VALUE"""),18.01388888888889)</f>
        <v>18.01388889</v>
      </c>
      <c r="J179" s="21">
        <f>IFERROR(__xludf.DUMMYFUNCTION("""COMPUTED_VALUE"""),86.0)</f>
        <v>86</v>
      </c>
      <c r="K179" s="23">
        <f>IFERROR(__xludf.DUMMYFUNCTION("""COMPUTED_VALUE"""),7.7)</f>
        <v>7.7</v>
      </c>
      <c r="L179" s="24">
        <f>IFERROR(__xludf.DUMMYFUNCTION("""COMPUTED_VALUE"""),12.0)</f>
        <v>12</v>
      </c>
      <c r="M179" s="25" t="str">
        <f>IFERROR(__xludf.DUMMYFUNCTION("""COMPUTED_VALUE"""),"Shooter")</f>
        <v>Shooter</v>
      </c>
      <c r="N179" s="25" t="str">
        <f>IFERROR(__xludf.DUMMYFUNCTION("""COMPUTED_VALUE"""),"PS3")</f>
        <v>PS3</v>
      </c>
      <c r="O179" s="26" t="str">
        <f>IFERROR(__xludf.DUMMYFUNCTION("""COMPUTED_VALUE"""),"Yes")</f>
        <v>Yes</v>
      </c>
      <c r="P179" s="26"/>
    </row>
    <row r="180">
      <c r="A180" s="13" t="str">
        <f>IFERROR(__xludf.DUMMYFUNCTION("""COMPUTED_VALUE"""),"Resistance 2")</f>
        <v>Resistance 2</v>
      </c>
      <c r="B180" s="15" t="str">
        <f>IFERROR(__xludf.DUMMYFUNCTION("""COMPUTED_VALUE"""),"PS5/PS4")</f>
        <v>PS5/PS4</v>
      </c>
      <c r="C180" s="16" t="str">
        <f>IFERROR(__xludf.DUMMYFUNCTION("""COMPUTED_VALUE"""),"Premium (Streaming Only)")</f>
        <v>Premium (Streaming Only)</v>
      </c>
      <c r="D180" s="15" t="str">
        <f>IFERROR(__xludf.DUMMYFUNCTION("""COMPUTED_VALUE"""),"Removed")</f>
        <v>Removed</v>
      </c>
      <c r="E180" s="17">
        <f>IFERROR(__xludf.DUMMYFUNCTION("""COMPUTED_VALUE"""),45615.0)</f>
        <v>45615</v>
      </c>
      <c r="F180" s="54">
        <f>IFERROR(__xludf.DUMMYFUNCTION("""COMPUTED_VALUE"""),45796.0)</f>
        <v>45796</v>
      </c>
      <c r="G180" s="19">
        <f>IFERROR(__xludf.DUMMYFUNCTION("""COMPUTED_VALUE"""),6.0)</f>
        <v>6</v>
      </c>
      <c r="H180" s="17">
        <f>IFERROR(__xludf.DUMMYFUNCTION("""COMPUTED_VALUE"""),39756.0)</f>
        <v>39756</v>
      </c>
      <c r="I180" s="19">
        <f>IFERROR(__xludf.DUMMYFUNCTION("""COMPUTED_VALUE"""),16.041666666666668)</f>
        <v>16.04166667</v>
      </c>
      <c r="J180" s="21">
        <f>IFERROR(__xludf.DUMMYFUNCTION("""COMPUTED_VALUE"""),87.0)</f>
        <v>87</v>
      </c>
      <c r="K180" s="23">
        <f>IFERROR(__xludf.DUMMYFUNCTION("""COMPUTED_VALUE"""),7.5)</f>
        <v>7.5</v>
      </c>
      <c r="L180" s="24">
        <f>IFERROR(__xludf.DUMMYFUNCTION("""COMPUTED_VALUE"""),10.0)</f>
        <v>10</v>
      </c>
      <c r="M180" s="25" t="str">
        <f>IFERROR(__xludf.DUMMYFUNCTION("""COMPUTED_VALUE"""),"Shooter")</f>
        <v>Shooter</v>
      </c>
      <c r="N180" s="25" t="str">
        <f>IFERROR(__xludf.DUMMYFUNCTION("""COMPUTED_VALUE"""),"PS3")</f>
        <v>PS3</v>
      </c>
      <c r="O180" s="26" t="str">
        <f>IFERROR(__xludf.DUMMYFUNCTION("""COMPUTED_VALUE"""),"Yes")</f>
        <v>Yes</v>
      </c>
      <c r="P180" s="26"/>
    </row>
    <row r="181">
      <c r="A181" s="13" t="str">
        <f>IFERROR(__xludf.DUMMYFUNCTION("""COMPUTED_VALUE"""),"Ghostbusters: Rise of the Ghost Lord")</f>
        <v>Ghostbusters: Rise of the Ghost Lord</v>
      </c>
      <c r="B181" s="15" t="str">
        <f>IFERROR(__xludf.DUMMYFUNCTION("""COMPUTED_VALUE"""),"PS5/PSVR2")</f>
        <v>PS5/PSVR2</v>
      </c>
      <c r="C181" s="16" t="str">
        <f>IFERROR(__xludf.DUMMYFUNCTION("""COMPUTED_VALUE"""),"Premium (VR)")</f>
        <v>Premium (VR)</v>
      </c>
      <c r="D181" s="15" t="str">
        <f>IFERROR(__xludf.DUMMYFUNCTION("""COMPUTED_VALUE"""),"Removed")</f>
        <v>Removed</v>
      </c>
      <c r="E181" s="17">
        <f>IFERROR(__xludf.DUMMYFUNCTION("""COMPUTED_VALUE"""),45449.0)</f>
        <v>45449</v>
      </c>
      <c r="F181" s="54">
        <f>IFERROR(__xludf.DUMMYFUNCTION("""COMPUTED_VALUE"""),45796.0)</f>
        <v>45796</v>
      </c>
      <c r="G181" s="19">
        <f>IFERROR(__xludf.DUMMYFUNCTION("""COMPUTED_VALUE"""),11.433333333333334)</f>
        <v>11.43333333</v>
      </c>
      <c r="H181" s="17">
        <f>IFERROR(__xludf.DUMMYFUNCTION("""COMPUTED_VALUE"""),45225.0)</f>
        <v>45225</v>
      </c>
      <c r="I181" s="19">
        <f>IFERROR(__xludf.DUMMYFUNCTION("""COMPUTED_VALUE"""),0.6111111111111112)</f>
        <v>0.6111111111</v>
      </c>
      <c r="J181" s="21">
        <f>IFERROR(__xludf.DUMMYFUNCTION("""COMPUTED_VALUE"""),64.0)</f>
        <v>64</v>
      </c>
      <c r="K181" s="23">
        <f>IFERROR(__xludf.DUMMYFUNCTION("""COMPUTED_VALUE"""),4.2)</f>
        <v>4.2</v>
      </c>
      <c r="L181" s="24">
        <f>IFERROR(__xludf.DUMMYFUNCTION("""COMPUTED_VALUE"""),7.0)</f>
        <v>7</v>
      </c>
      <c r="M181" s="25" t="str">
        <f>IFERROR(__xludf.DUMMYFUNCTION("""COMPUTED_VALUE"""),"Shooter")</f>
        <v>Shooter</v>
      </c>
      <c r="N181" s="25" t="str">
        <f>IFERROR(__xludf.DUMMYFUNCTION("""COMPUTED_VALUE"""),"PSVR2")</f>
        <v>PSVR2</v>
      </c>
      <c r="O181" s="26" t="str">
        <f>IFERROR(__xludf.DUMMYFUNCTION("""COMPUTED_VALUE"""),"No")</f>
        <v>No</v>
      </c>
      <c r="P181" s="26"/>
    </row>
    <row r="182">
      <c r="A182" s="13" t="str">
        <f>IFERROR(__xludf.DUMMYFUNCTION("""COMPUTED_VALUE"""),"Walkabout Mini Golf")</f>
        <v>Walkabout Mini Golf</v>
      </c>
      <c r="B182" s="15" t="str">
        <f>IFERROR(__xludf.DUMMYFUNCTION("""COMPUTED_VALUE"""),"PS5/PSVR2")</f>
        <v>PS5/PSVR2</v>
      </c>
      <c r="C182" s="16" t="str">
        <f>IFERROR(__xludf.DUMMYFUNCTION("""COMPUTED_VALUE"""),"Premium (VR)")</f>
        <v>Premium (VR)</v>
      </c>
      <c r="D182" s="15" t="str">
        <f>IFERROR(__xludf.DUMMYFUNCTION("""COMPUTED_VALUE"""),"Removed")</f>
        <v>Removed</v>
      </c>
      <c r="E182" s="17">
        <f>IFERROR(__xludf.DUMMYFUNCTION("""COMPUTED_VALUE"""),45449.0)</f>
        <v>45449</v>
      </c>
      <c r="F182" s="54">
        <f>IFERROR(__xludf.DUMMYFUNCTION("""COMPUTED_VALUE"""),45796.0)</f>
        <v>45796</v>
      </c>
      <c r="G182" s="19">
        <f>IFERROR(__xludf.DUMMYFUNCTION("""COMPUTED_VALUE"""),11.433333333333334)</f>
        <v>11.43333333</v>
      </c>
      <c r="H182" s="17">
        <f>IFERROR(__xludf.DUMMYFUNCTION("""COMPUTED_VALUE"""),45057.0)</f>
        <v>45057</v>
      </c>
      <c r="I182" s="19">
        <f>IFERROR(__xludf.DUMMYFUNCTION("""COMPUTED_VALUE"""),1.0694444444444444)</f>
        <v>1.069444444</v>
      </c>
      <c r="J182" s="21">
        <f>IFERROR(__xludf.DUMMYFUNCTION("""COMPUTED_VALUE"""),90.0)</f>
        <v>90</v>
      </c>
      <c r="K182" s="23">
        <f>IFERROR(__xludf.DUMMYFUNCTION("""COMPUTED_VALUE"""),7.4)</f>
        <v>7.4</v>
      </c>
      <c r="L182" s="24">
        <f>IFERROR(__xludf.DUMMYFUNCTION("""COMPUTED_VALUE"""),18.0)</f>
        <v>18</v>
      </c>
      <c r="M182" s="25" t="str">
        <f>IFERROR(__xludf.DUMMYFUNCTION("""COMPUTED_VALUE"""),"Sports")</f>
        <v>Sports</v>
      </c>
      <c r="N182" s="25" t="str">
        <f>IFERROR(__xludf.DUMMYFUNCTION("""COMPUTED_VALUE"""),"PSVR2")</f>
        <v>PSVR2</v>
      </c>
      <c r="O182" s="26" t="str">
        <f>IFERROR(__xludf.DUMMYFUNCTION("""COMPUTED_VALUE"""),"No")</f>
        <v>No</v>
      </c>
      <c r="P182" s="26"/>
    </row>
    <row r="183">
      <c r="A183" s="13" t="str">
        <f>IFERROR(__xludf.DUMMYFUNCTION("""COMPUTED_VALUE"""),"Synth Riders")</f>
        <v>Synth Riders</v>
      </c>
      <c r="B183" s="15" t="str">
        <f>IFERROR(__xludf.DUMMYFUNCTION("""COMPUTED_VALUE"""),"PS5/PSVR2")</f>
        <v>PS5/PSVR2</v>
      </c>
      <c r="C183" s="16" t="str">
        <f>IFERROR(__xludf.DUMMYFUNCTION("""COMPUTED_VALUE"""),"Premium (VR)")</f>
        <v>Premium (VR)</v>
      </c>
      <c r="D183" s="15" t="str">
        <f>IFERROR(__xludf.DUMMYFUNCTION("""COMPUTED_VALUE"""),"Removed")</f>
        <v>Removed</v>
      </c>
      <c r="E183" s="17">
        <f>IFERROR(__xludf.DUMMYFUNCTION("""COMPUTED_VALUE"""),45449.0)</f>
        <v>45449</v>
      </c>
      <c r="F183" s="54">
        <f>IFERROR(__xludf.DUMMYFUNCTION("""COMPUTED_VALUE"""),45796.0)</f>
        <v>45796</v>
      </c>
      <c r="G183" s="19">
        <f>IFERROR(__xludf.DUMMYFUNCTION("""COMPUTED_VALUE"""),11.433333333333334)</f>
        <v>11.43333333</v>
      </c>
      <c r="H183" s="17">
        <f>IFERROR(__xludf.DUMMYFUNCTION("""COMPUTED_VALUE"""),44404.0)</f>
        <v>44404</v>
      </c>
      <c r="I183" s="19">
        <f>IFERROR(__xludf.DUMMYFUNCTION("""COMPUTED_VALUE"""),2.8583333333333334)</f>
        <v>2.858333333</v>
      </c>
      <c r="J183" s="21">
        <f>IFERROR(__xludf.DUMMYFUNCTION("""COMPUTED_VALUE"""),89.0)</f>
        <v>89</v>
      </c>
      <c r="K183" s="23">
        <f>IFERROR(__xludf.DUMMYFUNCTION("""COMPUTED_VALUE"""),6.3)</f>
        <v>6.3</v>
      </c>
      <c r="L183" s="24">
        <f>IFERROR(__xludf.DUMMYFUNCTION("""COMPUTED_VALUE"""),6.0)</f>
        <v>6</v>
      </c>
      <c r="M183" s="25" t="str">
        <f>IFERROR(__xludf.DUMMYFUNCTION("""COMPUTED_VALUE"""),"Music")</f>
        <v>Music</v>
      </c>
      <c r="N183" s="25" t="str">
        <f>IFERROR(__xludf.DUMMYFUNCTION("""COMPUTED_VALUE"""),"PSVR2")</f>
        <v>PSVR2</v>
      </c>
      <c r="O183" s="26" t="str">
        <f>IFERROR(__xludf.DUMMYFUNCTION("""COMPUTED_VALUE"""),"No")</f>
        <v>No</v>
      </c>
      <c r="P183" s="26"/>
    </row>
    <row r="184">
      <c r="A184" s="13" t="str">
        <f>IFERROR(__xludf.DUMMYFUNCTION("""COMPUTED_VALUE"""),"Before Your Eyes")</f>
        <v>Before Your Eyes</v>
      </c>
      <c r="B184" s="15" t="str">
        <f>IFERROR(__xludf.DUMMYFUNCTION("""COMPUTED_VALUE"""),"PS5/PSVR2")</f>
        <v>PS5/PSVR2</v>
      </c>
      <c r="C184" s="16" t="str">
        <f>IFERROR(__xludf.DUMMYFUNCTION("""COMPUTED_VALUE"""),"Premium (VR)")</f>
        <v>Premium (VR)</v>
      </c>
      <c r="D184" s="15" t="str">
        <f>IFERROR(__xludf.DUMMYFUNCTION("""COMPUTED_VALUE"""),"Removed")</f>
        <v>Removed</v>
      </c>
      <c r="E184" s="17">
        <f>IFERROR(__xludf.DUMMYFUNCTION("""COMPUTED_VALUE"""),45449.0)</f>
        <v>45449</v>
      </c>
      <c r="F184" s="54">
        <f>IFERROR(__xludf.DUMMYFUNCTION("""COMPUTED_VALUE"""),45796.0)</f>
        <v>45796</v>
      </c>
      <c r="G184" s="19">
        <f>IFERROR(__xludf.DUMMYFUNCTION("""COMPUTED_VALUE"""),11.433333333333334)</f>
        <v>11.43333333</v>
      </c>
      <c r="H184" s="17">
        <f>IFERROR(__xludf.DUMMYFUNCTION("""COMPUTED_VALUE"""),44294.0)</f>
        <v>44294</v>
      </c>
      <c r="I184" s="19">
        <f>IFERROR(__xludf.DUMMYFUNCTION("""COMPUTED_VALUE"""),3.161111111111111)</f>
        <v>3.161111111</v>
      </c>
      <c r="J184" s="21">
        <f>IFERROR(__xludf.DUMMYFUNCTION("""COMPUTED_VALUE"""),77.0)</f>
        <v>77</v>
      </c>
      <c r="K184" s="23">
        <f>IFERROR(__xludf.DUMMYFUNCTION("""COMPUTED_VALUE"""),8.5)</f>
        <v>8.5</v>
      </c>
      <c r="L184" s="24">
        <f>IFERROR(__xludf.DUMMYFUNCTION("""COMPUTED_VALUE"""),2.0)</f>
        <v>2</v>
      </c>
      <c r="M184" s="25" t="str">
        <f>IFERROR(__xludf.DUMMYFUNCTION("""COMPUTED_VALUE"""),"Action-Adventure")</f>
        <v>Action-Adventure</v>
      </c>
      <c r="N184" s="25" t="str">
        <f>IFERROR(__xludf.DUMMYFUNCTION("""COMPUTED_VALUE"""),"PSVR2")</f>
        <v>PSVR2</v>
      </c>
      <c r="O184" s="26" t="str">
        <f>IFERROR(__xludf.DUMMYFUNCTION("""COMPUTED_VALUE"""),"No")</f>
        <v>No</v>
      </c>
      <c r="P184" s="26"/>
    </row>
    <row r="185">
      <c r="A185" s="13" t="str">
        <f>IFERROR(__xludf.DUMMYFUNCTION("""COMPUTED_VALUE"""),"The Walking Dead: Saints &amp; Sinners - Chapters 1 &amp; 2 ")</f>
        <v>The Walking Dead: Saints &amp; Sinners - Chapters 1 &amp; 2 </v>
      </c>
      <c r="B185" s="15" t="str">
        <f>IFERROR(__xludf.DUMMYFUNCTION("""COMPUTED_VALUE"""),"PS5/PSVR2")</f>
        <v>PS5/PSVR2</v>
      </c>
      <c r="C185" s="16" t="str">
        <f>IFERROR(__xludf.DUMMYFUNCTION("""COMPUTED_VALUE"""),"Premium (VR)")</f>
        <v>Premium (VR)</v>
      </c>
      <c r="D185" s="15" t="str">
        <f>IFERROR(__xludf.DUMMYFUNCTION("""COMPUTED_VALUE"""),"Removed")</f>
        <v>Removed</v>
      </c>
      <c r="E185" s="17">
        <f>IFERROR(__xludf.DUMMYFUNCTION("""COMPUTED_VALUE"""),45449.0)</f>
        <v>45449</v>
      </c>
      <c r="F185" s="54">
        <f>IFERROR(__xludf.DUMMYFUNCTION("""COMPUTED_VALUE"""),45796.0)</f>
        <v>45796</v>
      </c>
      <c r="G185" s="19">
        <f>IFERROR(__xludf.DUMMYFUNCTION("""COMPUTED_VALUE"""),11.433333333333334)</f>
        <v>11.43333333</v>
      </c>
      <c r="H185" s="17">
        <f>IFERROR(__xludf.DUMMYFUNCTION("""COMPUTED_VALUE"""),43853.0)</f>
        <v>43853</v>
      </c>
      <c r="I185" s="19">
        <f>IFERROR(__xludf.DUMMYFUNCTION("""COMPUTED_VALUE"""),4.3694444444444445)</f>
        <v>4.369444444</v>
      </c>
      <c r="J185" s="21">
        <f>IFERROR(__xludf.DUMMYFUNCTION("""COMPUTED_VALUE"""),77.0)</f>
        <v>77</v>
      </c>
      <c r="K185" s="23">
        <f>IFERROR(__xludf.DUMMYFUNCTION("""COMPUTED_VALUE"""),8.1)</f>
        <v>8.1</v>
      </c>
      <c r="L185" s="24">
        <f>IFERROR(__xludf.DUMMYFUNCTION("""COMPUTED_VALUE"""),25.0)</f>
        <v>25</v>
      </c>
      <c r="M185" s="25" t="str">
        <f>IFERROR(__xludf.DUMMYFUNCTION("""COMPUTED_VALUE"""),"Shooter")</f>
        <v>Shooter</v>
      </c>
      <c r="N185" s="25" t="str">
        <f>IFERROR(__xludf.DUMMYFUNCTION("""COMPUTED_VALUE"""),"PSVR2")</f>
        <v>PSVR2</v>
      </c>
      <c r="O185" s="26" t="str">
        <f>IFERROR(__xludf.DUMMYFUNCTION("""COMPUTED_VALUE"""),"No")</f>
        <v>No</v>
      </c>
      <c r="P185" s="26"/>
    </row>
    <row r="186">
      <c r="A186" s="13" t="str">
        <f>IFERROR(__xludf.DUMMYFUNCTION("""COMPUTED_VALUE"""),"LEGO Marvel Super Heroes 2")</f>
        <v>LEGO Marvel Super Heroes 2</v>
      </c>
      <c r="B186" s="15" t="str">
        <f>IFERROR(__xludf.DUMMYFUNCTION("""COMPUTED_VALUE"""),"PS4")</f>
        <v>PS4</v>
      </c>
      <c r="C186" s="16" t="str">
        <f>IFERROR(__xludf.DUMMYFUNCTION("""COMPUTED_VALUE"""),"Extra")</f>
        <v>Extra</v>
      </c>
      <c r="D186" s="15" t="str">
        <f>IFERROR(__xludf.DUMMYFUNCTION("""COMPUTED_VALUE"""),"Removed")</f>
        <v>Removed</v>
      </c>
      <c r="E186" s="17">
        <f>IFERROR(__xludf.DUMMYFUNCTION("""COMPUTED_VALUE"""),45443.0)</f>
        <v>45443</v>
      </c>
      <c r="F186" s="71">
        <f>IFERROR(__xludf.DUMMYFUNCTION("""COMPUTED_VALUE"""),45796.0)</f>
        <v>45796</v>
      </c>
      <c r="G186" s="19">
        <f>IFERROR(__xludf.DUMMYFUNCTION("""COMPUTED_VALUE"""),11.633333333333333)</f>
        <v>11.63333333</v>
      </c>
      <c r="H186" s="17">
        <f>IFERROR(__xludf.DUMMYFUNCTION("""COMPUTED_VALUE"""),43053.0)</f>
        <v>43053</v>
      </c>
      <c r="I186" s="19">
        <f>IFERROR(__xludf.DUMMYFUNCTION("""COMPUTED_VALUE"""),6.544444444444444)</f>
        <v>6.544444444</v>
      </c>
      <c r="J186" s="21">
        <f>IFERROR(__xludf.DUMMYFUNCTION("""COMPUTED_VALUE"""),73.0)</f>
        <v>73</v>
      </c>
      <c r="K186" s="23">
        <f>IFERROR(__xludf.DUMMYFUNCTION("""COMPUTED_VALUE"""),6.9)</f>
        <v>6.9</v>
      </c>
      <c r="L186" s="24">
        <f>IFERROR(__xludf.DUMMYFUNCTION("""COMPUTED_VALUE"""),13.0)</f>
        <v>13</v>
      </c>
      <c r="M186" s="25" t="str">
        <f>IFERROR(__xludf.DUMMYFUNCTION("""COMPUTED_VALUE"""),"Platformer")</f>
        <v>Platformer</v>
      </c>
      <c r="N186" s="25"/>
      <c r="O186" s="26" t="str">
        <f>IFERROR(__xludf.DUMMYFUNCTION("""COMPUTED_VALUE"""),"Yes")</f>
        <v>Yes</v>
      </c>
      <c r="P186" s="26"/>
    </row>
    <row r="187">
      <c r="A187" s="13" t="str">
        <f>IFERROR(__xludf.DUMMYFUNCTION("""COMPUTED_VALUE"""),"Stranded: Alien Dawn")</f>
        <v>Stranded: Alien Dawn</v>
      </c>
      <c r="B187" s="15" t="str">
        <f>IFERROR(__xludf.DUMMYFUNCTION("""COMPUTED_VALUE"""),"PS5/PS4")</f>
        <v>PS5/PS4</v>
      </c>
      <c r="C187" s="16" t="str">
        <f>IFERROR(__xludf.DUMMYFUNCTION("""COMPUTED_VALUE"""),"Extra")</f>
        <v>Extra</v>
      </c>
      <c r="D187" s="15" t="str">
        <f>IFERROR(__xludf.DUMMYFUNCTION("""COMPUTED_VALUE"""),"Removed")</f>
        <v>Removed</v>
      </c>
      <c r="E187" s="17">
        <f>IFERROR(__xludf.DUMMYFUNCTION("""COMPUTED_VALUE"""),45433.0)</f>
        <v>45433</v>
      </c>
      <c r="F187" s="54">
        <f>IFERROR(__xludf.DUMMYFUNCTION("""COMPUTED_VALUE"""),45796.0)</f>
        <v>45796</v>
      </c>
      <c r="G187" s="19">
        <f>IFERROR(__xludf.DUMMYFUNCTION("""COMPUTED_VALUE"""),11.933333333333334)</f>
        <v>11.93333333</v>
      </c>
      <c r="H187" s="17">
        <f>IFERROR(__xludf.DUMMYFUNCTION("""COMPUTED_VALUE"""),45041.0)</f>
        <v>45041</v>
      </c>
      <c r="I187" s="19">
        <f>IFERROR(__xludf.DUMMYFUNCTION("""COMPUTED_VALUE"""),1.0722222222222222)</f>
        <v>1.072222222</v>
      </c>
      <c r="J187" s="21">
        <f>IFERROR(__xludf.DUMMYFUNCTION("""COMPUTED_VALUE"""),81.0)</f>
        <v>81</v>
      </c>
      <c r="K187" s="23">
        <f>IFERROR(__xludf.DUMMYFUNCTION("""COMPUTED_VALUE"""),6.1)</f>
        <v>6.1</v>
      </c>
      <c r="L187" s="24">
        <f>IFERROR(__xludf.DUMMYFUNCTION("""COMPUTED_VALUE"""),8.0)</f>
        <v>8</v>
      </c>
      <c r="M187" s="25" t="str">
        <f>IFERROR(__xludf.DUMMYFUNCTION("""COMPUTED_VALUE"""),"Strategy")</f>
        <v>Strategy</v>
      </c>
      <c r="N187" s="25"/>
      <c r="O187" s="26" t="str">
        <f>IFERROR(__xludf.DUMMYFUNCTION("""COMPUTED_VALUE"""),"Yes")</f>
        <v>Yes</v>
      </c>
      <c r="P187" s="26"/>
    </row>
    <row r="188">
      <c r="A188" s="13" t="str">
        <f>IFERROR(__xludf.DUMMYFUNCTION("""COMPUTED_VALUE"""),"The LEGO Movie 2 Videogame")</f>
        <v>The LEGO Movie 2 Videogame</v>
      </c>
      <c r="B188" s="15" t="str">
        <f>IFERROR(__xludf.DUMMYFUNCTION("""COMPUTED_VALUE"""),"PS4")</f>
        <v>PS4</v>
      </c>
      <c r="C188" s="16" t="str">
        <f>IFERROR(__xludf.DUMMYFUNCTION("""COMPUTED_VALUE"""),"Extra")</f>
        <v>Extra</v>
      </c>
      <c r="D188" s="15" t="str">
        <f>IFERROR(__xludf.DUMMYFUNCTION("""COMPUTED_VALUE"""),"Removed")</f>
        <v>Removed</v>
      </c>
      <c r="E188" s="17">
        <f>IFERROR(__xludf.DUMMYFUNCTION("""COMPUTED_VALUE"""),45433.0)</f>
        <v>45433</v>
      </c>
      <c r="F188" s="54">
        <f>IFERROR(__xludf.DUMMYFUNCTION("""COMPUTED_VALUE"""),45796.0)</f>
        <v>45796</v>
      </c>
      <c r="G188" s="19">
        <f>IFERROR(__xludf.DUMMYFUNCTION("""COMPUTED_VALUE"""),11.933333333333334)</f>
        <v>11.93333333</v>
      </c>
      <c r="H188" s="17">
        <f>IFERROR(__xludf.DUMMYFUNCTION("""COMPUTED_VALUE"""),43522.0)</f>
        <v>43522</v>
      </c>
      <c r="I188" s="19">
        <f>IFERROR(__xludf.DUMMYFUNCTION("""COMPUTED_VALUE"""),5.236111111111111)</f>
        <v>5.236111111</v>
      </c>
      <c r="J188" s="21">
        <f>IFERROR(__xludf.DUMMYFUNCTION("""COMPUTED_VALUE"""),57.0)</f>
        <v>57</v>
      </c>
      <c r="K188" s="23">
        <f>IFERROR(__xludf.DUMMYFUNCTION("""COMPUTED_VALUE"""),3.5)</f>
        <v>3.5</v>
      </c>
      <c r="L188" s="24">
        <f>IFERROR(__xludf.DUMMYFUNCTION("""COMPUTED_VALUE"""),6.0)</f>
        <v>6</v>
      </c>
      <c r="M188" s="25" t="str">
        <f>IFERROR(__xludf.DUMMYFUNCTION("""COMPUTED_VALUE"""),"Action-Adventure")</f>
        <v>Action-Adventure</v>
      </c>
      <c r="N188" s="25"/>
      <c r="O188" s="26" t="str">
        <f>IFERROR(__xludf.DUMMYFUNCTION("""COMPUTED_VALUE"""),"Yes")</f>
        <v>Yes</v>
      </c>
      <c r="P188" s="26"/>
    </row>
    <row r="189">
      <c r="A189" s="13" t="str">
        <f>IFERROR(__xludf.DUMMYFUNCTION("""COMPUTED_VALUE"""),"Enter The Gungeon")</f>
        <v>Enter The Gungeon</v>
      </c>
      <c r="B189" s="15" t="str">
        <f>IFERROR(__xludf.DUMMYFUNCTION("""COMPUTED_VALUE"""),"PS4")</f>
        <v>PS4</v>
      </c>
      <c r="C189" s="16" t="str">
        <f>IFERROR(__xludf.DUMMYFUNCTION("""COMPUTED_VALUE"""),"Extra")</f>
        <v>Extra</v>
      </c>
      <c r="D189" s="15" t="str">
        <f>IFERROR(__xludf.DUMMYFUNCTION("""COMPUTED_VALUE"""),"Removed")</f>
        <v>Removed</v>
      </c>
      <c r="E189" s="17">
        <f>IFERROR(__xludf.DUMMYFUNCTION("""COMPUTED_VALUE"""),44725.0)</f>
        <v>44725</v>
      </c>
      <c r="F189" s="54">
        <f>IFERROR(__xludf.DUMMYFUNCTION("""COMPUTED_VALUE"""),45796.0)</f>
        <v>45796</v>
      </c>
      <c r="G189" s="19">
        <f>IFERROR(__xludf.DUMMYFUNCTION("""COMPUTED_VALUE"""),35.199999999999996)</f>
        <v>35.2</v>
      </c>
      <c r="H189" s="17">
        <f>IFERROR(__xludf.DUMMYFUNCTION("""COMPUTED_VALUE"""),42465.0)</f>
        <v>42465</v>
      </c>
      <c r="I189" s="19">
        <f>IFERROR(__xludf.DUMMYFUNCTION("""COMPUTED_VALUE"""),6.188888888888889)</f>
        <v>6.188888889</v>
      </c>
      <c r="J189" s="21">
        <f>IFERROR(__xludf.DUMMYFUNCTION("""COMPUTED_VALUE"""),85.0)</f>
        <v>85</v>
      </c>
      <c r="K189" s="23">
        <f>IFERROR(__xludf.DUMMYFUNCTION("""COMPUTED_VALUE"""),8.2)</f>
        <v>8.2</v>
      </c>
      <c r="L189" s="24">
        <f>IFERROR(__xludf.DUMMYFUNCTION("""COMPUTED_VALUE"""),21.5)</f>
        <v>21.5</v>
      </c>
      <c r="M189" s="25" t="str">
        <f>IFERROR(__xludf.DUMMYFUNCTION("""COMPUTED_VALUE"""),"Action-Adventure")</f>
        <v>Action-Adventure</v>
      </c>
      <c r="N189" s="25"/>
      <c r="O189" s="26" t="str">
        <f>IFERROR(__xludf.DUMMYFUNCTION("""COMPUTED_VALUE"""),"Yes")</f>
        <v>Yes</v>
      </c>
      <c r="P189" s="26" t="str">
        <f>IFERROR(__xludf.DUMMYFUNCTION("""COMPUTED_VALUE"""),"Yes")</f>
        <v>Yes</v>
      </c>
    </row>
    <row r="190">
      <c r="A190" s="13" t="str">
        <f>IFERROR(__xludf.DUMMYFUNCTION("""COMPUTED_VALUE"""),"Portal Knights")</f>
        <v>Portal Knights</v>
      </c>
      <c r="B190" s="15" t="str">
        <f>IFERROR(__xludf.DUMMYFUNCTION("""COMPUTED_VALUE"""),"PS4")</f>
        <v>PS4</v>
      </c>
      <c r="C190" s="16" t="str">
        <f>IFERROR(__xludf.DUMMYFUNCTION("""COMPUTED_VALUE"""),"Extra")</f>
        <v>Extra</v>
      </c>
      <c r="D190" s="15" t="str">
        <f>IFERROR(__xludf.DUMMYFUNCTION("""COMPUTED_VALUE"""),"Removed")</f>
        <v>Removed</v>
      </c>
      <c r="E190" s="17">
        <f>IFERROR(__xludf.DUMMYFUNCTION("""COMPUTED_VALUE"""),44725.0)</f>
        <v>44725</v>
      </c>
      <c r="F190" s="54">
        <f>IFERROR(__xludf.DUMMYFUNCTION("""COMPUTED_VALUE"""),45796.0)</f>
        <v>45796</v>
      </c>
      <c r="G190" s="19">
        <f>IFERROR(__xludf.DUMMYFUNCTION("""COMPUTED_VALUE"""),35.199999999999996)</f>
        <v>35.2</v>
      </c>
      <c r="H190" s="17">
        <f>IFERROR(__xludf.DUMMYFUNCTION("""COMPUTED_VALUE"""),42425.0)</f>
        <v>42425</v>
      </c>
      <c r="I190" s="19">
        <f>IFERROR(__xludf.DUMMYFUNCTION("""COMPUTED_VALUE"""),6.3)</f>
        <v>6.3</v>
      </c>
      <c r="J190" s="21">
        <f>IFERROR(__xludf.DUMMYFUNCTION("""COMPUTED_VALUE"""),72.0)</f>
        <v>72</v>
      </c>
      <c r="K190" s="23">
        <f>IFERROR(__xludf.DUMMYFUNCTION("""COMPUTED_VALUE"""),7.0)</f>
        <v>7</v>
      </c>
      <c r="L190" s="24">
        <f>IFERROR(__xludf.DUMMYFUNCTION("""COMPUTED_VALUE"""),22.0)</f>
        <v>22</v>
      </c>
      <c r="M190" s="25" t="str">
        <f>IFERROR(__xludf.DUMMYFUNCTION("""COMPUTED_VALUE"""),"RPG")</f>
        <v>RPG</v>
      </c>
      <c r="N190" s="25"/>
      <c r="O190" s="26" t="str">
        <f>IFERROR(__xludf.DUMMYFUNCTION("""COMPUTED_VALUE"""),"Yes")</f>
        <v>Yes</v>
      </c>
      <c r="P190" s="26" t="str">
        <f>IFERROR(__xludf.DUMMYFUNCTION("""COMPUTED_VALUE"""),"Yes")</f>
        <v>Yes</v>
      </c>
    </row>
    <row r="191">
      <c r="A191" s="13" t="str">
        <f>IFERROR(__xludf.DUMMYFUNCTION("""COMPUTED_VALUE"""),"Journey to the Savage Planet")</f>
        <v>Journey to the Savage Planet</v>
      </c>
      <c r="B191" s="15" t="str">
        <f>IFERROR(__xludf.DUMMYFUNCTION("""COMPUTED_VALUE"""),"PS4")</f>
        <v>PS4</v>
      </c>
      <c r="C191" s="16" t="str">
        <f>IFERROR(__xludf.DUMMYFUNCTION("""COMPUTED_VALUE"""),"Extra")</f>
        <v>Extra</v>
      </c>
      <c r="D191" s="15" t="str">
        <f>IFERROR(__xludf.DUMMYFUNCTION("""COMPUTED_VALUE"""),"Removed")</f>
        <v>Removed</v>
      </c>
      <c r="E191" s="17">
        <f>IFERROR(__xludf.DUMMYFUNCTION("""COMPUTED_VALUE"""),44656.0)</f>
        <v>44656</v>
      </c>
      <c r="F191" s="54">
        <f>IFERROR(__xludf.DUMMYFUNCTION("""COMPUTED_VALUE"""),45796.0)</f>
        <v>45796</v>
      </c>
      <c r="G191" s="19">
        <f>IFERROR(__xludf.DUMMYFUNCTION("""COMPUTED_VALUE"""),37.46666666666667)</f>
        <v>37.46666667</v>
      </c>
      <c r="H191" s="17">
        <f>IFERROR(__xludf.DUMMYFUNCTION("""COMPUTED_VALUE"""),43858.0)</f>
        <v>43858</v>
      </c>
      <c r="I191" s="19">
        <f>IFERROR(__xludf.DUMMYFUNCTION("""COMPUTED_VALUE"""),2.186111111111111)</f>
        <v>2.186111111</v>
      </c>
      <c r="J191" s="21">
        <f>IFERROR(__xludf.DUMMYFUNCTION("""COMPUTED_VALUE"""),77.0)</f>
        <v>77</v>
      </c>
      <c r="K191" s="23">
        <f>IFERROR(__xludf.DUMMYFUNCTION("""COMPUTED_VALUE"""),7.5)</f>
        <v>7.5</v>
      </c>
      <c r="L191" s="24">
        <f>IFERROR(__xludf.DUMMYFUNCTION("""COMPUTED_VALUE"""),7.0)</f>
        <v>7</v>
      </c>
      <c r="M191" s="25" t="str">
        <f>IFERROR(__xludf.DUMMYFUNCTION("""COMPUTED_VALUE"""),"Shooter")</f>
        <v>Shooter</v>
      </c>
      <c r="N191" s="25"/>
      <c r="O191" s="26" t="str">
        <f>IFERROR(__xludf.DUMMYFUNCTION("""COMPUTED_VALUE"""),"Yes")</f>
        <v>Yes</v>
      </c>
      <c r="P191" s="26"/>
    </row>
    <row r="192">
      <c r="A192" s="13" t="str">
        <f>IFERROR(__xludf.DUMMYFUNCTION("""COMPUTED_VALUE"""),"Bloodstained: Ritual of the Night")</f>
        <v>Bloodstained: Ritual of the Night</v>
      </c>
      <c r="B192" s="15" t="str">
        <f>IFERROR(__xludf.DUMMYFUNCTION("""COMPUTED_VALUE"""),"PS4")</f>
        <v>PS4</v>
      </c>
      <c r="C192" s="16" t="str">
        <f>IFERROR(__xludf.DUMMYFUNCTION("""COMPUTED_VALUE"""),"Extra")</f>
        <v>Extra</v>
      </c>
      <c r="D192" s="15" t="str">
        <f>IFERROR(__xludf.DUMMYFUNCTION("""COMPUTED_VALUE"""),"Removed")</f>
        <v>Removed</v>
      </c>
      <c r="E192" s="17">
        <f>IFERROR(__xludf.DUMMYFUNCTION("""COMPUTED_VALUE"""),44502.0)</f>
        <v>44502</v>
      </c>
      <c r="F192" s="54">
        <f>IFERROR(__xludf.DUMMYFUNCTION("""COMPUTED_VALUE"""),45796.0)</f>
        <v>45796</v>
      </c>
      <c r="G192" s="19">
        <f>IFERROR(__xludf.DUMMYFUNCTION("""COMPUTED_VALUE"""),42.56666666666666)</f>
        <v>42.56666667</v>
      </c>
      <c r="H192" s="17">
        <f>IFERROR(__xludf.DUMMYFUNCTION("""COMPUTED_VALUE"""),43634.0)</f>
        <v>43634</v>
      </c>
      <c r="I192" s="19">
        <f>IFERROR(__xludf.DUMMYFUNCTION("""COMPUTED_VALUE"""),2.3722222222222222)</f>
        <v>2.372222222</v>
      </c>
      <c r="J192" s="21">
        <f>IFERROR(__xludf.DUMMYFUNCTION("""COMPUTED_VALUE"""),83.0)</f>
        <v>83</v>
      </c>
      <c r="K192" s="23">
        <f>IFERROR(__xludf.DUMMYFUNCTION("""COMPUTED_VALUE"""),8.4)</f>
        <v>8.4</v>
      </c>
      <c r="L192" s="24">
        <f>IFERROR(__xludf.DUMMYFUNCTION("""COMPUTED_VALUE"""),13.5)</f>
        <v>13.5</v>
      </c>
      <c r="M192" s="25" t="str">
        <f>IFERROR(__xludf.DUMMYFUNCTION("""COMPUTED_VALUE"""),"RPG")</f>
        <v>RPG</v>
      </c>
      <c r="N192" s="25"/>
      <c r="O192" s="26" t="str">
        <f>IFERROR(__xludf.DUMMYFUNCTION("""COMPUTED_VALUE"""),"Yes")</f>
        <v>Yes</v>
      </c>
      <c r="P192" s="26"/>
    </row>
    <row r="193">
      <c r="A193" s="13" t="str">
        <f>IFERROR(__xludf.DUMMYFUNCTION("""COMPUTED_VALUE"""),"Ghostrunner")</f>
        <v>Ghostrunner</v>
      </c>
      <c r="B193" s="15" t="str">
        <f>IFERROR(__xludf.DUMMYFUNCTION("""COMPUTED_VALUE"""),"PS5/PS4")</f>
        <v>PS5/PS4</v>
      </c>
      <c r="C193" s="16" t="str">
        <f>IFERROR(__xludf.DUMMYFUNCTION("""COMPUTED_VALUE"""),"Extra")</f>
        <v>Extra</v>
      </c>
      <c r="D193" s="15" t="str">
        <f>IFERROR(__xludf.DUMMYFUNCTION("""COMPUTED_VALUE"""),"Removed")</f>
        <v>Removed</v>
      </c>
      <c r="E193" s="17">
        <f>IFERROR(__xludf.DUMMYFUNCTION("""COMPUTED_VALUE"""),44411.0)</f>
        <v>44411</v>
      </c>
      <c r="F193" s="54">
        <f>IFERROR(__xludf.DUMMYFUNCTION("""COMPUTED_VALUE"""),45796.0)</f>
        <v>45796</v>
      </c>
      <c r="G193" s="19">
        <f>IFERROR(__xludf.DUMMYFUNCTION("""COMPUTED_VALUE"""),45.53333333333333)</f>
        <v>45.53333333</v>
      </c>
      <c r="H193" s="17">
        <f>IFERROR(__xludf.DUMMYFUNCTION("""COMPUTED_VALUE"""),44131.0)</f>
        <v>44131</v>
      </c>
      <c r="I193" s="19">
        <f>IFERROR(__xludf.DUMMYFUNCTION("""COMPUTED_VALUE"""),0.7666666666666667)</f>
        <v>0.7666666667</v>
      </c>
      <c r="J193" s="21">
        <f>IFERROR(__xludf.DUMMYFUNCTION("""COMPUTED_VALUE"""),81.0)</f>
        <v>81</v>
      </c>
      <c r="K193" s="23">
        <f>IFERROR(__xludf.DUMMYFUNCTION("""COMPUTED_VALUE"""),7.5)</f>
        <v>7.5</v>
      </c>
      <c r="L193" s="24">
        <f>IFERROR(__xludf.DUMMYFUNCTION("""COMPUTED_VALUE"""),7.0)</f>
        <v>7</v>
      </c>
      <c r="M193" s="25" t="str">
        <f>IFERROR(__xludf.DUMMYFUNCTION("""COMPUTED_VALUE"""),"Platformer")</f>
        <v>Platformer</v>
      </c>
      <c r="N193" s="25"/>
      <c r="O193" s="26" t="str">
        <f>IFERROR(__xludf.DUMMYFUNCTION("""COMPUTED_VALUE"""),"Yes")</f>
        <v>Yes</v>
      </c>
      <c r="P193" s="26"/>
    </row>
    <row r="194">
      <c r="A194" s="13" t="str">
        <f>IFERROR(__xludf.DUMMYFUNCTION("""COMPUTED_VALUE"""),"Batman: Arkham Knight")</f>
        <v>Batman: Arkham Knight</v>
      </c>
      <c r="B194" s="15" t="str">
        <f>IFERROR(__xludf.DUMMYFUNCTION("""COMPUTED_VALUE"""),"PS4")</f>
        <v>PS4</v>
      </c>
      <c r="C194" s="16" t="str">
        <f>IFERROR(__xludf.DUMMYFUNCTION("""COMPUTED_VALUE"""),"Extra")</f>
        <v>Extra</v>
      </c>
      <c r="D194" s="15" t="str">
        <f>IFERROR(__xludf.DUMMYFUNCTION("""COMPUTED_VALUE"""),"Removed")</f>
        <v>Removed</v>
      </c>
      <c r="E194" s="17">
        <f>IFERROR(__xludf.DUMMYFUNCTION("""COMPUTED_VALUE"""),43284.0)</f>
        <v>43284</v>
      </c>
      <c r="F194" s="54">
        <f>IFERROR(__xludf.DUMMYFUNCTION("""COMPUTED_VALUE"""),45796.0)</f>
        <v>45796</v>
      </c>
      <c r="G194" s="19">
        <f>IFERROR(__xludf.DUMMYFUNCTION("""COMPUTED_VALUE"""),82.53333333333333)</f>
        <v>82.53333333</v>
      </c>
      <c r="H194" s="17">
        <f>IFERROR(__xludf.DUMMYFUNCTION("""COMPUTED_VALUE"""),42178.0)</f>
        <v>42178</v>
      </c>
      <c r="I194" s="19">
        <f>IFERROR(__xludf.DUMMYFUNCTION("""COMPUTED_VALUE"""),3.0277777777777777)</f>
        <v>3.027777778</v>
      </c>
      <c r="J194" s="21">
        <f>IFERROR(__xludf.DUMMYFUNCTION("""COMPUTED_VALUE"""),86.0)</f>
        <v>86</v>
      </c>
      <c r="K194" s="23">
        <f>IFERROR(__xludf.DUMMYFUNCTION("""COMPUTED_VALUE"""),8.2)</f>
        <v>8.2</v>
      </c>
      <c r="L194" s="24">
        <f>IFERROR(__xludf.DUMMYFUNCTION("""COMPUTED_VALUE"""),16.5)</f>
        <v>16.5</v>
      </c>
      <c r="M194" s="25" t="str">
        <f>IFERROR(__xludf.DUMMYFUNCTION("""COMPUTED_VALUE"""),"Action-Adventure")</f>
        <v>Action-Adventure</v>
      </c>
      <c r="N194" s="25"/>
      <c r="O194" s="26" t="str">
        <f>IFERROR(__xludf.DUMMYFUNCTION("""COMPUTED_VALUE"""),"No")</f>
        <v>No</v>
      </c>
      <c r="P194" s="26"/>
    </row>
    <row r="195">
      <c r="A195" s="13" t="str">
        <f>IFERROR(__xludf.DUMMYFUNCTION("""COMPUTED_VALUE"""),"Payday 2: Crimewave Edition")</f>
        <v>Payday 2: Crimewave Edition</v>
      </c>
      <c r="B195" s="15" t="str">
        <f>IFERROR(__xludf.DUMMYFUNCTION("""COMPUTED_VALUE"""),"PS4")</f>
        <v>PS4</v>
      </c>
      <c r="C195" s="16" t="str">
        <f>IFERROR(__xludf.DUMMYFUNCTION("""COMPUTED_VALUE"""),"Extra")</f>
        <v>Extra</v>
      </c>
      <c r="D195" s="15" t="str">
        <f>IFERROR(__xludf.DUMMYFUNCTION("""COMPUTED_VALUE"""),"Removed")</f>
        <v>Removed</v>
      </c>
      <c r="E195" s="17">
        <f>IFERROR(__xludf.DUMMYFUNCTION("""COMPUTED_VALUE"""),42374.0)</f>
        <v>42374</v>
      </c>
      <c r="F195" s="18">
        <f>IFERROR(__xludf.DUMMYFUNCTION("""COMPUTED_VALUE"""),45796.0)</f>
        <v>45796</v>
      </c>
      <c r="G195" s="19">
        <f>IFERROR(__xludf.DUMMYFUNCTION("""COMPUTED_VALUE"""),112.46666666666667)</f>
        <v>112.4666667</v>
      </c>
      <c r="H195" s="17">
        <f>IFERROR(__xludf.DUMMYFUNCTION("""COMPUTED_VALUE"""),41499.0)</f>
        <v>41499</v>
      </c>
      <c r="I195" s="19">
        <f>IFERROR(__xludf.DUMMYFUNCTION("""COMPUTED_VALUE"""),2.3944444444444444)</f>
        <v>2.394444444</v>
      </c>
      <c r="J195" s="21">
        <f>IFERROR(__xludf.DUMMYFUNCTION("""COMPUTED_VALUE"""),69.0)</f>
        <v>69</v>
      </c>
      <c r="K195" s="23">
        <f>IFERROR(__xludf.DUMMYFUNCTION("""COMPUTED_VALUE"""),7.4)</f>
        <v>7.4</v>
      </c>
      <c r="L195" s="24">
        <f>IFERROR(__xludf.DUMMYFUNCTION("""COMPUTED_VALUE"""),17.0)</f>
        <v>17</v>
      </c>
      <c r="M195" s="25" t="str">
        <f>IFERROR(__xludf.DUMMYFUNCTION("""COMPUTED_VALUE"""),"Shooter")</f>
        <v>Shooter</v>
      </c>
      <c r="N195" s="25"/>
      <c r="O195" s="26" t="str">
        <f>IFERROR(__xludf.DUMMYFUNCTION("""COMPUTED_VALUE"""),"Yes")</f>
        <v>Yes</v>
      </c>
      <c r="P195" s="26"/>
    </row>
    <row r="196">
      <c r="A196" s="13" t="str">
        <f>IFERROR(__xludf.DUMMYFUNCTION("""COMPUTED_VALUE"""),"inFAMOUS: Second Son")</f>
        <v>inFAMOUS: Second Son</v>
      </c>
      <c r="B196" s="15" t="str">
        <f>IFERROR(__xludf.DUMMYFUNCTION("""COMPUTED_VALUE"""),"PS4")</f>
        <v>PS4</v>
      </c>
      <c r="C196" s="16" t="str">
        <f>IFERROR(__xludf.DUMMYFUNCTION("""COMPUTED_VALUE"""),"Extra")</f>
        <v>Extra</v>
      </c>
      <c r="D196" s="15" t="str">
        <f>IFERROR(__xludf.DUMMYFUNCTION("""COMPUTED_VALUE"""),"Removed")</f>
        <v>Removed</v>
      </c>
      <c r="E196" s="17">
        <f>IFERROR(__xludf.DUMMYFUNCTION("""COMPUTED_VALUE"""),42017.0)</f>
        <v>42017</v>
      </c>
      <c r="F196" s="71">
        <f>IFERROR(__xludf.DUMMYFUNCTION("""COMPUTED_VALUE"""),45796.0)</f>
        <v>45796</v>
      </c>
      <c r="G196" s="19">
        <f>IFERROR(__xludf.DUMMYFUNCTION("""COMPUTED_VALUE"""),124.19999999999999)</f>
        <v>124.2</v>
      </c>
      <c r="H196" s="17">
        <f>IFERROR(__xludf.DUMMYFUNCTION("""COMPUTED_VALUE"""),41699.0)</f>
        <v>41699</v>
      </c>
      <c r="I196" s="19">
        <f>IFERROR(__xludf.DUMMYFUNCTION("""COMPUTED_VALUE"""),0.8666666666666667)</f>
        <v>0.8666666667</v>
      </c>
      <c r="J196" s="21">
        <f>IFERROR(__xludf.DUMMYFUNCTION("""COMPUTED_VALUE"""),81.0)</f>
        <v>81</v>
      </c>
      <c r="K196" s="23">
        <f>IFERROR(__xludf.DUMMYFUNCTION("""COMPUTED_VALUE"""),7.9)</f>
        <v>7.9</v>
      </c>
      <c r="L196" s="24">
        <f>IFERROR(__xludf.DUMMYFUNCTION("""COMPUTED_VALUE"""),10.0)</f>
        <v>10</v>
      </c>
      <c r="M196" s="25" t="str">
        <f>IFERROR(__xludf.DUMMYFUNCTION("""COMPUTED_VALUE"""),"Action-Adventure")</f>
        <v>Action-Adventure</v>
      </c>
      <c r="N196" s="25"/>
      <c r="O196" s="26" t="str">
        <f>IFERROR(__xludf.DUMMYFUNCTION("""COMPUTED_VALUE"""),"Yes")</f>
        <v>Yes</v>
      </c>
      <c r="P196" s="26"/>
    </row>
    <row r="197">
      <c r="A197" s="13" t="str">
        <f>IFERROR(__xludf.DUMMYFUNCTION("""COMPUTED_VALUE"""),"RoboCop: Rogue City")</f>
        <v>RoboCop: Rogue City</v>
      </c>
      <c r="B197" s="15" t="str">
        <f>IFERROR(__xludf.DUMMYFUNCTION("""COMPUTED_VALUE"""),"PS5")</f>
        <v>PS5</v>
      </c>
      <c r="C197" s="16" t="str">
        <f>IFERROR(__xludf.DUMMYFUNCTION("""COMPUTED_VALUE"""),"Essential")</f>
        <v>Essential</v>
      </c>
      <c r="D197" s="15" t="str">
        <f>IFERROR(__xludf.DUMMYFUNCTION("""COMPUTED_VALUE"""),"Removed")</f>
        <v>Removed</v>
      </c>
      <c r="E197" s="17">
        <f>IFERROR(__xludf.DUMMYFUNCTION("""COMPUTED_VALUE"""),45748.0)</f>
        <v>45748</v>
      </c>
      <c r="F197" s="18">
        <f>IFERROR(__xludf.DUMMYFUNCTION("""COMPUTED_VALUE"""),45782.0)</f>
        <v>45782</v>
      </c>
      <c r="G197" s="19">
        <f>IFERROR(__xludf.DUMMYFUNCTION("""COMPUTED_VALUE"""),1.1333333333333333)</f>
        <v>1.133333333</v>
      </c>
      <c r="H197" s="17">
        <f>IFERROR(__xludf.DUMMYFUNCTION("""COMPUTED_VALUE"""),45232.0)</f>
        <v>45232</v>
      </c>
      <c r="I197" s="19">
        <f>IFERROR(__xludf.DUMMYFUNCTION("""COMPUTED_VALUE"""),1.413888888888889)</f>
        <v>1.413888889</v>
      </c>
      <c r="J197" s="21">
        <f>IFERROR(__xludf.DUMMYFUNCTION("""COMPUTED_VALUE"""),72.0)</f>
        <v>72</v>
      </c>
      <c r="K197" s="23">
        <f>IFERROR(__xludf.DUMMYFUNCTION("""COMPUTED_VALUE"""),8.1)</f>
        <v>8.1</v>
      </c>
      <c r="L197" s="24">
        <f>IFERROR(__xludf.DUMMYFUNCTION("""COMPUTED_VALUE"""),12.0)</f>
        <v>12</v>
      </c>
      <c r="M197" s="25" t="str">
        <f>IFERROR(__xludf.DUMMYFUNCTION("""COMPUTED_VALUE"""),"Shooter")</f>
        <v>Shooter</v>
      </c>
      <c r="N197" s="25"/>
      <c r="O197" s="26" t="str">
        <f>IFERROR(__xludf.DUMMYFUNCTION("""COMPUTED_VALUE"""),"No")</f>
        <v>No</v>
      </c>
      <c r="P197" s="26"/>
    </row>
    <row r="198">
      <c r="A198" s="13" t="str">
        <f>IFERROR(__xludf.DUMMYFUNCTION("""COMPUTED_VALUE"""),"The Texas Chain Saw Massacre")</f>
        <v>The Texas Chain Saw Massacre</v>
      </c>
      <c r="B198" s="15" t="str">
        <f>IFERROR(__xludf.DUMMYFUNCTION("""COMPUTED_VALUE"""),"PS5/PS4")</f>
        <v>PS5/PS4</v>
      </c>
      <c r="C198" s="16" t="str">
        <f>IFERROR(__xludf.DUMMYFUNCTION("""COMPUTED_VALUE"""),"Essential")</f>
        <v>Essential</v>
      </c>
      <c r="D198" s="15" t="str">
        <f>IFERROR(__xludf.DUMMYFUNCTION("""COMPUTED_VALUE"""),"Removed")</f>
        <v>Removed</v>
      </c>
      <c r="E198" s="17">
        <f>IFERROR(__xludf.DUMMYFUNCTION("""COMPUTED_VALUE"""),45748.0)</f>
        <v>45748</v>
      </c>
      <c r="F198" s="54">
        <f>IFERROR(__xludf.DUMMYFUNCTION("""COMPUTED_VALUE"""),45782.0)</f>
        <v>45782</v>
      </c>
      <c r="G198" s="19">
        <f>IFERROR(__xludf.DUMMYFUNCTION("""COMPUTED_VALUE"""),1.1333333333333333)</f>
        <v>1.133333333</v>
      </c>
      <c r="H198" s="17">
        <f>IFERROR(__xludf.DUMMYFUNCTION("""COMPUTED_VALUE"""),45156.0)</f>
        <v>45156</v>
      </c>
      <c r="I198" s="19">
        <f>IFERROR(__xludf.DUMMYFUNCTION("""COMPUTED_VALUE"""),1.6194444444444445)</f>
        <v>1.619444444</v>
      </c>
      <c r="J198" s="21">
        <f>IFERROR(__xludf.DUMMYFUNCTION("""COMPUTED_VALUE"""),72.0)</f>
        <v>72</v>
      </c>
      <c r="K198" s="23">
        <f>IFERROR(__xludf.DUMMYFUNCTION("""COMPUTED_VALUE"""),6.4)</f>
        <v>6.4</v>
      </c>
      <c r="L198" s="24">
        <f>IFERROR(__xludf.DUMMYFUNCTION("""COMPUTED_VALUE"""),53.0)</f>
        <v>53</v>
      </c>
      <c r="M198" s="25" t="str">
        <f>IFERROR(__xludf.DUMMYFUNCTION("""COMPUTED_VALUE"""),"Survival")</f>
        <v>Survival</v>
      </c>
      <c r="N198" s="25"/>
      <c r="O198" s="26" t="str">
        <f>IFERROR(__xludf.DUMMYFUNCTION("""COMPUTED_VALUE"""),"No")</f>
        <v>No</v>
      </c>
      <c r="P198" s="26"/>
    </row>
    <row r="199">
      <c r="A199" s="13" t="str">
        <f>IFERROR(__xludf.DUMMYFUNCTION("""COMPUTED_VALUE"""),"Digimon Story: Cyber Sleuth - Hacker's Memory")</f>
        <v>Digimon Story: Cyber Sleuth - Hacker's Memory</v>
      </c>
      <c r="B199" s="15" t="str">
        <f>IFERROR(__xludf.DUMMYFUNCTION("""COMPUTED_VALUE"""),"PS4")</f>
        <v>PS4</v>
      </c>
      <c r="C199" s="16" t="str">
        <f>IFERROR(__xludf.DUMMYFUNCTION("""COMPUTED_VALUE"""),"Essential")</f>
        <v>Essential</v>
      </c>
      <c r="D199" s="15" t="str">
        <f>IFERROR(__xludf.DUMMYFUNCTION("""COMPUTED_VALUE"""),"Removed")</f>
        <v>Removed</v>
      </c>
      <c r="E199" s="17">
        <f>IFERROR(__xludf.DUMMYFUNCTION("""COMPUTED_VALUE"""),45748.0)</f>
        <v>45748</v>
      </c>
      <c r="F199" s="54">
        <f>IFERROR(__xludf.DUMMYFUNCTION("""COMPUTED_VALUE"""),45782.0)</f>
        <v>45782</v>
      </c>
      <c r="G199" s="19">
        <f>IFERROR(__xludf.DUMMYFUNCTION("""COMPUTED_VALUE"""),1.1333333333333333)</f>
        <v>1.133333333</v>
      </c>
      <c r="H199" s="17">
        <f>IFERROR(__xludf.DUMMYFUNCTION("""COMPUTED_VALUE"""),43119.0)</f>
        <v>43119</v>
      </c>
      <c r="I199" s="19">
        <f>IFERROR(__xludf.DUMMYFUNCTION("""COMPUTED_VALUE"""),7.2)</f>
        <v>7.2</v>
      </c>
      <c r="J199" s="21">
        <f>IFERROR(__xludf.DUMMYFUNCTION("""COMPUTED_VALUE"""),73.0)</f>
        <v>73</v>
      </c>
      <c r="K199" s="23">
        <f>IFERROR(__xludf.DUMMYFUNCTION("""COMPUTED_VALUE"""),7.7)</f>
        <v>7.7</v>
      </c>
      <c r="L199" s="24">
        <f>IFERROR(__xludf.DUMMYFUNCTION("""COMPUTED_VALUE"""),47.0)</f>
        <v>47</v>
      </c>
      <c r="M199" s="25" t="str">
        <f>IFERROR(__xludf.DUMMYFUNCTION("""COMPUTED_VALUE"""),"RPG")</f>
        <v>RPG</v>
      </c>
      <c r="N199" s="25"/>
      <c r="O199" s="26" t="str">
        <f>IFERROR(__xludf.DUMMYFUNCTION("""COMPUTED_VALUE"""),"No")</f>
        <v>No</v>
      </c>
      <c r="P199" s="26"/>
    </row>
    <row r="200">
      <c r="A200" s="13" t="str">
        <f>IFERROR(__xludf.DUMMYFUNCTION("""COMPUTED_VALUE"""),"Disco Elysium: The Final Cut")</f>
        <v>Disco Elysium: The Final Cut</v>
      </c>
      <c r="B200" s="15" t="str">
        <f>IFERROR(__xludf.DUMMYFUNCTION("""COMPUTED_VALUE"""),"PS5/PS4")</f>
        <v>PS5/PS4</v>
      </c>
      <c r="C200" s="16" t="str">
        <f>IFERROR(__xludf.DUMMYFUNCTION("""COMPUTED_VALUE"""),"Extra")</f>
        <v>Extra</v>
      </c>
      <c r="D200" s="15" t="str">
        <f>IFERROR(__xludf.DUMMYFUNCTION("""COMPUTED_VALUE"""),"Removed")</f>
        <v>Removed</v>
      </c>
      <c r="E200" s="17">
        <f>IFERROR(__xludf.DUMMYFUNCTION("""COMPUTED_VALUE"""),45216.0)</f>
        <v>45216</v>
      </c>
      <c r="F200" s="54">
        <f>IFERROR(__xludf.DUMMYFUNCTION("""COMPUTED_VALUE"""),45762.0)</f>
        <v>45762</v>
      </c>
      <c r="G200" s="19">
        <f>IFERROR(__xludf.DUMMYFUNCTION("""COMPUTED_VALUE"""),17.933333333333334)</f>
        <v>17.93333333</v>
      </c>
      <c r="H200" s="17">
        <f>IFERROR(__xludf.DUMMYFUNCTION("""COMPUTED_VALUE"""),44285.0)</f>
        <v>44285</v>
      </c>
      <c r="I200" s="19">
        <f>IFERROR(__xludf.DUMMYFUNCTION("""COMPUTED_VALUE"""),2.547222222222222)</f>
        <v>2.547222222</v>
      </c>
      <c r="J200" s="21">
        <f>IFERROR(__xludf.DUMMYFUNCTION("""COMPUTED_VALUE"""),89.0)</f>
        <v>89</v>
      </c>
      <c r="K200" s="23">
        <f>IFERROR(__xludf.DUMMYFUNCTION("""COMPUTED_VALUE"""),8.1)</f>
        <v>8.1</v>
      </c>
      <c r="L200" s="24">
        <f>IFERROR(__xludf.DUMMYFUNCTION("""COMPUTED_VALUE"""),23.0)</f>
        <v>23</v>
      </c>
      <c r="M200" s="25" t="str">
        <f>IFERROR(__xludf.DUMMYFUNCTION("""COMPUTED_VALUE"""),"RPG")</f>
        <v>RPG</v>
      </c>
      <c r="N200" s="25"/>
      <c r="O200" s="26" t="str">
        <f>IFERROR(__xludf.DUMMYFUNCTION("""COMPUTED_VALUE"""),"Yes")</f>
        <v>Yes</v>
      </c>
      <c r="P200" s="26"/>
    </row>
    <row r="201">
      <c r="A201" s="13" t="str">
        <f>IFERROR(__xludf.DUMMYFUNCTION("""COMPUTED_VALUE"""),"Animal Well")</f>
        <v>Animal Well</v>
      </c>
      <c r="B201" s="15" t="str">
        <f>IFERROR(__xludf.DUMMYFUNCTION("""COMPUTED_VALUE"""),"PS5")</f>
        <v>PS5</v>
      </c>
      <c r="C201" s="16" t="str">
        <f>IFERROR(__xludf.DUMMYFUNCTION("""COMPUTED_VALUE"""),"Extra")</f>
        <v>Extra</v>
      </c>
      <c r="D201" s="15" t="str">
        <f>IFERROR(__xludf.DUMMYFUNCTION("""COMPUTED_VALUE"""),"Removed")</f>
        <v>Removed</v>
      </c>
      <c r="E201" s="17">
        <f>IFERROR(__xludf.DUMMYFUNCTION("""COMPUTED_VALUE"""),45421.0)</f>
        <v>45421</v>
      </c>
      <c r="F201" s="54">
        <f>IFERROR(__xludf.DUMMYFUNCTION("""COMPUTED_VALUE"""),45761.0)</f>
        <v>45761</v>
      </c>
      <c r="G201" s="19">
        <f>IFERROR(__xludf.DUMMYFUNCTION("""COMPUTED_VALUE"""),11.166666666666668)</f>
        <v>11.16666667</v>
      </c>
      <c r="H201" s="17">
        <f>IFERROR(__xludf.DUMMYFUNCTION("""COMPUTED_VALUE"""),45421.0)</f>
        <v>45421</v>
      </c>
      <c r="I201" s="19">
        <f>IFERROR(__xludf.DUMMYFUNCTION("""COMPUTED_VALUE"""),0.0)</f>
        <v>0</v>
      </c>
      <c r="J201" s="21">
        <f>IFERROR(__xludf.DUMMYFUNCTION("""COMPUTED_VALUE"""),90.0)</f>
        <v>90</v>
      </c>
      <c r="K201" s="23">
        <f>IFERROR(__xludf.DUMMYFUNCTION("""COMPUTED_VALUE"""),7.9)</f>
        <v>7.9</v>
      </c>
      <c r="L201" s="24">
        <f>IFERROR(__xludf.DUMMYFUNCTION("""COMPUTED_VALUE"""),7.0)</f>
        <v>7</v>
      </c>
      <c r="M201" s="25" t="str">
        <f>IFERROR(__xludf.DUMMYFUNCTION("""COMPUTED_VALUE"""),"Metroidvania")</f>
        <v>Metroidvania</v>
      </c>
      <c r="N201" s="25"/>
      <c r="O201" s="26" t="str">
        <f>IFERROR(__xludf.DUMMYFUNCTION("""COMPUTED_VALUE"""),"Portal (PS5 + Premium)")</f>
        <v>Portal (PS5 + Premium)</v>
      </c>
      <c r="P201" s="26"/>
    </row>
    <row r="202">
      <c r="A202" s="13" t="str">
        <f>IFERROR(__xludf.DUMMYFUNCTION("""COMPUTED_VALUE"""),"Tales of Kenzera: ZAU")</f>
        <v>Tales of Kenzera: ZAU</v>
      </c>
      <c r="B202" s="15" t="str">
        <f>IFERROR(__xludf.DUMMYFUNCTION("""COMPUTED_VALUE"""),"PS5/PS4")</f>
        <v>PS5/PS4</v>
      </c>
      <c r="C202" s="16" t="str">
        <f>IFERROR(__xludf.DUMMYFUNCTION("""COMPUTED_VALUE"""),"Extra")</f>
        <v>Extra</v>
      </c>
      <c r="D202" s="15" t="str">
        <f>IFERROR(__xludf.DUMMYFUNCTION("""COMPUTED_VALUE"""),"Removed")</f>
        <v>Removed</v>
      </c>
      <c r="E202" s="17">
        <f>IFERROR(__xludf.DUMMYFUNCTION("""COMPUTED_VALUE"""),45405.0)</f>
        <v>45405</v>
      </c>
      <c r="F202" s="54">
        <f>IFERROR(__xludf.DUMMYFUNCTION("""COMPUTED_VALUE"""),45761.0)</f>
        <v>45761</v>
      </c>
      <c r="G202" s="19">
        <f>IFERROR(__xludf.DUMMYFUNCTION("""COMPUTED_VALUE"""),11.7)</f>
        <v>11.7</v>
      </c>
      <c r="H202" s="17">
        <f>IFERROR(__xludf.DUMMYFUNCTION("""COMPUTED_VALUE"""),45405.0)</f>
        <v>45405</v>
      </c>
      <c r="I202" s="19">
        <f>IFERROR(__xludf.DUMMYFUNCTION("""COMPUTED_VALUE"""),0.0)</f>
        <v>0</v>
      </c>
      <c r="J202" s="21">
        <f>IFERROR(__xludf.DUMMYFUNCTION("""COMPUTED_VALUE"""),76.0)</f>
        <v>76</v>
      </c>
      <c r="K202" s="23">
        <f>IFERROR(__xludf.DUMMYFUNCTION("""COMPUTED_VALUE"""),8.0)</f>
        <v>8</v>
      </c>
      <c r="L202" s="24">
        <f>IFERROR(__xludf.DUMMYFUNCTION("""COMPUTED_VALUE"""),8.0)</f>
        <v>8</v>
      </c>
      <c r="M202" s="25" t="str">
        <f>IFERROR(__xludf.DUMMYFUNCTION("""COMPUTED_VALUE"""),"Platformer")</f>
        <v>Platformer</v>
      </c>
      <c r="N202" s="25"/>
      <c r="O202" s="26" t="str">
        <f>IFERROR(__xludf.DUMMYFUNCTION("""COMPUTED_VALUE"""),"Portal (PS5 + Premium)")</f>
        <v>Portal (PS5 + Premium)</v>
      </c>
      <c r="P202" s="26"/>
    </row>
    <row r="203">
      <c r="A203" s="13" t="str">
        <f>IFERROR(__xludf.DUMMYFUNCTION("""COMPUTED_VALUE"""),"Miasma Chronicles")</f>
        <v>Miasma Chronicles</v>
      </c>
      <c r="B203" s="15" t="str">
        <f>IFERROR(__xludf.DUMMYFUNCTION("""COMPUTED_VALUE"""),"PS5")</f>
        <v>PS5</v>
      </c>
      <c r="C203" s="16" t="str">
        <f>IFERROR(__xludf.DUMMYFUNCTION("""COMPUTED_VALUE"""),"Extra")</f>
        <v>Extra</v>
      </c>
      <c r="D203" s="15" t="str">
        <f>IFERROR(__xludf.DUMMYFUNCTION("""COMPUTED_VALUE"""),"Removed")</f>
        <v>Removed</v>
      </c>
      <c r="E203" s="17">
        <f>IFERROR(__xludf.DUMMYFUNCTION("""COMPUTED_VALUE"""),45398.0)</f>
        <v>45398</v>
      </c>
      <c r="F203" s="54">
        <f>IFERROR(__xludf.DUMMYFUNCTION("""COMPUTED_VALUE"""),45761.0)</f>
        <v>45761</v>
      </c>
      <c r="G203" s="19">
        <f>IFERROR(__xludf.DUMMYFUNCTION("""COMPUTED_VALUE"""),11.933333333333334)</f>
        <v>11.93333333</v>
      </c>
      <c r="H203" s="17">
        <f>IFERROR(__xludf.DUMMYFUNCTION("""COMPUTED_VALUE"""),45069.0)</f>
        <v>45069</v>
      </c>
      <c r="I203" s="19">
        <f>IFERROR(__xludf.DUMMYFUNCTION("""COMPUTED_VALUE"""),0.8972222222222223)</f>
        <v>0.8972222222</v>
      </c>
      <c r="J203" s="21">
        <f>IFERROR(__xludf.DUMMYFUNCTION("""COMPUTED_VALUE"""),69.0)</f>
        <v>69</v>
      </c>
      <c r="K203" s="23">
        <f>IFERROR(__xludf.DUMMYFUNCTION("""COMPUTED_VALUE"""),7.8)</f>
        <v>7.8</v>
      </c>
      <c r="L203" s="24">
        <f>IFERROR(__xludf.DUMMYFUNCTION("""COMPUTED_VALUE"""),23.0)</f>
        <v>23</v>
      </c>
      <c r="M203" s="25" t="str">
        <f>IFERROR(__xludf.DUMMYFUNCTION("""COMPUTED_VALUE"""),"Strategy")</f>
        <v>Strategy</v>
      </c>
      <c r="N203" s="25"/>
      <c r="O203" s="26" t="str">
        <f>IFERROR(__xludf.DUMMYFUNCTION("""COMPUTED_VALUE"""),"No")</f>
        <v>No</v>
      </c>
      <c r="P203" s="26"/>
    </row>
    <row r="204">
      <c r="A204" s="13" t="str">
        <f>IFERROR(__xludf.DUMMYFUNCTION("""COMPUTED_VALUE"""),"Stray Blade")</f>
        <v>Stray Blade</v>
      </c>
      <c r="B204" s="15" t="str">
        <f>IFERROR(__xludf.DUMMYFUNCTION("""COMPUTED_VALUE"""),"PS5")</f>
        <v>PS5</v>
      </c>
      <c r="C204" s="16" t="str">
        <f>IFERROR(__xludf.DUMMYFUNCTION("""COMPUTED_VALUE"""),"Extra")</f>
        <v>Extra</v>
      </c>
      <c r="D204" s="15" t="str">
        <f>IFERROR(__xludf.DUMMYFUNCTION("""COMPUTED_VALUE"""),"Removed")</f>
        <v>Removed</v>
      </c>
      <c r="E204" s="17">
        <f>IFERROR(__xludf.DUMMYFUNCTION("""COMPUTED_VALUE"""),45398.0)</f>
        <v>45398</v>
      </c>
      <c r="F204" s="54">
        <f>IFERROR(__xludf.DUMMYFUNCTION("""COMPUTED_VALUE"""),45761.0)</f>
        <v>45761</v>
      </c>
      <c r="G204" s="19">
        <f>IFERROR(__xludf.DUMMYFUNCTION("""COMPUTED_VALUE"""),11.933333333333334)</f>
        <v>11.93333333</v>
      </c>
      <c r="H204" s="17">
        <f>IFERROR(__xludf.DUMMYFUNCTION("""COMPUTED_VALUE"""),45036.0)</f>
        <v>45036</v>
      </c>
      <c r="I204" s="19">
        <f>IFERROR(__xludf.DUMMYFUNCTION("""COMPUTED_VALUE"""),0.9888888888888889)</f>
        <v>0.9888888889</v>
      </c>
      <c r="J204" s="21">
        <f>IFERROR(__xludf.DUMMYFUNCTION("""COMPUTED_VALUE"""),60.0)</f>
        <v>60</v>
      </c>
      <c r="K204" s="23">
        <f>IFERROR(__xludf.DUMMYFUNCTION("""COMPUTED_VALUE"""),6.6)</f>
        <v>6.6</v>
      </c>
      <c r="L204" s="24">
        <f>IFERROR(__xludf.DUMMYFUNCTION("""COMPUTED_VALUE"""),12.0)</f>
        <v>12</v>
      </c>
      <c r="M204" s="25" t="str">
        <f>IFERROR(__xludf.DUMMYFUNCTION("""COMPUTED_VALUE"""),"RPG")</f>
        <v>RPG</v>
      </c>
      <c r="N204" s="25"/>
      <c r="O204" s="26" t="str">
        <f>IFERROR(__xludf.DUMMYFUNCTION("""COMPUTED_VALUE"""),"Portal (PS5 + Premium)")</f>
        <v>Portal (PS5 + Premium)</v>
      </c>
      <c r="P204" s="26"/>
    </row>
    <row r="205">
      <c r="A205" s="13" t="str">
        <f>IFERROR(__xludf.DUMMYFUNCTION("""COMPUTED_VALUE"""),"Deliver Us Mars")</f>
        <v>Deliver Us Mars</v>
      </c>
      <c r="B205" s="15" t="str">
        <f>IFERROR(__xludf.DUMMYFUNCTION("""COMPUTED_VALUE"""),"PS5/PS4")</f>
        <v>PS5/PS4</v>
      </c>
      <c r="C205" s="16" t="str">
        <f>IFERROR(__xludf.DUMMYFUNCTION("""COMPUTED_VALUE"""),"Extra")</f>
        <v>Extra</v>
      </c>
      <c r="D205" s="15" t="str">
        <f>IFERROR(__xludf.DUMMYFUNCTION("""COMPUTED_VALUE"""),"Removed")</f>
        <v>Removed</v>
      </c>
      <c r="E205" s="17">
        <f>IFERROR(__xludf.DUMMYFUNCTION("""COMPUTED_VALUE"""),45398.0)</f>
        <v>45398</v>
      </c>
      <c r="F205" s="54">
        <f>IFERROR(__xludf.DUMMYFUNCTION("""COMPUTED_VALUE"""),45761.0)</f>
        <v>45761</v>
      </c>
      <c r="G205" s="19">
        <f>IFERROR(__xludf.DUMMYFUNCTION("""COMPUTED_VALUE"""),11.933333333333334)</f>
        <v>11.93333333</v>
      </c>
      <c r="H205" s="17">
        <f>IFERROR(__xludf.DUMMYFUNCTION("""COMPUTED_VALUE"""),44959.0)</f>
        <v>44959</v>
      </c>
      <c r="I205" s="19">
        <f>IFERROR(__xludf.DUMMYFUNCTION("""COMPUTED_VALUE"""),1.2055555555555555)</f>
        <v>1.205555556</v>
      </c>
      <c r="J205" s="21">
        <f>IFERROR(__xludf.DUMMYFUNCTION("""COMPUTED_VALUE"""),69.0)</f>
        <v>69</v>
      </c>
      <c r="K205" s="23">
        <f>IFERROR(__xludf.DUMMYFUNCTION("""COMPUTED_VALUE"""),5.6)</f>
        <v>5.6</v>
      </c>
      <c r="L205" s="24">
        <f>IFERROR(__xludf.DUMMYFUNCTION("""COMPUTED_VALUE"""),8.0)</f>
        <v>8</v>
      </c>
      <c r="M205" s="25" t="str">
        <f>IFERROR(__xludf.DUMMYFUNCTION("""COMPUTED_VALUE"""),"Action-Adventure")</f>
        <v>Action-Adventure</v>
      </c>
      <c r="N205" s="25"/>
      <c r="O205" s="26" t="str">
        <f>IFERROR(__xludf.DUMMYFUNCTION("""COMPUTED_VALUE"""),"Portal (PS5 + Premium)")</f>
        <v>Portal (PS5 + Premium)</v>
      </c>
      <c r="P205" s="26"/>
    </row>
    <row r="206">
      <c r="A206" s="13" t="str">
        <f>IFERROR(__xludf.DUMMYFUNCTION("""COMPUTED_VALUE"""),"Nour: Play With Your Food")</f>
        <v>Nour: Play With Your Food</v>
      </c>
      <c r="B206" s="15" t="str">
        <f>IFERROR(__xludf.DUMMYFUNCTION("""COMPUTED_VALUE"""),"PS5/PS4")</f>
        <v>PS5/PS4</v>
      </c>
      <c r="C206" s="16" t="str">
        <f>IFERROR(__xludf.DUMMYFUNCTION("""COMPUTED_VALUE"""),"Extra")</f>
        <v>Extra</v>
      </c>
      <c r="D206" s="15" t="str">
        <f>IFERROR(__xludf.DUMMYFUNCTION("""COMPUTED_VALUE"""),"Removed")</f>
        <v>Removed</v>
      </c>
      <c r="E206" s="17">
        <f>IFERROR(__xludf.DUMMYFUNCTION("""COMPUTED_VALUE"""),45398.0)</f>
        <v>45398</v>
      </c>
      <c r="F206" s="54">
        <f>IFERROR(__xludf.DUMMYFUNCTION("""COMPUTED_VALUE"""),45761.0)</f>
        <v>45761</v>
      </c>
      <c r="G206" s="19">
        <f>IFERROR(__xludf.DUMMYFUNCTION("""COMPUTED_VALUE"""),11.933333333333334)</f>
        <v>11.93333333</v>
      </c>
      <c r="H206" s="17">
        <f>IFERROR(__xludf.DUMMYFUNCTION("""COMPUTED_VALUE"""),45181.0)</f>
        <v>45181</v>
      </c>
      <c r="I206" s="19">
        <f>IFERROR(__xludf.DUMMYFUNCTION("""COMPUTED_VALUE"""),0.5944444444444444)</f>
        <v>0.5944444444</v>
      </c>
      <c r="J206" s="21">
        <f>IFERROR(__xludf.DUMMYFUNCTION("""COMPUTED_VALUE"""),58.0)</f>
        <v>58</v>
      </c>
      <c r="K206" s="23">
        <f>IFERROR(__xludf.DUMMYFUNCTION("""COMPUTED_VALUE"""),6.3)</f>
        <v>6.3</v>
      </c>
      <c r="L206" s="24">
        <f>IFERROR(__xludf.DUMMYFUNCTION("""COMPUTED_VALUE"""),2.0)</f>
        <v>2</v>
      </c>
      <c r="M206" s="25" t="str">
        <f>IFERROR(__xludf.DUMMYFUNCTION("""COMPUTED_VALUE"""),"Simulation")</f>
        <v>Simulation</v>
      </c>
      <c r="N206" s="25"/>
      <c r="O206" s="26" t="str">
        <f>IFERROR(__xludf.DUMMYFUNCTION("""COMPUTED_VALUE"""),"Portal (PS5 + Premium)")</f>
        <v>Portal (PS5 + Premium)</v>
      </c>
      <c r="P206" s="26"/>
    </row>
    <row r="207">
      <c r="A207" s="13" t="str">
        <f>IFERROR(__xludf.DUMMYFUNCTION("""COMPUTED_VALUE"""),"Kena: Bridge of Spirits")</f>
        <v>Kena: Bridge of Spirits</v>
      </c>
      <c r="B207" s="15" t="str">
        <f>IFERROR(__xludf.DUMMYFUNCTION("""COMPUTED_VALUE"""),"PS5/PS4")</f>
        <v>PS5/PS4</v>
      </c>
      <c r="C207" s="16" t="str">
        <f>IFERROR(__xludf.DUMMYFUNCTION("""COMPUTED_VALUE"""),"Extra")</f>
        <v>Extra</v>
      </c>
      <c r="D207" s="15" t="str">
        <f>IFERROR(__xludf.DUMMYFUNCTION("""COMPUTED_VALUE"""),"Removed")</f>
        <v>Removed</v>
      </c>
      <c r="E207" s="17">
        <f>IFERROR(__xludf.DUMMYFUNCTION("""COMPUTED_VALUE"""),45034.0)</f>
        <v>45034</v>
      </c>
      <c r="F207" s="54">
        <f>IFERROR(__xludf.DUMMYFUNCTION("""COMPUTED_VALUE"""),45761.0)</f>
        <v>45761</v>
      </c>
      <c r="G207" s="19">
        <f>IFERROR(__xludf.DUMMYFUNCTION("""COMPUTED_VALUE"""),23.866666666666667)</f>
        <v>23.86666667</v>
      </c>
      <c r="H207" s="17">
        <f>IFERROR(__xludf.DUMMYFUNCTION("""COMPUTED_VALUE"""),44460.0)</f>
        <v>44460</v>
      </c>
      <c r="I207" s="19">
        <f>IFERROR(__xludf.DUMMYFUNCTION("""COMPUTED_VALUE"""),1.575)</f>
        <v>1.575</v>
      </c>
      <c r="J207" s="21">
        <f>IFERROR(__xludf.DUMMYFUNCTION("""COMPUTED_VALUE"""),76.0)</f>
        <v>76</v>
      </c>
      <c r="K207" s="23">
        <f>IFERROR(__xludf.DUMMYFUNCTION("""COMPUTED_VALUE"""),8.0)</f>
        <v>8</v>
      </c>
      <c r="L207" s="24">
        <f>IFERROR(__xludf.DUMMYFUNCTION("""COMPUTED_VALUE"""),10.0)</f>
        <v>10</v>
      </c>
      <c r="M207" s="25" t="str">
        <f>IFERROR(__xludf.DUMMYFUNCTION("""COMPUTED_VALUE"""),"Action-Adventure")</f>
        <v>Action-Adventure</v>
      </c>
      <c r="N207" s="25"/>
      <c r="O207" s="26" t="str">
        <f>IFERROR(__xludf.DUMMYFUNCTION("""COMPUTED_VALUE"""),"Yes")</f>
        <v>Yes</v>
      </c>
      <c r="P207" s="26"/>
    </row>
    <row r="208">
      <c r="A208" s="13" t="str">
        <f>IFERROR(__xludf.DUMMYFUNCTION("""COMPUTED_VALUE"""),"Slay the Spire")</f>
        <v>Slay the Spire</v>
      </c>
      <c r="B208" s="15" t="str">
        <f>IFERROR(__xludf.DUMMYFUNCTION("""COMPUTED_VALUE"""),"PS4")</f>
        <v>PS4</v>
      </c>
      <c r="C208" s="16" t="str">
        <f>IFERROR(__xludf.DUMMYFUNCTION("""COMPUTED_VALUE"""),"Extra")</f>
        <v>Extra</v>
      </c>
      <c r="D208" s="15" t="str">
        <f>IFERROR(__xludf.DUMMYFUNCTION("""COMPUTED_VALUE"""),"Removed")</f>
        <v>Removed</v>
      </c>
      <c r="E208" s="17">
        <f>IFERROR(__xludf.DUMMYFUNCTION("""COMPUTED_VALUE"""),45034.0)</f>
        <v>45034</v>
      </c>
      <c r="F208" s="54">
        <f>IFERROR(__xludf.DUMMYFUNCTION("""COMPUTED_VALUE"""),45761.0)</f>
        <v>45761</v>
      </c>
      <c r="G208" s="19">
        <f>IFERROR(__xludf.DUMMYFUNCTION("""COMPUTED_VALUE"""),23.866666666666667)</f>
        <v>23.86666667</v>
      </c>
      <c r="H208" s="17">
        <f>IFERROR(__xludf.DUMMYFUNCTION("""COMPUTED_VALUE"""),43606.0)</f>
        <v>43606</v>
      </c>
      <c r="I208" s="19">
        <f>IFERROR(__xludf.DUMMYFUNCTION("""COMPUTED_VALUE"""),3.908333333333333)</f>
        <v>3.908333333</v>
      </c>
      <c r="J208" s="21">
        <f>IFERROR(__xludf.DUMMYFUNCTION("""COMPUTED_VALUE"""),88.0)</f>
        <v>88</v>
      </c>
      <c r="K208" s="23">
        <f>IFERROR(__xludf.DUMMYFUNCTION("""COMPUTED_VALUE"""),7.2)</f>
        <v>7.2</v>
      </c>
      <c r="L208" s="24">
        <f>IFERROR(__xludf.DUMMYFUNCTION("""COMPUTED_VALUE"""),12.0)</f>
        <v>12</v>
      </c>
      <c r="M208" s="25" t="str">
        <f>IFERROR(__xludf.DUMMYFUNCTION("""COMPUTED_VALUE"""),"Strategy")</f>
        <v>Strategy</v>
      </c>
      <c r="N208" s="25"/>
      <c r="O208" s="26" t="str">
        <f>IFERROR(__xludf.DUMMYFUNCTION("""COMPUTED_VALUE"""),"Yes")</f>
        <v>Yes</v>
      </c>
      <c r="P208" s="26"/>
    </row>
    <row r="209">
      <c r="A209" s="13" t="str">
        <f>IFERROR(__xludf.DUMMYFUNCTION("""COMPUTED_VALUE"""),"Dragon Age: The Veilguard")</f>
        <v>Dragon Age: The Veilguard</v>
      </c>
      <c r="B209" s="15" t="str">
        <f>IFERROR(__xludf.DUMMYFUNCTION("""COMPUTED_VALUE"""),"PS5")</f>
        <v>PS5</v>
      </c>
      <c r="C209" s="16" t="str">
        <f>IFERROR(__xludf.DUMMYFUNCTION("""COMPUTED_VALUE"""),"Essential")</f>
        <v>Essential</v>
      </c>
      <c r="D209" s="15" t="str">
        <f>IFERROR(__xludf.DUMMYFUNCTION("""COMPUTED_VALUE"""),"Removed")</f>
        <v>Removed</v>
      </c>
      <c r="E209" s="17">
        <f>IFERROR(__xludf.DUMMYFUNCTION("""COMPUTED_VALUE"""),45720.0)</f>
        <v>45720</v>
      </c>
      <c r="F209" s="54">
        <f>IFERROR(__xludf.DUMMYFUNCTION("""COMPUTED_VALUE"""),45747.0)</f>
        <v>45747</v>
      </c>
      <c r="G209" s="19">
        <f>IFERROR(__xludf.DUMMYFUNCTION("""COMPUTED_VALUE"""),0.8666666666666666)</f>
        <v>0.8666666667</v>
      </c>
      <c r="H209" s="17">
        <f>IFERROR(__xludf.DUMMYFUNCTION("""COMPUTED_VALUE"""),45596.0)</f>
        <v>45596</v>
      </c>
      <c r="I209" s="19">
        <f>IFERROR(__xludf.DUMMYFUNCTION("""COMPUTED_VALUE"""),0.34444444444444444)</f>
        <v>0.3444444444</v>
      </c>
      <c r="J209" s="21">
        <f>IFERROR(__xludf.DUMMYFUNCTION("""COMPUTED_VALUE"""),82.0)</f>
        <v>82</v>
      </c>
      <c r="K209" s="23">
        <f>IFERROR(__xludf.DUMMYFUNCTION("""COMPUTED_VALUE"""),3.9)</f>
        <v>3.9</v>
      </c>
      <c r="L209" s="24">
        <f>IFERROR(__xludf.DUMMYFUNCTION("""COMPUTED_VALUE"""),27.0)</f>
        <v>27</v>
      </c>
      <c r="M209" s="25" t="str">
        <f>IFERROR(__xludf.DUMMYFUNCTION("""COMPUTED_VALUE"""),"RPG")</f>
        <v>RPG</v>
      </c>
      <c r="N209" s="25"/>
      <c r="O209" s="26" t="str">
        <f>IFERROR(__xludf.DUMMYFUNCTION("""COMPUTED_VALUE"""),"No")</f>
        <v>No</v>
      </c>
      <c r="P209" s="26"/>
    </row>
    <row r="210">
      <c r="A210" s="13" t="str">
        <f>IFERROR(__xludf.DUMMYFUNCTION("""COMPUTED_VALUE"""),"Sonic Colors: Ultimate")</f>
        <v>Sonic Colors: Ultimate</v>
      </c>
      <c r="B210" s="15" t="str">
        <f>IFERROR(__xludf.DUMMYFUNCTION("""COMPUTED_VALUE"""),"PS4")</f>
        <v>PS4</v>
      </c>
      <c r="C210" s="16" t="str">
        <f>IFERROR(__xludf.DUMMYFUNCTION("""COMPUTED_VALUE"""),"Essential")</f>
        <v>Essential</v>
      </c>
      <c r="D210" s="15" t="str">
        <f>IFERROR(__xludf.DUMMYFUNCTION("""COMPUTED_VALUE"""),"Removed")</f>
        <v>Removed</v>
      </c>
      <c r="E210" s="17">
        <f>IFERROR(__xludf.DUMMYFUNCTION("""COMPUTED_VALUE"""),45720.0)</f>
        <v>45720</v>
      </c>
      <c r="F210" s="54">
        <f>IFERROR(__xludf.DUMMYFUNCTION("""COMPUTED_VALUE"""),45747.0)</f>
        <v>45747</v>
      </c>
      <c r="G210" s="19">
        <f>IFERROR(__xludf.DUMMYFUNCTION("""COMPUTED_VALUE"""),0.8666666666666666)</f>
        <v>0.8666666667</v>
      </c>
      <c r="H210" s="17">
        <f>IFERROR(__xludf.DUMMYFUNCTION("""COMPUTED_VALUE"""),44507.0)</f>
        <v>44507</v>
      </c>
      <c r="I210" s="19">
        <f>IFERROR(__xludf.DUMMYFUNCTION("""COMPUTED_VALUE"""),3.325)</f>
        <v>3.325</v>
      </c>
      <c r="J210" s="21">
        <f>IFERROR(__xludf.DUMMYFUNCTION("""COMPUTED_VALUE"""),74.0)</f>
        <v>74</v>
      </c>
      <c r="K210" s="23">
        <f>IFERROR(__xludf.DUMMYFUNCTION("""COMPUTED_VALUE"""),6.4)</f>
        <v>6.4</v>
      </c>
      <c r="L210" s="24">
        <f>IFERROR(__xludf.DUMMYFUNCTION("""COMPUTED_VALUE"""),5.0)</f>
        <v>5</v>
      </c>
      <c r="M210" s="25" t="str">
        <f>IFERROR(__xludf.DUMMYFUNCTION("""COMPUTED_VALUE"""),"Platformer")</f>
        <v>Platformer</v>
      </c>
      <c r="N210" s="25"/>
      <c r="O210" s="26" t="str">
        <f>IFERROR(__xludf.DUMMYFUNCTION("""COMPUTED_VALUE"""),"No")</f>
        <v>No</v>
      </c>
      <c r="P210" s="26"/>
    </row>
    <row r="211">
      <c r="A211" s="13" t="str">
        <f>IFERROR(__xludf.DUMMYFUNCTION("""COMPUTED_VALUE"""),"Teenage Mutant Ninja Turtles: The Cowabunga Collection")</f>
        <v>Teenage Mutant Ninja Turtles: The Cowabunga Collection</v>
      </c>
      <c r="B211" s="15" t="str">
        <f>IFERROR(__xludf.DUMMYFUNCTION("""COMPUTED_VALUE"""),"PS5/PS4")</f>
        <v>PS5/PS4</v>
      </c>
      <c r="C211" s="16" t="str">
        <f>IFERROR(__xludf.DUMMYFUNCTION("""COMPUTED_VALUE"""),"Essential")</f>
        <v>Essential</v>
      </c>
      <c r="D211" s="15" t="str">
        <f>IFERROR(__xludf.DUMMYFUNCTION("""COMPUTED_VALUE"""),"Removed")</f>
        <v>Removed</v>
      </c>
      <c r="E211" s="17">
        <f>IFERROR(__xludf.DUMMYFUNCTION("""COMPUTED_VALUE"""),45720.0)</f>
        <v>45720</v>
      </c>
      <c r="F211" s="54">
        <f>IFERROR(__xludf.DUMMYFUNCTION("""COMPUTED_VALUE"""),45747.0)</f>
        <v>45747</v>
      </c>
      <c r="G211" s="19">
        <f>IFERROR(__xludf.DUMMYFUNCTION("""COMPUTED_VALUE"""),0.8666666666666666)</f>
        <v>0.8666666667</v>
      </c>
      <c r="H211" s="17">
        <f>IFERROR(__xludf.DUMMYFUNCTION("""COMPUTED_VALUE"""),44895.0)</f>
        <v>44895</v>
      </c>
      <c r="I211" s="19">
        <f>IFERROR(__xludf.DUMMYFUNCTION("""COMPUTED_VALUE"""),2.261111111111111)</f>
        <v>2.261111111</v>
      </c>
      <c r="J211" s="21">
        <f>IFERROR(__xludf.DUMMYFUNCTION("""COMPUTED_VALUE"""),79.0)</f>
        <v>79</v>
      </c>
      <c r="K211" s="23">
        <f>IFERROR(__xludf.DUMMYFUNCTION("""COMPUTED_VALUE"""),8.2)</f>
        <v>8.2</v>
      </c>
      <c r="L211" s="24">
        <f>IFERROR(__xludf.DUMMYFUNCTION("""COMPUTED_VALUE"""),14.0)</f>
        <v>14</v>
      </c>
      <c r="M211" s="25" t="str">
        <f>IFERROR(__xludf.DUMMYFUNCTION("""COMPUTED_VALUE"""),"Compilation")</f>
        <v>Compilation</v>
      </c>
      <c r="N211" s="25"/>
      <c r="O211" s="26" t="str">
        <f>IFERROR(__xludf.DUMMYFUNCTION("""COMPUTED_VALUE"""),"No")</f>
        <v>No</v>
      </c>
      <c r="P211" s="26"/>
    </row>
    <row r="212">
      <c r="A212" s="13" t="str">
        <f>IFERROR(__xludf.DUMMYFUNCTION("""COMPUTED_VALUE"""),"Monster Energy Supercross: The Official Videogame 6")</f>
        <v>Monster Energy Supercross: The Official Videogame 6</v>
      </c>
      <c r="B212" s="15" t="str">
        <f>IFERROR(__xludf.DUMMYFUNCTION("""COMPUTED_VALUE"""),"PS5/PS4")</f>
        <v>PS5/PS4</v>
      </c>
      <c r="C212" s="16" t="str">
        <f>IFERROR(__xludf.DUMMYFUNCTION("""COMPUTED_VALUE"""),"Extra")</f>
        <v>Extra</v>
      </c>
      <c r="D212" s="15" t="str">
        <f>IFERROR(__xludf.DUMMYFUNCTION("""COMPUTED_VALUE"""),"Removed")</f>
        <v>Removed</v>
      </c>
      <c r="E212" s="17">
        <f>IFERROR(__xludf.DUMMYFUNCTION("""COMPUTED_VALUE"""),45461.0)</f>
        <v>45461</v>
      </c>
      <c r="F212" s="54">
        <f>IFERROR(__xludf.DUMMYFUNCTION("""COMPUTED_VALUE"""),45733.0)</f>
        <v>45733</v>
      </c>
      <c r="G212" s="19">
        <f>IFERROR(__xludf.DUMMYFUNCTION("""COMPUTED_VALUE"""),8.966666666666667)</f>
        <v>8.966666667</v>
      </c>
      <c r="H212" s="17">
        <f>IFERROR(__xludf.DUMMYFUNCTION("""COMPUTED_VALUE"""),44994.0)</f>
        <v>44994</v>
      </c>
      <c r="I212" s="19">
        <f>IFERROR(__xludf.DUMMYFUNCTION("""COMPUTED_VALUE"""),1.275)</f>
        <v>1.275</v>
      </c>
      <c r="J212" s="21">
        <f>IFERROR(__xludf.DUMMYFUNCTION("""COMPUTED_VALUE"""),68.0)</f>
        <v>68</v>
      </c>
      <c r="K212" s="23">
        <f>IFERROR(__xludf.DUMMYFUNCTION("""COMPUTED_VALUE"""),5.6)</f>
        <v>5.6</v>
      </c>
      <c r="L212" s="24">
        <f>IFERROR(__xludf.DUMMYFUNCTION("""COMPUTED_VALUE"""),6.0)</f>
        <v>6</v>
      </c>
      <c r="M212" s="25" t="str">
        <f>IFERROR(__xludf.DUMMYFUNCTION("""COMPUTED_VALUE"""),"Racing")</f>
        <v>Racing</v>
      </c>
      <c r="N212" s="25"/>
      <c r="O212" s="26" t="str">
        <f>IFERROR(__xludf.DUMMYFUNCTION("""COMPUTED_VALUE"""),"Yes")</f>
        <v>Yes</v>
      </c>
      <c r="P212" s="26"/>
    </row>
    <row r="213">
      <c r="A213" s="13" t="str">
        <f>IFERROR(__xludf.DUMMYFUNCTION("""COMPUTED_VALUE"""),"Resident Evil 3")</f>
        <v>Resident Evil 3</v>
      </c>
      <c r="B213" s="15" t="str">
        <f>IFERROR(__xludf.DUMMYFUNCTION("""COMPUTED_VALUE"""),"PS5/PS4")</f>
        <v>PS5/PS4</v>
      </c>
      <c r="C213" s="16" t="str">
        <f>IFERROR(__xludf.DUMMYFUNCTION("""COMPUTED_VALUE"""),"Extra")</f>
        <v>Extra</v>
      </c>
      <c r="D213" s="15" t="str">
        <f>IFERROR(__xludf.DUMMYFUNCTION("""COMPUTED_VALUE"""),"Removed")</f>
        <v>Removed</v>
      </c>
      <c r="E213" s="17">
        <f>IFERROR(__xludf.DUMMYFUNCTION("""COMPUTED_VALUE"""),45370.0)</f>
        <v>45370</v>
      </c>
      <c r="F213" s="54">
        <f>IFERROR(__xludf.DUMMYFUNCTION("""COMPUTED_VALUE"""),45733.0)</f>
        <v>45733</v>
      </c>
      <c r="G213" s="19">
        <f>IFERROR(__xludf.DUMMYFUNCTION("""COMPUTED_VALUE"""),11.933333333333334)</f>
        <v>11.93333333</v>
      </c>
      <c r="H213" s="17">
        <f>IFERROR(__xludf.DUMMYFUNCTION("""COMPUTED_VALUE"""),43924.0)</f>
        <v>43924</v>
      </c>
      <c r="I213" s="19">
        <f>IFERROR(__xludf.DUMMYFUNCTION("""COMPUTED_VALUE"""),3.9611111111111112)</f>
        <v>3.961111111</v>
      </c>
      <c r="J213" s="21">
        <f>IFERROR(__xludf.DUMMYFUNCTION("""COMPUTED_VALUE"""),79.0)</f>
        <v>79</v>
      </c>
      <c r="K213" s="23">
        <f>IFERROR(__xludf.DUMMYFUNCTION("""COMPUTED_VALUE"""),6.6)</f>
        <v>6.6</v>
      </c>
      <c r="L213" s="24">
        <f>IFERROR(__xludf.DUMMYFUNCTION("""COMPUTED_VALUE"""),6.0)</f>
        <v>6</v>
      </c>
      <c r="M213" s="25" t="str">
        <f>IFERROR(__xludf.DUMMYFUNCTION("""COMPUTED_VALUE"""),"Shooter")</f>
        <v>Shooter</v>
      </c>
      <c r="N213" s="25"/>
      <c r="O213" s="26" t="str">
        <f>IFERROR(__xludf.DUMMYFUNCTION("""COMPUTED_VALUE"""),"No")</f>
        <v>No</v>
      </c>
      <c r="P213" s="26"/>
    </row>
    <row r="214">
      <c r="A214" s="13" t="str">
        <f>IFERROR(__xludf.DUMMYFUNCTION("""COMPUTED_VALUE"""),"JoJo's Bizarre Adventure: All-Star Battle R")</f>
        <v>JoJo's Bizarre Adventure: All-Star Battle R</v>
      </c>
      <c r="B214" s="15" t="str">
        <f>IFERROR(__xludf.DUMMYFUNCTION("""COMPUTED_VALUE"""),"PS4")</f>
        <v>PS4</v>
      </c>
      <c r="C214" s="16" t="str">
        <f>IFERROR(__xludf.DUMMYFUNCTION("""COMPUTED_VALUE"""),"Premium (Remasters)")</f>
        <v>Premium (Remasters)</v>
      </c>
      <c r="D214" s="15" t="str">
        <f>IFERROR(__xludf.DUMMYFUNCTION("""COMPUTED_VALUE"""),"Removed")</f>
        <v>Removed</v>
      </c>
      <c r="E214" s="17">
        <f>IFERROR(__xludf.DUMMYFUNCTION("""COMPUTED_VALUE"""),45370.0)</f>
        <v>45370</v>
      </c>
      <c r="F214" s="54">
        <f>IFERROR(__xludf.DUMMYFUNCTION("""COMPUTED_VALUE"""),45733.0)</f>
        <v>45733</v>
      </c>
      <c r="G214" s="19">
        <f>IFERROR(__xludf.DUMMYFUNCTION("""COMPUTED_VALUE"""),11.933333333333334)</f>
        <v>11.93333333</v>
      </c>
      <c r="H214" s="17">
        <f>IFERROR(__xludf.DUMMYFUNCTION("""COMPUTED_VALUE"""),44806.0)</f>
        <v>44806</v>
      </c>
      <c r="I214" s="19">
        <f>IFERROR(__xludf.DUMMYFUNCTION("""COMPUTED_VALUE"""),1.5472222222222223)</f>
        <v>1.547222222</v>
      </c>
      <c r="J214" s="21">
        <f>IFERROR(__xludf.DUMMYFUNCTION("""COMPUTED_VALUE"""),73.0)</f>
        <v>73</v>
      </c>
      <c r="K214" s="23">
        <f>IFERROR(__xludf.DUMMYFUNCTION("""COMPUTED_VALUE"""),7.8)</f>
        <v>7.8</v>
      </c>
      <c r="L214" s="24">
        <f>IFERROR(__xludf.DUMMYFUNCTION("""COMPUTED_VALUE"""),9.0)</f>
        <v>9</v>
      </c>
      <c r="M214" s="25" t="str">
        <f>IFERROR(__xludf.DUMMYFUNCTION("""COMPUTED_VALUE"""),"Fighting")</f>
        <v>Fighting</v>
      </c>
      <c r="N214" s="25" t="str">
        <f>IFERROR(__xludf.DUMMYFUNCTION("""COMPUTED_VALUE"""),"PS3")</f>
        <v>PS3</v>
      </c>
      <c r="O214" s="26" t="str">
        <f>IFERROR(__xludf.DUMMYFUNCTION("""COMPUTED_VALUE"""),"Yes")</f>
        <v>Yes</v>
      </c>
      <c r="P214" s="26"/>
    </row>
    <row r="215">
      <c r="A215" s="13" t="str">
        <f>IFERROR(__xludf.DUMMYFUNCTION("""COMPUTED_VALUE"""),"Phoenix Wright: Ace Attorney Trilogy")</f>
        <v>Phoenix Wright: Ace Attorney Trilogy</v>
      </c>
      <c r="B215" s="15" t="str">
        <f>IFERROR(__xludf.DUMMYFUNCTION("""COMPUTED_VALUE"""),"PS4")</f>
        <v>PS4</v>
      </c>
      <c r="C215" s="16" t="str">
        <f>IFERROR(__xludf.DUMMYFUNCTION("""COMPUTED_VALUE"""),"Premium (Remasters)")</f>
        <v>Premium (Remasters)</v>
      </c>
      <c r="D215" s="15" t="str">
        <f>IFERROR(__xludf.DUMMYFUNCTION("""COMPUTED_VALUE"""),"Removed")</f>
        <v>Removed</v>
      </c>
      <c r="E215" s="17">
        <f>IFERROR(__xludf.DUMMYFUNCTION("""COMPUTED_VALUE"""),45370.0)</f>
        <v>45370</v>
      </c>
      <c r="F215" s="54">
        <f>IFERROR(__xludf.DUMMYFUNCTION("""COMPUTED_VALUE"""),45733.0)</f>
        <v>45733</v>
      </c>
      <c r="G215" s="19">
        <f>IFERROR(__xludf.DUMMYFUNCTION("""COMPUTED_VALUE"""),11.933333333333334)</f>
        <v>11.93333333</v>
      </c>
      <c r="H215" s="17">
        <f>IFERROR(__xludf.DUMMYFUNCTION("""COMPUTED_VALUE"""),41982.0)</f>
        <v>41982</v>
      </c>
      <c r="I215" s="19">
        <f>IFERROR(__xludf.DUMMYFUNCTION("""COMPUTED_VALUE"""),9.277777777777779)</f>
        <v>9.277777778</v>
      </c>
      <c r="J215" s="21">
        <f>IFERROR(__xludf.DUMMYFUNCTION("""COMPUTED_VALUE"""),81.0)</f>
        <v>81</v>
      </c>
      <c r="K215" s="23">
        <f>IFERROR(__xludf.DUMMYFUNCTION("""COMPUTED_VALUE"""),8.7)</f>
        <v>8.7</v>
      </c>
      <c r="L215" s="24">
        <f>IFERROR(__xludf.DUMMYFUNCTION("""COMPUTED_VALUE"""),67.0)</f>
        <v>67</v>
      </c>
      <c r="M215" s="25" t="str">
        <f>IFERROR(__xludf.DUMMYFUNCTION("""COMPUTED_VALUE"""),"Visual Novel")</f>
        <v>Visual Novel</v>
      </c>
      <c r="N215" s="25" t="str">
        <f>IFERROR(__xludf.DUMMYFUNCTION("""COMPUTED_VALUE"""),"GBA/NDS")</f>
        <v>GBA/NDS</v>
      </c>
      <c r="O215" s="26" t="str">
        <f>IFERROR(__xludf.DUMMYFUNCTION("""COMPUTED_VALUE"""),"No")</f>
        <v>No</v>
      </c>
      <c r="P215" s="26"/>
    </row>
    <row r="216">
      <c r="A216" s="13" t="str">
        <f>IFERROR(__xludf.DUMMYFUNCTION("""COMPUTED_VALUE"""),"Dragon Ball Z: Kakarot")</f>
        <v>Dragon Ball Z: Kakarot</v>
      </c>
      <c r="B216" s="15" t="str">
        <f>IFERROR(__xludf.DUMMYFUNCTION("""COMPUTED_VALUE"""),"PS5/PS4")</f>
        <v>PS5/PS4</v>
      </c>
      <c r="C216" s="16" t="str">
        <f>IFERROR(__xludf.DUMMYFUNCTION("""COMPUTED_VALUE"""),"Extra")</f>
        <v>Extra</v>
      </c>
      <c r="D216" s="15" t="str">
        <f>IFERROR(__xludf.DUMMYFUNCTION("""COMPUTED_VALUE"""),"Removed")</f>
        <v>Removed</v>
      </c>
      <c r="E216" s="17">
        <f>IFERROR(__xludf.DUMMYFUNCTION("""COMPUTED_VALUE"""),45006.0)</f>
        <v>45006</v>
      </c>
      <c r="F216" s="54">
        <f>IFERROR(__xludf.DUMMYFUNCTION("""COMPUTED_VALUE"""),45733.0)</f>
        <v>45733</v>
      </c>
      <c r="G216" s="19">
        <f>IFERROR(__xludf.DUMMYFUNCTION("""COMPUTED_VALUE"""),23.866666666666667)</f>
        <v>23.86666667</v>
      </c>
      <c r="H216" s="17">
        <f>IFERROR(__xludf.DUMMYFUNCTION("""COMPUTED_VALUE"""),43846.0)</f>
        <v>43846</v>
      </c>
      <c r="I216" s="19">
        <f>IFERROR(__xludf.DUMMYFUNCTION("""COMPUTED_VALUE"""),3.1805555555555554)</f>
        <v>3.180555556</v>
      </c>
      <c r="J216" s="21">
        <f>IFERROR(__xludf.DUMMYFUNCTION("""COMPUTED_VALUE"""),73.0)</f>
        <v>73</v>
      </c>
      <c r="K216" s="23">
        <f>IFERROR(__xludf.DUMMYFUNCTION("""COMPUTED_VALUE"""),7.9)</f>
        <v>7.9</v>
      </c>
      <c r="L216" s="24">
        <f>IFERROR(__xludf.DUMMYFUNCTION("""COMPUTED_VALUE"""),30.0)</f>
        <v>30</v>
      </c>
      <c r="M216" s="25" t="str">
        <f>IFERROR(__xludf.DUMMYFUNCTION("""COMPUTED_VALUE"""),"Action-Adventure")</f>
        <v>Action-Adventure</v>
      </c>
      <c r="N216" s="25"/>
      <c r="O216" s="26" t="str">
        <f>IFERROR(__xludf.DUMMYFUNCTION("""COMPUTED_VALUE"""),"Yes")</f>
        <v>Yes</v>
      </c>
      <c r="P216" s="26"/>
    </row>
    <row r="217">
      <c r="A217" s="13" t="str">
        <f>IFERROR(__xludf.DUMMYFUNCTION("""COMPUTED_VALUE"""),"Final Fantasy Type-0 HD")</f>
        <v>Final Fantasy Type-0 HD</v>
      </c>
      <c r="B217" s="15" t="str">
        <f>IFERROR(__xludf.DUMMYFUNCTION("""COMPUTED_VALUE"""),"PS5/PS4")</f>
        <v>PS5/PS4</v>
      </c>
      <c r="C217" s="16" t="str">
        <f>IFERROR(__xludf.DUMMYFUNCTION("""COMPUTED_VALUE"""),"Extra")</f>
        <v>Extra</v>
      </c>
      <c r="D217" s="15" t="str">
        <f>IFERROR(__xludf.DUMMYFUNCTION("""COMPUTED_VALUE"""),"Removed")</f>
        <v>Removed</v>
      </c>
      <c r="E217" s="17">
        <f>IFERROR(__xludf.DUMMYFUNCTION("""COMPUTED_VALUE"""),45006.0)</f>
        <v>45006</v>
      </c>
      <c r="F217" s="54">
        <f>IFERROR(__xludf.DUMMYFUNCTION("""COMPUTED_VALUE"""),45733.0)</f>
        <v>45733</v>
      </c>
      <c r="G217" s="19">
        <f>IFERROR(__xludf.DUMMYFUNCTION("""COMPUTED_VALUE"""),23.866666666666667)</f>
        <v>23.86666667</v>
      </c>
      <c r="H217" s="17">
        <f>IFERROR(__xludf.DUMMYFUNCTION("""COMPUTED_VALUE"""),40843.0)</f>
        <v>40843</v>
      </c>
      <c r="I217" s="19">
        <f>IFERROR(__xludf.DUMMYFUNCTION("""COMPUTED_VALUE"""),11.4)</f>
        <v>11.4</v>
      </c>
      <c r="J217" s="21">
        <f>IFERROR(__xludf.DUMMYFUNCTION("""COMPUTED_VALUE"""),72.0)</f>
        <v>72</v>
      </c>
      <c r="K217" s="23">
        <f>IFERROR(__xludf.DUMMYFUNCTION("""COMPUTED_VALUE"""),7.5)</f>
        <v>7.5</v>
      </c>
      <c r="L217" s="24">
        <f>IFERROR(__xludf.DUMMYFUNCTION("""COMPUTED_VALUE"""),24.0)</f>
        <v>24</v>
      </c>
      <c r="M217" s="25" t="str">
        <f>IFERROR(__xludf.DUMMYFUNCTION("""COMPUTED_VALUE"""),"RPG")</f>
        <v>RPG</v>
      </c>
      <c r="N217" s="25"/>
      <c r="O217" s="26" t="str">
        <f>IFERROR(__xludf.DUMMYFUNCTION("""COMPUTED_VALUE"""),"Yes")</f>
        <v>Yes</v>
      </c>
      <c r="P217" s="26"/>
    </row>
    <row r="218">
      <c r="A218" s="13" t="str">
        <f>IFERROR(__xludf.DUMMYFUNCTION("""COMPUTED_VALUE"""),"Life Is Strange 2")</f>
        <v>Life Is Strange 2</v>
      </c>
      <c r="B218" s="15" t="str">
        <f>IFERROR(__xludf.DUMMYFUNCTION("""COMPUTED_VALUE"""),"PS5/PS4")</f>
        <v>PS5/PS4</v>
      </c>
      <c r="C218" s="16" t="str">
        <f>IFERROR(__xludf.DUMMYFUNCTION("""COMPUTED_VALUE"""),"Extra")</f>
        <v>Extra</v>
      </c>
      <c r="D218" s="15" t="str">
        <f>IFERROR(__xludf.DUMMYFUNCTION("""COMPUTED_VALUE"""),"Removed")</f>
        <v>Removed</v>
      </c>
      <c r="E218" s="17">
        <f>IFERROR(__xludf.DUMMYFUNCTION("""COMPUTED_VALUE"""),45006.0)</f>
        <v>45006</v>
      </c>
      <c r="F218" s="54">
        <f>IFERROR(__xludf.DUMMYFUNCTION("""COMPUTED_VALUE"""),45733.0)</f>
        <v>45733</v>
      </c>
      <c r="G218" s="19">
        <f>IFERROR(__xludf.DUMMYFUNCTION("""COMPUTED_VALUE"""),23.866666666666667)</f>
        <v>23.86666667</v>
      </c>
      <c r="H218" s="17">
        <f>IFERROR(__xludf.DUMMYFUNCTION("""COMPUTED_VALUE"""),44440.0)</f>
        <v>44440</v>
      </c>
      <c r="I218" s="19">
        <f>IFERROR(__xludf.DUMMYFUNCTION("""COMPUTED_VALUE"""),1.5555555555555556)</f>
        <v>1.555555556</v>
      </c>
      <c r="J218" s="21">
        <f>IFERROR(__xludf.DUMMYFUNCTION("""COMPUTED_VALUE"""),78.0)</f>
        <v>78</v>
      </c>
      <c r="K218" s="23">
        <f>IFERROR(__xludf.DUMMYFUNCTION("""COMPUTED_VALUE"""),6.6)</f>
        <v>6.6</v>
      </c>
      <c r="L218" s="24">
        <f>IFERROR(__xludf.DUMMYFUNCTION("""COMPUTED_VALUE"""),10.0)</f>
        <v>10</v>
      </c>
      <c r="M218" s="25" t="str">
        <f>IFERROR(__xludf.DUMMYFUNCTION("""COMPUTED_VALUE"""),"Action-Adventure")</f>
        <v>Action-Adventure</v>
      </c>
      <c r="N218" s="25"/>
      <c r="O218" s="26" t="str">
        <f>IFERROR(__xludf.DUMMYFUNCTION("""COMPUTED_VALUE"""),"No")</f>
        <v>No</v>
      </c>
      <c r="P218" s="26"/>
    </row>
    <row r="219">
      <c r="A219" s="13" t="str">
        <f>IFERROR(__xludf.DUMMYFUNCTION("""COMPUTED_VALUE"""),"Life Is Strange: True Colors")</f>
        <v>Life Is Strange: True Colors</v>
      </c>
      <c r="B219" s="15" t="str">
        <f>IFERROR(__xludf.DUMMYFUNCTION("""COMPUTED_VALUE"""),"PS5/PS4")</f>
        <v>PS5/PS4</v>
      </c>
      <c r="C219" s="16" t="str">
        <f>IFERROR(__xludf.DUMMYFUNCTION("""COMPUTED_VALUE"""),"Extra")</f>
        <v>Extra</v>
      </c>
      <c r="D219" s="15" t="str">
        <f>IFERROR(__xludf.DUMMYFUNCTION("""COMPUTED_VALUE"""),"Removed")</f>
        <v>Removed</v>
      </c>
      <c r="E219" s="17">
        <f>IFERROR(__xludf.DUMMYFUNCTION("""COMPUTED_VALUE"""),45006.0)</f>
        <v>45006</v>
      </c>
      <c r="F219" s="54">
        <f>IFERROR(__xludf.DUMMYFUNCTION("""COMPUTED_VALUE"""),45733.0)</f>
        <v>45733</v>
      </c>
      <c r="G219" s="19">
        <f>IFERROR(__xludf.DUMMYFUNCTION("""COMPUTED_VALUE"""),23.866666666666667)</f>
        <v>23.86666667</v>
      </c>
      <c r="H219" s="17">
        <f>IFERROR(__xludf.DUMMYFUNCTION("""COMPUTED_VALUE"""),43344.0)</f>
        <v>43344</v>
      </c>
      <c r="I219" s="19">
        <f>IFERROR(__xludf.DUMMYFUNCTION("""COMPUTED_VALUE"""),4.555555555555555)</f>
        <v>4.555555556</v>
      </c>
      <c r="J219" s="21">
        <f>IFERROR(__xludf.DUMMYFUNCTION("""COMPUTED_VALUE"""),81.0)</f>
        <v>81</v>
      </c>
      <c r="K219" s="23">
        <f>IFERROR(__xludf.DUMMYFUNCTION("""COMPUTED_VALUE"""),6.9)</f>
        <v>6.9</v>
      </c>
      <c r="L219" s="24">
        <f>IFERROR(__xludf.DUMMYFUNCTION("""COMPUTED_VALUE"""),16.0)</f>
        <v>16</v>
      </c>
      <c r="M219" s="25" t="str">
        <f>IFERROR(__xludf.DUMMYFUNCTION("""COMPUTED_VALUE"""),"Action-Adventure")</f>
        <v>Action-Adventure</v>
      </c>
      <c r="N219" s="25"/>
      <c r="O219" s="26" t="str">
        <f>IFERROR(__xludf.DUMMYFUNCTION("""COMPUTED_VALUE"""),"Yes")</f>
        <v>Yes</v>
      </c>
      <c r="P219" s="26"/>
    </row>
    <row r="220">
      <c r="A220" s="13" t="str">
        <f>IFERROR(__xludf.DUMMYFUNCTION("""COMPUTED_VALUE"""),"Street Fighter V: Champion Edition")</f>
        <v>Street Fighter V: Champion Edition</v>
      </c>
      <c r="B220" s="15" t="str">
        <f>IFERROR(__xludf.DUMMYFUNCTION("""COMPUTED_VALUE"""),"PS5/PS4")</f>
        <v>PS5/PS4</v>
      </c>
      <c r="C220" s="16" t="str">
        <f>IFERROR(__xludf.DUMMYFUNCTION("""COMPUTED_VALUE"""),"Extra")</f>
        <v>Extra</v>
      </c>
      <c r="D220" s="15" t="str">
        <f>IFERROR(__xludf.DUMMYFUNCTION("""COMPUTED_VALUE"""),"Removed")</f>
        <v>Removed</v>
      </c>
      <c r="E220" s="17">
        <f>IFERROR(__xludf.DUMMYFUNCTION("""COMPUTED_VALUE"""),45006.0)</f>
        <v>45006</v>
      </c>
      <c r="F220" s="54">
        <f>IFERROR(__xludf.DUMMYFUNCTION("""COMPUTED_VALUE"""),45733.0)</f>
        <v>45733</v>
      </c>
      <c r="G220" s="19">
        <f>IFERROR(__xludf.DUMMYFUNCTION("""COMPUTED_VALUE"""),23.866666666666667)</f>
        <v>23.86666667</v>
      </c>
      <c r="H220" s="17">
        <f>IFERROR(__xludf.DUMMYFUNCTION("""COMPUTED_VALUE"""),42416.0)</f>
        <v>42416</v>
      </c>
      <c r="I220" s="19">
        <f>IFERROR(__xludf.DUMMYFUNCTION("""COMPUTED_VALUE"""),7.097222222222222)</f>
        <v>7.097222222</v>
      </c>
      <c r="J220" s="21">
        <f>IFERROR(__xludf.DUMMYFUNCTION("""COMPUTED_VALUE"""),82.0)</f>
        <v>82</v>
      </c>
      <c r="K220" s="23">
        <f>IFERROR(__xludf.DUMMYFUNCTION("""COMPUTED_VALUE"""),6.0)</f>
        <v>6</v>
      </c>
      <c r="L220" s="24">
        <f>IFERROR(__xludf.DUMMYFUNCTION("""COMPUTED_VALUE"""),3.0)</f>
        <v>3</v>
      </c>
      <c r="M220" s="25" t="str">
        <f>IFERROR(__xludf.DUMMYFUNCTION("""COMPUTED_VALUE"""),"Fighting")</f>
        <v>Fighting</v>
      </c>
      <c r="N220" s="25"/>
      <c r="O220" s="26" t="str">
        <f>IFERROR(__xludf.DUMMYFUNCTION("""COMPUTED_VALUE"""),"Yes")</f>
        <v>Yes</v>
      </c>
      <c r="P220" s="26"/>
    </row>
    <row r="221">
      <c r="A221" s="13" t="str">
        <f>IFERROR(__xludf.DUMMYFUNCTION("""COMPUTED_VALUE"""),"Mortal Kombat 11")</f>
        <v>Mortal Kombat 11</v>
      </c>
      <c r="B221" s="15" t="str">
        <f>IFERROR(__xludf.DUMMYFUNCTION("""COMPUTED_VALUE"""),"PS5/PS4")</f>
        <v>PS5/PS4</v>
      </c>
      <c r="C221" s="16" t="str">
        <f>IFERROR(__xludf.DUMMYFUNCTION("""COMPUTED_VALUE"""),"Extra")</f>
        <v>Extra</v>
      </c>
      <c r="D221" s="15" t="str">
        <f>IFERROR(__xludf.DUMMYFUNCTION("""COMPUTED_VALUE"""),"Removed")</f>
        <v>Removed</v>
      </c>
      <c r="E221" s="17">
        <f>IFERROR(__xludf.DUMMYFUNCTION("""COMPUTED_VALUE"""),44473.0)</f>
        <v>44473</v>
      </c>
      <c r="F221" s="54">
        <f>IFERROR(__xludf.DUMMYFUNCTION("""COMPUTED_VALUE"""),45733.0)</f>
        <v>45733</v>
      </c>
      <c r="G221" s="19">
        <f>IFERROR(__xludf.DUMMYFUNCTION("""COMPUTED_VALUE"""),41.43333333333334)</f>
        <v>41.43333333</v>
      </c>
      <c r="H221" s="17">
        <f>IFERROR(__xludf.DUMMYFUNCTION("""COMPUTED_VALUE"""),43578.0)</f>
        <v>43578</v>
      </c>
      <c r="I221" s="19">
        <f>IFERROR(__xludf.DUMMYFUNCTION("""COMPUTED_VALUE"""),2.4472222222222224)</f>
        <v>2.447222222</v>
      </c>
      <c r="J221" s="21">
        <f>IFERROR(__xludf.DUMMYFUNCTION("""COMPUTED_VALUE"""),83.0)</f>
        <v>83</v>
      </c>
      <c r="K221" s="23">
        <f>IFERROR(__xludf.DUMMYFUNCTION("""COMPUTED_VALUE"""),7.8)</f>
        <v>7.8</v>
      </c>
      <c r="L221" s="24">
        <f>IFERROR(__xludf.DUMMYFUNCTION("""COMPUTED_VALUE"""),6.0)</f>
        <v>6</v>
      </c>
      <c r="M221" s="25" t="str">
        <f>IFERROR(__xludf.DUMMYFUNCTION("""COMPUTED_VALUE"""),"Fighting")</f>
        <v>Fighting</v>
      </c>
      <c r="N221" s="25"/>
      <c r="O221" s="26" t="str">
        <f>IFERROR(__xludf.DUMMYFUNCTION("""COMPUTED_VALUE"""),"Yes")</f>
        <v>Yes</v>
      </c>
      <c r="P221" s="26" t="str">
        <f>IFERROR(__xludf.DUMMYFUNCTION("""COMPUTED_VALUE"""),"Yes")</f>
        <v>Yes</v>
      </c>
    </row>
    <row r="222">
      <c r="A222" s="13" t="str">
        <f>IFERROR(__xludf.DUMMYFUNCTION("""COMPUTED_VALUE"""),"PAYDAY 3")</f>
        <v>PAYDAY 3</v>
      </c>
      <c r="B222" s="15" t="str">
        <f>IFERROR(__xludf.DUMMYFUNCTION("""COMPUTED_VALUE"""),"PS5")</f>
        <v>PS5</v>
      </c>
      <c r="C222" s="16" t="str">
        <f>IFERROR(__xludf.DUMMYFUNCTION("""COMPUTED_VALUE"""),"Essential")</f>
        <v>Essential</v>
      </c>
      <c r="D222" s="15" t="str">
        <f>IFERROR(__xludf.DUMMYFUNCTION("""COMPUTED_VALUE"""),"Removed")</f>
        <v>Removed</v>
      </c>
      <c r="E222" s="17">
        <f>IFERROR(__xludf.DUMMYFUNCTION("""COMPUTED_VALUE"""),45692.0)</f>
        <v>45692</v>
      </c>
      <c r="F222" s="54">
        <f>IFERROR(__xludf.DUMMYFUNCTION("""COMPUTED_VALUE"""),45719.0)</f>
        <v>45719</v>
      </c>
      <c r="G222" s="19">
        <f>IFERROR(__xludf.DUMMYFUNCTION("""COMPUTED_VALUE"""),0.9666666666666668)</f>
        <v>0.9666666667</v>
      </c>
      <c r="H222" s="17">
        <f>IFERROR(__xludf.DUMMYFUNCTION("""COMPUTED_VALUE"""),45190.0)</f>
        <v>45190</v>
      </c>
      <c r="I222" s="19">
        <f>IFERROR(__xludf.DUMMYFUNCTION("""COMPUTED_VALUE"""),1.3694444444444445)</f>
        <v>1.369444444</v>
      </c>
      <c r="J222" s="21">
        <f>IFERROR(__xludf.DUMMYFUNCTION("""COMPUTED_VALUE"""),66.0)</f>
        <v>66</v>
      </c>
      <c r="K222" s="23">
        <f>IFERROR(__xludf.DUMMYFUNCTION("""COMPUTED_VALUE"""),3.2)</f>
        <v>3.2</v>
      </c>
      <c r="L222" s="24">
        <f>IFERROR(__xludf.DUMMYFUNCTION("""COMPUTED_VALUE"""),14.0)</f>
        <v>14</v>
      </c>
      <c r="M222" s="25" t="str">
        <f>IFERROR(__xludf.DUMMYFUNCTION("""COMPUTED_VALUE"""),"Shooter")</f>
        <v>Shooter</v>
      </c>
      <c r="N222" s="25"/>
      <c r="O222" s="26" t="str">
        <f>IFERROR(__xludf.DUMMYFUNCTION("""COMPUTED_VALUE"""),"No")</f>
        <v>No</v>
      </c>
      <c r="P222" s="26"/>
    </row>
    <row r="223">
      <c r="A223" s="13" t="str">
        <f>IFERROR(__xludf.DUMMYFUNCTION("""COMPUTED_VALUE"""),"High on Life")</f>
        <v>High on Life</v>
      </c>
      <c r="B223" s="15" t="str">
        <f>IFERROR(__xludf.DUMMYFUNCTION("""COMPUTED_VALUE"""),"PS5/PS4")</f>
        <v>PS5/PS4</v>
      </c>
      <c r="C223" s="16" t="str">
        <f>IFERROR(__xludf.DUMMYFUNCTION("""COMPUTED_VALUE"""),"Essential")</f>
        <v>Essential</v>
      </c>
      <c r="D223" s="15" t="str">
        <f>IFERROR(__xludf.DUMMYFUNCTION("""COMPUTED_VALUE"""),"Removed")</f>
        <v>Removed</v>
      </c>
      <c r="E223" s="17">
        <f>IFERROR(__xludf.DUMMYFUNCTION("""COMPUTED_VALUE"""),45692.0)</f>
        <v>45692</v>
      </c>
      <c r="F223" s="54">
        <f>IFERROR(__xludf.DUMMYFUNCTION("""COMPUTED_VALUE"""),45719.0)</f>
        <v>45719</v>
      </c>
      <c r="G223" s="19">
        <f>IFERROR(__xludf.DUMMYFUNCTION("""COMPUTED_VALUE"""),0.9666666666666668)</f>
        <v>0.9666666667</v>
      </c>
      <c r="H223" s="17">
        <f>IFERROR(__xludf.DUMMYFUNCTION("""COMPUTED_VALUE"""),44908.0)</f>
        <v>44908</v>
      </c>
      <c r="I223" s="19">
        <f>IFERROR(__xludf.DUMMYFUNCTION("""COMPUTED_VALUE"""),2.1416666666666666)</f>
        <v>2.141666667</v>
      </c>
      <c r="J223" s="21">
        <f>IFERROR(__xludf.DUMMYFUNCTION("""COMPUTED_VALUE"""),67.0)</f>
        <v>67</v>
      </c>
      <c r="K223" s="23">
        <f>IFERROR(__xludf.DUMMYFUNCTION("""COMPUTED_VALUE"""),7.8)</f>
        <v>7.8</v>
      </c>
      <c r="L223" s="24">
        <f>IFERROR(__xludf.DUMMYFUNCTION("""COMPUTED_VALUE"""),10.0)</f>
        <v>10</v>
      </c>
      <c r="M223" s="25" t="str">
        <f>IFERROR(__xludf.DUMMYFUNCTION("""COMPUTED_VALUE"""),"Action-Adventure")</f>
        <v>Action-Adventure</v>
      </c>
      <c r="N223" s="25"/>
      <c r="O223" s="26" t="str">
        <f>IFERROR(__xludf.DUMMYFUNCTION("""COMPUTED_VALUE"""),"No")</f>
        <v>No</v>
      </c>
      <c r="P223" s="26"/>
    </row>
    <row r="224">
      <c r="A224" s="13" t="str">
        <f>IFERROR(__xludf.DUMMYFUNCTION("""COMPUTED_VALUE"""),"Pac-Man World: Re-PAC")</f>
        <v>Pac-Man World: Re-PAC</v>
      </c>
      <c r="B224" s="15" t="str">
        <f>IFERROR(__xludf.DUMMYFUNCTION("""COMPUTED_VALUE"""),"PS5/PS4")</f>
        <v>PS5/PS4</v>
      </c>
      <c r="C224" s="16" t="str">
        <f>IFERROR(__xludf.DUMMYFUNCTION("""COMPUTED_VALUE"""),"Essential")</f>
        <v>Essential</v>
      </c>
      <c r="D224" s="15" t="str">
        <f>IFERROR(__xludf.DUMMYFUNCTION("""COMPUTED_VALUE"""),"Removed")</f>
        <v>Removed</v>
      </c>
      <c r="E224" s="17">
        <f>IFERROR(__xludf.DUMMYFUNCTION("""COMPUTED_VALUE"""),45692.0)</f>
        <v>45692</v>
      </c>
      <c r="F224" s="54">
        <f>IFERROR(__xludf.DUMMYFUNCTION("""COMPUTED_VALUE"""),45719.0)</f>
        <v>45719</v>
      </c>
      <c r="G224" s="19">
        <f>IFERROR(__xludf.DUMMYFUNCTION("""COMPUTED_VALUE"""),0.9666666666666668)</f>
        <v>0.9666666667</v>
      </c>
      <c r="H224" s="17">
        <f>IFERROR(__xludf.DUMMYFUNCTION("""COMPUTED_VALUE"""),44799.0)</f>
        <v>44799</v>
      </c>
      <c r="I224" s="19">
        <f>IFERROR(__xludf.DUMMYFUNCTION("""COMPUTED_VALUE"""),2.438888888888889)</f>
        <v>2.438888889</v>
      </c>
      <c r="J224" s="21">
        <f>IFERROR(__xludf.DUMMYFUNCTION("""COMPUTED_VALUE"""),71.0)</f>
        <v>71</v>
      </c>
      <c r="K224" s="23">
        <f>IFERROR(__xludf.DUMMYFUNCTION("""COMPUTED_VALUE"""),8.2)</f>
        <v>8.2</v>
      </c>
      <c r="L224" s="24">
        <f>IFERROR(__xludf.DUMMYFUNCTION("""COMPUTED_VALUE"""),6.0)</f>
        <v>6</v>
      </c>
      <c r="M224" s="25" t="str">
        <f>IFERROR(__xludf.DUMMYFUNCTION("""COMPUTED_VALUE"""),"Platformer")</f>
        <v>Platformer</v>
      </c>
      <c r="N224" s="25"/>
      <c r="O224" s="26" t="str">
        <f>IFERROR(__xludf.DUMMYFUNCTION("""COMPUTED_VALUE"""),"No")</f>
        <v>No</v>
      </c>
      <c r="P224" s="26"/>
    </row>
    <row r="225">
      <c r="A225" s="13" t="str">
        <f>IFERROR(__xludf.DUMMYFUNCTION("""COMPUTED_VALUE"""),"The Outer Worlds: Spacer's Choice Edition")</f>
        <v>The Outer Worlds: Spacer's Choice Edition</v>
      </c>
      <c r="B225" s="15" t="str">
        <f>IFERROR(__xludf.DUMMYFUNCTION("""COMPUTED_VALUE"""),"PS5")</f>
        <v>PS5</v>
      </c>
      <c r="C225" s="16" t="str">
        <f>IFERROR(__xludf.DUMMYFUNCTION("""COMPUTED_VALUE"""),"Extra")</f>
        <v>Extra</v>
      </c>
      <c r="D225" s="15" t="str">
        <f>IFERROR(__xludf.DUMMYFUNCTION("""COMPUTED_VALUE"""),"Removed")</f>
        <v>Removed</v>
      </c>
      <c r="E225" s="17">
        <f>IFERROR(__xludf.DUMMYFUNCTION("""COMPUTED_VALUE"""),45342.0)</f>
        <v>45342</v>
      </c>
      <c r="F225" s="54">
        <f>IFERROR(__xludf.DUMMYFUNCTION("""COMPUTED_VALUE"""),45705.0)</f>
        <v>45705</v>
      </c>
      <c r="G225" s="19">
        <f>IFERROR(__xludf.DUMMYFUNCTION("""COMPUTED_VALUE"""),11.9)</f>
        <v>11.9</v>
      </c>
      <c r="H225" s="17">
        <f>IFERROR(__xludf.DUMMYFUNCTION("""COMPUTED_VALUE"""),43763.0)</f>
        <v>43763</v>
      </c>
      <c r="I225" s="19">
        <f>IFERROR(__xludf.DUMMYFUNCTION("""COMPUTED_VALUE"""),4.319444444444445)</f>
        <v>4.319444444</v>
      </c>
      <c r="J225" s="21">
        <f>IFERROR(__xludf.DUMMYFUNCTION("""COMPUTED_VALUE"""),72.0)</f>
        <v>72</v>
      </c>
      <c r="K225" s="23">
        <f>IFERROR(__xludf.DUMMYFUNCTION("""COMPUTED_VALUE"""),5.6)</f>
        <v>5.6</v>
      </c>
      <c r="L225" s="24">
        <f>IFERROR(__xludf.DUMMYFUNCTION("""COMPUTED_VALUE"""),16.0)</f>
        <v>16</v>
      </c>
      <c r="M225" s="25" t="str">
        <f>IFERROR(__xludf.DUMMYFUNCTION("""COMPUTED_VALUE"""),"RPG")</f>
        <v>RPG</v>
      </c>
      <c r="N225" s="25"/>
      <c r="O225" s="26" t="str">
        <f>IFERROR(__xludf.DUMMYFUNCTION("""COMPUTED_VALUE"""),"Portal (PS5 + Premium)")</f>
        <v>Portal (PS5 + Premium)</v>
      </c>
      <c r="P225" s="26"/>
    </row>
    <row r="226">
      <c r="A226" s="13" t="str">
        <f>IFERROR(__xludf.DUMMYFUNCTION("""COMPUTED_VALUE"""),"Tales of Arise")</f>
        <v>Tales of Arise</v>
      </c>
      <c r="B226" s="15" t="str">
        <f>IFERROR(__xludf.DUMMYFUNCTION("""COMPUTED_VALUE"""),"PS5/PS4")</f>
        <v>PS5/PS4</v>
      </c>
      <c r="C226" s="16" t="str">
        <f>IFERROR(__xludf.DUMMYFUNCTION("""COMPUTED_VALUE"""),"Extra")</f>
        <v>Extra</v>
      </c>
      <c r="D226" s="15" t="str">
        <f>IFERROR(__xludf.DUMMYFUNCTION("""COMPUTED_VALUE"""),"Removed")</f>
        <v>Removed</v>
      </c>
      <c r="E226" s="17">
        <f>IFERROR(__xludf.DUMMYFUNCTION("""COMPUTED_VALUE"""),45342.0)</f>
        <v>45342</v>
      </c>
      <c r="F226" s="18">
        <f>IFERROR(__xludf.DUMMYFUNCTION("""COMPUTED_VALUE"""),45705.0)</f>
        <v>45705</v>
      </c>
      <c r="G226" s="19">
        <f>IFERROR(__xludf.DUMMYFUNCTION("""COMPUTED_VALUE"""),11.9)</f>
        <v>11.9</v>
      </c>
      <c r="H226" s="17">
        <f>IFERROR(__xludf.DUMMYFUNCTION("""COMPUTED_VALUE"""),44449.0)</f>
        <v>44449</v>
      </c>
      <c r="I226" s="19">
        <f>IFERROR(__xludf.DUMMYFUNCTION("""COMPUTED_VALUE"""),2.4444444444444446)</f>
        <v>2.444444444</v>
      </c>
      <c r="J226" s="21">
        <f>IFERROR(__xludf.DUMMYFUNCTION("""COMPUTED_VALUE"""),87.0)</f>
        <v>87</v>
      </c>
      <c r="K226" s="23">
        <f>IFERROR(__xludf.DUMMYFUNCTION("""COMPUTED_VALUE"""),7.9)</f>
        <v>7.9</v>
      </c>
      <c r="L226" s="24">
        <f>IFERROR(__xludf.DUMMYFUNCTION("""COMPUTED_VALUE"""),41.0)</f>
        <v>41</v>
      </c>
      <c r="M226" s="25" t="str">
        <f>IFERROR(__xludf.DUMMYFUNCTION("""COMPUTED_VALUE"""),"RPG")</f>
        <v>RPG</v>
      </c>
      <c r="N226" s="25"/>
      <c r="O226" s="26" t="str">
        <f>IFERROR(__xludf.DUMMYFUNCTION("""COMPUTED_VALUE"""),"Yes")</f>
        <v>Yes</v>
      </c>
      <c r="P226" s="26"/>
    </row>
    <row r="227">
      <c r="A227" s="13" t="str">
        <f>IFERROR(__xludf.DUMMYFUNCTION("""COMPUTED_VALUE"""),"Tales of Zestiria")</f>
        <v>Tales of Zestiria</v>
      </c>
      <c r="B227" s="15" t="str">
        <f>IFERROR(__xludf.DUMMYFUNCTION("""COMPUTED_VALUE"""),"PS4")</f>
        <v>PS4</v>
      </c>
      <c r="C227" s="16" t="str">
        <f>IFERROR(__xludf.DUMMYFUNCTION("""COMPUTED_VALUE"""),"Extra")</f>
        <v>Extra</v>
      </c>
      <c r="D227" s="15" t="str">
        <f>IFERROR(__xludf.DUMMYFUNCTION("""COMPUTED_VALUE"""),"Removed")</f>
        <v>Removed</v>
      </c>
      <c r="E227" s="17">
        <f>IFERROR(__xludf.DUMMYFUNCTION("""COMPUTED_VALUE"""),45342.0)</f>
        <v>45342</v>
      </c>
      <c r="F227" s="54">
        <f>IFERROR(__xludf.DUMMYFUNCTION("""COMPUTED_VALUE"""),45705.0)</f>
        <v>45705</v>
      </c>
      <c r="G227" s="19">
        <f>IFERROR(__xludf.DUMMYFUNCTION("""COMPUTED_VALUE"""),11.9)</f>
        <v>11.9</v>
      </c>
      <c r="H227" s="17">
        <f>IFERROR(__xludf.DUMMYFUNCTION("""COMPUTED_VALUE"""),42297.0)</f>
        <v>42297</v>
      </c>
      <c r="I227" s="19">
        <f>IFERROR(__xludf.DUMMYFUNCTION("""COMPUTED_VALUE"""),8.333333333333334)</f>
        <v>8.333333333</v>
      </c>
      <c r="J227" s="21">
        <f>IFERROR(__xludf.DUMMYFUNCTION("""COMPUTED_VALUE"""),72.0)</f>
        <v>72</v>
      </c>
      <c r="K227" s="23">
        <f>IFERROR(__xludf.DUMMYFUNCTION("""COMPUTED_VALUE"""),7.2)</f>
        <v>7.2</v>
      </c>
      <c r="L227" s="24">
        <f>IFERROR(__xludf.DUMMYFUNCTION("""COMPUTED_VALUE"""),42.0)</f>
        <v>42</v>
      </c>
      <c r="M227" s="25" t="str">
        <f>IFERROR(__xludf.DUMMYFUNCTION("""COMPUTED_VALUE"""),"RPG")</f>
        <v>RPG</v>
      </c>
      <c r="N227" s="25"/>
      <c r="O227" s="26" t="str">
        <f>IFERROR(__xludf.DUMMYFUNCTION("""COMPUTED_VALUE"""),"Yes")</f>
        <v>Yes</v>
      </c>
      <c r="P227" s="26"/>
    </row>
    <row r="228">
      <c r="A228" s="13" t="str">
        <f>IFERROR(__xludf.DUMMYFUNCTION("""COMPUTED_VALUE"""),"Tales of Symphonia: Remastered")</f>
        <v>Tales of Symphonia: Remastered</v>
      </c>
      <c r="B228" s="15" t="str">
        <f>IFERROR(__xludf.DUMMYFUNCTION("""COMPUTED_VALUE"""),"PS5/PS4")</f>
        <v>PS5/PS4</v>
      </c>
      <c r="C228" s="16" t="str">
        <f>IFERROR(__xludf.DUMMYFUNCTION("""COMPUTED_VALUE"""),"Premium (Remasters)")</f>
        <v>Premium (Remasters)</v>
      </c>
      <c r="D228" s="15" t="str">
        <f>IFERROR(__xludf.DUMMYFUNCTION("""COMPUTED_VALUE"""),"Removed")</f>
        <v>Removed</v>
      </c>
      <c r="E228" s="17">
        <f>IFERROR(__xludf.DUMMYFUNCTION("""COMPUTED_VALUE"""),45342.0)</f>
        <v>45342</v>
      </c>
      <c r="F228" s="54">
        <f>IFERROR(__xludf.DUMMYFUNCTION("""COMPUTED_VALUE"""),45705.0)</f>
        <v>45705</v>
      </c>
      <c r="G228" s="19">
        <f>IFERROR(__xludf.DUMMYFUNCTION("""COMPUTED_VALUE"""),11.9)</f>
        <v>11.9</v>
      </c>
      <c r="H228" s="17">
        <f>IFERROR(__xludf.DUMMYFUNCTION("""COMPUTED_VALUE"""),38181.0)</f>
        <v>38181</v>
      </c>
      <c r="I228" s="19">
        <f>IFERROR(__xludf.DUMMYFUNCTION("""COMPUTED_VALUE"""),19.602777777777778)</f>
        <v>19.60277778</v>
      </c>
      <c r="J228" s="21">
        <f>IFERROR(__xludf.DUMMYFUNCTION("""COMPUTED_VALUE"""),86.0)</f>
        <v>86</v>
      </c>
      <c r="K228" s="23">
        <f>IFERROR(__xludf.DUMMYFUNCTION("""COMPUTED_VALUE"""),8.9)</f>
        <v>8.9</v>
      </c>
      <c r="L228" s="24">
        <f>IFERROR(__xludf.DUMMYFUNCTION("""COMPUTED_VALUE"""),47.0)</f>
        <v>47</v>
      </c>
      <c r="M228" s="25" t="str">
        <f>IFERROR(__xludf.DUMMYFUNCTION("""COMPUTED_VALUE"""),"RPG")</f>
        <v>RPG</v>
      </c>
      <c r="N228" s="25" t="str">
        <f>IFERROR(__xludf.DUMMYFUNCTION("""COMPUTED_VALUE"""),"PS2")</f>
        <v>PS2</v>
      </c>
      <c r="O228" s="26" t="str">
        <f>IFERROR(__xludf.DUMMYFUNCTION("""COMPUTED_VALUE"""),"Yes")</f>
        <v>Yes</v>
      </c>
      <c r="P228" s="26"/>
    </row>
    <row r="229">
      <c r="A229" s="13" t="str">
        <f>IFERROR(__xludf.DUMMYFUNCTION("""COMPUTED_VALUE"""),"Tales of Vesperia: Definitive Edition")</f>
        <v>Tales of Vesperia: Definitive Edition</v>
      </c>
      <c r="B229" s="15" t="str">
        <f>IFERROR(__xludf.DUMMYFUNCTION("""COMPUTED_VALUE"""),"PS5/PS4")</f>
        <v>PS5/PS4</v>
      </c>
      <c r="C229" s="16" t="str">
        <f>IFERROR(__xludf.DUMMYFUNCTION("""COMPUTED_VALUE"""),"Premium (Remasters)")</f>
        <v>Premium (Remasters)</v>
      </c>
      <c r="D229" s="15" t="str">
        <f>IFERROR(__xludf.DUMMYFUNCTION("""COMPUTED_VALUE"""),"Removed")</f>
        <v>Removed</v>
      </c>
      <c r="E229" s="17">
        <f>IFERROR(__xludf.DUMMYFUNCTION("""COMPUTED_VALUE"""),45342.0)</f>
        <v>45342</v>
      </c>
      <c r="F229" s="54">
        <f>IFERROR(__xludf.DUMMYFUNCTION("""COMPUTED_VALUE"""),45705.0)</f>
        <v>45705</v>
      </c>
      <c r="G229" s="19">
        <f>IFERROR(__xludf.DUMMYFUNCTION("""COMPUTED_VALUE"""),11.9)</f>
        <v>11.9</v>
      </c>
      <c r="H229" s="17">
        <f>IFERROR(__xludf.DUMMYFUNCTION("""COMPUTED_VALUE"""),39686.0)</f>
        <v>39686</v>
      </c>
      <c r="I229" s="19">
        <f>IFERROR(__xludf.DUMMYFUNCTION("""COMPUTED_VALUE"""),15.483333333333333)</f>
        <v>15.48333333</v>
      </c>
      <c r="J229" s="21">
        <f>IFERROR(__xludf.DUMMYFUNCTION("""COMPUTED_VALUE"""),81.0)</f>
        <v>81</v>
      </c>
      <c r="K229" s="23">
        <f>IFERROR(__xludf.DUMMYFUNCTION("""COMPUTED_VALUE"""),7.6)</f>
        <v>7.6</v>
      </c>
      <c r="L229" s="24">
        <f>IFERROR(__xludf.DUMMYFUNCTION("""COMPUTED_VALUE"""),46.0)</f>
        <v>46</v>
      </c>
      <c r="M229" s="25" t="str">
        <f>IFERROR(__xludf.DUMMYFUNCTION("""COMPUTED_VALUE"""),"RPG")</f>
        <v>RPG</v>
      </c>
      <c r="N229" s="25" t="str">
        <f>IFERROR(__xludf.DUMMYFUNCTION("""COMPUTED_VALUE"""),"PS3")</f>
        <v>PS3</v>
      </c>
      <c r="O229" s="26" t="str">
        <f>IFERROR(__xludf.DUMMYFUNCTION("""COMPUTED_VALUE"""),"Yes")</f>
        <v>Yes</v>
      </c>
      <c r="P229" s="26"/>
    </row>
    <row r="230">
      <c r="A230" s="13" t="str">
        <f>IFERROR(__xludf.DUMMYFUNCTION("""COMPUTED_VALUE"""),"Outriders")</f>
        <v>Outriders</v>
      </c>
      <c r="B230" s="15" t="str">
        <f>IFERROR(__xludf.DUMMYFUNCTION("""COMPUTED_VALUE"""),"PS5/PS4")</f>
        <v>PS5/PS4</v>
      </c>
      <c r="C230" s="16" t="str">
        <f>IFERROR(__xludf.DUMMYFUNCTION("""COMPUTED_VALUE"""),"Extra")</f>
        <v>Extra</v>
      </c>
      <c r="D230" s="15" t="str">
        <f>IFERROR(__xludf.DUMMYFUNCTION("""COMPUTED_VALUE"""),"Removed")</f>
        <v>Removed</v>
      </c>
      <c r="E230" s="17">
        <f>IFERROR(__xludf.DUMMYFUNCTION("""COMPUTED_VALUE"""),44978.0)</f>
        <v>44978</v>
      </c>
      <c r="F230" s="54">
        <f>IFERROR(__xludf.DUMMYFUNCTION("""COMPUTED_VALUE"""),45705.0)</f>
        <v>45705</v>
      </c>
      <c r="G230" s="19">
        <f>IFERROR(__xludf.DUMMYFUNCTION("""COMPUTED_VALUE"""),23.866666666666667)</f>
        <v>23.86666667</v>
      </c>
      <c r="H230" s="17">
        <f>IFERROR(__xludf.DUMMYFUNCTION("""COMPUTED_VALUE"""),44287.0)</f>
        <v>44287</v>
      </c>
      <c r="I230" s="19">
        <f>IFERROR(__xludf.DUMMYFUNCTION("""COMPUTED_VALUE"""),1.8888888888888888)</f>
        <v>1.888888889</v>
      </c>
      <c r="J230" s="21">
        <f>IFERROR(__xludf.DUMMYFUNCTION("""COMPUTED_VALUE"""),72.0)</f>
        <v>72</v>
      </c>
      <c r="K230" s="23">
        <f>IFERROR(__xludf.DUMMYFUNCTION("""COMPUTED_VALUE"""),4.8)</f>
        <v>4.8</v>
      </c>
      <c r="L230" s="24">
        <f>IFERROR(__xludf.DUMMYFUNCTION("""COMPUTED_VALUE"""),16.0)</f>
        <v>16</v>
      </c>
      <c r="M230" s="25" t="str">
        <f>IFERROR(__xludf.DUMMYFUNCTION("""COMPUTED_VALUE"""),"Shooter")</f>
        <v>Shooter</v>
      </c>
      <c r="N230" s="25"/>
      <c r="O230" s="26" t="str">
        <f>IFERROR(__xludf.DUMMYFUNCTION("""COMPUTED_VALUE"""),"Yes")</f>
        <v>Yes</v>
      </c>
      <c r="P230" s="26"/>
    </row>
    <row r="231">
      <c r="A231" s="13" t="str">
        <f>IFERROR(__xludf.DUMMYFUNCTION("""COMPUTED_VALUE"""),"Scarlet Nexus")</f>
        <v>Scarlet Nexus</v>
      </c>
      <c r="B231" s="15" t="str">
        <f>IFERROR(__xludf.DUMMYFUNCTION("""COMPUTED_VALUE"""),"PS5/PS4")</f>
        <v>PS5/PS4</v>
      </c>
      <c r="C231" s="16" t="str">
        <f>IFERROR(__xludf.DUMMYFUNCTION("""COMPUTED_VALUE"""),"Extra")</f>
        <v>Extra</v>
      </c>
      <c r="D231" s="15" t="str">
        <f>IFERROR(__xludf.DUMMYFUNCTION("""COMPUTED_VALUE"""),"Removed")</f>
        <v>Removed</v>
      </c>
      <c r="E231" s="17">
        <f>IFERROR(__xludf.DUMMYFUNCTION("""COMPUTED_VALUE"""),44978.0)</f>
        <v>44978</v>
      </c>
      <c r="F231" s="54">
        <f>IFERROR(__xludf.DUMMYFUNCTION("""COMPUTED_VALUE"""),45705.0)</f>
        <v>45705</v>
      </c>
      <c r="G231" s="19">
        <f>IFERROR(__xludf.DUMMYFUNCTION("""COMPUTED_VALUE"""),23.866666666666667)</f>
        <v>23.86666667</v>
      </c>
      <c r="H231" s="17">
        <f>IFERROR(__xludf.DUMMYFUNCTION("""COMPUTED_VALUE"""),44372.0)</f>
        <v>44372</v>
      </c>
      <c r="I231" s="19">
        <f>IFERROR(__xludf.DUMMYFUNCTION("""COMPUTED_VALUE"""),1.6555555555555554)</f>
        <v>1.655555556</v>
      </c>
      <c r="J231" s="21">
        <f>IFERROR(__xludf.DUMMYFUNCTION("""COMPUTED_VALUE"""),80.0)</f>
        <v>80</v>
      </c>
      <c r="K231" s="23">
        <f>IFERROR(__xludf.DUMMYFUNCTION("""COMPUTED_VALUE"""),8.0)</f>
        <v>8</v>
      </c>
      <c r="L231" s="24">
        <f>IFERROR(__xludf.DUMMYFUNCTION("""COMPUTED_VALUE"""),25.0)</f>
        <v>25</v>
      </c>
      <c r="M231" s="25" t="str">
        <f>IFERROR(__xludf.DUMMYFUNCTION("""COMPUTED_VALUE"""),"Action-Adventure")</f>
        <v>Action-Adventure</v>
      </c>
      <c r="N231" s="25"/>
      <c r="O231" s="26" t="str">
        <f>IFERROR(__xludf.DUMMYFUNCTION("""COMPUTED_VALUE"""),"Yes")</f>
        <v>Yes</v>
      </c>
      <c r="P231" s="26"/>
    </row>
    <row r="232">
      <c r="A232" s="13" t="str">
        <f>IFERROR(__xludf.DUMMYFUNCTION("""COMPUTED_VALUE"""),"Bulletstorm: Full Clip Edition")</f>
        <v>Bulletstorm: Full Clip Edition</v>
      </c>
      <c r="B232" s="15" t="str">
        <f>IFERROR(__xludf.DUMMYFUNCTION("""COMPUTED_VALUE"""),"PS4")</f>
        <v>PS4</v>
      </c>
      <c r="C232" s="16" t="str">
        <f>IFERROR(__xludf.DUMMYFUNCTION("""COMPUTED_VALUE"""),"Premium (Remasters)")</f>
        <v>Premium (Remasters)</v>
      </c>
      <c r="D232" s="15" t="str">
        <f>IFERROR(__xludf.DUMMYFUNCTION("""COMPUTED_VALUE"""),"Removed")</f>
        <v>Removed</v>
      </c>
      <c r="E232" s="17">
        <f>IFERROR(__xludf.DUMMYFUNCTION("""COMPUTED_VALUE"""),43410.0)</f>
        <v>43410</v>
      </c>
      <c r="F232" s="54">
        <f>IFERROR(__xludf.DUMMYFUNCTION("""COMPUTED_VALUE"""),45705.0)</f>
        <v>45705</v>
      </c>
      <c r="G232" s="19">
        <f>IFERROR(__xludf.DUMMYFUNCTION("""COMPUTED_VALUE"""),75.36666666666667)</f>
        <v>75.36666667</v>
      </c>
      <c r="H232" s="17">
        <f>IFERROR(__xludf.DUMMYFUNCTION("""COMPUTED_VALUE"""),42832.0)</f>
        <v>42832</v>
      </c>
      <c r="I232" s="19">
        <f>IFERROR(__xludf.DUMMYFUNCTION("""COMPUTED_VALUE"""),1.5805555555555555)</f>
        <v>1.580555556</v>
      </c>
      <c r="J232" s="21">
        <f>IFERROR(__xludf.DUMMYFUNCTION("""COMPUTED_VALUE"""),75.0)</f>
        <v>75</v>
      </c>
      <c r="K232" s="23">
        <f>IFERROR(__xludf.DUMMYFUNCTION("""COMPUTED_VALUE"""),7.8)</f>
        <v>7.8</v>
      </c>
      <c r="L232" s="24">
        <f>IFERROR(__xludf.DUMMYFUNCTION("""COMPUTED_VALUE"""),6.0)</f>
        <v>6</v>
      </c>
      <c r="M232" s="25" t="str">
        <f>IFERROR(__xludf.DUMMYFUNCTION("""COMPUTED_VALUE"""),"Shooter")</f>
        <v>Shooter</v>
      </c>
      <c r="N232" s="25" t="str">
        <f>IFERROR(__xludf.DUMMYFUNCTION("""COMPUTED_VALUE"""),"PS3")</f>
        <v>PS3</v>
      </c>
      <c r="O232" s="26" t="str">
        <f>IFERROR(__xludf.DUMMYFUNCTION("""COMPUTED_VALUE"""),"No")</f>
        <v>No</v>
      </c>
      <c r="P232" s="26"/>
    </row>
    <row r="233">
      <c r="A233" s="13" t="str">
        <f>IFERROR(__xludf.DUMMYFUNCTION("""COMPUTED_VALUE"""),"Suicide Squad: Kill the Justice League")</f>
        <v>Suicide Squad: Kill the Justice League</v>
      </c>
      <c r="B233" s="15" t="str">
        <f>IFERROR(__xludf.DUMMYFUNCTION("""COMPUTED_VALUE"""),"PS5")</f>
        <v>PS5</v>
      </c>
      <c r="C233" s="16" t="str">
        <f>IFERROR(__xludf.DUMMYFUNCTION("""COMPUTED_VALUE"""),"Essential")</f>
        <v>Essential</v>
      </c>
      <c r="D233" s="15" t="str">
        <f>IFERROR(__xludf.DUMMYFUNCTION("""COMPUTED_VALUE"""),"Removed")</f>
        <v>Removed</v>
      </c>
      <c r="E233" s="17">
        <f>IFERROR(__xludf.DUMMYFUNCTION("""COMPUTED_VALUE"""),45664.0)</f>
        <v>45664</v>
      </c>
      <c r="F233" s="54">
        <f>IFERROR(__xludf.DUMMYFUNCTION("""COMPUTED_VALUE"""),45691.0)</f>
        <v>45691</v>
      </c>
      <c r="G233" s="19">
        <f>IFERROR(__xludf.DUMMYFUNCTION("""COMPUTED_VALUE"""),0.8666666666666666)</f>
        <v>0.8666666667</v>
      </c>
      <c r="H233" s="17">
        <f>IFERROR(__xludf.DUMMYFUNCTION("""COMPUTED_VALUE"""),45324.0)</f>
        <v>45324</v>
      </c>
      <c r="I233" s="19">
        <f>IFERROR(__xludf.DUMMYFUNCTION("""COMPUTED_VALUE"""),0.9305555555555556)</f>
        <v>0.9305555556</v>
      </c>
      <c r="J233" s="21">
        <f>IFERROR(__xludf.DUMMYFUNCTION("""COMPUTED_VALUE"""),60.0)</f>
        <v>60</v>
      </c>
      <c r="K233" s="23">
        <f>IFERROR(__xludf.DUMMYFUNCTION("""COMPUTED_VALUE"""),3.4)</f>
        <v>3.4</v>
      </c>
      <c r="L233" s="24">
        <f>IFERROR(__xludf.DUMMYFUNCTION("""COMPUTED_VALUE"""),12.0)</f>
        <v>12</v>
      </c>
      <c r="M233" s="25" t="str">
        <f>IFERROR(__xludf.DUMMYFUNCTION("""COMPUTED_VALUE"""),"Shooter")</f>
        <v>Shooter</v>
      </c>
      <c r="N233" s="25"/>
      <c r="O233" s="26" t="str">
        <f>IFERROR(__xludf.DUMMYFUNCTION("""COMPUTED_VALUE"""),"No")</f>
        <v>No</v>
      </c>
      <c r="P233" s="26"/>
    </row>
    <row r="234">
      <c r="A234" s="13" t="str">
        <f>IFERROR(__xludf.DUMMYFUNCTION("""COMPUTED_VALUE"""),"Need for Speed: Hot Pursuit - Remastered")</f>
        <v>Need for Speed: Hot Pursuit - Remastered</v>
      </c>
      <c r="B234" s="15" t="str">
        <f>IFERROR(__xludf.DUMMYFUNCTION("""COMPUTED_VALUE"""),"PS4")</f>
        <v>PS4</v>
      </c>
      <c r="C234" s="16" t="str">
        <f>IFERROR(__xludf.DUMMYFUNCTION("""COMPUTED_VALUE"""),"Essential")</f>
        <v>Essential</v>
      </c>
      <c r="D234" s="15" t="str">
        <f>IFERROR(__xludf.DUMMYFUNCTION("""COMPUTED_VALUE"""),"Removed")</f>
        <v>Removed</v>
      </c>
      <c r="E234" s="17">
        <f>IFERROR(__xludf.DUMMYFUNCTION("""COMPUTED_VALUE"""),45664.0)</f>
        <v>45664</v>
      </c>
      <c r="F234" s="54">
        <f>IFERROR(__xludf.DUMMYFUNCTION("""COMPUTED_VALUE"""),45691.0)</f>
        <v>45691</v>
      </c>
      <c r="G234" s="19">
        <f>IFERROR(__xludf.DUMMYFUNCTION("""COMPUTED_VALUE"""),0.8666666666666666)</f>
        <v>0.8666666667</v>
      </c>
      <c r="H234" s="17">
        <f>IFERROR(__xludf.DUMMYFUNCTION("""COMPUTED_VALUE"""),44141.0)</f>
        <v>44141</v>
      </c>
      <c r="I234" s="19">
        <f>IFERROR(__xludf.DUMMYFUNCTION("""COMPUTED_VALUE"""),4.169444444444444)</f>
        <v>4.169444444</v>
      </c>
      <c r="J234" s="21">
        <f>IFERROR(__xludf.DUMMYFUNCTION("""COMPUTED_VALUE"""),75.0)</f>
        <v>75</v>
      </c>
      <c r="K234" s="23">
        <f>IFERROR(__xludf.DUMMYFUNCTION("""COMPUTED_VALUE"""),5.9)</f>
        <v>5.9</v>
      </c>
      <c r="L234" s="24">
        <f>IFERROR(__xludf.DUMMYFUNCTION("""COMPUTED_VALUE"""),16.0)</f>
        <v>16</v>
      </c>
      <c r="M234" s="25" t="str">
        <f>IFERROR(__xludf.DUMMYFUNCTION("""COMPUTED_VALUE"""),"Racing")</f>
        <v>Racing</v>
      </c>
      <c r="N234" s="25"/>
      <c r="O234" s="26" t="str">
        <f>IFERROR(__xludf.DUMMYFUNCTION("""COMPUTED_VALUE"""),"No")</f>
        <v>No</v>
      </c>
      <c r="P234" s="26"/>
    </row>
    <row r="235">
      <c r="A235" s="13" t="str">
        <f>IFERROR(__xludf.DUMMYFUNCTION("""COMPUTED_VALUE"""),"The Stanley Parable: Ultra Deluxe")</f>
        <v>The Stanley Parable: Ultra Deluxe</v>
      </c>
      <c r="B235" s="15" t="str">
        <f>IFERROR(__xludf.DUMMYFUNCTION("""COMPUTED_VALUE"""),"PS5/PS4")</f>
        <v>PS5/PS4</v>
      </c>
      <c r="C235" s="16" t="str">
        <f>IFERROR(__xludf.DUMMYFUNCTION("""COMPUTED_VALUE"""),"Essential")</f>
        <v>Essential</v>
      </c>
      <c r="D235" s="15" t="str">
        <f>IFERROR(__xludf.DUMMYFUNCTION("""COMPUTED_VALUE"""),"Removed")</f>
        <v>Removed</v>
      </c>
      <c r="E235" s="17">
        <f>IFERROR(__xludf.DUMMYFUNCTION("""COMPUTED_VALUE"""),45664.0)</f>
        <v>45664</v>
      </c>
      <c r="F235" s="54">
        <f>IFERROR(__xludf.DUMMYFUNCTION("""COMPUTED_VALUE"""),45691.0)</f>
        <v>45691</v>
      </c>
      <c r="G235" s="19">
        <f>IFERROR(__xludf.DUMMYFUNCTION("""COMPUTED_VALUE"""),0.8666666666666666)</f>
        <v>0.8666666667</v>
      </c>
      <c r="H235" s="17">
        <f>IFERROR(__xludf.DUMMYFUNCTION("""COMPUTED_VALUE"""),41548.0)</f>
        <v>41548</v>
      </c>
      <c r="I235" s="19">
        <f>IFERROR(__xludf.DUMMYFUNCTION("""COMPUTED_VALUE"""),11.266666666666667)</f>
        <v>11.26666667</v>
      </c>
      <c r="J235" s="21">
        <f>IFERROR(__xludf.DUMMYFUNCTION("""COMPUTED_VALUE"""),90.0)</f>
        <v>90</v>
      </c>
      <c r="K235" s="23">
        <f>IFERROR(__xludf.DUMMYFUNCTION("""COMPUTED_VALUE"""),8.2)</f>
        <v>8.2</v>
      </c>
      <c r="L235" s="24">
        <f>IFERROR(__xludf.DUMMYFUNCTION("""COMPUTED_VALUE"""),4.0)</f>
        <v>4</v>
      </c>
      <c r="M235" s="25" t="str">
        <f>IFERROR(__xludf.DUMMYFUNCTION("""COMPUTED_VALUE"""),"Adventure")</f>
        <v>Adventure</v>
      </c>
      <c r="N235" s="25"/>
      <c r="O235" s="26" t="str">
        <f>IFERROR(__xludf.DUMMYFUNCTION("""COMPUTED_VALUE"""),"No")</f>
        <v>No</v>
      </c>
      <c r="P235" s="26"/>
    </row>
    <row r="236">
      <c r="A236" s="13" t="str">
        <f>IFERROR(__xludf.DUMMYFUNCTION("""COMPUTED_VALUE"""),"Hardspace: Shipbreaker")</f>
        <v>Hardspace: Shipbreaker</v>
      </c>
      <c r="B236" s="15" t="str">
        <f>IFERROR(__xludf.DUMMYFUNCTION("""COMPUTED_VALUE"""),"PS5")</f>
        <v>PS5</v>
      </c>
      <c r="C236" s="16" t="str">
        <f>IFERROR(__xludf.DUMMYFUNCTION("""COMPUTED_VALUE"""),"Extra")</f>
        <v>Extra</v>
      </c>
      <c r="D236" s="15" t="str">
        <f>IFERROR(__xludf.DUMMYFUNCTION("""COMPUTED_VALUE"""),"Removed")</f>
        <v>Removed</v>
      </c>
      <c r="E236" s="17">
        <f>IFERROR(__xludf.DUMMYFUNCTION("""COMPUTED_VALUE"""),45307.0)</f>
        <v>45307</v>
      </c>
      <c r="F236" s="54">
        <f>IFERROR(__xludf.DUMMYFUNCTION("""COMPUTED_VALUE"""),45677.0)</f>
        <v>45677</v>
      </c>
      <c r="G236" s="19">
        <f>IFERROR(__xludf.DUMMYFUNCTION("""COMPUTED_VALUE"""),12.133333333333333)</f>
        <v>12.13333333</v>
      </c>
      <c r="H236" s="17">
        <f>IFERROR(__xludf.DUMMYFUNCTION("""COMPUTED_VALUE"""),43998.0)</f>
        <v>43998</v>
      </c>
      <c r="I236" s="19">
        <f>IFERROR(__xludf.DUMMYFUNCTION("""COMPUTED_VALUE"""),3.5833333333333335)</f>
        <v>3.583333333</v>
      </c>
      <c r="J236" s="21">
        <f>IFERROR(__xludf.DUMMYFUNCTION("""COMPUTED_VALUE"""),82.0)</f>
        <v>82</v>
      </c>
      <c r="K236" s="23">
        <f>IFERROR(__xludf.DUMMYFUNCTION("""COMPUTED_VALUE"""),7.6)</f>
        <v>7.6</v>
      </c>
      <c r="L236" s="24">
        <f>IFERROR(__xludf.DUMMYFUNCTION("""COMPUTED_VALUE"""),27.0)</f>
        <v>27</v>
      </c>
      <c r="M236" s="25" t="str">
        <f>IFERROR(__xludf.DUMMYFUNCTION("""COMPUTED_VALUE"""),"Simulation")</f>
        <v>Simulation</v>
      </c>
      <c r="N236" s="25"/>
      <c r="O236" s="26" t="str">
        <f>IFERROR(__xludf.DUMMYFUNCTION("""COMPUTED_VALUE"""),"Portal (PS5 + Premium)")</f>
        <v>Portal (PS5 + Premium)</v>
      </c>
      <c r="P236" s="26"/>
    </row>
    <row r="237">
      <c r="A237" s="13" t="str">
        <f>IFERROR(__xludf.DUMMYFUNCTION("""COMPUTED_VALUE"""),"Resident Evil 2 (2019)")</f>
        <v>Resident Evil 2 (2019)</v>
      </c>
      <c r="B237" s="15" t="str">
        <f>IFERROR(__xludf.DUMMYFUNCTION("""COMPUTED_VALUE"""),"PS5/PS4")</f>
        <v>PS5/PS4</v>
      </c>
      <c r="C237" s="16" t="str">
        <f>IFERROR(__xludf.DUMMYFUNCTION("""COMPUTED_VALUE"""),"Extra")</f>
        <v>Extra</v>
      </c>
      <c r="D237" s="15" t="str">
        <f>IFERROR(__xludf.DUMMYFUNCTION("""COMPUTED_VALUE"""),"Removed")</f>
        <v>Removed</v>
      </c>
      <c r="E237" s="17">
        <f>IFERROR(__xludf.DUMMYFUNCTION("""COMPUTED_VALUE"""),45307.0)</f>
        <v>45307</v>
      </c>
      <c r="F237" s="54">
        <f>IFERROR(__xludf.DUMMYFUNCTION("""COMPUTED_VALUE"""),45677.0)</f>
        <v>45677</v>
      </c>
      <c r="G237" s="19">
        <f>IFERROR(__xludf.DUMMYFUNCTION("""COMPUTED_VALUE"""),12.133333333333333)</f>
        <v>12.13333333</v>
      </c>
      <c r="H237" s="17">
        <f>IFERROR(__xludf.DUMMYFUNCTION("""COMPUTED_VALUE"""),43480.0)</f>
        <v>43480</v>
      </c>
      <c r="I237" s="19">
        <f>IFERROR(__xludf.DUMMYFUNCTION("""COMPUTED_VALUE"""),5.002777777777778)</f>
        <v>5.002777778</v>
      </c>
      <c r="J237" s="21">
        <f>IFERROR(__xludf.DUMMYFUNCTION("""COMPUTED_VALUE"""),91.0)</f>
        <v>91</v>
      </c>
      <c r="K237" s="23">
        <f>IFERROR(__xludf.DUMMYFUNCTION("""COMPUTED_VALUE"""),8.9)</f>
        <v>8.9</v>
      </c>
      <c r="L237" s="24">
        <f>IFERROR(__xludf.DUMMYFUNCTION("""COMPUTED_VALUE"""),9.0)</f>
        <v>9</v>
      </c>
      <c r="M237" s="25" t="str">
        <f>IFERROR(__xludf.DUMMYFUNCTION("""COMPUTED_VALUE"""),"Shooter")</f>
        <v>Shooter</v>
      </c>
      <c r="N237" s="25"/>
      <c r="O237" s="26" t="str">
        <f>IFERROR(__xludf.DUMMYFUNCTION("""COMPUTED_VALUE"""),"Yes")</f>
        <v>Yes</v>
      </c>
      <c r="P237" s="26"/>
    </row>
    <row r="238">
      <c r="A238" s="13" t="str">
        <f>IFERROR(__xludf.DUMMYFUNCTION("""COMPUTED_VALUE"""),"Just Cause 3")</f>
        <v>Just Cause 3</v>
      </c>
      <c r="B238" s="15" t="str">
        <f>IFERROR(__xludf.DUMMYFUNCTION("""COMPUTED_VALUE"""),"PS4")</f>
        <v>PS4</v>
      </c>
      <c r="C238" s="16" t="str">
        <f>IFERROR(__xludf.DUMMYFUNCTION("""COMPUTED_VALUE"""),"Extra")</f>
        <v>Extra</v>
      </c>
      <c r="D238" s="15" t="str">
        <f>IFERROR(__xludf.DUMMYFUNCTION("""COMPUTED_VALUE"""),"Removed")</f>
        <v>Removed</v>
      </c>
      <c r="E238" s="17">
        <f>IFERROR(__xludf.DUMMYFUNCTION("""COMPUTED_VALUE"""),45307.0)</f>
        <v>45307</v>
      </c>
      <c r="F238" s="54">
        <f>IFERROR(__xludf.DUMMYFUNCTION("""COMPUTED_VALUE"""),45677.0)</f>
        <v>45677</v>
      </c>
      <c r="G238" s="19">
        <f>IFERROR(__xludf.DUMMYFUNCTION("""COMPUTED_VALUE"""),12.133333333333333)</f>
        <v>12.13333333</v>
      </c>
      <c r="H238" s="17">
        <f>IFERROR(__xludf.DUMMYFUNCTION("""COMPUTED_VALUE"""),42339.0)</f>
        <v>42339</v>
      </c>
      <c r="I238" s="19">
        <f>IFERROR(__xludf.DUMMYFUNCTION("""COMPUTED_VALUE"""),8.125)</f>
        <v>8.125</v>
      </c>
      <c r="J238" s="21">
        <f>IFERROR(__xludf.DUMMYFUNCTION("""COMPUTED_VALUE"""),71.0)</f>
        <v>71</v>
      </c>
      <c r="K238" s="23">
        <f>IFERROR(__xludf.DUMMYFUNCTION("""COMPUTED_VALUE"""),7.1)</f>
        <v>7.1</v>
      </c>
      <c r="L238" s="24">
        <f>IFERROR(__xludf.DUMMYFUNCTION("""COMPUTED_VALUE"""),18.0)</f>
        <v>18</v>
      </c>
      <c r="M238" s="25" t="str">
        <f>IFERROR(__xludf.DUMMYFUNCTION("""COMPUTED_VALUE"""),"Action-Adventure")</f>
        <v>Action-Adventure</v>
      </c>
      <c r="N238" s="25"/>
      <c r="O238" s="26" t="str">
        <f>IFERROR(__xludf.DUMMYFUNCTION("""COMPUTED_VALUE"""),"Yes")</f>
        <v>Yes</v>
      </c>
      <c r="P238" s="26"/>
    </row>
    <row r="239">
      <c r="A239" s="13" t="str">
        <f>IFERROR(__xludf.DUMMYFUNCTION("""COMPUTED_VALUE"""),"Secret of Mana (2018)")</f>
        <v>Secret of Mana (2018)</v>
      </c>
      <c r="B239" s="15" t="str">
        <f>IFERROR(__xludf.DUMMYFUNCTION("""COMPUTED_VALUE"""),"PS4")</f>
        <v>PS4</v>
      </c>
      <c r="C239" s="16" t="str">
        <f>IFERROR(__xludf.DUMMYFUNCTION("""COMPUTED_VALUE"""),"Premium (Remasters)")</f>
        <v>Premium (Remasters)</v>
      </c>
      <c r="D239" s="15" t="str">
        <f>IFERROR(__xludf.DUMMYFUNCTION("""COMPUTED_VALUE"""),"Removed")</f>
        <v>Removed</v>
      </c>
      <c r="E239" s="17">
        <f>IFERROR(__xludf.DUMMYFUNCTION("""COMPUTED_VALUE"""),45307.0)</f>
        <v>45307</v>
      </c>
      <c r="F239" s="54">
        <f>IFERROR(__xludf.DUMMYFUNCTION("""COMPUTED_VALUE"""),45677.0)</f>
        <v>45677</v>
      </c>
      <c r="G239" s="19">
        <f>IFERROR(__xludf.DUMMYFUNCTION("""COMPUTED_VALUE"""),12.133333333333333)</f>
        <v>12.13333333</v>
      </c>
      <c r="H239" s="17">
        <f>IFERROR(__xludf.DUMMYFUNCTION("""COMPUTED_VALUE"""),43146.0)</f>
        <v>43146</v>
      </c>
      <c r="I239" s="19">
        <f>IFERROR(__xludf.DUMMYFUNCTION("""COMPUTED_VALUE"""),5.919444444444444)</f>
        <v>5.919444444</v>
      </c>
      <c r="J239" s="21">
        <f>IFERROR(__xludf.DUMMYFUNCTION("""COMPUTED_VALUE"""),63.0)</f>
        <v>63</v>
      </c>
      <c r="K239" s="23">
        <f>IFERROR(__xludf.DUMMYFUNCTION("""COMPUTED_VALUE"""),6.1)</f>
        <v>6.1</v>
      </c>
      <c r="L239" s="24">
        <f>IFERROR(__xludf.DUMMYFUNCTION("""COMPUTED_VALUE"""),17.0)</f>
        <v>17</v>
      </c>
      <c r="M239" s="25" t="str">
        <f>IFERROR(__xludf.DUMMYFUNCTION("""COMPUTED_VALUE"""),"RPG")</f>
        <v>RPG</v>
      </c>
      <c r="N239" s="25" t="str">
        <f>IFERROR(__xludf.DUMMYFUNCTION("""COMPUTED_VALUE"""),"SNES")</f>
        <v>SNES</v>
      </c>
      <c r="O239" s="26" t="str">
        <f>IFERROR(__xludf.DUMMYFUNCTION("""COMPUTED_VALUE"""),"Yes")</f>
        <v>Yes</v>
      </c>
      <c r="P239" s="26"/>
    </row>
    <row r="240">
      <c r="A240" s="13" t="str">
        <f>IFERROR(__xludf.DUMMYFUNCTION("""COMPUTED_VALUE"""),"Street Fighter: 30th Anniversary Collection")</f>
        <v>Street Fighter: 30th Anniversary Collection</v>
      </c>
      <c r="B240" s="15" t="str">
        <f>IFERROR(__xludf.DUMMYFUNCTION("""COMPUTED_VALUE"""),"PS4")</f>
        <v>PS4</v>
      </c>
      <c r="C240" s="16" t="str">
        <f>IFERROR(__xludf.DUMMYFUNCTION("""COMPUTED_VALUE"""),"Premium (Classics)")</f>
        <v>Premium (Classics)</v>
      </c>
      <c r="D240" s="15" t="str">
        <f>IFERROR(__xludf.DUMMYFUNCTION("""COMPUTED_VALUE"""),"Removed")</f>
        <v>Removed</v>
      </c>
      <c r="E240" s="17">
        <f>IFERROR(__xludf.DUMMYFUNCTION("""COMPUTED_VALUE"""),45307.0)</f>
        <v>45307</v>
      </c>
      <c r="F240" s="54">
        <f>IFERROR(__xludf.DUMMYFUNCTION("""COMPUTED_VALUE"""),45677.0)</f>
        <v>45677</v>
      </c>
      <c r="G240" s="19">
        <f>IFERROR(__xludf.DUMMYFUNCTION("""COMPUTED_VALUE"""),12.133333333333333)</f>
        <v>12.13333333</v>
      </c>
      <c r="H240" s="17">
        <f>IFERROR(__xludf.DUMMYFUNCTION("""COMPUTED_VALUE"""),43222.0)</f>
        <v>43222</v>
      </c>
      <c r="I240" s="19">
        <f>IFERROR(__xludf.DUMMYFUNCTION("""COMPUTED_VALUE"""),5.705555555555556)</f>
        <v>5.705555556</v>
      </c>
      <c r="J240" s="21">
        <f>IFERROR(__xludf.DUMMYFUNCTION("""COMPUTED_VALUE"""),81.0)</f>
        <v>81</v>
      </c>
      <c r="K240" s="23">
        <f>IFERROR(__xludf.DUMMYFUNCTION("""COMPUTED_VALUE"""),7.6)</f>
        <v>7.6</v>
      </c>
      <c r="L240" s="24">
        <f>IFERROR(__xludf.DUMMYFUNCTION("""COMPUTED_VALUE"""),8.0)</f>
        <v>8</v>
      </c>
      <c r="M240" s="25" t="str">
        <f>IFERROR(__xludf.DUMMYFUNCTION("""COMPUTED_VALUE"""),"Fighting")</f>
        <v>Fighting</v>
      </c>
      <c r="N240" s="25" t="str">
        <f>IFERROR(__xludf.DUMMYFUNCTION("""COMPUTED_VALUE"""),"Arcade, Dreamcast, PS1 - PS2")</f>
        <v>Arcade, Dreamcast, PS1 - PS2</v>
      </c>
      <c r="O240" s="26" t="str">
        <f>IFERROR(__xludf.DUMMYFUNCTION("""COMPUTED_VALUE"""),"Yes")</f>
        <v>Yes</v>
      </c>
      <c r="P240" s="26"/>
    </row>
    <row r="241">
      <c r="A241" s="13" t="str">
        <f>IFERROR(__xludf.DUMMYFUNCTION("""COMPUTED_VALUE"""),"Legend of Mana (2021)")</f>
        <v>Legend of Mana (2021)</v>
      </c>
      <c r="B241" s="15" t="str">
        <f>IFERROR(__xludf.DUMMYFUNCTION("""COMPUTED_VALUE"""),"PS4")</f>
        <v>PS4</v>
      </c>
      <c r="C241" s="16" t="str">
        <f>IFERROR(__xludf.DUMMYFUNCTION("""COMPUTED_VALUE"""),"Premium (Remasters)")</f>
        <v>Premium (Remasters)</v>
      </c>
      <c r="D241" s="15" t="str">
        <f>IFERROR(__xludf.DUMMYFUNCTION("""COMPUTED_VALUE"""),"Removed")</f>
        <v>Removed</v>
      </c>
      <c r="E241" s="17">
        <f>IFERROR(__xludf.DUMMYFUNCTION("""COMPUTED_VALUE"""),45307.0)</f>
        <v>45307</v>
      </c>
      <c r="F241" s="54">
        <f>IFERROR(__xludf.DUMMYFUNCTION("""COMPUTED_VALUE"""),45677.0)</f>
        <v>45677</v>
      </c>
      <c r="G241" s="19">
        <f>IFERROR(__xludf.DUMMYFUNCTION("""COMPUTED_VALUE"""),12.133333333333333)</f>
        <v>12.13333333</v>
      </c>
      <c r="H241" s="17">
        <f>IFERROR(__xludf.DUMMYFUNCTION("""COMPUTED_VALUE"""),44371.0)</f>
        <v>44371</v>
      </c>
      <c r="I241" s="19">
        <f>IFERROR(__xludf.DUMMYFUNCTION("""COMPUTED_VALUE"""),2.561111111111111)</f>
        <v>2.561111111</v>
      </c>
      <c r="J241" s="21">
        <f>IFERROR(__xludf.DUMMYFUNCTION("""COMPUTED_VALUE"""),72.0)</f>
        <v>72</v>
      </c>
      <c r="K241" s="23">
        <f>IFERROR(__xludf.DUMMYFUNCTION("""COMPUTED_VALUE"""),7.5)</f>
        <v>7.5</v>
      </c>
      <c r="L241" s="24">
        <f>IFERROR(__xludf.DUMMYFUNCTION("""COMPUTED_VALUE"""),19.0)</f>
        <v>19</v>
      </c>
      <c r="M241" s="25" t="str">
        <f>IFERROR(__xludf.DUMMYFUNCTION("""COMPUTED_VALUE"""),"RPG")</f>
        <v>RPG</v>
      </c>
      <c r="N241" s="25" t="str">
        <f>IFERROR(__xludf.DUMMYFUNCTION("""COMPUTED_VALUE"""),"PS1")</f>
        <v>PS1</v>
      </c>
      <c r="O241" s="26" t="str">
        <f>IFERROR(__xludf.DUMMYFUNCTION("""COMPUTED_VALUE"""),"Yes")</f>
        <v>Yes</v>
      </c>
      <c r="P241" s="26"/>
    </row>
    <row r="242">
      <c r="A242" s="13" t="str">
        <f>IFERROR(__xludf.DUMMYFUNCTION("""COMPUTED_VALUE"""),"Dragon Ball FighterZ")</f>
        <v>Dragon Ball FighterZ</v>
      </c>
      <c r="B242" s="15" t="str">
        <f>IFERROR(__xludf.DUMMYFUNCTION("""COMPUTED_VALUE"""),"PS4")</f>
        <v>PS4</v>
      </c>
      <c r="C242" s="16" t="str">
        <f>IFERROR(__xludf.DUMMYFUNCTION("""COMPUTED_VALUE"""),"Extra")</f>
        <v>Extra</v>
      </c>
      <c r="D242" s="15" t="str">
        <f>IFERROR(__xludf.DUMMYFUNCTION("""COMPUTED_VALUE"""),"Removed")</f>
        <v>Removed</v>
      </c>
      <c r="E242" s="17">
        <f>IFERROR(__xludf.DUMMYFUNCTION("""COMPUTED_VALUE"""),44943.0)</f>
        <v>44943</v>
      </c>
      <c r="F242" s="71">
        <f>IFERROR(__xludf.DUMMYFUNCTION("""COMPUTED_VALUE"""),45677.0)</f>
        <v>45677</v>
      </c>
      <c r="G242" s="19">
        <f>IFERROR(__xludf.DUMMYFUNCTION("""COMPUTED_VALUE"""),24.1)</f>
        <v>24.1</v>
      </c>
      <c r="H242" s="17">
        <f>IFERROR(__xludf.DUMMYFUNCTION("""COMPUTED_VALUE"""),43126.0)</f>
        <v>43126</v>
      </c>
      <c r="I242" s="19">
        <f>IFERROR(__xludf.DUMMYFUNCTION("""COMPUTED_VALUE"""),4.975)</f>
        <v>4.975</v>
      </c>
      <c r="J242" s="21">
        <f>IFERROR(__xludf.DUMMYFUNCTION("""COMPUTED_VALUE"""),87.0)</f>
        <v>87</v>
      </c>
      <c r="K242" s="23">
        <f>IFERROR(__xludf.DUMMYFUNCTION("""COMPUTED_VALUE"""),7.0)</f>
        <v>7</v>
      </c>
      <c r="L242" s="24">
        <f>IFERROR(__xludf.DUMMYFUNCTION("""COMPUTED_VALUE"""),12.0)</f>
        <v>12</v>
      </c>
      <c r="M242" s="25" t="str">
        <f>IFERROR(__xludf.DUMMYFUNCTION("""COMPUTED_VALUE"""),"Fighting")</f>
        <v>Fighting</v>
      </c>
      <c r="N242" s="25"/>
      <c r="O242" s="26" t="str">
        <f>IFERROR(__xludf.DUMMYFUNCTION("""COMPUTED_VALUE"""),"Yes")</f>
        <v>Yes</v>
      </c>
      <c r="P242" s="26"/>
    </row>
    <row r="243">
      <c r="A243" s="13" t="str">
        <f>IFERROR(__xludf.DUMMYFUNCTION("""COMPUTED_VALUE"""),"Life is Strange")</f>
        <v>Life is Strange</v>
      </c>
      <c r="B243" s="15" t="str">
        <f>IFERROR(__xludf.DUMMYFUNCTION("""COMPUTED_VALUE"""),"PS4")</f>
        <v>PS4</v>
      </c>
      <c r="C243" s="16" t="str">
        <f>IFERROR(__xludf.DUMMYFUNCTION("""COMPUTED_VALUE"""),"Extra")</f>
        <v>Extra</v>
      </c>
      <c r="D243" s="15" t="str">
        <f>IFERROR(__xludf.DUMMYFUNCTION("""COMPUTED_VALUE"""),"Removed")</f>
        <v>Removed</v>
      </c>
      <c r="E243" s="17">
        <f>IFERROR(__xludf.DUMMYFUNCTION("""COMPUTED_VALUE"""),44943.0)</f>
        <v>44943</v>
      </c>
      <c r="F243" s="54">
        <f>IFERROR(__xludf.DUMMYFUNCTION("""COMPUTED_VALUE"""),45677.0)</f>
        <v>45677</v>
      </c>
      <c r="G243" s="19">
        <f>IFERROR(__xludf.DUMMYFUNCTION("""COMPUTED_VALUE"""),24.1)</f>
        <v>24.1</v>
      </c>
      <c r="H243" s="17">
        <f>IFERROR(__xludf.DUMMYFUNCTION("""COMPUTED_VALUE"""),42297.0)</f>
        <v>42297</v>
      </c>
      <c r="I243" s="19">
        <f>IFERROR(__xludf.DUMMYFUNCTION("""COMPUTED_VALUE"""),7.241666666666666)</f>
        <v>7.241666667</v>
      </c>
      <c r="J243" s="21">
        <f>IFERROR(__xludf.DUMMYFUNCTION("""COMPUTED_VALUE"""),85.0)</f>
        <v>85</v>
      </c>
      <c r="K243" s="23">
        <f>IFERROR(__xludf.DUMMYFUNCTION("""COMPUTED_VALUE"""),8.6)</f>
        <v>8.6</v>
      </c>
      <c r="L243" s="24">
        <f>IFERROR(__xludf.DUMMYFUNCTION("""COMPUTED_VALUE"""),14.0)</f>
        <v>14</v>
      </c>
      <c r="M243" s="25" t="str">
        <f>IFERROR(__xludf.DUMMYFUNCTION("""COMPUTED_VALUE"""),"Action-Adventure")</f>
        <v>Action-Adventure</v>
      </c>
      <c r="N243" s="25"/>
      <c r="O243" s="26" t="str">
        <f>IFERROR(__xludf.DUMMYFUNCTION("""COMPUTED_VALUE"""),"Yes")</f>
        <v>Yes</v>
      </c>
      <c r="P243" s="26"/>
    </row>
    <row r="244">
      <c r="A244" s="13" t="str">
        <f>IFERROR(__xludf.DUMMYFUNCTION("""COMPUTED_VALUE"""),"Life is Strange: Before the Storm")</f>
        <v>Life is Strange: Before the Storm</v>
      </c>
      <c r="B244" s="15" t="str">
        <f>IFERROR(__xludf.DUMMYFUNCTION("""COMPUTED_VALUE"""),"PS4")</f>
        <v>PS4</v>
      </c>
      <c r="C244" s="16" t="str">
        <f>IFERROR(__xludf.DUMMYFUNCTION("""COMPUTED_VALUE"""),"Extra")</f>
        <v>Extra</v>
      </c>
      <c r="D244" s="15" t="str">
        <f>IFERROR(__xludf.DUMMYFUNCTION("""COMPUTED_VALUE"""),"Removed")</f>
        <v>Removed</v>
      </c>
      <c r="E244" s="17">
        <f>IFERROR(__xludf.DUMMYFUNCTION("""COMPUTED_VALUE"""),44943.0)</f>
        <v>44943</v>
      </c>
      <c r="F244" s="54">
        <f>IFERROR(__xludf.DUMMYFUNCTION("""COMPUTED_VALUE"""),45677.0)</f>
        <v>45677</v>
      </c>
      <c r="G244" s="19">
        <f>IFERROR(__xludf.DUMMYFUNCTION("""COMPUTED_VALUE"""),24.1)</f>
        <v>24.1</v>
      </c>
      <c r="H244" s="17">
        <f>IFERROR(__xludf.DUMMYFUNCTION("""COMPUTED_VALUE"""),42978.0)</f>
        <v>42978</v>
      </c>
      <c r="I244" s="19">
        <f>IFERROR(__xludf.DUMMYFUNCTION("""COMPUTED_VALUE"""),5.3805555555555555)</f>
        <v>5.380555556</v>
      </c>
      <c r="J244" s="21">
        <f>IFERROR(__xludf.DUMMYFUNCTION("""COMPUTED_VALUE"""),77.0)</f>
        <v>77</v>
      </c>
      <c r="K244" s="23">
        <f>IFERROR(__xludf.DUMMYFUNCTION("""COMPUTED_VALUE"""),8.0)</f>
        <v>8</v>
      </c>
      <c r="L244" s="24">
        <f>IFERROR(__xludf.DUMMYFUNCTION("""COMPUTED_VALUE"""),10.0)</f>
        <v>10</v>
      </c>
      <c r="M244" s="25" t="str">
        <f>IFERROR(__xludf.DUMMYFUNCTION("""COMPUTED_VALUE"""),"Action-Adventure")</f>
        <v>Action-Adventure</v>
      </c>
      <c r="N244" s="25"/>
      <c r="O244" s="26" t="str">
        <f>IFERROR(__xludf.DUMMYFUNCTION("""COMPUTED_VALUE"""),"No")</f>
        <v>No</v>
      </c>
      <c r="P244" s="26"/>
    </row>
    <row r="245">
      <c r="A245" s="13" t="str">
        <f>IFERROR(__xludf.DUMMYFUNCTION("""COMPUTED_VALUE"""),"Just Cause 4: Reloaded")</f>
        <v>Just Cause 4: Reloaded</v>
      </c>
      <c r="B245" s="15" t="str">
        <f>IFERROR(__xludf.DUMMYFUNCTION("""COMPUTED_VALUE"""),"PS4")</f>
        <v>PS4</v>
      </c>
      <c r="C245" s="16" t="str">
        <f>IFERROR(__xludf.DUMMYFUNCTION("""COMPUTED_VALUE"""),"Extra")</f>
        <v>Extra</v>
      </c>
      <c r="D245" s="15" t="str">
        <f>IFERROR(__xludf.DUMMYFUNCTION("""COMPUTED_VALUE"""),"Removed")</f>
        <v>Removed</v>
      </c>
      <c r="E245" s="17">
        <f>IFERROR(__xludf.DUMMYFUNCTION("""COMPUTED_VALUE"""),44943.0)</f>
        <v>44943</v>
      </c>
      <c r="F245" s="54">
        <f>IFERROR(__xludf.DUMMYFUNCTION("""COMPUTED_VALUE"""),45677.0)</f>
        <v>45677</v>
      </c>
      <c r="G245" s="19">
        <f>IFERROR(__xludf.DUMMYFUNCTION("""COMPUTED_VALUE"""),24.1)</f>
        <v>24.1</v>
      </c>
      <c r="H245" s="17">
        <f>IFERROR(__xludf.DUMMYFUNCTION("""COMPUTED_VALUE"""),43438.0)</f>
        <v>43438</v>
      </c>
      <c r="I245" s="19">
        <f>IFERROR(__xludf.DUMMYFUNCTION("""COMPUTED_VALUE"""),4.1194444444444445)</f>
        <v>4.119444444</v>
      </c>
      <c r="J245" s="21">
        <f>IFERROR(__xludf.DUMMYFUNCTION("""COMPUTED_VALUE"""),65.0)</f>
        <v>65</v>
      </c>
      <c r="K245" s="23">
        <f>IFERROR(__xludf.DUMMYFUNCTION("""COMPUTED_VALUE"""),4.7)</f>
        <v>4.7</v>
      </c>
      <c r="L245" s="24">
        <f>IFERROR(__xludf.DUMMYFUNCTION("""COMPUTED_VALUE"""),16.0)</f>
        <v>16</v>
      </c>
      <c r="M245" s="25" t="str">
        <f>IFERROR(__xludf.DUMMYFUNCTION("""COMPUTED_VALUE"""),"Shooter")</f>
        <v>Shooter</v>
      </c>
      <c r="N245" s="25" t="str">
        <f>IFERROR(__xludf.DUMMYFUNCTION("""COMPUTED_VALUE"""),"PS4 gets the base version")</f>
        <v>PS4 gets the base version</v>
      </c>
      <c r="O245" s="26" t="str">
        <f>IFERROR(__xludf.DUMMYFUNCTION("""COMPUTED_VALUE"""),"Yes")</f>
        <v>Yes</v>
      </c>
      <c r="P245" s="26"/>
    </row>
    <row r="246">
      <c r="A246" s="13" t="str">
        <f>IFERROR(__xludf.DUMMYFUNCTION("""COMPUTED_VALUE"""),"Temtem")</f>
        <v>Temtem</v>
      </c>
      <c r="B246" s="15" t="str">
        <f>IFERROR(__xludf.DUMMYFUNCTION("""COMPUTED_VALUE"""),"PS5")</f>
        <v>PS5</v>
      </c>
      <c r="C246" s="16" t="str">
        <f>IFERROR(__xludf.DUMMYFUNCTION("""COMPUTED_VALUE"""),"Essential")</f>
        <v>Essential</v>
      </c>
      <c r="D246" s="15" t="str">
        <f>IFERROR(__xludf.DUMMYFUNCTION("""COMPUTED_VALUE"""),"Removed")</f>
        <v>Removed</v>
      </c>
      <c r="E246" s="17">
        <f>IFERROR(__xludf.DUMMYFUNCTION("""COMPUTED_VALUE"""),45629.0)</f>
        <v>45629</v>
      </c>
      <c r="F246" s="54">
        <f>IFERROR(__xludf.DUMMYFUNCTION("""COMPUTED_VALUE"""),45663.0)</f>
        <v>45663</v>
      </c>
      <c r="G246" s="19">
        <f>IFERROR(__xludf.DUMMYFUNCTION("""COMPUTED_VALUE"""),1.0999999999999999)</f>
        <v>1.1</v>
      </c>
      <c r="H246" s="17">
        <f>IFERROR(__xludf.DUMMYFUNCTION("""COMPUTED_VALUE"""),44810.0)</f>
        <v>44810</v>
      </c>
      <c r="I246" s="19">
        <f>IFERROR(__xludf.DUMMYFUNCTION("""COMPUTED_VALUE"""),2.2416666666666667)</f>
        <v>2.241666667</v>
      </c>
      <c r="J246" s="21">
        <f>IFERROR(__xludf.DUMMYFUNCTION("""COMPUTED_VALUE"""),73.0)</f>
        <v>73</v>
      </c>
      <c r="K246" s="23">
        <f>IFERROR(__xludf.DUMMYFUNCTION("""COMPUTED_VALUE"""),6.4)</f>
        <v>6.4</v>
      </c>
      <c r="L246" s="24">
        <f>IFERROR(__xludf.DUMMYFUNCTION("""COMPUTED_VALUE"""),57.0)</f>
        <v>57</v>
      </c>
      <c r="M246" s="25" t="str">
        <f>IFERROR(__xludf.DUMMYFUNCTION("""COMPUTED_VALUE"""),"RPG")</f>
        <v>RPG</v>
      </c>
      <c r="N246" s="25"/>
      <c r="O246" s="26" t="str">
        <f>IFERROR(__xludf.DUMMYFUNCTION("""COMPUTED_VALUE"""),"No")</f>
        <v>No</v>
      </c>
      <c r="P246" s="26"/>
    </row>
    <row r="247">
      <c r="A247" s="13" t="str">
        <f>IFERROR(__xludf.DUMMYFUNCTION("""COMPUTED_VALUE"""),"It Takes Two")</f>
        <v>It Takes Two</v>
      </c>
      <c r="B247" s="15" t="str">
        <f>IFERROR(__xludf.DUMMYFUNCTION("""COMPUTED_VALUE"""),"PS5/PS4")</f>
        <v>PS5/PS4</v>
      </c>
      <c r="C247" s="16" t="str">
        <f>IFERROR(__xludf.DUMMYFUNCTION("""COMPUTED_VALUE"""),"Essential")</f>
        <v>Essential</v>
      </c>
      <c r="D247" s="15" t="str">
        <f>IFERROR(__xludf.DUMMYFUNCTION("""COMPUTED_VALUE"""),"Removed")</f>
        <v>Removed</v>
      </c>
      <c r="E247" s="17">
        <f>IFERROR(__xludf.DUMMYFUNCTION("""COMPUTED_VALUE"""),45629.0)</f>
        <v>45629</v>
      </c>
      <c r="F247" s="54">
        <f>IFERROR(__xludf.DUMMYFUNCTION("""COMPUTED_VALUE"""),45663.0)</f>
        <v>45663</v>
      </c>
      <c r="G247" s="19">
        <f>IFERROR(__xludf.DUMMYFUNCTION("""COMPUTED_VALUE"""),1.0999999999999999)</f>
        <v>1.1</v>
      </c>
      <c r="H247" s="17">
        <f>IFERROR(__xludf.DUMMYFUNCTION("""COMPUTED_VALUE"""),44281.0)</f>
        <v>44281</v>
      </c>
      <c r="I247" s="19">
        <f>IFERROR(__xludf.DUMMYFUNCTION("""COMPUTED_VALUE"""),3.686111111111111)</f>
        <v>3.686111111</v>
      </c>
      <c r="J247" s="21">
        <f>IFERROR(__xludf.DUMMYFUNCTION("""COMPUTED_VALUE"""),88.0)</f>
        <v>88</v>
      </c>
      <c r="K247" s="23">
        <f>IFERROR(__xludf.DUMMYFUNCTION("""COMPUTED_VALUE"""),8.9)</f>
        <v>8.9</v>
      </c>
      <c r="L247" s="24">
        <f>IFERROR(__xludf.DUMMYFUNCTION("""COMPUTED_VALUE"""),14.0)</f>
        <v>14</v>
      </c>
      <c r="M247" s="25" t="str">
        <f>IFERROR(__xludf.DUMMYFUNCTION("""COMPUTED_VALUE"""),"Action-Adventure")</f>
        <v>Action-Adventure</v>
      </c>
      <c r="N247" s="25"/>
      <c r="O247" s="26" t="str">
        <f>IFERROR(__xludf.DUMMYFUNCTION("""COMPUTED_VALUE"""),"No")</f>
        <v>No</v>
      </c>
      <c r="P247" s="26"/>
    </row>
    <row r="248">
      <c r="A248" s="13" t="str">
        <f>IFERROR(__xludf.DUMMYFUNCTION("""COMPUTED_VALUE"""),"Aliens: Dark Descent")</f>
        <v>Aliens: Dark Descent</v>
      </c>
      <c r="B248" s="15" t="str">
        <f>IFERROR(__xludf.DUMMYFUNCTION("""COMPUTED_VALUE"""),"PS5/PS4")</f>
        <v>PS5/PS4</v>
      </c>
      <c r="C248" s="16" t="str">
        <f>IFERROR(__xludf.DUMMYFUNCTION("""COMPUTED_VALUE"""),"Essential")</f>
        <v>Essential</v>
      </c>
      <c r="D248" s="15" t="str">
        <f>IFERROR(__xludf.DUMMYFUNCTION("""COMPUTED_VALUE"""),"Removed")</f>
        <v>Removed</v>
      </c>
      <c r="E248" s="17">
        <f>IFERROR(__xludf.DUMMYFUNCTION("""COMPUTED_VALUE"""),45629.0)</f>
        <v>45629</v>
      </c>
      <c r="F248" s="54">
        <f>IFERROR(__xludf.DUMMYFUNCTION("""COMPUTED_VALUE"""),45663.0)</f>
        <v>45663</v>
      </c>
      <c r="G248" s="19">
        <f>IFERROR(__xludf.DUMMYFUNCTION("""COMPUTED_VALUE"""),1.0999999999999999)</f>
        <v>1.1</v>
      </c>
      <c r="H248" s="17">
        <f>IFERROR(__xludf.DUMMYFUNCTION("""COMPUTED_VALUE"""),45097.0)</f>
        <v>45097</v>
      </c>
      <c r="I248" s="19">
        <f>IFERROR(__xludf.DUMMYFUNCTION("""COMPUTED_VALUE"""),1.4527777777777777)</f>
        <v>1.452777778</v>
      </c>
      <c r="J248" s="21">
        <f>IFERROR(__xludf.DUMMYFUNCTION("""COMPUTED_VALUE"""),75.0)</f>
        <v>75</v>
      </c>
      <c r="K248" s="23">
        <f>IFERROR(__xludf.DUMMYFUNCTION("""COMPUTED_VALUE"""),8.0)</f>
        <v>8</v>
      </c>
      <c r="L248" s="24">
        <f>IFERROR(__xludf.DUMMYFUNCTION("""COMPUTED_VALUE"""),24.0)</f>
        <v>24</v>
      </c>
      <c r="M248" s="25" t="str">
        <f>IFERROR(__xludf.DUMMYFUNCTION("""COMPUTED_VALUE"""),"Strategy")</f>
        <v>Strategy</v>
      </c>
      <c r="N248" s="25"/>
      <c r="O248" s="26" t="str">
        <f>IFERROR(__xludf.DUMMYFUNCTION("""COMPUTED_VALUE"""),"No")</f>
        <v>No</v>
      </c>
      <c r="P248" s="26"/>
    </row>
    <row r="249">
      <c r="A249" s="13" t="str">
        <f>IFERROR(__xludf.DUMMYFUNCTION("""COMPUTED_VALUE"""),"Gigabash")</f>
        <v>Gigabash</v>
      </c>
      <c r="B249" s="15" t="str">
        <f>IFERROR(__xludf.DUMMYFUNCTION("""COMPUTED_VALUE"""),"PS5/PS4")</f>
        <v>PS5/PS4</v>
      </c>
      <c r="C249" s="16" t="str">
        <f>IFERROR(__xludf.DUMMYFUNCTION("""COMPUTED_VALUE"""),"Extra")</f>
        <v>Extra</v>
      </c>
      <c r="D249" s="15" t="str">
        <f>IFERROR(__xludf.DUMMYFUNCTION("""COMPUTED_VALUE"""),"Removed")</f>
        <v>Removed</v>
      </c>
      <c r="E249" s="17">
        <f>IFERROR(__xludf.DUMMYFUNCTION("""COMPUTED_VALUE"""),45279.0)</f>
        <v>45279</v>
      </c>
      <c r="F249" s="18">
        <f>IFERROR(__xludf.DUMMYFUNCTION("""COMPUTED_VALUE"""),45642.0)</f>
        <v>45642</v>
      </c>
      <c r="G249" s="19">
        <f>IFERROR(__xludf.DUMMYFUNCTION("""COMPUTED_VALUE"""),11.9)</f>
        <v>11.9</v>
      </c>
      <c r="H249" s="17">
        <f>IFERROR(__xludf.DUMMYFUNCTION("""COMPUTED_VALUE"""),44778.0)</f>
        <v>44778</v>
      </c>
      <c r="I249" s="19">
        <f>IFERROR(__xludf.DUMMYFUNCTION("""COMPUTED_VALUE"""),1.3722222222222222)</f>
        <v>1.372222222</v>
      </c>
      <c r="J249" s="21">
        <f>IFERROR(__xludf.DUMMYFUNCTION("""COMPUTED_VALUE"""),73.0)</f>
        <v>73</v>
      </c>
      <c r="K249" s="23">
        <f>IFERROR(__xludf.DUMMYFUNCTION("""COMPUTED_VALUE"""),6.0)</f>
        <v>6</v>
      </c>
      <c r="L249" s="24">
        <f>IFERROR(__xludf.DUMMYFUNCTION("""COMPUTED_VALUE"""),3.0)</f>
        <v>3</v>
      </c>
      <c r="M249" s="25" t="str">
        <f>IFERROR(__xludf.DUMMYFUNCTION("""COMPUTED_VALUE"""),"Fighting")</f>
        <v>Fighting</v>
      </c>
      <c r="N249" s="25"/>
      <c r="O249" s="26" t="str">
        <f>IFERROR(__xludf.DUMMYFUNCTION("""COMPUTED_VALUE"""),"Yes")</f>
        <v>Yes</v>
      </c>
      <c r="P249" s="26"/>
    </row>
    <row r="250">
      <c r="A250" s="13" t="str">
        <f>IFERROR(__xludf.DUMMYFUNCTION("""COMPUTED_VALUE"""),"GRIME")</f>
        <v>GRIME</v>
      </c>
      <c r="B250" s="15" t="str">
        <f>IFERROR(__xludf.DUMMYFUNCTION("""COMPUTED_VALUE"""),"PS5/PS4")</f>
        <v>PS5/PS4</v>
      </c>
      <c r="C250" s="16" t="str">
        <f>IFERROR(__xludf.DUMMYFUNCTION("""COMPUTED_VALUE"""),"Extra")</f>
        <v>Extra</v>
      </c>
      <c r="D250" s="15" t="str">
        <f>IFERROR(__xludf.DUMMYFUNCTION("""COMPUTED_VALUE"""),"Removed")</f>
        <v>Removed</v>
      </c>
      <c r="E250" s="17">
        <f>IFERROR(__xludf.DUMMYFUNCTION("""COMPUTED_VALUE"""),45279.0)</f>
        <v>45279</v>
      </c>
      <c r="F250" s="54">
        <f>IFERROR(__xludf.DUMMYFUNCTION("""COMPUTED_VALUE"""),45642.0)</f>
        <v>45642</v>
      </c>
      <c r="G250" s="19">
        <f>IFERROR(__xludf.DUMMYFUNCTION("""COMPUTED_VALUE"""),11.9)</f>
        <v>11.9</v>
      </c>
      <c r="H250" s="17">
        <f>IFERROR(__xludf.DUMMYFUNCTION("""COMPUTED_VALUE"""),44410.0)</f>
        <v>44410</v>
      </c>
      <c r="I250" s="19">
        <f>IFERROR(__xludf.DUMMYFUNCTION("""COMPUTED_VALUE"""),2.3805555555555555)</f>
        <v>2.380555556</v>
      </c>
      <c r="J250" s="21">
        <f>IFERROR(__xludf.DUMMYFUNCTION("""COMPUTED_VALUE"""),81.0)</f>
        <v>81</v>
      </c>
      <c r="K250" s="23">
        <f>IFERROR(__xludf.DUMMYFUNCTION("""COMPUTED_VALUE"""),7.9)</f>
        <v>7.9</v>
      </c>
      <c r="L250" s="24">
        <f>IFERROR(__xludf.DUMMYFUNCTION("""COMPUTED_VALUE"""),12.0)</f>
        <v>12</v>
      </c>
      <c r="M250" s="25" t="str">
        <f>IFERROR(__xludf.DUMMYFUNCTION("""COMPUTED_VALUE"""),"Metroidvania")</f>
        <v>Metroidvania</v>
      </c>
      <c r="N250" s="25"/>
      <c r="O250" s="26" t="str">
        <f>IFERROR(__xludf.DUMMYFUNCTION("""COMPUTED_VALUE"""),"Yes")</f>
        <v>Yes</v>
      </c>
      <c r="P250" s="26"/>
    </row>
    <row r="251">
      <c r="A251" s="13" t="str">
        <f>IFERROR(__xludf.DUMMYFUNCTION("""COMPUTED_VALUE"""),"Metal: Hellsinger")</f>
        <v>Metal: Hellsinger</v>
      </c>
      <c r="B251" s="15" t="str">
        <f>IFERROR(__xludf.DUMMYFUNCTION("""COMPUTED_VALUE"""),"PS5/PS4")</f>
        <v>PS5/PS4</v>
      </c>
      <c r="C251" s="16" t="str">
        <f>IFERROR(__xludf.DUMMYFUNCTION("""COMPUTED_VALUE"""),"Extra")</f>
        <v>Extra</v>
      </c>
      <c r="D251" s="15" t="str">
        <f>IFERROR(__xludf.DUMMYFUNCTION("""COMPUTED_VALUE"""),"Removed")</f>
        <v>Removed</v>
      </c>
      <c r="E251" s="17">
        <f>IFERROR(__xludf.DUMMYFUNCTION("""COMPUTED_VALUE"""),45279.0)</f>
        <v>45279</v>
      </c>
      <c r="F251" s="54">
        <f>IFERROR(__xludf.DUMMYFUNCTION("""COMPUTED_VALUE"""),45642.0)</f>
        <v>45642</v>
      </c>
      <c r="G251" s="19">
        <f>IFERROR(__xludf.DUMMYFUNCTION("""COMPUTED_VALUE"""),11.9)</f>
        <v>11.9</v>
      </c>
      <c r="H251" s="17">
        <f>IFERROR(__xludf.DUMMYFUNCTION("""COMPUTED_VALUE"""),44819.0)</f>
        <v>44819</v>
      </c>
      <c r="I251" s="19">
        <f>IFERROR(__xludf.DUMMYFUNCTION("""COMPUTED_VALUE"""),1.261111111111111)</f>
        <v>1.261111111</v>
      </c>
      <c r="J251" s="21">
        <f>IFERROR(__xludf.DUMMYFUNCTION("""COMPUTED_VALUE"""),78.0)</f>
        <v>78</v>
      </c>
      <c r="K251" s="23">
        <f>IFERROR(__xludf.DUMMYFUNCTION("""COMPUTED_VALUE"""),7.9)</f>
        <v>7.9</v>
      </c>
      <c r="L251" s="24">
        <f>IFERROR(__xludf.DUMMYFUNCTION("""COMPUTED_VALUE"""),5.0)</f>
        <v>5</v>
      </c>
      <c r="M251" s="25" t="str">
        <f>IFERROR(__xludf.DUMMYFUNCTION("""COMPUTED_VALUE"""),"Shooter")</f>
        <v>Shooter</v>
      </c>
      <c r="N251" s="25"/>
      <c r="O251" s="26" t="str">
        <f>IFERROR(__xludf.DUMMYFUNCTION("""COMPUTED_VALUE"""),"Yes")</f>
        <v>Yes</v>
      </c>
      <c r="P251" s="26"/>
    </row>
    <row r="252">
      <c r="A252" s="13" t="str">
        <f>IFERROR(__xludf.DUMMYFUNCTION("""COMPUTED_VALUE"""),"Moonscars")</f>
        <v>Moonscars</v>
      </c>
      <c r="B252" s="15" t="str">
        <f>IFERROR(__xludf.DUMMYFUNCTION("""COMPUTED_VALUE"""),"PS5/PS4")</f>
        <v>PS5/PS4</v>
      </c>
      <c r="C252" s="16" t="str">
        <f>IFERROR(__xludf.DUMMYFUNCTION("""COMPUTED_VALUE"""),"Extra")</f>
        <v>Extra</v>
      </c>
      <c r="D252" s="15" t="str">
        <f>IFERROR(__xludf.DUMMYFUNCTION("""COMPUTED_VALUE"""),"Removed")</f>
        <v>Removed</v>
      </c>
      <c r="E252" s="17">
        <f>IFERROR(__xludf.DUMMYFUNCTION("""COMPUTED_VALUE"""),45279.0)</f>
        <v>45279</v>
      </c>
      <c r="F252" s="54">
        <f>IFERROR(__xludf.DUMMYFUNCTION("""COMPUTED_VALUE"""),45642.0)</f>
        <v>45642</v>
      </c>
      <c r="G252" s="19">
        <f>IFERROR(__xludf.DUMMYFUNCTION("""COMPUTED_VALUE"""),11.9)</f>
        <v>11.9</v>
      </c>
      <c r="H252" s="17">
        <f>IFERROR(__xludf.DUMMYFUNCTION("""COMPUTED_VALUE"""),44831.0)</f>
        <v>44831</v>
      </c>
      <c r="I252" s="19">
        <f>IFERROR(__xludf.DUMMYFUNCTION("""COMPUTED_VALUE"""),1.2277777777777779)</f>
        <v>1.227777778</v>
      </c>
      <c r="J252" s="21">
        <f>IFERROR(__xludf.DUMMYFUNCTION("""COMPUTED_VALUE"""),71.0)</f>
        <v>71</v>
      </c>
      <c r="K252" s="23">
        <f>IFERROR(__xludf.DUMMYFUNCTION("""COMPUTED_VALUE"""),6.3)</f>
        <v>6.3</v>
      </c>
      <c r="L252" s="24">
        <f>IFERROR(__xludf.DUMMYFUNCTION("""COMPUTED_VALUE"""),9.0)</f>
        <v>9</v>
      </c>
      <c r="M252" s="25" t="str">
        <f>IFERROR(__xludf.DUMMYFUNCTION("""COMPUTED_VALUE"""),"Metroidvania")</f>
        <v>Metroidvania</v>
      </c>
      <c r="N252" s="25"/>
      <c r="O252" s="26" t="str">
        <f>IFERROR(__xludf.DUMMYFUNCTION("""COMPUTED_VALUE"""),"Yes")</f>
        <v>Yes</v>
      </c>
      <c r="P252" s="26"/>
    </row>
    <row r="253">
      <c r="A253" s="13" t="str">
        <f>IFERROR(__xludf.DUMMYFUNCTION("""COMPUTED_VALUE"""),"Prodeus")</f>
        <v>Prodeus</v>
      </c>
      <c r="B253" s="15" t="str">
        <f>IFERROR(__xludf.DUMMYFUNCTION("""COMPUTED_VALUE"""),"PS5/PS4")</f>
        <v>PS5/PS4</v>
      </c>
      <c r="C253" s="16" t="str">
        <f>IFERROR(__xludf.DUMMYFUNCTION("""COMPUTED_VALUE"""),"Extra")</f>
        <v>Extra</v>
      </c>
      <c r="D253" s="15" t="str">
        <f>IFERROR(__xludf.DUMMYFUNCTION("""COMPUTED_VALUE"""),"Removed")</f>
        <v>Removed</v>
      </c>
      <c r="E253" s="17">
        <f>IFERROR(__xludf.DUMMYFUNCTION("""COMPUTED_VALUE"""),45279.0)</f>
        <v>45279</v>
      </c>
      <c r="F253" s="54">
        <f>IFERROR(__xludf.DUMMYFUNCTION("""COMPUTED_VALUE"""),45642.0)</f>
        <v>45642</v>
      </c>
      <c r="G253" s="19">
        <f>IFERROR(__xludf.DUMMYFUNCTION("""COMPUTED_VALUE"""),11.9)</f>
        <v>11.9</v>
      </c>
      <c r="H253" s="17">
        <f>IFERROR(__xludf.DUMMYFUNCTION("""COMPUTED_VALUE"""),44827.0)</f>
        <v>44827</v>
      </c>
      <c r="I253" s="19">
        <f>IFERROR(__xludf.DUMMYFUNCTION("""COMPUTED_VALUE"""),1.238888888888889)</f>
        <v>1.238888889</v>
      </c>
      <c r="J253" s="21">
        <f>IFERROR(__xludf.DUMMYFUNCTION("""COMPUTED_VALUE"""),75.0)</f>
        <v>75</v>
      </c>
      <c r="K253" s="23">
        <f>IFERROR(__xludf.DUMMYFUNCTION("""COMPUTED_VALUE"""),7.5)</f>
        <v>7.5</v>
      </c>
      <c r="L253" s="24">
        <f>IFERROR(__xludf.DUMMYFUNCTION("""COMPUTED_VALUE"""),7.0)</f>
        <v>7</v>
      </c>
      <c r="M253" s="25" t="str">
        <f>IFERROR(__xludf.DUMMYFUNCTION("""COMPUTED_VALUE"""),"Shooter")</f>
        <v>Shooter</v>
      </c>
      <c r="N253" s="25"/>
      <c r="O253" s="26" t="str">
        <f>IFERROR(__xludf.DUMMYFUNCTION("""COMPUTED_VALUE"""),"Yes")</f>
        <v>Yes</v>
      </c>
      <c r="P253" s="26"/>
    </row>
    <row r="254">
      <c r="A254" s="13" t="str">
        <f>IFERROR(__xludf.DUMMYFUNCTION("""COMPUTED_VALUE"""),"Stranger of Paradise: Final Fantasy Origin")</f>
        <v>Stranger of Paradise: Final Fantasy Origin</v>
      </c>
      <c r="B254" s="15" t="str">
        <f>IFERROR(__xludf.DUMMYFUNCTION("""COMPUTED_VALUE"""),"PS5/PS4")</f>
        <v>PS5/PS4</v>
      </c>
      <c r="C254" s="16" t="str">
        <f>IFERROR(__xludf.DUMMYFUNCTION("""COMPUTED_VALUE"""),"Extra")</f>
        <v>Extra</v>
      </c>
      <c r="D254" s="15" t="str">
        <f>IFERROR(__xludf.DUMMYFUNCTION("""COMPUTED_VALUE"""),"Removed")</f>
        <v>Removed</v>
      </c>
      <c r="E254" s="17">
        <f>IFERROR(__xludf.DUMMYFUNCTION("""COMPUTED_VALUE"""),45279.0)</f>
        <v>45279</v>
      </c>
      <c r="F254" s="54">
        <f>IFERROR(__xludf.DUMMYFUNCTION("""COMPUTED_VALUE"""),45642.0)</f>
        <v>45642</v>
      </c>
      <c r="G254" s="19">
        <f>IFERROR(__xludf.DUMMYFUNCTION("""COMPUTED_VALUE"""),11.9)</f>
        <v>11.9</v>
      </c>
      <c r="H254" s="17">
        <f>IFERROR(__xludf.DUMMYFUNCTION("""COMPUTED_VALUE"""),44635.0)</f>
        <v>44635</v>
      </c>
      <c r="I254" s="19">
        <f>IFERROR(__xludf.DUMMYFUNCTION("""COMPUTED_VALUE"""),1.761111111111111)</f>
        <v>1.761111111</v>
      </c>
      <c r="J254" s="21">
        <f>IFERROR(__xludf.DUMMYFUNCTION("""COMPUTED_VALUE"""),72.0)</f>
        <v>72</v>
      </c>
      <c r="K254" s="23">
        <f>IFERROR(__xludf.DUMMYFUNCTION("""COMPUTED_VALUE"""),7.2)</f>
        <v>7.2</v>
      </c>
      <c r="L254" s="24">
        <f>IFERROR(__xludf.DUMMYFUNCTION("""COMPUTED_VALUE"""),18.0)</f>
        <v>18</v>
      </c>
      <c r="M254" s="25" t="str">
        <f>IFERROR(__xludf.DUMMYFUNCTION("""COMPUTED_VALUE"""),"RPG")</f>
        <v>RPG</v>
      </c>
      <c r="N254" s="25"/>
      <c r="O254" s="26" t="str">
        <f>IFERROR(__xludf.DUMMYFUNCTION("""COMPUTED_VALUE"""),"Yes")</f>
        <v>Yes</v>
      </c>
      <c r="P254" s="26"/>
    </row>
    <row r="255">
      <c r="A255" s="13" t="str">
        <f>IFERROR(__xludf.DUMMYFUNCTION("""COMPUTED_VALUE"""),"Tinykin")</f>
        <v>Tinykin</v>
      </c>
      <c r="B255" s="15" t="str">
        <f>IFERROR(__xludf.DUMMYFUNCTION("""COMPUTED_VALUE"""),"PS5/PS4")</f>
        <v>PS5/PS4</v>
      </c>
      <c r="C255" s="16" t="str">
        <f>IFERROR(__xludf.DUMMYFUNCTION("""COMPUTED_VALUE"""),"Extra")</f>
        <v>Extra</v>
      </c>
      <c r="D255" s="15" t="str">
        <f>IFERROR(__xludf.DUMMYFUNCTION("""COMPUTED_VALUE"""),"Removed")</f>
        <v>Removed</v>
      </c>
      <c r="E255" s="17">
        <f>IFERROR(__xludf.DUMMYFUNCTION("""COMPUTED_VALUE"""),45279.0)</f>
        <v>45279</v>
      </c>
      <c r="F255" s="54">
        <f>IFERROR(__xludf.DUMMYFUNCTION("""COMPUTED_VALUE"""),45642.0)</f>
        <v>45642</v>
      </c>
      <c r="G255" s="19">
        <f>IFERROR(__xludf.DUMMYFUNCTION("""COMPUTED_VALUE"""),11.9)</f>
        <v>11.9</v>
      </c>
      <c r="H255" s="17">
        <f>IFERROR(__xludf.DUMMYFUNCTION("""COMPUTED_VALUE"""),44803.0)</f>
        <v>44803</v>
      </c>
      <c r="I255" s="19">
        <f>IFERROR(__xludf.DUMMYFUNCTION("""COMPUTED_VALUE"""),1.3027777777777778)</f>
        <v>1.302777778</v>
      </c>
      <c r="J255" s="21">
        <f>IFERROR(__xludf.DUMMYFUNCTION("""COMPUTED_VALUE"""),77.0)</f>
        <v>77</v>
      </c>
      <c r="K255" s="23">
        <f>IFERROR(__xludf.DUMMYFUNCTION("""COMPUTED_VALUE"""),8.1)</f>
        <v>8.1</v>
      </c>
      <c r="L255" s="24">
        <f>IFERROR(__xludf.DUMMYFUNCTION("""COMPUTED_VALUE"""),6.0)</f>
        <v>6</v>
      </c>
      <c r="M255" s="25" t="str">
        <f>IFERROR(__xludf.DUMMYFUNCTION("""COMPUTED_VALUE"""),"Platformer")</f>
        <v>Platformer</v>
      </c>
      <c r="N255" s="25"/>
      <c r="O255" s="26" t="str">
        <f>IFERROR(__xludf.DUMMYFUNCTION("""COMPUTED_VALUE"""),"Yes")</f>
        <v>Yes</v>
      </c>
      <c r="P255" s="26"/>
    </row>
    <row r="256">
      <c r="A256" s="13" t="str">
        <f>IFERROR(__xludf.DUMMYFUNCTION("""COMPUTED_VALUE"""),"Mega Man 11")</f>
        <v>Mega Man 11</v>
      </c>
      <c r="B256" s="15" t="str">
        <f>IFERROR(__xludf.DUMMYFUNCTION("""COMPUTED_VALUE"""),"PS4")</f>
        <v>PS4</v>
      </c>
      <c r="C256" s="16" t="str">
        <f>IFERROR(__xludf.DUMMYFUNCTION("""COMPUTED_VALUE"""),"Extra")</f>
        <v>Extra</v>
      </c>
      <c r="D256" s="15" t="str">
        <f>IFERROR(__xludf.DUMMYFUNCTION("""COMPUTED_VALUE"""),"Removed")</f>
        <v>Removed</v>
      </c>
      <c r="E256" s="17">
        <f>IFERROR(__xludf.DUMMYFUNCTION("""COMPUTED_VALUE"""),45279.0)</f>
        <v>45279</v>
      </c>
      <c r="F256" s="54">
        <f>IFERROR(__xludf.DUMMYFUNCTION("""COMPUTED_VALUE"""),45642.0)</f>
        <v>45642</v>
      </c>
      <c r="G256" s="19">
        <f>IFERROR(__xludf.DUMMYFUNCTION("""COMPUTED_VALUE"""),11.9)</f>
        <v>11.9</v>
      </c>
      <c r="H256" s="17">
        <f>IFERROR(__xludf.DUMMYFUNCTION("""COMPUTED_VALUE"""),43375.0)</f>
        <v>43375</v>
      </c>
      <c r="I256" s="19">
        <f>IFERROR(__xludf.DUMMYFUNCTION("""COMPUTED_VALUE"""),5.213888888888889)</f>
        <v>5.213888889</v>
      </c>
      <c r="J256" s="21">
        <f>IFERROR(__xludf.DUMMYFUNCTION("""COMPUTED_VALUE"""),82.0)</f>
        <v>82</v>
      </c>
      <c r="K256" s="23">
        <f>IFERROR(__xludf.DUMMYFUNCTION("""COMPUTED_VALUE"""),7.5)</f>
        <v>7.5</v>
      </c>
      <c r="L256" s="24">
        <f>IFERROR(__xludf.DUMMYFUNCTION("""COMPUTED_VALUE"""),5.0)</f>
        <v>5</v>
      </c>
      <c r="M256" s="25" t="str">
        <f>IFERROR(__xludf.DUMMYFUNCTION("""COMPUTED_VALUE"""),"Platformer")</f>
        <v>Platformer</v>
      </c>
      <c r="N256" s="25"/>
      <c r="O256" s="26" t="str">
        <f>IFERROR(__xludf.DUMMYFUNCTION("""COMPUTED_VALUE"""),"Yes")</f>
        <v>Yes</v>
      </c>
      <c r="P256" s="26"/>
    </row>
    <row r="257">
      <c r="A257" s="13" t="str">
        <f>IFERROR(__xludf.DUMMYFUNCTION("""COMPUTED_VALUE"""),"Mega Man Legacy Collection")</f>
        <v>Mega Man Legacy Collection</v>
      </c>
      <c r="B257" s="15" t="str">
        <f>IFERROR(__xludf.DUMMYFUNCTION("""COMPUTED_VALUE"""),"PS4")</f>
        <v>PS4</v>
      </c>
      <c r="C257" s="16" t="str">
        <f>IFERROR(__xludf.DUMMYFUNCTION("""COMPUTED_VALUE"""),"Premium (Classics)")</f>
        <v>Premium (Classics)</v>
      </c>
      <c r="D257" s="15" t="str">
        <f>IFERROR(__xludf.DUMMYFUNCTION("""COMPUTED_VALUE"""),"Removed")</f>
        <v>Removed</v>
      </c>
      <c r="E257" s="17">
        <f>IFERROR(__xludf.DUMMYFUNCTION("""COMPUTED_VALUE"""),45279.0)</f>
        <v>45279</v>
      </c>
      <c r="F257" s="54">
        <f>IFERROR(__xludf.DUMMYFUNCTION("""COMPUTED_VALUE"""),45642.0)</f>
        <v>45642</v>
      </c>
      <c r="G257" s="19">
        <f>IFERROR(__xludf.DUMMYFUNCTION("""COMPUTED_VALUE"""),11.9)</f>
        <v>11.9</v>
      </c>
      <c r="H257" s="17">
        <f>IFERROR(__xludf.DUMMYFUNCTION("""COMPUTED_VALUE"""),42241.0)</f>
        <v>42241</v>
      </c>
      <c r="I257" s="19">
        <f>IFERROR(__xludf.DUMMYFUNCTION("""COMPUTED_VALUE"""),8.316666666666666)</f>
        <v>8.316666667</v>
      </c>
      <c r="J257" s="21">
        <f>IFERROR(__xludf.DUMMYFUNCTION("""COMPUTED_VALUE"""),77.0)</f>
        <v>77</v>
      </c>
      <c r="K257" s="23">
        <f>IFERROR(__xludf.DUMMYFUNCTION("""COMPUTED_VALUE"""),7.1)</f>
        <v>7.1</v>
      </c>
      <c r="L257" s="24">
        <f>IFERROR(__xludf.DUMMYFUNCTION("""COMPUTED_VALUE"""),19.0)</f>
        <v>19</v>
      </c>
      <c r="M257" s="25" t="str">
        <f>IFERROR(__xludf.DUMMYFUNCTION("""COMPUTED_VALUE"""),"Platformer")</f>
        <v>Platformer</v>
      </c>
      <c r="N257" s="25" t="str">
        <f>IFERROR(__xludf.DUMMYFUNCTION("""COMPUTED_VALUE"""),"Mega Man 1-6 (NES)")</f>
        <v>Mega Man 1-6 (NES)</v>
      </c>
      <c r="O257" s="26" t="str">
        <f>IFERROR(__xludf.DUMMYFUNCTION("""COMPUTED_VALUE"""),"Yes")</f>
        <v>Yes</v>
      </c>
      <c r="P257" s="26"/>
    </row>
    <row r="258">
      <c r="A258" s="13" t="str">
        <f>IFERROR(__xludf.DUMMYFUNCTION("""COMPUTED_VALUE"""),"Mega Man Legacy Collection 2")</f>
        <v>Mega Man Legacy Collection 2</v>
      </c>
      <c r="B258" s="15" t="str">
        <f>IFERROR(__xludf.DUMMYFUNCTION("""COMPUTED_VALUE"""),"PS4")</f>
        <v>PS4</v>
      </c>
      <c r="C258" s="16" t="str">
        <f>IFERROR(__xludf.DUMMYFUNCTION("""COMPUTED_VALUE"""),"Premium (Classics)")</f>
        <v>Premium (Classics)</v>
      </c>
      <c r="D258" s="15" t="str">
        <f>IFERROR(__xludf.DUMMYFUNCTION("""COMPUTED_VALUE"""),"Removed")</f>
        <v>Removed</v>
      </c>
      <c r="E258" s="17">
        <f>IFERROR(__xludf.DUMMYFUNCTION("""COMPUTED_VALUE"""),45279.0)</f>
        <v>45279</v>
      </c>
      <c r="F258" s="54">
        <f>IFERROR(__xludf.DUMMYFUNCTION("""COMPUTED_VALUE"""),45642.0)</f>
        <v>45642</v>
      </c>
      <c r="G258" s="19">
        <f>IFERROR(__xludf.DUMMYFUNCTION("""COMPUTED_VALUE"""),11.9)</f>
        <v>11.9</v>
      </c>
      <c r="H258" s="17">
        <f>IFERROR(__xludf.DUMMYFUNCTION("""COMPUTED_VALUE"""),42955.0)</f>
        <v>42955</v>
      </c>
      <c r="I258" s="19">
        <f>IFERROR(__xludf.DUMMYFUNCTION("""COMPUTED_VALUE"""),6.363888888888889)</f>
        <v>6.363888889</v>
      </c>
      <c r="J258" s="21">
        <f>IFERROR(__xludf.DUMMYFUNCTION("""COMPUTED_VALUE"""),71.0)</f>
        <v>71</v>
      </c>
      <c r="K258" s="23">
        <f>IFERROR(__xludf.DUMMYFUNCTION("""COMPUTED_VALUE"""),6.9)</f>
        <v>6.9</v>
      </c>
      <c r="L258" s="24">
        <f>IFERROR(__xludf.DUMMYFUNCTION("""COMPUTED_VALUE"""),17.0)</f>
        <v>17</v>
      </c>
      <c r="M258" s="25" t="str">
        <f>IFERROR(__xludf.DUMMYFUNCTION("""COMPUTED_VALUE"""),"Platformer")</f>
        <v>Platformer</v>
      </c>
      <c r="N258" s="25" t="str">
        <f>IFERROR(__xludf.DUMMYFUNCTION("""COMPUTED_VALUE"""),"Mega Man 7-10 (SNES, PS1 + Saturn, Wii + PS3 + XB360 for the remainder, respectively)")</f>
        <v>Mega Man 7-10 (SNES, PS1 + Saturn, Wii + PS3 + XB360 for the remainder, respectively)</v>
      </c>
      <c r="O258" s="26" t="str">
        <f>IFERROR(__xludf.DUMMYFUNCTION("""COMPUTED_VALUE"""),"No")</f>
        <v>No</v>
      </c>
      <c r="P258" s="26"/>
    </row>
    <row r="259">
      <c r="A259" s="13" t="str">
        <f>IFERROR(__xludf.DUMMYFUNCTION("""COMPUTED_VALUE"""),"Alternate Jake Hunter: Daedalus The Awakening of Golden Jazz")</f>
        <v>Alternate Jake Hunter: Daedalus The Awakening of Golden Jazz</v>
      </c>
      <c r="B259" s="15" t="str">
        <f>IFERROR(__xludf.DUMMYFUNCTION("""COMPUTED_VALUE"""),"PS4")</f>
        <v>PS4</v>
      </c>
      <c r="C259" s="16" t="str">
        <f>IFERROR(__xludf.DUMMYFUNCTION("""COMPUTED_VALUE"""),"Extra")</f>
        <v>Extra</v>
      </c>
      <c r="D259" s="15" t="str">
        <f>IFERROR(__xludf.DUMMYFUNCTION("""COMPUTED_VALUE"""),"Removed")</f>
        <v>Removed</v>
      </c>
      <c r="E259" s="17">
        <f>IFERROR(__xludf.DUMMYFUNCTION("""COMPUTED_VALUE"""),45251.0)</f>
        <v>45251</v>
      </c>
      <c r="F259" s="54">
        <f>IFERROR(__xludf.DUMMYFUNCTION("""COMPUTED_VALUE"""),45642.0)</f>
        <v>45642</v>
      </c>
      <c r="G259" s="19">
        <f>IFERROR(__xludf.DUMMYFUNCTION("""COMPUTED_VALUE"""),12.833333333333332)</f>
        <v>12.83333333</v>
      </c>
      <c r="H259" s="17">
        <f>IFERROR(__xludf.DUMMYFUNCTION("""COMPUTED_VALUE"""),43608.0)</f>
        <v>43608</v>
      </c>
      <c r="I259" s="19">
        <f>IFERROR(__xludf.DUMMYFUNCTION("""COMPUTED_VALUE"""),4.4944444444444445)</f>
        <v>4.494444444</v>
      </c>
      <c r="J259" s="21">
        <f>IFERROR(__xludf.DUMMYFUNCTION("""COMPUTED_VALUE"""),75.0)</f>
        <v>75</v>
      </c>
      <c r="K259" s="23">
        <f>IFERROR(__xludf.DUMMYFUNCTION("""COMPUTED_VALUE"""),4.4)</f>
        <v>4.4</v>
      </c>
      <c r="L259" s="24">
        <f>IFERROR(__xludf.DUMMYFUNCTION("""COMPUTED_VALUE"""),7.0)</f>
        <v>7</v>
      </c>
      <c r="M259" s="25" t="str">
        <f>IFERROR(__xludf.DUMMYFUNCTION("""COMPUTED_VALUE"""),"Action-Adventure")</f>
        <v>Action-Adventure</v>
      </c>
      <c r="N259" s="25"/>
      <c r="O259" s="26" t="str">
        <f>IFERROR(__xludf.DUMMYFUNCTION("""COMPUTED_VALUE"""),"Yes")</f>
        <v>Yes</v>
      </c>
      <c r="P259" s="26"/>
    </row>
    <row r="260">
      <c r="A260" s="13" t="str">
        <f>IFERROR(__xludf.DUMMYFUNCTION("""COMPUTED_VALUE"""),"Dead Island: Riptide - Definitive Edition")</f>
        <v>Dead Island: Riptide - Definitive Edition</v>
      </c>
      <c r="B260" s="15" t="str">
        <f>IFERROR(__xludf.DUMMYFUNCTION("""COMPUTED_VALUE"""),"PS4")</f>
        <v>PS4</v>
      </c>
      <c r="C260" s="16" t="str">
        <f>IFERROR(__xludf.DUMMYFUNCTION("""COMPUTED_VALUE"""),"Extra")</f>
        <v>Extra</v>
      </c>
      <c r="D260" s="15" t="str">
        <f>IFERROR(__xludf.DUMMYFUNCTION("""COMPUTED_VALUE"""),"Removed")</f>
        <v>Removed</v>
      </c>
      <c r="E260" s="17">
        <f>IFERROR(__xludf.DUMMYFUNCTION("""COMPUTED_VALUE"""),45251.0)</f>
        <v>45251</v>
      </c>
      <c r="F260" s="54">
        <f>IFERROR(__xludf.DUMMYFUNCTION("""COMPUTED_VALUE"""),45642.0)</f>
        <v>45642</v>
      </c>
      <c r="G260" s="19">
        <f>IFERROR(__xludf.DUMMYFUNCTION("""COMPUTED_VALUE"""),12.833333333333332)</f>
        <v>12.83333333</v>
      </c>
      <c r="H260" s="17">
        <f>IFERROR(__xludf.DUMMYFUNCTION("""COMPUTED_VALUE"""),42521.0)</f>
        <v>42521</v>
      </c>
      <c r="I260" s="19">
        <f>IFERROR(__xludf.DUMMYFUNCTION("""COMPUTED_VALUE"""),7.475)</f>
        <v>7.475</v>
      </c>
      <c r="J260" s="21">
        <f>IFERROR(__xludf.DUMMYFUNCTION("""COMPUTED_VALUE"""),50.0)</f>
        <v>50</v>
      </c>
      <c r="K260" s="23">
        <f>IFERROR(__xludf.DUMMYFUNCTION("""COMPUTED_VALUE"""),6.9)</f>
        <v>6.9</v>
      </c>
      <c r="L260" s="24">
        <f>IFERROR(__xludf.DUMMYFUNCTION("""COMPUTED_VALUE"""),9.0)</f>
        <v>9</v>
      </c>
      <c r="M260" s="25" t="str">
        <f>IFERROR(__xludf.DUMMYFUNCTION("""COMPUTED_VALUE"""),"Shooter")</f>
        <v>Shooter</v>
      </c>
      <c r="N260" s="25"/>
      <c r="O260" s="26" t="str">
        <f>IFERROR(__xludf.DUMMYFUNCTION("""COMPUTED_VALUE"""),"Yes")</f>
        <v>Yes</v>
      </c>
      <c r="P260" s="26"/>
    </row>
    <row r="261">
      <c r="A261" s="13" t="str">
        <f>IFERROR(__xludf.DUMMYFUNCTION("""COMPUTED_VALUE"""),"Dead Island: Definitive Edition")</f>
        <v>Dead Island: Definitive Edition</v>
      </c>
      <c r="B261" s="15" t="str">
        <f>IFERROR(__xludf.DUMMYFUNCTION("""COMPUTED_VALUE"""),"PS4")</f>
        <v>PS4</v>
      </c>
      <c r="C261" s="16" t="str">
        <f>IFERROR(__xludf.DUMMYFUNCTION("""COMPUTED_VALUE"""),"Extra")</f>
        <v>Extra</v>
      </c>
      <c r="D261" s="15" t="str">
        <f>IFERROR(__xludf.DUMMYFUNCTION("""COMPUTED_VALUE"""),"Removed")</f>
        <v>Removed</v>
      </c>
      <c r="E261" s="17">
        <f>IFERROR(__xludf.DUMMYFUNCTION("""COMPUTED_VALUE"""),45216.0)</f>
        <v>45216</v>
      </c>
      <c r="F261" s="54">
        <f>IFERROR(__xludf.DUMMYFUNCTION("""COMPUTED_VALUE"""),45642.0)</f>
        <v>45642</v>
      </c>
      <c r="G261" s="19">
        <f>IFERROR(__xludf.DUMMYFUNCTION("""COMPUTED_VALUE"""),13.966666666666669)</f>
        <v>13.96666667</v>
      </c>
      <c r="H261" s="17">
        <f>IFERROR(__xludf.DUMMYFUNCTION("""COMPUTED_VALUE"""),42521.0)</f>
        <v>42521</v>
      </c>
      <c r="I261" s="19">
        <f>IFERROR(__xludf.DUMMYFUNCTION("""COMPUTED_VALUE"""),7.3805555555555555)</f>
        <v>7.380555556</v>
      </c>
      <c r="J261" s="21">
        <f>IFERROR(__xludf.DUMMYFUNCTION("""COMPUTED_VALUE"""),63.0)</f>
        <v>63</v>
      </c>
      <c r="K261" s="23">
        <f>IFERROR(__xludf.DUMMYFUNCTION("""COMPUTED_VALUE"""),6.9)</f>
        <v>6.9</v>
      </c>
      <c r="L261" s="24">
        <f>IFERROR(__xludf.DUMMYFUNCTION("""COMPUTED_VALUE"""),16.0)</f>
        <v>16</v>
      </c>
      <c r="M261" s="72" t="str">
        <f>IFERROR(__xludf.DUMMYFUNCTION("""COMPUTED_VALUE"""),"Shooter")</f>
        <v>Shooter</v>
      </c>
      <c r="N261" s="72"/>
      <c r="O261" s="73" t="str">
        <f>IFERROR(__xludf.DUMMYFUNCTION("""COMPUTED_VALUE"""),"Yes")</f>
        <v>Yes</v>
      </c>
      <c r="P261" s="73"/>
    </row>
    <row r="262">
      <c r="A262" s="13" t="str">
        <f>IFERROR(__xludf.DUMMYFUNCTION("""COMPUTED_VALUE"""),"Soulstice")</f>
        <v>Soulstice</v>
      </c>
      <c r="B262" s="15" t="str">
        <f>IFERROR(__xludf.DUMMYFUNCTION("""COMPUTED_VALUE"""),"PS5")</f>
        <v>PS5</v>
      </c>
      <c r="C262" s="16" t="str">
        <f>IFERROR(__xludf.DUMMYFUNCTION("""COMPUTED_VALUE"""),"Extra")</f>
        <v>Extra</v>
      </c>
      <c r="D262" s="15" t="str">
        <f>IFERROR(__xludf.DUMMYFUNCTION("""COMPUTED_VALUE"""),"Removed")</f>
        <v>Removed</v>
      </c>
      <c r="E262" s="17">
        <f>IFERROR(__xludf.DUMMYFUNCTION("""COMPUTED_VALUE"""),45097.0)</f>
        <v>45097</v>
      </c>
      <c r="F262" s="18">
        <f>IFERROR(__xludf.DUMMYFUNCTION("""COMPUTED_VALUE"""),45642.0)</f>
        <v>45642</v>
      </c>
      <c r="G262" s="19">
        <f>IFERROR(__xludf.DUMMYFUNCTION("""COMPUTED_VALUE"""),17.866666666666667)</f>
        <v>17.86666667</v>
      </c>
      <c r="H262" s="17">
        <f>IFERROR(__xludf.DUMMYFUNCTION("""COMPUTED_VALUE"""),44824.0)</f>
        <v>44824</v>
      </c>
      <c r="I262" s="19">
        <f>IFERROR(__xludf.DUMMYFUNCTION("""COMPUTED_VALUE"""),0.75)</f>
        <v>0.75</v>
      </c>
      <c r="J262" s="21">
        <f>IFERROR(__xludf.DUMMYFUNCTION("""COMPUTED_VALUE"""),72.0)</f>
        <v>72</v>
      </c>
      <c r="K262" s="23">
        <f>IFERROR(__xludf.DUMMYFUNCTION("""COMPUTED_VALUE"""),5.1)</f>
        <v>5.1</v>
      </c>
      <c r="L262" s="24">
        <f>IFERROR(__xludf.DUMMYFUNCTION("""COMPUTED_VALUE"""),18.0)</f>
        <v>18</v>
      </c>
      <c r="M262" s="25" t="str">
        <f>IFERROR(__xludf.DUMMYFUNCTION("""COMPUTED_VALUE"""),"RPG")</f>
        <v>RPG</v>
      </c>
      <c r="N262" s="25"/>
      <c r="O262" s="26" t="str">
        <f>IFERROR(__xludf.DUMMYFUNCTION("""COMPUTED_VALUE"""),"Portal (PS5 + Premium)")</f>
        <v>Portal (PS5 + Premium)</v>
      </c>
      <c r="P262" s="26"/>
    </row>
    <row r="263">
      <c r="A263" s="13" t="str">
        <f>IFERROR(__xludf.DUMMYFUNCTION("""COMPUTED_VALUE"""),"Vampire: The Masquerade - Coteries of New York")</f>
        <v>Vampire: The Masquerade - Coteries of New York</v>
      </c>
      <c r="B263" s="15" t="str">
        <f>IFERROR(__xludf.DUMMYFUNCTION("""COMPUTED_VALUE"""),"PS4")</f>
        <v>PS4</v>
      </c>
      <c r="C263" s="16" t="str">
        <f>IFERROR(__xludf.DUMMYFUNCTION("""COMPUTED_VALUE"""),"Extra")</f>
        <v>Extra</v>
      </c>
      <c r="D263" s="15" t="str">
        <f>IFERROR(__xludf.DUMMYFUNCTION("""COMPUTED_VALUE"""),"Removed")</f>
        <v>Removed</v>
      </c>
      <c r="E263" s="17">
        <f>IFERROR(__xludf.DUMMYFUNCTION("""COMPUTED_VALUE"""),45097.0)</f>
        <v>45097</v>
      </c>
      <c r="F263" s="54">
        <f>IFERROR(__xludf.DUMMYFUNCTION("""COMPUTED_VALUE"""),45642.0)</f>
        <v>45642</v>
      </c>
      <c r="G263" s="19">
        <f>IFERROR(__xludf.DUMMYFUNCTION("""COMPUTED_VALUE"""),17.866666666666667)</f>
        <v>17.86666667</v>
      </c>
      <c r="H263" s="17">
        <f>IFERROR(__xludf.DUMMYFUNCTION("""COMPUTED_VALUE"""),43915.0)</f>
        <v>43915</v>
      </c>
      <c r="I263" s="19">
        <f>IFERROR(__xludf.DUMMYFUNCTION("""COMPUTED_VALUE"""),3.236111111111111)</f>
        <v>3.236111111</v>
      </c>
      <c r="J263" s="21">
        <f>IFERROR(__xludf.DUMMYFUNCTION("""COMPUTED_VALUE"""),72.0)</f>
        <v>72</v>
      </c>
      <c r="K263" s="23">
        <f>IFERROR(__xludf.DUMMYFUNCTION("""COMPUTED_VALUE"""),7.3)</f>
        <v>7.3</v>
      </c>
      <c r="L263" s="24">
        <f>IFERROR(__xludf.DUMMYFUNCTION("""COMPUTED_VALUE"""),6.0)</f>
        <v>6</v>
      </c>
      <c r="M263" s="25" t="str">
        <f>IFERROR(__xludf.DUMMYFUNCTION("""COMPUTED_VALUE"""),"RPG")</f>
        <v>RPG</v>
      </c>
      <c r="N263" s="25"/>
      <c r="O263" s="26" t="str">
        <f>IFERROR(__xludf.DUMMYFUNCTION("""COMPUTED_VALUE"""),"Yes")</f>
        <v>Yes</v>
      </c>
      <c r="P263" s="26"/>
    </row>
    <row r="264">
      <c r="A264" s="13" t="str">
        <f>IFERROR(__xludf.DUMMYFUNCTION("""COMPUTED_VALUE"""),"Evil Genius 2: World Domination")</f>
        <v>Evil Genius 2: World Domination</v>
      </c>
      <c r="B264" s="15" t="str">
        <f>IFERROR(__xludf.DUMMYFUNCTION("""COMPUTED_VALUE"""),"PS5/PS4")</f>
        <v>PS5/PS4</v>
      </c>
      <c r="C264" s="16" t="str">
        <f>IFERROR(__xludf.DUMMYFUNCTION("""COMPUTED_VALUE"""),"Extra")</f>
        <v>Extra</v>
      </c>
      <c r="D264" s="15" t="str">
        <f>IFERROR(__xludf.DUMMYFUNCTION("""COMPUTED_VALUE"""),"Removed")</f>
        <v>Removed</v>
      </c>
      <c r="E264" s="17">
        <f>IFERROR(__xludf.DUMMYFUNCTION("""COMPUTED_VALUE"""),44915.0)</f>
        <v>44915</v>
      </c>
      <c r="F264" s="54">
        <f>IFERROR(__xludf.DUMMYFUNCTION("""COMPUTED_VALUE"""),45642.0)</f>
        <v>45642</v>
      </c>
      <c r="G264" s="19">
        <f>IFERROR(__xludf.DUMMYFUNCTION("""COMPUTED_VALUE"""),23.866666666666667)</f>
        <v>23.86666667</v>
      </c>
      <c r="H264" s="17">
        <f>IFERROR(__xludf.DUMMYFUNCTION("""COMPUTED_VALUE"""),44530.0)</f>
        <v>44530</v>
      </c>
      <c r="I264" s="19">
        <f>IFERROR(__xludf.DUMMYFUNCTION("""COMPUTED_VALUE"""),1.0555555555555556)</f>
        <v>1.055555556</v>
      </c>
      <c r="J264" s="21">
        <f>IFERROR(__xludf.DUMMYFUNCTION("""COMPUTED_VALUE"""),78.0)</f>
        <v>78</v>
      </c>
      <c r="K264" s="23">
        <f>IFERROR(__xludf.DUMMYFUNCTION("""COMPUTED_VALUE"""),5.1)</f>
        <v>5.1</v>
      </c>
      <c r="L264" s="24">
        <f>IFERROR(__xludf.DUMMYFUNCTION("""COMPUTED_VALUE"""),27.0)</f>
        <v>27</v>
      </c>
      <c r="M264" s="25" t="str">
        <f>IFERROR(__xludf.DUMMYFUNCTION("""COMPUTED_VALUE"""),"Strategy")</f>
        <v>Strategy</v>
      </c>
      <c r="N264" s="25"/>
      <c r="O264" s="26" t="str">
        <f>IFERROR(__xludf.DUMMYFUNCTION("""COMPUTED_VALUE"""),"Yes")</f>
        <v>Yes</v>
      </c>
      <c r="P264" s="26"/>
    </row>
    <row r="265">
      <c r="A265" s="13" t="str">
        <f>IFERROR(__xludf.DUMMYFUNCTION("""COMPUTED_VALUE"""),"Judgment")</f>
        <v>Judgment</v>
      </c>
      <c r="B265" s="15" t="str">
        <f>IFERROR(__xludf.DUMMYFUNCTION("""COMPUTED_VALUE"""),"PS5/PS4")</f>
        <v>PS5/PS4</v>
      </c>
      <c r="C265" s="16" t="str">
        <f>IFERROR(__xludf.DUMMYFUNCTION("""COMPUTED_VALUE"""),"Extra")</f>
        <v>Extra</v>
      </c>
      <c r="D265" s="15" t="str">
        <f>IFERROR(__xludf.DUMMYFUNCTION("""COMPUTED_VALUE"""),"Removed")</f>
        <v>Removed</v>
      </c>
      <c r="E265" s="17">
        <f>IFERROR(__xludf.DUMMYFUNCTION("""COMPUTED_VALUE"""),44915.0)</f>
        <v>44915</v>
      </c>
      <c r="F265" s="54">
        <f>IFERROR(__xludf.DUMMYFUNCTION("""COMPUTED_VALUE"""),45642.0)</f>
        <v>45642</v>
      </c>
      <c r="G265" s="19">
        <f>IFERROR(__xludf.DUMMYFUNCTION("""COMPUTED_VALUE"""),23.866666666666667)</f>
        <v>23.86666667</v>
      </c>
      <c r="H265" s="17">
        <f>IFERROR(__xludf.DUMMYFUNCTION("""COMPUTED_VALUE"""),43637.0)</f>
        <v>43637</v>
      </c>
      <c r="I265" s="19">
        <f>IFERROR(__xludf.DUMMYFUNCTION("""COMPUTED_VALUE"""),3.4972222222222222)</f>
        <v>3.497222222</v>
      </c>
      <c r="J265" s="21">
        <f>IFERROR(__xludf.DUMMYFUNCTION("""COMPUTED_VALUE"""),80.0)</f>
        <v>80</v>
      </c>
      <c r="K265" s="23">
        <f>IFERROR(__xludf.DUMMYFUNCTION("""COMPUTED_VALUE"""),8.5)</f>
        <v>8.5</v>
      </c>
      <c r="L265" s="24">
        <f>IFERROR(__xludf.DUMMYFUNCTION("""COMPUTED_VALUE"""),28.0)</f>
        <v>28</v>
      </c>
      <c r="M265" s="25" t="str">
        <f>IFERROR(__xludf.DUMMYFUNCTION("""COMPUTED_VALUE"""),"RPG")</f>
        <v>RPG</v>
      </c>
      <c r="N265" s="25"/>
      <c r="O265" s="26" t="str">
        <f>IFERROR(__xludf.DUMMYFUNCTION("""COMPUTED_VALUE"""),"Yes")</f>
        <v>Yes</v>
      </c>
      <c r="P265" s="26"/>
    </row>
    <row r="266">
      <c r="A266" s="13" t="str">
        <f>IFERROR(__xludf.DUMMYFUNCTION("""COMPUTED_VALUE"""),"Ghostwire: Tokyo")</f>
        <v>Ghostwire: Tokyo</v>
      </c>
      <c r="B266" s="15" t="str">
        <f>IFERROR(__xludf.DUMMYFUNCTION("""COMPUTED_VALUE"""),"PS5")</f>
        <v>PS5</v>
      </c>
      <c r="C266" s="16" t="str">
        <f>IFERROR(__xludf.DUMMYFUNCTION("""COMPUTED_VALUE"""),"Essential")</f>
        <v>Essential</v>
      </c>
      <c r="D266" s="15" t="str">
        <f>IFERROR(__xludf.DUMMYFUNCTION("""COMPUTED_VALUE"""),"Removed")</f>
        <v>Removed</v>
      </c>
      <c r="E266" s="17">
        <f>IFERROR(__xludf.DUMMYFUNCTION("""COMPUTED_VALUE"""),45601.0)</f>
        <v>45601</v>
      </c>
      <c r="F266" s="54">
        <f>IFERROR(__xludf.DUMMYFUNCTION("""COMPUTED_VALUE"""),45628.0)</f>
        <v>45628</v>
      </c>
      <c r="G266" s="19">
        <f>IFERROR(__xludf.DUMMYFUNCTION("""COMPUTED_VALUE"""),0.8999999999999999)</f>
        <v>0.9</v>
      </c>
      <c r="H266" s="17">
        <f>IFERROR(__xludf.DUMMYFUNCTION("""COMPUTED_VALUE"""),44642.0)</f>
        <v>44642</v>
      </c>
      <c r="I266" s="19">
        <f>IFERROR(__xludf.DUMMYFUNCTION("""COMPUTED_VALUE"""),2.6194444444444445)</f>
        <v>2.619444444</v>
      </c>
      <c r="J266" s="21">
        <f>IFERROR(__xludf.DUMMYFUNCTION("""COMPUTED_VALUE"""),75.0)</f>
        <v>75</v>
      </c>
      <c r="K266" s="23">
        <f>IFERROR(__xludf.DUMMYFUNCTION("""COMPUTED_VALUE"""),8.3)</f>
        <v>8.3</v>
      </c>
      <c r="L266" s="24">
        <f>IFERROR(__xludf.DUMMYFUNCTION("""COMPUTED_VALUE"""),11.0)</f>
        <v>11</v>
      </c>
      <c r="M266" s="25" t="str">
        <f>IFERROR(__xludf.DUMMYFUNCTION("""COMPUTED_VALUE"""),"Action-Adventure")</f>
        <v>Action-Adventure</v>
      </c>
      <c r="N266" s="25"/>
      <c r="O266" s="26" t="str">
        <f>IFERROR(__xludf.DUMMYFUNCTION("""COMPUTED_VALUE"""),"No")</f>
        <v>No</v>
      </c>
      <c r="P266" s="26"/>
    </row>
    <row r="267">
      <c r="A267" s="13" t="str">
        <f>IFERROR(__xludf.DUMMYFUNCTION("""COMPUTED_VALUE"""),"Hot Wheels Unleashed 2: Turbocharged")</f>
        <v>Hot Wheels Unleashed 2: Turbocharged</v>
      </c>
      <c r="B267" s="15" t="str">
        <f>IFERROR(__xludf.DUMMYFUNCTION("""COMPUTED_VALUE"""),"PS5/PS4")</f>
        <v>PS5/PS4</v>
      </c>
      <c r="C267" s="16" t="str">
        <f>IFERROR(__xludf.DUMMYFUNCTION("""COMPUTED_VALUE"""),"Essential")</f>
        <v>Essential</v>
      </c>
      <c r="D267" s="15" t="str">
        <f>IFERROR(__xludf.DUMMYFUNCTION("""COMPUTED_VALUE"""),"Removed")</f>
        <v>Removed</v>
      </c>
      <c r="E267" s="17">
        <f>IFERROR(__xludf.DUMMYFUNCTION("""COMPUTED_VALUE"""),45601.0)</f>
        <v>45601</v>
      </c>
      <c r="F267" s="54">
        <f>IFERROR(__xludf.DUMMYFUNCTION("""COMPUTED_VALUE"""),45628.0)</f>
        <v>45628</v>
      </c>
      <c r="G267" s="19">
        <f>IFERROR(__xludf.DUMMYFUNCTION("""COMPUTED_VALUE"""),0.8999999999999999)</f>
        <v>0.9</v>
      </c>
      <c r="H267" s="17">
        <f>IFERROR(__xludf.DUMMYFUNCTION("""COMPUTED_VALUE"""),45218.0)</f>
        <v>45218</v>
      </c>
      <c r="I267" s="19">
        <f>IFERROR(__xludf.DUMMYFUNCTION("""COMPUTED_VALUE"""),1.0444444444444445)</f>
        <v>1.044444444</v>
      </c>
      <c r="J267" s="21">
        <f>IFERROR(__xludf.DUMMYFUNCTION("""COMPUTED_VALUE"""),77.0)</f>
        <v>77</v>
      </c>
      <c r="K267" s="23">
        <f>IFERROR(__xludf.DUMMYFUNCTION("""COMPUTED_VALUE"""),7.1)</f>
        <v>7.1</v>
      </c>
      <c r="L267" s="24">
        <f>IFERROR(__xludf.DUMMYFUNCTION("""COMPUTED_VALUE"""),9.0)</f>
        <v>9</v>
      </c>
      <c r="M267" s="25" t="str">
        <f>IFERROR(__xludf.DUMMYFUNCTION("""COMPUTED_VALUE"""),"Racing")</f>
        <v>Racing</v>
      </c>
      <c r="N267" s="25"/>
      <c r="O267" s="26" t="str">
        <f>IFERROR(__xludf.DUMMYFUNCTION("""COMPUTED_VALUE"""),"No")</f>
        <v>No</v>
      </c>
      <c r="P267" s="26"/>
    </row>
    <row r="268">
      <c r="A268" s="13" t="str">
        <f>IFERROR(__xludf.DUMMYFUNCTION("""COMPUTED_VALUE"""),"Death Note: Killer Within")</f>
        <v>Death Note: Killer Within</v>
      </c>
      <c r="B268" s="15" t="str">
        <f>IFERROR(__xludf.DUMMYFUNCTION("""COMPUTED_VALUE"""),"PS5/PS4")</f>
        <v>PS5/PS4</v>
      </c>
      <c r="C268" s="16" t="str">
        <f>IFERROR(__xludf.DUMMYFUNCTION("""COMPUTED_VALUE"""),"Essential")</f>
        <v>Essential</v>
      </c>
      <c r="D268" s="15" t="str">
        <f>IFERROR(__xludf.DUMMYFUNCTION("""COMPUTED_VALUE"""),"Removed")</f>
        <v>Removed</v>
      </c>
      <c r="E268" s="17">
        <f>IFERROR(__xludf.DUMMYFUNCTION("""COMPUTED_VALUE"""),45601.0)</f>
        <v>45601</v>
      </c>
      <c r="F268" s="54">
        <f>IFERROR(__xludf.DUMMYFUNCTION("""COMPUTED_VALUE"""),45628.0)</f>
        <v>45628</v>
      </c>
      <c r="G268" s="19">
        <f>IFERROR(__xludf.DUMMYFUNCTION("""COMPUTED_VALUE"""),0.8999999999999999)</f>
        <v>0.9</v>
      </c>
      <c r="H268" s="17">
        <f>IFERROR(__xludf.DUMMYFUNCTION("""COMPUTED_VALUE"""),45601.0)</f>
        <v>45601</v>
      </c>
      <c r="I268" s="19">
        <f>IFERROR(__xludf.DUMMYFUNCTION("""COMPUTED_VALUE"""),0.0)</f>
        <v>0</v>
      </c>
      <c r="J268" s="21">
        <f>IFERROR(__xludf.DUMMYFUNCTION("""COMPUTED_VALUE"""),61.0)</f>
        <v>61</v>
      </c>
      <c r="K268" s="23">
        <f>IFERROR(__xludf.DUMMYFUNCTION("""COMPUTED_VALUE"""),7.1)</f>
        <v>7.1</v>
      </c>
      <c r="L268" s="24"/>
      <c r="M268" s="25" t="str">
        <f>IFERROR(__xludf.DUMMYFUNCTION("""COMPUTED_VALUE"""),"Party")</f>
        <v>Party</v>
      </c>
      <c r="N268" s="25"/>
      <c r="O268" s="26" t="str">
        <f>IFERROR(__xludf.DUMMYFUNCTION("""COMPUTED_VALUE"""),"No")</f>
        <v>No</v>
      </c>
      <c r="P268" s="26"/>
    </row>
    <row r="269">
      <c r="A269" s="13" t="str">
        <f>IFERROR(__xludf.DUMMYFUNCTION("""COMPUTED_VALUE"""),"Grand Theft Auto: San Andreas - The Definitive Edition")</f>
        <v>Grand Theft Auto: San Andreas - The Definitive Edition</v>
      </c>
      <c r="B269" s="15" t="str">
        <f>IFERROR(__xludf.DUMMYFUNCTION("""COMPUTED_VALUE"""),"PS5/PS4")</f>
        <v>PS5/PS4</v>
      </c>
      <c r="C269" s="16" t="str">
        <f>IFERROR(__xludf.DUMMYFUNCTION("""COMPUTED_VALUE"""),"Extra")</f>
        <v>Extra</v>
      </c>
      <c r="D269" s="15" t="str">
        <f>IFERROR(__xludf.DUMMYFUNCTION("""COMPUTED_VALUE"""),"Removed")</f>
        <v>Removed</v>
      </c>
      <c r="E269" s="17">
        <f>IFERROR(__xludf.DUMMYFUNCTION("""COMPUTED_VALUE"""),45450.0)</f>
        <v>45450</v>
      </c>
      <c r="F269" s="54">
        <f>IFERROR(__xludf.DUMMYFUNCTION("""COMPUTED_VALUE"""),45614.0)</f>
        <v>45614</v>
      </c>
      <c r="G269" s="19">
        <f>IFERROR(__xludf.DUMMYFUNCTION("""COMPUTED_VALUE"""),5.366666666666667)</f>
        <v>5.366666667</v>
      </c>
      <c r="H269" s="17">
        <f>IFERROR(__xludf.DUMMYFUNCTION("""COMPUTED_VALUE"""),44511.0)</f>
        <v>44511</v>
      </c>
      <c r="I269" s="19">
        <f>IFERROR(__xludf.DUMMYFUNCTION("""COMPUTED_VALUE"""),2.5722222222222224)</f>
        <v>2.572222222</v>
      </c>
      <c r="J269" s="21">
        <f>IFERROR(__xludf.DUMMYFUNCTION("""COMPUTED_VALUE"""),54.0)</f>
        <v>54</v>
      </c>
      <c r="K269" s="23">
        <f>IFERROR(__xludf.DUMMYFUNCTION("""COMPUTED_VALUE"""),1.0)</f>
        <v>1</v>
      </c>
      <c r="L269" s="24">
        <f>IFERROR(__xludf.DUMMYFUNCTION("""COMPUTED_VALUE"""),31.0)</f>
        <v>31</v>
      </c>
      <c r="M269" s="25" t="str">
        <f>IFERROR(__xludf.DUMMYFUNCTION("""COMPUTED_VALUE"""),"Action-Adventure")</f>
        <v>Action-Adventure</v>
      </c>
      <c r="N269" s="25"/>
      <c r="O269" s="26" t="str">
        <f>IFERROR(__xludf.DUMMYFUNCTION("""COMPUTED_VALUE"""),"No")</f>
        <v>No</v>
      </c>
      <c r="P269" s="26"/>
    </row>
    <row r="270">
      <c r="A270" s="13" t="str">
        <f>IFERROR(__xludf.DUMMYFUNCTION("""COMPUTED_VALUE"""),"Red Dead Redemption 2")</f>
        <v>Red Dead Redemption 2</v>
      </c>
      <c r="B270" s="15" t="str">
        <f>IFERROR(__xludf.DUMMYFUNCTION("""COMPUTED_VALUE"""),"PS4")</f>
        <v>PS4</v>
      </c>
      <c r="C270" s="16" t="str">
        <f>IFERROR(__xludf.DUMMYFUNCTION("""COMPUTED_VALUE"""),"Extra")</f>
        <v>Extra</v>
      </c>
      <c r="D270" s="15" t="str">
        <f>IFERROR(__xludf.DUMMYFUNCTION("""COMPUTED_VALUE"""),"Removed")</f>
        <v>Removed</v>
      </c>
      <c r="E270" s="17">
        <f>IFERROR(__xludf.DUMMYFUNCTION("""COMPUTED_VALUE"""),45433.0)</f>
        <v>45433</v>
      </c>
      <c r="F270" s="54">
        <f>IFERROR(__xludf.DUMMYFUNCTION("""COMPUTED_VALUE"""),45614.0)</f>
        <v>45614</v>
      </c>
      <c r="G270" s="19">
        <f>IFERROR(__xludf.DUMMYFUNCTION("""COMPUTED_VALUE"""),5.8999999999999995)</f>
        <v>5.9</v>
      </c>
      <c r="H270" s="17">
        <f>IFERROR(__xludf.DUMMYFUNCTION("""COMPUTED_VALUE"""),43399.0)</f>
        <v>43399</v>
      </c>
      <c r="I270" s="19">
        <f>IFERROR(__xludf.DUMMYFUNCTION("""COMPUTED_VALUE"""),5.569444444444445)</f>
        <v>5.569444444</v>
      </c>
      <c r="J270" s="21">
        <f>IFERROR(__xludf.DUMMYFUNCTION("""COMPUTED_VALUE"""),97.0)</f>
        <v>97</v>
      </c>
      <c r="K270" s="23">
        <f>IFERROR(__xludf.DUMMYFUNCTION("""COMPUTED_VALUE"""),8.8)</f>
        <v>8.8</v>
      </c>
      <c r="L270" s="24">
        <f>IFERROR(__xludf.DUMMYFUNCTION("""COMPUTED_VALUE"""),51.0)</f>
        <v>51</v>
      </c>
      <c r="M270" s="25" t="str">
        <f>IFERROR(__xludf.DUMMYFUNCTION("""COMPUTED_VALUE"""),"Shooter")</f>
        <v>Shooter</v>
      </c>
      <c r="N270" s="25"/>
      <c r="O270" s="26" t="str">
        <f>IFERROR(__xludf.DUMMYFUNCTION("""COMPUTED_VALUE"""),"No")</f>
        <v>No</v>
      </c>
      <c r="P270" s="26"/>
    </row>
    <row r="271">
      <c r="A271" s="13" t="str">
        <f>IFERROR(__xludf.DUMMYFUNCTION("""COMPUTED_VALUE"""),"The Sims 4: City Living")</f>
        <v>The Sims 4: City Living</v>
      </c>
      <c r="B271" s="15" t="str">
        <f>IFERROR(__xludf.DUMMYFUNCTION("""COMPUTED_VALUE"""),"PS4")</f>
        <v>PS4</v>
      </c>
      <c r="C271" s="16" t="str">
        <f>IFERROR(__xludf.DUMMYFUNCTION("""COMPUTED_VALUE"""),"Extra")</f>
        <v>Extra</v>
      </c>
      <c r="D271" s="15" t="str">
        <f>IFERROR(__xludf.DUMMYFUNCTION("""COMPUTED_VALUE"""),"Removed")</f>
        <v>Removed</v>
      </c>
      <c r="E271" s="17">
        <f>IFERROR(__xludf.DUMMYFUNCTION("""COMPUTED_VALUE"""),45433.0)</f>
        <v>45433</v>
      </c>
      <c r="F271" s="54">
        <f>IFERROR(__xludf.DUMMYFUNCTION("""COMPUTED_VALUE"""),45614.0)</f>
        <v>45614</v>
      </c>
      <c r="G271" s="19">
        <f>IFERROR(__xludf.DUMMYFUNCTION("""COMPUTED_VALUE"""),5.8999999999999995)</f>
        <v>5.9</v>
      </c>
      <c r="H271" s="17">
        <f>IFERROR(__xludf.DUMMYFUNCTION("""COMPUTED_VALUE"""),42675.0)</f>
        <v>42675</v>
      </c>
      <c r="I271" s="19">
        <f>IFERROR(__xludf.DUMMYFUNCTION("""COMPUTED_VALUE"""),7.555555555555555)</f>
        <v>7.555555556</v>
      </c>
      <c r="J271" s="21">
        <f>IFERROR(__xludf.DUMMYFUNCTION("""COMPUTED_VALUE"""),78.0)</f>
        <v>78</v>
      </c>
      <c r="K271" s="23">
        <f>IFERROR(__xludf.DUMMYFUNCTION("""COMPUTED_VALUE"""),5.8)</f>
        <v>5.8</v>
      </c>
      <c r="L271" s="24">
        <f>IFERROR(__xludf.DUMMYFUNCTION("""COMPUTED_VALUE"""),20.0)</f>
        <v>20</v>
      </c>
      <c r="M271" s="25" t="str">
        <f>IFERROR(__xludf.DUMMYFUNCTION("""COMPUTED_VALUE"""),"Simulation")</f>
        <v>Simulation</v>
      </c>
      <c r="N271" s="25"/>
      <c r="O271" s="26" t="str">
        <f>IFERROR(__xludf.DUMMYFUNCTION("""COMPUTED_VALUE"""),"No")</f>
        <v>No</v>
      </c>
      <c r="P271" s="26"/>
    </row>
    <row r="272">
      <c r="A272" s="13" t="str">
        <f>IFERROR(__xludf.DUMMYFUNCTION("""COMPUTED_VALUE"""),"Eiyuden Chronicle: Rising")</f>
        <v>Eiyuden Chronicle: Rising</v>
      </c>
      <c r="B272" s="15" t="str">
        <f>IFERROR(__xludf.DUMMYFUNCTION("""COMPUTED_VALUE"""),"PS5/PS4")</f>
        <v>PS5/PS4</v>
      </c>
      <c r="C272" s="16" t="str">
        <f>IFERROR(__xludf.DUMMYFUNCTION("""COMPUTED_VALUE"""),"Extra")</f>
        <v>Extra</v>
      </c>
      <c r="D272" s="15" t="str">
        <f>IFERROR(__xludf.DUMMYFUNCTION("""COMPUTED_VALUE"""),"Removed")</f>
        <v>Removed</v>
      </c>
      <c r="E272" s="17">
        <f>IFERROR(__xludf.DUMMYFUNCTION("""COMPUTED_VALUE"""),45251.0)</f>
        <v>45251</v>
      </c>
      <c r="F272" s="18">
        <f>IFERROR(__xludf.DUMMYFUNCTION("""COMPUTED_VALUE"""),45614.0)</f>
        <v>45614</v>
      </c>
      <c r="G272" s="19">
        <f>IFERROR(__xludf.DUMMYFUNCTION("""COMPUTED_VALUE"""),11.9)</f>
        <v>11.9</v>
      </c>
      <c r="H272" s="17">
        <f>IFERROR(__xludf.DUMMYFUNCTION("""COMPUTED_VALUE"""),44691.0)</f>
        <v>44691</v>
      </c>
      <c r="I272" s="19">
        <f>IFERROR(__xludf.DUMMYFUNCTION("""COMPUTED_VALUE"""),1.5305555555555554)</f>
        <v>1.530555556</v>
      </c>
      <c r="J272" s="21">
        <f>IFERROR(__xludf.DUMMYFUNCTION("""COMPUTED_VALUE"""),74.0)</f>
        <v>74</v>
      </c>
      <c r="K272" s="23">
        <f>IFERROR(__xludf.DUMMYFUNCTION("""COMPUTED_VALUE"""),6.2)</f>
        <v>6.2</v>
      </c>
      <c r="L272" s="24">
        <f>IFERROR(__xludf.DUMMYFUNCTION("""COMPUTED_VALUE"""),12.0)</f>
        <v>12</v>
      </c>
      <c r="M272" s="25" t="str">
        <f>IFERROR(__xludf.DUMMYFUNCTION("""COMPUTED_VALUE"""),"RPG")</f>
        <v>RPG</v>
      </c>
      <c r="N272" s="25"/>
      <c r="O272" s="26" t="str">
        <f>IFERROR(__xludf.DUMMYFUNCTION("""COMPUTED_VALUE"""),"Yes")</f>
        <v>Yes</v>
      </c>
      <c r="P272" s="26"/>
    </row>
    <row r="273">
      <c r="A273" s="13" t="str">
        <f>IFERROR(__xludf.DUMMYFUNCTION("""COMPUTED_VALUE"""),"Superliminal")</f>
        <v>Superliminal</v>
      </c>
      <c r="B273" s="15" t="str">
        <f>IFERROR(__xludf.DUMMYFUNCTION("""COMPUTED_VALUE"""),"PS5/PS4")</f>
        <v>PS5/PS4</v>
      </c>
      <c r="C273" s="16" t="str">
        <f>IFERROR(__xludf.DUMMYFUNCTION("""COMPUTED_VALUE"""),"Extra")</f>
        <v>Extra</v>
      </c>
      <c r="D273" s="15" t="str">
        <f>IFERROR(__xludf.DUMMYFUNCTION("""COMPUTED_VALUE"""),"Removed")</f>
        <v>Removed</v>
      </c>
      <c r="E273" s="17">
        <f>IFERROR(__xludf.DUMMYFUNCTION("""COMPUTED_VALUE"""),45251.0)</f>
        <v>45251</v>
      </c>
      <c r="F273" s="18">
        <f>IFERROR(__xludf.DUMMYFUNCTION("""COMPUTED_VALUE"""),45614.0)</f>
        <v>45614</v>
      </c>
      <c r="G273" s="19">
        <f>IFERROR(__xludf.DUMMYFUNCTION("""COMPUTED_VALUE"""),11.9)</f>
        <v>11.9</v>
      </c>
      <c r="H273" s="17">
        <f>IFERROR(__xludf.DUMMYFUNCTION("""COMPUTED_VALUE"""),43781.0)</f>
        <v>43781</v>
      </c>
      <c r="I273" s="19">
        <f>IFERROR(__xludf.DUMMYFUNCTION("""COMPUTED_VALUE"""),4.025)</f>
        <v>4.025</v>
      </c>
      <c r="J273" s="21">
        <f>IFERROR(__xludf.DUMMYFUNCTION("""COMPUTED_VALUE"""),74.0)</f>
        <v>74</v>
      </c>
      <c r="K273" s="23">
        <f>IFERROR(__xludf.DUMMYFUNCTION("""COMPUTED_VALUE"""),7.7)</f>
        <v>7.7</v>
      </c>
      <c r="L273" s="24">
        <f>IFERROR(__xludf.DUMMYFUNCTION("""COMPUTED_VALUE"""),3.0)</f>
        <v>3</v>
      </c>
      <c r="M273" s="25" t="str">
        <f>IFERROR(__xludf.DUMMYFUNCTION("""COMPUTED_VALUE"""),"Action-Adventure")</f>
        <v>Action-Adventure</v>
      </c>
      <c r="N273" s="25"/>
      <c r="O273" s="26" t="str">
        <f>IFERROR(__xludf.DUMMYFUNCTION("""COMPUTED_VALUE"""),"Yes")</f>
        <v>Yes</v>
      </c>
      <c r="P273" s="26"/>
    </row>
    <row r="274">
      <c r="A274" s="13" t="str">
        <f>IFERROR(__xludf.DUMMYFUNCTION("""COMPUTED_VALUE"""),"Dragon's Dogma: Dark Arisen")</f>
        <v>Dragon's Dogma: Dark Arisen</v>
      </c>
      <c r="B274" s="15" t="str">
        <f>IFERROR(__xludf.DUMMYFUNCTION("""COMPUTED_VALUE"""),"PS4")</f>
        <v>PS4</v>
      </c>
      <c r="C274" s="16" t="str">
        <f>IFERROR(__xludf.DUMMYFUNCTION("""COMPUTED_VALUE"""),"Extra")</f>
        <v>Extra</v>
      </c>
      <c r="D274" s="15" t="str">
        <f>IFERROR(__xludf.DUMMYFUNCTION("""COMPUTED_VALUE"""),"Removed")</f>
        <v>Removed</v>
      </c>
      <c r="E274" s="17">
        <f>IFERROR(__xludf.DUMMYFUNCTION("""COMPUTED_VALUE"""),45251.0)</f>
        <v>45251</v>
      </c>
      <c r="F274" s="54">
        <f>IFERROR(__xludf.DUMMYFUNCTION("""COMPUTED_VALUE"""),45614.0)</f>
        <v>45614</v>
      </c>
      <c r="G274" s="19">
        <f>IFERROR(__xludf.DUMMYFUNCTION("""COMPUTED_VALUE"""),11.9)</f>
        <v>11.9</v>
      </c>
      <c r="H274" s="17">
        <f>IFERROR(__xludf.DUMMYFUNCTION("""COMPUTED_VALUE"""),42384.0)</f>
        <v>42384</v>
      </c>
      <c r="I274" s="19">
        <f>IFERROR(__xludf.DUMMYFUNCTION("""COMPUTED_VALUE"""),7.85)</f>
        <v>7.85</v>
      </c>
      <c r="J274" s="21">
        <f>IFERROR(__xludf.DUMMYFUNCTION("""COMPUTED_VALUE"""),78.0)</f>
        <v>78</v>
      </c>
      <c r="K274" s="23">
        <f>IFERROR(__xludf.DUMMYFUNCTION("""COMPUTED_VALUE"""),8.1)</f>
        <v>8.1</v>
      </c>
      <c r="L274" s="24">
        <f>IFERROR(__xludf.DUMMYFUNCTION("""COMPUTED_VALUE"""),33.0)</f>
        <v>33</v>
      </c>
      <c r="M274" s="25" t="str">
        <f>IFERROR(__xludf.DUMMYFUNCTION("""COMPUTED_VALUE"""),"RPG")</f>
        <v>RPG</v>
      </c>
      <c r="N274" s="25"/>
      <c r="O274" s="26" t="str">
        <f>IFERROR(__xludf.DUMMYFUNCTION("""COMPUTED_VALUE"""),"Yes")</f>
        <v>Yes</v>
      </c>
      <c r="P274" s="26"/>
    </row>
    <row r="275">
      <c r="A275" s="13" t="str">
        <f>IFERROR(__xludf.DUMMYFUNCTION("""COMPUTED_VALUE"""),"Mobile Suit Gundam: Extreme vs. MaxiBoost On")</f>
        <v>Mobile Suit Gundam: Extreme vs. MaxiBoost On</v>
      </c>
      <c r="B275" s="15" t="str">
        <f>IFERROR(__xludf.DUMMYFUNCTION("""COMPUTED_VALUE"""),"PS4")</f>
        <v>PS4</v>
      </c>
      <c r="C275" s="16" t="str">
        <f>IFERROR(__xludf.DUMMYFUNCTION("""COMPUTED_VALUE"""),"Extra")</f>
        <v>Extra</v>
      </c>
      <c r="D275" s="15" t="str">
        <f>IFERROR(__xludf.DUMMYFUNCTION("""COMPUTED_VALUE"""),"Removed")</f>
        <v>Removed</v>
      </c>
      <c r="E275" s="17">
        <f>IFERROR(__xludf.DUMMYFUNCTION("""COMPUTED_VALUE"""),45251.0)</f>
        <v>45251</v>
      </c>
      <c r="F275" s="54">
        <f>IFERROR(__xludf.DUMMYFUNCTION("""COMPUTED_VALUE"""),45614.0)</f>
        <v>45614</v>
      </c>
      <c r="G275" s="19">
        <f>IFERROR(__xludf.DUMMYFUNCTION("""COMPUTED_VALUE"""),11.9)</f>
        <v>11.9</v>
      </c>
      <c r="H275" s="17">
        <f>IFERROR(__xludf.DUMMYFUNCTION("""COMPUTED_VALUE"""),44042.0)</f>
        <v>44042</v>
      </c>
      <c r="I275" s="19">
        <f>IFERROR(__xludf.DUMMYFUNCTION("""COMPUTED_VALUE"""),3.308333333333333)</f>
        <v>3.308333333</v>
      </c>
      <c r="J275" s="21">
        <f>IFERROR(__xludf.DUMMYFUNCTION("""COMPUTED_VALUE"""),78.0)</f>
        <v>78</v>
      </c>
      <c r="K275" s="23">
        <f>IFERROR(__xludf.DUMMYFUNCTION("""COMPUTED_VALUE"""),7.6)</f>
        <v>7.6</v>
      </c>
      <c r="L275" s="24">
        <f>IFERROR(__xludf.DUMMYFUNCTION("""COMPUTED_VALUE"""),5.0)</f>
        <v>5</v>
      </c>
      <c r="M275" s="25" t="str">
        <f>IFERROR(__xludf.DUMMYFUNCTION("""COMPUTED_VALUE"""),"Fighting")</f>
        <v>Fighting</v>
      </c>
      <c r="N275" s="25"/>
      <c r="O275" s="26" t="str">
        <f>IFERROR(__xludf.DUMMYFUNCTION("""COMPUTED_VALUE"""),"Yes")</f>
        <v>Yes</v>
      </c>
      <c r="P275" s="26"/>
    </row>
    <row r="276">
      <c r="A276" s="13" t="str">
        <f>IFERROR(__xludf.DUMMYFUNCTION("""COMPUTED_VALUE"""),"Klonoa: Phantasy Reverie Series")</f>
        <v>Klonoa: Phantasy Reverie Series</v>
      </c>
      <c r="B276" s="15" t="str">
        <f>IFERROR(__xludf.DUMMYFUNCTION("""COMPUTED_VALUE"""),"PS5/PS4")</f>
        <v>PS5/PS4</v>
      </c>
      <c r="C276" s="16" t="str">
        <f>IFERROR(__xludf.DUMMYFUNCTION("""COMPUTED_VALUE"""),"Premium (Classics)")</f>
        <v>Premium (Classics)</v>
      </c>
      <c r="D276" s="15" t="str">
        <f>IFERROR(__xludf.DUMMYFUNCTION("""COMPUTED_VALUE"""),"Removed")</f>
        <v>Removed</v>
      </c>
      <c r="E276" s="17">
        <f>IFERROR(__xludf.DUMMYFUNCTION("""COMPUTED_VALUE"""),45251.0)</f>
        <v>45251</v>
      </c>
      <c r="F276" s="54">
        <f>IFERROR(__xludf.DUMMYFUNCTION("""COMPUTED_VALUE"""),45614.0)</f>
        <v>45614</v>
      </c>
      <c r="G276" s="19">
        <f>IFERROR(__xludf.DUMMYFUNCTION("""COMPUTED_VALUE"""),11.9)</f>
        <v>11.9</v>
      </c>
      <c r="H276" s="17">
        <f>IFERROR(__xludf.DUMMYFUNCTION("""COMPUTED_VALUE"""),44750.0)</f>
        <v>44750</v>
      </c>
      <c r="I276" s="19">
        <f>IFERROR(__xludf.DUMMYFUNCTION("""COMPUTED_VALUE"""),1.3694444444444445)</f>
        <v>1.369444444</v>
      </c>
      <c r="J276" s="21">
        <f>IFERROR(__xludf.DUMMYFUNCTION("""COMPUTED_VALUE"""),78.0)</f>
        <v>78</v>
      </c>
      <c r="K276" s="23">
        <f>IFERROR(__xludf.DUMMYFUNCTION("""COMPUTED_VALUE"""),6.7)</f>
        <v>6.7</v>
      </c>
      <c r="L276" s="24">
        <f>IFERROR(__xludf.DUMMYFUNCTION("""COMPUTED_VALUE"""),10.0)</f>
        <v>10</v>
      </c>
      <c r="M276" s="25" t="str">
        <f>IFERROR(__xludf.DUMMYFUNCTION("""COMPUTED_VALUE"""),"Platformer")</f>
        <v>Platformer</v>
      </c>
      <c r="N276" s="25" t="str">
        <f>IFERROR(__xludf.DUMMYFUNCTION("""COMPUTED_VALUE"""),"PS1 &amp; PS2")</f>
        <v>PS1 &amp; PS2</v>
      </c>
      <c r="O276" s="26" t="str">
        <f>IFERROR(__xludf.DUMMYFUNCTION("""COMPUTED_VALUE"""),"Yes")</f>
        <v>Yes</v>
      </c>
      <c r="P276" s="26"/>
    </row>
    <row r="277">
      <c r="A277" s="13" t="str">
        <f>IFERROR(__xludf.DUMMYFUNCTION("""COMPUTED_VALUE"""),"Teardown")</f>
        <v>Teardown</v>
      </c>
      <c r="B277" s="15" t="str">
        <f>IFERROR(__xludf.DUMMYFUNCTION("""COMPUTED_VALUE"""),"PS5")</f>
        <v>PS5</v>
      </c>
      <c r="C277" s="16" t="str">
        <f>IFERROR(__xludf.DUMMYFUNCTION("""COMPUTED_VALUE"""),"Extra")</f>
        <v>Extra</v>
      </c>
      <c r="D277" s="15" t="str">
        <f>IFERROR(__xludf.DUMMYFUNCTION("""COMPUTED_VALUE"""),"Removed")</f>
        <v>Removed</v>
      </c>
      <c r="E277" s="17">
        <f>IFERROR(__xludf.DUMMYFUNCTION("""COMPUTED_VALUE"""),45245.0)</f>
        <v>45245</v>
      </c>
      <c r="F277" s="54">
        <f>IFERROR(__xludf.DUMMYFUNCTION("""COMPUTED_VALUE"""),45614.0)</f>
        <v>45614</v>
      </c>
      <c r="G277" s="19">
        <f>IFERROR(__xludf.DUMMYFUNCTION("""COMPUTED_VALUE"""),12.1)</f>
        <v>12.1</v>
      </c>
      <c r="H277" s="17">
        <f>IFERROR(__xludf.DUMMYFUNCTION("""COMPUTED_VALUE"""),44672.0)</f>
        <v>44672</v>
      </c>
      <c r="I277" s="19">
        <f>IFERROR(__xludf.DUMMYFUNCTION("""COMPUTED_VALUE"""),1.5666666666666667)</f>
        <v>1.566666667</v>
      </c>
      <c r="J277" s="21">
        <f>IFERROR(__xludf.DUMMYFUNCTION("""COMPUTED_VALUE"""),80.0)</f>
        <v>80</v>
      </c>
      <c r="K277" s="23">
        <f>IFERROR(__xludf.DUMMYFUNCTION("""COMPUTED_VALUE"""),8.5)</f>
        <v>8.5</v>
      </c>
      <c r="L277" s="24">
        <f>IFERROR(__xludf.DUMMYFUNCTION("""COMPUTED_VALUE"""),12.0)</f>
        <v>12</v>
      </c>
      <c r="M277" s="26" t="str">
        <f>IFERROR(__xludf.DUMMYFUNCTION("""COMPUTED_VALUE"""),"Simulation")</f>
        <v>Simulation</v>
      </c>
      <c r="N277" s="25"/>
      <c r="O277" s="26" t="str">
        <f>IFERROR(__xludf.DUMMYFUNCTION("""COMPUTED_VALUE"""),"No")</f>
        <v>No</v>
      </c>
      <c r="P277" s="26"/>
    </row>
    <row r="278">
      <c r="A278" s="13" t="str">
        <f>IFERROR(__xludf.DUMMYFUNCTION("""COMPUTED_VALUE"""),"Chorus")</f>
        <v>Chorus</v>
      </c>
      <c r="B278" s="15" t="str">
        <f>IFERROR(__xludf.DUMMYFUNCTION("""COMPUTED_VALUE"""),"PS5/PS4")</f>
        <v>PS5/PS4</v>
      </c>
      <c r="C278" s="16" t="str">
        <f>IFERROR(__xludf.DUMMYFUNCTION("""COMPUTED_VALUE"""),"Extra")</f>
        <v>Extra</v>
      </c>
      <c r="D278" s="15" t="str">
        <f>IFERROR(__xludf.DUMMYFUNCTION("""COMPUTED_VALUE"""),"Removed")</f>
        <v>Removed</v>
      </c>
      <c r="E278" s="17">
        <f>IFERROR(__xludf.DUMMYFUNCTION("""COMPUTED_VALUE"""),44880.0)</f>
        <v>44880</v>
      </c>
      <c r="F278" s="54">
        <f>IFERROR(__xludf.DUMMYFUNCTION("""COMPUTED_VALUE"""),45614.0)</f>
        <v>45614</v>
      </c>
      <c r="G278" s="19">
        <f>IFERROR(__xludf.DUMMYFUNCTION("""COMPUTED_VALUE"""),24.1)</f>
        <v>24.1</v>
      </c>
      <c r="H278" s="17">
        <f>IFERROR(__xludf.DUMMYFUNCTION("""COMPUTED_VALUE"""),44533.0)</f>
        <v>44533</v>
      </c>
      <c r="I278" s="19">
        <f>IFERROR(__xludf.DUMMYFUNCTION("""COMPUTED_VALUE"""),0.95)</f>
        <v>0.95</v>
      </c>
      <c r="J278" s="21">
        <f>IFERROR(__xludf.DUMMYFUNCTION("""COMPUTED_VALUE"""),73.0)</f>
        <v>73</v>
      </c>
      <c r="K278" s="23">
        <f>IFERROR(__xludf.DUMMYFUNCTION("""COMPUTED_VALUE"""),6.1)</f>
        <v>6.1</v>
      </c>
      <c r="L278" s="24">
        <f>IFERROR(__xludf.DUMMYFUNCTION("""COMPUTED_VALUE"""),13.0)</f>
        <v>13</v>
      </c>
      <c r="M278" s="25" t="str">
        <f>IFERROR(__xludf.DUMMYFUNCTION("""COMPUTED_VALUE"""),"Action-Adventure")</f>
        <v>Action-Adventure</v>
      </c>
      <c r="N278" s="25"/>
      <c r="O278" s="26" t="str">
        <f>IFERROR(__xludf.DUMMYFUNCTION("""COMPUTED_VALUE"""),"Yes")</f>
        <v>Yes</v>
      </c>
      <c r="P278" s="26"/>
    </row>
    <row r="279">
      <c r="A279" s="13" t="str">
        <f>IFERROR(__xludf.DUMMYFUNCTION("""COMPUTED_VALUE"""),"Kingdom Hearts HD 1.5 + 2.5 ReMIX")</f>
        <v>Kingdom Hearts HD 1.5 + 2.5 ReMIX</v>
      </c>
      <c r="B279" s="15" t="str">
        <f>IFERROR(__xludf.DUMMYFUNCTION("""COMPUTED_VALUE"""),"PS4")</f>
        <v>PS4</v>
      </c>
      <c r="C279" s="16" t="str">
        <f>IFERROR(__xludf.DUMMYFUNCTION("""COMPUTED_VALUE"""),"Extra")</f>
        <v>Extra</v>
      </c>
      <c r="D279" s="15" t="str">
        <f>IFERROR(__xludf.DUMMYFUNCTION("""COMPUTED_VALUE"""),"Removed")</f>
        <v>Removed</v>
      </c>
      <c r="E279" s="17">
        <f>IFERROR(__xludf.DUMMYFUNCTION("""COMPUTED_VALUE"""),44880.0)</f>
        <v>44880</v>
      </c>
      <c r="F279" s="54">
        <f>IFERROR(__xludf.DUMMYFUNCTION("""COMPUTED_VALUE"""),45614.0)</f>
        <v>45614</v>
      </c>
      <c r="G279" s="19">
        <f>IFERROR(__xludf.DUMMYFUNCTION("""COMPUTED_VALUE"""),24.1)</f>
        <v>24.1</v>
      </c>
      <c r="H279" s="17">
        <f>IFERROR(__xludf.DUMMYFUNCTION("""COMPUTED_VALUE"""),42803.0)</f>
        <v>42803</v>
      </c>
      <c r="I279" s="19">
        <f>IFERROR(__xludf.DUMMYFUNCTION("""COMPUTED_VALUE"""),5.683333333333334)</f>
        <v>5.683333333</v>
      </c>
      <c r="J279" s="21">
        <f>IFERROR(__xludf.DUMMYFUNCTION("""COMPUTED_VALUE"""),84.0)</f>
        <v>84</v>
      </c>
      <c r="K279" s="23">
        <f>IFERROR(__xludf.DUMMYFUNCTION("""COMPUTED_VALUE"""),8.9)</f>
        <v>8.9</v>
      </c>
      <c r="L279" s="24">
        <f>IFERROR(__xludf.DUMMYFUNCTION("""COMPUTED_VALUE"""),144.0)</f>
        <v>144</v>
      </c>
      <c r="M279" s="25" t="str">
        <f>IFERROR(__xludf.DUMMYFUNCTION("""COMPUTED_VALUE"""),"RPG")</f>
        <v>RPG</v>
      </c>
      <c r="N279" s="25"/>
      <c r="O279" s="26" t="str">
        <f>IFERROR(__xludf.DUMMYFUNCTION("""COMPUTED_VALUE"""),"Yes")</f>
        <v>Yes</v>
      </c>
      <c r="P279" s="26"/>
    </row>
    <row r="280">
      <c r="A280" s="13" t="str">
        <f>IFERROR(__xludf.DUMMYFUNCTION("""COMPUTED_VALUE"""),"Kingdom Hearts HD 2.8: Final Chapter Prologue")</f>
        <v>Kingdom Hearts HD 2.8: Final Chapter Prologue</v>
      </c>
      <c r="B280" s="15" t="str">
        <f>IFERROR(__xludf.DUMMYFUNCTION("""COMPUTED_VALUE"""),"PS4")</f>
        <v>PS4</v>
      </c>
      <c r="C280" s="16" t="str">
        <f>IFERROR(__xludf.DUMMYFUNCTION("""COMPUTED_VALUE"""),"Extra")</f>
        <v>Extra</v>
      </c>
      <c r="D280" s="15" t="str">
        <f>IFERROR(__xludf.DUMMYFUNCTION("""COMPUTED_VALUE"""),"Removed")</f>
        <v>Removed</v>
      </c>
      <c r="E280" s="17">
        <f>IFERROR(__xludf.DUMMYFUNCTION("""COMPUTED_VALUE"""),44880.0)</f>
        <v>44880</v>
      </c>
      <c r="F280" s="54">
        <f>IFERROR(__xludf.DUMMYFUNCTION("""COMPUTED_VALUE"""),45614.0)</f>
        <v>45614</v>
      </c>
      <c r="G280" s="19">
        <f>IFERROR(__xludf.DUMMYFUNCTION("""COMPUTED_VALUE"""),24.1)</f>
        <v>24.1</v>
      </c>
      <c r="H280" s="17">
        <f>IFERROR(__xludf.DUMMYFUNCTION("""COMPUTED_VALUE"""),42990.0)</f>
        <v>42990</v>
      </c>
      <c r="I280" s="19">
        <f>IFERROR(__xludf.DUMMYFUNCTION("""COMPUTED_VALUE"""),5.175)</f>
        <v>5.175</v>
      </c>
      <c r="J280" s="21">
        <f>IFERROR(__xludf.DUMMYFUNCTION("""COMPUTED_VALUE"""),76.0)</f>
        <v>76</v>
      </c>
      <c r="K280" s="23">
        <f>IFERROR(__xludf.DUMMYFUNCTION("""COMPUTED_VALUE"""),8.2)</f>
        <v>8.2</v>
      </c>
      <c r="L280" s="24">
        <f>IFERROR(__xludf.DUMMYFUNCTION("""COMPUTED_VALUE"""),18.5)</f>
        <v>18.5</v>
      </c>
      <c r="M280" s="25" t="str">
        <f>IFERROR(__xludf.DUMMYFUNCTION("""COMPUTED_VALUE"""),"RPG")</f>
        <v>RPG</v>
      </c>
      <c r="N280" s="25"/>
      <c r="O280" s="26" t="str">
        <f>IFERROR(__xludf.DUMMYFUNCTION("""COMPUTED_VALUE"""),"Yes")</f>
        <v>Yes</v>
      </c>
      <c r="P280" s="26"/>
    </row>
    <row r="281">
      <c r="A281" s="13" t="str">
        <f>IFERROR(__xludf.DUMMYFUNCTION("""COMPUTED_VALUE"""),"Kingdom Hearts III")</f>
        <v>Kingdom Hearts III</v>
      </c>
      <c r="B281" s="15" t="str">
        <f>IFERROR(__xludf.DUMMYFUNCTION("""COMPUTED_VALUE"""),"PS4")</f>
        <v>PS4</v>
      </c>
      <c r="C281" s="16" t="str">
        <f>IFERROR(__xludf.DUMMYFUNCTION("""COMPUTED_VALUE"""),"Extra")</f>
        <v>Extra</v>
      </c>
      <c r="D281" s="15" t="str">
        <f>IFERROR(__xludf.DUMMYFUNCTION("""COMPUTED_VALUE"""),"Removed")</f>
        <v>Removed</v>
      </c>
      <c r="E281" s="17">
        <f>IFERROR(__xludf.DUMMYFUNCTION("""COMPUTED_VALUE"""),44880.0)</f>
        <v>44880</v>
      </c>
      <c r="F281" s="54">
        <f>IFERROR(__xludf.DUMMYFUNCTION("""COMPUTED_VALUE"""),45614.0)</f>
        <v>45614</v>
      </c>
      <c r="G281" s="19">
        <f>IFERROR(__xludf.DUMMYFUNCTION("""COMPUTED_VALUE"""),24.1)</f>
        <v>24.1</v>
      </c>
      <c r="H281" s="17">
        <f>IFERROR(__xludf.DUMMYFUNCTION("""COMPUTED_VALUE"""),43490.0)</f>
        <v>43490</v>
      </c>
      <c r="I281" s="19">
        <f>IFERROR(__xludf.DUMMYFUNCTION("""COMPUTED_VALUE"""),3.8055555555555554)</f>
        <v>3.805555556</v>
      </c>
      <c r="J281" s="21">
        <f>IFERROR(__xludf.DUMMYFUNCTION("""COMPUTED_VALUE"""),83.0)</f>
        <v>83</v>
      </c>
      <c r="K281" s="23">
        <f>IFERROR(__xludf.DUMMYFUNCTION("""COMPUTED_VALUE"""),8.0)</f>
        <v>8</v>
      </c>
      <c r="L281" s="24">
        <f>IFERROR(__xludf.DUMMYFUNCTION("""COMPUTED_VALUE"""),29.0)</f>
        <v>29</v>
      </c>
      <c r="M281" s="25" t="str">
        <f>IFERROR(__xludf.DUMMYFUNCTION("""COMPUTED_VALUE"""),"RPG")</f>
        <v>RPG</v>
      </c>
      <c r="N281" s="25"/>
      <c r="O281" s="26" t="str">
        <f>IFERROR(__xludf.DUMMYFUNCTION("""COMPUTED_VALUE"""),"Yes")</f>
        <v>Yes</v>
      </c>
      <c r="P281" s="26"/>
    </row>
    <row r="282">
      <c r="A282" s="13" t="str">
        <f>IFERROR(__xludf.DUMMYFUNCTION("""COMPUTED_VALUE"""),"Kingdom Hearts: Melody of Memory ")</f>
        <v>Kingdom Hearts: Melody of Memory </v>
      </c>
      <c r="B282" s="15" t="str">
        <f>IFERROR(__xludf.DUMMYFUNCTION("""COMPUTED_VALUE"""),"PS4")</f>
        <v>PS4</v>
      </c>
      <c r="C282" s="16" t="str">
        <f>IFERROR(__xludf.DUMMYFUNCTION("""COMPUTED_VALUE"""),"Extra")</f>
        <v>Extra</v>
      </c>
      <c r="D282" s="15" t="str">
        <f>IFERROR(__xludf.DUMMYFUNCTION("""COMPUTED_VALUE"""),"Removed")</f>
        <v>Removed</v>
      </c>
      <c r="E282" s="17">
        <f>IFERROR(__xludf.DUMMYFUNCTION("""COMPUTED_VALUE"""),44880.0)</f>
        <v>44880</v>
      </c>
      <c r="F282" s="18">
        <f>IFERROR(__xludf.DUMMYFUNCTION("""COMPUTED_VALUE"""),45614.0)</f>
        <v>45614</v>
      </c>
      <c r="G282" s="19">
        <f>IFERROR(__xludf.DUMMYFUNCTION("""COMPUTED_VALUE"""),24.1)</f>
        <v>24.1</v>
      </c>
      <c r="H282" s="17">
        <f>IFERROR(__xludf.DUMMYFUNCTION("""COMPUTED_VALUE"""),44146.0)</f>
        <v>44146</v>
      </c>
      <c r="I282" s="19">
        <f>IFERROR(__xludf.DUMMYFUNCTION("""COMPUTED_VALUE"""),2.011111111111111)</f>
        <v>2.011111111</v>
      </c>
      <c r="J282" s="21">
        <f>IFERROR(__xludf.DUMMYFUNCTION("""COMPUTED_VALUE"""),74.0)</f>
        <v>74</v>
      </c>
      <c r="K282" s="23">
        <f>IFERROR(__xludf.DUMMYFUNCTION("""COMPUTED_VALUE"""),7.3)</f>
        <v>7.3</v>
      </c>
      <c r="L282" s="24">
        <f>IFERROR(__xludf.DUMMYFUNCTION("""COMPUTED_VALUE"""),9.5)</f>
        <v>9.5</v>
      </c>
      <c r="M282" s="25" t="str">
        <f>IFERROR(__xludf.DUMMYFUNCTION("""COMPUTED_VALUE"""),"Music")</f>
        <v>Music</v>
      </c>
      <c r="N282" s="25"/>
      <c r="O282" s="26" t="str">
        <f>IFERROR(__xludf.DUMMYFUNCTION("""COMPUTED_VALUE"""),"Yes")</f>
        <v>Yes</v>
      </c>
      <c r="P282" s="26"/>
    </row>
    <row r="283">
      <c r="A283" s="13" t="str">
        <f>IFERROR(__xludf.DUMMYFUNCTION("""COMPUTED_VALUE"""),"What Remains of Edith Finch")</f>
        <v>What Remains of Edith Finch</v>
      </c>
      <c r="B283" s="15" t="str">
        <f>IFERROR(__xludf.DUMMYFUNCTION("""COMPUTED_VALUE"""),"PS4")</f>
        <v>PS4</v>
      </c>
      <c r="C283" s="16" t="str">
        <f>IFERROR(__xludf.DUMMYFUNCTION("""COMPUTED_VALUE"""),"Extra")</f>
        <v>Extra</v>
      </c>
      <c r="D283" s="15" t="str">
        <f>IFERROR(__xludf.DUMMYFUNCTION("""COMPUTED_VALUE"""),"Removed")</f>
        <v>Removed</v>
      </c>
      <c r="E283" s="17">
        <f>IFERROR(__xludf.DUMMYFUNCTION("""COMPUTED_VALUE"""),44880.0)</f>
        <v>44880</v>
      </c>
      <c r="F283" s="54">
        <f>IFERROR(__xludf.DUMMYFUNCTION("""COMPUTED_VALUE"""),45614.0)</f>
        <v>45614</v>
      </c>
      <c r="G283" s="19">
        <f>IFERROR(__xludf.DUMMYFUNCTION("""COMPUTED_VALUE"""),24.1)</f>
        <v>24.1</v>
      </c>
      <c r="H283" s="17">
        <f>IFERROR(__xludf.DUMMYFUNCTION("""COMPUTED_VALUE"""),42850.0)</f>
        <v>42850</v>
      </c>
      <c r="I283" s="19">
        <f>IFERROR(__xludf.DUMMYFUNCTION("""COMPUTED_VALUE"""),5.555555555555555)</f>
        <v>5.555555556</v>
      </c>
      <c r="J283" s="21">
        <f>IFERROR(__xludf.DUMMYFUNCTION("""COMPUTED_VALUE"""),88.0)</f>
        <v>88</v>
      </c>
      <c r="K283" s="23">
        <f>IFERROR(__xludf.DUMMYFUNCTION("""COMPUTED_VALUE"""),8.3)</f>
        <v>8.3</v>
      </c>
      <c r="L283" s="24">
        <f>IFERROR(__xludf.DUMMYFUNCTION("""COMPUTED_VALUE"""),2.0)</f>
        <v>2</v>
      </c>
      <c r="M283" s="25" t="str">
        <f>IFERROR(__xludf.DUMMYFUNCTION("""COMPUTED_VALUE"""),"Action-Adventure")</f>
        <v>Action-Adventure</v>
      </c>
      <c r="N283" s="25"/>
      <c r="O283" s="26" t="str">
        <f>IFERROR(__xludf.DUMMYFUNCTION("""COMPUTED_VALUE"""),"Yes")</f>
        <v>Yes</v>
      </c>
      <c r="P283" s="26"/>
    </row>
    <row r="284">
      <c r="A284" s="13" t="str">
        <f>IFERROR(__xludf.DUMMYFUNCTION("""COMPUTED_VALUE"""),"Moving Out")</f>
        <v>Moving Out</v>
      </c>
      <c r="B284" s="15" t="str">
        <f>IFERROR(__xludf.DUMMYFUNCTION("""COMPUTED_VALUE"""),"PS4")</f>
        <v>PS4</v>
      </c>
      <c r="C284" s="16" t="str">
        <f>IFERROR(__xludf.DUMMYFUNCTION("""COMPUTED_VALUE"""),"Extra")</f>
        <v>Extra</v>
      </c>
      <c r="D284" s="15" t="str">
        <f>IFERROR(__xludf.DUMMYFUNCTION("""COMPUTED_VALUE"""),"Removed")</f>
        <v>Removed</v>
      </c>
      <c r="E284" s="17">
        <f>IFERROR(__xludf.DUMMYFUNCTION("""COMPUTED_VALUE"""),44725.0)</f>
        <v>44725</v>
      </c>
      <c r="F284" s="54">
        <f>IFERROR(__xludf.DUMMYFUNCTION("""COMPUTED_VALUE"""),45614.0)</f>
        <v>45614</v>
      </c>
      <c r="G284" s="19">
        <f>IFERROR(__xludf.DUMMYFUNCTION("""COMPUTED_VALUE"""),29.166666666666664)</f>
        <v>29.16666667</v>
      </c>
      <c r="H284" s="17">
        <f>IFERROR(__xludf.DUMMYFUNCTION("""COMPUTED_VALUE"""),43941.0)</f>
        <v>43941</v>
      </c>
      <c r="I284" s="19">
        <f>IFERROR(__xludf.DUMMYFUNCTION("""COMPUTED_VALUE"""),2.147222222222222)</f>
        <v>2.147222222</v>
      </c>
      <c r="J284" s="21">
        <f>IFERROR(__xludf.DUMMYFUNCTION("""COMPUTED_VALUE"""),78.0)</f>
        <v>78</v>
      </c>
      <c r="K284" s="23">
        <f>IFERROR(__xludf.DUMMYFUNCTION("""COMPUTED_VALUE"""),7.1)</f>
        <v>7.1</v>
      </c>
      <c r="L284" s="24">
        <f>IFERROR(__xludf.DUMMYFUNCTION("""COMPUTED_VALUE"""),7.0)</f>
        <v>7</v>
      </c>
      <c r="M284" s="25" t="str">
        <f>IFERROR(__xludf.DUMMYFUNCTION("""COMPUTED_VALUE"""),"Strategy")</f>
        <v>Strategy</v>
      </c>
      <c r="N284" s="25"/>
      <c r="O284" s="26" t="str">
        <f>IFERROR(__xludf.DUMMYFUNCTION("""COMPUTED_VALUE"""),"Yes")</f>
        <v>Yes</v>
      </c>
      <c r="P284" s="26" t="str">
        <f>IFERROR(__xludf.DUMMYFUNCTION("""COMPUTED_VALUE"""),"Yes")</f>
        <v>Yes</v>
      </c>
    </row>
    <row r="285">
      <c r="A285" s="13" t="str">
        <f>IFERROR(__xludf.DUMMYFUNCTION("""COMPUTED_VALUE"""),"Blasphemous")</f>
        <v>Blasphemous</v>
      </c>
      <c r="B285" s="15" t="str">
        <f>IFERROR(__xludf.DUMMYFUNCTION("""COMPUTED_VALUE"""),"PS4")</f>
        <v>PS4</v>
      </c>
      <c r="C285" s="16" t="str">
        <f>IFERROR(__xludf.DUMMYFUNCTION("""COMPUTED_VALUE"""),"Extra")</f>
        <v>Extra</v>
      </c>
      <c r="D285" s="15" t="str">
        <f>IFERROR(__xludf.DUMMYFUNCTION("""COMPUTED_VALUE"""),"Removed")</f>
        <v>Removed</v>
      </c>
      <c r="E285" s="17">
        <f>IFERROR(__xludf.DUMMYFUNCTION("""COMPUTED_VALUE"""),44446.0)</f>
        <v>44446</v>
      </c>
      <c r="F285" s="54">
        <f>IFERROR(__xludf.DUMMYFUNCTION("""COMPUTED_VALUE"""),45614.0)</f>
        <v>45614</v>
      </c>
      <c r="G285" s="19">
        <f>IFERROR(__xludf.DUMMYFUNCTION("""COMPUTED_VALUE"""),38.36666666666667)</f>
        <v>38.36666667</v>
      </c>
      <c r="H285" s="17">
        <f>IFERROR(__xludf.DUMMYFUNCTION("""COMPUTED_VALUE"""),43718.0)</f>
        <v>43718</v>
      </c>
      <c r="I285" s="19">
        <f>IFERROR(__xludf.DUMMYFUNCTION("""COMPUTED_VALUE"""),1.9916666666666667)</f>
        <v>1.991666667</v>
      </c>
      <c r="J285" s="21">
        <f>IFERROR(__xludf.DUMMYFUNCTION("""COMPUTED_VALUE"""),80.0)</f>
        <v>80</v>
      </c>
      <c r="K285" s="23">
        <f>IFERROR(__xludf.DUMMYFUNCTION("""COMPUTED_VALUE"""),8.0)</f>
        <v>8</v>
      </c>
      <c r="L285" s="24">
        <f>IFERROR(__xludf.DUMMYFUNCTION("""COMPUTED_VALUE"""),13.0)</f>
        <v>13</v>
      </c>
      <c r="M285" s="25" t="str">
        <f>IFERROR(__xludf.DUMMYFUNCTION("""COMPUTED_VALUE"""),"Platformer")</f>
        <v>Platformer</v>
      </c>
      <c r="N285" s="25"/>
      <c r="O285" s="26" t="str">
        <f>IFERROR(__xludf.DUMMYFUNCTION("""COMPUTED_VALUE"""),"Yes")</f>
        <v>Yes</v>
      </c>
      <c r="P285" s="26"/>
    </row>
    <row r="286">
      <c r="A286" s="13" t="str">
        <f>IFERROR(__xludf.DUMMYFUNCTION("""COMPUTED_VALUE"""),"Overcooked! 2")</f>
        <v>Overcooked! 2</v>
      </c>
      <c r="B286" s="15" t="str">
        <f>IFERROR(__xludf.DUMMYFUNCTION("""COMPUTED_VALUE"""),"PS4")</f>
        <v>PS4</v>
      </c>
      <c r="C286" s="16" t="str">
        <f>IFERROR(__xludf.DUMMYFUNCTION("""COMPUTED_VALUE"""),"Extra")</f>
        <v>Extra</v>
      </c>
      <c r="D286" s="15" t="str">
        <f>IFERROR(__xludf.DUMMYFUNCTION("""COMPUTED_VALUE"""),"Removed")</f>
        <v>Removed</v>
      </c>
      <c r="E286" s="17">
        <f>IFERROR(__xludf.DUMMYFUNCTION("""COMPUTED_VALUE"""),43832.0)</f>
        <v>43832</v>
      </c>
      <c r="F286" s="54">
        <f>IFERROR(__xludf.DUMMYFUNCTION("""COMPUTED_VALUE"""),45614.0)</f>
        <v>45614</v>
      </c>
      <c r="G286" s="19">
        <f>IFERROR(__xludf.DUMMYFUNCTION("""COMPUTED_VALUE"""),58.53333333333334)</f>
        <v>58.53333333</v>
      </c>
      <c r="H286" s="17">
        <f>IFERROR(__xludf.DUMMYFUNCTION("""COMPUTED_VALUE"""),43319.0)</f>
        <v>43319</v>
      </c>
      <c r="I286" s="19">
        <f>IFERROR(__xludf.DUMMYFUNCTION("""COMPUTED_VALUE"""),1.4027777777777777)</f>
        <v>1.402777778</v>
      </c>
      <c r="J286" s="21">
        <f>IFERROR(__xludf.DUMMYFUNCTION("""COMPUTED_VALUE"""),83.0)</f>
        <v>83</v>
      </c>
      <c r="K286" s="23">
        <f>IFERROR(__xludf.DUMMYFUNCTION("""COMPUTED_VALUE"""),7.5)</f>
        <v>7.5</v>
      </c>
      <c r="L286" s="24">
        <f>IFERROR(__xludf.DUMMYFUNCTION("""COMPUTED_VALUE"""),6.0)</f>
        <v>6</v>
      </c>
      <c r="M286" s="25" t="str">
        <f>IFERROR(__xludf.DUMMYFUNCTION("""COMPUTED_VALUE"""),"Arcade")</f>
        <v>Arcade</v>
      </c>
      <c r="N286" s="25"/>
      <c r="O286" s="26" t="str">
        <f>IFERROR(__xludf.DUMMYFUNCTION("""COMPUTED_VALUE"""),"Yes")</f>
        <v>Yes</v>
      </c>
      <c r="P286" s="26" t="str">
        <f>IFERROR(__xludf.DUMMYFUNCTION("""COMPUTED_VALUE"""),"Yes")</f>
        <v>Yes</v>
      </c>
    </row>
    <row r="287">
      <c r="A287" s="13" t="str">
        <f>IFERROR(__xludf.DUMMYFUNCTION("""COMPUTED_VALUE"""),"Dead Space (2023)")</f>
        <v>Dead Space (2023)</v>
      </c>
      <c r="B287" s="15" t="str">
        <f>IFERROR(__xludf.DUMMYFUNCTION("""COMPUTED_VALUE"""),"PS5")</f>
        <v>PS5</v>
      </c>
      <c r="C287" s="16" t="str">
        <f>IFERROR(__xludf.DUMMYFUNCTION("""COMPUTED_VALUE"""),"Essential")</f>
        <v>Essential</v>
      </c>
      <c r="D287" s="15" t="str">
        <f>IFERROR(__xludf.DUMMYFUNCTION("""COMPUTED_VALUE"""),"Removed")</f>
        <v>Removed</v>
      </c>
      <c r="E287" s="17">
        <f>IFERROR(__xludf.DUMMYFUNCTION("""COMPUTED_VALUE"""),45566.0)</f>
        <v>45566</v>
      </c>
      <c r="F287" s="54">
        <f>IFERROR(__xludf.DUMMYFUNCTION("""COMPUTED_VALUE"""),45600.0)</f>
        <v>45600</v>
      </c>
      <c r="G287" s="19">
        <f>IFERROR(__xludf.DUMMYFUNCTION("""COMPUTED_VALUE"""),1.0999999999999999)</f>
        <v>1.1</v>
      </c>
      <c r="H287" s="17">
        <f>IFERROR(__xludf.DUMMYFUNCTION("""COMPUTED_VALUE"""),44953.0)</f>
        <v>44953</v>
      </c>
      <c r="I287" s="19">
        <f>IFERROR(__xludf.DUMMYFUNCTION("""COMPUTED_VALUE"""),1.6777777777777778)</f>
        <v>1.677777778</v>
      </c>
      <c r="J287" s="21">
        <f>IFERROR(__xludf.DUMMYFUNCTION("""COMPUTED_VALUE"""),89.0)</f>
        <v>89</v>
      </c>
      <c r="K287" s="23">
        <f>IFERROR(__xludf.DUMMYFUNCTION("""COMPUTED_VALUE"""),8.4)</f>
        <v>8.4</v>
      </c>
      <c r="L287" s="24">
        <f>IFERROR(__xludf.DUMMYFUNCTION("""COMPUTED_VALUE"""),12.0)</f>
        <v>12</v>
      </c>
      <c r="M287" s="25" t="str">
        <f>IFERROR(__xludf.DUMMYFUNCTION("""COMPUTED_VALUE"""),"Survival")</f>
        <v>Survival</v>
      </c>
      <c r="N287" s="25"/>
      <c r="O287" s="26" t="str">
        <f>IFERROR(__xludf.DUMMYFUNCTION("""COMPUTED_VALUE"""),"No")</f>
        <v>No</v>
      </c>
      <c r="P287" s="26"/>
    </row>
    <row r="288">
      <c r="A288" s="13" t="str">
        <f>IFERROR(__xludf.DUMMYFUNCTION("""COMPUTED_VALUE"""),"Doki Doki Literature Club Plus!")</f>
        <v>Doki Doki Literature Club Plus!</v>
      </c>
      <c r="B288" s="15" t="str">
        <f>IFERROR(__xludf.DUMMYFUNCTION("""COMPUTED_VALUE"""),"PS5/PS4")</f>
        <v>PS5/PS4</v>
      </c>
      <c r="C288" s="16" t="str">
        <f>IFERROR(__xludf.DUMMYFUNCTION("""COMPUTED_VALUE"""),"Essential")</f>
        <v>Essential</v>
      </c>
      <c r="D288" s="15" t="str">
        <f>IFERROR(__xludf.DUMMYFUNCTION("""COMPUTED_VALUE"""),"Removed")</f>
        <v>Removed</v>
      </c>
      <c r="E288" s="17">
        <f>IFERROR(__xludf.DUMMYFUNCTION("""COMPUTED_VALUE"""),45566.0)</f>
        <v>45566</v>
      </c>
      <c r="F288" s="54">
        <f>IFERROR(__xludf.DUMMYFUNCTION("""COMPUTED_VALUE"""),45600.0)</f>
        <v>45600</v>
      </c>
      <c r="G288" s="19">
        <f>IFERROR(__xludf.DUMMYFUNCTION("""COMPUTED_VALUE"""),1.0999999999999999)</f>
        <v>1.1</v>
      </c>
      <c r="H288" s="17">
        <f>IFERROR(__xludf.DUMMYFUNCTION("""COMPUTED_VALUE"""),44377.0)</f>
        <v>44377</v>
      </c>
      <c r="I288" s="19">
        <f>IFERROR(__xludf.DUMMYFUNCTION("""COMPUTED_VALUE"""),3.2527777777777778)</f>
        <v>3.252777778</v>
      </c>
      <c r="J288" s="21">
        <f>IFERROR(__xludf.DUMMYFUNCTION("""COMPUTED_VALUE"""),85.0)</f>
        <v>85</v>
      </c>
      <c r="K288" s="23">
        <f>IFERROR(__xludf.DUMMYFUNCTION("""COMPUTED_VALUE"""),8.1)</f>
        <v>8.1</v>
      </c>
      <c r="L288" s="24">
        <f>IFERROR(__xludf.DUMMYFUNCTION("""COMPUTED_VALUE"""),5.0)</f>
        <v>5</v>
      </c>
      <c r="M288" s="25" t="str">
        <f>IFERROR(__xludf.DUMMYFUNCTION("""COMPUTED_VALUE"""),"Visual Novel")</f>
        <v>Visual Novel</v>
      </c>
      <c r="N288" s="25"/>
      <c r="O288" s="26" t="str">
        <f>IFERROR(__xludf.DUMMYFUNCTION("""COMPUTED_VALUE"""),"No")</f>
        <v>No</v>
      </c>
      <c r="P288" s="26"/>
    </row>
    <row r="289">
      <c r="A289" s="13" t="str">
        <f>IFERROR(__xludf.DUMMYFUNCTION("""COMPUTED_VALUE"""),"WWE 2K24")</f>
        <v>WWE 2K24</v>
      </c>
      <c r="B289" s="15" t="str">
        <f>IFERROR(__xludf.DUMMYFUNCTION("""COMPUTED_VALUE"""),"PS5")</f>
        <v>PS5</v>
      </c>
      <c r="C289" s="16" t="str">
        <f>IFERROR(__xludf.DUMMYFUNCTION("""COMPUTED_VALUE"""),"Essential")</f>
        <v>Essential</v>
      </c>
      <c r="D289" s="15" t="str">
        <f>IFERROR(__xludf.DUMMYFUNCTION("""COMPUTED_VALUE"""),"Removed")</f>
        <v>Removed</v>
      </c>
      <c r="E289" s="17">
        <f>IFERROR(__xludf.DUMMYFUNCTION("""COMPUTED_VALUE"""),45566.0)</f>
        <v>45566</v>
      </c>
      <c r="F289" s="54">
        <f>IFERROR(__xludf.DUMMYFUNCTION("""COMPUTED_VALUE"""),45600.0)</f>
        <v>45600</v>
      </c>
      <c r="G289" s="19">
        <f>IFERROR(__xludf.DUMMYFUNCTION("""COMPUTED_VALUE"""),1.0999999999999999)</f>
        <v>1.1</v>
      </c>
      <c r="H289" s="17">
        <f>IFERROR(__xludf.DUMMYFUNCTION("""COMPUTED_VALUE"""),45359.0)</f>
        <v>45359</v>
      </c>
      <c r="I289" s="19">
        <f>IFERROR(__xludf.DUMMYFUNCTION("""COMPUTED_VALUE"""),0.5638888888888889)</f>
        <v>0.5638888889</v>
      </c>
      <c r="J289" s="21">
        <f>IFERROR(__xludf.DUMMYFUNCTION("""COMPUTED_VALUE"""),81.0)</f>
        <v>81</v>
      </c>
      <c r="K289" s="23">
        <f>IFERROR(__xludf.DUMMYFUNCTION("""COMPUTED_VALUE"""),6.8)</f>
        <v>6.8</v>
      </c>
      <c r="L289" s="24">
        <f>IFERROR(__xludf.DUMMYFUNCTION("""COMPUTED_VALUE"""),8.0)</f>
        <v>8</v>
      </c>
      <c r="M289" s="25" t="str">
        <f>IFERROR(__xludf.DUMMYFUNCTION("""COMPUTED_VALUE"""),"Fighting")</f>
        <v>Fighting</v>
      </c>
      <c r="N289" s="25"/>
      <c r="O289" s="26" t="str">
        <f>IFERROR(__xludf.DUMMYFUNCTION("""COMPUTED_VALUE"""),"No")</f>
        <v>No</v>
      </c>
      <c r="P289" s="26"/>
    </row>
    <row r="290">
      <c r="A290" s="13" t="str">
        <f>IFERROR(__xludf.DUMMYFUNCTION("""COMPUTED_VALUE"""),"Gotham Knights")</f>
        <v>Gotham Knights</v>
      </c>
      <c r="B290" s="15" t="str">
        <f>IFERROR(__xludf.DUMMYFUNCTION("""COMPUTED_VALUE"""),"PS5")</f>
        <v>PS5</v>
      </c>
      <c r="C290" s="16" t="str">
        <f>IFERROR(__xludf.DUMMYFUNCTION("""COMPUTED_VALUE"""),"Extra")</f>
        <v>Extra</v>
      </c>
      <c r="D290" s="15" t="str">
        <f>IFERROR(__xludf.DUMMYFUNCTION("""COMPUTED_VALUE"""),"Removed")</f>
        <v>Removed</v>
      </c>
      <c r="E290" s="17">
        <f>IFERROR(__xludf.DUMMYFUNCTION("""COMPUTED_VALUE"""),45216.0)</f>
        <v>45216</v>
      </c>
      <c r="F290" s="54">
        <f>IFERROR(__xludf.DUMMYFUNCTION("""COMPUTED_VALUE"""),45579.0)</f>
        <v>45579</v>
      </c>
      <c r="G290" s="19">
        <f>IFERROR(__xludf.DUMMYFUNCTION("""COMPUTED_VALUE"""),11.9)</f>
        <v>11.9</v>
      </c>
      <c r="H290" s="17">
        <f>IFERROR(__xludf.DUMMYFUNCTION("""COMPUTED_VALUE"""),44855.0)</f>
        <v>44855</v>
      </c>
      <c r="I290" s="19">
        <f>IFERROR(__xludf.DUMMYFUNCTION("""COMPUTED_VALUE"""),0.9888888888888889)</f>
        <v>0.9888888889</v>
      </c>
      <c r="J290" s="21">
        <f>IFERROR(__xludf.DUMMYFUNCTION("""COMPUTED_VALUE"""),67.0)</f>
        <v>67</v>
      </c>
      <c r="K290" s="23">
        <f>IFERROR(__xludf.DUMMYFUNCTION("""COMPUTED_VALUE"""),5.0)</f>
        <v>5</v>
      </c>
      <c r="L290" s="24">
        <f>IFERROR(__xludf.DUMMYFUNCTION("""COMPUTED_VALUE"""),17.0)</f>
        <v>17</v>
      </c>
      <c r="M290" s="25" t="str">
        <f>IFERROR(__xludf.DUMMYFUNCTION("""COMPUTED_VALUE"""),"Action-Adventure")</f>
        <v>Action-Adventure</v>
      </c>
      <c r="N290" s="25"/>
      <c r="O290" s="26" t="str">
        <f>IFERROR(__xludf.DUMMYFUNCTION("""COMPUTED_VALUE"""),"No")</f>
        <v>No</v>
      </c>
      <c r="P290" s="26"/>
    </row>
    <row r="291">
      <c r="A291" s="13" t="str">
        <f>IFERROR(__xludf.DUMMYFUNCTION("""COMPUTED_VALUE"""),"Gungrave G.O.R.E.")</f>
        <v>Gungrave G.O.R.E.</v>
      </c>
      <c r="B291" s="15" t="str">
        <f>IFERROR(__xludf.DUMMYFUNCTION("""COMPUTED_VALUE"""),"PS4")</f>
        <v>PS4</v>
      </c>
      <c r="C291" s="16" t="str">
        <f>IFERROR(__xludf.DUMMYFUNCTION("""COMPUTED_VALUE"""),"Extra")</f>
        <v>Extra</v>
      </c>
      <c r="D291" s="15" t="str">
        <f>IFERROR(__xludf.DUMMYFUNCTION("""COMPUTED_VALUE"""),"Removed")</f>
        <v>Removed</v>
      </c>
      <c r="E291" s="17">
        <f>IFERROR(__xludf.DUMMYFUNCTION("""COMPUTED_VALUE"""),45216.0)</f>
        <v>45216</v>
      </c>
      <c r="F291" s="54">
        <f>IFERROR(__xludf.DUMMYFUNCTION("""COMPUTED_VALUE"""),45579.0)</f>
        <v>45579</v>
      </c>
      <c r="G291" s="19">
        <f>IFERROR(__xludf.DUMMYFUNCTION("""COMPUTED_VALUE"""),11.9)</f>
        <v>11.9</v>
      </c>
      <c r="H291" s="17">
        <f>IFERROR(__xludf.DUMMYFUNCTION("""COMPUTED_VALUE"""),44887.0)</f>
        <v>44887</v>
      </c>
      <c r="I291" s="19">
        <f>IFERROR(__xludf.DUMMYFUNCTION("""COMPUTED_VALUE"""),0.9027777777777778)</f>
        <v>0.9027777778</v>
      </c>
      <c r="J291" s="21">
        <f>IFERROR(__xludf.DUMMYFUNCTION("""COMPUTED_VALUE"""),57.0)</f>
        <v>57</v>
      </c>
      <c r="K291" s="23">
        <f>IFERROR(__xludf.DUMMYFUNCTION("""COMPUTED_VALUE"""),6.6)</f>
        <v>6.6</v>
      </c>
      <c r="L291" s="24">
        <f>IFERROR(__xludf.DUMMYFUNCTION("""COMPUTED_VALUE"""),9.0)</f>
        <v>9</v>
      </c>
      <c r="M291" s="25" t="str">
        <f>IFERROR(__xludf.DUMMYFUNCTION("""COMPUTED_VALUE"""),"Shooter")</f>
        <v>Shooter</v>
      </c>
      <c r="N291" s="25"/>
      <c r="O291" s="26" t="str">
        <f>IFERROR(__xludf.DUMMYFUNCTION("""COMPUTED_VALUE"""),"Yes")</f>
        <v>Yes</v>
      </c>
      <c r="P291" s="26"/>
    </row>
    <row r="292">
      <c r="A292" s="13" t="str">
        <f>IFERROR(__xludf.DUMMYFUNCTION("""COMPUTED_VALUE"""),"The Evil Within")</f>
        <v>The Evil Within</v>
      </c>
      <c r="B292" s="15" t="str">
        <f>IFERROR(__xludf.DUMMYFUNCTION("""COMPUTED_VALUE"""),"PS4")</f>
        <v>PS4</v>
      </c>
      <c r="C292" s="16" t="str">
        <f>IFERROR(__xludf.DUMMYFUNCTION("""COMPUTED_VALUE"""),"Extra")</f>
        <v>Extra</v>
      </c>
      <c r="D292" s="15" t="str">
        <f>IFERROR(__xludf.DUMMYFUNCTION("""COMPUTED_VALUE"""),"Removed")</f>
        <v>Removed</v>
      </c>
      <c r="E292" s="17">
        <f>IFERROR(__xludf.DUMMYFUNCTION("""COMPUTED_VALUE"""),45034.0)</f>
        <v>45034</v>
      </c>
      <c r="F292" s="54">
        <f>IFERROR(__xludf.DUMMYFUNCTION("""COMPUTED_VALUE"""),45579.0)</f>
        <v>45579</v>
      </c>
      <c r="G292" s="19">
        <f>IFERROR(__xludf.DUMMYFUNCTION("""COMPUTED_VALUE"""),17.866666666666667)</f>
        <v>17.86666667</v>
      </c>
      <c r="H292" s="17">
        <f>IFERROR(__xludf.DUMMYFUNCTION("""COMPUTED_VALUE"""),43021.0)</f>
        <v>43021</v>
      </c>
      <c r="I292" s="19">
        <f>IFERROR(__xludf.DUMMYFUNCTION("""COMPUTED_VALUE"""),5.513888888888889)</f>
        <v>5.513888889</v>
      </c>
      <c r="J292" s="21">
        <f>IFERROR(__xludf.DUMMYFUNCTION("""COMPUTED_VALUE"""),76.0)</f>
        <v>76</v>
      </c>
      <c r="K292" s="23">
        <f>IFERROR(__xludf.DUMMYFUNCTION("""COMPUTED_VALUE"""),8.5)</f>
        <v>8.5</v>
      </c>
      <c r="L292" s="24">
        <f>IFERROR(__xludf.DUMMYFUNCTION("""COMPUTED_VALUE"""),16.0)</f>
        <v>16</v>
      </c>
      <c r="M292" s="25" t="str">
        <f>IFERROR(__xludf.DUMMYFUNCTION("""COMPUTED_VALUE"""),"Shooter")</f>
        <v>Shooter</v>
      </c>
      <c r="N292" s="25"/>
      <c r="O292" s="26" t="str">
        <f>IFERROR(__xludf.DUMMYFUNCTION("""COMPUTED_VALUE"""),"Yes")</f>
        <v>Yes</v>
      </c>
      <c r="P292" s="26"/>
    </row>
    <row r="293">
      <c r="A293" s="13" t="str">
        <f>IFERROR(__xludf.DUMMYFUNCTION("""COMPUTED_VALUE"""),"Dragon Quest XI S: Echoes of an Elusive Age - Definitive Edition")</f>
        <v>Dragon Quest XI S: Echoes of an Elusive Age - Definitive Edition</v>
      </c>
      <c r="B293" s="15" t="str">
        <f>IFERROR(__xludf.DUMMYFUNCTION("""COMPUTED_VALUE"""),"PS4")</f>
        <v>PS4</v>
      </c>
      <c r="C293" s="16" t="str">
        <f>IFERROR(__xludf.DUMMYFUNCTION("""COMPUTED_VALUE"""),"Extra")</f>
        <v>Extra</v>
      </c>
      <c r="D293" s="15" t="str">
        <f>IFERROR(__xludf.DUMMYFUNCTION("""COMPUTED_VALUE"""),"Removed")</f>
        <v>Removed</v>
      </c>
      <c r="E293" s="17">
        <f>IFERROR(__xludf.DUMMYFUNCTION("""COMPUTED_VALUE"""),44852.0)</f>
        <v>44852</v>
      </c>
      <c r="F293" s="54">
        <f>IFERROR(__xludf.DUMMYFUNCTION("""COMPUTED_VALUE"""),45579.0)</f>
        <v>45579</v>
      </c>
      <c r="G293" s="19">
        <f>IFERROR(__xludf.DUMMYFUNCTION("""COMPUTED_VALUE"""),23.866666666666667)</f>
        <v>23.86666667</v>
      </c>
      <c r="H293" s="17">
        <f>IFERROR(__xludf.DUMMYFUNCTION("""COMPUTED_VALUE"""),42945.0)</f>
        <v>42945</v>
      </c>
      <c r="I293" s="19">
        <f>IFERROR(__xludf.DUMMYFUNCTION("""COMPUTED_VALUE"""),5.219444444444444)</f>
        <v>5.219444444</v>
      </c>
      <c r="J293" s="21">
        <f>IFERROR(__xludf.DUMMYFUNCTION("""COMPUTED_VALUE"""),91.0)</f>
        <v>91</v>
      </c>
      <c r="K293" s="23">
        <f>IFERROR(__xludf.DUMMYFUNCTION("""COMPUTED_VALUE"""),8.0)</f>
        <v>8</v>
      </c>
      <c r="L293" s="24">
        <f>IFERROR(__xludf.DUMMYFUNCTION("""COMPUTED_VALUE"""),57.5)</f>
        <v>57.5</v>
      </c>
      <c r="M293" s="25" t="str">
        <f>IFERROR(__xludf.DUMMYFUNCTION("""COMPUTED_VALUE"""),"RPG")</f>
        <v>RPG</v>
      </c>
      <c r="N293" s="25"/>
      <c r="O293" s="26" t="str">
        <f>IFERROR(__xludf.DUMMYFUNCTION("""COMPUTED_VALUE"""),"Yes")</f>
        <v>Yes</v>
      </c>
      <c r="P293" s="26"/>
    </row>
    <row r="294">
      <c r="A294" s="13" t="str">
        <f>IFERROR(__xludf.DUMMYFUNCTION("""COMPUTED_VALUE"""),"Dragon Quest Builders")</f>
        <v>Dragon Quest Builders</v>
      </c>
      <c r="B294" s="15" t="str">
        <f>IFERROR(__xludf.DUMMYFUNCTION("""COMPUTED_VALUE"""),"PS4")</f>
        <v>PS4</v>
      </c>
      <c r="C294" s="16" t="str">
        <f>IFERROR(__xludf.DUMMYFUNCTION("""COMPUTED_VALUE"""),"Extra")</f>
        <v>Extra</v>
      </c>
      <c r="D294" s="15" t="str">
        <f>IFERROR(__xludf.DUMMYFUNCTION("""COMPUTED_VALUE"""),"Removed")</f>
        <v>Removed</v>
      </c>
      <c r="E294" s="17">
        <f>IFERROR(__xludf.DUMMYFUNCTION("""COMPUTED_VALUE"""),44852.0)</f>
        <v>44852</v>
      </c>
      <c r="F294" s="54">
        <f>IFERROR(__xludf.DUMMYFUNCTION("""COMPUTED_VALUE"""),45579.0)</f>
        <v>45579</v>
      </c>
      <c r="G294" s="19">
        <f>IFERROR(__xludf.DUMMYFUNCTION("""COMPUTED_VALUE"""),23.866666666666667)</f>
        <v>23.86666667</v>
      </c>
      <c r="H294" s="17">
        <f>IFERROR(__xludf.DUMMYFUNCTION("""COMPUTED_VALUE"""),42397.0)</f>
        <v>42397</v>
      </c>
      <c r="I294" s="19">
        <f>IFERROR(__xludf.DUMMYFUNCTION("""COMPUTED_VALUE"""),6.722222222222222)</f>
        <v>6.722222222</v>
      </c>
      <c r="J294" s="21">
        <f>IFERROR(__xludf.DUMMYFUNCTION("""COMPUTED_VALUE"""),83.0)</f>
        <v>83</v>
      </c>
      <c r="K294" s="23">
        <f>IFERROR(__xludf.DUMMYFUNCTION("""COMPUTED_VALUE"""),8.1)</f>
        <v>8.1</v>
      </c>
      <c r="L294" s="24">
        <f>IFERROR(__xludf.DUMMYFUNCTION("""COMPUTED_VALUE"""),38.5)</f>
        <v>38.5</v>
      </c>
      <c r="M294" s="25" t="str">
        <f>IFERROR(__xludf.DUMMYFUNCTION("""COMPUTED_VALUE"""),"RPG")</f>
        <v>RPG</v>
      </c>
      <c r="N294" s="25"/>
      <c r="O294" s="26" t="str">
        <f>IFERROR(__xludf.DUMMYFUNCTION("""COMPUTED_VALUE"""),"Yes")</f>
        <v>Yes</v>
      </c>
      <c r="P294" s="26"/>
    </row>
    <row r="295">
      <c r="A295" s="13" t="str">
        <f>IFERROR(__xludf.DUMMYFUNCTION("""COMPUTED_VALUE"""),"Dragon Quest Builders 2")</f>
        <v>Dragon Quest Builders 2</v>
      </c>
      <c r="B295" s="15" t="str">
        <f>IFERROR(__xludf.DUMMYFUNCTION("""COMPUTED_VALUE"""),"PS4")</f>
        <v>PS4</v>
      </c>
      <c r="C295" s="16" t="str">
        <f>IFERROR(__xludf.DUMMYFUNCTION("""COMPUTED_VALUE"""),"Extra")</f>
        <v>Extra</v>
      </c>
      <c r="D295" s="15" t="str">
        <f>IFERROR(__xludf.DUMMYFUNCTION("""COMPUTED_VALUE"""),"Removed")</f>
        <v>Removed</v>
      </c>
      <c r="E295" s="17">
        <f>IFERROR(__xludf.DUMMYFUNCTION("""COMPUTED_VALUE"""),44852.0)</f>
        <v>44852</v>
      </c>
      <c r="F295" s="54">
        <f>IFERROR(__xludf.DUMMYFUNCTION("""COMPUTED_VALUE"""),45579.0)</f>
        <v>45579</v>
      </c>
      <c r="G295" s="19">
        <f>IFERROR(__xludf.DUMMYFUNCTION("""COMPUTED_VALUE"""),23.866666666666667)</f>
        <v>23.86666667</v>
      </c>
      <c r="H295" s="17">
        <f>IFERROR(__xludf.DUMMYFUNCTION("""COMPUTED_VALUE"""),43454.0)</f>
        <v>43454</v>
      </c>
      <c r="I295" s="19">
        <f>IFERROR(__xludf.DUMMYFUNCTION("""COMPUTED_VALUE"""),3.827777777777778)</f>
        <v>3.827777778</v>
      </c>
      <c r="J295" s="21">
        <f>IFERROR(__xludf.DUMMYFUNCTION("""COMPUTED_VALUE"""),86.0)</f>
        <v>86</v>
      </c>
      <c r="K295" s="23">
        <f>IFERROR(__xludf.DUMMYFUNCTION("""COMPUTED_VALUE"""),7.6)</f>
        <v>7.6</v>
      </c>
      <c r="L295" s="24">
        <f>IFERROR(__xludf.DUMMYFUNCTION("""COMPUTED_VALUE"""),55.5)</f>
        <v>55.5</v>
      </c>
      <c r="M295" s="25" t="str">
        <f>IFERROR(__xludf.DUMMYFUNCTION("""COMPUTED_VALUE"""),"RPG")</f>
        <v>RPG</v>
      </c>
      <c r="N295" s="25"/>
      <c r="O295" s="26" t="str">
        <f>IFERROR(__xludf.DUMMYFUNCTION("""COMPUTED_VALUE"""),"Yes")</f>
        <v>Yes</v>
      </c>
      <c r="P295" s="26"/>
    </row>
    <row r="296">
      <c r="A296" s="13" t="str">
        <f>IFERROR(__xludf.DUMMYFUNCTION("""COMPUTED_VALUE"""),"Dragon Quest Heroes: The World Tree's Woe and the Blight Below")</f>
        <v>Dragon Quest Heroes: The World Tree's Woe and the Blight Below</v>
      </c>
      <c r="B296" s="15" t="str">
        <f>IFERROR(__xludf.DUMMYFUNCTION("""COMPUTED_VALUE"""),"PS4")</f>
        <v>PS4</v>
      </c>
      <c r="C296" s="16" t="str">
        <f>IFERROR(__xludf.DUMMYFUNCTION("""COMPUTED_VALUE"""),"Extra")</f>
        <v>Extra</v>
      </c>
      <c r="D296" s="15" t="str">
        <f>IFERROR(__xludf.DUMMYFUNCTION("""COMPUTED_VALUE"""),"Removed")</f>
        <v>Removed</v>
      </c>
      <c r="E296" s="17">
        <f>IFERROR(__xludf.DUMMYFUNCTION("""COMPUTED_VALUE"""),44852.0)</f>
        <v>44852</v>
      </c>
      <c r="F296" s="54">
        <f>IFERROR(__xludf.DUMMYFUNCTION("""COMPUTED_VALUE"""),45579.0)</f>
        <v>45579</v>
      </c>
      <c r="G296" s="19">
        <f>IFERROR(__xludf.DUMMYFUNCTION("""COMPUTED_VALUE"""),23.866666666666667)</f>
        <v>23.86666667</v>
      </c>
      <c r="H296" s="17">
        <f>IFERROR(__xludf.DUMMYFUNCTION("""COMPUTED_VALUE"""),42030.0)</f>
        <v>42030</v>
      </c>
      <c r="I296" s="19">
        <f>IFERROR(__xludf.DUMMYFUNCTION("""COMPUTED_VALUE"""),7.727777777777778)</f>
        <v>7.727777778</v>
      </c>
      <c r="J296" s="21">
        <f>IFERROR(__xludf.DUMMYFUNCTION("""COMPUTED_VALUE"""),77.0)</f>
        <v>77</v>
      </c>
      <c r="K296" s="23">
        <f>IFERROR(__xludf.DUMMYFUNCTION("""COMPUTED_VALUE"""),7.6)</f>
        <v>7.6</v>
      </c>
      <c r="L296" s="24">
        <f>IFERROR(__xludf.DUMMYFUNCTION("""COMPUTED_VALUE"""),25.5)</f>
        <v>25.5</v>
      </c>
      <c r="M296" s="25" t="str">
        <f>IFERROR(__xludf.DUMMYFUNCTION("""COMPUTED_VALUE"""),"RPG")</f>
        <v>RPG</v>
      </c>
      <c r="N296" s="25"/>
      <c r="O296" s="26" t="str">
        <f>IFERROR(__xludf.DUMMYFUNCTION("""COMPUTED_VALUE"""),"Yes")</f>
        <v>Yes</v>
      </c>
      <c r="P296" s="26"/>
    </row>
    <row r="297">
      <c r="A297" s="13" t="str">
        <f>IFERROR(__xludf.DUMMYFUNCTION("""COMPUTED_VALUE"""),"Dragon Quest Heroes II: Explorer's Edition")</f>
        <v>Dragon Quest Heroes II: Explorer's Edition</v>
      </c>
      <c r="B297" s="15" t="str">
        <f>IFERROR(__xludf.DUMMYFUNCTION("""COMPUTED_VALUE"""),"PS4")</f>
        <v>PS4</v>
      </c>
      <c r="C297" s="16" t="str">
        <f>IFERROR(__xludf.DUMMYFUNCTION("""COMPUTED_VALUE"""),"Extra")</f>
        <v>Extra</v>
      </c>
      <c r="D297" s="15" t="str">
        <f>IFERROR(__xludf.DUMMYFUNCTION("""COMPUTED_VALUE"""),"Removed")</f>
        <v>Removed</v>
      </c>
      <c r="E297" s="17">
        <f>IFERROR(__xludf.DUMMYFUNCTION("""COMPUTED_VALUE"""),44852.0)</f>
        <v>44852</v>
      </c>
      <c r="F297" s="54">
        <f>IFERROR(__xludf.DUMMYFUNCTION("""COMPUTED_VALUE"""),45579.0)</f>
        <v>45579</v>
      </c>
      <c r="G297" s="19">
        <f>IFERROR(__xludf.DUMMYFUNCTION("""COMPUTED_VALUE"""),23.866666666666667)</f>
        <v>23.86666667</v>
      </c>
      <c r="H297" s="17">
        <f>IFERROR(__xludf.DUMMYFUNCTION("""COMPUTED_VALUE"""),42517.0)</f>
        <v>42517</v>
      </c>
      <c r="I297" s="19">
        <f>IFERROR(__xludf.DUMMYFUNCTION("""COMPUTED_VALUE"""),6.391666666666667)</f>
        <v>6.391666667</v>
      </c>
      <c r="J297" s="21">
        <f>IFERROR(__xludf.DUMMYFUNCTION("""COMPUTED_VALUE"""),76.0)</f>
        <v>76</v>
      </c>
      <c r="K297" s="23">
        <f>IFERROR(__xludf.DUMMYFUNCTION("""COMPUTED_VALUE"""),7.6)</f>
        <v>7.6</v>
      </c>
      <c r="L297" s="24">
        <f>IFERROR(__xludf.DUMMYFUNCTION("""COMPUTED_VALUE"""),31.5)</f>
        <v>31.5</v>
      </c>
      <c r="M297" s="25" t="str">
        <f>IFERROR(__xludf.DUMMYFUNCTION("""COMPUTED_VALUE"""),"RPG")</f>
        <v>RPG</v>
      </c>
      <c r="N297" s="25"/>
      <c r="O297" s="26" t="str">
        <f>IFERROR(__xludf.DUMMYFUNCTION("""COMPUTED_VALUE"""),"Yes")</f>
        <v>Yes</v>
      </c>
      <c r="P297" s="26"/>
    </row>
    <row r="298">
      <c r="A298" s="13" t="str">
        <f>IFERROR(__xludf.DUMMYFUNCTION("""COMPUTED_VALUE"""),"Ultra Street Fighter IV")</f>
        <v>Ultra Street Fighter IV</v>
      </c>
      <c r="B298" s="15" t="str">
        <f>IFERROR(__xludf.DUMMYFUNCTION("""COMPUTED_VALUE"""),"PS5/PS4")</f>
        <v>PS5/PS4</v>
      </c>
      <c r="C298" s="16" t="str">
        <f>IFERROR(__xludf.DUMMYFUNCTION("""COMPUTED_VALUE"""),"Premium (Streaming Only)")</f>
        <v>Premium (Streaming Only)</v>
      </c>
      <c r="D298" s="15" t="str">
        <f>IFERROR(__xludf.DUMMYFUNCTION("""COMPUTED_VALUE"""),"Removed")</f>
        <v>Removed</v>
      </c>
      <c r="E298" s="17">
        <f>IFERROR(__xludf.DUMMYFUNCTION("""COMPUTED_VALUE"""),44852.0)</f>
        <v>44852</v>
      </c>
      <c r="F298" s="54">
        <f>IFERROR(__xludf.DUMMYFUNCTION("""COMPUTED_VALUE"""),45579.0)</f>
        <v>45579</v>
      </c>
      <c r="G298" s="19">
        <f>IFERROR(__xludf.DUMMYFUNCTION("""COMPUTED_VALUE"""),23.866666666666667)</f>
        <v>23.86666667</v>
      </c>
      <c r="H298" s="17">
        <f>IFERROR(__xludf.DUMMYFUNCTION("""COMPUTED_VALUE"""),41747.0)</f>
        <v>41747</v>
      </c>
      <c r="I298" s="19">
        <f>IFERROR(__xludf.DUMMYFUNCTION("""COMPUTED_VALUE"""),8.5)</f>
        <v>8.5</v>
      </c>
      <c r="J298" s="21">
        <f>IFERROR(__xludf.DUMMYFUNCTION("""COMPUTED_VALUE"""),83.0)</f>
        <v>83</v>
      </c>
      <c r="K298" s="23">
        <f>IFERROR(__xludf.DUMMYFUNCTION("""COMPUTED_VALUE"""),7.6)</f>
        <v>7.6</v>
      </c>
      <c r="L298" s="24">
        <f>IFERROR(__xludf.DUMMYFUNCTION("""COMPUTED_VALUE"""),2.5)</f>
        <v>2.5</v>
      </c>
      <c r="M298" s="25" t="str">
        <f>IFERROR(__xludf.DUMMYFUNCTION("""COMPUTED_VALUE"""),"Fighting")</f>
        <v>Fighting</v>
      </c>
      <c r="N298" s="25" t="str">
        <f>IFERROR(__xludf.DUMMYFUNCTION("""COMPUTED_VALUE"""),"PS3")</f>
        <v>PS3</v>
      </c>
      <c r="O298" s="26" t="str">
        <f>IFERROR(__xludf.DUMMYFUNCTION("""COMPUTED_VALUE"""),"Yes")</f>
        <v>Yes</v>
      </c>
      <c r="P298" s="26"/>
    </row>
    <row r="299">
      <c r="A299" s="13" t="str">
        <f>IFERROR(__xludf.DUMMYFUNCTION("""COMPUTED_VALUE"""),"R-Type Dimensions")</f>
        <v>R-Type Dimensions</v>
      </c>
      <c r="B299" s="15" t="str">
        <f>IFERROR(__xludf.DUMMYFUNCTION("""COMPUTED_VALUE"""),"PS5/PS4")</f>
        <v>PS5/PS4</v>
      </c>
      <c r="C299" s="16" t="str">
        <f>IFERROR(__xludf.DUMMYFUNCTION("""COMPUTED_VALUE"""),"Premium (Streaming Only)")</f>
        <v>Premium (Streaming Only)</v>
      </c>
      <c r="D299" s="15" t="str">
        <f>IFERROR(__xludf.DUMMYFUNCTION("""COMPUTED_VALUE"""),"Removed")</f>
        <v>Removed</v>
      </c>
      <c r="E299" s="17">
        <f>IFERROR(__xludf.DUMMYFUNCTION("""COMPUTED_VALUE"""),44725.0)</f>
        <v>44725</v>
      </c>
      <c r="F299" s="54">
        <f>IFERROR(__xludf.DUMMYFUNCTION("""COMPUTED_VALUE"""),45579.0)</f>
        <v>45579</v>
      </c>
      <c r="G299" s="19">
        <f>IFERROR(__xludf.DUMMYFUNCTION("""COMPUTED_VALUE"""),28.033333333333335)</f>
        <v>28.03333333</v>
      </c>
      <c r="H299" s="17">
        <f>IFERROR(__xludf.DUMMYFUNCTION("""COMPUTED_VALUE"""),39845.0)</f>
        <v>39845</v>
      </c>
      <c r="I299" s="19">
        <f>IFERROR(__xludf.DUMMYFUNCTION("""COMPUTED_VALUE"""),13.366666666666667)</f>
        <v>13.36666667</v>
      </c>
      <c r="J299" s="21">
        <f>IFERROR(__xludf.DUMMYFUNCTION("""COMPUTED_VALUE"""),82.0)</f>
        <v>82</v>
      </c>
      <c r="K299" s="23">
        <f>IFERROR(__xludf.DUMMYFUNCTION("""COMPUTED_VALUE"""),6.4)</f>
        <v>6.4</v>
      </c>
      <c r="L299" s="24">
        <f>IFERROR(__xludf.DUMMYFUNCTION("""COMPUTED_VALUE"""),2.0)</f>
        <v>2</v>
      </c>
      <c r="M299" s="25" t="str">
        <f>IFERROR(__xludf.DUMMYFUNCTION("""COMPUTED_VALUE"""),"Shooter")</f>
        <v>Shooter</v>
      </c>
      <c r="N299" s="25" t="str">
        <f>IFERROR(__xludf.DUMMYFUNCTION("""COMPUTED_VALUE"""),"PS3")</f>
        <v>PS3</v>
      </c>
      <c r="O299" s="26" t="str">
        <f>IFERROR(__xludf.DUMMYFUNCTION("""COMPUTED_VALUE"""),"Yes")</f>
        <v>Yes</v>
      </c>
      <c r="P299" s="26" t="str">
        <f>IFERROR(__xludf.DUMMYFUNCTION("""COMPUTED_VALUE"""),"")</f>
        <v/>
      </c>
    </row>
    <row r="300">
      <c r="A300" s="13" t="str">
        <f>IFERROR(__xludf.DUMMYFUNCTION("""COMPUTED_VALUE"""),"Toukiden: Kiwami")</f>
        <v>Toukiden: Kiwami</v>
      </c>
      <c r="B300" s="15" t="str">
        <f>IFERROR(__xludf.DUMMYFUNCTION("""COMPUTED_VALUE"""),"PS4")</f>
        <v>PS4</v>
      </c>
      <c r="C300" s="16" t="str">
        <f>IFERROR(__xludf.DUMMYFUNCTION("""COMPUTED_VALUE"""),"Premium (Remasters)")</f>
        <v>Premium (Remasters)</v>
      </c>
      <c r="D300" s="15" t="str">
        <f>IFERROR(__xludf.DUMMYFUNCTION("""COMPUTED_VALUE"""),"Removed")</f>
        <v>Removed</v>
      </c>
      <c r="E300" s="17">
        <f>IFERROR(__xludf.DUMMYFUNCTION("""COMPUTED_VALUE"""),43893.0)</f>
        <v>43893</v>
      </c>
      <c r="F300" s="54">
        <f>IFERROR(__xludf.DUMMYFUNCTION("""COMPUTED_VALUE"""),45579.0)</f>
        <v>45579</v>
      </c>
      <c r="G300" s="19">
        <f>IFERROR(__xludf.DUMMYFUNCTION("""COMPUTED_VALUE"""),55.36666666666667)</f>
        <v>55.36666667</v>
      </c>
      <c r="H300" s="17">
        <f>IFERROR(__xludf.DUMMYFUNCTION("""COMPUTED_VALUE"""),41852.0)</f>
        <v>41852</v>
      </c>
      <c r="I300" s="19">
        <f>IFERROR(__xludf.DUMMYFUNCTION("""COMPUTED_VALUE"""),5.588888888888889)</f>
        <v>5.588888889</v>
      </c>
      <c r="J300" s="21">
        <f>IFERROR(__xludf.DUMMYFUNCTION("""COMPUTED_VALUE"""),74.0)</f>
        <v>74</v>
      </c>
      <c r="K300" s="23">
        <f>IFERROR(__xludf.DUMMYFUNCTION("""COMPUTED_VALUE"""),7.7)</f>
        <v>7.7</v>
      </c>
      <c r="L300" s="24">
        <f>IFERROR(__xludf.DUMMYFUNCTION("""COMPUTED_VALUE"""),24.0)</f>
        <v>24</v>
      </c>
      <c r="M300" s="25" t="str">
        <f>IFERROR(__xludf.DUMMYFUNCTION("""COMPUTED_VALUE"""),"RPG")</f>
        <v>RPG</v>
      </c>
      <c r="N300" s="25" t="str">
        <f>IFERROR(__xludf.DUMMYFUNCTION("""COMPUTED_VALUE"""),"PS Vita")</f>
        <v>PS Vita</v>
      </c>
      <c r="O300" s="26" t="str">
        <f>IFERROR(__xludf.DUMMYFUNCTION("""COMPUTED_VALUE"""),"Yes")</f>
        <v>Yes</v>
      </c>
      <c r="P300" s="26"/>
    </row>
    <row r="301">
      <c r="A301" s="13" t="str">
        <f>IFERROR(__xludf.DUMMYFUNCTION("""COMPUTED_VALUE"""),"LittleBigPlanet 3")</f>
        <v>LittleBigPlanet 3</v>
      </c>
      <c r="B301" s="15" t="str">
        <f>IFERROR(__xludf.DUMMYFUNCTION("""COMPUTED_VALUE"""),"PS4")</f>
        <v>PS4</v>
      </c>
      <c r="C301" s="16" t="str">
        <f>IFERROR(__xludf.DUMMYFUNCTION("""COMPUTED_VALUE"""),"Extra")</f>
        <v>Extra</v>
      </c>
      <c r="D301" s="15" t="str">
        <f>IFERROR(__xludf.DUMMYFUNCTION("""COMPUTED_VALUE"""),"Removed")</f>
        <v>Removed</v>
      </c>
      <c r="E301" s="17">
        <f>IFERROR(__xludf.DUMMYFUNCTION("""COMPUTED_VALUE"""),42374.0)</f>
        <v>42374</v>
      </c>
      <c r="F301" s="54">
        <f>IFERROR(__xludf.DUMMYFUNCTION("""COMPUTED_VALUE"""),45579.0)</f>
        <v>45579</v>
      </c>
      <c r="G301" s="19">
        <f>IFERROR(__xludf.DUMMYFUNCTION("""COMPUTED_VALUE"""),105.30000000000001)</f>
        <v>105.3</v>
      </c>
      <c r="H301" s="17">
        <f>IFERROR(__xludf.DUMMYFUNCTION("""COMPUTED_VALUE"""),41944.0)</f>
        <v>41944</v>
      </c>
      <c r="I301" s="19">
        <f>IFERROR(__xludf.DUMMYFUNCTION("""COMPUTED_VALUE"""),1.1777777777777778)</f>
        <v>1.177777778</v>
      </c>
      <c r="J301" s="21">
        <f>IFERROR(__xludf.DUMMYFUNCTION("""COMPUTED_VALUE"""),79.0)</f>
        <v>79</v>
      </c>
      <c r="K301" s="23">
        <f>IFERROR(__xludf.DUMMYFUNCTION("""COMPUTED_VALUE"""),7.3)</f>
        <v>7.3</v>
      </c>
      <c r="L301" s="24">
        <f>IFERROR(__xludf.DUMMYFUNCTION("""COMPUTED_VALUE"""),6.0)</f>
        <v>6</v>
      </c>
      <c r="M301" s="25" t="str">
        <f>IFERROR(__xludf.DUMMYFUNCTION("""COMPUTED_VALUE"""),"Platformer")</f>
        <v>Platformer</v>
      </c>
      <c r="N301" s="25"/>
      <c r="O301" s="26" t="str">
        <f>IFERROR(__xludf.DUMMYFUNCTION("""COMPUTED_VALUE"""),"Yes")</f>
        <v>Yes</v>
      </c>
      <c r="P301" s="26" t="str">
        <f>IFERROR(__xludf.DUMMYFUNCTION("""COMPUTED_VALUE"""),"Yes")</f>
        <v>Yes</v>
      </c>
    </row>
    <row r="302">
      <c r="A302" s="13" t="str">
        <f>IFERROR(__xludf.DUMMYFUNCTION("""COMPUTED_VALUE"""),"MLB The Show 24")</f>
        <v>MLB The Show 24</v>
      </c>
      <c r="B302" s="15" t="str">
        <f>IFERROR(__xludf.DUMMYFUNCTION("""COMPUTED_VALUE"""),"PS5/PS4")</f>
        <v>PS5/PS4</v>
      </c>
      <c r="C302" s="16" t="str">
        <f>IFERROR(__xludf.DUMMYFUNCTION("""COMPUTED_VALUE"""),"Essential")</f>
        <v>Essential</v>
      </c>
      <c r="D302" s="15" t="str">
        <f>IFERROR(__xludf.DUMMYFUNCTION("""COMPUTED_VALUE"""),"Removed")</f>
        <v>Removed</v>
      </c>
      <c r="E302" s="17">
        <f>IFERROR(__xludf.DUMMYFUNCTION("""COMPUTED_VALUE"""),45538.0)</f>
        <v>45538</v>
      </c>
      <c r="F302" s="54">
        <f>IFERROR(__xludf.DUMMYFUNCTION("""COMPUTED_VALUE"""),45565.0)</f>
        <v>45565</v>
      </c>
      <c r="G302" s="19">
        <f>IFERROR(__xludf.DUMMYFUNCTION("""COMPUTED_VALUE"""),0.8999999999999999)</f>
        <v>0.9</v>
      </c>
      <c r="H302" s="17">
        <f>IFERROR(__xludf.DUMMYFUNCTION("""COMPUTED_VALUE"""),45370.0)</f>
        <v>45370</v>
      </c>
      <c r="I302" s="19">
        <f>IFERROR(__xludf.DUMMYFUNCTION("""COMPUTED_VALUE"""),0.45555555555555555)</f>
        <v>0.4555555556</v>
      </c>
      <c r="J302" s="21">
        <f>IFERROR(__xludf.DUMMYFUNCTION("""COMPUTED_VALUE"""),80.0)</f>
        <v>80</v>
      </c>
      <c r="K302" s="23">
        <f>IFERROR(__xludf.DUMMYFUNCTION("""COMPUTED_VALUE"""),4.1)</f>
        <v>4.1</v>
      </c>
      <c r="L302" s="24">
        <f>IFERROR(__xludf.DUMMYFUNCTION("""COMPUTED_VALUE"""),14.0)</f>
        <v>14</v>
      </c>
      <c r="M302" s="25" t="str">
        <f>IFERROR(__xludf.DUMMYFUNCTION("""COMPUTED_VALUE"""),"Sports")</f>
        <v>Sports</v>
      </c>
      <c r="N302" s="25"/>
      <c r="O302" s="26" t="str">
        <f>IFERROR(__xludf.DUMMYFUNCTION("""COMPUTED_VALUE"""),"No")</f>
        <v>No</v>
      </c>
      <c r="P302" s="26"/>
    </row>
    <row r="303">
      <c r="A303" s="13" t="str">
        <f>IFERROR(__xludf.DUMMYFUNCTION("""COMPUTED_VALUE"""),"Little Nightmares II")</f>
        <v>Little Nightmares II</v>
      </c>
      <c r="B303" s="15" t="str">
        <f>IFERROR(__xludf.DUMMYFUNCTION("""COMPUTED_VALUE"""),"PS5/PS4")</f>
        <v>PS5/PS4</v>
      </c>
      <c r="C303" s="16" t="str">
        <f>IFERROR(__xludf.DUMMYFUNCTION("""COMPUTED_VALUE"""),"Essential")</f>
        <v>Essential</v>
      </c>
      <c r="D303" s="15" t="str">
        <f>IFERROR(__xludf.DUMMYFUNCTION("""COMPUTED_VALUE"""),"Removed")</f>
        <v>Removed</v>
      </c>
      <c r="E303" s="17">
        <f>IFERROR(__xludf.DUMMYFUNCTION("""COMPUTED_VALUE"""),45538.0)</f>
        <v>45538</v>
      </c>
      <c r="F303" s="54">
        <f>IFERROR(__xludf.DUMMYFUNCTION("""COMPUTED_VALUE"""),45565.0)</f>
        <v>45565</v>
      </c>
      <c r="G303" s="19">
        <f>IFERROR(__xludf.DUMMYFUNCTION("""COMPUTED_VALUE"""),0.8999999999999999)</f>
        <v>0.9</v>
      </c>
      <c r="H303" s="17">
        <f>IFERROR(__xludf.DUMMYFUNCTION("""COMPUTED_VALUE"""),44238.0)</f>
        <v>44238</v>
      </c>
      <c r="I303" s="19">
        <f>IFERROR(__xludf.DUMMYFUNCTION("""COMPUTED_VALUE"""),3.561111111111111)</f>
        <v>3.561111111</v>
      </c>
      <c r="J303" s="21">
        <f>IFERROR(__xludf.DUMMYFUNCTION("""COMPUTED_VALUE"""),82.0)</f>
        <v>82</v>
      </c>
      <c r="K303" s="23">
        <f>IFERROR(__xludf.DUMMYFUNCTION("""COMPUTED_VALUE"""),8.5)</f>
        <v>8.5</v>
      </c>
      <c r="L303" s="24">
        <f>IFERROR(__xludf.DUMMYFUNCTION("""COMPUTED_VALUE"""),6.0)</f>
        <v>6</v>
      </c>
      <c r="M303" s="25" t="str">
        <f>IFERROR(__xludf.DUMMYFUNCTION("""COMPUTED_VALUE"""),"Action-Adventure")</f>
        <v>Action-Adventure</v>
      </c>
      <c r="N303" s="25"/>
      <c r="O303" s="26" t="str">
        <f>IFERROR(__xludf.DUMMYFUNCTION("""COMPUTED_VALUE"""),"No")</f>
        <v>No</v>
      </c>
      <c r="P303" s="26"/>
    </row>
    <row r="304">
      <c r="A304" s="13" t="str">
        <f>IFERROR(__xludf.DUMMYFUNCTION("""COMPUTED_VALUE"""),"Harry Potter: Quidditch Champions")</f>
        <v>Harry Potter: Quidditch Champions</v>
      </c>
      <c r="B304" s="15" t="str">
        <f>IFERROR(__xludf.DUMMYFUNCTION("""COMPUTED_VALUE"""),"PS5/PS4")</f>
        <v>PS5/PS4</v>
      </c>
      <c r="C304" s="16" t="str">
        <f>IFERROR(__xludf.DUMMYFUNCTION("""COMPUTED_VALUE"""),"Essential")</f>
        <v>Essential</v>
      </c>
      <c r="D304" s="15" t="str">
        <f>IFERROR(__xludf.DUMMYFUNCTION("""COMPUTED_VALUE"""),"Removed")</f>
        <v>Removed</v>
      </c>
      <c r="E304" s="17">
        <f>IFERROR(__xludf.DUMMYFUNCTION("""COMPUTED_VALUE"""),45538.0)</f>
        <v>45538</v>
      </c>
      <c r="F304" s="54">
        <f>IFERROR(__xludf.DUMMYFUNCTION("""COMPUTED_VALUE"""),45565.0)</f>
        <v>45565</v>
      </c>
      <c r="G304" s="19">
        <f>IFERROR(__xludf.DUMMYFUNCTION("""COMPUTED_VALUE"""),0.8999999999999999)</f>
        <v>0.9</v>
      </c>
      <c r="H304" s="17">
        <f>IFERROR(__xludf.DUMMYFUNCTION("""COMPUTED_VALUE"""),45538.0)</f>
        <v>45538</v>
      </c>
      <c r="I304" s="19">
        <f>IFERROR(__xludf.DUMMYFUNCTION("""COMPUTED_VALUE"""),0.0)</f>
        <v>0</v>
      </c>
      <c r="J304" s="21">
        <f>IFERROR(__xludf.DUMMYFUNCTION("""COMPUTED_VALUE"""),68.0)</f>
        <v>68</v>
      </c>
      <c r="K304" s="23">
        <f>IFERROR(__xludf.DUMMYFUNCTION("""COMPUTED_VALUE"""),6.8)</f>
        <v>6.8</v>
      </c>
      <c r="L304" s="24"/>
      <c r="M304" s="25" t="str">
        <f>IFERROR(__xludf.DUMMYFUNCTION("""COMPUTED_VALUE"""),"Sports")</f>
        <v>Sports</v>
      </c>
      <c r="N304" s="25"/>
      <c r="O304" s="26" t="str">
        <f>IFERROR(__xludf.DUMMYFUNCTION("""COMPUTED_VALUE"""),"No")</f>
        <v>No</v>
      </c>
      <c r="P304" s="26"/>
    </row>
    <row r="305">
      <c r="A305" s="13" t="str">
        <f>IFERROR(__xludf.DUMMYFUNCTION("""COMPUTED_VALUE"""),"Marvel's Midnight Suns")</f>
        <v>Marvel's Midnight Suns</v>
      </c>
      <c r="B305" s="15" t="str">
        <f>IFERROR(__xludf.DUMMYFUNCTION("""COMPUTED_VALUE"""),"PS5/PS4")</f>
        <v>PS5/PS4</v>
      </c>
      <c r="C305" s="16" t="str">
        <f>IFERROR(__xludf.DUMMYFUNCTION("""COMPUTED_VALUE"""),"Extra")</f>
        <v>Extra</v>
      </c>
      <c r="D305" s="15" t="str">
        <f>IFERROR(__xludf.DUMMYFUNCTION("""COMPUTED_VALUE"""),"Removed")</f>
        <v>Removed</v>
      </c>
      <c r="E305" s="17">
        <f>IFERROR(__xludf.DUMMYFUNCTION("""COMPUTED_VALUE"""),45370.0)</f>
        <v>45370</v>
      </c>
      <c r="F305" s="54">
        <f>IFERROR(__xludf.DUMMYFUNCTION("""COMPUTED_VALUE"""),45551.0)</f>
        <v>45551</v>
      </c>
      <c r="G305" s="19">
        <f>IFERROR(__xludf.DUMMYFUNCTION("""COMPUTED_VALUE"""),5.8999999999999995)</f>
        <v>5.9</v>
      </c>
      <c r="H305" s="17">
        <f>IFERROR(__xludf.DUMMYFUNCTION("""COMPUTED_VALUE"""),44897.0)</f>
        <v>44897</v>
      </c>
      <c r="I305" s="19">
        <f>IFERROR(__xludf.DUMMYFUNCTION("""COMPUTED_VALUE"""),1.2972222222222223)</f>
        <v>1.297222222</v>
      </c>
      <c r="J305" s="21">
        <f>IFERROR(__xludf.DUMMYFUNCTION("""COMPUTED_VALUE"""),83.0)</f>
        <v>83</v>
      </c>
      <c r="K305" s="23">
        <f>IFERROR(__xludf.DUMMYFUNCTION("""COMPUTED_VALUE"""),6.9)</f>
        <v>6.9</v>
      </c>
      <c r="L305" s="24">
        <f>IFERROR(__xludf.DUMMYFUNCTION("""COMPUTED_VALUE"""),39.0)</f>
        <v>39</v>
      </c>
      <c r="M305" s="25" t="str">
        <f>IFERROR(__xludf.DUMMYFUNCTION("""COMPUTED_VALUE"""),"Strategy")</f>
        <v>Strategy</v>
      </c>
      <c r="N305" s="25"/>
      <c r="O305" s="26" t="str">
        <f>IFERROR(__xludf.DUMMYFUNCTION("""COMPUTED_VALUE"""),"No")</f>
        <v>No</v>
      </c>
      <c r="P305" s="26"/>
    </row>
    <row r="306">
      <c r="A306" s="13" t="str">
        <f>IFERROR(__xludf.DUMMYFUNCTION("""COMPUTED_VALUE"""),"Alien: Isolation")</f>
        <v>Alien: Isolation</v>
      </c>
      <c r="B306" s="15" t="str">
        <f>IFERROR(__xludf.DUMMYFUNCTION("""COMPUTED_VALUE"""),"PS4")</f>
        <v>PS4</v>
      </c>
      <c r="C306" s="16" t="str">
        <f>IFERROR(__xludf.DUMMYFUNCTION("""COMPUTED_VALUE"""),"Extra")</f>
        <v>Extra</v>
      </c>
      <c r="D306" s="15" t="str">
        <f>IFERROR(__xludf.DUMMYFUNCTION("""COMPUTED_VALUE"""),"Removed")</f>
        <v>Removed</v>
      </c>
      <c r="E306" s="17">
        <f>IFERROR(__xludf.DUMMYFUNCTION("""COMPUTED_VALUE"""),45216.0)</f>
        <v>45216</v>
      </c>
      <c r="F306" s="54">
        <f>IFERROR(__xludf.DUMMYFUNCTION("""COMPUTED_VALUE"""),45551.0)</f>
        <v>45551</v>
      </c>
      <c r="G306" s="19">
        <f>IFERROR(__xludf.DUMMYFUNCTION("""COMPUTED_VALUE"""),10.966666666666667)</f>
        <v>10.96666667</v>
      </c>
      <c r="H306" s="17">
        <f>IFERROR(__xludf.DUMMYFUNCTION("""COMPUTED_VALUE"""),41919.0)</f>
        <v>41919</v>
      </c>
      <c r="I306" s="19">
        <f>IFERROR(__xludf.DUMMYFUNCTION("""COMPUTED_VALUE"""),9.027777777777779)</f>
        <v>9.027777778</v>
      </c>
      <c r="J306" s="21">
        <f>IFERROR(__xludf.DUMMYFUNCTION("""COMPUTED_VALUE"""),79.0)</f>
        <v>79</v>
      </c>
      <c r="K306" s="23">
        <f>IFERROR(__xludf.DUMMYFUNCTION("""COMPUTED_VALUE"""),8.4)</f>
        <v>8.4</v>
      </c>
      <c r="L306" s="24">
        <f>IFERROR(__xludf.DUMMYFUNCTION("""COMPUTED_VALUE"""),19.0)</f>
        <v>19</v>
      </c>
      <c r="M306" s="25" t="str">
        <f>IFERROR(__xludf.DUMMYFUNCTION("""COMPUTED_VALUE"""),"Action-Adventure")</f>
        <v>Action-Adventure</v>
      </c>
      <c r="N306" s="25"/>
      <c r="O306" s="26" t="str">
        <f>IFERROR(__xludf.DUMMYFUNCTION("""COMPUTED_VALUE"""),"Yes")</f>
        <v>Yes</v>
      </c>
      <c r="P306" s="26"/>
    </row>
    <row r="307">
      <c r="A307" s="13" t="str">
        <f>IFERROR(__xludf.DUMMYFUNCTION("""COMPUTED_VALUE"""),"13 Sentinels: Aegis Rim")</f>
        <v>13 Sentinels: Aegis Rim</v>
      </c>
      <c r="B307" s="15" t="str">
        <f>IFERROR(__xludf.DUMMYFUNCTION("""COMPUTED_VALUE"""),"PS4")</f>
        <v>PS4</v>
      </c>
      <c r="C307" s="16" t="str">
        <f>IFERROR(__xludf.DUMMYFUNCTION("""COMPUTED_VALUE"""),"Extra")</f>
        <v>Extra</v>
      </c>
      <c r="D307" s="15" t="str">
        <f>IFERROR(__xludf.DUMMYFUNCTION("""COMPUTED_VALUE"""),"Removed")</f>
        <v>Removed</v>
      </c>
      <c r="E307" s="17">
        <f>IFERROR(__xludf.DUMMYFUNCTION("""COMPUTED_VALUE"""),45188.0)</f>
        <v>45188</v>
      </c>
      <c r="F307" s="54">
        <f>IFERROR(__xludf.DUMMYFUNCTION("""COMPUTED_VALUE"""),45551.0)</f>
        <v>45551</v>
      </c>
      <c r="G307" s="19">
        <f>IFERROR(__xludf.DUMMYFUNCTION("""COMPUTED_VALUE"""),11.9)</f>
        <v>11.9</v>
      </c>
      <c r="H307" s="17">
        <f>IFERROR(__xludf.DUMMYFUNCTION("""COMPUTED_VALUE"""),44096.0)</f>
        <v>44096</v>
      </c>
      <c r="I307" s="19">
        <f>IFERROR(__xludf.DUMMYFUNCTION("""COMPUTED_VALUE"""),2.9916666666666667)</f>
        <v>2.991666667</v>
      </c>
      <c r="J307" s="21">
        <f>IFERROR(__xludf.DUMMYFUNCTION("""COMPUTED_VALUE"""),85.0)</f>
        <v>85</v>
      </c>
      <c r="K307" s="23">
        <f>IFERROR(__xludf.DUMMYFUNCTION("""COMPUTED_VALUE"""),9.0)</f>
        <v>9</v>
      </c>
      <c r="L307" s="24">
        <f>IFERROR(__xludf.DUMMYFUNCTION("""COMPUTED_VALUE"""),31.0)</f>
        <v>31</v>
      </c>
      <c r="M307" s="25" t="str">
        <f>IFERROR(__xludf.DUMMYFUNCTION("""COMPUTED_VALUE"""),"Action-Adventure")</f>
        <v>Action-Adventure</v>
      </c>
      <c r="N307" s="25"/>
      <c r="O307" s="26" t="str">
        <f>IFERROR(__xludf.DUMMYFUNCTION("""COMPUTED_VALUE"""),"Yes")</f>
        <v>Yes</v>
      </c>
      <c r="P307" s="26"/>
    </row>
    <row r="308">
      <c r="A308" s="13" t="str">
        <f>IFERROR(__xludf.DUMMYFUNCTION("""COMPUTED_VALUE"""),"Planet Coaster")</f>
        <v>Planet Coaster</v>
      </c>
      <c r="B308" s="15" t="str">
        <f>IFERROR(__xludf.DUMMYFUNCTION("""COMPUTED_VALUE"""),"PS5/PS4")</f>
        <v>PS5/PS4</v>
      </c>
      <c r="C308" s="16" t="str">
        <f>IFERROR(__xludf.DUMMYFUNCTION("""COMPUTED_VALUE"""),"Extra")</f>
        <v>Extra</v>
      </c>
      <c r="D308" s="15" t="str">
        <f>IFERROR(__xludf.DUMMYFUNCTION("""COMPUTED_VALUE"""),"Removed")</f>
        <v>Removed</v>
      </c>
      <c r="E308" s="17">
        <f>IFERROR(__xludf.DUMMYFUNCTION("""COMPUTED_VALUE"""),45188.0)</f>
        <v>45188</v>
      </c>
      <c r="F308" s="54">
        <f>IFERROR(__xludf.DUMMYFUNCTION("""COMPUTED_VALUE"""),45551.0)</f>
        <v>45551</v>
      </c>
      <c r="G308" s="19">
        <f>IFERROR(__xludf.DUMMYFUNCTION("""COMPUTED_VALUE"""),11.9)</f>
        <v>11.9</v>
      </c>
      <c r="H308" s="17">
        <f>IFERROR(__xludf.DUMMYFUNCTION("""COMPUTED_VALUE"""),42691.0)</f>
        <v>42691</v>
      </c>
      <c r="I308" s="19">
        <f>IFERROR(__xludf.DUMMYFUNCTION("""COMPUTED_VALUE"""),6.838888888888889)</f>
        <v>6.838888889</v>
      </c>
      <c r="J308" s="21">
        <f>IFERROR(__xludf.DUMMYFUNCTION("""COMPUTED_VALUE"""),79.0)</f>
        <v>79</v>
      </c>
      <c r="K308" s="23">
        <f>IFERROR(__xludf.DUMMYFUNCTION("""COMPUTED_VALUE"""),7.7)</f>
        <v>7.7</v>
      </c>
      <c r="L308" s="24">
        <f>IFERROR(__xludf.DUMMYFUNCTION("""COMPUTED_VALUE"""),27.0)</f>
        <v>27</v>
      </c>
      <c r="M308" s="25" t="str">
        <f>IFERROR(__xludf.DUMMYFUNCTION("""COMPUTED_VALUE"""),"Simulation")</f>
        <v>Simulation</v>
      </c>
      <c r="N308" s="25"/>
      <c r="O308" s="26" t="str">
        <f>IFERROR(__xludf.DUMMYFUNCTION("""COMPUTED_VALUE"""),"Yes")</f>
        <v>Yes</v>
      </c>
      <c r="P308" s="26"/>
    </row>
    <row r="309">
      <c r="A309" s="13" t="str">
        <f>IFERROR(__xludf.DUMMYFUNCTION("""COMPUTED_VALUE"""),"Sniper Ghost Warrior Contracts 2")</f>
        <v>Sniper Ghost Warrior Contracts 2</v>
      </c>
      <c r="B309" s="15" t="str">
        <f>IFERROR(__xludf.DUMMYFUNCTION("""COMPUTED_VALUE"""),"PS5/PS4")</f>
        <v>PS5/PS4</v>
      </c>
      <c r="C309" s="16" t="str">
        <f>IFERROR(__xludf.DUMMYFUNCTION("""COMPUTED_VALUE"""),"Extra")</f>
        <v>Extra</v>
      </c>
      <c r="D309" s="15" t="str">
        <f>IFERROR(__xludf.DUMMYFUNCTION("""COMPUTED_VALUE"""),"Removed")</f>
        <v>Removed</v>
      </c>
      <c r="E309" s="17">
        <f>IFERROR(__xludf.DUMMYFUNCTION("""COMPUTED_VALUE"""),45188.0)</f>
        <v>45188</v>
      </c>
      <c r="F309" s="54">
        <f>IFERROR(__xludf.DUMMYFUNCTION("""COMPUTED_VALUE"""),45551.0)</f>
        <v>45551</v>
      </c>
      <c r="G309" s="19">
        <f>IFERROR(__xludf.DUMMYFUNCTION("""COMPUTED_VALUE"""),11.9)</f>
        <v>11.9</v>
      </c>
      <c r="H309" s="17">
        <f>IFERROR(__xludf.DUMMYFUNCTION("""COMPUTED_VALUE"""),44351.0)</f>
        <v>44351</v>
      </c>
      <c r="I309" s="19">
        <f>IFERROR(__xludf.DUMMYFUNCTION("""COMPUTED_VALUE"""),2.2916666666666665)</f>
        <v>2.291666667</v>
      </c>
      <c r="J309" s="21">
        <f>IFERROR(__xludf.DUMMYFUNCTION("""COMPUTED_VALUE"""),68.0)</f>
        <v>68</v>
      </c>
      <c r="K309" s="23">
        <f>IFERROR(__xludf.DUMMYFUNCTION("""COMPUTED_VALUE"""),7.2)</f>
        <v>7.2</v>
      </c>
      <c r="L309" s="24">
        <f>IFERROR(__xludf.DUMMYFUNCTION("""COMPUTED_VALUE"""),8.0)</f>
        <v>8</v>
      </c>
      <c r="M309" s="25" t="str">
        <f>IFERROR(__xludf.DUMMYFUNCTION("""COMPUTED_VALUE"""),"Shooter")</f>
        <v>Shooter</v>
      </c>
      <c r="N309" s="25"/>
      <c r="O309" s="26" t="str">
        <f>IFERROR(__xludf.DUMMYFUNCTION("""COMPUTED_VALUE"""),"Yes")</f>
        <v>Yes</v>
      </c>
      <c r="P309" s="26"/>
    </row>
    <row r="310">
      <c r="A310" s="13" t="str">
        <f>IFERROR(__xludf.DUMMYFUNCTION("""COMPUTED_VALUE"""),"Unpacking")</f>
        <v>Unpacking</v>
      </c>
      <c r="B310" s="15" t="str">
        <f>IFERROR(__xludf.DUMMYFUNCTION("""COMPUTED_VALUE"""),"PS5/PS4")</f>
        <v>PS5/PS4</v>
      </c>
      <c r="C310" s="16" t="str">
        <f>IFERROR(__xludf.DUMMYFUNCTION("""COMPUTED_VALUE"""),"Extra")</f>
        <v>Extra</v>
      </c>
      <c r="D310" s="15" t="str">
        <f>IFERROR(__xludf.DUMMYFUNCTION("""COMPUTED_VALUE"""),"Removed")</f>
        <v>Removed</v>
      </c>
      <c r="E310" s="17">
        <f>IFERROR(__xludf.DUMMYFUNCTION("""COMPUTED_VALUE"""),45188.0)</f>
        <v>45188</v>
      </c>
      <c r="F310" s="54">
        <f>IFERROR(__xludf.DUMMYFUNCTION("""COMPUTED_VALUE"""),45551.0)</f>
        <v>45551</v>
      </c>
      <c r="G310" s="19">
        <f>IFERROR(__xludf.DUMMYFUNCTION("""COMPUTED_VALUE"""),11.9)</f>
        <v>11.9</v>
      </c>
      <c r="H310" s="17">
        <f>IFERROR(__xludf.DUMMYFUNCTION("""COMPUTED_VALUE"""),44502.0)</f>
        <v>44502</v>
      </c>
      <c r="I310" s="19">
        <f>IFERROR(__xludf.DUMMYFUNCTION("""COMPUTED_VALUE"""),1.8805555555555555)</f>
        <v>1.880555556</v>
      </c>
      <c r="J310" s="21">
        <f>IFERROR(__xludf.DUMMYFUNCTION("""COMPUTED_VALUE"""),84.0)</f>
        <v>84</v>
      </c>
      <c r="K310" s="23">
        <f>IFERROR(__xludf.DUMMYFUNCTION("""COMPUTED_VALUE"""),7.7)</f>
        <v>7.7</v>
      </c>
      <c r="L310" s="24">
        <f>IFERROR(__xludf.DUMMYFUNCTION("""COMPUTED_VALUE"""),4.0)</f>
        <v>4</v>
      </c>
      <c r="M310" s="25" t="str">
        <f>IFERROR(__xludf.DUMMYFUNCTION("""COMPUTED_VALUE"""),"Puzzle")</f>
        <v>Puzzle</v>
      </c>
      <c r="N310" s="25"/>
      <c r="O310" s="26" t="str">
        <f>IFERROR(__xludf.DUMMYFUNCTION("""COMPUTED_VALUE"""),"Yes")</f>
        <v>Yes</v>
      </c>
      <c r="P310" s="26"/>
    </row>
    <row r="311">
      <c r="A311" s="13" t="str">
        <f>IFERROR(__xludf.DUMMYFUNCTION("""COMPUTED_VALUE"""),"NieR Replicant ver.1.22474487139... ")</f>
        <v>NieR Replicant ver.1.22474487139... </v>
      </c>
      <c r="B311" s="15" t="str">
        <f>IFERROR(__xludf.DUMMYFUNCTION("""COMPUTED_VALUE"""),"PS4")</f>
        <v>PS4</v>
      </c>
      <c r="C311" s="16" t="str">
        <f>IFERROR(__xludf.DUMMYFUNCTION("""COMPUTED_VALUE"""),"Extra")</f>
        <v>Extra</v>
      </c>
      <c r="D311" s="15" t="str">
        <f>IFERROR(__xludf.DUMMYFUNCTION("""COMPUTED_VALUE"""),"Removed")</f>
        <v>Removed</v>
      </c>
      <c r="E311" s="17">
        <f>IFERROR(__xludf.DUMMYFUNCTION("""COMPUTED_VALUE"""),45188.0)</f>
        <v>45188</v>
      </c>
      <c r="F311" s="54">
        <f>IFERROR(__xludf.DUMMYFUNCTION("""COMPUTED_VALUE"""),45551.0)</f>
        <v>45551</v>
      </c>
      <c r="G311" s="19">
        <f>IFERROR(__xludf.DUMMYFUNCTION("""COMPUTED_VALUE"""),11.9)</f>
        <v>11.9</v>
      </c>
      <c r="H311" s="17">
        <f>IFERROR(__xludf.DUMMYFUNCTION("""COMPUTED_VALUE"""),44308.0)</f>
        <v>44308</v>
      </c>
      <c r="I311" s="19">
        <f>IFERROR(__xludf.DUMMYFUNCTION("""COMPUTED_VALUE"""),2.408333333333333)</f>
        <v>2.408333333</v>
      </c>
      <c r="J311" s="21">
        <f>IFERROR(__xludf.DUMMYFUNCTION("""COMPUTED_VALUE"""),83.0)</f>
        <v>83</v>
      </c>
      <c r="K311" s="23">
        <f>IFERROR(__xludf.DUMMYFUNCTION("""COMPUTED_VALUE"""),8.6)</f>
        <v>8.6</v>
      </c>
      <c r="L311" s="24">
        <f>IFERROR(__xludf.DUMMYFUNCTION("""COMPUTED_VALUE"""),20.0)</f>
        <v>20</v>
      </c>
      <c r="M311" s="25" t="str">
        <f>IFERROR(__xludf.DUMMYFUNCTION("""COMPUTED_VALUE"""),"RPG")</f>
        <v>RPG</v>
      </c>
      <c r="N311" s="25"/>
      <c r="O311" s="26" t="str">
        <f>IFERROR(__xludf.DUMMYFUNCTION("""COMPUTED_VALUE"""),"Yes")</f>
        <v>Yes</v>
      </c>
      <c r="P311" s="26"/>
    </row>
    <row r="312">
      <c r="A312" s="13" t="str">
        <f>IFERROR(__xludf.DUMMYFUNCTION("""COMPUTED_VALUE"""),"Star Ocean: Integrity and Faithlessness")</f>
        <v>Star Ocean: Integrity and Faithlessness</v>
      </c>
      <c r="B312" s="15" t="str">
        <f>IFERROR(__xludf.DUMMYFUNCTION("""COMPUTED_VALUE"""),"PS4")</f>
        <v>PS4</v>
      </c>
      <c r="C312" s="16" t="str">
        <f>IFERROR(__xludf.DUMMYFUNCTION("""COMPUTED_VALUE"""),"Extra")</f>
        <v>Extra</v>
      </c>
      <c r="D312" s="15" t="str">
        <f>IFERROR(__xludf.DUMMYFUNCTION("""COMPUTED_VALUE"""),"Removed")</f>
        <v>Removed</v>
      </c>
      <c r="E312" s="17">
        <f>IFERROR(__xludf.DUMMYFUNCTION("""COMPUTED_VALUE"""),45188.0)</f>
        <v>45188</v>
      </c>
      <c r="F312" s="54">
        <f>IFERROR(__xludf.DUMMYFUNCTION("""COMPUTED_VALUE"""),45551.0)</f>
        <v>45551</v>
      </c>
      <c r="G312" s="19">
        <f>IFERROR(__xludf.DUMMYFUNCTION("""COMPUTED_VALUE"""),11.9)</f>
        <v>11.9</v>
      </c>
      <c r="H312" s="17">
        <f>IFERROR(__xludf.DUMMYFUNCTION("""COMPUTED_VALUE"""),42549.0)</f>
        <v>42549</v>
      </c>
      <c r="I312" s="19">
        <f>IFERROR(__xludf.DUMMYFUNCTION("""COMPUTED_VALUE"""),7.225)</f>
        <v>7.225</v>
      </c>
      <c r="J312" s="21">
        <f>IFERROR(__xludf.DUMMYFUNCTION("""COMPUTED_VALUE"""),58.0)</f>
        <v>58</v>
      </c>
      <c r="K312" s="23">
        <f>IFERROR(__xludf.DUMMYFUNCTION("""COMPUTED_VALUE"""),6.3)</f>
        <v>6.3</v>
      </c>
      <c r="L312" s="24">
        <f>IFERROR(__xludf.DUMMYFUNCTION("""COMPUTED_VALUE"""),22.0)</f>
        <v>22</v>
      </c>
      <c r="M312" s="75" t="str">
        <f>IFERROR(__xludf.DUMMYFUNCTION("""COMPUTED_VALUE"""),"RPG")</f>
        <v>RPG</v>
      </c>
      <c r="N312" s="25"/>
      <c r="O312" s="26" t="str">
        <f>IFERROR(__xludf.DUMMYFUNCTION("""COMPUTED_VALUE"""),"Yes")</f>
        <v>Yes</v>
      </c>
      <c r="P312" s="26"/>
    </row>
    <row r="313">
      <c r="A313" s="13" t="str">
        <f>IFERROR(__xludf.DUMMYFUNCTION("""COMPUTED_VALUE"""),"Cloudpunk")</f>
        <v>Cloudpunk</v>
      </c>
      <c r="B313" s="15" t="str">
        <f>IFERROR(__xludf.DUMMYFUNCTION("""COMPUTED_VALUE"""),"PS5/PS4")</f>
        <v>PS5/PS4</v>
      </c>
      <c r="C313" s="16" t="str">
        <f>IFERROR(__xludf.DUMMYFUNCTION("""COMPUTED_VALUE"""),"Extra")</f>
        <v>Extra</v>
      </c>
      <c r="D313" s="15" t="str">
        <f>IFERROR(__xludf.DUMMYFUNCTION("""COMPUTED_VALUE"""),"Removed")</f>
        <v>Removed</v>
      </c>
      <c r="E313" s="17">
        <f>IFERROR(__xludf.DUMMYFUNCTION("""COMPUTED_VALUE"""),45188.0)</f>
        <v>45188</v>
      </c>
      <c r="F313" s="54">
        <f>IFERROR(__xludf.DUMMYFUNCTION("""COMPUTED_VALUE"""),45551.0)</f>
        <v>45551</v>
      </c>
      <c r="G313" s="19">
        <f>IFERROR(__xludf.DUMMYFUNCTION("""COMPUTED_VALUE"""),11.9)</f>
        <v>11.9</v>
      </c>
      <c r="H313" s="17">
        <f>IFERROR(__xludf.DUMMYFUNCTION("""COMPUTED_VALUE"""),43944.0)</f>
        <v>43944</v>
      </c>
      <c r="I313" s="19">
        <f>IFERROR(__xludf.DUMMYFUNCTION("""COMPUTED_VALUE"""),3.4055555555555554)</f>
        <v>3.405555556</v>
      </c>
      <c r="J313" s="21">
        <f>IFERROR(__xludf.DUMMYFUNCTION("""COMPUTED_VALUE"""),64.0)</f>
        <v>64</v>
      </c>
      <c r="K313" s="23">
        <f>IFERROR(__xludf.DUMMYFUNCTION("""COMPUTED_VALUE"""),7.9)</f>
        <v>7.9</v>
      </c>
      <c r="L313" s="24">
        <f>IFERROR(__xludf.DUMMYFUNCTION("""COMPUTED_VALUE"""),9.0)</f>
        <v>9</v>
      </c>
      <c r="M313" s="25" t="str">
        <f>IFERROR(__xludf.DUMMYFUNCTION("""COMPUTED_VALUE"""),"Action-Adventure")</f>
        <v>Action-Adventure</v>
      </c>
      <c r="N313" s="25"/>
      <c r="O313" s="26" t="str">
        <f>IFERROR(__xludf.DUMMYFUNCTION("""COMPUTED_VALUE"""),"Yes")</f>
        <v>Yes</v>
      </c>
      <c r="P313" s="26"/>
    </row>
    <row r="314">
      <c r="A314" s="13" t="str">
        <f>IFERROR(__xludf.DUMMYFUNCTION("""COMPUTED_VALUE"""),"Star Ocean: The Divine Force")</f>
        <v>Star Ocean: The Divine Force</v>
      </c>
      <c r="B314" s="15" t="str">
        <f>IFERROR(__xludf.DUMMYFUNCTION("""COMPUTED_VALUE"""),"PS5/PS4")</f>
        <v>PS5/PS4</v>
      </c>
      <c r="C314" s="16" t="str">
        <f>IFERROR(__xludf.DUMMYFUNCTION("""COMPUTED_VALUE"""),"Extra")</f>
        <v>Extra</v>
      </c>
      <c r="D314" s="15" t="str">
        <f>IFERROR(__xludf.DUMMYFUNCTION("""COMPUTED_VALUE"""),"Removed")</f>
        <v>Removed</v>
      </c>
      <c r="E314" s="17">
        <f>IFERROR(__xludf.DUMMYFUNCTION("""COMPUTED_VALUE"""),45188.0)</f>
        <v>45188</v>
      </c>
      <c r="F314" s="54">
        <f>IFERROR(__xludf.DUMMYFUNCTION("""COMPUTED_VALUE"""),45551.0)</f>
        <v>45551</v>
      </c>
      <c r="G314" s="19">
        <f>IFERROR(__xludf.DUMMYFUNCTION("""COMPUTED_VALUE"""),11.9)</f>
        <v>11.9</v>
      </c>
      <c r="H314" s="17">
        <f>IFERROR(__xludf.DUMMYFUNCTION("""COMPUTED_VALUE"""),44861.0)</f>
        <v>44861</v>
      </c>
      <c r="I314" s="19">
        <f>IFERROR(__xludf.DUMMYFUNCTION("""COMPUTED_VALUE"""),0.8944444444444445)</f>
        <v>0.8944444444</v>
      </c>
      <c r="J314" s="21">
        <f>IFERROR(__xludf.DUMMYFUNCTION("""COMPUTED_VALUE"""),69.0)</f>
        <v>69</v>
      </c>
      <c r="K314" s="23">
        <f>IFERROR(__xludf.DUMMYFUNCTION("""COMPUTED_VALUE"""),6.5)</f>
        <v>6.5</v>
      </c>
      <c r="L314" s="24">
        <f>IFERROR(__xludf.DUMMYFUNCTION("""COMPUTED_VALUE"""),32.0)</f>
        <v>32</v>
      </c>
      <c r="M314" s="25" t="str">
        <f>IFERROR(__xludf.DUMMYFUNCTION("""COMPUTED_VALUE"""),"RPG")</f>
        <v>RPG</v>
      </c>
      <c r="N314" s="25"/>
      <c r="O314" s="26" t="str">
        <f>IFERROR(__xludf.DUMMYFUNCTION("""COMPUTED_VALUE"""),"Yes")</f>
        <v>Yes</v>
      </c>
      <c r="P314" s="26"/>
    </row>
    <row r="315">
      <c r="A315" s="13" t="str">
        <f>IFERROR(__xludf.DUMMYFUNCTION("""COMPUTED_VALUE"""),"Star Ocean: First Departure R")</f>
        <v>Star Ocean: First Departure R</v>
      </c>
      <c r="B315" s="15" t="str">
        <f>IFERROR(__xludf.DUMMYFUNCTION("""COMPUTED_VALUE"""),"PS4")</f>
        <v>PS4</v>
      </c>
      <c r="C315" s="16" t="str">
        <f>IFERROR(__xludf.DUMMYFUNCTION("""COMPUTED_VALUE"""),"Premium (Remasters)")</f>
        <v>Premium (Remasters)</v>
      </c>
      <c r="D315" s="15" t="str">
        <f>IFERROR(__xludf.DUMMYFUNCTION("""COMPUTED_VALUE"""),"Removed")</f>
        <v>Removed</v>
      </c>
      <c r="E315" s="17">
        <f>IFERROR(__xludf.DUMMYFUNCTION("""COMPUTED_VALUE"""),45188.0)</f>
        <v>45188</v>
      </c>
      <c r="F315" s="54">
        <f>IFERROR(__xludf.DUMMYFUNCTION("""COMPUTED_VALUE"""),45551.0)</f>
        <v>45551</v>
      </c>
      <c r="G315" s="19">
        <f>IFERROR(__xludf.DUMMYFUNCTION("""COMPUTED_VALUE"""),11.9)</f>
        <v>11.9</v>
      </c>
      <c r="H315" s="17">
        <f>IFERROR(__xludf.DUMMYFUNCTION("""COMPUTED_VALUE"""),43774.0)</f>
        <v>43774</v>
      </c>
      <c r="I315" s="19">
        <f>IFERROR(__xludf.DUMMYFUNCTION("""COMPUTED_VALUE"""),3.8722222222222222)</f>
        <v>3.872222222</v>
      </c>
      <c r="J315" s="21">
        <f>IFERROR(__xludf.DUMMYFUNCTION("""COMPUTED_VALUE"""),73.0)</f>
        <v>73</v>
      </c>
      <c r="K315" s="23">
        <f>IFERROR(__xludf.DUMMYFUNCTION("""COMPUTED_VALUE"""),6.7)</f>
        <v>6.7</v>
      </c>
      <c r="L315" s="24">
        <f>IFERROR(__xludf.DUMMYFUNCTION("""COMPUTED_VALUE"""),21.0)</f>
        <v>21</v>
      </c>
      <c r="M315" s="25" t="str">
        <f>IFERROR(__xludf.DUMMYFUNCTION("""COMPUTED_VALUE"""),"RPG")</f>
        <v>RPG</v>
      </c>
      <c r="N315" s="25" t="str">
        <f>IFERROR(__xludf.DUMMYFUNCTION("""COMPUTED_VALUE"""),"PSP")</f>
        <v>PSP</v>
      </c>
      <c r="O315" s="26" t="str">
        <f>IFERROR(__xludf.DUMMYFUNCTION("""COMPUTED_VALUE"""),"Yes")</f>
        <v>Yes</v>
      </c>
      <c r="P315" s="26"/>
    </row>
    <row r="316">
      <c r="A316" s="13" t="str">
        <f>IFERROR(__xludf.DUMMYFUNCTION("""COMPUTED_VALUE"""),"Star Ocean: Till the End of Time")</f>
        <v>Star Ocean: Till the End of Time</v>
      </c>
      <c r="B316" s="15" t="str">
        <f>IFERROR(__xludf.DUMMYFUNCTION("""COMPUTED_VALUE"""),"PS4")</f>
        <v>PS4</v>
      </c>
      <c r="C316" s="16" t="str">
        <f>IFERROR(__xludf.DUMMYFUNCTION("""COMPUTED_VALUE"""),"Premium (Classics)")</f>
        <v>Premium (Classics)</v>
      </c>
      <c r="D316" s="15" t="str">
        <f>IFERROR(__xludf.DUMMYFUNCTION("""COMPUTED_VALUE"""),"Removed")</f>
        <v>Removed</v>
      </c>
      <c r="E316" s="17">
        <f>IFERROR(__xludf.DUMMYFUNCTION("""COMPUTED_VALUE"""),45188.0)</f>
        <v>45188</v>
      </c>
      <c r="F316" s="54">
        <f>IFERROR(__xludf.DUMMYFUNCTION("""COMPUTED_VALUE"""),45551.0)</f>
        <v>45551</v>
      </c>
      <c r="G316" s="19">
        <f>IFERROR(__xludf.DUMMYFUNCTION("""COMPUTED_VALUE"""),11.9)</f>
        <v>11.9</v>
      </c>
      <c r="H316" s="17">
        <f>IFERROR(__xludf.DUMMYFUNCTION("""COMPUTED_VALUE"""),38230.0)</f>
        <v>38230</v>
      </c>
      <c r="I316" s="19">
        <f>IFERROR(__xludf.DUMMYFUNCTION("""COMPUTED_VALUE"""),19.052777777777777)</f>
        <v>19.05277778</v>
      </c>
      <c r="J316" s="21">
        <f>IFERROR(__xludf.DUMMYFUNCTION("""COMPUTED_VALUE"""),80.0)</f>
        <v>80</v>
      </c>
      <c r="K316" s="23">
        <f>IFERROR(__xludf.DUMMYFUNCTION("""COMPUTED_VALUE"""),8.2)</f>
        <v>8.2</v>
      </c>
      <c r="L316" s="24">
        <f>IFERROR(__xludf.DUMMYFUNCTION("""COMPUTED_VALUE"""),46.0)</f>
        <v>46</v>
      </c>
      <c r="M316" s="25" t="str">
        <f>IFERROR(__xludf.DUMMYFUNCTION("""COMPUTED_VALUE"""),"RPG")</f>
        <v>RPG</v>
      </c>
      <c r="N316" s="25" t="str">
        <f>IFERROR(__xludf.DUMMYFUNCTION("""COMPUTED_VALUE"""),"PS2")</f>
        <v>PS2</v>
      </c>
      <c r="O316" s="26" t="str">
        <f>IFERROR(__xludf.DUMMYFUNCTION("""COMPUTED_VALUE"""),"Yes")</f>
        <v>Yes</v>
      </c>
      <c r="P316" s="26"/>
    </row>
    <row r="317">
      <c r="A317" s="13" t="str">
        <f>IFERROR(__xludf.DUMMYFUNCTION("""COMPUTED_VALUE"""),"Star Ocean: The Last Hope - 4K &amp; FHD Remaster")</f>
        <v>Star Ocean: The Last Hope - 4K &amp; FHD Remaster</v>
      </c>
      <c r="B317" s="15" t="str">
        <f>IFERROR(__xludf.DUMMYFUNCTION("""COMPUTED_VALUE"""),"PS4")</f>
        <v>PS4</v>
      </c>
      <c r="C317" s="16" t="str">
        <f>IFERROR(__xludf.DUMMYFUNCTION("""COMPUTED_VALUE"""),"Premium (Remasters)")</f>
        <v>Premium (Remasters)</v>
      </c>
      <c r="D317" s="15" t="str">
        <f>IFERROR(__xludf.DUMMYFUNCTION("""COMPUTED_VALUE"""),"Removed")</f>
        <v>Removed</v>
      </c>
      <c r="E317" s="17">
        <f>IFERROR(__xludf.DUMMYFUNCTION("""COMPUTED_VALUE"""),45188.0)</f>
        <v>45188</v>
      </c>
      <c r="F317" s="54">
        <f>IFERROR(__xludf.DUMMYFUNCTION("""COMPUTED_VALUE"""),45551.0)</f>
        <v>45551</v>
      </c>
      <c r="G317" s="19">
        <f>IFERROR(__xludf.DUMMYFUNCTION("""COMPUTED_VALUE"""),11.9)</f>
        <v>11.9</v>
      </c>
      <c r="H317" s="17">
        <f>IFERROR(__xludf.DUMMYFUNCTION("""COMPUTED_VALUE"""),43067.0)</f>
        <v>43067</v>
      </c>
      <c r="I317" s="19">
        <f>IFERROR(__xludf.DUMMYFUNCTION("""COMPUTED_VALUE"""),5.808333333333334)</f>
        <v>5.808333333</v>
      </c>
      <c r="J317" s="21">
        <f>IFERROR(__xludf.DUMMYFUNCTION("""COMPUTED_VALUE"""),72.0)</f>
        <v>72</v>
      </c>
      <c r="K317" s="23">
        <f>IFERROR(__xludf.DUMMYFUNCTION("""COMPUTED_VALUE"""),6.9)</f>
        <v>6.9</v>
      </c>
      <c r="L317" s="24">
        <f>IFERROR(__xludf.DUMMYFUNCTION("""COMPUTED_VALUE"""),46.0)</f>
        <v>46</v>
      </c>
      <c r="M317" s="25" t="str">
        <f>IFERROR(__xludf.DUMMYFUNCTION("""COMPUTED_VALUE"""),"RPG")</f>
        <v>RPG</v>
      </c>
      <c r="N317" s="25" t="str">
        <f>IFERROR(__xludf.DUMMYFUNCTION("""COMPUTED_VALUE"""),"PS1")</f>
        <v>PS1</v>
      </c>
      <c r="O317" s="26" t="str">
        <f>IFERROR(__xludf.DUMMYFUNCTION("""COMPUTED_VALUE"""),"Yes")</f>
        <v>Yes</v>
      </c>
      <c r="P317" s="26"/>
    </row>
    <row r="318">
      <c r="A318" s="13" t="str">
        <f>IFERROR(__xludf.DUMMYFUNCTION("""COMPUTED_VALUE"""),"Horizon Forbidden West")</f>
        <v>Horizon Forbidden West</v>
      </c>
      <c r="B318" s="15" t="str">
        <f>IFERROR(__xludf.DUMMYFUNCTION("""COMPUTED_VALUE"""),"PS5/PS4")</f>
        <v>PS5/PS4</v>
      </c>
      <c r="C318" s="16" t="str">
        <f>IFERROR(__xludf.DUMMYFUNCTION("""COMPUTED_VALUE"""),"Extra")</f>
        <v>Extra</v>
      </c>
      <c r="D318" s="15" t="str">
        <f>IFERROR(__xludf.DUMMYFUNCTION("""COMPUTED_VALUE"""),"Removed")</f>
        <v>Removed</v>
      </c>
      <c r="E318" s="17">
        <f>IFERROR(__xludf.DUMMYFUNCTION("""COMPUTED_VALUE"""),44978.0)</f>
        <v>44978</v>
      </c>
      <c r="F318" s="54">
        <f>IFERROR(__xludf.DUMMYFUNCTION("""COMPUTED_VALUE"""),45551.0)</f>
        <v>45551</v>
      </c>
      <c r="G318" s="19">
        <f>IFERROR(__xludf.DUMMYFUNCTION("""COMPUTED_VALUE"""),18.833333333333332)</f>
        <v>18.83333333</v>
      </c>
      <c r="H318" s="17">
        <f>IFERROR(__xludf.DUMMYFUNCTION("""COMPUTED_VALUE"""),44610.0)</f>
        <v>44610</v>
      </c>
      <c r="I318" s="19">
        <f>IFERROR(__xludf.DUMMYFUNCTION("""COMPUTED_VALUE"""),1.0083333333333333)</f>
        <v>1.008333333</v>
      </c>
      <c r="J318" s="21">
        <f>IFERROR(__xludf.DUMMYFUNCTION("""COMPUTED_VALUE"""),88.0)</f>
        <v>88</v>
      </c>
      <c r="K318" s="23">
        <f>IFERROR(__xludf.DUMMYFUNCTION("""COMPUTED_VALUE"""),8.0)</f>
        <v>8</v>
      </c>
      <c r="L318" s="24">
        <f>IFERROR(__xludf.DUMMYFUNCTION("""COMPUTED_VALUE"""),29.0)</f>
        <v>29</v>
      </c>
      <c r="M318" s="25" t="str">
        <f>IFERROR(__xludf.DUMMYFUNCTION("""COMPUTED_VALUE"""),"Action-Adventure")</f>
        <v>Action-Adventure</v>
      </c>
      <c r="N318" s="25"/>
      <c r="O318" s="26" t="str">
        <f>IFERROR(__xludf.DUMMYFUNCTION("""COMPUTED_VALUE"""),"Yes")</f>
        <v>Yes</v>
      </c>
      <c r="P318" s="26"/>
    </row>
    <row r="319">
      <c r="A319" s="13" t="str">
        <f>IFERROR(__xludf.DUMMYFUNCTION("""COMPUTED_VALUE"""),"Dragon Ball Xenoverse 2")</f>
        <v>Dragon Ball Xenoverse 2</v>
      </c>
      <c r="B319" s="15" t="str">
        <f>IFERROR(__xludf.DUMMYFUNCTION("""COMPUTED_VALUE"""),"PS4")</f>
        <v>PS4</v>
      </c>
      <c r="C319" s="16" t="str">
        <f>IFERROR(__xludf.DUMMYFUNCTION("""COMPUTED_VALUE"""),"Extra")</f>
        <v>Extra</v>
      </c>
      <c r="D319" s="15" t="str">
        <f>IFERROR(__xludf.DUMMYFUNCTION("""COMPUTED_VALUE"""),"Removed")</f>
        <v>Removed</v>
      </c>
      <c r="E319" s="17">
        <f>IFERROR(__xludf.DUMMYFUNCTION("""COMPUTED_VALUE"""),44824.0)</f>
        <v>44824</v>
      </c>
      <c r="F319" s="54">
        <f>IFERROR(__xludf.DUMMYFUNCTION("""COMPUTED_VALUE"""),45551.0)</f>
        <v>45551</v>
      </c>
      <c r="G319" s="19">
        <f>IFERROR(__xludf.DUMMYFUNCTION("""COMPUTED_VALUE"""),23.866666666666667)</f>
        <v>23.86666667</v>
      </c>
      <c r="H319" s="17">
        <f>IFERROR(__xludf.DUMMYFUNCTION("""COMPUTED_VALUE"""),42668.0)</f>
        <v>42668</v>
      </c>
      <c r="I319" s="19">
        <f>IFERROR(__xludf.DUMMYFUNCTION("""COMPUTED_VALUE"""),5.902777777777778)</f>
        <v>5.902777778</v>
      </c>
      <c r="J319" s="21">
        <f>IFERROR(__xludf.DUMMYFUNCTION("""COMPUTED_VALUE"""),72.0)</f>
        <v>72</v>
      </c>
      <c r="K319" s="23">
        <f>IFERROR(__xludf.DUMMYFUNCTION("""COMPUTED_VALUE"""),7.5)</f>
        <v>7.5</v>
      </c>
      <c r="L319" s="24">
        <f>IFERROR(__xludf.DUMMYFUNCTION("""COMPUTED_VALUE"""),19.5)</f>
        <v>19.5</v>
      </c>
      <c r="M319" s="25" t="str">
        <f>IFERROR(__xludf.DUMMYFUNCTION("""COMPUTED_VALUE"""),"Fighting")</f>
        <v>Fighting</v>
      </c>
      <c r="N319" s="25"/>
      <c r="O319" s="26" t="str">
        <f>IFERROR(__xludf.DUMMYFUNCTION("""COMPUTED_VALUE"""),"Yes")</f>
        <v>Yes</v>
      </c>
      <c r="P319" s="26"/>
    </row>
    <row r="320">
      <c r="A320" s="13" t="str">
        <f>IFERROR(__xludf.DUMMYFUNCTION("""COMPUTED_VALUE"""),"Spiritfarer: Farewell Edition")</f>
        <v>Spiritfarer: Farewell Edition</v>
      </c>
      <c r="B320" s="15" t="str">
        <f>IFERROR(__xludf.DUMMYFUNCTION("""COMPUTED_VALUE"""),"PS4")</f>
        <v>PS4</v>
      </c>
      <c r="C320" s="16" t="str">
        <f>IFERROR(__xludf.DUMMYFUNCTION("""COMPUTED_VALUE"""),"Extra")</f>
        <v>Extra</v>
      </c>
      <c r="D320" s="15" t="str">
        <f>IFERROR(__xludf.DUMMYFUNCTION("""COMPUTED_VALUE"""),"Removed")</f>
        <v>Removed</v>
      </c>
      <c r="E320" s="17">
        <f>IFERROR(__xludf.DUMMYFUNCTION("""COMPUTED_VALUE"""),44824.0)</f>
        <v>44824</v>
      </c>
      <c r="F320" s="54">
        <f>IFERROR(__xludf.DUMMYFUNCTION("""COMPUTED_VALUE"""),45551.0)</f>
        <v>45551</v>
      </c>
      <c r="G320" s="19">
        <f>IFERROR(__xludf.DUMMYFUNCTION("""COMPUTED_VALUE"""),23.866666666666667)</f>
        <v>23.86666667</v>
      </c>
      <c r="H320" s="17">
        <f>IFERROR(__xludf.DUMMYFUNCTION("""COMPUTED_VALUE"""),44061.0)</f>
        <v>44061</v>
      </c>
      <c r="I320" s="19">
        <f>IFERROR(__xludf.DUMMYFUNCTION("""COMPUTED_VALUE"""),2.088888888888889)</f>
        <v>2.088888889</v>
      </c>
      <c r="J320" s="21">
        <f>IFERROR(__xludf.DUMMYFUNCTION("""COMPUTED_VALUE"""),83.0)</f>
        <v>83</v>
      </c>
      <c r="K320" s="23">
        <f>IFERROR(__xludf.DUMMYFUNCTION("""COMPUTED_VALUE"""),7.8)</f>
        <v>7.8</v>
      </c>
      <c r="L320" s="24">
        <f>IFERROR(__xludf.DUMMYFUNCTION("""COMPUTED_VALUE"""),25.0)</f>
        <v>25</v>
      </c>
      <c r="M320" s="25" t="str">
        <f>IFERROR(__xludf.DUMMYFUNCTION("""COMPUTED_VALUE"""),"Action-Adventure")</f>
        <v>Action-Adventure</v>
      </c>
      <c r="N320" s="25"/>
      <c r="O320" s="26" t="str">
        <f>IFERROR(__xludf.DUMMYFUNCTION("""COMPUTED_VALUE"""),"Yes")</f>
        <v>Yes</v>
      </c>
      <c r="P320" s="26"/>
    </row>
    <row r="321">
      <c r="A321" s="13" t="str">
        <f>IFERROR(__xludf.DUMMYFUNCTION("""COMPUTED_VALUE"""),"LEGO Star Wars: The Skywalker Saga")</f>
        <v>LEGO Star Wars: The Skywalker Saga</v>
      </c>
      <c r="B321" s="15" t="str">
        <f>IFERROR(__xludf.DUMMYFUNCTION("""COMPUTED_VALUE"""),"PS5/PS4")</f>
        <v>PS5/PS4</v>
      </c>
      <c r="C321" s="16" t="str">
        <f>IFERROR(__xludf.DUMMYFUNCTION("""COMPUTED_VALUE"""),"Essential")</f>
        <v>Essential</v>
      </c>
      <c r="D321" s="15" t="str">
        <f>IFERROR(__xludf.DUMMYFUNCTION("""COMPUTED_VALUE"""),"Removed")</f>
        <v>Removed</v>
      </c>
      <c r="E321" s="17">
        <f>IFERROR(__xludf.DUMMYFUNCTION("""COMPUTED_VALUE"""),45510.0)</f>
        <v>45510</v>
      </c>
      <c r="F321" s="54">
        <f>IFERROR(__xludf.DUMMYFUNCTION("""COMPUTED_VALUE"""),45537.0)</f>
        <v>45537</v>
      </c>
      <c r="G321" s="19">
        <f>IFERROR(__xludf.DUMMYFUNCTION("""COMPUTED_VALUE"""),0.8666666666666666)</f>
        <v>0.8666666667</v>
      </c>
      <c r="H321" s="17">
        <f>IFERROR(__xludf.DUMMYFUNCTION("""COMPUTED_VALUE"""),44656.0)</f>
        <v>44656</v>
      </c>
      <c r="I321" s="19">
        <f>IFERROR(__xludf.DUMMYFUNCTION("""COMPUTED_VALUE"""),2.3361111111111112)</f>
        <v>2.336111111</v>
      </c>
      <c r="J321" s="21">
        <f>IFERROR(__xludf.DUMMYFUNCTION("""COMPUTED_VALUE"""),82.0)</f>
        <v>82</v>
      </c>
      <c r="K321" s="23">
        <f>IFERROR(__xludf.DUMMYFUNCTION("""COMPUTED_VALUE"""),7.9)</f>
        <v>7.9</v>
      </c>
      <c r="L321" s="24">
        <f>IFERROR(__xludf.DUMMYFUNCTION("""COMPUTED_VALUE"""),17.0)</f>
        <v>17</v>
      </c>
      <c r="M321" s="25" t="str">
        <f>IFERROR(__xludf.DUMMYFUNCTION("""COMPUTED_VALUE"""),"Action-Adventure")</f>
        <v>Action-Adventure</v>
      </c>
      <c r="N321" s="25"/>
      <c r="O321" s="26" t="str">
        <f>IFERROR(__xludf.DUMMYFUNCTION("""COMPUTED_VALUE"""),"No")</f>
        <v>No</v>
      </c>
      <c r="P321" s="26"/>
    </row>
    <row r="322">
      <c r="A322" s="13" t="str">
        <f>IFERROR(__xludf.DUMMYFUNCTION("""COMPUTED_VALUE"""),"Five Nights at Freddy's: Security Breach")</f>
        <v>Five Nights at Freddy's: Security Breach</v>
      </c>
      <c r="B322" s="15" t="str">
        <f>IFERROR(__xludf.DUMMYFUNCTION("""COMPUTED_VALUE"""),"PS5/PS4")</f>
        <v>PS5/PS4</v>
      </c>
      <c r="C322" s="16" t="str">
        <f>IFERROR(__xludf.DUMMYFUNCTION("""COMPUTED_VALUE"""),"Essential")</f>
        <v>Essential</v>
      </c>
      <c r="D322" s="15" t="str">
        <f>IFERROR(__xludf.DUMMYFUNCTION("""COMPUTED_VALUE"""),"Removed")</f>
        <v>Removed</v>
      </c>
      <c r="E322" s="17">
        <f>IFERROR(__xludf.DUMMYFUNCTION("""COMPUTED_VALUE"""),45510.0)</f>
        <v>45510</v>
      </c>
      <c r="F322" s="54">
        <f>IFERROR(__xludf.DUMMYFUNCTION("""COMPUTED_VALUE"""),45537.0)</f>
        <v>45537</v>
      </c>
      <c r="G322" s="19">
        <f>IFERROR(__xludf.DUMMYFUNCTION("""COMPUTED_VALUE"""),0.8666666666666666)</f>
        <v>0.8666666667</v>
      </c>
      <c r="H322" s="17">
        <f>IFERROR(__xludf.DUMMYFUNCTION("""COMPUTED_VALUE"""),44546.0)</f>
        <v>44546</v>
      </c>
      <c r="I322" s="19">
        <f>IFERROR(__xludf.DUMMYFUNCTION("""COMPUTED_VALUE"""),2.638888888888889)</f>
        <v>2.638888889</v>
      </c>
      <c r="J322" s="21">
        <f>IFERROR(__xludf.DUMMYFUNCTION("""COMPUTED_VALUE"""),64.0)</f>
        <v>64</v>
      </c>
      <c r="K322" s="23">
        <f>IFERROR(__xludf.DUMMYFUNCTION("""COMPUTED_VALUE"""),5.8)</f>
        <v>5.8</v>
      </c>
      <c r="L322" s="24">
        <f>IFERROR(__xludf.DUMMYFUNCTION("""COMPUTED_VALUE"""),10.0)</f>
        <v>10</v>
      </c>
      <c r="M322" s="25" t="str">
        <f>IFERROR(__xludf.DUMMYFUNCTION("""COMPUTED_VALUE"""),"Survival")</f>
        <v>Survival</v>
      </c>
      <c r="N322" s="25"/>
      <c r="O322" s="26" t="str">
        <f>IFERROR(__xludf.DUMMYFUNCTION("""COMPUTED_VALUE"""),"No")</f>
        <v>No</v>
      </c>
      <c r="P322" s="26"/>
    </row>
    <row r="323">
      <c r="A323" s="13" t="str">
        <f>IFERROR(__xludf.DUMMYFUNCTION("""COMPUTED_VALUE"""),"ENDER LILIES: Quietus of the Knights")</f>
        <v>ENDER LILIES: Quietus of the Knights</v>
      </c>
      <c r="B323" s="15" t="str">
        <f>IFERROR(__xludf.DUMMYFUNCTION("""COMPUTED_VALUE"""),"PS4")</f>
        <v>PS4</v>
      </c>
      <c r="C323" s="16" t="str">
        <f>IFERROR(__xludf.DUMMYFUNCTION("""COMPUTED_VALUE"""),"Essential")</f>
        <v>Essential</v>
      </c>
      <c r="D323" s="15" t="str">
        <f>IFERROR(__xludf.DUMMYFUNCTION("""COMPUTED_VALUE"""),"Removed")</f>
        <v>Removed</v>
      </c>
      <c r="E323" s="17">
        <f>IFERROR(__xludf.DUMMYFUNCTION("""COMPUTED_VALUE"""),45510.0)</f>
        <v>45510</v>
      </c>
      <c r="F323" s="54">
        <f>IFERROR(__xludf.DUMMYFUNCTION("""COMPUTED_VALUE"""),45537.0)</f>
        <v>45537</v>
      </c>
      <c r="G323" s="19">
        <f>IFERROR(__xludf.DUMMYFUNCTION("""COMPUTED_VALUE"""),0.8666666666666666)</f>
        <v>0.8666666667</v>
      </c>
      <c r="H323" s="17">
        <f>IFERROR(__xludf.DUMMYFUNCTION("""COMPUTED_VALUE"""),44369.0)</f>
        <v>44369</v>
      </c>
      <c r="I323" s="19">
        <f>IFERROR(__xludf.DUMMYFUNCTION("""COMPUTED_VALUE"""),3.1222222222222222)</f>
        <v>3.122222222</v>
      </c>
      <c r="J323" s="21">
        <f>IFERROR(__xludf.DUMMYFUNCTION("""COMPUTED_VALUE"""),86.0)</f>
        <v>86</v>
      </c>
      <c r="K323" s="23">
        <f>IFERROR(__xludf.DUMMYFUNCTION("""COMPUTED_VALUE"""),8.4)</f>
        <v>8.4</v>
      </c>
      <c r="L323" s="24">
        <f>IFERROR(__xludf.DUMMYFUNCTION("""COMPUTED_VALUE"""),13.0)</f>
        <v>13</v>
      </c>
      <c r="M323" s="25" t="str">
        <f>IFERROR(__xludf.DUMMYFUNCTION("""COMPUTED_VALUE"""),"Metroidvania")</f>
        <v>Metroidvania</v>
      </c>
      <c r="N323" s="25"/>
      <c r="O323" s="26" t="str">
        <f>IFERROR(__xludf.DUMMYFUNCTION("""COMPUTED_VALUE"""),"No")</f>
        <v>No</v>
      </c>
      <c r="P323" s="26"/>
    </row>
    <row r="324">
      <c r="A324" s="13" t="str">
        <f>IFERROR(__xludf.DUMMYFUNCTION("""COMPUTED_VALUE"""),"NBA 2K24: Kobe Bryant Edition")</f>
        <v>NBA 2K24: Kobe Bryant Edition</v>
      </c>
      <c r="B324" s="15" t="str">
        <f>IFERROR(__xludf.DUMMYFUNCTION("""COMPUTED_VALUE"""),"PS5/PS4")</f>
        <v>PS5/PS4</v>
      </c>
      <c r="C324" s="16" t="str">
        <f>IFERROR(__xludf.DUMMYFUNCTION("""COMPUTED_VALUE"""),"Extra")</f>
        <v>Extra</v>
      </c>
      <c r="D324" s="15" t="str">
        <f>IFERROR(__xludf.DUMMYFUNCTION("""COMPUTED_VALUE"""),"Removed")</f>
        <v>Removed</v>
      </c>
      <c r="E324" s="17">
        <f>IFERROR(__xludf.DUMMYFUNCTION("""COMPUTED_VALUE"""),45370.0)</f>
        <v>45370</v>
      </c>
      <c r="F324" s="54">
        <f>IFERROR(__xludf.DUMMYFUNCTION("""COMPUTED_VALUE"""),45523.0)</f>
        <v>45523</v>
      </c>
      <c r="G324" s="19">
        <f>IFERROR(__xludf.DUMMYFUNCTION("""COMPUTED_VALUE"""),5.0)</f>
        <v>5</v>
      </c>
      <c r="H324" s="17">
        <f>IFERROR(__xludf.DUMMYFUNCTION("""COMPUTED_VALUE"""),45177.0)</f>
        <v>45177</v>
      </c>
      <c r="I324" s="19">
        <f>IFERROR(__xludf.DUMMYFUNCTION("""COMPUTED_VALUE"""),0.5305555555555556)</f>
        <v>0.5305555556</v>
      </c>
      <c r="J324" s="21">
        <f>IFERROR(__xludf.DUMMYFUNCTION("""COMPUTED_VALUE"""),68.0)</f>
        <v>68</v>
      </c>
      <c r="K324" s="23">
        <f>IFERROR(__xludf.DUMMYFUNCTION("""COMPUTED_VALUE"""),2.0)</f>
        <v>2</v>
      </c>
      <c r="L324" s="24">
        <f>IFERROR(__xludf.DUMMYFUNCTION("""COMPUTED_VALUE"""),6.0)</f>
        <v>6</v>
      </c>
      <c r="M324" s="25" t="str">
        <f>IFERROR(__xludf.DUMMYFUNCTION("""COMPUTED_VALUE"""),"Sports")</f>
        <v>Sports</v>
      </c>
      <c r="N324" s="25" t="str">
        <f>IFERROR(__xludf.DUMMYFUNCTION("""COMPUTED_VALUE"""),"Leaves game pass in under 6 months, probably the same")</f>
        <v>Leaves game pass in under 6 months, probably the same</v>
      </c>
      <c r="O324" s="26" t="str">
        <f>IFERROR(__xludf.DUMMYFUNCTION("""COMPUTED_VALUE"""),"No")</f>
        <v>No</v>
      </c>
      <c r="P324" s="26"/>
    </row>
    <row r="325">
      <c r="A325" s="13" t="str">
        <f>IFERROR(__xludf.DUMMYFUNCTION("""COMPUTED_VALUE"""),"Need for Speed: Unbound")</f>
        <v>Need for Speed: Unbound</v>
      </c>
      <c r="B325" s="15" t="str">
        <f>IFERROR(__xludf.DUMMYFUNCTION("""COMPUTED_VALUE"""),"PS5")</f>
        <v>PS5</v>
      </c>
      <c r="C325" s="16" t="str">
        <f>IFERROR(__xludf.DUMMYFUNCTION("""COMPUTED_VALUE"""),"Extra")</f>
        <v>Extra</v>
      </c>
      <c r="D325" s="15" t="str">
        <f>IFERROR(__xludf.DUMMYFUNCTION("""COMPUTED_VALUE"""),"Removed")</f>
        <v>Removed</v>
      </c>
      <c r="E325" s="17">
        <f>IFERROR(__xludf.DUMMYFUNCTION("""COMPUTED_VALUE"""),45342.0)</f>
        <v>45342</v>
      </c>
      <c r="F325" s="54">
        <f>IFERROR(__xludf.DUMMYFUNCTION("""COMPUTED_VALUE"""),45523.0)</f>
        <v>45523</v>
      </c>
      <c r="G325" s="19">
        <f>IFERROR(__xludf.DUMMYFUNCTION("""COMPUTED_VALUE"""),5.966666666666667)</f>
        <v>5.966666667</v>
      </c>
      <c r="H325" s="17">
        <f>IFERROR(__xludf.DUMMYFUNCTION("""COMPUTED_VALUE"""),44894.0)</f>
        <v>44894</v>
      </c>
      <c r="I325" s="19">
        <f>IFERROR(__xludf.DUMMYFUNCTION("""COMPUTED_VALUE"""),1.225)</f>
        <v>1.225</v>
      </c>
      <c r="J325" s="21">
        <f>IFERROR(__xludf.DUMMYFUNCTION("""COMPUTED_VALUE"""),77.0)</f>
        <v>77</v>
      </c>
      <c r="K325" s="23">
        <f>IFERROR(__xludf.DUMMYFUNCTION("""COMPUTED_VALUE"""),6.0)</f>
        <v>6</v>
      </c>
      <c r="L325" s="24">
        <f>IFERROR(__xludf.DUMMYFUNCTION("""COMPUTED_VALUE"""),23.0)</f>
        <v>23</v>
      </c>
      <c r="M325" s="25" t="str">
        <f>IFERROR(__xludf.DUMMYFUNCTION("""COMPUTED_VALUE"""),"Racing")</f>
        <v>Racing</v>
      </c>
      <c r="N325" s="25"/>
      <c r="O325" s="26" t="str">
        <f>IFERROR(__xludf.DUMMYFUNCTION("""COMPUTED_VALUE"""),"No")</f>
        <v>No</v>
      </c>
      <c r="P325" s="26"/>
    </row>
    <row r="326">
      <c r="A326" s="13" t="str">
        <f>IFERROR(__xludf.DUMMYFUNCTION("""COMPUTED_VALUE"""),"Sea of Stars")</f>
        <v>Sea of Stars</v>
      </c>
      <c r="B326" s="15" t="str">
        <f>IFERROR(__xludf.DUMMYFUNCTION("""COMPUTED_VALUE"""),"PS5/PS4")</f>
        <v>PS5/PS4</v>
      </c>
      <c r="C326" s="16" t="str">
        <f>IFERROR(__xludf.DUMMYFUNCTION("""COMPUTED_VALUE"""),"Extra")</f>
        <v>Extra</v>
      </c>
      <c r="D326" s="15" t="str">
        <f>IFERROR(__xludf.DUMMYFUNCTION("""COMPUTED_VALUE"""),"Removed")</f>
        <v>Removed</v>
      </c>
      <c r="E326" s="17">
        <f>IFERROR(__xludf.DUMMYFUNCTION("""COMPUTED_VALUE"""),45167.0)</f>
        <v>45167</v>
      </c>
      <c r="F326" s="54">
        <f>IFERROR(__xludf.DUMMYFUNCTION("""COMPUTED_VALUE"""),45523.0)</f>
        <v>45523</v>
      </c>
      <c r="G326" s="19">
        <f>IFERROR(__xludf.DUMMYFUNCTION("""COMPUTED_VALUE"""),11.666666666666666)</f>
        <v>11.66666667</v>
      </c>
      <c r="H326" s="17">
        <f>IFERROR(__xludf.DUMMYFUNCTION("""COMPUTED_VALUE"""),45167.0)</f>
        <v>45167</v>
      </c>
      <c r="I326" s="19">
        <f>IFERROR(__xludf.DUMMYFUNCTION("""COMPUTED_VALUE"""),0.0)</f>
        <v>0</v>
      </c>
      <c r="J326" s="21">
        <f>IFERROR(__xludf.DUMMYFUNCTION("""COMPUTED_VALUE"""),90.0)</f>
        <v>90</v>
      </c>
      <c r="K326" s="23">
        <f>IFERROR(__xludf.DUMMYFUNCTION("""COMPUTED_VALUE"""),8.6)</f>
        <v>8.6</v>
      </c>
      <c r="L326" s="24">
        <f>IFERROR(__xludf.DUMMYFUNCTION("""COMPUTED_VALUE"""),20.0)</f>
        <v>20</v>
      </c>
      <c r="M326" s="25" t="str">
        <f>IFERROR(__xludf.DUMMYFUNCTION("""COMPUTED_VALUE"""),"RPG")</f>
        <v>RPG</v>
      </c>
      <c r="N326" s="25"/>
      <c r="O326" s="26" t="str">
        <f>IFERROR(__xludf.DUMMYFUNCTION("""COMPUTED_VALUE"""),"Yes")</f>
        <v>Yes</v>
      </c>
      <c r="P326" s="26"/>
    </row>
    <row r="327">
      <c r="A327" s="13" t="str">
        <f>IFERROR(__xludf.DUMMYFUNCTION("""COMPUTED_VALUE"""),"Destroy All Humans! 2: Reprobed")</f>
        <v>Destroy All Humans! 2: Reprobed</v>
      </c>
      <c r="B327" s="15" t="str">
        <f>IFERROR(__xludf.DUMMYFUNCTION("""COMPUTED_VALUE"""),"PS5/PS4")</f>
        <v>PS5/PS4</v>
      </c>
      <c r="C327" s="16" t="str">
        <f>IFERROR(__xludf.DUMMYFUNCTION("""COMPUTED_VALUE"""),"Extra")</f>
        <v>Extra</v>
      </c>
      <c r="D327" s="15" t="str">
        <f>IFERROR(__xludf.DUMMYFUNCTION("""COMPUTED_VALUE"""),"Removed")</f>
        <v>Removed</v>
      </c>
      <c r="E327" s="17">
        <f>IFERROR(__xludf.DUMMYFUNCTION("""COMPUTED_VALUE"""),45153.0)</f>
        <v>45153</v>
      </c>
      <c r="F327" s="54">
        <f>IFERROR(__xludf.DUMMYFUNCTION("""COMPUTED_VALUE"""),45523.0)</f>
        <v>45523</v>
      </c>
      <c r="G327" s="19">
        <f>IFERROR(__xludf.DUMMYFUNCTION("""COMPUTED_VALUE"""),12.133333333333333)</f>
        <v>12.13333333</v>
      </c>
      <c r="H327" s="17">
        <f>IFERROR(__xludf.DUMMYFUNCTION("""COMPUTED_VALUE"""),44803.0)</f>
        <v>44803</v>
      </c>
      <c r="I327" s="19">
        <f>IFERROR(__xludf.DUMMYFUNCTION("""COMPUTED_VALUE"""),0.9583333333333334)</f>
        <v>0.9583333333</v>
      </c>
      <c r="J327" s="21">
        <f>IFERROR(__xludf.DUMMYFUNCTION("""COMPUTED_VALUE"""),67.0)</f>
        <v>67</v>
      </c>
      <c r="K327" s="23">
        <f>IFERROR(__xludf.DUMMYFUNCTION("""COMPUTED_VALUE"""),7.7)</f>
        <v>7.7</v>
      </c>
      <c r="L327" s="24">
        <f>IFERROR(__xludf.DUMMYFUNCTION("""COMPUTED_VALUE"""),13.0)</f>
        <v>13</v>
      </c>
      <c r="M327" s="25" t="str">
        <f>IFERROR(__xludf.DUMMYFUNCTION("""COMPUTED_VALUE"""),"Action-Adventure")</f>
        <v>Action-Adventure</v>
      </c>
      <c r="N327" s="25"/>
      <c r="O327" s="26" t="str">
        <f>IFERROR(__xludf.DUMMYFUNCTION("""COMPUTED_VALUE"""),"Yes")</f>
        <v>Yes</v>
      </c>
      <c r="P327" s="26"/>
    </row>
    <row r="328">
      <c r="A328" s="13" t="str">
        <f>IFERROR(__xludf.DUMMYFUNCTION("""COMPUTED_VALUE"""),"Lost Judgment")</f>
        <v>Lost Judgment</v>
      </c>
      <c r="B328" s="15" t="str">
        <f>IFERROR(__xludf.DUMMYFUNCTION("""COMPUTED_VALUE"""),"PS5/PS4")</f>
        <v>PS5/PS4</v>
      </c>
      <c r="C328" s="16" t="str">
        <f>IFERROR(__xludf.DUMMYFUNCTION("""COMPUTED_VALUE"""),"Extra")</f>
        <v>Extra</v>
      </c>
      <c r="D328" s="15" t="str">
        <f>IFERROR(__xludf.DUMMYFUNCTION("""COMPUTED_VALUE"""),"Removed")</f>
        <v>Removed</v>
      </c>
      <c r="E328" s="17">
        <f>IFERROR(__xludf.DUMMYFUNCTION("""COMPUTED_VALUE"""),45153.0)</f>
        <v>45153</v>
      </c>
      <c r="F328" s="54">
        <f>IFERROR(__xludf.DUMMYFUNCTION("""COMPUTED_VALUE"""),45523.0)</f>
        <v>45523</v>
      </c>
      <c r="G328" s="19">
        <f>IFERROR(__xludf.DUMMYFUNCTION("""COMPUTED_VALUE"""),12.133333333333333)</f>
        <v>12.13333333</v>
      </c>
      <c r="H328" s="17">
        <f>IFERROR(__xludf.DUMMYFUNCTION("""COMPUTED_VALUE"""),44463.0)</f>
        <v>44463</v>
      </c>
      <c r="I328" s="19">
        <f>IFERROR(__xludf.DUMMYFUNCTION("""COMPUTED_VALUE"""),1.8916666666666666)</f>
        <v>1.891666667</v>
      </c>
      <c r="J328" s="21">
        <f>IFERROR(__xludf.DUMMYFUNCTION("""COMPUTED_VALUE"""),82.0)</f>
        <v>82</v>
      </c>
      <c r="K328" s="23">
        <f>IFERROR(__xludf.DUMMYFUNCTION("""COMPUTED_VALUE"""),7.9)</f>
        <v>7.9</v>
      </c>
      <c r="L328" s="24">
        <f>IFERROR(__xludf.DUMMYFUNCTION("""COMPUTED_VALUE"""),24.0)</f>
        <v>24</v>
      </c>
      <c r="M328" s="25" t="str">
        <f>IFERROR(__xludf.DUMMYFUNCTION("""COMPUTED_VALUE"""),"Action-Adventure")</f>
        <v>Action-Adventure</v>
      </c>
      <c r="N328" s="25"/>
      <c r="O328" s="26" t="str">
        <f>IFERROR(__xludf.DUMMYFUNCTION("""COMPUTED_VALUE"""),"Yes")</f>
        <v>Yes</v>
      </c>
      <c r="P328" s="26"/>
    </row>
    <row r="329">
      <c r="A329" s="13" t="str">
        <f>IFERROR(__xludf.DUMMYFUNCTION("""COMPUTED_VALUE"""),"Midnight Fight Express")</f>
        <v>Midnight Fight Express</v>
      </c>
      <c r="B329" s="15" t="str">
        <f>IFERROR(__xludf.DUMMYFUNCTION("""COMPUTED_VALUE"""),"PS4")</f>
        <v>PS4</v>
      </c>
      <c r="C329" s="16" t="str">
        <f>IFERROR(__xludf.DUMMYFUNCTION("""COMPUTED_VALUE"""),"Extra")</f>
        <v>Extra</v>
      </c>
      <c r="D329" s="15" t="str">
        <f>IFERROR(__xludf.DUMMYFUNCTION("""COMPUTED_VALUE"""),"Removed")</f>
        <v>Removed</v>
      </c>
      <c r="E329" s="17">
        <f>IFERROR(__xludf.DUMMYFUNCTION("""COMPUTED_VALUE"""),45153.0)</f>
        <v>45153</v>
      </c>
      <c r="F329" s="54">
        <f>IFERROR(__xludf.DUMMYFUNCTION("""COMPUTED_VALUE"""),45523.0)</f>
        <v>45523</v>
      </c>
      <c r="G329" s="19">
        <f>IFERROR(__xludf.DUMMYFUNCTION("""COMPUTED_VALUE"""),12.133333333333333)</f>
        <v>12.13333333</v>
      </c>
      <c r="H329" s="17">
        <f>IFERROR(__xludf.DUMMYFUNCTION("""COMPUTED_VALUE"""),44796.0)</f>
        <v>44796</v>
      </c>
      <c r="I329" s="19">
        <f>IFERROR(__xludf.DUMMYFUNCTION("""COMPUTED_VALUE"""),0.9777777777777777)</f>
        <v>0.9777777778</v>
      </c>
      <c r="J329" s="21">
        <f>IFERROR(__xludf.DUMMYFUNCTION("""COMPUTED_VALUE"""),75.0)</f>
        <v>75</v>
      </c>
      <c r="K329" s="23">
        <f>IFERROR(__xludf.DUMMYFUNCTION("""COMPUTED_VALUE"""),7.4)</f>
        <v>7.4</v>
      </c>
      <c r="L329" s="24">
        <f>IFERROR(__xludf.DUMMYFUNCTION("""COMPUTED_VALUE"""),6.0)</f>
        <v>6</v>
      </c>
      <c r="M329" s="25" t="str">
        <f>IFERROR(__xludf.DUMMYFUNCTION("""COMPUTED_VALUE"""),"Action-Adventure")</f>
        <v>Action-Adventure</v>
      </c>
      <c r="N329" s="25"/>
      <c r="O329" s="26" t="str">
        <f>IFERROR(__xludf.DUMMYFUNCTION("""COMPUTED_VALUE"""),"Yes")</f>
        <v>Yes</v>
      </c>
      <c r="P329" s="26"/>
    </row>
    <row r="330">
      <c r="A330" s="13" t="str">
        <f>IFERROR(__xludf.DUMMYFUNCTION("""COMPUTED_VALUE"""),"Moving Out 2")</f>
        <v>Moving Out 2</v>
      </c>
      <c r="B330" s="15" t="str">
        <f>IFERROR(__xludf.DUMMYFUNCTION("""COMPUTED_VALUE"""),"PS5/PS4")</f>
        <v>PS5/PS4</v>
      </c>
      <c r="C330" s="16" t="str">
        <f>IFERROR(__xludf.DUMMYFUNCTION("""COMPUTED_VALUE"""),"Extra")</f>
        <v>Extra</v>
      </c>
      <c r="D330" s="15" t="str">
        <f>IFERROR(__xludf.DUMMYFUNCTION("""COMPUTED_VALUE"""),"Removed")</f>
        <v>Removed</v>
      </c>
      <c r="E330" s="17">
        <f>IFERROR(__xludf.DUMMYFUNCTION("""COMPUTED_VALUE"""),45153.0)</f>
        <v>45153</v>
      </c>
      <c r="F330" s="54">
        <f>IFERROR(__xludf.DUMMYFUNCTION("""COMPUTED_VALUE"""),45523.0)</f>
        <v>45523</v>
      </c>
      <c r="G330" s="19">
        <f>IFERROR(__xludf.DUMMYFUNCTION("""COMPUTED_VALUE"""),12.133333333333333)</f>
        <v>12.13333333</v>
      </c>
      <c r="H330" s="17">
        <f>IFERROR(__xludf.DUMMYFUNCTION("""COMPUTED_VALUE"""),45153.0)</f>
        <v>45153</v>
      </c>
      <c r="I330" s="19">
        <f>IFERROR(__xludf.DUMMYFUNCTION("""COMPUTED_VALUE"""),0.0)</f>
        <v>0</v>
      </c>
      <c r="J330" s="21">
        <f>IFERROR(__xludf.DUMMYFUNCTION("""COMPUTED_VALUE"""),83.0)</f>
        <v>83</v>
      </c>
      <c r="K330" s="23">
        <f>IFERROR(__xludf.DUMMYFUNCTION("""COMPUTED_VALUE"""),6.2)</f>
        <v>6.2</v>
      </c>
      <c r="L330" s="24">
        <f>IFERROR(__xludf.DUMMYFUNCTION("""COMPUTED_VALUE"""),8.0)</f>
        <v>8</v>
      </c>
      <c r="M330" s="25" t="str">
        <f>IFERROR(__xludf.DUMMYFUNCTION("""COMPUTED_VALUE"""),"Simulation")</f>
        <v>Simulation</v>
      </c>
      <c r="N330" s="25"/>
      <c r="O330" s="26" t="str">
        <f>IFERROR(__xludf.DUMMYFUNCTION("""COMPUTED_VALUE"""),"Yes")</f>
        <v>Yes</v>
      </c>
      <c r="P330" s="26"/>
    </row>
    <row r="331">
      <c r="A331" s="13" t="str">
        <f>IFERROR(__xludf.DUMMYFUNCTION("""COMPUTED_VALUE"""),"Spellforce III: Reforced")</f>
        <v>Spellforce III: Reforced</v>
      </c>
      <c r="B331" s="15" t="str">
        <f>IFERROR(__xludf.DUMMYFUNCTION("""COMPUTED_VALUE"""),"PS4")</f>
        <v>PS4</v>
      </c>
      <c r="C331" s="16" t="str">
        <f>IFERROR(__xludf.DUMMYFUNCTION("""COMPUTED_VALUE"""),"Extra")</f>
        <v>Extra</v>
      </c>
      <c r="D331" s="15" t="str">
        <f>IFERROR(__xludf.DUMMYFUNCTION("""COMPUTED_VALUE"""),"Removed")</f>
        <v>Removed</v>
      </c>
      <c r="E331" s="17">
        <f>IFERROR(__xludf.DUMMYFUNCTION("""COMPUTED_VALUE"""),45153.0)</f>
        <v>45153</v>
      </c>
      <c r="F331" s="54">
        <f>IFERROR(__xludf.DUMMYFUNCTION("""COMPUTED_VALUE"""),45523.0)</f>
        <v>45523</v>
      </c>
      <c r="G331" s="19">
        <f>IFERROR(__xludf.DUMMYFUNCTION("""COMPUTED_VALUE"""),12.133333333333333)</f>
        <v>12.13333333</v>
      </c>
      <c r="H331" s="17">
        <f>IFERROR(__xludf.DUMMYFUNCTION("""COMPUTED_VALUE"""),44719.0)</f>
        <v>44719</v>
      </c>
      <c r="I331" s="19">
        <f>IFERROR(__xludf.DUMMYFUNCTION("""COMPUTED_VALUE"""),1.1888888888888889)</f>
        <v>1.188888889</v>
      </c>
      <c r="J331" s="21">
        <f>IFERROR(__xludf.DUMMYFUNCTION("""COMPUTED_VALUE"""),70.0)</f>
        <v>70</v>
      </c>
      <c r="K331" s="23">
        <f>IFERROR(__xludf.DUMMYFUNCTION("""COMPUTED_VALUE"""),7.5)</f>
        <v>7.5</v>
      </c>
      <c r="L331" s="24">
        <f>IFERROR(__xludf.DUMMYFUNCTION("""COMPUTED_VALUE"""),29.0)</f>
        <v>29</v>
      </c>
      <c r="M331" s="25" t="str">
        <f>IFERROR(__xludf.DUMMYFUNCTION("""COMPUTED_VALUE"""),"Strategy")</f>
        <v>Strategy</v>
      </c>
      <c r="N331" s="25"/>
      <c r="O331" s="26" t="str">
        <f>IFERROR(__xludf.DUMMYFUNCTION("""COMPUTED_VALUE"""),"Yes")</f>
        <v>Yes</v>
      </c>
      <c r="P331" s="26"/>
    </row>
    <row r="332">
      <c r="A332" s="13" t="str">
        <f>IFERROR(__xludf.DUMMYFUNCTION("""COMPUTED_VALUE"""),"Wild Arms 2")</f>
        <v>Wild Arms 2</v>
      </c>
      <c r="B332" s="15" t="str">
        <f>IFERROR(__xludf.DUMMYFUNCTION("""COMPUTED_VALUE"""),"PS5/PS4")</f>
        <v>PS5/PS4</v>
      </c>
      <c r="C332" s="16" t="str">
        <f>IFERROR(__xludf.DUMMYFUNCTION("""COMPUTED_VALUE"""),"Premium (Classics)")</f>
        <v>Premium (Classics)</v>
      </c>
      <c r="D332" s="15" t="str">
        <f>IFERROR(__xludf.DUMMYFUNCTION("""COMPUTED_VALUE"""),"Removed")</f>
        <v>Removed</v>
      </c>
      <c r="E332" s="17">
        <f>IFERROR(__xludf.DUMMYFUNCTION("""COMPUTED_VALUE"""),44978.0)</f>
        <v>44978</v>
      </c>
      <c r="F332" s="54">
        <f>IFERROR(__xludf.DUMMYFUNCTION("""COMPUTED_VALUE"""),45523.0)</f>
        <v>45523</v>
      </c>
      <c r="G332" s="19">
        <f>IFERROR(__xludf.DUMMYFUNCTION("""COMPUTED_VALUE"""),17.933333333333334)</f>
        <v>17.93333333</v>
      </c>
      <c r="H332" s="17">
        <f>IFERROR(__xludf.DUMMYFUNCTION("""COMPUTED_VALUE"""),36646.0)</f>
        <v>36646</v>
      </c>
      <c r="I332" s="19">
        <f>IFERROR(__xludf.DUMMYFUNCTION("""COMPUTED_VALUE"""),22.808333333333334)</f>
        <v>22.80833333</v>
      </c>
      <c r="J332" s="21">
        <f>IFERROR(__xludf.DUMMYFUNCTION("""COMPUTED_VALUE"""),78.0)</f>
        <v>78</v>
      </c>
      <c r="K332" s="23">
        <f>IFERROR(__xludf.DUMMYFUNCTION("""COMPUTED_VALUE"""),8.8)</f>
        <v>8.8</v>
      </c>
      <c r="L332" s="24">
        <f>IFERROR(__xludf.DUMMYFUNCTION("""COMPUTED_VALUE"""),40.0)</f>
        <v>40</v>
      </c>
      <c r="M332" s="25" t="str">
        <f>IFERROR(__xludf.DUMMYFUNCTION("""COMPUTED_VALUE"""),"RPG")</f>
        <v>RPG</v>
      </c>
      <c r="N332" s="25" t="str">
        <f>IFERROR(__xludf.DUMMYFUNCTION("""COMPUTED_VALUE"""),"PS1")</f>
        <v>PS1</v>
      </c>
      <c r="O332" s="26" t="str">
        <f>IFERROR(__xludf.DUMMYFUNCTION("""COMPUTED_VALUE"""),"Yes")</f>
        <v>Yes</v>
      </c>
      <c r="P332" s="26"/>
    </row>
    <row r="333">
      <c r="A333" s="13" t="str">
        <f>IFERROR(__xludf.DUMMYFUNCTION("""COMPUTED_VALUE"""),"Destroy All Humans! (2020)")</f>
        <v>Destroy All Humans! (2020)</v>
      </c>
      <c r="B333" s="15" t="str">
        <f>IFERROR(__xludf.DUMMYFUNCTION("""COMPUTED_VALUE"""),"PS5/PS4")</f>
        <v>PS5/PS4</v>
      </c>
      <c r="C333" s="16" t="str">
        <f>IFERROR(__xludf.DUMMYFUNCTION("""COMPUTED_VALUE"""),"Premium (Remasters)")</f>
        <v>Premium (Remasters)</v>
      </c>
      <c r="D333" s="15" t="str">
        <f>IFERROR(__xludf.DUMMYFUNCTION("""COMPUTED_VALUE"""),"Removed")</f>
        <v>Removed</v>
      </c>
      <c r="E333" s="17">
        <f>IFERROR(__xludf.DUMMYFUNCTION("""COMPUTED_VALUE"""),44978.0)</f>
        <v>44978</v>
      </c>
      <c r="F333" s="54">
        <f>IFERROR(__xludf.DUMMYFUNCTION("""COMPUTED_VALUE"""),45523.0)</f>
        <v>45523</v>
      </c>
      <c r="G333" s="19">
        <f>IFERROR(__xludf.DUMMYFUNCTION("""COMPUTED_VALUE"""),17.933333333333334)</f>
        <v>17.93333333</v>
      </c>
      <c r="H333" s="17">
        <f>IFERROR(__xludf.DUMMYFUNCTION("""COMPUTED_VALUE"""),44040.0)</f>
        <v>44040</v>
      </c>
      <c r="I333" s="19">
        <f>IFERROR(__xludf.DUMMYFUNCTION("""COMPUTED_VALUE"""),2.563888888888889)</f>
        <v>2.563888889</v>
      </c>
      <c r="J333" s="21">
        <f>IFERROR(__xludf.DUMMYFUNCTION("""COMPUTED_VALUE"""),70.0)</f>
        <v>70</v>
      </c>
      <c r="K333" s="23">
        <f>IFERROR(__xludf.DUMMYFUNCTION("""COMPUTED_VALUE"""),8.0)</f>
        <v>8</v>
      </c>
      <c r="L333" s="24">
        <f>IFERROR(__xludf.DUMMYFUNCTION("""COMPUTED_VALUE"""),8.0)</f>
        <v>8</v>
      </c>
      <c r="M333" s="25" t="str">
        <f>IFERROR(__xludf.DUMMYFUNCTION("""COMPUTED_VALUE"""),"Action-Adventure")</f>
        <v>Action-Adventure</v>
      </c>
      <c r="N333" s="25" t="str">
        <f>IFERROR(__xludf.DUMMYFUNCTION("""COMPUTED_VALUE"""),"PS1")</f>
        <v>PS1</v>
      </c>
      <c r="O333" s="26" t="str">
        <f>IFERROR(__xludf.DUMMYFUNCTION("""COMPUTED_VALUE"""),"Yes")</f>
        <v>Yes</v>
      </c>
      <c r="P333" s="26"/>
    </row>
    <row r="334">
      <c r="A334" s="13" t="str">
        <f>IFERROR(__xludf.DUMMYFUNCTION("""COMPUTED_VALUE"""),"Trials of Mana")</f>
        <v>Trials of Mana</v>
      </c>
      <c r="B334" s="15" t="str">
        <f>IFERROR(__xludf.DUMMYFUNCTION("""COMPUTED_VALUE"""),"PS4")</f>
        <v>PS4</v>
      </c>
      <c r="C334" s="16" t="str">
        <f>IFERROR(__xludf.DUMMYFUNCTION("""COMPUTED_VALUE"""),"Extra")</f>
        <v>Extra</v>
      </c>
      <c r="D334" s="15" t="str">
        <f>IFERROR(__xludf.DUMMYFUNCTION("""COMPUTED_VALUE"""),"Removed")</f>
        <v>Removed</v>
      </c>
      <c r="E334" s="17">
        <f>IFERROR(__xludf.DUMMYFUNCTION("""COMPUTED_VALUE"""),44789.0)</f>
        <v>44789</v>
      </c>
      <c r="F334" s="54">
        <f>IFERROR(__xludf.DUMMYFUNCTION("""COMPUTED_VALUE"""),45523.0)</f>
        <v>45523</v>
      </c>
      <c r="G334" s="19">
        <f>IFERROR(__xludf.DUMMYFUNCTION("""COMPUTED_VALUE"""),24.1)</f>
        <v>24.1</v>
      </c>
      <c r="H334" s="17">
        <f>IFERROR(__xludf.DUMMYFUNCTION("""COMPUTED_VALUE"""),43945.0)</f>
        <v>43945</v>
      </c>
      <c r="I334" s="19">
        <f>IFERROR(__xludf.DUMMYFUNCTION("""COMPUTED_VALUE"""),2.311111111111111)</f>
        <v>2.311111111</v>
      </c>
      <c r="J334" s="21">
        <f>IFERROR(__xludf.DUMMYFUNCTION("""COMPUTED_VALUE"""),76.0)</f>
        <v>76</v>
      </c>
      <c r="K334" s="23">
        <f>IFERROR(__xludf.DUMMYFUNCTION("""COMPUTED_VALUE"""),7.5)</f>
        <v>7.5</v>
      </c>
      <c r="L334" s="24">
        <f>IFERROR(__xludf.DUMMYFUNCTION("""COMPUTED_VALUE"""),21.0)</f>
        <v>21</v>
      </c>
      <c r="M334" s="25" t="str">
        <f>IFERROR(__xludf.DUMMYFUNCTION("""COMPUTED_VALUE"""),"RPG")</f>
        <v>RPG</v>
      </c>
      <c r="N334" s="25"/>
      <c r="O334" s="26" t="str">
        <f>IFERROR(__xludf.DUMMYFUNCTION("""COMPUTED_VALUE"""),"Yes")</f>
        <v>Yes</v>
      </c>
      <c r="P334" s="26"/>
    </row>
    <row r="335">
      <c r="A335" s="13" t="str">
        <f>IFERROR(__xludf.DUMMYFUNCTION("""COMPUTED_VALUE"""),"Among Us")</f>
        <v>Among Us</v>
      </c>
      <c r="B335" s="15" t="str">
        <f>IFERROR(__xludf.DUMMYFUNCTION("""COMPUTED_VALUE"""),"PS5/PS4")</f>
        <v>PS5/PS4</v>
      </c>
      <c r="C335" s="16" t="str">
        <f>IFERROR(__xludf.DUMMYFUNCTION("""COMPUTED_VALUE"""),"Essential")</f>
        <v>Essential</v>
      </c>
      <c r="D335" s="15" t="str">
        <f>IFERROR(__xludf.DUMMYFUNCTION("""COMPUTED_VALUE"""),"Removed")</f>
        <v>Removed</v>
      </c>
      <c r="E335" s="17">
        <f>IFERROR(__xludf.DUMMYFUNCTION("""COMPUTED_VALUE"""),45475.0)</f>
        <v>45475</v>
      </c>
      <c r="F335" s="54">
        <f>IFERROR(__xludf.DUMMYFUNCTION("""COMPUTED_VALUE"""),45509.0)</f>
        <v>45509</v>
      </c>
      <c r="G335" s="19">
        <f>IFERROR(__xludf.DUMMYFUNCTION("""COMPUTED_VALUE"""),1.0999999999999999)</f>
        <v>1.1</v>
      </c>
      <c r="H335" s="17">
        <f>IFERROR(__xludf.DUMMYFUNCTION("""COMPUTED_VALUE"""),43420.0)</f>
        <v>43420</v>
      </c>
      <c r="I335" s="19">
        <f>IFERROR(__xludf.DUMMYFUNCTION("""COMPUTED_VALUE"""),5.627777777777778)</f>
        <v>5.627777778</v>
      </c>
      <c r="J335" s="21">
        <f>IFERROR(__xludf.DUMMYFUNCTION("""COMPUTED_VALUE"""),85.0)</f>
        <v>85</v>
      </c>
      <c r="K335" s="23">
        <f>IFERROR(__xludf.DUMMYFUNCTION("""COMPUTED_VALUE"""),6.8)</f>
        <v>6.8</v>
      </c>
      <c r="L335" s="24">
        <f>IFERROR(__xludf.DUMMYFUNCTION("""COMPUTED_VALUE"""),19.0)</f>
        <v>19</v>
      </c>
      <c r="M335" s="25" t="str">
        <f>IFERROR(__xludf.DUMMYFUNCTION("""COMPUTED_VALUE"""),"Survival")</f>
        <v>Survival</v>
      </c>
      <c r="N335" s="25"/>
      <c r="O335" s="26" t="str">
        <f>IFERROR(__xludf.DUMMYFUNCTION("""COMPUTED_VALUE"""),"No")</f>
        <v>No</v>
      </c>
      <c r="P335" s="26"/>
    </row>
    <row r="336">
      <c r="A336" s="13" t="str">
        <f>IFERROR(__xludf.DUMMYFUNCTION("""COMPUTED_VALUE"""),"Borderlands 3")</f>
        <v>Borderlands 3</v>
      </c>
      <c r="B336" s="15" t="str">
        <f>IFERROR(__xludf.DUMMYFUNCTION("""COMPUTED_VALUE"""),"PS5/PS4")</f>
        <v>PS5/PS4</v>
      </c>
      <c r="C336" s="16" t="str">
        <f>IFERROR(__xludf.DUMMYFUNCTION("""COMPUTED_VALUE"""),"Essential")</f>
        <v>Essential</v>
      </c>
      <c r="D336" s="15" t="str">
        <f>IFERROR(__xludf.DUMMYFUNCTION("""COMPUTED_VALUE"""),"Removed")</f>
        <v>Removed</v>
      </c>
      <c r="E336" s="17">
        <f>IFERROR(__xludf.DUMMYFUNCTION("""COMPUTED_VALUE"""),45475.0)</f>
        <v>45475</v>
      </c>
      <c r="F336" s="54">
        <f>IFERROR(__xludf.DUMMYFUNCTION("""COMPUTED_VALUE"""),45509.0)</f>
        <v>45509</v>
      </c>
      <c r="G336" s="19">
        <f>IFERROR(__xludf.DUMMYFUNCTION("""COMPUTED_VALUE"""),1.0999999999999999)</f>
        <v>1.1</v>
      </c>
      <c r="H336" s="17">
        <f>IFERROR(__xludf.DUMMYFUNCTION("""COMPUTED_VALUE"""),43721.0)</f>
        <v>43721</v>
      </c>
      <c r="I336" s="19">
        <f>IFERROR(__xludf.DUMMYFUNCTION("""COMPUTED_VALUE"""),4.802777777777778)</f>
        <v>4.802777778</v>
      </c>
      <c r="J336" s="21">
        <f>IFERROR(__xludf.DUMMYFUNCTION("""COMPUTED_VALUE"""),81.0)</f>
        <v>81</v>
      </c>
      <c r="K336" s="23">
        <f>IFERROR(__xludf.DUMMYFUNCTION("""COMPUTED_VALUE"""),5.6)</f>
        <v>5.6</v>
      </c>
      <c r="L336" s="24">
        <f>IFERROR(__xludf.DUMMYFUNCTION("""COMPUTED_VALUE"""),23.0)</f>
        <v>23</v>
      </c>
      <c r="M336" s="25" t="str">
        <f>IFERROR(__xludf.DUMMYFUNCTION("""COMPUTED_VALUE"""),"Shooter")</f>
        <v>Shooter</v>
      </c>
      <c r="N336" s="25"/>
      <c r="O336" s="26" t="str">
        <f>IFERROR(__xludf.DUMMYFUNCTION("""COMPUTED_VALUE"""),"No")</f>
        <v>No</v>
      </c>
      <c r="P336" s="26"/>
    </row>
    <row r="337">
      <c r="A337" s="13" t="str">
        <f>IFERROR(__xludf.DUMMYFUNCTION("""COMPUTED_VALUE"""),"NHL 24")</f>
        <v>NHL 24</v>
      </c>
      <c r="B337" s="15" t="str">
        <f>IFERROR(__xludf.DUMMYFUNCTION("""COMPUTED_VALUE"""),"PS5/PS4")</f>
        <v>PS5/PS4</v>
      </c>
      <c r="C337" s="16" t="str">
        <f>IFERROR(__xludf.DUMMYFUNCTION("""COMPUTED_VALUE"""),"Essential")</f>
        <v>Essential</v>
      </c>
      <c r="D337" s="15" t="str">
        <f>IFERROR(__xludf.DUMMYFUNCTION("""COMPUTED_VALUE"""),"Removed")</f>
        <v>Removed</v>
      </c>
      <c r="E337" s="17">
        <f>IFERROR(__xludf.DUMMYFUNCTION("""COMPUTED_VALUE"""),45475.0)</f>
        <v>45475</v>
      </c>
      <c r="F337" s="54">
        <f>IFERROR(__xludf.DUMMYFUNCTION("""COMPUTED_VALUE"""),45509.0)</f>
        <v>45509</v>
      </c>
      <c r="G337" s="19">
        <f>IFERROR(__xludf.DUMMYFUNCTION("""COMPUTED_VALUE"""),1.0999999999999999)</f>
        <v>1.1</v>
      </c>
      <c r="H337" s="17">
        <f>IFERROR(__xludf.DUMMYFUNCTION("""COMPUTED_VALUE"""),45205.0)</f>
        <v>45205</v>
      </c>
      <c r="I337" s="19">
        <f>IFERROR(__xludf.DUMMYFUNCTION("""COMPUTED_VALUE"""),0.7388888888888889)</f>
        <v>0.7388888889</v>
      </c>
      <c r="J337" s="21">
        <f>IFERROR(__xludf.DUMMYFUNCTION("""COMPUTED_VALUE"""),71.0)</f>
        <v>71</v>
      </c>
      <c r="K337" s="23">
        <f>IFERROR(__xludf.DUMMYFUNCTION("""COMPUTED_VALUE"""),3.5)</f>
        <v>3.5</v>
      </c>
      <c r="L337" s="24">
        <f>IFERROR(__xludf.DUMMYFUNCTION("""COMPUTED_VALUE"""),9.0)</f>
        <v>9</v>
      </c>
      <c r="M337" s="25" t="str">
        <f>IFERROR(__xludf.DUMMYFUNCTION("""COMPUTED_VALUE"""),"Sports")</f>
        <v>Sports</v>
      </c>
      <c r="N337" s="25"/>
      <c r="O337" s="26" t="str">
        <f>IFERROR(__xludf.DUMMYFUNCTION("""COMPUTED_VALUE"""),"No")</f>
        <v>No</v>
      </c>
      <c r="P337" s="26"/>
    </row>
    <row r="338">
      <c r="A338" s="13" t="str">
        <f>IFERROR(__xludf.DUMMYFUNCTION("""COMPUTED_VALUE"""),"Tiny Tina's Wonderlands: Next-Level Edition")</f>
        <v>Tiny Tina's Wonderlands: Next-Level Edition</v>
      </c>
      <c r="B338" s="15" t="str">
        <f>IFERROR(__xludf.DUMMYFUNCTION("""COMPUTED_VALUE"""),"PS5/PS4")</f>
        <v>PS5/PS4</v>
      </c>
      <c r="C338" s="16" t="str">
        <f>IFERROR(__xludf.DUMMYFUNCTION("""COMPUTED_VALUE"""),"Extra")</f>
        <v>Extra</v>
      </c>
      <c r="D338" s="15" t="str">
        <f>IFERROR(__xludf.DUMMYFUNCTION("""COMPUTED_VALUE"""),"Removed")</f>
        <v>Removed</v>
      </c>
      <c r="E338" s="17">
        <f>IFERROR(__xludf.DUMMYFUNCTION("""COMPUTED_VALUE"""),45307.0)</f>
        <v>45307</v>
      </c>
      <c r="F338" s="18">
        <f>IFERROR(__xludf.DUMMYFUNCTION("""COMPUTED_VALUE"""),45488.0)</f>
        <v>45488</v>
      </c>
      <c r="G338" s="19">
        <f>IFERROR(__xludf.DUMMYFUNCTION("""COMPUTED_VALUE"""),5.966666666666667)</f>
        <v>5.966666667</v>
      </c>
      <c r="H338" s="17">
        <f>IFERROR(__xludf.DUMMYFUNCTION("""COMPUTED_VALUE"""),44645.0)</f>
        <v>44645</v>
      </c>
      <c r="I338" s="19">
        <f>IFERROR(__xludf.DUMMYFUNCTION("""COMPUTED_VALUE"""),1.8083333333333333)</f>
        <v>1.808333333</v>
      </c>
      <c r="J338" s="21">
        <f>IFERROR(__xludf.DUMMYFUNCTION("""COMPUTED_VALUE"""),78.0)</f>
        <v>78</v>
      </c>
      <c r="K338" s="23">
        <f>IFERROR(__xludf.DUMMYFUNCTION("""COMPUTED_VALUE"""),5.6)</f>
        <v>5.6</v>
      </c>
      <c r="L338" s="24">
        <f>IFERROR(__xludf.DUMMYFUNCTION("""COMPUTED_VALUE"""),16.0)</f>
        <v>16</v>
      </c>
      <c r="M338" s="25" t="str">
        <f>IFERROR(__xludf.DUMMYFUNCTION("""COMPUTED_VALUE"""),"Shooter")</f>
        <v>Shooter</v>
      </c>
      <c r="N338" s="25"/>
      <c r="O338" s="26" t="str">
        <f>IFERROR(__xludf.DUMMYFUNCTION("""COMPUTED_VALUE"""),"Yes")</f>
        <v>Yes</v>
      </c>
      <c r="P338" s="26"/>
    </row>
    <row r="339">
      <c r="A339" s="13" t="str">
        <f>IFERROR(__xludf.DUMMYFUNCTION("""COMPUTED_VALUE"""),"Dysmantle")</f>
        <v>Dysmantle</v>
      </c>
      <c r="B339" s="15" t="str">
        <f>IFERROR(__xludf.DUMMYFUNCTION("""COMPUTED_VALUE"""),"PS5/PS4")</f>
        <v>PS5/PS4</v>
      </c>
      <c r="C339" s="16" t="str">
        <f>IFERROR(__xludf.DUMMYFUNCTION("""COMPUTED_VALUE"""),"Extra")</f>
        <v>Extra</v>
      </c>
      <c r="D339" s="15" t="str">
        <f>IFERROR(__xludf.DUMMYFUNCTION("""COMPUTED_VALUE"""),"Removed")</f>
        <v>Removed</v>
      </c>
      <c r="E339" s="17">
        <f>IFERROR(__xludf.DUMMYFUNCTION("""COMPUTED_VALUE"""),45125.0)</f>
        <v>45125</v>
      </c>
      <c r="F339" s="54">
        <f>IFERROR(__xludf.DUMMYFUNCTION("""COMPUTED_VALUE"""),45488.0)</f>
        <v>45488</v>
      </c>
      <c r="G339" s="19">
        <f>IFERROR(__xludf.DUMMYFUNCTION("""COMPUTED_VALUE"""),11.9)</f>
        <v>11.9</v>
      </c>
      <c r="H339" s="17">
        <f>IFERROR(__xludf.DUMMYFUNCTION("""COMPUTED_VALUE"""),44580.0)</f>
        <v>44580</v>
      </c>
      <c r="I339" s="19">
        <f>IFERROR(__xludf.DUMMYFUNCTION("""COMPUTED_VALUE"""),1.4972222222222222)</f>
        <v>1.497222222</v>
      </c>
      <c r="J339" s="21">
        <f>IFERROR(__xludf.DUMMYFUNCTION("""COMPUTED_VALUE"""),84.0)</f>
        <v>84</v>
      </c>
      <c r="K339" s="23">
        <f>IFERROR(__xludf.DUMMYFUNCTION("""COMPUTED_VALUE"""),7.6)</f>
        <v>7.6</v>
      </c>
      <c r="L339" s="24">
        <f>IFERROR(__xludf.DUMMYFUNCTION("""COMPUTED_VALUE"""),33.0)</f>
        <v>33</v>
      </c>
      <c r="M339" s="25" t="str">
        <f>IFERROR(__xludf.DUMMYFUNCTION("""COMPUTED_VALUE"""),"Action-Adventure")</f>
        <v>Action-Adventure</v>
      </c>
      <c r="N339" s="25"/>
      <c r="O339" s="26" t="str">
        <f>IFERROR(__xludf.DUMMYFUNCTION("""COMPUTED_VALUE"""),"Yes")</f>
        <v>Yes</v>
      </c>
      <c r="P339" s="26"/>
    </row>
    <row r="340">
      <c r="A340" s="13" t="str">
        <f>IFERROR(__xludf.DUMMYFUNCTION("""COMPUTED_VALUE"""),"Fast &amp; Furious: Spy Racers Rise of SH1FT3R")</f>
        <v>Fast &amp; Furious: Spy Racers Rise of SH1FT3R</v>
      </c>
      <c r="B340" s="15" t="str">
        <f>IFERROR(__xludf.DUMMYFUNCTION("""COMPUTED_VALUE"""),"PS5/PS4")</f>
        <v>PS5/PS4</v>
      </c>
      <c r="C340" s="16" t="str">
        <f>IFERROR(__xludf.DUMMYFUNCTION("""COMPUTED_VALUE"""),"Extra")</f>
        <v>Extra</v>
      </c>
      <c r="D340" s="15" t="str">
        <f>IFERROR(__xludf.DUMMYFUNCTION("""COMPUTED_VALUE"""),"Removed")</f>
        <v>Removed</v>
      </c>
      <c r="E340" s="17">
        <f>IFERROR(__xludf.DUMMYFUNCTION("""COMPUTED_VALUE"""),45125.0)</f>
        <v>45125</v>
      </c>
      <c r="F340" s="54">
        <f>IFERROR(__xludf.DUMMYFUNCTION("""COMPUTED_VALUE"""),45488.0)</f>
        <v>45488</v>
      </c>
      <c r="G340" s="19">
        <f>IFERROR(__xludf.DUMMYFUNCTION("""COMPUTED_VALUE"""),11.9)</f>
        <v>11.9</v>
      </c>
      <c r="H340" s="17">
        <f>IFERROR(__xludf.DUMMYFUNCTION("""COMPUTED_VALUE"""),44505.0)</f>
        <v>44505</v>
      </c>
      <c r="I340" s="19">
        <f>IFERROR(__xludf.DUMMYFUNCTION("""COMPUTED_VALUE"""),1.7027777777777777)</f>
        <v>1.702777778</v>
      </c>
      <c r="J340" s="21">
        <f>IFERROR(__xludf.DUMMYFUNCTION("""COMPUTED_VALUE"""),52.0)</f>
        <v>52</v>
      </c>
      <c r="K340" s="23">
        <f>IFERROR(__xludf.DUMMYFUNCTION("""COMPUTED_VALUE"""),7.0)</f>
        <v>7</v>
      </c>
      <c r="L340" s="24">
        <f>IFERROR(__xludf.DUMMYFUNCTION("""COMPUTED_VALUE"""),2.0)</f>
        <v>2</v>
      </c>
      <c r="M340" s="25" t="str">
        <f>IFERROR(__xludf.DUMMYFUNCTION("""COMPUTED_VALUE"""),"Racing")</f>
        <v>Racing</v>
      </c>
      <c r="N340" s="25"/>
      <c r="O340" s="26" t="str">
        <f>IFERROR(__xludf.DUMMYFUNCTION("""COMPUTED_VALUE"""),"Yes")</f>
        <v>Yes</v>
      </c>
      <c r="P340" s="26"/>
    </row>
    <row r="341">
      <c r="A341" s="13" t="str">
        <f>IFERROR(__xludf.DUMMYFUNCTION("""COMPUTED_VALUE"""),"My Little Pony: A Maretime Bay Adventure")</f>
        <v>My Little Pony: A Maretime Bay Adventure</v>
      </c>
      <c r="B341" s="15" t="str">
        <f>IFERROR(__xludf.DUMMYFUNCTION("""COMPUTED_VALUE"""),"PS5/PS4")</f>
        <v>PS5/PS4</v>
      </c>
      <c r="C341" s="16" t="str">
        <f>IFERROR(__xludf.DUMMYFUNCTION("""COMPUTED_VALUE"""),"Extra")</f>
        <v>Extra</v>
      </c>
      <c r="D341" s="15" t="str">
        <f>IFERROR(__xludf.DUMMYFUNCTION("""COMPUTED_VALUE"""),"Removed")</f>
        <v>Removed</v>
      </c>
      <c r="E341" s="17">
        <f>IFERROR(__xludf.DUMMYFUNCTION("""COMPUTED_VALUE"""),45125.0)</f>
        <v>45125</v>
      </c>
      <c r="F341" s="54">
        <f>IFERROR(__xludf.DUMMYFUNCTION("""COMPUTED_VALUE"""),45488.0)</f>
        <v>45488</v>
      </c>
      <c r="G341" s="19">
        <f>IFERROR(__xludf.DUMMYFUNCTION("""COMPUTED_VALUE"""),11.9)</f>
        <v>11.9</v>
      </c>
      <c r="H341" s="17">
        <f>IFERROR(__xludf.DUMMYFUNCTION("""COMPUTED_VALUE"""),44708.0)</f>
        <v>44708</v>
      </c>
      <c r="I341" s="19">
        <f>IFERROR(__xludf.DUMMYFUNCTION("""COMPUTED_VALUE"""),1.1416666666666666)</f>
        <v>1.141666667</v>
      </c>
      <c r="J341" s="21">
        <f>IFERROR(__xludf.DUMMYFUNCTION("""COMPUTED_VALUE"""),40.0)</f>
        <v>40</v>
      </c>
      <c r="K341" s="23">
        <f>IFERROR(__xludf.DUMMYFUNCTION("""COMPUTED_VALUE"""),8.0)</f>
        <v>8</v>
      </c>
      <c r="L341" s="24">
        <f>IFERROR(__xludf.DUMMYFUNCTION("""COMPUTED_VALUE"""),2.0)</f>
        <v>2</v>
      </c>
      <c r="M341" s="25" t="str">
        <f>IFERROR(__xludf.DUMMYFUNCTION("""COMPUTED_VALUE"""),"Action-Adventure")</f>
        <v>Action-Adventure</v>
      </c>
      <c r="N341" s="25"/>
      <c r="O341" s="26" t="str">
        <f>IFERROR(__xludf.DUMMYFUNCTION("""COMPUTED_VALUE"""),"Yes")</f>
        <v>Yes</v>
      </c>
      <c r="P341" s="26"/>
    </row>
    <row r="342">
      <c r="A342" s="13" t="str">
        <f>IFERROR(__xludf.DUMMYFUNCTION("""COMPUTED_VALUE"""),"Saints Row IV: Re-Elected")</f>
        <v>Saints Row IV: Re-Elected</v>
      </c>
      <c r="B342" s="15" t="str">
        <f>IFERROR(__xludf.DUMMYFUNCTION("""COMPUTED_VALUE"""),"PS4")</f>
        <v>PS4</v>
      </c>
      <c r="C342" s="16" t="str">
        <f>IFERROR(__xludf.DUMMYFUNCTION("""COMPUTED_VALUE"""),"Extra")</f>
        <v>Extra</v>
      </c>
      <c r="D342" s="15" t="str">
        <f>IFERROR(__xludf.DUMMYFUNCTION("""COMPUTED_VALUE"""),"Removed")</f>
        <v>Removed</v>
      </c>
      <c r="E342" s="17">
        <f>IFERROR(__xludf.DUMMYFUNCTION("""COMPUTED_VALUE"""),44761.0)</f>
        <v>44761</v>
      </c>
      <c r="F342" s="54">
        <f>IFERROR(__xludf.DUMMYFUNCTION("""COMPUTED_VALUE"""),45488.0)</f>
        <v>45488</v>
      </c>
      <c r="G342" s="19">
        <f>IFERROR(__xludf.DUMMYFUNCTION("""COMPUTED_VALUE"""),23.866666666666667)</f>
        <v>23.86666667</v>
      </c>
      <c r="H342" s="17">
        <f>IFERROR(__xludf.DUMMYFUNCTION("""COMPUTED_VALUE"""),41506.0)</f>
        <v>41506</v>
      </c>
      <c r="I342" s="19">
        <f>IFERROR(__xludf.DUMMYFUNCTION("""COMPUTED_VALUE"""),8.91388888888889)</f>
        <v>8.913888889</v>
      </c>
      <c r="J342" s="21">
        <f>IFERROR(__xludf.DUMMYFUNCTION("""COMPUTED_VALUE"""),75.0)</f>
        <v>75</v>
      </c>
      <c r="K342" s="23">
        <f>IFERROR(__xludf.DUMMYFUNCTION("""COMPUTED_VALUE"""),7.4)</f>
        <v>7.4</v>
      </c>
      <c r="L342" s="24">
        <f>IFERROR(__xludf.DUMMYFUNCTION("""COMPUTED_VALUE"""),15.0)</f>
        <v>15</v>
      </c>
      <c r="M342" s="25" t="str">
        <f>IFERROR(__xludf.DUMMYFUNCTION("""COMPUTED_VALUE"""),"Action-Adventure")</f>
        <v>Action-Adventure</v>
      </c>
      <c r="N342" s="25"/>
      <c r="O342" s="26" t="str">
        <f>IFERROR(__xludf.DUMMYFUNCTION("""COMPUTED_VALUE"""),"Yes")</f>
        <v>Yes</v>
      </c>
      <c r="P342" s="26"/>
    </row>
    <row r="343">
      <c r="A343" s="13" t="str">
        <f>IFERROR(__xludf.DUMMYFUNCTION("""COMPUTED_VALUE"""),"Kingdom: Two Crowns")</f>
        <v>Kingdom: Two Crowns</v>
      </c>
      <c r="B343" s="15" t="str">
        <f>IFERROR(__xludf.DUMMYFUNCTION("""COMPUTED_VALUE"""),"PS4")</f>
        <v>PS4</v>
      </c>
      <c r="C343" s="16" t="str">
        <f>IFERROR(__xludf.DUMMYFUNCTION("""COMPUTED_VALUE"""),"Extra")</f>
        <v>Extra</v>
      </c>
      <c r="D343" s="15" t="str">
        <f>IFERROR(__xludf.DUMMYFUNCTION("""COMPUTED_VALUE"""),"Removed")</f>
        <v>Removed</v>
      </c>
      <c r="E343" s="17">
        <f>IFERROR(__xludf.DUMMYFUNCTION("""COMPUTED_VALUE"""),44725.0)</f>
        <v>44725</v>
      </c>
      <c r="F343" s="54">
        <f>IFERROR(__xludf.DUMMYFUNCTION("""COMPUTED_VALUE"""),45488.0)</f>
        <v>45488</v>
      </c>
      <c r="G343" s="19">
        <f>IFERROR(__xludf.DUMMYFUNCTION("""COMPUTED_VALUE"""),25.06666666666667)</f>
        <v>25.06666667</v>
      </c>
      <c r="H343" s="17">
        <f>IFERROR(__xludf.DUMMYFUNCTION("""COMPUTED_VALUE"""),43445.0)</f>
        <v>43445</v>
      </c>
      <c r="I343" s="19">
        <f>IFERROR(__xludf.DUMMYFUNCTION("""COMPUTED_VALUE"""),3.5055555555555555)</f>
        <v>3.505555556</v>
      </c>
      <c r="J343" s="21">
        <f>IFERROR(__xludf.DUMMYFUNCTION("""COMPUTED_VALUE"""),78.0)</f>
        <v>78</v>
      </c>
      <c r="K343" s="23">
        <f>IFERROR(__xludf.DUMMYFUNCTION("""COMPUTED_VALUE"""),7.6)</f>
        <v>7.6</v>
      </c>
      <c r="L343" s="24">
        <f>IFERROR(__xludf.DUMMYFUNCTION("""COMPUTED_VALUE"""),26.0)</f>
        <v>26</v>
      </c>
      <c r="M343" s="25" t="str">
        <f>IFERROR(__xludf.DUMMYFUNCTION("""COMPUTED_VALUE"""),"Platformer")</f>
        <v>Platformer</v>
      </c>
      <c r="N343" s="25"/>
      <c r="O343" s="26" t="str">
        <f>IFERROR(__xludf.DUMMYFUNCTION("""COMPUTED_VALUE"""),"Yes")</f>
        <v>Yes</v>
      </c>
      <c r="P343" s="26" t="str">
        <f>IFERROR(__xludf.DUMMYFUNCTION("""COMPUTED_VALUE"""),"Yes")</f>
        <v>Yes</v>
      </c>
    </row>
    <row r="344">
      <c r="A344" s="13" t="str">
        <f>IFERROR(__xludf.DUMMYFUNCTION("""COMPUTED_VALUE"""),"SpongeBob Squarepants: The Cosmic Shake")</f>
        <v>SpongeBob Squarepants: The Cosmic Shake</v>
      </c>
      <c r="B344" s="15" t="str">
        <f>IFERROR(__xludf.DUMMYFUNCTION("""COMPUTED_VALUE"""),"PS4")</f>
        <v>PS4</v>
      </c>
      <c r="C344" s="16" t="str">
        <f>IFERROR(__xludf.DUMMYFUNCTION("""COMPUTED_VALUE"""),"Essential")</f>
        <v>Essential</v>
      </c>
      <c r="D344" s="15" t="str">
        <f>IFERROR(__xludf.DUMMYFUNCTION("""COMPUTED_VALUE"""),"Removed")</f>
        <v>Removed</v>
      </c>
      <c r="E344" s="17">
        <f>IFERROR(__xludf.DUMMYFUNCTION("""COMPUTED_VALUE"""),45447.0)</f>
        <v>45447</v>
      </c>
      <c r="F344" s="54">
        <f>IFERROR(__xludf.DUMMYFUNCTION("""COMPUTED_VALUE"""),45474.0)</f>
        <v>45474</v>
      </c>
      <c r="G344" s="19">
        <f>IFERROR(__xludf.DUMMYFUNCTION("""COMPUTED_VALUE"""),0.8999999999999999)</f>
        <v>0.9</v>
      </c>
      <c r="H344" s="17">
        <f>IFERROR(__xludf.DUMMYFUNCTION("""COMPUTED_VALUE"""),44957.0)</f>
        <v>44957</v>
      </c>
      <c r="I344" s="19">
        <f>IFERROR(__xludf.DUMMYFUNCTION("""COMPUTED_VALUE"""),1.3444444444444446)</f>
        <v>1.344444444</v>
      </c>
      <c r="J344" s="21">
        <f>IFERROR(__xludf.DUMMYFUNCTION("""COMPUTED_VALUE"""),70.0)</f>
        <v>70</v>
      </c>
      <c r="K344" s="23">
        <f>IFERROR(__xludf.DUMMYFUNCTION("""COMPUTED_VALUE"""),8.3)</f>
        <v>8.3</v>
      </c>
      <c r="L344" s="24">
        <f>IFERROR(__xludf.DUMMYFUNCTION("""COMPUTED_VALUE"""),7.0)</f>
        <v>7</v>
      </c>
      <c r="M344" s="25" t="str">
        <f>IFERROR(__xludf.DUMMYFUNCTION("""COMPUTED_VALUE"""),"Platformer")</f>
        <v>Platformer</v>
      </c>
      <c r="N344" s="25"/>
      <c r="O344" s="26" t="str">
        <f>IFERROR(__xludf.DUMMYFUNCTION("""COMPUTED_VALUE"""),"No")</f>
        <v>No</v>
      </c>
      <c r="P344" s="26"/>
    </row>
    <row r="345">
      <c r="A345" s="13" t="str">
        <f>IFERROR(__xludf.DUMMYFUNCTION("""COMPUTED_VALUE"""),"AEW: Fight Forever")</f>
        <v>AEW: Fight Forever</v>
      </c>
      <c r="B345" s="15" t="str">
        <f>IFERROR(__xludf.DUMMYFUNCTION("""COMPUTED_VALUE"""),"PS4")</f>
        <v>PS4</v>
      </c>
      <c r="C345" s="16" t="str">
        <f>IFERROR(__xludf.DUMMYFUNCTION("""COMPUTED_VALUE"""),"Essential")</f>
        <v>Essential</v>
      </c>
      <c r="D345" s="15" t="str">
        <f>IFERROR(__xludf.DUMMYFUNCTION("""COMPUTED_VALUE"""),"Removed")</f>
        <v>Removed</v>
      </c>
      <c r="E345" s="17">
        <f>IFERROR(__xludf.DUMMYFUNCTION("""COMPUTED_VALUE"""),45447.0)</f>
        <v>45447</v>
      </c>
      <c r="F345" s="54">
        <f>IFERROR(__xludf.DUMMYFUNCTION("""COMPUTED_VALUE"""),45474.0)</f>
        <v>45474</v>
      </c>
      <c r="G345" s="19">
        <f>IFERROR(__xludf.DUMMYFUNCTION("""COMPUTED_VALUE"""),0.8999999999999999)</f>
        <v>0.9</v>
      </c>
      <c r="H345" s="17">
        <f>IFERROR(__xludf.DUMMYFUNCTION("""COMPUTED_VALUE"""),45106.0)</f>
        <v>45106</v>
      </c>
      <c r="I345" s="19">
        <f>IFERROR(__xludf.DUMMYFUNCTION("""COMPUTED_VALUE"""),0.9305555555555556)</f>
        <v>0.9305555556</v>
      </c>
      <c r="J345" s="21">
        <f>IFERROR(__xludf.DUMMYFUNCTION("""COMPUTED_VALUE"""),64.0)</f>
        <v>64</v>
      </c>
      <c r="K345" s="23">
        <f>IFERROR(__xludf.DUMMYFUNCTION("""COMPUTED_VALUE"""),5.6)</f>
        <v>5.6</v>
      </c>
      <c r="L345" s="24">
        <f>IFERROR(__xludf.DUMMYFUNCTION("""COMPUTED_VALUE"""),4.0)</f>
        <v>4</v>
      </c>
      <c r="M345" s="25" t="str">
        <f>IFERROR(__xludf.DUMMYFUNCTION("""COMPUTED_VALUE"""),"Fighting")</f>
        <v>Fighting</v>
      </c>
      <c r="N345" s="25"/>
      <c r="O345" s="26" t="str">
        <f>IFERROR(__xludf.DUMMYFUNCTION("""COMPUTED_VALUE"""),"No")</f>
        <v>No</v>
      </c>
      <c r="P345" s="26"/>
    </row>
    <row r="346">
      <c r="A346" s="13" t="str">
        <f>IFERROR(__xludf.DUMMYFUNCTION("""COMPUTED_VALUE"""),"Streets of Rage 4")</f>
        <v>Streets of Rage 4</v>
      </c>
      <c r="B346" s="15" t="str">
        <f>IFERROR(__xludf.DUMMYFUNCTION("""COMPUTED_VALUE"""),"PS4")</f>
        <v>PS4</v>
      </c>
      <c r="C346" s="16" t="str">
        <f>IFERROR(__xludf.DUMMYFUNCTION("""COMPUTED_VALUE"""),"Essential")</f>
        <v>Essential</v>
      </c>
      <c r="D346" s="15" t="str">
        <f>IFERROR(__xludf.DUMMYFUNCTION("""COMPUTED_VALUE"""),"Removed")</f>
        <v>Removed</v>
      </c>
      <c r="E346" s="17">
        <f>IFERROR(__xludf.DUMMYFUNCTION("""COMPUTED_VALUE"""),45447.0)</f>
        <v>45447</v>
      </c>
      <c r="F346" s="54">
        <f>IFERROR(__xludf.DUMMYFUNCTION("""COMPUTED_VALUE"""),45474.0)</f>
        <v>45474</v>
      </c>
      <c r="G346" s="19">
        <f>IFERROR(__xludf.DUMMYFUNCTION("""COMPUTED_VALUE"""),0.8999999999999999)</f>
        <v>0.9</v>
      </c>
      <c r="H346" s="17">
        <f>IFERROR(__xludf.DUMMYFUNCTION("""COMPUTED_VALUE"""),43951.0)</f>
        <v>43951</v>
      </c>
      <c r="I346" s="19">
        <f>IFERROR(__xludf.DUMMYFUNCTION("""COMPUTED_VALUE"""),4.094444444444444)</f>
        <v>4.094444444</v>
      </c>
      <c r="J346" s="21">
        <f>IFERROR(__xludf.DUMMYFUNCTION("""COMPUTED_VALUE"""),84.0)</f>
        <v>84</v>
      </c>
      <c r="K346" s="23">
        <f>IFERROR(__xludf.DUMMYFUNCTION("""COMPUTED_VALUE"""),8.2)</f>
        <v>8.2</v>
      </c>
      <c r="L346" s="24">
        <f>IFERROR(__xludf.DUMMYFUNCTION("""COMPUTED_VALUE"""),3.0)</f>
        <v>3</v>
      </c>
      <c r="M346" s="25" t="str">
        <f>IFERROR(__xludf.DUMMYFUNCTION("""COMPUTED_VALUE"""),"Action-Adventure")</f>
        <v>Action-Adventure</v>
      </c>
      <c r="N346" s="25"/>
      <c r="O346" s="26" t="str">
        <f>IFERROR(__xludf.DUMMYFUNCTION("""COMPUTED_VALUE"""),"No")</f>
        <v>No</v>
      </c>
      <c r="P346" s="26"/>
    </row>
    <row r="347">
      <c r="A347" s="13" t="str">
        <f>IFERROR(__xludf.DUMMYFUNCTION("""COMPUTED_VALUE"""),"EA Sports FC 24")</f>
        <v>EA Sports FC 24</v>
      </c>
      <c r="B347" s="15" t="str">
        <f>IFERROR(__xludf.DUMMYFUNCTION("""COMPUTED_VALUE"""),"PS5/PS4")</f>
        <v>PS5/PS4</v>
      </c>
      <c r="C347" s="16" t="str">
        <f>IFERROR(__xludf.DUMMYFUNCTION("""COMPUTED_VALUE"""),"Essential")</f>
        <v>Essential</v>
      </c>
      <c r="D347" s="15" t="str">
        <f>IFERROR(__xludf.DUMMYFUNCTION("""COMPUTED_VALUE"""),"Removed")</f>
        <v>Removed</v>
      </c>
      <c r="E347" s="17">
        <f>IFERROR(__xludf.DUMMYFUNCTION("""COMPUTED_VALUE"""),45419.0)</f>
        <v>45419</v>
      </c>
      <c r="F347" s="54">
        <f>IFERROR(__xludf.DUMMYFUNCTION("""COMPUTED_VALUE"""),45461.0)</f>
        <v>45461</v>
      </c>
      <c r="G347" s="19">
        <f>IFERROR(__xludf.DUMMYFUNCTION("""COMPUTED_VALUE"""),1.3666666666666667)</f>
        <v>1.366666667</v>
      </c>
      <c r="H347" s="17">
        <f>IFERROR(__xludf.DUMMYFUNCTION("""COMPUTED_VALUE"""),45198.0)</f>
        <v>45198</v>
      </c>
      <c r="I347" s="19">
        <f>IFERROR(__xludf.DUMMYFUNCTION("""COMPUTED_VALUE"""),0.6055555555555555)</f>
        <v>0.6055555556</v>
      </c>
      <c r="J347" s="21">
        <f>IFERROR(__xludf.DUMMYFUNCTION("""COMPUTED_VALUE"""),75.0)</f>
        <v>75</v>
      </c>
      <c r="K347" s="23">
        <f>IFERROR(__xludf.DUMMYFUNCTION("""COMPUTED_VALUE"""),2.3)</f>
        <v>2.3</v>
      </c>
      <c r="L347" s="24">
        <f>IFERROR(__xludf.DUMMYFUNCTION("""COMPUTED_VALUE"""),36.0)</f>
        <v>36</v>
      </c>
      <c r="M347" s="25" t="str">
        <f>IFERROR(__xludf.DUMMYFUNCTION("""COMPUTED_VALUE"""),"Sports")</f>
        <v>Sports</v>
      </c>
      <c r="N347" s="25"/>
      <c r="O347" s="26" t="str">
        <f>IFERROR(__xludf.DUMMYFUNCTION("""COMPUTED_VALUE"""),"No")</f>
        <v>No</v>
      </c>
      <c r="P347" s="26"/>
    </row>
    <row r="348">
      <c r="A348" s="13" t="str">
        <f>IFERROR(__xludf.DUMMYFUNCTION("""COMPUTED_VALUE"""),"MotoGP 23")</f>
        <v>MotoGP 23</v>
      </c>
      <c r="B348" s="15" t="str">
        <f>IFERROR(__xludf.DUMMYFUNCTION("""COMPUTED_VALUE"""),"PS5/PS4")</f>
        <v>PS5/PS4</v>
      </c>
      <c r="C348" s="16" t="str">
        <f>IFERROR(__xludf.DUMMYFUNCTION("""COMPUTED_VALUE"""),"Extra")</f>
        <v>Extra</v>
      </c>
      <c r="D348" s="15" t="str">
        <f>IFERROR(__xludf.DUMMYFUNCTION("""COMPUTED_VALUE"""),"Removed")</f>
        <v>Removed</v>
      </c>
      <c r="E348" s="17">
        <f>IFERROR(__xludf.DUMMYFUNCTION("""COMPUTED_VALUE"""),45279.0)</f>
        <v>45279</v>
      </c>
      <c r="F348" s="54">
        <f>IFERROR(__xludf.DUMMYFUNCTION("""COMPUTED_VALUE"""),45460.0)</f>
        <v>45460</v>
      </c>
      <c r="G348" s="19">
        <f>IFERROR(__xludf.DUMMYFUNCTION("""COMPUTED_VALUE"""),5.933333333333334)</f>
        <v>5.933333333</v>
      </c>
      <c r="H348" s="17">
        <f>IFERROR(__xludf.DUMMYFUNCTION("""COMPUTED_VALUE"""),45085.0)</f>
        <v>45085</v>
      </c>
      <c r="I348" s="19">
        <f>IFERROR(__xludf.DUMMYFUNCTION("""COMPUTED_VALUE"""),0.5305555555555556)</f>
        <v>0.5305555556</v>
      </c>
      <c r="J348" s="21">
        <f>IFERROR(__xludf.DUMMYFUNCTION("""COMPUTED_VALUE"""),74.0)</f>
        <v>74</v>
      </c>
      <c r="K348" s="23">
        <f>IFERROR(__xludf.DUMMYFUNCTION("""COMPUTED_VALUE"""),7.1)</f>
        <v>7.1</v>
      </c>
      <c r="L348" s="24">
        <f>IFERROR(__xludf.DUMMYFUNCTION("""COMPUTED_VALUE"""),7.0)</f>
        <v>7</v>
      </c>
      <c r="M348" s="25" t="str">
        <f>IFERROR(__xludf.DUMMYFUNCTION("""COMPUTED_VALUE"""),"Racing")</f>
        <v>Racing</v>
      </c>
      <c r="N348" s="25"/>
      <c r="O348" s="26" t="str">
        <f>IFERROR(__xludf.DUMMYFUNCTION("""COMPUTED_VALUE"""),"Yes")</f>
        <v>Yes</v>
      </c>
      <c r="P348" s="26"/>
    </row>
    <row r="349">
      <c r="A349" s="13" t="str">
        <f>IFERROR(__xludf.DUMMYFUNCTION("""COMPUTED_VALUE"""),"Monster Jam: Steel Titans")</f>
        <v>Monster Jam: Steel Titans</v>
      </c>
      <c r="B349" s="15" t="str">
        <f>IFERROR(__xludf.DUMMYFUNCTION("""COMPUTED_VALUE"""),"PS4")</f>
        <v>PS4</v>
      </c>
      <c r="C349" s="16" t="str">
        <f>IFERROR(__xludf.DUMMYFUNCTION("""COMPUTED_VALUE"""),"Extra")</f>
        <v>Extra</v>
      </c>
      <c r="D349" s="15" t="str">
        <f>IFERROR(__xludf.DUMMYFUNCTION("""COMPUTED_VALUE"""),"Removed")</f>
        <v>Removed</v>
      </c>
      <c r="E349" s="17">
        <f>IFERROR(__xludf.DUMMYFUNCTION("""COMPUTED_VALUE"""),45125.0)</f>
        <v>45125</v>
      </c>
      <c r="F349" s="54">
        <f>IFERROR(__xludf.DUMMYFUNCTION("""COMPUTED_VALUE"""),45460.0)</f>
        <v>45460</v>
      </c>
      <c r="G349" s="19">
        <f>IFERROR(__xludf.DUMMYFUNCTION("""COMPUTED_VALUE"""),10.966666666666667)</f>
        <v>10.96666667</v>
      </c>
      <c r="H349" s="17">
        <f>IFERROR(__xludf.DUMMYFUNCTION("""COMPUTED_VALUE"""),43641.0)</f>
        <v>43641</v>
      </c>
      <c r="I349" s="19">
        <f>IFERROR(__xludf.DUMMYFUNCTION("""COMPUTED_VALUE"""),4.063888888888889)</f>
        <v>4.063888889</v>
      </c>
      <c r="J349" s="21">
        <f>IFERROR(__xludf.DUMMYFUNCTION("""COMPUTED_VALUE"""),53.0)</f>
        <v>53</v>
      </c>
      <c r="K349" s="23">
        <f>IFERROR(__xludf.DUMMYFUNCTION("""COMPUTED_VALUE"""),4.3)</f>
        <v>4.3</v>
      </c>
      <c r="L349" s="24">
        <f>IFERROR(__xludf.DUMMYFUNCTION("""COMPUTED_VALUE"""),8.0)</f>
        <v>8</v>
      </c>
      <c r="M349" s="25" t="str">
        <f>IFERROR(__xludf.DUMMYFUNCTION("""COMPUTED_VALUE"""),"Racing")</f>
        <v>Racing</v>
      </c>
      <c r="N349" s="25"/>
      <c r="O349" s="26" t="str">
        <f>IFERROR(__xludf.DUMMYFUNCTION("""COMPUTED_VALUE"""),"Yes")</f>
        <v>Yes</v>
      </c>
      <c r="P349" s="26"/>
    </row>
    <row r="350">
      <c r="A350" s="13" t="str">
        <f>IFERROR(__xludf.DUMMYFUNCTION("""COMPUTED_VALUE"""),"SpongeBob SquarePants: Battle for Bikini Bottom - Rehydrated")</f>
        <v>SpongeBob SquarePants: Battle for Bikini Bottom - Rehydrated</v>
      </c>
      <c r="B350" s="15" t="str">
        <f>IFERROR(__xludf.DUMMYFUNCTION("""COMPUTED_VALUE"""),"PS4")</f>
        <v>PS4</v>
      </c>
      <c r="C350" s="16" t="str">
        <f>IFERROR(__xludf.DUMMYFUNCTION("""COMPUTED_VALUE"""),"Extra")</f>
        <v>Extra</v>
      </c>
      <c r="D350" s="15" t="str">
        <f>IFERROR(__xludf.DUMMYFUNCTION("""COMPUTED_VALUE"""),"Removed")</f>
        <v>Removed</v>
      </c>
      <c r="E350" s="17">
        <f>IFERROR(__xludf.DUMMYFUNCTION("""COMPUTED_VALUE"""),45125.0)</f>
        <v>45125</v>
      </c>
      <c r="F350" s="54">
        <f>IFERROR(__xludf.DUMMYFUNCTION("""COMPUTED_VALUE"""),45460.0)</f>
        <v>45460</v>
      </c>
      <c r="G350" s="19">
        <f>IFERROR(__xludf.DUMMYFUNCTION("""COMPUTED_VALUE"""),10.966666666666667)</f>
        <v>10.96666667</v>
      </c>
      <c r="H350" s="17">
        <f>IFERROR(__xludf.DUMMYFUNCTION("""COMPUTED_VALUE"""),44005.0)</f>
        <v>44005</v>
      </c>
      <c r="I350" s="19">
        <f>IFERROR(__xludf.DUMMYFUNCTION("""COMPUTED_VALUE"""),3.0694444444444446)</f>
        <v>3.069444444</v>
      </c>
      <c r="J350" s="21">
        <f>IFERROR(__xludf.DUMMYFUNCTION("""COMPUTED_VALUE"""),68.0)</f>
        <v>68</v>
      </c>
      <c r="K350" s="23">
        <f>IFERROR(__xludf.DUMMYFUNCTION("""COMPUTED_VALUE"""),8.9)</f>
        <v>8.9</v>
      </c>
      <c r="L350" s="24">
        <f>IFERROR(__xludf.DUMMYFUNCTION("""COMPUTED_VALUE"""),9.0)</f>
        <v>9</v>
      </c>
      <c r="M350" s="25" t="str">
        <f>IFERROR(__xludf.DUMMYFUNCTION("""COMPUTED_VALUE"""),"Platformer")</f>
        <v>Platformer</v>
      </c>
      <c r="N350" s="25"/>
      <c r="O350" s="26" t="str">
        <f>IFERROR(__xludf.DUMMYFUNCTION("""COMPUTED_VALUE"""),"Yes")</f>
        <v>Yes</v>
      </c>
      <c r="P350" s="26"/>
    </row>
    <row r="351">
      <c r="A351" s="13" t="str">
        <f>IFERROR(__xludf.DUMMYFUNCTION("""COMPUTED_VALUE"""),"DC League of Super-Pets: The Adventures of Krypto and Ace")</f>
        <v>DC League of Super-Pets: The Adventures of Krypto and Ace</v>
      </c>
      <c r="B351" s="15" t="str">
        <f>IFERROR(__xludf.DUMMYFUNCTION("""COMPUTED_VALUE"""),"PS5/PS4")</f>
        <v>PS5/PS4</v>
      </c>
      <c r="C351" s="16" t="str">
        <f>IFERROR(__xludf.DUMMYFUNCTION("""COMPUTED_VALUE"""),"Extra")</f>
        <v>Extra</v>
      </c>
      <c r="D351" s="15" t="str">
        <f>IFERROR(__xludf.DUMMYFUNCTION("""COMPUTED_VALUE"""),"Removed")</f>
        <v>Removed</v>
      </c>
      <c r="E351" s="17">
        <f>IFERROR(__xludf.DUMMYFUNCTION("""COMPUTED_VALUE"""),45097.0)</f>
        <v>45097</v>
      </c>
      <c r="F351" s="54">
        <f>IFERROR(__xludf.DUMMYFUNCTION("""COMPUTED_VALUE"""),45460.0)</f>
        <v>45460</v>
      </c>
      <c r="G351" s="19">
        <f>IFERROR(__xludf.DUMMYFUNCTION("""COMPUTED_VALUE"""),11.9)</f>
        <v>11.9</v>
      </c>
      <c r="H351" s="17">
        <f>IFERROR(__xludf.DUMMYFUNCTION("""COMPUTED_VALUE"""),44757.0)</f>
        <v>44757</v>
      </c>
      <c r="I351" s="19">
        <f>IFERROR(__xludf.DUMMYFUNCTION("""COMPUTED_VALUE"""),0.9305555555555556)</f>
        <v>0.9305555556</v>
      </c>
      <c r="J351" s="21">
        <f>IFERROR(__xludf.DUMMYFUNCTION("""COMPUTED_VALUE"""),60.0)</f>
        <v>60</v>
      </c>
      <c r="K351" s="23">
        <f>IFERROR(__xludf.DUMMYFUNCTION("""COMPUTED_VALUE"""),3.5)</f>
        <v>3.5</v>
      </c>
      <c r="L351" s="24">
        <f>IFERROR(__xludf.DUMMYFUNCTION("""COMPUTED_VALUE"""),3.0)</f>
        <v>3</v>
      </c>
      <c r="M351" s="25" t="str">
        <f>IFERROR(__xludf.DUMMYFUNCTION("""COMPUTED_VALUE"""),"Action-Adventure")</f>
        <v>Action-Adventure</v>
      </c>
      <c r="N351" s="25"/>
      <c r="O351" s="26" t="str">
        <f>IFERROR(__xludf.DUMMYFUNCTION("""COMPUTED_VALUE"""),"Yes")</f>
        <v>Yes</v>
      </c>
      <c r="P351" s="26"/>
    </row>
    <row r="352">
      <c r="A352" s="13" t="str">
        <f>IFERROR(__xludf.DUMMYFUNCTION("""COMPUTED_VALUE"""),"Dodgeball Academia")</f>
        <v>Dodgeball Academia</v>
      </c>
      <c r="B352" s="15" t="str">
        <f>IFERROR(__xludf.DUMMYFUNCTION("""COMPUTED_VALUE"""),"PS4")</f>
        <v>PS4</v>
      </c>
      <c r="C352" s="16" t="str">
        <f>IFERROR(__xludf.DUMMYFUNCTION("""COMPUTED_VALUE"""),"Extra")</f>
        <v>Extra</v>
      </c>
      <c r="D352" s="15" t="str">
        <f>IFERROR(__xludf.DUMMYFUNCTION("""COMPUTED_VALUE"""),"Removed")</f>
        <v>Removed</v>
      </c>
      <c r="E352" s="17">
        <f>IFERROR(__xludf.DUMMYFUNCTION("""COMPUTED_VALUE"""),45097.0)</f>
        <v>45097</v>
      </c>
      <c r="F352" s="54">
        <f>IFERROR(__xludf.DUMMYFUNCTION("""COMPUTED_VALUE"""),45460.0)</f>
        <v>45460</v>
      </c>
      <c r="G352" s="19">
        <f>IFERROR(__xludf.DUMMYFUNCTION("""COMPUTED_VALUE"""),11.9)</f>
        <v>11.9</v>
      </c>
      <c r="H352" s="17">
        <f>IFERROR(__xludf.DUMMYFUNCTION("""COMPUTED_VALUE"""),44413.0)</f>
        <v>44413</v>
      </c>
      <c r="I352" s="19">
        <f>IFERROR(__xludf.DUMMYFUNCTION("""COMPUTED_VALUE"""),1.875)</f>
        <v>1.875</v>
      </c>
      <c r="J352" s="21">
        <f>IFERROR(__xludf.DUMMYFUNCTION("""COMPUTED_VALUE"""),81.0)</f>
        <v>81</v>
      </c>
      <c r="K352" s="23">
        <f>IFERROR(__xludf.DUMMYFUNCTION("""COMPUTED_VALUE"""),8.0)</f>
        <v>8</v>
      </c>
      <c r="L352" s="24">
        <f>IFERROR(__xludf.DUMMYFUNCTION("""COMPUTED_VALUE"""),10.0)</f>
        <v>10</v>
      </c>
      <c r="M352" s="25" t="str">
        <f>IFERROR(__xludf.DUMMYFUNCTION("""COMPUTED_VALUE"""),"Sports")</f>
        <v>Sports</v>
      </c>
      <c r="N352" s="25"/>
      <c r="O352" s="26" t="str">
        <f>IFERROR(__xludf.DUMMYFUNCTION("""COMPUTED_VALUE"""),"Yes")</f>
        <v>Yes</v>
      </c>
      <c r="P352" s="26"/>
    </row>
    <row r="353">
      <c r="A353" s="13" t="str">
        <f>IFERROR(__xludf.DUMMYFUNCTION("""COMPUTED_VALUE"""),"The Talos Principle: Deluxe Edition")</f>
        <v>The Talos Principle: Deluxe Edition</v>
      </c>
      <c r="B353" s="15" t="str">
        <f>IFERROR(__xludf.DUMMYFUNCTION("""COMPUTED_VALUE"""),"PS4")</f>
        <v>PS4</v>
      </c>
      <c r="C353" s="16" t="str">
        <f>IFERROR(__xludf.DUMMYFUNCTION("""COMPUTED_VALUE"""),"Extra")</f>
        <v>Extra</v>
      </c>
      <c r="D353" s="15" t="str">
        <f>IFERROR(__xludf.DUMMYFUNCTION("""COMPUTED_VALUE"""),"Removed")</f>
        <v>Removed</v>
      </c>
      <c r="E353" s="17">
        <f>IFERROR(__xludf.DUMMYFUNCTION("""COMPUTED_VALUE"""),45097.0)</f>
        <v>45097</v>
      </c>
      <c r="F353" s="54">
        <f>IFERROR(__xludf.DUMMYFUNCTION("""COMPUTED_VALUE"""),45460.0)</f>
        <v>45460</v>
      </c>
      <c r="G353" s="19">
        <f>IFERROR(__xludf.DUMMYFUNCTION("""COMPUTED_VALUE"""),11.9)</f>
        <v>11.9</v>
      </c>
      <c r="H353" s="17">
        <f>IFERROR(__xludf.DUMMYFUNCTION("""COMPUTED_VALUE"""),42290.0)</f>
        <v>42290</v>
      </c>
      <c r="I353" s="19">
        <f>IFERROR(__xludf.DUMMYFUNCTION("""COMPUTED_VALUE"""),7.686111111111111)</f>
        <v>7.686111111</v>
      </c>
      <c r="J353" s="21">
        <f>IFERROR(__xludf.DUMMYFUNCTION("""COMPUTED_VALUE"""),88.0)</f>
        <v>88</v>
      </c>
      <c r="K353" s="23">
        <f>IFERROR(__xludf.DUMMYFUNCTION("""COMPUTED_VALUE"""),8.2)</f>
        <v>8.2</v>
      </c>
      <c r="L353" s="24">
        <f>IFERROR(__xludf.DUMMYFUNCTION("""COMPUTED_VALUE"""),16.0)</f>
        <v>16</v>
      </c>
      <c r="M353" s="25" t="str">
        <f>IFERROR(__xludf.DUMMYFUNCTION("""COMPUTED_VALUE"""),"Action-Adventure")</f>
        <v>Action-Adventure</v>
      </c>
      <c r="N353" s="25"/>
      <c r="O353" s="26" t="str">
        <f>IFERROR(__xludf.DUMMYFUNCTION("""COMPUTED_VALUE"""),"Yes")</f>
        <v>Yes</v>
      </c>
      <c r="P353" s="26"/>
    </row>
    <row r="354">
      <c r="A354" s="13" t="str">
        <f>IFERROR(__xludf.DUMMYFUNCTION("""COMPUTED_VALUE"""),"The Wild at Heart")</f>
        <v>The Wild at Heart</v>
      </c>
      <c r="B354" s="15" t="str">
        <f>IFERROR(__xludf.DUMMYFUNCTION("""COMPUTED_VALUE"""),"PS4")</f>
        <v>PS4</v>
      </c>
      <c r="C354" s="16" t="str">
        <f>IFERROR(__xludf.DUMMYFUNCTION("""COMPUTED_VALUE"""),"Extra")</f>
        <v>Extra</v>
      </c>
      <c r="D354" s="15" t="str">
        <f>IFERROR(__xludf.DUMMYFUNCTION("""COMPUTED_VALUE"""),"Removed")</f>
        <v>Removed</v>
      </c>
      <c r="E354" s="17">
        <f>IFERROR(__xludf.DUMMYFUNCTION("""COMPUTED_VALUE"""),45097.0)</f>
        <v>45097</v>
      </c>
      <c r="F354" s="18">
        <f>IFERROR(__xludf.DUMMYFUNCTION("""COMPUTED_VALUE"""),45460.0)</f>
        <v>45460</v>
      </c>
      <c r="G354" s="19">
        <f>IFERROR(__xludf.DUMMYFUNCTION("""COMPUTED_VALUE"""),11.9)</f>
        <v>11.9</v>
      </c>
      <c r="H354" s="17">
        <f>IFERROR(__xludf.DUMMYFUNCTION("""COMPUTED_VALUE"""),44516.0)</f>
        <v>44516</v>
      </c>
      <c r="I354" s="19">
        <f>IFERROR(__xludf.DUMMYFUNCTION("""COMPUTED_VALUE"""),1.5944444444444446)</f>
        <v>1.594444444</v>
      </c>
      <c r="J354" s="21">
        <f>IFERROR(__xludf.DUMMYFUNCTION("""COMPUTED_VALUE"""),75.0)</f>
        <v>75</v>
      </c>
      <c r="K354" s="23">
        <f>IFERROR(__xludf.DUMMYFUNCTION("""COMPUTED_VALUE"""),8.0)</f>
        <v>8</v>
      </c>
      <c r="L354" s="24">
        <f>IFERROR(__xludf.DUMMYFUNCTION("""COMPUTED_VALUE"""),11.0)</f>
        <v>11</v>
      </c>
      <c r="M354" s="25" t="str">
        <f>IFERROR(__xludf.DUMMYFUNCTION("""COMPUTED_VALUE"""),"Action-Adventure")</f>
        <v>Action-Adventure</v>
      </c>
      <c r="N354" s="25"/>
      <c r="O354" s="26" t="str">
        <f>IFERROR(__xludf.DUMMYFUNCTION("""COMPUTED_VALUE"""),"Yes")</f>
        <v>Yes</v>
      </c>
      <c r="P354" s="26"/>
    </row>
    <row r="355">
      <c r="A355" s="13" t="str">
        <f>IFERROR(__xludf.DUMMYFUNCTION("""COMPUTED_VALUE"""),"Brothers: A Tale of Two Sons")</f>
        <v>Brothers: A Tale of Two Sons</v>
      </c>
      <c r="B355" s="15" t="str">
        <f>IFERROR(__xludf.DUMMYFUNCTION("""COMPUTED_VALUE"""),"PS4")</f>
        <v>PS4</v>
      </c>
      <c r="C355" s="16" t="str">
        <f>IFERROR(__xludf.DUMMYFUNCTION("""COMPUTED_VALUE"""),"Extra")</f>
        <v>Extra</v>
      </c>
      <c r="D355" s="15" t="str">
        <f>IFERROR(__xludf.DUMMYFUNCTION("""COMPUTED_VALUE"""),"Removed")</f>
        <v>Removed</v>
      </c>
      <c r="E355" s="17">
        <f>IFERROR(__xludf.DUMMYFUNCTION("""COMPUTED_VALUE"""),44725.0)</f>
        <v>44725</v>
      </c>
      <c r="F355" s="54">
        <f>IFERROR(__xludf.DUMMYFUNCTION("""COMPUTED_VALUE"""),45460.0)</f>
        <v>45460</v>
      </c>
      <c r="G355" s="19">
        <f>IFERROR(__xludf.DUMMYFUNCTION("""COMPUTED_VALUE"""),24.133333333333333)</f>
        <v>24.13333333</v>
      </c>
      <c r="H355" s="17">
        <f>IFERROR(__xludf.DUMMYFUNCTION("""COMPUTED_VALUE"""),41493.0)</f>
        <v>41493</v>
      </c>
      <c r="I355" s="19">
        <f>IFERROR(__xludf.DUMMYFUNCTION("""COMPUTED_VALUE"""),8.85)</f>
        <v>8.85</v>
      </c>
      <c r="J355" s="21">
        <f>IFERROR(__xludf.DUMMYFUNCTION("""COMPUTED_VALUE"""),77.0)</f>
        <v>77</v>
      </c>
      <c r="K355" s="23">
        <f>IFERROR(__xludf.DUMMYFUNCTION("""COMPUTED_VALUE"""),8.6)</f>
        <v>8.6</v>
      </c>
      <c r="L355" s="24">
        <f>IFERROR(__xludf.DUMMYFUNCTION("""COMPUTED_VALUE"""),3.0)</f>
        <v>3</v>
      </c>
      <c r="M355" s="25" t="str">
        <f>IFERROR(__xludf.DUMMYFUNCTION("""COMPUTED_VALUE"""),"Puzzle")</f>
        <v>Puzzle</v>
      </c>
      <c r="N355" s="25"/>
      <c r="O355" s="26" t="str">
        <f>IFERROR(__xludf.DUMMYFUNCTION("""COMPUTED_VALUE"""),"Yes")</f>
        <v>Yes</v>
      </c>
      <c r="P355" s="26"/>
    </row>
    <row r="356">
      <c r="A356" s="13" t="str">
        <f>IFERROR(__xludf.DUMMYFUNCTION("""COMPUTED_VALUE"""),"Slime Rancher")</f>
        <v>Slime Rancher</v>
      </c>
      <c r="B356" s="15" t="str">
        <f>IFERROR(__xludf.DUMMYFUNCTION("""COMPUTED_VALUE"""),"PS4")</f>
        <v>PS4</v>
      </c>
      <c r="C356" s="16" t="str">
        <f>IFERROR(__xludf.DUMMYFUNCTION("""COMPUTED_VALUE"""),"Extra")</f>
        <v>Extra</v>
      </c>
      <c r="D356" s="15" t="str">
        <f>IFERROR(__xludf.DUMMYFUNCTION("""COMPUTED_VALUE"""),"Removed")</f>
        <v>Removed</v>
      </c>
      <c r="E356" s="17">
        <f>IFERROR(__xludf.DUMMYFUNCTION("""COMPUTED_VALUE"""),44725.0)</f>
        <v>44725</v>
      </c>
      <c r="F356" s="18">
        <f>IFERROR(__xludf.DUMMYFUNCTION("""COMPUTED_VALUE"""),45460.0)</f>
        <v>45460</v>
      </c>
      <c r="G356" s="19">
        <f>IFERROR(__xludf.DUMMYFUNCTION("""COMPUTED_VALUE"""),24.133333333333333)</f>
        <v>24.13333333</v>
      </c>
      <c r="H356" s="17">
        <f>IFERROR(__xludf.DUMMYFUNCTION("""COMPUTED_VALUE"""),42948.0)</f>
        <v>42948</v>
      </c>
      <c r="I356" s="19">
        <f>IFERROR(__xludf.DUMMYFUNCTION("""COMPUTED_VALUE"""),4.866666666666666)</f>
        <v>4.866666667</v>
      </c>
      <c r="J356" s="21">
        <f>IFERROR(__xludf.DUMMYFUNCTION("""COMPUTED_VALUE"""),80.0)</f>
        <v>80</v>
      </c>
      <c r="K356" s="23">
        <f>IFERROR(__xludf.DUMMYFUNCTION("""COMPUTED_VALUE"""),8.0)</f>
        <v>8</v>
      </c>
      <c r="L356" s="24">
        <f>IFERROR(__xludf.DUMMYFUNCTION("""COMPUTED_VALUE"""),17.0)</f>
        <v>17</v>
      </c>
      <c r="M356" s="25" t="str">
        <f>IFERROR(__xludf.DUMMYFUNCTION("""COMPUTED_VALUE"""),"Strategy")</f>
        <v>Strategy</v>
      </c>
      <c r="N356" s="25"/>
      <c r="O356" s="26" t="str">
        <f>IFERROR(__xludf.DUMMYFUNCTION("""COMPUTED_VALUE"""),"Yes")</f>
        <v>Yes</v>
      </c>
      <c r="P356" s="26"/>
    </row>
    <row r="357">
      <c r="A357" s="13" t="str">
        <f>IFERROR(__xludf.DUMMYFUNCTION("""COMPUTED_VALUE"""),"Telling Lies")</f>
        <v>Telling Lies</v>
      </c>
      <c r="B357" s="15" t="str">
        <f>IFERROR(__xludf.DUMMYFUNCTION("""COMPUTED_VALUE"""),"PS4")</f>
        <v>PS4</v>
      </c>
      <c r="C357" s="16" t="str">
        <f>IFERROR(__xludf.DUMMYFUNCTION("""COMPUTED_VALUE"""),"Extra")</f>
        <v>Extra</v>
      </c>
      <c r="D357" s="15" t="str">
        <f>IFERROR(__xludf.DUMMYFUNCTION("""COMPUTED_VALUE"""),"Removed")</f>
        <v>Removed</v>
      </c>
      <c r="E357" s="17">
        <f>IFERROR(__xludf.DUMMYFUNCTION("""COMPUTED_VALUE"""),44725.0)</f>
        <v>44725</v>
      </c>
      <c r="F357" s="54">
        <f>IFERROR(__xludf.DUMMYFUNCTION("""COMPUTED_VALUE"""),45460.0)</f>
        <v>45460</v>
      </c>
      <c r="G357" s="19">
        <f>IFERROR(__xludf.DUMMYFUNCTION("""COMPUTED_VALUE"""),24.133333333333333)</f>
        <v>24.13333333</v>
      </c>
      <c r="H357" s="17">
        <f>IFERROR(__xludf.DUMMYFUNCTION("""COMPUTED_VALUE"""),43700.0)</f>
        <v>43700</v>
      </c>
      <c r="I357" s="19">
        <f>IFERROR(__xludf.DUMMYFUNCTION("""COMPUTED_VALUE"""),2.8055555555555554)</f>
        <v>2.805555556</v>
      </c>
      <c r="J357" s="21">
        <f>IFERROR(__xludf.DUMMYFUNCTION("""COMPUTED_VALUE"""),79.0)</f>
        <v>79</v>
      </c>
      <c r="K357" s="23">
        <f>IFERROR(__xludf.DUMMYFUNCTION("""COMPUTED_VALUE"""),6.9)</f>
        <v>6.9</v>
      </c>
      <c r="L357" s="24">
        <f>IFERROR(__xludf.DUMMYFUNCTION("""COMPUTED_VALUE"""),5.0)</f>
        <v>5</v>
      </c>
      <c r="M357" s="25" t="str">
        <f>IFERROR(__xludf.DUMMYFUNCTION("""COMPUTED_VALUE"""),"Interactive Story")</f>
        <v>Interactive Story</v>
      </c>
      <c r="N357" s="25"/>
      <c r="O357" s="26" t="str">
        <f>IFERROR(__xludf.DUMMYFUNCTION("""COMPUTED_VALUE"""),"Yes")</f>
        <v>Yes</v>
      </c>
      <c r="P357" s="26"/>
    </row>
    <row r="358">
      <c r="A358" s="13" t="str">
        <f>IFERROR(__xludf.DUMMYFUNCTION("""COMPUTED_VALUE"""),"Unturned")</f>
        <v>Unturned</v>
      </c>
      <c r="B358" s="15" t="str">
        <f>IFERROR(__xludf.DUMMYFUNCTION("""COMPUTED_VALUE"""),"PS4")</f>
        <v>PS4</v>
      </c>
      <c r="C358" s="16" t="str">
        <f>IFERROR(__xludf.DUMMYFUNCTION("""COMPUTED_VALUE"""),"Extra")</f>
        <v>Extra</v>
      </c>
      <c r="D358" s="15" t="str">
        <f>IFERROR(__xludf.DUMMYFUNCTION("""COMPUTED_VALUE"""),"Removed")</f>
        <v>Removed</v>
      </c>
      <c r="E358" s="17">
        <f>IFERROR(__xludf.DUMMYFUNCTION("""COMPUTED_VALUE"""),44725.0)</f>
        <v>44725</v>
      </c>
      <c r="F358" s="54">
        <f>IFERROR(__xludf.DUMMYFUNCTION("""COMPUTED_VALUE"""),45460.0)</f>
        <v>45460</v>
      </c>
      <c r="G358" s="19">
        <f>IFERROR(__xludf.DUMMYFUNCTION("""COMPUTED_VALUE"""),24.133333333333333)</f>
        <v>24.13333333</v>
      </c>
      <c r="H358" s="17">
        <f>IFERROR(__xludf.DUMMYFUNCTION("""COMPUTED_VALUE"""),41827.0)</f>
        <v>41827</v>
      </c>
      <c r="I358" s="19">
        <f>IFERROR(__xludf.DUMMYFUNCTION("""COMPUTED_VALUE"""),7.933333333333334)</f>
        <v>7.933333333</v>
      </c>
      <c r="J358" s="21">
        <f>IFERROR(__xludf.DUMMYFUNCTION("""COMPUTED_VALUE"""),50.0)</f>
        <v>50</v>
      </c>
      <c r="K358" s="23">
        <f>IFERROR(__xludf.DUMMYFUNCTION("""COMPUTED_VALUE"""),5.5)</f>
        <v>5.5</v>
      </c>
      <c r="L358" s="24"/>
      <c r="M358" s="25" t="str">
        <f>IFERROR(__xludf.DUMMYFUNCTION("""COMPUTED_VALUE"""),"Survival")</f>
        <v>Survival</v>
      </c>
      <c r="N358" s="25"/>
      <c r="O358" s="26" t="str">
        <f>IFERROR(__xludf.DUMMYFUNCTION("""COMPUTED_VALUE"""),"Yes")</f>
        <v>Yes</v>
      </c>
      <c r="P358" s="26"/>
    </row>
    <row r="359">
      <c r="A359" s="13" t="str">
        <f>IFERROR(__xludf.DUMMYFUNCTION("""COMPUTED_VALUE"""),"Baja: Edge of Control HD")</f>
        <v>Baja: Edge of Control HD</v>
      </c>
      <c r="B359" s="15" t="str">
        <f>IFERROR(__xludf.DUMMYFUNCTION("""COMPUTED_VALUE"""),"PS4")</f>
        <v>PS4</v>
      </c>
      <c r="C359" s="16" t="str">
        <f>IFERROR(__xludf.DUMMYFUNCTION("""COMPUTED_VALUE"""),"Premium (Remasters)")</f>
        <v>Premium (Remasters)</v>
      </c>
      <c r="D359" s="15" t="str">
        <f>IFERROR(__xludf.DUMMYFUNCTION("""COMPUTED_VALUE"""),"Removed")</f>
        <v>Removed</v>
      </c>
      <c r="E359" s="17">
        <f>IFERROR(__xludf.DUMMYFUNCTION("""COMPUTED_VALUE"""),44725.0)</f>
        <v>44725</v>
      </c>
      <c r="F359" s="54">
        <f>IFERROR(__xludf.DUMMYFUNCTION("""COMPUTED_VALUE"""),45460.0)</f>
        <v>45460</v>
      </c>
      <c r="G359" s="19">
        <f>IFERROR(__xludf.DUMMYFUNCTION("""COMPUTED_VALUE"""),24.133333333333333)</f>
        <v>24.13333333</v>
      </c>
      <c r="H359" s="17">
        <f>IFERROR(__xludf.DUMMYFUNCTION("""COMPUTED_VALUE"""),42979.0)</f>
        <v>42979</v>
      </c>
      <c r="I359" s="19">
        <f>IFERROR(__xludf.DUMMYFUNCTION("""COMPUTED_VALUE"""),4.783333333333333)</f>
        <v>4.783333333</v>
      </c>
      <c r="J359" s="21">
        <f>IFERROR(__xludf.DUMMYFUNCTION("""COMPUTED_VALUE"""),65.0)</f>
        <v>65</v>
      </c>
      <c r="K359" s="23">
        <f>IFERROR(__xludf.DUMMYFUNCTION("""COMPUTED_VALUE"""),6.4)</f>
        <v>6.4</v>
      </c>
      <c r="L359" s="24">
        <f>IFERROR(__xludf.DUMMYFUNCTION("""COMPUTED_VALUE"""),12.0)</f>
        <v>12</v>
      </c>
      <c r="M359" s="25" t="str">
        <f>IFERROR(__xludf.DUMMYFUNCTION("""COMPUTED_VALUE"""),"Racing")</f>
        <v>Racing</v>
      </c>
      <c r="N359" s="25" t="str">
        <f>IFERROR(__xludf.DUMMYFUNCTION("""COMPUTED_VALUE"""),"PS3")</f>
        <v>PS3</v>
      </c>
      <c r="O359" s="26" t="str">
        <f>IFERROR(__xludf.DUMMYFUNCTION("""COMPUTED_VALUE"""),"Yes")</f>
        <v>Yes</v>
      </c>
      <c r="P359" s="26" t="str">
        <f>IFERROR(__xludf.DUMMYFUNCTION("""COMPUTED_VALUE"""),"Yes")</f>
        <v>Yes</v>
      </c>
    </row>
    <row r="360">
      <c r="A360" s="13" t="str">
        <f>IFERROR(__xludf.DUMMYFUNCTION("""COMPUTED_VALUE"""),"Indivisible")</f>
        <v>Indivisible</v>
      </c>
      <c r="B360" s="15" t="str">
        <f>IFERROR(__xludf.DUMMYFUNCTION("""COMPUTED_VALUE"""),"PS4")</f>
        <v>PS4</v>
      </c>
      <c r="C360" s="16" t="str">
        <f>IFERROR(__xludf.DUMMYFUNCTION("""COMPUTED_VALUE"""),"Extra")</f>
        <v>Extra</v>
      </c>
      <c r="D360" s="15" t="str">
        <f>IFERROR(__xludf.DUMMYFUNCTION("""COMPUTED_VALUE"""),"Removed")</f>
        <v>Removed</v>
      </c>
      <c r="E360" s="17">
        <f>IFERROR(__xludf.DUMMYFUNCTION("""COMPUTED_VALUE"""),44446.0)</f>
        <v>44446</v>
      </c>
      <c r="F360" s="18">
        <f>IFERROR(__xludf.DUMMYFUNCTION("""COMPUTED_VALUE"""),45460.0)</f>
        <v>45460</v>
      </c>
      <c r="G360" s="19">
        <f>IFERROR(__xludf.DUMMYFUNCTION("""COMPUTED_VALUE"""),33.33333333333333)</f>
        <v>33.33333333</v>
      </c>
      <c r="H360" s="17">
        <f>IFERROR(__xludf.DUMMYFUNCTION("""COMPUTED_VALUE"""),43746.0)</f>
        <v>43746</v>
      </c>
      <c r="I360" s="19">
        <f>IFERROR(__xludf.DUMMYFUNCTION("""COMPUTED_VALUE"""),1.913888888888889)</f>
        <v>1.913888889</v>
      </c>
      <c r="J360" s="21">
        <f>IFERROR(__xludf.DUMMYFUNCTION("""COMPUTED_VALUE"""),79.0)</f>
        <v>79</v>
      </c>
      <c r="K360" s="23">
        <f>IFERROR(__xludf.DUMMYFUNCTION("""COMPUTED_VALUE"""),7.4)</f>
        <v>7.4</v>
      </c>
      <c r="L360" s="24">
        <f>IFERROR(__xludf.DUMMYFUNCTION("""COMPUTED_VALUE"""),18.5)</f>
        <v>18.5</v>
      </c>
      <c r="M360" s="25" t="str">
        <f>IFERROR(__xludf.DUMMYFUNCTION("""COMPUTED_VALUE"""),"Platformer")</f>
        <v>Platformer</v>
      </c>
      <c r="N360" s="25"/>
      <c r="O360" s="26" t="str">
        <f>IFERROR(__xludf.DUMMYFUNCTION("""COMPUTED_VALUE"""),"Yes")</f>
        <v>Yes</v>
      </c>
      <c r="P360" s="26" t="str">
        <f>IFERROR(__xludf.DUMMYFUNCTION("""COMPUTED_VALUE"""),"Yes")</f>
        <v>Yes</v>
      </c>
    </row>
    <row r="361">
      <c r="A361" s="13" t="str">
        <f>IFERROR(__xludf.DUMMYFUNCTION("""COMPUTED_VALUE"""),"Ghostrunner 2")</f>
        <v>Ghostrunner 2</v>
      </c>
      <c r="B361" s="15" t="str">
        <f>IFERROR(__xludf.DUMMYFUNCTION("""COMPUTED_VALUE"""),"PS5")</f>
        <v>PS5</v>
      </c>
      <c r="C361" s="16" t="str">
        <f>IFERROR(__xludf.DUMMYFUNCTION("""COMPUTED_VALUE"""),"Essential")</f>
        <v>Essential</v>
      </c>
      <c r="D361" s="15" t="str">
        <f>IFERROR(__xludf.DUMMYFUNCTION("""COMPUTED_VALUE"""),"Removed")</f>
        <v>Removed</v>
      </c>
      <c r="E361" s="17">
        <f>IFERROR(__xludf.DUMMYFUNCTION("""COMPUTED_VALUE"""),45419.0)</f>
        <v>45419</v>
      </c>
      <c r="F361" s="54">
        <f>IFERROR(__xludf.DUMMYFUNCTION("""COMPUTED_VALUE"""),45446.0)</f>
        <v>45446</v>
      </c>
      <c r="G361" s="19">
        <f>IFERROR(__xludf.DUMMYFUNCTION("""COMPUTED_VALUE"""),0.8666666666666666)</f>
        <v>0.8666666667</v>
      </c>
      <c r="H361" s="17">
        <f>IFERROR(__xludf.DUMMYFUNCTION("""COMPUTED_VALUE"""),45225.0)</f>
        <v>45225</v>
      </c>
      <c r="I361" s="19">
        <f>IFERROR(__xludf.DUMMYFUNCTION("""COMPUTED_VALUE"""),0.5305555555555556)</f>
        <v>0.5305555556</v>
      </c>
      <c r="J361" s="21">
        <f>IFERROR(__xludf.DUMMYFUNCTION("""COMPUTED_VALUE"""),80.0)</f>
        <v>80</v>
      </c>
      <c r="K361" s="23">
        <f>IFERROR(__xludf.DUMMYFUNCTION("""COMPUTED_VALUE"""),7.9)</f>
        <v>7.9</v>
      </c>
      <c r="L361" s="24">
        <f>IFERROR(__xludf.DUMMYFUNCTION("""COMPUTED_VALUE"""),8.0)</f>
        <v>8</v>
      </c>
      <c r="M361" s="25" t="str">
        <f>IFERROR(__xludf.DUMMYFUNCTION("""COMPUTED_VALUE"""),"Platformer")</f>
        <v>Platformer</v>
      </c>
      <c r="N361" s="25"/>
      <c r="O361" s="26" t="str">
        <f>IFERROR(__xludf.DUMMYFUNCTION("""COMPUTED_VALUE"""),"No")</f>
        <v>No</v>
      </c>
      <c r="P361" s="26"/>
    </row>
    <row r="362">
      <c r="A362" s="13" t="str">
        <f>IFERROR(__xludf.DUMMYFUNCTION("""COMPUTED_VALUE"""),"Destiny 2: Lightfall")</f>
        <v>Destiny 2: Lightfall</v>
      </c>
      <c r="B362" s="15" t="str">
        <f>IFERROR(__xludf.DUMMYFUNCTION("""COMPUTED_VALUE"""),"PS5/PS4")</f>
        <v>PS5/PS4</v>
      </c>
      <c r="C362" s="16" t="str">
        <f>IFERROR(__xludf.DUMMYFUNCTION("""COMPUTED_VALUE"""),"Essential")</f>
        <v>Essential</v>
      </c>
      <c r="D362" s="15" t="str">
        <f>IFERROR(__xludf.DUMMYFUNCTION("""COMPUTED_VALUE"""),"Removed")</f>
        <v>Removed</v>
      </c>
      <c r="E362" s="17">
        <f>IFERROR(__xludf.DUMMYFUNCTION("""COMPUTED_VALUE"""),45419.0)</f>
        <v>45419</v>
      </c>
      <c r="F362" s="54">
        <f>IFERROR(__xludf.DUMMYFUNCTION("""COMPUTED_VALUE"""),45446.0)</f>
        <v>45446</v>
      </c>
      <c r="G362" s="19">
        <f>IFERROR(__xludf.DUMMYFUNCTION("""COMPUTED_VALUE"""),0.8666666666666666)</f>
        <v>0.8666666667</v>
      </c>
      <c r="H362" s="17">
        <f>IFERROR(__xludf.DUMMYFUNCTION("""COMPUTED_VALUE"""),44985.0)</f>
        <v>44985</v>
      </c>
      <c r="I362" s="19">
        <f>IFERROR(__xludf.DUMMYFUNCTION("""COMPUTED_VALUE"""),1.1916666666666667)</f>
        <v>1.191666667</v>
      </c>
      <c r="J362" s="21">
        <f>IFERROR(__xludf.DUMMYFUNCTION("""COMPUTED_VALUE"""),69.0)</f>
        <v>69</v>
      </c>
      <c r="K362" s="23">
        <f>IFERROR(__xludf.DUMMYFUNCTION("""COMPUTED_VALUE"""),3.2)</f>
        <v>3.2</v>
      </c>
      <c r="L362" s="24">
        <f>IFERROR(__xludf.DUMMYFUNCTION("""COMPUTED_VALUE"""),8.0)</f>
        <v>8</v>
      </c>
      <c r="M362" s="25" t="str">
        <f>IFERROR(__xludf.DUMMYFUNCTION("""COMPUTED_VALUE"""),"Shooter")</f>
        <v>Shooter</v>
      </c>
      <c r="N362" s="25"/>
      <c r="O362" s="26" t="str">
        <f>IFERROR(__xludf.DUMMYFUNCTION("""COMPUTED_VALUE"""),"No")</f>
        <v>No</v>
      </c>
      <c r="P362" s="26"/>
    </row>
    <row r="363">
      <c r="A363" s="13" t="str">
        <f>IFERROR(__xludf.DUMMYFUNCTION("""COMPUTED_VALUE"""),"Tunic")</f>
        <v>Tunic</v>
      </c>
      <c r="B363" s="15" t="str">
        <f>IFERROR(__xludf.DUMMYFUNCTION("""COMPUTED_VALUE"""),"PS5/PS4")</f>
        <v>PS5/PS4</v>
      </c>
      <c r="C363" s="16" t="str">
        <f>IFERROR(__xludf.DUMMYFUNCTION("""COMPUTED_VALUE"""),"Essential")</f>
        <v>Essential</v>
      </c>
      <c r="D363" s="15" t="str">
        <f>IFERROR(__xludf.DUMMYFUNCTION("""COMPUTED_VALUE"""),"Removed")</f>
        <v>Removed</v>
      </c>
      <c r="E363" s="17">
        <f>IFERROR(__xludf.DUMMYFUNCTION("""COMPUTED_VALUE"""),45419.0)</f>
        <v>45419</v>
      </c>
      <c r="F363" s="54">
        <f>IFERROR(__xludf.DUMMYFUNCTION("""COMPUTED_VALUE"""),45446.0)</f>
        <v>45446</v>
      </c>
      <c r="G363" s="19">
        <f>IFERROR(__xludf.DUMMYFUNCTION("""COMPUTED_VALUE"""),0.8666666666666666)</f>
        <v>0.8666666667</v>
      </c>
      <c r="H363" s="17">
        <f>IFERROR(__xludf.DUMMYFUNCTION("""COMPUTED_VALUE"""),44636.0)</f>
        <v>44636</v>
      </c>
      <c r="I363" s="19">
        <f>IFERROR(__xludf.DUMMYFUNCTION("""COMPUTED_VALUE"""),2.1416666666666666)</f>
        <v>2.141666667</v>
      </c>
      <c r="J363" s="21">
        <f>IFERROR(__xludf.DUMMYFUNCTION("""COMPUTED_VALUE"""),85.0)</f>
        <v>85</v>
      </c>
      <c r="K363" s="23">
        <f>IFERROR(__xludf.DUMMYFUNCTION("""COMPUTED_VALUE"""),7.8)</f>
        <v>7.8</v>
      </c>
      <c r="L363" s="24">
        <f>IFERROR(__xludf.DUMMYFUNCTION("""COMPUTED_VALUE"""),12.0)</f>
        <v>12</v>
      </c>
      <c r="M363" s="25" t="str">
        <f>IFERROR(__xludf.DUMMYFUNCTION("""COMPUTED_VALUE"""),"Action-Adventure")</f>
        <v>Action-Adventure</v>
      </c>
      <c r="N363" s="25"/>
      <c r="O363" s="26" t="str">
        <f>IFERROR(__xludf.DUMMYFUNCTION("""COMPUTED_VALUE"""),"No")</f>
        <v>No</v>
      </c>
      <c r="P363" s="26"/>
    </row>
    <row r="364">
      <c r="A364" s="13" t="str">
        <f>IFERROR(__xludf.DUMMYFUNCTION("""COMPUTED_VALUE"""),"ELEX II")</f>
        <v>ELEX II</v>
      </c>
      <c r="B364" s="15" t="str">
        <f>IFERROR(__xludf.DUMMYFUNCTION("""COMPUTED_VALUE"""),"PS5/PS4")</f>
        <v>PS5/PS4</v>
      </c>
      <c r="C364" s="16" t="str">
        <f>IFERROR(__xludf.DUMMYFUNCTION("""COMPUTED_VALUE"""),"Extra")</f>
        <v>Extra</v>
      </c>
      <c r="D364" s="15" t="str">
        <f>IFERROR(__xludf.DUMMYFUNCTION("""COMPUTED_VALUE"""),"Removed")</f>
        <v>Removed</v>
      </c>
      <c r="E364" s="17">
        <f>IFERROR(__xludf.DUMMYFUNCTION("""COMPUTED_VALUE"""),45097.0)</f>
        <v>45097</v>
      </c>
      <c r="F364" s="54">
        <f>IFERROR(__xludf.DUMMYFUNCTION("""COMPUTED_VALUE"""),45433.0)</f>
        <v>45433</v>
      </c>
      <c r="G364" s="19">
        <f>IFERROR(__xludf.DUMMYFUNCTION("""COMPUTED_VALUE"""),11.033333333333333)</f>
        <v>11.03333333</v>
      </c>
      <c r="H364" s="17">
        <f>IFERROR(__xludf.DUMMYFUNCTION("""COMPUTED_VALUE"""),44621.0)</f>
        <v>44621</v>
      </c>
      <c r="I364" s="19">
        <f>IFERROR(__xludf.DUMMYFUNCTION("""COMPUTED_VALUE"""),1.3027777777777778)</f>
        <v>1.302777778</v>
      </c>
      <c r="J364" s="21">
        <f>IFERROR(__xludf.DUMMYFUNCTION("""COMPUTED_VALUE"""),70.0)</f>
        <v>70</v>
      </c>
      <c r="K364" s="23">
        <f>IFERROR(__xludf.DUMMYFUNCTION("""COMPUTED_VALUE"""),6.2)</f>
        <v>6.2</v>
      </c>
      <c r="L364" s="24">
        <f>IFERROR(__xludf.DUMMYFUNCTION("""COMPUTED_VALUE"""),36.0)</f>
        <v>36</v>
      </c>
      <c r="M364" s="25" t="str">
        <f>IFERROR(__xludf.DUMMYFUNCTION("""COMPUTED_VALUE"""),"RPG")</f>
        <v>RPG</v>
      </c>
      <c r="N364" s="25"/>
      <c r="O364" s="26" t="str">
        <f>IFERROR(__xludf.DUMMYFUNCTION("""COMPUTED_VALUE"""),"Yes")</f>
        <v>Yes</v>
      </c>
      <c r="P364" s="26"/>
    </row>
    <row r="365">
      <c r="A365" s="13" t="str">
        <f>IFERROR(__xludf.DUMMYFUNCTION("""COMPUTED_VALUE"""),"MX vs. ATV Legends")</f>
        <v>MX vs. ATV Legends</v>
      </c>
      <c r="B365" s="15" t="str">
        <f>IFERROR(__xludf.DUMMYFUNCTION("""COMPUTED_VALUE"""),"PS5/PS4")</f>
        <v>PS5/PS4</v>
      </c>
      <c r="C365" s="16" t="str">
        <f>IFERROR(__xludf.DUMMYFUNCTION("""COMPUTED_VALUE"""),"Extra")</f>
        <v>Extra</v>
      </c>
      <c r="D365" s="15" t="str">
        <f>IFERROR(__xludf.DUMMYFUNCTION("""COMPUTED_VALUE"""),"Removed")</f>
        <v>Removed</v>
      </c>
      <c r="E365" s="17">
        <f>IFERROR(__xludf.DUMMYFUNCTION("""COMPUTED_VALUE"""),45097.0)</f>
        <v>45097</v>
      </c>
      <c r="F365" s="54">
        <f>IFERROR(__xludf.DUMMYFUNCTION("""COMPUTED_VALUE"""),45433.0)</f>
        <v>45433</v>
      </c>
      <c r="G365" s="19">
        <f>IFERROR(__xludf.DUMMYFUNCTION("""COMPUTED_VALUE"""),11.033333333333333)</f>
        <v>11.03333333</v>
      </c>
      <c r="H365" s="17">
        <f>IFERROR(__xludf.DUMMYFUNCTION("""COMPUTED_VALUE"""),44740.0)</f>
        <v>44740</v>
      </c>
      <c r="I365" s="19">
        <f>IFERROR(__xludf.DUMMYFUNCTION("""COMPUTED_VALUE"""),0.9777777777777777)</f>
        <v>0.9777777778</v>
      </c>
      <c r="J365" s="21">
        <f>IFERROR(__xludf.DUMMYFUNCTION("""COMPUTED_VALUE"""),55.0)</f>
        <v>55</v>
      </c>
      <c r="K365" s="23">
        <f>IFERROR(__xludf.DUMMYFUNCTION("""COMPUTED_VALUE"""),4.3)</f>
        <v>4.3</v>
      </c>
      <c r="L365" s="24">
        <f>IFERROR(__xludf.DUMMYFUNCTION("""COMPUTED_VALUE"""),14.0)</f>
        <v>14</v>
      </c>
      <c r="M365" s="25" t="str">
        <f>IFERROR(__xludf.DUMMYFUNCTION("""COMPUTED_VALUE"""),"Racing")</f>
        <v>Racing</v>
      </c>
      <c r="N365" s="25"/>
      <c r="O365" s="26" t="str">
        <f>IFERROR(__xludf.DUMMYFUNCTION("""COMPUTED_VALUE"""),"No")</f>
        <v>No</v>
      </c>
      <c r="P365" s="26"/>
    </row>
    <row r="366">
      <c r="A366" s="13" t="str">
        <f>IFERROR(__xludf.DUMMYFUNCTION("""COMPUTED_VALUE"""),"Darksiders Genesis")</f>
        <v>Darksiders Genesis</v>
      </c>
      <c r="B366" s="15" t="str">
        <f>IFERROR(__xludf.DUMMYFUNCTION("""COMPUTED_VALUE"""),"PS4")</f>
        <v>PS4</v>
      </c>
      <c r="C366" s="16" t="str">
        <f>IFERROR(__xludf.DUMMYFUNCTION("""COMPUTED_VALUE"""),"Extra")</f>
        <v>Extra</v>
      </c>
      <c r="D366" s="15" t="str">
        <f>IFERROR(__xludf.DUMMYFUNCTION("""COMPUTED_VALUE"""),"Removed")</f>
        <v>Removed</v>
      </c>
      <c r="E366" s="17">
        <f>IFERROR(__xludf.DUMMYFUNCTION("""COMPUTED_VALUE"""),44725.0)</f>
        <v>44725</v>
      </c>
      <c r="F366" s="54">
        <f>IFERROR(__xludf.DUMMYFUNCTION("""COMPUTED_VALUE"""),45433.0)</f>
        <v>45433</v>
      </c>
      <c r="G366" s="19">
        <f>IFERROR(__xludf.DUMMYFUNCTION("""COMPUTED_VALUE"""),23.266666666666666)</f>
        <v>23.26666667</v>
      </c>
      <c r="H366" s="17">
        <f>IFERROR(__xludf.DUMMYFUNCTION("""COMPUTED_VALUE"""),43804.0)</f>
        <v>43804</v>
      </c>
      <c r="I366" s="19">
        <f>IFERROR(__xludf.DUMMYFUNCTION("""COMPUTED_VALUE"""),2.522222222222222)</f>
        <v>2.522222222</v>
      </c>
      <c r="J366" s="21">
        <f>IFERROR(__xludf.DUMMYFUNCTION("""COMPUTED_VALUE"""),79.0)</f>
        <v>79</v>
      </c>
      <c r="K366" s="23">
        <f>IFERROR(__xludf.DUMMYFUNCTION("""COMPUTED_VALUE"""),7.4)</f>
        <v>7.4</v>
      </c>
      <c r="L366" s="24">
        <f>IFERROR(__xludf.DUMMYFUNCTION("""COMPUTED_VALUE"""),14.0)</f>
        <v>14</v>
      </c>
      <c r="M366" s="25" t="str">
        <f>IFERROR(__xludf.DUMMYFUNCTION("""COMPUTED_VALUE"""),"RPG")</f>
        <v>RPG</v>
      </c>
      <c r="N366" s="25"/>
      <c r="O366" s="26" t="str">
        <f>IFERROR(__xludf.DUMMYFUNCTION("""COMPUTED_VALUE"""),"Yes")</f>
        <v>Yes</v>
      </c>
      <c r="P366" s="26" t="str">
        <f>IFERROR(__xludf.DUMMYFUNCTION("""COMPUTED_VALUE"""),"Yes")</f>
        <v>Yes</v>
      </c>
    </row>
    <row r="367">
      <c r="A367" s="13" t="str">
        <f>IFERROR(__xludf.DUMMYFUNCTION("""COMPUTED_VALUE"""),"Darksiders III")</f>
        <v>Darksiders III</v>
      </c>
      <c r="B367" s="15" t="str">
        <f>IFERROR(__xludf.DUMMYFUNCTION("""COMPUTED_VALUE"""),"PS4")</f>
        <v>PS4</v>
      </c>
      <c r="C367" s="16" t="str">
        <f>IFERROR(__xludf.DUMMYFUNCTION("""COMPUTED_VALUE"""),"Extra")</f>
        <v>Extra</v>
      </c>
      <c r="D367" s="15" t="str">
        <f>IFERROR(__xludf.DUMMYFUNCTION("""COMPUTED_VALUE"""),"Removed")</f>
        <v>Removed</v>
      </c>
      <c r="E367" s="17">
        <f>IFERROR(__xludf.DUMMYFUNCTION("""COMPUTED_VALUE"""),44725.0)</f>
        <v>44725</v>
      </c>
      <c r="F367" s="54">
        <f>IFERROR(__xludf.DUMMYFUNCTION("""COMPUTED_VALUE"""),45433.0)</f>
        <v>45433</v>
      </c>
      <c r="G367" s="19">
        <f>IFERROR(__xludf.DUMMYFUNCTION("""COMPUTED_VALUE"""),23.266666666666666)</f>
        <v>23.26666667</v>
      </c>
      <c r="H367" s="17">
        <f>IFERROR(__xludf.DUMMYFUNCTION("""COMPUTED_VALUE"""),43431.0)</f>
        <v>43431</v>
      </c>
      <c r="I367" s="19">
        <f>IFERROR(__xludf.DUMMYFUNCTION("""COMPUTED_VALUE"""),3.5444444444444443)</f>
        <v>3.544444444</v>
      </c>
      <c r="J367" s="21">
        <f>IFERROR(__xludf.DUMMYFUNCTION("""COMPUTED_VALUE"""),69.0)</f>
        <v>69</v>
      </c>
      <c r="K367" s="23">
        <f>IFERROR(__xludf.DUMMYFUNCTION("""COMPUTED_VALUE"""),6.7)</f>
        <v>6.7</v>
      </c>
      <c r="L367" s="24">
        <f>IFERROR(__xludf.DUMMYFUNCTION("""COMPUTED_VALUE"""),14.0)</f>
        <v>14</v>
      </c>
      <c r="M367" s="25" t="str">
        <f>IFERROR(__xludf.DUMMYFUNCTION("""COMPUTED_VALUE"""),"RPG")</f>
        <v>RPG</v>
      </c>
      <c r="N367" s="25"/>
      <c r="O367" s="26" t="str">
        <f>IFERROR(__xludf.DUMMYFUNCTION("""COMPUTED_VALUE"""),"Yes")</f>
        <v>Yes</v>
      </c>
      <c r="P367" s="26"/>
    </row>
    <row r="368">
      <c r="A368" s="13" t="str">
        <f>IFERROR(__xludf.DUMMYFUNCTION("""COMPUTED_VALUE"""),"Sundered: Eldritch Edition")</f>
        <v>Sundered: Eldritch Edition</v>
      </c>
      <c r="B368" s="15" t="str">
        <f>IFERROR(__xludf.DUMMYFUNCTION("""COMPUTED_VALUE"""),"PS4")</f>
        <v>PS4</v>
      </c>
      <c r="C368" s="16" t="str">
        <f>IFERROR(__xludf.DUMMYFUNCTION("""COMPUTED_VALUE"""),"Extra")</f>
        <v>Extra</v>
      </c>
      <c r="D368" s="15" t="str">
        <f>IFERROR(__xludf.DUMMYFUNCTION("""COMPUTED_VALUE"""),"Removed")</f>
        <v>Removed</v>
      </c>
      <c r="E368" s="17">
        <f>IFERROR(__xludf.DUMMYFUNCTION("""COMPUTED_VALUE"""),44725.0)</f>
        <v>44725</v>
      </c>
      <c r="F368" s="54">
        <f>IFERROR(__xludf.DUMMYFUNCTION("""COMPUTED_VALUE"""),45433.0)</f>
        <v>45433</v>
      </c>
      <c r="G368" s="19">
        <f>IFERROR(__xludf.DUMMYFUNCTION("""COMPUTED_VALUE"""),23.266666666666666)</f>
        <v>23.26666667</v>
      </c>
      <c r="H368" s="17">
        <f>IFERROR(__xludf.DUMMYFUNCTION("""COMPUTED_VALUE"""),43455.0)</f>
        <v>43455</v>
      </c>
      <c r="I368" s="19">
        <f>IFERROR(__xludf.DUMMYFUNCTION("""COMPUTED_VALUE"""),3.477777777777778)</f>
        <v>3.477777778</v>
      </c>
      <c r="J368" s="21">
        <f>IFERROR(__xludf.DUMMYFUNCTION("""COMPUTED_VALUE"""),78.0)</f>
        <v>78</v>
      </c>
      <c r="K368" s="23">
        <f>IFERROR(__xludf.DUMMYFUNCTION("""COMPUTED_VALUE"""),7.2)</f>
        <v>7.2</v>
      </c>
      <c r="L368" s="24">
        <f>IFERROR(__xludf.DUMMYFUNCTION("""COMPUTED_VALUE"""),8.0)</f>
        <v>8</v>
      </c>
      <c r="M368" s="25" t="str">
        <f>IFERROR(__xludf.DUMMYFUNCTION("""COMPUTED_VALUE"""),"Platformer")</f>
        <v>Platformer</v>
      </c>
      <c r="N368" s="25"/>
      <c r="O368" s="26" t="str">
        <f>IFERROR(__xludf.DUMMYFUNCTION("""COMPUTED_VALUE"""),"Yes")</f>
        <v>Yes</v>
      </c>
      <c r="P368" s="26" t="str">
        <f>IFERROR(__xludf.DUMMYFUNCTION("""COMPUTED_VALUE"""),"Yes")</f>
        <v>Yes</v>
      </c>
    </row>
    <row r="369">
      <c r="A369" s="13" t="str">
        <f>IFERROR(__xludf.DUMMYFUNCTION("""COMPUTED_VALUE"""),"Darksiders II: Deathinitive Edition")</f>
        <v>Darksiders II: Deathinitive Edition</v>
      </c>
      <c r="B369" s="15" t="str">
        <f>IFERROR(__xludf.DUMMYFUNCTION("""COMPUTED_VALUE"""),"PS4")</f>
        <v>PS4</v>
      </c>
      <c r="C369" s="16" t="str">
        <f>IFERROR(__xludf.DUMMYFUNCTION("""COMPUTED_VALUE"""),"Premium (Remasters)")</f>
        <v>Premium (Remasters)</v>
      </c>
      <c r="D369" s="15" t="str">
        <f>IFERROR(__xludf.DUMMYFUNCTION("""COMPUTED_VALUE"""),"Removed")</f>
        <v>Removed</v>
      </c>
      <c r="E369" s="17">
        <f>IFERROR(__xludf.DUMMYFUNCTION("""COMPUTED_VALUE"""),44725.0)</f>
        <v>44725</v>
      </c>
      <c r="F369" s="54">
        <f>IFERROR(__xludf.DUMMYFUNCTION("""COMPUTED_VALUE"""),45433.0)</f>
        <v>45433</v>
      </c>
      <c r="G369" s="19">
        <f>IFERROR(__xludf.DUMMYFUNCTION("""COMPUTED_VALUE"""),23.266666666666666)</f>
        <v>23.26666667</v>
      </c>
      <c r="H369" s="17">
        <f>IFERROR(__xludf.DUMMYFUNCTION("""COMPUTED_VALUE"""),42278.0)</f>
        <v>42278</v>
      </c>
      <c r="I369" s="19">
        <f>IFERROR(__xludf.DUMMYFUNCTION("""COMPUTED_VALUE"""),6.7)</f>
        <v>6.7</v>
      </c>
      <c r="J369" s="21">
        <f>IFERROR(__xludf.DUMMYFUNCTION("""COMPUTED_VALUE"""),72.0)</f>
        <v>72</v>
      </c>
      <c r="K369" s="23">
        <f>IFERROR(__xludf.DUMMYFUNCTION("""COMPUTED_VALUE"""),7.4)</f>
        <v>7.4</v>
      </c>
      <c r="L369" s="24">
        <f>IFERROR(__xludf.DUMMYFUNCTION("""COMPUTED_VALUE"""),25.0)</f>
        <v>25</v>
      </c>
      <c r="M369" s="25" t="str">
        <f>IFERROR(__xludf.DUMMYFUNCTION("""COMPUTED_VALUE"""),"Action-Adventure")</f>
        <v>Action-Adventure</v>
      </c>
      <c r="N369" s="25" t="str">
        <f>IFERROR(__xludf.DUMMYFUNCTION("""COMPUTED_VALUE"""),"PS3")</f>
        <v>PS3</v>
      </c>
      <c r="O369" s="26" t="str">
        <f>IFERROR(__xludf.DUMMYFUNCTION("""COMPUTED_VALUE"""),"Yes")</f>
        <v>Yes</v>
      </c>
      <c r="P369" s="26"/>
    </row>
    <row r="370">
      <c r="A370" s="13" t="str">
        <f>IFERROR(__xludf.DUMMYFUNCTION("""COMPUTED_VALUE"""),"Darksiders: Warmastered Edition")</f>
        <v>Darksiders: Warmastered Edition</v>
      </c>
      <c r="B370" s="15" t="str">
        <f>IFERROR(__xludf.DUMMYFUNCTION("""COMPUTED_VALUE"""),"PS4")</f>
        <v>PS4</v>
      </c>
      <c r="C370" s="16" t="str">
        <f>IFERROR(__xludf.DUMMYFUNCTION("""COMPUTED_VALUE"""),"Premium (Remasters)")</f>
        <v>Premium (Remasters)</v>
      </c>
      <c r="D370" s="15" t="str">
        <f>IFERROR(__xludf.DUMMYFUNCTION("""COMPUTED_VALUE"""),"Removed")</f>
        <v>Removed</v>
      </c>
      <c r="E370" s="17">
        <f>IFERROR(__xludf.DUMMYFUNCTION("""COMPUTED_VALUE"""),44725.0)</f>
        <v>44725</v>
      </c>
      <c r="F370" s="54">
        <f>IFERROR(__xludf.DUMMYFUNCTION("""COMPUTED_VALUE"""),45433.0)</f>
        <v>45433</v>
      </c>
      <c r="G370" s="19">
        <f>IFERROR(__xludf.DUMMYFUNCTION("""COMPUTED_VALUE"""),23.266666666666666)</f>
        <v>23.26666667</v>
      </c>
      <c r="H370" s="17">
        <f>IFERROR(__xludf.DUMMYFUNCTION("""COMPUTED_VALUE"""),42675.0)</f>
        <v>42675</v>
      </c>
      <c r="I370" s="19">
        <f>IFERROR(__xludf.DUMMYFUNCTION("""COMPUTED_VALUE"""),5.616666666666666)</f>
        <v>5.616666667</v>
      </c>
      <c r="J370" s="21">
        <f>IFERROR(__xludf.DUMMYFUNCTION("""COMPUTED_VALUE"""),81.0)</f>
        <v>81</v>
      </c>
      <c r="K370" s="23">
        <f>IFERROR(__xludf.DUMMYFUNCTION("""COMPUTED_VALUE"""),7.5)</f>
        <v>7.5</v>
      </c>
      <c r="L370" s="24">
        <f>IFERROR(__xludf.DUMMYFUNCTION("""COMPUTED_VALUE"""),18.0)</f>
        <v>18</v>
      </c>
      <c r="M370" s="25" t="str">
        <f>IFERROR(__xludf.DUMMYFUNCTION("""COMPUTED_VALUE"""),"Action-Adventure")</f>
        <v>Action-Adventure</v>
      </c>
      <c r="N370" s="25" t="str">
        <f>IFERROR(__xludf.DUMMYFUNCTION("""COMPUTED_VALUE"""),"PS3")</f>
        <v>PS3</v>
      </c>
      <c r="O370" s="26" t="str">
        <f>IFERROR(__xludf.DUMMYFUNCTION("""COMPUTED_VALUE"""),"Yes")</f>
        <v>Yes</v>
      </c>
      <c r="P370" s="26"/>
    </row>
    <row r="371">
      <c r="A371" s="13" t="str">
        <f>IFERROR(__xludf.DUMMYFUNCTION("""COMPUTED_VALUE"""),"Kingdoms of Amalur: Re-Reckoning")</f>
        <v>Kingdoms of Amalur: Re-Reckoning</v>
      </c>
      <c r="B371" s="15" t="str">
        <f>IFERROR(__xludf.DUMMYFUNCTION("""COMPUTED_VALUE"""),"PS4")</f>
        <v>PS4</v>
      </c>
      <c r="C371" s="16" t="str">
        <f>IFERROR(__xludf.DUMMYFUNCTION("""COMPUTED_VALUE"""),"Premium (Remasters)")</f>
        <v>Premium (Remasters)</v>
      </c>
      <c r="D371" s="15" t="str">
        <f>IFERROR(__xludf.DUMMYFUNCTION("""COMPUTED_VALUE"""),"Removed")</f>
        <v>Removed</v>
      </c>
      <c r="E371" s="17">
        <f>IFERROR(__xludf.DUMMYFUNCTION("""COMPUTED_VALUE"""),44725.0)</f>
        <v>44725</v>
      </c>
      <c r="F371" s="54">
        <f>IFERROR(__xludf.DUMMYFUNCTION("""COMPUTED_VALUE"""),45433.0)</f>
        <v>45433</v>
      </c>
      <c r="G371" s="19">
        <f>IFERROR(__xludf.DUMMYFUNCTION("""COMPUTED_VALUE"""),23.266666666666666)</f>
        <v>23.26666667</v>
      </c>
      <c r="H371" s="17">
        <f>IFERROR(__xludf.DUMMYFUNCTION("""COMPUTED_VALUE"""),44075.0)</f>
        <v>44075</v>
      </c>
      <c r="I371" s="19">
        <f>IFERROR(__xludf.DUMMYFUNCTION("""COMPUTED_VALUE"""),1.7833333333333334)</f>
        <v>1.783333333</v>
      </c>
      <c r="J371" s="21">
        <f>IFERROR(__xludf.DUMMYFUNCTION("""COMPUTED_VALUE"""),72.0)</f>
        <v>72</v>
      </c>
      <c r="K371" s="23">
        <f>IFERROR(__xludf.DUMMYFUNCTION("""COMPUTED_VALUE"""),7.1)</f>
        <v>7.1</v>
      </c>
      <c r="L371" s="24">
        <f>IFERROR(__xludf.DUMMYFUNCTION("""COMPUTED_VALUE"""),22.0)</f>
        <v>22</v>
      </c>
      <c r="M371" s="25" t="str">
        <f>IFERROR(__xludf.DUMMYFUNCTION("""COMPUTED_VALUE"""),"RPG")</f>
        <v>RPG</v>
      </c>
      <c r="N371" s="25" t="str">
        <f>IFERROR(__xludf.DUMMYFUNCTION("""COMPUTED_VALUE"""),"PS3")</f>
        <v>PS3</v>
      </c>
      <c r="O371" s="26" t="str">
        <f>IFERROR(__xludf.DUMMYFUNCTION("""COMPUTED_VALUE"""),"Yes")</f>
        <v>Yes</v>
      </c>
      <c r="P371" s="26"/>
    </row>
    <row r="372">
      <c r="A372" s="13" t="str">
        <f>IFERROR(__xludf.DUMMYFUNCTION("""COMPUTED_VALUE"""),"Wreckfest")</f>
        <v>Wreckfest</v>
      </c>
      <c r="B372" s="15" t="str">
        <f>IFERROR(__xludf.DUMMYFUNCTION("""COMPUTED_VALUE"""),"PS5/PS4")</f>
        <v>PS5/PS4</v>
      </c>
      <c r="C372" s="16" t="str">
        <f>IFERROR(__xludf.DUMMYFUNCTION("""COMPUTED_VALUE"""),"Extra")</f>
        <v>Extra</v>
      </c>
      <c r="D372" s="15" t="str">
        <f>IFERROR(__xludf.DUMMYFUNCTION("""COMPUTED_VALUE"""),"Removed")</f>
        <v>Removed</v>
      </c>
      <c r="E372" s="17">
        <f>IFERROR(__xludf.DUMMYFUNCTION("""COMPUTED_VALUE"""),44320.0)</f>
        <v>44320</v>
      </c>
      <c r="F372" s="54">
        <f>IFERROR(__xludf.DUMMYFUNCTION("""COMPUTED_VALUE"""),45433.0)</f>
        <v>45433</v>
      </c>
      <c r="G372" s="19">
        <f>IFERROR(__xludf.DUMMYFUNCTION("""COMPUTED_VALUE"""),36.56666666666666)</f>
        <v>36.56666667</v>
      </c>
      <c r="H372" s="17">
        <f>IFERROR(__xludf.DUMMYFUNCTION("""COMPUTED_VALUE"""),43265.0)</f>
        <v>43265</v>
      </c>
      <c r="I372" s="19">
        <f>IFERROR(__xludf.DUMMYFUNCTION("""COMPUTED_VALUE"""),2.888888888888889)</f>
        <v>2.888888889</v>
      </c>
      <c r="J372" s="21">
        <f>IFERROR(__xludf.DUMMYFUNCTION("""COMPUTED_VALUE"""),81.0)</f>
        <v>81</v>
      </c>
      <c r="K372" s="23">
        <f>IFERROR(__xludf.DUMMYFUNCTION("""COMPUTED_VALUE"""),7.7)</f>
        <v>7.7</v>
      </c>
      <c r="L372" s="24">
        <f>IFERROR(__xludf.DUMMYFUNCTION("""COMPUTED_VALUE"""),18.0)</f>
        <v>18</v>
      </c>
      <c r="M372" s="25" t="str">
        <f>IFERROR(__xludf.DUMMYFUNCTION("""COMPUTED_VALUE"""),"Racing")</f>
        <v>Racing</v>
      </c>
      <c r="N372" s="25"/>
      <c r="O372" s="26" t="str">
        <f>IFERROR(__xludf.DUMMYFUNCTION("""COMPUTED_VALUE"""),"Yes")</f>
        <v>Yes</v>
      </c>
      <c r="P372" s="26"/>
    </row>
    <row r="373">
      <c r="A373" s="13" t="str">
        <f>IFERROR(__xludf.DUMMYFUNCTION("""COMPUTED_VALUE"""),"Horizon Zero Dawn: Complete Edition")</f>
        <v>Horizon Zero Dawn: Complete Edition</v>
      </c>
      <c r="B373" s="15" t="str">
        <f>IFERROR(__xludf.DUMMYFUNCTION("""COMPUTED_VALUE"""),"PS4")</f>
        <v>PS4</v>
      </c>
      <c r="C373" s="16" t="str">
        <f>IFERROR(__xludf.DUMMYFUNCTION("""COMPUTED_VALUE"""),"Extra")</f>
        <v>Extra</v>
      </c>
      <c r="D373" s="15" t="str">
        <f>IFERROR(__xludf.DUMMYFUNCTION("""COMPUTED_VALUE"""),"Removed")</f>
        <v>Removed</v>
      </c>
      <c r="E373" s="17">
        <f>IFERROR(__xludf.DUMMYFUNCTION("""COMPUTED_VALUE"""),43832.0)</f>
        <v>43832</v>
      </c>
      <c r="F373" s="54">
        <f>IFERROR(__xludf.DUMMYFUNCTION("""COMPUTED_VALUE"""),45433.0)</f>
        <v>45433</v>
      </c>
      <c r="G373" s="19">
        <f>IFERROR(__xludf.DUMMYFUNCTION("""COMPUTED_VALUE"""),52.63333333333333)</f>
        <v>52.63333333</v>
      </c>
      <c r="H373" s="17">
        <f>IFERROR(__xludf.DUMMYFUNCTION("""COMPUTED_VALUE"""),43074.0)</f>
        <v>43074</v>
      </c>
      <c r="I373" s="19">
        <f>IFERROR(__xludf.DUMMYFUNCTION("""COMPUTED_VALUE"""),2.075)</f>
        <v>2.075</v>
      </c>
      <c r="J373" s="21">
        <f>IFERROR(__xludf.DUMMYFUNCTION("""COMPUTED_VALUE"""),90.0)</f>
        <v>90</v>
      </c>
      <c r="K373" s="23">
        <f>IFERROR(__xludf.DUMMYFUNCTION("""COMPUTED_VALUE"""),8.4)</f>
        <v>8.4</v>
      </c>
      <c r="L373" s="24">
        <f>IFERROR(__xludf.DUMMYFUNCTION("""COMPUTED_VALUE"""),30.0)</f>
        <v>30</v>
      </c>
      <c r="M373" s="25" t="str">
        <f>IFERROR(__xludf.DUMMYFUNCTION("""COMPUTED_VALUE"""),"Action-Adventure")</f>
        <v>Action-Adventure</v>
      </c>
      <c r="N373" s="25"/>
      <c r="O373" s="26" t="str">
        <f>IFERROR(__xludf.DUMMYFUNCTION("""COMPUTED_VALUE"""),"Yes")</f>
        <v>Yes</v>
      </c>
      <c r="P373" s="26"/>
    </row>
    <row r="374">
      <c r="A374" s="13" t="str">
        <f>IFERROR(__xludf.DUMMYFUNCTION("""COMPUTED_VALUE"""),"I Am Dead")</f>
        <v>I Am Dead</v>
      </c>
      <c r="B374" s="15" t="str">
        <f>IFERROR(__xludf.DUMMYFUNCTION("""COMPUTED_VALUE"""),"PS5/PS4")</f>
        <v>PS5/PS4</v>
      </c>
      <c r="C374" s="16" t="str">
        <f>IFERROR(__xludf.DUMMYFUNCTION("""COMPUTED_VALUE"""),"Extra")</f>
        <v>Extra</v>
      </c>
      <c r="D374" s="15" t="str">
        <f>IFERROR(__xludf.DUMMYFUNCTION("""COMPUTED_VALUE"""),"Removed")</f>
        <v>Removed</v>
      </c>
      <c r="E374" s="17">
        <f>IFERROR(__xludf.DUMMYFUNCTION("""COMPUTED_VALUE"""),44725.0)</f>
        <v>44725</v>
      </c>
      <c r="F374" s="54">
        <f>IFERROR(__xludf.DUMMYFUNCTION("""COMPUTED_VALUE"""),45432.0)</f>
        <v>45432</v>
      </c>
      <c r="G374" s="19">
        <f>IFERROR(__xludf.DUMMYFUNCTION("""COMPUTED_VALUE"""),23.233333333333334)</f>
        <v>23.23333333</v>
      </c>
      <c r="H374" s="17">
        <f>IFERROR(__xludf.DUMMYFUNCTION("""COMPUTED_VALUE"""),44112.0)</f>
        <v>44112</v>
      </c>
      <c r="I374" s="19">
        <f>IFERROR(__xludf.DUMMYFUNCTION("""COMPUTED_VALUE"""),1.6805555555555556)</f>
        <v>1.680555556</v>
      </c>
      <c r="J374" s="21">
        <f>IFERROR(__xludf.DUMMYFUNCTION("""COMPUTED_VALUE"""),81.0)</f>
        <v>81</v>
      </c>
      <c r="K374" s="23">
        <f>IFERROR(__xludf.DUMMYFUNCTION("""COMPUTED_VALUE"""),7.0)</f>
        <v>7</v>
      </c>
      <c r="L374" s="24">
        <f>IFERROR(__xludf.DUMMYFUNCTION("""COMPUTED_VALUE"""),3.5)</f>
        <v>3.5</v>
      </c>
      <c r="M374" s="25" t="str">
        <f>IFERROR(__xludf.DUMMYFUNCTION("""COMPUTED_VALUE"""),"Puzzle")</f>
        <v>Puzzle</v>
      </c>
      <c r="N374" s="25"/>
      <c r="O374" s="26" t="str">
        <f>IFERROR(__xludf.DUMMYFUNCTION("""COMPUTED_VALUE"""),"Yes")</f>
        <v>Yes</v>
      </c>
      <c r="P374" s="26"/>
    </row>
    <row r="375">
      <c r="A375" s="13" t="str">
        <f>IFERROR(__xludf.DUMMYFUNCTION("""COMPUTED_VALUE"""),"Last Stop")</f>
        <v>Last Stop</v>
      </c>
      <c r="B375" s="15" t="str">
        <f>IFERROR(__xludf.DUMMYFUNCTION("""COMPUTED_VALUE"""),"PS5/PS4")</f>
        <v>PS5/PS4</v>
      </c>
      <c r="C375" s="16" t="str">
        <f>IFERROR(__xludf.DUMMYFUNCTION("""COMPUTED_VALUE"""),"Extra")</f>
        <v>Extra</v>
      </c>
      <c r="D375" s="15" t="str">
        <f>IFERROR(__xludf.DUMMYFUNCTION("""COMPUTED_VALUE"""),"Removed")</f>
        <v>Removed</v>
      </c>
      <c r="E375" s="17">
        <f>IFERROR(__xludf.DUMMYFUNCTION("""COMPUTED_VALUE"""),44725.0)</f>
        <v>44725</v>
      </c>
      <c r="F375" s="54">
        <f>IFERROR(__xludf.DUMMYFUNCTION("""COMPUTED_VALUE"""),45432.0)</f>
        <v>45432</v>
      </c>
      <c r="G375" s="19">
        <f>IFERROR(__xludf.DUMMYFUNCTION("""COMPUTED_VALUE"""),23.233333333333334)</f>
        <v>23.23333333</v>
      </c>
      <c r="H375" s="17">
        <f>IFERROR(__xludf.DUMMYFUNCTION("""COMPUTED_VALUE"""),44399.0)</f>
        <v>44399</v>
      </c>
      <c r="I375" s="19">
        <f>IFERROR(__xludf.DUMMYFUNCTION("""COMPUTED_VALUE"""),0.8916666666666667)</f>
        <v>0.8916666667</v>
      </c>
      <c r="J375" s="21">
        <f>IFERROR(__xludf.DUMMYFUNCTION("""COMPUTED_VALUE"""),70.0)</f>
        <v>70</v>
      </c>
      <c r="K375" s="23">
        <f>IFERROR(__xludf.DUMMYFUNCTION("""COMPUTED_VALUE"""),6.0)</f>
        <v>6</v>
      </c>
      <c r="L375" s="24">
        <f>IFERROR(__xludf.DUMMYFUNCTION("""COMPUTED_VALUE"""),6.0)</f>
        <v>6</v>
      </c>
      <c r="M375" s="25" t="str">
        <f>IFERROR(__xludf.DUMMYFUNCTION("""COMPUTED_VALUE"""),"Interactive Story")</f>
        <v>Interactive Story</v>
      </c>
      <c r="N375" s="25"/>
      <c r="O375" s="26" t="str">
        <f>IFERROR(__xludf.DUMMYFUNCTION("""COMPUTED_VALUE"""),"Yes")</f>
        <v>Yes</v>
      </c>
      <c r="P375" s="26"/>
    </row>
    <row r="376">
      <c r="A376" s="13" t="str">
        <f>IFERROR(__xludf.DUMMYFUNCTION("""COMPUTED_VALUE"""),"The Artful Escape")</f>
        <v>The Artful Escape</v>
      </c>
      <c r="B376" s="15" t="str">
        <f>IFERROR(__xludf.DUMMYFUNCTION("""COMPUTED_VALUE"""),"PS5/PS4")</f>
        <v>PS5/PS4</v>
      </c>
      <c r="C376" s="16" t="str">
        <f>IFERROR(__xludf.DUMMYFUNCTION("""COMPUTED_VALUE"""),"Extra")</f>
        <v>Extra</v>
      </c>
      <c r="D376" s="15" t="str">
        <f>IFERROR(__xludf.DUMMYFUNCTION("""COMPUTED_VALUE"""),"Removed")</f>
        <v>Removed</v>
      </c>
      <c r="E376" s="17">
        <f>IFERROR(__xludf.DUMMYFUNCTION("""COMPUTED_VALUE"""),44725.0)</f>
        <v>44725</v>
      </c>
      <c r="F376" s="54">
        <f>IFERROR(__xludf.DUMMYFUNCTION("""COMPUTED_VALUE"""),45432.0)</f>
        <v>45432</v>
      </c>
      <c r="G376" s="19">
        <f>IFERROR(__xludf.DUMMYFUNCTION("""COMPUTED_VALUE"""),23.233333333333334)</f>
        <v>23.23333333</v>
      </c>
      <c r="H376" s="17">
        <f>IFERROR(__xludf.DUMMYFUNCTION("""COMPUTED_VALUE"""),44448.0)</f>
        <v>44448</v>
      </c>
      <c r="I376" s="19">
        <f>IFERROR(__xludf.DUMMYFUNCTION("""COMPUTED_VALUE"""),0.7611111111111111)</f>
        <v>0.7611111111</v>
      </c>
      <c r="J376" s="21">
        <f>IFERROR(__xludf.DUMMYFUNCTION("""COMPUTED_VALUE"""),77.0)</f>
        <v>77</v>
      </c>
      <c r="K376" s="23">
        <f>IFERROR(__xludf.DUMMYFUNCTION("""COMPUTED_VALUE"""),7.0)</f>
        <v>7</v>
      </c>
      <c r="L376" s="24">
        <f>IFERROR(__xludf.DUMMYFUNCTION("""COMPUTED_VALUE"""),4.0)</f>
        <v>4</v>
      </c>
      <c r="M376" s="25" t="str">
        <f>IFERROR(__xludf.DUMMYFUNCTION("""COMPUTED_VALUE"""),"Platformer")</f>
        <v>Platformer</v>
      </c>
      <c r="N376" s="25"/>
      <c r="O376" s="26" t="str">
        <f>IFERROR(__xludf.DUMMYFUNCTION("""COMPUTED_VALUE"""),"Yes")</f>
        <v>Yes</v>
      </c>
      <c r="P376" s="26"/>
    </row>
    <row r="377">
      <c r="A377" s="13" t="str">
        <f>IFERROR(__xludf.DUMMYFUNCTION("""COMPUTED_VALUE"""),"Absolver: Downfall")</f>
        <v>Absolver: Downfall</v>
      </c>
      <c r="B377" s="15" t="str">
        <f>IFERROR(__xludf.DUMMYFUNCTION("""COMPUTED_VALUE"""),"PS4")</f>
        <v>PS4</v>
      </c>
      <c r="C377" s="16" t="str">
        <f>IFERROR(__xludf.DUMMYFUNCTION("""COMPUTED_VALUE"""),"Extra")</f>
        <v>Extra</v>
      </c>
      <c r="D377" s="15" t="str">
        <f>IFERROR(__xludf.DUMMYFUNCTION("""COMPUTED_VALUE"""),"Removed")</f>
        <v>Removed</v>
      </c>
      <c r="E377" s="17">
        <f>IFERROR(__xludf.DUMMYFUNCTION("""COMPUTED_VALUE"""),44725.0)</f>
        <v>44725</v>
      </c>
      <c r="F377" s="54">
        <f>IFERROR(__xludf.DUMMYFUNCTION("""COMPUTED_VALUE"""),45432.0)</f>
        <v>45432</v>
      </c>
      <c r="G377" s="19">
        <f>IFERROR(__xludf.DUMMYFUNCTION("""COMPUTED_VALUE"""),23.233333333333334)</f>
        <v>23.23333333</v>
      </c>
      <c r="H377" s="17">
        <f>IFERROR(__xludf.DUMMYFUNCTION("""COMPUTED_VALUE"""),42976.0)</f>
        <v>42976</v>
      </c>
      <c r="I377" s="19">
        <f>IFERROR(__xludf.DUMMYFUNCTION("""COMPUTED_VALUE"""),4.788888888888889)</f>
        <v>4.788888889</v>
      </c>
      <c r="J377" s="21">
        <f>IFERROR(__xludf.DUMMYFUNCTION("""COMPUTED_VALUE"""),74.0)</f>
        <v>74</v>
      </c>
      <c r="K377" s="23">
        <f>IFERROR(__xludf.DUMMYFUNCTION("""COMPUTED_VALUE"""),5.5)</f>
        <v>5.5</v>
      </c>
      <c r="L377" s="24">
        <f>IFERROR(__xludf.DUMMYFUNCTION("""COMPUTED_VALUE"""),8.0)</f>
        <v>8</v>
      </c>
      <c r="M377" s="25" t="str">
        <f>IFERROR(__xludf.DUMMYFUNCTION("""COMPUTED_VALUE"""),"Fighting")</f>
        <v>Fighting</v>
      </c>
      <c r="N377" s="25"/>
      <c r="O377" s="26" t="str">
        <f>IFERROR(__xludf.DUMMYFUNCTION("""COMPUTED_VALUE"""),"Yes")</f>
        <v>Yes</v>
      </c>
      <c r="P377" s="26"/>
    </row>
    <row r="378">
      <c r="A378" s="13" t="str">
        <f>IFERROR(__xludf.DUMMYFUNCTION("""COMPUTED_VALUE"""),"Abzû")</f>
        <v>Abzû</v>
      </c>
      <c r="B378" s="15" t="str">
        <f>IFERROR(__xludf.DUMMYFUNCTION("""COMPUTED_VALUE"""),"PS4")</f>
        <v>PS4</v>
      </c>
      <c r="C378" s="16" t="str">
        <f>IFERROR(__xludf.DUMMYFUNCTION("""COMPUTED_VALUE"""),"Extra")</f>
        <v>Extra</v>
      </c>
      <c r="D378" s="15" t="str">
        <f>IFERROR(__xludf.DUMMYFUNCTION("""COMPUTED_VALUE"""),"Removed")</f>
        <v>Removed</v>
      </c>
      <c r="E378" s="17">
        <f>IFERROR(__xludf.DUMMYFUNCTION("""COMPUTED_VALUE"""),44725.0)</f>
        <v>44725</v>
      </c>
      <c r="F378" s="54">
        <f>IFERROR(__xludf.DUMMYFUNCTION("""COMPUTED_VALUE"""),45432.0)</f>
        <v>45432</v>
      </c>
      <c r="G378" s="19">
        <f>IFERROR(__xludf.DUMMYFUNCTION("""COMPUTED_VALUE"""),23.233333333333334)</f>
        <v>23.23333333</v>
      </c>
      <c r="H378" s="17">
        <f>IFERROR(__xludf.DUMMYFUNCTION("""COMPUTED_VALUE"""),42583.0)</f>
        <v>42583</v>
      </c>
      <c r="I378" s="19">
        <f>IFERROR(__xludf.DUMMYFUNCTION("""COMPUTED_VALUE"""),5.866666666666666)</f>
        <v>5.866666667</v>
      </c>
      <c r="J378" s="21">
        <f>IFERROR(__xludf.DUMMYFUNCTION("""COMPUTED_VALUE"""),81.0)</f>
        <v>81</v>
      </c>
      <c r="K378" s="23">
        <f>IFERROR(__xludf.DUMMYFUNCTION("""COMPUTED_VALUE"""),7.7)</f>
        <v>7.7</v>
      </c>
      <c r="L378" s="24">
        <f>IFERROR(__xludf.DUMMYFUNCTION("""COMPUTED_VALUE"""),2.0)</f>
        <v>2</v>
      </c>
      <c r="M378" s="25" t="str">
        <f>IFERROR(__xludf.DUMMYFUNCTION("""COMPUTED_VALUE"""),"Action-Adventure")</f>
        <v>Action-Adventure</v>
      </c>
      <c r="N378" s="25"/>
      <c r="O378" s="26" t="str">
        <f>IFERROR(__xludf.DUMMYFUNCTION("""COMPUTED_VALUE"""),"Yes")</f>
        <v>Yes</v>
      </c>
      <c r="P378" s="26"/>
    </row>
    <row r="379">
      <c r="A379" s="13" t="str">
        <f>IFERROR(__xludf.DUMMYFUNCTION("""COMPUTED_VALUE"""),"Adr1ft")</f>
        <v>Adr1ft</v>
      </c>
      <c r="B379" s="15" t="str">
        <f>IFERROR(__xludf.DUMMYFUNCTION("""COMPUTED_VALUE"""),"PS4")</f>
        <v>PS4</v>
      </c>
      <c r="C379" s="16" t="str">
        <f>IFERROR(__xludf.DUMMYFUNCTION("""COMPUTED_VALUE"""),"Extra")</f>
        <v>Extra</v>
      </c>
      <c r="D379" s="15" t="str">
        <f>IFERROR(__xludf.DUMMYFUNCTION("""COMPUTED_VALUE"""),"Removed")</f>
        <v>Removed</v>
      </c>
      <c r="E379" s="17">
        <f>IFERROR(__xludf.DUMMYFUNCTION("""COMPUTED_VALUE"""),44725.0)</f>
        <v>44725</v>
      </c>
      <c r="F379" s="54">
        <f>IFERROR(__xludf.DUMMYFUNCTION("""COMPUTED_VALUE"""),45432.0)</f>
        <v>45432</v>
      </c>
      <c r="G379" s="19">
        <f>IFERROR(__xludf.DUMMYFUNCTION("""COMPUTED_VALUE"""),23.233333333333334)</f>
        <v>23.23333333</v>
      </c>
      <c r="H379" s="17">
        <f>IFERROR(__xludf.DUMMYFUNCTION("""COMPUTED_VALUE"""),42552.0)</f>
        <v>42552</v>
      </c>
      <c r="I379" s="19">
        <f>IFERROR(__xludf.DUMMYFUNCTION("""COMPUTED_VALUE"""),5.95)</f>
        <v>5.95</v>
      </c>
      <c r="J379" s="21">
        <f>IFERROR(__xludf.DUMMYFUNCTION("""COMPUTED_VALUE"""),56.0)</f>
        <v>56</v>
      </c>
      <c r="K379" s="23">
        <f>IFERROR(__xludf.DUMMYFUNCTION("""COMPUTED_VALUE"""),6.1)</f>
        <v>6.1</v>
      </c>
      <c r="L379" s="24">
        <f>IFERROR(__xludf.DUMMYFUNCTION("""COMPUTED_VALUE"""),4.5)</f>
        <v>4.5</v>
      </c>
      <c r="M379" s="25" t="str">
        <f>IFERROR(__xludf.DUMMYFUNCTION("""COMPUTED_VALUE"""),"Action-Adventure")</f>
        <v>Action-Adventure</v>
      </c>
      <c r="N379" s="25"/>
      <c r="O379" s="26" t="str">
        <f>IFERROR(__xludf.DUMMYFUNCTION("""COMPUTED_VALUE"""),"Yes")</f>
        <v>Yes</v>
      </c>
      <c r="P379" s="26"/>
    </row>
    <row r="380">
      <c r="A380" s="13" t="str">
        <f>IFERROR(__xludf.DUMMYFUNCTION("""COMPUTED_VALUE"""),"Ashen")</f>
        <v>Ashen</v>
      </c>
      <c r="B380" s="15" t="str">
        <f>IFERROR(__xludf.DUMMYFUNCTION("""COMPUTED_VALUE"""),"PS4")</f>
        <v>PS4</v>
      </c>
      <c r="C380" s="16" t="str">
        <f>IFERROR(__xludf.DUMMYFUNCTION("""COMPUTED_VALUE"""),"Extra")</f>
        <v>Extra</v>
      </c>
      <c r="D380" s="15" t="str">
        <f>IFERROR(__xludf.DUMMYFUNCTION("""COMPUTED_VALUE"""),"Removed")</f>
        <v>Removed</v>
      </c>
      <c r="E380" s="17">
        <f>IFERROR(__xludf.DUMMYFUNCTION("""COMPUTED_VALUE"""),44725.0)</f>
        <v>44725</v>
      </c>
      <c r="F380" s="54">
        <f>IFERROR(__xludf.DUMMYFUNCTION("""COMPUTED_VALUE"""),45432.0)</f>
        <v>45432</v>
      </c>
      <c r="G380" s="19">
        <f>IFERROR(__xludf.DUMMYFUNCTION("""COMPUTED_VALUE"""),23.233333333333334)</f>
        <v>23.23333333</v>
      </c>
      <c r="H380" s="17">
        <f>IFERROR(__xludf.DUMMYFUNCTION("""COMPUTED_VALUE"""),43441.0)</f>
        <v>43441</v>
      </c>
      <c r="I380" s="19">
        <f>IFERROR(__xludf.DUMMYFUNCTION("""COMPUTED_VALUE"""),3.5166666666666666)</f>
        <v>3.516666667</v>
      </c>
      <c r="J380" s="21">
        <f>IFERROR(__xludf.DUMMYFUNCTION("""COMPUTED_VALUE"""),81.0)</f>
        <v>81</v>
      </c>
      <c r="K380" s="23">
        <f>IFERROR(__xludf.DUMMYFUNCTION("""COMPUTED_VALUE"""),7.3)</f>
        <v>7.3</v>
      </c>
      <c r="L380" s="24">
        <f>IFERROR(__xludf.DUMMYFUNCTION("""COMPUTED_VALUE"""),15.5)</f>
        <v>15.5</v>
      </c>
      <c r="M380" s="25" t="str">
        <f>IFERROR(__xludf.DUMMYFUNCTION("""COMPUTED_VALUE"""),"RPG")</f>
        <v>RPG</v>
      </c>
      <c r="N380" s="25"/>
      <c r="O380" s="26" t="str">
        <f>IFERROR(__xludf.DUMMYFUNCTION("""COMPUTED_VALUE"""),"Yes")</f>
        <v>Yes</v>
      </c>
      <c r="P380" s="26"/>
    </row>
    <row r="381">
      <c r="A381" s="13" t="str">
        <f>IFERROR(__xludf.DUMMYFUNCTION("""COMPUTED_VALUE"""),"Elex")</f>
        <v>Elex</v>
      </c>
      <c r="B381" s="15" t="str">
        <f>IFERROR(__xludf.DUMMYFUNCTION("""COMPUTED_VALUE"""),"PS4")</f>
        <v>PS4</v>
      </c>
      <c r="C381" s="16" t="str">
        <f>IFERROR(__xludf.DUMMYFUNCTION("""COMPUTED_VALUE"""),"Extra")</f>
        <v>Extra</v>
      </c>
      <c r="D381" s="15" t="str">
        <f>IFERROR(__xludf.DUMMYFUNCTION("""COMPUTED_VALUE"""),"Removed")</f>
        <v>Removed</v>
      </c>
      <c r="E381" s="17">
        <f>IFERROR(__xludf.DUMMYFUNCTION("""COMPUTED_VALUE"""),44725.0)</f>
        <v>44725</v>
      </c>
      <c r="F381" s="54">
        <f>IFERROR(__xludf.DUMMYFUNCTION("""COMPUTED_VALUE"""),45432.0)</f>
        <v>45432</v>
      </c>
      <c r="G381" s="19">
        <f>IFERROR(__xludf.DUMMYFUNCTION("""COMPUTED_VALUE"""),23.233333333333334)</f>
        <v>23.23333333</v>
      </c>
      <c r="H381" s="17">
        <f>IFERROR(__xludf.DUMMYFUNCTION("""COMPUTED_VALUE"""),43025.0)</f>
        <v>43025</v>
      </c>
      <c r="I381" s="19">
        <f>IFERROR(__xludf.DUMMYFUNCTION("""COMPUTED_VALUE"""),4.655555555555556)</f>
        <v>4.655555556</v>
      </c>
      <c r="J381" s="21">
        <f>IFERROR(__xludf.DUMMYFUNCTION("""COMPUTED_VALUE"""),61.0)</f>
        <v>61</v>
      </c>
      <c r="K381" s="23">
        <f>IFERROR(__xludf.DUMMYFUNCTION("""COMPUTED_VALUE"""),7.1)</f>
        <v>7.1</v>
      </c>
      <c r="L381" s="24">
        <f>IFERROR(__xludf.DUMMYFUNCTION("""COMPUTED_VALUE"""),27.0)</f>
        <v>27</v>
      </c>
      <c r="M381" s="25" t="str">
        <f>IFERROR(__xludf.DUMMYFUNCTION("""COMPUTED_VALUE"""),"RPG")</f>
        <v>RPG</v>
      </c>
      <c r="N381" s="25"/>
      <c r="O381" s="26" t="str">
        <f>IFERROR(__xludf.DUMMYFUNCTION("""COMPUTED_VALUE"""),"Yes")</f>
        <v>Yes</v>
      </c>
      <c r="P381" s="26"/>
    </row>
    <row r="382">
      <c r="A382" s="13" t="str">
        <f>IFERROR(__xludf.DUMMYFUNCTION("""COMPUTED_VALUE"""),"Final Fantasy XV: Royal Edition")</f>
        <v>Final Fantasy XV: Royal Edition</v>
      </c>
      <c r="B382" s="15" t="str">
        <f>IFERROR(__xludf.DUMMYFUNCTION("""COMPUTED_VALUE"""),"PS4")</f>
        <v>PS4</v>
      </c>
      <c r="C382" s="16" t="str">
        <f>IFERROR(__xludf.DUMMYFUNCTION("""COMPUTED_VALUE"""),"Extra")</f>
        <v>Extra</v>
      </c>
      <c r="D382" s="15" t="str">
        <f>IFERROR(__xludf.DUMMYFUNCTION("""COMPUTED_VALUE"""),"Removed")</f>
        <v>Removed</v>
      </c>
      <c r="E382" s="17">
        <f>IFERROR(__xludf.DUMMYFUNCTION("""COMPUTED_VALUE"""),44725.0)</f>
        <v>44725</v>
      </c>
      <c r="F382" s="54">
        <f>IFERROR(__xludf.DUMMYFUNCTION("""COMPUTED_VALUE"""),45432.0)</f>
        <v>45432</v>
      </c>
      <c r="G382" s="19">
        <f>IFERROR(__xludf.DUMMYFUNCTION("""COMPUTED_VALUE"""),23.233333333333334)</f>
        <v>23.23333333</v>
      </c>
      <c r="H382" s="17">
        <f>IFERROR(__xludf.DUMMYFUNCTION("""COMPUTED_VALUE"""),42703.0)</f>
        <v>42703</v>
      </c>
      <c r="I382" s="19">
        <f>IFERROR(__xludf.DUMMYFUNCTION("""COMPUTED_VALUE"""),5.538888888888889)</f>
        <v>5.538888889</v>
      </c>
      <c r="J382" s="21">
        <f>IFERROR(__xludf.DUMMYFUNCTION("""COMPUTED_VALUE"""),77.0)</f>
        <v>77</v>
      </c>
      <c r="K382" s="23">
        <f>IFERROR(__xludf.DUMMYFUNCTION("""COMPUTED_VALUE"""),8.7)</f>
        <v>8.7</v>
      </c>
      <c r="L382" s="24">
        <f>IFERROR(__xludf.DUMMYFUNCTION("""COMPUTED_VALUE"""),27.0)</f>
        <v>27</v>
      </c>
      <c r="M382" s="25" t="str">
        <f>IFERROR(__xludf.DUMMYFUNCTION("""COMPUTED_VALUE"""),"RPG")</f>
        <v>RPG</v>
      </c>
      <c r="N382" s="25"/>
      <c r="O382" s="26" t="str">
        <f>IFERROR(__xludf.DUMMYFUNCTION("""COMPUTED_VALUE"""),"Yes")</f>
        <v>Yes</v>
      </c>
      <c r="P382" s="26"/>
    </row>
    <row r="383">
      <c r="A383" s="13" t="str">
        <f>IFERROR(__xludf.DUMMYFUNCTION("""COMPUTED_VALUE"""),"How To Survive 2")</f>
        <v>How To Survive 2</v>
      </c>
      <c r="B383" s="15" t="str">
        <f>IFERROR(__xludf.DUMMYFUNCTION("""COMPUTED_VALUE"""),"PS4")</f>
        <v>PS4</v>
      </c>
      <c r="C383" s="16" t="str">
        <f>IFERROR(__xludf.DUMMYFUNCTION("""COMPUTED_VALUE"""),"Extra")</f>
        <v>Extra</v>
      </c>
      <c r="D383" s="15" t="str">
        <f>IFERROR(__xludf.DUMMYFUNCTION("""COMPUTED_VALUE"""),"Removed")</f>
        <v>Removed</v>
      </c>
      <c r="E383" s="17">
        <f>IFERROR(__xludf.DUMMYFUNCTION("""COMPUTED_VALUE"""),44725.0)</f>
        <v>44725</v>
      </c>
      <c r="F383" s="54">
        <f>IFERROR(__xludf.DUMMYFUNCTION("""COMPUTED_VALUE"""),45432.0)</f>
        <v>45432</v>
      </c>
      <c r="G383" s="19">
        <f>IFERROR(__xludf.DUMMYFUNCTION("""COMPUTED_VALUE"""),23.233333333333334)</f>
        <v>23.23333333</v>
      </c>
      <c r="H383" s="17">
        <f>IFERROR(__xludf.DUMMYFUNCTION("""COMPUTED_VALUE"""),42773.0)</f>
        <v>42773</v>
      </c>
      <c r="I383" s="19">
        <f>IFERROR(__xludf.DUMMYFUNCTION("""COMPUTED_VALUE"""),5.35)</f>
        <v>5.35</v>
      </c>
      <c r="J383" s="21">
        <f>IFERROR(__xludf.DUMMYFUNCTION("""COMPUTED_VALUE"""),65.0)</f>
        <v>65</v>
      </c>
      <c r="K383" s="23">
        <f>IFERROR(__xludf.DUMMYFUNCTION("""COMPUTED_VALUE"""),6.4)</f>
        <v>6.4</v>
      </c>
      <c r="L383" s="24">
        <f>IFERROR(__xludf.DUMMYFUNCTION("""COMPUTED_VALUE"""),28.0)</f>
        <v>28</v>
      </c>
      <c r="M383" s="25" t="str">
        <f>IFERROR(__xludf.DUMMYFUNCTION("""COMPUTED_VALUE"""),"Survival")</f>
        <v>Survival</v>
      </c>
      <c r="N383" s="25"/>
      <c r="O383" s="26" t="str">
        <f>IFERROR(__xludf.DUMMYFUNCTION("""COMPUTED_VALUE"""),"Yes")</f>
        <v>Yes</v>
      </c>
      <c r="P383" s="26" t="str">
        <f>IFERROR(__xludf.DUMMYFUNCTION("""COMPUTED_VALUE"""),"Yes")</f>
        <v>Yes</v>
      </c>
    </row>
    <row r="384">
      <c r="A384" s="13" t="str">
        <f>IFERROR(__xludf.DUMMYFUNCTION("""COMPUTED_VALUE"""),"Jotun: Valhalla Edition")</f>
        <v>Jotun: Valhalla Edition</v>
      </c>
      <c r="B384" s="15" t="str">
        <f>IFERROR(__xludf.DUMMYFUNCTION("""COMPUTED_VALUE"""),"PS4")</f>
        <v>PS4</v>
      </c>
      <c r="C384" s="16" t="str">
        <f>IFERROR(__xludf.DUMMYFUNCTION("""COMPUTED_VALUE"""),"Extra")</f>
        <v>Extra</v>
      </c>
      <c r="D384" s="15" t="str">
        <f>IFERROR(__xludf.DUMMYFUNCTION("""COMPUTED_VALUE"""),"Removed")</f>
        <v>Removed</v>
      </c>
      <c r="E384" s="17">
        <f>IFERROR(__xludf.DUMMYFUNCTION("""COMPUTED_VALUE"""),44725.0)</f>
        <v>44725</v>
      </c>
      <c r="F384" s="54">
        <f>IFERROR(__xludf.DUMMYFUNCTION("""COMPUTED_VALUE"""),45432.0)</f>
        <v>45432</v>
      </c>
      <c r="G384" s="19">
        <f>IFERROR(__xludf.DUMMYFUNCTION("""COMPUTED_VALUE"""),23.233333333333334)</f>
        <v>23.23333333</v>
      </c>
      <c r="H384" s="17">
        <f>IFERROR(__xludf.DUMMYFUNCTION("""COMPUTED_VALUE"""),42276.0)</f>
        <v>42276</v>
      </c>
      <c r="I384" s="19">
        <f>IFERROR(__xludf.DUMMYFUNCTION("""COMPUTED_VALUE"""),6.705555555555556)</f>
        <v>6.705555556</v>
      </c>
      <c r="J384" s="21">
        <f>IFERROR(__xludf.DUMMYFUNCTION("""COMPUTED_VALUE"""),78.0)</f>
        <v>78</v>
      </c>
      <c r="K384" s="23">
        <f>IFERROR(__xludf.DUMMYFUNCTION("""COMPUTED_VALUE"""),7.2)</f>
        <v>7.2</v>
      </c>
      <c r="L384" s="24">
        <f>IFERROR(__xludf.DUMMYFUNCTION("""COMPUTED_VALUE"""),5.0)</f>
        <v>5</v>
      </c>
      <c r="M384" s="25" t="str">
        <f>IFERROR(__xludf.DUMMYFUNCTION("""COMPUTED_VALUE"""),"Action-Adventure")</f>
        <v>Action-Adventure</v>
      </c>
      <c r="N384" s="25"/>
      <c r="O384" s="26" t="str">
        <f>IFERROR(__xludf.DUMMYFUNCTION("""COMPUTED_VALUE"""),"Yes")</f>
        <v>Yes</v>
      </c>
      <c r="P384" s="26"/>
    </row>
    <row r="385">
      <c r="A385" s="13" t="str">
        <f>IFERROR(__xludf.DUMMYFUNCTION("""COMPUTED_VALUE"""),"Minit")</f>
        <v>Minit</v>
      </c>
      <c r="B385" s="15" t="str">
        <f>IFERROR(__xludf.DUMMYFUNCTION("""COMPUTED_VALUE"""),"PS4")</f>
        <v>PS4</v>
      </c>
      <c r="C385" s="16" t="str">
        <f>IFERROR(__xludf.DUMMYFUNCTION("""COMPUTED_VALUE"""),"Extra")</f>
        <v>Extra</v>
      </c>
      <c r="D385" s="15" t="str">
        <f>IFERROR(__xludf.DUMMYFUNCTION("""COMPUTED_VALUE"""),"Removed")</f>
        <v>Removed</v>
      </c>
      <c r="E385" s="17">
        <f>IFERROR(__xludf.DUMMYFUNCTION("""COMPUTED_VALUE"""),44725.0)</f>
        <v>44725</v>
      </c>
      <c r="F385" s="54">
        <f>IFERROR(__xludf.DUMMYFUNCTION("""COMPUTED_VALUE"""),45432.0)</f>
        <v>45432</v>
      </c>
      <c r="G385" s="19">
        <f>IFERROR(__xludf.DUMMYFUNCTION("""COMPUTED_VALUE"""),23.233333333333334)</f>
        <v>23.23333333</v>
      </c>
      <c r="H385" s="17">
        <f>IFERROR(__xludf.DUMMYFUNCTION("""COMPUTED_VALUE"""),43193.0)</f>
        <v>43193</v>
      </c>
      <c r="I385" s="19">
        <f>IFERROR(__xludf.DUMMYFUNCTION("""COMPUTED_VALUE"""),4.194444444444445)</f>
        <v>4.194444444</v>
      </c>
      <c r="J385" s="21">
        <f>IFERROR(__xludf.DUMMYFUNCTION("""COMPUTED_VALUE"""),79.0)</f>
        <v>79</v>
      </c>
      <c r="K385" s="23">
        <f>IFERROR(__xludf.DUMMYFUNCTION("""COMPUTED_VALUE"""),7.7)</f>
        <v>7.7</v>
      </c>
      <c r="L385" s="24">
        <f>IFERROR(__xludf.DUMMYFUNCTION("""COMPUTED_VALUE"""),2.0)</f>
        <v>2</v>
      </c>
      <c r="M385" s="25" t="str">
        <f>IFERROR(__xludf.DUMMYFUNCTION("""COMPUTED_VALUE"""),"Action-Adventure")</f>
        <v>Action-Adventure</v>
      </c>
      <c r="N385" s="25"/>
      <c r="O385" s="26" t="str">
        <f>IFERROR(__xludf.DUMMYFUNCTION("""COMPUTED_VALUE"""),"Yes")</f>
        <v>Yes</v>
      </c>
      <c r="P385" s="26"/>
    </row>
    <row r="386">
      <c r="A386" s="13" t="str">
        <f>IFERROR(__xludf.DUMMYFUNCTION("""COMPUTED_VALUE"""),"Monster Jam Steel Titans 2")</f>
        <v>Monster Jam Steel Titans 2</v>
      </c>
      <c r="B386" s="15" t="str">
        <f>IFERROR(__xludf.DUMMYFUNCTION("""COMPUTED_VALUE"""),"PS4")</f>
        <v>PS4</v>
      </c>
      <c r="C386" s="16" t="str">
        <f>IFERROR(__xludf.DUMMYFUNCTION("""COMPUTED_VALUE"""),"Extra")</f>
        <v>Extra</v>
      </c>
      <c r="D386" s="15" t="str">
        <f>IFERROR(__xludf.DUMMYFUNCTION("""COMPUTED_VALUE"""),"Removed")</f>
        <v>Removed</v>
      </c>
      <c r="E386" s="17">
        <f>IFERROR(__xludf.DUMMYFUNCTION("""COMPUTED_VALUE"""),44725.0)</f>
        <v>44725</v>
      </c>
      <c r="F386" s="54">
        <f>IFERROR(__xludf.DUMMYFUNCTION("""COMPUTED_VALUE"""),45432.0)</f>
        <v>45432</v>
      </c>
      <c r="G386" s="19">
        <f>IFERROR(__xludf.DUMMYFUNCTION("""COMPUTED_VALUE"""),23.233333333333334)</f>
        <v>23.23333333</v>
      </c>
      <c r="H386" s="17">
        <f>IFERROR(__xludf.DUMMYFUNCTION("""COMPUTED_VALUE"""),44256.0)</f>
        <v>44256</v>
      </c>
      <c r="I386" s="19">
        <f>IFERROR(__xludf.DUMMYFUNCTION("""COMPUTED_VALUE"""),1.2833333333333334)</f>
        <v>1.283333333</v>
      </c>
      <c r="J386" s="21">
        <f>IFERROR(__xludf.DUMMYFUNCTION("""COMPUTED_VALUE"""),60.0)</f>
        <v>60</v>
      </c>
      <c r="K386" s="23">
        <f>IFERROR(__xludf.DUMMYFUNCTION("""COMPUTED_VALUE"""),5.8)</f>
        <v>5.8</v>
      </c>
      <c r="L386" s="24"/>
      <c r="M386" s="25" t="str">
        <f>IFERROR(__xludf.DUMMYFUNCTION("""COMPUTED_VALUE"""),"Racing")</f>
        <v>Racing</v>
      </c>
      <c r="N386" s="25"/>
      <c r="O386" s="26" t="str">
        <f>IFERROR(__xludf.DUMMYFUNCTION("""COMPUTED_VALUE"""),"Yes")</f>
        <v>Yes</v>
      </c>
      <c r="P386" s="26" t="str">
        <f>IFERROR(__xludf.DUMMYFUNCTION("""COMPUTED_VALUE"""),"Yes")</f>
        <v>Yes</v>
      </c>
    </row>
    <row r="387">
      <c r="A387" s="13" t="str">
        <f>IFERROR(__xludf.DUMMYFUNCTION("""COMPUTED_VALUE"""),"My Friend Pedro")</f>
        <v>My Friend Pedro</v>
      </c>
      <c r="B387" s="15" t="str">
        <f>IFERROR(__xludf.DUMMYFUNCTION("""COMPUTED_VALUE"""),"PS4")</f>
        <v>PS4</v>
      </c>
      <c r="C387" s="16" t="str">
        <f>IFERROR(__xludf.DUMMYFUNCTION("""COMPUTED_VALUE"""),"Extra")</f>
        <v>Extra</v>
      </c>
      <c r="D387" s="15" t="str">
        <f>IFERROR(__xludf.DUMMYFUNCTION("""COMPUTED_VALUE"""),"Removed")</f>
        <v>Removed</v>
      </c>
      <c r="E387" s="17">
        <f>IFERROR(__xludf.DUMMYFUNCTION("""COMPUTED_VALUE"""),44725.0)</f>
        <v>44725</v>
      </c>
      <c r="F387" s="54">
        <f>IFERROR(__xludf.DUMMYFUNCTION("""COMPUTED_VALUE"""),45432.0)</f>
        <v>45432</v>
      </c>
      <c r="G387" s="19">
        <f>IFERROR(__xludf.DUMMYFUNCTION("""COMPUTED_VALUE"""),23.233333333333334)</f>
        <v>23.23333333</v>
      </c>
      <c r="H387" s="17">
        <f>IFERROR(__xludf.DUMMYFUNCTION("""COMPUTED_VALUE"""),43636.0)</f>
        <v>43636</v>
      </c>
      <c r="I387" s="19">
        <f>IFERROR(__xludf.DUMMYFUNCTION("""COMPUTED_VALUE"""),2.9805555555555556)</f>
        <v>2.980555556</v>
      </c>
      <c r="J387" s="21">
        <f>IFERROR(__xludf.DUMMYFUNCTION("""COMPUTED_VALUE"""),81.0)</f>
        <v>81</v>
      </c>
      <c r="K387" s="23">
        <f>IFERROR(__xludf.DUMMYFUNCTION("""COMPUTED_VALUE"""),7.5)</f>
        <v>7.5</v>
      </c>
      <c r="L387" s="24">
        <f>IFERROR(__xludf.DUMMYFUNCTION("""COMPUTED_VALUE"""),5.0)</f>
        <v>5</v>
      </c>
      <c r="M387" s="25" t="str">
        <f>IFERROR(__xludf.DUMMYFUNCTION("""COMPUTED_VALUE"""),"Action-Adventure")</f>
        <v>Action-Adventure</v>
      </c>
      <c r="N387" s="25"/>
      <c r="O387" s="26" t="str">
        <f>IFERROR(__xludf.DUMMYFUNCTION("""COMPUTED_VALUE"""),"Yes")</f>
        <v>Yes</v>
      </c>
      <c r="P387" s="26"/>
    </row>
    <row r="388">
      <c r="A388" s="13" t="str">
        <f>IFERROR(__xludf.DUMMYFUNCTION("""COMPUTED_VALUE"""),"Observation")</f>
        <v>Observation</v>
      </c>
      <c r="B388" s="15" t="str">
        <f>IFERROR(__xludf.DUMMYFUNCTION("""COMPUTED_VALUE"""),"PS4")</f>
        <v>PS4</v>
      </c>
      <c r="C388" s="16" t="str">
        <f>IFERROR(__xludf.DUMMYFUNCTION("""COMPUTED_VALUE"""),"Extra")</f>
        <v>Extra</v>
      </c>
      <c r="D388" s="15" t="str">
        <f>IFERROR(__xludf.DUMMYFUNCTION("""COMPUTED_VALUE"""),"Removed")</f>
        <v>Removed</v>
      </c>
      <c r="E388" s="17">
        <f>IFERROR(__xludf.DUMMYFUNCTION("""COMPUTED_VALUE"""),44725.0)</f>
        <v>44725</v>
      </c>
      <c r="F388" s="54">
        <f>IFERROR(__xludf.DUMMYFUNCTION("""COMPUTED_VALUE"""),45432.0)</f>
        <v>45432</v>
      </c>
      <c r="G388" s="19">
        <f>IFERROR(__xludf.DUMMYFUNCTION("""COMPUTED_VALUE"""),23.233333333333334)</f>
        <v>23.23333333</v>
      </c>
      <c r="H388" s="17">
        <f>IFERROR(__xludf.DUMMYFUNCTION("""COMPUTED_VALUE"""),43606.0)</f>
        <v>43606</v>
      </c>
      <c r="I388" s="19">
        <f>IFERROR(__xludf.DUMMYFUNCTION("""COMPUTED_VALUE"""),3.061111111111111)</f>
        <v>3.061111111</v>
      </c>
      <c r="J388" s="21">
        <f>IFERROR(__xludf.DUMMYFUNCTION("""COMPUTED_VALUE"""),76.0)</f>
        <v>76</v>
      </c>
      <c r="K388" s="23">
        <f>IFERROR(__xludf.DUMMYFUNCTION("""COMPUTED_VALUE"""),6.9)</f>
        <v>6.9</v>
      </c>
      <c r="L388" s="24">
        <f>IFERROR(__xludf.DUMMYFUNCTION("""COMPUTED_VALUE"""),4.0)</f>
        <v>4</v>
      </c>
      <c r="M388" s="25" t="str">
        <f>IFERROR(__xludf.DUMMYFUNCTION("""COMPUTED_VALUE"""),"Horror")</f>
        <v>Horror</v>
      </c>
      <c r="N388" s="25"/>
      <c r="O388" s="26" t="str">
        <f>IFERROR(__xludf.DUMMYFUNCTION("""COMPUTED_VALUE"""),"Yes")</f>
        <v>Yes</v>
      </c>
      <c r="P388" s="26"/>
    </row>
    <row r="389">
      <c r="A389" s="13" t="str">
        <f>IFERROR(__xludf.DUMMYFUNCTION("""COMPUTED_VALUE"""),"The Messenger")</f>
        <v>The Messenger</v>
      </c>
      <c r="B389" s="15" t="str">
        <f>IFERROR(__xludf.DUMMYFUNCTION("""COMPUTED_VALUE"""),"PS4")</f>
        <v>PS4</v>
      </c>
      <c r="C389" s="16" t="str">
        <f>IFERROR(__xludf.DUMMYFUNCTION("""COMPUTED_VALUE"""),"Extra")</f>
        <v>Extra</v>
      </c>
      <c r="D389" s="15" t="str">
        <f>IFERROR(__xludf.DUMMYFUNCTION("""COMPUTED_VALUE"""),"Removed")</f>
        <v>Removed</v>
      </c>
      <c r="E389" s="17">
        <f>IFERROR(__xludf.DUMMYFUNCTION("""COMPUTED_VALUE"""),44725.0)</f>
        <v>44725</v>
      </c>
      <c r="F389" s="54">
        <f>IFERROR(__xludf.DUMMYFUNCTION("""COMPUTED_VALUE"""),45432.0)</f>
        <v>45432</v>
      </c>
      <c r="G389" s="19">
        <f>IFERROR(__xludf.DUMMYFUNCTION("""COMPUTED_VALUE"""),23.233333333333334)</f>
        <v>23.23333333</v>
      </c>
      <c r="H389" s="17">
        <f>IFERROR(__xludf.DUMMYFUNCTION("""COMPUTED_VALUE"""),43342.0)</f>
        <v>43342</v>
      </c>
      <c r="I389" s="19">
        <f>IFERROR(__xludf.DUMMYFUNCTION("""COMPUTED_VALUE"""),3.786111111111111)</f>
        <v>3.786111111</v>
      </c>
      <c r="J389" s="21">
        <f>IFERROR(__xludf.DUMMYFUNCTION("""COMPUTED_VALUE"""),86.0)</f>
        <v>86</v>
      </c>
      <c r="K389" s="23">
        <f>IFERROR(__xludf.DUMMYFUNCTION("""COMPUTED_VALUE"""),8.3)</f>
        <v>8.3</v>
      </c>
      <c r="L389" s="24">
        <f>IFERROR(__xludf.DUMMYFUNCTION("""COMPUTED_VALUE"""),15.0)</f>
        <v>15</v>
      </c>
      <c r="M389" s="25" t="str">
        <f>IFERROR(__xludf.DUMMYFUNCTION("""COMPUTED_VALUE"""),"Platformer")</f>
        <v>Platformer</v>
      </c>
      <c r="N389" s="25"/>
      <c r="O389" s="26" t="str">
        <f>IFERROR(__xludf.DUMMYFUNCTION("""COMPUTED_VALUE"""),"Yes")</f>
        <v>Yes</v>
      </c>
      <c r="P389" s="26"/>
    </row>
    <row r="390">
      <c r="A390" s="13" t="str">
        <f>IFERROR(__xludf.DUMMYFUNCTION("""COMPUTED_VALUE"""),"This is the Police")</f>
        <v>This is the Police</v>
      </c>
      <c r="B390" s="15" t="str">
        <f>IFERROR(__xludf.DUMMYFUNCTION("""COMPUTED_VALUE"""),"PS4")</f>
        <v>PS4</v>
      </c>
      <c r="C390" s="16" t="str">
        <f>IFERROR(__xludf.DUMMYFUNCTION("""COMPUTED_VALUE"""),"Extra")</f>
        <v>Extra</v>
      </c>
      <c r="D390" s="15" t="str">
        <f>IFERROR(__xludf.DUMMYFUNCTION("""COMPUTED_VALUE"""),"Removed")</f>
        <v>Removed</v>
      </c>
      <c r="E390" s="17">
        <f>IFERROR(__xludf.DUMMYFUNCTION("""COMPUTED_VALUE"""),44725.0)</f>
        <v>44725</v>
      </c>
      <c r="F390" s="54">
        <f>IFERROR(__xludf.DUMMYFUNCTION("""COMPUTED_VALUE"""),45432.0)</f>
        <v>45432</v>
      </c>
      <c r="G390" s="19">
        <f>IFERROR(__xludf.DUMMYFUNCTION("""COMPUTED_VALUE"""),23.233333333333334)</f>
        <v>23.23333333</v>
      </c>
      <c r="H390" s="17">
        <f>IFERROR(__xludf.DUMMYFUNCTION("""COMPUTED_VALUE"""),42795.0)</f>
        <v>42795</v>
      </c>
      <c r="I390" s="19">
        <f>IFERROR(__xludf.DUMMYFUNCTION("""COMPUTED_VALUE"""),5.283333333333333)</f>
        <v>5.283333333</v>
      </c>
      <c r="J390" s="21">
        <f>IFERROR(__xludf.DUMMYFUNCTION("""COMPUTED_VALUE"""),66.0)</f>
        <v>66</v>
      </c>
      <c r="K390" s="23">
        <f>IFERROR(__xludf.DUMMYFUNCTION("""COMPUTED_VALUE"""),7.0)</f>
        <v>7</v>
      </c>
      <c r="L390" s="24">
        <f>IFERROR(__xludf.DUMMYFUNCTION("""COMPUTED_VALUE"""),8.0)</f>
        <v>8</v>
      </c>
      <c r="M390" s="25" t="str">
        <f>IFERROR(__xludf.DUMMYFUNCTION("""COMPUTED_VALUE"""),"Interactive Story")</f>
        <v>Interactive Story</v>
      </c>
      <c r="N390" s="25"/>
      <c r="O390" s="26" t="str">
        <f>IFERROR(__xludf.DUMMYFUNCTION("""COMPUTED_VALUE"""),"Yes")</f>
        <v>Yes</v>
      </c>
      <c r="P390" s="26"/>
    </row>
    <row r="391">
      <c r="A391" s="13" t="str">
        <f>IFERROR(__xludf.DUMMYFUNCTION("""COMPUTED_VALUE"""),"This is the Police 2")</f>
        <v>This is the Police 2</v>
      </c>
      <c r="B391" s="15" t="str">
        <f>IFERROR(__xludf.DUMMYFUNCTION("""COMPUTED_VALUE"""),"PS4")</f>
        <v>PS4</v>
      </c>
      <c r="C391" s="16" t="str">
        <f>IFERROR(__xludf.DUMMYFUNCTION("""COMPUTED_VALUE"""),"Extra")</f>
        <v>Extra</v>
      </c>
      <c r="D391" s="15" t="str">
        <f>IFERROR(__xludf.DUMMYFUNCTION("""COMPUTED_VALUE"""),"Removed")</f>
        <v>Removed</v>
      </c>
      <c r="E391" s="17">
        <f>IFERROR(__xludf.DUMMYFUNCTION("""COMPUTED_VALUE"""),44725.0)</f>
        <v>44725</v>
      </c>
      <c r="F391" s="54">
        <f>IFERROR(__xludf.DUMMYFUNCTION("""COMPUTED_VALUE"""),45432.0)</f>
        <v>45432</v>
      </c>
      <c r="G391" s="19">
        <f>IFERROR(__xludf.DUMMYFUNCTION("""COMPUTED_VALUE"""),23.233333333333334)</f>
        <v>23.23333333</v>
      </c>
      <c r="H391" s="17">
        <f>IFERROR(__xludf.DUMMYFUNCTION("""COMPUTED_VALUE"""),43312.0)</f>
        <v>43312</v>
      </c>
      <c r="I391" s="19">
        <f>IFERROR(__xludf.DUMMYFUNCTION("""COMPUTED_VALUE"""),3.8694444444444445)</f>
        <v>3.869444444</v>
      </c>
      <c r="J391" s="21">
        <f>IFERROR(__xludf.DUMMYFUNCTION("""COMPUTED_VALUE"""),70.0)</f>
        <v>70</v>
      </c>
      <c r="K391" s="23">
        <f>IFERROR(__xludf.DUMMYFUNCTION("""COMPUTED_VALUE"""),7.0)</f>
        <v>7</v>
      </c>
      <c r="L391" s="24">
        <f>IFERROR(__xludf.DUMMYFUNCTION("""COMPUTED_VALUE"""),10.0)</f>
        <v>10</v>
      </c>
      <c r="M391" s="25" t="str">
        <f>IFERROR(__xludf.DUMMYFUNCTION("""COMPUTED_VALUE"""),"Interactive Story")</f>
        <v>Interactive Story</v>
      </c>
      <c r="N391" s="25"/>
      <c r="O391" s="26" t="str">
        <f>IFERROR(__xludf.DUMMYFUNCTION("""COMPUTED_VALUE"""),"Yes")</f>
        <v>Yes</v>
      </c>
      <c r="P391" s="26"/>
    </row>
    <row r="392">
      <c r="A392" s="13" t="str">
        <f>IFERROR(__xludf.DUMMYFUNCTION("""COMPUTED_VALUE"""),"World of Final Fantasy")</f>
        <v>World of Final Fantasy</v>
      </c>
      <c r="B392" s="15" t="str">
        <f>IFERROR(__xludf.DUMMYFUNCTION("""COMPUTED_VALUE"""),"PS4")</f>
        <v>PS4</v>
      </c>
      <c r="C392" s="16" t="str">
        <f>IFERROR(__xludf.DUMMYFUNCTION("""COMPUTED_VALUE"""),"Extra")</f>
        <v>Extra</v>
      </c>
      <c r="D392" s="15" t="str">
        <f>IFERROR(__xludf.DUMMYFUNCTION("""COMPUTED_VALUE"""),"Removed")</f>
        <v>Removed</v>
      </c>
      <c r="E392" s="17">
        <f>IFERROR(__xludf.DUMMYFUNCTION("""COMPUTED_VALUE"""),44725.0)</f>
        <v>44725</v>
      </c>
      <c r="F392" s="54">
        <f>IFERROR(__xludf.DUMMYFUNCTION("""COMPUTED_VALUE"""),45432.0)</f>
        <v>45432</v>
      </c>
      <c r="G392" s="19">
        <f>IFERROR(__xludf.DUMMYFUNCTION("""COMPUTED_VALUE"""),23.233333333333334)</f>
        <v>23.23333333</v>
      </c>
      <c r="H392" s="17">
        <f>IFERROR(__xludf.DUMMYFUNCTION("""COMPUTED_VALUE"""),42644.0)</f>
        <v>42644</v>
      </c>
      <c r="I392" s="19">
        <f>IFERROR(__xludf.DUMMYFUNCTION("""COMPUTED_VALUE"""),5.7)</f>
        <v>5.7</v>
      </c>
      <c r="J392" s="21">
        <f>IFERROR(__xludf.DUMMYFUNCTION("""COMPUTED_VALUE"""),78.0)</f>
        <v>78</v>
      </c>
      <c r="K392" s="23">
        <f>IFERROR(__xludf.DUMMYFUNCTION("""COMPUTED_VALUE"""),7.9)</f>
        <v>7.9</v>
      </c>
      <c r="L392" s="24">
        <f>IFERROR(__xludf.DUMMYFUNCTION("""COMPUTED_VALUE"""),36.0)</f>
        <v>36</v>
      </c>
      <c r="M392" s="25" t="str">
        <f>IFERROR(__xludf.DUMMYFUNCTION("""COMPUTED_VALUE"""),"RPG")</f>
        <v>RPG</v>
      </c>
      <c r="N392" s="25"/>
      <c r="O392" s="26" t="str">
        <f>IFERROR(__xludf.DUMMYFUNCTION("""COMPUTED_VALUE"""),"Yes")</f>
        <v>Yes</v>
      </c>
      <c r="P392" s="26"/>
    </row>
    <row r="393">
      <c r="A393" s="13" t="str">
        <f>IFERROR(__xludf.DUMMYFUNCTION("""COMPUTED_VALUE"""),"Final Fantasy XII: The Zodiac Age")</f>
        <v>Final Fantasy XII: The Zodiac Age</v>
      </c>
      <c r="B393" s="15" t="str">
        <f>IFERROR(__xludf.DUMMYFUNCTION("""COMPUTED_VALUE"""),"PS4")</f>
        <v>PS4</v>
      </c>
      <c r="C393" s="16" t="str">
        <f>IFERROR(__xludf.DUMMYFUNCTION("""COMPUTED_VALUE"""),"Extra")</f>
        <v>Extra</v>
      </c>
      <c r="D393" s="15" t="str">
        <f>IFERROR(__xludf.DUMMYFUNCTION("""COMPUTED_VALUE"""),"Removed")</f>
        <v>Removed</v>
      </c>
      <c r="E393" s="17">
        <f>IFERROR(__xludf.DUMMYFUNCTION("""COMPUTED_VALUE"""),44565.0)</f>
        <v>44565</v>
      </c>
      <c r="F393" s="54">
        <f>IFERROR(__xludf.DUMMYFUNCTION("""COMPUTED_VALUE"""),45432.0)</f>
        <v>45432</v>
      </c>
      <c r="G393" s="19">
        <f>IFERROR(__xludf.DUMMYFUNCTION("""COMPUTED_VALUE"""),28.53333333333333)</f>
        <v>28.53333333</v>
      </c>
      <c r="H393" s="17">
        <f>IFERROR(__xludf.DUMMYFUNCTION("""COMPUTED_VALUE"""),42927.0)</f>
        <v>42927</v>
      </c>
      <c r="I393" s="19">
        <f>IFERROR(__xludf.DUMMYFUNCTION("""COMPUTED_VALUE"""),4.480555555555555)</f>
        <v>4.480555556</v>
      </c>
      <c r="J393" s="21">
        <f>IFERROR(__xludf.DUMMYFUNCTION("""COMPUTED_VALUE"""),85.0)</f>
        <v>85</v>
      </c>
      <c r="K393" s="23">
        <f>IFERROR(__xludf.DUMMYFUNCTION("""COMPUTED_VALUE"""),8.8)</f>
        <v>8.8</v>
      </c>
      <c r="L393" s="24">
        <f>IFERROR(__xludf.DUMMYFUNCTION("""COMPUTED_VALUE"""),40.5)</f>
        <v>40.5</v>
      </c>
      <c r="M393" s="25" t="str">
        <f>IFERROR(__xludf.DUMMYFUNCTION("""COMPUTED_VALUE"""),"RPG")</f>
        <v>RPG</v>
      </c>
      <c r="N393" s="25"/>
      <c r="O393" s="26" t="str">
        <f>IFERROR(__xludf.DUMMYFUNCTION("""COMPUTED_VALUE"""),"Yes")</f>
        <v>Yes</v>
      </c>
      <c r="P393" s="26"/>
    </row>
    <row r="394">
      <c r="A394" s="13" t="str">
        <f>IFERROR(__xludf.DUMMYFUNCTION("""COMPUTED_VALUE"""),"Final Fantasy X/X-2: HD Remaster")</f>
        <v>Final Fantasy X/X-2: HD Remaster</v>
      </c>
      <c r="B394" s="15" t="str">
        <f>IFERROR(__xludf.DUMMYFUNCTION("""COMPUTED_VALUE"""),"PS4")</f>
        <v>PS4</v>
      </c>
      <c r="C394" s="16" t="str">
        <f>IFERROR(__xludf.DUMMYFUNCTION("""COMPUTED_VALUE"""),"Extra")</f>
        <v>Extra</v>
      </c>
      <c r="D394" s="15" t="str">
        <f>IFERROR(__xludf.DUMMYFUNCTION("""COMPUTED_VALUE"""),"Removed")</f>
        <v>Removed</v>
      </c>
      <c r="E394" s="17">
        <f>IFERROR(__xludf.DUMMYFUNCTION("""COMPUTED_VALUE"""),44537.0)</f>
        <v>44537</v>
      </c>
      <c r="F394" s="54">
        <f>IFERROR(__xludf.DUMMYFUNCTION("""COMPUTED_VALUE"""),45432.0)</f>
        <v>45432</v>
      </c>
      <c r="G394" s="19">
        <f>IFERROR(__xludf.DUMMYFUNCTION("""COMPUTED_VALUE"""),29.433333333333337)</f>
        <v>29.43333333</v>
      </c>
      <c r="H394" s="17">
        <f>IFERROR(__xludf.DUMMYFUNCTION("""COMPUTED_VALUE"""),41634.0)</f>
        <v>41634</v>
      </c>
      <c r="I394" s="19">
        <f>IFERROR(__xludf.DUMMYFUNCTION("""COMPUTED_VALUE"""),7.947222222222222)</f>
        <v>7.947222222</v>
      </c>
      <c r="J394" s="21">
        <f>IFERROR(__xludf.DUMMYFUNCTION("""COMPUTED_VALUE"""),83.0)</f>
        <v>83</v>
      </c>
      <c r="K394" s="23">
        <f>IFERROR(__xludf.DUMMYFUNCTION("""COMPUTED_VALUE"""),8.7)</f>
        <v>8.7</v>
      </c>
      <c r="L394" s="24">
        <f>IFERROR(__xludf.DUMMYFUNCTION("""COMPUTED_VALUE"""),50.5)</f>
        <v>50.5</v>
      </c>
      <c r="M394" s="25" t="str">
        <f>IFERROR(__xludf.DUMMYFUNCTION("""COMPUTED_VALUE"""),"RPG")</f>
        <v>RPG</v>
      </c>
      <c r="N394" s="25"/>
      <c r="O394" s="26" t="str">
        <f>IFERROR(__xludf.DUMMYFUNCTION("""COMPUTED_VALUE"""),"Yes")</f>
        <v>Yes</v>
      </c>
      <c r="P394" s="26"/>
    </row>
    <row r="395">
      <c r="A395" s="13" t="str">
        <f>IFERROR(__xludf.DUMMYFUNCTION("""COMPUTED_VALUE"""),"Final Fantasy VIII: Remastered")</f>
        <v>Final Fantasy VIII: Remastered</v>
      </c>
      <c r="B395" s="15" t="str">
        <f>IFERROR(__xludf.DUMMYFUNCTION("""COMPUTED_VALUE"""),"PS4")</f>
        <v>PS4</v>
      </c>
      <c r="C395" s="16" t="str">
        <f>IFERROR(__xludf.DUMMYFUNCTION("""COMPUTED_VALUE"""),"Extra")</f>
        <v>Extra</v>
      </c>
      <c r="D395" s="15" t="str">
        <f>IFERROR(__xludf.DUMMYFUNCTION("""COMPUTED_VALUE"""),"Removed")</f>
        <v>Removed</v>
      </c>
      <c r="E395" s="17">
        <f>IFERROR(__xludf.DUMMYFUNCTION("""COMPUTED_VALUE"""),44502.0)</f>
        <v>44502</v>
      </c>
      <c r="F395" s="54">
        <f>IFERROR(__xludf.DUMMYFUNCTION("""COMPUTED_VALUE"""),45432.0)</f>
        <v>45432</v>
      </c>
      <c r="G395" s="19">
        <f>IFERROR(__xludf.DUMMYFUNCTION("""COMPUTED_VALUE"""),30.599999999999998)</f>
        <v>30.6</v>
      </c>
      <c r="H395" s="17">
        <f>IFERROR(__xludf.DUMMYFUNCTION("""COMPUTED_VALUE"""),43711.0)</f>
        <v>43711</v>
      </c>
      <c r="I395" s="19">
        <f>IFERROR(__xludf.DUMMYFUNCTION("""COMPUTED_VALUE"""),2.1638888888888888)</f>
        <v>2.163888889</v>
      </c>
      <c r="J395" s="21">
        <f>IFERROR(__xludf.DUMMYFUNCTION("""COMPUTED_VALUE"""),81.0)</f>
        <v>81</v>
      </c>
      <c r="K395" s="23">
        <f>IFERROR(__xludf.DUMMYFUNCTION("""COMPUTED_VALUE"""),7.8)</f>
        <v>7.8</v>
      </c>
      <c r="L395" s="24">
        <f>IFERROR(__xludf.DUMMYFUNCTION("""COMPUTED_VALUE"""),40.0)</f>
        <v>40</v>
      </c>
      <c r="M395" s="25" t="str">
        <f>IFERROR(__xludf.DUMMYFUNCTION("""COMPUTED_VALUE"""),"RPG")</f>
        <v>RPG</v>
      </c>
      <c r="N395" s="25"/>
      <c r="O395" s="26" t="str">
        <f>IFERROR(__xludf.DUMMYFUNCTION("""COMPUTED_VALUE"""),"Yes")</f>
        <v>Yes</v>
      </c>
      <c r="P395" s="26"/>
    </row>
    <row r="396">
      <c r="A396" s="13" t="str">
        <f>IFERROR(__xludf.DUMMYFUNCTION("""COMPUTED_VALUE"""),"Final Fantasy IX")</f>
        <v>Final Fantasy IX</v>
      </c>
      <c r="B396" s="15" t="str">
        <f>IFERROR(__xludf.DUMMYFUNCTION("""COMPUTED_VALUE"""),"PS4")</f>
        <v>PS4</v>
      </c>
      <c r="C396" s="16" t="str">
        <f>IFERROR(__xludf.DUMMYFUNCTION("""COMPUTED_VALUE"""),"Extra")</f>
        <v>Extra</v>
      </c>
      <c r="D396" s="15" t="str">
        <f>IFERROR(__xludf.DUMMYFUNCTION("""COMPUTED_VALUE"""),"Removed")</f>
        <v>Removed</v>
      </c>
      <c r="E396" s="17">
        <f>IFERROR(__xludf.DUMMYFUNCTION("""COMPUTED_VALUE"""),44474.0)</f>
        <v>44474</v>
      </c>
      <c r="F396" s="54">
        <f>IFERROR(__xludf.DUMMYFUNCTION("""COMPUTED_VALUE"""),45432.0)</f>
        <v>45432</v>
      </c>
      <c r="G396" s="19">
        <f>IFERROR(__xludf.DUMMYFUNCTION("""COMPUTED_VALUE"""),31.5)</f>
        <v>31.5</v>
      </c>
      <c r="H396" s="17">
        <f>IFERROR(__xludf.DUMMYFUNCTION("""COMPUTED_VALUE"""),36714.0)</f>
        <v>36714</v>
      </c>
      <c r="I396" s="19">
        <f>IFERROR(__xludf.DUMMYFUNCTION("""COMPUTED_VALUE"""),21.244444444444444)</f>
        <v>21.24444444</v>
      </c>
      <c r="J396" s="21">
        <f>IFERROR(__xludf.DUMMYFUNCTION("""COMPUTED_VALUE"""),83.0)</f>
        <v>83</v>
      </c>
      <c r="K396" s="23">
        <f>IFERROR(__xludf.DUMMYFUNCTION("""COMPUTED_VALUE"""),8.8)</f>
        <v>8.8</v>
      </c>
      <c r="L396" s="24">
        <f>IFERROR(__xludf.DUMMYFUNCTION("""COMPUTED_VALUE"""),39.0)</f>
        <v>39</v>
      </c>
      <c r="M396" s="25" t="str">
        <f>IFERROR(__xludf.DUMMYFUNCTION("""COMPUTED_VALUE"""),"RPG")</f>
        <v>RPG</v>
      </c>
      <c r="N396" s="25"/>
      <c r="O396" s="26" t="str">
        <f>IFERROR(__xludf.DUMMYFUNCTION("""COMPUTED_VALUE"""),"Yes")</f>
        <v>Yes</v>
      </c>
      <c r="P396" s="26"/>
    </row>
    <row r="397">
      <c r="A397" s="13" t="str">
        <f>IFERROR(__xludf.DUMMYFUNCTION("""COMPUTED_VALUE"""),"Final Fantasy VII")</f>
        <v>Final Fantasy VII</v>
      </c>
      <c r="B397" s="15" t="str">
        <f>IFERROR(__xludf.DUMMYFUNCTION("""COMPUTED_VALUE"""),"PS4")</f>
        <v>PS4</v>
      </c>
      <c r="C397" s="16" t="str">
        <f>IFERROR(__xludf.DUMMYFUNCTION("""COMPUTED_VALUE"""),"Extra")</f>
        <v>Extra</v>
      </c>
      <c r="D397" s="15" t="str">
        <f>IFERROR(__xludf.DUMMYFUNCTION("""COMPUTED_VALUE"""),"Removed")</f>
        <v>Removed</v>
      </c>
      <c r="E397" s="17">
        <f>IFERROR(__xludf.DUMMYFUNCTION("""COMPUTED_VALUE"""),44446.0)</f>
        <v>44446</v>
      </c>
      <c r="F397" s="54">
        <f>IFERROR(__xludf.DUMMYFUNCTION("""COMPUTED_VALUE"""),45432.0)</f>
        <v>45432</v>
      </c>
      <c r="G397" s="19">
        <f>IFERROR(__xludf.DUMMYFUNCTION("""COMPUTED_VALUE"""),32.43333333333334)</f>
        <v>32.43333333</v>
      </c>
      <c r="H397" s="17">
        <f>IFERROR(__xludf.DUMMYFUNCTION("""COMPUTED_VALUE"""),35461.0)</f>
        <v>35461</v>
      </c>
      <c r="I397" s="19">
        <f>IFERROR(__xludf.DUMMYFUNCTION("""COMPUTED_VALUE"""),24.602777777777778)</f>
        <v>24.60277778</v>
      </c>
      <c r="J397" s="21">
        <f>IFERROR(__xludf.DUMMYFUNCTION("""COMPUTED_VALUE"""),82.0)</f>
        <v>82</v>
      </c>
      <c r="K397" s="23">
        <f>IFERROR(__xludf.DUMMYFUNCTION("""COMPUTED_VALUE"""),9.2)</f>
        <v>9.2</v>
      </c>
      <c r="L397" s="24">
        <f>IFERROR(__xludf.DUMMYFUNCTION("""COMPUTED_VALUE"""),36.5)</f>
        <v>36.5</v>
      </c>
      <c r="M397" s="25" t="str">
        <f>IFERROR(__xludf.DUMMYFUNCTION("""COMPUTED_VALUE"""),"RPG")</f>
        <v>RPG</v>
      </c>
      <c r="N397" s="25"/>
      <c r="O397" s="26" t="str">
        <f>IFERROR(__xludf.DUMMYFUNCTION("""COMPUTED_VALUE"""),"Yes")</f>
        <v>Yes</v>
      </c>
      <c r="P397" s="26"/>
    </row>
    <row r="398">
      <c r="A398" s="13" t="str">
        <f>IFERROR(__xludf.DUMMYFUNCTION("""COMPUTED_VALUE"""),"Immortals of Aveum")</f>
        <v>Immortals of Aveum</v>
      </c>
      <c r="B398" s="15" t="str">
        <f>IFERROR(__xludf.DUMMYFUNCTION("""COMPUTED_VALUE"""),"PS5")</f>
        <v>PS5</v>
      </c>
      <c r="C398" s="16" t="str">
        <f>IFERROR(__xludf.DUMMYFUNCTION("""COMPUTED_VALUE"""),"Essential")</f>
        <v>Essential</v>
      </c>
      <c r="D398" s="15" t="str">
        <f>IFERROR(__xludf.DUMMYFUNCTION("""COMPUTED_VALUE"""),"Removed")</f>
        <v>Removed</v>
      </c>
      <c r="E398" s="17">
        <f>IFERROR(__xludf.DUMMYFUNCTION("""COMPUTED_VALUE"""),45384.0)</f>
        <v>45384</v>
      </c>
      <c r="F398" s="54">
        <f>IFERROR(__xludf.DUMMYFUNCTION("""COMPUTED_VALUE"""),45418.0)</f>
        <v>45418</v>
      </c>
      <c r="G398" s="19">
        <f>IFERROR(__xludf.DUMMYFUNCTION("""COMPUTED_VALUE"""),1.1333333333333333)</f>
        <v>1.133333333</v>
      </c>
      <c r="H398" s="17">
        <f>IFERROR(__xludf.DUMMYFUNCTION("""COMPUTED_VALUE"""),45160.0)</f>
        <v>45160</v>
      </c>
      <c r="I398" s="19">
        <f>IFERROR(__xludf.DUMMYFUNCTION("""COMPUTED_VALUE"""),0.6111111111111112)</f>
        <v>0.6111111111</v>
      </c>
      <c r="J398" s="21">
        <f>IFERROR(__xludf.DUMMYFUNCTION("""COMPUTED_VALUE"""),69.0)</f>
        <v>69</v>
      </c>
      <c r="K398" s="23">
        <f>IFERROR(__xludf.DUMMYFUNCTION("""COMPUTED_VALUE"""),6.1)</f>
        <v>6.1</v>
      </c>
      <c r="L398" s="24">
        <f>IFERROR(__xludf.DUMMYFUNCTION("""COMPUTED_VALUE"""),16.0)</f>
        <v>16</v>
      </c>
      <c r="M398" s="25" t="str">
        <f>IFERROR(__xludf.DUMMYFUNCTION("""COMPUTED_VALUE"""),"Shooter")</f>
        <v>Shooter</v>
      </c>
      <c r="N398" s="25"/>
      <c r="O398" s="26" t="str">
        <f>IFERROR(__xludf.DUMMYFUNCTION("""COMPUTED_VALUE"""),"No")</f>
        <v>No</v>
      </c>
      <c r="P398" s="26"/>
    </row>
    <row r="399">
      <c r="A399" s="13" t="str">
        <f>IFERROR(__xludf.DUMMYFUNCTION("""COMPUTED_VALUE"""),"Minecraft: Legends")</f>
        <v>Minecraft: Legends</v>
      </c>
      <c r="B399" s="15" t="str">
        <f>IFERROR(__xludf.DUMMYFUNCTION("""COMPUTED_VALUE"""),"PS5/PS4")</f>
        <v>PS5/PS4</v>
      </c>
      <c r="C399" s="16" t="str">
        <f>IFERROR(__xludf.DUMMYFUNCTION("""COMPUTED_VALUE"""),"Essential")</f>
        <v>Essential</v>
      </c>
      <c r="D399" s="15" t="str">
        <f>IFERROR(__xludf.DUMMYFUNCTION("""COMPUTED_VALUE"""),"Removed")</f>
        <v>Removed</v>
      </c>
      <c r="E399" s="17">
        <f>IFERROR(__xludf.DUMMYFUNCTION("""COMPUTED_VALUE"""),45384.0)</f>
        <v>45384</v>
      </c>
      <c r="F399" s="54">
        <f>IFERROR(__xludf.DUMMYFUNCTION("""COMPUTED_VALUE"""),45418.0)</f>
        <v>45418</v>
      </c>
      <c r="G399" s="19">
        <f>IFERROR(__xludf.DUMMYFUNCTION("""COMPUTED_VALUE"""),1.1333333333333333)</f>
        <v>1.133333333</v>
      </c>
      <c r="H399" s="17">
        <f>IFERROR(__xludf.DUMMYFUNCTION("""COMPUTED_VALUE"""),45034.0)</f>
        <v>45034</v>
      </c>
      <c r="I399" s="19">
        <f>IFERROR(__xludf.DUMMYFUNCTION("""COMPUTED_VALUE"""),0.9555555555555556)</f>
        <v>0.9555555556</v>
      </c>
      <c r="J399" s="21">
        <f>IFERROR(__xludf.DUMMYFUNCTION("""COMPUTED_VALUE"""),71.0)</f>
        <v>71</v>
      </c>
      <c r="K399" s="23">
        <f>IFERROR(__xludf.DUMMYFUNCTION("""COMPUTED_VALUE"""),4.8)</f>
        <v>4.8</v>
      </c>
      <c r="L399" s="24">
        <f>IFERROR(__xludf.DUMMYFUNCTION("""COMPUTED_VALUE"""),9.0)</f>
        <v>9</v>
      </c>
      <c r="M399" s="25" t="str">
        <f>IFERROR(__xludf.DUMMYFUNCTION("""COMPUTED_VALUE"""),"Strategy")</f>
        <v>Strategy</v>
      </c>
      <c r="N399" s="25"/>
      <c r="O399" s="26" t="str">
        <f>IFERROR(__xludf.DUMMYFUNCTION("""COMPUTED_VALUE"""),"No")</f>
        <v>No</v>
      </c>
      <c r="P399" s="26"/>
    </row>
    <row r="400">
      <c r="A400" s="13" t="str">
        <f>IFERROR(__xludf.DUMMYFUNCTION("""COMPUTED_VALUE"""),"Skul: The Hero Slayer")</f>
        <v>Skul: The Hero Slayer</v>
      </c>
      <c r="B400" s="15" t="str">
        <f>IFERROR(__xludf.DUMMYFUNCTION("""COMPUTED_VALUE"""),"PS4")</f>
        <v>PS4</v>
      </c>
      <c r="C400" s="16" t="str">
        <f>IFERROR(__xludf.DUMMYFUNCTION("""COMPUTED_VALUE"""),"Essential")</f>
        <v>Essential</v>
      </c>
      <c r="D400" s="15" t="str">
        <f>IFERROR(__xludf.DUMMYFUNCTION("""COMPUTED_VALUE"""),"Removed")</f>
        <v>Removed</v>
      </c>
      <c r="E400" s="17">
        <f>IFERROR(__xludf.DUMMYFUNCTION("""COMPUTED_VALUE"""),45384.0)</f>
        <v>45384</v>
      </c>
      <c r="F400" s="54">
        <f>IFERROR(__xludf.DUMMYFUNCTION("""COMPUTED_VALUE"""),45418.0)</f>
        <v>45418</v>
      </c>
      <c r="G400" s="19">
        <f>IFERROR(__xludf.DUMMYFUNCTION("""COMPUTED_VALUE"""),1.1333333333333333)</f>
        <v>1.133333333</v>
      </c>
      <c r="H400" s="17">
        <f>IFERROR(__xludf.DUMMYFUNCTION("""COMPUTED_VALUE"""),44217.0)</f>
        <v>44217</v>
      </c>
      <c r="I400" s="19">
        <f>IFERROR(__xludf.DUMMYFUNCTION("""COMPUTED_VALUE"""),3.1972222222222224)</f>
        <v>3.197222222</v>
      </c>
      <c r="J400" s="21">
        <f>IFERROR(__xludf.DUMMYFUNCTION("""COMPUTED_VALUE"""),80.0)</f>
        <v>80</v>
      </c>
      <c r="K400" s="23">
        <f>IFERROR(__xludf.DUMMYFUNCTION("""COMPUTED_VALUE"""),6.7)</f>
        <v>6.7</v>
      </c>
      <c r="L400" s="24">
        <f>IFERROR(__xludf.DUMMYFUNCTION("""COMPUTED_VALUE"""),21.0)</f>
        <v>21</v>
      </c>
      <c r="M400" s="25" t="str">
        <f>IFERROR(__xludf.DUMMYFUNCTION("""COMPUTED_VALUE"""),"Platformer")</f>
        <v>Platformer</v>
      </c>
      <c r="N400" s="25"/>
      <c r="O400" s="26" t="str">
        <f>IFERROR(__xludf.DUMMYFUNCTION("""COMPUTED_VALUE"""),"No")</f>
        <v>No</v>
      </c>
      <c r="P400" s="26"/>
    </row>
    <row r="401">
      <c r="A401" s="13" t="str">
        <f>IFERROR(__xludf.DUMMYFUNCTION("""COMPUTED_VALUE"""),"Chicken Police: Paint it RED!")</f>
        <v>Chicken Police: Paint it RED!</v>
      </c>
      <c r="B401" s="15" t="str">
        <f>IFERROR(__xludf.DUMMYFUNCTION("""COMPUTED_VALUE"""),"PS4")</f>
        <v>PS4</v>
      </c>
      <c r="C401" s="16" t="str">
        <f>IFERROR(__xludf.DUMMYFUNCTION("""COMPUTED_VALUE"""),"Extra")</f>
        <v>Extra</v>
      </c>
      <c r="D401" s="15" t="str">
        <f>IFERROR(__xludf.DUMMYFUNCTION("""COMPUTED_VALUE"""),"Removed")</f>
        <v>Removed</v>
      </c>
      <c r="E401" s="17">
        <f>IFERROR(__xludf.DUMMYFUNCTION("""COMPUTED_VALUE"""),44725.0)</f>
        <v>44725</v>
      </c>
      <c r="F401" s="54">
        <f>IFERROR(__xludf.DUMMYFUNCTION("""COMPUTED_VALUE"""),45397.0)</f>
        <v>45397</v>
      </c>
      <c r="G401" s="19">
        <f>IFERROR(__xludf.DUMMYFUNCTION("""COMPUTED_VALUE"""),22.066666666666666)</f>
        <v>22.06666667</v>
      </c>
      <c r="H401" s="17">
        <f>IFERROR(__xludf.DUMMYFUNCTION("""COMPUTED_VALUE"""),44140.0)</f>
        <v>44140</v>
      </c>
      <c r="I401" s="19">
        <f>IFERROR(__xludf.DUMMYFUNCTION("""COMPUTED_VALUE"""),1.6055555555555556)</f>
        <v>1.605555556</v>
      </c>
      <c r="J401" s="21">
        <f>IFERROR(__xludf.DUMMYFUNCTION("""COMPUTED_VALUE"""),82.0)</f>
        <v>82</v>
      </c>
      <c r="K401" s="23">
        <f>IFERROR(__xludf.DUMMYFUNCTION("""COMPUTED_VALUE"""),7.6)</f>
        <v>7.6</v>
      </c>
      <c r="L401" s="24">
        <f>IFERROR(__xludf.DUMMYFUNCTION("""COMPUTED_VALUE"""),10.0)</f>
        <v>10</v>
      </c>
      <c r="M401" s="25" t="str">
        <f>IFERROR(__xludf.DUMMYFUNCTION("""COMPUTED_VALUE"""),"Puzzle")</f>
        <v>Puzzle</v>
      </c>
      <c r="N401" s="25"/>
      <c r="O401" s="26" t="str">
        <f>IFERROR(__xludf.DUMMYFUNCTION("""COMPUTED_VALUE"""),"Yes")</f>
        <v>Yes</v>
      </c>
      <c r="P401" s="26" t="str">
        <f>IFERROR(__xludf.DUMMYFUNCTION("""COMPUTED_VALUE"""),"")</f>
        <v/>
      </c>
    </row>
    <row r="402">
      <c r="A402" s="13" t="str">
        <f>IFERROR(__xludf.DUMMYFUNCTION("""COMPUTED_VALUE"""),"Dangerous Golf")</f>
        <v>Dangerous Golf</v>
      </c>
      <c r="B402" s="15" t="str">
        <f>IFERROR(__xludf.DUMMYFUNCTION("""COMPUTED_VALUE"""),"PS4")</f>
        <v>PS4</v>
      </c>
      <c r="C402" s="16" t="str">
        <f>IFERROR(__xludf.DUMMYFUNCTION("""COMPUTED_VALUE"""),"Extra")</f>
        <v>Extra</v>
      </c>
      <c r="D402" s="15" t="str">
        <f>IFERROR(__xludf.DUMMYFUNCTION("""COMPUTED_VALUE"""),"Removed")</f>
        <v>Removed</v>
      </c>
      <c r="E402" s="17">
        <f>IFERROR(__xludf.DUMMYFUNCTION("""COMPUTED_VALUE"""),44725.0)</f>
        <v>44725</v>
      </c>
      <c r="F402" s="54">
        <f>IFERROR(__xludf.DUMMYFUNCTION("""COMPUTED_VALUE"""),45397.0)</f>
        <v>45397</v>
      </c>
      <c r="G402" s="19">
        <f>IFERROR(__xludf.DUMMYFUNCTION("""COMPUTED_VALUE"""),22.066666666666666)</f>
        <v>22.06666667</v>
      </c>
      <c r="H402" s="17">
        <f>IFERROR(__xludf.DUMMYFUNCTION("""COMPUTED_VALUE"""),42522.0)</f>
        <v>42522</v>
      </c>
      <c r="I402" s="19">
        <f>IFERROR(__xludf.DUMMYFUNCTION("""COMPUTED_VALUE"""),6.033333333333333)</f>
        <v>6.033333333</v>
      </c>
      <c r="J402" s="21">
        <f>IFERROR(__xludf.DUMMYFUNCTION("""COMPUTED_VALUE"""),60.0)</f>
        <v>60</v>
      </c>
      <c r="K402" s="23">
        <f>IFERROR(__xludf.DUMMYFUNCTION("""COMPUTED_VALUE"""),5.8)</f>
        <v>5.8</v>
      </c>
      <c r="L402" s="24">
        <f>IFERROR(__xludf.DUMMYFUNCTION("""COMPUTED_VALUE"""),7.0)</f>
        <v>7</v>
      </c>
      <c r="M402" s="25" t="str">
        <f>IFERROR(__xludf.DUMMYFUNCTION("""COMPUTED_VALUE"""),"Sports")</f>
        <v>Sports</v>
      </c>
      <c r="N402" s="25"/>
      <c r="O402" s="26" t="str">
        <f>IFERROR(__xludf.DUMMYFUNCTION("""COMPUTED_VALUE"""),"Yes")</f>
        <v>Yes</v>
      </c>
      <c r="P402" s="26" t="str">
        <f>IFERROR(__xludf.DUMMYFUNCTION("""COMPUTED_VALUE"""),"Yes")</f>
        <v>Yes</v>
      </c>
    </row>
    <row r="403">
      <c r="A403" s="13" t="str">
        <f>IFERROR(__xludf.DUMMYFUNCTION("""COMPUTED_VALUE"""),"Everspace")</f>
        <v>Everspace</v>
      </c>
      <c r="B403" s="15" t="str">
        <f>IFERROR(__xludf.DUMMYFUNCTION("""COMPUTED_VALUE"""),"PS4")</f>
        <v>PS4</v>
      </c>
      <c r="C403" s="16" t="str">
        <f>IFERROR(__xludf.DUMMYFUNCTION("""COMPUTED_VALUE"""),"Extra")</f>
        <v>Extra</v>
      </c>
      <c r="D403" s="15" t="str">
        <f>IFERROR(__xludf.DUMMYFUNCTION("""COMPUTED_VALUE"""),"Removed")</f>
        <v>Removed</v>
      </c>
      <c r="E403" s="17">
        <f>IFERROR(__xludf.DUMMYFUNCTION("""COMPUTED_VALUE"""),44725.0)</f>
        <v>44725</v>
      </c>
      <c r="F403" s="54">
        <f>IFERROR(__xludf.DUMMYFUNCTION("""COMPUTED_VALUE"""),45397.0)</f>
        <v>45397</v>
      </c>
      <c r="G403" s="19">
        <f>IFERROR(__xludf.DUMMYFUNCTION("""COMPUTED_VALUE"""),22.066666666666666)</f>
        <v>22.06666667</v>
      </c>
      <c r="H403" s="17">
        <f>IFERROR(__xludf.DUMMYFUNCTION("""COMPUTED_VALUE"""),42627.0)</f>
        <v>42627</v>
      </c>
      <c r="I403" s="19">
        <f>IFERROR(__xludf.DUMMYFUNCTION("""COMPUTED_VALUE"""),5.747222222222222)</f>
        <v>5.747222222</v>
      </c>
      <c r="J403" s="21">
        <f>IFERROR(__xludf.DUMMYFUNCTION("""COMPUTED_VALUE"""),83.0)</f>
        <v>83</v>
      </c>
      <c r="K403" s="23">
        <f>IFERROR(__xludf.DUMMYFUNCTION("""COMPUTED_VALUE"""),7.6)</f>
        <v>7.6</v>
      </c>
      <c r="L403" s="24">
        <f>IFERROR(__xludf.DUMMYFUNCTION("""COMPUTED_VALUE"""),18.5)</f>
        <v>18.5</v>
      </c>
      <c r="M403" s="25" t="str">
        <f>IFERROR(__xludf.DUMMYFUNCTION("""COMPUTED_VALUE"""),"Action-Adventure")</f>
        <v>Action-Adventure</v>
      </c>
      <c r="N403" s="25"/>
      <c r="O403" s="26" t="str">
        <f>IFERROR(__xludf.DUMMYFUNCTION("""COMPUTED_VALUE"""),"No")</f>
        <v>No</v>
      </c>
      <c r="P403" s="26"/>
    </row>
    <row r="404">
      <c r="A404" s="13" t="str">
        <f>IFERROR(__xludf.DUMMYFUNCTION("""COMPUTED_VALUE"""),"FIGHTING EX LAYER")</f>
        <v>FIGHTING EX LAYER</v>
      </c>
      <c r="B404" s="15" t="str">
        <f>IFERROR(__xludf.DUMMYFUNCTION("""COMPUTED_VALUE"""),"PS4")</f>
        <v>PS4</v>
      </c>
      <c r="C404" s="16" t="str">
        <f>IFERROR(__xludf.DUMMYFUNCTION("""COMPUTED_VALUE"""),"Extra")</f>
        <v>Extra</v>
      </c>
      <c r="D404" s="15" t="str">
        <f>IFERROR(__xludf.DUMMYFUNCTION("""COMPUTED_VALUE"""),"Removed")</f>
        <v>Removed</v>
      </c>
      <c r="E404" s="17">
        <f>IFERROR(__xludf.DUMMYFUNCTION("""COMPUTED_VALUE"""),44725.0)</f>
        <v>44725</v>
      </c>
      <c r="F404" s="54">
        <f>IFERROR(__xludf.DUMMYFUNCTION("""COMPUTED_VALUE"""),45397.0)</f>
        <v>45397</v>
      </c>
      <c r="G404" s="19">
        <f>IFERROR(__xludf.DUMMYFUNCTION("""COMPUTED_VALUE"""),22.066666666666666)</f>
        <v>22.06666667</v>
      </c>
      <c r="H404" s="17">
        <f>IFERROR(__xludf.DUMMYFUNCTION("""COMPUTED_VALUE"""),43279.0)</f>
        <v>43279</v>
      </c>
      <c r="I404" s="19">
        <f>IFERROR(__xludf.DUMMYFUNCTION("""COMPUTED_VALUE"""),3.9583333333333335)</f>
        <v>3.958333333</v>
      </c>
      <c r="J404" s="21">
        <f>IFERROR(__xludf.DUMMYFUNCTION("""COMPUTED_VALUE"""),74.0)</f>
        <v>74</v>
      </c>
      <c r="K404" s="23">
        <f>IFERROR(__xludf.DUMMYFUNCTION("""COMPUTED_VALUE"""),7.1)</f>
        <v>7.1</v>
      </c>
      <c r="L404" s="24">
        <f>IFERROR(__xludf.DUMMYFUNCTION("""COMPUTED_VALUE"""),0.5)</f>
        <v>0.5</v>
      </c>
      <c r="M404" s="25" t="str">
        <f>IFERROR(__xludf.DUMMYFUNCTION("""COMPUTED_VALUE"""),"Fighting")</f>
        <v>Fighting</v>
      </c>
      <c r="N404" s="25"/>
      <c r="O404" s="26" t="str">
        <f>IFERROR(__xludf.DUMMYFUNCTION("""COMPUTED_VALUE"""),"No")</f>
        <v>No</v>
      </c>
      <c r="P404" s="26"/>
    </row>
    <row r="405">
      <c r="A405" s="13" t="str">
        <f>IFERROR(__xludf.DUMMYFUNCTION("""COMPUTED_VALUE"""),"Gunvolt Chronicles: Luminous Avenger iX")</f>
        <v>Gunvolt Chronicles: Luminous Avenger iX</v>
      </c>
      <c r="B405" s="15" t="str">
        <f>IFERROR(__xludf.DUMMYFUNCTION("""COMPUTED_VALUE"""),"PS4")</f>
        <v>PS4</v>
      </c>
      <c r="C405" s="16" t="str">
        <f>IFERROR(__xludf.DUMMYFUNCTION("""COMPUTED_VALUE"""),"Extra")</f>
        <v>Extra</v>
      </c>
      <c r="D405" s="15" t="str">
        <f>IFERROR(__xludf.DUMMYFUNCTION("""COMPUTED_VALUE"""),"Removed")</f>
        <v>Removed</v>
      </c>
      <c r="E405" s="17">
        <f>IFERROR(__xludf.DUMMYFUNCTION("""COMPUTED_VALUE"""),44725.0)</f>
        <v>44725</v>
      </c>
      <c r="F405" s="54">
        <f>IFERROR(__xludf.DUMMYFUNCTION("""COMPUTED_VALUE"""),45397.0)</f>
        <v>45397</v>
      </c>
      <c r="G405" s="19">
        <f>IFERROR(__xludf.DUMMYFUNCTION("""COMPUTED_VALUE"""),22.066666666666666)</f>
        <v>22.06666667</v>
      </c>
      <c r="H405" s="17">
        <f>IFERROR(__xludf.DUMMYFUNCTION("""COMPUTED_VALUE"""),43734.0)</f>
        <v>43734</v>
      </c>
      <c r="I405" s="19">
        <f>IFERROR(__xludf.DUMMYFUNCTION("""COMPUTED_VALUE"""),2.713888888888889)</f>
        <v>2.713888889</v>
      </c>
      <c r="J405" s="21">
        <f>IFERROR(__xludf.DUMMYFUNCTION("""COMPUTED_VALUE"""),80.0)</f>
        <v>80</v>
      </c>
      <c r="K405" s="23">
        <f>IFERROR(__xludf.DUMMYFUNCTION("""COMPUTED_VALUE"""),7.7)</f>
        <v>7.7</v>
      </c>
      <c r="L405" s="24">
        <f>IFERROR(__xludf.DUMMYFUNCTION("""COMPUTED_VALUE"""),3.0)</f>
        <v>3</v>
      </c>
      <c r="M405" s="25" t="str">
        <f>IFERROR(__xludf.DUMMYFUNCTION("""COMPUTED_VALUE"""),"Platformer")</f>
        <v>Platformer</v>
      </c>
      <c r="N405" s="25"/>
      <c r="O405" s="26" t="str">
        <f>IFERROR(__xludf.DUMMYFUNCTION("""COMPUTED_VALUE"""),"No")</f>
        <v>No</v>
      </c>
      <c r="P405" s="26"/>
    </row>
    <row r="406">
      <c r="A406" s="13" t="str">
        <f>IFERROR(__xludf.DUMMYFUNCTION("""COMPUTED_VALUE"""),"Necromunda: Underhive Wars")</f>
        <v>Necromunda: Underhive Wars</v>
      </c>
      <c r="B406" s="15" t="str">
        <f>IFERROR(__xludf.DUMMYFUNCTION("""COMPUTED_VALUE"""),"PS4")</f>
        <v>PS4</v>
      </c>
      <c r="C406" s="16" t="str">
        <f>IFERROR(__xludf.DUMMYFUNCTION("""COMPUTED_VALUE"""),"Extra")</f>
        <v>Extra</v>
      </c>
      <c r="D406" s="15" t="str">
        <f>IFERROR(__xludf.DUMMYFUNCTION("""COMPUTED_VALUE"""),"Removed")</f>
        <v>Removed</v>
      </c>
      <c r="E406" s="17">
        <f>IFERROR(__xludf.DUMMYFUNCTION("""COMPUTED_VALUE"""),44725.0)</f>
        <v>44725</v>
      </c>
      <c r="F406" s="54">
        <f>IFERROR(__xludf.DUMMYFUNCTION("""COMPUTED_VALUE"""),45397.0)</f>
        <v>45397</v>
      </c>
      <c r="G406" s="19">
        <f>IFERROR(__xludf.DUMMYFUNCTION("""COMPUTED_VALUE"""),22.066666666666666)</f>
        <v>22.06666667</v>
      </c>
      <c r="H406" s="17">
        <f>IFERROR(__xludf.DUMMYFUNCTION("""COMPUTED_VALUE"""),44081.0)</f>
        <v>44081</v>
      </c>
      <c r="I406" s="19">
        <f>IFERROR(__xludf.DUMMYFUNCTION("""COMPUTED_VALUE"""),1.7666666666666666)</f>
        <v>1.766666667</v>
      </c>
      <c r="J406" s="21">
        <f>IFERROR(__xludf.DUMMYFUNCTION("""COMPUTED_VALUE"""),56.0)</f>
        <v>56</v>
      </c>
      <c r="K406" s="23">
        <f>IFERROR(__xludf.DUMMYFUNCTION("""COMPUTED_VALUE"""),6.0)</f>
        <v>6</v>
      </c>
      <c r="L406" s="24">
        <f>IFERROR(__xludf.DUMMYFUNCTION("""COMPUTED_VALUE"""),20.0)</f>
        <v>20</v>
      </c>
      <c r="M406" s="25" t="str">
        <f>IFERROR(__xludf.DUMMYFUNCTION("""COMPUTED_VALUE"""),"Strategy")</f>
        <v>Strategy</v>
      </c>
      <c r="N406" s="25"/>
      <c r="O406" s="26" t="str">
        <f>IFERROR(__xludf.DUMMYFUNCTION("""COMPUTED_VALUE"""),"Yes")</f>
        <v>Yes</v>
      </c>
      <c r="P406" s="26"/>
    </row>
    <row r="407">
      <c r="A407" s="13" t="str">
        <f>IFERROR(__xludf.DUMMYFUNCTION("""COMPUTED_VALUE"""),"R-Type Final 2")</f>
        <v>R-Type Final 2</v>
      </c>
      <c r="B407" s="15" t="str">
        <f>IFERROR(__xludf.DUMMYFUNCTION("""COMPUTED_VALUE"""),"PS4")</f>
        <v>PS4</v>
      </c>
      <c r="C407" s="16" t="str">
        <f>IFERROR(__xludf.DUMMYFUNCTION("""COMPUTED_VALUE"""),"Extra")</f>
        <v>Extra</v>
      </c>
      <c r="D407" s="15" t="str">
        <f>IFERROR(__xludf.DUMMYFUNCTION("""COMPUTED_VALUE"""),"Removed")</f>
        <v>Removed</v>
      </c>
      <c r="E407" s="17">
        <f>IFERROR(__xludf.DUMMYFUNCTION("""COMPUTED_VALUE"""),44725.0)</f>
        <v>44725</v>
      </c>
      <c r="F407" s="54">
        <f>IFERROR(__xludf.DUMMYFUNCTION("""COMPUTED_VALUE"""),45397.0)</f>
        <v>45397</v>
      </c>
      <c r="G407" s="19">
        <f>IFERROR(__xludf.DUMMYFUNCTION("""COMPUTED_VALUE"""),22.066666666666666)</f>
        <v>22.06666667</v>
      </c>
      <c r="H407" s="17">
        <f>IFERROR(__xludf.DUMMYFUNCTION("""COMPUTED_VALUE"""),44315.0)</f>
        <v>44315</v>
      </c>
      <c r="I407" s="19">
        <f>IFERROR(__xludf.DUMMYFUNCTION("""COMPUTED_VALUE"""),1.1222222222222222)</f>
        <v>1.122222222</v>
      </c>
      <c r="J407" s="21">
        <f>IFERROR(__xludf.DUMMYFUNCTION("""COMPUTED_VALUE"""),74.0)</f>
        <v>74</v>
      </c>
      <c r="K407" s="23">
        <f>IFERROR(__xludf.DUMMYFUNCTION("""COMPUTED_VALUE"""),7.4)</f>
        <v>7.4</v>
      </c>
      <c r="L407" s="24"/>
      <c r="M407" s="25" t="str">
        <f>IFERROR(__xludf.DUMMYFUNCTION("""COMPUTED_VALUE"""),"Action-Adventure")</f>
        <v>Action-Adventure</v>
      </c>
      <c r="N407" s="25"/>
      <c r="O407" s="26" t="str">
        <f>IFERROR(__xludf.DUMMYFUNCTION("""COMPUTED_VALUE"""),"No")</f>
        <v>No</v>
      </c>
      <c r="P407" s="26"/>
    </row>
    <row r="408">
      <c r="A408" s="13" t="str">
        <f>IFERROR(__xludf.DUMMYFUNCTION("""COMPUTED_VALUE"""),"Reel Fishing: Road Trip Adventure ")</f>
        <v>Reel Fishing: Road Trip Adventure </v>
      </c>
      <c r="B408" s="15" t="str">
        <f>IFERROR(__xludf.DUMMYFUNCTION("""COMPUTED_VALUE"""),"PS4")</f>
        <v>PS4</v>
      </c>
      <c r="C408" s="16" t="str">
        <f>IFERROR(__xludf.DUMMYFUNCTION("""COMPUTED_VALUE"""),"Extra")</f>
        <v>Extra</v>
      </c>
      <c r="D408" s="15" t="str">
        <f>IFERROR(__xludf.DUMMYFUNCTION("""COMPUTED_VALUE"""),"Removed")</f>
        <v>Removed</v>
      </c>
      <c r="E408" s="17">
        <f>IFERROR(__xludf.DUMMYFUNCTION("""COMPUTED_VALUE"""),44725.0)</f>
        <v>44725</v>
      </c>
      <c r="F408" s="54">
        <f>IFERROR(__xludf.DUMMYFUNCTION("""COMPUTED_VALUE"""),45397.0)</f>
        <v>45397</v>
      </c>
      <c r="G408" s="19">
        <f>IFERROR(__xludf.DUMMYFUNCTION("""COMPUTED_VALUE"""),22.066666666666666)</f>
        <v>22.06666667</v>
      </c>
      <c r="H408" s="17">
        <f>IFERROR(__xludf.DUMMYFUNCTION("""COMPUTED_VALUE"""),43719.0)</f>
        <v>43719</v>
      </c>
      <c r="I408" s="19">
        <f>IFERROR(__xludf.DUMMYFUNCTION("""COMPUTED_VALUE"""),2.7555555555555555)</f>
        <v>2.755555556</v>
      </c>
      <c r="J408" s="21">
        <f>IFERROR(__xludf.DUMMYFUNCTION("""COMPUTED_VALUE"""),60.0)</f>
        <v>60</v>
      </c>
      <c r="K408" s="23">
        <f>IFERROR(__xludf.DUMMYFUNCTION("""COMPUTED_VALUE"""),7.0)</f>
        <v>7</v>
      </c>
      <c r="L408" s="24"/>
      <c r="M408" s="25" t="str">
        <f>IFERROR(__xludf.DUMMYFUNCTION("""COMPUTED_VALUE"""),"Sports")</f>
        <v>Sports</v>
      </c>
      <c r="N408" s="25"/>
      <c r="O408" s="26" t="str">
        <f>IFERROR(__xludf.DUMMYFUNCTION("""COMPUTED_VALUE"""),"Yes")</f>
        <v>Yes</v>
      </c>
      <c r="P408" s="26"/>
    </row>
    <row r="409">
      <c r="A409" s="13" t="str">
        <f>IFERROR(__xludf.DUMMYFUNCTION("""COMPUTED_VALUE"""),"Soulcalibur VI")</f>
        <v>Soulcalibur VI</v>
      </c>
      <c r="B409" s="15" t="str">
        <f>IFERROR(__xludf.DUMMYFUNCTION("""COMPUTED_VALUE"""),"PS4")</f>
        <v>PS4</v>
      </c>
      <c r="C409" s="16" t="str">
        <f>IFERROR(__xludf.DUMMYFUNCTION("""COMPUTED_VALUE"""),"Extra")</f>
        <v>Extra</v>
      </c>
      <c r="D409" s="15" t="str">
        <f>IFERROR(__xludf.DUMMYFUNCTION("""COMPUTED_VALUE"""),"Removed")</f>
        <v>Removed</v>
      </c>
      <c r="E409" s="17">
        <f>IFERROR(__xludf.DUMMYFUNCTION("""COMPUTED_VALUE"""),44725.0)</f>
        <v>44725</v>
      </c>
      <c r="F409" s="54">
        <f>IFERROR(__xludf.DUMMYFUNCTION("""COMPUTED_VALUE"""),45397.0)</f>
        <v>45397</v>
      </c>
      <c r="G409" s="19">
        <f>IFERROR(__xludf.DUMMYFUNCTION("""COMPUTED_VALUE"""),22.066666666666666)</f>
        <v>22.06666667</v>
      </c>
      <c r="H409" s="17">
        <f>IFERROR(__xludf.DUMMYFUNCTION("""COMPUTED_VALUE"""),43392.0)</f>
        <v>43392</v>
      </c>
      <c r="I409" s="19">
        <f>IFERROR(__xludf.DUMMYFUNCTION("""COMPUTED_VALUE"""),3.65)</f>
        <v>3.65</v>
      </c>
      <c r="J409" s="21">
        <f>IFERROR(__xludf.DUMMYFUNCTION("""COMPUTED_VALUE"""),84.0)</f>
        <v>84</v>
      </c>
      <c r="K409" s="23">
        <f>IFERROR(__xludf.DUMMYFUNCTION("""COMPUTED_VALUE"""),7.9)</f>
        <v>7.9</v>
      </c>
      <c r="L409" s="24"/>
      <c r="M409" s="25" t="str">
        <f>IFERROR(__xludf.DUMMYFUNCTION("""COMPUTED_VALUE"""),"Fighting")</f>
        <v>Fighting</v>
      </c>
      <c r="N409" s="25"/>
      <c r="O409" s="26" t="str">
        <f>IFERROR(__xludf.DUMMYFUNCTION("""COMPUTED_VALUE"""),"Yes")</f>
        <v>Yes</v>
      </c>
      <c r="P409" s="26" t="str">
        <f>IFERROR(__xludf.DUMMYFUNCTION("""COMPUTED_VALUE"""),"Yes")</f>
        <v>Yes</v>
      </c>
    </row>
    <row r="410">
      <c r="A410" s="13" t="str">
        <f>IFERROR(__xludf.DUMMYFUNCTION("""COMPUTED_VALUE"""),"Nights of Azure")</f>
        <v>Nights of Azure</v>
      </c>
      <c r="B410" s="15" t="str">
        <f>IFERROR(__xludf.DUMMYFUNCTION("""COMPUTED_VALUE"""),"PS4")</f>
        <v>PS4</v>
      </c>
      <c r="C410" s="16" t="str">
        <f>IFERROR(__xludf.DUMMYFUNCTION("""COMPUTED_VALUE"""),"Extra")</f>
        <v>Extra</v>
      </c>
      <c r="D410" s="15" t="str">
        <f>IFERROR(__xludf.DUMMYFUNCTION("""COMPUTED_VALUE"""),"Removed")</f>
        <v>Removed</v>
      </c>
      <c r="E410" s="17">
        <f>IFERROR(__xludf.DUMMYFUNCTION("""COMPUTED_VALUE"""),43893.0)</f>
        <v>43893</v>
      </c>
      <c r="F410" s="54">
        <f>IFERROR(__xludf.DUMMYFUNCTION("""COMPUTED_VALUE"""),45397.0)</f>
        <v>45397</v>
      </c>
      <c r="G410" s="19">
        <f>IFERROR(__xludf.DUMMYFUNCTION("""COMPUTED_VALUE"""),49.39999999999999)</f>
        <v>49.4</v>
      </c>
      <c r="H410" s="17">
        <f>IFERROR(__xludf.DUMMYFUNCTION("""COMPUTED_VALUE"""),42430.0)</f>
        <v>42430</v>
      </c>
      <c r="I410" s="19">
        <f>IFERROR(__xludf.DUMMYFUNCTION("""COMPUTED_VALUE"""),4.0055555555555555)</f>
        <v>4.005555556</v>
      </c>
      <c r="J410" s="21">
        <f>IFERROR(__xludf.DUMMYFUNCTION("""COMPUTED_VALUE"""),68.0)</f>
        <v>68</v>
      </c>
      <c r="K410" s="23">
        <f>IFERROR(__xludf.DUMMYFUNCTION("""COMPUTED_VALUE"""),7.0)</f>
        <v>7</v>
      </c>
      <c r="L410" s="24">
        <f>IFERROR(__xludf.DUMMYFUNCTION("""COMPUTED_VALUE"""),27.0)</f>
        <v>27</v>
      </c>
      <c r="M410" s="25" t="str">
        <f>IFERROR(__xludf.DUMMYFUNCTION("""COMPUTED_VALUE"""),"RPG")</f>
        <v>RPG</v>
      </c>
      <c r="N410" s="25"/>
      <c r="O410" s="26" t="str">
        <f>IFERROR(__xludf.DUMMYFUNCTION("""COMPUTED_VALUE"""),"Yes")</f>
        <v>Yes</v>
      </c>
      <c r="P410" s="26"/>
    </row>
    <row r="411">
      <c r="A411" s="13" t="str">
        <f>IFERROR(__xludf.DUMMYFUNCTION("""COMPUTED_VALUE"""),"Nights of Azure 2: Bride of the New Moon")</f>
        <v>Nights of Azure 2: Bride of the New Moon</v>
      </c>
      <c r="B411" s="15" t="str">
        <f>IFERROR(__xludf.DUMMYFUNCTION("""COMPUTED_VALUE"""),"PS4")</f>
        <v>PS4</v>
      </c>
      <c r="C411" s="16" t="str">
        <f>IFERROR(__xludf.DUMMYFUNCTION("""COMPUTED_VALUE"""),"Extra")</f>
        <v>Extra</v>
      </c>
      <c r="D411" s="15" t="str">
        <f>IFERROR(__xludf.DUMMYFUNCTION("""COMPUTED_VALUE"""),"Removed")</f>
        <v>Removed</v>
      </c>
      <c r="E411" s="17">
        <f>IFERROR(__xludf.DUMMYFUNCTION("""COMPUTED_VALUE"""),43893.0)</f>
        <v>43893</v>
      </c>
      <c r="F411" s="54">
        <f>IFERROR(__xludf.DUMMYFUNCTION("""COMPUTED_VALUE"""),45397.0)</f>
        <v>45397</v>
      </c>
      <c r="G411" s="19">
        <f>IFERROR(__xludf.DUMMYFUNCTION("""COMPUTED_VALUE"""),49.39999999999999)</f>
        <v>49.4</v>
      </c>
      <c r="H411" s="17">
        <f>IFERROR(__xludf.DUMMYFUNCTION("""COMPUTED_VALUE"""),43009.0)</f>
        <v>43009</v>
      </c>
      <c r="I411" s="19">
        <f>IFERROR(__xludf.DUMMYFUNCTION("""COMPUTED_VALUE"""),2.422222222222222)</f>
        <v>2.422222222</v>
      </c>
      <c r="J411" s="21">
        <f>IFERROR(__xludf.DUMMYFUNCTION("""COMPUTED_VALUE"""),65.0)</f>
        <v>65</v>
      </c>
      <c r="K411" s="23">
        <f>IFERROR(__xludf.DUMMYFUNCTION("""COMPUTED_VALUE"""),6.7)</f>
        <v>6.7</v>
      </c>
      <c r="L411" s="24">
        <f>IFERROR(__xludf.DUMMYFUNCTION("""COMPUTED_VALUE"""),27.0)</f>
        <v>27</v>
      </c>
      <c r="M411" s="25" t="str">
        <f>IFERROR(__xludf.DUMMYFUNCTION("""COMPUTED_VALUE"""),"RPG")</f>
        <v>RPG</v>
      </c>
      <c r="N411" s="25"/>
      <c r="O411" s="26" t="str">
        <f>IFERROR(__xludf.DUMMYFUNCTION("""COMPUTED_VALUE"""),"Yes")</f>
        <v>Yes</v>
      </c>
      <c r="P411" s="26"/>
    </row>
    <row r="412">
      <c r="A412" s="13" t="str">
        <f>IFERROR(__xludf.DUMMYFUNCTION("""COMPUTED_VALUE"""),"Warriors All-Stars")</f>
        <v>Warriors All-Stars</v>
      </c>
      <c r="B412" s="15" t="str">
        <f>IFERROR(__xludf.DUMMYFUNCTION("""COMPUTED_VALUE"""),"PS4")</f>
        <v>PS4</v>
      </c>
      <c r="C412" s="16" t="str">
        <f>IFERROR(__xludf.DUMMYFUNCTION("""COMPUTED_VALUE"""),"Extra")</f>
        <v>Extra</v>
      </c>
      <c r="D412" s="15" t="str">
        <f>IFERROR(__xludf.DUMMYFUNCTION("""COMPUTED_VALUE"""),"Removed")</f>
        <v>Removed</v>
      </c>
      <c r="E412" s="17">
        <f>IFERROR(__xludf.DUMMYFUNCTION("""COMPUTED_VALUE"""),43893.0)</f>
        <v>43893</v>
      </c>
      <c r="F412" s="54">
        <f>IFERROR(__xludf.DUMMYFUNCTION("""COMPUTED_VALUE"""),45397.0)</f>
        <v>45397</v>
      </c>
      <c r="G412" s="19">
        <f>IFERROR(__xludf.DUMMYFUNCTION("""COMPUTED_VALUE"""),49.39999999999999)</f>
        <v>49.4</v>
      </c>
      <c r="H412" s="17">
        <f>IFERROR(__xludf.DUMMYFUNCTION("""COMPUTED_VALUE"""),42948.0)</f>
        <v>42948</v>
      </c>
      <c r="I412" s="19">
        <f>IFERROR(__xludf.DUMMYFUNCTION("""COMPUTED_VALUE"""),2.588888888888889)</f>
        <v>2.588888889</v>
      </c>
      <c r="J412" s="21">
        <f>IFERROR(__xludf.DUMMYFUNCTION("""COMPUTED_VALUE"""),70.0)</f>
        <v>70</v>
      </c>
      <c r="K412" s="23">
        <f>IFERROR(__xludf.DUMMYFUNCTION("""COMPUTED_VALUE"""),7.6)</f>
        <v>7.6</v>
      </c>
      <c r="L412" s="24">
        <f>IFERROR(__xludf.DUMMYFUNCTION("""COMPUTED_VALUE"""),30.0)</f>
        <v>30</v>
      </c>
      <c r="M412" s="25" t="str">
        <f>IFERROR(__xludf.DUMMYFUNCTION("""COMPUTED_VALUE"""),"RPG")</f>
        <v>RPG</v>
      </c>
      <c r="N412" s="25"/>
      <c r="O412" s="26" t="str">
        <f>IFERROR(__xludf.DUMMYFUNCTION("""COMPUTED_VALUE"""),"Yes")</f>
        <v>Yes</v>
      </c>
      <c r="P412" s="26"/>
    </row>
    <row r="413">
      <c r="A413" s="13" t="str">
        <f>IFERROR(__xludf.DUMMYFUNCTION("""COMPUTED_VALUE"""),"Destiny 2: The Witch Queen")</f>
        <v>Destiny 2: The Witch Queen</v>
      </c>
      <c r="B413" s="15" t="str">
        <f>IFERROR(__xludf.DUMMYFUNCTION("""COMPUTED_VALUE"""),"PS5/PS4")</f>
        <v>PS5/PS4</v>
      </c>
      <c r="C413" s="16" t="str">
        <f>IFERROR(__xludf.DUMMYFUNCTION("""COMPUTED_VALUE"""),"Essential")</f>
        <v>Essential</v>
      </c>
      <c r="D413" s="15" t="str">
        <f>IFERROR(__xludf.DUMMYFUNCTION("""COMPUTED_VALUE"""),"Removed")</f>
        <v>Removed</v>
      </c>
      <c r="E413" s="17">
        <f>IFERROR(__xludf.DUMMYFUNCTION("""COMPUTED_VALUE"""),45356.0)</f>
        <v>45356</v>
      </c>
      <c r="F413" s="54">
        <f>IFERROR(__xludf.DUMMYFUNCTION("""COMPUTED_VALUE"""),45383.0)</f>
        <v>45383</v>
      </c>
      <c r="G413" s="19">
        <f>IFERROR(__xludf.DUMMYFUNCTION("""COMPUTED_VALUE"""),0.8666666666666666)</f>
        <v>0.8666666667</v>
      </c>
      <c r="H413" s="17">
        <f>IFERROR(__xludf.DUMMYFUNCTION("""COMPUTED_VALUE"""),44614.0)</f>
        <v>44614</v>
      </c>
      <c r="I413" s="19">
        <f>IFERROR(__xludf.DUMMYFUNCTION("""COMPUTED_VALUE"""),2.036111111111111)</f>
        <v>2.036111111</v>
      </c>
      <c r="J413" s="21">
        <f>IFERROR(__xludf.DUMMYFUNCTION("""COMPUTED_VALUE"""),87.0)</f>
        <v>87</v>
      </c>
      <c r="K413" s="23">
        <f>IFERROR(__xludf.DUMMYFUNCTION("""COMPUTED_VALUE"""),7.9)</f>
        <v>7.9</v>
      </c>
      <c r="L413" s="24">
        <f>IFERROR(__xludf.DUMMYFUNCTION("""COMPUTED_VALUE"""),12.0)</f>
        <v>12</v>
      </c>
      <c r="M413" s="25" t="str">
        <f>IFERROR(__xludf.DUMMYFUNCTION("""COMPUTED_VALUE"""),"Shooter")</f>
        <v>Shooter</v>
      </c>
      <c r="N413" s="25"/>
      <c r="O413" s="26" t="str">
        <f>IFERROR(__xludf.DUMMYFUNCTION("""COMPUTED_VALUE"""),"No")</f>
        <v>No</v>
      </c>
      <c r="P413" s="26"/>
    </row>
    <row r="414">
      <c r="A414" s="13" t="str">
        <f>IFERROR(__xludf.DUMMYFUNCTION("""COMPUTED_VALUE"""),"Hello Neighbor 2")</f>
        <v>Hello Neighbor 2</v>
      </c>
      <c r="B414" s="15" t="str">
        <f>IFERROR(__xludf.DUMMYFUNCTION("""COMPUTED_VALUE"""),"PS5/PS4")</f>
        <v>PS5/PS4</v>
      </c>
      <c r="C414" s="16" t="str">
        <f>IFERROR(__xludf.DUMMYFUNCTION("""COMPUTED_VALUE"""),"Essential")</f>
        <v>Essential</v>
      </c>
      <c r="D414" s="15" t="str">
        <f>IFERROR(__xludf.DUMMYFUNCTION("""COMPUTED_VALUE"""),"Removed")</f>
        <v>Removed</v>
      </c>
      <c r="E414" s="17">
        <f>IFERROR(__xludf.DUMMYFUNCTION("""COMPUTED_VALUE"""),45356.0)</f>
        <v>45356</v>
      </c>
      <c r="F414" s="54">
        <f>IFERROR(__xludf.DUMMYFUNCTION("""COMPUTED_VALUE"""),45383.0)</f>
        <v>45383</v>
      </c>
      <c r="G414" s="19">
        <f>IFERROR(__xludf.DUMMYFUNCTION("""COMPUTED_VALUE"""),0.8666666666666666)</f>
        <v>0.8666666667</v>
      </c>
      <c r="H414" s="17">
        <f>IFERROR(__xludf.DUMMYFUNCTION("""COMPUTED_VALUE"""),44901.0)</f>
        <v>44901</v>
      </c>
      <c r="I414" s="19">
        <f>IFERROR(__xludf.DUMMYFUNCTION("""COMPUTED_VALUE"""),1.2472222222222222)</f>
        <v>1.247222222</v>
      </c>
      <c r="J414" s="21">
        <f>IFERROR(__xludf.DUMMYFUNCTION("""COMPUTED_VALUE"""),59.0)</f>
        <v>59</v>
      </c>
      <c r="K414" s="23">
        <f>IFERROR(__xludf.DUMMYFUNCTION("""COMPUTED_VALUE"""),4.7)</f>
        <v>4.7</v>
      </c>
      <c r="L414" s="24">
        <f>IFERROR(__xludf.DUMMYFUNCTION("""COMPUTED_VALUE"""),4.0)</f>
        <v>4</v>
      </c>
      <c r="M414" s="25" t="str">
        <f>IFERROR(__xludf.DUMMYFUNCTION("""COMPUTED_VALUE"""),"Action-Adventure")</f>
        <v>Action-Adventure</v>
      </c>
      <c r="N414" s="25"/>
      <c r="O414" s="26" t="str">
        <f>IFERROR(__xludf.DUMMYFUNCTION("""COMPUTED_VALUE"""),"No")</f>
        <v>No</v>
      </c>
      <c r="P414" s="26"/>
    </row>
    <row r="415">
      <c r="A415" s="13" t="str">
        <f>IFERROR(__xludf.DUMMYFUNCTION("""COMPUTED_VALUE"""),"F1 23")</f>
        <v>F1 23</v>
      </c>
      <c r="B415" s="15" t="str">
        <f>IFERROR(__xludf.DUMMYFUNCTION("""COMPUTED_VALUE"""),"PS5/PS4")</f>
        <v>PS5/PS4</v>
      </c>
      <c r="C415" s="16" t="str">
        <f>IFERROR(__xludf.DUMMYFUNCTION("""COMPUTED_VALUE"""),"Essential")</f>
        <v>Essential</v>
      </c>
      <c r="D415" s="15" t="str">
        <f>IFERROR(__xludf.DUMMYFUNCTION("""COMPUTED_VALUE"""),"Removed")</f>
        <v>Removed</v>
      </c>
      <c r="E415" s="17">
        <f>IFERROR(__xludf.DUMMYFUNCTION("""COMPUTED_VALUE"""),45356.0)</f>
        <v>45356</v>
      </c>
      <c r="F415" s="54">
        <f>IFERROR(__xludf.DUMMYFUNCTION("""COMPUTED_VALUE"""),45383.0)</f>
        <v>45383</v>
      </c>
      <c r="G415" s="19">
        <f>IFERROR(__xludf.DUMMYFUNCTION("""COMPUTED_VALUE"""),0.8666666666666666)</f>
        <v>0.8666666667</v>
      </c>
      <c r="H415" s="17">
        <f>IFERROR(__xludf.DUMMYFUNCTION("""COMPUTED_VALUE"""),45093.0)</f>
        <v>45093</v>
      </c>
      <c r="I415" s="19">
        <f>IFERROR(__xludf.DUMMYFUNCTION("""COMPUTED_VALUE"""),0.7194444444444444)</f>
        <v>0.7194444444</v>
      </c>
      <c r="J415" s="21">
        <f>IFERROR(__xludf.DUMMYFUNCTION("""COMPUTED_VALUE"""),82.0)</f>
        <v>82</v>
      </c>
      <c r="K415" s="23">
        <f>IFERROR(__xludf.DUMMYFUNCTION("""COMPUTED_VALUE"""),6.2)</f>
        <v>6.2</v>
      </c>
      <c r="L415" s="24">
        <f>IFERROR(__xludf.DUMMYFUNCTION("""COMPUTED_VALUE"""),8.0)</f>
        <v>8</v>
      </c>
      <c r="M415" s="25" t="str">
        <f>IFERROR(__xludf.DUMMYFUNCTION("""COMPUTED_VALUE"""),"Racing")</f>
        <v>Racing</v>
      </c>
      <c r="N415" s="25"/>
      <c r="O415" s="26" t="str">
        <f>IFERROR(__xludf.DUMMYFUNCTION("""COMPUTED_VALUE"""),"No")</f>
        <v>No</v>
      </c>
      <c r="P415" s="26"/>
    </row>
    <row r="416">
      <c r="A416" s="13" t="str">
        <f>IFERROR(__xludf.DUMMYFUNCTION("""COMPUTED_VALUE"""),"SIFU")</f>
        <v>SIFU</v>
      </c>
      <c r="B416" s="15" t="str">
        <f>IFERROR(__xludf.DUMMYFUNCTION("""COMPUTED_VALUE"""),"PS5/PS4")</f>
        <v>PS5/PS4</v>
      </c>
      <c r="C416" s="16" t="str">
        <f>IFERROR(__xludf.DUMMYFUNCTION("""COMPUTED_VALUE"""),"Essential")</f>
        <v>Essential</v>
      </c>
      <c r="D416" s="15" t="str">
        <f>IFERROR(__xludf.DUMMYFUNCTION("""COMPUTED_VALUE"""),"Removed")</f>
        <v>Removed</v>
      </c>
      <c r="E416" s="17">
        <f>IFERROR(__xludf.DUMMYFUNCTION("""COMPUTED_VALUE"""),45356.0)</f>
        <v>45356</v>
      </c>
      <c r="F416" s="54">
        <f>IFERROR(__xludf.DUMMYFUNCTION("""COMPUTED_VALUE"""),45383.0)</f>
        <v>45383</v>
      </c>
      <c r="G416" s="19">
        <f>IFERROR(__xludf.DUMMYFUNCTION("""COMPUTED_VALUE"""),0.8666666666666666)</f>
        <v>0.8666666667</v>
      </c>
      <c r="H416" s="17">
        <f>IFERROR(__xludf.DUMMYFUNCTION("""COMPUTED_VALUE"""),44600.0)</f>
        <v>44600</v>
      </c>
      <c r="I416" s="19">
        <f>IFERROR(__xludf.DUMMYFUNCTION("""COMPUTED_VALUE"""),2.075)</f>
        <v>2.075</v>
      </c>
      <c r="J416" s="21">
        <f>IFERROR(__xludf.DUMMYFUNCTION("""COMPUTED_VALUE"""),81.0)</f>
        <v>81</v>
      </c>
      <c r="K416" s="23">
        <f>IFERROR(__xludf.DUMMYFUNCTION("""COMPUTED_VALUE"""),8.1)</f>
        <v>8.1</v>
      </c>
      <c r="L416" s="24">
        <f>IFERROR(__xludf.DUMMYFUNCTION("""COMPUTED_VALUE"""),9.0)</f>
        <v>9</v>
      </c>
      <c r="M416" s="25" t="str">
        <f>IFERROR(__xludf.DUMMYFUNCTION("""COMPUTED_VALUE"""),"Action-Adventure")</f>
        <v>Action-Adventure</v>
      </c>
      <c r="N416" s="25"/>
      <c r="O416" s="26" t="str">
        <f>IFERROR(__xludf.DUMMYFUNCTION("""COMPUTED_VALUE"""),"No")</f>
        <v>No</v>
      </c>
      <c r="P416" s="26"/>
    </row>
    <row r="417">
      <c r="A417" s="13" t="str">
        <f>IFERROR(__xludf.DUMMYFUNCTION("""COMPUTED_VALUE"""),"Sid Meier's Civilization VI")</f>
        <v>Sid Meier's Civilization VI</v>
      </c>
      <c r="B417" s="15" t="str">
        <f>IFERROR(__xludf.DUMMYFUNCTION("""COMPUTED_VALUE"""),"PS4")</f>
        <v>PS4</v>
      </c>
      <c r="C417" s="16" t="str">
        <f>IFERROR(__xludf.DUMMYFUNCTION("""COMPUTED_VALUE"""),"Extra")</f>
        <v>Extra</v>
      </c>
      <c r="D417" s="15" t="str">
        <f>IFERROR(__xludf.DUMMYFUNCTION("""COMPUTED_VALUE"""),"Removed")</f>
        <v>Removed</v>
      </c>
      <c r="E417" s="17">
        <f>IFERROR(__xludf.DUMMYFUNCTION("""COMPUTED_VALUE"""),45188.0)</f>
        <v>45188</v>
      </c>
      <c r="F417" s="54">
        <f>IFERROR(__xludf.DUMMYFUNCTION("""COMPUTED_VALUE"""),45369.0)</f>
        <v>45369</v>
      </c>
      <c r="G417" s="19">
        <f>IFERROR(__xludf.DUMMYFUNCTION("""COMPUTED_VALUE"""),5.966666666666667)</f>
        <v>5.966666667</v>
      </c>
      <c r="H417" s="17">
        <f>IFERROR(__xludf.DUMMYFUNCTION("""COMPUTED_VALUE"""),42663.0)</f>
        <v>42663</v>
      </c>
      <c r="I417" s="19">
        <f>IFERROR(__xludf.DUMMYFUNCTION("""COMPUTED_VALUE"""),6.913888888888889)</f>
        <v>6.913888889</v>
      </c>
      <c r="J417" s="21">
        <f>IFERROR(__xludf.DUMMYFUNCTION("""COMPUTED_VALUE"""),87.0)</f>
        <v>87</v>
      </c>
      <c r="K417" s="23">
        <f>IFERROR(__xludf.DUMMYFUNCTION("""COMPUTED_VALUE"""),7.1)</f>
        <v>7.1</v>
      </c>
      <c r="L417" s="24">
        <f>IFERROR(__xludf.DUMMYFUNCTION("""COMPUTED_VALUE"""),23.0)</f>
        <v>23</v>
      </c>
      <c r="M417" s="25" t="str">
        <f>IFERROR(__xludf.DUMMYFUNCTION("""COMPUTED_VALUE"""),"Strategy")</f>
        <v>Strategy</v>
      </c>
      <c r="N417" s="25"/>
      <c r="O417" s="26" t="str">
        <f>IFERROR(__xludf.DUMMYFUNCTION("""COMPUTED_VALUE"""),"Yes")</f>
        <v>Yes</v>
      </c>
      <c r="P417" s="26"/>
    </row>
    <row r="418">
      <c r="A418" s="13" t="str">
        <f>IFERROR(__xludf.DUMMYFUNCTION("""COMPUTED_VALUE"""),"Ghostwire: Tokyo")</f>
        <v>Ghostwire: Tokyo</v>
      </c>
      <c r="B418" s="15" t="str">
        <f>IFERROR(__xludf.DUMMYFUNCTION("""COMPUTED_VALUE"""),"PS5")</f>
        <v>PS5</v>
      </c>
      <c r="C418" s="16" t="str">
        <f>IFERROR(__xludf.DUMMYFUNCTION("""COMPUTED_VALUE"""),"Extra")</f>
        <v>Extra</v>
      </c>
      <c r="D418" s="15" t="str">
        <f>IFERROR(__xludf.DUMMYFUNCTION("""COMPUTED_VALUE"""),"Removed")</f>
        <v>Removed</v>
      </c>
      <c r="E418" s="17">
        <f>IFERROR(__xludf.DUMMYFUNCTION("""COMPUTED_VALUE"""),45006.0)</f>
        <v>45006</v>
      </c>
      <c r="F418" s="54">
        <f>IFERROR(__xludf.DUMMYFUNCTION("""COMPUTED_VALUE"""),45369.0)</f>
        <v>45369</v>
      </c>
      <c r="G418" s="19">
        <f>IFERROR(__xludf.DUMMYFUNCTION("""COMPUTED_VALUE"""),11.9)</f>
        <v>11.9</v>
      </c>
      <c r="H418" s="17">
        <f>IFERROR(__xludf.DUMMYFUNCTION("""COMPUTED_VALUE"""),44642.0)</f>
        <v>44642</v>
      </c>
      <c r="I418" s="19">
        <f>IFERROR(__xludf.DUMMYFUNCTION("""COMPUTED_VALUE"""),0.9972222222222222)</f>
        <v>0.9972222222</v>
      </c>
      <c r="J418" s="21">
        <f>IFERROR(__xludf.DUMMYFUNCTION("""COMPUTED_VALUE"""),75.0)</f>
        <v>75</v>
      </c>
      <c r="K418" s="23">
        <f>IFERROR(__xludf.DUMMYFUNCTION("""COMPUTED_VALUE"""),8.6)</f>
        <v>8.6</v>
      </c>
      <c r="L418" s="24">
        <f>IFERROR(__xludf.DUMMYFUNCTION("""COMPUTED_VALUE"""),11.0)</f>
        <v>11</v>
      </c>
      <c r="M418" s="25" t="str">
        <f>IFERROR(__xludf.DUMMYFUNCTION("""COMPUTED_VALUE"""),"Action-Adventure")</f>
        <v>Action-Adventure</v>
      </c>
      <c r="N418" s="25"/>
      <c r="O418" s="26" t="str">
        <f>IFERROR(__xludf.DUMMYFUNCTION("""COMPUTED_VALUE"""),"No")</f>
        <v>No</v>
      </c>
      <c r="P418" s="26"/>
    </row>
    <row r="419">
      <c r="A419" s="13" t="str">
        <f>IFERROR(__xludf.DUMMYFUNCTION("""COMPUTED_VALUE"""),"Haven")</f>
        <v>Haven</v>
      </c>
      <c r="B419" s="15" t="str">
        <f>IFERROR(__xludf.DUMMYFUNCTION("""COMPUTED_VALUE"""),"PS5/PS4")</f>
        <v>PS5/PS4</v>
      </c>
      <c r="C419" s="16" t="str">
        <f>IFERROR(__xludf.DUMMYFUNCTION("""COMPUTED_VALUE"""),"Extra")</f>
        <v>Extra</v>
      </c>
      <c r="D419" s="15" t="str">
        <f>IFERROR(__xludf.DUMMYFUNCTION("""COMPUTED_VALUE"""),"Removed")</f>
        <v>Removed</v>
      </c>
      <c r="E419" s="17">
        <f>IFERROR(__xludf.DUMMYFUNCTION("""COMPUTED_VALUE"""),45006.0)</f>
        <v>45006</v>
      </c>
      <c r="F419" s="54">
        <f>IFERROR(__xludf.DUMMYFUNCTION("""COMPUTED_VALUE"""),45369.0)</f>
        <v>45369</v>
      </c>
      <c r="G419" s="19">
        <f>IFERROR(__xludf.DUMMYFUNCTION("""COMPUTED_VALUE"""),11.9)</f>
        <v>11.9</v>
      </c>
      <c r="H419" s="17">
        <f>IFERROR(__xludf.DUMMYFUNCTION("""COMPUTED_VALUE"""),44168.0)</f>
        <v>44168</v>
      </c>
      <c r="I419" s="19">
        <f>IFERROR(__xludf.DUMMYFUNCTION("""COMPUTED_VALUE"""),2.3)</f>
        <v>2.3</v>
      </c>
      <c r="J419" s="21">
        <f>IFERROR(__xludf.DUMMYFUNCTION("""COMPUTED_VALUE"""),78.0)</f>
        <v>78</v>
      </c>
      <c r="K419" s="23">
        <f>IFERROR(__xludf.DUMMYFUNCTION("""COMPUTED_VALUE"""),7.5)</f>
        <v>7.5</v>
      </c>
      <c r="L419" s="24">
        <f>IFERROR(__xludf.DUMMYFUNCTION("""COMPUTED_VALUE"""),11.0)</f>
        <v>11</v>
      </c>
      <c r="M419" s="25" t="str">
        <f>IFERROR(__xludf.DUMMYFUNCTION("""COMPUTED_VALUE"""),"Action-Adventure")</f>
        <v>Action-Adventure</v>
      </c>
      <c r="N419" s="25"/>
      <c r="O419" s="26" t="str">
        <f>IFERROR(__xludf.DUMMYFUNCTION("""COMPUTED_VALUE"""),"Yes")</f>
        <v>Yes</v>
      </c>
      <c r="P419" s="26"/>
    </row>
    <row r="420">
      <c r="A420" s="13" t="str">
        <f>IFERROR(__xludf.DUMMYFUNCTION("""COMPUTED_VALUE"""),"NEO: The World Ends with You")</f>
        <v>NEO: The World Ends with You</v>
      </c>
      <c r="B420" s="15" t="str">
        <f>IFERROR(__xludf.DUMMYFUNCTION("""COMPUTED_VALUE"""),"PS5/PS4")</f>
        <v>PS5/PS4</v>
      </c>
      <c r="C420" s="16" t="str">
        <f>IFERROR(__xludf.DUMMYFUNCTION("""COMPUTED_VALUE"""),"Extra")</f>
        <v>Extra</v>
      </c>
      <c r="D420" s="15" t="str">
        <f>IFERROR(__xludf.DUMMYFUNCTION("""COMPUTED_VALUE"""),"Removed")</f>
        <v>Removed</v>
      </c>
      <c r="E420" s="17">
        <f>IFERROR(__xludf.DUMMYFUNCTION("""COMPUTED_VALUE"""),45006.0)</f>
        <v>45006</v>
      </c>
      <c r="F420" s="54">
        <f>IFERROR(__xludf.DUMMYFUNCTION("""COMPUTED_VALUE"""),45369.0)</f>
        <v>45369</v>
      </c>
      <c r="G420" s="19">
        <f>IFERROR(__xludf.DUMMYFUNCTION("""COMPUTED_VALUE"""),11.9)</f>
        <v>11.9</v>
      </c>
      <c r="H420" s="17">
        <f>IFERROR(__xludf.DUMMYFUNCTION("""COMPUTED_VALUE"""),43344.0)</f>
        <v>43344</v>
      </c>
      <c r="I420" s="19">
        <f>IFERROR(__xludf.DUMMYFUNCTION("""COMPUTED_VALUE"""),4.555555555555555)</f>
        <v>4.555555556</v>
      </c>
      <c r="J420" s="21">
        <f>IFERROR(__xludf.DUMMYFUNCTION("""COMPUTED_VALUE"""),80.0)</f>
        <v>80</v>
      </c>
      <c r="K420" s="23">
        <f>IFERROR(__xludf.DUMMYFUNCTION("""COMPUTED_VALUE"""),8.2)</f>
        <v>8.2</v>
      </c>
      <c r="L420" s="24">
        <f>IFERROR(__xludf.DUMMYFUNCTION("""COMPUTED_VALUE"""),41.0)</f>
        <v>41</v>
      </c>
      <c r="M420" s="25" t="str">
        <f>IFERROR(__xludf.DUMMYFUNCTION("""COMPUTED_VALUE"""),"RPG")</f>
        <v>RPG</v>
      </c>
      <c r="N420" s="25"/>
      <c r="O420" s="26" t="str">
        <f>IFERROR(__xludf.DUMMYFUNCTION("""COMPUTED_VALUE"""),"Yes")</f>
        <v>Yes</v>
      </c>
      <c r="P420" s="26"/>
    </row>
    <row r="421">
      <c r="A421" s="13" t="str">
        <f>IFERROR(__xludf.DUMMYFUNCTION("""COMPUTED_VALUE"""),"Tchia")</f>
        <v>Tchia</v>
      </c>
      <c r="B421" s="15" t="str">
        <f>IFERROR(__xludf.DUMMYFUNCTION("""COMPUTED_VALUE"""),"PS5/PS4")</f>
        <v>PS5/PS4</v>
      </c>
      <c r="C421" s="16" t="str">
        <f>IFERROR(__xludf.DUMMYFUNCTION("""COMPUTED_VALUE"""),"Extra")</f>
        <v>Extra</v>
      </c>
      <c r="D421" s="15" t="str">
        <f>IFERROR(__xludf.DUMMYFUNCTION("""COMPUTED_VALUE"""),"Removed")</f>
        <v>Removed</v>
      </c>
      <c r="E421" s="17">
        <f>IFERROR(__xludf.DUMMYFUNCTION("""COMPUTED_VALUE"""),45006.0)</f>
        <v>45006</v>
      </c>
      <c r="F421" s="54">
        <f>IFERROR(__xludf.DUMMYFUNCTION("""COMPUTED_VALUE"""),45369.0)</f>
        <v>45369</v>
      </c>
      <c r="G421" s="19">
        <f>IFERROR(__xludf.DUMMYFUNCTION("""COMPUTED_VALUE"""),11.9)</f>
        <v>11.9</v>
      </c>
      <c r="H421" s="17">
        <f>IFERROR(__xludf.DUMMYFUNCTION("""COMPUTED_VALUE"""),45006.0)</f>
        <v>45006</v>
      </c>
      <c r="I421" s="19">
        <f>IFERROR(__xludf.DUMMYFUNCTION("""COMPUTED_VALUE"""),0.0)</f>
        <v>0</v>
      </c>
      <c r="J421" s="21">
        <f>IFERROR(__xludf.DUMMYFUNCTION("""COMPUTED_VALUE"""),77.0)</f>
        <v>77</v>
      </c>
      <c r="K421" s="23">
        <f>IFERROR(__xludf.DUMMYFUNCTION("""COMPUTED_VALUE"""),7.3)</f>
        <v>7.3</v>
      </c>
      <c r="L421" s="24">
        <f>IFERROR(__xludf.DUMMYFUNCTION("""COMPUTED_VALUE"""),7.0)</f>
        <v>7</v>
      </c>
      <c r="M421" s="25" t="str">
        <f>IFERROR(__xludf.DUMMYFUNCTION("""COMPUTED_VALUE"""),"Action-Adventure")</f>
        <v>Action-Adventure</v>
      </c>
      <c r="N421" s="25"/>
      <c r="O421" s="26" t="str">
        <f>IFERROR(__xludf.DUMMYFUNCTION("""COMPUTED_VALUE"""),"Yes")</f>
        <v>Yes</v>
      </c>
      <c r="P421" s="26"/>
    </row>
    <row r="422">
      <c r="A422" s="13" t="str">
        <f>IFERROR(__xludf.DUMMYFUNCTION("""COMPUTED_VALUE"""),"Code Vein")</f>
        <v>Code Vein</v>
      </c>
      <c r="B422" s="15" t="str">
        <f>IFERROR(__xludf.DUMMYFUNCTION("""COMPUTED_VALUE"""),"PS4")</f>
        <v>PS4</v>
      </c>
      <c r="C422" s="16" t="str">
        <f>IFERROR(__xludf.DUMMYFUNCTION("""COMPUTED_VALUE"""),"Extra")</f>
        <v>Extra</v>
      </c>
      <c r="D422" s="15" t="str">
        <f>IFERROR(__xludf.DUMMYFUNCTION("""COMPUTED_VALUE"""),"Removed")</f>
        <v>Removed</v>
      </c>
      <c r="E422" s="17">
        <f>IFERROR(__xludf.DUMMYFUNCTION("""COMPUTED_VALUE"""),44992.0)</f>
        <v>44992</v>
      </c>
      <c r="F422" s="54">
        <f>IFERROR(__xludf.DUMMYFUNCTION("""COMPUTED_VALUE"""),45369.0)</f>
        <v>45369</v>
      </c>
      <c r="G422" s="19">
        <f>IFERROR(__xludf.DUMMYFUNCTION("""COMPUTED_VALUE"""),12.366666666666665)</f>
        <v>12.36666667</v>
      </c>
      <c r="H422" s="17">
        <f>IFERROR(__xludf.DUMMYFUNCTION("""COMPUTED_VALUE"""),43735.0)</f>
        <v>43735</v>
      </c>
      <c r="I422" s="19">
        <f>IFERROR(__xludf.DUMMYFUNCTION("""COMPUTED_VALUE"""),3.4444444444444446)</f>
        <v>3.444444444</v>
      </c>
      <c r="J422" s="21">
        <f>IFERROR(__xludf.DUMMYFUNCTION("""COMPUTED_VALUE"""),70.0)</f>
        <v>70</v>
      </c>
      <c r="K422" s="23">
        <f>IFERROR(__xludf.DUMMYFUNCTION("""COMPUTED_VALUE"""),7.8)</f>
        <v>7.8</v>
      </c>
      <c r="L422" s="24">
        <f>IFERROR(__xludf.DUMMYFUNCTION("""COMPUTED_VALUE"""),26.0)</f>
        <v>26</v>
      </c>
      <c r="M422" s="25" t="str">
        <f>IFERROR(__xludf.DUMMYFUNCTION("""COMPUTED_VALUE"""),"RPG")</f>
        <v>RPG</v>
      </c>
      <c r="N422" s="25"/>
      <c r="O422" s="26" t="str">
        <f>IFERROR(__xludf.DUMMYFUNCTION("""COMPUTED_VALUE"""),"No")</f>
        <v>No</v>
      </c>
      <c r="P422" s="26"/>
    </row>
    <row r="423">
      <c r="A423" s="13" t="str">
        <f>IFERROR(__xludf.DUMMYFUNCTION("""COMPUTED_VALUE"""),"Outer Wilds")</f>
        <v>Outer Wilds</v>
      </c>
      <c r="B423" s="15" t="str">
        <f>IFERROR(__xludf.DUMMYFUNCTION("""COMPUTED_VALUE"""),"PS4")</f>
        <v>PS4</v>
      </c>
      <c r="C423" s="16" t="str">
        <f>IFERROR(__xludf.DUMMYFUNCTION("""COMPUTED_VALUE"""),"Extra")</f>
        <v>Extra</v>
      </c>
      <c r="D423" s="15" t="str">
        <f>IFERROR(__xludf.DUMMYFUNCTION("""COMPUTED_VALUE"""),"Removed")</f>
        <v>Removed</v>
      </c>
      <c r="E423" s="17">
        <f>IFERROR(__xludf.DUMMYFUNCTION("""COMPUTED_VALUE"""),44656.0)</f>
        <v>44656</v>
      </c>
      <c r="F423" s="54">
        <f>IFERROR(__xludf.DUMMYFUNCTION("""COMPUTED_VALUE"""),45369.0)</f>
        <v>45369</v>
      </c>
      <c r="G423" s="19">
        <f>IFERROR(__xludf.DUMMYFUNCTION("""COMPUTED_VALUE"""),23.433333333333334)</f>
        <v>23.43333333</v>
      </c>
      <c r="H423" s="17">
        <f>IFERROR(__xludf.DUMMYFUNCTION("""COMPUTED_VALUE"""),43614.0)</f>
        <v>43614</v>
      </c>
      <c r="I423" s="19">
        <f>IFERROR(__xludf.DUMMYFUNCTION("""COMPUTED_VALUE"""),2.85)</f>
        <v>2.85</v>
      </c>
      <c r="J423" s="21">
        <f>IFERROR(__xludf.DUMMYFUNCTION("""COMPUTED_VALUE"""),85.0)</f>
        <v>85</v>
      </c>
      <c r="K423" s="23">
        <f>IFERROR(__xludf.DUMMYFUNCTION("""COMPUTED_VALUE"""),8.6)</f>
        <v>8.6</v>
      </c>
      <c r="L423" s="24">
        <f>IFERROR(__xludf.DUMMYFUNCTION("""COMPUTED_VALUE"""),16.0)</f>
        <v>16</v>
      </c>
      <c r="M423" s="25" t="str">
        <f>IFERROR(__xludf.DUMMYFUNCTION("""COMPUTED_VALUE"""),"Action-Adventure")</f>
        <v>Action-Adventure</v>
      </c>
      <c r="N423" s="25"/>
      <c r="O423" s="26" t="str">
        <f>IFERROR(__xludf.DUMMYFUNCTION("""COMPUTED_VALUE"""),"Yes")</f>
        <v>Yes</v>
      </c>
      <c r="P423" s="26"/>
    </row>
    <row r="424">
      <c r="A424" s="13" t="str">
        <f>IFERROR(__xludf.DUMMYFUNCTION("""COMPUTED_VALUE"""),"Steelrising")</f>
        <v>Steelrising</v>
      </c>
      <c r="B424" s="15" t="str">
        <f>IFERROR(__xludf.DUMMYFUNCTION("""COMPUTED_VALUE"""),"PS5")</f>
        <v>PS5</v>
      </c>
      <c r="C424" s="16" t="str">
        <f>IFERROR(__xludf.DUMMYFUNCTION("""COMPUTED_VALUE"""),"Essential")</f>
        <v>Essential</v>
      </c>
      <c r="D424" s="15" t="str">
        <f>IFERROR(__xludf.DUMMYFUNCTION("""COMPUTED_VALUE"""),"Removed")</f>
        <v>Removed</v>
      </c>
      <c r="E424" s="17">
        <f>IFERROR(__xludf.DUMMYFUNCTION("""COMPUTED_VALUE"""),45328.0)</f>
        <v>45328</v>
      </c>
      <c r="F424" s="54">
        <f>IFERROR(__xludf.DUMMYFUNCTION("""COMPUTED_VALUE"""),45355.0)</f>
        <v>45355</v>
      </c>
      <c r="G424" s="19">
        <f>IFERROR(__xludf.DUMMYFUNCTION("""COMPUTED_VALUE"""),0.9333333333333333)</f>
        <v>0.9333333333</v>
      </c>
      <c r="H424" s="17">
        <f>IFERROR(__xludf.DUMMYFUNCTION("""COMPUTED_VALUE"""),44812.0)</f>
        <v>44812</v>
      </c>
      <c r="I424" s="19">
        <f>IFERROR(__xludf.DUMMYFUNCTION("""COMPUTED_VALUE"""),1.4111111111111112)</f>
        <v>1.411111111</v>
      </c>
      <c r="J424" s="21">
        <f>IFERROR(__xludf.DUMMYFUNCTION("""COMPUTED_VALUE"""),72.0)</f>
        <v>72</v>
      </c>
      <c r="K424" s="23">
        <f>IFERROR(__xludf.DUMMYFUNCTION("""COMPUTED_VALUE"""),7.5)</f>
        <v>7.5</v>
      </c>
      <c r="L424" s="24">
        <f>IFERROR(__xludf.DUMMYFUNCTION("""COMPUTED_VALUE"""),15.0)</f>
        <v>15</v>
      </c>
      <c r="M424" s="25" t="str">
        <f>IFERROR(__xludf.DUMMYFUNCTION("""COMPUTED_VALUE"""),"RPG")</f>
        <v>RPG</v>
      </c>
      <c r="N424" s="25"/>
      <c r="O424" s="26" t="str">
        <f>IFERROR(__xludf.DUMMYFUNCTION("""COMPUTED_VALUE"""),"No")</f>
        <v>No</v>
      </c>
      <c r="P424" s="26"/>
    </row>
    <row r="425">
      <c r="A425" s="13" t="str">
        <f>IFERROR(__xludf.DUMMYFUNCTION("""COMPUTED_VALUE"""),"Foamstars")</f>
        <v>Foamstars</v>
      </c>
      <c r="B425" s="15" t="str">
        <f>IFERROR(__xludf.DUMMYFUNCTION("""COMPUTED_VALUE"""),"PS5/PS4")</f>
        <v>PS5/PS4</v>
      </c>
      <c r="C425" s="16" t="str">
        <f>IFERROR(__xludf.DUMMYFUNCTION("""COMPUTED_VALUE"""),"Essential")</f>
        <v>Essential</v>
      </c>
      <c r="D425" s="15" t="str">
        <f>IFERROR(__xludf.DUMMYFUNCTION("""COMPUTED_VALUE"""),"Removed")</f>
        <v>Removed</v>
      </c>
      <c r="E425" s="17">
        <f>IFERROR(__xludf.DUMMYFUNCTION("""COMPUTED_VALUE"""),45328.0)</f>
        <v>45328</v>
      </c>
      <c r="F425" s="54">
        <f>IFERROR(__xludf.DUMMYFUNCTION("""COMPUTED_VALUE"""),45355.0)</f>
        <v>45355</v>
      </c>
      <c r="G425" s="19">
        <f>IFERROR(__xludf.DUMMYFUNCTION("""COMPUTED_VALUE"""),0.9333333333333333)</f>
        <v>0.9333333333</v>
      </c>
      <c r="H425" s="17">
        <f>IFERROR(__xludf.DUMMYFUNCTION("""COMPUTED_VALUE"""),45328.0)</f>
        <v>45328</v>
      </c>
      <c r="I425" s="19">
        <f>IFERROR(__xludf.DUMMYFUNCTION("""COMPUTED_VALUE"""),0.0)</f>
        <v>0</v>
      </c>
      <c r="J425" s="21">
        <f>IFERROR(__xludf.DUMMYFUNCTION("""COMPUTED_VALUE"""),59.0)</f>
        <v>59</v>
      </c>
      <c r="K425" s="23">
        <f>IFERROR(__xludf.DUMMYFUNCTION("""COMPUTED_VALUE"""),7.2)</f>
        <v>7.2</v>
      </c>
      <c r="L425" s="24"/>
      <c r="M425" s="25" t="str">
        <f>IFERROR(__xludf.DUMMYFUNCTION("""COMPUTED_VALUE"""),"Shooter")</f>
        <v>Shooter</v>
      </c>
      <c r="N425" s="25"/>
      <c r="O425" s="26" t="str">
        <f>IFERROR(__xludf.DUMMYFUNCTION("""COMPUTED_VALUE"""),"No")</f>
        <v>No</v>
      </c>
      <c r="P425" s="26"/>
    </row>
    <row r="426">
      <c r="A426" s="13" t="str">
        <f>IFERROR(__xludf.DUMMYFUNCTION("""COMPUTED_VALUE"""),"Rollerdrome")</f>
        <v>Rollerdrome</v>
      </c>
      <c r="B426" s="15" t="str">
        <f>IFERROR(__xludf.DUMMYFUNCTION("""COMPUTED_VALUE"""),"PS5/PS4")</f>
        <v>PS5/PS4</v>
      </c>
      <c r="C426" s="16" t="str">
        <f>IFERROR(__xludf.DUMMYFUNCTION("""COMPUTED_VALUE"""),"Essential")</f>
        <v>Essential</v>
      </c>
      <c r="D426" s="15" t="str">
        <f>IFERROR(__xludf.DUMMYFUNCTION("""COMPUTED_VALUE"""),"Removed")</f>
        <v>Removed</v>
      </c>
      <c r="E426" s="17">
        <f>IFERROR(__xludf.DUMMYFUNCTION("""COMPUTED_VALUE"""),45328.0)</f>
        <v>45328</v>
      </c>
      <c r="F426" s="54">
        <f>IFERROR(__xludf.DUMMYFUNCTION("""COMPUTED_VALUE"""),45355.0)</f>
        <v>45355</v>
      </c>
      <c r="G426" s="19">
        <f>IFERROR(__xludf.DUMMYFUNCTION("""COMPUTED_VALUE"""),0.9333333333333333)</f>
        <v>0.9333333333</v>
      </c>
      <c r="H426" s="17">
        <f>IFERROR(__xludf.DUMMYFUNCTION("""COMPUTED_VALUE"""),44789.0)</f>
        <v>44789</v>
      </c>
      <c r="I426" s="19">
        <f>IFERROR(__xludf.DUMMYFUNCTION("""COMPUTED_VALUE"""),1.4722222222222223)</f>
        <v>1.472222222</v>
      </c>
      <c r="J426" s="21">
        <f>IFERROR(__xludf.DUMMYFUNCTION("""COMPUTED_VALUE"""),79.0)</f>
        <v>79</v>
      </c>
      <c r="K426" s="23">
        <f>IFERROR(__xludf.DUMMYFUNCTION("""COMPUTED_VALUE"""),7.3)</f>
        <v>7.3</v>
      </c>
      <c r="L426" s="24">
        <f>IFERROR(__xludf.DUMMYFUNCTION("""COMPUTED_VALUE"""),5.0)</f>
        <v>5</v>
      </c>
      <c r="M426" s="25" t="str">
        <f>IFERROR(__xludf.DUMMYFUNCTION("""COMPUTED_VALUE"""),"Shooter")</f>
        <v>Shooter</v>
      </c>
      <c r="N426" s="25"/>
      <c r="O426" s="26" t="str">
        <f>IFERROR(__xludf.DUMMYFUNCTION("""COMPUTED_VALUE"""),"No")</f>
        <v>No</v>
      </c>
      <c r="P426" s="26"/>
    </row>
    <row r="427">
      <c r="A427" s="13" t="str">
        <f>IFERROR(__xludf.DUMMYFUNCTION("""COMPUTED_VALUE"""),"Tacoma")</f>
        <v>Tacoma</v>
      </c>
      <c r="B427" s="15" t="str">
        <f>IFERROR(__xludf.DUMMYFUNCTION("""COMPUTED_VALUE"""),"PS4")</f>
        <v>PS4</v>
      </c>
      <c r="C427" s="16" t="str">
        <f>IFERROR(__xludf.DUMMYFUNCTION("""COMPUTED_VALUE"""),"Extra")</f>
        <v>Extra</v>
      </c>
      <c r="D427" s="15" t="str">
        <f>IFERROR(__xludf.DUMMYFUNCTION("""COMPUTED_VALUE"""),"Removed")</f>
        <v>Removed</v>
      </c>
      <c r="E427" s="17">
        <f>IFERROR(__xludf.DUMMYFUNCTION("""COMPUTED_VALUE"""),45097.0)</f>
        <v>45097</v>
      </c>
      <c r="F427" s="54">
        <f>IFERROR(__xludf.DUMMYFUNCTION("""COMPUTED_VALUE"""),45341.0)</f>
        <v>45341</v>
      </c>
      <c r="G427" s="19">
        <f>IFERROR(__xludf.DUMMYFUNCTION("""COMPUTED_VALUE"""),7.966666666666667)</f>
        <v>7.966666667</v>
      </c>
      <c r="H427" s="17">
        <f>IFERROR(__xludf.DUMMYFUNCTION("""COMPUTED_VALUE"""),43228.0)</f>
        <v>43228</v>
      </c>
      <c r="I427" s="19">
        <f>IFERROR(__xludf.DUMMYFUNCTION("""COMPUTED_VALUE"""),5.116666666666666)</f>
        <v>5.116666667</v>
      </c>
      <c r="J427" s="21">
        <f>IFERROR(__xludf.DUMMYFUNCTION("""COMPUTED_VALUE"""),79.0)</f>
        <v>79</v>
      </c>
      <c r="K427" s="23">
        <f>IFERROR(__xludf.DUMMYFUNCTION("""COMPUTED_VALUE"""),5.8)</f>
        <v>5.8</v>
      </c>
      <c r="L427" s="24">
        <f>IFERROR(__xludf.DUMMYFUNCTION("""COMPUTED_VALUE"""),3.0)</f>
        <v>3</v>
      </c>
      <c r="M427" s="25" t="str">
        <f>IFERROR(__xludf.DUMMYFUNCTION("""COMPUTED_VALUE"""),"Action-Adventure")</f>
        <v>Action-Adventure</v>
      </c>
      <c r="N427" s="25"/>
      <c r="O427" s="26" t="str">
        <f>IFERROR(__xludf.DUMMYFUNCTION("""COMPUTED_VALUE"""),"Yes")</f>
        <v>Yes</v>
      </c>
      <c r="P427" s="26"/>
    </row>
    <row r="428">
      <c r="A428" s="13" t="str">
        <f>IFERROR(__xludf.DUMMYFUNCTION("""COMPUTED_VALUE"""),"Ace Combat 7: Skies Unknown")</f>
        <v>Ace Combat 7: Skies Unknown</v>
      </c>
      <c r="B428" s="15" t="str">
        <f>IFERROR(__xludf.DUMMYFUNCTION("""COMPUTED_VALUE"""),"PS4")</f>
        <v>PS4</v>
      </c>
      <c r="C428" s="16" t="str">
        <f>IFERROR(__xludf.DUMMYFUNCTION("""COMPUTED_VALUE"""),"Extra")</f>
        <v>Extra</v>
      </c>
      <c r="D428" s="15" t="str">
        <f>IFERROR(__xludf.DUMMYFUNCTION("""COMPUTED_VALUE"""),"Removed")</f>
        <v>Removed</v>
      </c>
      <c r="E428" s="17">
        <f>IFERROR(__xludf.DUMMYFUNCTION("""COMPUTED_VALUE"""),44978.0)</f>
        <v>44978</v>
      </c>
      <c r="F428" s="54">
        <f>IFERROR(__xludf.DUMMYFUNCTION("""COMPUTED_VALUE"""),45341.0)</f>
        <v>45341</v>
      </c>
      <c r="G428" s="19">
        <f>IFERROR(__xludf.DUMMYFUNCTION("""COMPUTED_VALUE"""),11.933333333333334)</f>
        <v>11.93333333</v>
      </c>
      <c r="H428" s="17">
        <f>IFERROR(__xludf.DUMMYFUNCTION("""COMPUTED_VALUE"""),43483.0)</f>
        <v>43483</v>
      </c>
      <c r="I428" s="19">
        <f>IFERROR(__xludf.DUMMYFUNCTION("""COMPUTED_VALUE"""),4.091666666666667)</f>
        <v>4.091666667</v>
      </c>
      <c r="J428" s="21">
        <f>IFERROR(__xludf.DUMMYFUNCTION("""COMPUTED_VALUE"""),80.0)</f>
        <v>80</v>
      </c>
      <c r="K428" s="23">
        <f>IFERROR(__xludf.DUMMYFUNCTION("""COMPUTED_VALUE"""),8.0)</f>
        <v>8</v>
      </c>
      <c r="L428" s="24">
        <f>IFERROR(__xludf.DUMMYFUNCTION("""COMPUTED_VALUE"""),12.0)</f>
        <v>12</v>
      </c>
      <c r="M428" s="25" t="str">
        <f>IFERROR(__xludf.DUMMYFUNCTION("""COMPUTED_VALUE"""),"Simulation")</f>
        <v>Simulation</v>
      </c>
      <c r="N428" s="25"/>
      <c r="O428" s="26" t="str">
        <f>IFERROR(__xludf.DUMMYFUNCTION("""COMPUTED_VALUE"""),"Yes")</f>
        <v>Yes</v>
      </c>
      <c r="P428" s="26"/>
    </row>
    <row r="429">
      <c r="A429" s="13" t="str">
        <f>IFERROR(__xludf.DUMMYFUNCTION("""COMPUTED_VALUE"""),"I am Setsuna")</f>
        <v>I am Setsuna</v>
      </c>
      <c r="B429" s="15" t="str">
        <f>IFERROR(__xludf.DUMMYFUNCTION("""COMPUTED_VALUE"""),"PS4")</f>
        <v>PS4</v>
      </c>
      <c r="C429" s="16" t="str">
        <f>IFERROR(__xludf.DUMMYFUNCTION("""COMPUTED_VALUE"""),"Extra")</f>
        <v>Extra</v>
      </c>
      <c r="D429" s="15" t="str">
        <f>IFERROR(__xludf.DUMMYFUNCTION("""COMPUTED_VALUE"""),"Removed")</f>
        <v>Removed</v>
      </c>
      <c r="E429" s="17">
        <f>IFERROR(__xludf.DUMMYFUNCTION("""COMPUTED_VALUE"""),44978.0)</f>
        <v>44978</v>
      </c>
      <c r="F429" s="54">
        <f>IFERROR(__xludf.DUMMYFUNCTION("""COMPUTED_VALUE"""),45341.0)</f>
        <v>45341</v>
      </c>
      <c r="G429" s="19">
        <f>IFERROR(__xludf.DUMMYFUNCTION("""COMPUTED_VALUE"""),11.933333333333334)</f>
        <v>11.93333333</v>
      </c>
      <c r="H429" s="17">
        <f>IFERROR(__xludf.DUMMYFUNCTION("""COMPUTED_VALUE"""),42570.0)</f>
        <v>42570</v>
      </c>
      <c r="I429" s="19">
        <f>IFERROR(__xludf.DUMMYFUNCTION("""COMPUTED_VALUE"""),6.588888888888889)</f>
        <v>6.588888889</v>
      </c>
      <c r="J429" s="21">
        <f>IFERROR(__xludf.DUMMYFUNCTION("""COMPUTED_VALUE"""),74.0)</f>
        <v>74</v>
      </c>
      <c r="K429" s="23">
        <f>IFERROR(__xludf.DUMMYFUNCTION("""COMPUTED_VALUE"""),7.4)</f>
        <v>7.4</v>
      </c>
      <c r="L429" s="24">
        <f>IFERROR(__xludf.DUMMYFUNCTION("""COMPUTED_VALUE"""),21.0)</f>
        <v>21</v>
      </c>
      <c r="M429" s="25" t="str">
        <f>IFERROR(__xludf.DUMMYFUNCTION("""COMPUTED_VALUE"""),"RPG")</f>
        <v>RPG</v>
      </c>
      <c r="N429" s="25"/>
      <c r="O429" s="26" t="str">
        <f>IFERROR(__xludf.DUMMYFUNCTION("""COMPUTED_VALUE"""),"Yes")</f>
        <v>Yes</v>
      </c>
      <c r="P429" s="26"/>
    </row>
    <row r="430">
      <c r="A430" s="13" t="str">
        <f>IFERROR(__xludf.DUMMYFUNCTION("""COMPUTED_VALUE"""),"Lost Sphear")</f>
        <v>Lost Sphear</v>
      </c>
      <c r="B430" s="15" t="str">
        <f>IFERROR(__xludf.DUMMYFUNCTION("""COMPUTED_VALUE"""),"PS4")</f>
        <v>PS4</v>
      </c>
      <c r="C430" s="16" t="str">
        <f>IFERROR(__xludf.DUMMYFUNCTION("""COMPUTED_VALUE"""),"Extra")</f>
        <v>Extra</v>
      </c>
      <c r="D430" s="15" t="str">
        <f>IFERROR(__xludf.DUMMYFUNCTION("""COMPUTED_VALUE"""),"Removed")</f>
        <v>Removed</v>
      </c>
      <c r="E430" s="17">
        <f>IFERROR(__xludf.DUMMYFUNCTION("""COMPUTED_VALUE"""),44978.0)</f>
        <v>44978</v>
      </c>
      <c r="F430" s="54">
        <f>IFERROR(__xludf.DUMMYFUNCTION("""COMPUTED_VALUE"""),45341.0)</f>
        <v>45341</v>
      </c>
      <c r="G430" s="19">
        <f>IFERROR(__xludf.DUMMYFUNCTION("""COMPUTED_VALUE"""),11.933333333333334)</f>
        <v>11.93333333</v>
      </c>
      <c r="H430" s="17">
        <f>IFERROR(__xludf.DUMMYFUNCTION("""COMPUTED_VALUE"""),43123.0)</f>
        <v>43123</v>
      </c>
      <c r="I430" s="19">
        <f>IFERROR(__xludf.DUMMYFUNCTION("""COMPUTED_VALUE"""),5.0777777777777775)</f>
        <v>5.077777778</v>
      </c>
      <c r="J430" s="21">
        <f>IFERROR(__xludf.DUMMYFUNCTION("""COMPUTED_VALUE"""),68.0)</f>
        <v>68</v>
      </c>
      <c r="K430" s="23">
        <f>IFERROR(__xludf.DUMMYFUNCTION("""COMPUTED_VALUE"""),6.9)</f>
        <v>6.9</v>
      </c>
      <c r="L430" s="24">
        <f>IFERROR(__xludf.DUMMYFUNCTION("""COMPUTED_VALUE"""),26.0)</f>
        <v>26</v>
      </c>
      <c r="M430" s="25" t="str">
        <f>IFERROR(__xludf.DUMMYFUNCTION("""COMPUTED_VALUE"""),"RPG")</f>
        <v>RPG</v>
      </c>
      <c r="N430" s="25"/>
      <c r="O430" s="26" t="str">
        <f>IFERROR(__xludf.DUMMYFUNCTION("""COMPUTED_VALUE"""),"Yes")</f>
        <v>Yes</v>
      </c>
      <c r="P430" s="26"/>
    </row>
    <row r="431">
      <c r="A431" s="13" t="str">
        <f>IFERROR(__xludf.DUMMYFUNCTION("""COMPUTED_VALUE"""),"Oninaki")</f>
        <v>Oninaki</v>
      </c>
      <c r="B431" s="15" t="str">
        <f>IFERROR(__xludf.DUMMYFUNCTION("""COMPUTED_VALUE"""),"PS4")</f>
        <v>PS4</v>
      </c>
      <c r="C431" s="16" t="str">
        <f>IFERROR(__xludf.DUMMYFUNCTION("""COMPUTED_VALUE"""),"Extra")</f>
        <v>Extra</v>
      </c>
      <c r="D431" s="15" t="str">
        <f>IFERROR(__xludf.DUMMYFUNCTION("""COMPUTED_VALUE"""),"Removed")</f>
        <v>Removed</v>
      </c>
      <c r="E431" s="17">
        <f>IFERROR(__xludf.DUMMYFUNCTION("""COMPUTED_VALUE"""),44978.0)</f>
        <v>44978</v>
      </c>
      <c r="F431" s="54">
        <f>IFERROR(__xludf.DUMMYFUNCTION("""COMPUTED_VALUE"""),45341.0)</f>
        <v>45341</v>
      </c>
      <c r="G431" s="19">
        <f>IFERROR(__xludf.DUMMYFUNCTION("""COMPUTED_VALUE"""),11.933333333333334)</f>
        <v>11.93333333</v>
      </c>
      <c r="H431" s="17">
        <f>IFERROR(__xludf.DUMMYFUNCTION("""COMPUTED_VALUE"""),43699.0)</f>
        <v>43699</v>
      </c>
      <c r="I431" s="19">
        <f>IFERROR(__xludf.DUMMYFUNCTION("""COMPUTED_VALUE"""),3.4972222222222222)</f>
        <v>3.497222222</v>
      </c>
      <c r="J431" s="21">
        <f>IFERROR(__xludf.DUMMYFUNCTION("""COMPUTED_VALUE"""),69.0)</f>
        <v>69</v>
      </c>
      <c r="K431" s="23">
        <f>IFERROR(__xludf.DUMMYFUNCTION("""COMPUTED_VALUE"""),5.8)</f>
        <v>5.8</v>
      </c>
      <c r="L431" s="24">
        <f>IFERROR(__xludf.DUMMYFUNCTION("""COMPUTED_VALUE"""),20.0)</f>
        <v>20</v>
      </c>
      <c r="M431" s="25" t="str">
        <f>IFERROR(__xludf.DUMMYFUNCTION("""COMPUTED_VALUE"""),"RPG")</f>
        <v>RPG</v>
      </c>
      <c r="N431" s="25"/>
      <c r="O431" s="26" t="str">
        <f>IFERROR(__xludf.DUMMYFUNCTION("""COMPUTED_VALUE"""),"Yes")</f>
        <v>Yes</v>
      </c>
      <c r="P431" s="26"/>
    </row>
    <row r="432">
      <c r="A432" s="13" t="str">
        <f>IFERROR(__xludf.DUMMYFUNCTION("""COMPUTED_VALUE"""),"Resident Evil 7: Biohazard")</f>
        <v>Resident Evil 7: Biohazard</v>
      </c>
      <c r="B432" s="15" t="str">
        <f>IFERROR(__xludf.DUMMYFUNCTION("""COMPUTED_VALUE"""),"PS4")</f>
        <v>PS4</v>
      </c>
      <c r="C432" s="16" t="str">
        <f>IFERROR(__xludf.DUMMYFUNCTION("""COMPUTED_VALUE"""),"Extra")</f>
        <v>Extra</v>
      </c>
      <c r="D432" s="15" t="str">
        <f>IFERROR(__xludf.DUMMYFUNCTION("""COMPUTED_VALUE"""),"Removed")</f>
        <v>Removed</v>
      </c>
      <c r="E432" s="17">
        <f>IFERROR(__xludf.DUMMYFUNCTION("""COMPUTED_VALUE"""),44978.0)</f>
        <v>44978</v>
      </c>
      <c r="F432" s="54">
        <f>IFERROR(__xludf.DUMMYFUNCTION("""COMPUTED_VALUE"""),45341.0)</f>
        <v>45341</v>
      </c>
      <c r="G432" s="19">
        <f>IFERROR(__xludf.DUMMYFUNCTION("""COMPUTED_VALUE"""),11.933333333333334)</f>
        <v>11.93333333</v>
      </c>
      <c r="H432" s="17">
        <f>IFERROR(__xludf.DUMMYFUNCTION("""COMPUTED_VALUE"""),42759.0)</f>
        <v>42759</v>
      </c>
      <c r="I432" s="19">
        <f>IFERROR(__xludf.DUMMYFUNCTION("""COMPUTED_VALUE"""),6.075)</f>
        <v>6.075</v>
      </c>
      <c r="J432" s="21">
        <f>IFERROR(__xludf.DUMMYFUNCTION("""COMPUTED_VALUE"""),86.0)</f>
        <v>86</v>
      </c>
      <c r="K432" s="23">
        <f>IFERROR(__xludf.DUMMYFUNCTION("""COMPUTED_VALUE"""),8.1)</f>
        <v>8.1</v>
      </c>
      <c r="L432" s="24">
        <f>IFERROR(__xludf.DUMMYFUNCTION("""COMPUTED_VALUE"""),10.0)</f>
        <v>10</v>
      </c>
      <c r="M432" s="25" t="str">
        <f>IFERROR(__xludf.DUMMYFUNCTION("""COMPUTED_VALUE"""),"Shooter")</f>
        <v>Shooter</v>
      </c>
      <c r="N432" s="25"/>
      <c r="O432" s="26" t="str">
        <f>IFERROR(__xludf.DUMMYFUNCTION("""COMPUTED_VALUE"""),"Yes")</f>
        <v>Yes</v>
      </c>
      <c r="P432" s="26"/>
    </row>
    <row r="433">
      <c r="A433" s="13" t="str">
        <f>IFERROR(__xludf.DUMMYFUNCTION("""COMPUTED_VALUE"""),"Tekken 7")</f>
        <v>Tekken 7</v>
      </c>
      <c r="B433" s="15" t="str">
        <f>IFERROR(__xludf.DUMMYFUNCTION("""COMPUTED_VALUE"""),"PS4")</f>
        <v>PS4</v>
      </c>
      <c r="C433" s="16" t="str">
        <f>IFERROR(__xludf.DUMMYFUNCTION("""COMPUTED_VALUE"""),"Extra")</f>
        <v>Extra</v>
      </c>
      <c r="D433" s="15" t="str">
        <f>IFERROR(__xludf.DUMMYFUNCTION("""COMPUTED_VALUE"""),"Removed")</f>
        <v>Removed</v>
      </c>
      <c r="E433" s="17">
        <f>IFERROR(__xludf.DUMMYFUNCTION("""COMPUTED_VALUE"""),44978.0)</f>
        <v>44978</v>
      </c>
      <c r="F433" s="54">
        <f>IFERROR(__xludf.DUMMYFUNCTION("""COMPUTED_VALUE"""),45341.0)</f>
        <v>45341</v>
      </c>
      <c r="G433" s="19">
        <f>IFERROR(__xludf.DUMMYFUNCTION("""COMPUTED_VALUE"""),11.933333333333334)</f>
        <v>11.93333333</v>
      </c>
      <c r="H433" s="17">
        <f>IFERROR(__xludf.DUMMYFUNCTION("""COMPUTED_VALUE"""),42888.0)</f>
        <v>42888</v>
      </c>
      <c r="I433" s="19">
        <f>IFERROR(__xludf.DUMMYFUNCTION("""COMPUTED_VALUE"""),5.719444444444444)</f>
        <v>5.719444444</v>
      </c>
      <c r="J433" s="21">
        <f>IFERROR(__xludf.DUMMYFUNCTION("""COMPUTED_VALUE"""),82.0)</f>
        <v>82</v>
      </c>
      <c r="K433" s="23">
        <f>IFERROR(__xludf.DUMMYFUNCTION("""COMPUTED_VALUE"""),6.5)</f>
        <v>6.5</v>
      </c>
      <c r="L433" s="24">
        <f>IFERROR(__xludf.DUMMYFUNCTION("""COMPUTED_VALUE"""),4.0)</f>
        <v>4</v>
      </c>
      <c r="M433" s="25" t="str">
        <f>IFERROR(__xludf.DUMMYFUNCTION("""COMPUTED_VALUE"""),"Fighting")</f>
        <v>Fighting</v>
      </c>
      <c r="N433" s="25"/>
      <c r="O433" s="26" t="str">
        <f>IFERROR(__xludf.DUMMYFUNCTION("""COMPUTED_VALUE"""),"Yes")</f>
        <v>Yes</v>
      </c>
      <c r="P433" s="26"/>
    </row>
    <row r="434">
      <c r="A434" s="13" t="str">
        <f>IFERROR(__xludf.DUMMYFUNCTION("""COMPUTED_VALUE"""),"Hue")</f>
        <v>Hue</v>
      </c>
      <c r="B434" s="15" t="str">
        <f>IFERROR(__xludf.DUMMYFUNCTION("""COMPUTED_VALUE"""),"PS4")</f>
        <v>PS4</v>
      </c>
      <c r="C434" s="16" t="str">
        <f>IFERROR(__xludf.DUMMYFUNCTION("""COMPUTED_VALUE"""),"Extra")</f>
        <v>Extra</v>
      </c>
      <c r="D434" s="15" t="str">
        <f>IFERROR(__xludf.DUMMYFUNCTION("""COMPUTED_VALUE"""),"Removed")</f>
        <v>Removed</v>
      </c>
      <c r="E434" s="17">
        <f>IFERROR(__xludf.DUMMYFUNCTION("""COMPUTED_VALUE"""),44725.0)</f>
        <v>44725</v>
      </c>
      <c r="F434" s="54">
        <f>IFERROR(__xludf.DUMMYFUNCTION("""COMPUTED_VALUE"""),45341.0)</f>
        <v>45341</v>
      </c>
      <c r="G434" s="19">
        <f>IFERROR(__xludf.DUMMYFUNCTION("""COMPUTED_VALUE"""),20.2)</f>
        <v>20.2</v>
      </c>
      <c r="H434" s="17">
        <f>IFERROR(__xludf.DUMMYFUNCTION("""COMPUTED_VALUE"""),42612.0)</f>
        <v>42612</v>
      </c>
      <c r="I434" s="19">
        <f>IFERROR(__xludf.DUMMYFUNCTION("""COMPUTED_VALUE"""),5.786111111111111)</f>
        <v>5.786111111</v>
      </c>
      <c r="J434" s="21">
        <f>IFERROR(__xludf.DUMMYFUNCTION("""COMPUTED_VALUE"""),79.0)</f>
        <v>79</v>
      </c>
      <c r="K434" s="23">
        <f>IFERROR(__xludf.DUMMYFUNCTION("""COMPUTED_VALUE"""),7.3)</f>
        <v>7.3</v>
      </c>
      <c r="L434" s="24">
        <f>IFERROR(__xludf.DUMMYFUNCTION("""COMPUTED_VALUE"""),4.5)</f>
        <v>4.5</v>
      </c>
      <c r="M434" s="25" t="str">
        <f>IFERROR(__xludf.DUMMYFUNCTION("""COMPUTED_VALUE"""),"Puzzle")</f>
        <v>Puzzle</v>
      </c>
      <c r="N434" s="25"/>
      <c r="O434" s="26" t="str">
        <f>IFERROR(__xludf.DUMMYFUNCTION("""COMPUTED_VALUE"""),"Yes")</f>
        <v>Yes</v>
      </c>
      <c r="P434" s="26"/>
    </row>
    <row r="435">
      <c r="A435" s="13" t="str">
        <f>IFERROR(__xludf.DUMMYFUNCTION("""COMPUTED_VALUE"""),"Lost Words: Beyond The Page")</f>
        <v>Lost Words: Beyond The Page</v>
      </c>
      <c r="B435" s="15" t="str">
        <f>IFERROR(__xludf.DUMMYFUNCTION("""COMPUTED_VALUE"""),"PS4")</f>
        <v>PS4</v>
      </c>
      <c r="C435" s="16" t="str">
        <f>IFERROR(__xludf.DUMMYFUNCTION("""COMPUTED_VALUE"""),"Extra")</f>
        <v>Extra</v>
      </c>
      <c r="D435" s="15" t="str">
        <f>IFERROR(__xludf.DUMMYFUNCTION("""COMPUTED_VALUE"""),"Removed")</f>
        <v>Removed</v>
      </c>
      <c r="E435" s="17">
        <f>IFERROR(__xludf.DUMMYFUNCTION("""COMPUTED_VALUE"""),44725.0)</f>
        <v>44725</v>
      </c>
      <c r="F435" s="54">
        <f>IFERROR(__xludf.DUMMYFUNCTION("""COMPUTED_VALUE"""),45341.0)</f>
        <v>45341</v>
      </c>
      <c r="G435" s="19">
        <f>IFERROR(__xludf.DUMMYFUNCTION("""COMPUTED_VALUE"""),20.2)</f>
        <v>20.2</v>
      </c>
      <c r="H435" s="17">
        <f>IFERROR(__xludf.DUMMYFUNCTION("""COMPUTED_VALUE"""),43917.0)</f>
        <v>43917</v>
      </c>
      <c r="I435" s="19">
        <f>IFERROR(__xludf.DUMMYFUNCTION("""COMPUTED_VALUE"""),2.2111111111111112)</f>
        <v>2.211111111</v>
      </c>
      <c r="J435" s="21">
        <f>IFERROR(__xludf.DUMMYFUNCTION("""COMPUTED_VALUE"""),78.0)</f>
        <v>78</v>
      </c>
      <c r="K435" s="23">
        <f>IFERROR(__xludf.DUMMYFUNCTION("""COMPUTED_VALUE"""),7.3)</f>
        <v>7.3</v>
      </c>
      <c r="L435" s="24">
        <f>IFERROR(__xludf.DUMMYFUNCTION("""COMPUTED_VALUE"""),4.5)</f>
        <v>4.5</v>
      </c>
      <c r="M435" s="25" t="str">
        <f>IFERROR(__xludf.DUMMYFUNCTION("""COMPUTED_VALUE"""),"Platformer")</f>
        <v>Platformer</v>
      </c>
      <c r="N435" s="25"/>
      <c r="O435" s="26" t="str">
        <f>IFERROR(__xludf.DUMMYFUNCTION("""COMPUTED_VALUE"""),"No")</f>
        <v>No</v>
      </c>
      <c r="P435" s="26"/>
    </row>
    <row r="436">
      <c r="A436" s="13" t="str">
        <f>IFERROR(__xludf.DUMMYFUNCTION("""COMPUTED_VALUE"""),"Thomas Was Alone")</f>
        <v>Thomas Was Alone</v>
      </c>
      <c r="B436" s="15" t="str">
        <f>IFERROR(__xludf.DUMMYFUNCTION("""COMPUTED_VALUE"""),"PS4")</f>
        <v>PS4</v>
      </c>
      <c r="C436" s="16" t="str">
        <f>IFERROR(__xludf.DUMMYFUNCTION("""COMPUTED_VALUE"""),"Extra")</f>
        <v>Extra</v>
      </c>
      <c r="D436" s="15" t="str">
        <f>IFERROR(__xludf.DUMMYFUNCTION("""COMPUTED_VALUE"""),"Removed")</f>
        <v>Removed</v>
      </c>
      <c r="E436" s="17">
        <f>IFERROR(__xludf.DUMMYFUNCTION("""COMPUTED_VALUE"""),44725.0)</f>
        <v>44725</v>
      </c>
      <c r="F436" s="54">
        <f>IFERROR(__xludf.DUMMYFUNCTION("""COMPUTED_VALUE"""),45341.0)</f>
        <v>45341</v>
      </c>
      <c r="G436" s="19">
        <f>IFERROR(__xludf.DUMMYFUNCTION("""COMPUTED_VALUE"""),20.2)</f>
        <v>20.2</v>
      </c>
      <c r="H436" s="17">
        <f>IFERROR(__xludf.DUMMYFUNCTION("""COMPUTED_VALUE"""),41090.0)</f>
        <v>41090</v>
      </c>
      <c r="I436" s="19">
        <f>IFERROR(__xludf.DUMMYFUNCTION("""COMPUTED_VALUE"""),9.952777777777778)</f>
        <v>9.952777778</v>
      </c>
      <c r="J436" s="21">
        <f>IFERROR(__xludf.DUMMYFUNCTION("""COMPUTED_VALUE"""),79.0)</f>
        <v>79</v>
      </c>
      <c r="K436" s="23">
        <f>IFERROR(__xludf.DUMMYFUNCTION("""COMPUTED_VALUE"""),7.6)</f>
        <v>7.6</v>
      </c>
      <c r="L436" s="24">
        <f>IFERROR(__xludf.DUMMYFUNCTION("""COMPUTED_VALUE"""),3.0)</f>
        <v>3</v>
      </c>
      <c r="M436" s="25" t="str">
        <f>IFERROR(__xludf.DUMMYFUNCTION("""COMPUTED_VALUE"""),"Platformer")</f>
        <v>Platformer</v>
      </c>
      <c r="N436" s="25"/>
      <c r="O436" s="26" t="str">
        <f>IFERROR(__xludf.DUMMYFUNCTION("""COMPUTED_VALUE"""),"Yes")</f>
        <v>Yes</v>
      </c>
      <c r="P436" s="26"/>
    </row>
    <row r="437">
      <c r="A437" s="13" t="str">
        <f>IFERROR(__xludf.DUMMYFUNCTION("""COMPUTED_VALUE"""),"A Plague Tale: Requiem")</f>
        <v>A Plague Tale: Requiem</v>
      </c>
      <c r="B437" s="15" t="str">
        <f>IFERROR(__xludf.DUMMYFUNCTION("""COMPUTED_VALUE"""),"PS5")</f>
        <v>PS5</v>
      </c>
      <c r="C437" s="16" t="str">
        <f>IFERROR(__xludf.DUMMYFUNCTION("""COMPUTED_VALUE"""),"Essential")</f>
        <v>Essential</v>
      </c>
      <c r="D437" s="15" t="str">
        <f>IFERROR(__xludf.DUMMYFUNCTION("""COMPUTED_VALUE"""),"Removed")</f>
        <v>Removed</v>
      </c>
      <c r="E437" s="17">
        <f>IFERROR(__xludf.DUMMYFUNCTION("""COMPUTED_VALUE"""),45293.0)</f>
        <v>45293</v>
      </c>
      <c r="F437" s="54">
        <f>IFERROR(__xludf.DUMMYFUNCTION("""COMPUTED_VALUE"""),45327.0)</f>
        <v>45327</v>
      </c>
      <c r="G437" s="19">
        <f>IFERROR(__xludf.DUMMYFUNCTION("""COMPUTED_VALUE"""),1.0999999999999999)</f>
        <v>1.1</v>
      </c>
      <c r="H437" s="17">
        <f>IFERROR(__xludf.DUMMYFUNCTION("""COMPUTED_VALUE"""),44852.0)</f>
        <v>44852</v>
      </c>
      <c r="I437" s="19">
        <f>IFERROR(__xludf.DUMMYFUNCTION("""COMPUTED_VALUE"""),1.2055555555555555)</f>
        <v>1.205555556</v>
      </c>
      <c r="J437" s="21">
        <f>IFERROR(__xludf.DUMMYFUNCTION("""COMPUTED_VALUE"""),82.0)</f>
        <v>82</v>
      </c>
      <c r="K437" s="23">
        <f>IFERROR(__xludf.DUMMYFUNCTION("""COMPUTED_VALUE"""),8.3)</f>
        <v>8.3</v>
      </c>
      <c r="L437" s="24">
        <f>IFERROR(__xludf.DUMMYFUNCTION("""COMPUTED_VALUE"""),17.0)</f>
        <v>17</v>
      </c>
      <c r="M437" s="25" t="str">
        <f>IFERROR(__xludf.DUMMYFUNCTION("""COMPUTED_VALUE"""),"Action-Adventure")</f>
        <v>Action-Adventure</v>
      </c>
      <c r="N437" s="25"/>
      <c r="O437" s="26" t="str">
        <f>IFERROR(__xludf.DUMMYFUNCTION("""COMPUTED_VALUE"""),"No")</f>
        <v>No</v>
      </c>
      <c r="P437" s="26"/>
    </row>
    <row r="438">
      <c r="A438" s="13" t="str">
        <f>IFERROR(__xludf.DUMMYFUNCTION("""COMPUTED_VALUE"""),"Evil West")</f>
        <v>Evil West</v>
      </c>
      <c r="B438" s="15" t="str">
        <f>IFERROR(__xludf.DUMMYFUNCTION("""COMPUTED_VALUE"""),"PS5/PS4")</f>
        <v>PS5/PS4</v>
      </c>
      <c r="C438" s="16" t="str">
        <f>IFERROR(__xludf.DUMMYFUNCTION("""COMPUTED_VALUE"""),"Essential")</f>
        <v>Essential</v>
      </c>
      <c r="D438" s="15" t="str">
        <f>IFERROR(__xludf.DUMMYFUNCTION("""COMPUTED_VALUE"""),"Removed")</f>
        <v>Removed</v>
      </c>
      <c r="E438" s="17">
        <f>IFERROR(__xludf.DUMMYFUNCTION("""COMPUTED_VALUE"""),45293.0)</f>
        <v>45293</v>
      </c>
      <c r="F438" s="54">
        <f>IFERROR(__xludf.DUMMYFUNCTION("""COMPUTED_VALUE"""),45327.0)</f>
        <v>45327</v>
      </c>
      <c r="G438" s="19">
        <f>IFERROR(__xludf.DUMMYFUNCTION("""COMPUTED_VALUE"""),1.0999999999999999)</f>
        <v>1.1</v>
      </c>
      <c r="H438" s="17">
        <f>IFERROR(__xludf.DUMMYFUNCTION("""COMPUTED_VALUE"""),44887.0)</f>
        <v>44887</v>
      </c>
      <c r="I438" s="19">
        <f>IFERROR(__xludf.DUMMYFUNCTION("""COMPUTED_VALUE"""),1.1111111111111112)</f>
        <v>1.111111111</v>
      </c>
      <c r="J438" s="21">
        <f>IFERROR(__xludf.DUMMYFUNCTION("""COMPUTED_VALUE"""),73.0)</f>
        <v>73</v>
      </c>
      <c r="K438" s="23">
        <f>IFERROR(__xludf.DUMMYFUNCTION("""COMPUTED_VALUE"""),7.6)</f>
        <v>7.6</v>
      </c>
      <c r="L438" s="24">
        <f>IFERROR(__xludf.DUMMYFUNCTION("""COMPUTED_VALUE"""),11.0)</f>
        <v>11</v>
      </c>
      <c r="M438" s="25" t="str">
        <f>IFERROR(__xludf.DUMMYFUNCTION("""COMPUTED_VALUE"""),"Shooter")</f>
        <v>Shooter</v>
      </c>
      <c r="N438" s="25"/>
      <c r="O438" s="26" t="str">
        <f>IFERROR(__xludf.DUMMYFUNCTION("""COMPUTED_VALUE"""),"No")</f>
        <v>No</v>
      </c>
      <c r="P438" s="26"/>
    </row>
    <row r="439">
      <c r="A439" s="13" t="str">
        <f>IFERROR(__xludf.DUMMYFUNCTION("""COMPUTED_VALUE"""),"Nobody Saves the World")</f>
        <v>Nobody Saves the World</v>
      </c>
      <c r="B439" s="15" t="str">
        <f>IFERROR(__xludf.DUMMYFUNCTION("""COMPUTED_VALUE"""),"PS5/PS4")</f>
        <v>PS5/PS4</v>
      </c>
      <c r="C439" s="16" t="str">
        <f>IFERROR(__xludf.DUMMYFUNCTION("""COMPUTED_VALUE"""),"Essential")</f>
        <v>Essential</v>
      </c>
      <c r="D439" s="15" t="str">
        <f>IFERROR(__xludf.DUMMYFUNCTION("""COMPUTED_VALUE"""),"Removed")</f>
        <v>Removed</v>
      </c>
      <c r="E439" s="17">
        <f>IFERROR(__xludf.DUMMYFUNCTION("""COMPUTED_VALUE"""),45293.0)</f>
        <v>45293</v>
      </c>
      <c r="F439" s="54">
        <f>IFERROR(__xludf.DUMMYFUNCTION("""COMPUTED_VALUE"""),45327.0)</f>
        <v>45327</v>
      </c>
      <c r="G439" s="19">
        <f>IFERROR(__xludf.DUMMYFUNCTION("""COMPUTED_VALUE"""),1.0999999999999999)</f>
        <v>1.1</v>
      </c>
      <c r="H439" s="17">
        <f>IFERROR(__xludf.DUMMYFUNCTION("""COMPUTED_VALUE"""),44579.0)</f>
        <v>44579</v>
      </c>
      <c r="I439" s="19">
        <f>IFERROR(__xludf.DUMMYFUNCTION("""COMPUTED_VALUE"""),1.9555555555555555)</f>
        <v>1.955555556</v>
      </c>
      <c r="J439" s="21">
        <f>IFERROR(__xludf.DUMMYFUNCTION("""COMPUTED_VALUE"""),76.0)</f>
        <v>76</v>
      </c>
      <c r="K439" s="23">
        <f>IFERROR(__xludf.DUMMYFUNCTION("""COMPUTED_VALUE"""),7.1)</f>
        <v>7.1</v>
      </c>
      <c r="L439" s="24">
        <f>IFERROR(__xludf.DUMMYFUNCTION("""COMPUTED_VALUE"""),16.0)</f>
        <v>16</v>
      </c>
      <c r="M439" s="25" t="str">
        <f>IFERROR(__xludf.DUMMYFUNCTION("""COMPUTED_VALUE"""),"RPG")</f>
        <v>RPG</v>
      </c>
      <c r="N439" s="25"/>
      <c r="O439" s="26" t="str">
        <f>IFERROR(__xludf.DUMMYFUNCTION("""COMPUTED_VALUE"""),"No")</f>
        <v>No</v>
      </c>
      <c r="P439" s="26"/>
    </row>
    <row r="440">
      <c r="A440" s="13" t="str">
        <f>IFERROR(__xludf.DUMMYFUNCTION("""COMPUTED_VALUE"""),"It Takes Two")</f>
        <v>It Takes Two</v>
      </c>
      <c r="B440" s="15" t="str">
        <f>IFERROR(__xludf.DUMMYFUNCTION("""COMPUTED_VALUE"""),"PS5/PS4")</f>
        <v>PS5/PS4</v>
      </c>
      <c r="C440" s="16" t="str">
        <f>IFERROR(__xludf.DUMMYFUNCTION("""COMPUTED_VALUE"""),"Extra")</f>
        <v>Extra</v>
      </c>
      <c r="D440" s="15" t="str">
        <f>IFERROR(__xludf.DUMMYFUNCTION("""COMPUTED_VALUE"""),"Removed")</f>
        <v>Removed</v>
      </c>
      <c r="E440" s="17">
        <f>IFERROR(__xludf.DUMMYFUNCTION("""COMPUTED_VALUE"""),45125.0)</f>
        <v>45125</v>
      </c>
      <c r="F440" s="54">
        <f>IFERROR(__xludf.DUMMYFUNCTION("""COMPUTED_VALUE"""),45306.0)</f>
        <v>45306</v>
      </c>
      <c r="G440" s="19">
        <f>IFERROR(__xludf.DUMMYFUNCTION("""COMPUTED_VALUE"""),5.8999999999999995)</f>
        <v>5.9</v>
      </c>
      <c r="H440" s="17">
        <f>IFERROR(__xludf.DUMMYFUNCTION("""COMPUTED_VALUE"""),44281.0)</f>
        <v>44281</v>
      </c>
      <c r="I440" s="19">
        <f>IFERROR(__xludf.DUMMYFUNCTION("""COMPUTED_VALUE"""),2.311111111111111)</f>
        <v>2.311111111</v>
      </c>
      <c r="J440" s="21">
        <f>IFERROR(__xludf.DUMMYFUNCTION("""COMPUTED_VALUE"""),89.0)</f>
        <v>89</v>
      </c>
      <c r="K440" s="23">
        <f>IFERROR(__xludf.DUMMYFUNCTION("""COMPUTED_VALUE"""),8.9)</f>
        <v>8.9</v>
      </c>
      <c r="L440" s="24">
        <f>IFERROR(__xludf.DUMMYFUNCTION("""COMPUTED_VALUE"""),14.0)</f>
        <v>14</v>
      </c>
      <c r="M440" s="25" t="str">
        <f>IFERROR(__xludf.DUMMYFUNCTION("""COMPUTED_VALUE"""),"Action-Adventure")</f>
        <v>Action-Adventure</v>
      </c>
      <c r="N440" s="25"/>
      <c r="O440" s="26" t="str">
        <f>IFERROR(__xludf.DUMMYFUNCTION("""COMPUTED_VALUE"""),"No")</f>
        <v>No</v>
      </c>
      <c r="P440" s="26"/>
    </row>
    <row r="441">
      <c r="A441" s="13" t="str">
        <f>IFERROR(__xludf.DUMMYFUNCTION("""COMPUTED_VALUE"""),"Snowrunner")</f>
        <v>Snowrunner</v>
      </c>
      <c r="B441" s="15" t="str">
        <f>IFERROR(__xludf.DUMMYFUNCTION("""COMPUTED_VALUE"""),"PS5/PS4")</f>
        <v>PS5/PS4</v>
      </c>
      <c r="C441" s="16" t="str">
        <f>IFERROR(__xludf.DUMMYFUNCTION("""COMPUTED_VALUE"""),"Extra")</f>
        <v>Extra</v>
      </c>
      <c r="D441" s="15" t="str">
        <f>IFERROR(__xludf.DUMMYFUNCTION("""COMPUTED_VALUE"""),"Removed")</f>
        <v>Removed</v>
      </c>
      <c r="E441" s="17">
        <f>IFERROR(__xludf.DUMMYFUNCTION("""COMPUTED_VALUE"""),45125.0)</f>
        <v>45125</v>
      </c>
      <c r="F441" s="54">
        <f>IFERROR(__xludf.DUMMYFUNCTION("""COMPUTED_VALUE"""),45306.0)</f>
        <v>45306</v>
      </c>
      <c r="G441" s="19">
        <f>IFERROR(__xludf.DUMMYFUNCTION("""COMPUTED_VALUE"""),5.8999999999999995)</f>
        <v>5.9</v>
      </c>
      <c r="H441" s="17">
        <f>IFERROR(__xludf.DUMMYFUNCTION("""COMPUTED_VALUE"""),43949.0)</f>
        <v>43949</v>
      </c>
      <c r="I441" s="19">
        <f>IFERROR(__xludf.DUMMYFUNCTION("""COMPUTED_VALUE"""),3.2222222222222223)</f>
        <v>3.222222222</v>
      </c>
      <c r="J441" s="21">
        <f>IFERROR(__xludf.DUMMYFUNCTION("""COMPUTED_VALUE"""),81.0)</f>
        <v>81</v>
      </c>
      <c r="K441" s="23">
        <f>IFERROR(__xludf.DUMMYFUNCTION("""COMPUTED_VALUE"""),7.1)</f>
        <v>7.1</v>
      </c>
      <c r="L441" s="24">
        <f>IFERROR(__xludf.DUMMYFUNCTION("""COMPUTED_VALUE"""),93.0)</f>
        <v>93</v>
      </c>
      <c r="M441" s="25" t="str">
        <f>IFERROR(__xludf.DUMMYFUNCTION("""COMPUTED_VALUE"""),"Racing")</f>
        <v>Racing</v>
      </c>
      <c r="N441" s="25"/>
      <c r="O441" s="26" t="str">
        <f>IFERROR(__xludf.DUMMYFUNCTION("""COMPUTED_VALUE"""),"Yes")</f>
        <v>Yes</v>
      </c>
      <c r="P441" s="26"/>
    </row>
    <row r="442">
      <c r="A442" s="13" t="str">
        <f>IFERROR(__xludf.DUMMYFUNCTION("""COMPUTED_VALUE"""),"Devil May Cry 5: Special Edition")</f>
        <v>Devil May Cry 5: Special Edition</v>
      </c>
      <c r="B442" s="15" t="str">
        <f>IFERROR(__xludf.DUMMYFUNCTION("""COMPUTED_VALUE"""),"PS5/PS4")</f>
        <v>PS5/PS4</v>
      </c>
      <c r="C442" s="16" t="str">
        <f>IFERROR(__xludf.DUMMYFUNCTION("""COMPUTED_VALUE"""),"Extra")</f>
        <v>Extra</v>
      </c>
      <c r="D442" s="15" t="str">
        <f>IFERROR(__xludf.DUMMYFUNCTION("""COMPUTED_VALUE"""),"Removed")</f>
        <v>Removed</v>
      </c>
      <c r="E442" s="17">
        <f>IFERROR(__xludf.DUMMYFUNCTION("""COMPUTED_VALUE"""),44943.0)</f>
        <v>44943</v>
      </c>
      <c r="F442" s="54">
        <f>IFERROR(__xludf.DUMMYFUNCTION("""COMPUTED_VALUE"""),45306.0)</f>
        <v>45306</v>
      </c>
      <c r="G442" s="19">
        <f>IFERROR(__xludf.DUMMYFUNCTION("""COMPUTED_VALUE"""),11.933333333333334)</f>
        <v>11.93333333</v>
      </c>
      <c r="H442" s="17">
        <f>IFERROR(__xludf.DUMMYFUNCTION("""COMPUTED_VALUE"""),43532.0)</f>
        <v>43532</v>
      </c>
      <c r="I442" s="19">
        <f>IFERROR(__xludf.DUMMYFUNCTION("""COMPUTED_VALUE"""),3.8583333333333334)</f>
        <v>3.858333333</v>
      </c>
      <c r="J442" s="21">
        <f>IFERROR(__xludf.DUMMYFUNCTION("""COMPUTED_VALUE"""),88.0)</f>
        <v>88</v>
      </c>
      <c r="K442" s="23">
        <f>IFERROR(__xludf.DUMMYFUNCTION("""COMPUTED_VALUE"""),8.4)</f>
        <v>8.4</v>
      </c>
      <c r="L442" s="24">
        <f>IFERROR(__xludf.DUMMYFUNCTION("""COMPUTED_VALUE"""),11.0)</f>
        <v>11</v>
      </c>
      <c r="M442" s="25" t="str">
        <f>IFERROR(__xludf.DUMMYFUNCTION("""COMPUTED_VALUE"""),"Action-Adventure")</f>
        <v>Action-Adventure</v>
      </c>
      <c r="N442" s="25" t="str">
        <f>IFERROR(__xludf.DUMMYFUNCTION("""COMPUTED_VALUE"""),"PS4 gets the base version")</f>
        <v>PS4 gets the base version</v>
      </c>
      <c r="O442" s="26" t="str">
        <f>IFERROR(__xludf.DUMMYFUNCTION("""COMPUTED_VALUE"""),"Yes")</f>
        <v>Yes</v>
      </c>
      <c r="P442" s="26"/>
    </row>
    <row r="443">
      <c r="A443" s="13" t="str">
        <f>IFERROR(__xludf.DUMMYFUNCTION("""COMPUTED_VALUE"""),"JETT: The Far Shore")</f>
        <v>JETT: The Far Shore</v>
      </c>
      <c r="B443" s="15" t="str">
        <f>IFERROR(__xludf.DUMMYFUNCTION("""COMPUTED_VALUE"""),"PS5/PS4")</f>
        <v>PS5/PS4</v>
      </c>
      <c r="C443" s="16" t="str">
        <f>IFERROR(__xludf.DUMMYFUNCTION("""COMPUTED_VALUE"""),"Extra")</f>
        <v>Extra</v>
      </c>
      <c r="D443" s="15" t="str">
        <f>IFERROR(__xludf.DUMMYFUNCTION("""COMPUTED_VALUE"""),"Removed")</f>
        <v>Removed</v>
      </c>
      <c r="E443" s="17">
        <f>IFERROR(__xludf.DUMMYFUNCTION("""COMPUTED_VALUE"""),44943.0)</f>
        <v>44943</v>
      </c>
      <c r="F443" s="54">
        <f>IFERROR(__xludf.DUMMYFUNCTION("""COMPUTED_VALUE"""),45306.0)</f>
        <v>45306</v>
      </c>
      <c r="G443" s="19">
        <f>IFERROR(__xludf.DUMMYFUNCTION("""COMPUTED_VALUE"""),11.933333333333334)</f>
        <v>11.93333333</v>
      </c>
      <c r="H443" s="17">
        <f>IFERROR(__xludf.DUMMYFUNCTION("""COMPUTED_VALUE"""),44474.0)</f>
        <v>44474</v>
      </c>
      <c r="I443" s="19">
        <f>IFERROR(__xludf.DUMMYFUNCTION("""COMPUTED_VALUE"""),1.2833333333333334)</f>
        <v>1.283333333</v>
      </c>
      <c r="J443" s="21">
        <f>IFERROR(__xludf.DUMMYFUNCTION("""COMPUTED_VALUE"""),61.0)</f>
        <v>61</v>
      </c>
      <c r="K443" s="23">
        <f>IFERROR(__xludf.DUMMYFUNCTION("""COMPUTED_VALUE"""),3.8)</f>
        <v>3.8</v>
      </c>
      <c r="L443" s="24">
        <f>IFERROR(__xludf.DUMMYFUNCTION("""COMPUTED_VALUE"""),9.0)</f>
        <v>9</v>
      </c>
      <c r="M443" s="25" t="str">
        <f>IFERROR(__xludf.DUMMYFUNCTION("""COMPUTED_VALUE"""),"Action-Adventure")</f>
        <v>Action-Adventure</v>
      </c>
      <c r="N443" s="25"/>
      <c r="O443" s="26" t="str">
        <f>IFERROR(__xludf.DUMMYFUNCTION("""COMPUTED_VALUE"""),"Yes")</f>
        <v>Yes</v>
      </c>
      <c r="P443" s="26"/>
    </row>
    <row r="444">
      <c r="A444" s="13" t="str">
        <f>IFERROR(__xludf.DUMMYFUNCTION("""COMPUTED_VALUE"""),"OMNO")</f>
        <v>OMNO</v>
      </c>
      <c r="B444" s="15" t="str">
        <f>IFERROR(__xludf.DUMMYFUNCTION("""COMPUTED_VALUE"""),"PS4")</f>
        <v>PS4</v>
      </c>
      <c r="C444" s="16" t="str">
        <f>IFERROR(__xludf.DUMMYFUNCTION("""COMPUTED_VALUE"""),"Extra")</f>
        <v>Extra</v>
      </c>
      <c r="D444" s="15" t="str">
        <f>IFERROR(__xludf.DUMMYFUNCTION("""COMPUTED_VALUE"""),"Removed")</f>
        <v>Removed</v>
      </c>
      <c r="E444" s="17">
        <f>IFERROR(__xludf.DUMMYFUNCTION("""COMPUTED_VALUE"""),44943.0)</f>
        <v>44943</v>
      </c>
      <c r="F444" s="54">
        <f>IFERROR(__xludf.DUMMYFUNCTION("""COMPUTED_VALUE"""),45306.0)</f>
        <v>45306</v>
      </c>
      <c r="G444" s="19">
        <f>IFERROR(__xludf.DUMMYFUNCTION("""COMPUTED_VALUE"""),11.933333333333334)</f>
        <v>11.93333333</v>
      </c>
      <c r="H444" s="17">
        <f>IFERROR(__xludf.DUMMYFUNCTION("""COMPUTED_VALUE"""),44406.0)</f>
        <v>44406</v>
      </c>
      <c r="I444" s="19">
        <f>IFERROR(__xludf.DUMMYFUNCTION("""COMPUTED_VALUE"""),1.4666666666666666)</f>
        <v>1.466666667</v>
      </c>
      <c r="J444" s="21">
        <f>IFERROR(__xludf.DUMMYFUNCTION("""COMPUTED_VALUE"""),82.0)</f>
        <v>82</v>
      </c>
      <c r="K444" s="23">
        <f>IFERROR(__xludf.DUMMYFUNCTION("""COMPUTED_VALUE"""),6.7)</f>
        <v>6.7</v>
      </c>
      <c r="L444" s="24">
        <f>IFERROR(__xludf.DUMMYFUNCTION("""COMPUTED_VALUE"""),4.0)</f>
        <v>4</v>
      </c>
      <c r="M444" s="25" t="str">
        <f>IFERROR(__xludf.DUMMYFUNCTION("""COMPUTED_VALUE"""),"Action-Adventure")</f>
        <v>Action-Adventure</v>
      </c>
      <c r="N444" s="25"/>
      <c r="O444" s="26" t="str">
        <f>IFERROR(__xludf.DUMMYFUNCTION("""COMPUTED_VALUE"""),"Yes")</f>
        <v>Yes</v>
      </c>
      <c r="P444" s="26"/>
    </row>
    <row r="445">
      <c r="A445" s="13" t="str">
        <f>IFERROR(__xludf.DUMMYFUNCTION("""COMPUTED_VALUE"""),"Pillars of Eternity II: Deadfire - Ultimate Edition")</f>
        <v>Pillars of Eternity II: Deadfire - Ultimate Edition</v>
      </c>
      <c r="B445" s="15" t="str">
        <f>IFERROR(__xludf.DUMMYFUNCTION("""COMPUTED_VALUE"""),"PS4")</f>
        <v>PS4</v>
      </c>
      <c r="C445" s="16" t="str">
        <f>IFERROR(__xludf.DUMMYFUNCTION("""COMPUTED_VALUE"""),"Extra")</f>
        <v>Extra</v>
      </c>
      <c r="D445" s="15" t="str">
        <f>IFERROR(__xludf.DUMMYFUNCTION("""COMPUTED_VALUE"""),"Removed")</f>
        <v>Removed</v>
      </c>
      <c r="E445" s="17">
        <f>IFERROR(__xludf.DUMMYFUNCTION("""COMPUTED_VALUE"""),44915.0)</f>
        <v>44915</v>
      </c>
      <c r="F445" s="54">
        <f>IFERROR(__xludf.DUMMYFUNCTION("""COMPUTED_VALUE"""),45306.0)</f>
        <v>45306</v>
      </c>
      <c r="G445" s="19">
        <f>IFERROR(__xludf.DUMMYFUNCTION("""COMPUTED_VALUE"""),12.833333333333332)</f>
        <v>12.83333333</v>
      </c>
      <c r="H445" s="17">
        <f>IFERROR(__xludf.DUMMYFUNCTION("""COMPUTED_VALUE"""),43858.0)</f>
        <v>43858</v>
      </c>
      <c r="I445" s="19">
        <f>IFERROR(__xludf.DUMMYFUNCTION("""COMPUTED_VALUE"""),2.8944444444444444)</f>
        <v>2.894444444</v>
      </c>
      <c r="J445" s="21">
        <f>IFERROR(__xludf.DUMMYFUNCTION("""COMPUTED_VALUE"""),76.0)</f>
        <v>76</v>
      </c>
      <c r="K445" s="23">
        <f>IFERROR(__xludf.DUMMYFUNCTION("""COMPUTED_VALUE"""),4.5)</f>
        <v>4.5</v>
      </c>
      <c r="L445" s="24">
        <f>IFERROR(__xludf.DUMMYFUNCTION("""COMPUTED_VALUE"""),70.0)</f>
        <v>70</v>
      </c>
      <c r="M445" s="25" t="str">
        <f>IFERROR(__xludf.DUMMYFUNCTION("""COMPUTED_VALUE"""),"RPG")</f>
        <v>RPG</v>
      </c>
      <c r="N445" s="25"/>
      <c r="O445" s="26" t="str">
        <f>IFERROR(__xludf.DUMMYFUNCTION("""COMPUTED_VALUE"""),"Yes")</f>
        <v>Yes</v>
      </c>
      <c r="P445" s="26"/>
    </row>
    <row r="446">
      <c r="A446" s="13" t="str">
        <f>IFERROR(__xludf.DUMMYFUNCTION("""COMPUTED_VALUE"""),"Mitsurugi Kamui Hikae")</f>
        <v>Mitsurugi Kamui Hikae</v>
      </c>
      <c r="B446" s="15" t="str">
        <f>IFERROR(__xludf.DUMMYFUNCTION("""COMPUTED_VALUE"""),"PS4")</f>
        <v>PS4</v>
      </c>
      <c r="C446" s="16" t="str">
        <f>IFERROR(__xludf.DUMMYFUNCTION("""COMPUTED_VALUE"""),"Extra")</f>
        <v>Extra</v>
      </c>
      <c r="D446" s="15" t="str">
        <f>IFERROR(__xludf.DUMMYFUNCTION("""COMPUTED_VALUE"""),"Removed")</f>
        <v>Removed</v>
      </c>
      <c r="E446" s="17">
        <f>IFERROR(__xludf.DUMMYFUNCTION("""COMPUTED_VALUE"""),44725.0)</f>
        <v>44725</v>
      </c>
      <c r="F446" s="54">
        <f>IFERROR(__xludf.DUMMYFUNCTION("""COMPUTED_VALUE"""),45306.0)</f>
        <v>45306</v>
      </c>
      <c r="G446" s="19">
        <f>IFERROR(__xludf.DUMMYFUNCTION("""COMPUTED_VALUE"""),19.066666666666666)</f>
        <v>19.06666667</v>
      </c>
      <c r="H446" s="17">
        <f>IFERROR(__xludf.DUMMYFUNCTION("""COMPUTED_VALUE"""),42401.0)</f>
        <v>42401</v>
      </c>
      <c r="I446" s="19">
        <f>IFERROR(__xludf.DUMMYFUNCTION("""COMPUTED_VALUE"""),6.366666666666666)</f>
        <v>6.366666667</v>
      </c>
      <c r="J446" s="21">
        <f>IFERROR(__xludf.DUMMYFUNCTION("""COMPUTED_VALUE"""),61.0)</f>
        <v>61</v>
      </c>
      <c r="K446" s="23">
        <f>IFERROR(__xludf.DUMMYFUNCTION("""COMPUTED_VALUE"""),6.2)</f>
        <v>6.2</v>
      </c>
      <c r="L446" s="24">
        <f>IFERROR(__xludf.DUMMYFUNCTION("""COMPUTED_VALUE"""),3.0)</f>
        <v>3</v>
      </c>
      <c r="M446" s="25" t="str">
        <f>IFERROR(__xludf.DUMMYFUNCTION("""COMPUTED_VALUE"""),"Action-Adventure")</f>
        <v>Action-Adventure</v>
      </c>
      <c r="N446" s="25"/>
      <c r="O446" s="26" t="str">
        <f>IFERROR(__xludf.DUMMYFUNCTION("""COMPUTED_VALUE"""),"Yes")</f>
        <v>Yes</v>
      </c>
      <c r="P446" s="26"/>
    </row>
    <row r="447">
      <c r="A447" s="13" t="str">
        <f>IFERROR(__xludf.DUMMYFUNCTION("""COMPUTED_VALUE"""),"The Missing: J.J. Macfield and the Island of Memories")</f>
        <v>The Missing: J.J. Macfield and the Island of Memories</v>
      </c>
      <c r="B447" s="15" t="str">
        <f>IFERROR(__xludf.DUMMYFUNCTION("""COMPUTED_VALUE"""),"PS4")</f>
        <v>PS4</v>
      </c>
      <c r="C447" s="16" t="str">
        <f>IFERROR(__xludf.DUMMYFUNCTION("""COMPUTED_VALUE"""),"Extra")</f>
        <v>Extra</v>
      </c>
      <c r="D447" s="15" t="str">
        <f>IFERROR(__xludf.DUMMYFUNCTION("""COMPUTED_VALUE"""),"Removed")</f>
        <v>Removed</v>
      </c>
      <c r="E447" s="17">
        <f>IFERROR(__xludf.DUMMYFUNCTION("""COMPUTED_VALUE"""),44725.0)</f>
        <v>44725</v>
      </c>
      <c r="F447" s="54">
        <f>IFERROR(__xludf.DUMMYFUNCTION("""COMPUTED_VALUE"""),45306.0)</f>
        <v>45306</v>
      </c>
      <c r="G447" s="19">
        <f>IFERROR(__xludf.DUMMYFUNCTION("""COMPUTED_VALUE"""),19.066666666666666)</f>
        <v>19.06666667</v>
      </c>
      <c r="H447" s="17">
        <f>IFERROR(__xludf.DUMMYFUNCTION("""COMPUTED_VALUE"""),43384.0)</f>
        <v>43384</v>
      </c>
      <c r="I447" s="19">
        <f>IFERROR(__xludf.DUMMYFUNCTION("""COMPUTED_VALUE"""),3.672222222222222)</f>
        <v>3.672222222</v>
      </c>
      <c r="J447" s="21">
        <f>IFERROR(__xludf.DUMMYFUNCTION("""COMPUTED_VALUE"""),79.0)</f>
        <v>79</v>
      </c>
      <c r="K447" s="23">
        <f>IFERROR(__xludf.DUMMYFUNCTION("""COMPUTED_VALUE"""),7.4)</f>
        <v>7.4</v>
      </c>
      <c r="L447" s="24">
        <f>IFERROR(__xludf.DUMMYFUNCTION("""COMPUTED_VALUE"""),5.0)</f>
        <v>5</v>
      </c>
      <c r="M447" s="25" t="str">
        <f>IFERROR(__xludf.DUMMYFUNCTION("""COMPUTED_VALUE"""),"Action-Adventure")</f>
        <v>Action-Adventure</v>
      </c>
      <c r="N447" s="25"/>
      <c r="O447" s="26" t="str">
        <f>IFERROR(__xludf.DUMMYFUNCTION("""COMPUTED_VALUE"""),"No")</f>
        <v>No</v>
      </c>
      <c r="P447" s="26"/>
    </row>
    <row r="448">
      <c r="A448" s="13" t="str">
        <f>IFERROR(__xludf.DUMMYFUNCTION("""COMPUTED_VALUE"""),"Sable")</f>
        <v>Sable</v>
      </c>
      <c r="B448" s="15" t="str">
        <f>IFERROR(__xludf.DUMMYFUNCTION("""COMPUTED_VALUE"""),"PS5")</f>
        <v>PS5</v>
      </c>
      <c r="C448" s="16" t="str">
        <f>IFERROR(__xludf.DUMMYFUNCTION("""COMPUTED_VALUE"""),"Essential")</f>
        <v>Essential</v>
      </c>
      <c r="D448" s="15" t="str">
        <f>IFERROR(__xludf.DUMMYFUNCTION("""COMPUTED_VALUE"""),"Removed")</f>
        <v>Removed</v>
      </c>
      <c r="E448" s="17">
        <f>IFERROR(__xludf.DUMMYFUNCTION("""COMPUTED_VALUE"""),45265.0)</f>
        <v>45265</v>
      </c>
      <c r="F448" s="54">
        <f>IFERROR(__xludf.DUMMYFUNCTION("""COMPUTED_VALUE"""),45292.0)</f>
        <v>45292</v>
      </c>
      <c r="G448" s="19">
        <f>IFERROR(__xludf.DUMMYFUNCTION("""COMPUTED_VALUE"""),0.8666666666666666)</f>
        <v>0.8666666667</v>
      </c>
      <c r="H448" s="17">
        <f>IFERROR(__xludf.DUMMYFUNCTION("""COMPUTED_VALUE"""),44462.0)</f>
        <v>44462</v>
      </c>
      <c r="I448" s="19">
        <f>IFERROR(__xludf.DUMMYFUNCTION("""COMPUTED_VALUE"""),2.2)</f>
        <v>2.2</v>
      </c>
      <c r="J448" s="21">
        <f>IFERROR(__xludf.DUMMYFUNCTION("""COMPUTED_VALUE"""),75.0)</f>
        <v>75</v>
      </c>
      <c r="K448" s="23">
        <f>IFERROR(__xludf.DUMMYFUNCTION("""COMPUTED_VALUE"""),7.0)</f>
        <v>7</v>
      </c>
      <c r="L448" s="24">
        <f>IFERROR(__xludf.DUMMYFUNCTION("""COMPUTED_VALUE"""),8.0)</f>
        <v>8</v>
      </c>
      <c r="M448" s="25" t="str">
        <f>IFERROR(__xludf.DUMMYFUNCTION("""COMPUTED_VALUE"""),"Action-Adventure")</f>
        <v>Action-Adventure</v>
      </c>
      <c r="N448" s="25"/>
      <c r="O448" s="26" t="str">
        <f>IFERROR(__xludf.DUMMYFUNCTION("""COMPUTED_VALUE"""),"No")</f>
        <v>No</v>
      </c>
      <c r="P448" s="26"/>
    </row>
    <row r="449">
      <c r="A449" s="13" t="str">
        <f>IFERROR(__xludf.DUMMYFUNCTION("""COMPUTED_VALUE"""),"Lego 2K Drive")</f>
        <v>Lego 2K Drive</v>
      </c>
      <c r="B449" s="15" t="str">
        <f>IFERROR(__xludf.DUMMYFUNCTION("""COMPUTED_VALUE"""),"PS5/PS4")</f>
        <v>PS5/PS4</v>
      </c>
      <c r="C449" s="16" t="str">
        <f>IFERROR(__xludf.DUMMYFUNCTION("""COMPUTED_VALUE"""),"Essential")</f>
        <v>Essential</v>
      </c>
      <c r="D449" s="15" t="str">
        <f>IFERROR(__xludf.DUMMYFUNCTION("""COMPUTED_VALUE"""),"Removed")</f>
        <v>Removed</v>
      </c>
      <c r="E449" s="17">
        <f>IFERROR(__xludf.DUMMYFUNCTION("""COMPUTED_VALUE"""),45265.0)</f>
        <v>45265</v>
      </c>
      <c r="F449" s="54">
        <f>IFERROR(__xludf.DUMMYFUNCTION("""COMPUTED_VALUE"""),45292.0)</f>
        <v>45292</v>
      </c>
      <c r="G449" s="19">
        <f>IFERROR(__xludf.DUMMYFUNCTION("""COMPUTED_VALUE"""),0.8666666666666666)</f>
        <v>0.8666666667</v>
      </c>
      <c r="H449" s="17">
        <f>IFERROR(__xludf.DUMMYFUNCTION("""COMPUTED_VALUE"""),45062.0)</f>
        <v>45062</v>
      </c>
      <c r="I449" s="19">
        <f>IFERROR(__xludf.DUMMYFUNCTION("""COMPUTED_VALUE"""),0.5527777777777778)</f>
        <v>0.5527777778</v>
      </c>
      <c r="J449" s="21">
        <f>IFERROR(__xludf.DUMMYFUNCTION("""COMPUTED_VALUE"""),73.0)</f>
        <v>73</v>
      </c>
      <c r="K449" s="23">
        <f>IFERROR(__xludf.DUMMYFUNCTION("""COMPUTED_VALUE"""),5.5)</f>
        <v>5.5</v>
      </c>
      <c r="L449" s="24">
        <f>IFERROR(__xludf.DUMMYFUNCTION("""COMPUTED_VALUE"""),9.0)</f>
        <v>9</v>
      </c>
      <c r="M449" s="25" t="str">
        <f>IFERROR(__xludf.DUMMYFUNCTION("""COMPUTED_VALUE"""),"Racing")</f>
        <v>Racing</v>
      </c>
      <c r="N449" s="25"/>
      <c r="O449" s="26" t="str">
        <f>IFERROR(__xludf.DUMMYFUNCTION("""COMPUTED_VALUE"""),"No")</f>
        <v>No</v>
      </c>
      <c r="P449" s="26"/>
    </row>
    <row r="450">
      <c r="A450" s="13" t="str">
        <f>IFERROR(__xludf.DUMMYFUNCTION("""COMPUTED_VALUE"""),"Powerwash Simulator")</f>
        <v>Powerwash Simulator</v>
      </c>
      <c r="B450" s="15" t="str">
        <f>IFERROR(__xludf.DUMMYFUNCTION("""COMPUTED_VALUE"""),"PS5/PS4")</f>
        <v>PS5/PS4</v>
      </c>
      <c r="C450" s="16" t="str">
        <f>IFERROR(__xludf.DUMMYFUNCTION("""COMPUTED_VALUE"""),"Essential")</f>
        <v>Essential</v>
      </c>
      <c r="D450" s="15" t="str">
        <f>IFERROR(__xludf.DUMMYFUNCTION("""COMPUTED_VALUE"""),"Removed")</f>
        <v>Removed</v>
      </c>
      <c r="E450" s="17">
        <f>IFERROR(__xludf.DUMMYFUNCTION("""COMPUTED_VALUE"""),45265.0)</f>
        <v>45265</v>
      </c>
      <c r="F450" s="54">
        <f>IFERROR(__xludf.DUMMYFUNCTION("""COMPUTED_VALUE"""),45292.0)</f>
        <v>45292</v>
      </c>
      <c r="G450" s="19">
        <f>IFERROR(__xludf.DUMMYFUNCTION("""COMPUTED_VALUE"""),0.8666666666666666)</f>
        <v>0.8666666667</v>
      </c>
      <c r="H450" s="17">
        <f>IFERROR(__xludf.DUMMYFUNCTION("""COMPUTED_VALUE"""),44335.0)</f>
        <v>44335</v>
      </c>
      <c r="I450" s="19">
        <f>IFERROR(__xludf.DUMMYFUNCTION("""COMPUTED_VALUE"""),2.5444444444444443)</f>
        <v>2.544444444</v>
      </c>
      <c r="J450" s="21">
        <f>IFERROR(__xludf.DUMMYFUNCTION("""COMPUTED_VALUE"""),75.0)</f>
        <v>75</v>
      </c>
      <c r="K450" s="23">
        <f>IFERROR(__xludf.DUMMYFUNCTION("""COMPUTED_VALUE"""),6.6)</f>
        <v>6.6</v>
      </c>
      <c r="L450" s="24">
        <f>IFERROR(__xludf.DUMMYFUNCTION("""COMPUTED_VALUE"""),37.0)</f>
        <v>37</v>
      </c>
      <c r="M450" s="25" t="str">
        <f>IFERROR(__xludf.DUMMYFUNCTION("""COMPUTED_VALUE"""),"Simulation")</f>
        <v>Simulation</v>
      </c>
      <c r="N450" s="25"/>
      <c r="O450" s="26" t="str">
        <f>IFERROR(__xludf.DUMMYFUNCTION("""COMPUTED_VALUE"""),"No")</f>
        <v>No</v>
      </c>
      <c r="P450" s="26"/>
    </row>
    <row r="451">
      <c r="A451" s="13" t="str">
        <f>IFERROR(__xludf.DUMMYFUNCTION("""COMPUTED_VALUE"""),"Back 4 Blood")</f>
        <v>Back 4 Blood</v>
      </c>
      <c r="B451" s="15" t="str">
        <f>IFERROR(__xludf.DUMMYFUNCTION("""COMPUTED_VALUE"""),"PS5/PS4")</f>
        <v>PS5/PS4</v>
      </c>
      <c r="C451" s="16" t="str">
        <f>IFERROR(__xludf.DUMMYFUNCTION("""COMPUTED_VALUE"""),"Extra")</f>
        <v>Extra</v>
      </c>
      <c r="D451" s="15" t="str">
        <f>IFERROR(__xludf.DUMMYFUNCTION("""COMPUTED_VALUE"""),"Removed")</f>
        <v>Removed</v>
      </c>
      <c r="E451" s="17">
        <f>IFERROR(__xludf.DUMMYFUNCTION("""COMPUTED_VALUE"""),44943.0)</f>
        <v>44943</v>
      </c>
      <c r="F451" s="54">
        <f>IFERROR(__xludf.DUMMYFUNCTION("""COMPUTED_VALUE"""),45278.0)</f>
        <v>45278</v>
      </c>
      <c r="G451" s="19">
        <f>IFERROR(__xludf.DUMMYFUNCTION("""COMPUTED_VALUE"""),11.033333333333333)</f>
        <v>11.03333333</v>
      </c>
      <c r="H451" s="17">
        <f>IFERROR(__xludf.DUMMYFUNCTION("""COMPUTED_VALUE"""),44476.0)</f>
        <v>44476</v>
      </c>
      <c r="I451" s="19">
        <f>IFERROR(__xludf.DUMMYFUNCTION("""COMPUTED_VALUE"""),1.2777777777777777)</f>
        <v>1.277777778</v>
      </c>
      <c r="J451" s="21">
        <f>IFERROR(__xludf.DUMMYFUNCTION("""COMPUTED_VALUE"""),75.0)</f>
        <v>75</v>
      </c>
      <c r="K451" s="23">
        <f>IFERROR(__xludf.DUMMYFUNCTION("""COMPUTED_VALUE"""),3.7)</f>
        <v>3.7</v>
      </c>
      <c r="L451" s="24">
        <f>IFERROR(__xludf.DUMMYFUNCTION("""COMPUTED_VALUE"""),12.0)</f>
        <v>12</v>
      </c>
      <c r="M451" s="25" t="str">
        <f>IFERROR(__xludf.DUMMYFUNCTION("""COMPUTED_VALUE"""),"Shooter")</f>
        <v>Shooter</v>
      </c>
      <c r="N451" s="25"/>
      <c r="O451" s="26" t="str">
        <f>IFERROR(__xludf.DUMMYFUNCTION("""COMPUTED_VALUE"""),"Yes")</f>
        <v>Yes</v>
      </c>
      <c r="P451" s="26"/>
    </row>
    <row r="452">
      <c r="A452" s="13" t="str">
        <f>IFERROR(__xludf.DUMMYFUNCTION("""COMPUTED_VALUE"""),"Middle-Earth: Shadow of Mordor")</f>
        <v>Middle-Earth: Shadow of Mordor</v>
      </c>
      <c r="B452" s="15" t="str">
        <f>IFERROR(__xludf.DUMMYFUNCTION("""COMPUTED_VALUE"""),"PS4")</f>
        <v>PS4</v>
      </c>
      <c r="C452" s="16" t="str">
        <f>IFERROR(__xludf.DUMMYFUNCTION("""COMPUTED_VALUE"""),"Extra")</f>
        <v>Extra</v>
      </c>
      <c r="D452" s="15" t="str">
        <f>IFERROR(__xludf.DUMMYFUNCTION("""COMPUTED_VALUE"""),"Removed")</f>
        <v>Removed</v>
      </c>
      <c r="E452" s="17">
        <f>IFERROR(__xludf.DUMMYFUNCTION("""COMPUTED_VALUE"""),44915.0)</f>
        <v>44915</v>
      </c>
      <c r="F452" s="54">
        <f>IFERROR(__xludf.DUMMYFUNCTION("""COMPUTED_VALUE"""),45278.0)</f>
        <v>45278</v>
      </c>
      <c r="G452" s="19">
        <f>IFERROR(__xludf.DUMMYFUNCTION("""COMPUTED_VALUE"""),11.933333333333334)</f>
        <v>11.93333333</v>
      </c>
      <c r="H452" s="17">
        <f>IFERROR(__xludf.DUMMYFUNCTION("""COMPUTED_VALUE"""),41912.0)</f>
        <v>41912</v>
      </c>
      <c r="I452" s="19">
        <f>IFERROR(__xludf.DUMMYFUNCTION("""COMPUTED_VALUE"""),8.222222222222221)</f>
        <v>8.222222222</v>
      </c>
      <c r="J452" s="21">
        <f>IFERROR(__xludf.DUMMYFUNCTION("""COMPUTED_VALUE"""),84.0)</f>
        <v>84</v>
      </c>
      <c r="K452" s="23">
        <f>IFERROR(__xludf.DUMMYFUNCTION("""COMPUTED_VALUE"""),8.0)</f>
        <v>8</v>
      </c>
      <c r="L452" s="24">
        <f>IFERROR(__xludf.DUMMYFUNCTION("""COMPUTED_VALUE"""),16.0)</f>
        <v>16</v>
      </c>
      <c r="M452" s="25" t="str">
        <f>IFERROR(__xludf.DUMMYFUNCTION("""COMPUTED_VALUE"""),"RPG")</f>
        <v>RPG</v>
      </c>
      <c r="N452" s="25"/>
      <c r="O452" s="26" t="str">
        <f>IFERROR(__xludf.DUMMYFUNCTION("""COMPUTED_VALUE"""),"Yes")</f>
        <v>Yes</v>
      </c>
      <c r="P452" s="26"/>
    </row>
    <row r="453">
      <c r="A453" s="13" t="str">
        <f>IFERROR(__xludf.DUMMYFUNCTION("""COMPUTED_VALUE"""),"Middle-Earth: Shadow of War")</f>
        <v>Middle-Earth: Shadow of War</v>
      </c>
      <c r="B453" s="15" t="str">
        <f>IFERROR(__xludf.DUMMYFUNCTION("""COMPUTED_VALUE"""),"PS4")</f>
        <v>PS4</v>
      </c>
      <c r="C453" s="16" t="str">
        <f>IFERROR(__xludf.DUMMYFUNCTION("""COMPUTED_VALUE"""),"Extra")</f>
        <v>Extra</v>
      </c>
      <c r="D453" s="15" t="str">
        <f>IFERROR(__xludf.DUMMYFUNCTION("""COMPUTED_VALUE"""),"Removed")</f>
        <v>Removed</v>
      </c>
      <c r="E453" s="17">
        <f>IFERROR(__xludf.DUMMYFUNCTION("""COMPUTED_VALUE"""),44915.0)</f>
        <v>44915</v>
      </c>
      <c r="F453" s="54">
        <f>IFERROR(__xludf.DUMMYFUNCTION("""COMPUTED_VALUE"""),45278.0)</f>
        <v>45278</v>
      </c>
      <c r="G453" s="19">
        <f>IFERROR(__xludf.DUMMYFUNCTION("""COMPUTED_VALUE"""),11.933333333333334)</f>
        <v>11.93333333</v>
      </c>
      <c r="H453" s="17">
        <f>IFERROR(__xludf.DUMMYFUNCTION("""COMPUTED_VALUE"""),43018.0)</f>
        <v>43018</v>
      </c>
      <c r="I453" s="19">
        <f>IFERROR(__xludf.DUMMYFUNCTION("""COMPUTED_VALUE"""),5.194444444444445)</f>
        <v>5.194444444</v>
      </c>
      <c r="J453" s="21">
        <f>IFERROR(__xludf.DUMMYFUNCTION("""COMPUTED_VALUE"""),80.0)</f>
        <v>80</v>
      </c>
      <c r="K453" s="23">
        <f>IFERROR(__xludf.DUMMYFUNCTION("""COMPUTED_VALUE"""),4.8)</f>
        <v>4.8</v>
      </c>
      <c r="L453" s="24">
        <f>IFERROR(__xludf.DUMMYFUNCTION("""COMPUTED_VALUE"""),21.0)</f>
        <v>21</v>
      </c>
      <c r="M453" s="25" t="str">
        <f>IFERROR(__xludf.DUMMYFUNCTION("""COMPUTED_VALUE"""),"RPG")</f>
        <v>RPG</v>
      </c>
      <c r="N453" s="25"/>
      <c r="O453" s="26" t="str">
        <f>IFERROR(__xludf.DUMMYFUNCTION("""COMPUTED_VALUE"""),"Yes")</f>
        <v>Yes</v>
      </c>
      <c r="P453" s="26"/>
    </row>
    <row r="454">
      <c r="A454" s="13" t="str">
        <f>IFERROR(__xludf.DUMMYFUNCTION("""COMPUTED_VALUE"""),"The Escapists 2")</f>
        <v>The Escapists 2</v>
      </c>
      <c r="B454" s="15" t="str">
        <f>IFERROR(__xludf.DUMMYFUNCTION("""COMPUTED_VALUE"""),"PS4")</f>
        <v>PS4</v>
      </c>
      <c r="C454" s="16" t="str">
        <f>IFERROR(__xludf.DUMMYFUNCTION("""COMPUTED_VALUE"""),"Extra")</f>
        <v>Extra</v>
      </c>
      <c r="D454" s="15" t="str">
        <f>IFERROR(__xludf.DUMMYFUNCTION("""COMPUTED_VALUE"""),"Removed")</f>
        <v>Removed</v>
      </c>
      <c r="E454" s="17">
        <f>IFERROR(__xludf.DUMMYFUNCTION("""COMPUTED_VALUE"""),44915.0)</f>
        <v>44915</v>
      </c>
      <c r="F454" s="54">
        <f>IFERROR(__xludf.DUMMYFUNCTION("""COMPUTED_VALUE"""),45278.0)</f>
        <v>45278</v>
      </c>
      <c r="G454" s="19">
        <f>IFERROR(__xludf.DUMMYFUNCTION("""COMPUTED_VALUE"""),11.933333333333334)</f>
        <v>11.93333333</v>
      </c>
      <c r="H454" s="17">
        <f>IFERROR(__xludf.DUMMYFUNCTION("""COMPUTED_VALUE"""),42969.0)</f>
        <v>42969</v>
      </c>
      <c r="I454" s="19">
        <f>IFERROR(__xludf.DUMMYFUNCTION("""COMPUTED_VALUE"""),5.3277777777777775)</f>
        <v>5.327777778</v>
      </c>
      <c r="J454" s="21">
        <f>IFERROR(__xludf.DUMMYFUNCTION("""COMPUTED_VALUE"""),75.0)</f>
        <v>75</v>
      </c>
      <c r="K454" s="23">
        <f>IFERROR(__xludf.DUMMYFUNCTION("""COMPUTED_VALUE"""),6.8)</f>
        <v>6.8</v>
      </c>
      <c r="L454" s="24">
        <f>IFERROR(__xludf.DUMMYFUNCTION("""COMPUTED_VALUE"""),17.0)</f>
        <v>17</v>
      </c>
      <c r="M454" s="25" t="str">
        <f>IFERROR(__xludf.DUMMYFUNCTION("""COMPUTED_VALUE"""),"Action-Adventure")</f>
        <v>Action-Adventure</v>
      </c>
      <c r="N454" s="25"/>
      <c r="O454" s="26" t="str">
        <f>IFERROR(__xludf.DUMMYFUNCTION("""COMPUTED_VALUE"""),"Yes")</f>
        <v>Yes</v>
      </c>
      <c r="P454" s="26"/>
    </row>
    <row r="455">
      <c r="A455" s="13" t="str">
        <f>IFERROR(__xludf.DUMMYFUNCTION("""COMPUTED_VALUE"""),"Yakuza 6: The Song of Life")</f>
        <v>Yakuza 6: The Song of Life</v>
      </c>
      <c r="B455" s="15" t="str">
        <f>IFERROR(__xludf.DUMMYFUNCTION("""COMPUTED_VALUE"""),"PS4")</f>
        <v>PS4</v>
      </c>
      <c r="C455" s="16" t="str">
        <f>IFERROR(__xludf.DUMMYFUNCTION("""COMPUTED_VALUE"""),"Extra")</f>
        <v>Extra</v>
      </c>
      <c r="D455" s="15" t="str">
        <f>IFERROR(__xludf.DUMMYFUNCTION("""COMPUTED_VALUE"""),"Removed")</f>
        <v>Removed</v>
      </c>
      <c r="E455" s="17">
        <f>IFERROR(__xludf.DUMMYFUNCTION("""COMPUTED_VALUE"""),44915.0)</f>
        <v>44915</v>
      </c>
      <c r="F455" s="54">
        <f>IFERROR(__xludf.DUMMYFUNCTION("""COMPUTED_VALUE"""),45278.0)</f>
        <v>45278</v>
      </c>
      <c r="G455" s="19">
        <f>IFERROR(__xludf.DUMMYFUNCTION("""COMPUTED_VALUE"""),11.933333333333334)</f>
        <v>11.93333333</v>
      </c>
      <c r="H455" s="17">
        <f>IFERROR(__xludf.DUMMYFUNCTION("""COMPUTED_VALUE"""),42705.0)</f>
        <v>42705</v>
      </c>
      <c r="I455" s="19">
        <f>IFERROR(__xludf.DUMMYFUNCTION("""COMPUTED_VALUE"""),6.052777777777778)</f>
        <v>6.052777778</v>
      </c>
      <c r="J455" s="21">
        <f>IFERROR(__xludf.DUMMYFUNCTION("""COMPUTED_VALUE"""),83.0)</f>
        <v>83</v>
      </c>
      <c r="K455" s="23">
        <f>IFERROR(__xludf.DUMMYFUNCTION("""COMPUTED_VALUE"""),8.4)</f>
        <v>8.4</v>
      </c>
      <c r="L455" s="24">
        <f>IFERROR(__xludf.DUMMYFUNCTION("""COMPUTED_VALUE"""),18.5)</f>
        <v>18.5</v>
      </c>
      <c r="M455" s="25" t="str">
        <f>IFERROR(__xludf.DUMMYFUNCTION("""COMPUTED_VALUE"""),"RPG")</f>
        <v>RPG</v>
      </c>
      <c r="N455" s="25"/>
      <c r="O455" s="26" t="str">
        <f>IFERROR(__xludf.DUMMYFUNCTION("""COMPUTED_VALUE"""),"Yes")</f>
        <v>Yes</v>
      </c>
      <c r="P455" s="26"/>
    </row>
    <row r="456">
      <c r="A456" s="13" t="str">
        <f>IFERROR(__xludf.DUMMYFUNCTION("""COMPUTED_VALUE"""),"Yakuza: Like a Dragon")</f>
        <v>Yakuza: Like a Dragon</v>
      </c>
      <c r="B456" s="15" t="str">
        <f>IFERROR(__xludf.DUMMYFUNCTION("""COMPUTED_VALUE"""),"PS5/PS4")</f>
        <v>PS5/PS4</v>
      </c>
      <c r="C456" s="16" t="str">
        <f>IFERROR(__xludf.DUMMYFUNCTION("""COMPUTED_VALUE"""),"Extra")</f>
        <v>Extra</v>
      </c>
      <c r="D456" s="15" t="str">
        <f>IFERROR(__xludf.DUMMYFUNCTION("""COMPUTED_VALUE"""),"Removed")</f>
        <v>Removed</v>
      </c>
      <c r="E456" s="17">
        <f>IFERROR(__xludf.DUMMYFUNCTION("""COMPUTED_VALUE"""),44915.0)</f>
        <v>44915</v>
      </c>
      <c r="F456" s="54">
        <f>IFERROR(__xludf.DUMMYFUNCTION("""COMPUTED_VALUE"""),45278.0)</f>
        <v>45278</v>
      </c>
      <c r="G456" s="19">
        <f>IFERROR(__xludf.DUMMYFUNCTION("""COMPUTED_VALUE"""),11.933333333333334)</f>
        <v>11.93333333</v>
      </c>
      <c r="H456" s="17">
        <f>IFERROR(__xludf.DUMMYFUNCTION("""COMPUTED_VALUE"""),44145.0)</f>
        <v>44145</v>
      </c>
      <c r="I456" s="19">
        <f>IFERROR(__xludf.DUMMYFUNCTION("""COMPUTED_VALUE"""),2.111111111111111)</f>
        <v>2.111111111</v>
      </c>
      <c r="J456" s="21">
        <f>IFERROR(__xludf.DUMMYFUNCTION("""COMPUTED_VALUE"""),84.0)</f>
        <v>84</v>
      </c>
      <c r="K456" s="23">
        <f>IFERROR(__xludf.DUMMYFUNCTION("""COMPUTED_VALUE"""),8.1)</f>
        <v>8.1</v>
      </c>
      <c r="L456" s="24">
        <f>IFERROR(__xludf.DUMMYFUNCTION("""COMPUTED_VALUE"""),46.0)</f>
        <v>46</v>
      </c>
      <c r="M456" s="25" t="str">
        <f>IFERROR(__xludf.DUMMYFUNCTION("""COMPUTED_VALUE"""),"RPG")</f>
        <v>RPG</v>
      </c>
      <c r="N456" s="25"/>
      <c r="O456" s="26" t="str">
        <f>IFERROR(__xludf.DUMMYFUNCTION("""COMPUTED_VALUE"""),"Yes")</f>
        <v>Yes</v>
      </c>
      <c r="P456" s="26"/>
    </row>
    <row r="457">
      <c r="A457" s="13" t="str">
        <f>IFERROR(__xludf.DUMMYFUNCTION("""COMPUTED_VALUE"""),"Foreclosed")</f>
        <v>Foreclosed</v>
      </c>
      <c r="B457" s="15" t="str">
        <f>IFERROR(__xludf.DUMMYFUNCTION("""COMPUTED_VALUE"""),"PS5")</f>
        <v>PS5</v>
      </c>
      <c r="C457" s="16" t="str">
        <f>IFERROR(__xludf.DUMMYFUNCTION("""COMPUTED_VALUE"""),"Extra")</f>
        <v>Extra</v>
      </c>
      <c r="D457" s="15" t="str">
        <f>IFERROR(__xludf.DUMMYFUNCTION("""COMPUTED_VALUE"""),"Removed")</f>
        <v>Removed</v>
      </c>
      <c r="E457" s="17">
        <f>IFERROR(__xludf.DUMMYFUNCTION("""COMPUTED_VALUE"""),44725.0)</f>
        <v>44725</v>
      </c>
      <c r="F457" s="54">
        <f>IFERROR(__xludf.DUMMYFUNCTION("""COMPUTED_VALUE"""),45278.0)</f>
        <v>45278</v>
      </c>
      <c r="G457" s="19">
        <f>IFERROR(__xludf.DUMMYFUNCTION("""COMPUTED_VALUE"""),18.166666666666664)</f>
        <v>18.16666667</v>
      </c>
      <c r="H457" s="17">
        <f>IFERROR(__xludf.DUMMYFUNCTION("""COMPUTED_VALUE"""),44420.0)</f>
        <v>44420</v>
      </c>
      <c r="I457" s="19">
        <f>IFERROR(__xludf.DUMMYFUNCTION("""COMPUTED_VALUE"""),0.8361111111111111)</f>
        <v>0.8361111111</v>
      </c>
      <c r="J457" s="21">
        <f>IFERROR(__xludf.DUMMYFUNCTION("""COMPUTED_VALUE"""),59.0)</f>
        <v>59</v>
      </c>
      <c r="K457" s="23">
        <f>IFERROR(__xludf.DUMMYFUNCTION("""COMPUTED_VALUE"""),5.9)</f>
        <v>5.9</v>
      </c>
      <c r="L457" s="24">
        <f>IFERROR(__xludf.DUMMYFUNCTION("""COMPUTED_VALUE"""),4.5)</f>
        <v>4.5</v>
      </c>
      <c r="M457" s="25" t="str">
        <f>IFERROR(__xludf.DUMMYFUNCTION("""COMPUTED_VALUE"""),"Action-Adventure")</f>
        <v>Action-Adventure</v>
      </c>
      <c r="N457" s="25"/>
      <c r="O457" s="26" t="str">
        <f>IFERROR(__xludf.DUMMYFUNCTION("""COMPUTED_VALUE"""),"No")</f>
        <v>No</v>
      </c>
      <c r="P457" s="26"/>
    </row>
    <row r="458">
      <c r="A458" s="13" t="str">
        <f>IFERROR(__xludf.DUMMYFUNCTION("""COMPUTED_VALUE"""),"Caladrius Blaze")</f>
        <v>Caladrius Blaze</v>
      </c>
      <c r="B458" s="15" t="str">
        <f>IFERROR(__xludf.DUMMYFUNCTION("""COMPUTED_VALUE"""),"PS4")</f>
        <v>PS4</v>
      </c>
      <c r="C458" s="16" t="str">
        <f>IFERROR(__xludf.DUMMYFUNCTION("""COMPUTED_VALUE"""),"Extra")</f>
        <v>Extra</v>
      </c>
      <c r="D458" s="15" t="str">
        <f>IFERROR(__xludf.DUMMYFUNCTION("""COMPUTED_VALUE"""),"Removed")</f>
        <v>Removed</v>
      </c>
      <c r="E458" s="17">
        <f>IFERROR(__xludf.DUMMYFUNCTION("""COMPUTED_VALUE"""),44725.0)</f>
        <v>44725</v>
      </c>
      <c r="F458" s="54">
        <f>IFERROR(__xludf.DUMMYFUNCTION("""COMPUTED_VALUE"""),45278.0)</f>
        <v>45278</v>
      </c>
      <c r="G458" s="19">
        <f>IFERROR(__xludf.DUMMYFUNCTION("""COMPUTED_VALUE"""),18.166666666666664)</f>
        <v>18.16666667</v>
      </c>
      <c r="H458" s="17">
        <f>IFERROR(__xludf.DUMMYFUNCTION("""COMPUTED_VALUE"""),42438.0)</f>
        <v>42438</v>
      </c>
      <c r="I458" s="19">
        <f>IFERROR(__xludf.DUMMYFUNCTION("""COMPUTED_VALUE"""),6.261111111111111)</f>
        <v>6.261111111</v>
      </c>
      <c r="J458" s="21">
        <f>IFERROR(__xludf.DUMMYFUNCTION("""COMPUTED_VALUE"""),68.0)</f>
        <v>68</v>
      </c>
      <c r="K458" s="23">
        <f>IFERROR(__xludf.DUMMYFUNCTION("""COMPUTED_VALUE"""),7.1)</f>
        <v>7.1</v>
      </c>
      <c r="L458" s="24">
        <f>IFERROR(__xludf.DUMMYFUNCTION("""COMPUTED_VALUE"""),1.0)</f>
        <v>1</v>
      </c>
      <c r="M458" s="25" t="str">
        <f>IFERROR(__xludf.DUMMYFUNCTION("""COMPUTED_VALUE"""),"Arcade")</f>
        <v>Arcade</v>
      </c>
      <c r="N458" s="25"/>
      <c r="O458" s="26" t="str">
        <f>IFERROR(__xludf.DUMMYFUNCTION("""COMPUTED_VALUE"""),"No")</f>
        <v>No</v>
      </c>
      <c r="P458" s="26" t="str">
        <f>IFERROR(__xludf.DUMMYFUNCTION("""COMPUTED_VALUE"""),"Yes")</f>
        <v>Yes</v>
      </c>
    </row>
    <row r="459">
      <c r="A459" s="13" t="str">
        <f>IFERROR(__xludf.DUMMYFUNCTION("""COMPUTED_VALUE"""),"Damascus Gear: Operation Tokyo - HD Edition")</f>
        <v>Damascus Gear: Operation Tokyo - HD Edition</v>
      </c>
      <c r="B459" s="15" t="str">
        <f>IFERROR(__xludf.DUMMYFUNCTION("""COMPUTED_VALUE"""),"PS4")</f>
        <v>PS4</v>
      </c>
      <c r="C459" s="16" t="str">
        <f>IFERROR(__xludf.DUMMYFUNCTION("""COMPUTED_VALUE"""),"Extra")</f>
        <v>Extra</v>
      </c>
      <c r="D459" s="15" t="str">
        <f>IFERROR(__xludf.DUMMYFUNCTION("""COMPUTED_VALUE"""),"Removed")</f>
        <v>Removed</v>
      </c>
      <c r="E459" s="17">
        <f>IFERROR(__xludf.DUMMYFUNCTION("""COMPUTED_VALUE"""),44725.0)</f>
        <v>44725</v>
      </c>
      <c r="F459" s="54">
        <f>IFERROR(__xludf.DUMMYFUNCTION("""COMPUTED_VALUE"""),45278.0)</f>
        <v>45278</v>
      </c>
      <c r="G459" s="19">
        <f>IFERROR(__xludf.DUMMYFUNCTION("""COMPUTED_VALUE"""),18.166666666666664)</f>
        <v>18.16666667</v>
      </c>
      <c r="H459" s="17">
        <f>IFERROR(__xludf.DUMMYFUNCTION("""COMPUTED_VALUE"""),42886.0)</f>
        <v>42886</v>
      </c>
      <c r="I459" s="19">
        <f>IFERROR(__xludf.DUMMYFUNCTION("""COMPUTED_VALUE"""),5.036111111111111)</f>
        <v>5.036111111</v>
      </c>
      <c r="J459" s="21">
        <f>IFERROR(__xludf.DUMMYFUNCTION("""COMPUTED_VALUE"""),70.0)</f>
        <v>70</v>
      </c>
      <c r="K459" s="23">
        <f>IFERROR(__xludf.DUMMYFUNCTION("""COMPUTED_VALUE"""),6.3)</f>
        <v>6.3</v>
      </c>
      <c r="L459" s="24">
        <f>IFERROR(__xludf.DUMMYFUNCTION("""COMPUTED_VALUE"""),14.0)</f>
        <v>14</v>
      </c>
      <c r="M459" s="25" t="str">
        <f>IFERROR(__xludf.DUMMYFUNCTION("""COMPUTED_VALUE"""),"RPG")</f>
        <v>RPG</v>
      </c>
      <c r="N459" s="25"/>
      <c r="O459" s="26" t="str">
        <f>IFERROR(__xludf.DUMMYFUNCTION("""COMPUTED_VALUE"""),"No")</f>
        <v>No</v>
      </c>
      <c r="P459" s="26"/>
    </row>
    <row r="460">
      <c r="A460" s="13" t="str">
        <f>IFERROR(__xludf.DUMMYFUNCTION("""COMPUTED_VALUE"""),"El Hijo: A Wild West Tale")</f>
        <v>El Hijo: A Wild West Tale</v>
      </c>
      <c r="B460" s="15" t="str">
        <f>IFERROR(__xludf.DUMMYFUNCTION("""COMPUTED_VALUE"""),"PS4")</f>
        <v>PS4</v>
      </c>
      <c r="C460" s="16" t="str">
        <f>IFERROR(__xludf.DUMMYFUNCTION("""COMPUTED_VALUE"""),"Extra")</f>
        <v>Extra</v>
      </c>
      <c r="D460" s="15" t="str">
        <f>IFERROR(__xludf.DUMMYFUNCTION("""COMPUTED_VALUE"""),"Removed")</f>
        <v>Removed</v>
      </c>
      <c r="E460" s="17">
        <f>IFERROR(__xludf.DUMMYFUNCTION("""COMPUTED_VALUE"""),44725.0)</f>
        <v>44725</v>
      </c>
      <c r="F460" s="54">
        <f>IFERROR(__xludf.DUMMYFUNCTION("""COMPUTED_VALUE"""),45278.0)</f>
        <v>45278</v>
      </c>
      <c r="G460" s="19">
        <f>IFERROR(__xludf.DUMMYFUNCTION("""COMPUTED_VALUE"""),18.166666666666664)</f>
        <v>18.16666667</v>
      </c>
      <c r="H460" s="17">
        <f>IFERROR(__xludf.DUMMYFUNCTION("""COMPUTED_VALUE"""),44168.0)</f>
        <v>44168</v>
      </c>
      <c r="I460" s="19">
        <f>IFERROR(__xludf.DUMMYFUNCTION("""COMPUTED_VALUE"""),1.5277777777777777)</f>
        <v>1.527777778</v>
      </c>
      <c r="J460" s="21">
        <f>IFERROR(__xludf.DUMMYFUNCTION("""COMPUTED_VALUE"""),74.0)</f>
        <v>74</v>
      </c>
      <c r="K460" s="23">
        <f>IFERROR(__xludf.DUMMYFUNCTION("""COMPUTED_VALUE"""),7.2)</f>
        <v>7.2</v>
      </c>
      <c r="L460" s="24">
        <f>IFERROR(__xludf.DUMMYFUNCTION("""COMPUTED_VALUE"""),6.0)</f>
        <v>6</v>
      </c>
      <c r="M460" s="25" t="str">
        <f>IFERROR(__xludf.DUMMYFUNCTION("""COMPUTED_VALUE"""),"Action-Adventure")</f>
        <v>Action-Adventure</v>
      </c>
      <c r="N460" s="25"/>
      <c r="O460" s="26" t="str">
        <f>IFERROR(__xludf.DUMMYFUNCTION("""COMPUTED_VALUE"""),"Yes")</f>
        <v>Yes</v>
      </c>
      <c r="P460" s="26"/>
    </row>
    <row r="461">
      <c r="A461" s="13" t="str">
        <f>IFERROR(__xludf.DUMMYFUNCTION("""COMPUTED_VALUE"""),"Friday the 13th: The Game")</f>
        <v>Friday the 13th: The Game</v>
      </c>
      <c r="B461" s="15" t="str">
        <f>IFERROR(__xludf.DUMMYFUNCTION("""COMPUTED_VALUE"""),"PS4")</f>
        <v>PS4</v>
      </c>
      <c r="C461" s="16" t="str">
        <f>IFERROR(__xludf.DUMMYFUNCTION("""COMPUTED_VALUE"""),"Extra")</f>
        <v>Extra</v>
      </c>
      <c r="D461" s="15" t="str">
        <f>IFERROR(__xludf.DUMMYFUNCTION("""COMPUTED_VALUE"""),"Removed")</f>
        <v>Removed</v>
      </c>
      <c r="E461" s="17">
        <f>IFERROR(__xludf.DUMMYFUNCTION("""COMPUTED_VALUE"""),44725.0)</f>
        <v>44725</v>
      </c>
      <c r="F461" s="54">
        <f>IFERROR(__xludf.DUMMYFUNCTION("""COMPUTED_VALUE"""),45278.0)</f>
        <v>45278</v>
      </c>
      <c r="G461" s="19">
        <f>IFERROR(__xludf.DUMMYFUNCTION("""COMPUTED_VALUE"""),18.166666666666664)</f>
        <v>18.16666667</v>
      </c>
      <c r="H461" s="17">
        <f>IFERROR(__xludf.DUMMYFUNCTION("""COMPUTED_VALUE"""),42881.0)</f>
        <v>42881</v>
      </c>
      <c r="I461" s="19">
        <f>IFERROR(__xludf.DUMMYFUNCTION("""COMPUTED_VALUE"""),5.0472222222222225)</f>
        <v>5.047222222</v>
      </c>
      <c r="J461" s="21">
        <f>IFERROR(__xludf.DUMMYFUNCTION("""COMPUTED_VALUE"""),61.0)</f>
        <v>61</v>
      </c>
      <c r="K461" s="23">
        <f>IFERROR(__xludf.DUMMYFUNCTION("""COMPUTED_VALUE"""),6.1)</f>
        <v>6.1</v>
      </c>
      <c r="L461" s="24">
        <f>IFERROR(__xludf.DUMMYFUNCTION("""COMPUTED_VALUE"""),5.0)</f>
        <v>5</v>
      </c>
      <c r="M461" s="25" t="str">
        <f>IFERROR(__xludf.DUMMYFUNCTION("""COMPUTED_VALUE"""),"Horror")</f>
        <v>Horror</v>
      </c>
      <c r="N461" s="25"/>
      <c r="O461" s="26" t="str">
        <f>IFERROR(__xludf.DUMMYFUNCTION("""COMPUTED_VALUE"""),"Yes")</f>
        <v>Yes</v>
      </c>
      <c r="P461" s="26"/>
    </row>
    <row r="462">
      <c r="A462" s="13" t="str">
        <f>IFERROR(__xludf.DUMMYFUNCTION("""COMPUTED_VALUE"""),"Legends of Ethernal")</f>
        <v>Legends of Ethernal</v>
      </c>
      <c r="B462" s="15" t="str">
        <f>IFERROR(__xludf.DUMMYFUNCTION("""COMPUTED_VALUE"""),"PS4")</f>
        <v>PS4</v>
      </c>
      <c r="C462" s="16" t="str">
        <f>IFERROR(__xludf.DUMMYFUNCTION("""COMPUTED_VALUE"""),"Extra")</f>
        <v>Extra</v>
      </c>
      <c r="D462" s="15" t="str">
        <f>IFERROR(__xludf.DUMMYFUNCTION("""COMPUTED_VALUE"""),"Removed")</f>
        <v>Removed</v>
      </c>
      <c r="E462" s="17">
        <f>IFERROR(__xludf.DUMMYFUNCTION("""COMPUTED_VALUE"""),44725.0)</f>
        <v>44725</v>
      </c>
      <c r="F462" s="54">
        <f>IFERROR(__xludf.DUMMYFUNCTION("""COMPUTED_VALUE"""),45278.0)</f>
        <v>45278</v>
      </c>
      <c r="G462" s="19">
        <f>IFERROR(__xludf.DUMMYFUNCTION("""COMPUTED_VALUE"""),18.166666666666664)</f>
        <v>18.16666667</v>
      </c>
      <c r="H462" s="17">
        <f>IFERROR(__xludf.DUMMYFUNCTION("""COMPUTED_VALUE"""),44134.0)</f>
        <v>44134</v>
      </c>
      <c r="I462" s="19">
        <f>IFERROR(__xludf.DUMMYFUNCTION("""COMPUTED_VALUE"""),1.6194444444444445)</f>
        <v>1.619444444</v>
      </c>
      <c r="J462" s="21">
        <f>IFERROR(__xludf.DUMMYFUNCTION("""COMPUTED_VALUE"""),60.0)</f>
        <v>60</v>
      </c>
      <c r="K462" s="23">
        <f>IFERROR(__xludf.DUMMYFUNCTION("""COMPUTED_VALUE"""),6.0)</f>
        <v>6</v>
      </c>
      <c r="L462" s="24">
        <f>IFERROR(__xludf.DUMMYFUNCTION("""COMPUTED_VALUE"""),9.0)</f>
        <v>9</v>
      </c>
      <c r="M462" s="25" t="str">
        <f>IFERROR(__xludf.DUMMYFUNCTION("""COMPUTED_VALUE"""),"Platformer")</f>
        <v>Platformer</v>
      </c>
      <c r="N462" s="25"/>
      <c r="O462" s="26" t="str">
        <f>IFERROR(__xludf.DUMMYFUNCTION("""COMPUTED_VALUE"""),"No")</f>
        <v>No</v>
      </c>
      <c r="P462" s="26"/>
    </row>
    <row r="463">
      <c r="A463" s="13" t="str">
        <f>IFERROR(__xludf.DUMMYFUNCTION("""COMPUTED_VALUE"""),"Aliens: Fireteam Elite")</f>
        <v>Aliens: Fireteam Elite</v>
      </c>
      <c r="B463" s="15" t="str">
        <f>IFERROR(__xludf.DUMMYFUNCTION("""COMPUTED_VALUE"""),"PS5/PS4")</f>
        <v>PS5/PS4</v>
      </c>
      <c r="C463" s="16" t="str">
        <f>IFERROR(__xludf.DUMMYFUNCTION("""COMPUTED_VALUE"""),"Essential")</f>
        <v>Essential</v>
      </c>
      <c r="D463" s="15" t="str">
        <f>IFERROR(__xludf.DUMMYFUNCTION("""COMPUTED_VALUE"""),"Removed")</f>
        <v>Removed</v>
      </c>
      <c r="E463" s="17">
        <f>IFERROR(__xludf.DUMMYFUNCTION("""COMPUTED_VALUE"""),45237.0)</f>
        <v>45237</v>
      </c>
      <c r="F463" s="54">
        <f>IFERROR(__xludf.DUMMYFUNCTION("""COMPUTED_VALUE"""),45264.0)</f>
        <v>45264</v>
      </c>
      <c r="G463" s="19">
        <f>IFERROR(__xludf.DUMMYFUNCTION("""COMPUTED_VALUE"""),0.8999999999999999)</f>
        <v>0.9</v>
      </c>
      <c r="H463" s="17">
        <f>IFERROR(__xludf.DUMMYFUNCTION("""COMPUTED_VALUE"""),44432.0)</f>
        <v>44432</v>
      </c>
      <c r="I463" s="19">
        <f>IFERROR(__xludf.DUMMYFUNCTION("""COMPUTED_VALUE"""),2.202777777777778)</f>
        <v>2.202777778</v>
      </c>
      <c r="J463" s="21">
        <f>IFERROR(__xludf.DUMMYFUNCTION("""COMPUTED_VALUE"""),67.0)</f>
        <v>67</v>
      </c>
      <c r="K463" s="23">
        <f>IFERROR(__xludf.DUMMYFUNCTION("""COMPUTED_VALUE"""),5.9)</f>
        <v>5.9</v>
      </c>
      <c r="L463" s="24">
        <f>IFERROR(__xludf.DUMMYFUNCTION("""COMPUTED_VALUE"""),9.0)</f>
        <v>9</v>
      </c>
      <c r="M463" s="25" t="str">
        <f>IFERROR(__xludf.DUMMYFUNCTION("""COMPUTED_VALUE"""),"Shooter")</f>
        <v>Shooter</v>
      </c>
      <c r="N463" s="25"/>
      <c r="O463" s="26" t="str">
        <f>IFERROR(__xludf.DUMMYFUNCTION("""COMPUTED_VALUE"""),"No")</f>
        <v>No</v>
      </c>
      <c r="P463" s="26"/>
    </row>
    <row r="464">
      <c r="A464" s="13" t="str">
        <f>IFERROR(__xludf.DUMMYFUNCTION("""COMPUTED_VALUE"""),"Dragon Ball: The Breakers")</f>
        <v>Dragon Ball: The Breakers</v>
      </c>
      <c r="B464" s="15" t="str">
        <f>IFERROR(__xludf.DUMMYFUNCTION("""COMPUTED_VALUE"""),"PS4")</f>
        <v>PS4</v>
      </c>
      <c r="C464" s="16" t="str">
        <f>IFERROR(__xludf.DUMMYFUNCTION("""COMPUTED_VALUE"""),"Essential")</f>
        <v>Essential</v>
      </c>
      <c r="D464" s="15" t="str">
        <f>IFERROR(__xludf.DUMMYFUNCTION("""COMPUTED_VALUE"""),"Removed")</f>
        <v>Removed</v>
      </c>
      <c r="E464" s="17">
        <f>IFERROR(__xludf.DUMMYFUNCTION("""COMPUTED_VALUE"""),45237.0)</f>
        <v>45237</v>
      </c>
      <c r="F464" s="54">
        <f>IFERROR(__xludf.DUMMYFUNCTION("""COMPUTED_VALUE"""),45264.0)</f>
        <v>45264</v>
      </c>
      <c r="G464" s="19">
        <f>IFERROR(__xludf.DUMMYFUNCTION("""COMPUTED_VALUE"""),0.8999999999999999)</f>
        <v>0.9</v>
      </c>
      <c r="H464" s="17">
        <f>IFERROR(__xludf.DUMMYFUNCTION("""COMPUTED_VALUE"""),44848.0)</f>
        <v>44848</v>
      </c>
      <c r="I464" s="19">
        <f>IFERROR(__xludf.DUMMYFUNCTION("""COMPUTED_VALUE"""),1.0638888888888889)</f>
        <v>1.063888889</v>
      </c>
      <c r="J464" s="21">
        <f>IFERROR(__xludf.DUMMYFUNCTION("""COMPUTED_VALUE"""),54.0)</f>
        <v>54</v>
      </c>
      <c r="K464" s="23">
        <f>IFERROR(__xludf.DUMMYFUNCTION("""COMPUTED_VALUE"""),5.1)</f>
        <v>5.1</v>
      </c>
      <c r="L464" s="24">
        <f>IFERROR(__xludf.DUMMYFUNCTION("""COMPUTED_VALUE"""),43.0)</f>
        <v>43</v>
      </c>
      <c r="M464" s="25" t="str">
        <f>IFERROR(__xludf.DUMMYFUNCTION("""COMPUTED_VALUE"""),"Action-Adventure")</f>
        <v>Action-Adventure</v>
      </c>
      <c r="N464" s="25"/>
      <c r="O464" s="26" t="str">
        <f>IFERROR(__xludf.DUMMYFUNCTION("""COMPUTED_VALUE"""),"No")</f>
        <v>No</v>
      </c>
      <c r="P464" s="26"/>
    </row>
    <row r="465">
      <c r="A465" s="13" t="str">
        <f>IFERROR(__xludf.DUMMYFUNCTION("""COMPUTED_VALUE"""),"Mafia II: Definitive Edition")</f>
        <v>Mafia II: Definitive Edition</v>
      </c>
      <c r="B465" s="15" t="str">
        <f>IFERROR(__xludf.DUMMYFUNCTION("""COMPUTED_VALUE"""),"PS4")</f>
        <v>PS4</v>
      </c>
      <c r="C465" s="16" t="str">
        <f>IFERROR(__xludf.DUMMYFUNCTION("""COMPUTED_VALUE"""),"Essential")</f>
        <v>Essential</v>
      </c>
      <c r="D465" s="15" t="str">
        <f>IFERROR(__xludf.DUMMYFUNCTION("""COMPUTED_VALUE"""),"Removed")</f>
        <v>Removed</v>
      </c>
      <c r="E465" s="17">
        <f>IFERROR(__xludf.DUMMYFUNCTION("""COMPUTED_VALUE"""),45237.0)</f>
        <v>45237</v>
      </c>
      <c r="F465" s="54">
        <f>IFERROR(__xludf.DUMMYFUNCTION("""COMPUTED_VALUE"""),45264.0)</f>
        <v>45264</v>
      </c>
      <c r="G465" s="19">
        <f>IFERROR(__xludf.DUMMYFUNCTION("""COMPUTED_VALUE"""),0.8999999999999999)</f>
        <v>0.9</v>
      </c>
      <c r="H465" s="17">
        <f>IFERROR(__xludf.DUMMYFUNCTION("""COMPUTED_VALUE"""),43970.0)</f>
        <v>43970</v>
      </c>
      <c r="I465" s="19">
        <f>IFERROR(__xludf.DUMMYFUNCTION("""COMPUTED_VALUE"""),3.466666666666667)</f>
        <v>3.466666667</v>
      </c>
      <c r="J465" s="21">
        <f>IFERROR(__xludf.DUMMYFUNCTION("""COMPUTED_VALUE"""),56.0)</f>
        <v>56</v>
      </c>
      <c r="K465" s="23">
        <f>IFERROR(__xludf.DUMMYFUNCTION("""COMPUTED_VALUE"""),5.9)</f>
        <v>5.9</v>
      </c>
      <c r="L465" s="24">
        <f>IFERROR(__xludf.DUMMYFUNCTION("""COMPUTED_VALUE"""),11.0)</f>
        <v>11</v>
      </c>
      <c r="M465" s="25" t="str">
        <f>IFERROR(__xludf.DUMMYFUNCTION("""COMPUTED_VALUE"""),"Shooter")</f>
        <v>Shooter</v>
      </c>
      <c r="N465" s="25"/>
      <c r="O465" s="26" t="str">
        <f>IFERROR(__xludf.DUMMYFUNCTION("""COMPUTED_VALUE"""),"No")</f>
        <v>No</v>
      </c>
      <c r="P465" s="26"/>
    </row>
    <row r="466">
      <c r="A466" s="13" t="str">
        <f>IFERROR(__xludf.DUMMYFUNCTION("""COMPUTED_VALUE"""),"Ace of Seafood")</f>
        <v>Ace of Seafood</v>
      </c>
      <c r="B466" s="15" t="str">
        <f>IFERROR(__xludf.DUMMYFUNCTION("""COMPUTED_VALUE"""),"PS4")</f>
        <v>PS4</v>
      </c>
      <c r="C466" s="16" t="str">
        <f>IFERROR(__xludf.DUMMYFUNCTION("""COMPUTED_VALUE"""),"Extra")</f>
        <v>Extra</v>
      </c>
      <c r="D466" s="15" t="str">
        <f>IFERROR(__xludf.DUMMYFUNCTION("""COMPUTED_VALUE"""),"Removed")</f>
        <v>Removed</v>
      </c>
      <c r="E466" s="17">
        <f>IFERROR(__xludf.DUMMYFUNCTION("""COMPUTED_VALUE"""),44725.0)</f>
        <v>44725</v>
      </c>
      <c r="F466" s="54">
        <f>IFERROR(__xludf.DUMMYFUNCTION("""COMPUTED_VALUE"""),45250.0)</f>
        <v>45250</v>
      </c>
      <c r="G466" s="19">
        <f>IFERROR(__xludf.DUMMYFUNCTION("""COMPUTED_VALUE"""),17.233333333333334)</f>
        <v>17.23333333</v>
      </c>
      <c r="H466" s="17">
        <f>IFERROR(__xludf.DUMMYFUNCTION("""COMPUTED_VALUE"""),42468.0)</f>
        <v>42468</v>
      </c>
      <c r="I466" s="19">
        <f>IFERROR(__xludf.DUMMYFUNCTION("""COMPUTED_VALUE"""),6.180555555555555)</f>
        <v>6.180555556</v>
      </c>
      <c r="J466" s="21">
        <f>IFERROR(__xludf.DUMMYFUNCTION("""COMPUTED_VALUE"""),52.0)</f>
        <v>52</v>
      </c>
      <c r="K466" s="23">
        <f>IFERROR(__xludf.DUMMYFUNCTION("""COMPUTED_VALUE"""),6.8)</f>
        <v>6.8</v>
      </c>
      <c r="L466" s="24">
        <f>IFERROR(__xludf.DUMMYFUNCTION("""COMPUTED_VALUE"""),4.0)</f>
        <v>4</v>
      </c>
      <c r="M466" s="25" t="str">
        <f>IFERROR(__xludf.DUMMYFUNCTION("""COMPUTED_VALUE"""),"Action-Adventure")</f>
        <v>Action-Adventure</v>
      </c>
      <c r="N466" s="25"/>
      <c r="O466" s="26" t="str">
        <f>IFERROR(__xludf.DUMMYFUNCTION("""COMPUTED_VALUE"""),"No")</f>
        <v>No</v>
      </c>
      <c r="P466" s="26" t="str">
        <f>IFERROR(__xludf.DUMMYFUNCTION("""COMPUTED_VALUE"""),"Yes")</f>
        <v>Yes</v>
      </c>
    </row>
    <row r="467">
      <c r="A467" s="13" t="str">
        <f>IFERROR(__xludf.DUMMYFUNCTION("""COMPUTED_VALUE"""),"ConnecTank")</f>
        <v>ConnecTank</v>
      </c>
      <c r="B467" s="15" t="str">
        <f>IFERROR(__xludf.DUMMYFUNCTION("""COMPUTED_VALUE"""),"PS4")</f>
        <v>PS4</v>
      </c>
      <c r="C467" s="16" t="str">
        <f>IFERROR(__xludf.DUMMYFUNCTION("""COMPUTED_VALUE"""),"Extra")</f>
        <v>Extra</v>
      </c>
      <c r="D467" s="15" t="str">
        <f>IFERROR(__xludf.DUMMYFUNCTION("""COMPUTED_VALUE"""),"Removed")</f>
        <v>Removed</v>
      </c>
      <c r="E467" s="17">
        <f>IFERROR(__xludf.DUMMYFUNCTION("""COMPUTED_VALUE"""),44725.0)</f>
        <v>44725</v>
      </c>
      <c r="F467" s="54">
        <f>IFERROR(__xludf.DUMMYFUNCTION("""COMPUTED_VALUE"""),45250.0)</f>
        <v>45250</v>
      </c>
      <c r="G467" s="19">
        <f>IFERROR(__xludf.DUMMYFUNCTION("""COMPUTED_VALUE"""),17.233333333333334)</f>
        <v>17.23333333</v>
      </c>
      <c r="H467" s="17">
        <f>IFERROR(__xludf.DUMMYFUNCTION("""COMPUTED_VALUE"""),44283.0)</f>
        <v>44283</v>
      </c>
      <c r="I467" s="19">
        <f>IFERROR(__xludf.DUMMYFUNCTION("""COMPUTED_VALUE"""),1.2083333333333333)</f>
        <v>1.208333333</v>
      </c>
      <c r="J467" s="21">
        <f>IFERROR(__xludf.DUMMYFUNCTION("""COMPUTED_VALUE"""),63.0)</f>
        <v>63</v>
      </c>
      <c r="K467" s="23">
        <f>IFERROR(__xludf.DUMMYFUNCTION("""COMPUTED_VALUE"""),6.8)</f>
        <v>6.8</v>
      </c>
      <c r="L467" s="24">
        <f>IFERROR(__xludf.DUMMYFUNCTION("""COMPUTED_VALUE"""),5.0)</f>
        <v>5</v>
      </c>
      <c r="M467" s="25" t="str">
        <f>IFERROR(__xludf.DUMMYFUNCTION("""COMPUTED_VALUE"""),"Puzzle")</f>
        <v>Puzzle</v>
      </c>
      <c r="N467" s="25"/>
      <c r="O467" s="26" t="str">
        <f>IFERROR(__xludf.DUMMYFUNCTION("""COMPUTED_VALUE"""),"No")</f>
        <v>No</v>
      </c>
      <c r="P467" s="26" t="str">
        <f>IFERROR(__xludf.DUMMYFUNCTION("""COMPUTED_VALUE"""),"Yes")</f>
        <v>Yes</v>
      </c>
    </row>
    <row r="468">
      <c r="A468" s="13" t="str">
        <f>IFERROR(__xludf.DUMMYFUNCTION("""COMPUTED_VALUE"""),"Dandara: Trials of Fear Edition")</f>
        <v>Dandara: Trials of Fear Edition</v>
      </c>
      <c r="B468" s="15" t="str">
        <f>IFERROR(__xludf.DUMMYFUNCTION("""COMPUTED_VALUE"""),"PS4")</f>
        <v>PS4</v>
      </c>
      <c r="C468" s="16" t="str">
        <f>IFERROR(__xludf.DUMMYFUNCTION("""COMPUTED_VALUE"""),"Extra")</f>
        <v>Extra</v>
      </c>
      <c r="D468" s="15" t="str">
        <f>IFERROR(__xludf.DUMMYFUNCTION("""COMPUTED_VALUE"""),"Removed")</f>
        <v>Removed</v>
      </c>
      <c r="E468" s="17">
        <f>IFERROR(__xludf.DUMMYFUNCTION("""COMPUTED_VALUE"""),44725.0)</f>
        <v>44725</v>
      </c>
      <c r="F468" s="54">
        <f>IFERROR(__xludf.DUMMYFUNCTION("""COMPUTED_VALUE"""),45250.0)</f>
        <v>45250</v>
      </c>
      <c r="G468" s="19">
        <f>IFERROR(__xludf.DUMMYFUNCTION("""COMPUTED_VALUE"""),17.233333333333334)</f>
        <v>17.23333333</v>
      </c>
      <c r="H468" s="17">
        <f>IFERROR(__xludf.DUMMYFUNCTION("""COMPUTED_VALUE"""),43524.0)</f>
        <v>43524</v>
      </c>
      <c r="I468" s="19">
        <f>IFERROR(__xludf.DUMMYFUNCTION("""COMPUTED_VALUE"""),3.2916666666666665)</f>
        <v>3.291666667</v>
      </c>
      <c r="J468" s="21">
        <f>IFERROR(__xludf.DUMMYFUNCTION("""COMPUTED_VALUE"""),81.0)</f>
        <v>81</v>
      </c>
      <c r="K468" s="23">
        <f>IFERROR(__xludf.DUMMYFUNCTION("""COMPUTED_VALUE"""),7.6)</f>
        <v>7.6</v>
      </c>
      <c r="L468" s="24">
        <f>IFERROR(__xludf.DUMMYFUNCTION("""COMPUTED_VALUE"""),8.0)</f>
        <v>8</v>
      </c>
      <c r="M468" s="25" t="str">
        <f>IFERROR(__xludf.DUMMYFUNCTION("""COMPUTED_VALUE"""),"Platformer")</f>
        <v>Platformer</v>
      </c>
      <c r="N468" s="25"/>
      <c r="O468" s="26" t="str">
        <f>IFERROR(__xludf.DUMMYFUNCTION("""COMPUTED_VALUE"""),"Yes")</f>
        <v>Yes</v>
      </c>
      <c r="P468" s="26"/>
    </row>
    <row r="469">
      <c r="A469" s="13" t="str">
        <f>IFERROR(__xludf.DUMMYFUNCTION("""COMPUTED_VALUE"""),"Giana Sisters: Twisted Dreams - Director's Cut")</f>
        <v>Giana Sisters: Twisted Dreams - Director's Cut</v>
      </c>
      <c r="B469" s="15" t="str">
        <f>IFERROR(__xludf.DUMMYFUNCTION("""COMPUTED_VALUE"""),"PS4")</f>
        <v>PS4</v>
      </c>
      <c r="C469" s="16" t="str">
        <f>IFERROR(__xludf.DUMMYFUNCTION("""COMPUTED_VALUE"""),"Extra")</f>
        <v>Extra</v>
      </c>
      <c r="D469" s="15" t="str">
        <f>IFERROR(__xludf.DUMMYFUNCTION("""COMPUTED_VALUE"""),"Removed")</f>
        <v>Removed</v>
      </c>
      <c r="E469" s="17">
        <f>IFERROR(__xludf.DUMMYFUNCTION("""COMPUTED_VALUE"""),44725.0)</f>
        <v>44725</v>
      </c>
      <c r="F469" s="54">
        <f>IFERROR(__xludf.DUMMYFUNCTION("""COMPUTED_VALUE"""),45250.0)</f>
        <v>45250</v>
      </c>
      <c r="G469" s="19">
        <f>IFERROR(__xludf.DUMMYFUNCTION("""COMPUTED_VALUE"""),17.233333333333334)</f>
        <v>17.23333333</v>
      </c>
      <c r="H469" s="17">
        <f>IFERROR(__xludf.DUMMYFUNCTION("""COMPUTED_VALUE"""),41183.0)</f>
        <v>41183</v>
      </c>
      <c r="I469" s="19">
        <f>IFERROR(__xludf.DUMMYFUNCTION("""COMPUTED_VALUE"""),9.7)</f>
        <v>9.7</v>
      </c>
      <c r="J469" s="21">
        <f>IFERROR(__xludf.DUMMYFUNCTION("""COMPUTED_VALUE"""),70.0)</f>
        <v>70</v>
      </c>
      <c r="K469" s="23">
        <f>IFERROR(__xludf.DUMMYFUNCTION("""COMPUTED_VALUE"""),7.4)</f>
        <v>7.4</v>
      </c>
      <c r="L469" s="24">
        <f>IFERROR(__xludf.DUMMYFUNCTION("""COMPUTED_VALUE"""),7.5)</f>
        <v>7.5</v>
      </c>
      <c r="M469" s="25" t="str">
        <f>IFERROR(__xludf.DUMMYFUNCTION("""COMPUTED_VALUE"""),"Platformer")</f>
        <v>Platformer</v>
      </c>
      <c r="N469" s="25"/>
      <c r="O469" s="26" t="str">
        <f>IFERROR(__xludf.DUMMYFUNCTION("""COMPUTED_VALUE"""),"Yes")</f>
        <v>Yes</v>
      </c>
      <c r="P469" s="26"/>
    </row>
    <row r="470">
      <c r="A470" s="13" t="str">
        <f>IFERROR(__xludf.DUMMYFUNCTION("""COMPUTED_VALUE"""),"Momodora: Reverie Under The Moonlight")</f>
        <v>Momodora: Reverie Under The Moonlight</v>
      </c>
      <c r="B470" s="15" t="str">
        <f>IFERROR(__xludf.DUMMYFUNCTION("""COMPUTED_VALUE"""),"PS4")</f>
        <v>PS4</v>
      </c>
      <c r="C470" s="16" t="str">
        <f>IFERROR(__xludf.DUMMYFUNCTION("""COMPUTED_VALUE"""),"Extra")</f>
        <v>Extra</v>
      </c>
      <c r="D470" s="15" t="str">
        <f>IFERROR(__xludf.DUMMYFUNCTION("""COMPUTED_VALUE"""),"Removed")</f>
        <v>Removed</v>
      </c>
      <c r="E470" s="17">
        <f>IFERROR(__xludf.DUMMYFUNCTION("""COMPUTED_VALUE"""),44725.0)</f>
        <v>44725</v>
      </c>
      <c r="F470" s="54">
        <f>IFERROR(__xludf.DUMMYFUNCTION("""COMPUTED_VALUE"""),45250.0)</f>
        <v>45250</v>
      </c>
      <c r="G470" s="19">
        <f>IFERROR(__xludf.DUMMYFUNCTION("""COMPUTED_VALUE"""),17.233333333333334)</f>
        <v>17.23333333</v>
      </c>
      <c r="H470" s="17">
        <f>IFERROR(__xludf.DUMMYFUNCTION("""COMPUTED_VALUE"""),42433.0)</f>
        <v>42433</v>
      </c>
      <c r="I470" s="19">
        <f>IFERROR(__xludf.DUMMYFUNCTION("""COMPUTED_VALUE"""),6.275)</f>
        <v>6.275</v>
      </c>
      <c r="J470" s="21">
        <f>IFERROR(__xludf.DUMMYFUNCTION("""COMPUTED_VALUE"""),79.0)</f>
        <v>79</v>
      </c>
      <c r="K470" s="23">
        <f>IFERROR(__xludf.DUMMYFUNCTION("""COMPUTED_VALUE"""),8.0)</f>
        <v>8</v>
      </c>
      <c r="L470" s="24">
        <f>IFERROR(__xludf.DUMMYFUNCTION("""COMPUTED_VALUE"""),4.0)</f>
        <v>4</v>
      </c>
      <c r="M470" s="25" t="str">
        <f>IFERROR(__xludf.DUMMYFUNCTION("""COMPUTED_VALUE"""),"Platformer")</f>
        <v>Platformer</v>
      </c>
      <c r="N470" s="25"/>
      <c r="O470" s="26" t="str">
        <f>IFERROR(__xludf.DUMMYFUNCTION("""COMPUTED_VALUE"""),"No")</f>
        <v>No</v>
      </c>
      <c r="P470" s="26"/>
    </row>
    <row r="471">
      <c r="A471" s="13" t="str">
        <f>IFERROR(__xludf.DUMMYFUNCTION("""COMPUTED_VALUE"""),"My Time at Portia")</f>
        <v>My Time at Portia</v>
      </c>
      <c r="B471" s="15" t="str">
        <f>IFERROR(__xludf.DUMMYFUNCTION("""COMPUTED_VALUE"""),"PS4")</f>
        <v>PS4</v>
      </c>
      <c r="C471" s="16" t="str">
        <f>IFERROR(__xludf.DUMMYFUNCTION("""COMPUTED_VALUE"""),"Extra")</f>
        <v>Extra</v>
      </c>
      <c r="D471" s="15" t="str">
        <f>IFERROR(__xludf.DUMMYFUNCTION("""COMPUTED_VALUE"""),"Removed")</f>
        <v>Removed</v>
      </c>
      <c r="E471" s="17">
        <f>IFERROR(__xludf.DUMMYFUNCTION("""COMPUTED_VALUE"""),44725.0)</f>
        <v>44725</v>
      </c>
      <c r="F471" s="54">
        <f>IFERROR(__xludf.DUMMYFUNCTION("""COMPUTED_VALUE"""),45250.0)</f>
        <v>45250</v>
      </c>
      <c r="G471" s="19">
        <f>IFERROR(__xludf.DUMMYFUNCTION("""COMPUTED_VALUE"""),17.233333333333334)</f>
        <v>17.23333333</v>
      </c>
      <c r="H471" s="17">
        <f>IFERROR(__xludf.DUMMYFUNCTION("""COMPUTED_VALUE"""),43571.0)</f>
        <v>43571</v>
      </c>
      <c r="I471" s="19">
        <f>IFERROR(__xludf.DUMMYFUNCTION("""COMPUTED_VALUE"""),3.158333333333333)</f>
        <v>3.158333333</v>
      </c>
      <c r="J471" s="21">
        <f>IFERROR(__xludf.DUMMYFUNCTION("""COMPUTED_VALUE"""),74.0)</f>
        <v>74</v>
      </c>
      <c r="K471" s="23">
        <f>IFERROR(__xludf.DUMMYFUNCTION("""COMPUTED_VALUE"""),7.8)</f>
        <v>7.8</v>
      </c>
      <c r="L471" s="24">
        <f>IFERROR(__xludf.DUMMYFUNCTION("""COMPUTED_VALUE"""),65.0)</f>
        <v>65</v>
      </c>
      <c r="M471" s="25" t="str">
        <f>IFERROR(__xludf.DUMMYFUNCTION("""COMPUTED_VALUE"""),"Simulation")</f>
        <v>Simulation</v>
      </c>
      <c r="N471" s="25"/>
      <c r="O471" s="26" t="str">
        <f>IFERROR(__xludf.DUMMYFUNCTION("""COMPUTED_VALUE"""),"Yes")</f>
        <v>Yes</v>
      </c>
      <c r="P471" s="26"/>
    </row>
    <row r="472">
      <c r="A472" s="13" t="str">
        <f>IFERROR(__xludf.DUMMYFUNCTION("""COMPUTED_VALUE"""),"Wild Guns: Reloaded")</f>
        <v>Wild Guns: Reloaded</v>
      </c>
      <c r="B472" s="15" t="str">
        <f>IFERROR(__xludf.DUMMYFUNCTION("""COMPUTED_VALUE"""),"PS4")</f>
        <v>PS4</v>
      </c>
      <c r="C472" s="16" t="str">
        <f>IFERROR(__xludf.DUMMYFUNCTION("""COMPUTED_VALUE"""),"Extra")</f>
        <v>Extra</v>
      </c>
      <c r="D472" s="15" t="str">
        <f>IFERROR(__xludf.DUMMYFUNCTION("""COMPUTED_VALUE"""),"Removed")</f>
        <v>Removed</v>
      </c>
      <c r="E472" s="17">
        <f>IFERROR(__xludf.DUMMYFUNCTION("""COMPUTED_VALUE"""),44725.0)</f>
        <v>44725</v>
      </c>
      <c r="F472" s="54">
        <f>IFERROR(__xludf.DUMMYFUNCTION("""COMPUTED_VALUE"""),45250.0)</f>
        <v>45250</v>
      </c>
      <c r="G472" s="19">
        <f>IFERROR(__xludf.DUMMYFUNCTION("""COMPUTED_VALUE"""),17.233333333333334)</f>
        <v>17.23333333</v>
      </c>
      <c r="H472" s="17">
        <f>IFERROR(__xludf.DUMMYFUNCTION("""COMPUTED_VALUE"""),42705.0)</f>
        <v>42705</v>
      </c>
      <c r="I472" s="19">
        <f>IFERROR(__xludf.DUMMYFUNCTION("""COMPUTED_VALUE"""),5.533333333333333)</f>
        <v>5.533333333</v>
      </c>
      <c r="J472" s="21">
        <f>IFERROR(__xludf.DUMMYFUNCTION("""COMPUTED_VALUE"""),75.0)</f>
        <v>75</v>
      </c>
      <c r="K472" s="23">
        <f>IFERROR(__xludf.DUMMYFUNCTION("""COMPUTED_VALUE"""),7.5)</f>
        <v>7.5</v>
      </c>
      <c r="L472" s="24">
        <f>IFERROR(__xludf.DUMMYFUNCTION("""COMPUTED_VALUE"""),2.0)</f>
        <v>2</v>
      </c>
      <c r="M472" s="25" t="str">
        <f>IFERROR(__xludf.DUMMYFUNCTION("""COMPUTED_VALUE"""),"Arcade")</f>
        <v>Arcade</v>
      </c>
      <c r="N472" s="25"/>
      <c r="O472" s="26" t="str">
        <f>IFERROR(__xludf.DUMMYFUNCTION("""COMPUTED_VALUE"""),"Yes")</f>
        <v>Yes</v>
      </c>
      <c r="P472" s="26" t="str">
        <f>IFERROR(__xludf.DUMMYFUNCTION("""COMPUTED_VALUE"""),"Yes")</f>
        <v>Yes</v>
      </c>
    </row>
    <row r="473">
      <c r="A473" s="13" t="str">
        <f>IFERROR(__xludf.DUMMYFUNCTION("""COMPUTED_VALUE"""),"Farming Simulator 22")</f>
        <v>Farming Simulator 22</v>
      </c>
      <c r="B473" s="15" t="str">
        <f>IFERROR(__xludf.DUMMYFUNCTION("""COMPUTED_VALUE"""),"PS5/PS4")</f>
        <v>PS5/PS4</v>
      </c>
      <c r="C473" s="16" t="str">
        <f>IFERROR(__xludf.DUMMYFUNCTION("""COMPUTED_VALUE"""),"Essential")</f>
        <v>Essential</v>
      </c>
      <c r="D473" s="15" t="str">
        <f>IFERROR(__xludf.DUMMYFUNCTION("""COMPUTED_VALUE"""),"Removed")</f>
        <v>Removed</v>
      </c>
      <c r="E473" s="17">
        <f>IFERROR(__xludf.DUMMYFUNCTION("""COMPUTED_VALUE"""),45202.0)</f>
        <v>45202</v>
      </c>
      <c r="F473" s="54">
        <f>IFERROR(__xludf.DUMMYFUNCTION("""COMPUTED_VALUE"""),45236.0)</f>
        <v>45236</v>
      </c>
      <c r="G473" s="19">
        <f>IFERROR(__xludf.DUMMYFUNCTION("""COMPUTED_VALUE"""),1.0999999999999999)</f>
        <v>1.1</v>
      </c>
      <c r="H473" s="17">
        <f>IFERROR(__xludf.DUMMYFUNCTION("""COMPUTED_VALUE"""),44522.0)</f>
        <v>44522</v>
      </c>
      <c r="I473" s="19">
        <f>IFERROR(__xludf.DUMMYFUNCTION("""COMPUTED_VALUE"""),1.863888888888889)</f>
        <v>1.863888889</v>
      </c>
      <c r="J473" s="21">
        <f>IFERROR(__xludf.DUMMYFUNCTION("""COMPUTED_VALUE"""),75.0)</f>
        <v>75</v>
      </c>
      <c r="K473" s="23">
        <f>IFERROR(__xludf.DUMMYFUNCTION("""COMPUTED_VALUE"""),6.3)</f>
        <v>6.3</v>
      </c>
      <c r="L473" s="24">
        <f>IFERROR(__xludf.DUMMYFUNCTION("""COMPUTED_VALUE"""),324.0)</f>
        <v>324</v>
      </c>
      <c r="M473" s="25" t="str">
        <f>IFERROR(__xludf.DUMMYFUNCTION("""COMPUTED_VALUE"""),"Simulation")</f>
        <v>Simulation</v>
      </c>
      <c r="N473" s="25"/>
      <c r="O473" s="26" t="str">
        <f>IFERROR(__xludf.DUMMYFUNCTION("""COMPUTED_VALUE"""),"No")</f>
        <v>No</v>
      </c>
      <c r="P473" s="26"/>
    </row>
    <row r="474">
      <c r="A474" s="13" t="str">
        <f>IFERROR(__xludf.DUMMYFUNCTION("""COMPUTED_VALUE"""),"The Callisto Protocol")</f>
        <v>The Callisto Protocol</v>
      </c>
      <c r="B474" s="15" t="str">
        <f>IFERROR(__xludf.DUMMYFUNCTION("""COMPUTED_VALUE"""),"PS5/PS4")</f>
        <v>PS5/PS4</v>
      </c>
      <c r="C474" s="16" t="str">
        <f>IFERROR(__xludf.DUMMYFUNCTION("""COMPUTED_VALUE"""),"Essential")</f>
        <v>Essential</v>
      </c>
      <c r="D474" s="15" t="str">
        <f>IFERROR(__xludf.DUMMYFUNCTION("""COMPUTED_VALUE"""),"Removed")</f>
        <v>Removed</v>
      </c>
      <c r="E474" s="17">
        <f>IFERROR(__xludf.DUMMYFUNCTION("""COMPUTED_VALUE"""),45202.0)</f>
        <v>45202</v>
      </c>
      <c r="F474" s="54">
        <f>IFERROR(__xludf.DUMMYFUNCTION("""COMPUTED_VALUE"""),45236.0)</f>
        <v>45236</v>
      </c>
      <c r="G474" s="19">
        <f>IFERROR(__xludf.DUMMYFUNCTION("""COMPUTED_VALUE"""),1.0999999999999999)</f>
        <v>1.1</v>
      </c>
      <c r="H474" s="17">
        <f>IFERROR(__xludf.DUMMYFUNCTION("""COMPUTED_VALUE"""),44897.0)</f>
        <v>44897</v>
      </c>
      <c r="I474" s="19">
        <f>IFERROR(__xludf.DUMMYFUNCTION("""COMPUTED_VALUE"""),0.8361111111111111)</f>
        <v>0.8361111111</v>
      </c>
      <c r="J474" s="21">
        <f>IFERROR(__xludf.DUMMYFUNCTION("""COMPUTED_VALUE"""),69.0)</f>
        <v>69</v>
      </c>
      <c r="K474" s="23">
        <f>IFERROR(__xludf.DUMMYFUNCTION("""COMPUTED_VALUE"""),6.9)</f>
        <v>6.9</v>
      </c>
      <c r="L474" s="24">
        <f>IFERROR(__xludf.DUMMYFUNCTION("""COMPUTED_VALUE"""),10.0)</f>
        <v>10</v>
      </c>
      <c r="M474" s="25" t="str">
        <f>IFERROR(__xludf.DUMMYFUNCTION("""COMPUTED_VALUE"""),"Action-Adventure")</f>
        <v>Action-Adventure</v>
      </c>
      <c r="N474" s="25"/>
      <c r="O474" s="26" t="str">
        <f>IFERROR(__xludf.DUMMYFUNCTION("""COMPUTED_VALUE"""),"No")</f>
        <v>No</v>
      </c>
      <c r="P474" s="26"/>
    </row>
    <row r="475">
      <c r="A475" s="13" t="str">
        <f>IFERROR(__xludf.DUMMYFUNCTION("""COMPUTED_VALUE"""),"Weird West")</f>
        <v>Weird West</v>
      </c>
      <c r="B475" s="15" t="str">
        <f>IFERROR(__xludf.DUMMYFUNCTION("""COMPUTED_VALUE"""),"PS5/PS4")</f>
        <v>PS5/PS4</v>
      </c>
      <c r="C475" s="16" t="str">
        <f>IFERROR(__xludf.DUMMYFUNCTION("""COMPUTED_VALUE"""),"Essential")</f>
        <v>Essential</v>
      </c>
      <c r="D475" s="15" t="str">
        <f>IFERROR(__xludf.DUMMYFUNCTION("""COMPUTED_VALUE"""),"Removed")</f>
        <v>Removed</v>
      </c>
      <c r="E475" s="17">
        <f>IFERROR(__xludf.DUMMYFUNCTION("""COMPUTED_VALUE"""),45202.0)</f>
        <v>45202</v>
      </c>
      <c r="F475" s="54">
        <f>IFERROR(__xludf.DUMMYFUNCTION("""COMPUTED_VALUE"""),45236.0)</f>
        <v>45236</v>
      </c>
      <c r="G475" s="19">
        <f>IFERROR(__xludf.DUMMYFUNCTION("""COMPUTED_VALUE"""),1.0999999999999999)</f>
        <v>1.1</v>
      </c>
      <c r="H475" s="17">
        <f>IFERROR(__xludf.DUMMYFUNCTION("""COMPUTED_VALUE"""),44651.0)</f>
        <v>44651</v>
      </c>
      <c r="I475" s="19">
        <f>IFERROR(__xludf.DUMMYFUNCTION("""COMPUTED_VALUE"""),1.5083333333333333)</f>
        <v>1.508333333</v>
      </c>
      <c r="J475" s="21">
        <f>IFERROR(__xludf.DUMMYFUNCTION("""COMPUTED_VALUE"""),73.0)</f>
        <v>73</v>
      </c>
      <c r="K475" s="23">
        <f>IFERROR(__xludf.DUMMYFUNCTION("""COMPUTED_VALUE"""),7.0)</f>
        <v>7</v>
      </c>
      <c r="L475" s="24">
        <f>IFERROR(__xludf.DUMMYFUNCTION("""COMPUTED_VALUE"""),18.0)</f>
        <v>18</v>
      </c>
      <c r="M475" s="25" t="str">
        <f>IFERROR(__xludf.DUMMYFUNCTION("""COMPUTED_VALUE"""),"Action-Adventure")</f>
        <v>Action-Adventure</v>
      </c>
      <c r="N475" s="25"/>
      <c r="O475" s="26" t="str">
        <f>IFERROR(__xludf.DUMMYFUNCTION("""COMPUTED_VALUE"""),"No")</f>
        <v>No</v>
      </c>
      <c r="P475" s="26"/>
    </row>
    <row r="476">
      <c r="A476" s="13" t="str">
        <f>IFERROR(__xludf.DUMMYFUNCTION("""COMPUTED_VALUE"""),"The Quarry")</f>
        <v>The Quarry</v>
      </c>
      <c r="B476" s="15" t="str">
        <f>IFERROR(__xludf.DUMMYFUNCTION("""COMPUTED_VALUE"""),"PS5/PS4")</f>
        <v>PS5/PS4</v>
      </c>
      <c r="C476" s="16" t="str">
        <f>IFERROR(__xludf.DUMMYFUNCTION("""COMPUTED_VALUE"""),"Extra")</f>
        <v>Extra</v>
      </c>
      <c r="D476" s="15" t="str">
        <f>IFERROR(__xludf.DUMMYFUNCTION("""COMPUTED_VALUE"""),"Removed")</f>
        <v>Removed</v>
      </c>
      <c r="E476" s="17">
        <f>IFERROR(__xludf.DUMMYFUNCTION("""COMPUTED_VALUE"""),44978.0)</f>
        <v>44978</v>
      </c>
      <c r="F476" s="54">
        <f>IFERROR(__xludf.DUMMYFUNCTION("""COMPUTED_VALUE"""),45215.0)</f>
        <v>45215</v>
      </c>
      <c r="G476" s="19">
        <f>IFERROR(__xludf.DUMMYFUNCTION("""COMPUTED_VALUE"""),7.833333333333334)</f>
        <v>7.833333333</v>
      </c>
      <c r="H476" s="17">
        <f>IFERROR(__xludf.DUMMYFUNCTION("""COMPUTED_VALUE"""),44722.0)</f>
        <v>44722</v>
      </c>
      <c r="I476" s="19">
        <f>IFERROR(__xludf.DUMMYFUNCTION("""COMPUTED_VALUE"""),0.6972222222222222)</f>
        <v>0.6972222222</v>
      </c>
      <c r="J476" s="21">
        <f>IFERROR(__xludf.DUMMYFUNCTION("""COMPUTED_VALUE"""),74.0)</f>
        <v>74</v>
      </c>
      <c r="K476" s="23">
        <f>IFERROR(__xludf.DUMMYFUNCTION("""COMPUTED_VALUE"""),7.0)</f>
        <v>7</v>
      </c>
      <c r="L476" s="24">
        <f>IFERROR(__xludf.DUMMYFUNCTION("""COMPUTED_VALUE"""),9.0)</f>
        <v>9</v>
      </c>
      <c r="M476" s="25" t="str">
        <f>IFERROR(__xludf.DUMMYFUNCTION("""COMPUTED_VALUE"""),"Action-Adventure")</f>
        <v>Action-Adventure</v>
      </c>
      <c r="N476" s="25"/>
      <c r="O476" s="26" t="str">
        <f>IFERROR(__xludf.DUMMYFUNCTION("""COMPUTED_VALUE"""),"Yes")</f>
        <v>Yes</v>
      </c>
      <c r="P476" s="26"/>
    </row>
    <row r="477">
      <c r="A477" s="13" t="str">
        <f>IFERROR(__xludf.DUMMYFUNCTION("""COMPUTED_VALUE"""),"Far Cry 5")</f>
        <v>Far Cry 5</v>
      </c>
      <c r="B477" s="15" t="str">
        <f>IFERROR(__xludf.DUMMYFUNCTION("""COMPUTED_VALUE"""),"PS4")</f>
        <v>PS4</v>
      </c>
      <c r="C477" s="16" t="str">
        <f>IFERROR(__xludf.DUMMYFUNCTION("""COMPUTED_VALUE"""),"Extra (Ubisoft+ Classics)")</f>
        <v>Extra (Ubisoft+ Classics)</v>
      </c>
      <c r="D477" s="15" t="str">
        <f>IFERROR(__xludf.DUMMYFUNCTION("""COMPUTED_VALUE"""),"Removed")</f>
        <v>Removed</v>
      </c>
      <c r="E477" s="17">
        <f>IFERROR(__xludf.DUMMYFUNCTION("""COMPUTED_VALUE"""),44915.0)</f>
        <v>44915</v>
      </c>
      <c r="F477" s="54">
        <f>IFERROR(__xludf.DUMMYFUNCTION("""COMPUTED_VALUE"""),45215.0)</f>
        <v>45215</v>
      </c>
      <c r="G477" s="19">
        <f>IFERROR(__xludf.DUMMYFUNCTION("""COMPUTED_VALUE"""),9.866666666666667)</f>
        <v>9.866666667</v>
      </c>
      <c r="H477" s="17">
        <f>IFERROR(__xludf.DUMMYFUNCTION("""COMPUTED_VALUE"""),43186.0)</f>
        <v>43186</v>
      </c>
      <c r="I477" s="19">
        <f>IFERROR(__xludf.DUMMYFUNCTION("""COMPUTED_VALUE"""),4.730555555555555)</f>
        <v>4.730555556</v>
      </c>
      <c r="J477" s="21">
        <f>IFERROR(__xludf.DUMMYFUNCTION("""COMPUTED_VALUE"""),81.0)</f>
        <v>81</v>
      </c>
      <c r="K477" s="23">
        <f>IFERROR(__xludf.DUMMYFUNCTION("""COMPUTED_VALUE"""),6.9)</f>
        <v>6.9</v>
      </c>
      <c r="L477" s="24">
        <f>IFERROR(__xludf.DUMMYFUNCTION("""COMPUTED_VALUE"""),18.0)</f>
        <v>18</v>
      </c>
      <c r="M477" s="25" t="str">
        <f>IFERROR(__xludf.DUMMYFUNCTION("""COMPUTED_VALUE"""),"Shooter")</f>
        <v>Shooter</v>
      </c>
      <c r="N477" s="25"/>
      <c r="O477" s="26" t="str">
        <f>IFERROR(__xludf.DUMMYFUNCTION("""COMPUTED_VALUE"""),"No")</f>
        <v>No</v>
      </c>
      <c r="P477" s="26"/>
    </row>
    <row r="478">
      <c r="A478" s="13" t="str">
        <f>IFERROR(__xludf.DUMMYFUNCTION("""COMPUTED_VALUE"""),"The Medium")</f>
        <v>The Medium</v>
      </c>
      <c r="B478" s="15" t="str">
        <f>IFERROR(__xludf.DUMMYFUNCTION("""COMPUTED_VALUE"""),"PS5")</f>
        <v>PS5</v>
      </c>
      <c r="C478" s="16" t="str">
        <f>IFERROR(__xludf.DUMMYFUNCTION("""COMPUTED_VALUE"""),"Extra")</f>
        <v>Extra</v>
      </c>
      <c r="D478" s="15" t="str">
        <f>IFERROR(__xludf.DUMMYFUNCTION("""COMPUTED_VALUE"""),"Removed")</f>
        <v>Removed</v>
      </c>
      <c r="E478" s="17">
        <f>IFERROR(__xludf.DUMMYFUNCTION("""COMPUTED_VALUE"""),44852.0)</f>
        <v>44852</v>
      </c>
      <c r="F478" s="54">
        <f>IFERROR(__xludf.DUMMYFUNCTION("""COMPUTED_VALUE"""),45215.0)</f>
        <v>45215</v>
      </c>
      <c r="G478" s="19">
        <f>IFERROR(__xludf.DUMMYFUNCTION("""COMPUTED_VALUE"""),11.933333333333334)</f>
        <v>11.93333333</v>
      </c>
      <c r="H478" s="17">
        <f>IFERROR(__xludf.DUMMYFUNCTION("""COMPUTED_VALUE"""),44224.0)</f>
        <v>44224</v>
      </c>
      <c r="I478" s="19">
        <f>IFERROR(__xludf.DUMMYFUNCTION("""COMPUTED_VALUE"""),1.7222222222222223)</f>
        <v>1.722222222</v>
      </c>
      <c r="J478" s="21">
        <f>IFERROR(__xludf.DUMMYFUNCTION("""COMPUTED_VALUE"""),75.0)</f>
        <v>75</v>
      </c>
      <c r="K478" s="23">
        <f>IFERROR(__xludf.DUMMYFUNCTION("""COMPUTED_VALUE"""),6.7)</f>
        <v>6.7</v>
      </c>
      <c r="L478" s="24">
        <f>IFERROR(__xludf.DUMMYFUNCTION("""COMPUTED_VALUE"""),8.0)</f>
        <v>8</v>
      </c>
      <c r="M478" s="25" t="str">
        <f>IFERROR(__xludf.DUMMYFUNCTION("""COMPUTED_VALUE"""),"Action-Adventure")</f>
        <v>Action-Adventure</v>
      </c>
      <c r="N478" s="25"/>
      <c r="O478" s="26" t="str">
        <f>IFERROR(__xludf.DUMMYFUNCTION("""COMPUTED_VALUE"""),"No")</f>
        <v>No</v>
      </c>
      <c r="P478" s="26"/>
    </row>
    <row r="479">
      <c r="A479" s="13" t="str">
        <f>IFERROR(__xludf.DUMMYFUNCTION("""COMPUTED_VALUE"""),"INSIDE")</f>
        <v>INSIDE</v>
      </c>
      <c r="B479" s="15" t="str">
        <f>IFERROR(__xludf.DUMMYFUNCTION("""COMPUTED_VALUE"""),"PS4")</f>
        <v>PS4</v>
      </c>
      <c r="C479" s="16" t="str">
        <f>IFERROR(__xludf.DUMMYFUNCTION("""COMPUTED_VALUE"""),"Extra")</f>
        <v>Extra</v>
      </c>
      <c r="D479" s="15" t="str">
        <f>IFERROR(__xludf.DUMMYFUNCTION("""COMPUTED_VALUE"""),"Removed")</f>
        <v>Removed</v>
      </c>
      <c r="E479" s="17">
        <f>IFERROR(__xludf.DUMMYFUNCTION("""COMPUTED_VALUE"""),44852.0)</f>
        <v>44852</v>
      </c>
      <c r="F479" s="54">
        <f>IFERROR(__xludf.DUMMYFUNCTION("""COMPUTED_VALUE"""),45215.0)</f>
        <v>45215</v>
      </c>
      <c r="G479" s="19">
        <f>IFERROR(__xludf.DUMMYFUNCTION("""COMPUTED_VALUE"""),11.933333333333334)</f>
        <v>11.93333333</v>
      </c>
      <c r="H479" s="17">
        <f>IFERROR(__xludf.DUMMYFUNCTION("""COMPUTED_VALUE"""),42550.0)</f>
        <v>42550</v>
      </c>
      <c r="I479" s="19">
        <f>IFERROR(__xludf.DUMMYFUNCTION("""COMPUTED_VALUE"""),6.302777777777778)</f>
        <v>6.302777778</v>
      </c>
      <c r="J479" s="21">
        <f>IFERROR(__xludf.DUMMYFUNCTION("""COMPUTED_VALUE"""),91.0)</f>
        <v>91</v>
      </c>
      <c r="K479" s="23">
        <f>IFERROR(__xludf.DUMMYFUNCTION("""COMPUTED_VALUE"""),8.5)</f>
        <v>8.5</v>
      </c>
      <c r="L479" s="24">
        <f>IFERROR(__xludf.DUMMYFUNCTION("""COMPUTED_VALUE"""),3.5)</f>
        <v>3.5</v>
      </c>
      <c r="M479" s="25" t="str">
        <f>IFERROR(__xludf.DUMMYFUNCTION("""COMPUTED_VALUE"""),"Platformer")</f>
        <v>Platformer</v>
      </c>
      <c r="N479" s="25"/>
      <c r="O479" s="26" t="str">
        <f>IFERROR(__xludf.DUMMYFUNCTION("""COMPUTED_VALUE"""),"Yes")</f>
        <v>Yes</v>
      </c>
      <c r="P479" s="26"/>
    </row>
    <row r="480">
      <c r="A480" s="13" t="str">
        <f>IFERROR(__xludf.DUMMYFUNCTION("""COMPUTED_VALUE"""),"Naruto to Boruto: Shinobi Striker")</f>
        <v>Naruto to Boruto: Shinobi Striker</v>
      </c>
      <c r="B480" s="15" t="str">
        <f>IFERROR(__xludf.DUMMYFUNCTION("""COMPUTED_VALUE"""),"PS4")</f>
        <v>PS4</v>
      </c>
      <c r="C480" s="16" t="str">
        <f>IFERROR(__xludf.DUMMYFUNCTION("""COMPUTED_VALUE"""),"Extra")</f>
        <v>Extra</v>
      </c>
      <c r="D480" s="15" t="str">
        <f>IFERROR(__xludf.DUMMYFUNCTION("""COMPUTED_VALUE"""),"Removed")</f>
        <v>Removed</v>
      </c>
      <c r="E480" s="17">
        <f>IFERROR(__xludf.DUMMYFUNCTION("""COMPUTED_VALUE"""),44852.0)</f>
        <v>44852</v>
      </c>
      <c r="F480" s="54">
        <f>IFERROR(__xludf.DUMMYFUNCTION("""COMPUTED_VALUE"""),45215.0)</f>
        <v>45215</v>
      </c>
      <c r="G480" s="19">
        <f>IFERROR(__xludf.DUMMYFUNCTION("""COMPUTED_VALUE"""),11.933333333333334)</f>
        <v>11.93333333</v>
      </c>
      <c r="H480" s="17">
        <f>IFERROR(__xludf.DUMMYFUNCTION("""COMPUTED_VALUE"""),43342.0)</f>
        <v>43342</v>
      </c>
      <c r="I480" s="19">
        <f>IFERROR(__xludf.DUMMYFUNCTION("""COMPUTED_VALUE"""),4.133333333333334)</f>
        <v>4.133333333</v>
      </c>
      <c r="J480" s="21">
        <f>IFERROR(__xludf.DUMMYFUNCTION("""COMPUTED_VALUE"""),61.0)</f>
        <v>61</v>
      </c>
      <c r="K480" s="23">
        <f>IFERROR(__xludf.DUMMYFUNCTION("""COMPUTED_VALUE"""),6.0)</f>
        <v>6</v>
      </c>
      <c r="L480" s="24">
        <f>IFERROR(__xludf.DUMMYFUNCTION("""COMPUTED_VALUE"""),6.5)</f>
        <v>6.5</v>
      </c>
      <c r="M480" s="25" t="str">
        <f>IFERROR(__xludf.DUMMYFUNCTION("""COMPUTED_VALUE"""),"Fighting")</f>
        <v>Fighting</v>
      </c>
      <c r="N480" s="25"/>
      <c r="O480" s="26" t="str">
        <f>IFERROR(__xludf.DUMMYFUNCTION("""COMPUTED_VALUE"""),"Yes")</f>
        <v>Yes</v>
      </c>
      <c r="P480" s="26"/>
    </row>
    <row r="481">
      <c r="A481" s="13" t="str">
        <f>IFERROR(__xludf.DUMMYFUNCTION("""COMPUTED_VALUE"""),"Yakuza 5: Remastered")</f>
        <v>Yakuza 5: Remastered</v>
      </c>
      <c r="B481" s="15" t="str">
        <f>IFERROR(__xludf.DUMMYFUNCTION("""COMPUTED_VALUE"""),"PS4")</f>
        <v>PS4</v>
      </c>
      <c r="C481" s="16" t="str">
        <f>IFERROR(__xludf.DUMMYFUNCTION("""COMPUTED_VALUE"""),"Premium (Remasters)")</f>
        <v>Premium (Remasters)</v>
      </c>
      <c r="D481" s="15" t="str">
        <f>IFERROR(__xludf.DUMMYFUNCTION("""COMPUTED_VALUE"""),"Removed")</f>
        <v>Removed</v>
      </c>
      <c r="E481" s="17">
        <f>IFERROR(__xludf.DUMMYFUNCTION("""COMPUTED_VALUE"""),44852.0)</f>
        <v>44852</v>
      </c>
      <c r="F481" s="54">
        <f>IFERROR(__xludf.DUMMYFUNCTION("""COMPUTED_VALUE"""),45215.0)</f>
        <v>45215</v>
      </c>
      <c r="G481" s="19">
        <f>IFERROR(__xludf.DUMMYFUNCTION("""COMPUTED_VALUE"""),11.933333333333334)</f>
        <v>11.93333333</v>
      </c>
      <c r="H481" s="17">
        <f>IFERROR(__xludf.DUMMYFUNCTION("""COMPUTED_VALUE"""),43862.0)</f>
        <v>43862</v>
      </c>
      <c r="I481" s="19">
        <f>IFERROR(__xludf.DUMMYFUNCTION("""COMPUTED_VALUE"""),2.713888888888889)</f>
        <v>2.713888889</v>
      </c>
      <c r="J481" s="21">
        <f>IFERROR(__xludf.DUMMYFUNCTION("""COMPUTED_VALUE"""),82.0)</f>
        <v>82</v>
      </c>
      <c r="K481" s="23">
        <f>IFERROR(__xludf.DUMMYFUNCTION("""COMPUTED_VALUE"""),7.9)</f>
        <v>7.9</v>
      </c>
      <c r="L481" s="24">
        <f>IFERROR(__xludf.DUMMYFUNCTION("""COMPUTED_VALUE"""),37.0)</f>
        <v>37</v>
      </c>
      <c r="M481" s="25" t="str">
        <f>IFERROR(__xludf.DUMMYFUNCTION("""COMPUTED_VALUE"""),"RPG")</f>
        <v>RPG</v>
      </c>
      <c r="N481" s="25" t="str">
        <f>IFERROR(__xludf.DUMMYFUNCTION("""COMPUTED_VALUE"""),"PS3")</f>
        <v>PS3</v>
      </c>
      <c r="O481" s="26" t="str">
        <f>IFERROR(__xludf.DUMMYFUNCTION("""COMPUTED_VALUE"""),"Yes")</f>
        <v>Yes</v>
      </c>
      <c r="P481" s="26"/>
    </row>
    <row r="482">
      <c r="A482" s="13" t="str">
        <f>IFERROR(__xludf.DUMMYFUNCTION("""COMPUTED_VALUE"""),"Yakuza 4: Remastered")</f>
        <v>Yakuza 4: Remastered</v>
      </c>
      <c r="B482" s="15" t="str">
        <f>IFERROR(__xludf.DUMMYFUNCTION("""COMPUTED_VALUE"""),"PS4")</f>
        <v>PS4</v>
      </c>
      <c r="C482" s="16" t="str">
        <f>IFERROR(__xludf.DUMMYFUNCTION("""COMPUTED_VALUE"""),"Premium (Remasters)")</f>
        <v>Premium (Remasters)</v>
      </c>
      <c r="D482" s="15" t="str">
        <f>IFERROR(__xludf.DUMMYFUNCTION("""COMPUTED_VALUE"""),"Removed")</f>
        <v>Removed</v>
      </c>
      <c r="E482" s="17">
        <f>IFERROR(__xludf.DUMMYFUNCTION("""COMPUTED_VALUE"""),44852.0)</f>
        <v>44852</v>
      </c>
      <c r="F482" s="54">
        <f>IFERROR(__xludf.DUMMYFUNCTION("""COMPUTED_VALUE"""),45215.0)</f>
        <v>45215</v>
      </c>
      <c r="G482" s="19">
        <f>IFERROR(__xludf.DUMMYFUNCTION("""COMPUTED_VALUE"""),11.933333333333334)</f>
        <v>11.93333333</v>
      </c>
      <c r="H482" s="17">
        <f>IFERROR(__xludf.DUMMYFUNCTION("""COMPUTED_VALUE"""),43739.0)</f>
        <v>43739</v>
      </c>
      <c r="I482" s="19">
        <f>IFERROR(__xludf.DUMMYFUNCTION("""COMPUTED_VALUE"""),3.047222222222222)</f>
        <v>3.047222222</v>
      </c>
      <c r="J482" s="21">
        <f>IFERROR(__xludf.DUMMYFUNCTION("""COMPUTED_VALUE"""),78.0)</f>
        <v>78</v>
      </c>
      <c r="K482" s="23">
        <f>IFERROR(__xludf.DUMMYFUNCTION("""COMPUTED_VALUE"""),7.6)</f>
        <v>7.6</v>
      </c>
      <c r="L482" s="24">
        <f>IFERROR(__xludf.DUMMYFUNCTION("""COMPUTED_VALUE"""),21.0)</f>
        <v>21</v>
      </c>
      <c r="M482" s="25" t="str">
        <f>IFERROR(__xludf.DUMMYFUNCTION("""COMPUTED_VALUE"""),"RPG")</f>
        <v>RPG</v>
      </c>
      <c r="N482" s="25" t="str">
        <f>IFERROR(__xludf.DUMMYFUNCTION("""COMPUTED_VALUE"""),"PS3")</f>
        <v>PS3</v>
      </c>
      <c r="O482" s="26" t="str">
        <f>IFERROR(__xludf.DUMMYFUNCTION("""COMPUTED_VALUE"""),"Yes")</f>
        <v>Yes</v>
      </c>
      <c r="P482" s="26"/>
    </row>
    <row r="483">
      <c r="A483" s="13" t="str">
        <f>IFERROR(__xludf.DUMMYFUNCTION("""COMPUTED_VALUE"""),"Yakuza 3: Remastered")</f>
        <v>Yakuza 3: Remastered</v>
      </c>
      <c r="B483" s="15" t="str">
        <f>IFERROR(__xludf.DUMMYFUNCTION("""COMPUTED_VALUE"""),"PS4")</f>
        <v>PS4</v>
      </c>
      <c r="C483" s="16" t="str">
        <f>IFERROR(__xludf.DUMMYFUNCTION("""COMPUTED_VALUE"""),"Premium (Remasters)")</f>
        <v>Premium (Remasters)</v>
      </c>
      <c r="D483" s="15" t="str">
        <f>IFERROR(__xludf.DUMMYFUNCTION("""COMPUTED_VALUE"""),"Removed")</f>
        <v>Removed</v>
      </c>
      <c r="E483" s="17">
        <f>IFERROR(__xludf.DUMMYFUNCTION("""COMPUTED_VALUE"""),44852.0)</f>
        <v>44852</v>
      </c>
      <c r="F483" s="54">
        <f>IFERROR(__xludf.DUMMYFUNCTION("""COMPUTED_VALUE"""),45215.0)</f>
        <v>45215</v>
      </c>
      <c r="G483" s="19">
        <f>IFERROR(__xludf.DUMMYFUNCTION("""COMPUTED_VALUE"""),11.933333333333334)</f>
        <v>11.93333333</v>
      </c>
      <c r="H483" s="17">
        <f>IFERROR(__xludf.DUMMYFUNCTION("""COMPUTED_VALUE"""),43678.0)</f>
        <v>43678</v>
      </c>
      <c r="I483" s="19">
        <f>IFERROR(__xludf.DUMMYFUNCTION("""COMPUTED_VALUE"""),3.213888888888889)</f>
        <v>3.213888889</v>
      </c>
      <c r="J483" s="21">
        <f>IFERROR(__xludf.DUMMYFUNCTION("""COMPUTED_VALUE"""),77.0)</f>
        <v>77</v>
      </c>
      <c r="K483" s="23">
        <f>IFERROR(__xludf.DUMMYFUNCTION("""COMPUTED_VALUE"""),7.4)</f>
        <v>7.4</v>
      </c>
      <c r="L483" s="24">
        <f>IFERROR(__xludf.DUMMYFUNCTION("""COMPUTED_VALUE"""),17.0)</f>
        <v>17</v>
      </c>
      <c r="M483" s="25" t="str">
        <f>IFERROR(__xludf.DUMMYFUNCTION("""COMPUTED_VALUE"""),"RPG")</f>
        <v>RPG</v>
      </c>
      <c r="N483" s="25" t="str">
        <f>IFERROR(__xludf.DUMMYFUNCTION("""COMPUTED_VALUE"""),"PS3")</f>
        <v>PS3</v>
      </c>
      <c r="O483" s="26" t="str">
        <f>IFERROR(__xludf.DUMMYFUNCTION("""COMPUTED_VALUE"""),"Yes")</f>
        <v>Yes</v>
      </c>
      <c r="P483" s="26"/>
    </row>
    <row r="484">
      <c r="A484" s="13" t="str">
        <f>IFERROR(__xludf.DUMMYFUNCTION("""COMPUTED_VALUE"""),"Limbo")</f>
        <v>Limbo</v>
      </c>
      <c r="B484" s="15" t="str">
        <f>IFERROR(__xludf.DUMMYFUNCTION("""COMPUTED_VALUE"""),"PS5/PS4")</f>
        <v>PS5/PS4</v>
      </c>
      <c r="C484" s="16" t="str">
        <f>IFERROR(__xludf.DUMMYFUNCTION("""COMPUTED_VALUE"""),"Premium (Streaming Only)")</f>
        <v>Premium (Streaming Only)</v>
      </c>
      <c r="D484" s="15" t="str">
        <f>IFERROR(__xludf.DUMMYFUNCTION("""COMPUTED_VALUE"""),"Removed")</f>
        <v>Removed</v>
      </c>
      <c r="E484" s="17">
        <f>IFERROR(__xludf.DUMMYFUNCTION("""COMPUTED_VALUE"""),44852.0)</f>
        <v>44852</v>
      </c>
      <c r="F484" s="54">
        <f>IFERROR(__xludf.DUMMYFUNCTION("""COMPUTED_VALUE"""),45215.0)</f>
        <v>45215</v>
      </c>
      <c r="G484" s="19">
        <f>IFERROR(__xludf.DUMMYFUNCTION("""COMPUTED_VALUE"""),11.933333333333334)</f>
        <v>11.93333333</v>
      </c>
      <c r="H484" s="17">
        <f>IFERROR(__xludf.DUMMYFUNCTION("""COMPUTED_VALUE"""),44316.0)</f>
        <v>44316</v>
      </c>
      <c r="I484" s="19">
        <f>IFERROR(__xludf.DUMMYFUNCTION("""COMPUTED_VALUE"""),1.4666666666666666)</f>
        <v>1.466666667</v>
      </c>
      <c r="J484" s="21">
        <f>IFERROR(__xludf.DUMMYFUNCTION("""COMPUTED_VALUE"""),90.0)</f>
        <v>90</v>
      </c>
      <c r="K484" s="23">
        <f>IFERROR(__xludf.DUMMYFUNCTION("""COMPUTED_VALUE"""),8.0)</f>
        <v>8</v>
      </c>
      <c r="L484" s="24">
        <f>IFERROR(__xludf.DUMMYFUNCTION("""COMPUTED_VALUE"""),3.5)</f>
        <v>3.5</v>
      </c>
      <c r="M484" s="25" t="str">
        <f>IFERROR(__xludf.DUMMYFUNCTION("""COMPUTED_VALUE"""),"Platformer")</f>
        <v>Platformer</v>
      </c>
      <c r="N484" s="25" t="str">
        <f>IFERROR(__xludf.DUMMYFUNCTION("""COMPUTED_VALUE"""),"PS3")</f>
        <v>PS3</v>
      </c>
      <c r="O484" s="26" t="str">
        <f>IFERROR(__xludf.DUMMYFUNCTION("""COMPUTED_VALUE"""),"Yes")</f>
        <v>Yes</v>
      </c>
      <c r="P484" s="26"/>
    </row>
    <row r="485">
      <c r="A485" s="13" t="str">
        <f>IFERROR(__xludf.DUMMYFUNCTION("""COMPUTED_VALUE"""),"Astebreed")</f>
        <v>Astebreed</v>
      </c>
      <c r="B485" s="15" t="str">
        <f>IFERROR(__xludf.DUMMYFUNCTION("""COMPUTED_VALUE"""),"PS4")</f>
        <v>PS4</v>
      </c>
      <c r="C485" s="16" t="str">
        <f>IFERROR(__xludf.DUMMYFUNCTION("""COMPUTED_VALUE"""),"Extra")</f>
        <v>Extra</v>
      </c>
      <c r="D485" s="15" t="str">
        <f>IFERROR(__xludf.DUMMYFUNCTION("""COMPUTED_VALUE"""),"Removed")</f>
        <v>Removed</v>
      </c>
      <c r="E485" s="17">
        <f>IFERROR(__xludf.DUMMYFUNCTION("""COMPUTED_VALUE"""),44725.0)</f>
        <v>44725</v>
      </c>
      <c r="F485" s="54">
        <f>IFERROR(__xludf.DUMMYFUNCTION("""COMPUTED_VALUE"""),45215.0)</f>
        <v>45215</v>
      </c>
      <c r="G485" s="19">
        <f>IFERROR(__xludf.DUMMYFUNCTION("""COMPUTED_VALUE"""),16.099999999999998)</f>
        <v>16.1</v>
      </c>
      <c r="H485" s="17">
        <f>IFERROR(__xludf.DUMMYFUNCTION("""COMPUTED_VALUE"""),42125.0)</f>
        <v>42125</v>
      </c>
      <c r="I485" s="19">
        <f>IFERROR(__xludf.DUMMYFUNCTION("""COMPUTED_VALUE"""),7.116666666666666)</f>
        <v>7.116666667</v>
      </c>
      <c r="J485" s="21">
        <f>IFERROR(__xludf.DUMMYFUNCTION("""COMPUTED_VALUE"""),82.0)</f>
        <v>82</v>
      </c>
      <c r="K485" s="23">
        <f>IFERROR(__xludf.DUMMYFUNCTION("""COMPUTED_VALUE"""),7.0)</f>
        <v>7</v>
      </c>
      <c r="L485" s="24">
        <f>IFERROR(__xludf.DUMMYFUNCTION("""COMPUTED_VALUE"""),2.0)</f>
        <v>2</v>
      </c>
      <c r="M485" s="25" t="str">
        <f>IFERROR(__xludf.DUMMYFUNCTION("""COMPUTED_VALUE"""),"Arcade")</f>
        <v>Arcade</v>
      </c>
      <c r="N485" s="25"/>
      <c r="O485" s="26" t="str">
        <f>IFERROR(__xludf.DUMMYFUNCTION("""COMPUTED_VALUE"""),"No")</f>
        <v>No</v>
      </c>
      <c r="P485" s="26"/>
    </row>
    <row r="486">
      <c r="A486" s="13" t="str">
        <f>IFERROR(__xludf.DUMMYFUNCTION("""COMPUTED_VALUE"""),"Clouds &amp; Sheep 2")</f>
        <v>Clouds &amp; Sheep 2</v>
      </c>
      <c r="B486" s="15" t="str">
        <f>IFERROR(__xludf.DUMMYFUNCTION("""COMPUTED_VALUE"""),"PS4")</f>
        <v>PS4</v>
      </c>
      <c r="C486" s="16" t="str">
        <f>IFERROR(__xludf.DUMMYFUNCTION("""COMPUTED_VALUE"""),"Extra")</f>
        <v>Extra</v>
      </c>
      <c r="D486" s="15" t="str">
        <f>IFERROR(__xludf.DUMMYFUNCTION("""COMPUTED_VALUE"""),"Removed")</f>
        <v>Removed</v>
      </c>
      <c r="E486" s="17">
        <f>IFERROR(__xludf.DUMMYFUNCTION("""COMPUTED_VALUE"""),44725.0)</f>
        <v>44725</v>
      </c>
      <c r="F486" s="54">
        <f>IFERROR(__xludf.DUMMYFUNCTION("""COMPUTED_VALUE"""),45215.0)</f>
        <v>45215</v>
      </c>
      <c r="G486" s="19">
        <f>IFERROR(__xludf.DUMMYFUNCTION("""COMPUTED_VALUE"""),16.099999999999998)</f>
        <v>16.1</v>
      </c>
      <c r="H486" s="17">
        <f>IFERROR(__xludf.DUMMYFUNCTION("""COMPUTED_VALUE"""),42767.0)</f>
        <v>42767</v>
      </c>
      <c r="I486" s="19">
        <f>IFERROR(__xludf.DUMMYFUNCTION("""COMPUTED_VALUE"""),5.366666666666666)</f>
        <v>5.366666667</v>
      </c>
      <c r="J486" s="21">
        <f>IFERROR(__xludf.DUMMYFUNCTION("""COMPUTED_VALUE"""),66.0)</f>
        <v>66</v>
      </c>
      <c r="K486" s="23">
        <f>IFERROR(__xludf.DUMMYFUNCTION("""COMPUTED_VALUE"""),6.4)</f>
        <v>6.4</v>
      </c>
      <c r="L486" s="24">
        <f>IFERROR(__xludf.DUMMYFUNCTION("""COMPUTED_VALUE"""),6.0)</f>
        <v>6</v>
      </c>
      <c r="M486" s="25" t="str">
        <f>IFERROR(__xludf.DUMMYFUNCTION("""COMPUTED_VALUE"""),"Simulation")</f>
        <v>Simulation</v>
      </c>
      <c r="N486" s="25"/>
      <c r="O486" s="26" t="str">
        <f>IFERROR(__xludf.DUMMYFUNCTION("""COMPUTED_VALUE"""),"Yes")</f>
        <v>Yes</v>
      </c>
      <c r="P486" s="26" t="str">
        <f>IFERROR(__xludf.DUMMYFUNCTION("""COMPUTED_VALUE"""),"Yes")</f>
        <v>Yes</v>
      </c>
    </row>
    <row r="487">
      <c r="A487" s="13" t="str">
        <f>IFERROR(__xludf.DUMMYFUNCTION("""COMPUTED_VALUE"""),"Gal Gunvolt Burst")</f>
        <v>Gal Gunvolt Burst</v>
      </c>
      <c r="B487" s="15" t="str">
        <f>IFERROR(__xludf.DUMMYFUNCTION("""COMPUTED_VALUE"""),"PS4")</f>
        <v>PS4</v>
      </c>
      <c r="C487" s="16" t="str">
        <f>IFERROR(__xludf.DUMMYFUNCTION("""COMPUTED_VALUE"""),"Extra")</f>
        <v>Extra</v>
      </c>
      <c r="D487" s="15" t="str">
        <f>IFERROR(__xludf.DUMMYFUNCTION("""COMPUTED_VALUE"""),"Removed")</f>
        <v>Removed</v>
      </c>
      <c r="E487" s="17">
        <f>IFERROR(__xludf.DUMMYFUNCTION("""COMPUTED_VALUE"""),44725.0)</f>
        <v>44725</v>
      </c>
      <c r="F487" s="54">
        <f>IFERROR(__xludf.DUMMYFUNCTION("""COMPUTED_VALUE"""),45215.0)</f>
        <v>45215</v>
      </c>
      <c r="G487" s="19">
        <f>IFERROR(__xludf.DUMMYFUNCTION("""COMPUTED_VALUE"""),16.099999999999998)</f>
        <v>16.1</v>
      </c>
      <c r="H487" s="17">
        <f>IFERROR(__xludf.DUMMYFUNCTION("""COMPUTED_VALUE"""),42901.0)</f>
        <v>42901</v>
      </c>
      <c r="I487" s="19">
        <f>IFERROR(__xludf.DUMMYFUNCTION("""COMPUTED_VALUE"""),4.9944444444444445)</f>
        <v>4.994444444</v>
      </c>
      <c r="J487" s="21">
        <f>IFERROR(__xludf.DUMMYFUNCTION("""COMPUTED_VALUE"""),75.0)</f>
        <v>75</v>
      </c>
      <c r="K487" s="23">
        <f>IFERROR(__xludf.DUMMYFUNCTION("""COMPUTED_VALUE"""),7.5)</f>
        <v>7.5</v>
      </c>
      <c r="L487" s="24">
        <f>IFERROR(__xludf.DUMMYFUNCTION("""COMPUTED_VALUE"""),3.0)</f>
        <v>3</v>
      </c>
      <c r="M487" s="25" t="str">
        <f>IFERROR(__xludf.DUMMYFUNCTION("""COMPUTED_VALUE"""),"Platformer")</f>
        <v>Platformer</v>
      </c>
      <c r="N487" s="25"/>
      <c r="O487" s="26" t="str">
        <f>IFERROR(__xludf.DUMMYFUNCTION("""COMPUTED_VALUE"""),"No")</f>
        <v>No</v>
      </c>
      <c r="P487" s="26"/>
    </row>
    <row r="488">
      <c r="A488" s="13" t="str">
        <f>IFERROR(__xludf.DUMMYFUNCTION("""COMPUTED_VALUE"""),"TorqueL")</f>
        <v>TorqueL</v>
      </c>
      <c r="B488" s="15" t="str">
        <f>IFERROR(__xludf.DUMMYFUNCTION("""COMPUTED_VALUE"""),"PS4")</f>
        <v>PS4</v>
      </c>
      <c r="C488" s="16" t="str">
        <f>IFERROR(__xludf.DUMMYFUNCTION("""COMPUTED_VALUE"""),"Extra")</f>
        <v>Extra</v>
      </c>
      <c r="D488" s="15" t="str">
        <f>IFERROR(__xludf.DUMMYFUNCTION("""COMPUTED_VALUE"""),"Removed")</f>
        <v>Removed</v>
      </c>
      <c r="E488" s="17">
        <f>IFERROR(__xludf.DUMMYFUNCTION("""COMPUTED_VALUE"""),44725.0)</f>
        <v>44725</v>
      </c>
      <c r="F488" s="54">
        <f>IFERROR(__xludf.DUMMYFUNCTION("""COMPUTED_VALUE"""),45215.0)</f>
        <v>45215</v>
      </c>
      <c r="G488" s="19">
        <f>IFERROR(__xludf.DUMMYFUNCTION("""COMPUTED_VALUE"""),16.099999999999998)</f>
        <v>16.1</v>
      </c>
      <c r="H488" s="17">
        <f>IFERROR(__xludf.DUMMYFUNCTION("""COMPUTED_VALUE"""),42018.0)</f>
        <v>42018</v>
      </c>
      <c r="I488" s="19">
        <f>IFERROR(__xludf.DUMMYFUNCTION("""COMPUTED_VALUE"""),7.413888888888889)</f>
        <v>7.413888889</v>
      </c>
      <c r="J488" s="21">
        <f>IFERROR(__xludf.DUMMYFUNCTION("""COMPUTED_VALUE"""),58.0)</f>
        <v>58</v>
      </c>
      <c r="K488" s="23">
        <f>IFERROR(__xludf.DUMMYFUNCTION("""COMPUTED_VALUE"""),6.5)</f>
        <v>6.5</v>
      </c>
      <c r="L488" s="24"/>
      <c r="M488" s="25" t="str">
        <f>IFERROR(__xludf.DUMMYFUNCTION("""COMPUTED_VALUE"""),"Puzzle")</f>
        <v>Puzzle</v>
      </c>
      <c r="N488" s="25"/>
      <c r="O488" s="26" t="str">
        <f>IFERROR(__xludf.DUMMYFUNCTION("""COMPUTED_VALUE"""),"No")</f>
        <v>No</v>
      </c>
      <c r="P488" s="26"/>
    </row>
    <row r="489">
      <c r="A489" s="13" t="str">
        <f>IFERROR(__xludf.DUMMYFUNCTION("""COMPUTED_VALUE"""),"Far Cry 4")</f>
        <v>Far Cry 4</v>
      </c>
      <c r="B489" s="15" t="str">
        <f>IFERROR(__xludf.DUMMYFUNCTION("""COMPUTED_VALUE"""),"PS4")</f>
        <v>PS4</v>
      </c>
      <c r="C489" s="16" t="str">
        <f>IFERROR(__xludf.DUMMYFUNCTION("""COMPUTED_VALUE"""),"Extra (Ubisoft+ Classics)")</f>
        <v>Extra (Ubisoft+ Classics)</v>
      </c>
      <c r="D489" s="15" t="str">
        <f>IFERROR(__xludf.DUMMYFUNCTION("""COMPUTED_VALUE"""),"Removed")</f>
        <v>Removed</v>
      </c>
      <c r="E489" s="17">
        <f>IFERROR(__xludf.DUMMYFUNCTION("""COMPUTED_VALUE"""),44725.0)</f>
        <v>44725</v>
      </c>
      <c r="F489" s="54">
        <f>IFERROR(__xludf.DUMMYFUNCTION("""COMPUTED_VALUE"""),45215.0)</f>
        <v>45215</v>
      </c>
      <c r="G489" s="19">
        <f>IFERROR(__xludf.DUMMYFUNCTION("""COMPUTED_VALUE"""),16.099999999999998)</f>
        <v>16.1</v>
      </c>
      <c r="H489" s="17">
        <f>IFERROR(__xludf.DUMMYFUNCTION("""COMPUTED_VALUE"""),41961.0)</f>
        <v>41961</v>
      </c>
      <c r="I489" s="19">
        <f>IFERROR(__xludf.DUMMYFUNCTION("""COMPUTED_VALUE"""),7.569444444444445)</f>
        <v>7.569444444</v>
      </c>
      <c r="J489" s="21">
        <f>IFERROR(__xludf.DUMMYFUNCTION("""COMPUTED_VALUE"""),85.0)</f>
        <v>85</v>
      </c>
      <c r="K489" s="23">
        <f>IFERROR(__xludf.DUMMYFUNCTION("""COMPUTED_VALUE"""),7.9)</f>
        <v>7.9</v>
      </c>
      <c r="L489" s="24">
        <f>IFERROR(__xludf.DUMMYFUNCTION("""COMPUTED_VALUE"""),17.0)</f>
        <v>17</v>
      </c>
      <c r="M489" s="25" t="str">
        <f>IFERROR(__xludf.DUMMYFUNCTION("""COMPUTED_VALUE"""),"Shooter")</f>
        <v>Shooter</v>
      </c>
      <c r="N489" s="25"/>
      <c r="O489" s="26" t="str">
        <f>IFERROR(__xludf.DUMMYFUNCTION("""COMPUTED_VALUE"""),"Yes")</f>
        <v>Yes</v>
      </c>
      <c r="P489" s="26"/>
    </row>
    <row r="490">
      <c r="A490" s="13" t="str">
        <f>IFERROR(__xludf.DUMMYFUNCTION("""COMPUTED_VALUE"""),"The Crew")</f>
        <v>The Crew</v>
      </c>
      <c r="B490" s="15" t="str">
        <f>IFERROR(__xludf.DUMMYFUNCTION("""COMPUTED_VALUE"""),"PS4")</f>
        <v>PS4</v>
      </c>
      <c r="C490" s="16" t="str">
        <f>IFERROR(__xludf.DUMMYFUNCTION("""COMPUTED_VALUE"""),"Extra (Ubisoft+ Classics)")</f>
        <v>Extra (Ubisoft+ Classics)</v>
      </c>
      <c r="D490" s="15" t="str">
        <f>IFERROR(__xludf.DUMMYFUNCTION("""COMPUTED_VALUE"""),"Removed")</f>
        <v>Removed</v>
      </c>
      <c r="E490" s="17">
        <f>IFERROR(__xludf.DUMMYFUNCTION("""COMPUTED_VALUE"""),44725.0)</f>
        <v>44725</v>
      </c>
      <c r="F490" s="54">
        <f>IFERROR(__xludf.DUMMYFUNCTION("""COMPUTED_VALUE"""),45215.0)</f>
        <v>45215</v>
      </c>
      <c r="G490" s="19">
        <f>IFERROR(__xludf.DUMMYFUNCTION("""COMPUTED_VALUE"""),16.099999999999998)</f>
        <v>16.1</v>
      </c>
      <c r="H490" s="17">
        <f>IFERROR(__xludf.DUMMYFUNCTION("""COMPUTED_VALUE"""),41671.0)</f>
        <v>41671</v>
      </c>
      <c r="I490" s="19">
        <f>IFERROR(__xludf.DUMMYFUNCTION("""COMPUTED_VALUE"""),8.366666666666667)</f>
        <v>8.366666667</v>
      </c>
      <c r="J490" s="21">
        <f>IFERROR(__xludf.DUMMYFUNCTION("""COMPUTED_VALUE"""),62.0)</f>
        <v>62</v>
      </c>
      <c r="K490" s="23">
        <f>IFERROR(__xludf.DUMMYFUNCTION("""COMPUTED_VALUE"""),6.5)</f>
        <v>6.5</v>
      </c>
      <c r="L490" s="24"/>
      <c r="M490" s="25" t="str">
        <f>IFERROR(__xludf.DUMMYFUNCTION("""COMPUTED_VALUE"""),"Racing")</f>
        <v>Racing</v>
      </c>
      <c r="N490" s="25"/>
      <c r="O490" s="26" t="str">
        <f>IFERROR(__xludf.DUMMYFUNCTION("""COMPUTED_VALUE"""),"Yes")</f>
        <v>Yes</v>
      </c>
      <c r="P490" s="26" t="str">
        <f>IFERROR(__xludf.DUMMYFUNCTION("""COMPUTED_VALUE"""),"Yes")</f>
        <v>Yes</v>
      </c>
    </row>
    <row r="491">
      <c r="A491" s="13" t="str">
        <f>IFERROR(__xludf.DUMMYFUNCTION("""COMPUTED_VALUE"""),"Goosebumps: The Game")</f>
        <v>Goosebumps: The Game</v>
      </c>
      <c r="B491" s="15" t="str">
        <f>IFERROR(__xludf.DUMMYFUNCTION("""COMPUTED_VALUE"""),"PS5/PS4")</f>
        <v>PS5/PS4</v>
      </c>
      <c r="C491" s="16" t="str">
        <f>IFERROR(__xludf.DUMMYFUNCTION("""COMPUTED_VALUE"""),"Premium (Streaming Only)")</f>
        <v>Premium (Streaming Only)</v>
      </c>
      <c r="D491" s="15" t="str">
        <f>IFERROR(__xludf.DUMMYFUNCTION("""COMPUTED_VALUE"""),"Removed")</f>
        <v>Removed</v>
      </c>
      <c r="E491" s="17">
        <f>IFERROR(__xludf.DUMMYFUNCTION("""COMPUTED_VALUE"""),44725.0)</f>
        <v>44725</v>
      </c>
      <c r="F491" s="54">
        <f>IFERROR(__xludf.DUMMYFUNCTION("""COMPUTED_VALUE"""),45215.0)</f>
        <v>45215</v>
      </c>
      <c r="G491" s="19">
        <f>IFERROR(__xludf.DUMMYFUNCTION("""COMPUTED_VALUE"""),16.099999999999998)</f>
        <v>16.1</v>
      </c>
      <c r="H491" s="17">
        <f>IFERROR(__xludf.DUMMYFUNCTION("""COMPUTED_VALUE"""),42290.0)</f>
        <v>42290</v>
      </c>
      <c r="I491" s="19">
        <f>IFERROR(__xludf.DUMMYFUNCTION("""COMPUTED_VALUE"""),6.666666666666667)</f>
        <v>6.666666667</v>
      </c>
      <c r="J491" s="21">
        <f>IFERROR(__xludf.DUMMYFUNCTION("""COMPUTED_VALUE"""),60.0)</f>
        <v>60</v>
      </c>
      <c r="K491" s="23">
        <f>IFERROR(__xludf.DUMMYFUNCTION("""COMPUTED_VALUE"""),6.8)</f>
        <v>6.8</v>
      </c>
      <c r="L491" s="24">
        <f>IFERROR(__xludf.DUMMYFUNCTION("""COMPUTED_VALUE"""),4.0)</f>
        <v>4</v>
      </c>
      <c r="M491" s="25" t="str">
        <f>IFERROR(__xludf.DUMMYFUNCTION("""COMPUTED_VALUE"""),"Adventure")</f>
        <v>Adventure</v>
      </c>
      <c r="N491" s="25" t="str">
        <f>IFERROR(__xludf.DUMMYFUNCTION("""COMPUTED_VALUE"""),"PS3")</f>
        <v>PS3</v>
      </c>
      <c r="O491" s="26" t="str">
        <f>IFERROR(__xludf.DUMMYFUNCTION("""COMPUTED_VALUE"""),"Yes")</f>
        <v>Yes</v>
      </c>
      <c r="P491" s="26" t="str">
        <f>IFERROR(__xludf.DUMMYFUNCTION("""COMPUTED_VALUE"""),"")</f>
        <v/>
      </c>
    </row>
    <row r="492">
      <c r="A492" s="13" t="str">
        <f>IFERROR(__xludf.DUMMYFUNCTION("""COMPUTED_VALUE"""),"Saints Row (2022)")</f>
        <v>Saints Row (2022)</v>
      </c>
      <c r="B492" s="15" t="str">
        <f>IFERROR(__xludf.DUMMYFUNCTION("""COMPUTED_VALUE"""),"PS5/PS4")</f>
        <v>PS5/PS4</v>
      </c>
      <c r="C492" s="16" t="str">
        <f>IFERROR(__xludf.DUMMYFUNCTION("""COMPUTED_VALUE"""),"Essential")</f>
        <v>Essential</v>
      </c>
      <c r="D492" s="15" t="str">
        <f>IFERROR(__xludf.DUMMYFUNCTION("""COMPUTED_VALUE"""),"Removed")</f>
        <v>Removed</v>
      </c>
      <c r="E492" s="17">
        <f>IFERROR(__xludf.DUMMYFUNCTION("""COMPUTED_VALUE"""),45174.0)</f>
        <v>45174</v>
      </c>
      <c r="F492" s="54">
        <f>IFERROR(__xludf.DUMMYFUNCTION("""COMPUTED_VALUE"""),45201.0)</f>
        <v>45201</v>
      </c>
      <c r="G492" s="19">
        <f>IFERROR(__xludf.DUMMYFUNCTION("""COMPUTED_VALUE"""),0.8999999999999999)</f>
        <v>0.9</v>
      </c>
      <c r="H492" s="17">
        <f>IFERROR(__xludf.DUMMYFUNCTION("""COMPUTED_VALUE"""),44796.0)</f>
        <v>44796</v>
      </c>
      <c r="I492" s="19">
        <f>IFERROR(__xludf.DUMMYFUNCTION("""COMPUTED_VALUE"""),1.0333333333333334)</f>
        <v>1.033333333</v>
      </c>
      <c r="J492" s="21">
        <f>IFERROR(__xludf.DUMMYFUNCTION("""COMPUTED_VALUE"""),61.0)</f>
        <v>61</v>
      </c>
      <c r="K492" s="23">
        <f>IFERROR(__xludf.DUMMYFUNCTION("""COMPUTED_VALUE"""),2.9)</f>
        <v>2.9</v>
      </c>
      <c r="L492" s="24">
        <f>IFERROR(__xludf.DUMMYFUNCTION("""COMPUTED_VALUE"""),13.0)</f>
        <v>13</v>
      </c>
      <c r="M492" s="25" t="str">
        <f>IFERROR(__xludf.DUMMYFUNCTION("""COMPUTED_VALUE"""),"Shooter")</f>
        <v>Shooter</v>
      </c>
      <c r="N492" s="25"/>
      <c r="O492" s="26" t="str">
        <f>IFERROR(__xludf.DUMMYFUNCTION("""COMPUTED_VALUE"""),"No")</f>
        <v>No</v>
      </c>
      <c r="P492" s="26"/>
    </row>
    <row r="493">
      <c r="A493" s="13" t="str">
        <f>IFERROR(__xludf.DUMMYFUNCTION("""COMPUTED_VALUE"""),"Black Desert: Traveler Edition")</f>
        <v>Black Desert: Traveler Edition</v>
      </c>
      <c r="B493" s="15" t="str">
        <f>IFERROR(__xludf.DUMMYFUNCTION("""COMPUTED_VALUE"""),"PS4")</f>
        <v>PS4</v>
      </c>
      <c r="C493" s="16" t="str">
        <f>IFERROR(__xludf.DUMMYFUNCTION("""COMPUTED_VALUE"""),"Essential")</f>
        <v>Essential</v>
      </c>
      <c r="D493" s="15" t="str">
        <f>IFERROR(__xludf.DUMMYFUNCTION("""COMPUTED_VALUE"""),"Removed")</f>
        <v>Removed</v>
      </c>
      <c r="E493" s="17">
        <f>IFERROR(__xludf.DUMMYFUNCTION("""COMPUTED_VALUE"""),45174.0)</f>
        <v>45174</v>
      </c>
      <c r="F493" s="54">
        <f>IFERROR(__xludf.DUMMYFUNCTION("""COMPUTED_VALUE"""),45201.0)</f>
        <v>45201</v>
      </c>
      <c r="G493" s="19">
        <f>IFERROR(__xludf.DUMMYFUNCTION("""COMPUTED_VALUE"""),0.8999999999999999)</f>
        <v>0.9</v>
      </c>
      <c r="H493" s="17">
        <f>IFERROR(__xludf.DUMMYFUNCTION("""COMPUTED_VALUE"""),43699.0)</f>
        <v>43699</v>
      </c>
      <c r="I493" s="19">
        <f>IFERROR(__xludf.DUMMYFUNCTION("""COMPUTED_VALUE"""),4.036111111111111)</f>
        <v>4.036111111</v>
      </c>
      <c r="J493" s="21">
        <f>IFERROR(__xludf.DUMMYFUNCTION("""COMPUTED_VALUE"""),61.0)</f>
        <v>61</v>
      </c>
      <c r="K493" s="23">
        <f>IFERROR(__xludf.DUMMYFUNCTION("""COMPUTED_VALUE"""),3.8)</f>
        <v>3.8</v>
      </c>
      <c r="L493" s="24">
        <f>IFERROR(__xludf.DUMMYFUNCTION("""COMPUTED_VALUE"""),69.0)</f>
        <v>69</v>
      </c>
      <c r="M493" s="25" t="str">
        <f>IFERROR(__xludf.DUMMYFUNCTION("""COMPUTED_VALUE"""),"RPG")</f>
        <v>RPG</v>
      </c>
      <c r="N493" s="25"/>
      <c r="O493" s="26" t="str">
        <f>IFERROR(__xludf.DUMMYFUNCTION("""COMPUTED_VALUE"""),"No")</f>
        <v>No</v>
      </c>
      <c r="P493" s="26"/>
    </row>
    <row r="494">
      <c r="A494" s="13" t="str">
        <f>IFERROR(__xludf.DUMMYFUNCTION("""COMPUTED_VALUE"""),"Generation Zero")</f>
        <v>Generation Zero</v>
      </c>
      <c r="B494" s="15" t="str">
        <f>IFERROR(__xludf.DUMMYFUNCTION("""COMPUTED_VALUE"""),"PS4")</f>
        <v>PS4</v>
      </c>
      <c r="C494" s="16" t="str">
        <f>IFERROR(__xludf.DUMMYFUNCTION("""COMPUTED_VALUE"""),"Essential")</f>
        <v>Essential</v>
      </c>
      <c r="D494" s="15" t="str">
        <f>IFERROR(__xludf.DUMMYFUNCTION("""COMPUTED_VALUE"""),"Removed")</f>
        <v>Removed</v>
      </c>
      <c r="E494" s="17">
        <f>IFERROR(__xludf.DUMMYFUNCTION("""COMPUTED_VALUE"""),45174.0)</f>
        <v>45174</v>
      </c>
      <c r="F494" s="54">
        <f>IFERROR(__xludf.DUMMYFUNCTION("""COMPUTED_VALUE"""),45201.0)</f>
        <v>45201</v>
      </c>
      <c r="G494" s="19">
        <f>IFERROR(__xludf.DUMMYFUNCTION("""COMPUTED_VALUE"""),0.8999999999999999)</f>
        <v>0.9</v>
      </c>
      <c r="H494" s="17">
        <f>IFERROR(__xludf.DUMMYFUNCTION("""COMPUTED_VALUE"""),43550.0)</f>
        <v>43550</v>
      </c>
      <c r="I494" s="19">
        <f>IFERROR(__xludf.DUMMYFUNCTION("""COMPUTED_VALUE"""),4.441666666666666)</f>
        <v>4.441666667</v>
      </c>
      <c r="J494" s="21">
        <f>IFERROR(__xludf.DUMMYFUNCTION("""COMPUTED_VALUE"""),45.0)</f>
        <v>45</v>
      </c>
      <c r="K494" s="23">
        <f>IFERROR(__xludf.DUMMYFUNCTION("""COMPUTED_VALUE"""),5.9)</f>
        <v>5.9</v>
      </c>
      <c r="L494" s="24">
        <f>IFERROR(__xludf.DUMMYFUNCTION("""COMPUTED_VALUE"""),19.0)</f>
        <v>19</v>
      </c>
      <c r="M494" s="25" t="str">
        <f>IFERROR(__xludf.DUMMYFUNCTION("""COMPUTED_VALUE"""),"Shooter")</f>
        <v>Shooter</v>
      </c>
      <c r="N494" s="25"/>
      <c r="O494" s="26" t="str">
        <f>IFERROR(__xludf.DUMMYFUNCTION("""COMPUTED_VALUE"""),"No")</f>
        <v>No</v>
      </c>
      <c r="P494" s="26"/>
    </row>
    <row r="495">
      <c r="A495" s="13" t="str">
        <f>IFERROR(__xludf.DUMMYFUNCTION("""COMPUTED_VALUE"""),"Chicory: A Colorful Tale")</f>
        <v>Chicory: A Colorful Tale</v>
      </c>
      <c r="B495" s="15" t="str">
        <f>IFERROR(__xludf.DUMMYFUNCTION("""COMPUTED_VALUE"""),"PS5/PS4")</f>
        <v>PS5/PS4</v>
      </c>
      <c r="C495" s="16" t="str">
        <f>IFERROR(__xludf.DUMMYFUNCTION("""COMPUTED_VALUE"""),"Extra")</f>
        <v>Extra</v>
      </c>
      <c r="D495" s="15" t="str">
        <f>IFERROR(__xludf.DUMMYFUNCTION("""COMPUTED_VALUE"""),"Removed")</f>
        <v>Removed</v>
      </c>
      <c r="E495" s="17">
        <f>IFERROR(__xludf.DUMMYFUNCTION("""COMPUTED_VALUE"""),44824.0)</f>
        <v>44824</v>
      </c>
      <c r="F495" s="54">
        <f>IFERROR(__xludf.DUMMYFUNCTION("""COMPUTED_VALUE"""),45188.0)</f>
        <v>45188</v>
      </c>
      <c r="G495" s="19">
        <f>IFERROR(__xludf.DUMMYFUNCTION("""COMPUTED_VALUE"""),11.966666666666667)</f>
        <v>11.96666667</v>
      </c>
      <c r="H495" s="17">
        <f>IFERROR(__xludf.DUMMYFUNCTION("""COMPUTED_VALUE"""),44357.0)</f>
        <v>44357</v>
      </c>
      <c r="I495" s="19">
        <f>IFERROR(__xludf.DUMMYFUNCTION("""COMPUTED_VALUE"""),1.2777777777777777)</f>
        <v>1.277777778</v>
      </c>
      <c r="J495" s="21">
        <f>IFERROR(__xludf.DUMMYFUNCTION("""COMPUTED_VALUE"""),87.0)</f>
        <v>87</v>
      </c>
      <c r="K495" s="23">
        <f>IFERROR(__xludf.DUMMYFUNCTION("""COMPUTED_VALUE"""),6.8)</f>
        <v>6.8</v>
      </c>
      <c r="L495" s="24">
        <f>IFERROR(__xludf.DUMMYFUNCTION("""COMPUTED_VALUE"""),9.0)</f>
        <v>9</v>
      </c>
      <c r="M495" s="25" t="str">
        <f>IFERROR(__xludf.DUMMYFUNCTION("""COMPUTED_VALUE"""),"Action-Adventure")</f>
        <v>Action-Adventure</v>
      </c>
      <c r="N495" s="25"/>
      <c r="O495" s="26" t="str">
        <f>IFERROR(__xludf.DUMMYFUNCTION("""COMPUTED_VALUE"""),"Yes")</f>
        <v>Yes</v>
      </c>
      <c r="P495" s="26"/>
    </row>
    <row r="496">
      <c r="A496" s="13" t="str">
        <f>IFERROR(__xludf.DUMMYFUNCTION("""COMPUTED_VALUE"""),"Deathloop")</f>
        <v>Deathloop</v>
      </c>
      <c r="B496" s="15" t="str">
        <f>IFERROR(__xludf.DUMMYFUNCTION("""COMPUTED_VALUE"""),"PS5")</f>
        <v>PS5</v>
      </c>
      <c r="C496" s="16" t="str">
        <f>IFERROR(__xludf.DUMMYFUNCTION("""COMPUTED_VALUE"""),"Extra")</f>
        <v>Extra</v>
      </c>
      <c r="D496" s="15" t="str">
        <f>IFERROR(__xludf.DUMMYFUNCTION("""COMPUTED_VALUE"""),"Removed")</f>
        <v>Removed</v>
      </c>
      <c r="E496" s="17">
        <f>IFERROR(__xludf.DUMMYFUNCTION("""COMPUTED_VALUE"""),44824.0)</f>
        <v>44824</v>
      </c>
      <c r="F496" s="54">
        <f>IFERROR(__xludf.DUMMYFUNCTION("""COMPUTED_VALUE"""),45188.0)</f>
        <v>45188</v>
      </c>
      <c r="G496" s="19">
        <f>IFERROR(__xludf.DUMMYFUNCTION("""COMPUTED_VALUE"""),11.966666666666667)</f>
        <v>11.96666667</v>
      </c>
      <c r="H496" s="17">
        <f>IFERROR(__xludf.DUMMYFUNCTION("""COMPUTED_VALUE"""),44453.0)</f>
        <v>44453</v>
      </c>
      <c r="I496" s="19">
        <f>IFERROR(__xludf.DUMMYFUNCTION("""COMPUTED_VALUE"""),1.0166666666666666)</f>
        <v>1.016666667</v>
      </c>
      <c r="J496" s="21">
        <f>IFERROR(__xludf.DUMMYFUNCTION("""COMPUTED_VALUE"""),88.0)</f>
        <v>88</v>
      </c>
      <c r="K496" s="23">
        <f>IFERROR(__xludf.DUMMYFUNCTION("""COMPUTED_VALUE"""),6.5)</f>
        <v>6.5</v>
      </c>
      <c r="L496" s="24">
        <f>IFERROR(__xludf.DUMMYFUNCTION("""COMPUTED_VALUE"""),16.0)</f>
        <v>16</v>
      </c>
      <c r="M496" s="25" t="str">
        <f>IFERROR(__xludf.DUMMYFUNCTION("""COMPUTED_VALUE"""),"Shooter")</f>
        <v>Shooter</v>
      </c>
      <c r="N496" s="25"/>
      <c r="O496" s="26" t="str">
        <f>IFERROR(__xludf.DUMMYFUNCTION("""COMPUTED_VALUE"""),"No")</f>
        <v>No</v>
      </c>
      <c r="P496" s="26"/>
    </row>
    <row r="497">
      <c r="A497" s="13" t="str">
        <f>IFERROR(__xludf.DUMMYFUNCTION("""COMPUTED_VALUE"""),"Watch Dogs 2")</f>
        <v>Watch Dogs 2</v>
      </c>
      <c r="B497" s="15" t="str">
        <f>IFERROR(__xludf.DUMMYFUNCTION("""COMPUTED_VALUE"""),"PS4")</f>
        <v>PS4</v>
      </c>
      <c r="C497" s="16" t="str">
        <f>IFERROR(__xludf.DUMMYFUNCTION("""COMPUTED_VALUE"""),"Extra (Ubisoft+ Classics)")</f>
        <v>Extra (Ubisoft+ Classics)</v>
      </c>
      <c r="D497" s="15" t="str">
        <f>IFERROR(__xludf.DUMMYFUNCTION("""COMPUTED_VALUE"""),"Removed")</f>
        <v>Removed</v>
      </c>
      <c r="E497" s="17">
        <f>IFERROR(__xludf.DUMMYFUNCTION("""COMPUTED_VALUE"""),44824.0)</f>
        <v>44824</v>
      </c>
      <c r="F497" s="54">
        <f>IFERROR(__xludf.DUMMYFUNCTION("""COMPUTED_VALUE"""),45188.0)</f>
        <v>45188</v>
      </c>
      <c r="G497" s="19">
        <f>IFERROR(__xludf.DUMMYFUNCTION("""COMPUTED_VALUE"""),11.966666666666667)</f>
        <v>11.96666667</v>
      </c>
      <c r="H497" s="17">
        <f>IFERROR(__xludf.DUMMYFUNCTION("""COMPUTED_VALUE"""),42689.0)</f>
        <v>42689</v>
      </c>
      <c r="I497" s="19">
        <f>IFERROR(__xludf.DUMMYFUNCTION("""COMPUTED_VALUE"""),5.847222222222222)</f>
        <v>5.847222222</v>
      </c>
      <c r="J497" s="21">
        <f>IFERROR(__xludf.DUMMYFUNCTION("""COMPUTED_VALUE"""),82.0)</f>
        <v>82</v>
      </c>
      <c r="K497" s="23">
        <f>IFERROR(__xludf.DUMMYFUNCTION("""COMPUTED_VALUE"""),7.7)</f>
        <v>7.7</v>
      </c>
      <c r="L497" s="24">
        <f>IFERROR(__xludf.DUMMYFUNCTION("""COMPUTED_VALUE"""),19.0)</f>
        <v>19</v>
      </c>
      <c r="M497" s="25" t="str">
        <f>IFERROR(__xludf.DUMMYFUNCTION("""COMPUTED_VALUE"""),"Shooter")</f>
        <v>Shooter</v>
      </c>
      <c r="N497" s="25"/>
      <c r="O497" s="26" t="str">
        <f>IFERROR(__xludf.DUMMYFUNCTION("""COMPUTED_VALUE"""),"Yes")</f>
        <v>Yes</v>
      </c>
      <c r="P497" s="26"/>
    </row>
    <row r="498">
      <c r="A498" s="13" t="str">
        <f>IFERROR(__xludf.DUMMYFUNCTION("""COMPUTED_VALUE"""),"Tom Clancy's Ghost Recon: Wildlands")</f>
        <v>Tom Clancy's Ghost Recon: Wildlands</v>
      </c>
      <c r="B498" s="15" t="str">
        <f>IFERROR(__xludf.DUMMYFUNCTION("""COMPUTED_VALUE"""),"PS4")</f>
        <v>PS4</v>
      </c>
      <c r="C498" s="16" t="str">
        <f>IFERROR(__xludf.DUMMYFUNCTION("""COMPUTED_VALUE"""),"Extra (Ubisoft+ Classics)")</f>
        <v>Extra (Ubisoft+ Classics)</v>
      </c>
      <c r="D498" s="15" t="str">
        <f>IFERROR(__xludf.DUMMYFUNCTION("""COMPUTED_VALUE"""),"Removed")</f>
        <v>Removed</v>
      </c>
      <c r="E498" s="17">
        <f>IFERROR(__xludf.DUMMYFUNCTION("""COMPUTED_VALUE"""),44789.0)</f>
        <v>44789</v>
      </c>
      <c r="F498" s="54">
        <f>IFERROR(__xludf.DUMMYFUNCTION("""COMPUTED_VALUE"""),45188.0)</f>
        <v>45188</v>
      </c>
      <c r="G498" s="19">
        <f>IFERROR(__xludf.DUMMYFUNCTION("""COMPUTED_VALUE"""),13.099999999999998)</f>
        <v>13.1</v>
      </c>
      <c r="H498" s="17">
        <f>IFERROR(__xludf.DUMMYFUNCTION("""COMPUTED_VALUE"""),42801.0)</f>
        <v>42801</v>
      </c>
      <c r="I498" s="19">
        <f>IFERROR(__xludf.DUMMYFUNCTION("""COMPUTED_VALUE"""),5.441666666666666)</f>
        <v>5.441666667</v>
      </c>
      <c r="J498" s="21">
        <f>IFERROR(__xludf.DUMMYFUNCTION("""COMPUTED_VALUE"""),70.0)</f>
        <v>70</v>
      </c>
      <c r="K498" s="23">
        <f>IFERROR(__xludf.DUMMYFUNCTION("""COMPUTED_VALUE"""),6.4)</f>
        <v>6.4</v>
      </c>
      <c r="L498" s="24">
        <f>IFERROR(__xludf.DUMMYFUNCTION("""COMPUTED_VALUE"""),26.5)</f>
        <v>26.5</v>
      </c>
      <c r="M498" s="25" t="str">
        <f>IFERROR(__xludf.DUMMYFUNCTION("""COMPUTED_VALUE"""),"Shooter")</f>
        <v>Shooter</v>
      </c>
      <c r="N498" s="25"/>
      <c r="O498" s="26" t="str">
        <f>IFERROR(__xludf.DUMMYFUNCTION("""COMPUTED_VALUE"""),"Yes")</f>
        <v>Yes</v>
      </c>
      <c r="P498" s="26"/>
    </row>
    <row r="499">
      <c r="A499" s="13" t="str">
        <f>IFERROR(__xludf.DUMMYFUNCTION("""COMPUTED_VALUE"""),"Death end re;Quest2")</f>
        <v>Death end re;Quest2</v>
      </c>
      <c r="B499" s="15" t="str">
        <f>IFERROR(__xludf.DUMMYFUNCTION("""COMPUTED_VALUE"""),"PS4")</f>
        <v>PS4</v>
      </c>
      <c r="C499" s="16" t="str">
        <f>IFERROR(__xludf.DUMMYFUNCTION("""COMPUTED_VALUE"""),"Extra")</f>
        <v>Extra</v>
      </c>
      <c r="D499" s="15" t="str">
        <f>IFERROR(__xludf.DUMMYFUNCTION("""COMPUTED_VALUE"""),"Removed")</f>
        <v>Removed</v>
      </c>
      <c r="E499" s="17">
        <f>IFERROR(__xludf.DUMMYFUNCTION("""COMPUTED_VALUE"""),44725.0)</f>
        <v>44725</v>
      </c>
      <c r="F499" s="54">
        <f>IFERROR(__xludf.DUMMYFUNCTION("""COMPUTED_VALUE"""),45188.0)</f>
        <v>45188</v>
      </c>
      <c r="G499" s="19">
        <f>IFERROR(__xludf.DUMMYFUNCTION("""COMPUTED_VALUE"""),15.2)</f>
        <v>15.2</v>
      </c>
      <c r="H499" s="17">
        <f>IFERROR(__xludf.DUMMYFUNCTION("""COMPUTED_VALUE"""),44061.0)</f>
        <v>44061</v>
      </c>
      <c r="I499" s="19">
        <f>IFERROR(__xludf.DUMMYFUNCTION("""COMPUTED_VALUE"""),1.8194444444444444)</f>
        <v>1.819444444</v>
      </c>
      <c r="J499" s="21">
        <f>IFERROR(__xludf.DUMMYFUNCTION("""COMPUTED_VALUE"""),70.0)</f>
        <v>70</v>
      </c>
      <c r="K499" s="23">
        <f>IFERROR(__xludf.DUMMYFUNCTION("""COMPUTED_VALUE"""),7.4)</f>
        <v>7.4</v>
      </c>
      <c r="L499" s="24">
        <f>IFERROR(__xludf.DUMMYFUNCTION("""COMPUTED_VALUE"""),17.0)</f>
        <v>17</v>
      </c>
      <c r="M499" s="25" t="str">
        <f>IFERROR(__xludf.DUMMYFUNCTION("""COMPUTED_VALUE"""),"RPG")</f>
        <v>RPG</v>
      </c>
      <c r="N499" s="25"/>
      <c r="O499" s="26" t="str">
        <f>IFERROR(__xludf.DUMMYFUNCTION("""COMPUTED_VALUE"""),"No")</f>
        <v>No</v>
      </c>
      <c r="P499" s="26"/>
    </row>
    <row r="500">
      <c r="A500" s="13" t="str">
        <f>IFERROR(__xludf.DUMMYFUNCTION("""COMPUTED_VALUE"""),"Nidhogg 2")</f>
        <v>Nidhogg 2</v>
      </c>
      <c r="B500" s="15" t="str">
        <f>IFERROR(__xludf.DUMMYFUNCTION("""COMPUTED_VALUE"""),"PS4")</f>
        <v>PS4</v>
      </c>
      <c r="C500" s="16" t="str">
        <f>IFERROR(__xludf.DUMMYFUNCTION("""COMPUTED_VALUE"""),"Extra")</f>
        <v>Extra</v>
      </c>
      <c r="D500" s="15" t="str">
        <f>IFERROR(__xludf.DUMMYFUNCTION("""COMPUTED_VALUE"""),"Removed")</f>
        <v>Removed</v>
      </c>
      <c r="E500" s="17">
        <f>IFERROR(__xludf.DUMMYFUNCTION("""COMPUTED_VALUE"""),44725.0)</f>
        <v>44725</v>
      </c>
      <c r="F500" s="54">
        <f>IFERROR(__xludf.DUMMYFUNCTION("""COMPUTED_VALUE"""),45188.0)</f>
        <v>45188</v>
      </c>
      <c r="G500" s="19">
        <f>IFERROR(__xludf.DUMMYFUNCTION("""COMPUTED_VALUE"""),15.2)</f>
        <v>15.2</v>
      </c>
      <c r="H500" s="17">
        <f>IFERROR(__xludf.DUMMYFUNCTION("""COMPUTED_VALUE"""),42962.0)</f>
        <v>42962</v>
      </c>
      <c r="I500" s="19">
        <f>IFERROR(__xludf.DUMMYFUNCTION("""COMPUTED_VALUE"""),4.8277777777777775)</f>
        <v>4.827777778</v>
      </c>
      <c r="J500" s="21">
        <f>IFERROR(__xludf.DUMMYFUNCTION("""COMPUTED_VALUE"""),80.0)</f>
        <v>80</v>
      </c>
      <c r="K500" s="23">
        <f>IFERROR(__xludf.DUMMYFUNCTION("""COMPUTED_VALUE"""),6.6)</f>
        <v>6.6</v>
      </c>
      <c r="L500" s="24"/>
      <c r="M500" s="25" t="str">
        <f>IFERROR(__xludf.DUMMYFUNCTION("""COMPUTED_VALUE"""),"Platformer")</f>
        <v>Platformer</v>
      </c>
      <c r="N500" s="25"/>
      <c r="O500" s="26" t="str">
        <f>IFERROR(__xludf.DUMMYFUNCTION("""COMPUTED_VALUE"""),"Yes")</f>
        <v>Yes</v>
      </c>
      <c r="P500" s="26" t="str">
        <f>IFERROR(__xludf.DUMMYFUNCTION("""COMPUTED_VALUE"""),"Yes")</f>
        <v>Yes</v>
      </c>
    </row>
    <row r="501">
      <c r="A501" s="13" t="str">
        <f>IFERROR(__xludf.DUMMYFUNCTION("""COMPUTED_VALUE"""),"Through The Darkest of Times")</f>
        <v>Through The Darkest of Times</v>
      </c>
      <c r="B501" s="15" t="str">
        <f>IFERROR(__xludf.DUMMYFUNCTION("""COMPUTED_VALUE"""),"PS4")</f>
        <v>PS4</v>
      </c>
      <c r="C501" s="16" t="str">
        <f>IFERROR(__xludf.DUMMYFUNCTION("""COMPUTED_VALUE"""),"Extra")</f>
        <v>Extra</v>
      </c>
      <c r="D501" s="15" t="str">
        <f>IFERROR(__xludf.DUMMYFUNCTION("""COMPUTED_VALUE"""),"Removed")</f>
        <v>Removed</v>
      </c>
      <c r="E501" s="17">
        <f>IFERROR(__xludf.DUMMYFUNCTION("""COMPUTED_VALUE"""),44725.0)</f>
        <v>44725</v>
      </c>
      <c r="F501" s="54">
        <f>IFERROR(__xludf.DUMMYFUNCTION("""COMPUTED_VALUE"""),45188.0)</f>
        <v>45188</v>
      </c>
      <c r="G501" s="19">
        <f>IFERROR(__xludf.DUMMYFUNCTION("""COMPUTED_VALUE"""),15.2)</f>
        <v>15.2</v>
      </c>
      <c r="H501" s="17">
        <f>IFERROR(__xludf.DUMMYFUNCTION("""COMPUTED_VALUE"""),43944.0)</f>
        <v>43944</v>
      </c>
      <c r="I501" s="19">
        <f>IFERROR(__xludf.DUMMYFUNCTION("""COMPUTED_VALUE"""),2.138888888888889)</f>
        <v>2.138888889</v>
      </c>
      <c r="J501" s="21">
        <f>IFERROR(__xludf.DUMMYFUNCTION("""COMPUTED_VALUE"""),78.0)</f>
        <v>78</v>
      </c>
      <c r="K501" s="23">
        <f>IFERROR(__xludf.DUMMYFUNCTION("""COMPUTED_VALUE"""),7.4)</f>
        <v>7.4</v>
      </c>
      <c r="L501" s="24">
        <f>IFERROR(__xludf.DUMMYFUNCTION("""COMPUTED_VALUE"""),7.0)</f>
        <v>7</v>
      </c>
      <c r="M501" s="25" t="str">
        <f>IFERROR(__xludf.DUMMYFUNCTION("""COMPUTED_VALUE"""),"Strategy")</f>
        <v>Strategy</v>
      </c>
      <c r="N501" s="25"/>
      <c r="O501" s="26" t="str">
        <f>IFERROR(__xludf.DUMMYFUNCTION("""COMPUTED_VALUE"""),"Yes")</f>
        <v>Yes</v>
      </c>
      <c r="P501" s="26"/>
    </row>
    <row r="502">
      <c r="A502" s="13" t="str">
        <f>IFERROR(__xludf.DUMMYFUNCTION("""COMPUTED_VALUE"""),"Watch Dogs")</f>
        <v>Watch Dogs</v>
      </c>
      <c r="B502" s="15" t="str">
        <f>IFERROR(__xludf.DUMMYFUNCTION("""COMPUTED_VALUE"""),"PS4")</f>
        <v>PS4</v>
      </c>
      <c r="C502" s="16" t="str">
        <f>IFERROR(__xludf.DUMMYFUNCTION("""COMPUTED_VALUE"""),"Extra (Ubisoft+ Classics)")</f>
        <v>Extra (Ubisoft+ Classics)</v>
      </c>
      <c r="D502" s="15" t="str">
        <f>IFERROR(__xludf.DUMMYFUNCTION("""COMPUTED_VALUE"""),"Removed")</f>
        <v>Removed</v>
      </c>
      <c r="E502" s="17">
        <f>IFERROR(__xludf.DUMMYFUNCTION("""COMPUTED_VALUE"""),44725.0)</f>
        <v>44725</v>
      </c>
      <c r="F502" s="54">
        <f>IFERROR(__xludf.DUMMYFUNCTION("""COMPUTED_VALUE"""),45188.0)</f>
        <v>45188</v>
      </c>
      <c r="G502" s="19">
        <f>IFERROR(__xludf.DUMMYFUNCTION("""COMPUTED_VALUE"""),15.2)</f>
        <v>15.2</v>
      </c>
      <c r="H502" s="17">
        <f>IFERROR(__xludf.DUMMYFUNCTION("""COMPUTED_VALUE"""),41760.0)</f>
        <v>41760</v>
      </c>
      <c r="I502" s="19">
        <f>IFERROR(__xludf.DUMMYFUNCTION("""COMPUTED_VALUE"""),8.116666666666667)</f>
        <v>8.116666667</v>
      </c>
      <c r="J502" s="21">
        <f>IFERROR(__xludf.DUMMYFUNCTION("""COMPUTED_VALUE"""),79.0)</f>
        <v>79</v>
      </c>
      <c r="K502" s="23">
        <f>IFERROR(__xludf.DUMMYFUNCTION("""COMPUTED_VALUE"""),7.0)</f>
        <v>7</v>
      </c>
      <c r="L502" s="24">
        <f>IFERROR(__xludf.DUMMYFUNCTION("""COMPUTED_VALUE"""),19.0)</f>
        <v>19</v>
      </c>
      <c r="M502" s="25" t="str">
        <f>IFERROR(__xludf.DUMMYFUNCTION("""COMPUTED_VALUE"""),"Action-Adventure")</f>
        <v>Action-Adventure</v>
      </c>
      <c r="N502" s="25"/>
      <c r="O502" s="26" t="str">
        <f>IFERROR(__xludf.DUMMYFUNCTION("""COMPUTED_VALUE"""),"Yes")</f>
        <v>Yes</v>
      </c>
      <c r="P502" s="26"/>
    </row>
    <row r="503">
      <c r="A503" s="13" t="str">
        <f>IFERROR(__xludf.DUMMYFUNCTION("""COMPUTED_VALUE"""),"Umbrella Corps")</f>
        <v>Umbrella Corps</v>
      </c>
      <c r="B503" s="15" t="str">
        <f>IFERROR(__xludf.DUMMYFUNCTION("""COMPUTED_VALUE"""),"PS4")</f>
        <v>PS4</v>
      </c>
      <c r="C503" s="16" t="str">
        <f>IFERROR(__xludf.DUMMYFUNCTION("""COMPUTED_VALUE"""),"Extra")</f>
        <v>Extra</v>
      </c>
      <c r="D503" s="15" t="str">
        <f>IFERROR(__xludf.DUMMYFUNCTION("""COMPUTED_VALUE"""),"Removed")</f>
        <v>Removed</v>
      </c>
      <c r="E503" s="17">
        <f>IFERROR(__xludf.DUMMYFUNCTION("""COMPUTED_VALUE"""),44725.0)</f>
        <v>44725</v>
      </c>
      <c r="F503" s="54">
        <f>IFERROR(__xludf.DUMMYFUNCTION("""COMPUTED_VALUE"""),45184.0)</f>
        <v>45184</v>
      </c>
      <c r="G503" s="19">
        <f>IFERROR(__xludf.DUMMYFUNCTION("""COMPUTED_VALUE"""),15.066666666666666)</f>
        <v>15.06666667</v>
      </c>
      <c r="H503" s="17">
        <f>IFERROR(__xludf.DUMMYFUNCTION("""COMPUTED_VALUE"""),42522.0)</f>
        <v>42522</v>
      </c>
      <c r="I503" s="19">
        <f>IFERROR(__xludf.DUMMYFUNCTION("""COMPUTED_VALUE"""),6.033333333333333)</f>
        <v>6.033333333</v>
      </c>
      <c r="J503" s="21">
        <f>IFERROR(__xludf.DUMMYFUNCTION("""COMPUTED_VALUE"""),38.0)</f>
        <v>38</v>
      </c>
      <c r="K503" s="23">
        <f>IFERROR(__xludf.DUMMYFUNCTION("""COMPUTED_VALUE"""),4.7)</f>
        <v>4.7</v>
      </c>
      <c r="L503" s="24">
        <f>IFERROR(__xludf.DUMMYFUNCTION("""COMPUTED_VALUE"""),5.0)</f>
        <v>5</v>
      </c>
      <c r="M503" s="25" t="str">
        <f>IFERROR(__xludf.DUMMYFUNCTION("""COMPUTED_VALUE"""),"Shooter")</f>
        <v>Shooter</v>
      </c>
      <c r="N503" s="25"/>
      <c r="O503" s="26" t="str">
        <f>IFERROR(__xludf.DUMMYFUNCTION("""COMPUTED_VALUE"""),"Yes")</f>
        <v>Yes</v>
      </c>
      <c r="P503" s="26"/>
    </row>
    <row r="504">
      <c r="A504" s="13" t="str">
        <f>IFERROR(__xludf.DUMMYFUNCTION("""COMPUTED_VALUE"""),"Death's Door")</f>
        <v>Death's Door</v>
      </c>
      <c r="B504" s="15" t="str">
        <f>IFERROR(__xludf.DUMMYFUNCTION("""COMPUTED_VALUE"""),"PS5/PS4")</f>
        <v>PS5/PS4</v>
      </c>
      <c r="C504" s="16" t="str">
        <f>IFERROR(__xludf.DUMMYFUNCTION("""COMPUTED_VALUE"""),"Essential")</f>
        <v>Essential</v>
      </c>
      <c r="D504" s="15" t="str">
        <f>IFERROR(__xludf.DUMMYFUNCTION("""COMPUTED_VALUE"""),"Removed")</f>
        <v>Removed</v>
      </c>
      <c r="E504" s="17">
        <f>IFERROR(__xludf.DUMMYFUNCTION("""COMPUTED_VALUE"""),45139.0)</f>
        <v>45139</v>
      </c>
      <c r="F504" s="54">
        <f>IFERROR(__xludf.DUMMYFUNCTION("""COMPUTED_VALUE"""),45173.0)</f>
        <v>45173</v>
      </c>
      <c r="G504" s="19">
        <f>IFERROR(__xludf.DUMMYFUNCTION("""COMPUTED_VALUE"""),1.0999999999999999)</f>
        <v>1.1</v>
      </c>
      <c r="H504" s="17">
        <f>IFERROR(__xludf.DUMMYFUNCTION("""COMPUTED_VALUE"""),44523.0)</f>
        <v>44523</v>
      </c>
      <c r="I504" s="19">
        <f>IFERROR(__xludf.DUMMYFUNCTION("""COMPUTED_VALUE"""),1.6888888888888889)</f>
        <v>1.688888889</v>
      </c>
      <c r="J504" s="21">
        <f>IFERROR(__xludf.DUMMYFUNCTION("""COMPUTED_VALUE"""),85.0)</f>
        <v>85</v>
      </c>
      <c r="K504" s="23">
        <f>IFERROR(__xludf.DUMMYFUNCTION("""COMPUTED_VALUE"""),6.7)</f>
        <v>6.7</v>
      </c>
      <c r="L504" s="24">
        <f>IFERROR(__xludf.DUMMYFUNCTION("""COMPUTED_VALUE"""),9.0)</f>
        <v>9</v>
      </c>
      <c r="M504" s="25" t="str">
        <f>IFERROR(__xludf.DUMMYFUNCTION("""COMPUTED_VALUE"""),"Action-Adventure")</f>
        <v>Action-Adventure</v>
      </c>
      <c r="N504" s="25"/>
      <c r="O504" s="26" t="str">
        <f>IFERROR(__xludf.DUMMYFUNCTION("""COMPUTED_VALUE"""),"No")</f>
        <v>No</v>
      </c>
      <c r="P504" s="26"/>
    </row>
    <row r="505">
      <c r="A505" s="13" t="str">
        <f>IFERROR(__xludf.DUMMYFUNCTION("""COMPUTED_VALUE"""),"PGA Tour 2K23")</f>
        <v>PGA Tour 2K23</v>
      </c>
      <c r="B505" s="15" t="str">
        <f>IFERROR(__xludf.DUMMYFUNCTION("""COMPUTED_VALUE"""),"PS5/PS4")</f>
        <v>PS5/PS4</v>
      </c>
      <c r="C505" s="16" t="str">
        <f>IFERROR(__xludf.DUMMYFUNCTION("""COMPUTED_VALUE"""),"Essential")</f>
        <v>Essential</v>
      </c>
      <c r="D505" s="15" t="str">
        <f>IFERROR(__xludf.DUMMYFUNCTION("""COMPUTED_VALUE"""),"Removed")</f>
        <v>Removed</v>
      </c>
      <c r="E505" s="17">
        <f>IFERROR(__xludf.DUMMYFUNCTION("""COMPUTED_VALUE"""),45139.0)</f>
        <v>45139</v>
      </c>
      <c r="F505" s="54">
        <f>IFERROR(__xludf.DUMMYFUNCTION("""COMPUTED_VALUE"""),45173.0)</f>
        <v>45173</v>
      </c>
      <c r="G505" s="19">
        <f>IFERROR(__xludf.DUMMYFUNCTION("""COMPUTED_VALUE"""),1.0999999999999999)</f>
        <v>1.1</v>
      </c>
      <c r="H505" s="17">
        <f>IFERROR(__xludf.DUMMYFUNCTION("""COMPUTED_VALUE"""),44845.0)</f>
        <v>44845</v>
      </c>
      <c r="I505" s="19">
        <f>IFERROR(__xludf.DUMMYFUNCTION("""COMPUTED_VALUE"""),0.8055555555555556)</f>
        <v>0.8055555556</v>
      </c>
      <c r="J505" s="21">
        <f>IFERROR(__xludf.DUMMYFUNCTION("""COMPUTED_VALUE"""),76.0)</f>
        <v>76</v>
      </c>
      <c r="K505" s="23">
        <f>IFERROR(__xludf.DUMMYFUNCTION("""COMPUTED_VALUE"""),5.4)</f>
        <v>5.4</v>
      </c>
      <c r="L505" s="24">
        <f>IFERROR(__xludf.DUMMYFUNCTION("""COMPUTED_VALUE"""),16.0)</f>
        <v>16</v>
      </c>
      <c r="M505" s="25" t="str">
        <f>IFERROR(__xludf.DUMMYFUNCTION("""COMPUTED_VALUE"""),"Sports")</f>
        <v>Sports</v>
      </c>
      <c r="N505" s="25"/>
      <c r="O505" s="26" t="str">
        <f>IFERROR(__xludf.DUMMYFUNCTION("""COMPUTED_VALUE"""),"No")</f>
        <v>No</v>
      </c>
      <c r="P505" s="26"/>
    </row>
    <row r="506">
      <c r="A506" s="13" t="str">
        <f>IFERROR(__xludf.DUMMYFUNCTION("""COMPUTED_VALUE"""),"Dreams")</f>
        <v>Dreams</v>
      </c>
      <c r="B506" s="15" t="str">
        <f>IFERROR(__xludf.DUMMYFUNCTION("""COMPUTED_VALUE"""),"PS4")</f>
        <v>PS4</v>
      </c>
      <c r="C506" s="16" t="str">
        <f>IFERROR(__xludf.DUMMYFUNCTION("""COMPUTED_VALUE"""),"Essential")</f>
        <v>Essential</v>
      </c>
      <c r="D506" s="15" t="str">
        <f>IFERROR(__xludf.DUMMYFUNCTION("""COMPUTED_VALUE"""),"Removed")</f>
        <v>Removed</v>
      </c>
      <c r="E506" s="17">
        <f>IFERROR(__xludf.DUMMYFUNCTION("""COMPUTED_VALUE"""),45139.0)</f>
        <v>45139</v>
      </c>
      <c r="F506" s="54">
        <f>IFERROR(__xludf.DUMMYFUNCTION("""COMPUTED_VALUE"""),45173.0)</f>
        <v>45173</v>
      </c>
      <c r="G506" s="19">
        <f>IFERROR(__xludf.DUMMYFUNCTION("""COMPUTED_VALUE"""),1.0999999999999999)</f>
        <v>1.1</v>
      </c>
      <c r="H506" s="17">
        <f>IFERROR(__xludf.DUMMYFUNCTION("""COMPUTED_VALUE"""),43875.0)</f>
        <v>43875</v>
      </c>
      <c r="I506" s="19">
        <f>IFERROR(__xludf.DUMMYFUNCTION("""COMPUTED_VALUE"""),3.463888888888889)</f>
        <v>3.463888889</v>
      </c>
      <c r="J506" s="21">
        <f>IFERROR(__xludf.DUMMYFUNCTION("""COMPUTED_VALUE"""),89.0)</f>
        <v>89</v>
      </c>
      <c r="K506" s="23">
        <f>IFERROR(__xludf.DUMMYFUNCTION("""COMPUTED_VALUE"""),8.7)</f>
        <v>8.7</v>
      </c>
      <c r="L506" s="24">
        <f>IFERROR(__xludf.DUMMYFUNCTION("""COMPUTED_VALUE"""),3.0)</f>
        <v>3</v>
      </c>
      <c r="M506" s="25" t="str">
        <f>IFERROR(__xludf.DUMMYFUNCTION("""COMPUTED_VALUE"""),"Action-Adventure")</f>
        <v>Action-Adventure</v>
      </c>
      <c r="N506" s="25"/>
      <c r="O506" s="26" t="str">
        <f>IFERROR(__xludf.DUMMYFUNCTION("""COMPUTED_VALUE"""),"No")</f>
        <v>No</v>
      </c>
      <c r="P506" s="26"/>
    </row>
    <row r="507">
      <c r="A507" s="13" t="str">
        <f>IFERROR(__xludf.DUMMYFUNCTION("""COMPUTED_VALUE"""),"Borderlands 3")</f>
        <v>Borderlands 3</v>
      </c>
      <c r="B507" s="15" t="str">
        <f>IFERROR(__xludf.DUMMYFUNCTION("""COMPUTED_VALUE"""),"PS5/PS4")</f>
        <v>PS5/PS4</v>
      </c>
      <c r="C507" s="16" t="str">
        <f>IFERROR(__xludf.DUMMYFUNCTION("""COMPUTED_VALUE"""),"Extra")</f>
        <v>Extra</v>
      </c>
      <c r="D507" s="15" t="str">
        <f>IFERROR(__xludf.DUMMYFUNCTION("""COMPUTED_VALUE"""),"Removed")</f>
        <v>Removed</v>
      </c>
      <c r="E507" s="17">
        <f>IFERROR(__xludf.DUMMYFUNCTION("""COMPUTED_VALUE"""),44978.0)</f>
        <v>44978</v>
      </c>
      <c r="F507" s="54">
        <f>IFERROR(__xludf.DUMMYFUNCTION("""COMPUTED_VALUE"""),45152.0)</f>
        <v>45152</v>
      </c>
      <c r="G507" s="19">
        <f>IFERROR(__xludf.DUMMYFUNCTION("""COMPUTED_VALUE"""),5.766666666666667)</f>
        <v>5.766666667</v>
      </c>
      <c r="H507" s="17">
        <f>IFERROR(__xludf.DUMMYFUNCTION("""COMPUTED_VALUE"""),43721.0)</f>
        <v>43721</v>
      </c>
      <c r="I507" s="19">
        <f>IFERROR(__xludf.DUMMYFUNCTION("""COMPUTED_VALUE"""),3.438888888888889)</f>
        <v>3.438888889</v>
      </c>
      <c r="J507" s="21">
        <f>IFERROR(__xludf.DUMMYFUNCTION("""COMPUTED_VALUE"""),78.0)</f>
        <v>78</v>
      </c>
      <c r="K507" s="23">
        <f>IFERROR(__xludf.DUMMYFUNCTION("""COMPUTED_VALUE"""),6.1)</f>
        <v>6.1</v>
      </c>
      <c r="L507" s="24">
        <f>IFERROR(__xludf.DUMMYFUNCTION("""COMPUTED_VALUE"""),23.0)</f>
        <v>23</v>
      </c>
      <c r="M507" s="25" t="str">
        <f>IFERROR(__xludf.DUMMYFUNCTION("""COMPUTED_VALUE"""),"Shooter")</f>
        <v>Shooter</v>
      </c>
      <c r="N507" s="25"/>
      <c r="O507" s="26" t="str">
        <f>IFERROR(__xludf.DUMMYFUNCTION("""COMPUTED_VALUE"""),"Yes")</f>
        <v>Yes</v>
      </c>
      <c r="P507" s="26"/>
    </row>
    <row r="508">
      <c r="A508" s="13" t="str">
        <f>IFERROR(__xludf.DUMMYFUNCTION("""COMPUTED_VALUE"""),"Yakuza 0")</f>
        <v>Yakuza 0</v>
      </c>
      <c r="B508" s="15" t="str">
        <f>IFERROR(__xludf.DUMMYFUNCTION("""COMPUTED_VALUE"""),"PS4")</f>
        <v>PS4</v>
      </c>
      <c r="C508" s="16" t="str">
        <f>IFERROR(__xludf.DUMMYFUNCTION("""COMPUTED_VALUE"""),"Extra")</f>
        <v>Extra</v>
      </c>
      <c r="D508" s="15" t="str">
        <f>IFERROR(__xludf.DUMMYFUNCTION("""COMPUTED_VALUE"""),"Removed")</f>
        <v>Removed</v>
      </c>
      <c r="E508" s="17">
        <f>IFERROR(__xludf.DUMMYFUNCTION("""COMPUTED_VALUE"""),44789.0)</f>
        <v>44789</v>
      </c>
      <c r="F508" s="54">
        <f>IFERROR(__xludf.DUMMYFUNCTION("""COMPUTED_VALUE"""),45152.0)</f>
        <v>45152</v>
      </c>
      <c r="G508" s="19">
        <f>IFERROR(__xludf.DUMMYFUNCTION("""COMPUTED_VALUE"""),11.933333333333334)</f>
        <v>11.93333333</v>
      </c>
      <c r="H508" s="17">
        <f>IFERROR(__xludf.DUMMYFUNCTION("""COMPUTED_VALUE"""),42064.0)</f>
        <v>42064</v>
      </c>
      <c r="I508" s="19">
        <f>IFERROR(__xludf.DUMMYFUNCTION("""COMPUTED_VALUE"""),7.458333333333333)</f>
        <v>7.458333333</v>
      </c>
      <c r="J508" s="21">
        <f>IFERROR(__xludf.DUMMYFUNCTION("""COMPUTED_VALUE"""),85.0)</f>
        <v>85</v>
      </c>
      <c r="K508" s="23">
        <f>IFERROR(__xludf.DUMMYFUNCTION("""COMPUTED_VALUE"""),8.6)</f>
        <v>8.6</v>
      </c>
      <c r="L508" s="24">
        <f>IFERROR(__xludf.DUMMYFUNCTION("""COMPUTED_VALUE"""),31.0)</f>
        <v>31</v>
      </c>
      <c r="M508" s="25" t="str">
        <f>IFERROR(__xludf.DUMMYFUNCTION("""COMPUTED_VALUE"""),"RPG")</f>
        <v>RPG</v>
      </c>
      <c r="N508" s="25"/>
      <c r="O508" s="26" t="str">
        <f>IFERROR(__xludf.DUMMYFUNCTION("""COMPUTED_VALUE"""),"Yes")</f>
        <v>Yes</v>
      </c>
      <c r="P508" s="26"/>
    </row>
    <row r="509">
      <c r="A509" s="13" t="str">
        <f>IFERROR(__xludf.DUMMYFUNCTION("""COMPUTED_VALUE"""),"Yakuza Kiwami")</f>
        <v>Yakuza Kiwami</v>
      </c>
      <c r="B509" s="15" t="str">
        <f>IFERROR(__xludf.DUMMYFUNCTION("""COMPUTED_VALUE"""),"PS4")</f>
        <v>PS4</v>
      </c>
      <c r="C509" s="16" t="str">
        <f>IFERROR(__xludf.DUMMYFUNCTION("""COMPUTED_VALUE"""),"Extra")</f>
        <v>Extra</v>
      </c>
      <c r="D509" s="15" t="str">
        <f>IFERROR(__xludf.DUMMYFUNCTION("""COMPUTED_VALUE"""),"Removed")</f>
        <v>Removed</v>
      </c>
      <c r="E509" s="17">
        <f>IFERROR(__xludf.DUMMYFUNCTION("""COMPUTED_VALUE"""),44789.0)</f>
        <v>44789</v>
      </c>
      <c r="F509" s="54">
        <f>IFERROR(__xludf.DUMMYFUNCTION("""COMPUTED_VALUE"""),45152.0)</f>
        <v>45152</v>
      </c>
      <c r="G509" s="19">
        <f>IFERROR(__xludf.DUMMYFUNCTION("""COMPUTED_VALUE"""),11.933333333333334)</f>
        <v>11.93333333</v>
      </c>
      <c r="H509" s="17">
        <f>IFERROR(__xludf.DUMMYFUNCTION("""COMPUTED_VALUE"""),42370.0)</f>
        <v>42370</v>
      </c>
      <c r="I509" s="19">
        <f>IFERROR(__xludf.DUMMYFUNCTION("""COMPUTED_VALUE"""),6.625)</f>
        <v>6.625</v>
      </c>
      <c r="J509" s="21">
        <f>IFERROR(__xludf.DUMMYFUNCTION("""COMPUTED_VALUE"""),80.0)</f>
        <v>80</v>
      </c>
      <c r="K509" s="23">
        <f>IFERROR(__xludf.DUMMYFUNCTION("""COMPUTED_VALUE"""),7.9)</f>
        <v>7.9</v>
      </c>
      <c r="L509" s="24">
        <f>IFERROR(__xludf.DUMMYFUNCTION("""COMPUTED_VALUE"""),17.5)</f>
        <v>17.5</v>
      </c>
      <c r="M509" s="25" t="str">
        <f>IFERROR(__xludf.DUMMYFUNCTION("""COMPUTED_VALUE"""),"RPG")</f>
        <v>RPG</v>
      </c>
      <c r="N509" s="25"/>
      <c r="O509" s="26" t="str">
        <f>IFERROR(__xludf.DUMMYFUNCTION("""COMPUTED_VALUE"""),"Yes")</f>
        <v>Yes</v>
      </c>
      <c r="P509" s="26"/>
    </row>
    <row r="510">
      <c r="A510" s="13" t="str">
        <f>IFERROR(__xludf.DUMMYFUNCTION("""COMPUTED_VALUE"""),"Yakuza Kiwami 2")</f>
        <v>Yakuza Kiwami 2</v>
      </c>
      <c r="B510" s="15" t="str">
        <f>IFERROR(__xludf.DUMMYFUNCTION("""COMPUTED_VALUE"""),"PS4")</f>
        <v>PS4</v>
      </c>
      <c r="C510" s="16" t="str">
        <f>IFERROR(__xludf.DUMMYFUNCTION("""COMPUTED_VALUE"""),"Extra")</f>
        <v>Extra</v>
      </c>
      <c r="D510" s="15" t="str">
        <f>IFERROR(__xludf.DUMMYFUNCTION("""COMPUTED_VALUE"""),"Removed")</f>
        <v>Removed</v>
      </c>
      <c r="E510" s="17">
        <f>IFERROR(__xludf.DUMMYFUNCTION("""COMPUTED_VALUE"""),44789.0)</f>
        <v>44789</v>
      </c>
      <c r="F510" s="54">
        <f>IFERROR(__xludf.DUMMYFUNCTION("""COMPUTED_VALUE"""),45152.0)</f>
        <v>45152</v>
      </c>
      <c r="G510" s="19">
        <f>IFERROR(__xludf.DUMMYFUNCTION("""COMPUTED_VALUE"""),11.933333333333334)</f>
        <v>11.93333333</v>
      </c>
      <c r="H510" s="17">
        <f>IFERROR(__xludf.DUMMYFUNCTION("""COMPUTED_VALUE"""),43070.0)</f>
        <v>43070</v>
      </c>
      <c r="I510" s="19">
        <f>IFERROR(__xludf.DUMMYFUNCTION("""COMPUTED_VALUE"""),4.708333333333333)</f>
        <v>4.708333333</v>
      </c>
      <c r="J510" s="21">
        <f>IFERROR(__xludf.DUMMYFUNCTION("""COMPUTED_VALUE"""),85.0)</f>
        <v>85</v>
      </c>
      <c r="K510" s="23">
        <f>IFERROR(__xludf.DUMMYFUNCTION("""COMPUTED_VALUE"""),8.4)</f>
        <v>8.4</v>
      </c>
      <c r="L510" s="24">
        <f>IFERROR(__xludf.DUMMYFUNCTION("""COMPUTED_VALUE"""),18.5)</f>
        <v>18.5</v>
      </c>
      <c r="M510" s="25" t="str">
        <f>IFERROR(__xludf.DUMMYFUNCTION("""COMPUTED_VALUE"""),"RPG")</f>
        <v>RPG</v>
      </c>
      <c r="N510" s="25"/>
      <c r="O510" s="26" t="str">
        <f>IFERROR(__xludf.DUMMYFUNCTION("""COMPUTED_VALUE"""),"Yes")</f>
        <v>Yes</v>
      </c>
      <c r="P510" s="26"/>
    </row>
    <row r="511">
      <c r="A511" s="13" t="str">
        <f>IFERROR(__xludf.DUMMYFUNCTION("""COMPUTED_VALUE"""),"DCL: The Game")</f>
        <v>DCL: The Game</v>
      </c>
      <c r="B511" s="15" t="str">
        <f>IFERROR(__xludf.DUMMYFUNCTION("""COMPUTED_VALUE"""),"PS4")</f>
        <v>PS4</v>
      </c>
      <c r="C511" s="16" t="str">
        <f>IFERROR(__xludf.DUMMYFUNCTION("""COMPUTED_VALUE"""),"Extra")</f>
        <v>Extra</v>
      </c>
      <c r="D511" s="15" t="str">
        <f>IFERROR(__xludf.DUMMYFUNCTION("""COMPUTED_VALUE"""),"Removed")</f>
        <v>Removed</v>
      </c>
      <c r="E511" s="17">
        <f>IFERROR(__xludf.DUMMYFUNCTION("""COMPUTED_VALUE"""),44725.0)</f>
        <v>44725</v>
      </c>
      <c r="F511" s="54">
        <f>IFERROR(__xludf.DUMMYFUNCTION("""COMPUTED_VALUE"""),45152.0)</f>
        <v>45152</v>
      </c>
      <c r="G511" s="19">
        <f>IFERROR(__xludf.DUMMYFUNCTION("""COMPUTED_VALUE"""),14.033333333333335)</f>
        <v>14.03333333</v>
      </c>
      <c r="H511" s="17">
        <f>IFERROR(__xludf.DUMMYFUNCTION("""COMPUTED_VALUE"""),43738.0)</f>
        <v>43738</v>
      </c>
      <c r="I511" s="19">
        <f>IFERROR(__xludf.DUMMYFUNCTION("""COMPUTED_VALUE"""),2.702777777777778)</f>
        <v>2.702777778</v>
      </c>
      <c r="J511" s="21">
        <f>IFERROR(__xludf.DUMMYFUNCTION("""COMPUTED_VALUE"""),55.0)</f>
        <v>55</v>
      </c>
      <c r="K511" s="23">
        <f>IFERROR(__xludf.DUMMYFUNCTION("""COMPUTED_VALUE"""),5.8)</f>
        <v>5.8</v>
      </c>
      <c r="L511" s="24"/>
      <c r="M511" s="25" t="str">
        <f>IFERROR(__xludf.DUMMYFUNCTION("""COMPUTED_VALUE"""),"Racing")</f>
        <v>Racing</v>
      </c>
      <c r="N511" s="25"/>
      <c r="O511" s="26" t="str">
        <f>IFERROR(__xludf.DUMMYFUNCTION("""COMPUTED_VALUE"""),"Yes")</f>
        <v>Yes</v>
      </c>
      <c r="P511" s="26"/>
    </row>
    <row r="512">
      <c r="A512" s="13" t="str">
        <f>IFERROR(__xludf.DUMMYFUNCTION("""COMPUTED_VALUE"""),"GRIP Combat Racing")</f>
        <v>GRIP Combat Racing</v>
      </c>
      <c r="B512" s="15" t="str">
        <f>IFERROR(__xludf.DUMMYFUNCTION("""COMPUTED_VALUE"""),"PS4")</f>
        <v>PS4</v>
      </c>
      <c r="C512" s="16" t="str">
        <f>IFERROR(__xludf.DUMMYFUNCTION("""COMPUTED_VALUE"""),"Extra")</f>
        <v>Extra</v>
      </c>
      <c r="D512" s="15" t="str">
        <f>IFERROR(__xludf.DUMMYFUNCTION("""COMPUTED_VALUE"""),"Removed")</f>
        <v>Removed</v>
      </c>
      <c r="E512" s="17">
        <f>IFERROR(__xludf.DUMMYFUNCTION("""COMPUTED_VALUE"""),44725.0)</f>
        <v>44725</v>
      </c>
      <c r="F512" s="54">
        <f>IFERROR(__xludf.DUMMYFUNCTION("""COMPUTED_VALUE"""),45152.0)</f>
        <v>45152</v>
      </c>
      <c r="G512" s="19">
        <f>IFERROR(__xludf.DUMMYFUNCTION("""COMPUTED_VALUE"""),14.033333333333335)</f>
        <v>14.03333333</v>
      </c>
      <c r="H512" s="17">
        <f>IFERROR(__xludf.DUMMYFUNCTION("""COMPUTED_VALUE"""),43410.0)</f>
        <v>43410</v>
      </c>
      <c r="I512" s="19">
        <f>IFERROR(__xludf.DUMMYFUNCTION("""COMPUTED_VALUE"""),3.602777777777778)</f>
        <v>3.602777778</v>
      </c>
      <c r="J512" s="21">
        <f>IFERROR(__xludf.DUMMYFUNCTION("""COMPUTED_VALUE"""),71.0)</f>
        <v>71</v>
      </c>
      <c r="K512" s="23">
        <f>IFERROR(__xludf.DUMMYFUNCTION("""COMPUTED_VALUE"""),5.4)</f>
        <v>5.4</v>
      </c>
      <c r="L512" s="24">
        <f>IFERROR(__xludf.DUMMYFUNCTION("""COMPUTED_VALUE"""),14.0)</f>
        <v>14</v>
      </c>
      <c r="M512" s="25" t="str">
        <f>IFERROR(__xludf.DUMMYFUNCTION("""COMPUTED_VALUE"""),"Racing")</f>
        <v>Racing</v>
      </c>
      <c r="N512" s="25"/>
      <c r="O512" s="26" t="str">
        <f>IFERROR(__xludf.DUMMYFUNCTION("""COMPUTED_VALUE"""),"No")</f>
        <v>No</v>
      </c>
      <c r="P512" s="26" t="str">
        <f>IFERROR(__xludf.DUMMYFUNCTION("""COMPUTED_VALUE"""),"Yes")</f>
        <v>Yes</v>
      </c>
    </row>
    <row r="513">
      <c r="A513" s="13" t="str">
        <f>IFERROR(__xludf.DUMMYFUNCTION("""COMPUTED_VALUE"""),"The Crew 2")</f>
        <v>The Crew 2</v>
      </c>
      <c r="B513" s="15" t="str">
        <f>IFERROR(__xludf.DUMMYFUNCTION("""COMPUTED_VALUE"""),"PS4")</f>
        <v>PS4</v>
      </c>
      <c r="C513" s="16" t="str">
        <f>IFERROR(__xludf.DUMMYFUNCTION("""COMPUTED_VALUE"""),"Extra (Ubisoft+ Classics)")</f>
        <v>Extra (Ubisoft+ Classics)</v>
      </c>
      <c r="D513" s="15" t="str">
        <f>IFERROR(__xludf.DUMMYFUNCTION("""COMPUTED_VALUE"""),"Removed")</f>
        <v>Removed</v>
      </c>
      <c r="E513" s="17">
        <f>IFERROR(__xludf.DUMMYFUNCTION("""COMPUTED_VALUE"""),44725.0)</f>
        <v>44725</v>
      </c>
      <c r="F513" s="54">
        <f>IFERROR(__xludf.DUMMYFUNCTION("""COMPUTED_VALUE"""),45152.0)</f>
        <v>45152</v>
      </c>
      <c r="G513" s="19">
        <f>IFERROR(__xludf.DUMMYFUNCTION("""COMPUTED_VALUE"""),14.033333333333335)</f>
        <v>14.03333333</v>
      </c>
      <c r="H513" s="17">
        <f>IFERROR(__xludf.DUMMYFUNCTION("""COMPUTED_VALUE"""),43160.0)</f>
        <v>43160</v>
      </c>
      <c r="I513" s="19">
        <f>IFERROR(__xludf.DUMMYFUNCTION("""COMPUTED_VALUE"""),4.283333333333333)</f>
        <v>4.283333333</v>
      </c>
      <c r="J513" s="21">
        <f>IFERROR(__xludf.DUMMYFUNCTION("""COMPUTED_VALUE"""),67.0)</f>
        <v>67</v>
      </c>
      <c r="K513" s="23">
        <f>IFERROR(__xludf.DUMMYFUNCTION("""COMPUTED_VALUE"""),6.4)</f>
        <v>6.4</v>
      </c>
      <c r="L513" s="24">
        <f>IFERROR(__xludf.DUMMYFUNCTION("""COMPUTED_VALUE"""),22.0)</f>
        <v>22</v>
      </c>
      <c r="M513" s="25" t="str">
        <f>IFERROR(__xludf.DUMMYFUNCTION("""COMPUTED_VALUE"""),"Racing")</f>
        <v>Racing</v>
      </c>
      <c r="N513" s="25"/>
      <c r="O513" s="26" t="str">
        <f>IFERROR(__xludf.DUMMYFUNCTION("""COMPUTED_VALUE"""),"Yes")</f>
        <v>Yes</v>
      </c>
      <c r="P513" s="26" t="str">
        <f>IFERROR(__xludf.DUMMYFUNCTION("""COMPUTED_VALUE"""),"Yes")</f>
        <v>Yes</v>
      </c>
    </row>
    <row r="514">
      <c r="A514" s="13" t="str">
        <f>IFERROR(__xludf.DUMMYFUNCTION("""COMPUTED_VALUE"""),"8-Bit Armies")</f>
        <v>8-Bit Armies</v>
      </c>
      <c r="B514" s="15" t="str">
        <f>IFERROR(__xludf.DUMMYFUNCTION("""COMPUTED_VALUE"""),"PS4")</f>
        <v>PS4</v>
      </c>
      <c r="C514" s="16" t="str">
        <f>IFERROR(__xludf.DUMMYFUNCTION("""COMPUTED_VALUE"""),"Extra")</f>
        <v>Extra</v>
      </c>
      <c r="D514" s="15" t="str">
        <f>IFERROR(__xludf.DUMMYFUNCTION("""COMPUTED_VALUE"""),"Removed")</f>
        <v>Removed</v>
      </c>
      <c r="E514" s="17">
        <f>IFERROR(__xludf.DUMMYFUNCTION("""COMPUTED_VALUE"""),43221.0)</f>
        <v>43221</v>
      </c>
      <c r="F514" s="54">
        <f>IFERROR(__xludf.DUMMYFUNCTION("""COMPUTED_VALUE"""),45152.0)</f>
        <v>45152</v>
      </c>
      <c r="G514" s="19">
        <f>IFERROR(__xludf.DUMMYFUNCTION("""COMPUTED_VALUE"""),63.43333333333334)</f>
        <v>63.43333333</v>
      </c>
      <c r="H514" s="17">
        <f>IFERROR(__xludf.DUMMYFUNCTION("""COMPUTED_VALUE"""),42482.0)</f>
        <v>42482</v>
      </c>
      <c r="I514" s="19">
        <f>IFERROR(__xludf.DUMMYFUNCTION("""COMPUTED_VALUE"""),2.025)</f>
        <v>2.025</v>
      </c>
      <c r="J514" s="21">
        <f>IFERROR(__xludf.DUMMYFUNCTION("""COMPUTED_VALUE"""),69.0)</f>
        <v>69</v>
      </c>
      <c r="K514" s="23">
        <f>IFERROR(__xludf.DUMMYFUNCTION("""COMPUTED_VALUE"""),6.8)</f>
        <v>6.8</v>
      </c>
      <c r="L514" s="24">
        <f>IFERROR(__xludf.DUMMYFUNCTION("""COMPUTED_VALUE"""),7.5)</f>
        <v>7.5</v>
      </c>
      <c r="M514" s="25" t="str">
        <f>IFERROR(__xludf.DUMMYFUNCTION("""COMPUTED_VALUE"""),"Strategy")</f>
        <v>Strategy</v>
      </c>
      <c r="N514" s="25"/>
      <c r="O514" s="26" t="str">
        <f>IFERROR(__xludf.DUMMYFUNCTION("""COMPUTED_VALUE"""),"Yes")</f>
        <v>Yes</v>
      </c>
      <c r="P514" s="26"/>
    </row>
    <row r="515">
      <c r="A515" s="13" t="str">
        <f>IFERROR(__xludf.DUMMYFUNCTION("""COMPUTED_VALUE"""),"Carmageddon: Max Damage")</f>
        <v>Carmageddon: Max Damage</v>
      </c>
      <c r="B515" s="15" t="str">
        <f>IFERROR(__xludf.DUMMYFUNCTION("""COMPUTED_VALUE"""),"PS4")</f>
        <v>PS4</v>
      </c>
      <c r="C515" s="16" t="str">
        <f>IFERROR(__xludf.DUMMYFUNCTION("""COMPUTED_VALUE"""),"Extra")</f>
        <v>Extra</v>
      </c>
      <c r="D515" s="15" t="str">
        <f>IFERROR(__xludf.DUMMYFUNCTION("""COMPUTED_VALUE"""),"Removed")</f>
        <v>Removed</v>
      </c>
      <c r="E515" s="17">
        <f>IFERROR(__xludf.DUMMYFUNCTION("""COMPUTED_VALUE"""),43011.0)</f>
        <v>43011</v>
      </c>
      <c r="F515" s="54">
        <f>IFERROR(__xludf.DUMMYFUNCTION("""COMPUTED_VALUE"""),45152.0)</f>
        <v>45152</v>
      </c>
      <c r="G515" s="19">
        <f>IFERROR(__xludf.DUMMYFUNCTION("""COMPUTED_VALUE"""),70.36666666666667)</f>
        <v>70.36666667</v>
      </c>
      <c r="H515" s="17">
        <f>IFERROR(__xludf.DUMMYFUNCTION("""COMPUTED_VALUE"""),42552.0)</f>
        <v>42552</v>
      </c>
      <c r="I515" s="19">
        <f>IFERROR(__xludf.DUMMYFUNCTION("""COMPUTED_VALUE"""),1.2555555555555555)</f>
        <v>1.255555556</v>
      </c>
      <c r="J515" s="21">
        <f>IFERROR(__xludf.DUMMYFUNCTION("""COMPUTED_VALUE"""),52.0)</f>
        <v>52</v>
      </c>
      <c r="K515" s="23">
        <f>IFERROR(__xludf.DUMMYFUNCTION("""COMPUTED_VALUE"""),6.4)</f>
        <v>6.4</v>
      </c>
      <c r="L515" s="24">
        <f>IFERROR(__xludf.DUMMYFUNCTION("""COMPUTED_VALUE"""),16.0)</f>
        <v>16</v>
      </c>
      <c r="M515" s="25" t="str">
        <f>IFERROR(__xludf.DUMMYFUNCTION("""COMPUTED_VALUE"""),"Racing")</f>
        <v>Racing</v>
      </c>
      <c r="N515" s="25"/>
      <c r="O515" s="26" t="str">
        <f>IFERROR(__xludf.DUMMYFUNCTION("""COMPUTED_VALUE"""),"Yes")</f>
        <v>Yes</v>
      </c>
      <c r="P515" s="26"/>
    </row>
    <row r="516">
      <c r="A516" s="13" t="str">
        <f>IFERROR(__xludf.DUMMYFUNCTION("""COMPUTED_VALUE"""),"Nidhogg")</f>
        <v>Nidhogg</v>
      </c>
      <c r="B516" s="15" t="str">
        <f>IFERROR(__xludf.DUMMYFUNCTION("""COMPUTED_VALUE"""),"PS4")</f>
        <v>PS4</v>
      </c>
      <c r="C516" s="16" t="str">
        <f>IFERROR(__xludf.DUMMYFUNCTION("""COMPUTED_VALUE"""),"Extra")</f>
        <v>Extra</v>
      </c>
      <c r="D516" s="15" t="str">
        <f>IFERROR(__xludf.DUMMYFUNCTION("""COMPUTED_VALUE"""),"Removed")</f>
        <v>Removed</v>
      </c>
      <c r="E516" s="17">
        <f>IFERROR(__xludf.DUMMYFUNCTION("""COMPUTED_VALUE"""),42922.0)</f>
        <v>42922</v>
      </c>
      <c r="F516" s="54">
        <f>IFERROR(__xludf.DUMMYFUNCTION("""COMPUTED_VALUE"""),45152.0)</f>
        <v>45152</v>
      </c>
      <c r="G516" s="19">
        <f>IFERROR(__xludf.DUMMYFUNCTION("""COMPUTED_VALUE"""),73.26666666666667)</f>
        <v>73.26666667</v>
      </c>
      <c r="H516" s="17">
        <f>IFERROR(__xludf.DUMMYFUNCTION("""COMPUTED_VALUE"""),41640.0)</f>
        <v>41640</v>
      </c>
      <c r="I516" s="19">
        <f>IFERROR(__xludf.DUMMYFUNCTION("""COMPUTED_VALUE"""),3.513888888888889)</f>
        <v>3.513888889</v>
      </c>
      <c r="J516" s="21">
        <f>IFERROR(__xludf.DUMMYFUNCTION("""COMPUTED_VALUE"""),81.0)</f>
        <v>81</v>
      </c>
      <c r="K516" s="23">
        <f>IFERROR(__xludf.DUMMYFUNCTION("""COMPUTED_VALUE"""),7.4)</f>
        <v>7.4</v>
      </c>
      <c r="L516" s="24"/>
      <c r="M516" s="25" t="str">
        <f>IFERROR(__xludf.DUMMYFUNCTION("""COMPUTED_VALUE"""),"Action-Adventure")</f>
        <v>Action-Adventure</v>
      </c>
      <c r="N516" s="25"/>
      <c r="O516" s="26" t="str">
        <f>IFERROR(__xludf.DUMMYFUNCTION("""COMPUTED_VALUE"""),"Yes")</f>
        <v>Yes</v>
      </c>
      <c r="P516" s="26" t="str">
        <f>IFERROR(__xludf.DUMMYFUNCTION("""COMPUTED_VALUE"""),"Yes")</f>
        <v>Yes</v>
      </c>
    </row>
    <row r="517">
      <c r="A517" s="13" t="str">
        <f>IFERROR(__xludf.DUMMYFUNCTION("""COMPUTED_VALUE"""),"Alan Wake: Remastered")</f>
        <v>Alan Wake: Remastered</v>
      </c>
      <c r="B517" s="15" t="str">
        <f>IFERROR(__xludf.DUMMYFUNCTION("""COMPUTED_VALUE"""),"PS5/PS4")</f>
        <v>PS5/PS4</v>
      </c>
      <c r="C517" s="16" t="str">
        <f>IFERROR(__xludf.DUMMYFUNCTION("""COMPUTED_VALUE"""),"Essential")</f>
        <v>Essential</v>
      </c>
      <c r="D517" s="15" t="str">
        <f>IFERROR(__xludf.DUMMYFUNCTION("""COMPUTED_VALUE"""),"Removed")</f>
        <v>Removed</v>
      </c>
      <c r="E517" s="17">
        <f>IFERROR(__xludf.DUMMYFUNCTION("""COMPUTED_VALUE"""),45111.0)</f>
        <v>45111</v>
      </c>
      <c r="F517" s="54">
        <f>IFERROR(__xludf.DUMMYFUNCTION("""COMPUTED_VALUE"""),45138.0)</f>
        <v>45138</v>
      </c>
      <c r="G517" s="19">
        <f>IFERROR(__xludf.DUMMYFUNCTION("""COMPUTED_VALUE"""),0.8666666666666666)</f>
        <v>0.8666666667</v>
      </c>
      <c r="H517" s="17">
        <f>IFERROR(__xludf.DUMMYFUNCTION("""COMPUTED_VALUE"""),44474.0)</f>
        <v>44474</v>
      </c>
      <c r="I517" s="19">
        <f>IFERROR(__xludf.DUMMYFUNCTION("""COMPUTED_VALUE"""),1.7472222222222222)</f>
        <v>1.747222222</v>
      </c>
      <c r="J517" s="21">
        <f>IFERROR(__xludf.DUMMYFUNCTION("""COMPUTED_VALUE"""),79.0)</f>
        <v>79</v>
      </c>
      <c r="K517" s="23">
        <f>IFERROR(__xludf.DUMMYFUNCTION("""COMPUTED_VALUE"""),8.0)</f>
        <v>8</v>
      </c>
      <c r="L517" s="24">
        <f>IFERROR(__xludf.DUMMYFUNCTION("""COMPUTED_VALUE"""),10.0)</f>
        <v>10</v>
      </c>
      <c r="M517" s="25" t="str">
        <f>IFERROR(__xludf.DUMMYFUNCTION("""COMPUTED_VALUE"""),"Action-Adventure")</f>
        <v>Action-Adventure</v>
      </c>
      <c r="N517" s="25"/>
      <c r="O517" s="26" t="str">
        <f>IFERROR(__xludf.DUMMYFUNCTION("""COMPUTED_VALUE"""),"No")</f>
        <v>No</v>
      </c>
      <c r="P517" s="26"/>
    </row>
    <row r="518">
      <c r="A518" s="13" t="str">
        <f>IFERROR(__xludf.DUMMYFUNCTION("""COMPUTED_VALUE"""),"Call of Duty: Black Ops Cold War")</f>
        <v>Call of Duty: Black Ops Cold War</v>
      </c>
      <c r="B518" s="15" t="str">
        <f>IFERROR(__xludf.DUMMYFUNCTION("""COMPUTED_VALUE"""),"PS5/PS4")</f>
        <v>PS5/PS4</v>
      </c>
      <c r="C518" s="16" t="str">
        <f>IFERROR(__xludf.DUMMYFUNCTION("""COMPUTED_VALUE"""),"Essential")</f>
        <v>Essential</v>
      </c>
      <c r="D518" s="15" t="str">
        <f>IFERROR(__xludf.DUMMYFUNCTION("""COMPUTED_VALUE"""),"Removed")</f>
        <v>Removed</v>
      </c>
      <c r="E518" s="17">
        <f>IFERROR(__xludf.DUMMYFUNCTION("""COMPUTED_VALUE"""),45111.0)</f>
        <v>45111</v>
      </c>
      <c r="F518" s="54">
        <f>IFERROR(__xludf.DUMMYFUNCTION("""COMPUTED_VALUE"""),45138.0)</f>
        <v>45138</v>
      </c>
      <c r="G518" s="19">
        <f>IFERROR(__xludf.DUMMYFUNCTION("""COMPUTED_VALUE"""),0.8666666666666666)</f>
        <v>0.8666666667</v>
      </c>
      <c r="H518" s="17">
        <f>IFERROR(__xludf.DUMMYFUNCTION("""COMPUTED_VALUE"""),44148.0)</f>
        <v>44148</v>
      </c>
      <c r="I518" s="19">
        <f>IFERROR(__xludf.DUMMYFUNCTION("""COMPUTED_VALUE"""),2.6416666666666666)</f>
        <v>2.641666667</v>
      </c>
      <c r="J518" s="21">
        <f>IFERROR(__xludf.DUMMYFUNCTION("""COMPUTED_VALUE"""),76.0)</f>
        <v>76</v>
      </c>
      <c r="K518" s="23">
        <f>IFERROR(__xludf.DUMMYFUNCTION("""COMPUTED_VALUE"""),4.1)</f>
        <v>4.1</v>
      </c>
      <c r="L518" s="24">
        <f>IFERROR(__xludf.DUMMYFUNCTION("""COMPUTED_VALUE"""),6.0)</f>
        <v>6</v>
      </c>
      <c r="M518" s="25" t="str">
        <f>IFERROR(__xludf.DUMMYFUNCTION("""COMPUTED_VALUE"""),"Shooter")</f>
        <v>Shooter</v>
      </c>
      <c r="N518" s="25"/>
      <c r="O518" s="26" t="str">
        <f>IFERROR(__xludf.DUMMYFUNCTION("""COMPUTED_VALUE"""),"No")</f>
        <v>No</v>
      </c>
      <c r="P518" s="26"/>
    </row>
    <row r="519">
      <c r="A519" s="13" t="str">
        <f>IFERROR(__xludf.DUMMYFUNCTION("""COMPUTED_VALUE"""),"Endling: Extinction is Forever")</f>
        <v>Endling: Extinction is Forever</v>
      </c>
      <c r="B519" s="15" t="str">
        <f>IFERROR(__xludf.DUMMYFUNCTION("""COMPUTED_VALUE"""),"PS5/PS4")</f>
        <v>PS5/PS4</v>
      </c>
      <c r="C519" s="16" t="str">
        <f>IFERROR(__xludf.DUMMYFUNCTION("""COMPUTED_VALUE"""),"Essential")</f>
        <v>Essential</v>
      </c>
      <c r="D519" s="15" t="str">
        <f>IFERROR(__xludf.DUMMYFUNCTION("""COMPUTED_VALUE"""),"Removed")</f>
        <v>Removed</v>
      </c>
      <c r="E519" s="17">
        <f>IFERROR(__xludf.DUMMYFUNCTION("""COMPUTED_VALUE"""),45111.0)</f>
        <v>45111</v>
      </c>
      <c r="F519" s="54">
        <f>IFERROR(__xludf.DUMMYFUNCTION("""COMPUTED_VALUE"""),45138.0)</f>
        <v>45138</v>
      </c>
      <c r="G519" s="19">
        <f>IFERROR(__xludf.DUMMYFUNCTION("""COMPUTED_VALUE"""),0.8666666666666666)</f>
        <v>0.8666666667</v>
      </c>
      <c r="H519" s="17">
        <f>IFERROR(__xludf.DUMMYFUNCTION("""COMPUTED_VALUE"""),44761.0)</f>
        <v>44761</v>
      </c>
      <c r="I519" s="19">
        <f>IFERROR(__xludf.DUMMYFUNCTION("""COMPUTED_VALUE"""),0.9583333333333334)</f>
        <v>0.9583333333</v>
      </c>
      <c r="J519" s="21">
        <f>IFERROR(__xludf.DUMMYFUNCTION("""COMPUTED_VALUE"""),82.0)</f>
        <v>82</v>
      </c>
      <c r="K519" s="23">
        <f>IFERROR(__xludf.DUMMYFUNCTION("""COMPUTED_VALUE"""),8.3)</f>
        <v>8.3</v>
      </c>
      <c r="L519" s="24">
        <f>IFERROR(__xludf.DUMMYFUNCTION("""COMPUTED_VALUE"""),4.0)</f>
        <v>4</v>
      </c>
      <c r="M519" s="25" t="str">
        <f>IFERROR(__xludf.DUMMYFUNCTION("""COMPUTED_VALUE"""),"Action-Adventure")</f>
        <v>Action-Adventure</v>
      </c>
      <c r="N519" s="25"/>
      <c r="O519" s="26" t="str">
        <f>IFERROR(__xludf.DUMMYFUNCTION("""COMPUTED_VALUE"""),"No")</f>
        <v>No</v>
      </c>
      <c r="P519" s="26"/>
    </row>
    <row r="520">
      <c r="A520" s="13" t="str">
        <f>IFERROR(__xludf.DUMMYFUNCTION("""COMPUTED_VALUE"""),"Stray")</f>
        <v>Stray</v>
      </c>
      <c r="B520" s="15" t="str">
        <f>IFERROR(__xludf.DUMMYFUNCTION("""COMPUTED_VALUE"""),"PS5/PS4")</f>
        <v>PS5/PS4</v>
      </c>
      <c r="C520" s="16" t="str">
        <f>IFERROR(__xludf.DUMMYFUNCTION("""COMPUTED_VALUE"""),"Extra")</f>
        <v>Extra</v>
      </c>
      <c r="D520" s="15" t="str">
        <f>IFERROR(__xludf.DUMMYFUNCTION("""COMPUTED_VALUE"""),"Removed")</f>
        <v>Removed</v>
      </c>
      <c r="E520" s="17">
        <f>IFERROR(__xludf.DUMMYFUNCTION("""COMPUTED_VALUE"""),44761.0)</f>
        <v>44761</v>
      </c>
      <c r="F520" s="54">
        <f>IFERROR(__xludf.DUMMYFUNCTION("""COMPUTED_VALUE"""),45124.0)</f>
        <v>45124</v>
      </c>
      <c r="G520" s="19">
        <f>IFERROR(__xludf.DUMMYFUNCTION("""COMPUTED_VALUE"""),11.933333333333334)</f>
        <v>11.93333333</v>
      </c>
      <c r="H520" s="17">
        <f>IFERROR(__xludf.DUMMYFUNCTION("""COMPUTED_VALUE"""),44761.0)</f>
        <v>44761</v>
      </c>
      <c r="I520" s="19">
        <f>IFERROR(__xludf.DUMMYFUNCTION("""COMPUTED_VALUE"""),0.0)</f>
        <v>0</v>
      </c>
      <c r="J520" s="21">
        <f>IFERROR(__xludf.DUMMYFUNCTION("""COMPUTED_VALUE"""),84.0)</f>
        <v>84</v>
      </c>
      <c r="K520" s="23">
        <f>IFERROR(__xludf.DUMMYFUNCTION("""COMPUTED_VALUE"""),8.7)</f>
        <v>8.7</v>
      </c>
      <c r="L520" s="24">
        <f>IFERROR(__xludf.DUMMYFUNCTION("""COMPUTED_VALUE"""),4.5)</f>
        <v>4.5</v>
      </c>
      <c r="M520" s="25" t="str">
        <f>IFERROR(__xludf.DUMMYFUNCTION("""COMPUTED_VALUE"""),"Action-Adventure")</f>
        <v>Action-Adventure</v>
      </c>
      <c r="N520" s="25"/>
      <c r="O520" s="26" t="str">
        <f>IFERROR(__xludf.DUMMYFUNCTION("""COMPUTED_VALUE"""),"Yes")</f>
        <v>Yes</v>
      </c>
      <c r="P520" s="26"/>
    </row>
    <row r="521">
      <c r="A521" s="13" t="str">
        <f>IFERROR(__xludf.DUMMYFUNCTION("""COMPUTED_VALUE"""),"Marvel's Avengers")</f>
        <v>Marvel's Avengers</v>
      </c>
      <c r="B521" s="15" t="str">
        <f>IFERROR(__xludf.DUMMYFUNCTION("""COMPUTED_VALUE"""),"PS5/PS4")</f>
        <v>PS5/PS4</v>
      </c>
      <c r="C521" s="16" t="str">
        <f>IFERROR(__xludf.DUMMYFUNCTION("""COMPUTED_VALUE"""),"Extra")</f>
        <v>Extra</v>
      </c>
      <c r="D521" s="15" t="str">
        <f>IFERROR(__xludf.DUMMYFUNCTION("""COMPUTED_VALUE"""),"Removed")</f>
        <v>Removed</v>
      </c>
      <c r="E521" s="17">
        <f>IFERROR(__xludf.DUMMYFUNCTION("""COMPUTED_VALUE"""),44761.0)</f>
        <v>44761</v>
      </c>
      <c r="F521" s="54">
        <f>IFERROR(__xludf.DUMMYFUNCTION("""COMPUTED_VALUE"""),45124.0)</f>
        <v>45124</v>
      </c>
      <c r="G521" s="19">
        <f>IFERROR(__xludf.DUMMYFUNCTION("""COMPUTED_VALUE"""),11.933333333333334)</f>
        <v>11.93333333</v>
      </c>
      <c r="H521" s="17">
        <f>IFERROR(__xludf.DUMMYFUNCTION("""COMPUTED_VALUE"""),44078.0)</f>
        <v>44078</v>
      </c>
      <c r="I521" s="19">
        <f>IFERROR(__xludf.DUMMYFUNCTION("""COMPUTED_VALUE"""),1.875)</f>
        <v>1.875</v>
      </c>
      <c r="J521" s="21">
        <f>IFERROR(__xludf.DUMMYFUNCTION("""COMPUTED_VALUE"""),67.0)</f>
        <v>67</v>
      </c>
      <c r="K521" s="23">
        <f>IFERROR(__xludf.DUMMYFUNCTION("""COMPUTED_VALUE"""),4.9)</f>
        <v>4.9</v>
      </c>
      <c r="L521" s="24">
        <f>IFERROR(__xludf.DUMMYFUNCTION("""COMPUTED_VALUE"""),12.0)</f>
        <v>12</v>
      </c>
      <c r="M521" s="25" t="str">
        <f>IFERROR(__xludf.DUMMYFUNCTION("""COMPUTED_VALUE"""),"Action-Adventure")</f>
        <v>Action-Adventure</v>
      </c>
      <c r="N521" s="25"/>
      <c r="O521" s="26" t="str">
        <f>IFERROR(__xludf.DUMMYFUNCTION("""COMPUTED_VALUE"""),"Yes")</f>
        <v>Yes</v>
      </c>
      <c r="P521" s="26"/>
    </row>
    <row r="522">
      <c r="A522" s="13" t="str">
        <f>IFERROR(__xludf.DUMMYFUNCTION("""COMPUTED_VALUE"""),"Saints Row: Gat out of Hell")</f>
        <v>Saints Row: Gat out of Hell</v>
      </c>
      <c r="B522" s="15" t="str">
        <f>IFERROR(__xludf.DUMMYFUNCTION("""COMPUTED_VALUE"""),"PS4")</f>
        <v>PS4</v>
      </c>
      <c r="C522" s="16" t="str">
        <f>IFERROR(__xludf.DUMMYFUNCTION("""COMPUTED_VALUE"""),"Extra")</f>
        <v>Extra</v>
      </c>
      <c r="D522" s="15" t="str">
        <f>IFERROR(__xludf.DUMMYFUNCTION("""COMPUTED_VALUE"""),"Removed")</f>
        <v>Removed</v>
      </c>
      <c r="E522" s="17">
        <f>IFERROR(__xludf.DUMMYFUNCTION("""COMPUTED_VALUE"""),44761.0)</f>
        <v>44761</v>
      </c>
      <c r="F522" s="54">
        <f>IFERROR(__xludf.DUMMYFUNCTION("""COMPUTED_VALUE"""),45124.0)</f>
        <v>45124</v>
      </c>
      <c r="G522" s="19">
        <f>IFERROR(__xludf.DUMMYFUNCTION("""COMPUTED_VALUE"""),11.933333333333334)</f>
        <v>11.93333333</v>
      </c>
      <c r="H522" s="17">
        <f>IFERROR(__xludf.DUMMYFUNCTION("""COMPUTED_VALUE"""),42024.0)</f>
        <v>42024</v>
      </c>
      <c r="I522" s="19">
        <f>IFERROR(__xludf.DUMMYFUNCTION("""COMPUTED_VALUE"""),7.497222222222222)</f>
        <v>7.497222222</v>
      </c>
      <c r="J522" s="21">
        <f>IFERROR(__xludf.DUMMYFUNCTION("""COMPUTED_VALUE"""),64.0)</f>
        <v>64</v>
      </c>
      <c r="K522" s="23">
        <f>IFERROR(__xludf.DUMMYFUNCTION("""COMPUTED_VALUE"""),6.4)</f>
        <v>6.4</v>
      </c>
      <c r="L522" s="24">
        <f>IFERROR(__xludf.DUMMYFUNCTION("""COMPUTED_VALUE"""),4.5)</f>
        <v>4.5</v>
      </c>
      <c r="M522" s="25" t="str">
        <f>IFERROR(__xludf.DUMMYFUNCTION("""COMPUTED_VALUE"""),"Action-Adventure")</f>
        <v>Action-Adventure</v>
      </c>
      <c r="N522" s="25"/>
      <c r="O522" s="26" t="str">
        <f>IFERROR(__xludf.DUMMYFUNCTION("""COMPUTED_VALUE"""),"Yes")</f>
        <v>Yes</v>
      </c>
      <c r="P522" s="26"/>
    </row>
    <row r="523">
      <c r="A523" s="13" t="str">
        <f>IFERROR(__xludf.DUMMYFUNCTION("""COMPUTED_VALUE"""),"Rogue Stormers")</f>
        <v>Rogue Stormers</v>
      </c>
      <c r="B523" s="15" t="str">
        <f>IFERROR(__xludf.DUMMYFUNCTION("""COMPUTED_VALUE"""),"PS4")</f>
        <v>PS4</v>
      </c>
      <c r="C523" s="16" t="str">
        <f>IFERROR(__xludf.DUMMYFUNCTION("""COMPUTED_VALUE"""),"Extra")</f>
        <v>Extra</v>
      </c>
      <c r="D523" s="15" t="str">
        <f>IFERROR(__xludf.DUMMYFUNCTION("""COMPUTED_VALUE"""),"Removed")</f>
        <v>Removed</v>
      </c>
      <c r="E523" s="17">
        <f>IFERROR(__xludf.DUMMYFUNCTION("""COMPUTED_VALUE"""),44725.0)</f>
        <v>44725</v>
      </c>
      <c r="F523" s="54">
        <f>IFERROR(__xludf.DUMMYFUNCTION("""COMPUTED_VALUE"""),45124.0)</f>
        <v>45124</v>
      </c>
      <c r="G523" s="19">
        <f>IFERROR(__xludf.DUMMYFUNCTION("""COMPUTED_VALUE"""),13.133333333333335)</f>
        <v>13.13333333</v>
      </c>
      <c r="H523" s="17">
        <f>IFERROR(__xludf.DUMMYFUNCTION("""COMPUTED_VALUE"""),42644.0)</f>
        <v>42644</v>
      </c>
      <c r="I523" s="19">
        <f>IFERROR(__xludf.DUMMYFUNCTION("""COMPUTED_VALUE"""),5.7)</f>
        <v>5.7</v>
      </c>
      <c r="J523" s="21">
        <f>IFERROR(__xludf.DUMMYFUNCTION("""COMPUTED_VALUE"""),64.0)</f>
        <v>64</v>
      </c>
      <c r="K523" s="23">
        <f>IFERROR(__xludf.DUMMYFUNCTION("""COMPUTED_VALUE"""),5.9)</f>
        <v>5.9</v>
      </c>
      <c r="L523" s="24">
        <f>IFERROR(__xludf.DUMMYFUNCTION("""COMPUTED_VALUE"""),4.0)</f>
        <v>4</v>
      </c>
      <c r="M523" s="25" t="str">
        <f>IFERROR(__xludf.DUMMYFUNCTION("""COMPUTED_VALUE"""),"Action-Adventure")</f>
        <v>Action-Adventure</v>
      </c>
      <c r="N523" s="25"/>
      <c r="O523" s="26" t="str">
        <f>IFERROR(__xludf.DUMMYFUNCTION("""COMPUTED_VALUE"""),"Yes")</f>
        <v>Yes</v>
      </c>
      <c r="P523" s="26" t="str">
        <f>IFERROR(__xludf.DUMMYFUNCTION("""COMPUTED_VALUE"""),"Yes")</f>
        <v>Yes</v>
      </c>
    </row>
    <row r="524">
      <c r="A524" s="13" t="str">
        <f>IFERROR(__xludf.DUMMYFUNCTION("""COMPUTED_VALUE"""),"Borderlands: The Handsome Collection")</f>
        <v>Borderlands: The Handsome Collection</v>
      </c>
      <c r="B524" s="15" t="str">
        <f>IFERROR(__xludf.DUMMYFUNCTION("""COMPUTED_VALUE"""),"PS4")</f>
        <v>PS4</v>
      </c>
      <c r="C524" s="16" t="str">
        <f>IFERROR(__xludf.DUMMYFUNCTION("""COMPUTED_VALUE"""),"Premium (Remasters)")</f>
        <v>Premium (Remasters)</v>
      </c>
      <c r="D524" s="15" t="str">
        <f>IFERROR(__xludf.DUMMYFUNCTION("""COMPUTED_VALUE"""),"Removed")</f>
        <v>Removed</v>
      </c>
      <c r="E524" s="17">
        <f>IFERROR(__xludf.DUMMYFUNCTION("""COMPUTED_VALUE"""),44725.0)</f>
        <v>44725</v>
      </c>
      <c r="F524" s="54">
        <f>IFERROR(__xludf.DUMMYFUNCTION("""COMPUTED_VALUE"""),45124.0)</f>
        <v>45124</v>
      </c>
      <c r="G524" s="19">
        <f>IFERROR(__xludf.DUMMYFUNCTION("""COMPUTED_VALUE"""),13.133333333333335)</f>
        <v>13.13333333</v>
      </c>
      <c r="H524" s="17">
        <f>IFERROR(__xludf.DUMMYFUNCTION("""COMPUTED_VALUE"""),42087.0)</f>
        <v>42087</v>
      </c>
      <c r="I524" s="19">
        <f>IFERROR(__xludf.DUMMYFUNCTION("""COMPUTED_VALUE"""),7.219444444444444)</f>
        <v>7.219444444</v>
      </c>
      <c r="J524" s="21">
        <f>IFERROR(__xludf.DUMMYFUNCTION("""COMPUTED_VALUE"""),82.0)</f>
        <v>82</v>
      </c>
      <c r="K524" s="23">
        <f>IFERROR(__xludf.DUMMYFUNCTION("""COMPUTED_VALUE"""),7.8)</f>
        <v>7.8</v>
      </c>
      <c r="L524" s="24">
        <f>IFERROR(__xludf.DUMMYFUNCTION("""COMPUTED_VALUE"""),25.0)</f>
        <v>25</v>
      </c>
      <c r="M524" s="25" t="str">
        <f>IFERROR(__xludf.DUMMYFUNCTION("""COMPUTED_VALUE"""),"Shooter")</f>
        <v>Shooter</v>
      </c>
      <c r="N524" s="25" t="str">
        <f>IFERROR(__xludf.DUMMYFUNCTION("""COMPUTED_VALUE"""),"PS3")</f>
        <v>PS3</v>
      </c>
      <c r="O524" s="26" t="str">
        <f>IFERROR(__xludf.DUMMYFUNCTION("""COMPUTED_VALUE"""),"Yes")</f>
        <v>Yes</v>
      </c>
      <c r="P524" s="26" t="str">
        <f>IFERROR(__xludf.DUMMYFUNCTION("""COMPUTED_VALUE"""),"Yes")</f>
        <v>Yes</v>
      </c>
    </row>
    <row r="525">
      <c r="A525" s="13" t="str">
        <f>IFERROR(__xludf.DUMMYFUNCTION("""COMPUTED_VALUE"""),"Raiden V: Director's Cut")</f>
        <v>Raiden V: Director's Cut</v>
      </c>
      <c r="B525" s="15" t="str">
        <f>IFERROR(__xludf.DUMMYFUNCTION("""COMPUTED_VALUE"""),"PS5/PS4")</f>
        <v>PS5/PS4</v>
      </c>
      <c r="C525" s="16" t="str">
        <f>IFERROR(__xludf.DUMMYFUNCTION("""COMPUTED_VALUE"""),"Premium (Streaming Only)")</f>
        <v>Premium (Streaming Only)</v>
      </c>
      <c r="D525" s="15" t="str">
        <f>IFERROR(__xludf.DUMMYFUNCTION("""COMPUTED_VALUE"""),"Removed")</f>
        <v>Removed</v>
      </c>
      <c r="E525" s="17">
        <f>IFERROR(__xludf.DUMMYFUNCTION("""COMPUTED_VALUE"""),44725.0)</f>
        <v>44725</v>
      </c>
      <c r="F525" s="54">
        <f>IFERROR(__xludf.DUMMYFUNCTION("""COMPUTED_VALUE"""),45124.0)</f>
        <v>45124</v>
      </c>
      <c r="G525" s="19">
        <f>IFERROR(__xludf.DUMMYFUNCTION("""COMPUTED_VALUE"""),13.133333333333335)</f>
        <v>13.13333333</v>
      </c>
      <c r="H525" s="17">
        <f>IFERROR(__xludf.DUMMYFUNCTION("""COMPUTED_VALUE"""),42401.0)</f>
        <v>42401</v>
      </c>
      <c r="I525" s="19">
        <f>IFERROR(__xludf.DUMMYFUNCTION("""COMPUTED_VALUE"""),6.366666666666666)</f>
        <v>6.366666667</v>
      </c>
      <c r="J525" s="21">
        <f>IFERROR(__xludf.DUMMYFUNCTION("""COMPUTED_VALUE"""),73.0)</f>
        <v>73</v>
      </c>
      <c r="K525" s="23">
        <f>IFERROR(__xludf.DUMMYFUNCTION("""COMPUTED_VALUE"""),7.5)</f>
        <v>7.5</v>
      </c>
      <c r="L525" s="24">
        <f>IFERROR(__xludf.DUMMYFUNCTION("""COMPUTED_VALUE"""),5.0)</f>
        <v>5</v>
      </c>
      <c r="M525" s="25" t="str">
        <f>IFERROR(__xludf.DUMMYFUNCTION("""COMPUTED_VALUE"""),"Shooter")</f>
        <v>Shooter</v>
      </c>
      <c r="N525" s="25" t="str">
        <f>IFERROR(__xludf.DUMMYFUNCTION("""COMPUTED_VALUE"""),"PS3")</f>
        <v>PS3</v>
      </c>
      <c r="O525" s="26" t="str">
        <f>IFERROR(__xludf.DUMMYFUNCTION("""COMPUTED_VALUE"""),"Yes")</f>
        <v>Yes</v>
      </c>
      <c r="P525" s="26" t="str">
        <f>IFERROR(__xludf.DUMMYFUNCTION("""COMPUTED_VALUE"""),"")</f>
        <v/>
      </c>
    </row>
    <row r="526">
      <c r="A526" s="13" t="str">
        <f>IFERROR(__xludf.DUMMYFUNCTION("""COMPUTED_VALUE"""),"Bioshock 2: Remastered")</f>
        <v>Bioshock 2: Remastered</v>
      </c>
      <c r="B526" s="15" t="str">
        <f>IFERROR(__xludf.DUMMYFUNCTION("""COMPUTED_VALUE"""),"PS4")</f>
        <v>PS4</v>
      </c>
      <c r="C526" s="16" t="str">
        <f>IFERROR(__xludf.DUMMYFUNCTION("""COMPUTED_VALUE"""),"Premium (Remasters)")</f>
        <v>Premium (Remasters)</v>
      </c>
      <c r="D526" s="15" t="str">
        <f>IFERROR(__xludf.DUMMYFUNCTION("""COMPUTED_VALUE"""),"Removed")</f>
        <v>Removed</v>
      </c>
      <c r="E526" s="17">
        <f>IFERROR(__xludf.DUMMYFUNCTION("""COMPUTED_VALUE"""),43865.0)</f>
        <v>43865</v>
      </c>
      <c r="F526" s="54">
        <f>IFERROR(__xludf.DUMMYFUNCTION("""COMPUTED_VALUE"""),45124.0)</f>
        <v>45124</v>
      </c>
      <c r="G526" s="19">
        <f>IFERROR(__xludf.DUMMYFUNCTION("""COMPUTED_VALUE"""),41.43333333333334)</f>
        <v>41.43333333</v>
      </c>
      <c r="H526" s="17">
        <f>IFERROR(__xludf.DUMMYFUNCTION("""COMPUTED_VALUE"""),42626.0)</f>
        <v>42626</v>
      </c>
      <c r="I526" s="19">
        <f>IFERROR(__xludf.DUMMYFUNCTION("""COMPUTED_VALUE"""),3.3916666666666666)</f>
        <v>3.391666667</v>
      </c>
      <c r="J526" s="21">
        <f>IFERROR(__xludf.DUMMYFUNCTION("""COMPUTED_VALUE"""),88.0)</f>
        <v>88</v>
      </c>
      <c r="K526" s="23">
        <f>IFERROR(__xludf.DUMMYFUNCTION("""COMPUTED_VALUE"""),7.7)</f>
        <v>7.7</v>
      </c>
      <c r="L526" s="24">
        <f>IFERROR(__xludf.DUMMYFUNCTION("""COMPUTED_VALUE"""),11.0)</f>
        <v>11</v>
      </c>
      <c r="M526" s="25" t="str">
        <f>IFERROR(__xludf.DUMMYFUNCTION("""COMPUTED_VALUE"""),"Shooter")</f>
        <v>Shooter</v>
      </c>
      <c r="N526" s="25" t="str">
        <f>IFERROR(__xludf.DUMMYFUNCTION("""COMPUTED_VALUE"""),"PS3")</f>
        <v>PS3</v>
      </c>
      <c r="O526" s="26" t="str">
        <f>IFERROR(__xludf.DUMMYFUNCTION("""COMPUTED_VALUE"""),"Yes")</f>
        <v>Yes</v>
      </c>
      <c r="P526" s="26"/>
    </row>
    <row r="527">
      <c r="A527" s="13" t="str">
        <f>IFERROR(__xludf.DUMMYFUNCTION("""COMPUTED_VALUE"""),"Bioshock Infinite: The Complete Edition")</f>
        <v>Bioshock Infinite: The Complete Edition</v>
      </c>
      <c r="B527" s="15" t="str">
        <f>IFERROR(__xludf.DUMMYFUNCTION("""COMPUTED_VALUE"""),"PS4")</f>
        <v>PS4</v>
      </c>
      <c r="C527" s="16" t="str">
        <f>IFERROR(__xludf.DUMMYFUNCTION("""COMPUTED_VALUE"""),"Premium (Remasters)")</f>
        <v>Premium (Remasters)</v>
      </c>
      <c r="D527" s="15" t="str">
        <f>IFERROR(__xludf.DUMMYFUNCTION("""COMPUTED_VALUE"""),"Removed")</f>
        <v>Removed</v>
      </c>
      <c r="E527" s="17">
        <f>IFERROR(__xludf.DUMMYFUNCTION("""COMPUTED_VALUE"""),43865.0)</f>
        <v>43865</v>
      </c>
      <c r="F527" s="54">
        <f>IFERROR(__xludf.DUMMYFUNCTION("""COMPUTED_VALUE"""),45124.0)</f>
        <v>45124</v>
      </c>
      <c r="G527" s="19">
        <f>IFERROR(__xludf.DUMMYFUNCTION("""COMPUTED_VALUE"""),41.43333333333334)</f>
        <v>41.43333333</v>
      </c>
      <c r="H527" s="17">
        <f>IFERROR(__xludf.DUMMYFUNCTION("""COMPUTED_VALUE"""),41947.0)</f>
        <v>41947</v>
      </c>
      <c r="I527" s="19">
        <f>IFERROR(__xludf.DUMMYFUNCTION("""COMPUTED_VALUE"""),5.25)</f>
        <v>5.25</v>
      </c>
      <c r="J527" s="21">
        <f>IFERROR(__xludf.DUMMYFUNCTION("""COMPUTED_VALUE"""),94.0)</f>
        <v>94</v>
      </c>
      <c r="K527" s="23">
        <f>IFERROR(__xludf.DUMMYFUNCTION("""COMPUTED_VALUE"""),8.6)</f>
        <v>8.6</v>
      </c>
      <c r="L527" s="24">
        <f>IFERROR(__xludf.DUMMYFUNCTION("""COMPUTED_VALUE"""),11.0)</f>
        <v>11</v>
      </c>
      <c r="M527" s="25" t="str">
        <f>IFERROR(__xludf.DUMMYFUNCTION("""COMPUTED_VALUE"""),"Shooter")</f>
        <v>Shooter</v>
      </c>
      <c r="N527" s="25" t="str">
        <f>IFERROR(__xludf.DUMMYFUNCTION("""COMPUTED_VALUE"""),"PS3")</f>
        <v>PS3</v>
      </c>
      <c r="O527" s="26" t="str">
        <f>IFERROR(__xludf.DUMMYFUNCTION("""COMPUTED_VALUE"""),"Yes")</f>
        <v>Yes</v>
      </c>
      <c r="P527" s="26" t="str">
        <f>IFERROR(__xludf.DUMMYFUNCTION("""COMPUTED_VALUE"""),"")</f>
        <v/>
      </c>
    </row>
    <row r="528">
      <c r="A528" s="13" t="str">
        <f>IFERROR(__xludf.DUMMYFUNCTION("""COMPUTED_VALUE"""),"Bioshock: Remastered")</f>
        <v>Bioshock: Remastered</v>
      </c>
      <c r="B528" s="15" t="str">
        <f>IFERROR(__xludf.DUMMYFUNCTION("""COMPUTED_VALUE"""),"PS4")</f>
        <v>PS4</v>
      </c>
      <c r="C528" s="16" t="str">
        <f>IFERROR(__xludf.DUMMYFUNCTION("""COMPUTED_VALUE"""),"Premium (Remasters)")</f>
        <v>Premium (Remasters)</v>
      </c>
      <c r="D528" s="15" t="str">
        <f>IFERROR(__xludf.DUMMYFUNCTION("""COMPUTED_VALUE"""),"Removed")</f>
        <v>Removed</v>
      </c>
      <c r="E528" s="17">
        <f>IFERROR(__xludf.DUMMYFUNCTION("""COMPUTED_VALUE"""),43865.0)</f>
        <v>43865</v>
      </c>
      <c r="F528" s="54">
        <f>IFERROR(__xludf.DUMMYFUNCTION("""COMPUTED_VALUE"""),45124.0)</f>
        <v>45124</v>
      </c>
      <c r="G528" s="19">
        <f>IFERROR(__xludf.DUMMYFUNCTION("""COMPUTED_VALUE"""),41.43333333333334)</f>
        <v>41.43333333</v>
      </c>
      <c r="H528" s="17">
        <f>IFERROR(__xludf.DUMMYFUNCTION("""COMPUTED_VALUE"""),42626.0)</f>
        <v>42626</v>
      </c>
      <c r="I528" s="19">
        <f>IFERROR(__xludf.DUMMYFUNCTION("""COMPUTED_VALUE"""),3.3916666666666666)</f>
        <v>3.391666667</v>
      </c>
      <c r="J528" s="21">
        <f>IFERROR(__xludf.DUMMYFUNCTION("""COMPUTED_VALUE"""),96.0)</f>
        <v>96</v>
      </c>
      <c r="K528" s="23">
        <f>IFERROR(__xludf.DUMMYFUNCTION("""COMPUTED_VALUE"""),8.6)</f>
        <v>8.6</v>
      </c>
      <c r="L528" s="24">
        <f>IFERROR(__xludf.DUMMYFUNCTION("""COMPUTED_VALUE"""),12.0)</f>
        <v>12</v>
      </c>
      <c r="M528" s="25" t="str">
        <f>IFERROR(__xludf.DUMMYFUNCTION("""COMPUTED_VALUE"""),"Shooter")</f>
        <v>Shooter</v>
      </c>
      <c r="N528" s="25" t="str">
        <f>IFERROR(__xludf.DUMMYFUNCTION("""COMPUTED_VALUE"""),"Xbox 360")</f>
        <v>Xbox 360</v>
      </c>
      <c r="O528" s="26" t="str">
        <f>IFERROR(__xludf.DUMMYFUNCTION("""COMPUTED_VALUE"""),"Yes")</f>
        <v>Yes</v>
      </c>
      <c r="P528" s="26"/>
    </row>
    <row r="529">
      <c r="A529" s="13" t="str">
        <f>IFERROR(__xludf.DUMMYFUNCTION("""COMPUTED_VALUE"""),"Fluster Cluck")</f>
        <v>Fluster Cluck</v>
      </c>
      <c r="B529" s="15" t="str">
        <f>IFERROR(__xludf.DUMMYFUNCTION("""COMPUTED_VALUE"""),"PS4")</f>
        <v>PS4</v>
      </c>
      <c r="C529" s="16" t="str">
        <f>IFERROR(__xludf.DUMMYFUNCTION("""COMPUTED_VALUE"""),"Extra")</f>
        <v>Extra</v>
      </c>
      <c r="D529" s="15" t="str">
        <f>IFERROR(__xludf.DUMMYFUNCTION("""COMPUTED_VALUE"""),"Removed")</f>
        <v>Removed</v>
      </c>
      <c r="E529" s="17">
        <f>IFERROR(__xludf.DUMMYFUNCTION("""COMPUTED_VALUE"""),42955.0)</f>
        <v>42955</v>
      </c>
      <c r="F529" s="54">
        <f>IFERROR(__xludf.DUMMYFUNCTION("""COMPUTED_VALUE"""),45124.0)</f>
        <v>45124</v>
      </c>
      <c r="G529" s="19">
        <f>IFERROR(__xludf.DUMMYFUNCTION("""COMPUTED_VALUE"""),71.3)</f>
        <v>71.3</v>
      </c>
      <c r="H529" s="17">
        <f>IFERROR(__xludf.DUMMYFUNCTION("""COMPUTED_VALUE"""),41913.0)</f>
        <v>41913</v>
      </c>
      <c r="I529" s="19">
        <f>IFERROR(__xludf.DUMMYFUNCTION("""COMPUTED_VALUE"""),2.852777777777778)</f>
        <v>2.852777778</v>
      </c>
      <c r="J529" s="21">
        <f>IFERROR(__xludf.DUMMYFUNCTION("""COMPUTED_VALUE"""),35.0)</f>
        <v>35</v>
      </c>
      <c r="K529" s="23">
        <f>IFERROR(__xludf.DUMMYFUNCTION("""COMPUTED_VALUE"""),6.4)</f>
        <v>6.4</v>
      </c>
      <c r="L529" s="24">
        <f>IFERROR(__xludf.DUMMYFUNCTION("""COMPUTED_VALUE"""),0.5)</f>
        <v>0.5</v>
      </c>
      <c r="M529" s="25" t="str">
        <f>IFERROR(__xludf.DUMMYFUNCTION("""COMPUTED_VALUE"""),"Arcade")</f>
        <v>Arcade</v>
      </c>
      <c r="N529" s="25"/>
      <c r="O529" s="26" t="str">
        <f>IFERROR(__xludf.DUMMYFUNCTION("""COMPUTED_VALUE"""),"Yes")</f>
        <v>Yes</v>
      </c>
      <c r="P529" s="26"/>
    </row>
    <row r="530">
      <c r="A530" s="13" t="str">
        <f>IFERROR(__xludf.DUMMYFUNCTION("""COMPUTED_VALUE"""),"Jurassic World Evolution 2")</f>
        <v>Jurassic World Evolution 2</v>
      </c>
      <c r="B530" s="15" t="str">
        <f>IFERROR(__xludf.DUMMYFUNCTION("""COMPUTED_VALUE"""),"PS5/PS4")</f>
        <v>PS5/PS4</v>
      </c>
      <c r="C530" s="16" t="str">
        <f>IFERROR(__xludf.DUMMYFUNCTION("""COMPUTED_VALUE"""),"Essential")</f>
        <v>Essential</v>
      </c>
      <c r="D530" s="15" t="str">
        <f>IFERROR(__xludf.DUMMYFUNCTION("""COMPUTED_VALUE"""),"Removed")</f>
        <v>Removed</v>
      </c>
      <c r="E530" s="17">
        <f>IFERROR(__xludf.DUMMYFUNCTION("""COMPUTED_VALUE"""),45083.0)</f>
        <v>45083</v>
      </c>
      <c r="F530" s="54">
        <f>IFERROR(__xludf.DUMMYFUNCTION("""COMPUTED_VALUE"""),45110.0)</f>
        <v>45110</v>
      </c>
      <c r="G530" s="19">
        <f>IFERROR(__xludf.DUMMYFUNCTION("""COMPUTED_VALUE"""),0.8999999999999999)</f>
        <v>0.9</v>
      </c>
      <c r="H530" s="17">
        <f>IFERROR(__xludf.DUMMYFUNCTION("""COMPUTED_VALUE"""),44509.0)</f>
        <v>44509</v>
      </c>
      <c r="I530" s="19">
        <f>IFERROR(__xludf.DUMMYFUNCTION("""COMPUTED_VALUE"""),1.575)</f>
        <v>1.575</v>
      </c>
      <c r="J530" s="21">
        <f>IFERROR(__xludf.DUMMYFUNCTION("""COMPUTED_VALUE"""),78.0)</f>
        <v>78</v>
      </c>
      <c r="K530" s="23">
        <f>IFERROR(__xludf.DUMMYFUNCTION("""COMPUTED_VALUE"""),7.0)</f>
        <v>7</v>
      </c>
      <c r="L530" s="24">
        <f>IFERROR(__xludf.DUMMYFUNCTION("""COMPUTED_VALUE"""),6.0)</f>
        <v>6</v>
      </c>
      <c r="M530" s="25" t="str">
        <f>IFERROR(__xludf.DUMMYFUNCTION("""COMPUTED_VALUE"""),"Strategy")</f>
        <v>Strategy</v>
      </c>
      <c r="N530" s="25"/>
      <c r="O530" s="26" t="str">
        <f>IFERROR(__xludf.DUMMYFUNCTION("""COMPUTED_VALUE"""),"No")</f>
        <v>No</v>
      </c>
      <c r="P530" s="26"/>
    </row>
    <row r="531">
      <c r="A531" s="13" t="str">
        <f>IFERROR(__xludf.DUMMYFUNCTION("""COMPUTED_VALUE"""),"NBA 2K23")</f>
        <v>NBA 2K23</v>
      </c>
      <c r="B531" s="15" t="str">
        <f>IFERROR(__xludf.DUMMYFUNCTION("""COMPUTED_VALUE"""),"PS5/PS4")</f>
        <v>PS5/PS4</v>
      </c>
      <c r="C531" s="16" t="str">
        <f>IFERROR(__xludf.DUMMYFUNCTION("""COMPUTED_VALUE"""),"Essential")</f>
        <v>Essential</v>
      </c>
      <c r="D531" s="15" t="str">
        <f>IFERROR(__xludf.DUMMYFUNCTION("""COMPUTED_VALUE"""),"Removed")</f>
        <v>Removed</v>
      </c>
      <c r="E531" s="17">
        <f>IFERROR(__xludf.DUMMYFUNCTION("""COMPUTED_VALUE"""),45083.0)</f>
        <v>45083</v>
      </c>
      <c r="F531" s="54">
        <f>IFERROR(__xludf.DUMMYFUNCTION("""COMPUTED_VALUE"""),45110.0)</f>
        <v>45110</v>
      </c>
      <c r="G531" s="19">
        <f>IFERROR(__xludf.DUMMYFUNCTION("""COMPUTED_VALUE"""),0.8999999999999999)</f>
        <v>0.9</v>
      </c>
      <c r="H531" s="17">
        <f>IFERROR(__xludf.DUMMYFUNCTION("""COMPUTED_VALUE"""),44813.0)</f>
        <v>44813</v>
      </c>
      <c r="I531" s="19">
        <f>IFERROR(__xludf.DUMMYFUNCTION("""COMPUTED_VALUE"""),0.7416666666666667)</f>
        <v>0.7416666667</v>
      </c>
      <c r="J531" s="21">
        <f>IFERROR(__xludf.DUMMYFUNCTION("""COMPUTED_VALUE"""),78.0)</f>
        <v>78</v>
      </c>
      <c r="K531" s="23">
        <f>IFERROR(__xludf.DUMMYFUNCTION("""COMPUTED_VALUE"""),4.5)</f>
        <v>4.5</v>
      </c>
      <c r="L531" s="24">
        <f>IFERROR(__xludf.DUMMYFUNCTION("""COMPUTED_VALUE"""),25.0)</f>
        <v>25</v>
      </c>
      <c r="M531" s="25" t="str">
        <f>IFERROR(__xludf.DUMMYFUNCTION("""COMPUTED_VALUE"""),"Sports")</f>
        <v>Sports</v>
      </c>
      <c r="N531" s="25"/>
      <c r="O531" s="26" t="str">
        <f>IFERROR(__xludf.DUMMYFUNCTION("""COMPUTED_VALUE"""),"No")</f>
        <v>No</v>
      </c>
      <c r="P531" s="26"/>
    </row>
    <row r="532">
      <c r="A532" s="13" t="str">
        <f>IFERROR(__xludf.DUMMYFUNCTION("""COMPUTED_VALUE"""),"Trek to Yomi")</f>
        <v>Trek to Yomi</v>
      </c>
      <c r="B532" s="15" t="str">
        <f>IFERROR(__xludf.DUMMYFUNCTION("""COMPUTED_VALUE"""),"PS5/PS4")</f>
        <v>PS5/PS4</v>
      </c>
      <c r="C532" s="16" t="str">
        <f>IFERROR(__xludf.DUMMYFUNCTION("""COMPUTED_VALUE"""),"Essential")</f>
        <v>Essential</v>
      </c>
      <c r="D532" s="15" t="str">
        <f>IFERROR(__xludf.DUMMYFUNCTION("""COMPUTED_VALUE"""),"Removed")</f>
        <v>Removed</v>
      </c>
      <c r="E532" s="17">
        <f>IFERROR(__xludf.DUMMYFUNCTION("""COMPUTED_VALUE"""),45083.0)</f>
        <v>45083</v>
      </c>
      <c r="F532" s="54">
        <f>IFERROR(__xludf.DUMMYFUNCTION("""COMPUTED_VALUE"""),45110.0)</f>
        <v>45110</v>
      </c>
      <c r="G532" s="19">
        <f>IFERROR(__xludf.DUMMYFUNCTION("""COMPUTED_VALUE"""),0.8999999999999999)</f>
        <v>0.9</v>
      </c>
      <c r="H532" s="17">
        <f>IFERROR(__xludf.DUMMYFUNCTION("""COMPUTED_VALUE"""),44686.0)</f>
        <v>44686</v>
      </c>
      <c r="I532" s="19">
        <f>IFERROR(__xludf.DUMMYFUNCTION("""COMPUTED_VALUE"""),1.086111111111111)</f>
        <v>1.086111111</v>
      </c>
      <c r="J532" s="21">
        <f>IFERROR(__xludf.DUMMYFUNCTION("""COMPUTED_VALUE"""),69.0)</f>
        <v>69</v>
      </c>
      <c r="K532" s="23">
        <f>IFERROR(__xludf.DUMMYFUNCTION("""COMPUTED_VALUE"""),6.9)</f>
        <v>6.9</v>
      </c>
      <c r="L532" s="24">
        <f>IFERROR(__xludf.DUMMYFUNCTION("""COMPUTED_VALUE"""),5.0)</f>
        <v>5</v>
      </c>
      <c r="M532" s="25" t="str">
        <f>IFERROR(__xludf.DUMMYFUNCTION("""COMPUTED_VALUE"""),"Action-Adventure")</f>
        <v>Action-Adventure</v>
      </c>
      <c r="N532" s="25"/>
      <c r="O532" s="26" t="str">
        <f>IFERROR(__xludf.DUMMYFUNCTION("""COMPUTED_VALUE"""),"No")</f>
        <v>No</v>
      </c>
      <c r="P532" s="26"/>
    </row>
    <row r="533">
      <c r="A533" s="13" t="str">
        <f>IFERROR(__xludf.DUMMYFUNCTION("""COMPUTED_VALUE"""),"Descenders")</f>
        <v>Descenders</v>
      </c>
      <c r="B533" s="15" t="str">
        <f>IFERROR(__xludf.DUMMYFUNCTION("""COMPUTED_VALUE"""),"PS4")</f>
        <v>PS4</v>
      </c>
      <c r="C533" s="16" t="str">
        <f>IFERROR(__xludf.DUMMYFUNCTION("""COMPUTED_VALUE"""),"Extra")</f>
        <v>Extra</v>
      </c>
      <c r="D533" s="15" t="str">
        <f>IFERROR(__xludf.DUMMYFUNCTION("""COMPUTED_VALUE"""),"Removed")</f>
        <v>Removed</v>
      </c>
      <c r="E533" s="17">
        <f>IFERROR(__xludf.DUMMYFUNCTION("""COMPUTED_VALUE"""),45048.0)</f>
        <v>45048</v>
      </c>
      <c r="F533" s="54">
        <f>IFERROR(__xludf.DUMMYFUNCTION("""COMPUTED_VALUE"""),45096.0)</f>
        <v>45096</v>
      </c>
      <c r="G533" s="19">
        <f>IFERROR(__xludf.DUMMYFUNCTION("""COMPUTED_VALUE"""),1.5666666666666669)</f>
        <v>1.566666667</v>
      </c>
      <c r="H533" s="17">
        <f>IFERROR(__xludf.DUMMYFUNCTION("""COMPUTED_VALUE"""),43140.0)</f>
        <v>43140</v>
      </c>
      <c r="I533" s="19">
        <f>IFERROR(__xludf.DUMMYFUNCTION("""COMPUTED_VALUE"""),5.230555555555555)</f>
        <v>5.230555556</v>
      </c>
      <c r="J533" s="21">
        <f>IFERROR(__xludf.DUMMYFUNCTION("""COMPUTED_VALUE"""),74.0)</f>
        <v>74</v>
      </c>
      <c r="K533" s="23">
        <f>IFERROR(__xludf.DUMMYFUNCTION("""COMPUTED_VALUE"""),7.5)</f>
        <v>7.5</v>
      </c>
      <c r="L533" s="24">
        <f>IFERROR(__xludf.DUMMYFUNCTION("""COMPUTED_VALUE"""),4.5)</f>
        <v>4.5</v>
      </c>
      <c r="M533" s="25" t="str">
        <f>IFERROR(__xludf.DUMMYFUNCTION("""COMPUTED_VALUE"""),"Sports")</f>
        <v>Sports</v>
      </c>
      <c r="N533" s="25"/>
      <c r="O533" s="26" t="str">
        <f>IFERROR(__xludf.DUMMYFUNCTION("""COMPUTED_VALUE"""),"Yes")</f>
        <v>Yes</v>
      </c>
      <c r="P533" s="26"/>
    </row>
    <row r="534">
      <c r="A534" s="13" t="str">
        <f>IFERROR(__xludf.DUMMYFUNCTION("""COMPUTED_VALUE"""),"Wytchwood")</f>
        <v>Wytchwood</v>
      </c>
      <c r="B534" s="15" t="str">
        <f>IFERROR(__xludf.DUMMYFUNCTION("""COMPUTED_VALUE"""),"PS5/PS4")</f>
        <v>PS5/PS4</v>
      </c>
      <c r="C534" s="16" t="str">
        <f>IFERROR(__xludf.DUMMYFUNCTION("""COMPUTED_VALUE"""),"Extra")</f>
        <v>Extra</v>
      </c>
      <c r="D534" s="15" t="str">
        <f>IFERROR(__xludf.DUMMYFUNCTION("""COMPUTED_VALUE"""),"Removed")</f>
        <v>Removed</v>
      </c>
      <c r="E534" s="17">
        <f>IFERROR(__xludf.DUMMYFUNCTION("""COMPUTED_VALUE"""),44725.0)</f>
        <v>44725</v>
      </c>
      <c r="F534" s="54">
        <f>IFERROR(__xludf.DUMMYFUNCTION("""COMPUTED_VALUE"""),45096.0)</f>
        <v>45096</v>
      </c>
      <c r="G534" s="19">
        <f>IFERROR(__xludf.DUMMYFUNCTION("""COMPUTED_VALUE"""),12.2)</f>
        <v>12.2</v>
      </c>
      <c r="H534" s="17">
        <f>IFERROR(__xludf.DUMMYFUNCTION("""COMPUTED_VALUE"""),44539.0)</f>
        <v>44539</v>
      </c>
      <c r="I534" s="19">
        <f>IFERROR(__xludf.DUMMYFUNCTION("""COMPUTED_VALUE"""),0.5111111111111111)</f>
        <v>0.5111111111</v>
      </c>
      <c r="J534" s="21">
        <f>IFERROR(__xludf.DUMMYFUNCTION("""COMPUTED_VALUE"""),78.0)</f>
        <v>78</v>
      </c>
      <c r="K534" s="23">
        <f>IFERROR(__xludf.DUMMYFUNCTION("""COMPUTED_VALUE"""),7.5)</f>
        <v>7.5</v>
      </c>
      <c r="L534" s="24">
        <f>IFERROR(__xludf.DUMMYFUNCTION("""COMPUTED_VALUE"""),10.5)</f>
        <v>10.5</v>
      </c>
      <c r="M534" s="25" t="str">
        <f>IFERROR(__xludf.DUMMYFUNCTION("""COMPUTED_VALUE"""),"Interactive Story")</f>
        <v>Interactive Story</v>
      </c>
      <c r="N534" s="25"/>
      <c r="O534" s="26" t="str">
        <f>IFERROR(__xludf.DUMMYFUNCTION("""COMPUTED_VALUE"""),"Yes")</f>
        <v>Yes</v>
      </c>
      <c r="P534" s="26"/>
    </row>
    <row r="535">
      <c r="A535" s="13" t="str">
        <f>IFERROR(__xludf.DUMMYFUNCTION("""COMPUTED_VALUE"""),"9 Monkeys of Shaolin")</f>
        <v>9 Monkeys of Shaolin</v>
      </c>
      <c r="B535" s="15" t="str">
        <f>IFERROR(__xludf.DUMMYFUNCTION("""COMPUTED_VALUE"""),"PS4")</f>
        <v>PS4</v>
      </c>
      <c r="C535" s="16" t="str">
        <f>IFERROR(__xludf.DUMMYFUNCTION("""COMPUTED_VALUE"""),"Extra")</f>
        <v>Extra</v>
      </c>
      <c r="D535" s="15" t="str">
        <f>IFERROR(__xludf.DUMMYFUNCTION("""COMPUTED_VALUE"""),"Removed")</f>
        <v>Removed</v>
      </c>
      <c r="E535" s="17">
        <f>IFERROR(__xludf.DUMMYFUNCTION("""COMPUTED_VALUE"""),44725.0)</f>
        <v>44725</v>
      </c>
      <c r="F535" s="54">
        <f>IFERROR(__xludf.DUMMYFUNCTION("""COMPUTED_VALUE"""),45096.0)</f>
        <v>45096</v>
      </c>
      <c r="G535" s="19">
        <f>IFERROR(__xludf.DUMMYFUNCTION("""COMPUTED_VALUE"""),12.2)</f>
        <v>12.2</v>
      </c>
      <c r="H535" s="17">
        <f>IFERROR(__xludf.DUMMYFUNCTION("""COMPUTED_VALUE"""),44120.0)</f>
        <v>44120</v>
      </c>
      <c r="I535" s="19">
        <f>IFERROR(__xludf.DUMMYFUNCTION("""COMPUTED_VALUE"""),1.6583333333333334)</f>
        <v>1.658333333</v>
      </c>
      <c r="J535" s="21">
        <f>IFERROR(__xludf.DUMMYFUNCTION("""COMPUTED_VALUE"""),74.0)</f>
        <v>74</v>
      </c>
      <c r="K535" s="23">
        <f>IFERROR(__xludf.DUMMYFUNCTION("""COMPUTED_VALUE"""),7.0)</f>
        <v>7</v>
      </c>
      <c r="L535" s="24">
        <f>IFERROR(__xludf.DUMMYFUNCTION("""COMPUTED_VALUE"""),4.0)</f>
        <v>4</v>
      </c>
      <c r="M535" s="25" t="str">
        <f>IFERROR(__xludf.DUMMYFUNCTION("""COMPUTED_VALUE"""),"Fighting")</f>
        <v>Fighting</v>
      </c>
      <c r="N535" s="25"/>
      <c r="O535" s="26" t="str">
        <f>IFERROR(__xludf.DUMMYFUNCTION("""COMPUTED_VALUE"""),"Yes")</f>
        <v>Yes</v>
      </c>
      <c r="P535" s="26" t="str">
        <f>IFERROR(__xludf.DUMMYFUNCTION("""COMPUTED_VALUE"""),"Yes")</f>
        <v>Yes</v>
      </c>
    </row>
    <row r="536">
      <c r="A536" s="13" t="str">
        <f>IFERROR(__xludf.DUMMYFUNCTION("""COMPUTED_VALUE"""),"Agents of Mayhem")</f>
        <v>Agents of Mayhem</v>
      </c>
      <c r="B536" s="15" t="str">
        <f>IFERROR(__xludf.DUMMYFUNCTION("""COMPUTED_VALUE"""),"PS4")</f>
        <v>PS4</v>
      </c>
      <c r="C536" s="16" t="str">
        <f>IFERROR(__xludf.DUMMYFUNCTION("""COMPUTED_VALUE"""),"Extra")</f>
        <v>Extra</v>
      </c>
      <c r="D536" s="15" t="str">
        <f>IFERROR(__xludf.DUMMYFUNCTION("""COMPUTED_VALUE"""),"Removed")</f>
        <v>Removed</v>
      </c>
      <c r="E536" s="17">
        <f>IFERROR(__xludf.DUMMYFUNCTION("""COMPUTED_VALUE"""),44725.0)</f>
        <v>44725</v>
      </c>
      <c r="F536" s="54">
        <f>IFERROR(__xludf.DUMMYFUNCTION("""COMPUTED_VALUE"""),45096.0)</f>
        <v>45096</v>
      </c>
      <c r="G536" s="19">
        <f>IFERROR(__xludf.DUMMYFUNCTION("""COMPUTED_VALUE"""),12.2)</f>
        <v>12.2</v>
      </c>
      <c r="H536" s="17">
        <f>IFERROR(__xludf.DUMMYFUNCTION("""COMPUTED_VALUE"""),42962.0)</f>
        <v>42962</v>
      </c>
      <c r="I536" s="19">
        <f>IFERROR(__xludf.DUMMYFUNCTION("""COMPUTED_VALUE"""),4.8277777777777775)</f>
        <v>4.827777778</v>
      </c>
      <c r="J536" s="21">
        <f>IFERROR(__xludf.DUMMYFUNCTION("""COMPUTED_VALUE"""),68.0)</f>
        <v>68</v>
      </c>
      <c r="K536" s="23">
        <f>IFERROR(__xludf.DUMMYFUNCTION("""COMPUTED_VALUE"""),6.5)</f>
        <v>6.5</v>
      </c>
      <c r="L536" s="24">
        <f>IFERROR(__xludf.DUMMYFUNCTION("""COMPUTED_VALUE"""),16.5)</f>
        <v>16.5</v>
      </c>
      <c r="M536" s="25" t="str">
        <f>IFERROR(__xludf.DUMMYFUNCTION("""COMPUTED_VALUE"""),"Action-Adventure")</f>
        <v>Action-Adventure</v>
      </c>
      <c r="N536" s="25"/>
      <c r="O536" s="26" t="str">
        <f>IFERROR(__xludf.DUMMYFUNCTION("""COMPUTED_VALUE"""),"Yes")</f>
        <v>Yes</v>
      </c>
      <c r="P536" s="26"/>
    </row>
    <row r="537">
      <c r="A537" s="13" t="str">
        <f>IFERROR(__xludf.DUMMYFUNCTION("""COMPUTED_VALUE"""),"Ash of Gods: Redemption")</f>
        <v>Ash of Gods: Redemption</v>
      </c>
      <c r="B537" s="15" t="str">
        <f>IFERROR(__xludf.DUMMYFUNCTION("""COMPUTED_VALUE"""),"PS4")</f>
        <v>PS4</v>
      </c>
      <c r="C537" s="16" t="str">
        <f>IFERROR(__xludf.DUMMYFUNCTION("""COMPUTED_VALUE"""),"Extra")</f>
        <v>Extra</v>
      </c>
      <c r="D537" s="15" t="str">
        <f>IFERROR(__xludf.DUMMYFUNCTION("""COMPUTED_VALUE"""),"Removed")</f>
        <v>Removed</v>
      </c>
      <c r="E537" s="17">
        <f>IFERROR(__xludf.DUMMYFUNCTION("""COMPUTED_VALUE"""),44725.0)</f>
        <v>44725</v>
      </c>
      <c r="F537" s="54">
        <f>IFERROR(__xludf.DUMMYFUNCTION("""COMPUTED_VALUE"""),45096.0)</f>
        <v>45096</v>
      </c>
      <c r="G537" s="19">
        <f>IFERROR(__xludf.DUMMYFUNCTION("""COMPUTED_VALUE"""),12.2)</f>
        <v>12.2</v>
      </c>
      <c r="H537" s="17">
        <f>IFERROR(__xludf.DUMMYFUNCTION("""COMPUTED_VALUE"""),43160.0)</f>
        <v>43160</v>
      </c>
      <c r="I537" s="19">
        <f>IFERROR(__xludf.DUMMYFUNCTION("""COMPUTED_VALUE"""),4.283333333333333)</f>
        <v>4.283333333</v>
      </c>
      <c r="J537" s="21">
        <f>IFERROR(__xludf.DUMMYFUNCTION("""COMPUTED_VALUE"""),62.0)</f>
        <v>62</v>
      </c>
      <c r="K537" s="23">
        <f>IFERROR(__xludf.DUMMYFUNCTION("""COMPUTED_VALUE"""),7.2)</f>
        <v>7.2</v>
      </c>
      <c r="L537" s="24">
        <f>IFERROR(__xludf.DUMMYFUNCTION("""COMPUTED_VALUE"""),22.5)</f>
        <v>22.5</v>
      </c>
      <c r="M537" s="25" t="str">
        <f>IFERROR(__xludf.DUMMYFUNCTION("""COMPUTED_VALUE"""),"RPG")</f>
        <v>RPG</v>
      </c>
      <c r="N537" s="25"/>
      <c r="O537" s="26" t="str">
        <f>IFERROR(__xludf.DUMMYFUNCTION("""COMPUTED_VALUE"""),"Yes")</f>
        <v>Yes</v>
      </c>
      <c r="P537" s="26"/>
    </row>
    <row r="538">
      <c r="A538" s="13" t="str">
        <f>IFERROR(__xludf.DUMMYFUNCTION("""COMPUTED_VALUE"""),"Avicii Invector")</f>
        <v>Avicii Invector</v>
      </c>
      <c r="B538" s="15" t="str">
        <f>IFERROR(__xludf.DUMMYFUNCTION("""COMPUTED_VALUE"""),"PS4")</f>
        <v>PS4</v>
      </c>
      <c r="C538" s="16" t="str">
        <f>IFERROR(__xludf.DUMMYFUNCTION("""COMPUTED_VALUE"""),"Extra")</f>
        <v>Extra</v>
      </c>
      <c r="D538" s="15" t="str">
        <f>IFERROR(__xludf.DUMMYFUNCTION("""COMPUTED_VALUE"""),"Removed")</f>
        <v>Removed</v>
      </c>
      <c r="E538" s="17">
        <f>IFERROR(__xludf.DUMMYFUNCTION("""COMPUTED_VALUE"""),44725.0)</f>
        <v>44725</v>
      </c>
      <c r="F538" s="54">
        <f>IFERROR(__xludf.DUMMYFUNCTION("""COMPUTED_VALUE"""),45096.0)</f>
        <v>45096</v>
      </c>
      <c r="G538" s="19">
        <f>IFERROR(__xludf.DUMMYFUNCTION("""COMPUTED_VALUE"""),12.2)</f>
        <v>12.2</v>
      </c>
      <c r="H538" s="17">
        <f>IFERROR(__xludf.DUMMYFUNCTION("""COMPUTED_VALUE"""),43800.0)</f>
        <v>43800</v>
      </c>
      <c r="I538" s="19">
        <f>IFERROR(__xludf.DUMMYFUNCTION("""COMPUTED_VALUE"""),2.533333333333333)</f>
        <v>2.533333333</v>
      </c>
      <c r="J538" s="21">
        <f>IFERROR(__xludf.DUMMYFUNCTION("""COMPUTED_VALUE"""),84.0)</f>
        <v>84</v>
      </c>
      <c r="K538" s="23">
        <f>IFERROR(__xludf.DUMMYFUNCTION("""COMPUTED_VALUE"""),7.2)</f>
        <v>7.2</v>
      </c>
      <c r="L538" s="24">
        <f>IFERROR(__xludf.DUMMYFUNCTION("""COMPUTED_VALUE"""),2.5)</f>
        <v>2.5</v>
      </c>
      <c r="M538" s="25" t="str">
        <f>IFERROR(__xludf.DUMMYFUNCTION("""COMPUTED_VALUE"""),"Music")</f>
        <v>Music</v>
      </c>
      <c r="N538" s="25"/>
      <c r="O538" s="26" t="str">
        <f>IFERROR(__xludf.DUMMYFUNCTION("""COMPUTED_VALUE"""),"No")</f>
        <v>No</v>
      </c>
      <c r="P538" s="26" t="str">
        <f>IFERROR(__xludf.DUMMYFUNCTION("""COMPUTED_VALUE"""),"Yes")</f>
        <v>Yes</v>
      </c>
    </row>
    <row r="539">
      <c r="A539" s="13" t="str">
        <f>IFERROR(__xludf.DUMMYFUNCTION("""COMPUTED_VALUE"""),"Gods Will Fall")</f>
        <v>Gods Will Fall</v>
      </c>
      <c r="B539" s="15" t="str">
        <f>IFERROR(__xludf.DUMMYFUNCTION("""COMPUTED_VALUE"""),"PS4")</f>
        <v>PS4</v>
      </c>
      <c r="C539" s="16" t="str">
        <f>IFERROR(__xludf.DUMMYFUNCTION("""COMPUTED_VALUE"""),"Extra")</f>
        <v>Extra</v>
      </c>
      <c r="D539" s="15" t="str">
        <f>IFERROR(__xludf.DUMMYFUNCTION("""COMPUTED_VALUE"""),"Removed")</f>
        <v>Removed</v>
      </c>
      <c r="E539" s="17">
        <f>IFERROR(__xludf.DUMMYFUNCTION("""COMPUTED_VALUE"""),44725.0)</f>
        <v>44725</v>
      </c>
      <c r="F539" s="54">
        <f>IFERROR(__xludf.DUMMYFUNCTION("""COMPUTED_VALUE"""),45096.0)</f>
        <v>45096</v>
      </c>
      <c r="G539" s="19">
        <f>IFERROR(__xludf.DUMMYFUNCTION("""COMPUTED_VALUE"""),12.2)</f>
        <v>12.2</v>
      </c>
      <c r="H539" s="17">
        <f>IFERROR(__xludf.DUMMYFUNCTION("""COMPUTED_VALUE"""),44225.0)</f>
        <v>44225</v>
      </c>
      <c r="I539" s="19">
        <f>IFERROR(__xludf.DUMMYFUNCTION("""COMPUTED_VALUE"""),1.3722222222222222)</f>
        <v>1.372222222</v>
      </c>
      <c r="J539" s="21">
        <f>IFERROR(__xludf.DUMMYFUNCTION("""COMPUTED_VALUE"""),70.0)</f>
        <v>70</v>
      </c>
      <c r="K539" s="23">
        <f>IFERROR(__xludf.DUMMYFUNCTION("""COMPUTED_VALUE"""),6.8)</f>
        <v>6.8</v>
      </c>
      <c r="L539" s="24">
        <f>IFERROR(__xludf.DUMMYFUNCTION("""COMPUTED_VALUE"""),5.0)</f>
        <v>5</v>
      </c>
      <c r="M539" s="25" t="str">
        <f>IFERROR(__xludf.DUMMYFUNCTION("""COMPUTED_VALUE"""),"Action-Adventure")</f>
        <v>Action-Adventure</v>
      </c>
      <c r="N539" s="25"/>
      <c r="O539" s="26" t="str">
        <f>IFERROR(__xludf.DUMMYFUNCTION("""COMPUTED_VALUE"""),"Yes")</f>
        <v>Yes</v>
      </c>
      <c r="P539" s="26"/>
    </row>
    <row r="540">
      <c r="A540" s="13" t="str">
        <f>IFERROR(__xludf.DUMMYFUNCTION("""COMPUTED_VALUE"""),"KeyWe")</f>
        <v>KeyWe</v>
      </c>
      <c r="B540" s="15" t="str">
        <f>IFERROR(__xludf.DUMMYFUNCTION("""COMPUTED_VALUE"""),"PS4")</f>
        <v>PS4</v>
      </c>
      <c r="C540" s="16" t="str">
        <f>IFERROR(__xludf.DUMMYFUNCTION("""COMPUTED_VALUE"""),"Extra")</f>
        <v>Extra</v>
      </c>
      <c r="D540" s="15" t="str">
        <f>IFERROR(__xludf.DUMMYFUNCTION("""COMPUTED_VALUE"""),"Removed")</f>
        <v>Removed</v>
      </c>
      <c r="E540" s="17">
        <f>IFERROR(__xludf.DUMMYFUNCTION("""COMPUTED_VALUE"""),44725.0)</f>
        <v>44725</v>
      </c>
      <c r="F540" s="54">
        <f>IFERROR(__xludf.DUMMYFUNCTION("""COMPUTED_VALUE"""),45096.0)</f>
        <v>45096</v>
      </c>
      <c r="G540" s="19">
        <f>IFERROR(__xludf.DUMMYFUNCTION("""COMPUTED_VALUE"""),12.2)</f>
        <v>12.2</v>
      </c>
      <c r="H540" s="17">
        <f>IFERROR(__xludf.DUMMYFUNCTION("""COMPUTED_VALUE"""),44439.0)</f>
        <v>44439</v>
      </c>
      <c r="I540" s="19">
        <f>IFERROR(__xludf.DUMMYFUNCTION("""COMPUTED_VALUE"""),0.7861111111111111)</f>
        <v>0.7861111111</v>
      </c>
      <c r="J540" s="21">
        <f>IFERROR(__xludf.DUMMYFUNCTION("""COMPUTED_VALUE"""),73.0)</f>
        <v>73</v>
      </c>
      <c r="K540" s="23">
        <f>IFERROR(__xludf.DUMMYFUNCTION("""COMPUTED_VALUE"""),7.1)</f>
        <v>7.1</v>
      </c>
      <c r="L540" s="24">
        <f>IFERROR(__xludf.DUMMYFUNCTION("""COMPUTED_VALUE"""),8.0)</f>
        <v>8</v>
      </c>
      <c r="M540" s="25" t="str">
        <f>IFERROR(__xludf.DUMMYFUNCTION("""COMPUTED_VALUE"""),"Party")</f>
        <v>Party</v>
      </c>
      <c r="N540" s="25"/>
      <c r="O540" s="26" t="str">
        <f>IFERROR(__xludf.DUMMYFUNCTION("""COMPUTED_VALUE"""),"No")</f>
        <v>No</v>
      </c>
      <c r="P540" s="26" t="str">
        <f>IFERROR(__xludf.DUMMYFUNCTION("""COMPUTED_VALUE"""),"Yes")</f>
        <v>Yes</v>
      </c>
    </row>
    <row r="541">
      <c r="A541" s="13" t="str">
        <f>IFERROR(__xludf.DUMMYFUNCTION("""COMPUTED_VALUE"""),"No Straight Roads")</f>
        <v>No Straight Roads</v>
      </c>
      <c r="B541" s="15" t="str">
        <f>IFERROR(__xludf.DUMMYFUNCTION("""COMPUTED_VALUE"""),"PS4")</f>
        <v>PS4</v>
      </c>
      <c r="C541" s="16" t="str">
        <f>IFERROR(__xludf.DUMMYFUNCTION("""COMPUTED_VALUE"""),"Extra")</f>
        <v>Extra</v>
      </c>
      <c r="D541" s="15" t="str">
        <f>IFERROR(__xludf.DUMMYFUNCTION("""COMPUTED_VALUE"""),"Removed")</f>
        <v>Removed</v>
      </c>
      <c r="E541" s="17">
        <f>IFERROR(__xludf.DUMMYFUNCTION("""COMPUTED_VALUE"""),44725.0)</f>
        <v>44725</v>
      </c>
      <c r="F541" s="54">
        <f>IFERROR(__xludf.DUMMYFUNCTION("""COMPUTED_VALUE"""),45096.0)</f>
        <v>45096</v>
      </c>
      <c r="G541" s="19">
        <f>IFERROR(__xludf.DUMMYFUNCTION("""COMPUTED_VALUE"""),12.2)</f>
        <v>12.2</v>
      </c>
      <c r="H541" s="17">
        <f>IFERROR(__xludf.DUMMYFUNCTION("""COMPUTED_VALUE"""),44012.0)</f>
        <v>44012</v>
      </c>
      <c r="I541" s="19">
        <f>IFERROR(__xludf.DUMMYFUNCTION("""COMPUTED_VALUE"""),1.9527777777777777)</f>
        <v>1.952777778</v>
      </c>
      <c r="J541" s="21">
        <f>IFERROR(__xludf.DUMMYFUNCTION("""COMPUTED_VALUE"""),75.0)</f>
        <v>75</v>
      </c>
      <c r="K541" s="23">
        <f>IFERROR(__xludf.DUMMYFUNCTION("""COMPUTED_VALUE"""),7.5)</f>
        <v>7.5</v>
      </c>
      <c r="L541" s="24">
        <f>IFERROR(__xludf.DUMMYFUNCTION("""COMPUTED_VALUE"""),9.0)</f>
        <v>9</v>
      </c>
      <c r="M541" s="25" t="str">
        <f>IFERROR(__xludf.DUMMYFUNCTION("""COMPUTED_VALUE"""),"Action-Adventure")</f>
        <v>Action-Adventure</v>
      </c>
      <c r="N541" s="25"/>
      <c r="O541" s="26" t="str">
        <f>IFERROR(__xludf.DUMMYFUNCTION("""COMPUTED_VALUE"""),"No")</f>
        <v>No</v>
      </c>
      <c r="P541" s="26" t="str">
        <f>IFERROR(__xludf.DUMMYFUNCTION("""COMPUTED_VALUE"""),"Yes")</f>
        <v>Yes</v>
      </c>
    </row>
    <row r="542">
      <c r="A542" s="13" t="str">
        <f>IFERROR(__xludf.DUMMYFUNCTION("""COMPUTED_VALUE"""),"Party Hard")</f>
        <v>Party Hard</v>
      </c>
      <c r="B542" s="15" t="str">
        <f>IFERROR(__xludf.DUMMYFUNCTION("""COMPUTED_VALUE"""),"PS4")</f>
        <v>PS4</v>
      </c>
      <c r="C542" s="16" t="str">
        <f>IFERROR(__xludf.DUMMYFUNCTION("""COMPUTED_VALUE"""),"Extra")</f>
        <v>Extra</v>
      </c>
      <c r="D542" s="15" t="str">
        <f>IFERROR(__xludf.DUMMYFUNCTION("""COMPUTED_VALUE"""),"Removed")</f>
        <v>Removed</v>
      </c>
      <c r="E542" s="17">
        <f>IFERROR(__xludf.DUMMYFUNCTION("""COMPUTED_VALUE"""),44725.0)</f>
        <v>44725</v>
      </c>
      <c r="F542" s="54">
        <f>IFERROR(__xludf.DUMMYFUNCTION("""COMPUTED_VALUE"""),45096.0)</f>
        <v>45096</v>
      </c>
      <c r="G542" s="19">
        <f>IFERROR(__xludf.DUMMYFUNCTION("""COMPUTED_VALUE"""),12.2)</f>
        <v>12.2</v>
      </c>
      <c r="H542" s="17">
        <f>IFERROR(__xludf.DUMMYFUNCTION("""COMPUTED_VALUE"""),42241.0)</f>
        <v>42241</v>
      </c>
      <c r="I542" s="19">
        <f>IFERROR(__xludf.DUMMYFUNCTION("""COMPUTED_VALUE"""),6.8)</f>
        <v>6.8</v>
      </c>
      <c r="J542" s="21">
        <f>IFERROR(__xludf.DUMMYFUNCTION("""COMPUTED_VALUE"""),64.0)</f>
        <v>64</v>
      </c>
      <c r="K542" s="23">
        <f>IFERROR(__xludf.DUMMYFUNCTION("""COMPUTED_VALUE"""),7.0)</f>
        <v>7</v>
      </c>
      <c r="L542" s="24">
        <f>IFERROR(__xludf.DUMMYFUNCTION("""COMPUTED_VALUE"""),5.0)</f>
        <v>5</v>
      </c>
      <c r="M542" s="25" t="str">
        <f>IFERROR(__xludf.DUMMYFUNCTION("""COMPUTED_VALUE"""),"Strategy")</f>
        <v>Strategy</v>
      </c>
      <c r="N542" s="25"/>
      <c r="O542" s="26" t="str">
        <f>IFERROR(__xludf.DUMMYFUNCTION("""COMPUTED_VALUE"""),"Yes")</f>
        <v>Yes</v>
      </c>
      <c r="P542" s="26" t="str">
        <f>IFERROR(__xludf.DUMMYFUNCTION("""COMPUTED_VALUE"""),"Yes")</f>
        <v>Yes</v>
      </c>
    </row>
    <row r="543">
      <c r="A543" s="13" t="str">
        <f>IFERROR(__xludf.DUMMYFUNCTION("""COMPUTED_VALUE"""),"Redeemer: Enhanced Edition")</f>
        <v>Redeemer: Enhanced Edition</v>
      </c>
      <c r="B543" s="15" t="str">
        <f>IFERROR(__xludf.DUMMYFUNCTION("""COMPUTED_VALUE"""),"PS4")</f>
        <v>PS4</v>
      </c>
      <c r="C543" s="16" t="str">
        <f>IFERROR(__xludf.DUMMYFUNCTION("""COMPUTED_VALUE"""),"Extra")</f>
        <v>Extra</v>
      </c>
      <c r="D543" s="15" t="str">
        <f>IFERROR(__xludf.DUMMYFUNCTION("""COMPUTED_VALUE"""),"Removed")</f>
        <v>Removed</v>
      </c>
      <c r="E543" s="17">
        <f>IFERROR(__xludf.DUMMYFUNCTION("""COMPUTED_VALUE"""),44725.0)</f>
        <v>44725</v>
      </c>
      <c r="F543" s="54">
        <f>IFERROR(__xludf.DUMMYFUNCTION("""COMPUTED_VALUE"""),45096.0)</f>
        <v>45096</v>
      </c>
      <c r="G543" s="19">
        <f>IFERROR(__xludf.DUMMYFUNCTION("""COMPUTED_VALUE"""),12.2)</f>
        <v>12.2</v>
      </c>
      <c r="H543" s="17">
        <f>IFERROR(__xludf.DUMMYFUNCTION("""COMPUTED_VALUE"""),43671.0)</f>
        <v>43671</v>
      </c>
      <c r="I543" s="19">
        <f>IFERROR(__xludf.DUMMYFUNCTION("""COMPUTED_VALUE"""),2.8833333333333333)</f>
        <v>2.883333333</v>
      </c>
      <c r="J543" s="21">
        <f>IFERROR(__xludf.DUMMYFUNCTION("""COMPUTED_VALUE"""),58.0)</f>
        <v>58</v>
      </c>
      <c r="K543" s="23">
        <f>IFERROR(__xludf.DUMMYFUNCTION("""COMPUTED_VALUE"""),6.8)</f>
        <v>6.8</v>
      </c>
      <c r="L543" s="24">
        <f>IFERROR(__xludf.DUMMYFUNCTION("""COMPUTED_VALUE"""),5.0)</f>
        <v>5</v>
      </c>
      <c r="M543" s="25" t="str">
        <f>IFERROR(__xludf.DUMMYFUNCTION("""COMPUTED_VALUE"""),"Action-Adventure")</f>
        <v>Action-Adventure</v>
      </c>
      <c r="N543" s="25"/>
      <c r="O543" s="26" t="str">
        <f>IFERROR(__xludf.DUMMYFUNCTION("""COMPUTED_VALUE"""),"Yes")</f>
        <v>Yes</v>
      </c>
      <c r="P543" s="26" t="str">
        <f>IFERROR(__xludf.DUMMYFUNCTION("""COMPUTED_VALUE"""),"Yes")</f>
        <v>Yes</v>
      </c>
    </row>
    <row r="544">
      <c r="A544" s="13" t="str">
        <f>IFERROR(__xludf.DUMMYFUNCTION("""COMPUTED_VALUE"""),"Red Faction II")</f>
        <v>Red Faction II</v>
      </c>
      <c r="B544" s="15" t="str">
        <f>IFERROR(__xludf.DUMMYFUNCTION("""COMPUTED_VALUE"""),"PS4")</f>
        <v>PS4</v>
      </c>
      <c r="C544" s="16" t="str">
        <f>IFERROR(__xludf.DUMMYFUNCTION("""COMPUTED_VALUE"""),"Premium (Classics)")</f>
        <v>Premium (Classics)</v>
      </c>
      <c r="D544" s="15" t="str">
        <f>IFERROR(__xludf.DUMMYFUNCTION("""COMPUTED_VALUE"""),"Removed")</f>
        <v>Removed</v>
      </c>
      <c r="E544" s="17">
        <f>IFERROR(__xludf.DUMMYFUNCTION("""COMPUTED_VALUE"""),44725.0)</f>
        <v>44725</v>
      </c>
      <c r="F544" s="54">
        <f>IFERROR(__xludf.DUMMYFUNCTION("""COMPUTED_VALUE"""),45096.0)</f>
        <v>45096</v>
      </c>
      <c r="G544" s="19">
        <f>IFERROR(__xludf.DUMMYFUNCTION("""COMPUTED_VALUE"""),12.2)</f>
        <v>12.2</v>
      </c>
      <c r="H544" s="17">
        <f>IFERROR(__xludf.DUMMYFUNCTION("""COMPUTED_VALUE"""),37530.0)</f>
        <v>37530</v>
      </c>
      <c r="I544" s="19">
        <f>IFERROR(__xludf.DUMMYFUNCTION("""COMPUTED_VALUE"""),19.7)</f>
        <v>19.7</v>
      </c>
      <c r="J544" s="21">
        <f>IFERROR(__xludf.DUMMYFUNCTION("""COMPUTED_VALUE"""),84.0)</f>
        <v>84</v>
      </c>
      <c r="K544" s="23">
        <f>IFERROR(__xludf.DUMMYFUNCTION("""COMPUTED_VALUE"""),6.9)</f>
        <v>6.9</v>
      </c>
      <c r="L544" s="24">
        <f>IFERROR(__xludf.DUMMYFUNCTION("""COMPUTED_VALUE"""),8.0)</f>
        <v>8</v>
      </c>
      <c r="M544" s="25" t="str">
        <f>IFERROR(__xludf.DUMMYFUNCTION("""COMPUTED_VALUE"""),"Shooter")</f>
        <v>Shooter</v>
      </c>
      <c r="N544" s="25" t="str">
        <f>IFERROR(__xludf.DUMMYFUNCTION("""COMPUTED_VALUE"""),"PS2")</f>
        <v>PS2</v>
      </c>
      <c r="O544" s="26" t="str">
        <f>IFERROR(__xludf.DUMMYFUNCTION("""COMPUTED_VALUE"""),"Yes")</f>
        <v>Yes</v>
      </c>
      <c r="P544" s="26" t="str">
        <f>IFERROR(__xludf.DUMMYFUNCTION("""COMPUTED_VALUE"""),"")</f>
        <v/>
      </c>
    </row>
    <row r="545">
      <c r="A545" s="13" t="str">
        <f>IFERROR(__xludf.DUMMYFUNCTION("""COMPUTED_VALUE"""),"John Wick Hex")</f>
        <v>John Wick Hex</v>
      </c>
      <c r="B545" s="15" t="str">
        <f>IFERROR(__xludf.DUMMYFUNCTION("""COMPUTED_VALUE"""),"PS4")</f>
        <v>PS4</v>
      </c>
      <c r="C545" s="16" t="str">
        <f>IFERROR(__xludf.DUMMYFUNCTION("""COMPUTED_VALUE"""),"Extra")</f>
        <v>Extra</v>
      </c>
      <c r="D545" s="15" t="str">
        <f>IFERROR(__xludf.DUMMYFUNCTION("""COMPUTED_VALUE"""),"Removed")</f>
        <v>Removed</v>
      </c>
      <c r="E545" s="17">
        <f>IFERROR(__xludf.DUMMYFUNCTION("""COMPUTED_VALUE"""),44537.0)</f>
        <v>44537</v>
      </c>
      <c r="F545" s="54">
        <f>IFERROR(__xludf.DUMMYFUNCTION("""COMPUTED_VALUE"""),45096.0)</f>
        <v>45096</v>
      </c>
      <c r="G545" s="19">
        <f>IFERROR(__xludf.DUMMYFUNCTION("""COMPUTED_VALUE"""),18.400000000000002)</f>
        <v>18.4</v>
      </c>
      <c r="H545" s="17">
        <f>IFERROR(__xludf.DUMMYFUNCTION("""COMPUTED_VALUE"""),43746.0)</f>
        <v>43746</v>
      </c>
      <c r="I545" s="19">
        <f>IFERROR(__xludf.DUMMYFUNCTION("""COMPUTED_VALUE"""),2.1638888888888888)</f>
        <v>2.163888889</v>
      </c>
      <c r="J545" s="21">
        <f>IFERROR(__xludf.DUMMYFUNCTION("""COMPUTED_VALUE"""),73.0)</f>
        <v>73</v>
      </c>
      <c r="K545" s="23">
        <f>IFERROR(__xludf.DUMMYFUNCTION("""COMPUTED_VALUE"""),7.0)</f>
        <v>7</v>
      </c>
      <c r="L545" s="24">
        <f>IFERROR(__xludf.DUMMYFUNCTION("""COMPUTED_VALUE"""),5.0)</f>
        <v>5</v>
      </c>
      <c r="M545" s="25" t="str">
        <f>IFERROR(__xludf.DUMMYFUNCTION("""COMPUTED_VALUE"""),"Strategy")</f>
        <v>Strategy</v>
      </c>
      <c r="N545" s="25"/>
      <c r="O545" s="26" t="str">
        <f>IFERROR(__xludf.DUMMYFUNCTION("""COMPUTED_VALUE"""),"No")</f>
        <v>No</v>
      </c>
      <c r="P545" s="26"/>
    </row>
    <row r="546">
      <c r="A546" s="13" t="str">
        <f>IFERROR(__xludf.DUMMYFUNCTION("""COMPUTED_VALUE"""),"Black Mirror")</f>
        <v>Black Mirror</v>
      </c>
      <c r="B546" s="15" t="str">
        <f>IFERROR(__xludf.DUMMYFUNCTION("""COMPUTED_VALUE"""),"PS4")</f>
        <v>PS4</v>
      </c>
      <c r="C546" s="16" t="str">
        <f>IFERROR(__xludf.DUMMYFUNCTION("""COMPUTED_VALUE"""),"Extra")</f>
        <v>Extra</v>
      </c>
      <c r="D546" s="15" t="str">
        <f>IFERROR(__xludf.DUMMYFUNCTION("""COMPUTED_VALUE"""),"Removed")</f>
        <v>Removed</v>
      </c>
      <c r="E546" s="17">
        <f>IFERROR(__xludf.DUMMYFUNCTION("""COMPUTED_VALUE"""),43529.0)</f>
        <v>43529</v>
      </c>
      <c r="F546" s="54">
        <f>IFERROR(__xludf.DUMMYFUNCTION("""COMPUTED_VALUE"""),45096.0)</f>
        <v>45096</v>
      </c>
      <c r="G546" s="19">
        <f>IFERROR(__xludf.DUMMYFUNCTION("""COMPUTED_VALUE"""),51.46666666666667)</f>
        <v>51.46666667</v>
      </c>
      <c r="H546" s="17">
        <f>IFERROR(__xludf.DUMMYFUNCTION("""COMPUTED_VALUE"""),43040.0)</f>
        <v>43040</v>
      </c>
      <c r="I546" s="19">
        <f>IFERROR(__xludf.DUMMYFUNCTION("""COMPUTED_VALUE"""),1.3444444444444446)</f>
        <v>1.344444444</v>
      </c>
      <c r="J546" s="21">
        <f>IFERROR(__xludf.DUMMYFUNCTION("""COMPUTED_VALUE"""),58.0)</f>
        <v>58</v>
      </c>
      <c r="K546" s="23">
        <f>IFERROR(__xludf.DUMMYFUNCTION("""COMPUTED_VALUE"""),6.3)</f>
        <v>6.3</v>
      </c>
      <c r="L546" s="24">
        <f>IFERROR(__xludf.DUMMYFUNCTION("""COMPUTED_VALUE"""),6.0)</f>
        <v>6</v>
      </c>
      <c r="M546" s="25" t="str">
        <f>IFERROR(__xludf.DUMMYFUNCTION("""COMPUTED_VALUE"""),"Horror")</f>
        <v>Horror</v>
      </c>
      <c r="N546" s="25"/>
      <c r="O546" s="26" t="str">
        <f>IFERROR(__xludf.DUMMYFUNCTION("""COMPUTED_VALUE"""),"Yes")</f>
        <v>Yes</v>
      </c>
      <c r="P546" s="26"/>
    </row>
    <row r="547">
      <c r="A547" s="13" t="str">
        <f>IFERROR(__xludf.DUMMYFUNCTION("""COMPUTED_VALUE"""),"Red Faction")</f>
        <v>Red Faction</v>
      </c>
      <c r="B547" s="15" t="str">
        <f>IFERROR(__xludf.DUMMYFUNCTION("""COMPUTED_VALUE"""),"PS4")</f>
        <v>PS4</v>
      </c>
      <c r="C547" s="16" t="str">
        <f>IFERROR(__xludf.DUMMYFUNCTION("""COMPUTED_VALUE"""),"Premium (Classics)")</f>
        <v>Premium (Classics)</v>
      </c>
      <c r="D547" s="15" t="str">
        <f>IFERROR(__xludf.DUMMYFUNCTION("""COMPUTED_VALUE"""),"Removed")</f>
        <v>Removed</v>
      </c>
      <c r="E547" s="17">
        <f>IFERROR(__xludf.DUMMYFUNCTION("""COMPUTED_VALUE"""),43529.0)</f>
        <v>43529</v>
      </c>
      <c r="F547" s="54">
        <f>IFERROR(__xludf.DUMMYFUNCTION("""COMPUTED_VALUE"""),45096.0)</f>
        <v>45096</v>
      </c>
      <c r="G547" s="19">
        <f>IFERROR(__xludf.DUMMYFUNCTION("""COMPUTED_VALUE"""),51.46666666666667)</f>
        <v>51.46666667</v>
      </c>
      <c r="H547" s="17">
        <f>IFERROR(__xludf.DUMMYFUNCTION("""COMPUTED_VALUE"""),36923.0)</f>
        <v>36923</v>
      </c>
      <c r="I547" s="19">
        <f>IFERROR(__xludf.DUMMYFUNCTION("""COMPUTED_VALUE"""),18.094444444444445)</f>
        <v>18.09444444</v>
      </c>
      <c r="J547" s="21">
        <f>IFERROR(__xludf.DUMMYFUNCTION("""COMPUTED_VALUE"""),88.0)</f>
        <v>88</v>
      </c>
      <c r="K547" s="23">
        <f>IFERROR(__xludf.DUMMYFUNCTION("""COMPUTED_VALUE"""),7.7)</f>
        <v>7.7</v>
      </c>
      <c r="L547" s="24">
        <f>IFERROR(__xludf.DUMMYFUNCTION("""COMPUTED_VALUE"""),8.0)</f>
        <v>8</v>
      </c>
      <c r="M547" s="25" t="str">
        <f>IFERROR(__xludf.DUMMYFUNCTION("""COMPUTED_VALUE"""),"Shooter")</f>
        <v>Shooter</v>
      </c>
      <c r="N547" s="25" t="str">
        <f>IFERROR(__xludf.DUMMYFUNCTION("""COMPUTED_VALUE"""),"PS2")</f>
        <v>PS2</v>
      </c>
      <c r="O547" s="26" t="str">
        <f>IFERROR(__xludf.DUMMYFUNCTION("""COMPUTED_VALUE"""),"Yes")</f>
        <v>Yes</v>
      </c>
      <c r="P547" s="26" t="str">
        <f>IFERROR(__xludf.DUMMYFUNCTION("""COMPUTED_VALUE"""),"")</f>
        <v/>
      </c>
    </row>
    <row r="548">
      <c r="A548" s="13" t="str">
        <f>IFERROR(__xludf.DUMMYFUNCTION("""COMPUTED_VALUE"""),"Joe Dever's Lone Wolf")</f>
        <v>Joe Dever's Lone Wolf</v>
      </c>
      <c r="B548" s="15" t="str">
        <f>IFERROR(__xludf.DUMMYFUNCTION("""COMPUTED_VALUE"""),"PS4")</f>
        <v>PS4</v>
      </c>
      <c r="C548" s="16" t="str">
        <f>IFERROR(__xludf.DUMMYFUNCTION("""COMPUTED_VALUE"""),"Extra")</f>
        <v>Extra</v>
      </c>
      <c r="D548" s="15" t="str">
        <f>IFERROR(__xludf.DUMMYFUNCTION("""COMPUTED_VALUE"""),"Removed")</f>
        <v>Removed</v>
      </c>
      <c r="E548" s="17">
        <f>IFERROR(__xludf.DUMMYFUNCTION("""COMPUTED_VALUE"""),42801.0)</f>
        <v>42801</v>
      </c>
      <c r="F548" s="54">
        <f>IFERROR(__xludf.DUMMYFUNCTION("""COMPUTED_VALUE"""),45096.0)</f>
        <v>45096</v>
      </c>
      <c r="G548" s="19">
        <f>IFERROR(__xludf.DUMMYFUNCTION("""COMPUTED_VALUE"""),75.4)</f>
        <v>75.4</v>
      </c>
      <c r="H548" s="17">
        <f>IFERROR(__xludf.DUMMYFUNCTION("""COMPUTED_VALUE"""),41548.0)</f>
        <v>41548</v>
      </c>
      <c r="I548" s="19">
        <f>IFERROR(__xludf.DUMMYFUNCTION("""COMPUTED_VALUE"""),3.433333333333333)</f>
        <v>3.433333333</v>
      </c>
      <c r="J548" s="21">
        <f>IFERROR(__xludf.DUMMYFUNCTION("""COMPUTED_VALUE"""),79.0)</f>
        <v>79</v>
      </c>
      <c r="K548" s="23">
        <f>IFERROR(__xludf.DUMMYFUNCTION("""COMPUTED_VALUE"""),7.2)</f>
        <v>7.2</v>
      </c>
      <c r="L548" s="24">
        <f>IFERROR(__xludf.DUMMYFUNCTION("""COMPUTED_VALUE"""),15.0)</f>
        <v>15</v>
      </c>
      <c r="M548" s="25" t="str">
        <f>IFERROR(__xludf.DUMMYFUNCTION("""COMPUTED_VALUE"""),"Action-Adventure")</f>
        <v>Action-Adventure</v>
      </c>
      <c r="N548" s="25"/>
      <c r="O548" s="26" t="str">
        <f>IFERROR(__xludf.DUMMYFUNCTION("""COMPUTED_VALUE"""),"Yes")</f>
        <v>Yes</v>
      </c>
      <c r="P548" s="26"/>
    </row>
    <row r="549">
      <c r="A549" s="13" t="str">
        <f>IFERROR(__xludf.DUMMYFUNCTION("""COMPUTED_VALUE"""),"Defense Grid 2")</f>
        <v>Defense Grid 2</v>
      </c>
      <c r="B549" s="15" t="str">
        <f>IFERROR(__xludf.DUMMYFUNCTION("""COMPUTED_VALUE"""),"PS4")</f>
        <v>PS4</v>
      </c>
      <c r="C549" s="16" t="str">
        <f>IFERROR(__xludf.DUMMYFUNCTION("""COMPUTED_VALUE"""),"Extra")</f>
        <v>Extra</v>
      </c>
      <c r="D549" s="15" t="str">
        <f>IFERROR(__xludf.DUMMYFUNCTION("""COMPUTED_VALUE"""),"Removed")</f>
        <v>Removed</v>
      </c>
      <c r="E549" s="17">
        <f>IFERROR(__xludf.DUMMYFUNCTION("""COMPUTED_VALUE"""),42794.0)</f>
        <v>42794</v>
      </c>
      <c r="F549" s="54">
        <f>IFERROR(__xludf.DUMMYFUNCTION("""COMPUTED_VALUE"""),45096.0)</f>
        <v>45096</v>
      </c>
      <c r="G549" s="19">
        <f>IFERROR(__xludf.DUMMYFUNCTION("""COMPUTED_VALUE"""),75.7)</f>
        <v>75.7</v>
      </c>
      <c r="H549" s="17">
        <f>IFERROR(__xludf.DUMMYFUNCTION("""COMPUTED_VALUE"""),41905.0)</f>
        <v>41905</v>
      </c>
      <c r="I549" s="19">
        <f>IFERROR(__xludf.DUMMYFUNCTION("""COMPUTED_VALUE"""),2.4305555555555554)</f>
        <v>2.430555556</v>
      </c>
      <c r="J549" s="21">
        <f>IFERROR(__xludf.DUMMYFUNCTION("""COMPUTED_VALUE"""),81.0)</f>
        <v>81</v>
      </c>
      <c r="K549" s="23">
        <f>IFERROR(__xludf.DUMMYFUNCTION("""COMPUTED_VALUE"""),7.5)</f>
        <v>7.5</v>
      </c>
      <c r="L549" s="24">
        <f>IFERROR(__xludf.DUMMYFUNCTION("""COMPUTED_VALUE"""),10.5)</f>
        <v>10.5</v>
      </c>
      <c r="M549" s="25" t="str">
        <f>IFERROR(__xludf.DUMMYFUNCTION("""COMPUTED_VALUE"""),"Strategy")</f>
        <v>Strategy</v>
      </c>
      <c r="N549" s="25"/>
      <c r="O549" s="26" t="str">
        <f>IFERROR(__xludf.DUMMYFUNCTION("""COMPUTED_VALUE"""),"Yes")</f>
        <v>Yes</v>
      </c>
      <c r="P549" s="26" t="str">
        <f>IFERROR(__xludf.DUMMYFUNCTION("""COMPUTED_VALUE"""),"Yes")</f>
        <v>Yes</v>
      </c>
    </row>
    <row r="550">
      <c r="A550" s="13" t="str">
        <f>IFERROR(__xludf.DUMMYFUNCTION("""COMPUTED_VALUE"""),"Chivalry II")</f>
        <v>Chivalry II</v>
      </c>
      <c r="B550" s="15" t="str">
        <f>IFERROR(__xludf.DUMMYFUNCTION("""COMPUTED_VALUE"""),"PS5/PS4")</f>
        <v>PS5/PS4</v>
      </c>
      <c r="C550" s="16" t="str">
        <f>IFERROR(__xludf.DUMMYFUNCTION("""COMPUTED_VALUE"""),"Essential")</f>
        <v>Essential</v>
      </c>
      <c r="D550" s="15" t="str">
        <f>IFERROR(__xludf.DUMMYFUNCTION("""COMPUTED_VALUE"""),"Removed")</f>
        <v>Removed</v>
      </c>
      <c r="E550" s="17">
        <f>IFERROR(__xludf.DUMMYFUNCTION("""COMPUTED_VALUE"""),45048.0)</f>
        <v>45048</v>
      </c>
      <c r="F550" s="54">
        <f>IFERROR(__xludf.DUMMYFUNCTION("""COMPUTED_VALUE"""),45082.0)</f>
        <v>45082</v>
      </c>
      <c r="G550" s="19">
        <f>IFERROR(__xludf.DUMMYFUNCTION("""COMPUTED_VALUE"""),1.0999999999999999)</f>
        <v>1.1</v>
      </c>
      <c r="H550" s="17">
        <f>IFERROR(__xludf.DUMMYFUNCTION("""COMPUTED_VALUE"""),44355.0)</f>
        <v>44355</v>
      </c>
      <c r="I550" s="19">
        <f>IFERROR(__xludf.DUMMYFUNCTION("""COMPUTED_VALUE"""),1.9)</f>
        <v>1.9</v>
      </c>
      <c r="J550" s="21">
        <f>IFERROR(__xludf.DUMMYFUNCTION("""COMPUTED_VALUE"""),66.0)</f>
        <v>66</v>
      </c>
      <c r="K550" s="23">
        <f>IFERROR(__xludf.DUMMYFUNCTION("""COMPUTED_VALUE"""),4.7)</f>
        <v>4.7</v>
      </c>
      <c r="L550" s="24">
        <f>IFERROR(__xludf.DUMMYFUNCTION("""COMPUTED_VALUE"""),45.0)</f>
        <v>45</v>
      </c>
      <c r="M550" s="25" t="str">
        <f>IFERROR(__xludf.DUMMYFUNCTION("""COMPUTED_VALUE"""),"Action-Adventure")</f>
        <v>Action-Adventure</v>
      </c>
      <c r="N550" s="25"/>
      <c r="O550" s="26" t="str">
        <f>IFERROR(__xludf.DUMMYFUNCTION("""COMPUTED_VALUE"""),"No")</f>
        <v>No</v>
      </c>
      <c r="P550" s="26"/>
    </row>
    <row r="551">
      <c r="A551" s="13" t="str">
        <f>IFERROR(__xludf.DUMMYFUNCTION("""COMPUTED_VALUE"""),"GRID: Legends")</f>
        <v>GRID: Legends</v>
      </c>
      <c r="B551" s="15" t="str">
        <f>IFERROR(__xludf.DUMMYFUNCTION("""COMPUTED_VALUE"""),"PS5/PS4")</f>
        <v>PS5/PS4</v>
      </c>
      <c r="C551" s="16" t="str">
        <f>IFERROR(__xludf.DUMMYFUNCTION("""COMPUTED_VALUE"""),"Essential")</f>
        <v>Essential</v>
      </c>
      <c r="D551" s="15" t="str">
        <f>IFERROR(__xludf.DUMMYFUNCTION("""COMPUTED_VALUE"""),"Removed")</f>
        <v>Removed</v>
      </c>
      <c r="E551" s="17">
        <f>IFERROR(__xludf.DUMMYFUNCTION("""COMPUTED_VALUE"""),45048.0)</f>
        <v>45048</v>
      </c>
      <c r="F551" s="54">
        <f>IFERROR(__xludf.DUMMYFUNCTION("""COMPUTED_VALUE"""),45082.0)</f>
        <v>45082</v>
      </c>
      <c r="G551" s="19">
        <f>IFERROR(__xludf.DUMMYFUNCTION("""COMPUTED_VALUE"""),1.0999999999999999)</f>
        <v>1.1</v>
      </c>
      <c r="H551" s="17">
        <f>IFERROR(__xludf.DUMMYFUNCTION("""COMPUTED_VALUE"""),44617.0)</f>
        <v>44617</v>
      </c>
      <c r="I551" s="19">
        <f>IFERROR(__xludf.DUMMYFUNCTION("""COMPUTED_VALUE"""),1.1861111111111111)</f>
        <v>1.186111111</v>
      </c>
      <c r="J551" s="21">
        <f>IFERROR(__xludf.DUMMYFUNCTION("""COMPUTED_VALUE"""),77.0)</f>
        <v>77</v>
      </c>
      <c r="K551" s="23">
        <f>IFERROR(__xludf.DUMMYFUNCTION("""COMPUTED_VALUE"""),5.9)</f>
        <v>5.9</v>
      </c>
      <c r="L551" s="24">
        <f>IFERROR(__xludf.DUMMYFUNCTION("""COMPUTED_VALUE"""),6.0)</f>
        <v>6</v>
      </c>
      <c r="M551" s="25" t="str">
        <f>IFERROR(__xludf.DUMMYFUNCTION("""COMPUTED_VALUE"""),"Racing")</f>
        <v>Racing</v>
      </c>
      <c r="N551" s="25"/>
      <c r="O551" s="26" t="str">
        <f>IFERROR(__xludf.DUMMYFUNCTION("""COMPUTED_VALUE"""),"No")</f>
        <v>No</v>
      </c>
      <c r="P551" s="26"/>
    </row>
    <row r="552">
      <c r="A552" s="13" t="str">
        <f>IFERROR(__xludf.DUMMYFUNCTION("""COMPUTED_VALUE"""),"Descenders")</f>
        <v>Descenders</v>
      </c>
      <c r="B552" s="15" t="str">
        <f>IFERROR(__xludf.DUMMYFUNCTION("""COMPUTED_VALUE"""),"PS4")</f>
        <v>PS4</v>
      </c>
      <c r="C552" s="16" t="str">
        <f>IFERROR(__xludf.DUMMYFUNCTION("""COMPUTED_VALUE"""),"Essential")</f>
        <v>Essential</v>
      </c>
      <c r="D552" s="15" t="str">
        <f>IFERROR(__xludf.DUMMYFUNCTION("""COMPUTED_VALUE"""),"Removed")</f>
        <v>Removed</v>
      </c>
      <c r="E552" s="17">
        <f>IFERROR(__xludf.DUMMYFUNCTION("""COMPUTED_VALUE"""),45048.0)</f>
        <v>45048</v>
      </c>
      <c r="F552" s="54">
        <f>IFERROR(__xludf.DUMMYFUNCTION("""COMPUTED_VALUE"""),45082.0)</f>
        <v>45082</v>
      </c>
      <c r="G552" s="19">
        <f>IFERROR(__xludf.DUMMYFUNCTION("""COMPUTED_VALUE"""),1.0999999999999999)</f>
        <v>1.1</v>
      </c>
      <c r="H552" s="17">
        <f>IFERROR(__xludf.DUMMYFUNCTION("""COMPUTED_VALUE"""),44068.0)</f>
        <v>44068</v>
      </c>
      <c r="I552" s="19">
        <f>IFERROR(__xludf.DUMMYFUNCTION("""COMPUTED_VALUE"""),2.686111111111111)</f>
        <v>2.686111111</v>
      </c>
      <c r="J552" s="21">
        <f>IFERROR(__xludf.DUMMYFUNCTION("""COMPUTED_VALUE"""),75.0)</f>
        <v>75</v>
      </c>
      <c r="K552" s="23">
        <f>IFERROR(__xludf.DUMMYFUNCTION("""COMPUTED_VALUE"""),5.0)</f>
        <v>5</v>
      </c>
      <c r="L552" s="24">
        <f>IFERROR(__xludf.DUMMYFUNCTION("""COMPUTED_VALUE"""),5.0)</f>
        <v>5</v>
      </c>
      <c r="M552" s="25" t="str">
        <f>IFERROR(__xludf.DUMMYFUNCTION("""COMPUTED_VALUE"""),"Racing")</f>
        <v>Racing</v>
      </c>
      <c r="N552" s="25"/>
      <c r="O552" s="26" t="str">
        <f>IFERROR(__xludf.DUMMYFUNCTION("""COMPUTED_VALUE"""),"No")</f>
        <v>No</v>
      </c>
      <c r="P552" s="26"/>
    </row>
    <row r="553">
      <c r="A553" s="13" t="str">
        <f>IFERROR(__xludf.DUMMYFUNCTION("""COMPUTED_VALUE"""),"Balan Wonderworld")</f>
        <v>Balan Wonderworld</v>
      </c>
      <c r="B553" s="15" t="str">
        <f>IFERROR(__xludf.DUMMYFUNCTION("""COMPUTED_VALUE"""),"PS5/PS4")</f>
        <v>PS5/PS4</v>
      </c>
      <c r="C553" s="16" t="str">
        <f>IFERROR(__xludf.DUMMYFUNCTION("""COMPUTED_VALUE"""),"Extra")</f>
        <v>Extra</v>
      </c>
      <c r="D553" s="15" t="str">
        <f>IFERROR(__xludf.DUMMYFUNCTION("""COMPUTED_VALUE"""),"Removed")</f>
        <v>Removed</v>
      </c>
      <c r="E553" s="17">
        <f>IFERROR(__xludf.DUMMYFUNCTION("""COMPUTED_VALUE"""),44725.0)</f>
        <v>44725</v>
      </c>
      <c r="F553" s="54">
        <f>IFERROR(__xludf.DUMMYFUNCTION("""COMPUTED_VALUE"""),45061.0)</f>
        <v>45061</v>
      </c>
      <c r="G553" s="19">
        <f>IFERROR(__xludf.DUMMYFUNCTION("""COMPUTED_VALUE"""),11.066666666666666)</f>
        <v>11.06666667</v>
      </c>
      <c r="H553" s="17">
        <f>IFERROR(__xludf.DUMMYFUNCTION("""COMPUTED_VALUE"""),44281.0)</f>
        <v>44281</v>
      </c>
      <c r="I553" s="19">
        <f>IFERROR(__xludf.DUMMYFUNCTION("""COMPUTED_VALUE"""),1.2138888888888888)</f>
        <v>1.213888889</v>
      </c>
      <c r="J553" s="21">
        <f>IFERROR(__xludf.DUMMYFUNCTION("""COMPUTED_VALUE"""),48.0)</f>
        <v>48</v>
      </c>
      <c r="K553" s="23">
        <f>IFERROR(__xludf.DUMMYFUNCTION("""COMPUTED_VALUE"""),5.1)</f>
        <v>5.1</v>
      </c>
      <c r="L553" s="24">
        <f>IFERROR(__xludf.DUMMYFUNCTION("""COMPUTED_VALUE"""),11.0)</f>
        <v>11</v>
      </c>
      <c r="M553" s="25" t="str">
        <f>IFERROR(__xludf.DUMMYFUNCTION("""COMPUTED_VALUE"""),"Action-Adventure")</f>
        <v>Action-Adventure</v>
      </c>
      <c r="N553" s="25"/>
      <c r="O553" s="26" t="str">
        <f>IFERROR(__xludf.DUMMYFUNCTION("""COMPUTED_VALUE"""),"Yes")</f>
        <v>Yes</v>
      </c>
      <c r="P553" s="26"/>
    </row>
    <row r="554">
      <c r="A554" s="13" t="str">
        <f>IFERROR(__xludf.DUMMYFUNCTION("""COMPUTED_VALUE"""),"Kona")</f>
        <v>Kona</v>
      </c>
      <c r="B554" s="15" t="str">
        <f>IFERROR(__xludf.DUMMYFUNCTION("""COMPUTED_VALUE"""),"PS5/PS4")</f>
        <v>PS5/PS4</v>
      </c>
      <c r="C554" s="16" t="str">
        <f>IFERROR(__xludf.DUMMYFUNCTION("""COMPUTED_VALUE"""),"Extra")</f>
        <v>Extra</v>
      </c>
      <c r="D554" s="15" t="str">
        <f>IFERROR(__xludf.DUMMYFUNCTION("""COMPUTED_VALUE"""),"Removed")</f>
        <v>Removed</v>
      </c>
      <c r="E554" s="17">
        <f>IFERROR(__xludf.DUMMYFUNCTION("""COMPUTED_VALUE"""),44725.0)</f>
        <v>44725</v>
      </c>
      <c r="F554" s="54">
        <f>IFERROR(__xludf.DUMMYFUNCTION("""COMPUTED_VALUE"""),45061.0)</f>
        <v>45061</v>
      </c>
      <c r="G554" s="19">
        <f>IFERROR(__xludf.DUMMYFUNCTION("""COMPUTED_VALUE"""),11.066666666666666)</f>
        <v>11.06666667</v>
      </c>
      <c r="H554" s="17">
        <f>IFERROR(__xludf.DUMMYFUNCTION("""COMPUTED_VALUE"""),42439.0)</f>
        <v>42439</v>
      </c>
      <c r="I554" s="19">
        <f>IFERROR(__xludf.DUMMYFUNCTION("""COMPUTED_VALUE"""),6.258333333333334)</f>
        <v>6.258333333</v>
      </c>
      <c r="J554" s="21">
        <f>IFERROR(__xludf.DUMMYFUNCTION("""COMPUTED_VALUE"""),71.0)</f>
        <v>71</v>
      </c>
      <c r="K554" s="23">
        <f>IFERROR(__xludf.DUMMYFUNCTION("""COMPUTED_VALUE"""),6.8)</f>
        <v>6.8</v>
      </c>
      <c r="L554" s="24">
        <f>IFERROR(__xludf.DUMMYFUNCTION("""COMPUTED_VALUE"""),5.5)</f>
        <v>5.5</v>
      </c>
      <c r="M554" s="25" t="str">
        <f>IFERROR(__xludf.DUMMYFUNCTION("""COMPUTED_VALUE"""),"Platformer")</f>
        <v>Platformer</v>
      </c>
      <c r="N554" s="25"/>
      <c r="O554" s="26" t="str">
        <f>IFERROR(__xludf.DUMMYFUNCTION("""COMPUTED_VALUE"""),"Yes")</f>
        <v>Yes</v>
      </c>
      <c r="P554" s="26"/>
    </row>
    <row r="555">
      <c r="A555" s="13" t="str">
        <f>IFERROR(__xludf.DUMMYFUNCTION("""COMPUTED_VALUE"""),"Marvel's Spider-Man: Game of the Year Edition")</f>
        <v>Marvel's Spider-Man: Game of the Year Edition</v>
      </c>
      <c r="B555" s="15" t="str">
        <f>IFERROR(__xludf.DUMMYFUNCTION("""COMPUTED_VALUE"""),"PS5/PS4")</f>
        <v>PS5/PS4</v>
      </c>
      <c r="C555" s="16" t="str">
        <f>IFERROR(__xludf.DUMMYFUNCTION("""COMPUTED_VALUE"""),"Extra")</f>
        <v>Extra</v>
      </c>
      <c r="D555" s="15" t="str">
        <f>IFERROR(__xludf.DUMMYFUNCTION("""COMPUTED_VALUE"""),"Removed")</f>
        <v>Removed</v>
      </c>
      <c r="E555" s="17">
        <f>IFERROR(__xludf.DUMMYFUNCTION("""COMPUTED_VALUE"""),44725.0)</f>
        <v>44725</v>
      </c>
      <c r="F555" s="54">
        <f>IFERROR(__xludf.DUMMYFUNCTION("""COMPUTED_VALUE"""),45061.0)</f>
        <v>45061</v>
      </c>
      <c r="G555" s="19">
        <f>IFERROR(__xludf.DUMMYFUNCTION("""COMPUTED_VALUE"""),11.066666666666666)</f>
        <v>11.06666667</v>
      </c>
      <c r="H555" s="17">
        <f>IFERROR(__xludf.DUMMYFUNCTION("""COMPUTED_VALUE"""),43705.0)</f>
        <v>43705</v>
      </c>
      <c r="I555" s="19">
        <f>IFERROR(__xludf.DUMMYFUNCTION("""COMPUTED_VALUE"""),2.7916666666666665)</f>
        <v>2.791666667</v>
      </c>
      <c r="J555" s="21">
        <f>IFERROR(__xludf.DUMMYFUNCTION("""COMPUTED_VALUE"""),89.0)</f>
        <v>89</v>
      </c>
      <c r="K555" s="23">
        <f>IFERROR(__xludf.DUMMYFUNCTION("""COMPUTED_VALUE"""),8.7)</f>
        <v>8.7</v>
      </c>
      <c r="L555" s="24">
        <f>IFERROR(__xludf.DUMMYFUNCTION("""COMPUTED_VALUE"""),17.5)</f>
        <v>17.5</v>
      </c>
      <c r="M555" s="25" t="str">
        <f>IFERROR(__xludf.DUMMYFUNCTION("""COMPUTED_VALUE"""),"Action-Adventure")</f>
        <v>Action-Adventure</v>
      </c>
      <c r="N555" s="25"/>
      <c r="O555" s="26" t="str">
        <f>IFERROR(__xludf.DUMMYFUNCTION("""COMPUTED_VALUE"""),"No")</f>
        <v>No</v>
      </c>
      <c r="P555" s="26"/>
    </row>
    <row r="556">
      <c r="A556" s="13" t="str">
        <f>IFERROR(__xludf.DUMMYFUNCTION("""COMPUTED_VALUE"""),"Tour de France 2021")</f>
        <v>Tour de France 2021</v>
      </c>
      <c r="B556" s="15" t="str">
        <f>IFERROR(__xludf.DUMMYFUNCTION("""COMPUTED_VALUE"""),"PS5/PS4")</f>
        <v>PS5/PS4</v>
      </c>
      <c r="C556" s="16" t="str">
        <f>IFERROR(__xludf.DUMMYFUNCTION("""COMPUTED_VALUE"""),"Extra")</f>
        <v>Extra</v>
      </c>
      <c r="D556" s="15" t="str">
        <f>IFERROR(__xludf.DUMMYFUNCTION("""COMPUTED_VALUE"""),"Removed")</f>
        <v>Removed</v>
      </c>
      <c r="E556" s="17">
        <f>IFERROR(__xludf.DUMMYFUNCTION("""COMPUTED_VALUE"""),44725.0)</f>
        <v>44725</v>
      </c>
      <c r="F556" s="54">
        <f>IFERROR(__xludf.DUMMYFUNCTION("""COMPUTED_VALUE"""),45061.0)</f>
        <v>45061</v>
      </c>
      <c r="G556" s="19">
        <f>IFERROR(__xludf.DUMMYFUNCTION("""COMPUTED_VALUE"""),11.066666666666666)</f>
        <v>11.06666667</v>
      </c>
      <c r="H556" s="17">
        <f>IFERROR(__xludf.DUMMYFUNCTION("""COMPUTED_VALUE"""),44350.0)</f>
        <v>44350</v>
      </c>
      <c r="I556" s="19">
        <f>IFERROR(__xludf.DUMMYFUNCTION("""COMPUTED_VALUE"""),1.0277777777777777)</f>
        <v>1.027777778</v>
      </c>
      <c r="J556" s="21">
        <f>IFERROR(__xludf.DUMMYFUNCTION("""COMPUTED_VALUE"""),59.0)</f>
        <v>59</v>
      </c>
      <c r="K556" s="23">
        <f>IFERROR(__xludf.DUMMYFUNCTION("""COMPUTED_VALUE"""),5.8)</f>
        <v>5.8</v>
      </c>
      <c r="L556" s="24"/>
      <c r="M556" s="25" t="str">
        <f>IFERROR(__xludf.DUMMYFUNCTION("""COMPUTED_VALUE"""),"Sports")</f>
        <v>Sports</v>
      </c>
      <c r="N556" s="25"/>
      <c r="O556" s="26" t="str">
        <f>IFERROR(__xludf.DUMMYFUNCTION("""COMPUTED_VALUE"""),"Yes")</f>
        <v>Yes</v>
      </c>
      <c r="P556" s="26"/>
    </row>
    <row r="557">
      <c r="A557" s="13" t="str">
        <f>IFERROR(__xludf.DUMMYFUNCTION("""COMPUTED_VALUE"""),"Chocobo's Mystery Dungeon EVERY BUDDY!")</f>
        <v>Chocobo's Mystery Dungeon EVERY BUDDY!</v>
      </c>
      <c r="B557" s="15" t="str">
        <f>IFERROR(__xludf.DUMMYFUNCTION("""COMPUTED_VALUE"""),"PS4")</f>
        <v>PS4</v>
      </c>
      <c r="C557" s="16" t="str">
        <f>IFERROR(__xludf.DUMMYFUNCTION("""COMPUTED_VALUE"""),"Extra")</f>
        <v>Extra</v>
      </c>
      <c r="D557" s="15" t="str">
        <f>IFERROR(__xludf.DUMMYFUNCTION("""COMPUTED_VALUE"""),"Removed")</f>
        <v>Removed</v>
      </c>
      <c r="E557" s="17">
        <f>IFERROR(__xludf.DUMMYFUNCTION("""COMPUTED_VALUE"""),44725.0)</f>
        <v>44725</v>
      </c>
      <c r="F557" s="54">
        <f>IFERROR(__xludf.DUMMYFUNCTION("""COMPUTED_VALUE"""),45061.0)</f>
        <v>45061</v>
      </c>
      <c r="G557" s="19">
        <f>IFERROR(__xludf.DUMMYFUNCTION("""COMPUTED_VALUE"""),11.066666666666666)</f>
        <v>11.06666667</v>
      </c>
      <c r="H557" s="17">
        <f>IFERROR(__xludf.DUMMYFUNCTION("""COMPUTED_VALUE"""),43544.0)</f>
        <v>43544</v>
      </c>
      <c r="I557" s="19">
        <f>IFERROR(__xludf.DUMMYFUNCTION("""COMPUTED_VALUE"""),3.2305555555555556)</f>
        <v>3.230555556</v>
      </c>
      <c r="J557" s="21">
        <f>IFERROR(__xludf.DUMMYFUNCTION("""COMPUTED_VALUE"""),72.0)</f>
        <v>72</v>
      </c>
      <c r="K557" s="23">
        <f>IFERROR(__xludf.DUMMYFUNCTION("""COMPUTED_VALUE"""),7.2)</f>
        <v>7.2</v>
      </c>
      <c r="L557" s="24">
        <f>IFERROR(__xludf.DUMMYFUNCTION("""COMPUTED_VALUE"""),30.0)</f>
        <v>30</v>
      </c>
      <c r="M557" s="25" t="str">
        <f>IFERROR(__xludf.DUMMYFUNCTION("""COMPUTED_VALUE"""),"RPG")</f>
        <v>RPG</v>
      </c>
      <c r="N557" s="25"/>
      <c r="O557" s="26" t="str">
        <f>IFERROR(__xludf.DUMMYFUNCTION("""COMPUTED_VALUE"""),"Yes")</f>
        <v>Yes</v>
      </c>
      <c r="P557" s="26" t="str">
        <f>IFERROR(__xludf.DUMMYFUNCTION("""COMPUTED_VALUE"""),"Yes")</f>
        <v>Yes</v>
      </c>
    </row>
    <row r="558">
      <c r="A558" s="13" t="str">
        <f>IFERROR(__xludf.DUMMYFUNCTION("""COMPUTED_VALUE"""),"Chronos: Before the Ashes")</f>
        <v>Chronos: Before the Ashes</v>
      </c>
      <c r="B558" s="15" t="str">
        <f>IFERROR(__xludf.DUMMYFUNCTION("""COMPUTED_VALUE"""),"PS4")</f>
        <v>PS4</v>
      </c>
      <c r="C558" s="16" t="str">
        <f>IFERROR(__xludf.DUMMYFUNCTION("""COMPUTED_VALUE"""),"Extra")</f>
        <v>Extra</v>
      </c>
      <c r="D558" s="15" t="str">
        <f>IFERROR(__xludf.DUMMYFUNCTION("""COMPUTED_VALUE"""),"Removed")</f>
        <v>Removed</v>
      </c>
      <c r="E558" s="17">
        <f>IFERROR(__xludf.DUMMYFUNCTION("""COMPUTED_VALUE"""),44725.0)</f>
        <v>44725</v>
      </c>
      <c r="F558" s="54">
        <f>IFERROR(__xludf.DUMMYFUNCTION("""COMPUTED_VALUE"""),45061.0)</f>
        <v>45061</v>
      </c>
      <c r="G558" s="19">
        <f>IFERROR(__xludf.DUMMYFUNCTION("""COMPUTED_VALUE"""),11.066666666666666)</f>
        <v>11.06666667</v>
      </c>
      <c r="H558" s="17">
        <f>IFERROR(__xludf.DUMMYFUNCTION("""COMPUTED_VALUE"""),44166.0)</f>
        <v>44166</v>
      </c>
      <c r="I558" s="19">
        <f>IFERROR(__xludf.DUMMYFUNCTION("""COMPUTED_VALUE"""),1.5333333333333334)</f>
        <v>1.533333333</v>
      </c>
      <c r="J558" s="21">
        <f>IFERROR(__xludf.DUMMYFUNCTION("""COMPUTED_VALUE"""),63.0)</f>
        <v>63</v>
      </c>
      <c r="K558" s="23">
        <f>IFERROR(__xludf.DUMMYFUNCTION("""COMPUTED_VALUE"""),6.7)</f>
        <v>6.7</v>
      </c>
      <c r="L558" s="24">
        <f>IFERROR(__xludf.DUMMYFUNCTION("""COMPUTED_VALUE"""),13.0)</f>
        <v>13</v>
      </c>
      <c r="M558" s="25" t="str">
        <f>IFERROR(__xludf.DUMMYFUNCTION("""COMPUTED_VALUE"""),"Action-Adventure")</f>
        <v>Action-Adventure</v>
      </c>
      <c r="N558" s="25"/>
      <c r="O558" s="26" t="str">
        <f>IFERROR(__xludf.DUMMYFUNCTION("""COMPUTED_VALUE"""),"Yes")</f>
        <v>Yes</v>
      </c>
      <c r="P558" s="26"/>
    </row>
    <row r="559">
      <c r="A559" s="13" t="str">
        <f>IFERROR(__xludf.DUMMYFUNCTION("""COMPUTED_VALUE"""),"Dreamfall Chapters")</f>
        <v>Dreamfall Chapters</v>
      </c>
      <c r="B559" s="15" t="str">
        <f>IFERROR(__xludf.DUMMYFUNCTION("""COMPUTED_VALUE"""),"PS4")</f>
        <v>PS4</v>
      </c>
      <c r="C559" s="16" t="str">
        <f>IFERROR(__xludf.DUMMYFUNCTION("""COMPUTED_VALUE"""),"Extra")</f>
        <v>Extra</v>
      </c>
      <c r="D559" s="15" t="str">
        <f>IFERROR(__xludf.DUMMYFUNCTION("""COMPUTED_VALUE"""),"Removed")</f>
        <v>Removed</v>
      </c>
      <c r="E559" s="17">
        <f>IFERROR(__xludf.DUMMYFUNCTION("""COMPUTED_VALUE"""),44725.0)</f>
        <v>44725</v>
      </c>
      <c r="F559" s="54">
        <f>IFERROR(__xludf.DUMMYFUNCTION("""COMPUTED_VALUE"""),45061.0)</f>
        <v>45061</v>
      </c>
      <c r="G559" s="19">
        <f>IFERROR(__xludf.DUMMYFUNCTION("""COMPUTED_VALUE"""),11.066666666666666)</f>
        <v>11.06666667</v>
      </c>
      <c r="H559" s="17">
        <f>IFERROR(__xludf.DUMMYFUNCTION("""COMPUTED_VALUE"""),42876.0)</f>
        <v>42876</v>
      </c>
      <c r="I559" s="19">
        <f>IFERROR(__xludf.DUMMYFUNCTION("""COMPUTED_VALUE"""),5.061111111111111)</f>
        <v>5.061111111</v>
      </c>
      <c r="J559" s="21">
        <f>IFERROR(__xludf.DUMMYFUNCTION("""COMPUTED_VALUE"""),71.0)</f>
        <v>71</v>
      </c>
      <c r="K559" s="23">
        <f>IFERROR(__xludf.DUMMYFUNCTION("""COMPUTED_VALUE"""),7.2)</f>
        <v>7.2</v>
      </c>
      <c r="L559" s="24">
        <f>IFERROR(__xludf.DUMMYFUNCTION("""COMPUTED_VALUE"""),20.0)</f>
        <v>20</v>
      </c>
      <c r="M559" s="25" t="str">
        <f>IFERROR(__xludf.DUMMYFUNCTION("""COMPUTED_VALUE"""),"Adventure")</f>
        <v>Adventure</v>
      </c>
      <c r="N559" s="25"/>
      <c r="O559" s="26" t="str">
        <f>IFERROR(__xludf.DUMMYFUNCTION("""COMPUTED_VALUE"""),"Yes")</f>
        <v>Yes</v>
      </c>
      <c r="P559" s="26"/>
    </row>
    <row r="560">
      <c r="A560" s="13" t="str">
        <f>IFERROR(__xludf.DUMMYFUNCTION("""COMPUTED_VALUE"""),"Graveyard Keeper")</f>
        <v>Graveyard Keeper</v>
      </c>
      <c r="B560" s="15" t="str">
        <f>IFERROR(__xludf.DUMMYFUNCTION("""COMPUTED_VALUE"""),"PS4")</f>
        <v>PS4</v>
      </c>
      <c r="C560" s="16" t="str">
        <f>IFERROR(__xludf.DUMMYFUNCTION("""COMPUTED_VALUE"""),"Extra")</f>
        <v>Extra</v>
      </c>
      <c r="D560" s="15" t="str">
        <f>IFERROR(__xludf.DUMMYFUNCTION("""COMPUTED_VALUE"""),"Removed")</f>
        <v>Removed</v>
      </c>
      <c r="E560" s="17">
        <f>IFERROR(__xludf.DUMMYFUNCTION("""COMPUTED_VALUE"""),44725.0)</f>
        <v>44725</v>
      </c>
      <c r="F560" s="54">
        <f>IFERROR(__xludf.DUMMYFUNCTION("""COMPUTED_VALUE"""),45061.0)</f>
        <v>45061</v>
      </c>
      <c r="G560" s="19">
        <f>IFERROR(__xludf.DUMMYFUNCTION("""COMPUTED_VALUE"""),11.066666666666666)</f>
        <v>11.06666667</v>
      </c>
      <c r="H560" s="17">
        <f>IFERROR(__xludf.DUMMYFUNCTION("""COMPUTED_VALUE"""),43327.0)</f>
        <v>43327</v>
      </c>
      <c r="I560" s="19">
        <f>IFERROR(__xludf.DUMMYFUNCTION("""COMPUTED_VALUE"""),3.827777777777778)</f>
        <v>3.827777778</v>
      </c>
      <c r="J560" s="21">
        <f>IFERROR(__xludf.DUMMYFUNCTION("""COMPUTED_VALUE"""),68.0)</f>
        <v>68</v>
      </c>
      <c r="K560" s="23">
        <f>IFERROR(__xludf.DUMMYFUNCTION("""COMPUTED_VALUE"""),7.5)</f>
        <v>7.5</v>
      </c>
      <c r="L560" s="24">
        <f>IFERROR(__xludf.DUMMYFUNCTION("""COMPUTED_VALUE"""),44.5)</f>
        <v>44.5</v>
      </c>
      <c r="M560" s="25" t="str">
        <f>IFERROR(__xludf.DUMMYFUNCTION("""COMPUTED_VALUE"""),"Simulation")</f>
        <v>Simulation</v>
      </c>
      <c r="N560" s="25"/>
      <c r="O560" s="26" t="str">
        <f>IFERROR(__xludf.DUMMYFUNCTION("""COMPUTED_VALUE"""),"Yes")</f>
        <v>Yes</v>
      </c>
      <c r="P560" s="26"/>
    </row>
    <row r="561">
      <c r="A561" s="13" t="str">
        <f>IFERROR(__xludf.DUMMYFUNCTION("""COMPUTED_VALUE"""),"Homefront: The Revolution")</f>
        <v>Homefront: The Revolution</v>
      </c>
      <c r="B561" s="15" t="str">
        <f>IFERROR(__xludf.DUMMYFUNCTION("""COMPUTED_VALUE"""),"PS4")</f>
        <v>PS4</v>
      </c>
      <c r="C561" s="16" t="str">
        <f>IFERROR(__xludf.DUMMYFUNCTION("""COMPUTED_VALUE"""),"Extra")</f>
        <v>Extra</v>
      </c>
      <c r="D561" s="15" t="str">
        <f>IFERROR(__xludf.DUMMYFUNCTION("""COMPUTED_VALUE"""),"Removed")</f>
        <v>Removed</v>
      </c>
      <c r="E561" s="17">
        <f>IFERROR(__xludf.DUMMYFUNCTION("""COMPUTED_VALUE"""),44725.0)</f>
        <v>44725</v>
      </c>
      <c r="F561" s="54">
        <f>IFERROR(__xludf.DUMMYFUNCTION("""COMPUTED_VALUE"""),45061.0)</f>
        <v>45061</v>
      </c>
      <c r="G561" s="19">
        <f>IFERROR(__xludf.DUMMYFUNCTION("""COMPUTED_VALUE"""),11.066666666666666)</f>
        <v>11.06666667</v>
      </c>
      <c r="H561" s="17">
        <f>IFERROR(__xludf.DUMMYFUNCTION("""COMPUTED_VALUE"""),42507.0)</f>
        <v>42507</v>
      </c>
      <c r="I561" s="19">
        <f>IFERROR(__xludf.DUMMYFUNCTION("""COMPUTED_VALUE"""),6.072222222222222)</f>
        <v>6.072222222</v>
      </c>
      <c r="J561" s="21">
        <f>IFERROR(__xludf.DUMMYFUNCTION("""COMPUTED_VALUE"""),49.0)</f>
        <v>49</v>
      </c>
      <c r="K561" s="23">
        <f>IFERROR(__xludf.DUMMYFUNCTION("""COMPUTED_VALUE"""),5.0)</f>
        <v>5</v>
      </c>
      <c r="L561" s="24">
        <f>IFERROR(__xludf.DUMMYFUNCTION("""COMPUTED_VALUE"""),12.0)</f>
        <v>12</v>
      </c>
      <c r="M561" s="25" t="str">
        <f>IFERROR(__xludf.DUMMYFUNCTION("""COMPUTED_VALUE"""),"Shooter")</f>
        <v>Shooter</v>
      </c>
      <c r="N561" s="25"/>
      <c r="O561" s="26" t="str">
        <f>IFERROR(__xludf.DUMMYFUNCTION("""COMPUTED_VALUE"""),"Yes")</f>
        <v>Yes</v>
      </c>
      <c r="P561" s="26"/>
    </row>
    <row r="562">
      <c r="A562" s="13" t="str">
        <f>IFERROR(__xludf.DUMMYFUNCTION("""COMPUTED_VALUE"""),"Injustice 2")</f>
        <v>Injustice 2</v>
      </c>
      <c r="B562" s="15" t="str">
        <f>IFERROR(__xludf.DUMMYFUNCTION("""COMPUTED_VALUE"""),"PS4")</f>
        <v>PS4</v>
      </c>
      <c r="C562" s="16" t="str">
        <f>IFERROR(__xludf.DUMMYFUNCTION("""COMPUTED_VALUE"""),"Extra")</f>
        <v>Extra</v>
      </c>
      <c r="D562" s="15" t="str">
        <f>IFERROR(__xludf.DUMMYFUNCTION("""COMPUTED_VALUE"""),"Removed")</f>
        <v>Removed</v>
      </c>
      <c r="E562" s="17">
        <f>IFERROR(__xludf.DUMMYFUNCTION("""COMPUTED_VALUE"""),44725.0)</f>
        <v>44725</v>
      </c>
      <c r="F562" s="54">
        <f>IFERROR(__xludf.DUMMYFUNCTION("""COMPUTED_VALUE"""),45061.0)</f>
        <v>45061</v>
      </c>
      <c r="G562" s="19">
        <f>IFERROR(__xludf.DUMMYFUNCTION("""COMPUTED_VALUE"""),11.066666666666666)</f>
        <v>11.06666667</v>
      </c>
      <c r="H562" s="17">
        <f>IFERROR(__xludf.DUMMYFUNCTION("""COMPUTED_VALUE"""),42871.0)</f>
        <v>42871</v>
      </c>
      <c r="I562" s="19">
        <f>IFERROR(__xludf.DUMMYFUNCTION("""COMPUTED_VALUE"""),5.075)</f>
        <v>5.075</v>
      </c>
      <c r="J562" s="21">
        <f>IFERROR(__xludf.DUMMYFUNCTION("""COMPUTED_VALUE"""),88.0)</f>
        <v>88</v>
      </c>
      <c r="K562" s="23">
        <f>IFERROR(__xludf.DUMMYFUNCTION("""COMPUTED_VALUE"""),7.8)</f>
        <v>7.8</v>
      </c>
      <c r="L562" s="24">
        <f>IFERROR(__xludf.DUMMYFUNCTION("""COMPUTED_VALUE"""),5.5)</f>
        <v>5.5</v>
      </c>
      <c r="M562" s="25" t="str">
        <f>IFERROR(__xludf.DUMMYFUNCTION("""COMPUTED_VALUE"""),"Fighting")</f>
        <v>Fighting</v>
      </c>
      <c r="N562" s="25"/>
      <c r="O562" s="26" t="str">
        <f>IFERROR(__xludf.DUMMYFUNCTION("""COMPUTED_VALUE"""),"Yes")</f>
        <v>Yes</v>
      </c>
      <c r="P562" s="26" t="str">
        <f>IFERROR(__xludf.DUMMYFUNCTION("""COMPUTED_VALUE"""),"Yes")</f>
        <v>Yes</v>
      </c>
    </row>
    <row r="563">
      <c r="A563" s="13" t="str">
        <f>IFERROR(__xludf.DUMMYFUNCTION("""COMPUTED_VALUE"""),"Kingdom Come: Deliverance")</f>
        <v>Kingdom Come: Deliverance</v>
      </c>
      <c r="B563" s="15" t="str">
        <f>IFERROR(__xludf.DUMMYFUNCTION("""COMPUTED_VALUE"""),"PS4")</f>
        <v>PS4</v>
      </c>
      <c r="C563" s="16" t="str">
        <f>IFERROR(__xludf.DUMMYFUNCTION("""COMPUTED_VALUE"""),"Extra")</f>
        <v>Extra</v>
      </c>
      <c r="D563" s="15" t="str">
        <f>IFERROR(__xludf.DUMMYFUNCTION("""COMPUTED_VALUE"""),"Removed")</f>
        <v>Removed</v>
      </c>
      <c r="E563" s="17">
        <f>IFERROR(__xludf.DUMMYFUNCTION("""COMPUTED_VALUE"""),44725.0)</f>
        <v>44725</v>
      </c>
      <c r="F563" s="54">
        <f>IFERROR(__xludf.DUMMYFUNCTION("""COMPUTED_VALUE"""),45061.0)</f>
        <v>45061</v>
      </c>
      <c r="G563" s="19">
        <f>IFERROR(__xludf.DUMMYFUNCTION("""COMPUTED_VALUE"""),11.066666666666666)</f>
        <v>11.06666667</v>
      </c>
      <c r="H563" s="17">
        <f>IFERROR(__xludf.DUMMYFUNCTION("""COMPUTED_VALUE"""),43144.0)</f>
        <v>43144</v>
      </c>
      <c r="I563" s="19">
        <f>IFERROR(__xludf.DUMMYFUNCTION("""COMPUTED_VALUE"""),4.333333333333333)</f>
        <v>4.333333333</v>
      </c>
      <c r="J563" s="21">
        <f>IFERROR(__xludf.DUMMYFUNCTION("""COMPUTED_VALUE"""),72.0)</f>
        <v>72</v>
      </c>
      <c r="K563" s="23">
        <f>IFERROR(__xludf.DUMMYFUNCTION("""COMPUTED_VALUE"""),7.8)</f>
        <v>7.8</v>
      </c>
      <c r="L563" s="24">
        <f>IFERROR(__xludf.DUMMYFUNCTION("""COMPUTED_VALUE"""),40.5)</f>
        <v>40.5</v>
      </c>
      <c r="M563" s="25" t="str">
        <f>IFERROR(__xludf.DUMMYFUNCTION("""COMPUTED_VALUE"""),"RPG")</f>
        <v>RPG</v>
      </c>
      <c r="N563" s="25"/>
      <c r="O563" s="26" t="str">
        <f>IFERROR(__xludf.DUMMYFUNCTION("""COMPUTED_VALUE"""),"Yes")</f>
        <v>Yes</v>
      </c>
      <c r="P563" s="26"/>
    </row>
    <row r="564">
      <c r="A564" s="13" t="str">
        <f>IFERROR(__xludf.DUMMYFUNCTION("""COMPUTED_VALUE"""),"Last Day of June")</f>
        <v>Last Day of June</v>
      </c>
      <c r="B564" s="15" t="str">
        <f>IFERROR(__xludf.DUMMYFUNCTION("""COMPUTED_VALUE"""),"PS4")</f>
        <v>PS4</v>
      </c>
      <c r="C564" s="16" t="str">
        <f>IFERROR(__xludf.DUMMYFUNCTION("""COMPUTED_VALUE"""),"Extra")</f>
        <v>Extra</v>
      </c>
      <c r="D564" s="15" t="str">
        <f>IFERROR(__xludf.DUMMYFUNCTION("""COMPUTED_VALUE"""),"Removed")</f>
        <v>Removed</v>
      </c>
      <c r="E564" s="17">
        <f>IFERROR(__xludf.DUMMYFUNCTION("""COMPUTED_VALUE"""),44725.0)</f>
        <v>44725</v>
      </c>
      <c r="F564" s="54">
        <f>IFERROR(__xludf.DUMMYFUNCTION("""COMPUTED_VALUE"""),45061.0)</f>
        <v>45061</v>
      </c>
      <c r="G564" s="19">
        <f>IFERROR(__xludf.DUMMYFUNCTION("""COMPUTED_VALUE"""),11.066666666666666)</f>
        <v>11.06666667</v>
      </c>
      <c r="H564" s="17">
        <f>IFERROR(__xludf.DUMMYFUNCTION("""COMPUTED_VALUE"""),42978.0)</f>
        <v>42978</v>
      </c>
      <c r="I564" s="19">
        <f>IFERROR(__xludf.DUMMYFUNCTION("""COMPUTED_VALUE"""),4.786111111111111)</f>
        <v>4.786111111</v>
      </c>
      <c r="J564" s="21">
        <f>IFERROR(__xludf.DUMMYFUNCTION("""COMPUTED_VALUE"""),75.0)</f>
        <v>75</v>
      </c>
      <c r="K564" s="23">
        <f>IFERROR(__xludf.DUMMYFUNCTION("""COMPUTED_VALUE"""),7.5)</f>
        <v>7.5</v>
      </c>
      <c r="L564" s="24">
        <f>IFERROR(__xludf.DUMMYFUNCTION("""COMPUTED_VALUE"""),3.0)</f>
        <v>3</v>
      </c>
      <c r="M564" s="25" t="str">
        <f>IFERROR(__xludf.DUMMYFUNCTION("""COMPUTED_VALUE"""),"Adventure")</f>
        <v>Adventure</v>
      </c>
      <c r="N564" s="25"/>
      <c r="O564" s="26" t="str">
        <f>IFERROR(__xludf.DUMMYFUNCTION("""COMPUTED_VALUE"""),"Yes")</f>
        <v>Yes</v>
      </c>
      <c r="P564" s="26"/>
    </row>
    <row r="565">
      <c r="A565" s="13" t="str">
        <f>IFERROR(__xludf.DUMMYFUNCTION("""COMPUTED_VALUE"""),"Left Alive: Day One Edition")</f>
        <v>Left Alive: Day One Edition</v>
      </c>
      <c r="B565" s="15" t="str">
        <f>IFERROR(__xludf.DUMMYFUNCTION("""COMPUTED_VALUE"""),"PS4")</f>
        <v>PS4</v>
      </c>
      <c r="C565" s="16" t="str">
        <f>IFERROR(__xludf.DUMMYFUNCTION("""COMPUTED_VALUE"""),"Extra")</f>
        <v>Extra</v>
      </c>
      <c r="D565" s="15" t="str">
        <f>IFERROR(__xludf.DUMMYFUNCTION("""COMPUTED_VALUE"""),"Removed")</f>
        <v>Removed</v>
      </c>
      <c r="E565" s="17">
        <f>IFERROR(__xludf.DUMMYFUNCTION("""COMPUTED_VALUE"""),44725.0)</f>
        <v>44725</v>
      </c>
      <c r="F565" s="54">
        <f>IFERROR(__xludf.DUMMYFUNCTION("""COMPUTED_VALUE"""),45061.0)</f>
        <v>45061</v>
      </c>
      <c r="G565" s="19">
        <f>IFERROR(__xludf.DUMMYFUNCTION("""COMPUTED_VALUE"""),11.066666666666666)</f>
        <v>11.06666667</v>
      </c>
      <c r="H565" s="17">
        <f>IFERROR(__xludf.DUMMYFUNCTION("""COMPUTED_VALUE"""),43529.0)</f>
        <v>43529</v>
      </c>
      <c r="I565" s="19">
        <f>IFERROR(__xludf.DUMMYFUNCTION("""COMPUTED_VALUE"""),3.272222222222222)</f>
        <v>3.272222222</v>
      </c>
      <c r="J565" s="21">
        <f>IFERROR(__xludf.DUMMYFUNCTION("""COMPUTED_VALUE"""),37.0)</f>
        <v>37</v>
      </c>
      <c r="K565" s="23">
        <f>IFERROR(__xludf.DUMMYFUNCTION("""COMPUTED_VALUE"""),5.3)</f>
        <v>5.3</v>
      </c>
      <c r="L565" s="24">
        <f>IFERROR(__xludf.DUMMYFUNCTION("""COMPUTED_VALUE"""),15.0)</f>
        <v>15</v>
      </c>
      <c r="M565" s="25" t="str">
        <f>IFERROR(__xludf.DUMMYFUNCTION("""COMPUTED_VALUE"""),"Action-Adventure")</f>
        <v>Action-Adventure</v>
      </c>
      <c r="N565" s="25"/>
      <c r="O565" s="26" t="str">
        <f>IFERROR(__xludf.DUMMYFUNCTION("""COMPUTED_VALUE"""),"Yes")</f>
        <v>Yes</v>
      </c>
      <c r="P565" s="26"/>
    </row>
    <row r="566">
      <c r="A566" s="13" t="str">
        <f>IFERROR(__xludf.DUMMYFUNCTION("""COMPUTED_VALUE"""),"Mighty No. 9")</f>
        <v>Mighty No. 9</v>
      </c>
      <c r="B566" s="15" t="str">
        <f>IFERROR(__xludf.DUMMYFUNCTION("""COMPUTED_VALUE"""),"PS4")</f>
        <v>PS4</v>
      </c>
      <c r="C566" s="16" t="str">
        <f>IFERROR(__xludf.DUMMYFUNCTION("""COMPUTED_VALUE"""),"Extra")</f>
        <v>Extra</v>
      </c>
      <c r="D566" s="15" t="str">
        <f>IFERROR(__xludf.DUMMYFUNCTION("""COMPUTED_VALUE"""),"Removed")</f>
        <v>Removed</v>
      </c>
      <c r="E566" s="17">
        <f>IFERROR(__xludf.DUMMYFUNCTION("""COMPUTED_VALUE"""),44725.0)</f>
        <v>44725</v>
      </c>
      <c r="F566" s="54">
        <f>IFERROR(__xludf.DUMMYFUNCTION("""COMPUTED_VALUE"""),45061.0)</f>
        <v>45061</v>
      </c>
      <c r="G566" s="19">
        <f>IFERROR(__xludf.DUMMYFUNCTION("""COMPUTED_VALUE"""),11.066666666666666)</f>
        <v>11.06666667</v>
      </c>
      <c r="H566" s="17">
        <f>IFERROR(__xludf.DUMMYFUNCTION("""COMPUTED_VALUE"""),42522.0)</f>
        <v>42522</v>
      </c>
      <c r="I566" s="19">
        <f>IFERROR(__xludf.DUMMYFUNCTION("""COMPUTED_VALUE"""),6.033333333333333)</f>
        <v>6.033333333</v>
      </c>
      <c r="J566" s="21">
        <f>IFERROR(__xludf.DUMMYFUNCTION("""COMPUTED_VALUE"""),53.0)</f>
        <v>53</v>
      </c>
      <c r="K566" s="23">
        <f>IFERROR(__xludf.DUMMYFUNCTION("""COMPUTED_VALUE"""),3.4)</f>
        <v>3.4</v>
      </c>
      <c r="L566" s="24">
        <f>IFERROR(__xludf.DUMMYFUNCTION("""COMPUTED_VALUE"""),4.0)</f>
        <v>4</v>
      </c>
      <c r="M566" s="25" t="str">
        <f>IFERROR(__xludf.DUMMYFUNCTION("""COMPUTED_VALUE"""),"Platformer")</f>
        <v>Platformer</v>
      </c>
      <c r="N566" s="25"/>
      <c r="O566" s="26" t="str">
        <f>IFERROR(__xludf.DUMMYFUNCTION("""COMPUTED_VALUE"""),"Yes")</f>
        <v>Yes</v>
      </c>
      <c r="P566" s="26"/>
    </row>
    <row r="567">
      <c r="A567" s="13" t="str">
        <f>IFERROR(__xludf.DUMMYFUNCTION("""COMPUTED_VALUE"""),"MX vs. ATV: All Out")</f>
        <v>MX vs. ATV: All Out</v>
      </c>
      <c r="B567" s="15" t="str">
        <f>IFERROR(__xludf.DUMMYFUNCTION("""COMPUTED_VALUE"""),"PS4")</f>
        <v>PS4</v>
      </c>
      <c r="C567" s="16" t="str">
        <f>IFERROR(__xludf.DUMMYFUNCTION("""COMPUTED_VALUE"""),"Extra")</f>
        <v>Extra</v>
      </c>
      <c r="D567" s="15" t="str">
        <f>IFERROR(__xludf.DUMMYFUNCTION("""COMPUTED_VALUE"""),"Removed")</f>
        <v>Removed</v>
      </c>
      <c r="E567" s="17">
        <f>IFERROR(__xludf.DUMMYFUNCTION("""COMPUTED_VALUE"""),44725.0)</f>
        <v>44725</v>
      </c>
      <c r="F567" s="54">
        <f>IFERROR(__xludf.DUMMYFUNCTION("""COMPUTED_VALUE"""),45061.0)</f>
        <v>45061</v>
      </c>
      <c r="G567" s="19">
        <f>IFERROR(__xludf.DUMMYFUNCTION("""COMPUTED_VALUE"""),11.066666666666666)</f>
        <v>11.06666667</v>
      </c>
      <c r="H567" s="17">
        <f>IFERROR(__xludf.DUMMYFUNCTION("""COMPUTED_VALUE"""),43186.0)</f>
        <v>43186</v>
      </c>
      <c r="I567" s="19">
        <f>IFERROR(__xludf.DUMMYFUNCTION("""COMPUTED_VALUE"""),4.211111111111111)</f>
        <v>4.211111111</v>
      </c>
      <c r="J567" s="21">
        <f>IFERROR(__xludf.DUMMYFUNCTION("""COMPUTED_VALUE"""),53.0)</f>
        <v>53</v>
      </c>
      <c r="K567" s="23">
        <f>IFERROR(__xludf.DUMMYFUNCTION("""COMPUTED_VALUE"""),5.5)</f>
        <v>5.5</v>
      </c>
      <c r="L567" s="24"/>
      <c r="M567" s="25" t="str">
        <f>IFERROR(__xludf.DUMMYFUNCTION("""COMPUTED_VALUE"""),"Racing")</f>
        <v>Racing</v>
      </c>
      <c r="N567" s="25"/>
      <c r="O567" s="26" t="str">
        <f>IFERROR(__xludf.DUMMYFUNCTION("""COMPUTED_VALUE"""),"Yes")</f>
        <v>Yes</v>
      </c>
      <c r="P567" s="26" t="str">
        <f>IFERROR(__xludf.DUMMYFUNCTION("""COMPUTED_VALUE"""),"Yes")</f>
        <v>Yes</v>
      </c>
    </row>
    <row r="568">
      <c r="A568" s="13" t="str">
        <f>IFERROR(__xludf.DUMMYFUNCTION("""COMPUTED_VALUE"""),"NBA 2K Playgrounds 2")</f>
        <v>NBA 2K Playgrounds 2</v>
      </c>
      <c r="B568" s="15" t="str">
        <f>IFERROR(__xludf.DUMMYFUNCTION("""COMPUTED_VALUE"""),"PS4")</f>
        <v>PS4</v>
      </c>
      <c r="C568" s="16" t="str">
        <f>IFERROR(__xludf.DUMMYFUNCTION("""COMPUTED_VALUE"""),"Extra")</f>
        <v>Extra</v>
      </c>
      <c r="D568" s="15" t="str">
        <f>IFERROR(__xludf.DUMMYFUNCTION("""COMPUTED_VALUE"""),"Removed")</f>
        <v>Removed</v>
      </c>
      <c r="E568" s="17">
        <f>IFERROR(__xludf.DUMMYFUNCTION("""COMPUTED_VALUE"""),44725.0)</f>
        <v>44725</v>
      </c>
      <c r="F568" s="54">
        <f>IFERROR(__xludf.DUMMYFUNCTION("""COMPUTED_VALUE"""),45061.0)</f>
        <v>45061</v>
      </c>
      <c r="G568" s="19">
        <f>IFERROR(__xludf.DUMMYFUNCTION("""COMPUTED_VALUE"""),11.066666666666666)</f>
        <v>11.06666667</v>
      </c>
      <c r="H568" s="17">
        <f>IFERROR(__xludf.DUMMYFUNCTION("""COMPUTED_VALUE"""),43374.0)</f>
        <v>43374</v>
      </c>
      <c r="I568" s="19">
        <f>IFERROR(__xludf.DUMMYFUNCTION("""COMPUTED_VALUE"""),3.7)</f>
        <v>3.7</v>
      </c>
      <c r="J568" s="21">
        <f>IFERROR(__xludf.DUMMYFUNCTION("""COMPUTED_VALUE"""),70.0)</f>
        <v>70</v>
      </c>
      <c r="K568" s="23">
        <f>IFERROR(__xludf.DUMMYFUNCTION("""COMPUTED_VALUE"""),6.3)</f>
        <v>6.3</v>
      </c>
      <c r="L568" s="24"/>
      <c r="M568" s="25" t="str">
        <f>IFERROR(__xludf.DUMMYFUNCTION("""COMPUTED_VALUE"""),"Sports")</f>
        <v>Sports</v>
      </c>
      <c r="N568" s="25"/>
      <c r="O568" s="26" t="str">
        <f>IFERROR(__xludf.DUMMYFUNCTION("""COMPUTED_VALUE"""),"Yes")</f>
        <v>Yes</v>
      </c>
      <c r="P568" s="26" t="str">
        <f>IFERROR(__xludf.DUMMYFUNCTION("""COMPUTED_VALUE"""),"Yes")</f>
        <v>Yes</v>
      </c>
    </row>
    <row r="569">
      <c r="A569" s="13" t="str">
        <f>IFERROR(__xludf.DUMMYFUNCTION("""COMPUTED_VALUE"""),"Pathfinder: Kingmaker - Definitive Edition")</f>
        <v>Pathfinder: Kingmaker - Definitive Edition</v>
      </c>
      <c r="B569" s="15" t="str">
        <f>IFERROR(__xludf.DUMMYFUNCTION("""COMPUTED_VALUE"""),"PS4")</f>
        <v>PS4</v>
      </c>
      <c r="C569" s="16" t="str">
        <f>IFERROR(__xludf.DUMMYFUNCTION("""COMPUTED_VALUE"""),"Extra")</f>
        <v>Extra</v>
      </c>
      <c r="D569" s="15" t="str">
        <f>IFERROR(__xludf.DUMMYFUNCTION("""COMPUTED_VALUE"""),"Removed")</f>
        <v>Removed</v>
      </c>
      <c r="E569" s="17">
        <f>IFERROR(__xludf.DUMMYFUNCTION("""COMPUTED_VALUE"""),44725.0)</f>
        <v>44725</v>
      </c>
      <c r="F569" s="54">
        <f>IFERROR(__xludf.DUMMYFUNCTION("""COMPUTED_VALUE"""),45061.0)</f>
        <v>45061</v>
      </c>
      <c r="G569" s="19">
        <f>IFERROR(__xludf.DUMMYFUNCTION("""COMPUTED_VALUE"""),11.066666666666666)</f>
        <v>11.06666667</v>
      </c>
      <c r="H569" s="17">
        <f>IFERROR(__xludf.DUMMYFUNCTION("""COMPUTED_VALUE"""),44061.0)</f>
        <v>44061</v>
      </c>
      <c r="I569" s="19">
        <f>IFERROR(__xludf.DUMMYFUNCTION("""COMPUTED_VALUE"""),1.8194444444444444)</f>
        <v>1.819444444</v>
      </c>
      <c r="J569" s="21">
        <f>IFERROR(__xludf.DUMMYFUNCTION("""COMPUTED_VALUE"""),73.0)</f>
        <v>73</v>
      </c>
      <c r="K569" s="23">
        <f>IFERROR(__xludf.DUMMYFUNCTION("""COMPUTED_VALUE"""),7.7)</f>
        <v>7.7</v>
      </c>
      <c r="L569" s="24">
        <f>IFERROR(__xludf.DUMMYFUNCTION("""COMPUTED_VALUE"""),58.0)</f>
        <v>58</v>
      </c>
      <c r="M569" s="25" t="str">
        <f>IFERROR(__xludf.DUMMYFUNCTION("""COMPUTED_VALUE"""),"RPG")</f>
        <v>RPG</v>
      </c>
      <c r="N569" s="25"/>
      <c r="O569" s="26" t="str">
        <f>IFERROR(__xludf.DUMMYFUNCTION("""COMPUTED_VALUE"""),"Yes")</f>
        <v>Yes</v>
      </c>
      <c r="P569" s="26"/>
    </row>
    <row r="570">
      <c r="A570" s="13" t="str">
        <f>IFERROR(__xludf.DUMMYFUNCTION("""COMPUTED_VALUE"""),"Shenmue III")</f>
        <v>Shenmue III</v>
      </c>
      <c r="B570" s="15" t="str">
        <f>IFERROR(__xludf.DUMMYFUNCTION("""COMPUTED_VALUE"""),"PS4")</f>
        <v>PS4</v>
      </c>
      <c r="C570" s="16" t="str">
        <f>IFERROR(__xludf.DUMMYFUNCTION("""COMPUTED_VALUE"""),"Extra")</f>
        <v>Extra</v>
      </c>
      <c r="D570" s="15" t="str">
        <f>IFERROR(__xludf.DUMMYFUNCTION("""COMPUTED_VALUE"""),"Removed")</f>
        <v>Removed</v>
      </c>
      <c r="E570" s="17">
        <f>IFERROR(__xludf.DUMMYFUNCTION("""COMPUTED_VALUE"""),44725.0)</f>
        <v>44725</v>
      </c>
      <c r="F570" s="54">
        <f>IFERROR(__xludf.DUMMYFUNCTION("""COMPUTED_VALUE"""),45061.0)</f>
        <v>45061</v>
      </c>
      <c r="G570" s="19">
        <f>IFERROR(__xludf.DUMMYFUNCTION("""COMPUTED_VALUE"""),11.066666666666666)</f>
        <v>11.06666667</v>
      </c>
      <c r="H570" s="17">
        <f>IFERROR(__xludf.DUMMYFUNCTION("""COMPUTED_VALUE"""),43770.0)</f>
        <v>43770</v>
      </c>
      <c r="I570" s="19">
        <f>IFERROR(__xludf.DUMMYFUNCTION("""COMPUTED_VALUE"""),2.6166666666666667)</f>
        <v>2.616666667</v>
      </c>
      <c r="J570" s="21">
        <f>IFERROR(__xludf.DUMMYFUNCTION("""COMPUTED_VALUE"""),68.0)</f>
        <v>68</v>
      </c>
      <c r="K570" s="23">
        <f>IFERROR(__xludf.DUMMYFUNCTION("""COMPUTED_VALUE"""),7.1)</f>
        <v>7.1</v>
      </c>
      <c r="L570" s="24">
        <f>IFERROR(__xludf.DUMMYFUNCTION("""COMPUTED_VALUE"""),20.0)</f>
        <v>20</v>
      </c>
      <c r="M570" s="25" t="str">
        <f>IFERROR(__xludf.DUMMYFUNCTION("""COMPUTED_VALUE"""),"Action-Adventure")</f>
        <v>Action-Adventure</v>
      </c>
      <c r="N570" s="25"/>
      <c r="O570" s="26" t="str">
        <f>IFERROR(__xludf.DUMMYFUNCTION("""COMPUTED_VALUE"""),"Yes")</f>
        <v>Yes</v>
      </c>
      <c r="P570" s="26"/>
    </row>
    <row r="571">
      <c r="A571" s="13" t="str">
        <f>IFERROR(__xludf.DUMMYFUNCTION("""COMPUTED_VALUE"""),"Star Ocean First Departure R")</f>
        <v>Star Ocean First Departure R</v>
      </c>
      <c r="B571" s="15" t="str">
        <f>IFERROR(__xludf.DUMMYFUNCTION("""COMPUTED_VALUE"""),"PS4")</f>
        <v>PS4</v>
      </c>
      <c r="C571" s="16" t="str">
        <f>IFERROR(__xludf.DUMMYFUNCTION("""COMPUTED_VALUE"""),"Extra")</f>
        <v>Extra</v>
      </c>
      <c r="D571" s="15" t="str">
        <f>IFERROR(__xludf.DUMMYFUNCTION("""COMPUTED_VALUE"""),"Removed")</f>
        <v>Removed</v>
      </c>
      <c r="E571" s="17">
        <f>IFERROR(__xludf.DUMMYFUNCTION("""COMPUTED_VALUE"""),44725.0)</f>
        <v>44725</v>
      </c>
      <c r="F571" s="54">
        <f>IFERROR(__xludf.DUMMYFUNCTION("""COMPUTED_VALUE"""),45061.0)</f>
        <v>45061</v>
      </c>
      <c r="G571" s="19">
        <f>IFERROR(__xludf.DUMMYFUNCTION("""COMPUTED_VALUE"""),11.066666666666666)</f>
        <v>11.06666667</v>
      </c>
      <c r="H571" s="17">
        <f>IFERROR(__xludf.DUMMYFUNCTION("""COMPUTED_VALUE"""),43804.0)</f>
        <v>43804</v>
      </c>
      <c r="I571" s="19">
        <f>IFERROR(__xludf.DUMMYFUNCTION("""COMPUTED_VALUE"""),2.522222222222222)</f>
        <v>2.522222222</v>
      </c>
      <c r="J571" s="21">
        <f>IFERROR(__xludf.DUMMYFUNCTION("""COMPUTED_VALUE"""),72.0)</f>
        <v>72</v>
      </c>
      <c r="K571" s="23">
        <f>IFERROR(__xludf.DUMMYFUNCTION("""COMPUTED_VALUE"""),7.5)</f>
        <v>7.5</v>
      </c>
      <c r="L571" s="24">
        <f>IFERROR(__xludf.DUMMYFUNCTION("""COMPUTED_VALUE"""),23.0)</f>
        <v>23</v>
      </c>
      <c r="M571" s="25" t="str">
        <f>IFERROR(__xludf.DUMMYFUNCTION("""COMPUTED_VALUE"""),"RPG")</f>
        <v>RPG</v>
      </c>
      <c r="N571" s="25"/>
      <c r="O571" s="26" t="str">
        <f>IFERROR(__xludf.DUMMYFUNCTION("""COMPUTED_VALUE"""),"Yes")</f>
        <v>Yes</v>
      </c>
      <c r="P571" s="26"/>
    </row>
    <row r="572">
      <c r="A572" s="13" t="str">
        <f>IFERROR(__xludf.DUMMYFUNCTION("""COMPUTED_VALUE"""),"TT Isle of Man: Ride of the Edge 2")</f>
        <v>TT Isle of Man: Ride of the Edge 2</v>
      </c>
      <c r="B572" s="15" t="str">
        <f>IFERROR(__xludf.DUMMYFUNCTION("""COMPUTED_VALUE"""),"PS4")</f>
        <v>PS4</v>
      </c>
      <c r="C572" s="16" t="str">
        <f>IFERROR(__xludf.DUMMYFUNCTION("""COMPUTED_VALUE"""),"Extra")</f>
        <v>Extra</v>
      </c>
      <c r="D572" s="15" t="str">
        <f>IFERROR(__xludf.DUMMYFUNCTION("""COMPUTED_VALUE"""),"Removed")</f>
        <v>Removed</v>
      </c>
      <c r="E572" s="17">
        <f>IFERROR(__xludf.DUMMYFUNCTION("""COMPUTED_VALUE"""),44725.0)</f>
        <v>44725</v>
      </c>
      <c r="F572" s="54">
        <f>IFERROR(__xludf.DUMMYFUNCTION("""COMPUTED_VALUE"""),45061.0)</f>
        <v>45061</v>
      </c>
      <c r="G572" s="19">
        <f>IFERROR(__xludf.DUMMYFUNCTION("""COMPUTED_VALUE"""),11.066666666666666)</f>
        <v>11.06666667</v>
      </c>
      <c r="H572" s="17">
        <f>IFERROR(__xludf.DUMMYFUNCTION("""COMPUTED_VALUE"""),43909.0)</f>
        <v>43909</v>
      </c>
      <c r="I572" s="19">
        <f>IFERROR(__xludf.DUMMYFUNCTION("""COMPUTED_VALUE"""),2.2333333333333334)</f>
        <v>2.233333333</v>
      </c>
      <c r="J572" s="21">
        <f>IFERROR(__xludf.DUMMYFUNCTION("""COMPUTED_VALUE"""),60.0)</f>
        <v>60</v>
      </c>
      <c r="K572" s="23">
        <f>IFERROR(__xludf.DUMMYFUNCTION("""COMPUTED_VALUE"""),6.2)</f>
        <v>6.2</v>
      </c>
      <c r="L572" s="24"/>
      <c r="M572" s="25" t="str">
        <f>IFERROR(__xludf.DUMMYFUNCTION("""COMPUTED_VALUE"""),"Racing")</f>
        <v>Racing</v>
      </c>
      <c r="N572" s="25"/>
      <c r="O572" s="26" t="str">
        <f>IFERROR(__xludf.DUMMYFUNCTION("""COMPUTED_VALUE"""),"Yes")</f>
        <v>Yes</v>
      </c>
      <c r="P572" s="26" t="str">
        <f>IFERROR(__xludf.DUMMYFUNCTION("""COMPUTED_VALUE"""),"Yes")</f>
        <v>Yes</v>
      </c>
    </row>
    <row r="573">
      <c r="A573" s="13" t="str">
        <f>IFERROR(__xludf.DUMMYFUNCTION("""COMPUTED_VALUE"""),"Virginia")</f>
        <v>Virginia</v>
      </c>
      <c r="B573" s="15" t="str">
        <f>IFERROR(__xludf.DUMMYFUNCTION("""COMPUTED_VALUE"""),"PS4")</f>
        <v>PS4</v>
      </c>
      <c r="C573" s="16" t="str">
        <f>IFERROR(__xludf.DUMMYFUNCTION("""COMPUTED_VALUE"""),"Extra")</f>
        <v>Extra</v>
      </c>
      <c r="D573" s="15" t="str">
        <f>IFERROR(__xludf.DUMMYFUNCTION("""COMPUTED_VALUE"""),"Removed")</f>
        <v>Removed</v>
      </c>
      <c r="E573" s="17">
        <f>IFERROR(__xludf.DUMMYFUNCTION("""COMPUTED_VALUE"""),44725.0)</f>
        <v>44725</v>
      </c>
      <c r="F573" s="54">
        <f>IFERROR(__xludf.DUMMYFUNCTION("""COMPUTED_VALUE"""),45061.0)</f>
        <v>45061</v>
      </c>
      <c r="G573" s="19">
        <f>IFERROR(__xludf.DUMMYFUNCTION("""COMPUTED_VALUE"""),11.066666666666666)</f>
        <v>11.06666667</v>
      </c>
      <c r="H573" s="17">
        <f>IFERROR(__xludf.DUMMYFUNCTION("""COMPUTED_VALUE"""),42635.0)</f>
        <v>42635</v>
      </c>
      <c r="I573" s="19">
        <f>IFERROR(__xludf.DUMMYFUNCTION("""COMPUTED_VALUE"""),5.725)</f>
        <v>5.725</v>
      </c>
      <c r="J573" s="21">
        <f>IFERROR(__xludf.DUMMYFUNCTION("""COMPUTED_VALUE"""),74.0)</f>
        <v>74</v>
      </c>
      <c r="K573" s="23">
        <f>IFERROR(__xludf.DUMMYFUNCTION("""COMPUTED_VALUE"""),6.6)</f>
        <v>6.6</v>
      </c>
      <c r="L573" s="24">
        <f>IFERROR(__xludf.DUMMYFUNCTION("""COMPUTED_VALUE"""),2.0)</f>
        <v>2</v>
      </c>
      <c r="M573" s="25" t="str">
        <f>IFERROR(__xludf.DUMMYFUNCTION("""COMPUTED_VALUE"""),"Adventure")</f>
        <v>Adventure</v>
      </c>
      <c r="N573" s="25"/>
      <c r="O573" s="26" t="str">
        <f>IFERROR(__xludf.DUMMYFUNCTION("""COMPUTED_VALUE"""),"Yes")</f>
        <v>Yes</v>
      </c>
      <c r="P573" s="26"/>
    </row>
    <row r="574">
      <c r="A574" s="13" t="str">
        <f>IFERROR(__xludf.DUMMYFUNCTION("""COMPUTED_VALUE"""),"Windbound")</f>
        <v>Windbound</v>
      </c>
      <c r="B574" s="15" t="str">
        <f>IFERROR(__xludf.DUMMYFUNCTION("""COMPUTED_VALUE"""),"PS4")</f>
        <v>PS4</v>
      </c>
      <c r="C574" s="16" t="str">
        <f>IFERROR(__xludf.DUMMYFUNCTION("""COMPUTED_VALUE"""),"Extra")</f>
        <v>Extra</v>
      </c>
      <c r="D574" s="15" t="str">
        <f>IFERROR(__xludf.DUMMYFUNCTION("""COMPUTED_VALUE"""),"Removed")</f>
        <v>Removed</v>
      </c>
      <c r="E574" s="17">
        <f>IFERROR(__xludf.DUMMYFUNCTION("""COMPUTED_VALUE"""),44725.0)</f>
        <v>44725</v>
      </c>
      <c r="F574" s="54">
        <f>IFERROR(__xludf.DUMMYFUNCTION("""COMPUTED_VALUE"""),45061.0)</f>
        <v>45061</v>
      </c>
      <c r="G574" s="19">
        <f>IFERROR(__xludf.DUMMYFUNCTION("""COMPUTED_VALUE"""),11.066666666666666)</f>
        <v>11.06666667</v>
      </c>
      <c r="H574" s="17">
        <f>IFERROR(__xludf.DUMMYFUNCTION("""COMPUTED_VALUE"""),44071.0)</f>
        <v>44071</v>
      </c>
      <c r="I574" s="19">
        <f>IFERROR(__xludf.DUMMYFUNCTION("""COMPUTED_VALUE"""),1.7916666666666667)</f>
        <v>1.791666667</v>
      </c>
      <c r="J574" s="21">
        <f>IFERROR(__xludf.DUMMYFUNCTION("""COMPUTED_VALUE"""),62.0)</f>
        <v>62</v>
      </c>
      <c r="K574" s="23">
        <f>IFERROR(__xludf.DUMMYFUNCTION("""COMPUTED_VALUE"""),6.4)</f>
        <v>6.4</v>
      </c>
      <c r="L574" s="24">
        <f>IFERROR(__xludf.DUMMYFUNCTION("""COMPUTED_VALUE"""),11.0)</f>
        <v>11</v>
      </c>
      <c r="M574" s="25" t="str">
        <f>IFERROR(__xludf.DUMMYFUNCTION("""COMPUTED_VALUE"""),"Action-Adventure")</f>
        <v>Action-Adventure</v>
      </c>
      <c r="N574" s="25"/>
      <c r="O574" s="26" t="str">
        <f>IFERROR(__xludf.DUMMYFUNCTION("""COMPUTED_VALUE"""),"Yes")</f>
        <v>Yes</v>
      </c>
      <c r="P574" s="26"/>
    </row>
    <row r="575">
      <c r="A575" s="13" t="str">
        <f>IFERROR(__xludf.DUMMYFUNCTION("""COMPUTED_VALUE"""),"Batman: Return to Arkham - Arkham Asylum")</f>
        <v>Batman: Return to Arkham - Arkham Asylum</v>
      </c>
      <c r="B575" s="15" t="str">
        <f>IFERROR(__xludf.DUMMYFUNCTION("""COMPUTED_VALUE"""),"PS4")</f>
        <v>PS4</v>
      </c>
      <c r="C575" s="16" t="str">
        <f>IFERROR(__xludf.DUMMYFUNCTION("""COMPUTED_VALUE"""),"Premium (Remasters)")</f>
        <v>Premium (Remasters)</v>
      </c>
      <c r="D575" s="15" t="str">
        <f>IFERROR(__xludf.DUMMYFUNCTION("""COMPUTED_VALUE"""),"Removed")</f>
        <v>Removed</v>
      </c>
      <c r="E575" s="17">
        <f>IFERROR(__xludf.DUMMYFUNCTION("""COMPUTED_VALUE"""),44725.0)</f>
        <v>44725</v>
      </c>
      <c r="F575" s="54">
        <f>IFERROR(__xludf.DUMMYFUNCTION("""COMPUTED_VALUE"""),45061.0)</f>
        <v>45061</v>
      </c>
      <c r="G575" s="19">
        <f>IFERROR(__xludf.DUMMYFUNCTION("""COMPUTED_VALUE"""),11.066666666666666)</f>
        <v>11.06666667</v>
      </c>
      <c r="H575" s="17">
        <f>IFERROR(__xludf.DUMMYFUNCTION("""COMPUTED_VALUE"""),42661.0)</f>
        <v>42661</v>
      </c>
      <c r="I575" s="19">
        <f>IFERROR(__xludf.DUMMYFUNCTION("""COMPUTED_VALUE"""),5.652777777777778)</f>
        <v>5.652777778</v>
      </c>
      <c r="J575" s="21">
        <f>IFERROR(__xludf.DUMMYFUNCTION("""COMPUTED_VALUE"""),76.0)</f>
        <v>76</v>
      </c>
      <c r="K575" s="23">
        <f>IFERROR(__xludf.DUMMYFUNCTION("""COMPUTED_VALUE"""),7.8)</f>
        <v>7.8</v>
      </c>
      <c r="L575" s="24">
        <f>IFERROR(__xludf.DUMMYFUNCTION("""COMPUTED_VALUE"""),12.0)</f>
        <v>12</v>
      </c>
      <c r="M575" s="25" t="str">
        <f>IFERROR(__xludf.DUMMYFUNCTION("""COMPUTED_VALUE"""),"Action-Adventure")</f>
        <v>Action-Adventure</v>
      </c>
      <c r="N575" s="25" t="str">
        <f>IFERROR(__xludf.DUMMYFUNCTION("""COMPUTED_VALUE"""),"PS3")</f>
        <v>PS3</v>
      </c>
      <c r="O575" s="26" t="str">
        <f>IFERROR(__xludf.DUMMYFUNCTION("""COMPUTED_VALUE"""),"No")</f>
        <v>No</v>
      </c>
      <c r="P575" s="26"/>
    </row>
    <row r="576">
      <c r="A576" s="13" t="str">
        <f>IFERROR(__xludf.DUMMYFUNCTION("""COMPUTED_VALUE"""),"Batman: Return to Arkham - Arkham City")</f>
        <v>Batman: Return to Arkham - Arkham City</v>
      </c>
      <c r="B576" s="15" t="str">
        <f>IFERROR(__xludf.DUMMYFUNCTION("""COMPUTED_VALUE"""),"PS4")</f>
        <v>PS4</v>
      </c>
      <c r="C576" s="16" t="str">
        <f>IFERROR(__xludf.DUMMYFUNCTION("""COMPUTED_VALUE"""),"Premium (Remasters)")</f>
        <v>Premium (Remasters)</v>
      </c>
      <c r="D576" s="15" t="str">
        <f>IFERROR(__xludf.DUMMYFUNCTION("""COMPUTED_VALUE"""),"Removed")</f>
        <v>Removed</v>
      </c>
      <c r="E576" s="17">
        <f>IFERROR(__xludf.DUMMYFUNCTION("""COMPUTED_VALUE"""),44725.0)</f>
        <v>44725</v>
      </c>
      <c r="F576" s="54">
        <f>IFERROR(__xludf.DUMMYFUNCTION("""COMPUTED_VALUE"""),45061.0)</f>
        <v>45061</v>
      </c>
      <c r="G576" s="19">
        <f>IFERROR(__xludf.DUMMYFUNCTION("""COMPUTED_VALUE"""),11.066666666666666)</f>
        <v>11.06666667</v>
      </c>
      <c r="H576" s="17">
        <f>IFERROR(__xludf.DUMMYFUNCTION("""COMPUTED_VALUE"""),42661.0)</f>
        <v>42661</v>
      </c>
      <c r="I576" s="19">
        <f>IFERROR(__xludf.DUMMYFUNCTION("""COMPUTED_VALUE"""),5.652777777777778)</f>
        <v>5.652777778</v>
      </c>
      <c r="J576" s="21">
        <f>IFERROR(__xludf.DUMMYFUNCTION("""COMPUTED_VALUE"""),85.0)</f>
        <v>85</v>
      </c>
      <c r="K576" s="23">
        <f>IFERROR(__xludf.DUMMYFUNCTION("""COMPUTED_VALUE"""),7.8)</f>
        <v>7.8</v>
      </c>
      <c r="L576" s="24">
        <f>IFERROR(__xludf.DUMMYFUNCTION("""COMPUTED_VALUE"""),12.0)</f>
        <v>12</v>
      </c>
      <c r="M576" s="25" t="str">
        <f>IFERROR(__xludf.DUMMYFUNCTION("""COMPUTED_VALUE"""),"Action-Adventure")</f>
        <v>Action-Adventure</v>
      </c>
      <c r="N576" s="25" t="str">
        <f>IFERROR(__xludf.DUMMYFUNCTION("""COMPUTED_VALUE"""),"PS3")</f>
        <v>PS3</v>
      </c>
      <c r="O576" s="26" t="str">
        <f>IFERROR(__xludf.DUMMYFUNCTION("""COMPUTED_VALUE"""),"No")</f>
        <v>No</v>
      </c>
      <c r="P576" s="26"/>
    </row>
    <row r="577">
      <c r="A577" s="13" t="str">
        <f>IFERROR(__xludf.DUMMYFUNCTION("""COMPUTED_VALUE"""),"Deadlight: Director's Cut")</f>
        <v>Deadlight: Director's Cut</v>
      </c>
      <c r="B577" s="15" t="str">
        <f>IFERROR(__xludf.DUMMYFUNCTION("""COMPUTED_VALUE"""),"PS4")</f>
        <v>PS4</v>
      </c>
      <c r="C577" s="16" t="str">
        <f>IFERROR(__xludf.DUMMYFUNCTION("""COMPUTED_VALUE"""),"Premium (Remasters)")</f>
        <v>Premium (Remasters)</v>
      </c>
      <c r="D577" s="15" t="str">
        <f>IFERROR(__xludf.DUMMYFUNCTION("""COMPUTED_VALUE"""),"Removed")</f>
        <v>Removed</v>
      </c>
      <c r="E577" s="17">
        <f>IFERROR(__xludf.DUMMYFUNCTION("""COMPUTED_VALUE"""),44725.0)</f>
        <v>44725</v>
      </c>
      <c r="F577" s="54">
        <f>IFERROR(__xludf.DUMMYFUNCTION("""COMPUTED_VALUE"""),45061.0)</f>
        <v>45061</v>
      </c>
      <c r="G577" s="19">
        <f>IFERROR(__xludf.DUMMYFUNCTION("""COMPUTED_VALUE"""),11.066666666666666)</f>
        <v>11.06666667</v>
      </c>
      <c r="H577" s="17">
        <f>IFERROR(__xludf.DUMMYFUNCTION("""COMPUTED_VALUE"""),42542.0)</f>
        <v>42542</v>
      </c>
      <c r="I577" s="19">
        <f>IFERROR(__xludf.DUMMYFUNCTION("""COMPUTED_VALUE"""),5.977777777777778)</f>
        <v>5.977777778</v>
      </c>
      <c r="J577" s="21">
        <f>IFERROR(__xludf.DUMMYFUNCTION("""COMPUTED_VALUE"""),68.0)</f>
        <v>68</v>
      </c>
      <c r="K577" s="23">
        <f>IFERROR(__xludf.DUMMYFUNCTION("""COMPUTED_VALUE"""),6.6)</f>
        <v>6.6</v>
      </c>
      <c r="L577" s="24">
        <f>IFERROR(__xludf.DUMMYFUNCTION("""COMPUTED_VALUE"""),4.0)</f>
        <v>4</v>
      </c>
      <c r="M577" s="25" t="str">
        <f>IFERROR(__xludf.DUMMYFUNCTION("""COMPUTED_VALUE"""),"Platformer")</f>
        <v>Platformer</v>
      </c>
      <c r="N577" s="25" t="str">
        <f>IFERROR(__xludf.DUMMYFUNCTION("""COMPUTED_VALUE"""),"Xbox 360")</f>
        <v>Xbox 360</v>
      </c>
      <c r="O577" s="26" t="str">
        <f>IFERROR(__xludf.DUMMYFUNCTION("""COMPUTED_VALUE"""),"Yes")</f>
        <v>Yes</v>
      </c>
      <c r="P577" s="26" t="str">
        <f>IFERROR(__xludf.DUMMYFUNCTION("""COMPUTED_VALUE"""),"Yes")</f>
        <v>Yes</v>
      </c>
    </row>
    <row r="578">
      <c r="A578" s="13" t="str">
        <f>IFERROR(__xludf.DUMMYFUNCTION("""COMPUTED_VALUE"""),"LEGO Harry Potter Collection")</f>
        <v>LEGO Harry Potter Collection</v>
      </c>
      <c r="B578" s="15" t="str">
        <f>IFERROR(__xludf.DUMMYFUNCTION("""COMPUTED_VALUE"""),"PS4")</f>
        <v>PS4</v>
      </c>
      <c r="C578" s="16" t="str">
        <f>IFERROR(__xludf.DUMMYFUNCTION("""COMPUTED_VALUE"""),"Premium (Remasters)")</f>
        <v>Premium (Remasters)</v>
      </c>
      <c r="D578" s="15" t="str">
        <f>IFERROR(__xludf.DUMMYFUNCTION("""COMPUTED_VALUE"""),"Removed")</f>
        <v>Removed</v>
      </c>
      <c r="E578" s="17">
        <f>IFERROR(__xludf.DUMMYFUNCTION("""COMPUTED_VALUE"""),44725.0)</f>
        <v>44725</v>
      </c>
      <c r="F578" s="54">
        <f>IFERROR(__xludf.DUMMYFUNCTION("""COMPUTED_VALUE"""),45061.0)</f>
        <v>45061</v>
      </c>
      <c r="G578" s="19">
        <f>IFERROR(__xludf.DUMMYFUNCTION("""COMPUTED_VALUE"""),11.066666666666666)</f>
        <v>11.06666667</v>
      </c>
      <c r="H578" s="17">
        <f>IFERROR(__xludf.DUMMYFUNCTION("""COMPUTED_VALUE"""),42661.0)</f>
        <v>42661</v>
      </c>
      <c r="I578" s="19">
        <f>IFERROR(__xludf.DUMMYFUNCTION("""COMPUTED_VALUE"""),5.652777777777778)</f>
        <v>5.652777778</v>
      </c>
      <c r="J578" s="21">
        <f>IFERROR(__xludf.DUMMYFUNCTION("""COMPUTED_VALUE"""),73.0)</f>
        <v>73</v>
      </c>
      <c r="K578" s="23">
        <f>IFERROR(__xludf.DUMMYFUNCTION("""COMPUTED_VALUE"""),7.7)</f>
        <v>7.7</v>
      </c>
      <c r="L578" s="24">
        <f>IFERROR(__xludf.DUMMYFUNCTION("""COMPUTED_VALUE"""),24.0)</f>
        <v>24</v>
      </c>
      <c r="M578" s="25" t="str">
        <f>IFERROR(__xludf.DUMMYFUNCTION("""COMPUTED_VALUE"""),"Action-Adventure")</f>
        <v>Action-Adventure</v>
      </c>
      <c r="N578" s="25" t="str">
        <f>IFERROR(__xludf.DUMMYFUNCTION("""COMPUTED_VALUE"""),"PS3")</f>
        <v>PS3</v>
      </c>
      <c r="O578" s="26" t="str">
        <f>IFERROR(__xludf.DUMMYFUNCTION("""COMPUTED_VALUE"""),"Yes")</f>
        <v>Yes</v>
      </c>
      <c r="P578" s="26" t="str">
        <f>IFERROR(__xludf.DUMMYFUNCTION("""COMPUTED_VALUE"""),"Yes")</f>
        <v>Yes</v>
      </c>
    </row>
    <row r="579">
      <c r="A579" s="13" t="str">
        <f>IFERROR(__xludf.DUMMYFUNCTION("""COMPUTED_VALUE"""),"Metro 2033: Redux")</f>
        <v>Metro 2033: Redux</v>
      </c>
      <c r="B579" s="15" t="str">
        <f>IFERROR(__xludf.DUMMYFUNCTION("""COMPUTED_VALUE"""),"PS4")</f>
        <v>PS4</v>
      </c>
      <c r="C579" s="16" t="str">
        <f>IFERROR(__xludf.DUMMYFUNCTION("""COMPUTED_VALUE"""),"Premium (Remasters)")</f>
        <v>Premium (Remasters)</v>
      </c>
      <c r="D579" s="15" t="str">
        <f>IFERROR(__xludf.DUMMYFUNCTION("""COMPUTED_VALUE"""),"Removed")</f>
        <v>Removed</v>
      </c>
      <c r="E579" s="17">
        <f>IFERROR(__xludf.DUMMYFUNCTION("""COMPUTED_VALUE"""),44725.0)</f>
        <v>44725</v>
      </c>
      <c r="F579" s="54">
        <f>IFERROR(__xludf.DUMMYFUNCTION("""COMPUTED_VALUE"""),45061.0)</f>
        <v>45061</v>
      </c>
      <c r="G579" s="19">
        <f>IFERROR(__xludf.DUMMYFUNCTION("""COMPUTED_VALUE"""),11.066666666666666)</f>
        <v>11.06666667</v>
      </c>
      <c r="H579" s="17">
        <f>IFERROR(__xludf.DUMMYFUNCTION("""COMPUTED_VALUE"""),41852.0)</f>
        <v>41852</v>
      </c>
      <c r="I579" s="19">
        <f>IFERROR(__xludf.DUMMYFUNCTION("""COMPUTED_VALUE"""),7.866666666666666)</f>
        <v>7.866666667</v>
      </c>
      <c r="J579" s="21">
        <f>IFERROR(__xludf.DUMMYFUNCTION("""COMPUTED_VALUE"""),90.0)</f>
        <v>90</v>
      </c>
      <c r="K579" s="23">
        <f>IFERROR(__xludf.DUMMYFUNCTION("""COMPUTED_VALUE"""),8.4)</f>
        <v>8.4</v>
      </c>
      <c r="L579" s="24">
        <f>IFERROR(__xludf.DUMMYFUNCTION("""COMPUTED_VALUE"""),10.0)</f>
        <v>10</v>
      </c>
      <c r="M579" s="25" t="str">
        <f>IFERROR(__xludf.DUMMYFUNCTION("""COMPUTED_VALUE"""),"Shooter")</f>
        <v>Shooter</v>
      </c>
      <c r="N579" s="25" t="str">
        <f>IFERROR(__xludf.DUMMYFUNCTION("""COMPUTED_VALUE"""),"Xbox 360")</f>
        <v>Xbox 360</v>
      </c>
      <c r="O579" s="26" t="str">
        <f>IFERROR(__xludf.DUMMYFUNCTION("""COMPUTED_VALUE"""),"Yes")</f>
        <v>Yes</v>
      </c>
      <c r="P579" s="26"/>
    </row>
    <row r="580">
      <c r="A580" s="13" t="str">
        <f>IFERROR(__xludf.DUMMYFUNCTION("""COMPUTED_VALUE"""),"Metro: Last Light - Redux")</f>
        <v>Metro: Last Light - Redux</v>
      </c>
      <c r="B580" s="15" t="str">
        <f>IFERROR(__xludf.DUMMYFUNCTION("""COMPUTED_VALUE"""),"PS4")</f>
        <v>PS4</v>
      </c>
      <c r="C580" s="16" t="str">
        <f>IFERROR(__xludf.DUMMYFUNCTION("""COMPUTED_VALUE"""),"Premium (Remasters)")</f>
        <v>Premium (Remasters)</v>
      </c>
      <c r="D580" s="15" t="str">
        <f>IFERROR(__xludf.DUMMYFUNCTION("""COMPUTED_VALUE"""),"Removed")</f>
        <v>Removed</v>
      </c>
      <c r="E580" s="17">
        <f>IFERROR(__xludf.DUMMYFUNCTION("""COMPUTED_VALUE"""),44725.0)</f>
        <v>44725</v>
      </c>
      <c r="F580" s="54">
        <f>IFERROR(__xludf.DUMMYFUNCTION("""COMPUTED_VALUE"""),45061.0)</f>
        <v>45061</v>
      </c>
      <c r="G580" s="19">
        <f>IFERROR(__xludf.DUMMYFUNCTION("""COMPUTED_VALUE"""),11.066666666666666)</f>
        <v>11.06666667</v>
      </c>
      <c r="H580" s="17">
        <f>IFERROR(__xludf.DUMMYFUNCTION("""COMPUTED_VALUE"""),41852.0)</f>
        <v>41852</v>
      </c>
      <c r="I580" s="19">
        <f>IFERROR(__xludf.DUMMYFUNCTION("""COMPUTED_VALUE"""),7.866666666666666)</f>
        <v>7.866666667</v>
      </c>
      <c r="J580" s="21">
        <f>IFERROR(__xludf.DUMMYFUNCTION("""COMPUTED_VALUE"""),76.0)</f>
        <v>76</v>
      </c>
      <c r="K580" s="23">
        <f>IFERROR(__xludf.DUMMYFUNCTION("""COMPUTED_VALUE"""),8.0)</f>
        <v>8</v>
      </c>
      <c r="L580" s="24">
        <f>IFERROR(__xludf.DUMMYFUNCTION("""COMPUTED_VALUE"""),10.0)</f>
        <v>10</v>
      </c>
      <c r="M580" s="25" t="str">
        <f>IFERROR(__xludf.DUMMYFUNCTION("""COMPUTED_VALUE"""),"Shooter")</f>
        <v>Shooter</v>
      </c>
      <c r="N580" s="25" t="str">
        <f>IFERROR(__xludf.DUMMYFUNCTION("""COMPUTED_VALUE"""),"PS3")</f>
        <v>PS3</v>
      </c>
      <c r="O580" s="26" t="str">
        <f>IFERROR(__xludf.DUMMYFUNCTION("""COMPUTED_VALUE"""),"Yes")</f>
        <v>Yes</v>
      </c>
      <c r="P580" s="26"/>
    </row>
    <row r="581">
      <c r="A581" s="13" t="str">
        <f>IFERROR(__xludf.DUMMYFUNCTION("""COMPUTED_VALUE"""),"Red Faction: Guerrilla Re-Mars-tered")</f>
        <v>Red Faction: Guerrilla Re-Mars-tered</v>
      </c>
      <c r="B581" s="15" t="str">
        <f>IFERROR(__xludf.DUMMYFUNCTION("""COMPUTED_VALUE"""),"PS4")</f>
        <v>PS4</v>
      </c>
      <c r="C581" s="16" t="str">
        <f>IFERROR(__xludf.DUMMYFUNCTION("""COMPUTED_VALUE"""),"Premium (Remasters)")</f>
        <v>Premium (Remasters)</v>
      </c>
      <c r="D581" s="15" t="str">
        <f>IFERROR(__xludf.DUMMYFUNCTION("""COMPUTED_VALUE"""),"Removed")</f>
        <v>Removed</v>
      </c>
      <c r="E581" s="17">
        <f>IFERROR(__xludf.DUMMYFUNCTION("""COMPUTED_VALUE"""),44725.0)</f>
        <v>44725</v>
      </c>
      <c r="F581" s="54">
        <f>IFERROR(__xludf.DUMMYFUNCTION("""COMPUTED_VALUE"""),45061.0)</f>
        <v>45061</v>
      </c>
      <c r="G581" s="19">
        <f>IFERROR(__xludf.DUMMYFUNCTION("""COMPUTED_VALUE"""),11.066666666666666)</f>
        <v>11.06666667</v>
      </c>
      <c r="H581" s="17">
        <f>IFERROR(__xludf.DUMMYFUNCTION("""COMPUTED_VALUE"""),43282.0)</f>
        <v>43282</v>
      </c>
      <c r="I581" s="19">
        <f>IFERROR(__xludf.DUMMYFUNCTION("""COMPUTED_VALUE"""),3.95)</f>
        <v>3.95</v>
      </c>
      <c r="J581" s="21">
        <f>IFERROR(__xludf.DUMMYFUNCTION("""COMPUTED_VALUE"""),70.0)</f>
        <v>70</v>
      </c>
      <c r="K581" s="23">
        <f>IFERROR(__xludf.DUMMYFUNCTION("""COMPUTED_VALUE"""),7.0)</f>
        <v>7</v>
      </c>
      <c r="L581" s="24">
        <f>IFERROR(__xludf.DUMMYFUNCTION("""COMPUTED_VALUE"""),14.0)</f>
        <v>14</v>
      </c>
      <c r="M581" s="25" t="str">
        <f>IFERROR(__xludf.DUMMYFUNCTION("""COMPUTED_VALUE"""),"Shooter")</f>
        <v>Shooter</v>
      </c>
      <c r="N581" s="25" t="str">
        <f>IFERROR(__xludf.DUMMYFUNCTION("""COMPUTED_VALUE"""),"PS3")</f>
        <v>PS3</v>
      </c>
      <c r="O581" s="26" t="str">
        <f>IFERROR(__xludf.DUMMYFUNCTION("""COMPUTED_VALUE"""),"Yes")</f>
        <v>Yes</v>
      </c>
      <c r="P581" s="26"/>
    </row>
    <row r="582">
      <c r="A582" s="13" t="str">
        <f>IFERROR(__xludf.DUMMYFUNCTION("""COMPUTED_VALUE"""),"Resident Evil (2015)")</f>
        <v>Resident Evil (2015)</v>
      </c>
      <c r="B582" s="15" t="str">
        <f>IFERROR(__xludf.DUMMYFUNCTION("""COMPUTED_VALUE"""),"PS4")</f>
        <v>PS4</v>
      </c>
      <c r="C582" s="16" t="str">
        <f>IFERROR(__xludf.DUMMYFUNCTION("""COMPUTED_VALUE"""),"Premium (Remasters)")</f>
        <v>Premium (Remasters)</v>
      </c>
      <c r="D582" s="15" t="str">
        <f>IFERROR(__xludf.DUMMYFUNCTION("""COMPUTED_VALUE"""),"Removed")</f>
        <v>Removed</v>
      </c>
      <c r="E582" s="17">
        <f>IFERROR(__xludf.DUMMYFUNCTION("""COMPUTED_VALUE"""),44725.0)</f>
        <v>44725</v>
      </c>
      <c r="F582" s="54">
        <f>IFERROR(__xludf.DUMMYFUNCTION("""COMPUTED_VALUE"""),45061.0)</f>
        <v>45061</v>
      </c>
      <c r="G582" s="19">
        <f>IFERROR(__xludf.DUMMYFUNCTION("""COMPUTED_VALUE"""),11.066666666666666)</f>
        <v>11.06666667</v>
      </c>
      <c r="H582" s="17">
        <f>IFERROR(__xludf.DUMMYFUNCTION("""COMPUTED_VALUE"""),42024.0)</f>
        <v>42024</v>
      </c>
      <c r="I582" s="19">
        <f>IFERROR(__xludf.DUMMYFUNCTION("""COMPUTED_VALUE"""),7.397222222222222)</f>
        <v>7.397222222</v>
      </c>
      <c r="J582" s="21">
        <f>IFERROR(__xludf.DUMMYFUNCTION("""COMPUTED_VALUE"""),83.0)</f>
        <v>83</v>
      </c>
      <c r="K582" s="23">
        <f>IFERROR(__xludf.DUMMYFUNCTION("""COMPUTED_VALUE"""),8.6)</f>
        <v>8.6</v>
      </c>
      <c r="L582" s="24">
        <f>IFERROR(__xludf.DUMMYFUNCTION("""COMPUTED_VALUE"""),12.0)</f>
        <v>12</v>
      </c>
      <c r="M582" s="25" t="str">
        <f>IFERROR(__xludf.DUMMYFUNCTION("""COMPUTED_VALUE"""),"Horror")</f>
        <v>Horror</v>
      </c>
      <c r="N582" s="25" t="str">
        <f>IFERROR(__xludf.DUMMYFUNCTION("""COMPUTED_VALUE"""),"PS1")</f>
        <v>PS1</v>
      </c>
      <c r="O582" s="26" t="str">
        <f>IFERROR(__xludf.DUMMYFUNCTION("""COMPUTED_VALUE"""),"No")</f>
        <v>No</v>
      </c>
      <c r="P582" s="26"/>
    </row>
    <row r="583">
      <c r="A583" s="13" t="str">
        <f>IFERROR(__xludf.DUMMYFUNCTION("""COMPUTED_VALUE"""),"Relicta")</f>
        <v>Relicta</v>
      </c>
      <c r="B583" s="15" t="str">
        <f>IFERROR(__xludf.DUMMYFUNCTION("""COMPUTED_VALUE"""),"PS4")</f>
        <v>PS4</v>
      </c>
      <c r="C583" s="16" t="str">
        <f>IFERROR(__xludf.DUMMYFUNCTION("""COMPUTED_VALUE"""),"Extra")</f>
        <v>Extra</v>
      </c>
      <c r="D583" s="15" t="str">
        <f>IFERROR(__xludf.DUMMYFUNCTION("""COMPUTED_VALUE"""),"Removed")</f>
        <v>Removed</v>
      </c>
      <c r="E583" s="17">
        <f>IFERROR(__xludf.DUMMYFUNCTION("""COMPUTED_VALUE"""),44621.0)</f>
        <v>44621</v>
      </c>
      <c r="F583" s="54">
        <f>IFERROR(__xludf.DUMMYFUNCTION("""COMPUTED_VALUE"""),45061.0)</f>
        <v>45061</v>
      </c>
      <c r="G583" s="19">
        <f>IFERROR(__xludf.DUMMYFUNCTION("""COMPUTED_VALUE"""),14.466666666666665)</f>
        <v>14.46666667</v>
      </c>
      <c r="H583" s="17">
        <f>IFERROR(__xludf.DUMMYFUNCTION("""COMPUTED_VALUE"""),44044.0)</f>
        <v>44044</v>
      </c>
      <c r="I583" s="19">
        <f>IFERROR(__xludf.DUMMYFUNCTION("""COMPUTED_VALUE"""),1.5833333333333333)</f>
        <v>1.583333333</v>
      </c>
      <c r="J583" s="21">
        <f>IFERROR(__xludf.DUMMYFUNCTION("""COMPUTED_VALUE"""),72.0)</f>
        <v>72</v>
      </c>
      <c r="K583" s="23">
        <f>IFERROR(__xludf.DUMMYFUNCTION("""COMPUTED_VALUE"""),6.5)</f>
        <v>6.5</v>
      </c>
      <c r="L583" s="24">
        <f>IFERROR(__xludf.DUMMYFUNCTION("""COMPUTED_VALUE"""),5.0)</f>
        <v>5</v>
      </c>
      <c r="M583" s="25" t="str">
        <f>IFERROR(__xludf.DUMMYFUNCTION("""COMPUTED_VALUE"""),"Puzzle")</f>
        <v>Puzzle</v>
      </c>
      <c r="N583" s="25"/>
      <c r="O583" s="26" t="str">
        <f>IFERROR(__xludf.DUMMYFUNCTION("""COMPUTED_VALUE"""),"Yes")</f>
        <v>Yes</v>
      </c>
      <c r="P583" s="26"/>
    </row>
    <row r="584">
      <c r="A584" s="13" t="str">
        <f>IFERROR(__xludf.DUMMYFUNCTION("""COMPUTED_VALUE"""),"This War of Mine: The Little Ones")</f>
        <v>This War of Mine: The Little Ones</v>
      </c>
      <c r="B584" s="15" t="str">
        <f>IFERROR(__xludf.DUMMYFUNCTION("""COMPUTED_VALUE"""),"PS4")</f>
        <v>PS4</v>
      </c>
      <c r="C584" s="16" t="str">
        <f>IFERROR(__xludf.DUMMYFUNCTION("""COMPUTED_VALUE"""),"Extra")</f>
        <v>Extra</v>
      </c>
      <c r="D584" s="15" t="str">
        <f>IFERROR(__xludf.DUMMYFUNCTION("""COMPUTED_VALUE"""),"Removed")</f>
        <v>Removed</v>
      </c>
      <c r="E584" s="17">
        <f>IFERROR(__xludf.DUMMYFUNCTION("""COMPUTED_VALUE"""),42922.0)</f>
        <v>42922</v>
      </c>
      <c r="F584" s="54">
        <f>IFERROR(__xludf.DUMMYFUNCTION("""COMPUTED_VALUE"""),45061.0)</f>
        <v>45061</v>
      </c>
      <c r="G584" s="19">
        <f>IFERROR(__xludf.DUMMYFUNCTION("""COMPUTED_VALUE"""),70.3)</f>
        <v>70.3</v>
      </c>
      <c r="H584" s="17">
        <f>IFERROR(__xludf.DUMMYFUNCTION("""COMPUTED_VALUE"""),41957.0)</f>
        <v>41957</v>
      </c>
      <c r="I584" s="19">
        <f>IFERROR(__xludf.DUMMYFUNCTION("""COMPUTED_VALUE"""),2.6444444444444444)</f>
        <v>2.644444444</v>
      </c>
      <c r="J584" s="21">
        <f>IFERROR(__xludf.DUMMYFUNCTION("""COMPUTED_VALUE"""),78.0)</f>
        <v>78</v>
      </c>
      <c r="K584" s="23">
        <f>IFERROR(__xludf.DUMMYFUNCTION("""COMPUTED_VALUE"""),6.9)</f>
        <v>6.9</v>
      </c>
      <c r="L584" s="24">
        <f>IFERROR(__xludf.DUMMYFUNCTION("""COMPUTED_VALUE"""),10.0)</f>
        <v>10</v>
      </c>
      <c r="M584" s="25" t="str">
        <f>IFERROR(__xludf.DUMMYFUNCTION("""COMPUTED_VALUE"""),"Survival")</f>
        <v>Survival</v>
      </c>
      <c r="N584" s="25"/>
      <c r="O584" s="26" t="str">
        <f>IFERROR(__xludf.DUMMYFUNCTION("""COMPUTED_VALUE"""),"Yes")</f>
        <v>Yes</v>
      </c>
      <c r="P584" s="26"/>
    </row>
    <row r="585">
      <c r="A585" s="13" t="str">
        <f>IFERROR(__xludf.DUMMYFUNCTION("""COMPUTED_VALUE"""),"How to Survive: Storm Warning Edition")</f>
        <v>How to Survive: Storm Warning Edition</v>
      </c>
      <c r="B585" s="15" t="str">
        <f>IFERROR(__xludf.DUMMYFUNCTION("""COMPUTED_VALUE"""),"PS4")</f>
        <v>PS4</v>
      </c>
      <c r="C585" s="16" t="str">
        <f>IFERROR(__xludf.DUMMYFUNCTION("""COMPUTED_VALUE"""),"Extra")</f>
        <v>Extra</v>
      </c>
      <c r="D585" s="15" t="str">
        <f>IFERROR(__xludf.DUMMYFUNCTION("""COMPUTED_VALUE"""),"Removed")</f>
        <v>Removed</v>
      </c>
      <c r="E585" s="17">
        <f>IFERROR(__xludf.DUMMYFUNCTION("""COMPUTED_VALUE"""),42794.0)</f>
        <v>42794</v>
      </c>
      <c r="F585" s="54">
        <f>IFERROR(__xludf.DUMMYFUNCTION("""COMPUTED_VALUE"""),45061.0)</f>
        <v>45061</v>
      </c>
      <c r="G585" s="19">
        <f>IFERROR(__xludf.DUMMYFUNCTION("""COMPUTED_VALUE"""),74.56666666666666)</f>
        <v>74.56666667</v>
      </c>
      <c r="H585" s="17">
        <f>IFERROR(__xludf.DUMMYFUNCTION("""COMPUTED_VALUE"""),41941.0)</f>
        <v>41941</v>
      </c>
      <c r="I585" s="19">
        <f>IFERROR(__xludf.DUMMYFUNCTION("""COMPUTED_VALUE"""),2.3305555555555557)</f>
        <v>2.330555556</v>
      </c>
      <c r="J585" s="21">
        <f>IFERROR(__xludf.DUMMYFUNCTION("""COMPUTED_VALUE"""),53.0)</f>
        <v>53</v>
      </c>
      <c r="K585" s="23">
        <f>IFERROR(__xludf.DUMMYFUNCTION("""COMPUTED_VALUE"""),6.8)</f>
        <v>6.8</v>
      </c>
      <c r="L585" s="24">
        <f>IFERROR(__xludf.DUMMYFUNCTION("""COMPUTED_VALUE"""),15.0)</f>
        <v>15</v>
      </c>
      <c r="M585" s="25" t="str">
        <f>IFERROR(__xludf.DUMMYFUNCTION("""COMPUTED_VALUE"""),"Action-Adventure")</f>
        <v>Action-Adventure</v>
      </c>
      <c r="N585" s="25"/>
      <c r="O585" s="26" t="str">
        <f>IFERROR(__xludf.DUMMYFUNCTION("""COMPUTED_VALUE"""),"Yes")</f>
        <v>Yes</v>
      </c>
      <c r="P585" s="26"/>
    </row>
    <row r="586">
      <c r="A586" s="13" t="str">
        <f>IFERROR(__xludf.DUMMYFUNCTION("""COMPUTED_VALUE"""),"Pixel Piracy")</f>
        <v>Pixel Piracy</v>
      </c>
      <c r="B586" s="15" t="str">
        <f>IFERROR(__xludf.DUMMYFUNCTION("""COMPUTED_VALUE"""),"PS4")</f>
        <v>PS4</v>
      </c>
      <c r="C586" s="16" t="str">
        <f>IFERROR(__xludf.DUMMYFUNCTION("""COMPUTED_VALUE"""),"Extra")</f>
        <v>Extra</v>
      </c>
      <c r="D586" s="15" t="str">
        <f>IFERROR(__xludf.DUMMYFUNCTION("""COMPUTED_VALUE"""),"Removed")</f>
        <v>Removed</v>
      </c>
      <c r="E586" s="17">
        <f>IFERROR(__xludf.DUMMYFUNCTION("""COMPUTED_VALUE"""),42794.0)</f>
        <v>42794</v>
      </c>
      <c r="F586" s="54">
        <f>IFERROR(__xludf.DUMMYFUNCTION("""COMPUTED_VALUE"""),45061.0)</f>
        <v>45061</v>
      </c>
      <c r="G586" s="19">
        <f>IFERROR(__xludf.DUMMYFUNCTION("""COMPUTED_VALUE"""),74.56666666666666)</f>
        <v>74.56666667</v>
      </c>
      <c r="H586" s="17">
        <f>IFERROR(__xludf.DUMMYFUNCTION("""COMPUTED_VALUE"""),42401.0)</f>
        <v>42401</v>
      </c>
      <c r="I586" s="19">
        <f>IFERROR(__xludf.DUMMYFUNCTION("""COMPUTED_VALUE"""),1.075)</f>
        <v>1.075</v>
      </c>
      <c r="J586" s="21">
        <f>IFERROR(__xludf.DUMMYFUNCTION("""COMPUTED_VALUE"""),52.0)</f>
        <v>52</v>
      </c>
      <c r="K586" s="23">
        <f>IFERROR(__xludf.DUMMYFUNCTION("""COMPUTED_VALUE"""),5.9)</f>
        <v>5.9</v>
      </c>
      <c r="L586" s="24">
        <f>IFERROR(__xludf.DUMMYFUNCTION("""COMPUTED_VALUE"""),20.0)</f>
        <v>20</v>
      </c>
      <c r="M586" s="25" t="str">
        <f>IFERROR(__xludf.DUMMYFUNCTION("""COMPUTED_VALUE"""),"Simulation")</f>
        <v>Simulation</v>
      </c>
      <c r="N586" s="25"/>
      <c r="O586" s="26" t="str">
        <f>IFERROR(__xludf.DUMMYFUNCTION("""COMPUTED_VALUE"""),"Yes")</f>
        <v>Yes</v>
      </c>
      <c r="P586" s="26"/>
    </row>
    <row r="587">
      <c r="A587" s="13" t="str">
        <f>IFERROR(__xludf.DUMMYFUNCTION("""COMPUTED_VALUE"""),"Batman: Arkham Knight")</f>
        <v>Batman: Arkham Knight</v>
      </c>
      <c r="B587" s="15" t="str">
        <f>IFERROR(__xludf.DUMMYFUNCTION("""COMPUTED_VALUE"""),"PS5/PS4")</f>
        <v>PS5/PS4</v>
      </c>
      <c r="C587" s="16" t="str">
        <f>IFERROR(__xludf.DUMMYFUNCTION("""COMPUTED_VALUE"""),"Essential (PS+ Collection)")</f>
        <v>Essential (PS+ Collection)</v>
      </c>
      <c r="D587" s="15" t="str">
        <f>IFERROR(__xludf.DUMMYFUNCTION("""COMPUTED_VALUE"""),"Removed")</f>
        <v>Removed</v>
      </c>
      <c r="E587" s="17">
        <f>IFERROR(__xludf.DUMMYFUNCTION("""COMPUTED_VALUE"""),44147.0)</f>
        <v>44147</v>
      </c>
      <c r="F587" s="54">
        <f>IFERROR(__xludf.DUMMYFUNCTION("""COMPUTED_VALUE"""),45055.0)</f>
        <v>45055</v>
      </c>
      <c r="G587" s="19">
        <f>IFERROR(__xludf.DUMMYFUNCTION("""COMPUTED_VALUE"""),29.9)</f>
        <v>29.9</v>
      </c>
      <c r="H587" s="17">
        <f>IFERROR(__xludf.DUMMYFUNCTION("""COMPUTED_VALUE"""),42178.0)</f>
        <v>42178</v>
      </c>
      <c r="I587" s="19">
        <f>IFERROR(__xludf.DUMMYFUNCTION("""COMPUTED_VALUE"""),5.386111111111111)</f>
        <v>5.386111111</v>
      </c>
      <c r="J587" s="21">
        <f>IFERROR(__xludf.DUMMYFUNCTION("""COMPUTED_VALUE"""),87.0)</f>
        <v>87</v>
      </c>
      <c r="K587" s="23">
        <f>IFERROR(__xludf.DUMMYFUNCTION("""COMPUTED_VALUE"""),8.2)</f>
        <v>8.2</v>
      </c>
      <c r="L587" s="24">
        <f>IFERROR(__xludf.DUMMYFUNCTION("""COMPUTED_VALUE"""),16.5)</f>
        <v>16.5</v>
      </c>
      <c r="M587" s="25" t="str">
        <f>IFERROR(__xludf.DUMMYFUNCTION("""COMPUTED_VALUE"""),"Action-Adventure")</f>
        <v>Action-Adventure</v>
      </c>
      <c r="N587" s="25" t="str">
        <f>IFERROR(__xludf.DUMMYFUNCTION("""COMPUTED_VALUE"""),"Must claim on a PS5")</f>
        <v>Must claim on a PS5</v>
      </c>
      <c r="O587" s="26" t="str">
        <f>IFERROR(__xludf.DUMMYFUNCTION("""COMPUTED_VALUE"""),"No")</f>
        <v>No</v>
      </c>
      <c r="P587" s="26"/>
    </row>
    <row r="588">
      <c r="A588" s="13" t="str">
        <f>IFERROR(__xludf.DUMMYFUNCTION("""COMPUTED_VALUE"""),"Battlefield 1")</f>
        <v>Battlefield 1</v>
      </c>
      <c r="B588" s="15" t="str">
        <f>IFERROR(__xludf.DUMMYFUNCTION("""COMPUTED_VALUE"""),"PS5/PS4")</f>
        <v>PS5/PS4</v>
      </c>
      <c r="C588" s="16" t="str">
        <f>IFERROR(__xludf.DUMMYFUNCTION("""COMPUTED_VALUE"""),"Essential (PS+ Collection)")</f>
        <v>Essential (PS+ Collection)</v>
      </c>
      <c r="D588" s="15" t="str">
        <f>IFERROR(__xludf.DUMMYFUNCTION("""COMPUTED_VALUE"""),"Removed")</f>
        <v>Removed</v>
      </c>
      <c r="E588" s="17">
        <f>IFERROR(__xludf.DUMMYFUNCTION("""COMPUTED_VALUE"""),44147.0)</f>
        <v>44147</v>
      </c>
      <c r="F588" s="54">
        <f>IFERROR(__xludf.DUMMYFUNCTION("""COMPUTED_VALUE"""),45055.0)</f>
        <v>45055</v>
      </c>
      <c r="G588" s="19">
        <f>IFERROR(__xludf.DUMMYFUNCTION("""COMPUTED_VALUE"""),29.9)</f>
        <v>29.9</v>
      </c>
      <c r="H588" s="17">
        <f>IFERROR(__xludf.DUMMYFUNCTION("""COMPUTED_VALUE"""),42644.0)</f>
        <v>42644</v>
      </c>
      <c r="I588" s="19">
        <f>IFERROR(__xludf.DUMMYFUNCTION("""COMPUTED_VALUE"""),4.113888888888889)</f>
        <v>4.113888889</v>
      </c>
      <c r="J588" s="21">
        <f>IFERROR(__xludf.DUMMYFUNCTION("""COMPUTED_VALUE"""),89.0)</f>
        <v>89</v>
      </c>
      <c r="K588" s="23">
        <f>IFERROR(__xludf.DUMMYFUNCTION("""COMPUTED_VALUE"""),7.3)</f>
        <v>7.3</v>
      </c>
      <c r="L588" s="24">
        <f>IFERROR(__xludf.DUMMYFUNCTION("""COMPUTED_VALUE"""),6.5)</f>
        <v>6.5</v>
      </c>
      <c r="M588" s="25" t="str">
        <f>IFERROR(__xludf.DUMMYFUNCTION("""COMPUTED_VALUE"""),"Shooter")</f>
        <v>Shooter</v>
      </c>
      <c r="N588" s="25" t="str">
        <f>IFERROR(__xludf.DUMMYFUNCTION("""COMPUTED_VALUE"""),"Must claim on a PS5")</f>
        <v>Must claim on a PS5</v>
      </c>
      <c r="O588" s="26" t="str">
        <f>IFERROR(__xludf.DUMMYFUNCTION("""COMPUTED_VALUE"""),"No")</f>
        <v>No</v>
      </c>
      <c r="P588" s="26"/>
    </row>
    <row r="589">
      <c r="A589" s="13" t="str">
        <f>IFERROR(__xludf.DUMMYFUNCTION("""COMPUTED_VALUE"""),"Bloodborne")</f>
        <v>Bloodborne</v>
      </c>
      <c r="B589" s="15" t="str">
        <f>IFERROR(__xludf.DUMMYFUNCTION("""COMPUTED_VALUE"""),"PS5/PS4")</f>
        <v>PS5/PS4</v>
      </c>
      <c r="C589" s="16" t="str">
        <f>IFERROR(__xludf.DUMMYFUNCTION("""COMPUTED_VALUE"""),"Essential (PS+ Collection)")</f>
        <v>Essential (PS+ Collection)</v>
      </c>
      <c r="D589" s="15" t="str">
        <f>IFERROR(__xludf.DUMMYFUNCTION("""COMPUTED_VALUE"""),"Removed")</f>
        <v>Removed</v>
      </c>
      <c r="E589" s="17">
        <f>IFERROR(__xludf.DUMMYFUNCTION("""COMPUTED_VALUE"""),44147.0)</f>
        <v>44147</v>
      </c>
      <c r="F589" s="54">
        <f>IFERROR(__xludf.DUMMYFUNCTION("""COMPUTED_VALUE"""),45055.0)</f>
        <v>45055</v>
      </c>
      <c r="G589" s="19">
        <f>IFERROR(__xludf.DUMMYFUNCTION("""COMPUTED_VALUE"""),29.9)</f>
        <v>29.9</v>
      </c>
      <c r="H589" s="17">
        <f>IFERROR(__xludf.DUMMYFUNCTION("""COMPUTED_VALUE"""),42087.0)</f>
        <v>42087</v>
      </c>
      <c r="I589" s="19">
        <f>IFERROR(__xludf.DUMMYFUNCTION("""COMPUTED_VALUE"""),5.633333333333334)</f>
        <v>5.633333333</v>
      </c>
      <c r="J589" s="21">
        <f>IFERROR(__xludf.DUMMYFUNCTION("""COMPUTED_VALUE"""),92.0)</f>
        <v>92</v>
      </c>
      <c r="K589" s="23">
        <f>IFERROR(__xludf.DUMMYFUNCTION("""COMPUTED_VALUE"""),8.9)</f>
        <v>8.9</v>
      </c>
      <c r="L589" s="24">
        <f>IFERROR(__xludf.DUMMYFUNCTION("""COMPUTED_VALUE"""),33.5)</f>
        <v>33.5</v>
      </c>
      <c r="M589" s="25" t="str">
        <f>IFERROR(__xludf.DUMMYFUNCTION("""COMPUTED_VALUE"""),"Action-Adventure")</f>
        <v>Action-Adventure</v>
      </c>
      <c r="N589" s="25" t="str">
        <f>IFERROR(__xludf.DUMMYFUNCTION("""COMPUTED_VALUE"""),"Must claim on a PS5")</f>
        <v>Must claim on a PS5</v>
      </c>
      <c r="O589" s="26" t="str">
        <f>IFERROR(__xludf.DUMMYFUNCTION("""COMPUTED_VALUE"""),"No")</f>
        <v>No</v>
      </c>
      <c r="P589" s="26"/>
    </row>
    <row r="590">
      <c r="A590" s="13" t="str">
        <f>IFERROR(__xludf.DUMMYFUNCTION("""COMPUTED_VALUE"""),"Call of Duty: Black Ops III - Zombies Chronicles Edition")</f>
        <v>Call of Duty: Black Ops III - Zombies Chronicles Edition</v>
      </c>
      <c r="B590" s="15" t="str">
        <f>IFERROR(__xludf.DUMMYFUNCTION("""COMPUTED_VALUE"""),"PS5/PS4")</f>
        <v>PS5/PS4</v>
      </c>
      <c r="C590" s="16" t="str">
        <f>IFERROR(__xludf.DUMMYFUNCTION("""COMPUTED_VALUE"""),"Essential (PS+ Collection)")</f>
        <v>Essential (PS+ Collection)</v>
      </c>
      <c r="D590" s="15" t="str">
        <f>IFERROR(__xludf.DUMMYFUNCTION("""COMPUTED_VALUE"""),"Removed")</f>
        <v>Removed</v>
      </c>
      <c r="E590" s="17">
        <f>IFERROR(__xludf.DUMMYFUNCTION("""COMPUTED_VALUE"""),44147.0)</f>
        <v>44147</v>
      </c>
      <c r="F590" s="54">
        <f>IFERROR(__xludf.DUMMYFUNCTION("""COMPUTED_VALUE"""),45055.0)</f>
        <v>45055</v>
      </c>
      <c r="G590" s="19">
        <f>IFERROR(__xludf.DUMMYFUNCTION("""COMPUTED_VALUE"""),29.9)</f>
        <v>29.9</v>
      </c>
      <c r="H590" s="17">
        <f>IFERROR(__xludf.DUMMYFUNCTION("""COMPUTED_VALUE"""),42871.0)</f>
        <v>42871</v>
      </c>
      <c r="I590" s="19">
        <f>IFERROR(__xludf.DUMMYFUNCTION("""COMPUTED_VALUE"""),3.488888888888889)</f>
        <v>3.488888889</v>
      </c>
      <c r="J590" s="21">
        <f>IFERROR(__xludf.DUMMYFUNCTION("""COMPUTED_VALUE"""),78.0)</f>
        <v>78</v>
      </c>
      <c r="K590" s="23">
        <f>IFERROR(__xludf.DUMMYFUNCTION("""COMPUTED_VALUE"""),7.2)</f>
        <v>7.2</v>
      </c>
      <c r="L590" s="24">
        <f>IFERROR(__xludf.DUMMYFUNCTION("""COMPUTED_VALUE"""),9.0)</f>
        <v>9</v>
      </c>
      <c r="M590" s="25" t="str">
        <f>IFERROR(__xludf.DUMMYFUNCTION("""COMPUTED_VALUE"""),"Shooter")</f>
        <v>Shooter</v>
      </c>
      <c r="N590" s="25" t="str">
        <f>IFERROR(__xludf.DUMMYFUNCTION("""COMPUTED_VALUE"""),"Must claim on a PS5")</f>
        <v>Must claim on a PS5</v>
      </c>
      <c r="O590" s="26" t="str">
        <f>IFERROR(__xludf.DUMMYFUNCTION("""COMPUTED_VALUE"""),"No")</f>
        <v>No</v>
      </c>
      <c r="P590" s="26" t="str">
        <f>IFERROR(__xludf.DUMMYFUNCTION("""COMPUTED_VALUE"""),"Yes")</f>
        <v>Yes</v>
      </c>
    </row>
    <row r="591">
      <c r="A591" s="13" t="str">
        <f>IFERROR(__xludf.DUMMYFUNCTION("""COMPUTED_VALUE"""),"Crash Bandicoot N. Sane Trilogy")</f>
        <v>Crash Bandicoot N. Sane Trilogy</v>
      </c>
      <c r="B591" s="15" t="str">
        <f>IFERROR(__xludf.DUMMYFUNCTION("""COMPUTED_VALUE"""),"PS5/PS4")</f>
        <v>PS5/PS4</v>
      </c>
      <c r="C591" s="16" t="str">
        <f>IFERROR(__xludf.DUMMYFUNCTION("""COMPUTED_VALUE"""),"Essential (PS+ Collection)")</f>
        <v>Essential (PS+ Collection)</v>
      </c>
      <c r="D591" s="15" t="str">
        <f>IFERROR(__xludf.DUMMYFUNCTION("""COMPUTED_VALUE"""),"Removed")</f>
        <v>Removed</v>
      </c>
      <c r="E591" s="17">
        <f>IFERROR(__xludf.DUMMYFUNCTION("""COMPUTED_VALUE"""),44147.0)</f>
        <v>44147</v>
      </c>
      <c r="F591" s="54">
        <f>IFERROR(__xludf.DUMMYFUNCTION("""COMPUTED_VALUE"""),45055.0)</f>
        <v>45055</v>
      </c>
      <c r="G591" s="19">
        <f>IFERROR(__xludf.DUMMYFUNCTION("""COMPUTED_VALUE"""),29.9)</f>
        <v>29.9</v>
      </c>
      <c r="H591" s="17">
        <f>IFERROR(__xludf.DUMMYFUNCTION("""COMPUTED_VALUE"""),42916.0)</f>
        <v>42916</v>
      </c>
      <c r="I591" s="19">
        <f>IFERROR(__xludf.DUMMYFUNCTION("""COMPUTED_VALUE"""),3.3666666666666667)</f>
        <v>3.366666667</v>
      </c>
      <c r="J591" s="21">
        <f>IFERROR(__xludf.DUMMYFUNCTION("""COMPUTED_VALUE"""),86.0)</f>
        <v>86</v>
      </c>
      <c r="K591" s="23">
        <f>IFERROR(__xludf.DUMMYFUNCTION("""COMPUTED_VALUE"""),7.9)</f>
        <v>7.9</v>
      </c>
      <c r="L591" s="24">
        <f>IFERROR(__xludf.DUMMYFUNCTION("""COMPUTED_VALUE"""),15.0)</f>
        <v>15</v>
      </c>
      <c r="M591" s="25" t="str">
        <f>IFERROR(__xludf.DUMMYFUNCTION("""COMPUTED_VALUE"""),"Platformer")</f>
        <v>Platformer</v>
      </c>
      <c r="N591" s="25" t="str">
        <f>IFERROR(__xludf.DUMMYFUNCTION("""COMPUTED_VALUE"""),"Must claim on a PS5")</f>
        <v>Must claim on a PS5</v>
      </c>
      <c r="O591" s="26" t="str">
        <f>IFERROR(__xludf.DUMMYFUNCTION("""COMPUTED_VALUE"""),"No")</f>
        <v>No</v>
      </c>
      <c r="P591" s="26"/>
    </row>
    <row r="592">
      <c r="A592" s="13" t="str">
        <f>IFERROR(__xludf.DUMMYFUNCTION("""COMPUTED_VALUE"""),"Days Gone")</f>
        <v>Days Gone</v>
      </c>
      <c r="B592" s="15" t="str">
        <f>IFERROR(__xludf.DUMMYFUNCTION("""COMPUTED_VALUE"""),"PS5/PS4")</f>
        <v>PS5/PS4</v>
      </c>
      <c r="C592" s="16" t="str">
        <f>IFERROR(__xludf.DUMMYFUNCTION("""COMPUTED_VALUE"""),"Essential (PS+ Collection)")</f>
        <v>Essential (PS+ Collection)</v>
      </c>
      <c r="D592" s="15" t="str">
        <f>IFERROR(__xludf.DUMMYFUNCTION("""COMPUTED_VALUE"""),"Removed")</f>
        <v>Removed</v>
      </c>
      <c r="E592" s="17">
        <f>IFERROR(__xludf.DUMMYFUNCTION("""COMPUTED_VALUE"""),44147.0)</f>
        <v>44147</v>
      </c>
      <c r="F592" s="54">
        <f>IFERROR(__xludf.DUMMYFUNCTION("""COMPUTED_VALUE"""),45055.0)</f>
        <v>45055</v>
      </c>
      <c r="G592" s="19">
        <f>IFERROR(__xludf.DUMMYFUNCTION("""COMPUTED_VALUE"""),29.9)</f>
        <v>29.9</v>
      </c>
      <c r="H592" s="17">
        <f>IFERROR(__xludf.DUMMYFUNCTION("""COMPUTED_VALUE"""),43581.0)</f>
        <v>43581</v>
      </c>
      <c r="I592" s="19">
        <f>IFERROR(__xludf.DUMMYFUNCTION("""COMPUTED_VALUE"""),1.5444444444444445)</f>
        <v>1.544444444</v>
      </c>
      <c r="J592" s="21">
        <f>IFERROR(__xludf.DUMMYFUNCTION("""COMPUTED_VALUE"""),71.0)</f>
        <v>71</v>
      </c>
      <c r="K592" s="23">
        <f>IFERROR(__xludf.DUMMYFUNCTION("""COMPUTED_VALUE"""),8.0)</f>
        <v>8</v>
      </c>
      <c r="L592" s="24">
        <f>IFERROR(__xludf.DUMMYFUNCTION("""COMPUTED_VALUE"""),36.5)</f>
        <v>36.5</v>
      </c>
      <c r="M592" s="25" t="str">
        <f>IFERROR(__xludf.DUMMYFUNCTION("""COMPUTED_VALUE"""),"Shooter")</f>
        <v>Shooter</v>
      </c>
      <c r="N592" s="25" t="str">
        <f>IFERROR(__xludf.DUMMYFUNCTION("""COMPUTED_VALUE"""),"Must claim on a PS5")</f>
        <v>Must claim on a PS5</v>
      </c>
      <c r="O592" s="26" t="str">
        <f>IFERROR(__xludf.DUMMYFUNCTION("""COMPUTED_VALUE"""),"No")</f>
        <v>No</v>
      </c>
      <c r="P592" s="26"/>
    </row>
    <row r="593">
      <c r="A593" s="13" t="str">
        <f>IFERROR(__xludf.DUMMYFUNCTION("""COMPUTED_VALUE"""),"Detroit: Become Human")</f>
        <v>Detroit: Become Human</v>
      </c>
      <c r="B593" s="15" t="str">
        <f>IFERROR(__xludf.DUMMYFUNCTION("""COMPUTED_VALUE"""),"PS5/PS4")</f>
        <v>PS5/PS4</v>
      </c>
      <c r="C593" s="16" t="str">
        <f>IFERROR(__xludf.DUMMYFUNCTION("""COMPUTED_VALUE"""),"Essential (PS+ Collection)")</f>
        <v>Essential (PS+ Collection)</v>
      </c>
      <c r="D593" s="15" t="str">
        <f>IFERROR(__xludf.DUMMYFUNCTION("""COMPUTED_VALUE"""),"Removed")</f>
        <v>Removed</v>
      </c>
      <c r="E593" s="17">
        <f>IFERROR(__xludf.DUMMYFUNCTION("""COMPUTED_VALUE"""),44147.0)</f>
        <v>44147</v>
      </c>
      <c r="F593" s="54">
        <f>IFERROR(__xludf.DUMMYFUNCTION("""COMPUTED_VALUE"""),45055.0)</f>
        <v>45055</v>
      </c>
      <c r="G593" s="19">
        <f>IFERROR(__xludf.DUMMYFUNCTION("""COMPUTED_VALUE"""),29.9)</f>
        <v>29.9</v>
      </c>
      <c r="H593" s="17">
        <f>IFERROR(__xludf.DUMMYFUNCTION("""COMPUTED_VALUE"""),43248.0)</f>
        <v>43248</v>
      </c>
      <c r="I593" s="19">
        <f>IFERROR(__xludf.DUMMYFUNCTION("""COMPUTED_VALUE"""),2.4555555555555557)</f>
        <v>2.455555556</v>
      </c>
      <c r="J593" s="21">
        <f>IFERROR(__xludf.DUMMYFUNCTION("""COMPUTED_VALUE"""),78.0)</f>
        <v>78</v>
      </c>
      <c r="K593" s="23">
        <f>IFERROR(__xludf.DUMMYFUNCTION("""COMPUTED_VALUE"""),8.4)</f>
        <v>8.4</v>
      </c>
      <c r="L593" s="24">
        <f>IFERROR(__xludf.DUMMYFUNCTION("""COMPUTED_VALUE"""),12.0)</f>
        <v>12</v>
      </c>
      <c r="M593" s="25" t="str">
        <f>IFERROR(__xludf.DUMMYFUNCTION("""COMPUTED_VALUE"""),"Interactive Story")</f>
        <v>Interactive Story</v>
      </c>
      <c r="N593" s="25" t="str">
        <f>IFERROR(__xludf.DUMMYFUNCTION("""COMPUTED_VALUE"""),"Must claim on a PS5")</f>
        <v>Must claim on a PS5</v>
      </c>
      <c r="O593" s="26" t="str">
        <f>IFERROR(__xludf.DUMMYFUNCTION("""COMPUTED_VALUE"""),"No")</f>
        <v>No</v>
      </c>
      <c r="P593" s="26"/>
    </row>
    <row r="594">
      <c r="A594" s="13" t="str">
        <f>IFERROR(__xludf.DUMMYFUNCTION("""COMPUTED_VALUE"""),"Fallout 4")</f>
        <v>Fallout 4</v>
      </c>
      <c r="B594" s="15" t="str">
        <f>IFERROR(__xludf.DUMMYFUNCTION("""COMPUTED_VALUE"""),"PS5/PS4")</f>
        <v>PS5/PS4</v>
      </c>
      <c r="C594" s="16" t="str">
        <f>IFERROR(__xludf.DUMMYFUNCTION("""COMPUTED_VALUE"""),"Essential (PS+ Collection)")</f>
        <v>Essential (PS+ Collection)</v>
      </c>
      <c r="D594" s="15" t="str">
        <f>IFERROR(__xludf.DUMMYFUNCTION("""COMPUTED_VALUE"""),"Removed")</f>
        <v>Removed</v>
      </c>
      <c r="E594" s="17">
        <f>IFERROR(__xludf.DUMMYFUNCTION("""COMPUTED_VALUE"""),44147.0)</f>
        <v>44147</v>
      </c>
      <c r="F594" s="54">
        <f>IFERROR(__xludf.DUMMYFUNCTION("""COMPUTED_VALUE"""),45055.0)</f>
        <v>45055</v>
      </c>
      <c r="G594" s="19">
        <f>IFERROR(__xludf.DUMMYFUNCTION("""COMPUTED_VALUE"""),29.9)</f>
        <v>29.9</v>
      </c>
      <c r="H594" s="17">
        <f>IFERROR(__xludf.DUMMYFUNCTION("""COMPUTED_VALUE"""),42318.0)</f>
        <v>42318</v>
      </c>
      <c r="I594" s="19">
        <f>IFERROR(__xludf.DUMMYFUNCTION("""COMPUTED_VALUE"""),5.0055555555555555)</f>
        <v>5.005555556</v>
      </c>
      <c r="J594" s="21">
        <f>IFERROR(__xludf.DUMMYFUNCTION("""COMPUTED_VALUE"""),87.0)</f>
        <v>87</v>
      </c>
      <c r="K594" s="23">
        <f>IFERROR(__xludf.DUMMYFUNCTION("""COMPUTED_VALUE"""),6.5)</f>
        <v>6.5</v>
      </c>
      <c r="L594" s="24">
        <f>IFERROR(__xludf.DUMMYFUNCTION("""COMPUTED_VALUE"""),27.0)</f>
        <v>27</v>
      </c>
      <c r="M594" s="25" t="str">
        <f>IFERROR(__xludf.DUMMYFUNCTION("""COMPUTED_VALUE"""),"Shooter")</f>
        <v>Shooter</v>
      </c>
      <c r="N594" s="25" t="str">
        <f>IFERROR(__xludf.DUMMYFUNCTION("""COMPUTED_VALUE"""),"Must claim on a PS5")</f>
        <v>Must claim on a PS5</v>
      </c>
      <c r="O594" s="26" t="str">
        <f>IFERROR(__xludf.DUMMYFUNCTION("""COMPUTED_VALUE"""),"No")</f>
        <v>No</v>
      </c>
      <c r="P594" s="26"/>
    </row>
    <row r="595">
      <c r="A595" s="13" t="str">
        <f>IFERROR(__xludf.DUMMYFUNCTION("""COMPUTED_VALUE"""),"Final Fantasy XV: Royal Edition")</f>
        <v>Final Fantasy XV: Royal Edition</v>
      </c>
      <c r="B595" s="15" t="str">
        <f>IFERROR(__xludf.DUMMYFUNCTION("""COMPUTED_VALUE"""),"PS5/PS4")</f>
        <v>PS5/PS4</v>
      </c>
      <c r="C595" s="16" t="str">
        <f>IFERROR(__xludf.DUMMYFUNCTION("""COMPUTED_VALUE"""),"Essential (PS+ Collection)")</f>
        <v>Essential (PS+ Collection)</v>
      </c>
      <c r="D595" s="15" t="str">
        <f>IFERROR(__xludf.DUMMYFUNCTION("""COMPUTED_VALUE"""),"Removed")</f>
        <v>Removed</v>
      </c>
      <c r="E595" s="17">
        <f>IFERROR(__xludf.DUMMYFUNCTION("""COMPUTED_VALUE"""),44147.0)</f>
        <v>44147</v>
      </c>
      <c r="F595" s="54">
        <f>IFERROR(__xludf.DUMMYFUNCTION("""COMPUTED_VALUE"""),45055.0)</f>
        <v>45055</v>
      </c>
      <c r="G595" s="19">
        <f>IFERROR(__xludf.DUMMYFUNCTION("""COMPUTED_VALUE"""),29.9)</f>
        <v>29.9</v>
      </c>
      <c r="H595" s="17">
        <f>IFERROR(__xludf.DUMMYFUNCTION("""COMPUTED_VALUE"""),43165.0)</f>
        <v>43165</v>
      </c>
      <c r="I595" s="19">
        <f>IFERROR(__xludf.DUMMYFUNCTION("""COMPUTED_VALUE"""),2.683333333333333)</f>
        <v>2.683333333</v>
      </c>
      <c r="J595" s="21">
        <f>IFERROR(__xludf.DUMMYFUNCTION("""COMPUTED_VALUE"""),77.0)</f>
        <v>77</v>
      </c>
      <c r="K595" s="23">
        <f>IFERROR(__xludf.DUMMYFUNCTION("""COMPUTED_VALUE"""),7.8)</f>
        <v>7.8</v>
      </c>
      <c r="L595" s="24">
        <f>IFERROR(__xludf.DUMMYFUNCTION("""COMPUTED_VALUE"""),27.0)</f>
        <v>27</v>
      </c>
      <c r="M595" s="25" t="str">
        <f>IFERROR(__xludf.DUMMYFUNCTION("""COMPUTED_VALUE"""),"RPG")</f>
        <v>RPG</v>
      </c>
      <c r="N595" s="25" t="str">
        <f>IFERROR(__xludf.DUMMYFUNCTION("""COMPUTED_VALUE"""),"Must claim on a PS5")</f>
        <v>Must claim on a PS5</v>
      </c>
      <c r="O595" s="26" t="str">
        <f>IFERROR(__xludf.DUMMYFUNCTION("""COMPUTED_VALUE"""),"No")</f>
        <v>No</v>
      </c>
      <c r="P595" s="26"/>
    </row>
    <row r="596">
      <c r="A596" s="13" t="str">
        <f>IFERROR(__xludf.DUMMYFUNCTION("""COMPUTED_VALUE"""),"God of War (2018)")</f>
        <v>God of War (2018)</v>
      </c>
      <c r="B596" s="15" t="str">
        <f>IFERROR(__xludf.DUMMYFUNCTION("""COMPUTED_VALUE"""),"PS5/PS4")</f>
        <v>PS5/PS4</v>
      </c>
      <c r="C596" s="16" t="str">
        <f>IFERROR(__xludf.DUMMYFUNCTION("""COMPUTED_VALUE"""),"Essential (PS+ Collection)")</f>
        <v>Essential (PS+ Collection)</v>
      </c>
      <c r="D596" s="15" t="str">
        <f>IFERROR(__xludf.DUMMYFUNCTION("""COMPUTED_VALUE"""),"Removed")</f>
        <v>Removed</v>
      </c>
      <c r="E596" s="17">
        <f>IFERROR(__xludf.DUMMYFUNCTION("""COMPUTED_VALUE"""),44147.0)</f>
        <v>44147</v>
      </c>
      <c r="F596" s="54">
        <f>IFERROR(__xludf.DUMMYFUNCTION("""COMPUTED_VALUE"""),45055.0)</f>
        <v>45055</v>
      </c>
      <c r="G596" s="19">
        <f>IFERROR(__xludf.DUMMYFUNCTION("""COMPUTED_VALUE"""),29.9)</f>
        <v>29.9</v>
      </c>
      <c r="H596" s="17">
        <f>IFERROR(__xludf.DUMMYFUNCTION("""COMPUTED_VALUE"""),43210.0)</f>
        <v>43210</v>
      </c>
      <c r="I596" s="19">
        <f>IFERROR(__xludf.DUMMYFUNCTION("""COMPUTED_VALUE"""),2.561111111111111)</f>
        <v>2.561111111</v>
      </c>
      <c r="J596" s="21">
        <f>IFERROR(__xludf.DUMMYFUNCTION("""COMPUTED_VALUE"""),94.0)</f>
        <v>94</v>
      </c>
      <c r="K596" s="23">
        <f>IFERROR(__xludf.DUMMYFUNCTION("""COMPUTED_VALUE"""),9.1)</f>
        <v>9.1</v>
      </c>
      <c r="L596" s="24">
        <f>IFERROR(__xludf.DUMMYFUNCTION("""COMPUTED_VALUE"""),21.0)</f>
        <v>21</v>
      </c>
      <c r="M596" s="25" t="str">
        <f>IFERROR(__xludf.DUMMYFUNCTION("""COMPUTED_VALUE"""),"RPG")</f>
        <v>RPG</v>
      </c>
      <c r="N596" s="25" t="str">
        <f>IFERROR(__xludf.DUMMYFUNCTION("""COMPUTED_VALUE"""),"Must claim on a PS5")</f>
        <v>Must claim on a PS5</v>
      </c>
      <c r="O596" s="26" t="str">
        <f>IFERROR(__xludf.DUMMYFUNCTION("""COMPUTED_VALUE"""),"No")</f>
        <v>No</v>
      </c>
      <c r="P596" s="26"/>
    </row>
    <row r="597">
      <c r="A597" s="13" t="str">
        <f>IFERROR(__xludf.DUMMYFUNCTION("""COMPUTED_VALUE"""),"inFAMOUS: Second Son")</f>
        <v>inFAMOUS: Second Son</v>
      </c>
      <c r="B597" s="15" t="str">
        <f>IFERROR(__xludf.DUMMYFUNCTION("""COMPUTED_VALUE"""),"PS5/PS4")</f>
        <v>PS5/PS4</v>
      </c>
      <c r="C597" s="16" t="str">
        <f>IFERROR(__xludf.DUMMYFUNCTION("""COMPUTED_VALUE"""),"Essential (PS+ Collection)")</f>
        <v>Essential (PS+ Collection)</v>
      </c>
      <c r="D597" s="15" t="str">
        <f>IFERROR(__xludf.DUMMYFUNCTION("""COMPUTED_VALUE"""),"Removed")</f>
        <v>Removed</v>
      </c>
      <c r="E597" s="17">
        <f>IFERROR(__xludf.DUMMYFUNCTION("""COMPUTED_VALUE"""),44147.0)</f>
        <v>44147</v>
      </c>
      <c r="F597" s="54">
        <f>IFERROR(__xludf.DUMMYFUNCTION("""COMPUTED_VALUE"""),45055.0)</f>
        <v>45055</v>
      </c>
      <c r="G597" s="19">
        <f>IFERROR(__xludf.DUMMYFUNCTION("""COMPUTED_VALUE"""),29.9)</f>
        <v>29.9</v>
      </c>
      <c r="H597" s="17">
        <f>IFERROR(__xludf.DUMMYFUNCTION("""COMPUTED_VALUE"""),41719.0)</f>
        <v>41719</v>
      </c>
      <c r="I597" s="19">
        <f>IFERROR(__xludf.DUMMYFUNCTION("""COMPUTED_VALUE"""),6.641666666666667)</f>
        <v>6.641666667</v>
      </c>
      <c r="J597" s="21">
        <f>IFERROR(__xludf.DUMMYFUNCTION("""COMPUTED_VALUE"""),80.0)</f>
        <v>80</v>
      </c>
      <c r="K597" s="23">
        <f>IFERROR(__xludf.DUMMYFUNCTION("""COMPUTED_VALUE"""),7.9)</f>
        <v>7.9</v>
      </c>
      <c r="L597" s="24">
        <f>IFERROR(__xludf.DUMMYFUNCTION("""COMPUTED_VALUE"""),10.0)</f>
        <v>10</v>
      </c>
      <c r="M597" s="25" t="str">
        <f>IFERROR(__xludf.DUMMYFUNCTION("""COMPUTED_VALUE"""),"Action-Adventure")</f>
        <v>Action-Adventure</v>
      </c>
      <c r="N597" s="25" t="str">
        <f>IFERROR(__xludf.DUMMYFUNCTION("""COMPUTED_VALUE"""),"Must claim on a PS5")</f>
        <v>Must claim on a PS5</v>
      </c>
      <c r="O597" s="26" t="str">
        <f>IFERROR(__xludf.DUMMYFUNCTION("""COMPUTED_VALUE"""),"No")</f>
        <v>No</v>
      </c>
      <c r="P597" s="26"/>
    </row>
    <row r="598">
      <c r="A598" s="13" t="str">
        <f>IFERROR(__xludf.DUMMYFUNCTION("""COMPUTED_VALUE"""),"Monster Hunter: World")</f>
        <v>Monster Hunter: World</v>
      </c>
      <c r="B598" s="15" t="str">
        <f>IFERROR(__xludf.DUMMYFUNCTION("""COMPUTED_VALUE"""),"PS5/PS4")</f>
        <v>PS5/PS4</v>
      </c>
      <c r="C598" s="16" t="str">
        <f>IFERROR(__xludf.DUMMYFUNCTION("""COMPUTED_VALUE"""),"Essential (PS+ Collection)")</f>
        <v>Essential (PS+ Collection)</v>
      </c>
      <c r="D598" s="15" t="str">
        <f>IFERROR(__xludf.DUMMYFUNCTION("""COMPUTED_VALUE"""),"Removed")</f>
        <v>Removed</v>
      </c>
      <c r="E598" s="17">
        <f>IFERROR(__xludf.DUMMYFUNCTION("""COMPUTED_VALUE"""),44147.0)</f>
        <v>44147</v>
      </c>
      <c r="F598" s="54">
        <f>IFERROR(__xludf.DUMMYFUNCTION("""COMPUTED_VALUE"""),45055.0)</f>
        <v>45055</v>
      </c>
      <c r="G598" s="19">
        <f>IFERROR(__xludf.DUMMYFUNCTION("""COMPUTED_VALUE"""),29.9)</f>
        <v>29.9</v>
      </c>
      <c r="H598" s="17">
        <f>IFERROR(__xludf.DUMMYFUNCTION("""COMPUTED_VALUE"""),43126.0)</f>
        <v>43126</v>
      </c>
      <c r="I598" s="19">
        <f>IFERROR(__xludf.DUMMYFUNCTION("""COMPUTED_VALUE"""),2.7944444444444443)</f>
        <v>2.794444444</v>
      </c>
      <c r="J598" s="21">
        <f>IFERROR(__xludf.DUMMYFUNCTION("""COMPUTED_VALUE"""),90.0)</f>
        <v>90</v>
      </c>
      <c r="K598" s="23">
        <f>IFERROR(__xludf.DUMMYFUNCTION("""COMPUTED_VALUE"""),8.2)</f>
        <v>8.2</v>
      </c>
      <c r="L598" s="24">
        <f>IFERROR(__xludf.DUMMYFUNCTION("""COMPUTED_VALUE"""),50.0)</f>
        <v>50</v>
      </c>
      <c r="M598" s="25" t="str">
        <f>IFERROR(__xludf.DUMMYFUNCTION("""COMPUTED_VALUE"""),"Action-Adventure")</f>
        <v>Action-Adventure</v>
      </c>
      <c r="N598" s="25" t="str">
        <f>IFERROR(__xludf.DUMMYFUNCTION("""COMPUTED_VALUE"""),"Must claim on a PS5")</f>
        <v>Must claim on a PS5</v>
      </c>
      <c r="O598" s="26" t="str">
        <f>IFERROR(__xludf.DUMMYFUNCTION("""COMPUTED_VALUE"""),"No")</f>
        <v>No</v>
      </c>
      <c r="P598" s="26"/>
    </row>
    <row r="599">
      <c r="A599" s="13" t="str">
        <f>IFERROR(__xludf.DUMMYFUNCTION("""COMPUTED_VALUE"""),"Mortal Kombat X")</f>
        <v>Mortal Kombat X</v>
      </c>
      <c r="B599" s="15" t="str">
        <f>IFERROR(__xludf.DUMMYFUNCTION("""COMPUTED_VALUE"""),"PS5/PS4")</f>
        <v>PS5/PS4</v>
      </c>
      <c r="C599" s="16" t="str">
        <f>IFERROR(__xludf.DUMMYFUNCTION("""COMPUTED_VALUE"""),"Essential (PS+ Collection)")</f>
        <v>Essential (PS+ Collection)</v>
      </c>
      <c r="D599" s="15" t="str">
        <f>IFERROR(__xludf.DUMMYFUNCTION("""COMPUTED_VALUE"""),"Removed")</f>
        <v>Removed</v>
      </c>
      <c r="E599" s="17">
        <f>IFERROR(__xludf.DUMMYFUNCTION("""COMPUTED_VALUE"""),44147.0)</f>
        <v>44147</v>
      </c>
      <c r="F599" s="54">
        <f>IFERROR(__xludf.DUMMYFUNCTION("""COMPUTED_VALUE"""),45055.0)</f>
        <v>45055</v>
      </c>
      <c r="G599" s="19">
        <f>IFERROR(__xludf.DUMMYFUNCTION("""COMPUTED_VALUE"""),29.9)</f>
        <v>29.9</v>
      </c>
      <c r="H599" s="17">
        <f>IFERROR(__xludf.DUMMYFUNCTION("""COMPUTED_VALUE"""),42108.0)</f>
        <v>42108</v>
      </c>
      <c r="I599" s="19">
        <f>IFERROR(__xludf.DUMMYFUNCTION("""COMPUTED_VALUE"""),5.5777777777777775)</f>
        <v>5.577777778</v>
      </c>
      <c r="J599" s="21">
        <f>IFERROR(__xludf.DUMMYFUNCTION("""COMPUTED_VALUE"""),83.0)</f>
        <v>83</v>
      </c>
      <c r="K599" s="23">
        <f>IFERROR(__xludf.DUMMYFUNCTION("""COMPUTED_VALUE"""),7.8)</f>
        <v>7.8</v>
      </c>
      <c r="L599" s="24">
        <f>IFERROR(__xludf.DUMMYFUNCTION("""COMPUTED_VALUE"""),5.5)</f>
        <v>5.5</v>
      </c>
      <c r="M599" s="25" t="str">
        <f>IFERROR(__xludf.DUMMYFUNCTION("""COMPUTED_VALUE"""),"Fighting")</f>
        <v>Fighting</v>
      </c>
      <c r="N599" s="25" t="str">
        <f>IFERROR(__xludf.DUMMYFUNCTION("""COMPUTED_VALUE"""),"Must claim on a PS5")</f>
        <v>Must claim on a PS5</v>
      </c>
      <c r="O599" s="26" t="str">
        <f>IFERROR(__xludf.DUMMYFUNCTION("""COMPUTED_VALUE"""),"No")</f>
        <v>No</v>
      </c>
      <c r="P599" s="26" t="str">
        <f>IFERROR(__xludf.DUMMYFUNCTION("""COMPUTED_VALUE"""),"Yes")</f>
        <v>Yes</v>
      </c>
    </row>
    <row r="600">
      <c r="A600" s="13" t="str">
        <f>IFERROR(__xludf.DUMMYFUNCTION("""COMPUTED_VALUE"""),"Ratchet and Clank (2016)")</f>
        <v>Ratchet and Clank (2016)</v>
      </c>
      <c r="B600" s="15" t="str">
        <f>IFERROR(__xludf.DUMMYFUNCTION("""COMPUTED_VALUE"""),"PS5/PS4")</f>
        <v>PS5/PS4</v>
      </c>
      <c r="C600" s="16" t="str">
        <f>IFERROR(__xludf.DUMMYFUNCTION("""COMPUTED_VALUE"""),"Essential (PS+ Collection)")</f>
        <v>Essential (PS+ Collection)</v>
      </c>
      <c r="D600" s="15" t="str">
        <f>IFERROR(__xludf.DUMMYFUNCTION("""COMPUTED_VALUE"""),"Removed")</f>
        <v>Removed</v>
      </c>
      <c r="E600" s="17">
        <f>IFERROR(__xludf.DUMMYFUNCTION("""COMPUTED_VALUE"""),44147.0)</f>
        <v>44147</v>
      </c>
      <c r="F600" s="54">
        <f>IFERROR(__xludf.DUMMYFUNCTION("""COMPUTED_VALUE"""),45055.0)</f>
        <v>45055</v>
      </c>
      <c r="G600" s="19">
        <f>IFERROR(__xludf.DUMMYFUNCTION("""COMPUTED_VALUE"""),29.9)</f>
        <v>29.9</v>
      </c>
      <c r="H600" s="17">
        <f>IFERROR(__xludf.DUMMYFUNCTION("""COMPUTED_VALUE"""),42472.0)</f>
        <v>42472</v>
      </c>
      <c r="I600" s="19">
        <f>IFERROR(__xludf.DUMMYFUNCTION("""COMPUTED_VALUE"""),4.583333333333333)</f>
        <v>4.583333333</v>
      </c>
      <c r="J600" s="21">
        <f>IFERROR(__xludf.DUMMYFUNCTION("""COMPUTED_VALUE"""),85.0)</f>
        <v>85</v>
      </c>
      <c r="K600" s="23">
        <f>IFERROR(__xludf.DUMMYFUNCTION("""COMPUTED_VALUE"""),8.2)</f>
        <v>8.2</v>
      </c>
      <c r="L600" s="24">
        <f>IFERROR(__xludf.DUMMYFUNCTION("""COMPUTED_VALUE"""),10.0)</f>
        <v>10</v>
      </c>
      <c r="M600" s="25" t="str">
        <f>IFERROR(__xludf.DUMMYFUNCTION("""COMPUTED_VALUE"""),"Platformer")</f>
        <v>Platformer</v>
      </c>
      <c r="N600" s="25" t="str">
        <f>IFERROR(__xludf.DUMMYFUNCTION("""COMPUTED_VALUE"""),"Must claim on a PS5")</f>
        <v>Must claim on a PS5</v>
      </c>
      <c r="O600" s="26" t="str">
        <f>IFERROR(__xludf.DUMMYFUNCTION("""COMPUTED_VALUE"""),"No")</f>
        <v>No</v>
      </c>
      <c r="P600" s="26"/>
    </row>
    <row r="601">
      <c r="A601" s="13" t="str">
        <f>IFERROR(__xludf.DUMMYFUNCTION("""COMPUTED_VALUE"""),"Resident Evil 7: biohazard")</f>
        <v>Resident Evil 7: biohazard</v>
      </c>
      <c r="B601" s="15" t="str">
        <f>IFERROR(__xludf.DUMMYFUNCTION("""COMPUTED_VALUE"""),"PS5/PS4")</f>
        <v>PS5/PS4</v>
      </c>
      <c r="C601" s="16" t="str">
        <f>IFERROR(__xludf.DUMMYFUNCTION("""COMPUTED_VALUE"""),"Essential (PS+ Collection)")</f>
        <v>Essential (PS+ Collection)</v>
      </c>
      <c r="D601" s="15" t="str">
        <f>IFERROR(__xludf.DUMMYFUNCTION("""COMPUTED_VALUE"""),"Removed")</f>
        <v>Removed</v>
      </c>
      <c r="E601" s="17">
        <f>IFERROR(__xludf.DUMMYFUNCTION("""COMPUTED_VALUE"""),44147.0)</f>
        <v>44147</v>
      </c>
      <c r="F601" s="54">
        <f>IFERROR(__xludf.DUMMYFUNCTION("""COMPUTED_VALUE"""),45055.0)</f>
        <v>45055</v>
      </c>
      <c r="G601" s="19">
        <f>IFERROR(__xludf.DUMMYFUNCTION("""COMPUTED_VALUE"""),29.9)</f>
        <v>29.9</v>
      </c>
      <c r="H601" s="17">
        <f>IFERROR(__xludf.DUMMYFUNCTION("""COMPUTED_VALUE"""),42758.0)</f>
        <v>42758</v>
      </c>
      <c r="I601" s="19">
        <f>IFERROR(__xludf.DUMMYFUNCTION("""COMPUTED_VALUE"""),3.8027777777777776)</f>
        <v>3.802777778</v>
      </c>
      <c r="J601" s="21">
        <f>IFERROR(__xludf.DUMMYFUNCTION("""COMPUTED_VALUE"""),86.0)</f>
        <v>86</v>
      </c>
      <c r="K601" s="23">
        <f>IFERROR(__xludf.DUMMYFUNCTION("""COMPUTED_VALUE"""),8.2)</f>
        <v>8.2</v>
      </c>
      <c r="L601" s="24">
        <f>IFERROR(__xludf.DUMMYFUNCTION("""COMPUTED_VALUE"""),11.0)</f>
        <v>11</v>
      </c>
      <c r="M601" s="25" t="str">
        <f>IFERROR(__xludf.DUMMYFUNCTION("""COMPUTED_VALUE"""),"Shooter")</f>
        <v>Shooter</v>
      </c>
      <c r="N601" s="25" t="str">
        <f>IFERROR(__xludf.DUMMYFUNCTION("""COMPUTED_VALUE"""),"Must claim on a PS5")</f>
        <v>Must claim on a PS5</v>
      </c>
      <c r="O601" s="26" t="str">
        <f>IFERROR(__xludf.DUMMYFUNCTION("""COMPUTED_VALUE"""),"No")</f>
        <v>No</v>
      </c>
      <c r="P601" s="26"/>
    </row>
    <row r="602">
      <c r="A602" s="13" t="str">
        <f>IFERROR(__xludf.DUMMYFUNCTION("""COMPUTED_VALUE"""),"The Last Guardian")</f>
        <v>The Last Guardian</v>
      </c>
      <c r="B602" s="15" t="str">
        <f>IFERROR(__xludf.DUMMYFUNCTION("""COMPUTED_VALUE"""),"PS5/PS4")</f>
        <v>PS5/PS4</v>
      </c>
      <c r="C602" s="16" t="str">
        <f>IFERROR(__xludf.DUMMYFUNCTION("""COMPUTED_VALUE"""),"Essential (PS+ Collection)")</f>
        <v>Essential (PS+ Collection)</v>
      </c>
      <c r="D602" s="15" t="str">
        <f>IFERROR(__xludf.DUMMYFUNCTION("""COMPUTED_VALUE"""),"Removed")</f>
        <v>Removed</v>
      </c>
      <c r="E602" s="17">
        <f>IFERROR(__xludf.DUMMYFUNCTION("""COMPUTED_VALUE"""),44147.0)</f>
        <v>44147</v>
      </c>
      <c r="F602" s="54">
        <f>IFERROR(__xludf.DUMMYFUNCTION("""COMPUTED_VALUE"""),45055.0)</f>
        <v>45055</v>
      </c>
      <c r="G602" s="19">
        <f>IFERROR(__xludf.DUMMYFUNCTION("""COMPUTED_VALUE"""),29.9)</f>
        <v>29.9</v>
      </c>
      <c r="H602" s="17">
        <f>IFERROR(__xludf.DUMMYFUNCTION("""COMPUTED_VALUE"""),42710.0)</f>
        <v>42710</v>
      </c>
      <c r="I602" s="19">
        <f>IFERROR(__xludf.DUMMYFUNCTION("""COMPUTED_VALUE"""),3.933333333333333)</f>
        <v>3.933333333</v>
      </c>
      <c r="J602" s="21">
        <f>IFERROR(__xludf.DUMMYFUNCTION("""COMPUTED_VALUE"""),82.0)</f>
        <v>82</v>
      </c>
      <c r="K602" s="23">
        <f>IFERROR(__xludf.DUMMYFUNCTION("""COMPUTED_VALUE"""),7.9)</f>
        <v>7.9</v>
      </c>
      <c r="L602" s="24">
        <f>IFERROR(__xludf.DUMMYFUNCTION("""COMPUTED_VALUE"""),12.0)</f>
        <v>12</v>
      </c>
      <c r="M602" s="25" t="str">
        <f>IFERROR(__xludf.DUMMYFUNCTION("""COMPUTED_VALUE"""),"Action-Adventure")</f>
        <v>Action-Adventure</v>
      </c>
      <c r="N602" s="25" t="str">
        <f>IFERROR(__xludf.DUMMYFUNCTION("""COMPUTED_VALUE"""),"Must claim on a PS5")</f>
        <v>Must claim on a PS5</v>
      </c>
      <c r="O602" s="26" t="str">
        <f>IFERROR(__xludf.DUMMYFUNCTION("""COMPUTED_VALUE"""),"No")</f>
        <v>No</v>
      </c>
      <c r="P602" s="26"/>
    </row>
    <row r="603">
      <c r="A603" s="13" t="str">
        <f>IFERROR(__xludf.DUMMYFUNCTION("""COMPUTED_VALUE"""),"The Last of Us: Remastered")</f>
        <v>The Last of Us: Remastered</v>
      </c>
      <c r="B603" s="15" t="str">
        <f>IFERROR(__xludf.DUMMYFUNCTION("""COMPUTED_VALUE"""),"PS5/PS4")</f>
        <v>PS5/PS4</v>
      </c>
      <c r="C603" s="16" t="str">
        <f>IFERROR(__xludf.DUMMYFUNCTION("""COMPUTED_VALUE"""),"Essential (PS+ Collection)")</f>
        <v>Essential (PS+ Collection)</v>
      </c>
      <c r="D603" s="15" t="str">
        <f>IFERROR(__xludf.DUMMYFUNCTION("""COMPUTED_VALUE"""),"Removed")</f>
        <v>Removed</v>
      </c>
      <c r="E603" s="17">
        <f>IFERROR(__xludf.DUMMYFUNCTION("""COMPUTED_VALUE"""),44147.0)</f>
        <v>44147</v>
      </c>
      <c r="F603" s="54">
        <f>IFERROR(__xludf.DUMMYFUNCTION("""COMPUTED_VALUE"""),45055.0)</f>
        <v>45055</v>
      </c>
      <c r="G603" s="19">
        <f>IFERROR(__xludf.DUMMYFUNCTION("""COMPUTED_VALUE"""),29.9)</f>
        <v>29.9</v>
      </c>
      <c r="H603" s="17">
        <f>IFERROR(__xludf.DUMMYFUNCTION("""COMPUTED_VALUE"""),41849.0)</f>
        <v>41849</v>
      </c>
      <c r="I603" s="19">
        <f>IFERROR(__xludf.DUMMYFUNCTION("""COMPUTED_VALUE"""),6.286111111111111)</f>
        <v>6.286111111</v>
      </c>
      <c r="J603" s="21">
        <f>IFERROR(__xludf.DUMMYFUNCTION("""COMPUTED_VALUE"""),95.0)</f>
        <v>95</v>
      </c>
      <c r="K603" s="23">
        <f>IFERROR(__xludf.DUMMYFUNCTION("""COMPUTED_VALUE"""),9.2)</f>
        <v>9.2</v>
      </c>
      <c r="L603" s="24">
        <f>IFERROR(__xludf.DUMMYFUNCTION("""COMPUTED_VALUE"""),14.5)</f>
        <v>14.5</v>
      </c>
      <c r="M603" s="25" t="str">
        <f>IFERROR(__xludf.DUMMYFUNCTION("""COMPUTED_VALUE"""),"Shooter")</f>
        <v>Shooter</v>
      </c>
      <c r="N603" s="25" t="str">
        <f>IFERROR(__xludf.DUMMYFUNCTION("""COMPUTED_VALUE"""),"Must claim on a PS5")</f>
        <v>Must claim on a PS5</v>
      </c>
      <c r="O603" s="26" t="str">
        <f>IFERROR(__xludf.DUMMYFUNCTION("""COMPUTED_VALUE"""),"No")</f>
        <v>No</v>
      </c>
      <c r="P603" s="26"/>
    </row>
    <row r="604">
      <c r="A604" s="13" t="str">
        <f>IFERROR(__xludf.DUMMYFUNCTION("""COMPUTED_VALUE"""),"Uncharted 4: A Thief's End")</f>
        <v>Uncharted 4: A Thief's End</v>
      </c>
      <c r="B604" s="15" t="str">
        <f>IFERROR(__xludf.DUMMYFUNCTION("""COMPUTED_VALUE"""),"PS5/PS4")</f>
        <v>PS5/PS4</v>
      </c>
      <c r="C604" s="16" t="str">
        <f>IFERROR(__xludf.DUMMYFUNCTION("""COMPUTED_VALUE"""),"Essential (PS+ Collection)")</f>
        <v>Essential (PS+ Collection)</v>
      </c>
      <c r="D604" s="15" t="str">
        <f>IFERROR(__xludf.DUMMYFUNCTION("""COMPUTED_VALUE"""),"Removed")</f>
        <v>Removed</v>
      </c>
      <c r="E604" s="17">
        <f>IFERROR(__xludf.DUMMYFUNCTION("""COMPUTED_VALUE"""),44147.0)</f>
        <v>44147</v>
      </c>
      <c r="F604" s="54">
        <f>IFERROR(__xludf.DUMMYFUNCTION("""COMPUTED_VALUE"""),45055.0)</f>
        <v>45055</v>
      </c>
      <c r="G604" s="19">
        <f>IFERROR(__xludf.DUMMYFUNCTION("""COMPUTED_VALUE"""),29.9)</f>
        <v>29.9</v>
      </c>
      <c r="H604" s="17">
        <f>IFERROR(__xludf.DUMMYFUNCTION("""COMPUTED_VALUE"""),42500.0)</f>
        <v>42500</v>
      </c>
      <c r="I604" s="19">
        <f>IFERROR(__xludf.DUMMYFUNCTION("""COMPUTED_VALUE"""),4.5055555555555555)</f>
        <v>4.505555556</v>
      </c>
      <c r="J604" s="21">
        <f>IFERROR(__xludf.DUMMYFUNCTION("""COMPUTED_VALUE"""),93.0)</f>
        <v>93</v>
      </c>
      <c r="K604" s="23">
        <f>IFERROR(__xludf.DUMMYFUNCTION("""COMPUTED_VALUE"""),8.5)</f>
        <v>8.5</v>
      </c>
      <c r="L604" s="24">
        <f>IFERROR(__xludf.DUMMYFUNCTION("""COMPUTED_VALUE"""),15.0)</f>
        <v>15</v>
      </c>
      <c r="M604" s="25" t="str">
        <f>IFERROR(__xludf.DUMMYFUNCTION("""COMPUTED_VALUE"""),"Shooter")</f>
        <v>Shooter</v>
      </c>
      <c r="N604" s="25" t="str">
        <f>IFERROR(__xludf.DUMMYFUNCTION("""COMPUTED_VALUE"""),"Must claim on a PS5")</f>
        <v>Must claim on a PS5</v>
      </c>
      <c r="O604" s="26" t="str">
        <f>IFERROR(__xludf.DUMMYFUNCTION("""COMPUTED_VALUE"""),"No")</f>
        <v>No</v>
      </c>
      <c r="P604" s="26"/>
    </row>
    <row r="605">
      <c r="A605" s="13" t="str">
        <f>IFERROR(__xludf.DUMMYFUNCTION("""COMPUTED_VALUE"""),"Until Dawn")</f>
        <v>Until Dawn</v>
      </c>
      <c r="B605" s="15" t="str">
        <f>IFERROR(__xludf.DUMMYFUNCTION("""COMPUTED_VALUE"""),"PS5/PS4")</f>
        <v>PS5/PS4</v>
      </c>
      <c r="C605" s="16" t="str">
        <f>IFERROR(__xludf.DUMMYFUNCTION("""COMPUTED_VALUE"""),"Essential (PS+ Collection)")</f>
        <v>Essential (PS+ Collection)</v>
      </c>
      <c r="D605" s="15" t="str">
        <f>IFERROR(__xludf.DUMMYFUNCTION("""COMPUTED_VALUE"""),"Removed")</f>
        <v>Removed</v>
      </c>
      <c r="E605" s="17">
        <f>IFERROR(__xludf.DUMMYFUNCTION("""COMPUTED_VALUE"""),44147.0)</f>
        <v>44147</v>
      </c>
      <c r="F605" s="54">
        <f>IFERROR(__xludf.DUMMYFUNCTION("""COMPUTED_VALUE"""),45055.0)</f>
        <v>45055</v>
      </c>
      <c r="G605" s="19">
        <f>IFERROR(__xludf.DUMMYFUNCTION("""COMPUTED_VALUE"""),29.9)</f>
        <v>29.9</v>
      </c>
      <c r="H605" s="17">
        <f>IFERROR(__xludf.DUMMYFUNCTION("""COMPUTED_VALUE"""),42241.0)</f>
        <v>42241</v>
      </c>
      <c r="I605" s="19">
        <f>IFERROR(__xludf.DUMMYFUNCTION("""COMPUTED_VALUE"""),5.213888888888889)</f>
        <v>5.213888889</v>
      </c>
      <c r="J605" s="21">
        <f>IFERROR(__xludf.DUMMYFUNCTION("""COMPUTED_VALUE"""),79.0)</f>
        <v>79</v>
      </c>
      <c r="K605" s="23">
        <f>IFERROR(__xludf.DUMMYFUNCTION("""COMPUTED_VALUE"""),8.3)</f>
        <v>8.3</v>
      </c>
      <c r="L605" s="24">
        <f>IFERROR(__xludf.DUMMYFUNCTION("""COMPUTED_VALUE"""),8.0)</f>
        <v>8</v>
      </c>
      <c r="M605" s="25" t="str">
        <f>IFERROR(__xludf.DUMMYFUNCTION("""COMPUTED_VALUE"""),"Interactive Story")</f>
        <v>Interactive Story</v>
      </c>
      <c r="N605" s="25" t="str">
        <f>IFERROR(__xludf.DUMMYFUNCTION("""COMPUTED_VALUE"""),"Must claim on a PS5")</f>
        <v>Must claim on a PS5</v>
      </c>
      <c r="O605" s="26" t="str">
        <f>IFERROR(__xludf.DUMMYFUNCTION("""COMPUTED_VALUE"""),"No")</f>
        <v>No</v>
      </c>
      <c r="P605" s="26"/>
    </row>
    <row r="606">
      <c r="A606" s="13" t="str">
        <f>IFERROR(__xludf.DUMMYFUNCTION("""COMPUTED_VALUE"""),"Meet Your Maker")</f>
        <v>Meet Your Maker</v>
      </c>
      <c r="B606" s="15" t="str">
        <f>IFERROR(__xludf.DUMMYFUNCTION("""COMPUTED_VALUE"""),"PS5/PS4")</f>
        <v>PS5/PS4</v>
      </c>
      <c r="C606" s="16" t="str">
        <f>IFERROR(__xludf.DUMMYFUNCTION("""COMPUTED_VALUE"""),"Essential")</f>
        <v>Essential</v>
      </c>
      <c r="D606" s="15" t="str">
        <f>IFERROR(__xludf.DUMMYFUNCTION("""COMPUTED_VALUE"""),"Removed")</f>
        <v>Removed</v>
      </c>
      <c r="E606" s="17">
        <f>IFERROR(__xludf.DUMMYFUNCTION("""COMPUTED_VALUE"""),45020.0)</f>
        <v>45020</v>
      </c>
      <c r="F606" s="54">
        <f>IFERROR(__xludf.DUMMYFUNCTION("""COMPUTED_VALUE"""),45047.0)</f>
        <v>45047</v>
      </c>
      <c r="G606" s="19">
        <f>IFERROR(__xludf.DUMMYFUNCTION("""COMPUTED_VALUE"""),0.8999999999999999)</f>
        <v>0.9</v>
      </c>
      <c r="H606" s="17">
        <f>IFERROR(__xludf.DUMMYFUNCTION("""COMPUTED_VALUE"""),45020.0)</f>
        <v>45020</v>
      </c>
      <c r="I606" s="19">
        <f>IFERROR(__xludf.DUMMYFUNCTION("""COMPUTED_VALUE"""),0.0)</f>
        <v>0</v>
      </c>
      <c r="J606" s="21">
        <f>IFERROR(__xludf.DUMMYFUNCTION("""COMPUTED_VALUE"""),73.0)</f>
        <v>73</v>
      </c>
      <c r="K606" s="23">
        <f>IFERROR(__xludf.DUMMYFUNCTION("""COMPUTED_VALUE"""),5.5)</f>
        <v>5.5</v>
      </c>
      <c r="L606" s="24">
        <f>IFERROR(__xludf.DUMMYFUNCTION("""COMPUTED_VALUE"""),11.0)</f>
        <v>11</v>
      </c>
      <c r="M606" s="25" t="str">
        <f>IFERROR(__xludf.DUMMYFUNCTION("""COMPUTED_VALUE"""),"Shooter")</f>
        <v>Shooter</v>
      </c>
      <c r="N606" s="25"/>
      <c r="O606" s="26" t="str">
        <f>IFERROR(__xludf.DUMMYFUNCTION("""COMPUTED_VALUE"""),"No")</f>
        <v>No</v>
      </c>
      <c r="P606" s="26"/>
    </row>
    <row r="607">
      <c r="A607" s="13" t="str">
        <f>IFERROR(__xludf.DUMMYFUNCTION("""COMPUTED_VALUE"""),"Sackboy: A Big Adventure")</f>
        <v>Sackboy: A Big Adventure</v>
      </c>
      <c r="B607" s="15" t="str">
        <f>IFERROR(__xludf.DUMMYFUNCTION("""COMPUTED_VALUE"""),"PS5/PS4")</f>
        <v>PS5/PS4</v>
      </c>
      <c r="C607" s="16" t="str">
        <f>IFERROR(__xludf.DUMMYFUNCTION("""COMPUTED_VALUE"""),"Essential")</f>
        <v>Essential</v>
      </c>
      <c r="D607" s="15" t="str">
        <f>IFERROR(__xludf.DUMMYFUNCTION("""COMPUTED_VALUE"""),"Removed")</f>
        <v>Removed</v>
      </c>
      <c r="E607" s="17">
        <f>IFERROR(__xludf.DUMMYFUNCTION("""COMPUTED_VALUE"""),45020.0)</f>
        <v>45020</v>
      </c>
      <c r="F607" s="54">
        <f>IFERROR(__xludf.DUMMYFUNCTION("""COMPUTED_VALUE"""),45047.0)</f>
        <v>45047</v>
      </c>
      <c r="G607" s="19">
        <f>IFERROR(__xludf.DUMMYFUNCTION("""COMPUTED_VALUE"""),0.8999999999999999)</f>
        <v>0.9</v>
      </c>
      <c r="H607" s="17">
        <f>IFERROR(__xludf.DUMMYFUNCTION("""COMPUTED_VALUE"""),44147.0)</f>
        <v>44147</v>
      </c>
      <c r="I607" s="19">
        <f>IFERROR(__xludf.DUMMYFUNCTION("""COMPUTED_VALUE"""),2.3944444444444444)</f>
        <v>2.394444444</v>
      </c>
      <c r="J607" s="21">
        <f>IFERROR(__xludf.DUMMYFUNCTION("""COMPUTED_VALUE"""),83.0)</f>
        <v>83</v>
      </c>
      <c r="K607" s="23">
        <f>IFERROR(__xludf.DUMMYFUNCTION("""COMPUTED_VALUE"""),7.8)</f>
        <v>7.8</v>
      </c>
      <c r="L607" s="24">
        <f>IFERROR(__xludf.DUMMYFUNCTION("""COMPUTED_VALUE"""),11.0)</f>
        <v>11</v>
      </c>
      <c r="M607" s="25" t="str">
        <f>IFERROR(__xludf.DUMMYFUNCTION("""COMPUTED_VALUE"""),"Platformer")</f>
        <v>Platformer</v>
      </c>
      <c r="N607" s="25"/>
      <c r="O607" s="26" t="str">
        <f>IFERROR(__xludf.DUMMYFUNCTION("""COMPUTED_VALUE"""),"No")</f>
        <v>No</v>
      </c>
      <c r="P607" s="26" t="str">
        <f>IFERROR(__xludf.DUMMYFUNCTION("""COMPUTED_VALUE"""),"Yes")</f>
        <v>Yes</v>
      </c>
    </row>
    <row r="608">
      <c r="A608" s="13" t="str">
        <f>IFERROR(__xludf.DUMMYFUNCTION("""COMPUTED_VALUE"""),"Tails of Iron")</f>
        <v>Tails of Iron</v>
      </c>
      <c r="B608" s="15" t="str">
        <f>IFERROR(__xludf.DUMMYFUNCTION("""COMPUTED_VALUE"""),"PS5/PS4")</f>
        <v>PS5/PS4</v>
      </c>
      <c r="C608" s="16" t="str">
        <f>IFERROR(__xludf.DUMMYFUNCTION("""COMPUTED_VALUE"""),"Essential")</f>
        <v>Essential</v>
      </c>
      <c r="D608" s="15" t="str">
        <f>IFERROR(__xludf.DUMMYFUNCTION("""COMPUTED_VALUE"""),"Removed")</f>
        <v>Removed</v>
      </c>
      <c r="E608" s="17">
        <f>IFERROR(__xludf.DUMMYFUNCTION("""COMPUTED_VALUE"""),45020.0)</f>
        <v>45020</v>
      </c>
      <c r="F608" s="54">
        <f>IFERROR(__xludf.DUMMYFUNCTION("""COMPUTED_VALUE"""),45047.0)</f>
        <v>45047</v>
      </c>
      <c r="G608" s="19">
        <f>IFERROR(__xludf.DUMMYFUNCTION("""COMPUTED_VALUE"""),0.8999999999999999)</f>
        <v>0.9</v>
      </c>
      <c r="H608" s="17">
        <f>IFERROR(__xludf.DUMMYFUNCTION("""COMPUTED_VALUE"""),44517.0)</f>
        <v>44517</v>
      </c>
      <c r="I608" s="19">
        <f>IFERROR(__xludf.DUMMYFUNCTION("""COMPUTED_VALUE"""),1.3805555555555555)</f>
        <v>1.380555556</v>
      </c>
      <c r="J608" s="21">
        <f>IFERROR(__xludf.DUMMYFUNCTION("""COMPUTED_VALUE"""),81.0)</f>
        <v>81</v>
      </c>
      <c r="K608" s="23">
        <f>IFERROR(__xludf.DUMMYFUNCTION("""COMPUTED_VALUE"""),7.1)</f>
        <v>7.1</v>
      </c>
      <c r="L608" s="24">
        <f>IFERROR(__xludf.DUMMYFUNCTION("""COMPUTED_VALUE"""),7.0)</f>
        <v>7</v>
      </c>
      <c r="M608" s="25" t="str">
        <f>IFERROR(__xludf.DUMMYFUNCTION("""COMPUTED_VALUE"""),"RPG")</f>
        <v>RPG</v>
      </c>
      <c r="N608" s="25"/>
      <c r="O608" s="26" t="str">
        <f>IFERROR(__xludf.DUMMYFUNCTION("""COMPUTED_VALUE"""),"No")</f>
        <v>No</v>
      </c>
      <c r="P608" s="26"/>
    </row>
    <row r="609">
      <c r="A609" s="13" t="str">
        <f>IFERROR(__xludf.DUMMYFUNCTION("""COMPUTED_VALUE"""),"2Dark")</f>
        <v>2Dark</v>
      </c>
      <c r="B609" s="15" t="str">
        <f>IFERROR(__xludf.DUMMYFUNCTION("""COMPUTED_VALUE"""),"PS4")</f>
        <v>PS4</v>
      </c>
      <c r="C609" s="16" t="str">
        <f>IFERROR(__xludf.DUMMYFUNCTION("""COMPUTED_VALUE"""),"Extra")</f>
        <v>Extra</v>
      </c>
      <c r="D609" s="15" t="str">
        <f>IFERROR(__xludf.DUMMYFUNCTION("""COMPUTED_VALUE"""),"Removed")</f>
        <v>Removed</v>
      </c>
      <c r="E609" s="17">
        <f>IFERROR(__xludf.DUMMYFUNCTION("""COMPUTED_VALUE"""),44725.0)</f>
        <v>44725</v>
      </c>
      <c r="F609" s="54">
        <f>IFERROR(__xludf.DUMMYFUNCTION("""COMPUTED_VALUE"""),45033.0)</f>
        <v>45033</v>
      </c>
      <c r="G609" s="19">
        <f>IFERROR(__xludf.DUMMYFUNCTION("""COMPUTED_VALUE"""),10.133333333333333)</f>
        <v>10.13333333</v>
      </c>
      <c r="H609" s="17">
        <f>IFERROR(__xludf.DUMMYFUNCTION("""COMPUTED_VALUE"""),42804.0)</f>
        <v>42804</v>
      </c>
      <c r="I609" s="19">
        <f>IFERROR(__xludf.DUMMYFUNCTION("""COMPUTED_VALUE"""),5.258333333333334)</f>
        <v>5.258333333</v>
      </c>
      <c r="J609" s="21">
        <f>IFERROR(__xludf.DUMMYFUNCTION("""COMPUTED_VALUE"""),63.0)</f>
        <v>63</v>
      </c>
      <c r="K609" s="23">
        <f>IFERROR(__xludf.DUMMYFUNCTION("""COMPUTED_VALUE"""),6.3)</f>
        <v>6.3</v>
      </c>
      <c r="L609" s="24">
        <f>IFERROR(__xludf.DUMMYFUNCTION("""COMPUTED_VALUE"""),8.0)</f>
        <v>8</v>
      </c>
      <c r="M609" s="25" t="str">
        <f>IFERROR(__xludf.DUMMYFUNCTION("""COMPUTED_VALUE"""),"Horror")</f>
        <v>Horror</v>
      </c>
      <c r="N609" s="25"/>
      <c r="O609" s="26" t="str">
        <f>IFERROR(__xludf.DUMMYFUNCTION("""COMPUTED_VALUE"""),"Yes")</f>
        <v>Yes</v>
      </c>
      <c r="P609" s="26"/>
    </row>
    <row r="610">
      <c r="A610" s="13" t="str">
        <f>IFERROR(__xludf.DUMMYFUNCTION("""COMPUTED_VALUE"""),"Croixleur Sigma")</f>
        <v>Croixleur Sigma</v>
      </c>
      <c r="B610" s="15" t="str">
        <f>IFERROR(__xludf.DUMMYFUNCTION("""COMPUTED_VALUE"""),"PS4")</f>
        <v>PS4</v>
      </c>
      <c r="C610" s="16" t="str">
        <f>IFERROR(__xludf.DUMMYFUNCTION("""COMPUTED_VALUE"""),"Extra")</f>
        <v>Extra</v>
      </c>
      <c r="D610" s="15" t="str">
        <f>IFERROR(__xludf.DUMMYFUNCTION("""COMPUTED_VALUE"""),"Removed")</f>
        <v>Removed</v>
      </c>
      <c r="E610" s="17">
        <f>IFERROR(__xludf.DUMMYFUNCTION("""COMPUTED_VALUE"""),44725.0)</f>
        <v>44725</v>
      </c>
      <c r="F610" s="54">
        <f>IFERROR(__xludf.DUMMYFUNCTION("""COMPUTED_VALUE"""),45033.0)</f>
        <v>45033</v>
      </c>
      <c r="G610" s="19">
        <f>IFERROR(__xludf.DUMMYFUNCTION("""COMPUTED_VALUE"""),10.133333333333333)</f>
        <v>10.13333333</v>
      </c>
      <c r="H610" s="17">
        <f>IFERROR(__xludf.DUMMYFUNCTION("""COMPUTED_VALUE"""),42370.0)</f>
        <v>42370</v>
      </c>
      <c r="I610" s="19">
        <f>IFERROR(__xludf.DUMMYFUNCTION("""COMPUTED_VALUE"""),6.45)</f>
        <v>6.45</v>
      </c>
      <c r="J610" s="21">
        <f>IFERROR(__xludf.DUMMYFUNCTION("""COMPUTED_VALUE"""),62.0)</f>
        <v>62</v>
      </c>
      <c r="K610" s="23">
        <f>IFERROR(__xludf.DUMMYFUNCTION("""COMPUTED_VALUE"""),6.6)</f>
        <v>6.6</v>
      </c>
      <c r="L610" s="24">
        <f>IFERROR(__xludf.DUMMYFUNCTION("""COMPUTED_VALUE"""),1.0)</f>
        <v>1</v>
      </c>
      <c r="M610" s="25" t="str">
        <f>IFERROR(__xludf.DUMMYFUNCTION("""COMPUTED_VALUE"""),"Action-Adventure")</f>
        <v>Action-Adventure</v>
      </c>
      <c r="N610" s="25"/>
      <c r="O610" s="26" t="str">
        <f>IFERROR(__xludf.DUMMYFUNCTION("""COMPUTED_VALUE"""),"Yes")</f>
        <v>Yes</v>
      </c>
      <c r="P610" s="26" t="str">
        <f>IFERROR(__xludf.DUMMYFUNCTION("""COMPUTED_VALUE"""),"Yes")</f>
        <v>Yes</v>
      </c>
    </row>
    <row r="611">
      <c r="A611" s="13" t="str">
        <f>IFERROR(__xludf.DUMMYFUNCTION("""COMPUTED_VALUE"""),"Gabbuchi")</f>
        <v>Gabbuchi</v>
      </c>
      <c r="B611" s="15" t="str">
        <f>IFERROR(__xludf.DUMMYFUNCTION("""COMPUTED_VALUE"""),"PS4")</f>
        <v>PS4</v>
      </c>
      <c r="C611" s="16" t="str">
        <f>IFERROR(__xludf.DUMMYFUNCTION("""COMPUTED_VALUE"""),"Extra")</f>
        <v>Extra</v>
      </c>
      <c r="D611" s="15" t="str">
        <f>IFERROR(__xludf.DUMMYFUNCTION("""COMPUTED_VALUE"""),"Removed")</f>
        <v>Removed</v>
      </c>
      <c r="E611" s="17">
        <f>IFERROR(__xludf.DUMMYFUNCTION("""COMPUTED_VALUE"""),44725.0)</f>
        <v>44725</v>
      </c>
      <c r="F611" s="54">
        <f>IFERROR(__xludf.DUMMYFUNCTION("""COMPUTED_VALUE"""),45033.0)</f>
        <v>45033</v>
      </c>
      <c r="G611" s="19">
        <f>IFERROR(__xludf.DUMMYFUNCTION("""COMPUTED_VALUE"""),10.133333333333333)</f>
        <v>10.13333333</v>
      </c>
      <c r="H611" s="17">
        <f>IFERROR(__xludf.DUMMYFUNCTION("""COMPUTED_VALUE"""),43434.0)</f>
        <v>43434</v>
      </c>
      <c r="I611" s="19">
        <f>IFERROR(__xludf.DUMMYFUNCTION("""COMPUTED_VALUE"""),3.536111111111111)</f>
        <v>3.536111111</v>
      </c>
      <c r="J611" s="21">
        <f>IFERROR(__xludf.DUMMYFUNCTION("""COMPUTED_VALUE"""),58.0)</f>
        <v>58</v>
      </c>
      <c r="K611" s="23">
        <f>IFERROR(__xludf.DUMMYFUNCTION("""COMPUTED_VALUE"""),6.5)</f>
        <v>6.5</v>
      </c>
      <c r="L611" s="24">
        <f>IFERROR(__xludf.DUMMYFUNCTION("""COMPUTED_VALUE"""),9.0)</f>
        <v>9</v>
      </c>
      <c r="M611" s="25" t="str">
        <f>IFERROR(__xludf.DUMMYFUNCTION("""COMPUTED_VALUE"""),"Puzzle")</f>
        <v>Puzzle</v>
      </c>
      <c r="N611" s="25"/>
      <c r="O611" s="26" t="str">
        <f>IFERROR(__xludf.DUMMYFUNCTION("""COMPUTED_VALUE"""),"No")</f>
        <v>No</v>
      </c>
      <c r="P611" s="26"/>
    </row>
    <row r="612">
      <c r="A612" s="13" t="str">
        <f>IFERROR(__xludf.DUMMYFUNCTION("""COMPUTED_VALUE"""),"Marvel Puzzle Quest")</f>
        <v>Marvel Puzzle Quest</v>
      </c>
      <c r="B612" s="15" t="str">
        <f>IFERROR(__xludf.DUMMYFUNCTION("""COMPUTED_VALUE"""),"PS4")</f>
        <v>PS4</v>
      </c>
      <c r="C612" s="16" t="str">
        <f>IFERROR(__xludf.DUMMYFUNCTION("""COMPUTED_VALUE"""),"Extra")</f>
        <v>Extra</v>
      </c>
      <c r="D612" s="15" t="str">
        <f>IFERROR(__xludf.DUMMYFUNCTION("""COMPUTED_VALUE"""),"Removed")</f>
        <v>Removed</v>
      </c>
      <c r="E612" s="17">
        <f>IFERROR(__xludf.DUMMYFUNCTION("""COMPUTED_VALUE"""),44725.0)</f>
        <v>44725</v>
      </c>
      <c r="F612" s="54">
        <f>IFERROR(__xludf.DUMMYFUNCTION("""COMPUTED_VALUE"""),45033.0)</f>
        <v>45033</v>
      </c>
      <c r="G612" s="19">
        <f>IFERROR(__xludf.DUMMYFUNCTION("""COMPUTED_VALUE"""),10.133333333333333)</f>
        <v>10.13333333</v>
      </c>
      <c r="H612" s="17">
        <f>IFERROR(__xludf.DUMMYFUNCTION("""COMPUTED_VALUE"""),41550.0)</f>
        <v>41550</v>
      </c>
      <c r="I612" s="19">
        <f>IFERROR(__xludf.DUMMYFUNCTION("""COMPUTED_VALUE"""),8.694444444444445)</f>
        <v>8.694444444</v>
      </c>
      <c r="J612" s="21">
        <f>IFERROR(__xludf.DUMMYFUNCTION("""COMPUTED_VALUE"""),74.0)</f>
        <v>74</v>
      </c>
      <c r="K612" s="23">
        <f>IFERROR(__xludf.DUMMYFUNCTION("""COMPUTED_VALUE"""),7.2)</f>
        <v>7.2</v>
      </c>
      <c r="L612" s="24">
        <f>IFERROR(__xludf.DUMMYFUNCTION("""COMPUTED_VALUE"""),30.0)</f>
        <v>30</v>
      </c>
      <c r="M612" s="25" t="str">
        <f>IFERROR(__xludf.DUMMYFUNCTION("""COMPUTED_VALUE"""),"Puzzle")</f>
        <v>Puzzle</v>
      </c>
      <c r="N612" s="25"/>
      <c r="O612" s="26" t="str">
        <f>IFERROR(__xludf.DUMMYFUNCTION("""COMPUTED_VALUE"""),"Yes")</f>
        <v>Yes</v>
      </c>
      <c r="P612" s="26"/>
    </row>
    <row r="613">
      <c r="A613" s="13" t="str">
        <f>IFERROR(__xludf.DUMMYFUNCTION("""COMPUTED_VALUE"""),"The Caligula Effect: Overdose")</f>
        <v>The Caligula Effect: Overdose</v>
      </c>
      <c r="B613" s="15" t="str">
        <f>IFERROR(__xludf.DUMMYFUNCTION("""COMPUTED_VALUE"""),"PS4")</f>
        <v>PS4</v>
      </c>
      <c r="C613" s="16" t="str">
        <f>IFERROR(__xludf.DUMMYFUNCTION("""COMPUTED_VALUE"""),"Extra")</f>
        <v>Extra</v>
      </c>
      <c r="D613" s="15" t="str">
        <f>IFERROR(__xludf.DUMMYFUNCTION("""COMPUTED_VALUE"""),"Removed")</f>
        <v>Removed</v>
      </c>
      <c r="E613" s="17">
        <f>IFERROR(__xludf.DUMMYFUNCTION("""COMPUTED_VALUE"""),44725.0)</f>
        <v>44725</v>
      </c>
      <c r="F613" s="54">
        <f>IFERROR(__xludf.DUMMYFUNCTION("""COMPUTED_VALUE"""),45033.0)</f>
        <v>45033</v>
      </c>
      <c r="G613" s="19">
        <f>IFERROR(__xludf.DUMMYFUNCTION("""COMPUTED_VALUE"""),10.133333333333333)</f>
        <v>10.13333333</v>
      </c>
      <c r="H613" s="17">
        <f>IFERROR(__xludf.DUMMYFUNCTION("""COMPUTED_VALUE"""),43600.0)</f>
        <v>43600</v>
      </c>
      <c r="I613" s="19">
        <f>IFERROR(__xludf.DUMMYFUNCTION("""COMPUTED_VALUE"""),3.077777777777778)</f>
        <v>3.077777778</v>
      </c>
      <c r="J613" s="21">
        <f>IFERROR(__xludf.DUMMYFUNCTION("""COMPUTED_VALUE"""),65.0)</f>
        <v>65</v>
      </c>
      <c r="K613" s="23">
        <f>IFERROR(__xludf.DUMMYFUNCTION("""COMPUTED_VALUE"""),7.1)</f>
        <v>7.1</v>
      </c>
      <c r="L613" s="24">
        <f>IFERROR(__xludf.DUMMYFUNCTION("""COMPUTED_VALUE"""),55.0)</f>
        <v>55</v>
      </c>
      <c r="M613" s="25" t="str">
        <f>IFERROR(__xludf.DUMMYFUNCTION("""COMPUTED_VALUE"""),"RPG")</f>
        <v>RPG</v>
      </c>
      <c r="N613" s="25"/>
      <c r="O613" s="26" t="str">
        <f>IFERROR(__xludf.DUMMYFUNCTION("""COMPUTED_VALUE"""),"No")</f>
        <v>No</v>
      </c>
      <c r="P613" s="26"/>
    </row>
    <row r="614">
      <c r="A614" s="13" t="str">
        <f>IFERROR(__xludf.DUMMYFUNCTION("""COMPUTED_VALUE"""),"The Wonderful 101: Remastered")</f>
        <v>The Wonderful 101: Remastered</v>
      </c>
      <c r="B614" s="15" t="str">
        <f>IFERROR(__xludf.DUMMYFUNCTION("""COMPUTED_VALUE"""),"PS4")</f>
        <v>PS4</v>
      </c>
      <c r="C614" s="16" t="str">
        <f>IFERROR(__xludf.DUMMYFUNCTION("""COMPUTED_VALUE"""),"Extra")</f>
        <v>Extra</v>
      </c>
      <c r="D614" s="15" t="str">
        <f>IFERROR(__xludf.DUMMYFUNCTION("""COMPUTED_VALUE"""),"Removed")</f>
        <v>Removed</v>
      </c>
      <c r="E614" s="17">
        <f>IFERROR(__xludf.DUMMYFUNCTION("""COMPUTED_VALUE"""),44725.0)</f>
        <v>44725</v>
      </c>
      <c r="F614" s="54">
        <f>IFERROR(__xludf.DUMMYFUNCTION("""COMPUTED_VALUE"""),45033.0)</f>
        <v>45033</v>
      </c>
      <c r="G614" s="19">
        <f>IFERROR(__xludf.DUMMYFUNCTION("""COMPUTED_VALUE"""),10.133333333333333)</f>
        <v>10.13333333</v>
      </c>
      <c r="H614" s="17">
        <f>IFERROR(__xludf.DUMMYFUNCTION("""COMPUTED_VALUE"""),43970.0)</f>
        <v>43970</v>
      </c>
      <c r="I614" s="19">
        <f>IFERROR(__xludf.DUMMYFUNCTION("""COMPUTED_VALUE"""),2.066666666666667)</f>
        <v>2.066666667</v>
      </c>
      <c r="J614" s="21">
        <f>IFERROR(__xludf.DUMMYFUNCTION("""COMPUTED_VALUE"""),78.0)</f>
        <v>78</v>
      </c>
      <c r="K614" s="23">
        <f>IFERROR(__xludf.DUMMYFUNCTION("""COMPUTED_VALUE"""),7.8)</f>
        <v>7.8</v>
      </c>
      <c r="L614" s="24">
        <f>IFERROR(__xludf.DUMMYFUNCTION("""COMPUTED_VALUE"""),13.0)</f>
        <v>13</v>
      </c>
      <c r="M614" s="25" t="str">
        <f>IFERROR(__xludf.DUMMYFUNCTION("""COMPUTED_VALUE"""),"Action-Adventure")</f>
        <v>Action-Adventure</v>
      </c>
      <c r="N614" s="25"/>
      <c r="O614" s="26" t="str">
        <f>IFERROR(__xludf.DUMMYFUNCTION("""COMPUTED_VALUE"""),"No")</f>
        <v>No</v>
      </c>
      <c r="P614" s="26" t="str">
        <f>IFERROR(__xludf.DUMMYFUNCTION("""COMPUTED_VALUE"""),"Yes")</f>
        <v>Yes</v>
      </c>
    </row>
    <row r="615">
      <c r="A615" s="13" t="str">
        <f>IFERROR(__xludf.DUMMYFUNCTION("""COMPUTED_VALUE"""),"Naruto Shippuden: Ultimate Ninja Storm 4")</f>
        <v>Naruto Shippuden: Ultimate Ninja Storm 4</v>
      </c>
      <c r="B615" s="15" t="str">
        <f>IFERROR(__xludf.DUMMYFUNCTION("""COMPUTED_VALUE"""),"PS4")</f>
        <v>PS4</v>
      </c>
      <c r="C615" s="16" t="str">
        <f>IFERROR(__xludf.DUMMYFUNCTION("""COMPUTED_VALUE"""),"Extra")</f>
        <v>Extra</v>
      </c>
      <c r="D615" s="15" t="str">
        <f>IFERROR(__xludf.DUMMYFUNCTION("""COMPUTED_VALUE"""),"Removed")</f>
        <v>Removed</v>
      </c>
      <c r="E615" s="17">
        <f>IFERROR(__xludf.DUMMYFUNCTION("""COMPUTED_VALUE"""),44684.0)</f>
        <v>44684</v>
      </c>
      <c r="F615" s="54">
        <f>IFERROR(__xludf.DUMMYFUNCTION("""COMPUTED_VALUE"""),45033.0)</f>
        <v>45033</v>
      </c>
      <c r="G615" s="19">
        <f>IFERROR(__xludf.DUMMYFUNCTION("""COMPUTED_VALUE"""),11.466666666666667)</f>
        <v>11.46666667</v>
      </c>
      <c r="H615" s="17">
        <f>IFERROR(__xludf.DUMMYFUNCTION("""COMPUTED_VALUE"""),42405.0)</f>
        <v>42405</v>
      </c>
      <c r="I615" s="19">
        <f>IFERROR(__xludf.DUMMYFUNCTION("""COMPUTED_VALUE"""),6.2444444444444445)</f>
        <v>6.244444444</v>
      </c>
      <c r="J615" s="21">
        <f>IFERROR(__xludf.DUMMYFUNCTION("""COMPUTED_VALUE"""),79.0)</f>
        <v>79</v>
      </c>
      <c r="K615" s="23">
        <f>IFERROR(__xludf.DUMMYFUNCTION("""COMPUTED_VALUE"""),8.1)</f>
        <v>8.1</v>
      </c>
      <c r="L615" s="24">
        <f>IFERROR(__xludf.DUMMYFUNCTION("""COMPUTED_VALUE"""),12.0)</f>
        <v>12</v>
      </c>
      <c r="M615" s="25" t="str">
        <f>IFERROR(__xludf.DUMMYFUNCTION("""COMPUTED_VALUE"""),"Fighting")</f>
        <v>Fighting</v>
      </c>
      <c r="N615" s="25"/>
      <c r="O615" s="26" t="str">
        <f>IFERROR(__xludf.DUMMYFUNCTION("""COMPUTED_VALUE"""),"Yes")</f>
        <v>Yes</v>
      </c>
      <c r="P615" s="26" t="str">
        <f>IFERROR(__xludf.DUMMYFUNCTION("""COMPUTED_VALUE"""),"Yes")</f>
        <v>Yes</v>
      </c>
    </row>
    <row r="616">
      <c r="A616" s="13" t="str">
        <f>IFERROR(__xludf.DUMMYFUNCTION("""COMPUTED_VALUE"""),"Battlefield 2042")</f>
        <v>Battlefield 2042</v>
      </c>
      <c r="B616" s="15" t="str">
        <f>IFERROR(__xludf.DUMMYFUNCTION("""COMPUTED_VALUE"""),"PS5/PS4")</f>
        <v>PS5/PS4</v>
      </c>
      <c r="C616" s="16" t="str">
        <f>IFERROR(__xludf.DUMMYFUNCTION("""COMPUTED_VALUE"""),"Essential")</f>
        <v>Essential</v>
      </c>
      <c r="D616" s="15" t="str">
        <f>IFERROR(__xludf.DUMMYFUNCTION("""COMPUTED_VALUE"""),"Removed")</f>
        <v>Removed</v>
      </c>
      <c r="E616" s="17">
        <f>IFERROR(__xludf.DUMMYFUNCTION("""COMPUTED_VALUE"""),44992.0)</f>
        <v>44992</v>
      </c>
      <c r="F616" s="54">
        <f>IFERROR(__xludf.DUMMYFUNCTION("""COMPUTED_VALUE"""),45019.0)</f>
        <v>45019</v>
      </c>
      <c r="G616" s="19">
        <f>IFERROR(__xludf.DUMMYFUNCTION("""COMPUTED_VALUE"""),0.8666666666666666)</f>
        <v>0.8666666667</v>
      </c>
      <c r="H616" s="17">
        <f>IFERROR(__xludf.DUMMYFUNCTION("""COMPUTED_VALUE"""),44512.0)</f>
        <v>44512</v>
      </c>
      <c r="I616" s="19">
        <f>IFERROR(__xludf.DUMMYFUNCTION("""COMPUTED_VALUE"""),1.3194444444444444)</f>
        <v>1.319444444</v>
      </c>
      <c r="J616" s="21">
        <f>IFERROR(__xludf.DUMMYFUNCTION("""COMPUTED_VALUE"""),63.0)</f>
        <v>63</v>
      </c>
      <c r="K616" s="23">
        <f>IFERROR(__xludf.DUMMYFUNCTION("""COMPUTED_VALUE"""),2.6)</f>
        <v>2.6</v>
      </c>
      <c r="L616" s="24">
        <f>IFERROR(__xludf.DUMMYFUNCTION("""COMPUTED_VALUE"""),65.0)</f>
        <v>65</v>
      </c>
      <c r="M616" s="25" t="str">
        <f>IFERROR(__xludf.DUMMYFUNCTION("""COMPUTED_VALUE"""),"Shooter")</f>
        <v>Shooter</v>
      </c>
      <c r="N616" s="25"/>
      <c r="O616" s="26" t="str">
        <f>IFERROR(__xludf.DUMMYFUNCTION("""COMPUTED_VALUE"""),"Yes")</f>
        <v>Yes</v>
      </c>
      <c r="P616" s="26"/>
    </row>
    <row r="617">
      <c r="A617" s="13" t="str">
        <f>IFERROR(__xludf.DUMMYFUNCTION("""COMPUTED_VALUE"""),"Minecraft: Dungeons")</f>
        <v>Minecraft: Dungeons</v>
      </c>
      <c r="B617" s="15" t="str">
        <f>IFERROR(__xludf.DUMMYFUNCTION("""COMPUTED_VALUE"""),"PS4")</f>
        <v>PS4</v>
      </c>
      <c r="C617" s="16" t="str">
        <f>IFERROR(__xludf.DUMMYFUNCTION("""COMPUTED_VALUE"""),"Essential")</f>
        <v>Essential</v>
      </c>
      <c r="D617" s="15" t="str">
        <f>IFERROR(__xludf.DUMMYFUNCTION("""COMPUTED_VALUE"""),"Removed")</f>
        <v>Removed</v>
      </c>
      <c r="E617" s="17">
        <f>IFERROR(__xludf.DUMMYFUNCTION("""COMPUTED_VALUE"""),44992.0)</f>
        <v>44992</v>
      </c>
      <c r="F617" s="54">
        <f>IFERROR(__xludf.DUMMYFUNCTION("""COMPUTED_VALUE"""),45019.0)</f>
        <v>45019</v>
      </c>
      <c r="G617" s="19">
        <f>IFERROR(__xludf.DUMMYFUNCTION("""COMPUTED_VALUE"""),0.8666666666666666)</f>
        <v>0.8666666667</v>
      </c>
      <c r="H617" s="17">
        <f>IFERROR(__xludf.DUMMYFUNCTION("""COMPUTED_VALUE"""),43977.0)</f>
        <v>43977</v>
      </c>
      <c r="I617" s="19">
        <f>IFERROR(__xludf.DUMMYFUNCTION("""COMPUTED_VALUE"""),2.7805555555555554)</f>
        <v>2.780555556</v>
      </c>
      <c r="J617" s="21">
        <f>IFERROR(__xludf.DUMMYFUNCTION("""COMPUTED_VALUE"""),78.0)</f>
        <v>78</v>
      </c>
      <c r="K617" s="23">
        <f>IFERROR(__xludf.DUMMYFUNCTION("""COMPUTED_VALUE"""),6.2)</f>
        <v>6.2</v>
      </c>
      <c r="L617" s="24">
        <f>IFERROR(__xludf.DUMMYFUNCTION("""COMPUTED_VALUE"""),6.0)</f>
        <v>6</v>
      </c>
      <c r="M617" s="25" t="str">
        <f>IFERROR(__xludf.DUMMYFUNCTION("""COMPUTED_VALUE"""),"RPG")</f>
        <v>RPG</v>
      </c>
      <c r="N617" s="25"/>
      <c r="O617" s="26" t="str">
        <f>IFERROR(__xludf.DUMMYFUNCTION("""COMPUTED_VALUE"""),"No")</f>
        <v>No</v>
      </c>
      <c r="P617" s="26"/>
    </row>
    <row r="618">
      <c r="A618" s="13" t="str">
        <f>IFERROR(__xludf.DUMMYFUNCTION("""COMPUTED_VALUE"""),"Code Vein")</f>
        <v>Code Vein</v>
      </c>
      <c r="B618" s="15" t="str">
        <f>IFERROR(__xludf.DUMMYFUNCTION("""COMPUTED_VALUE"""),"PS4")</f>
        <v>PS4</v>
      </c>
      <c r="C618" s="16" t="str">
        <f>IFERROR(__xludf.DUMMYFUNCTION("""COMPUTED_VALUE"""),"Essential")</f>
        <v>Essential</v>
      </c>
      <c r="D618" s="15" t="str">
        <f>IFERROR(__xludf.DUMMYFUNCTION("""COMPUTED_VALUE"""),"Removed")</f>
        <v>Removed</v>
      </c>
      <c r="E618" s="17">
        <f>IFERROR(__xludf.DUMMYFUNCTION("""COMPUTED_VALUE"""),44992.0)</f>
        <v>44992</v>
      </c>
      <c r="F618" s="54">
        <f>IFERROR(__xludf.DUMMYFUNCTION("""COMPUTED_VALUE"""),45019.0)</f>
        <v>45019</v>
      </c>
      <c r="G618" s="19">
        <f>IFERROR(__xludf.DUMMYFUNCTION("""COMPUTED_VALUE"""),0.8666666666666666)</f>
        <v>0.8666666667</v>
      </c>
      <c r="H618" s="17">
        <f>IFERROR(__xludf.DUMMYFUNCTION("""COMPUTED_VALUE"""),43735.0)</f>
        <v>43735</v>
      </c>
      <c r="I618" s="19">
        <f>IFERROR(__xludf.DUMMYFUNCTION("""COMPUTED_VALUE"""),3.4444444444444446)</f>
        <v>3.444444444</v>
      </c>
      <c r="J618" s="21">
        <f>IFERROR(__xludf.DUMMYFUNCTION("""COMPUTED_VALUE"""),70.0)</f>
        <v>70</v>
      </c>
      <c r="K618" s="23">
        <f>IFERROR(__xludf.DUMMYFUNCTION("""COMPUTED_VALUE"""),7.8)</f>
        <v>7.8</v>
      </c>
      <c r="L618" s="24">
        <f>IFERROR(__xludf.DUMMYFUNCTION("""COMPUTED_VALUE"""),26.0)</f>
        <v>26</v>
      </c>
      <c r="M618" s="25" t="str">
        <f>IFERROR(__xludf.DUMMYFUNCTION("""COMPUTED_VALUE"""),"RPG")</f>
        <v>RPG</v>
      </c>
      <c r="N618" s="25"/>
      <c r="O618" s="26" t="str">
        <f>IFERROR(__xludf.DUMMYFUNCTION("""COMPUTED_VALUE"""),"No")</f>
        <v>No</v>
      </c>
      <c r="P618" s="26"/>
    </row>
    <row r="619">
      <c r="A619" s="13" t="str">
        <f>IFERROR(__xludf.DUMMYFUNCTION("""COMPUTED_VALUE"""),"Monster Energy Supercross: The Official Videogame 5")</f>
        <v>Monster Energy Supercross: The Official Videogame 5</v>
      </c>
      <c r="B619" s="15" t="str">
        <f>IFERROR(__xludf.DUMMYFUNCTION("""COMPUTED_VALUE"""),"PS5/PS4")</f>
        <v>PS5/PS4</v>
      </c>
      <c r="C619" s="16" t="str">
        <f>IFERROR(__xludf.DUMMYFUNCTION("""COMPUTED_VALUE"""),"Extra")</f>
        <v>Extra</v>
      </c>
      <c r="D619" s="15" t="str">
        <f>IFERROR(__xludf.DUMMYFUNCTION("""COMPUTED_VALUE"""),"Removed")</f>
        <v>Removed</v>
      </c>
      <c r="E619" s="17">
        <f>IFERROR(__xludf.DUMMYFUNCTION("""COMPUTED_VALUE"""),44824.0)</f>
        <v>44824</v>
      </c>
      <c r="F619" s="54">
        <f>IFERROR(__xludf.DUMMYFUNCTION("""COMPUTED_VALUE"""),45005.0)</f>
        <v>45005</v>
      </c>
      <c r="G619" s="19">
        <f>IFERROR(__xludf.DUMMYFUNCTION("""COMPUTED_VALUE"""),6.0)</f>
        <v>6</v>
      </c>
      <c r="H619" s="17">
        <f>IFERROR(__xludf.DUMMYFUNCTION("""COMPUTED_VALUE"""),44637.0)</f>
        <v>44637</v>
      </c>
      <c r="I619" s="19">
        <f>IFERROR(__xludf.DUMMYFUNCTION("""COMPUTED_VALUE"""),0.5083333333333333)</f>
        <v>0.5083333333</v>
      </c>
      <c r="J619" s="21">
        <f>IFERROR(__xludf.DUMMYFUNCTION("""COMPUTED_VALUE"""),74.0)</f>
        <v>74</v>
      </c>
      <c r="K619" s="23">
        <f>IFERROR(__xludf.DUMMYFUNCTION("""COMPUTED_VALUE"""),4.0)</f>
        <v>4</v>
      </c>
      <c r="L619" s="24">
        <f>IFERROR(__xludf.DUMMYFUNCTION("""COMPUTED_VALUE"""),8.0)</f>
        <v>8</v>
      </c>
      <c r="M619" s="25" t="str">
        <f>IFERROR(__xludf.DUMMYFUNCTION("""COMPUTED_VALUE"""),"Racing")</f>
        <v>Racing</v>
      </c>
      <c r="N619" s="25"/>
      <c r="O619" s="26" t="str">
        <f>IFERROR(__xludf.DUMMYFUNCTION("""COMPUTED_VALUE"""),"Yes")</f>
        <v>Yes</v>
      </c>
      <c r="P619" s="26"/>
    </row>
    <row r="620">
      <c r="A620" s="13" t="str">
        <f>IFERROR(__xludf.DUMMYFUNCTION("""COMPUTED_VALUE"""),"Danger Zone")</f>
        <v>Danger Zone</v>
      </c>
      <c r="B620" s="15" t="str">
        <f>IFERROR(__xludf.DUMMYFUNCTION("""COMPUTED_VALUE"""),"PS4")</f>
        <v>PS4</v>
      </c>
      <c r="C620" s="16" t="str">
        <f>IFERROR(__xludf.DUMMYFUNCTION("""COMPUTED_VALUE"""),"Extra")</f>
        <v>Extra</v>
      </c>
      <c r="D620" s="15" t="str">
        <f>IFERROR(__xludf.DUMMYFUNCTION("""COMPUTED_VALUE"""),"Removed")</f>
        <v>Removed</v>
      </c>
      <c r="E620" s="17">
        <f>IFERROR(__xludf.DUMMYFUNCTION("""COMPUTED_VALUE"""),44725.0)</f>
        <v>44725</v>
      </c>
      <c r="F620" s="54">
        <f>IFERROR(__xludf.DUMMYFUNCTION("""COMPUTED_VALUE"""),45005.0)</f>
        <v>45005</v>
      </c>
      <c r="G620" s="19">
        <f>IFERROR(__xludf.DUMMYFUNCTION("""COMPUTED_VALUE"""),9.233333333333334)</f>
        <v>9.233333333</v>
      </c>
      <c r="H620" s="17">
        <f>IFERROR(__xludf.DUMMYFUNCTION("""COMPUTED_VALUE"""),42856.0)</f>
        <v>42856</v>
      </c>
      <c r="I620" s="19">
        <f>IFERROR(__xludf.DUMMYFUNCTION("""COMPUTED_VALUE"""),5.116666666666666)</f>
        <v>5.116666667</v>
      </c>
      <c r="J620" s="21">
        <f>IFERROR(__xludf.DUMMYFUNCTION("""COMPUTED_VALUE"""),65.0)</f>
        <v>65</v>
      </c>
      <c r="K620" s="23">
        <f>IFERROR(__xludf.DUMMYFUNCTION("""COMPUTED_VALUE"""),5.2)</f>
        <v>5.2</v>
      </c>
      <c r="L620" s="24">
        <f>IFERROR(__xludf.DUMMYFUNCTION("""COMPUTED_VALUE"""),3.0)</f>
        <v>3</v>
      </c>
      <c r="M620" s="25" t="str">
        <f>IFERROR(__xludf.DUMMYFUNCTION("""COMPUTED_VALUE"""),"Action-Adventure")</f>
        <v>Action-Adventure</v>
      </c>
      <c r="N620" s="25"/>
      <c r="O620" s="26" t="str">
        <f>IFERROR(__xludf.DUMMYFUNCTION("""COMPUTED_VALUE"""),"Yes")</f>
        <v>Yes</v>
      </c>
      <c r="P620" s="26"/>
    </row>
    <row r="621">
      <c r="A621" s="13" t="str">
        <f>IFERROR(__xludf.DUMMYFUNCTION("""COMPUTED_VALUE"""),"Ghost of a Tale")</f>
        <v>Ghost of a Tale</v>
      </c>
      <c r="B621" s="15" t="str">
        <f>IFERROR(__xludf.DUMMYFUNCTION("""COMPUTED_VALUE"""),"PS4")</f>
        <v>PS4</v>
      </c>
      <c r="C621" s="16" t="str">
        <f>IFERROR(__xludf.DUMMYFUNCTION("""COMPUTED_VALUE"""),"Extra")</f>
        <v>Extra</v>
      </c>
      <c r="D621" s="15" t="str">
        <f>IFERROR(__xludf.DUMMYFUNCTION("""COMPUTED_VALUE"""),"Removed")</f>
        <v>Removed</v>
      </c>
      <c r="E621" s="17">
        <f>IFERROR(__xludf.DUMMYFUNCTION("""COMPUTED_VALUE"""),44725.0)</f>
        <v>44725</v>
      </c>
      <c r="F621" s="54">
        <f>IFERROR(__xludf.DUMMYFUNCTION("""COMPUTED_VALUE"""),45005.0)</f>
        <v>45005</v>
      </c>
      <c r="G621" s="19">
        <f>IFERROR(__xludf.DUMMYFUNCTION("""COMPUTED_VALUE"""),9.233333333333334)</f>
        <v>9.233333333</v>
      </c>
      <c r="H621" s="17">
        <f>IFERROR(__xludf.DUMMYFUNCTION("""COMPUTED_VALUE"""),43172.0)</f>
        <v>43172</v>
      </c>
      <c r="I621" s="19">
        <f>IFERROR(__xludf.DUMMYFUNCTION("""COMPUTED_VALUE"""),4.25)</f>
        <v>4.25</v>
      </c>
      <c r="J621" s="21">
        <f>IFERROR(__xludf.DUMMYFUNCTION("""COMPUTED_VALUE"""),76.0)</f>
        <v>76</v>
      </c>
      <c r="K621" s="23">
        <f>IFERROR(__xludf.DUMMYFUNCTION("""COMPUTED_VALUE"""),7.7)</f>
        <v>7.7</v>
      </c>
      <c r="L621" s="24">
        <f>IFERROR(__xludf.DUMMYFUNCTION("""COMPUTED_VALUE"""),11.0)</f>
        <v>11</v>
      </c>
      <c r="M621" s="25" t="str">
        <f>IFERROR(__xludf.DUMMYFUNCTION("""COMPUTED_VALUE"""),"RPG")</f>
        <v>RPG</v>
      </c>
      <c r="N621" s="25"/>
      <c r="O621" s="26" t="str">
        <f>IFERROR(__xludf.DUMMYFUNCTION("""COMPUTED_VALUE"""),"Yes")</f>
        <v>Yes</v>
      </c>
      <c r="P621" s="26"/>
    </row>
    <row r="622">
      <c r="A622" s="13" t="str">
        <f>IFERROR(__xludf.DUMMYFUNCTION("""COMPUTED_VALUE"""),"Override 2: Super Mech League")</f>
        <v>Override 2: Super Mech League</v>
      </c>
      <c r="B622" s="15" t="str">
        <f>IFERROR(__xludf.DUMMYFUNCTION("""COMPUTED_VALUE"""),"PS4")</f>
        <v>PS4</v>
      </c>
      <c r="C622" s="16" t="str">
        <f>IFERROR(__xludf.DUMMYFUNCTION("""COMPUTED_VALUE"""),"Extra")</f>
        <v>Extra</v>
      </c>
      <c r="D622" s="15" t="str">
        <f>IFERROR(__xludf.DUMMYFUNCTION("""COMPUTED_VALUE"""),"Removed")</f>
        <v>Removed</v>
      </c>
      <c r="E622" s="17">
        <f>IFERROR(__xludf.DUMMYFUNCTION("""COMPUTED_VALUE"""),44725.0)</f>
        <v>44725</v>
      </c>
      <c r="F622" s="54">
        <f>IFERROR(__xludf.DUMMYFUNCTION("""COMPUTED_VALUE"""),45005.0)</f>
        <v>45005</v>
      </c>
      <c r="G622" s="19">
        <f>IFERROR(__xludf.DUMMYFUNCTION("""COMPUTED_VALUE"""),9.233333333333334)</f>
        <v>9.233333333</v>
      </c>
      <c r="H622" s="17">
        <f>IFERROR(__xludf.DUMMYFUNCTION("""COMPUTED_VALUE"""),44187.0)</f>
        <v>44187</v>
      </c>
      <c r="I622" s="19">
        <f>IFERROR(__xludf.DUMMYFUNCTION("""COMPUTED_VALUE"""),1.475)</f>
        <v>1.475</v>
      </c>
      <c r="J622" s="21">
        <f>IFERROR(__xludf.DUMMYFUNCTION("""COMPUTED_VALUE"""),60.0)</f>
        <v>60</v>
      </c>
      <c r="K622" s="23">
        <f>IFERROR(__xludf.DUMMYFUNCTION("""COMPUTED_VALUE"""),5.7)</f>
        <v>5.7</v>
      </c>
      <c r="L622" s="24"/>
      <c r="M622" s="25" t="str">
        <f>IFERROR(__xludf.DUMMYFUNCTION("""COMPUTED_VALUE"""),"Fighting")</f>
        <v>Fighting</v>
      </c>
      <c r="N622" s="25"/>
      <c r="O622" s="26" t="str">
        <f>IFERROR(__xludf.DUMMYFUNCTION("""COMPUTED_VALUE"""),"Yes")</f>
        <v>Yes</v>
      </c>
      <c r="P622" s="26" t="str">
        <f>IFERROR(__xludf.DUMMYFUNCTION("""COMPUTED_VALUE"""),"Yes")</f>
        <v>Yes</v>
      </c>
    </row>
    <row r="623">
      <c r="A623" s="13" t="str">
        <f>IFERROR(__xludf.DUMMYFUNCTION("""COMPUTED_VALUE"""),"The Vanishing of Ethan Carter")</f>
        <v>The Vanishing of Ethan Carter</v>
      </c>
      <c r="B623" s="15" t="str">
        <f>IFERROR(__xludf.DUMMYFUNCTION("""COMPUTED_VALUE"""),"PS4")</f>
        <v>PS4</v>
      </c>
      <c r="C623" s="16" t="str">
        <f>IFERROR(__xludf.DUMMYFUNCTION("""COMPUTED_VALUE"""),"Extra")</f>
        <v>Extra</v>
      </c>
      <c r="D623" s="15" t="str">
        <f>IFERROR(__xludf.DUMMYFUNCTION("""COMPUTED_VALUE"""),"Removed")</f>
        <v>Removed</v>
      </c>
      <c r="E623" s="17">
        <f>IFERROR(__xludf.DUMMYFUNCTION("""COMPUTED_VALUE"""),44725.0)</f>
        <v>44725</v>
      </c>
      <c r="F623" s="54">
        <f>IFERROR(__xludf.DUMMYFUNCTION("""COMPUTED_VALUE"""),45005.0)</f>
        <v>45005</v>
      </c>
      <c r="G623" s="19">
        <f>IFERROR(__xludf.DUMMYFUNCTION("""COMPUTED_VALUE"""),9.233333333333334)</f>
        <v>9.233333333</v>
      </c>
      <c r="H623" s="17">
        <f>IFERROR(__xludf.DUMMYFUNCTION("""COMPUTED_VALUE"""),41883.0)</f>
        <v>41883</v>
      </c>
      <c r="I623" s="19">
        <f>IFERROR(__xludf.DUMMYFUNCTION("""COMPUTED_VALUE"""),7.783333333333333)</f>
        <v>7.783333333</v>
      </c>
      <c r="J623" s="21">
        <f>IFERROR(__xludf.DUMMYFUNCTION("""COMPUTED_VALUE"""),79.0)</f>
        <v>79</v>
      </c>
      <c r="K623" s="23">
        <f>IFERROR(__xludf.DUMMYFUNCTION("""COMPUTED_VALUE"""),7.3)</f>
        <v>7.3</v>
      </c>
      <c r="L623" s="24">
        <f>IFERROR(__xludf.DUMMYFUNCTION("""COMPUTED_VALUE"""),4.0)</f>
        <v>4</v>
      </c>
      <c r="M623" s="25" t="str">
        <f>IFERROR(__xludf.DUMMYFUNCTION("""COMPUTED_VALUE"""),"Action-Adventure")</f>
        <v>Action-Adventure</v>
      </c>
      <c r="N623" s="25"/>
      <c r="O623" s="26" t="str">
        <f>IFERROR(__xludf.DUMMYFUNCTION("""COMPUTED_VALUE"""),"Yes")</f>
        <v>Yes</v>
      </c>
      <c r="P623" s="26"/>
    </row>
    <row r="624">
      <c r="A624" s="13" t="str">
        <f>IFERROR(__xludf.DUMMYFUNCTION("""COMPUTED_VALUE"""),"Victor Vran: Overkill Edition")</f>
        <v>Victor Vran: Overkill Edition</v>
      </c>
      <c r="B624" s="15" t="str">
        <f>IFERROR(__xludf.DUMMYFUNCTION("""COMPUTED_VALUE"""),"PS4")</f>
        <v>PS4</v>
      </c>
      <c r="C624" s="16" t="str">
        <f>IFERROR(__xludf.DUMMYFUNCTION("""COMPUTED_VALUE"""),"Extra")</f>
        <v>Extra</v>
      </c>
      <c r="D624" s="15" t="str">
        <f>IFERROR(__xludf.DUMMYFUNCTION("""COMPUTED_VALUE"""),"Removed")</f>
        <v>Removed</v>
      </c>
      <c r="E624" s="17">
        <f>IFERROR(__xludf.DUMMYFUNCTION("""COMPUTED_VALUE"""),44725.0)</f>
        <v>44725</v>
      </c>
      <c r="F624" s="54">
        <f>IFERROR(__xludf.DUMMYFUNCTION("""COMPUTED_VALUE"""),45005.0)</f>
        <v>45005</v>
      </c>
      <c r="G624" s="19">
        <f>IFERROR(__xludf.DUMMYFUNCTION("""COMPUTED_VALUE"""),9.233333333333334)</f>
        <v>9.233333333</v>
      </c>
      <c r="H624" s="17">
        <f>IFERROR(__xludf.DUMMYFUNCTION("""COMPUTED_VALUE"""),42209.0)</f>
        <v>42209</v>
      </c>
      <c r="I624" s="19">
        <f>IFERROR(__xludf.DUMMYFUNCTION("""COMPUTED_VALUE"""),6.886111111111111)</f>
        <v>6.886111111</v>
      </c>
      <c r="J624" s="21">
        <f>IFERROR(__xludf.DUMMYFUNCTION("""COMPUTED_VALUE"""),76.0)</f>
        <v>76</v>
      </c>
      <c r="K624" s="23">
        <f>IFERROR(__xludf.DUMMYFUNCTION("""COMPUTED_VALUE"""),7.0)</f>
        <v>7</v>
      </c>
      <c r="L624" s="24">
        <f>IFERROR(__xludf.DUMMYFUNCTION("""COMPUTED_VALUE"""),13.0)</f>
        <v>13</v>
      </c>
      <c r="M624" s="25" t="str">
        <f>IFERROR(__xludf.DUMMYFUNCTION("""COMPUTED_VALUE"""),"RPG")</f>
        <v>RPG</v>
      </c>
      <c r="N624" s="25"/>
      <c r="O624" s="26" t="str">
        <f>IFERROR(__xludf.DUMMYFUNCTION("""COMPUTED_VALUE"""),"Yes")</f>
        <v>Yes</v>
      </c>
      <c r="P624" s="26" t="str">
        <f>IFERROR(__xludf.DUMMYFUNCTION("""COMPUTED_VALUE"""),"Yes")</f>
        <v>Yes</v>
      </c>
    </row>
    <row r="625">
      <c r="A625" s="13" t="str">
        <f>IFERROR(__xludf.DUMMYFUNCTION("""COMPUTED_VALUE"""),"Dungeons 2")</f>
        <v>Dungeons 2</v>
      </c>
      <c r="B625" s="15" t="str">
        <f>IFERROR(__xludf.DUMMYFUNCTION("""COMPUTED_VALUE"""),"PS4")</f>
        <v>PS4</v>
      </c>
      <c r="C625" s="16" t="str">
        <f>IFERROR(__xludf.DUMMYFUNCTION("""COMPUTED_VALUE"""),"Extra")</f>
        <v>Extra</v>
      </c>
      <c r="D625" s="15" t="str">
        <f>IFERROR(__xludf.DUMMYFUNCTION("""COMPUTED_VALUE"""),"Removed")</f>
        <v>Removed</v>
      </c>
      <c r="E625" s="17">
        <f>IFERROR(__xludf.DUMMYFUNCTION("""COMPUTED_VALUE"""),42922.0)</f>
        <v>42922</v>
      </c>
      <c r="F625" s="54">
        <f>IFERROR(__xludf.DUMMYFUNCTION("""COMPUTED_VALUE"""),45005.0)</f>
        <v>45005</v>
      </c>
      <c r="G625" s="19">
        <f>IFERROR(__xludf.DUMMYFUNCTION("""COMPUTED_VALUE"""),68.46666666666667)</f>
        <v>68.46666667</v>
      </c>
      <c r="H625" s="17">
        <f>IFERROR(__xludf.DUMMYFUNCTION("""COMPUTED_VALUE"""),42491.0)</f>
        <v>42491</v>
      </c>
      <c r="I625" s="19">
        <f>IFERROR(__xludf.DUMMYFUNCTION("""COMPUTED_VALUE"""),1.1805555555555556)</f>
        <v>1.180555556</v>
      </c>
      <c r="J625" s="21">
        <f>IFERROR(__xludf.DUMMYFUNCTION("""COMPUTED_VALUE"""),68.0)</f>
        <v>68</v>
      </c>
      <c r="K625" s="23">
        <f>IFERROR(__xludf.DUMMYFUNCTION("""COMPUTED_VALUE"""),6.9)</f>
        <v>6.9</v>
      </c>
      <c r="L625" s="24">
        <f>IFERROR(__xludf.DUMMYFUNCTION("""COMPUTED_VALUE"""),16.0)</f>
        <v>16</v>
      </c>
      <c r="M625" s="25" t="str">
        <f>IFERROR(__xludf.DUMMYFUNCTION("""COMPUTED_VALUE"""),"Action-Adventure")</f>
        <v>Action-Adventure</v>
      </c>
      <c r="N625" s="25"/>
      <c r="O625" s="26" t="str">
        <f>IFERROR(__xludf.DUMMYFUNCTION("""COMPUTED_VALUE"""),"Yes")</f>
        <v>Yes</v>
      </c>
      <c r="P625" s="26"/>
    </row>
    <row r="626">
      <c r="A626" s="13" t="str">
        <f>IFERROR(__xludf.DUMMYFUNCTION("""COMPUTED_VALUE"""),"Velocibox")</f>
        <v>Velocibox</v>
      </c>
      <c r="B626" s="15" t="str">
        <f>IFERROR(__xludf.DUMMYFUNCTION("""COMPUTED_VALUE"""),"PS4")</f>
        <v>PS4</v>
      </c>
      <c r="C626" s="16" t="str">
        <f>IFERROR(__xludf.DUMMYFUNCTION("""COMPUTED_VALUE"""),"Extra")</f>
        <v>Extra</v>
      </c>
      <c r="D626" s="15" t="str">
        <f>IFERROR(__xludf.DUMMYFUNCTION("""COMPUTED_VALUE"""),"Removed")</f>
        <v>Removed</v>
      </c>
      <c r="E626" s="17">
        <f>IFERROR(__xludf.DUMMYFUNCTION("""COMPUTED_VALUE"""),42922.0)</f>
        <v>42922</v>
      </c>
      <c r="F626" s="54">
        <f>IFERROR(__xludf.DUMMYFUNCTION("""COMPUTED_VALUE"""),45005.0)</f>
        <v>45005</v>
      </c>
      <c r="G626" s="19">
        <f>IFERROR(__xludf.DUMMYFUNCTION("""COMPUTED_VALUE"""),68.46666666666667)</f>
        <v>68.46666667</v>
      </c>
      <c r="H626" s="17">
        <f>IFERROR(__xludf.DUMMYFUNCTION("""COMPUTED_VALUE"""),42186.0)</f>
        <v>42186</v>
      </c>
      <c r="I626" s="19">
        <f>IFERROR(__xludf.DUMMYFUNCTION("""COMPUTED_VALUE"""),2.013888888888889)</f>
        <v>2.013888889</v>
      </c>
      <c r="J626" s="21">
        <f>IFERROR(__xludf.DUMMYFUNCTION("""COMPUTED_VALUE"""),68.0)</f>
        <v>68</v>
      </c>
      <c r="K626" s="23">
        <f>IFERROR(__xludf.DUMMYFUNCTION("""COMPUTED_VALUE"""),6.0)</f>
        <v>6</v>
      </c>
      <c r="L626" s="24"/>
      <c r="M626" s="25" t="str">
        <f>IFERROR(__xludf.DUMMYFUNCTION("""COMPUTED_VALUE"""),"Arcade")</f>
        <v>Arcade</v>
      </c>
      <c r="N626" s="25"/>
      <c r="O626" s="26" t="str">
        <f>IFERROR(__xludf.DUMMYFUNCTION("""COMPUTED_VALUE"""),"No")</f>
        <v>No</v>
      </c>
      <c r="P626" s="26"/>
    </row>
    <row r="627">
      <c r="A627" s="13" t="str">
        <f>IFERROR(__xludf.DUMMYFUNCTION("""COMPUTED_VALUE"""),"WWE 2K22")</f>
        <v>WWE 2K22</v>
      </c>
      <c r="B627" s="15" t="str">
        <f>IFERROR(__xludf.DUMMYFUNCTION("""COMPUTED_VALUE"""),"PS4")</f>
        <v>PS4</v>
      </c>
      <c r="C627" s="16" t="str">
        <f>IFERROR(__xludf.DUMMYFUNCTION("""COMPUTED_VALUE"""),"Extra")</f>
        <v>Extra</v>
      </c>
      <c r="D627" s="15" t="str">
        <f>IFERROR(__xludf.DUMMYFUNCTION("""COMPUTED_VALUE"""),"Removed")</f>
        <v>Removed</v>
      </c>
      <c r="E627" s="17">
        <f>IFERROR(__xludf.DUMMYFUNCTION("""COMPUTED_VALUE"""),44929.0)</f>
        <v>44929</v>
      </c>
      <c r="F627" s="54">
        <f>IFERROR(__xludf.DUMMYFUNCTION("""COMPUTED_VALUE"""),44998.0)</f>
        <v>44998</v>
      </c>
      <c r="G627" s="19">
        <f>IFERROR(__xludf.DUMMYFUNCTION("""COMPUTED_VALUE"""),2.3333333333333335)</f>
        <v>2.333333333</v>
      </c>
      <c r="H627" s="17">
        <f>IFERROR(__xludf.DUMMYFUNCTION("""COMPUTED_VALUE"""),44628.0)</f>
        <v>44628</v>
      </c>
      <c r="I627" s="19">
        <f>IFERROR(__xludf.DUMMYFUNCTION("""COMPUTED_VALUE"""),0.8194444444444444)</f>
        <v>0.8194444444</v>
      </c>
      <c r="J627" s="21">
        <f>IFERROR(__xludf.DUMMYFUNCTION("""COMPUTED_VALUE"""),76.0)</f>
        <v>76</v>
      </c>
      <c r="K627" s="23">
        <f>IFERROR(__xludf.DUMMYFUNCTION("""COMPUTED_VALUE"""),6.1)</f>
        <v>6.1</v>
      </c>
      <c r="L627" s="24">
        <f>IFERROR(__xludf.DUMMYFUNCTION("""COMPUTED_VALUE"""),4.0)</f>
        <v>4</v>
      </c>
      <c r="M627" s="25" t="str">
        <f>IFERROR(__xludf.DUMMYFUNCTION("""COMPUTED_VALUE"""),"Fighting")</f>
        <v>Fighting</v>
      </c>
      <c r="N627" s="25"/>
      <c r="O627" s="26" t="str">
        <f>IFERROR(__xludf.DUMMYFUNCTION("""COMPUTED_VALUE"""),"Yes")</f>
        <v>Yes</v>
      </c>
      <c r="P627" s="26"/>
    </row>
    <row r="628">
      <c r="A628" s="13" t="str">
        <f>IFERROR(__xludf.DUMMYFUNCTION("""COMPUTED_VALUE"""),"Destiny 2: Beyond Light")</f>
        <v>Destiny 2: Beyond Light</v>
      </c>
      <c r="B628" s="15" t="str">
        <f>IFERROR(__xludf.DUMMYFUNCTION("""COMPUTED_VALUE"""),"PS5/PS4")</f>
        <v>PS5/PS4</v>
      </c>
      <c r="C628" s="16" t="str">
        <f>IFERROR(__xludf.DUMMYFUNCTION("""COMPUTED_VALUE"""),"Essential")</f>
        <v>Essential</v>
      </c>
      <c r="D628" s="15" t="str">
        <f>IFERROR(__xludf.DUMMYFUNCTION("""COMPUTED_VALUE"""),"Removed")</f>
        <v>Removed</v>
      </c>
      <c r="E628" s="17">
        <f>IFERROR(__xludf.DUMMYFUNCTION("""COMPUTED_VALUE"""),44964.0)</f>
        <v>44964</v>
      </c>
      <c r="F628" s="54">
        <f>IFERROR(__xludf.DUMMYFUNCTION("""COMPUTED_VALUE"""),44991.0)</f>
        <v>44991</v>
      </c>
      <c r="G628" s="19">
        <f>IFERROR(__xludf.DUMMYFUNCTION("""COMPUTED_VALUE"""),0.9666666666666668)</f>
        <v>0.9666666667</v>
      </c>
      <c r="H628" s="17">
        <f>IFERROR(__xludf.DUMMYFUNCTION("""COMPUTED_VALUE"""),44145.0)</f>
        <v>44145</v>
      </c>
      <c r="I628" s="19">
        <f>IFERROR(__xludf.DUMMYFUNCTION("""COMPUTED_VALUE"""),2.2416666666666667)</f>
        <v>2.241666667</v>
      </c>
      <c r="J628" s="21">
        <f>IFERROR(__xludf.DUMMYFUNCTION("""COMPUTED_VALUE"""),76.0)</f>
        <v>76</v>
      </c>
      <c r="K628" s="23">
        <f>IFERROR(__xludf.DUMMYFUNCTION("""COMPUTED_VALUE"""),3.9)</f>
        <v>3.9</v>
      </c>
      <c r="L628" s="24">
        <f>IFERROR(__xludf.DUMMYFUNCTION("""COMPUTED_VALUE"""),6.0)</f>
        <v>6</v>
      </c>
      <c r="M628" s="25" t="str">
        <f>IFERROR(__xludf.DUMMYFUNCTION("""COMPUTED_VALUE"""),"Shooter")</f>
        <v>Shooter</v>
      </c>
      <c r="N628" s="25"/>
      <c r="O628" s="26" t="str">
        <f>IFERROR(__xludf.DUMMYFUNCTION("""COMPUTED_VALUE"""),"No")</f>
        <v>No</v>
      </c>
      <c r="P628" s="26"/>
    </row>
    <row r="629">
      <c r="A629" s="13" t="str">
        <f>IFERROR(__xludf.DUMMYFUNCTION("""COMPUTED_VALUE"""),"Evil Dead: The Game")</f>
        <v>Evil Dead: The Game</v>
      </c>
      <c r="B629" s="15" t="str">
        <f>IFERROR(__xludf.DUMMYFUNCTION("""COMPUTED_VALUE"""),"PS5/PS4")</f>
        <v>PS5/PS4</v>
      </c>
      <c r="C629" s="16" t="str">
        <f>IFERROR(__xludf.DUMMYFUNCTION("""COMPUTED_VALUE"""),"Essential")</f>
        <v>Essential</v>
      </c>
      <c r="D629" s="15" t="str">
        <f>IFERROR(__xludf.DUMMYFUNCTION("""COMPUTED_VALUE"""),"Removed")</f>
        <v>Removed</v>
      </c>
      <c r="E629" s="17">
        <f>IFERROR(__xludf.DUMMYFUNCTION("""COMPUTED_VALUE"""),44964.0)</f>
        <v>44964</v>
      </c>
      <c r="F629" s="54">
        <f>IFERROR(__xludf.DUMMYFUNCTION("""COMPUTED_VALUE"""),44991.0)</f>
        <v>44991</v>
      </c>
      <c r="G629" s="19">
        <f>IFERROR(__xludf.DUMMYFUNCTION("""COMPUTED_VALUE"""),0.9666666666666668)</f>
        <v>0.9666666667</v>
      </c>
      <c r="H629" s="17">
        <f>IFERROR(__xludf.DUMMYFUNCTION("""COMPUTED_VALUE"""),44694.0)</f>
        <v>44694</v>
      </c>
      <c r="I629" s="19">
        <f>IFERROR(__xludf.DUMMYFUNCTION("""COMPUTED_VALUE"""),0.7333333333333333)</f>
        <v>0.7333333333</v>
      </c>
      <c r="J629" s="21">
        <f>IFERROR(__xludf.DUMMYFUNCTION("""COMPUTED_VALUE"""),72.0)</f>
        <v>72</v>
      </c>
      <c r="K629" s="23">
        <f>IFERROR(__xludf.DUMMYFUNCTION("""COMPUTED_VALUE"""),7.5)</f>
        <v>7.5</v>
      </c>
      <c r="L629" s="24">
        <f>IFERROR(__xludf.DUMMYFUNCTION("""COMPUTED_VALUE"""),4.0)</f>
        <v>4</v>
      </c>
      <c r="M629" s="25" t="str">
        <f>IFERROR(__xludf.DUMMYFUNCTION("""COMPUTED_VALUE"""),"Action-Adventure")</f>
        <v>Action-Adventure</v>
      </c>
      <c r="N629" s="25"/>
      <c r="O629" s="26" t="str">
        <f>IFERROR(__xludf.DUMMYFUNCTION("""COMPUTED_VALUE"""),"No")</f>
        <v>No</v>
      </c>
      <c r="P629" s="26"/>
    </row>
    <row r="630">
      <c r="A630" s="13" t="str">
        <f>IFERROR(__xludf.DUMMYFUNCTION("""COMPUTED_VALUE"""),"OlliOlli World")</f>
        <v>OlliOlli World</v>
      </c>
      <c r="B630" s="15" t="str">
        <f>IFERROR(__xludf.DUMMYFUNCTION("""COMPUTED_VALUE"""),"PS5/PS4")</f>
        <v>PS5/PS4</v>
      </c>
      <c r="C630" s="16" t="str">
        <f>IFERROR(__xludf.DUMMYFUNCTION("""COMPUTED_VALUE"""),"Essential")</f>
        <v>Essential</v>
      </c>
      <c r="D630" s="15" t="str">
        <f>IFERROR(__xludf.DUMMYFUNCTION("""COMPUTED_VALUE"""),"Removed")</f>
        <v>Removed</v>
      </c>
      <c r="E630" s="17">
        <f>IFERROR(__xludf.DUMMYFUNCTION("""COMPUTED_VALUE"""),44964.0)</f>
        <v>44964</v>
      </c>
      <c r="F630" s="54">
        <f>IFERROR(__xludf.DUMMYFUNCTION("""COMPUTED_VALUE"""),44991.0)</f>
        <v>44991</v>
      </c>
      <c r="G630" s="19">
        <f>IFERROR(__xludf.DUMMYFUNCTION("""COMPUTED_VALUE"""),0.9666666666666668)</f>
        <v>0.9666666667</v>
      </c>
      <c r="H630" s="17">
        <f>IFERROR(__xludf.DUMMYFUNCTION("""COMPUTED_VALUE"""),44600.0)</f>
        <v>44600</v>
      </c>
      <c r="I630" s="19">
        <f>IFERROR(__xludf.DUMMYFUNCTION("""COMPUTED_VALUE"""),0.9972222222222222)</f>
        <v>0.9972222222</v>
      </c>
      <c r="J630" s="21">
        <f>IFERROR(__xludf.DUMMYFUNCTION("""COMPUTED_VALUE"""),86.0)</f>
        <v>86</v>
      </c>
      <c r="K630" s="23">
        <f>IFERROR(__xludf.DUMMYFUNCTION("""COMPUTED_VALUE"""),7.8)</f>
        <v>7.8</v>
      </c>
      <c r="L630" s="24">
        <f>IFERROR(__xludf.DUMMYFUNCTION("""COMPUTED_VALUE"""),6.0)</f>
        <v>6</v>
      </c>
      <c r="M630" s="25" t="str">
        <f>IFERROR(__xludf.DUMMYFUNCTION("""COMPUTED_VALUE"""),"Platformer")</f>
        <v>Platformer</v>
      </c>
      <c r="N630" s="25"/>
      <c r="O630" s="26" t="str">
        <f>IFERROR(__xludf.DUMMYFUNCTION("""COMPUTED_VALUE"""),"No")</f>
        <v>No</v>
      </c>
      <c r="P630" s="26"/>
    </row>
    <row r="631">
      <c r="A631" s="13" t="str">
        <f>IFERROR(__xludf.DUMMYFUNCTION("""COMPUTED_VALUE"""),"Mafia: Definitive Edition")</f>
        <v>Mafia: Definitive Edition</v>
      </c>
      <c r="B631" s="15" t="str">
        <f>IFERROR(__xludf.DUMMYFUNCTION("""COMPUTED_VALUE"""),"PS4")</f>
        <v>PS4</v>
      </c>
      <c r="C631" s="16" t="str">
        <f>IFERROR(__xludf.DUMMYFUNCTION("""COMPUTED_VALUE"""),"Essential")</f>
        <v>Essential</v>
      </c>
      <c r="D631" s="15" t="str">
        <f>IFERROR(__xludf.DUMMYFUNCTION("""COMPUTED_VALUE"""),"Removed")</f>
        <v>Removed</v>
      </c>
      <c r="E631" s="17">
        <f>IFERROR(__xludf.DUMMYFUNCTION("""COMPUTED_VALUE"""),44964.0)</f>
        <v>44964</v>
      </c>
      <c r="F631" s="54">
        <f>IFERROR(__xludf.DUMMYFUNCTION("""COMPUTED_VALUE"""),44991.0)</f>
        <v>44991</v>
      </c>
      <c r="G631" s="19">
        <f>IFERROR(__xludf.DUMMYFUNCTION("""COMPUTED_VALUE"""),0.9666666666666668)</f>
        <v>0.9666666667</v>
      </c>
      <c r="H631" s="17">
        <f>IFERROR(__xludf.DUMMYFUNCTION("""COMPUTED_VALUE"""),44099.0)</f>
        <v>44099</v>
      </c>
      <c r="I631" s="19">
        <f>IFERROR(__xludf.DUMMYFUNCTION("""COMPUTED_VALUE"""),2.3666666666666667)</f>
        <v>2.366666667</v>
      </c>
      <c r="J631" s="21">
        <f>IFERROR(__xludf.DUMMYFUNCTION("""COMPUTED_VALUE"""),76.0)</f>
        <v>76</v>
      </c>
      <c r="K631" s="23">
        <f>IFERROR(__xludf.DUMMYFUNCTION("""COMPUTED_VALUE"""),7.0)</f>
        <v>7</v>
      </c>
      <c r="L631" s="24">
        <f>IFERROR(__xludf.DUMMYFUNCTION("""COMPUTED_VALUE"""),11.0)</f>
        <v>11</v>
      </c>
      <c r="M631" s="25" t="str">
        <f>IFERROR(__xludf.DUMMYFUNCTION("""COMPUTED_VALUE"""),"Shooter")</f>
        <v>Shooter</v>
      </c>
      <c r="N631" s="25"/>
      <c r="O631" s="26" t="str">
        <f>IFERROR(__xludf.DUMMYFUNCTION("""COMPUTED_VALUE"""),"No")</f>
        <v>No</v>
      </c>
      <c r="P631" s="26"/>
    </row>
    <row r="632">
      <c r="A632" s="13" t="str">
        <f>IFERROR(__xludf.DUMMYFUNCTION("""COMPUTED_VALUE"""),"Grand Theft Auto: Vice City - The Definitive Edition")</f>
        <v>Grand Theft Auto: Vice City - The Definitive Edition</v>
      </c>
      <c r="B632" s="15" t="str">
        <f>IFERROR(__xludf.DUMMYFUNCTION("""COMPUTED_VALUE"""),"PS5/PS4")</f>
        <v>PS5/PS4</v>
      </c>
      <c r="C632" s="16" t="str">
        <f>IFERROR(__xludf.DUMMYFUNCTION("""COMPUTED_VALUE"""),"Extra")</f>
        <v>Extra</v>
      </c>
      <c r="D632" s="15" t="str">
        <f>IFERROR(__xludf.DUMMYFUNCTION("""COMPUTED_VALUE"""),"Removed")</f>
        <v>Removed</v>
      </c>
      <c r="E632" s="17">
        <f>IFERROR(__xludf.DUMMYFUNCTION("""COMPUTED_VALUE"""),44852.0)</f>
        <v>44852</v>
      </c>
      <c r="F632" s="54">
        <f>IFERROR(__xludf.DUMMYFUNCTION("""COMPUTED_VALUE"""),44977.0)</f>
        <v>44977</v>
      </c>
      <c r="G632" s="19">
        <f>IFERROR(__xludf.DUMMYFUNCTION("""COMPUTED_VALUE"""),4.066666666666666)</f>
        <v>4.066666667</v>
      </c>
      <c r="H632" s="17">
        <f>IFERROR(__xludf.DUMMYFUNCTION("""COMPUTED_VALUE"""),44511.0)</f>
        <v>44511</v>
      </c>
      <c r="I632" s="19">
        <f>IFERROR(__xludf.DUMMYFUNCTION("""COMPUTED_VALUE"""),0.9361111111111111)</f>
        <v>0.9361111111</v>
      </c>
      <c r="J632" s="21">
        <f>IFERROR(__xludf.DUMMYFUNCTION("""COMPUTED_VALUE"""),54.0)</f>
        <v>54</v>
      </c>
      <c r="K632" s="23">
        <f>IFERROR(__xludf.DUMMYFUNCTION("""COMPUTED_VALUE"""),2.4)</f>
        <v>2.4</v>
      </c>
      <c r="L632" s="24">
        <f>IFERROR(__xludf.DUMMYFUNCTION("""COMPUTED_VALUE"""),18.0)</f>
        <v>18</v>
      </c>
      <c r="M632" s="25" t="str">
        <f>IFERROR(__xludf.DUMMYFUNCTION("""COMPUTED_VALUE"""),"Shooter")</f>
        <v>Shooter</v>
      </c>
      <c r="N632" s="25"/>
      <c r="O632" s="26" t="str">
        <f>IFERROR(__xludf.DUMMYFUNCTION("""COMPUTED_VALUE"""),"Yes")</f>
        <v>Yes</v>
      </c>
      <c r="P632" s="26"/>
    </row>
    <row r="633">
      <c r="A633" s="13" t="str">
        <f>IFERROR(__xludf.DUMMYFUNCTION("""COMPUTED_VALUE"""),"Metro Exodus")</f>
        <v>Metro Exodus</v>
      </c>
      <c r="B633" s="15" t="str">
        <f>IFERROR(__xludf.DUMMYFUNCTION("""COMPUTED_VALUE"""),"PS4")</f>
        <v>PS4</v>
      </c>
      <c r="C633" s="16" t="str">
        <f>IFERROR(__xludf.DUMMYFUNCTION("""COMPUTED_VALUE"""),"Extra")</f>
        <v>Extra</v>
      </c>
      <c r="D633" s="15" t="str">
        <f>IFERROR(__xludf.DUMMYFUNCTION("""COMPUTED_VALUE"""),"Removed")</f>
        <v>Removed</v>
      </c>
      <c r="E633" s="17">
        <f>IFERROR(__xludf.DUMMYFUNCTION("""COMPUTED_VALUE"""),44789.0)</f>
        <v>44789</v>
      </c>
      <c r="F633" s="54">
        <f>IFERROR(__xludf.DUMMYFUNCTION("""COMPUTED_VALUE"""),44977.0)</f>
        <v>44977</v>
      </c>
      <c r="G633" s="19">
        <f>IFERROR(__xludf.DUMMYFUNCTION("""COMPUTED_VALUE"""),6.133333333333333)</f>
        <v>6.133333333</v>
      </c>
      <c r="H633" s="17">
        <f>IFERROR(__xludf.DUMMYFUNCTION("""COMPUTED_VALUE"""),43511.0)</f>
        <v>43511</v>
      </c>
      <c r="I633" s="19">
        <f>IFERROR(__xludf.DUMMYFUNCTION("""COMPUTED_VALUE"""),3.5027777777777778)</f>
        <v>3.502777778</v>
      </c>
      <c r="J633" s="21">
        <f>IFERROR(__xludf.DUMMYFUNCTION("""COMPUTED_VALUE"""),83.0)</f>
        <v>83</v>
      </c>
      <c r="K633" s="23">
        <f>IFERROR(__xludf.DUMMYFUNCTION("""COMPUTED_VALUE"""),7.9)</f>
        <v>7.9</v>
      </c>
      <c r="L633" s="24">
        <f>IFERROR(__xludf.DUMMYFUNCTION("""COMPUTED_VALUE"""),15.0)</f>
        <v>15</v>
      </c>
      <c r="M633" s="25" t="str">
        <f>IFERROR(__xludf.DUMMYFUNCTION("""COMPUTED_VALUE"""),"Shooter")</f>
        <v>Shooter</v>
      </c>
      <c r="N633" s="25"/>
      <c r="O633" s="26" t="str">
        <f>IFERROR(__xludf.DUMMYFUNCTION("""COMPUTED_VALUE"""),"Yes")</f>
        <v>Yes</v>
      </c>
      <c r="P633" s="26"/>
    </row>
    <row r="634">
      <c r="A634" s="13" t="str">
        <f>IFERROR(__xludf.DUMMYFUNCTION("""COMPUTED_VALUE"""),"Agatha Christie: The ABC Murders")</f>
        <v>Agatha Christie: The ABC Murders</v>
      </c>
      <c r="B634" s="15" t="str">
        <f>IFERROR(__xludf.DUMMYFUNCTION("""COMPUTED_VALUE"""),"PS4")</f>
        <v>PS4</v>
      </c>
      <c r="C634" s="16" t="str">
        <f>IFERROR(__xludf.DUMMYFUNCTION("""COMPUTED_VALUE"""),"Extra")</f>
        <v>Extra</v>
      </c>
      <c r="D634" s="15" t="str">
        <f>IFERROR(__xludf.DUMMYFUNCTION("""COMPUTED_VALUE"""),"Removed")</f>
        <v>Removed</v>
      </c>
      <c r="E634" s="17">
        <f>IFERROR(__xludf.DUMMYFUNCTION("""COMPUTED_VALUE"""),44725.0)</f>
        <v>44725</v>
      </c>
      <c r="F634" s="54">
        <f>IFERROR(__xludf.DUMMYFUNCTION("""COMPUTED_VALUE"""),44977.0)</f>
        <v>44977</v>
      </c>
      <c r="G634" s="19">
        <f>IFERROR(__xludf.DUMMYFUNCTION("""COMPUTED_VALUE"""),8.233333333333334)</f>
        <v>8.233333333</v>
      </c>
      <c r="H634" s="17">
        <f>IFERROR(__xludf.DUMMYFUNCTION("""COMPUTED_VALUE"""),42401.0)</f>
        <v>42401</v>
      </c>
      <c r="I634" s="19">
        <f>IFERROR(__xludf.DUMMYFUNCTION("""COMPUTED_VALUE"""),6.366666666666666)</f>
        <v>6.366666667</v>
      </c>
      <c r="J634" s="21">
        <f>IFERROR(__xludf.DUMMYFUNCTION("""COMPUTED_VALUE"""),68.0)</f>
        <v>68</v>
      </c>
      <c r="K634" s="23">
        <f>IFERROR(__xludf.DUMMYFUNCTION("""COMPUTED_VALUE"""),6.6)</f>
        <v>6.6</v>
      </c>
      <c r="L634" s="24">
        <f>IFERROR(__xludf.DUMMYFUNCTION("""COMPUTED_VALUE"""),7.0)</f>
        <v>7</v>
      </c>
      <c r="M634" s="25" t="str">
        <f>IFERROR(__xludf.DUMMYFUNCTION("""COMPUTED_VALUE"""),"Action-Adventure")</f>
        <v>Action-Adventure</v>
      </c>
      <c r="N634" s="25"/>
      <c r="O634" s="26" t="str">
        <f>IFERROR(__xludf.DUMMYFUNCTION("""COMPUTED_VALUE"""),"Yes")</f>
        <v>Yes</v>
      </c>
      <c r="P634" s="26"/>
    </row>
    <row r="635">
      <c r="A635" s="13" t="str">
        <f>IFERROR(__xludf.DUMMYFUNCTION("""COMPUTED_VALUE"""),"Pure Farming 2018")</f>
        <v>Pure Farming 2018</v>
      </c>
      <c r="B635" s="15" t="str">
        <f>IFERROR(__xludf.DUMMYFUNCTION("""COMPUTED_VALUE"""),"PS4")</f>
        <v>PS4</v>
      </c>
      <c r="C635" s="16" t="str">
        <f>IFERROR(__xludf.DUMMYFUNCTION("""COMPUTED_VALUE"""),"Extra")</f>
        <v>Extra</v>
      </c>
      <c r="D635" s="15" t="str">
        <f>IFERROR(__xludf.DUMMYFUNCTION("""COMPUTED_VALUE"""),"Removed")</f>
        <v>Removed</v>
      </c>
      <c r="E635" s="17">
        <f>IFERROR(__xludf.DUMMYFUNCTION("""COMPUTED_VALUE"""),44725.0)</f>
        <v>44725</v>
      </c>
      <c r="F635" s="54">
        <f>IFERROR(__xludf.DUMMYFUNCTION("""COMPUTED_VALUE"""),44977.0)</f>
        <v>44977</v>
      </c>
      <c r="G635" s="19">
        <f>IFERROR(__xludf.DUMMYFUNCTION("""COMPUTED_VALUE"""),8.233333333333334)</f>
        <v>8.233333333</v>
      </c>
      <c r="H635" s="17">
        <f>IFERROR(__xludf.DUMMYFUNCTION("""COMPUTED_VALUE"""),43160.0)</f>
        <v>43160</v>
      </c>
      <c r="I635" s="19">
        <f>IFERROR(__xludf.DUMMYFUNCTION("""COMPUTED_VALUE"""),4.283333333333333)</f>
        <v>4.283333333</v>
      </c>
      <c r="J635" s="21">
        <f>IFERROR(__xludf.DUMMYFUNCTION("""COMPUTED_VALUE"""),68.0)</f>
        <v>68</v>
      </c>
      <c r="K635" s="23">
        <f>IFERROR(__xludf.DUMMYFUNCTION("""COMPUTED_VALUE"""),5.8)</f>
        <v>5.8</v>
      </c>
      <c r="L635" s="24"/>
      <c r="M635" s="25" t="str">
        <f>IFERROR(__xludf.DUMMYFUNCTION("""COMPUTED_VALUE"""),"Simulation")</f>
        <v>Simulation</v>
      </c>
      <c r="N635" s="25"/>
      <c r="O635" s="26" t="str">
        <f>IFERROR(__xludf.DUMMYFUNCTION("""COMPUTED_VALUE"""),"Yes")</f>
        <v>Yes</v>
      </c>
      <c r="P635" s="26"/>
    </row>
    <row r="636">
      <c r="A636" s="13" t="str">
        <f>IFERROR(__xludf.DUMMYFUNCTION("""COMPUTED_VALUE"""),"Rad Rodgers")</f>
        <v>Rad Rodgers</v>
      </c>
      <c r="B636" s="15" t="str">
        <f>IFERROR(__xludf.DUMMYFUNCTION("""COMPUTED_VALUE"""),"PS4")</f>
        <v>PS4</v>
      </c>
      <c r="C636" s="16" t="str">
        <f>IFERROR(__xludf.DUMMYFUNCTION("""COMPUTED_VALUE"""),"Extra")</f>
        <v>Extra</v>
      </c>
      <c r="D636" s="15" t="str">
        <f>IFERROR(__xludf.DUMMYFUNCTION("""COMPUTED_VALUE"""),"Removed")</f>
        <v>Removed</v>
      </c>
      <c r="E636" s="17">
        <f>IFERROR(__xludf.DUMMYFUNCTION("""COMPUTED_VALUE"""),44725.0)</f>
        <v>44725</v>
      </c>
      <c r="F636" s="54">
        <f>IFERROR(__xludf.DUMMYFUNCTION("""COMPUTED_VALUE"""),44977.0)</f>
        <v>44977</v>
      </c>
      <c r="G636" s="19">
        <f>IFERROR(__xludf.DUMMYFUNCTION("""COMPUTED_VALUE"""),8.233333333333334)</f>
        <v>8.233333333</v>
      </c>
      <c r="H636" s="17">
        <f>IFERROR(__xludf.DUMMYFUNCTION("""COMPUTED_VALUE"""),43132.0)</f>
        <v>43132</v>
      </c>
      <c r="I636" s="19">
        <f>IFERROR(__xludf.DUMMYFUNCTION("""COMPUTED_VALUE"""),4.366666666666666)</f>
        <v>4.366666667</v>
      </c>
      <c r="J636" s="21">
        <f>IFERROR(__xludf.DUMMYFUNCTION("""COMPUTED_VALUE"""),65.0)</f>
        <v>65</v>
      </c>
      <c r="K636" s="23">
        <f>IFERROR(__xludf.DUMMYFUNCTION("""COMPUTED_VALUE"""),6.3)</f>
        <v>6.3</v>
      </c>
      <c r="L636" s="24">
        <f>IFERROR(__xludf.DUMMYFUNCTION("""COMPUTED_VALUE"""),7.0)</f>
        <v>7</v>
      </c>
      <c r="M636" s="25" t="str">
        <f>IFERROR(__xludf.DUMMYFUNCTION("""COMPUTED_VALUE"""),"Platformer")</f>
        <v>Platformer</v>
      </c>
      <c r="N636" s="25"/>
      <c r="O636" s="26" t="str">
        <f>IFERROR(__xludf.DUMMYFUNCTION("""COMPUTED_VALUE"""),"Yes")</f>
        <v>Yes</v>
      </c>
      <c r="P636" s="26" t="str">
        <f>IFERROR(__xludf.DUMMYFUNCTION("""COMPUTED_VALUE"""),"Yes")</f>
        <v>Yes</v>
      </c>
    </row>
    <row r="637">
      <c r="A637" s="13" t="str">
        <f>IFERROR(__xludf.DUMMYFUNCTION("""COMPUTED_VALUE"""),"Sine Mora EX")</f>
        <v>Sine Mora EX</v>
      </c>
      <c r="B637" s="15" t="str">
        <f>IFERROR(__xludf.DUMMYFUNCTION("""COMPUTED_VALUE"""),"PS4")</f>
        <v>PS4</v>
      </c>
      <c r="C637" s="16" t="str">
        <f>IFERROR(__xludf.DUMMYFUNCTION("""COMPUTED_VALUE"""),"Extra")</f>
        <v>Extra</v>
      </c>
      <c r="D637" s="15" t="str">
        <f>IFERROR(__xludf.DUMMYFUNCTION("""COMPUTED_VALUE"""),"Removed")</f>
        <v>Removed</v>
      </c>
      <c r="E637" s="17">
        <f>IFERROR(__xludf.DUMMYFUNCTION("""COMPUTED_VALUE"""),44725.0)</f>
        <v>44725</v>
      </c>
      <c r="F637" s="54">
        <f>IFERROR(__xludf.DUMMYFUNCTION("""COMPUTED_VALUE"""),44977.0)</f>
        <v>44977</v>
      </c>
      <c r="G637" s="19">
        <f>IFERROR(__xludf.DUMMYFUNCTION("""COMPUTED_VALUE"""),8.233333333333334)</f>
        <v>8.233333333</v>
      </c>
      <c r="H637" s="17">
        <f>IFERROR(__xludf.DUMMYFUNCTION("""COMPUTED_VALUE"""),40969.0)</f>
        <v>40969</v>
      </c>
      <c r="I637" s="19">
        <f>IFERROR(__xludf.DUMMYFUNCTION("""COMPUTED_VALUE"""),10.283333333333333)</f>
        <v>10.28333333</v>
      </c>
      <c r="J637" s="21">
        <f>IFERROR(__xludf.DUMMYFUNCTION("""COMPUTED_VALUE"""),78.0)</f>
        <v>78</v>
      </c>
      <c r="K637" s="23">
        <f>IFERROR(__xludf.DUMMYFUNCTION("""COMPUTED_VALUE"""),7.4)</f>
        <v>7.4</v>
      </c>
      <c r="L637" s="24">
        <f>IFERROR(__xludf.DUMMYFUNCTION("""COMPUTED_VALUE"""),4.0)</f>
        <v>4</v>
      </c>
      <c r="M637" s="25" t="str">
        <f>IFERROR(__xludf.DUMMYFUNCTION("""COMPUTED_VALUE"""),"Action-Adventure")</f>
        <v>Action-Adventure</v>
      </c>
      <c r="N637" s="25"/>
      <c r="O637" s="26" t="str">
        <f>IFERROR(__xludf.DUMMYFUNCTION("""COMPUTED_VALUE"""),"Yes")</f>
        <v>Yes</v>
      </c>
      <c r="P637" s="26" t="str">
        <f>IFERROR(__xludf.DUMMYFUNCTION("""COMPUTED_VALUE"""),"Yes")</f>
        <v>Yes</v>
      </c>
    </row>
    <row r="638">
      <c r="A638" s="13" t="str">
        <f>IFERROR(__xludf.DUMMYFUNCTION("""COMPUTED_VALUE"""),"SkyDrift Infinity")</f>
        <v>SkyDrift Infinity</v>
      </c>
      <c r="B638" s="15" t="str">
        <f>IFERROR(__xludf.DUMMYFUNCTION("""COMPUTED_VALUE"""),"PS4")</f>
        <v>PS4</v>
      </c>
      <c r="C638" s="16" t="str">
        <f>IFERROR(__xludf.DUMMYFUNCTION("""COMPUTED_VALUE"""),"Extra")</f>
        <v>Extra</v>
      </c>
      <c r="D638" s="15" t="str">
        <f>IFERROR(__xludf.DUMMYFUNCTION("""COMPUTED_VALUE"""),"Removed")</f>
        <v>Removed</v>
      </c>
      <c r="E638" s="17">
        <f>IFERROR(__xludf.DUMMYFUNCTION("""COMPUTED_VALUE"""),44725.0)</f>
        <v>44725</v>
      </c>
      <c r="F638" s="54">
        <f>IFERROR(__xludf.DUMMYFUNCTION("""COMPUTED_VALUE"""),44977.0)</f>
        <v>44977</v>
      </c>
      <c r="G638" s="19">
        <f>IFERROR(__xludf.DUMMYFUNCTION("""COMPUTED_VALUE"""),8.233333333333334)</f>
        <v>8.233333333</v>
      </c>
      <c r="H638" s="17">
        <f>IFERROR(__xludf.DUMMYFUNCTION("""COMPUTED_VALUE"""),44406.0)</f>
        <v>44406</v>
      </c>
      <c r="I638" s="19">
        <f>IFERROR(__xludf.DUMMYFUNCTION("""COMPUTED_VALUE"""),0.8722222222222222)</f>
        <v>0.8722222222</v>
      </c>
      <c r="J638" s="21">
        <f>IFERROR(__xludf.DUMMYFUNCTION("""COMPUTED_VALUE"""),64.0)</f>
        <v>64</v>
      </c>
      <c r="K638" s="23">
        <f>IFERROR(__xludf.DUMMYFUNCTION("""COMPUTED_VALUE"""),6.8)</f>
        <v>6.8</v>
      </c>
      <c r="L638" s="24"/>
      <c r="M638" s="25" t="str">
        <f>IFERROR(__xludf.DUMMYFUNCTION("""COMPUTED_VALUE"""),"Racing")</f>
        <v>Racing</v>
      </c>
      <c r="N638" s="25"/>
      <c r="O638" s="26" t="str">
        <f>IFERROR(__xludf.DUMMYFUNCTION("""COMPUTED_VALUE"""),"Yes")</f>
        <v>Yes</v>
      </c>
      <c r="P638" s="26" t="str">
        <f>IFERROR(__xludf.DUMMYFUNCTION("""COMPUTED_VALUE"""),"Yes")</f>
        <v>Yes</v>
      </c>
    </row>
    <row r="639">
      <c r="A639" s="13" t="str">
        <f>IFERROR(__xludf.DUMMYFUNCTION("""COMPUTED_VALUE"""),"Sparkle Unleashed")</f>
        <v>Sparkle Unleashed</v>
      </c>
      <c r="B639" s="15" t="str">
        <f>IFERROR(__xludf.DUMMYFUNCTION("""COMPUTED_VALUE"""),"PS4")</f>
        <v>PS4</v>
      </c>
      <c r="C639" s="16" t="str">
        <f>IFERROR(__xludf.DUMMYFUNCTION("""COMPUTED_VALUE"""),"Extra")</f>
        <v>Extra</v>
      </c>
      <c r="D639" s="15" t="str">
        <f>IFERROR(__xludf.DUMMYFUNCTION("""COMPUTED_VALUE"""),"Removed")</f>
        <v>Removed</v>
      </c>
      <c r="E639" s="17">
        <f>IFERROR(__xludf.DUMMYFUNCTION("""COMPUTED_VALUE"""),44725.0)</f>
        <v>44725</v>
      </c>
      <c r="F639" s="54">
        <f>IFERROR(__xludf.DUMMYFUNCTION("""COMPUTED_VALUE"""),44977.0)</f>
        <v>44977</v>
      </c>
      <c r="G639" s="19">
        <f>IFERROR(__xludf.DUMMYFUNCTION("""COMPUTED_VALUE"""),8.233333333333334)</f>
        <v>8.233333333</v>
      </c>
      <c r="H639" s="17">
        <f>IFERROR(__xludf.DUMMYFUNCTION("""COMPUTED_VALUE"""),42186.0)</f>
        <v>42186</v>
      </c>
      <c r="I639" s="19">
        <f>IFERROR(__xludf.DUMMYFUNCTION("""COMPUTED_VALUE"""),6.95)</f>
        <v>6.95</v>
      </c>
      <c r="J639" s="21">
        <f>IFERROR(__xludf.DUMMYFUNCTION("""COMPUTED_VALUE"""),66.0)</f>
        <v>66</v>
      </c>
      <c r="K639" s="23">
        <f>IFERROR(__xludf.DUMMYFUNCTION("""COMPUTED_VALUE"""),6.8)</f>
        <v>6.8</v>
      </c>
      <c r="L639" s="24"/>
      <c r="M639" s="25" t="str">
        <f>IFERROR(__xludf.DUMMYFUNCTION("""COMPUTED_VALUE"""),"Puzzle")</f>
        <v>Puzzle</v>
      </c>
      <c r="N639" s="25"/>
      <c r="O639" s="26" t="str">
        <f>IFERROR(__xludf.DUMMYFUNCTION("""COMPUTED_VALUE"""),"No")</f>
        <v>No</v>
      </c>
      <c r="P639" s="26"/>
    </row>
    <row r="640">
      <c r="A640" s="13" t="str">
        <f>IFERROR(__xludf.DUMMYFUNCTION("""COMPUTED_VALUE"""),"The Turing Test")</f>
        <v>The Turing Test</v>
      </c>
      <c r="B640" s="15" t="str">
        <f>IFERROR(__xludf.DUMMYFUNCTION("""COMPUTED_VALUE"""),"PS4")</f>
        <v>PS4</v>
      </c>
      <c r="C640" s="16" t="str">
        <f>IFERROR(__xludf.DUMMYFUNCTION("""COMPUTED_VALUE"""),"Extra")</f>
        <v>Extra</v>
      </c>
      <c r="D640" s="15" t="str">
        <f>IFERROR(__xludf.DUMMYFUNCTION("""COMPUTED_VALUE"""),"Removed")</f>
        <v>Removed</v>
      </c>
      <c r="E640" s="17">
        <f>IFERROR(__xludf.DUMMYFUNCTION("""COMPUTED_VALUE"""),44725.0)</f>
        <v>44725</v>
      </c>
      <c r="F640" s="54">
        <f>IFERROR(__xludf.DUMMYFUNCTION("""COMPUTED_VALUE"""),44977.0)</f>
        <v>44977</v>
      </c>
      <c r="G640" s="19">
        <f>IFERROR(__xludf.DUMMYFUNCTION("""COMPUTED_VALUE"""),8.233333333333334)</f>
        <v>8.233333333</v>
      </c>
      <c r="H640" s="17">
        <f>IFERROR(__xludf.DUMMYFUNCTION("""COMPUTED_VALUE"""),42598.0)</f>
        <v>42598</v>
      </c>
      <c r="I640" s="19">
        <f>IFERROR(__xludf.DUMMYFUNCTION("""COMPUTED_VALUE"""),5.825)</f>
        <v>5.825</v>
      </c>
      <c r="J640" s="21">
        <f>IFERROR(__xludf.DUMMYFUNCTION("""COMPUTED_VALUE"""),79.0)</f>
        <v>79</v>
      </c>
      <c r="K640" s="23">
        <f>IFERROR(__xludf.DUMMYFUNCTION("""COMPUTED_VALUE"""),7.4)</f>
        <v>7.4</v>
      </c>
      <c r="L640" s="24">
        <f>IFERROR(__xludf.DUMMYFUNCTION("""COMPUTED_VALUE"""),5.0)</f>
        <v>5</v>
      </c>
      <c r="M640" s="25" t="str">
        <f>IFERROR(__xludf.DUMMYFUNCTION("""COMPUTED_VALUE"""),"Puzzle")</f>
        <v>Puzzle</v>
      </c>
      <c r="N640" s="25"/>
      <c r="O640" s="26" t="str">
        <f>IFERROR(__xludf.DUMMYFUNCTION("""COMPUTED_VALUE"""),"Yes")</f>
        <v>Yes</v>
      </c>
      <c r="P640" s="26"/>
    </row>
    <row r="641">
      <c r="A641" s="13" t="str">
        <f>IFERROR(__xludf.DUMMYFUNCTION("""COMPUTED_VALUE"""),"Saints Row: The Third - Remastered")</f>
        <v>Saints Row: The Third - Remastered</v>
      </c>
      <c r="B641" s="15" t="str">
        <f>IFERROR(__xludf.DUMMYFUNCTION("""COMPUTED_VALUE"""),"PS5/PS4")</f>
        <v>PS5/PS4</v>
      </c>
      <c r="C641" s="16" t="str">
        <f>IFERROR(__xludf.DUMMYFUNCTION("""COMPUTED_VALUE"""),"Premium (Remasters)")</f>
        <v>Premium (Remasters)</v>
      </c>
      <c r="D641" s="15" t="str">
        <f>IFERROR(__xludf.DUMMYFUNCTION("""COMPUTED_VALUE"""),"Removed")</f>
        <v>Removed</v>
      </c>
      <c r="E641" s="17">
        <f>IFERROR(__xludf.DUMMYFUNCTION("""COMPUTED_VALUE"""),44725.0)</f>
        <v>44725</v>
      </c>
      <c r="F641" s="54">
        <f>IFERROR(__xludf.DUMMYFUNCTION("""COMPUTED_VALUE"""),44977.0)</f>
        <v>44977</v>
      </c>
      <c r="G641" s="19">
        <f>IFERROR(__xludf.DUMMYFUNCTION("""COMPUTED_VALUE"""),8.233333333333334)</f>
        <v>8.233333333</v>
      </c>
      <c r="H641" s="17">
        <f>IFERROR(__xludf.DUMMYFUNCTION("""COMPUTED_VALUE"""),43973.0)</f>
        <v>43973</v>
      </c>
      <c r="I641" s="19">
        <f>IFERROR(__xludf.DUMMYFUNCTION("""COMPUTED_VALUE"""),2.058333333333333)</f>
        <v>2.058333333</v>
      </c>
      <c r="J641" s="21">
        <f>IFERROR(__xludf.DUMMYFUNCTION("""COMPUTED_VALUE"""),72.0)</f>
        <v>72</v>
      </c>
      <c r="K641" s="23">
        <f>IFERROR(__xludf.DUMMYFUNCTION("""COMPUTED_VALUE"""),7.4)</f>
        <v>7.4</v>
      </c>
      <c r="L641" s="24">
        <f>IFERROR(__xludf.DUMMYFUNCTION("""COMPUTED_VALUE"""),15.0)</f>
        <v>15</v>
      </c>
      <c r="M641" s="25" t="str">
        <f>IFERROR(__xludf.DUMMYFUNCTION("""COMPUTED_VALUE"""),"Action-Adventure")</f>
        <v>Action-Adventure</v>
      </c>
      <c r="N641" s="25" t="str">
        <f>IFERROR(__xludf.DUMMYFUNCTION("""COMPUTED_VALUE"""),"PS3")</f>
        <v>PS3</v>
      </c>
      <c r="O641" s="26" t="str">
        <f>IFERROR(__xludf.DUMMYFUNCTION("""COMPUTED_VALUE"""),"No")</f>
        <v>No</v>
      </c>
      <c r="P641" s="26"/>
    </row>
    <row r="642">
      <c r="A642" s="13" t="str">
        <f>IFERROR(__xludf.DUMMYFUNCTION("""COMPUTED_VALUE"""),"The Book of Unwritten Tales 2")</f>
        <v>The Book of Unwritten Tales 2</v>
      </c>
      <c r="B642" s="15" t="str">
        <f>IFERROR(__xludf.DUMMYFUNCTION("""COMPUTED_VALUE"""),"PS4")</f>
        <v>PS4</v>
      </c>
      <c r="C642" s="16" t="str">
        <f>IFERROR(__xludf.DUMMYFUNCTION("""COMPUTED_VALUE"""),"Extra")</f>
        <v>Extra</v>
      </c>
      <c r="D642" s="15" t="str">
        <f>IFERROR(__xludf.DUMMYFUNCTION("""COMPUTED_VALUE"""),"Removed")</f>
        <v>Removed</v>
      </c>
      <c r="E642" s="17">
        <f>IFERROR(__xludf.DUMMYFUNCTION("""COMPUTED_VALUE"""),42955.0)</f>
        <v>42955</v>
      </c>
      <c r="F642" s="54">
        <f>IFERROR(__xludf.DUMMYFUNCTION("""COMPUTED_VALUE"""),44977.0)</f>
        <v>44977</v>
      </c>
      <c r="G642" s="19">
        <f>IFERROR(__xludf.DUMMYFUNCTION("""COMPUTED_VALUE"""),66.4)</f>
        <v>66.4</v>
      </c>
      <c r="H642" s="17">
        <f>IFERROR(__xludf.DUMMYFUNCTION("""COMPUTED_VALUE"""),42054.0)</f>
        <v>42054</v>
      </c>
      <c r="I642" s="19">
        <f>IFERROR(__xludf.DUMMYFUNCTION("""COMPUTED_VALUE"""),2.4694444444444446)</f>
        <v>2.469444444</v>
      </c>
      <c r="J642" s="21">
        <f>IFERROR(__xludf.DUMMYFUNCTION("""COMPUTED_VALUE"""),72.0)</f>
        <v>72</v>
      </c>
      <c r="K642" s="23">
        <f>IFERROR(__xludf.DUMMYFUNCTION("""COMPUTED_VALUE"""),7.6)</f>
        <v>7.6</v>
      </c>
      <c r="L642" s="24">
        <f>IFERROR(__xludf.DUMMYFUNCTION("""COMPUTED_VALUE"""),13.0)</f>
        <v>13</v>
      </c>
      <c r="M642" s="25" t="str">
        <f>IFERROR(__xludf.DUMMYFUNCTION("""COMPUTED_VALUE"""),"Interactive Story")</f>
        <v>Interactive Story</v>
      </c>
      <c r="N642" s="25"/>
      <c r="O642" s="26" t="str">
        <f>IFERROR(__xludf.DUMMYFUNCTION("""COMPUTED_VALUE"""),"Yes")</f>
        <v>Yes</v>
      </c>
      <c r="P642" s="26"/>
    </row>
    <row r="643">
      <c r="A643" s="13" t="str">
        <f>IFERROR(__xludf.DUMMYFUNCTION("""COMPUTED_VALUE"""),"Whispering Willows")</f>
        <v>Whispering Willows</v>
      </c>
      <c r="B643" s="15" t="str">
        <f>IFERROR(__xludf.DUMMYFUNCTION("""COMPUTED_VALUE"""),"PS4")</f>
        <v>PS4</v>
      </c>
      <c r="C643" s="16" t="str">
        <f>IFERROR(__xludf.DUMMYFUNCTION("""COMPUTED_VALUE"""),"Extra")</f>
        <v>Extra</v>
      </c>
      <c r="D643" s="15" t="str">
        <f>IFERROR(__xludf.DUMMYFUNCTION("""COMPUTED_VALUE"""),"Removed")</f>
        <v>Removed</v>
      </c>
      <c r="E643" s="17">
        <f>IFERROR(__xludf.DUMMYFUNCTION("""COMPUTED_VALUE"""),42922.0)</f>
        <v>42922</v>
      </c>
      <c r="F643" s="54">
        <f>IFERROR(__xludf.DUMMYFUNCTION("""COMPUTED_VALUE"""),44977.0)</f>
        <v>44977</v>
      </c>
      <c r="G643" s="19">
        <f>IFERROR(__xludf.DUMMYFUNCTION("""COMPUTED_VALUE"""),67.46666666666667)</f>
        <v>67.46666667</v>
      </c>
      <c r="H643" s="17">
        <f>IFERROR(__xludf.DUMMYFUNCTION("""COMPUTED_VALUE"""),42156.0)</f>
        <v>42156</v>
      </c>
      <c r="I643" s="19">
        <f>IFERROR(__xludf.DUMMYFUNCTION("""COMPUTED_VALUE"""),2.0972222222222223)</f>
        <v>2.097222222</v>
      </c>
      <c r="J643" s="21">
        <f>IFERROR(__xludf.DUMMYFUNCTION("""COMPUTED_VALUE"""),64.0)</f>
        <v>64</v>
      </c>
      <c r="K643" s="23">
        <f>IFERROR(__xludf.DUMMYFUNCTION("""COMPUTED_VALUE"""),6.7)</f>
        <v>6.7</v>
      </c>
      <c r="L643" s="24">
        <f>IFERROR(__xludf.DUMMYFUNCTION("""COMPUTED_VALUE"""),3.0)</f>
        <v>3</v>
      </c>
      <c r="M643" s="25" t="str">
        <f>IFERROR(__xludf.DUMMYFUNCTION("""COMPUTED_VALUE"""),"Action-Adventure")</f>
        <v>Action-Adventure</v>
      </c>
      <c r="N643" s="25"/>
      <c r="O643" s="26" t="str">
        <f>IFERROR(__xludf.DUMMYFUNCTION("""COMPUTED_VALUE"""),"No")</f>
        <v>No</v>
      </c>
      <c r="P643" s="26"/>
    </row>
    <row r="644">
      <c r="A644" s="13" t="str">
        <f>IFERROR(__xludf.DUMMYFUNCTION("""COMPUTED_VALUE"""),"Axiom Verge 2")</f>
        <v>Axiom Verge 2</v>
      </c>
      <c r="B644" s="15" t="str">
        <f>IFERROR(__xludf.DUMMYFUNCTION("""COMPUTED_VALUE"""),"PS5/PS4")</f>
        <v>PS5/PS4</v>
      </c>
      <c r="C644" s="16" t="str">
        <f>IFERROR(__xludf.DUMMYFUNCTION("""COMPUTED_VALUE"""),"Essential")</f>
        <v>Essential</v>
      </c>
      <c r="D644" s="15" t="str">
        <f>IFERROR(__xludf.DUMMYFUNCTION("""COMPUTED_VALUE"""),"Removed")</f>
        <v>Removed</v>
      </c>
      <c r="E644" s="17">
        <f>IFERROR(__xludf.DUMMYFUNCTION("""COMPUTED_VALUE"""),44929.0)</f>
        <v>44929</v>
      </c>
      <c r="F644" s="54">
        <f>IFERROR(__xludf.DUMMYFUNCTION("""COMPUTED_VALUE"""),44963.0)</f>
        <v>44963</v>
      </c>
      <c r="G644" s="19">
        <f>IFERROR(__xludf.DUMMYFUNCTION("""COMPUTED_VALUE"""),1.0999999999999999)</f>
        <v>1.1</v>
      </c>
      <c r="H644" s="17">
        <f>IFERROR(__xludf.DUMMYFUNCTION("""COMPUTED_VALUE"""),44419.0)</f>
        <v>44419</v>
      </c>
      <c r="I644" s="19">
        <f>IFERROR(__xludf.DUMMYFUNCTION("""COMPUTED_VALUE"""),1.3944444444444444)</f>
        <v>1.394444444</v>
      </c>
      <c r="J644" s="21">
        <f>IFERROR(__xludf.DUMMYFUNCTION("""COMPUTED_VALUE"""),75.0)</f>
        <v>75</v>
      </c>
      <c r="K644" s="23">
        <f>IFERROR(__xludf.DUMMYFUNCTION("""COMPUTED_VALUE"""),5.7)</f>
        <v>5.7</v>
      </c>
      <c r="L644" s="24">
        <f>IFERROR(__xludf.DUMMYFUNCTION("""COMPUTED_VALUE"""),9.0)</f>
        <v>9</v>
      </c>
      <c r="M644" s="25" t="str">
        <f>IFERROR(__xludf.DUMMYFUNCTION("""COMPUTED_VALUE"""),"Platformer")</f>
        <v>Platformer</v>
      </c>
      <c r="N644" s="25"/>
      <c r="O644" s="26" t="str">
        <f>IFERROR(__xludf.DUMMYFUNCTION("""COMPUTED_VALUE"""),"No")</f>
        <v>No</v>
      </c>
      <c r="P644" s="26"/>
    </row>
    <row r="645">
      <c r="A645" s="13" t="str">
        <f>IFERROR(__xludf.DUMMYFUNCTION("""COMPUTED_VALUE"""),"Star Wars Jedi: Fallen Order")</f>
        <v>Star Wars Jedi: Fallen Order</v>
      </c>
      <c r="B645" s="15" t="str">
        <f>IFERROR(__xludf.DUMMYFUNCTION("""COMPUTED_VALUE"""),"PS5/PS4")</f>
        <v>PS5/PS4</v>
      </c>
      <c r="C645" s="16" t="str">
        <f>IFERROR(__xludf.DUMMYFUNCTION("""COMPUTED_VALUE"""),"Essential")</f>
        <v>Essential</v>
      </c>
      <c r="D645" s="15" t="str">
        <f>IFERROR(__xludf.DUMMYFUNCTION("""COMPUTED_VALUE"""),"Removed")</f>
        <v>Removed</v>
      </c>
      <c r="E645" s="17">
        <f>IFERROR(__xludf.DUMMYFUNCTION("""COMPUTED_VALUE"""),44929.0)</f>
        <v>44929</v>
      </c>
      <c r="F645" s="54">
        <f>IFERROR(__xludf.DUMMYFUNCTION("""COMPUTED_VALUE"""),44963.0)</f>
        <v>44963</v>
      </c>
      <c r="G645" s="19">
        <f>IFERROR(__xludf.DUMMYFUNCTION("""COMPUTED_VALUE"""),1.0999999999999999)</f>
        <v>1.1</v>
      </c>
      <c r="H645" s="17">
        <f>IFERROR(__xludf.DUMMYFUNCTION("""COMPUTED_VALUE"""),43784.0)</f>
        <v>43784</v>
      </c>
      <c r="I645" s="19">
        <f>IFERROR(__xludf.DUMMYFUNCTION("""COMPUTED_VALUE"""),3.1333333333333333)</f>
        <v>3.133333333</v>
      </c>
      <c r="J645" s="21">
        <f>IFERROR(__xludf.DUMMYFUNCTION("""COMPUTED_VALUE"""),79.0)</f>
        <v>79</v>
      </c>
      <c r="K645" s="23">
        <f>IFERROR(__xludf.DUMMYFUNCTION("""COMPUTED_VALUE"""),7.6)</f>
        <v>7.6</v>
      </c>
      <c r="L645" s="24">
        <f>IFERROR(__xludf.DUMMYFUNCTION("""COMPUTED_VALUE"""),17.0)</f>
        <v>17</v>
      </c>
      <c r="M645" s="25" t="str">
        <f>IFERROR(__xludf.DUMMYFUNCTION("""COMPUTED_VALUE"""),"Action-Adventure")</f>
        <v>Action-Adventure</v>
      </c>
      <c r="N645" s="25"/>
      <c r="O645" s="26" t="str">
        <f>IFERROR(__xludf.DUMMYFUNCTION("""COMPUTED_VALUE"""),"No")</f>
        <v>No</v>
      </c>
      <c r="P645" s="26"/>
    </row>
    <row r="646">
      <c r="A646" s="13" t="str">
        <f>IFERROR(__xludf.DUMMYFUNCTION("""COMPUTED_VALUE"""),"Fallout 76")</f>
        <v>Fallout 76</v>
      </c>
      <c r="B646" s="15" t="str">
        <f>IFERROR(__xludf.DUMMYFUNCTION("""COMPUTED_VALUE"""),"PS4")</f>
        <v>PS4</v>
      </c>
      <c r="C646" s="16" t="str">
        <f>IFERROR(__xludf.DUMMYFUNCTION("""COMPUTED_VALUE"""),"Essential")</f>
        <v>Essential</v>
      </c>
      <c r="D646" s="15" t="str">
        <f>IFERROR(__xludf.DUMMYFUNCTION("""COMPUTED_VALUE"""),"Removed")</f>
        <v>Removed</v>
      </c>
      <c r="E646" s="17">
        <f>IFERROR(__xludf.DUMMYFUNCTION("""COMPUTED_VALUE"""),44929.0)</f>
        <v>44929</v>
      </c>
      <c r="F646" s="54">
        <f>IFERROR(__xludf.DUMMYFUNCTION("""COMPUTED_VALUE"""),44963.0)</f>
        <v>44963</v>
      </c>
      <c r="G646" s="19">
        <f>IFERROR(__xludf.DUMMYFUNCTION("""COMPUTED_VALUE"""),1.0999999999999999)</f>
        <v>1.1</v>
      </c>
      <c r="H646" s="17">
        <f>IFERROR(__xludf.DUMMYFUNCTION("""COMPUTED_VALUE"""),43418.0)</f>
        <v>43418</v>
      </c>
      <c r="I646" s="19">
        <f>IFERROR(__xludf.DUMMYFUNCTION("""COMPUTED_VALUE"""),4.136111111111111)</f>
        <v>4.136111111</v>
      </c>
      <c r="J646" s="21">
        <f>IFERROR(__xludf.DUMMYFUNCTION("""COMPUTED_VALUE"""),53.0)</f>
        <v>53</v>
      </c>
      <c r="K646" s="23">
        <f>IFERROR(__xludf.DUMMYFUNCTION("""COMPUTED_VALUE"""),2.8)</f>
        <v>2.8</v>
      </c>
      <c r="L646" s="24">
        <f>IFERROR(__xludf.DUMMYFUNCTION("""COMPUTED_VALUE"""),33.0)</f>
        <v>33</v>
      </c>
      <c r="M646" s="25" t="str">
        <f>IFERROR(__xludf.DUMMYFUNCTION("""COMPUTED_VALUE"""),"Shooter")</f>
        <v>Shooter</v>
      </c>
      <c r="N646" s="25"/>
      <c r="O646" s="26" t="str">
        <f>IFERROR(__xludf.DUMMYFUNCTION("""COMPUTED_VALUE"""),"No")</f>
        <v>No</v>
      </c>
      <c r="P646" s="26"/>
    </row>
    <row r="647">
      <c r="A647" s="13" t="str">
        <f>IFERROR(__xludf.DUMMYFUNCTION("""COMPUTED_VALUE"""),"Electronic Super Joy")</f>
        <v>Electronic Super Joy</v>
      </c>
      <c r="B647" s="15" t="str">
        <f>IFERROR(__xludf.DUMMYFUNCTION("""COMPUTED_VALUE"""),"PS4")</f>
        <v>PS4</v>
      </c>
      <c r="C647" s="16" t="str">
        <f>IFERROR(__xludf.DUMMYFUNCTION("""COMPUTED_VALUE"""),"Extra")</f>
        <v>Extra</v>
      </c>
      <c r="D647" s="15" t="str">
        <f>IFERROR(__xludf.DUMMYFUNCTION("""COMPUTED_VALUE"""),"Removed")</f>
        <v>Removed</v>
      </c>
      <c r="E647" s="17">
        <f>IFERROR(__xludf.DUMMYFUNCTION("""COMPUTED_VALUE"""),44725.0)</f>
        <v>44725</v>
      </c>
      <c r="F647" s="54">
        <f>IFERROR(__xludf.DUMMYFUNCTION("""COMPUTED_VALUE"""),44943.0)</f>
        <v>44943</v>
      </c>
      <c r="G647" s="19">
        <f>IFERROR(__xludf.DUMMYFUNCTION("""COMPUTED_VALUE"""),7.133333333333333)</f>
        <v>7.133333333</v>
      </c>
      <c r="H647" s="17">
        <f>IFERROR(__xludf.DUMMYFUNCTION("""COMPUTED_VALUE"""),41509.0)</f>
        <v>41509</v>
      </c>
      <c r="I647" s="19">
        <f>IFERROR(__xludf.DUMMYFUNCTION("""COMPUTED_VALUE"""),8.805555555555555)</f>
        <v>8.805555556</v>
      </c>
      <c r="J647" s="21">
        <f>IFERROR(__xludf.DUMMYFUNCTION("""COMPUTED_VALUE"""),80.0)</f>
        <v>80</v>
      </c>
      <c r="K647" s="23">
        <f>IFERROR(__xludf.DUMMYFUNCTION("""COMPUTED_VALUE"""),7.1)</f>
        <v>7.1</v>
      </c>
      <c r="L647" s="24">
        <f>IFERROR(__xludf.DUMMYFUNCTION("""COMPUTED_VALUE"""),4.5)</f>
        <v>4.5</v>
      </c>
      <c r="M647" s="25" t="str">
        <f>IFERROR(__xludf.DUMMYFUNCTION("""COMPUTED_VALUE"""),"Platformer")</f>
        <v>Platformer</v>
      </c>
      <c r="N647" s="25"/>
      <c r="O647" s="26" t="str">
        <f>IFERROR(__xludf.DUMMYFUNCTION("""COMPUTED_VALUE"""),"Yes")</f>
        <v>Yes</v>
      </c>
      <c r="P647" s="26"/>
    </row>
    <row r="648">
      <c r="A648" s="13" t="str">
        <f>IFERROR(__xludf.DUMMYFUNCTION("""COMPUTED_VALUE"""),"Enigmatis: The Ghosts of Maple Creek")</f>
        <v>Enigmatis: The Ghosts of Maple Creek</v>
      </c>
      <c r="B648" s="15" t="str">
        <f>IFERROR(__xludf.DUMMYFUNCTION("""COMPUTED_VALUE"""),"PS4")</f>
        <v>PS4</v>
      </c>
      <c r="C648" s="16" t="str">
        <f>IFERROR(__xludf.DUMMYFUNCTION("""COMPUTED_VALUE"""),"Extra")</f>
        <v>Extra</v>
      </c>
      <c r="D648" s="15" t="str">
        <f>IFERROR(__xludf.DUMMYFUNCTION("""COMPUTED_VALUE"""),"Removed")</f>
        <v>Removed</v>
      </c>
      <c r="E648" s="17">
        <f>IFERROR(__xludf.DUMMYFUNCTION("""COMPUTED_VALUE"""),44725.0)</f>
        <v>44725</v>
      </c>
      <c r="F648" s="54">
        <f>IFERROR(__xludf.DUMMYFUNCTION("""COMPUTED_VALUE"""),44943.0)</f>
        <v>44943</v>
      </c>
      <c r="G648" s="19">
        <f>IFERROR(__xludf.DUMMYFUNCTION("""COMPUTED_VALUE"""),7.133333333333333)</f>
        <v>7.133333333</v>
      </c>
      <c r="H648" s="17">
        <f>IFERROR(__xludf.DUMMYFUNCTION("""COMPUTED_VALUE"""),42461.0)</f>
        <v>42461</v>
      </c>
      <c r="I648" s="19">
        <f>IFERROR(__xludf.DUMMYFUNCTION("""COMPUTED_VALUE"""),6.2)</f>
        <v>6.2</v>
      </c>
      <c r="J648" s="21">
        <f>IFERROR(__xludf.DUMMYFUNCTION("""COMPUTED_VALUE"""),74.0)</f>
        <v>74</v>
      </c>
      <c r="K648" s="23">
        <f>IFERROR(__xludf.DUMMYFUNCTION("""COMPUTED_VALUE"""),7.3)</f>
        <v>7.3</v>
      </c>
      <c r="L648" s="24">
        <f>IFERROR(__xludf.DUMMYFUNCTION("""COMPUTED_VALUE"""),4.5)</f>
        <v>4.5</v>
      </c>
      <c r="M648" s="25" t="str">
        <f>IFERROR(__xludf.DUMMYFUNCTION("""COMPUTED_VALUE"""),"Puzzle")</f>
        <v>Puzzle</v>
      </c>
      <c r="N648" s="25"/>
      <c r="O648" s="26" t="str">
        <f>IFERROR(__xludf.DUMMYFUNCTION("""COMPUTED_VALUE"""),"Yes")</f>
        <v>Yes</v>
      </c>
      <c r="P648" s="26"/>
    </row>
    <row r="649">
      <c r="A649" s="13" t="str">
        <f>IFERROR(__xludf.DUMMYFUNCTION("""COMPUTED_VALUE"""),"Masters of Anima")</f>
        <v>Masters of Anima</v>
      </c>
      <c r="B649" s="15" t="str">
        <f>IFERROR(__xludf.DUMMYFUNCTION("""COMPUTED_VALUE"""),"PS4")</f>
        <v>PS4</v>
      </c>
      <c r="C649" s="16" t="str">
        <f>IFERROR(__xludf.DUMMYFUNCTION("""COMPUTED_VALUE"""),"Extra")</f>
        <v>Extra</v>
      </c>
      <c r="D649" s="15" t="str">
        <f>IFERROR(__xludf.DUMMYFUNCTION("""COMPUTED_VALUE"""),"Removed")</f>
        <v>Removed</v>
      </c>
      <c r="E649" s="17">
        <f>IFERROR(__xludf.DUMMYFUNCTION("""COMPUTED_VALUE"""),44725.0)</f>
        <v>44725</v>
      </c>
      <c r="F649" s="54">
        <f>IFERROR(__xludf.DUMMYFUNCTION("""COMPUTED_VALUE"""),44943.0)</f>
        <v>44943</v>
      </c>
      <c r="G649" s="19">
        <f>IFERROR(__xludf.DUMMYFUNCTION("""COMPUTED_VALUE"""),7.133333333333333)</f>
        <v>7.133333333</v>
      </c>
      <c r="H649" s="17">
        <f>IFERROR(__xludf.DUMMYFUNCTION("""COMPUTED_VALUE"""),43200.0)</f>
        <v>43200</v>
      </c>
      <c r="I649" s="19">
        <f>IFERROR(__xludf.DUMMYFUNCTION("""COMPUTED_VALUE"""),4.175)</f>
        <v>4.175</v>
      </c>
      <c r="J649" s="21">
        <f>IFERROR(__xludf.DUMMYFUNCTION("""COMPUTED_VALUE"""),67.0)</f>
        <v>67</v>
      </c>
      <c r="K649" s="23">
        <f>IFERROR(__xludf.DUMMYFUNCTION("""COMPUTED_VALUE"""),6.9)</f>
        <v>6.9</v>
      </c>
      <c r="L649" s="24">
        <f>IFERROR(__xludf.DUMMYFUNCTION("""COMPUTED_VALUE"""),13.0)</f>
        <v>13</v>
      </c>
      <c r="M649" s="25" t="str">
        <f>IFERROR(__xludf.DUMMYFUNCTION("""COMPUTED_VALUE"""),"Strategy")</f>
        <v>Strategy</v>
      </c>
      <c r="N649" s="25"/>
      <c r="O649" s="26" t="str">
        <f>IFERROR(__xludf.DUMMYFUNCTION("""COMPUTED_VALUE"""),"Yes")</f>
        <v>Yes</v>
      </c>
      <c r="P649" s="26"/>
    </row>
    <row r="650">
      <c r="A650" s="13" t="str">
        <f>IFERROR(__xludf.DUMMYFUNCTION("""COMPUTED_VALUE"""),"Seasons After Fall")</f>
        <v>Seasons After Fall</v>
      </c>
      <c r="B650" s="15" t="str">
        <f>IFERROR(__xludf.DUMMYFUNCTION("""COMPUTED_VALUE"""),"PS4")</f>
        <v>PS4</v>
      </c>
      <c r="C650" s="16" t="str">
        <f>IFERROR(__xludf.DUMMYFUNCTION("""COMPUTED_VALUE"""),"Extra")</f>
        <v>Extra</v>
      </c>
      <c r="D650" s="15" t="str">
        <f>IFERROR(__xludf.DUMMYFUNCTION("""COMPUTED_VALUE"""),"Removed")</f>
        <v>Removed</v>
      </c>
      <c r="E650" s="17">
        <f>IFERROR(__xludf.DUMMYFUNCTION("""COMPUTED_VALUE"""),44725.0)</f>
        <v>44725</v>
      </c>
      <c r="F650" s="54">
        <f>IFERROR(__xludf.DUMMYFUNCTION("""COMPUTED_VALUE"""),44943.0)</f>
        <v>44943</v>
      </c>
      <c r="G650" s="19">
        <f>IFERROR(__xludf.DUMMYFUNCTION("""COMPUTED_VALUE"""),7.133333333333333)</f>
        <v>7.133333333</v>
      </c>
      <c r="H650" s="17">
        <f>IFERROR(__xludf.DUMMYFUNCTION("""COMPUTED_VALUE"""),42614.0)</f>
        <v>42614</v>
      </c>
      <c r="I650" s="19">
        <f>IFERROR(__xludf.DUMMYFUNCTION("""COMPUTED_VALUE"""),5.783333333333333)</f>
        <v>5.783333333</v>
      </c>
      <c r="J650" s="21">
        <f>IFERROR(__xludf.DUMMYFUNCTION("""COMPUTED_VALUE"""),77.0)</f>
        <v>77</v>
      </c>
      <c r="K650" s="23">
        <f>IFERROR(__xludf.DUMMYFUNCTION("""COMPUTED_VALUE"""),7.1)</f>
        <v>7.1</v>
      </c>
      <c r="L650" s="24">
        <f>IFERROR(__xludf.DUMMYFUNCTION("""COMPUTED_VALUE"""),6.0)</f>
        <v>6</v>
      </c>
      <c r="M650" s="25" t="str">
        <f>IFERROR(__xludf.DUMMYFUNCTION("""COMPUTED_VALUE"""),"Platformer")</f>
        <v>Platformer</v>
      </c>
      <c r="N650" s="25"/>
      <c r="O650" s="26" t="str">
        <f>IFERROR(__xludf.DUMMYFUNCTION("""COMPUTED_VALUE"""),"Yes")</f>
        <v>Yes</v>
      </c>
      <c r="P650" s="26"/>
    </row>
    <row r="651">
      <c r="A651" s="13" t="str">
        <f>IFERROR(__xludf.DUMMYFUNCTION("""COMPUTED_VALUE"""),"Shiness: The Lightning Kingdom")</f>
        <v>Shiness: The Lightning Kingdom</v>
      </c>
      <c r="B651" s="15" t="str">
        <f>IFERROR(__xludf.DUMMYFUNCTION("""COMPUTED_VALUE"""),"PS4")</f>
        <v>PS4</v>
      </c>
      <c r="C651" s="16" t="str">
        <f>IFERROR(__xludf.DUMMYFUNCTION("""COMPUTED_VALUE"""),"Extra")</f>
        <v>Extra</v>
      </c>
      <c r="D651" s="15" t="str">
        <f>IFERROR(__xludf.DUMMYFUNCTION("""COMPUTED_VALUE"""),"Removed")</f>
        <v>Removed</v>
      </c>
      <c r="E651" s="17">
        <f>IFERROR(__xludf.DUMMYFUNCTION("""COMPUTED_VALUE"""),44725.0)</f>
        <v>44725</v>
      </c>
      <c r="F651" s="54">
        <f>IFERROR(__xludf.DUMMYFUNCTION("""COMPUTED_VALUE"""),44943.0)</f>
        <v>44943</v>
      </c>
      <c r="G651" s="19">
        <f>IFERROR(__xludf.DUMMYFUNCTION("""COMPUTED_VALUE"""),7.133333333333333)</f>
        <v>7.133333333</v>
      </c>
      <c r="H651" s="17">
        <f>IFERROR(__xludf.DUMMYFUNCTION("""COMPUTED_VALUE"""),42826.0)</f>
        <v>42826</v>
      </c>
      <c r="I651" s="19">
        <f>IFERROR(__xludf.DUMMYFUNCTION("""COMPUTED_VALUE"""),5.2)</f>
        <v>5.2</v>
      </c>
      <c r="J651" s="21">
        <f>IFERROR(__xludf.DUMMYFUNCTION("""COMPUTED_VALUE"""),68.0)</f>
        <v>68</v>
      </c>
      <c r="K651" s="23">
        <f>IFERROR(__xludf.DUMMYFUNCTION("""COMPUTED_VALUE"""),6.5)</f>
        <v>6.5</v>
      </c>
      <c r="L651" s="24">
        <f>IFERROR(__xludf.DUMMYFUNCTION("""COMPUTED_VALUE"""),16.0)</f>
        <v>16</v>
      </c>
      <c r="M651" s="25" t="str">
        <f>IFERROR(__xludf.DUMMYFUNCTION("""COMPUTED_VALUE"""),"RPG")</f>
        <v>RPG</v>
      </c>
      <c r="N651" s="25"/>
      <c r="O651" s="26" t="str">
        <f>IFERROR(__xludf.DUMMYFUNCTION("""COMPUTED_VALUE"""),"Yes")</f>
        <v>Yes</v>
      </c>
      <c r="P651" s="26" t="str">
        <f>IFERROR(__xludf.DUMMYFUNCTION("""COMPUTED_VALUE"""),"Yes")</f>
        <v>Yes</v>
      </c>
    </row>
    <row r="652">
      <c r="A652" s="13" t="str">
        <f>IFERROR(__xludf.DUMMYFUNCTION("""COMPUTED_VALUE"""),"Space Hulk: Tactics")</f>
        <v>Space Hulk: Tactics</v>
      </c>
      <c r="B652" s="15" t="str">
        <f>IFERROR(__xludf.DUMMYFUNCTION("""COMPUTED_VALUE"""),"PS4")</f>
        <v>PS4</v>
      </c>
      <c r="C652" s="16" t="str">
        <f>IFERROR(__xludf.DUMMYFUNCTION("""COMPUTED_VALUE"""),"Extra")</f>
        <v>Extra</v>
      </c>
      <c r="D652" s="15" t="str">
        <f>IFERROR(__xludf.DUMMYFUNCTION("""COMPUTED_VALUE"""),"Removed")</f>
        <v>Removed</v>
      </c>
      <c r="E652" s="17">
        <f>IFERROR(__xludf.DUMMYFUNCTION("""COMPUTED_VALUE"""),44725.0)</f>
        <v>44725</v>
      </c>
      <c r="F652" s="54">
        <f>IFERROR(__xludf.DUMMYFUNCTION("""COMPUTED_VALUE"""),44943.0)</f>
        <v>44943</v>
      </c>
      <c r="G652" s="19">
        <f>IFERROR(__xludf.DUMMYFUNCTION("""COMPUTED_VALUE"""),7.133333333333333)</f>
        <v>7.133333333</v>
      </c>
      <c r="H652" s="17">
        <f>IFERROR(__xludf.DUMMYFUNCTION("""COMPUTED_VALUE"""),43382.0)</f>
        <v>43382</v>
      </c>
      <c r="I652" s="19">
        <f>IFERROR(__xludf.DUMMYFUNCTION("""COMPUTED_VALUE"""),3.6777777777777776)</f>
        <v>3.677777778</v>
      </c>
      <c r="J652" s="21">
        <f>IFERROR(__xludf.DUMMYFUNCTION("""COMPUTED_VALUE"""),70.0)</f>
        <v>70</v>
      </c>
      <c r="K652" s="23">
        <f>IFERROR(__xludf.DUMMYFUNCTION("""COMPUTED_VALUE"""),6.1)</f>
        <v>6.1</v>
      </c>
      <c r="L652" s="24">
        <f>IFERROR(__xludf.DUMMYFUNCTION("""COMPUTED_VALUE"""),10.0)</f>
        <v>10</v>
      </c>
      <c r="M652" s="25" t="str">
        <f>IFERROR(__xludf.DUMMYFUNCTION("""COMPUTED_VALUE"""),"Strategy")</f>
        <v>Strategy</v>
      </c>
      <c r="N652" s="25"/>
      <c r="O652" s="26" t="str">
        <f>IFERROR(__xludf.DUMMYFUNCTION("""COMPUTED_VALUE"""),"Yes")</f>
        <v>Yes</v>
      </c>
      <c r="P652" s="26" t="str">
        <f>IFERROR(__xludf.DUMMYFUNCTION("""COMPUTED_VALUE"""),"Yes")</f>
        <v>Yes</v>
      </c>
    </row>
    <row r="653">
      <c r="A653" s="13" t="str">
        <f>IFERROR(__xludf.DUMMYFUNCTION("""COMPUTED_VALUE"""),"The Council: The Complete Season")</f>
        <v>The Council: The Complete Season</v>
      </c>
      <c r="B653" s="15" t="str">
        <f>IFERROR(__xludf.DUMMYFUNCTION("""COMPUTED_VALUE"""),"PS4")</f>
        <v>PS4</v>
      </c>
      <c r="C653" s="16" t="str">
        <f>IFERROR(__xludf.DUMMYFUNCTION("""COMPUTED_VALUE"""),"Extra")</f>
        <v>Extra</v>
      </c>
      <c r="D653" s="15" t="str">
        <f>IFERROR(__xludf.DUMMYFUNCTION("""COMPUTED_VALUE"""),"Removed")</f>
        <v>Removed</v>
      </c>
      <c r="E653" s="17">
        <f>IFERROR(__xludf.DUMMYFUNCTION("""COMPUTED_VALUE"""),44725.0)</f>
        <v>44725</v>
      </c>
      <c r="F653" s="54">
        <f>IFERROR(__xludf.DUMMYFUNCTION("""COMPUTED_VALUE"""),44943.0)</f>
        <v>44943</v>
      </c>
      <c r="G653" s="19">
        <f>IFERROR(__xludf.DUMMYFUNCTION("""COMPUTED_VALUE"""),7.133333333333333)</f>
        <v>7.133333333</v>
      </c>
      <c r="H653" s="17">
        <f>IFERROR(__xludf.DUMMYFUNCTION("""COMPUTED_VALUE"""),43172.0)</f>
        <v>43172</v>
      </c>
      <c r="I653" s="19">
        <f>IFERROR(__xludf.DUMMYFUNCTION("""COMPUTED_VALUE"""),4.25)</f>
        <v>4.25</v>
      </c>
      <c r="J653" s="21">
        <f>IFERROR(__xludf.DUMMYFUNCTION("""COMPUTED_VALUE"""),72.0)</f>
        <v>72</v>
      </c>
      <c r="K653" s="23">
        <f>IFERROR(__xludf.DUMMYFUNCTION("""COMPUTED_VALUE"""),7.5)</f>
        <v>7.5</v>
      </c>
      <c r="L653" s="24">
        <f>IFERROR(__xludf.DUMMYFUNCTION("""COMPUTED_VALUE"""),13.0)</f>
        <v>13</v>
      </c>
      <c r="M653" s="25" t="str">
        <f>IFERROR(__xludf.DUMMYFUNCTION("""COMPUTED_VALUE"""),"Adventure")</f>
        <v>Adventure</v>
      </c>
      <c r="N653" s="25"/>
      <c r="O653" s="26" t="str">
        <f>IFERROR(__xludf.DUMMYFUNCTION("""COMPUTED_VALUE"""),"No")</f>
        <v>No</v>
      </c>
      <c r="P653" s="26"/>
    </row>
    <row r="654">
      <c r="A654" s="13" t="str">
        <f>IFERROR(__xludf.DUMMYFUNCTION("""COMPUTED_VALUE"""),"JumpJet Rex")</f>
        <v>JumpJet Rex</v>
      </c>
      <c r="B654" s="15" t="str">
        <f>IFERROR(__xludf.DUMMYFUNCTION("""COMPUTED_VALUE"""),"PS4")</f>
        <v>PS4</v>
      </c>
      <c r="C654" s="16" t="str">
        <f>IFERROR(__xludf.DUMMYFUNCTION("""COMPUTED_VALUE"""),"Extra")</f>
        <v>Extra</v>
      </c>
      <c r="D654" s="15" t="str">
        <f>IFERROR(__xludf.DUMMYFUNCTION("""COMPUTED_VALUE"""),"Removed")</f>
        <v>Removed</v>
      </c>
      <c r="E654" s="17">
        <f>IFERROR(__xludf.DUMMYFUNCTION("""COMPUTED_VALUE"""),42955.0)</f>
        <v>42955</v>
      </c>
      <c r="F654" s="54">
        <f>IFERROR(__xludf.DUMMYFUNCTION("""COMPUTED_VALUE"""),44943.0)</f>
        <v>44943</v>
      </c>
      <c r="G654" s="19">
        <f>IFERROR(__xludf.DUMMYFUNCTION("""COMPUTED_VALUE"""),65.3)</f>
        <v>65.3</v>
      </c>
      <c r="H654" s="17">
        <f>IFERROR(__xludf.DUMMYFUNCTION("""COMPUTED_VALUE"""),42489.0)</f>
        <v>42489</v>
      </c>
      <c r="I654" s="19">
        <f>IFERROR(__xludf.DUMMYFUNCTION("""COMPUTED_VALUE"""),1.275)</f>
        <v>1.275</v>
      </c>
      <c r="J654" s="21">
        <f>IFERROR(__xludf.DUMMYFUNCTION("""COMPUTED_VALUE"""),77.0)</f>
        <v>77</v>
      </c>
      <c r="K654" s="23">
        <f>IFERROR(__xludf.DUMMYFUNCTION("""COMPUTED_VALUE"""),6.6)</f>
        <v>6.6</v>
      </c>
      <c r="L654" s="24">
        <f>IFERROR(__xludf.DUMMYFUNCTION("""COMPUTED_VALUE"""),3.0)</f>
        <v>3</v>
      </c>
      <c r="M654" s="25" t="str">
        <f>IFERROR(__xludf.DUMMYFUNCTION("""COMPUTED_VALUE"""),"Platformer")</f>
        <v>Platformer</v>
      </c>
      <c r="N654" s="25"/>
      <c r="O654" s="26" t="str">
        <f>IFERROR(__xludf.DUMMYFUNCTION("""COMPUTED_VALUE"""),"Yes")</f>
        <v>Yes</v>
      </c>
      <c r="P654" s="26" t="str">
        <f>IFERROR(__xludf.DUMMYFUNCTION("""COMPUTED_VALUE"""),"Yes")</f>
        <v>Yes</v>
      </c>
    </row>
    <row r="655">
      <c r="A655" s="13" t="str">
        <f>IFERROR(__xludf.DUMMYFUNCTION("""COMPUTED_VALUE"""),"Leo's Fortune")</f>
        <v>Leo's Fortune</v>
      </c>
      <c r="B655" s="15" t="str">
        <f>IFERROR(__xludf.DUMMYFUNCTION("""COMPUTED_VALUE"""),"PS4")</f>
        <v>PS4</v>
      </c>
      <c r="C655" s="16" t="str">
        <f>IFERROR(__xludf.DUMMYFUNCTION("""COMPUTED_VALUE"""),"Extra")</f>
        <v>Extra</v>
      </c>
      <c r="D655" s="15" t="str">
        <f>IFERROR(__xludf.DUMMYFUNCTION("""COMPUTED_VALUE"""),"Removed")</f>
        <v>Removed</v>
      </c>
      <c r="E655" s="17">
        <f>IFERROR(__xludf.DUMMYFUNCTION("""COMPUTED_VALUE"""),42955.0)</f>
        <v>42955</v>
      </c>
      <c r="F655" s="54">
        <f>IFERROR(__xludf.DUMMYFUNCTION("""COMPUTED_VALUE"""),44943.0)</f>
        <v>44943</v>
      </c>
      <c r="G655" s="19">
        <f>IFERROR(__xludf.DUMMYFUNCTION("""COMPUTED_VALUE"""),65.3)</f>
        <v>65.3</v>
      </c>
      <c r="H655" s="17">
        <f>IFERROR(__xludf.DUMMYFUNCTION("""COMPUTED_VALUE"""),42248.0)</f>
        <v>42248</v>
      </c>
      <c r="I655" s="19">
        <f>IFERROR(__xludf.DUMMYFUNCTION("""COMPUTED_VALUE"""),1.9361111111111111)</f>
        <v>1.936111111</v>
      </c>
      <c r="J655" s="21">
        <f>IFERROR(__xludf.DUMMYFUNCTION("""COMPUTED_VALUE"""),75.0)</f>
        <v>75</v>
      </c>
      <c r="K655" s="23">
        <f>IFERROR(__xludf.DUMMYFUNCTION("""COMPUTED_VALUE"""),7.8)</f>
        <v>7.8</v>
      </c>
      <c r="L655" s="24">
        <f>IFERROR(__xludf.DUMMYFUNCTION("""COMPUTED_VALUE"""),2.5)</f>
        <v>2.5</v>
      </c>
      <c r="M655" s="25" t="str">
        <f>IFERROR(__xludf.DUMMYFUNCTION("""COMPUTED_VALUE"""),"Puzzle")</f>
        <v>Puzzle</v>
      </c>
      <c r="N655" s="25"/>
      <c r="O655" s="26" t="str">
        <f>IFERROR(__xludf.DUMMYFUNCTION("""COMPUTED_VALUE"""),"Yes")</f>
        <v>Yes</v>
      </c>
      <c r="P655" s="26"/>
    </row>
    <row r="656">
      <c r="A656" s="13" t="str">
        <f>IFERROR(__xludf.DUMMYFUNCTION("""COMPUTED_VALUE"""),"The Last Tinker: City of Colors")</f>
        <v>The Last Tinker: City of Colors</v>
      </c>
      <c r="B656" s="15" t="str">
        <f>IFERROR(__xludf.DUMMYFUNCTION("""COMPUTED_VALUE"""),"PS4")</f>
        <v>PS4</v>
      </c>
      <c r="C656" s="16" t="str">
        <f>IFERROR(__xludf.DUMMYFUNCTION("""COMPUTED_VALUE"""),"Extra")</f>
        <v>Extra</v>
      </c>
      <c r="D656" s="15" t="str">
        <f>IFERROR(__xludf.DUMMYFUNCTION("""COMPUTED_VALUE"""),"Removed")</f>
        <v>Removed</v>
      </c>
      <c r="E656" s="17">
        <f>IFERROR(__xludf.DUMMYFUNCTION("""COMPUTED_VALUE"""),42922.0)</f>
        <v>42922</v>
      </c>
      <c r="F656" s="54">
        <f>IFERROR(__xludf.DUMMYFUNCTION("""COMPUTED_VALUE"""),44943.0)</f>
        <v>44943</v>
      </c>
      <c r="G656" s="19">
        <f>IFERROR(__xludf.DUMMYFUNCTION("""COMPUTED_VALUE"""),66.36666666666667)</f>
        <v>66.36666667</v>
      </c>
      <c r="H656" s="17">
        <f>IFERROR(__xludf.DUMMYFUNCTION("""COMPUTED_VALUE"""),41852.0)</f>
        <v>41852</v>
      </c>
      <c r="I656" s="19">
        <f>IFERROR(__xludf.DUMMYFUNCTION("""COMPUTED_VALUE"""),2.9305555555555554)</f>
        <v>2.930555556</v>
      </c>
      <c r="J656" s="21">
        <f>IFERROR(__xludf.DUMMYFUNCTION("""COMPUTED_VALUE"""),69.0)</f>
        <v>69</v>
      </c>
      <c r="K656" s="23">
        <f>IFERROR(__xludf.DUMMYFUNCTION("""COMPUTED_VALUE"""),6.9)</f>
        <v>6.9</v>
      </c>
      <c r="L656" s="24">
        <f>IFERROR(__xludf.DUMMYFUNCTION("""COMPUTED_VALUE"""),6.0)</f>
        <v>6</v>
      </c>
      <c r="M656" s="25" t="str">
        <f>IFERROR(__xludf.DUMMYFUNCTION("""COMPUTED_VALUE"""),"Platformer")</f>
        <v>Platformer</v>
      </c>
      <c r="N656" s="25"/>
      <c r="O656" s="26" t="str">
        <f>IFERROR(__xludf.DUMMYFUNCTION("""COMPUTED_VALUE"""),"Yes")</f>
        <v>Yes</v>
      </c>
      <c r="P656" s="26"/>
    </row>
    <row r="657">
      <c r="A657" s="13" t="str">
        <f>IFERROR(__xludf.DUMMYFUNCTION("""COMPUTED_VALUE"""),"Bound by Flame")</f>
        <v>Bound by Flame</v>
      </c>
      <c r="B657" s="15" t="str">
        <f>IFERROR(__xludf.DUMMYFUNCTION("""COMPUTED_VALUE"""),"PS4")</f>
        <v>PS4</v>
      </c>
      <c r="C657" s="16" t="str">
        <f>IFERROR(__xludf.DUMMYFUNCTION("""COMPUTED_VALUE"""),"Extra")</f>
        <v>Extra</v>
      </c>
      <c r="D657" s="15" t="str">
        <f>IFERROR(__xludf.DUMMYFUNCTION("""COMPUTED_VALUE"""),"Removed")</f>
        <v>Removed</v>
      </c>
      <c r="E657" s="17">
        <f>IFERROR(__xludf.DUMMYFUNCTION("""COMPUTED_VALUE"""),42556.0)</f>
        <v>42556</v>
      </c>
      <c r="F657" s="54">
        <f>IFERROR(__xludf.DUMMYFUNCTION("""COMPUTED_VALUE"""),44943.0)</f>
        <v>44943</v>
      </c>
      <c r="G657" s="19">
        <f>IFERROR(__xludf.DUMMYFUNCTION("""COMPUTED_VALUE"""),78.4)</f>
        <v>78.4</v>
      </c>
      <c r="H657" s="17">
        <f>IFERROR(__xludf.DUMMYFUNCTION("""COMPUTED_VALUE"""),41768.0)</f>
        <v>41768</v>
      </c>
      <c r="I657" s="19">
        <f>IFERROR(__xludf.DUMMYFUNCTION("""COMPUTED_VALUE"""),2.1555555555555554)</f>
        <v>2.155555556</v>
      </c>
      <c r="J657" s="21">
        <f>IFERROR(__xludf.DUMMYFUNCTION("""COMPUTED_VALUE"""),56.0)</f>
        <v>56</v>
      </c>
      <c r="K657" s="23">
        <f>IFERROR(__xludf.DUMMYFUNCTION("""COMPUTED_VALUE"""),5.9)</f>
        <v>5.9</v>
      </c>
      <c r="L657" s="24">
        <f>IFERROR(__xludf.DUMMYFUNCTION("""COMPUTED_VALUE"""),13.0)</f>
        <v>13</v>
      </c>
      <c r="M657" s="25" t="str">
        <f>IFERROR(__xludf.DUMMYFUNCTION("""COMPUTED_VALUE"""),"RPG")</f>
        <v>RPG</v>
      </c>
      <c r="N657" s="25"/>
      <c r="O657" s="26" t="str">
        <f>IFERROR(__xludf.DUMMYFUNCTION("""COMPUTED_VALUE"""),"Yes")</f>
        <v>Yes</v>
      </c>
      <c r="P657" s="26"/>
    </row>
    <row r="658">
      <c r="A658" s="13" t="str">
        <f>IFERROR(__xludf.DUMMYFUNCTION("""COMPUTED_VALUE"""),"Divine Knockout")</f>
        <v>Divine Knockout</v>
      </c>
      <c r="B658" s="15" t="str">
        <f>IFERROR(__xludf.DUMMYFUNCTION("""COMPUTED_VALUE"""),"PS5/PS4")</f>
        <v>PS5/PS4</v>
      </c>
      <c r="C658" s="16" t="str">
        <f>IFERROR(__xludf.DUMMYFUNCTION("""COMPUTED_VALUE"""),"Essential")</f>
        <v>Essential</v>
      </c>
      <c r="D658" s="15" t="str">
        <f>IFERROR(__xludf.DUMMYFUNCTION("""COMPUTED_VALUE"""),"Removed")</f>
        <v>Removed</v>
      </c>
      <c r="E658" s="17">
        <f>IFERROR(__xludf.DUMMYFUNCTION("""COMPUTED_VALUE"""),44901.0)</f>
        <v>44901</v>
      </c>
      <c r="F658" s="54">
        <f>IFERROR(__xludf.DUMMYFUNCTION("""COMPUTED_VALUE"""),44928.0)</f>
        <v>44928</v>
      </c>
      <c r="G658" s="19">
        <f>IFERROR(__xludf.DUMMYFUNCTION("""COMPUTED_VALUE"""),0.8666666666666666)</f>
        <v>0.8666666667</v>
      </c>
      <c r="H658" s="17">
        <f>IFERROR(__xludf.DUMMYFUNCTION("""COMPUTED_VALUE"""),44901.0)</f>
        <v>44901</v>
      </c>
      <c r="I658" s="19">
        <f>IFERROR(__xludf.DUMMYFUNCTION("""COMPUTED_VALUE"""),0.0)</f>
        <v>0</v>
      </c>
      <c r="J658" s="21">
        <f>IFERROR(__xludf.DUMMYFUNCTION("""COMPUTED_VALUE"""),70.0)</f>
        <v>70</v>
      </c>
      <c r="K658" s="23">
        <f>IFERROR(__xludf.DUMMYFUNCTION("""COMPUTED_VALUE"""),3.0)</f>
        <v>3</v>
      </c>
      <c r="L658" s="24"/>
      <c r="M658" s="25" t="str">
        <f>IFERROR(__xludf.DUMMYFUNCTION("""COMPUTED_VALUE"""),"Action-Adventure")</f>
        <v>Action-Adventure</v>
      </c>
      <c r="N658" s="25"/>
      <c r="O658" s="26" t="str">
        <f>IFERROR(__xludf.DUMMYFUNCTION("""COMPUTED_VALUE"""),"No")</f>
        <v>No</v>
      </c>
      <c r="P658" s="26"/>
    </row>
    <row r="659">
      <c r="A659" s="13" t="str">
        <f>IFERROR(__xludf.DUMMYFUNCTION("""COMPUTED_VALUE"""),"Biomutant")</f>
        <v>Biomutant</v>
      </c>
      <c r="B659" s="15" t="str">
        <f>IFERROR(__xludf.DUMMYFUNCTION("""COMPUTED_VALUE"""),"PS5/PS4")</f>
        <v>PS5/PS4</v>
      </c>
      <c r="C659" s="16" t="str">
        <f>IFERROR(__xludf.DUMMYFUNCTION("""COMPUTED_VALUE"""),"Essential")</f>
        <v>Essential</v>
      </c>
      <c r="D659" s="15" t="str">
        <f>IFERROR(__xludf.DUMMYFUNCTION("""COMPUTED_VALUE"""),"Removed")</f>
        <v>Removed</v>
      </c>
      <c r="E659" s="17">
        <f>IFERROR(__xludf.DUMMYFUNCTION("""COMPUTED_VALUE"""),44901.0)</f>
        <v>44901</v>
      </c>
      <c r="F659" s="54">
        <f>IFERROR(__xludf.DUMMYFUNCTION("""COMPUTED_VALUE"""),44928.0)</f>
        <v>44928</v>
      </c>
      <c r="G659" s="19">
        <f>IFERROR(__xludf.DUMMYFUNCTION("""COMPUTED_VALUE"""),0.8666666666666666)</f>
        <v>0.8666666667</v>
      </c>
      <c r="H659" s="17">
        <f>IFERROR(__xludf.DUMMYFUNCTION("""COMPUTED_VALUE"""),44341.0)</f>
        <v>44341</v>
      </c>
      <c r="I659" s="19">
        <f>IFERROR(__xludf.DUMMYFUNCTION("""COMPUTED_VALUE"""),1.5305555555555554)</f>
        <v>1.530555556</v>
      </c>
      <c r="J659" s="21">
        <f>IFERROR(__xludf.DUMMYFUNCTION("""COMPUTED_VALUE"""),64.0)</f>
        <v>64</v>
      </c>
      <c r="K659" s="23">
        <f>IFERROR(__xludf.DUMMYFUNCTION("""COMPUTED_VALUE"""),6.7)</f>
        <v>6.7</v>
      </c>
      <c r="L659" s="24">
        <f>IFERROR(__xludf.DUMMYFUNCTION("""COMPUTED_VALUE"""),13.0)</f>
        <v>13</v>
      </c>
      <c r="M659" s="25" t="str">
        <f>IFERROR(__xludf.DUMMYFUNCTION("""COMPUTED_VALUE"""),"RPG")</f>
        <v>RPG</v>
      </c>
      <c r="N659" s="25"/>
      <c r="O659" s="26" t="str">
        <f>IFERROR(__xludf.DUMMYFUNCTION("""COMPUTED_VALUE"""),"No")</f>
        <v>No</v>
      </c>
      <c r="P659" s="26"/>
    </row>
    <row r="660">
      <c r="A660" s="13" t="str">
        <f>IFERROR(__xludf.DUMMYFUNCTION("""COMPUTED_VALUE"""),"Mass Effect: Legendary Edition")</f>
        <v>Mass Effect: Legendary Edition</v>
      </c>
      <c r="B660" s="15" t="str">
        <f>IFERROR(__xludf.DUMMYFUNCTION("""COMPUTED_VALUE"""),"PS4")</f>
        <v>PS4</v>
      </c>
      <c r="C660" s="16" t="str">
        <f>IFERROR(__xludf.DUMMYFUNCTION("""COMPUTED_VALUE"""),"Essential")</f>
        <v>Essential</v>
      </c>
      <c r="D660" s="15" t="str">
        <f>IFERROR(__xludf.DUMMYFUNCTION("""COMPUTED_VALUE"""),"Removed")</f>
        <v>Removed</v>
      </c>
      <c r="E660" s="17">
        <f>IFERROR(__xludf.DUMMYFUNCTION("""COMPUTED_VALUE"""),44901.0)</f>
        <v>44901</v>
      </c>
      <c r="F660" s="54">
        <f>IFERROR(__xludf.DUMMYFUNCTION("""COMPUTED_VALUE"""),44928.0)</f>
        <v>44928</v>
      </c>
      <c r="G660" s="19">
        <f>IFERROR(__xludf.DUMMYFUNCTION("""COMPUTED_VALUE"""),0.8666666666666666)</f>
        <v>0.8666666667</v>
      </c>
      <c r="H660" s="17">
        <f>IFERROR(__xludf.DUMMYFUNCTION("""COMPUTED_VALUE"""),44330.0)</f>
        <v>44330</v>
      </c>
      <c r="I660" s="19">
        <f>IFERROR(__xludf.DUMMYFUNCTION("""COMPUTED_VALUE"""),1.5611111111111111)</f>
        <v>1.561111111</v>
      </c>
      <c r="J660" s="21">
        <f>IFERROR(__xludf.DUMMYFUNCTION("""COMPUTED_VALUE"""),87.0)</f>
        <v>87</v>
      </c>
      <c r="K660" s="23">
        <f>IFERROR(__xludf.DUMMYFUNCTION("""COMPUTED_VALUE"""),6.5)</f>
        <v>6.5</v>
      </c>
      <c r="L660" s="24">
        <f>IFERROR(__xludf.DUMMYFUNCTION("""COMPUTED_VALUE"""),105.0)</f>
        <v>105</v>
      </c>
      <c r="M660" s="25" t="str">
        <f>IFERROR(__xludf.DUMMYFUNCTION("""COMPUTED_VALUE"""),"Shooter")</f>
        <v>Shooter</v>
      </c>
      <c r="N660" s="25"/>
      <c r="O660" s="26" t="str">
        <f>IFERROR(__xludf.DUMMYFUNCTION("""COMPUTED_VALUE"""),"No")</f>
        <v>No</v>
      </c>
      <c r="P660" s="26"/>
    </row>
    <row r="661">
      <c r="A661" s="13" t="str">
        <f>IFERROR(__xludf.DUMMYFUNCTION("""COMPUTED_VALUE"""),"Pillars of Eternity: Complete Edition")</f>
        <v>Pillars of Eternity: Complete Edition</v>
      </c>
      <c r="B661" s="15" t="str">
        <f>IFERROR(__xludf.DUMMYFUNCTION("""COMPUTED_VALUE"""),"PS4")</f>
        <v>PS4</v>
      </c>
      <c r="C661" s="16" t="str">
        <f>IFERROR(__xludf.DUMMYFUNCTION("""COMPUTED_VALUE"""),"Extra")</f>
        <v>Extra</v>
      </c>
      <c r="D661" s="15" t="str">
        <f>IFERROR(__xludf.DUMMYFUNCTION("""COMPUTED_VALUE"""),"Removed")</f>
        <v>Removed</v>
      </c>
      <c r="E661" s="17">
        <f>IFERROR(__xludf.DUMMYFUNCTION("""COMPUTED_VALUE"""),44725.0)</f>
        <v>44725</v>
      </c>
      <c r="F661" s="54">
        <f>IFERROR(__xludf.DUMMYFUNCTION("""COMPUTED_VALUE"""),44916.0)</f>
        <v>44916</v>
      </c>
      <c r="G661" s="19">
        <f>IFERROR(__xludf.DUMMYFUNCTION("""COMPUTED_VALUE"""),6.2666666666666675)</f>
        <v>6.266666667</v>
      </c>
      <c r="H661" s="17">
        <f>IFERROR(__xludf.DUMMYFUNCTION("""COMPUTED_VALUE"""),42089.0)</f>
        <v>42089</v>
      </c>
      <c r="I661" s="19">
        <f>IFERROR(__xludf.DUMMYFUNCTION("""COMPUTED_VALUE"""),7.213888888888889)</f>
        <v>7.213888889</v>
      </c>
      <c r="J661" s="21">
        <f>IFERROR(__xludf.DUMMYFUNCTION("""COMPUTED_VALUE"""),84.0)</f>
        <v>84</v>
      </c>
      <c r="K661" s="23">
        <f>IFERROR(__xludf.DUMMYFUNCTION("""COMPUTED_VALUE"""),8.2)</f>
        <v>8.2</v>
      </c>
      <c r="L661" s="24">
        <f>IFERROR(__xludf.DUMMYFUNCTION("""COMPUTED_VALUE"""),32.0)</f>
        <v>32</v>
      </c>
      <c r="M661" s="25" t="str">
        <f>IFERROR(__xludf.DUMMYFUNCTION("""COMPUTED_VALUE"""),"RPG")</f>
        <v>RPG</v>
      </c>
      <c r="N661" s="25"/>
      <c r="O661" s="26" t="str">
        <f>IFERROR(__xludf.DUMMYFUNCTION("""COMPUTED_VALUE"""),"Yes")</f>
        <v>Yes</v>
      </c>
      <c r="P661" s="26"/>
    </row>
    <row r="662">
      <c r="A662" s="13" t="str">
        <f>IFERROR(__xludf.DUMMYFUNCTION("""COMPUTED_VALUE"""),"Assassin's Creed Valhalla")</f>
        <v>Assassin's Creed Valhalla</v>
      </c>
      <c r="B662" s="15" t="str">
        <f>IFERROR(__xludf.DUMMYFUNCTION("""COMPUTED_VALUE"""),"PS5/PS4")</f>
        <v>PS5/PS4</v>
      </c>
      <c r="C662" s="16" t="str">
        <f>IFERROR(__xludf.DUMMYFUNCTION("""COMPUTED_VALUE"""),"Extra (Ubisoft+ Classics)")</f>
        <v>Extra (Ubisoft+ Classics)</v>
      </c>
      <c r="D662" s="15" t="str">
        <f>IFERROR(__xludf.DUMMYFUNCTION("""COMPUTED_VALUE"""),"Removed")</f>
        <v>Removed</v>
      </c>
      <c r="E662" s="17">
        <f>IFERROR(__xludf.DUMMYFUNCTION("""COMPUTED_VALUE"""),44725.0)</f>
        <v>44725</v>
      </c>
      <c r="F662" s="54">
        <f>IFERROR(__xludf.DUMMYFUNCTION("""COMPUTED_VALUE"""),44915.0)</f>
        <v>44915</v>
      </c>
      <c r="G662" s="19">
        <f>IFERROR(__xludf.DUMMYFUNCTION("""COMPUTED_VALUE"""),6.233333333333334)</f>
        <v>6.233333333</v>
      </c>
      <c r="H662" s="17">
        <f>IFERROR(__xludf.DUMMYFUNCTION("""COMPUTED_VALUE"""),44147.0)</f>
        <v>44147</v>
      </c>
      <c r="I662" s="19">
        <f>IFERROR(__xludf.DUMMYFUNCTION("""COMPUTED_VALUE"""),1.586111111111111)</f>
        <v>1.586111111</v>
      </c>
      <c r="J662" s="21">
        <f>IFERROR(__xludf.DUMMYFUNCTION("""COMPUTED_VALUE"""),85.0)</f>
        <v>85</v>
      </c>
      <c r="K662" s="23">
        <f>IFERROR(__xludf.DUMMYFUNCTION("""COMPUTED_VALUE"""),7.0)</f>
        <v>7</v>
      </c>
      <c r="L662" s="24">
        <f>IFERROR(__xludf.DUMMYFUNCTION("""COMPUTED_VALUE"""),59.5)</f>
        <v>59.5</v>
      </c>
      <c r="M662" s="25" t="str">
        <f>IFERROR(__xludf.DUMMYFUNCTION("""COMPUTED_VALUE"""),"RPG")</f>
        <v>RPG</v>
      </c>
      <c r="N662" s="25"/>
      <c r="O662" s="26" t="str">
        <f>IFERROR(__xludf.DUMMYFUNCTION("""COMPUTED_VALUE"""),"Yes")</f>
        <v>Yes</v>
      </c>
      <c r="P662" s="26"/>
    </row>
    <row r="663">
      <c r="A663" s="13" t="str">
        <f>IFERROR(__xludf.DUMMYFUNCTION("""COMPUTED_VALUE"""),"Heavenly Bodies")</f>
        <v>Heavenly Bodies</v>
      </c>
      <c r="B663" s="15" t="str">
        <f>IFERROR(__xludf.DUMMYFUNCTION("""COMPUTED_VALUE"""),"PS5/PS4")</f>
        <v>PS5/PS4</v>
      </c>
      <c r="C663" s="16" t="str">
        <f>IFERROR(__xludf.DUMMYFUNCTION("""COMPUTED_VALUE"""),"Essential")</f>
        <v>Essential</v>
      </c>
      <c r="D663" s="15" t="str">
        <f>IFERROR(__xludf.DUMMYFUNCTION("""COMPUTED_VALUE"""),"Removed")</f>
        <v>Removed</v>
      </c>
      <c r="E663" s="17">
        <f>IFERROR(__xludf.DUMMYFUNCTION("""COMPUTED_VALUE"""),44866.0)</f>
        <v>44866</v>
      </c>
      <c r="F663" s="54">
        <f>IFERROR(__xludf.DUMMYFUNCTION("""COMPUTED_VALUE"""),44900.0)</f>
        <v>44900</v>
      </c>
      <c r="G663" s="19">
        <f>IFERROR(__xludf.DUMMYFUNCTION("""COMPUTED_VALUE"""),1.1333333333333333)</f>
        <v>1.133333333</v>
      </c>
      <c r="H663" s="17">
        <f>IFERROR(__xludf.DUMMYFUNCTION("""COMPUTED_VALUE"""),44537.0)</f>
        <v>44537</v>
      </c>
      <c r="I663" s="19">
        <f>IFERROR(__xludf.DUMMYFUNCTION("""COMPUTED_VALUE"""),0.9)</f>
        <v>0.9</v>
      </c>
      <c r="J663" s="21">
        <f>IFERROR(__xludf.DUMMYFUNCTION("""COMPUTED_VALUE"""),60.0)</f>
        <v>60</v>
      </c>
      <c r="K663" s="23">
        <f>IFERROR(__xludf.DUMMYFUNCTION("""COMPUTED_VALUE"""),9.0)</f>
        <v>9</v>
      </c>
      <c r="L663" s="24">
        <f>IFERROR(__xludf.DUMMYFUNCTION("""COMPUTED_VALUE"""),5.0)</f>
        <v>5</v>
      </c>
      <c r="M663" s="25" t="str">
        <f>IFERROR(__xludf.DUMMYFUNCTION("""COMPUTED_VALUE"""),"Action-Adventure")</f>
        <v>Action-Adventure</v>
      </c>
      <c r="N663" s="25"/>
      <c r="O663" s="26" t="str">
        <f>IFERROR(__xludf.DUMMYFUNCTION("""COMPUTED_VALUE"""),"No")</f>
        <v>No</v>
      </c>
      <c r="P663" s="26"/>
    </row>
    <row r="664">
      <c r="A664" s="13" t="str">
        <f>IFERROR(__xludf.DUMMYFUNCTION("""COMPUTED_VALUE"""),"Nioh 2: Remastered")</f>
        <v>Nioh 2: Remastered</v>
      </c>
      <c r="B664" s="15" t="str">
        <f>IFERROR(__xludf.DUMMYFUNCTION("""COMPUTED_VALUE"""),"PS5/PS4")</f>
        <v>PS5/PS4</v>
      </c>
      <c r="C664" s="16" t="str">
        <f>IFERROR(__xludf.DUMMYFUNCTION("""COMPUTED_VALUE"""),"Essential")</f>
        <v>Essential</v>
      </c>
      <c r="D664" s="15" t="str">
        <f>IFERROR(__xludf.DUMMYFUNCTION("""COMPUTED_VALUE"""),"Removed")</f>
        <v>Removed</v>
      </c>
      <c r="E664" s="17">
        <f>IFERROR(__xludf.DUMMYFUNCTION("""COMPUTED_VALUE"""),44866.0)</f>
        <v>44866</v>
      </c>
      <c r="F664" s="54">
        <f>IFERROR(__xludf.DUMMYFUNCTION("""COMPUTED_VALUE"""),44900.0)</f>
        <v>44900</v>
      </c>
      <c r="G664" s="19">
        <f>IFERROR(__xludf.DUMMYFUNCTION("""COMPUTED_VALUE"""),1.1333333333333333)</f>
        <v>1.133333333</v>
      </c>
      <c r="H664" s="17">
        <f>IFERROR(__xludf.DUMMYFUNCTION("""COMPUTED_VALUE"""),43903.0)</f>
        <v>43903</v>
      </c>
      <c r="I664" s="19">
        <f>IFERROR(__xludf.DUMMYFUNCTION("""COMPUTED_VALUE"""),2.6333333333333333)</f>
        <v>2.633333333</v>
      </c>
      <c r="J664" s="21">
        <f>IFERROR(__xludf.DUMMYFUNCTION("""COMPUTED_VALUE"""),85.0)</f>
        <v>85</v>
      </c>
      <c r="K664" s="23">
        <f>IFERROR(__xludf.DUMMYFUNCTION("""COMPUTED_VALUE"""),7.8)</f>
        <v>7.8</v>
      </c>
      <c r="L664" s="24">
        <f>IFERROR(__xludf.DUMMYFUNCTION("""COMPUTED_VALUE"""),45.0)</f>
        <v>45</v>
      </c>
      <c r="M664" s="25" t="str">
        <f>IFERROR(__xludf.DUMMYFUNCTION("""COMPUTED_VALUE"""),"RPG")</f>
        <v>RPG</v>
      </c>
      <c r="N664" s="25" t="str">
        <f>IFERROR(__xludf.DUMMYFUNCTION("""COMPUTED_VALUE"""),"PS4 gets the base version")</f>
        <v>PS4 gets the base version</v>
      </c>
      <c r="O664" s="26" t="str">
        <f>IFERROR(__xludf.DUMMYFUNCTION("""COMPUTED_VALUE"""),"No")</f>
        <v>No</v>
      </c>
      <c r="P664" s="26"/>
    </row>
    <row r="665">
      <c r="A665" s="13" t="str">
        <f>IFERROR(__xludf.DUMMYFUNCTION("""COMPUTED_VALUE"""),"LEGO Harry Potter Collection")</f>
        <v>LEGO Harry Potter Collection</v>
      </c>
      <c r="B665" s="15" t="str">
        <f>IFERROR(__xludf.DUMMYFUNCTION("""COMPUTED_VALUE"""),"PS4")</f>
        <v>PS4</v>
      </c>
      <c r="C665" s="16" t="str">
        <f>IFERROR(__xludf.DUMMYFUNCTION("""COMPUTED_VALUE"""),"Essential")</f>
        <v>Essential</v>
      </c>
      <c r="D665" s="15" t="str">
        <f>IFERROR(__xludf.DUMMYFUNCTION("""COMPUTED_VALUE"""),"Removed")</f>
        <v>Removed</v>
      </c>
      <c r="E665" s="17">
        <f>IFERROR(__xludf.DUMMYFUNCTION("""COMPUTED_VALUE"""),44866.0)</f>
        <v>44866</v>
      </c>
      <c r="F665" s="54">
        <f>IFERROR(__xludf.DUMMYFUNCTION("""COMPUTED_VALUE"""),44900.0)</f>
        <v>44900</v>
      </c>
      <c r="G665" s="19">
        <f>IFERROR(__xludf.DUMMYFUNCTION("""COMPUTED_VALUE"""),1.1333333333333333)</f>
        <v>1.133333333</v>
      </c>
      <c r="H665" s="17">
        <f>IFERROR(__xludf.DUMMYFUNCTION("""COMPUTED_VALUE"""),42661.0)</f>
        <v>42661</v>
      </c>
      <c r="I665" s="19">
        <f>IFERROR(__xludf.DUMMYFUNCTION("""COMPUTED_VALUE"""),6.036111111111111)</f>
        <v>6.036111111</v>
      </c>
      <c r="J665" s="21">
        <f>IFERROR(__xludf.DUMMYFUNCTION("""COMPUTED_VALUE"""),73.0)</f>
        <v>73</v>
      </c>
      <c r="K665" s="23">
        <f>IFERROR(__xludf.DUMMYFUNCTION("""COMPUTED_VALUE"""),7.7)</f>
        <v>7.7</v>
      </c>
      <c r="L665" s="24">
        <f>IFERROR(__xludf.DUMMYFUNCTION("""COMPUTED_VALUE"""),39.0)</f>
        <v>39</v>
      </c>
      <c r="M665" s="25" t="str">
        <f>IFERROR(__xludf.DUMMYFUNCTION("""COMPUTED_VALUE"""),"Action-Adventure")</f>
        <v>Action-Adventure</v>
      </c>
      <c r="N665" s="25"/>
      <c r="O665" s="26" t="str">
        <f>IFERROR(__xludf.DUMMYFUNCTION("""COMPUTED_VALUE"""),"No")</f>
        <v>No</v>
      </c>
      <c r="P665" s="26"/>
    </row>
    <row r="666">
      <c r="A666" s="13" t="str">
        <f>IFERROR(__xludf.DUMMYFUNCTION("""COMPUTED_VALUE"""),"Greedfall")</f>
        <v>Greedfall</v>
      </c>
      <c r="B666" s="15" t="str">
        <f>IFERROR(__xludf.DUMMYFUNCTION("""COMPUTED_VALUE"""),"PS5/PS4")</f>
        <v>PS5/PS4</v>
      </c>
      <c r="C666" s="16" t="str">
        <f>IFERROR(__xludf.DUMMYFUNCTION("""COMPUTED_VALUE"""),"Extra")</f>
        <v>Extra</v>
      </c>
      <c r="D666" s="15" t="str">
        <f>IFERROR(__xludf.DUMMYFUNCTION("""COMPUTED_VALUE"""),"Removed")</f>
        <v>Removed</v>
      </c>
      <c r="E666" s="17">
        <f>IFERROR(__xludf.DUMMYFUNCTION("""COMPUTED_VALUE"""),44725.0)</f>
        <v>44725</v>
      </c>
      <c r="F666" s="54">
        <f>IFERROR(__xludf.DUMMYFUNCTION("""COMPUTED_VALUE"""),44880.0)</f>
        <v>44880</v>
      </c>
      <c r="G666" s="19">
        <f>IFERROR(__xludf.DUMMYFUNCTION("""COMPUTED_VALUE"""),5.066666666666666)</f>
        <v>5.066666667</v>
      </c>
      <c r="H666" s="17">
        <f>IFERROR(__xludf.DUMMYFUNCTION("""COMPUTED_VALUE"""),43718.0)</f>
        <v>43718</v>
      </c>
      <c r="I666" s="19">
        <f>IFERROR(__xludf.DUMMYFUNCTION("""COMPUTED_VALUE"""),2.7583333333333333)</f>
        <v>2.758333333</v>
      </c>
      <c r="J666" s="21">
        <f>IFERROR(__xludf.DUMMYFUNCTION("""COMPUTED_VALUE"""),74.0)</f>
        <v>74</v>
      </c>
      <c r="K666" s="23">
        <f>IFERROR(__xludf.DUMMYFUNCTION("""COMPUTED_VALUE"""),7.6)</f>
        <v>7.6</v>
      </c>
      <c r="L666" s="24">
        <f>IFERROR(__xludf.DUMMYFUNCTION("""COMPUTED_VALUE"""),23.5)</f>
        <v>23.5</v>
      </c>
      <c r="M666" s="25" t="str">
        <f>IFERROR(__xludf.DUMMYFUNCTION("""COMPUTED_VALUE"""),"RPG")</f>
        <v>RPG</v>
      </c>
      <c r="N666" s="25"/>
      <c r="O666" s="26" t="str">
        <f>IFERROR(__xludf.DUMMYFUNCTION("""COMPUTED_VALUE"""),"Yes")</f>
        <v>Yes</v>
      </c>
      <c r="P666" s="26"/>
    </row>
    <row r="667">
      <c r="A667" s="13" t="str">
        <f>IFERROR(__xludf.DUMMYFUNCTION("""COMPUTED_VALUE"""),"MXGP 2021")</f>
        <v>MXGP 2021</v>
      </c>
      <c r="B667" s="15" t="str">
        <f>IFERROR(__xludf.DUMMYFUNCTION("""COMPUTED_VALUE"""),"PS5/PS4")</f>
        <v>PS5/PS4</v>
      </c>
      <c r="C667" s="16" t="str">
        <f>IFERROR(__xludf.DUMMYFUNCTION("""COMPUTED_VALUE"""),"Extra")</f>
        <v>Extra</v>
      </c>
      <c r="D667" s="15" t="str">
        <f>IFERROR(__xludf.DUMMYFUNCTION("""COMPUTED_VALUE"""),"Removed")</f>
        <v>Removed</v>
      </c>
      <c r="E667" s="17">
        <f>IFERROR(__xludf.DUMMYFUNCTION("""COMPUTED_VALUE"""),44725.0)</f>
        <v>44725</v>
      </c>
      <c r="F667" s="54">
        <f>IFERROR(__xludf.DUMMYFUNCTION("""COMPUTED_VALUE"""),44880.0)</f>
        <v>44880</v>
      </c>
      <c r="G667" s="19">
        <f>IFERROR(__xludf.DUMMYFUNCTION("""COMPUTED_VALUE"""),5.066666666666666)</f>
        <v>5.066666667</v>
      </c>
      <c r="H667" s="17">
        <f>IFERROR(__xludf.DUMMYFUNCTION("""COMPUTED_VALUE"""),44530.0)</f>
        <v>44530</v>
      </c>
      <c r="I667" s="19">
        <f>IFERROR(__xludf.DUMMYFUNCTION("""COMPUTED_VALUE"""),0.5361111111111111)</f>
        <v>0.5361111111</v>
      </c>
      <c r="J667" s="21">
        <f>IFERROR(__xludf.DUMMYFUNCTION("""COMPUTED_VALUE"""),69.0)</f>
        <v>69</v>
      </c>
      <c r="K667" s="23">
        <f>IFERROR(__xludf.DUMMYFUNCTION("""COMPUTED_VALUE"""),6.0)</f>
        <v>6</v>
      </c>
      <c r="L667" s="24">
        <f>IFERROR(__xludf.DUMMYFUNCTION("""COMPUTED_VALUE"""),10.0)</f>
        <v>10</v>
      </c>
      <c r="M667" s="25" t="str">
        <f>IFERROR(__xludf.DUMMYFUNCTION("""COMPUTED_VALUE"""),"Racing")</f>
        <v>Racing</v>
      </c>
      <c r="N667" s="25"/>
      <c r="O667" s="26" t="str">
        <f>IFERROR(__xludf.DUMMYFUNCTION("""COMPUTED_VALUE"""),"Yes")</f>
        <v>Yes</v>
      </c>
      <c r="P667" s="26" t="str">
        <f>IFERROR(__xludf.DUMMYFUNCTION("""COMPUTED_VALUE"""),"Yes")</f>
        <v>Yes</v>
      </c>
    </row>
    <row r="668">
      <c r="A668" s="13" t="str">
        <f>IFERROR(__xludf.DUMMYFUNCTION("""COMPUTED_VALUE"""),"Mafia III: Definitive Edition")</f>
        <v>Mafia III: Definitive Edition</v>
      </c>
      <c r="B668" s="15" t="str">
        <f>IFERROR(__xludf.DUMMYFUNCTION("""COMPUTED_VALUE"""),"PS4")</f>
        <v>PS4</v>
      </c>
      <c r="C668" s="16" t="str">
        <f>IFERROR(__xludf.DUMMYFUNCTION("""COMPUTED_VALUE"""),"Extra")</f>
        <v>Extra</v>
      </c>
      <c r="D668" s="15" t="str">
        <f>IFERROR(__xludf.DUMMYFUNCTION("""COMPUTED_VALUE"""),"Removed")</f>
        <v>Removed</v>
      </c>
      <c r="E668" s="17">
        <f>IFERROR(__xludf.DUMMYFUNCTION("""COMPUTED_VALUE"""),44725.0)</f>
        <v>44725</v>
      </c>
      <c r="F668" s="54">
        <f>IFERROR(__xludf.DUMMYFUNCTION("""COMPUTED_VALUE"""),44880.0)</f>
        <v>44880</v>
      </c>
      <c r="G668" s="19">
        <f>IFERROR(__xludf.DUMMYFUNCTION("""COMPUTED_VALUE"""),5.066666666666666)</f>
        <v>5.066666667</v>
      </c>
      <c r="H668" s="17">
        <f>IFERROR(__xludf.DUMMYFUNCTION("""COMPUTED_VALUE"""),44341.0)</f>
        <v>44341</v>
      </c>
      <c r="I668" s="19">
        <f>IFERROR(__xludf.DUMMYFUNCTION("""COMPUTED_VALUE"""),1.05)</f>
        <v>1.05</v>
      </c>
      <c r="J668" s="21">
        <f>IFERROR(__xludf.DUMMYFUNCTION("""COMPUTED_VALUE"""),62.0)</f>
        <v>62</v>
      </c>
      <c r="K668" s="23">
        <f>IFERROR(__xludf.DUMMYFUNCTION("""COMPUTED_VALUE"""),6.5)</f>
        <v>6.5</v>
      </c>
      <c r="L668" s="24">
        <f>IFERROR(__xludf.DUMMYFUNCTION("""COMPUTED_VALUE"""),23.0)</f>
        <v>23</v>
      </c>
      <c r="M668" s="25" t="str">
        <f>IFERROR(__xludf.DUMMYFUNCTION("""COMPUTED_VALUE"""),"Action-Adventure")</f>
        <v>Action-Adventure</v>
      </c>
      <c r="N668" s="25"/>
      <c r="O668" s="26" t="str">
        <f>IFERROR(__xludf.DUMMYFUNCTION("""COMPUTED_VALUE"""),"No")</f>
        <v>No</v>
      </c>
      <c r="P668" s="26"/>
    </row>
    <row r="669">
      <c r="A669" s="13" t="str">
        <f>IFERROR(__xludf.DUMMYFUNCTION("""COMPUTED_VALUE"""),"Dead Nation: Apocalypse Edition")</f>
        <v>Dead Nation: Apocalypse Edition</v>
      </c>
      <c r="B669" s="15" t="str">
        <f>IFERROR(__xludf.DUMMYFUNCTION("""COMPUTED_VALUE"""),"PS4")</f>
        <v>PS4</v>
      </c>
      <c r="C669" s="16" t="str">
        <f>IFERROR(__xludf.DUMMYFUNCTION("""COMPUTED_VALUE"""),"Premium (Remasters)")</f>
        <v>Premium (Remasters)</v>
      </c>
      <c r="D669" s="15" t="str">
        <f>IFERROR(__xludf.DUMMYFUNCTION("""COMPUTED_VALUE"""),"Removed")</f>
        <v>Removed</v>
      </c>
      <c r="E669" s="17">
        <f>IFERROR(__xludf.DUMMYFUNCTION("""COMPUTED_VALUE"""),44725.0)</f>
        <v>44725</v>
      </c>
      <c r="F669" s="54">
        <f>IFERROR(__xludf.DUMMYFUNCTION("""COMPUTED_VALUE"""),44880.0)</f>
        <v>44880</v>
      </c>
      <c r="G669" s="19">
        <f>IFERROR(__xludf.DUMMYFUNCTION("""COMPUTED_VALUE"""),5.066666666666666)</f>
        <v>5.066666667</v>
      </c>
      <c r="H669" s="17">
        <f>IFERROR(__xludf.DUMMYFUNCTION("""COMPUTED_VALUE"""),41699.0)</f>
        <v>41699</v>
      </c>
      <c r="I669" s="19">
        <f>IFERROR(__xludf.DUMMYFUNCTION("""COMPUTED_VALUE"""),8.283333333333333)</f>
        <v>8.283333333</v>
      </c>
      <c r="J669" s="21">
        <f>IFERROR(__xludf.DUMMYFUNCTION("""COMPUTED_VALUE"""),74.0)</f>
        <v>74</v>
      </c>
      <c r="K669" s="23">
        <f>IFERROR(__xludf.DUMMYFUNCTION("""COMPUTED_VALUE"""),7.6)</f>
        <v>7.6</v>
      </c>
      <c r="L669" s="24">
        <f>IFERROR(__xludf.DUMMYFUNCTION("""COMPUTED_VALUE"""),6.0)</f>
        <v>6</v>
      </c>
      <c r="M669" s="25" t="str">
        <f>IFERROR(__xludf.DUMMYFUNCTION("""COMPUTED_VALUE"""),"Shooter")</f>
        <v>Shooter</v>
      </c>
      <c r="N669" s="25" t="str">
        <f>IFERROR(__xludf.DUMMYFUNCTION("""COMPUTED_VALUE"""),"PS3")</f>
        <v>PS3</v>
      </c>
      <c r="O669" s="26" t="str">
        <f>IFERROR(__xludf.DUMMYFUNCTION("""COMPUTED_VALUE"""),"Yes")</f>
        <v>Yes</v>
      </c>
      <c r="P669" s="26"/>
    </row>
    <row r="670">
      <c r="A670" s="13" t="str">
        <f>IFERROR(__xludf.DUMMYFUNCTION("""COMPUTED_VALUE"""),"Mafia II: Definitive Edition")</f>
        <v>Mafia II: Definitive Edition</v>
      </c>
      <c r="B670" s="15" t="str">
        <f>IFERROR(__xludf.DUMMYFUNCTION("""COMPUTED_VALUE"""),"PS4")</f>
        <v>PS4</v>
      </c>
      <c r="C670" s="16" t="str">
        <f>IFERROR(__xludf.DUMMYFUNCTION("""COMPUTED_VALUE"""),"Premium (Remasters)")</f>
        <v>Premium (Remasters)</v>
      </c>
      <c r="D670" s="15" t="str">
        <f>IFERROR(__xludf.DUMMYFUNCTION("""COMPUTED_VALUE"""),"Removed")</f>
        <v>Removed</v>
      </c>
      <c r="E670" s="17">
        <f>IFERROR(__xludf.DUMMYFUNCTION("""COMPUTED_VALUE"""),44725.0)</f>
        <v>44725</v>
      </c>
      <c r="F670" s="54">
        <f>IFERROR(__xludf.DUMMYFUNCTION("""COMPUTED_VALUE"""),44880.0)</f>
        <v>44880</v>
      </c>
      <c r="G670" s="19">
        <f>IFERROR(__xludf.DUMMYFUNCTION("""COMPUTED_VALUE"""),5.066666666666666)</f>
        <v>5.066666667</v>
      </c>
      <c r="H670" s="17">
        <f>IFERROR(__xludf.DUMMYFUNCTION("""COMPUTED_VALUE"""),43970.0)</f>
        <v>43970</v>
      </c>
      <c r="I670" s="19">
        <f>IFERROR(__xludf.DUMMYFUNCTION("""COMPUTED_VALUE"""),2.066666666666667)</f>
        <v>2.066666667</v>
      </c>
      <c r="J670" s="21">
        <f>IFERROR(__xludf.DUMMYFUNCTION("""COMPUTED_VALUE"""),71.0)</f>
        <v>71</v>
      </c>
      <c r="K670" s="23">
        <f>IFERROR(__xludf.DUMMYFUNCTION("""COMPUTED_VALUE"""),6.4)</f>
        <v>6.4</v>
      </c>
      <c r="L670" s="24">
        <f>IFERROR(__xludf.DUMMYFUNCTION("""COMPUTED_VALUE"""),12.0)</f>
        <v>12</v>
      </c>
      <c r="M670" s="25" t="str">
        <f>IFERROR(__xludf.DUMMYFUNCTION("""COMPUTED_VALUE"""),"Action-Adventure")</f>
        <v>Action-Adventure</v>
      </c>
      <c r="N670" s="25" t="str">
        <f>IFERROR(__xludf.DUMMYFUNCTION("""COMPUTED_VALUE"""),"PS3")</f>
        <v>PS3</v>
      </c>
      <c r="O670" s="26" t="str">
        <f>IFERROR(__xludf.DUMMYFUNCTION("""COMPUTED_VALUE"""),"Yes")</f>
        <v>Yes</v>
      </c>
      <c r="P670" s="26"/>
    </row>
    <row r="671">
      <c r="A671" s="13" t="str">
        <f>IFERROR(__xludf.DUMMYFUNCTION("""COMPUTED_VALUE"""),"Mafia: Definitive Edition")</f>
        <v>Mafia: Definitive Edition</v>
      </c>
      <c r="B671" s="15" t="str">
        <f>IFERROR(__xludf.DUMMYFUNCTION("""COMPUTED_VALUE"""),"PS4")</f>
        <v>PS4</v>
      </c>
      <c r="C671" s="16" t="str">
        <f>IFERROR(__xludf.DUMMYFUNCTION("""COMPUTED_VALUE"""),"Premium (Remasters)")</f>
        <v>Premium (Remasters)</v>
      </c>
      <c r="D671" s="15" t="str">
        <f>IFERROR(__xludf.DUMMYFUNCTION("""COMPUTED_VALUE"""),"Removed")</f>
        <v>Removed</v>
      </c>
      <c r="E671" s="17">
        <f>IFERROR(__xludf.DUMMYFUNCTION("""COMPUTED_VALUE"""),44502.0)</f>
        <v>44502</v>
      </c>
      <c r="F671" s="54">
        <f>IFERROR(__xludf.DUMMYFUNCTION("""COMPUTED_VALUE"""),44880.0)</f>
        <v>44880</v>
      </c>
      <c r="G671" s="19">
        <f>IFERROR(__xludf.DUMMYFUNCTION("""COMPUTED_VALUE"""),12.433333333333334)</f>
        <v>12.43333333</v>
      </c>
      <c r="H671" s="17">
        <f>IFERROR(__xludf.DUMMYFUNCTION("""COMPUTED_VALUE"""),44099.0)</f>
        <v>44099</v>
      </c>
      <c r="I671" s="19">
        <f>IFERROR(__xludf.DUMMYFUNCTION("""COMPUTED_VALUE"""),1.1027777777777779)</f>
        <v>1.102777778</v>
      </c>
      <c r="J671" s="21">
        <f>IFERROR(__xludf.DUMMYFUNCTION("""COMPUTED_VALUE"""),78.0)</f>
        <v>78</v>
      </c>
      <c r="K671" s="23">
        <f>IFERROR(__xludf.DUMMYFUNCTION("""COMPUTED_VALUE"""),7.9)</f>
        <v>7.9</v>
      </c>
      <c r="L671" s="24">
        <f>IFERROR(__xludf.DUMMYFUNCTION("""COMPUTED_VALUE"""),11.0)</f>
        <v>11</v>
      </c>
      <c r="M671" s="25" t="str">
        <f>IFERROR(__xludf.DUMMYFUNCTION("""COMPUTED_VALUE"""),"Action-Adventure")</f>
        <v>Action-Adventure</v>
      </c>
      <c r="N671" s="25" t="str">
        <f>IFERROR(__xludf.DUMMYFUNCTION("""COMPUTED_VALUE"""),"Windows")</f>
        <v>Windows</v>
      </c>
      <c r="O671" s="26" t="str">
        <f>IFERROR(__xludf.DUMMYFUNCTION("""COMPUTED_VALUE"""),"Yes")</f>
        <v>Yes</v>
      </c>
      <c r="P671" s="26"/>
    </row>
    <row r="672">
      <c r="A672" s="13" t="str">
        <f>IFERROR(__xludf.DUMMYFUNCTION("""COMPUTED_VALUE"""),"RIDE 4")</f>
        <v>RIDE 4</v>
      </c>
      <c r="B672" s="15" t="str">
        <f>IFERROR(__xludf.DUMMYFUNCTION("""COMPUTED_VALUE"""),"PS5/PS4")</f>
        <v>PS5/PS4</v>
      </c>
      <c r="C672" s="16" t="str">
        <f>IFERROR(__xludf.DUMMYFUNCTION("""COMPUTED_VALUE"""),"Extra")</f>
        <v>Extra</v>
      </c>
      <c r="D672" s="15" t="str">
        <f>IFERROR(__xludf.DUMMYFUNCTION("""COMPUTED_VALUE"""),"Removed")</f>
        <v>Removed</v>
      </c>
      <c r="E672" s="17">
        <f>IFERROR(__xludf.DUMMYFUNCTION("""COMPUTED_VALUE"""),44320.0)</f>
        <v>44320</v>
      </c>
      <c r="F672" s="54">
        <f>IFERROR(__xludf.DUMMYFUNCTION("""COMPUTED_VALUE"""),44880.0)</f>
        <v>44880</v>
      </c>
      <c r="G672" s="19">
        <f>IFERROR(__xludf.DUMMYFUNCTION("""COMPUTED_VALUE"""),18.366666666666667)</f>
        <v>18.36666667</v>
      </c>
      <c r="H672" s="17">
        <f>IFERROR(__xludf.DUMMYFUNCTION("""COMPUTED_VALUE"""),44112.0)</f>
        <v>44112</v>
      </c>
      <c r="I672" s="19">
        <f>IFERROR(__xludf.DUMMYFUNCTION("""COMPUTED_VALUE"""),0.5722222222222222)</f>
        <v>0.5722222222</v>
      </c>
      <c r="J672" s="21">
        <f>IFERROR(__xludf.DUMMYFUNCTION("""COMPUTED_VALUE"""),76.0)</f>
        <v>76</v>
      </c>
      <c r="K672" s="23">
        <f>IFERROR(__xludf.DUMMYFUNCTION("""COMPUTED_VALUE"""),7.5)</f>
        <v>7.5</v>
      </c>
      <c r="L672" s="24">
        <f>IFERROR(__xludf.DUMMYFUNCTION("""COMPUTED_VALUE"""),30.0)</f>
        <v>30</v>
      </c>
      <c r="M672" s="25" t="str">
        <f>IFERROR(__xludf.DUMMYFUNCTION("""COMPUTED_VALUE"""),"Racing")</f>
        <v>Racing</v>
      </c>
      <c r="N672" s="25"/>
      <c r="O672" s="26" t="str">
        <f>IFERROR(__xludf.DUMMYFUNCTION("""COMPUTED_VALUE"""),"Yes")</f>
        <v>Yes</v>
      </c>
      <c r="P672" s="26"/>
    </row>
    <row r="673">
      <c r="A673" s="13" t="str">
        <f>IFERROR(__xludf.DUMMYFUNCTION("""COMPUTED_VALUE"""),"Hot Wheels Unleashed")</f>
        <v>Hot Wheels Unleashed</v>
      </c>
      <c r="B673" s="15" t="str">
        <f>IFERROR(__xludf.DUMMYFUNCTION("""COMPUTED_VALUE"""),"PS5/PS4")</f>
        <v>PS5/PS4</v>
      </c>
      <c r="C673" s="16" t="str">
        <f>IFERROR(__xludf.DUMMYFUNCTION("""COMPUTED_VALUE"""),"Essential")</f>
        <v>Essential</v>
      </c>
      <c r="D673" s="15" t="str">
        <f>IFERROR(__xludf.DUMMYFUNCTION("""COMPUTED_VALUE"""),"Removed")</f>
        <v>Removed</v>
      </c>
      <c r="E673" s="17">
        <f>IFERROR(__xludf.DUMMYFUNCTION("""COMPUTED_VALUE"""),44838.0)</f>
        <v>44838</v>
      </c>
      <c r="F673" s="54">
        <f>IFERROR(__xludf.DUMMYFUNCTION("""COMPUTED_VALUE"""),44865.0)</f>
        <v>44865</v>
      </c>
      <c r="G673" s="19">
        <f>IFERROR(__xludf.DUMMYFUNCTION("""COMPUTED_VALUE"""),0.8666666666666666)</f>
        <v>0.8666666667</v>
      </c>
      <c r="H673" s="17">
        <f>IFERROR(__xludf.DUMMYFUNCTION("""COMPUTED_VALUE"""),44469.0)</f>
        <v>44469</v>
      </c>
      <c r="I673" s="19">
        <f>IFERROR(__xludf.DUMMYFUNCTION("""COMPUTED_VALUE"""),1.011111111111111)</f>
        <v>1.011111111</v>
      </c>
      <c r="J673" s="21">
        <f>IFERROR(__xludf.DUMMYFUNCTION("""COMPUTED_VALUE"""),75.0)</f>
        <v>75</v>
      </c>
      <c r="K673" s="23">
        <f>IFERROR(__xludf.DUMMYFUNCTION("""COMPUTED_VALUE"""),7.6)</f>
        <v>7.6</v>
      </c>
      <c r="L673" s="24">
        <f>IFERROR(__xludf.DUMMYFUNCTION("""COMPUTED_VALUE"""),7.0)</f>
        <v>7</v>
      </c>
      <c r="M673" s="25" t="str">
        <f>IFERROR(__xludf.DUMMYFUNCTION("""COMPUTED_VALUE"""),"Racing")</f>
        <v>Racing</v>
      </c>
      <c r="N673" s="25"/>
      <c r="O673" s="26" t="str">
        <f>IFERROR(__xludf.DUMMYFUNCTION("""COMPUTED_VALUE"""),"No")</f>
        <v>No</v>
      </c>
      <c r="P673" s="26"/>
    </row>
    <row r="674">
      <c r="A674" s="13" t="str">
        <f>IFERROR(__xludf.DUMMYFUNCTION("""COMPUTED_VALUE"""),"Injustice 2")</f>
        <v>Injustice 2</v>
      </c>
      <c r="B674" s="15" t="str">
        <f>IFERROR(__xludf.DUMMYFUNCTION("""COMPUTED_VALUE"""),"PS4")</f>
        <v>PS4</v>
      </c>
      <c r="C674" s="16" t="str">
        <f>IFERROR(__xludf.DUMMYFUNCTION("""COMPUTED_VALUE"""),"Essential")</f>
        <v>Essential</v>
      </c>
      <c r="D674" s="15" t="str">
        <f>IFERROR(__xludf.DUMMYFUNCTION("""COMPUTED_VALUE"""),"Removed")</f>
        <v>Removed</v>
      </c>
      <c r="E674" s="17">
        <f>IFERROR(__xludf.DUMMYFUNCTION("""COMPUTED_VALUE"""),44838.0)</f>
        <v>44838</v>
      </c>
      <c r="F674" s="54">
        <f>IFERROR(__xludf.DUMMYFUNCTION("""COMPUTED_VALUE"""),44865.0)</f>
        <v>44865</v>
      </c>
      <c r="G674" s="19">
        <f>IFERROR(__xludf.DUMMYFUNCTION("""COMPUTED_VALUE"""),0.8666666666666666)</f>
        <v>0.8666666667</v>
      </c>
      <c r="H674" s="17">
        <f>IFERROR(__xludf.DUMMYFUNCTION("""COMPUTED_VALUE"""),42871.0)</f>
        <v>42871</v>
      </c>
      <c r="I674" s="19">
        <f>IFERROR(__xludf.DUMMYFUNCTION("""COMPUTED_VALUE"""),5.383333333333334)</f>
        <v>5.383333333</v>
      </c>
      <c r="J674" s="21">
        <f>IFERROR(__xludf.DUMMYFUNCTION("""COMPUTED_VALUE"""),87.0)</f>
        <v>87</v>
      </c>
      <c r="K674" s="23">
        <f>IFERROR(__xludf.DUMMYFUNCTION("""COMPUTED_VALUE"""),8.0)</f>
        <v>8</v>
      </c>
      <c r="L674" s="24">
        <f>IFERROR(__xludf.DUMMYFUNCTION("""COMPUTED_VALUE"""),5.5)</f>
        <v>5.5</v>
      </c>
      <c r="M674" s="25" t="str">
        <f>IFERROR(__xludf.DUMMYFUNCTION("""COMPUTED_VALUE"""),"Fighting")</f>
        <v>Fighting</v>
      </c>
      <c r="N674" s="25"/>
      <c r="O674" s="26" t="str">
        <f>IFERROR(__xludf.DUMMYFUNCTION("""COMPUTED_VALUE"""),"No")</f>
        <v>No</v>
      </c>
      <c r="P674" s="26"/>
    </row>
    <row r="675">
      <c r="A675" s="13" t="str">
        <f>IFERROR(__xludf.DUMMYFUNCTION("""COMPUTED_VALUE"""),"SUPERHOT")</f>
        <v>SUPERHOT</v>
      </c>
      <c r="B675" s="15" t="str">
        <f>IFERROR(__xludf.DUMMYFUNCTION("""COMPUTED_VALUE"""),"PS4")</f>
        <v>PS4</v>
      </c>
      <c r="C675" s="16" t="str">
        <f>IFERROR(__xludf.DUMMYFUNCTION("""COMPUTED_VALUE"""),"Essential")</f>
        <v>Essential</v>
      </c>
      <c r="D675" s="15" t="str">
        <f>IFERROR(__xludf.DUMMYFUNCTION("""COMPUTED_VALUE"""),"Removed")</f>
        <v>Removed</v>
      </c>
      <c r="E675" s="17">
        <f>IFERROR(__xludf.DUMMYFUNCTION("""COMPUTED_VALUE"""),44838.0)</f>
        <v>44838</v>
      </c>
      <c r="F675" s="54">
        <f>IFERROR(__xludf.DUMMYFUNCTION("""COMPUTED_VALUE"""),44865.0)</f>
        <v>44865</v>
      </c>
      <c r="G675" s="19">
        <f>IFERROR(__xludf.DUMMYFUNCTION("""COMPUTED_VALUE"""),0.8666666666666666)</f>
        <v>0.8666666667</v>
      </c>
      <c r="H675" s="17">
        <f>IFERROR(__xludf.DUMMYFUNCTION("""COMPUTED_VALUE"""),42425.0)</f>
        <v>42425</v>
      </c>
      <c r="I675" s="19">
        <f>IFERROR(__xludf.DUMMYFUNCTION("""COMPUTED_VALUE"""),6.608333333333333)</f>
        <v>6.608333333</v>
      </c>
      <c r="J675" s="21">
        <f>IFERROR(__xludf.DUMMYFUNCTION("""COMPUTED_VALUE"""),83.0)</f>
        <v>83</v>
      </c>
      <c r="K675" s="23">
        <f>IFERROR(__xludf.DUMMYFUNCTION("""COMPUTED_VALUE"""),7.3)</f>
        <v>7.3</v>
      </c>
      <c r="L675" s="24">
        <f>IFERROR(__xludf.DUMMYFUNCTION("""COMPUTED_VALUE"""),2.5)</f>
        <v>2.5</v>
      </c>
      <c r="M675" s="25" t="str">
        <f>IFERROR(__xludf.DUMMYFUNCTION("""COMPUTED_VALUE"""),"Shooter")</f>
        <v>Shooter</v>
      </c>
      <c r="N675" s="25"/>
      <c r="O675" s="26" t="str">
        <f>IFERROR(__xludf.DUMMYFUNCTION("""COMPUTED_VALUE"""),"No")</f>
        <v>No</v>
      </c>
      <c r="P675" s="26"/>
    </row>
    <row r="676">
      <c r="A676" s="13" t="str">
        <f>IFERROR(__xludf.DUMMYFUNCTION("""COMPUTED_VALUE"""),"SOMA")</f>
        <v>SOMA</v>
      </c>
      <c r="B676" s="15" t="str">
        <f>IFERROR(__xludf.DUMMYFUNCTION("""COMPUTED_VALUE"""),"PS4")</f>
        <v>PS4</v>
      </c>
      <c r="C676" s="16" t="str">
        <f>IFERROR(__xludf.DUMMYFUNCTION("""COMPUTED_VALUE"""),"Extra")</f>
        <v>Extra</v>
      </c>
      <c r="D676" s="15" t="str">
        <f>IFERROR(__xludf.DUMMYFUNCTION("""COMPUTED_VALUE"""),"Removed")</f>
        <v>Removed</v>
      </c>
      <c r="E676" s="17">
        <f>IFERROR(__xludf.DUMMYFUNCTION("""COMPUTED_VALUE"""),44725.0)</f>
        <v>44725</v>
      </c>
      <c r="F676" s="54">
        <f>IFERROR(__xludf.DUMMYFUNCTION("""COMPUTED_VALUE"""),44852.0)</f>
        <v>44852</v>
      </c>
      <c r="G676" s="19">
        <f>IFERROR(__xludf.DUMMYFUNCTION("""COMPUTED_VALUE"""),4.166666666666666)</f>
        <v>4.166666667</v>
      </c>
      <c r="H676" s="17">
        <f>IFERROR(__xludf.DUMMYFUNCTION("""COMPUTED_VALUE"""),42248.0)</f>
        <v>42248</v>
      </c>
      <c r="I676" s="19">
        <f>IFERROR(__xludf.DUMMYFUNCTION("""COMPUTED_VALUE"""),6.783333333333333)</f>
        <v>6.783333333</v>
      </c>
      <c r="J676" s="21">
        <f>IFERROR(__xludf.DUMMYFUNCTION("""COMPUTED_VALUE"""),83.0)</f>
        <v>83</v>
      </c>
      <c r="K676" s="23">
        <f>IFERROR(__xludf.DUMMYFUNCTION("""COMPUTED_VALUE"""),8.7)</f>
        <v>8.7</v>
      </c>
      <c r="L676" s="24">
        <f>IFERROR(__xludf.DUMMYFUNCTION("""COMPUTED_VALUE"""),9.0)</f>
        <v>9</v>
      </c>
      <c r="M676" s="25" t="str">
        <f>IFERROR(__xludf.DUMMYFUNCTION("""COMPUTED_VALUE"""),"Horror")</f>
        <v>Horror</v>
      </c>
      <c r="N676" s="25"/>
      <c r="O676" s="26" t="str">
        <f>IFERROR(__xludf.DUMMYFUNCTION("""COMPUTED_VALUE"""),"Yes")</f>
        <v>Yes</v>
      </c>
      <c r="P676" s="26"/>
    </row>
    <row r="677">
      <c r="A677" s="13" t="str">
        <f>IFERROR(__xludf.DUMMYFUNCTION("""COMPUTED_VALUE"""),"Red Dead Redemption: Undead Nightmare")</f>
        <v>Red Dead Redemption: Undead Nightmare</v>
      </c>
      <c r="B677" s="15" t="str">
        <f>IFERROR(__xludf.DUMMYFUNCTION("""COMPUTED_VALUE"""),"PS5/PS4")</f>
        <v>PS5/PS4</v>
      </c>
      <c r="C677" s="16" t="str">
        <f>IFERROR(__xludf.DUMMYFUNCTION("""COMPUTED_VALUE"""),"Premium (Streaming Only)")</f>
        <v>Premium (Streaming Only)</v>
      </c>
      <c r="D677" s="15" t="str">
        <f>IFERROR(__xludf.DUMMYFUNCTION("""COMPUTED_VALUE"""),"Removed")</f>
        <v>Removed</v>
      </c>
      <c r="E677" s="17">
        <f>IFERROR(__xludf.DUMMYFUNCTION("""COMPUTED_VALUE"""),44725.0)</f>
        <v>44725</v>
      </c>
      <c r="F677" s="54">
        <f>IFERROR(__xludf.DUMMYFUNCTION("""COMPUTED_VALUE"""),44851.0)</f>
        <v>44851</v>
      </c>
      <c r="G677" s="19">
        <f>IFERROR(__xludf.DUMMYFUNCTION("""COMPUTED_VALUE"""),4.133333333333333)</f>
        <v>4.133333333</v>
      </c>
      <c r="H677" s="17">
        <f>IFERROR(__xludf.DUMMYFUNCTION("""COMPUTED_VALUE"""),40477.0)</f>
        <v>40477</v>
      </c>
      <c r="I677" s="19">
        <f>IFERROR(__xludf.DUMMYFUNCTION("""COMPUTED_VALUE"""),11.630555555555556)</f>
        <v>11.63055556</v>
      </c>
      <c r="J677" s="21">
        <f>IFERROR(__xludf.DUMMYFUNCTION("""COMPUTED_VALUE"""),87.0)</f>
        <v>87</v>
      </c>
      <c r="K677" s="23">
        <f>IFERROR(__xludf.DUMMYFUNCTION("""COMPUTED_VALUE"""),8.4)</f>
        <v>8.4</v>
      </c>
      <c r="L677" s="24">
        <f>IFERROR(__xludf.DUMMYFUNCTION("""COMPUTED_VALUE"""),7.0)</f>
        <v>7</v>
      </c>
      <c r="M677" s="25" t="str">
        <f>IFERROR(__xludf.DUMMYFUNCTION("""COMPUTED_VALUE"""),"Action-Adventure")</f>
        <v>Action-Adventure</v>
      </c>
      <c r="N677" s="25" t="str">
        <f>IFERROR(__xludf.DUMMYFUNCTION("""COMPUTED_VALUE"""),"PS3")</f>
        <v>PS3</v>
      </c>
      <c r="O677" s="26" t="str">
        <f>IFERROR(__xludf.DUMMYFUNCTION("""COMPUTED_VALUE"""),"Yes")</f>
        <v>Yes</v>
      </c>
      <c r="P677" s="26" t="str">
        <f>IFERROR(__xludf.DUMMYFUNCTION("""COMPUTED_VALUE"""),"")</f>
        <v/>
      </c>
    </row>
    <row r="678">
      <c r="A678" s="13" t="str">
        <f>IFERROR(__xludf.DUMMYFUNCTION("""COMPUTED_VALUE"""),"Red Dead Redemption")</f>
        <v>Red Dead Redemption</v>
      </c>
      <c r="B678" s="15" t="str">
        <f>IFERROR(__xludf.DUMMYFUNCTION("""COMPUTED_VALUE"""),"PS5/PS4")</f>
        <v>PS5/PS4</v>
      </c>
      <c r="C678" s="16" t="str">
        <f>IFERROR(__xludf.DUMMYFUNCTION("""COMPUTED_VALUE"""),"Premium (Streaming Only)")</f>
        <v>Premium (Streaming Only)</v>
      </c>
      <c r="D678" s="15" t="str">
        <f>IFERROR(__xludf.DUMMYFUNCTION("""COMPUTED_VALUE"""),"Removed")</f>
        <v>Removed</v>
      </c>
      <c r="E678" s="17">
        <f>IFERROR(__xludf.DUMMYFUNCTION("""COMPUTED_VALUE"""),41905.0)</f>
        <v>41905</v>
      </c>
      <c r="F678" s="54">
        <f>IFERROR(__xludf.DUMMYFUNCTION("""COMPUTED_VALUE"""),44851.0)</f>
        <v>44851</v>
      </c>
      <c r="G678" s="19">
        <f>IFERROR(__xludf.DUMMYFUNCTION("""COMPUTED_VALUE"""),96.8)</f>
        <v>96.8</v>
      </c>
      <c r="H678" s="17">
        <f>IFERROR(__xludf.DUMMYFUNCTION("""COMPUTED_VALUE"""),40316.0)</f>
        <v>40316</v>
      </c>
      <c r="I678" s="19">
        <f>IFERROR(__xludf.DUMMYFUNCTION("""COMPUTED_VALUE"""),4.347222222222222)</f>
        <v>4.347222222</v>
      </c>
      <c r="J678" s="21">
        <f>IFERROR(__xludf.DUMMYFUNCTION("""COMPUTED_VALUE"""),95.0)</f>
        <v>95</v>
      </c>
      <c r="K678" s="23">
        <f>IFERROR(__xludf.DUMMYFUNCTION("""COMPUTED_VALUE"""),8.8)</f>
        <v>8.8</v>
      </c>
      <c r="L678" s="24">
        <f>IFERROR(__xludf.DUMMYFUNCTION("""COMPUTED_VALUE"""),18.0)</f>
        <v>18</v>
      </c>
      <c r="M678" s="25" t="str">
        <f>IFERROR(__xludf.DUMMYFUNCTION("""COMPUTED_VALUE"""),"Action-Adventure")</f>
        <v>Action-Adventure</v>
      </c>
      <c r="N678" s="25" t="str">
        <f>IFERROR(__xludf.DUMMYFUNCTION("""COMPUTED_VALUE"""),"PS3")</f>
        <v>PS3</v>
      </c>
      <c r="O678" s="26" t="str">
        <f>IFERROR(__xludf.DUMMYFUNCTION("""COMPUTED_VALUE"""),"Yes")</f>
        <v>Yes</v>
      </c>
      <c r="P678" s="26" t="str">
        <f>IFERROR(__xludf.DUMMYFUNCTION("""COMPUTED_VALUE"""),"")</f>
        <v/>
      </c>
    </row>
    <row r="679">
      <c r="A679" s="13" t="str">
        <f>IFERROR(__xludf.DUMMYFUNCTION("""COMPUTED_VALUE"""),"PGA Tour 2K21")</f>
        <v>PGA Tour 2K21</v>
      </c>
      <c r="B679" s="15" t="str">
        <f>IFERROR(__xludf.DUMMYFUNCTION("""COMPUTED_VALUE"""),"PS4")</f>
        <v>PS4</v>
      </c>
      <c r="C679" s="16" t="str">
        <f>IFERROR(__xludf.DUMMYFUNCTION("""COMPUTED_VALUE"""),"Extra")</f>
        <v>Extra</v>
      </c>
      <c r="D679" s="15" t="str">
        <f>IFERROR(__xludf.DUMMYFUNCTION("""COMPUTED_VALUE"""),"Removed")</f>
        <v>Removed</v>
      </c>
      <c r="E679" s="17">
        <f>IFERROR(__xludf.DUMMYFUNCTION("""COMPUTED_VALUE"""),44474.0)</f>
        <v>44474</v>
      </c>
      <c r="F679" s="54">
        <f>IFERROR(__xludf.DUMMYFUNCTION("""COMPUTED_VALUE"""),44841.0)</f>
        <v>44841</v>
      </c>
      <c r="G679" s="19">
        <f>IFERROR(__xludf.DUMMYFUNCTION("""COMPUTED_VALUE"""),12.066666666666666)</f>
        <v>12.06666667</v>
      </c>
      <c r="H679" s="17">
        <f>IFERROR(__xludf.DUMMYFUNCTION("""COMPUTED_VALUE"""),44044.0)</f>
        <v>44044</v>
      </c>
      <c r="I679" s="19">
        <f>IFERROR(__xludf.DUMMYFUNCTION("""COMPUTED_VALUE"""),1.1777777777777778)</f>
        <v>1.177777778</v>
      </c>
      <c r="J679" s="21">
        <f>IFERROR(__xludf.DUMMYFUNCTION("""COMPUTED_VALUE"""),78.0)</f>
        <v>78</v>
      </c>
      <c r="K679" s="23">
        <f>IFERROR(__xludf.DUMMYFUNCTION("""COMPUTED_VALUE"""),6.8)</f>
        <v>6.8</v>
      </c>
      <c r="L679" s="24">
        <f>IFERROR(__xludf.DUMMYFUNCTION("""COMPUTED_VALUE"""),23.0)</f>
        <v>23</v>
      </c>
      <c r="M679" s="25" t="str">
        <f>IFERROR(__xludf.DUMMYFUNCTION("""COMPUTED_VALUE"""),"Sports")</f>
        <v>Sports</v>
      </c>
      <c r="N679" s="25"/>
      <c r="O679" s="26" t="str">
        <f>IFERROR(__xludf.DUMMYFUNCTION("""COMPUTED_VALUE"""),"Yes")</f>
        <v>Yes</v>
      </c>
      <c r="P679" s="26" t="str">
        <f>IFERROR(__xludf.DUMMYFUNCTION("""COMPUTED_VALUE"""),"Yes")</f>
        <v>Yes</v>
      </c>
    </row>
    <row r="680">
      <c r="A680" s="13" t="str">
        <f>IFERROR(__xludf.DUMMYFUNCTION("""COMPUTED_VALUE"""),"Need for Speed: Heat")</f>
        <v>Need for Speed: Heat</v>
      </c>
      <c r="B680" s="15" t="str">
        <f>IFERROR(__xludf.DUMMYFUNCTION("""COMPUTED_VALUE"""),"PS4")</f>
        <v>PS4</v>
      </c>
      <c r="C680" s="16" t="str">
        <f>IFERROR(__xludf.DUMMYFUNCTION("""COMPUTED_VALUE"""),"Essential")</f>
        <v>Essential</v>
      </c>
      <c r="D680" s="15" t="str">
        <f>IFERROR(__xludf.DUMMYFUNCTION("""COMPUTED_VALUE"""),"Removed")</f>
        <v>Removed</v>
      </c>
      <c r="E680" s="17">
        <f>IFERROR(__xludf.DUMMYFUNCTION("""COMPUTED_VALUE"""),44810.0)</f>
        <v>44810</v>
      </c>
      <c r="F680" s="54">
        <f>IFERROR(__xludf.DUMMYFUNCTION("""COMPUTED_VALUE"""),44837.0)</f>
        <v>44837</v>
      </c>
      <c r="G680" s="19">
        <f>IFERROR(__xludf.DUMMYFUNCTION("""COMPUTED_VALUE"""),0.8999999999999999)</f>
        <v>0.9</v>
      </c>
      <c r="H680" s="17">
        <f>IFERROR(__xludf.DUMMYFUNCTION("""COMPUTED_VALUE"""),43777.0)</f>
        <v>43777</v>
      </c>
      <c r="I680" s="19">
        <f>IFERROR(__xludf.DUMMYFUNCTION("""COMPUTED_VALUE"""),2.827777777777778)</f>
        <v>2.827777778</v>
      </c>
      <c r="J680" s="21">
        <f>IFERROR(__xludf.DUMMYFUNCTION("""COMPUTED_VALUE"""),72.0)</f>
        <v>72</v>
      </c>
      <c r="K680" s="23">
        <f>IFERROR(__xludf.DUMMYFUNCTION("""COMPUTED_VALUE"""),6.1)</f>
        <v>6.1</v>
      </c>
      <c r="L680" s="24">
        <f>IFERROR(__xludf.DUMMYFUNCTION("""COMPUTED_VALUE"""),13.0)</f>
        <v>13</v>
      </c>
      <c r="M680" s="25" t="str">
        <f>IFERROR(__xludf.DUMMYFUNCTION("""COMPUTED_VALUE"""),"Racing")</f>
        <v>Racing</v>
      </c>
      <c r="N680" s="25"/>
      <c r="O680" s="26" t="str">
        <f>IFERROR(__xludf.DUMMYFUNCTION("""COMPUTED_VALUE"""),"No")</f>
        <v>No</v>
      </c>
      <c r="P680" s="26"/>
    </row>
    <row r="681">
      <c r="A681" s="13" t="str">
        <f>IFERROR(__xludf.DUMMYFUNCTION("""COMPUTED_VALUE"""),"Granblue Fantasy: Versus")</f>
        <v>Granblue Fantasy: Versus</v>
      </c>
      <c r="B681" s="15" t="str">
        <f>IFERROR(__xludf.DUMMYFUNCTION("""COMPUTED_VALUE"""),"PS4")</f>
        <v>PS4</v>
      </c>
      <c r="C681" s="16" t="str">
        <f>IFERROR(__xludf.DUMMYFUNCTION("""COMPUTED_VALUE"""),"Essential")</f>
        <v>Essential</v>
      </c>
      <c r="D681" s="15" t="str">
        <f>IFERROR(__xludf.DUMMYFUNCTION("""COMPUTED_VALUE"""),"Removed")</f>
        <v>Removed</v>
      </c>
      <c r="E681" s="17">
        <f>IFERROR(__xludf.DUMMYFUNCTION("""COMPUTED_VALUE"""),44810.0)</f>
        <v>44810</v>
      </c>
      <c r="F681" s="54">
        <f>IFERROR(__xludf.DUMMYFUNCTION("""COMPUTED_VALUE"""),44837.0)</f>
        <v>44837</v>
      </c>
      <c r="G681" s="19">
        <f>IFERROR(__xludf.DUMMYFUNCTION("""COMPUTED_VALUE"""),0.8999999999999999)</f>
        <v>0.9</v>
      </c>
      <c r="H681" s="17">
        <f>IFERROR(__xludf.DUMMYFUNCTION("""COMPUTED_VALUE"""),43903.0)</f>
        <v>43903</v>
      </c>
      <c r="I681" s="19">
        <f>IFERROR(__xludf.DUMMYFUNCTION("""COMPUTED_VALUE"""),2.4805555555555556)</f>
        <v>2.480555556</v>
      </c>
      <c r="J681" s="21">
        <f>IFERROR(__xludf.DUMMYFUNCTION("""COMPUTED_VALUE"""),78.0)</f>
        <v>78</v>
      </c>
      <c r="K681" s="23">
        <f>IFERROR(__xludf.DUMMYFUNCTION("""COMPUTED_VALUE"""),6.5)</f>
        <v>6.5</v>
      </c>
      <c r="L681" s="24">
        <f>IFERROR(__xludf.DUMMYFUNCTION("""COMPUTED_VALUE"""),5.5)</f>
        <v>5.5</v>
      </c>
      <c r="M681" s="25" t="str">
        <f>IFERROR(__xludf.DUMMYFUNCTION("""COMPUTED_VALUE"""),"Fighting")</f>
        <v>Fighting</v>
      </c>
      <c r="N681" s="25"/>
      <c r="O681" s="26" t="str">
        <f>IFERROR(__xludf.DUMMYFUNCTION("""COMPUTED_VALUE"""),"No")</f>
        <v>No</v>
      </c>
      <c r="P681" s="26"/>
    </row>
    <row r="682">
      <c r="A682" s="13" t="str">
        <f>IFERROR(__xludf.DUMMYFUNCTION("""COMPUTED_VALUE"""),"Toem")</f>
        <v>Toem</v>
      </c>
      <c r="B682" s="15" t="str">
        <f>IFERROR(__xludf.DUMMYFUNCTION("""COMPUTED_VALUE"""),"PS5")</f>
        <v>PS5</v>
      </c>
      <c r="C682" s="16" t="str">
        <f>IFERROR(__xludf.DUMMYFUNCTION("""COMPUTED_VALUE"""),"Essential")</f>
        <v>Essential</v>
      </c>
      <c r="D682" s="15" t="str">
        <f>IFERROR(__xludf.DUMMYFUNCTION("""COMPUTED_VALUE"""),"Removed")</f>
        <v>Removed</v>
      </c>
      <c r="E682" s="17">
        <f>IFERROR(__xludf.DUMMYFUNCTION("""COMPUTED_VALUE"""),44810.0)</f>
        <v>44810</v>
      </c>
      <c r="F682" s="54">
        <f>IFERROR(__xludf.DUMMYFUNCTION("""COMPUTED_VALUE"""),44837.0)</f>
        <v>44837</v>
      </c>
      <c r="G682" s="19">
        <f>IFERROR(__xludf.DUMMYFUNCTION("""COMPUTED_VALUE"""),0.8999999999999999)</f>
        <v>0.9</v>
      </c>
      <c r="H682" s="17">
        <f>IFERROR(__xludf.DUMMYFUNCTION("""COMPUTED_VALUE"""),44456.0)</f>
        <v>44456</v>
      </c>
      <c r="I682" s="19">
        <f>IFERROR(__xludf.DUMMYFUNCTION("""COMPUTED_VALUE"""),0.9694444444444444)</f>
        <v>0.9694444444</v>
      </c>
      <c r="J682" s="21">
        <f>IFERROR(__xludf.DUMMYFUNCTION("""COMPUTED_VALUE"""),80.0)</f>
        <v>80</v>
      </c>
      <c r="K682" s="23">
        <f>IFERROR(__xludf.DUMMYFUNCTION("""COMPUTED_VALUE"""),4.7)</f>
        <v>4.7</v>
      </c>
      <c r="L682" s="24">
        <f>IFERROR(__xludf.DUMMYFUNCTION("""COMPUTED_VALUE"""),3.0)</f>
        <v>3</v>
      </c>
      <c r="M682" s="25" t="str">
        <f>IFERROR(__xludf.DUMMYFUNCTION("""COMPUTED_VALUE"""),"Action-Adventure")</f>
        <v>Action-Adventure</v>
      </c>
      <c r="N682" s="25"/>
      <c r="O682" s="26" t="str">
        <f>IFERROR(__xludf.DUMMYFUNCTION("""COMPUTED_VALUE"""),"No")</f>
        <v>No</v>
      </c>
      <c r="P682" s="26"/>
    </row>
    <row r="683">
      <c r="A683" s="13" t="str">
        <f>IFERROR(__xludf.DUMMYFUNCTION("""COMPUTED_VALUE"""),"Red Dead Redemption 2")</f>
        <v>Red Dead Redemption 2</v>
      </c>
      <c r="B683" s="15" t="str">
        <f>IFERROR(__xludf.DUMMYFUNCTION("""COMPUTED_VALUE"""),"PS4")</f>
        <v>PS4</v>
      </c>
      <c r="C683" s="16" t="str">
        <f>IFERROR(__xludf.DUMMYFUNCTION("""COMPUTED_VALUE"""),"Extra")</f>
        <v>Extra</v>
      </c>
      <c r="D683" s="15" t="str">
        <f>IFERROR(__xludf.DUMMYFUNCTION("""COMPUTED_VALUE"""),"Removed")</f>
        <v>Removed</v>
      </c>
      <c r="E683" s="17">
        <f>IFERROR(__xludf.DUMMYFUNCTION("""COMPUTED_VALUE"""),44383.0)</f>
        <v>44383</v>
      </c>
      <c r="F683" s="54">
        <f>IFERROR(__xludf.DUMMYFUNCTION("""COMPUTED_VALUE"""),44824.0)</f>
        <v>44824</v>
      </c>
      <c r="G683" s="19">
        <f>IFERROR(__xludf.DUMMYFUNCTION("""COMPUTED_VALUE"""),14.466666666666665)</f>
        <v>14.46666667</v>
      </c>
      <c r="H683" s="17">
        <f>IFERROR(__xludf.DUMMYFUNCTION("""COMPUTED_VALUE"""),43399.0)</f>
        <v>43399</v>
      </c>
      <c r="I683" s="19">
        <f>IFERROR(__xludf.DUMMYFUNCTION("""COMPUTED_VALUE"""),2.6944444444444446)</f>
        <v>2.694444444</v>
      </c>
      <c r="J683" s="21">
        <f>IFERROR(__xludf.DUMMYFUNCTION("""COMPUTED_VALUE"""),95.0)</f>
        <v>95</v>
      </c>
      <c r="K683" s="23">
        <f>IFERROR(__xludf.DUMMYFUNCTION("""COMPUTED_VALUE"""),8.6)</f>
        <v>8.6</v>
      </c>
      <c r="L683" s="24">
        <f>IFERROR(__xludf.DUMMYFUNCTION("""COMPUTED_VALUE"""),50.0)</f>
        <v>50</v>
      </c>
      <c r="M683" s="25" t="str">
        <f>IFERROR(__xludf.DUMMYFUNCTION("""COMPUTED_VALUE"""),"Action-Adventure")</f>
        <v>Action-Adventure</v>
      </c>
      <c r="N683" s="25"/>
      <c r="O683" s="26" t="str">
        <f>IFERROR(__xludf.DUMMYFUNCTION("""COMPUTED_VALUE"""),"Yes")</f>
        <v>Yes</v>
      </c>
      <c r="P683" s="26"/>
    </row>
    <row r="684">
      <c r="A684" s="13" t="str">
        <f>IFERROR(__xludf.DUMMYFUNCTION("""COMPUTED_VALUE"""),"Little Nightmares")</f>
        <v>Little Nightmares</v>
      </c>
      <c r="B684" s="15" t="str">
        <f>IFERROR(__xludf.DUMMYFUNCTION("""COMPUTED_VALUE"""),"PS4")</f>
        <v>PS4</v>
      </c>
      <c r="C684" s="16" t="str">
        <f>IFERROR(__xludf.DUMMYFUNCTION("""COMPUTED_VALUE"""),"Essential")</f>
        <v>Essential</v>
      </c>
      <c r="D684" s="15" t="str">
        <f>IFERROR(__xludf.DUMMYFUNCTION("""COMPUTED_VALUE"""),"Removed")</f>
        <v>Removed</v>
      </c>
      <c r="E684" s="17">
        <f>IFERROR(__xludf.DUMMYFUNCTION("""COMPUTED_VALUE"""),44775.0)</f>
        <v>44775</v>
      </c>
      <c r="F684" s="54">
        <f>IFERROR(__xludf.DUMMYFUNCTION("""COMPUTED_VALUE"""),44809.0)</f>
        <v>44809</v>
      </c>
      <c r="G684" s="19">
        <f>IFERROR(__xludf.DUMMYFUNCTION("""COMPUTED_VALUE"""),1.0999999999999999)</f>
        <v>1.1</v>
      </c>
      <c r="H684" s="17">
        <f>IFERROR(__xludf.DUMMYFUNCTION("""COMPUTED_VALUE"""),42853.0)</f>
        <v>42853</v>
      </c>
      <c r="I684" s="19">
        <f>IFERROR(__xludf.DUMMYFUNCTION("""COMPUTED_VALUE"""),5.261111111111111)</f>
        <v>5.261111111</v>
      </c>
      <c r="J684" s="21">
        <f>IFERROR(__xludf.DUMMYFUNCTION("""COMPUTED_VALUE"""),78.0)</f>
        <v>78</v>
      </c>
      <c r="K684" s="23">
        <f>IFERROR(__xludf.DUMMYFUNCTION("""COMPUTED_VALUE"""),8.1)</f>
        <v>8.1</v>
      </c>
      <c r="L684" s="24">
        <f>IFERROR(__xludf.DUMMYFUNCTION("""COMPUTED_VALUE"""),3.5)</f>
        <v>3.5</v>
      </c>
      <c r="M684" s="25" t="str">
        <f>IFERROR(__xludf.DUMMYFUNCTION("""COMPUTED_VALUE"""),"Puzzle")</f>
        <v>Puzzle</v>
      </c>
      <c r="N684" s="25"/>
      <c r="O684" s="26" t="str">
        <f>IFERROR(__xludf.DUMMYFUNCTION("""COMPUTED_VALUE"""),"No")</f>
        <v>No</v>
      </c>
      <c r="P684" s="26"/>
    </row>
    <row r="685">
      <c r="A685" s="13" t="str">
        <f>IFERROR(__xludf.DUMMYFUNCTION("""COMPUTED_VALUE"""),"Tony Hawk's Pro Skater 1 + 2")</f>
        <v>Tony Hawk's Pro Skater 1 + 2</v>
      </c>
      <c r="B685" s="15" t="str">
        <f>IFERROR(__xludf.DUMMYFUNCTION("""COMPUTED_VALUE"""),"PS5/PS4")</f>
        <v>PS5/PS4</v>
      </c>
      <c r="C685" s="16" t="str">
        <f>IFERROR(__xludf.DUMMYFUNCTION("""COMPUTED_VALUE"""),"Essential")</f>
        <v>Essential</v>
      </c>
      <c r="D685" s="15" t="str">
        <f>IFERROR(__xludf.DUMMYFUNCTION("""COMPUTED_VALUE"""),"Removed")</f>
        <v>Removed</v>
      </c>
      <c r="E685" s="17">
        <f>IFERROR(__xludf.DUMMYFUNCTION("""COMPUTED_VALUE"""),44775.0)</f>
        <v>44775</v>
      </c>
      <c r="F685" s="54">
        <f>IFERROR(__xludf.DUMMYFUNCTION("""COMPUTED_VALUE"""),44809.0)</f>
        <v>44809</v>
      </c>
      <c r="G685" s="19">
        <f>IFERROR(__xludf.DUMMYFUNCTION("""COMPUTED_VALUE"""),1.0999999999999999)</f>
        <v>1.1</v>
      </c>
      <c r="H685" s="17">
        <f>IFERROR(__xludf.DUMMYFUNCTION("""COMPUTED_VALUE"""),44078.0)</f>
        <v>44078</v>
      </c>
      <c r="I685" s="19">
        <f>IFERROR(__xludf.DUMMYFUNCTION("""COMPUTED_VALUE"""),1.9111111111111112)</f>
        <v>1.911111111</v>
      </c>
      <c r="J685" s="21">
        <f>IFERROR(__xludf.DUMMYFUNCTION("""COMPUTED_VALUE"""),89.0)</f>
        <v>89</v>
      </c>
      <c r="K685" s="23">
        <f>IFERROR(__xludf.DUMMYFUNCTION("""COMPUTED_VALUE"""),8.7)</f>
        <v>8.7</v>
      </c>
      <c r="L685" s="24">
        <f>IFERROR(__xludf.DUMMYFUNCTION("""COMPUTED_VALUE"""),6.5)</f>
        <v>6.5</v>
      </c>
      <c r="M685" s="25" t="str">
        <f>IFERROR(__xludf.DUMMYFUNCTION("""COMPUTED_VALUE"""),"Sports")</f>
        <v>Sports</v>
      </c>
      <c r="N685" s="25"/>
      <c r="O685" s="26" t="str">
        <f>IFERROR(__xludf.DUMMYFUNCTION("""COMPUTED_VALUE"""),"No")</f>
        <v>No</v>
      </c>
      <c r="P685" s="26"/>
    </row>
    <row r="686">
      <c r="A686" s="13" t="str">
        <f>IFERROR(__xludf.DUMMYFUNCTION("""COMPUTED_VALUE"""),"Yakuza: Like A Dragon")</f>
        <v>Yakuza: Like A Dragon</v>
      </c>
      <c r="B686" s="15" t="str">
        <f>IFERROR(__xludf.DUMMYFUNCTION("""COMPUTED_VALUE"""),"PS5/PS4")</f>
        <v>PS5/PS4</v>
      </c>
      <c r="C686" s="16" t="str">
        <f>IFERROR(__xludf.DUMMYFUNCTION("""COMPUTED_VALUE"""),"Essential")</f>
        <v>Essential</v>
      </c>
      <c r="D686" s="15" t="str">
        <f>IFERROR(__xludf.DUMMYFUNCTION("""COMPUTED_VALUE"""),"Removed")</f>
        <v>Removed</v>
      </c>
      <c r="E686" s="17">
        <f>IFERROR(__xludf.DUMMYFUNCTION("""COMPUTED_VALUE"""),44775.0)</f>
        <v>44775</v>
      </c>
      <c r="F686" s="54">
        <f>IFERROR(__xludf.DUMMYFUNCTION("""COMPUTED_VALUE"""),44809.0)</f>
        <v>44809</v>
      </c>
      <c r="G686" s="19">
        <f>IFERROR(__xludf.DUMMYFUNCTION("""COMPUTED_VALUE"""),1.0999999999999999)</f>
        <v>1.1</v>
      </c>
      <c r="H686" s="17">
        <f>IFERROR(__xludf.DUMMYFUNCTION("""COMPUTED_VALUE"""),43846.0)</f>
        <v>43846</v>
      </c>
      <c r="I686" s="19">
        <f>IFERROR(__xludf.DUMMYFUNCTION("""COMPUTED_VALUE"""),2.5444444444444443)</f>
        <v>2.544444444</v>
      </c>
      <c r="J686" s="21">
        <f>IFERROR(__xludf.DUMMYFUNCTION("""COMPUTED_VALUE"""),85.0)</f>
        <v>85</v>
      </c>
      <c r="K686" s="23">
        <f>IFERROR(__xludf.DUMMYFUNCTION("""COMPUTED_VALUE"""),8.2)</f>
        <v>8.2</v>
      </c>
      <c r="L686" s="24">
        <f>IFERROR(__xludf.DUMMYFUNCTION("""COMPUTED_VALUE"""),45.0)</f>
        <v>45</v>
      </c>
      <c r="M686" s="25" t="str">
        <f>IFERROR(__xludf.DUMMYFUNCTION("""COMPUTED_VALUE"""),"RPG")</f>
        <v>RPG</v>
      </c>
      <c r="N686" s="25"/>
      <c r="O686" s="26" t="str">
        <f>IFERROR(__xludf.DUMMYFUNCTION("""COMPUTED_VALUE"""),"No")</f>
        <v>No</v>
      </c>
      <c r="P686" s="26"/>
    </row>
    <row r="687">
      <c r="A687" s="13" t="str">
        <f>IFERROR(__xludf.DUMMYFUNCTION("""COMPUTED_VALUE"""),"NBA 2K22")</f>
        <v>NBA 2K22</v>
      </c>
      <c r="B687" s="15" t="str">
        <f>IFERROR(__xludf.DUMMYFUNCTION("""COMPUTED_VALUE"""),"PS5/PS4")</f>
        <v>PS5/PS4</v>
      </c>
      <c r="C687" s="16" t="str">
        <f>IFERROR(__xludf.DUMMYFUNCTION("""COMPUTED_VALUE"""),"Extra")</f>
        <v>Extra</v>
      </c>
      <c r="D687" s="15" t="str">
        <f>IFERROR(__xludf.DUMMYFUNCTION("""COMPUTED_VALUE"""),"Removed")</f>
        <v>Removed</v>
      </c>
      <c r="E687" s="17">
        <f>IFERROR(__xludf.DUMMYFUNCTION("""COMPUTED_VALUE"""),44725.0)</f>
        <v>44725</v>
      </c>
      <c r="F687" s="54">
        <f>IFERROR(__xludf.DUMMYFUNCTION("""COMPUTED_VALUE"""),44804.0)</f>
        <v>44804</v>
      </c>
      <c r="G687" s="19">
        <f>IFERROR(__xludf.DUMMYFUNCTION("""COMPUTED_VALUE"""),2.5666666666666664)</f>
        <v>2.566666667</v>
      </c>
      <c r="H687" s="17">
        <f>IFERROR(__xludf.DUMMYFUNCTION("""COMPUTED_VALUE"""),44449.0)</f>
        <v>44449</v>
      </c>
      <c r="I687" s="19">
        <f>IFERROR(__xludf.DUMMYFUNCTION("""COMPUTED_VALUE"""),0.7583333333333333)</f>
        <v>0.7583333333</v>
      </c>
      <c r="J687" s="21">
        <f>IFERROR(__xludf.DUMMYFUNCTION("""COMPUTED_VALUE"""),76.0)</f>
        <v>76</v>
      </c>
      <c r="K687" s="23">
        <f>IFERROR(__xludf.DUMMYFUNCTION("""COMPUTED_VALUE"""),5.6)</f>
        <v>5.6</v>
      </c>
      <c r="L687" s="24">
        <f>IFERROR(__xludf.DUMMYFUNCTION("""COMPUTED_VALUE"""),176.5)</f>
        <v>176.5</v>
      </c>
      <c r="M687" s="25" t="str">
        <f>IFERROR(__xludf.DUMMYFUNCTION("""COMPUTED_VALUE"""),"Sports")</f>
        <v>Sports</v>
      </c>
      <c r="N687" s="25"/>
      <c r="O687" s="26" t="str">
        <f>IFERROR(__xludf.DUMMYFUNCTION("""COMPUTED_VALUE"""),"No")</f>
        <v>No</v>
      </c>
      <c r="P687" s="26" t="str">
        <f>IFERROR(__xludf.DUMMYFUNCTION("""COMPUTED_VALUE"""),"Yes")</f>
        <v>Yes</v>
      </c>
    </row>
    <row r="688">
      <c r="A688" s="13" t="str">
        <f>IFERROR(__xludf.DUMMYFUNCTION("""COMPUTED_VALUE"""),"WRC 10: FIA World Rally Championship")</f>
        <v>WRC 10: FIA World Rally Championship</v>
      </c>
      <c r="B688" s="15" t="str">
        <f>IFERROR(__xludf.DUMMYFUNCTION("""COMPUTED_VALUE"""),"PS5/PS4")</f>
        <v>PS5/PS4</v>
      </c>
      <c r="C688" s="16" t="str">
        <f>IFERROR(__xludf.DUMMYFUNCTION("""COMPUTED_VALUE"""),"Extra")</f>
        <v>Extra</v>
      </c>
      <c r="D688" s="15" t="str">
        <f>IFERROR(__xludf.DUMMYFUNCTION("""COMPUTED_VALUE"""),"Removed")</f>
        <v>Removed</v>
      </c>
      <c r="E688" s="17">
        <f>IFERROR(__xludf.DUMMYFUNCTION("""COMPUTED_VALUE"""),44656.0)</f>
        <v>44656</v>
      </c>
      <c r="F688" s="54">
        <f>IFERROR(__xludf.DUMMYFUNCTION("""COMPUTED_VALUE"""),44804.0)</f>
        <v>44804</v>
      </c>
      <c r="G688" s="19">
        <f>IFERROR(__xludf.DUMMYFUNCTION("""COMPUTED_VALUE"""),4.833333333333334)</f>
        <v>4.833333333</v>
      </c>
      <c r="H688" s="17">
        <f>IFERROR(__xludf.DUMMYFUNCTION("""COMPUTED_VALUE"""),44441.0)</f>
        <v>44441</v>
      </c>
      <c r="I688" s="19">
        <f>IFERROR(__xludf.DUMMYFUNCTION("""COMPUTED_VALUE"""),0.5916666666666667)</f>
        <v>0.5916666667</v>
      </c>
      <c r="J688" s="21">
        <f>IFERROR(__xludf.DUMMYFUNCTION("""COMPUTED_VALUE"""),74.0)</f>
        <v>74</v>
      </c>
      <c r="K688" s="23">
        <f>IFERROR(__xludf.DUMMYFUNCTION("""COMPUTED_VALUE"""),6.9)</f>
        <v>6.9</v>
      </c>
      <c r="L688" s="24">
        <f>IFERROR(__xludf.DUMMYFUNCTION("""COMPUTED_VALUE"""),11.0)</f>
        <v>11</v>
      </c>
      <c r="M688" s="25" t="str">
        <f>IFERROR(__xludf.DUMMYFUNCTION("""COMPUTED_VALUE"""),"Racing")</f>
        <v>Racing</v>
      </c>
      <c r="N688" s="25"/>
      <c r="O688" s="26" t="str">
        <f>IFERROR(__xludf.DUMMYFUNCTION("""COMPUTED_VALUE"""),"Yes")</f>
        <v>Yes</v>
      </c>
      <c r="P688" s="26" t="str">
        <f>IFERROR(__xludf.DUMMYFUNCTION("""COMPUTED_VALUE"""),"Yes")</f>
        <v>Yes</v>
      </c>
    </row>
    <row r="689">
      <c r="A689" s="13" t="str">
        <f>IFERROR(__xludf.DUMMYFUNCTION("""COMPUTED_VALUE"""),"Killzone: Shadow Fall - Intercept")</f>
        <v>Killzone: Shadow Fall - Intercept</v>
      </c>
      <c r="B689" s="15" t="str">
        <f>IFERROR(__xludf.DUMMYFUNCTION("""COMPUTED_VALUE"""),"PS4")</f>
        <v>PS4</v>
      </c>
      <c r="C689" s="16" t="str">
        <f>IFERROR(__xludf.DUMMYFUNCTION("""COMPUTED_VALUE"""),"Extra")</f>
        <v>Extra</v>
      </c>
      <c r="D689" s="15" t="str">
        <f>IFERROR(__xludf.DUMMYFUNCTION("""COMPUTED_VALUE"""),"Removed")</f>
        <v>Removed</v>
      </c>
      <c r="E689" s="17">
        <f>IFERROR(__xludf.DUMMYFUNCTION("""COMPUTED_VALUE"""),44725.0)</f>
        <v>44725</v>
      </c>
      <c r="F689" s="54">
        <f>IFERROR(__xludf.DUMMYFUNCTION("""COMPUTED_VALUE"""),44785.0)</f>
        <v>44785</v>
      </c>
      <c r="G689" s="19">
        <f>IFERROR(__xludf.DUMMYFUNCTION("""COMPUTED_VALUE"""),1.9666666666666668)</f>
        <v>1.966666667</v>
      </c>
      <c r="H689" s="17">
        <f>IFERROR(__xludf.DUMMYFUNCTION("""COMPUTED_VALUE"""),41815.0)</f>
        <v>41815</v>
      </c>
      <c r="I689" s="19">
        <f>IFERROR(__xludf.DUMMYFUNCTION("""COMPUTED_VALUE"""),7.966666666666667)</f>
        <v>7.966666667</v>
      </c>
      <c r="J689" s="21">
        <f>IFERROR(__xludf.DUMMYFUNCTION("""COMPUTED_VALUE"""),73.0)</f>
        <v>73</v>
      </c>
      <c r="K689" s="23">
        <f>IFERROR(__xludf.DUMMYFUNCTION("""COMPUTED_VALUE"""),7.5)</f>
        <v>7.5</v>
      </c>
      <c r="L689" s="24">
        <f>IFERROR(__xludf.DUMMYFUNCTION("""COMPUTED_VALUE"""),10.0)</f>
        <v>10</v>
      </c>
      <c r="M689" s="25" t="str">
        <f>IFERROR(__xludf.DUMMYFUNCTION("""COMPUTED_VALUE"""),"Shooter")</f>
        <v>Shooter</v>
      </c>
      <c r="N689" s="25"/>
      <c r="O689" s="26" t="str">
        <f>IFERROR(__xludf.DUMMYFUNCTION("""COMPUTED_VALUE"""),"No")</f>
        <v>No</v>
      </c>
      <c r="P689" s="26" t="str">
        <f>IFERROR(__xludf.DUMMYFUNCTION("""COMPUTED_VALUE"""),"Yes")</f>
        <v>Yes</v>
      </c>
    </row>
    <row r="690">
      <c r="A690" s="13" t="str">
        <f>IFERROR(__xludf.DUMMYFUNCTION("""COMPUTED_VALUE"""),"Crash Bandicoot 4: It's About Time")</f>
        <v>Crash Bandicoot 4: It's About Time</v>
      </c>
      <c r="B690" s="15" t="str">
        <f>IFERROR(__xludf.DUMMYFUNCTION("""COMPUTED_VALUE"""),"PS5/PS4")</f>
        <v>PS5/PS4</v>
      </c>
      <c r="C690" s="16" t="str">
        <f>IFERROR(__xludf.DUMMYFUNCTION("""COMPUTED_VALUE"""),"Essential")</f>
        <v>Essential</v>
      </c>
      <c r="D690" s="15" t="str">
        <f>IFERROR(__xludf.DUMMYFUNCTION("""COMPUTED_VALUE"""),"Removed")</f>
        <v>Removed</v>
      </c>
      <c r="E690" s="17">
        <f>IFERROR(__xludf.DUMMYFUNCTION("""COMPUTED_VALUE"""),44747.0)</f>
        <v>44747</v>
      </c>
      <c r="F690" s="54">
        <f>IFERROR(__xludf.DUMMYFUNCTION("""COMPUTED_VALUE"""),44774.0)</f>
        <v>44774</v>
      </c>
      <c r="G690" s="19">
        <f>IFERROR(__xludf.DUMMYFUNCTION("""COMPUTED_VALUE"""),0.8666666666666666)</f>
        <v>0.8666666667</v>
      </c>
      <c r="H690" s="17">
        <f>IFERROR(__xludf.DUMMYFUNCTION("""COMPUTED_VALUE"""),44106.0)</f>
        <v>44106</v>
      </c>
      <c r="I690" s="19">
        <f>IFERROR(__xludf.DUMMYFUNCTION("""COMPUTED_VALUE"""),1.7583333333333333)</f>
        <v>1.758333333</v>
      </c>
      <c r="J690" s="21">
        <f>IFERROR(__xludf.DUMMYFUNCTION("""COMPUTED_VALUE"""),86.0)</f>
        <v>86</v>
      </c>
      <c r="K690" s="23">
        <f>IFERROR(__xludf.DUMMYFUNCTION("""COMPUTED_VALUE"""),7.9)</f>
        <v>7.9</v>
      </c>
      <c r="L690" s="24">
        <f>IFERROR(__xludf.DUMMYFUNCTION("""COMPUTED_VALUE"""),10.0)</f>
        <v>10</v>
      </c>
      <c r="M690" s="25" t="str">
        <f>IFERROR(__xludf.DUMMYFUNCTION("""COMPUTED_VALUE"""),"Platformer")</f>
        <v>Platformer</v>
      </c>
      <c r="N690" s="25"/>
      <c r="O690" s="26" t="str">
        <f>IFERROR(__xludf.DUMMYFUNCTION("""COMPUTED_VALUE"""),"No")</f>
        <v>No</v>
      </c>
      <c r="P690" s="26"/>
    </row>
    <row r="691">
      <c r="A691" s="13" t="str">
        <f>IFERROR(__xludf.DUMMYFUNCTION("""COMPUTED_VALUE"""),"The Dark Pictures Anthology: Man of Medan")</f>
        <v>The Dark Pictures Anthology: Man of Medan</v>
      </c>
      <c r="B691" s="15" t="str">
        <f>IFERROR(__xludf.DUMMYFUNCTION("""COMPUTED_VALUE"""),"PS4")</f>
        <v>PS4</v>
      </c>
      <c r="C691" s="16" t="str">
        <f>IFERROR(__xludf.DUMMYFUNCTION("""COMPUTED_VALUE"""),"Essential")</f>
        <v>Essential</v>
      </c>
      <c r="D691" s="15" t="str">
        <f>IFERROR(__xludf.DUMMYFUNCTION("""COMPUTED_VALUE"""),"Removed")</f>
        <v>Removed</v>
      </c>
      <c r="E691" s="17">
        <f>IFERROR(__xludf.DUMMYFUNCTION("""COMPUTED_VALUE"""),44747.0)</f>
        <v>44747</v>
      </c>
      <c r="F691" s="54">
        <f>IFERROR(__xludf.DUMMYFUNCTION("""COMPUTED_VALUE"""),44774.0)</f>
        <v>44774</v>
      </c>
      <c r="G691" s="19">
        <f>IFERROR(__xludf.DUMMYFUNCTION("""COMPUTED_VALUE"""),0.8666666666666666)</f>
        <v>0.8666666667</v>
      </c>
      <c r="H691" s="17">
        <f>IFERROR(__xludf.DUMMYFUNCTION("""COMPUTED_VALUE"""),43707.0)</f>
        <v>43707</v>
      </c>
      <c r="I691" s="19">
        <f>IFERROR(__xludf.DUMMYFUNCTION("""COMPUTED_VALUE"""),2.8472222222222223)</f>
        <v>2.847222222</v>
      </c>
      <c r="J691" s="21">
        <f>IFERROR(__xludf.DUMMYFUNCTION("""COMPUTED_VALUE"""),69.0)</f>
        <v>69</v>
      </c>
      <c r="K691" s="23">
        <f>IFERROR(__xludf.DUMMYFUNCTION("""COMPUTED_VALUE"""),6.6)</f>
        <v>6.6</v>
      </c>
      <c r="L691" s="24">
        <f>IFERROR(__xludf.DUMMYFUNCTION("""COMPUTED_VALUE"""),4.5)</f>
        <v>4.5</v>
      </c>
      <c r="M691" s="25" t="str">
        <f>IFERROR(__xludf.DUMMYFUNCTION("""COMPUTED_VALUE"""),"Horror")</f>
        <v>Horror</v>
      </c>
      <c r="N691" s="25"/>
      <c r="O691" s="26" t="str">
        <f>IFERROR(__xludf.DUMMYFUNCTION("""COMPUTED_VALUE"""),"No")</f>
        <v>No</v>
      </c>
      <c r="P691" s="26"/>
    </row>
    <row r="692">
      <c r="A692" s="13" t="str">
        <f>IFERROR(__xludf.DUMMYFUNCTION("""COMPUTED_VALUE"""),"Arcadegeddon")</f>
        <v>Arcadegeddon</v>
      </c>
      <c r="B692" s="15" t="str">
        <f>IFERROR(__xludf.DUMMYFUNCTION("""COMPUTED_VALUE"""),"PS5/PS4")</f>
        <v>PS5/PS4</v>
      </c>
      <c r="C692" s="16" t="str">
        <f>IFERROR(__xludf.DUMMYFUNCTION("""COMPUTED_VALUE"""),"Essential")</f>
        <v>Essential</v>
      </c>
      <c r="D692" s="15" t="str">
        <f>IFERROR(__xludf.DUMMYFUNCTION("""COMPUTED_VALUE"""),"Removed")</f>
        <v>Removed</v>
      </c>
      <c r="E692" s="17">
        <f>IFERROR(__xludf.DUMMYFUNCTION("""COMPUTED_VALUE"""),44747.0)</f>
        <v>44747</v>
      </c>
      <c r="F692" s="54">
        <f>IFERROR(__xludf.DUMMYFUNCTION("""COMPUTED_VALUE"""),44774.0)</f>
        <v>44774</v>
      </c>
      <c r="G692" s="19">
        <f>IFERROR(__xludf.DUMMYFUNCTION("""COMPUTED_VALUE"""),0.8666666666666666)</f>
        <v>0.8666666667</v>
      </c>
      <c r="H692" s="17">
        <f>IFERROR(__xludf.DUMMYFUNCTION("""COMPUTED_VALUE"""),44747.0)</f>
        <v>44747</v>
      </c>
      <c r="I692" s="19">
        <f>IFERROR(__xludf.DUMMYFUNCTION("""COMPUTED_VALUE"""),0.0)</f>
        <v>0</v>
      </c>
      <c r="J692" s="21">
        <f>IFERROR(__xludf.DUMMYFUNCTION("""COMPUTED_VALUE"""),74.0)</f>
        <v>74</v>
      </c>
      <c r="K692" s="23">
        <f>IFERROR(__xludf.DUMMYFUNCTION("""COMPUTED_VALUE"""),6.2)</f>
        <v>6.2</v>
      </c>
      <c r="L692" s="24">
        <f>IFERROR(__xludf.DUMMYFUNCTION("""COMPUTED_VALUE"""),5.5)</f>
        <v>5.5</v>
      </c>
      <c r="M692" s="25" t="str">
        <f>IFERROR(__xludf.DUMMYFUNCTION("""COMPUTED_VALUE"""),"Shooter")</f>
        <v>Shooter</v>
      </c>
      <c r="N692" s="25"/>
      <c r="O692" s="26" t="str">
        <f>IFERROR(__xludf.DUMMYFUNCTION("""COMPUTED_VALUE"""),"No")</f>
        <v>No</v>
      </c>
      <c r="P692" s="26"/>
    </row>
    <row r="693">
      <c r="A693" s="13" t="str">
        <f>IFERROR(__xludf.DUMMYFUNCTION("""COMPUTED_VALUE"""),"Syberia")</f>
        <v>Syberia</v>
      </c>
      <c r="B693" s="15" t="str">
        <f>IFERROR(__xludf.DUMMYFUNCTION("""COMPUTED_VALUE"""),"PS5/PS4")</f>
        <v>PS5/PS4</v>
      </c>
      <c r="C693" s="16" t="str">
        <f>IFERROR(__xludf.DUMMYFUNCTION("""COMPUTED_VALUE"""),"Premium (Streaming Only)")</f>
        <v>Premium (Streaming Only)</v>
      </c>
      <c r="D693" s="15" t="str">
        <f>IFERROR(__xludf.DUMMYFUNCTION("""COMPUTED_VALUE"""),"Removed")</f>
        <v>Removed</v>
      </c>
      <c r="E693" s="17">
        <f>IFERROR(__xludf.DUMMYFUNCTION("""COMPUTED_VALUE"""),44725.0)</f>
        <v>44725</v>
      </c>
      <c r="F693" s="54">
        <f>IFERROR(__xludf.DUMMYFUNCTION("""COMPUTED_VALUE"""),44757.0)</f>
        <v>44757</v>
      </c>
      <c r="G693" s="19">
        <f>IFERROR(__xludf.DUMMYFUNCTION("""COMPUTED_VALUE"""),1.0666666666666667)</f>
        <v>1.066666667</v>
      </c>
      <c r="H693" s="17">
        <f>IFERROR(__xludf.DUMMYFUNCTION("""COMPUTED_VALUE"""),37265.0)</f>
        <v>37265</v>
      </c>
      <c r="I693" s="19">
        <f>IFERROR(__xludf.DUMMYFUNCTION("""COMPUTED_VALUE"""),20.427777777777777)</f>
        <v>20.42777778</v>
      </c>
      <c r="J693" s="21">
        <f>IFERROR(__xludf.DUMMYFUNCTION("""COMPUTED_VALUE"""),50.0)</f>
        <v>50</v>
      </c>
      <c r="K693" s="23">
        <f>IFERROR(__xludf.DUMMYFUNCTION("""COMPUTED_VALUE"""),7.7)</f>
        <v>7.7</v>
      </c>
      <c r="L693" s="24">
        <f>IFERROR(__xludf.DUMMYFUNCTION("""COMPUTED_VALUE"""),9.5)</f>
        <v>9.5</v>
      </c>
      <c r="M693" s="25" t="str">
        <f>IFERROR(__xludf.DUMMYFUNCTION("""COMPUTED_VALUE"""),"Action-Adventure")</f>
        <v>Action-Adventure</v>
      </c>
      <c r="N693" s="25" t="str">
        <f>IFERROR(__xludf.DUMMYFUNCTION("""COMPUTED_VALUE"""),"PS3")</f>
        <v>PS3</v>
      </c>
      <c r="O693" s="26" t="str">
        <f>IFERROR(__xludf.DUMMYFUNCTION("""COMPUTED_VALUE"""),"Yes")</f>
        <v>Yes</v>
      </c>
      <c r="P693" s="26" t="str">
        <f>IFERROR(__xludf.DUMMYFUNCTION("""COMPUTED_VALUE"""),"")</f>
        <v/>
      </c>
    </row>
    <row r="694">
      <c r="A694" s="13" t="str">
        <f>IFERROR(__xludf.DUMMYFUNCTION("""COMPUTED_VALUE"""),"God of War (2018)")</f>
        <v>God of War (2018)</v>
      </c>
      <c r="B694" s="15" t="str">
        <f>IFERROR(__xludf.DUMMYFUNCTION("""COMPUTED_VALUE"""),"PS4")</f>
        <v>PS4</v>
      </c>
      <c r="C694" s="16" t="str">
        <f>IFERROR(__xludf.DUMMYFUNCTION("""COMPUTED_VALUE"""),"Essential")</f>
        <v>Essential</v>
      </c>
      <c r="D694" s="15" t="str">
        <f>IFERROR(__xludf.DUMMYFUNCTION("""COMPUTED_VALUE"""),"Removed")</f>
        <v>Removed</v>
      </c>
      <c r="E694" s="17">
        <f>IFERROR(__xludf.DUMMYFUNCTION("""COMPUTED_VALUE"""),44719.0)</f>
        <v>44719</v>
      </c>
      <c r="F694" s="54">
        <f>IFERROR(__xludf.DUMMYFUNCTION("""COMPUTED_VALUE"""),44746.0)</f>
        <v>44746</v>
      </c>
      <c r="G694" s="19">
        <f>IFERROR(__xludf.DUMMYFUNCTION("""COMPUTED_VALUE"""),0.8999999999999999)</f>
        <v>0.9</v>
      </c>
      <c r="H694" s="17">
        <f>IFERROR(__xludf.DUMMYFUNCTION("""COMPUTED_VALUE"""),43210.0)</f>
        <v>43210</v>
      </c>
      <c r="I694" s="19">
        <f>IFERROR(__xludf.DUMMYFUNCTION("""COMPUTED_VALUE"""),4.1305555555555555)</f>
        <v>4.130555556</v>
      </c>
      <c r="J694" s="21">
        <f>IFERROR(__xludf.DUMMYFUNCTION("""COMPUTED_VALUE"""),94.0)</f>
        <v>94</v>
      </c>
      <c r="K694" s="23">
        <f>IFERROR(__xludf.DUMMYFUNCTION("""COMPUTED_VALUE"""),9.1)</f>
        <v>9.1</v>
      </c>
      <c r="L694" s="24">
        <f>IFERROR(__xludf.DUMMYFUNCTION("""COMPUTED_VALUE"""),20.5)</f>
        <v>20.5</v>
      </c>
      <c r="M694" s="25" t="str">
        <f>IFERROR(__xludf.DUMMYFUNCTION("""COMPUTED_VALUE"""),"RPG")</f>
        <v>RPG</v>
      </c>
      <c r="N694" s="25"/>
      <c r="O694" s="26" t="str">
        <f>IFERROR(__xludf.DUMMYFUNCTION("""COMPUTED_VALUE"""),"No")</f>
        <v>No</v>
      </c>
      <c r="P694" s="26"/>
    </row>
    <row r="695">
      <c r="A695" s="13" t="str">
        <f>IFERROR(__xludf.DUMMYFUNCTION("""COMPUTED_VALUE"""),"Naruto to Boruto: Shinobi Strikers")</f>
        <v>Naruto to Boruto: Shinobi Strikers</v>
      </c>
      <c r="B695" s="15" t="str">
        <f>IFERROR(__xludf.DUMMYFUNCTION("""COMPUTED_VALUE"""),"PS4")</f>
        <v>PS4</v>
      </c>
      <c r="C695" s="16" t="str">
        <f>IFERROR(__xludf.DUMMYFUNCTION("""COMPUTED_VALUE"""),"Essential")</f>
        <v>Essential</v>
      </c>
      <c r="D695" s="15" t="str">
        <f>IFERROR(__xludf.DUMMYFUNCTION("""COMPUTED_VALUE"""),"Removed")</f>
        <v>Removed</v>
      </c>
      <c r="E695" s="17">
        <f>IFERROR(__xludf.DUMMYFUNCTION("""COMPUTED_VALUE"""),44719.0)</f>
        <v>44719</v>
      </c>
      <c r="F695" s="54">
        <f>IFERROR(__xludf.DUMMYFUNCTION("""COMPUTED_VALUE"""),44746.0)</f>
        <v>44746</v>
      </c>
      <c r="G695" s="19">
        <f>IFERROR(__xludf.DUMMYFUNCTION("""COMPUTED_VALUE"""),0.8999999999999999)</f>
        <v>0.9</v>
      </c>
      <c r="H695" s="17">
        <f>IFERROR(__xludf.DUMMYFUNCTION("""COMPUTED_VALUE"""),43342.0)</f>
        <v>43342</v>
      </c>
      <c r="I695" s="19">
        <f>IFERROR(__xludf.DUMMYFUNCTION("""COMPUTED_VALUE"""),3.7694444444444444)</f>
        <v>3.769444444</v>
      </c>
      <c r="J695" s="21">
        <f>IFERROR(__xludf.DUMMYFUNCTION("""COMPUTED_VALUE"""),61.0)</f>
        <v>61</v>
      </c>
      <c r="K695" s="23">
        <f>IFERROR(__xludf.DUMMYFUNCTION("""COMPUTED_VALUE"""),6.7)</f>
        <v>6.7</v>
      </c>
      <c r="L695" s="24">
        <f>IFERROR(__xludf.DUMMYFUNCTION("""COMPUTED_VALUE"""),6.0)</f>
        <v>6</v>
      </c>
      <c r="M695" s="25" t="str">
        <f>IFERROR(__xludf.DUMMYFUNCTION("""COMPUTED_VALUE"""),"Action-Adventure")</f>
        <v>Action-Adventure</v>
      </c>
      <c r="N695" s="25"/>
      <c r="O695" s="26" t="str">
        <f>IFERROR(__xludf.DUMMYFUNCTION("""COMPUTED_VALUE"""),"No")</f>
        <v>No</v>
      </c>
      <c r="P695" s="26"/>
    </row>
    <row r="696">
      <c r="A696" s="13" t="str">
        <f>IFERROR(__xludf.DUMMYFUNCTION("""COMPUTED_VALUE"""),"Nickelodeon All-Star Brawl")</f>
        <v>Nickelodeon All-Star Brawl</v>
      </c>
      <c r="B696" s="15" t="str">
        <f>IFERROR(__xludf.DUMMYFUNCTION("""COMPUTED_VALUE"""),"PS5/PS4")</f>
        <v>PS5/PS4</v>
      </c>
      <c r="C696" s="16" t="str">
        <f>IFERROR(__xludf.DUMMYFUNCTION("""COMPUTED_VALUE"""),"Essential")</f>
        <v>Essential</v>
      </c>
      <c r="D696" s="15" t="str">
        <f>IFERROR(__xludf.DUMMYFUNCTION("""COMPUTED_VALUE"""),"Removed")</f>
        <v>Removed</v>
      </c>
      <c r="E696" s="17">
        <f>IFERROR(__xludf.DUMMYFUNCTION("""COMPUTED_VALUE"""),44719.0)</f>
        <v>44719</v>
      </c>
      <c r="F696" s="54">
        <f>IFERROR(__xludf.DUMMYFUNCTION("""COMPUTED_VALUE"""),44746.0)</f>
        <v>44746</v>
      </c>
      <c r="G696" s="19">
        <f>IFERROR(__xludf.DUMMYFUNCTION("""COMPUTED_VALUE"""),0.8999999999999999)</f>
        <v>0.9</v>
      </c>
      <c r="H696" s="17">
        <f>IFERROR(__xludf.DUMMYFUNCTION("""COMPUTED_VALUE"""),44474.0)</f>
        <v>44474</v>
      </c>
      <c r="I696" s="19">
        <f>IFERROR(__xludf.DUMMYFUNCTION("""COMPUTED_VALUE"""),0.6722222222222223)</f>
        <v>0.6722222222</v>
      </c>
      <c r="J696" s="21">
        <f>IFERROR(__xludf.DUMMYFUNCTION("""COMPUTED_VALUE"""),64.0)</f>
        <v>64</v>
      </c>
      <c r="K696" s="23">
        <f>IFERROR(__xludf.DUMMYFUNCTION("""COMPUTED_VALUE"""),6.0)</f>
        <v>6</v>
      </c>
      <c r="L696" s="24">
        <f>IFERROR(__xludf.DUMMYFUNCTION("""COMPUTED_VALUE"""),1.0)</f>
        <v>1</v>
      </c>
      <c r="M696" s="25" t="str">
        <f>IFERROR(__xludf.DUMMYFUNCTION("""COMPUTED_VALUE"""),"Fighting")</f>
        <v>Fighting</v>
      </c>
      <c r="N696" s="25"/>
      <c r="O696" s="26" t="str">
        <f>IFERROR(__xludf.DUMMYFUNCTION("""COMPUTED_VALUE"""),"No")</f>
        <v>No</v>
      </c>
      <c r="P696" s="26" t="str">
        <f>IFERROR(__xludf.DUMMYFUNCTION("""COMPUTED_VALUE"""),"Yes")</f>
        <v>Yes</v>
      </c>
    </row>
    <row r="697">
      <c r="A697" s="13" t="str">
        <f>IFERROR(__xludf.DUMMYFUNCTION("""COMPUTED_VALUE"""),"Shadow Warrior 3")</f>
        <v>Shadow Warrior 3</v>
      </c>
      <c r="B697" s="15" t="str">
        <f>IFERROR(__xludf.DUMMYFUNCTION("""COMPUTED_VALUE"""),"PS4")</f>
        <v>PS4</v>
      </c>
      <c r="C697" s="16" t="str">
        <f>IFERROR(__xludf.DUMMYFUNCTION("""COMPUTED_VALUE"""),"Extra")</f>
        <v>Extra</v>
      </c>
      <c r="D697" s="15" t="str">
        <f>IFERROR(__xludf.DUMMYFUNCTION("""COMPUTED_VALUE"""),"Removed")</f>
        <v>Removed</v>
      </c>
      <c r="E697" s="17">
        <f>IFERROR(__xludf.DUMMYFUNCTION("""COMPUTED_VALUE"""),44621.0)</f>
        <v>44621</v>
      </c>
      <c r="F697" s="54">
        <f>IFERROR(__xludf.DUMMYFUNCTION("""COMPUTED_VALUE"""),44744.0)</f>
        <v>44744</v>
      </c>
      <c r="G697" s="19">
        <f>IFERROR(__xludf.DUMMYFUNCTION("""COMPUTED_VALUE"""),4.033333333333333)</f>
        <v>4.033333333</v>
      </c>
      <c r="H697" s="17">
        <f>IFERROR(__xludf.DUMMYFUNCTION("""COMPUTED_VALUE"""),44621.0)</f>
        <v>44621</v>
      </c>
      <c r="I697" s="19">
        <f>IFERROR(__xludf.DUMMYFUNCTION("""COMPUTED_VALUE"""),0.0)</f>
        <v>0</v>
      </c>
      <c r="J697" s="21">
        <f>IFERROR(__xludf.DUMMYFUNCTION("""COMPUTED_VALUE"""),71.0)</f>
        <v>71</v>
      </c>
      <c r="K697" s="23">
        <f>IFERROR(__xludf.DUMMYFUNCTION("""COMPUTED_VALUE"""),6.7)</f>
        <v>6.7</v>
      </c>
      <c r="L697" s="24">
        <f>IFERROR(__xludf.DUMMYFUNCTION("""COMPUTED_VALUE"""),5.0)</f>
        <v>5</v>
      </c>
      <c r="M697" s="25" t="str">
        <f>IFERROR(__xludf.DUMMYFUNCTION("""COMPUTED_VALUE"""),"Shooter")</f>
        <v>Shooter</v>
      </c>
      <c r="N697" s="25"/>
      <c r="O697" s="26" t="str">
        <f>IFERROR(__xludf.DUMMYFUNCTION("""COMPUTED_VALUE"""),"Yes")</f>
        <v>Yes</v>
      </c>
      <c r="P697" s="26"/>
    </row>
    <row r="698">
      <c r="A698" s="13" t="str">
        <f>IFERROR(__xludf.DUMMYFUNCTION("""COMPUTED_VALUE"""),"Blasphemous: Wounds of Eventide")</f>
        <v>Blasphemous: Wounds of Eventide</v>
      </c>
      <c r="B698" s="15" t="str">
        <f>IFERROR(__xludf.DUMMYFUNCTION("""COMPUTED_VALUE"""),"PS5/PS4")</f>
        <v>PS5/PS4</v>
      </c>
      <c r="C698" s="16" t="str">
        <f>IFERROR(__xludf.DUMMYFUNCTION("""COMPUTED_VALUE"""),"Playstation Now (Discontinued)")</f>
        <v>Playstation Now (Discontinued)</v>
      </c>
      <c r="D698" s="15" t="str">
        <f>IFERROR(__xludf.DUMMYFUNCTION("""COMPUTED_VALUE"""),"Removed")</f>
        <v>Removed</v>
      </c>
      <c r="E698" s="17">
        <f>IFERROR(__xludf.DUMMYFUNCTION("""COMPUTED_VALUE"""),44684.0)</f>
        <v>44684</v>
      </c>
      <c r="F698" s="54">
        <f>IFERROR(__xludf.DUMMYFUNCTION("""COMPUTED_VALUE"""),44725.0)</f>
        <v>44725</v>
      </c>
      <c r="G698" s="19">
        <f>IFERROR(__xludf.DUMMYFUNCTION("""COMPUTED_VALUE"""),1.3333333333333333)</f>
        <v>1.333333333</v>
      </c>
      <c r="H698" s="17">
        <f>IFERROR(__xludf.DUMMYFUNCTION("""COMPUTED_VALUE"""),44448.0)</f>
        <v>44448</v>
      </c>
      <c r="I698" s="19">
        <f>IFERROR(__xludf.DUMMYFUNCTION("""COMPUTED_VALUE"""),0.65)</f>
        <v>0.65</v>
      </c>
      <c r="J698" s="21"/>
      <c r="K698" s="23"/>
      <c r="L698" s="24"/>
      <c r="M698" s="25" t="str">
        <f>IFERROR(__xludf.DUMMYFUNCTION("""COMPUTED_VALUE"""),"Action-Adventure")</f>
        <v>Action-Adventure</v>
      </c>
      <c r="N698" s="25"/>
      <c r="O698" s="26" t="str">
        <f>IFERROR(__xludf.DUMMYFUNCTION("""COMPUTED_VALUE"""),"No")</f>
        <v>No</v>
      </c>
      <c r="P698" s="26"/>
    </row>
    <row r="699">
      <c r="A699" s="13" t="str">
        <f>IFERROR(__xludf.DUMMYFUNCTION("""COMPUTED_VALUE"""),"Kerbal Space Program")</f>
        <v>Kerbal Space Program</v>
      </c>
      <c r="B699" s="15" t="str">
        <f>IFERROR(__xludf.DUMMYFUNCTION("""COMPUTED_VALUE"""),"PS5/PS4")</f>
        <v>PS5/PS4</v>
      </c>
      <c r="C699" s="16" t="str">
        <f>IFERROR(__xludf.DUMMYFUNCTION("""COMPUTED_VALUE"""),"Playstation Now (Discontinued)")</f>
        <v>Playstation Now (Discontinued)</v>
      </c>
      <c r="D699" s="15" t="str">
        <f>IFERROR(__xludf.DUMMYFUNCTION("""COMPUTED_VALUE"""),"Removed")</f>
        <v>Removed</v>
      </c>
      <c r="E699" s="17">
        <f>IFERROR(__xludf.DUMMYFUNCTION("""COMPUTED_VALUE"""),44565.0)</f>
        <v>44565</v>
      </c>
      <c r="F699" s="54">
        <f>IFERROR(__xludf.DUMMYFUNCTION("""COMPUTED_VALUE"""),44725.0)</f>
        <v>44725</v>
      </c>
      <c r="G699" s="19">
        <f>IFERROR(__xludf.DUMMYFUNCTION("""COMPUTED_VALUE"""),5.3)</f>
        <v>5.3</v>
      </c>
      <c r="H699" s="17">
        <f>IFERROR(__xludf.DUMMYFUNCTION("""COMPUTED_VALUE"""),40718.0)</f>
        <v>40718</v>
      </c>
      <c r="I699" s="19">
        <f>IFERROR(__xludf.DUMMYFUNCTION("""COMPUTED_VALUE"""),10.527777777777779)</f>
        <v>10.52777778</v>
      </c>
      <c r="J699" s="21">
        <f>IFERROR(__xludf.DUMMYFUNCTION("""COMPUTED_VALUE"""),88.0)</f>
        <v>88</v>
      </c>
      <c r="K699" s="23">
        <f>IFERROR(__xludf.DUMMYFUNCTION("""COMPUTED_VALUE"""),8.3)</f>
        <v>8.3</v>
      </c>
      <c r="L699" s="24"/>
      <c r="M699" s="25" t="str">
        <f>IFERROR(__xludf.DUMMYFUNCTION("""COMPUTED_VALUE"""),"Simulation")</f>
        <v>Simulation</v>
      </c>
      <c r="N699" s="25"/>
      <c r="O699" s="26" t="str">
        <f>IFERROR(__xludf.DUMMYFUNCTION("""COMPUTED_VALUE"""),"No")</f>
        <v>No</v>
      </c>
      <c r="P699" s="26"/>
    </row>
    <row r="700">
      <c r="A700" s="13" t="str">
        <f>IFERROR(__xludf.DUMMYFUNCTION("""COMPUTED_VALUE"""),"Grand Theft Auto III: The Definitive Edition")</f>
        <v>Grand Theft Auto III: The Definitive Edition</v>
      </c>
      <c r="B700" s="15" t="str">
        <f>IFERROR(__xludf.DUMMYFUNCTION("""COMPUTED_VALUE"""),"PS5/PS4")</f>
        <v>PS5/PS4</v>
      </c>
      <c r="C700" s="16" t="str">
        <f>IFERROR(__xludf.DUMMYFUNCTION("""COMPUTED_VALUE"""),"Playstation Now (Discontinued)")</f>
        <v>Playstation Now (Discontinued)</v>
      </c>
      <c r="D700" s="15" t="str">
        <f>IFERROR(__xludf.DUMMYFUNCTION("""COMPUTED_VALUE"""),"Removed")</f>
        <v>Removed</v>
      </c>
      <c r="E700" s="17">
        <f>IFERROR(__xludf.DUMMYFUNCTION("""COMPUTED_VALUE"""),44537.0)</f>
        <v>44537</v>
      </c>
      <c r="F700" s="54">
        <f>IFERROR(__xludf.DUMMYFUNCTION("""COMPUTED_VALUE"""),44725.0)</f>
        <v>44725</v>
      </c>
      <c r="G700" s="19">
        <f>IFERROR(__xludf.DUMMYFUNCTION("""COMPUTED_VALUE"""),6.200000000000001)</f>
        <v>6.2</v>
      </c>
      <c r="H700" s="17">
        <f>IFERROR(__xludf.DUMMYFUNCTION("""COMPUTED_VALUE"""),44511.0)</f>
        <v>44511</v>
      </c>
      <c r="I700" s="19">
        <f>IFERROR(__xludf.DUMMYFUNCTION("""COMPUTED_VALUE"""),0.07222222222222222)</f>
        <v>0.07222222222</v>
      </c>
      <c r="J700" s="21">
        <f>IFERROR(__xludf.DUMMYFUNCTION("""COMPUTED_VALUE"""),56.0)</f>
        <v>56</v>
      </c>
      <c r="K700" s="23">
        <f>IFERROR(__xludf.DUMMYFUNCTION("""COMPUTED_VALUE"""),5.2)</f>
        <v>5.2</v>
      </c>
      <c r="L700" s="24">
        <f>IFERROR(__xludf.DUMMYFUNCTION("""COMPUTED_VALUE"""),16.0)</f>
        <v>16</v>
      </c>
      <c r="M700" s="25" t="str">
        <f>IFERROR(__xludf.DUMMYFUNCTION("""COMPUTED_VALUE"""),"Action-Adventure")</f>
        <v>Action-Adventure</v>
      </c>
      <c r="N700" s="25"/>
      <c r="O700" s="26" t="str">
        <f>IFERROR(__xludf.DUMMYFUNCTION("""COMPUTED_VALUE"""),"No")</f>
        <v>No</v>
      </c>
      <c r="P700" s="26"/>
    </row>
    <row r="701">
      <c r="A701" s="13" t="str">
        <f>IFERROR(__xludf.DUMMYFUNCTION("""COMPUTED_VALUE"""),"Amnesia: Collection")</f>
        <v>Amnesia: Collection</v>
      </c>
      <c r="B701" s="15" t="str">
        <f>IFERROR(__xludf.DUMMYFUNCTION("""COMPUTED_VALUE"""),"PS5/PS4")</f>
        <v>PS5/PS4</v>
      </c>
      <c r="C701" s="16" t="str">
        <f>IFERROR(__xludf.DUMMYFUNCTION("""COMPUTED_VALUE"""),"Playstation Now (Discontinued)")</f>
        <v>Playstation Now (Discontinued)</v>
      </c>
      <c r="D701" s="15" t="str">
        <f>IFERROR(__xludf.DUMMYFUNCTION("""COMPUTED_VALUE"""),"Removed")</f>
        <v>Removed</v>
      </c>
      <c r="E701" s="17">
        <f>IFERROR(__xludf.DUMMYFUNCTION("""COMPUTED_VALUE"""),44474.0)</f>
        <v>44474</v>
      </c>
      <c r="F701" s="54">
        <f>IFERROR(__xludf.DUMMYFUNCTION("""COMPUTED_VALUE"""),44725.0)</f>
        <v>44725</v>
      </c>
      <c r="G701" s="19">
        <f>IFERROR(__xludf.DUMMYFUNCTION("""COMPUTED_VALUE"""),8.266666666666666)</f>
        <v>8.266666667</v>
      </c>
      <c r="H701" s="17">
        <f>IFERROR(__xludf.DUMMYFUNCTION("""COMPUTED_VALUE"""),42696.0)</f>
        <v>42696</v>
      </c>
      <c r="I701" s="19">
        <f>IFERROR(__xludf.DUMMYFUNCTION("""COMPUTED_VALUE"""),4.8694444444444445)</f>
        <v>4.869444444</v>
      </c>
      <c r="J701" s="21">
        <f>IFERROR(__xludf.DUMMYFUNCTION("""COMPUTED_VALUE"""),79.0)</f>
        <v>79</v>
      </c>
      <c r="K701" s="23">
        <f>IFERROR(__xludf.DUMMYFUNCTION("""COMPUTED_VALUE"""),8.1)</f>
        <v>8.1</v>
      </c>
      <c r="L701" s="24">
        <f>IFERROR(__xludf.DUMMYFUNCTION("""COMPUTED_VALUE"""),17.0)</f>
        <v>17</v>
      </c>
      <c r="M701" s="25" t="str">
        <f>IFERROR(__xludf.DUMMYFUNCTION("""COMPUTED_VALUE"""),"Horror")</f>
        <v>Horror</v>
      </c>
      <c r="N701" s="25"/>
      <c r="O701" s="26" t="str">
        <f>IFERROR(__xludf.DUMMYFUNCTION("""COMPUTED_VALUE"""),"No")</f>
        <v>No</v>
      </c>
      <c r="P701" s="26"/>
    </row>
    <row r="702">
      <c r="A702" s="13" t="str">
        <f>IFERROR(__xludf.DUMMYFUNCTION("""COMPUTED_VALUE"""),"Killing Floor 2")</f>
        <v>Killing Floor 2</v>
      </c>
      <c r="B702" s="15" t="str">
        <f>IFERROR(__xludf.DUMMYFUNCTION("""COMPUTED_VALUE"""),"PS5/PS4")</f>
        <v>PS5/PS4</v>
      </c>
      <c r="C702" s="16" t="str">
        <f>IFERROR(__xludf.DUMMYFUNCTION("""COMPUTED_VALUE"""),"Playstation Now (Discontinued)")</f>
        <v>Playstation Now (Discontinued)</v>
      </c>
      <c r="D702" s="15" t="str">
        <f>IFERROR(__xludf.DUMMYFUNCTION("""COMPUTED_VALUE"""),"Removed")</f>
        <v>Removed</v>
      </c>
      <c r="E702" s="17">
        <f>IFERROR(__xludf.DUMMYFUNCTION("""COMPUTED_VALUE"""),44446.0)</f>
        <v>44446</v>
      </c>
      <c r="F702" s="54">
        <f>IFERROR(__xludf.DUMMYFUNCTION("""COMPUTED_VALUE"""),44725.0)</f>
        <v>44725</v>
      </c>
      <c r="G702" s="19">
        <f>IFERROR(__xludf.DUMMYFUNCTION("""COMPUTED_VALUE"""),9.200000000000001)</f>
        <v>9.2</v>
      </c>
      <c r="H702" s="17">
        <f>IFERROR(__xludf.DUMMYFUNCTION("""COMPUTED_VALUE"""),42692.0)</f>
        <v>42692</v>
      </c>
      <c r="I702" s="19">
        <f>IFERROR(__xludf.DUMMYFUNCTION("""COMPUTED_VALUE"""),4.802777777777778)</f>
        <v>4.802777778</v>
      </c>
      <c r="J702" s="21">
        <f>IFERROR(__xludf.DUMMYFUNCTION("""COMPUTED_VALUE"""),75.0)</f>
        <v>75</v>
      </c>
      <c r="K702" s="23">
        <f>IFERROR(__xludf.DUMMYFUNCTION("""COMPUTED_VALUE"""),7.9)</f>
        <v>7.9</v>
      </c>
      <c r="L702" s="24">
        <f>IFERROR(__xludf.DUMMYFUNCTION("""COMPUTED_VALUE"""),16.0)</f>
        <v>16</v>
      </c>
      <c r="M702" s="25" t="str">
        <f>IFERROR(__xludf.DUMMYFUNCTION("""COMPUTED_VALUE"""),"Shooter")</f>
        <v>Shooter</v>
      </c>
      <c r="N702" s="25"/>
      <c r="O702" s="26" t="str">
        <f>IFERROR(__xludf.DUMMYFUNCTION("""COMPUTED_VALUE"""),"No")</f>
        <v>No</v>
      </c>
      <c r="P702" s="26"/>
    </row>
    <row r="703">
      <c r="A703" s="13" t="str">
        <f>IFERROR(__xludf.DUMMYFUNCTION("""COMPUTED_VALUE"""),"Marvel's Avengers")</f>
        <v>Marvel's Avengers</v>
      </c>
      <c r="B703" s="15" t="str">
        <f>IFERROR(__xludf.DUMMYFUNCTION("""COMPUTED_VALUE"""),"PS5/PS4")</f>
        <v>PS5/PS4</v>
      </c>
      <c r="C703" s="16" t="str">
        <f>IFERROR(__xludf.DUMMYFUNCTION("""COMPUTED_VALUE"""),"Playstation Now (Discontinued)")</f>
        <v>Playstation Now (Discontinued)</v>
      </c>
      <c r="D703" s="15" t="str">
        <f>IFERROR(__xludf.DUMMYFUNCTION("""COMPUTED_VALUE"""),"Removed")</f>
        <v>Removed</v>
      </c>
      <c r="E703" s="17">
        <f>IFERROR(__xludf.DUMMYFUNCTION("""COMPUTED_VALUE"""),44292.0)</f>
        <v>44292</v>
      </c>
      <c r="F703" s="54">
        <f>IFERROR(__xludf.DUMMYFUNCTION("""COMPUTED_VALUE"""),44725.0)</f>
        <v>44725</v>
      </c>
      <c r="G703" s="19">
        <f>IFERROR(__xludf.DUMMYFUNCTION("""COMPUTED_VALUE"""),14.233333333333334)</f>
        <v>14.23333333</v>
      </c>
      <c r="H703" s="17">
        <f>IFERROR(__xludf.DUMMYFUNCTION("""COMPUTED_VALUE"""),44075.0)</f>
        <v>44075</v>
      </c>
      <c r="I703" s="19">
        <f>IFERROR(__xludf.DUMMYFUNCTION("""COMPUTED_VALUE"""),0.5972222222222222)</f>
        <v>0.5972222222</v>
      </c>
      <c r="J703" s="21">
        <f>IFERROR(__xludf.DUMMYFUNCTION("""COMPUTED_VALUE"""),67.0)</f>
        <v>67</v>
      </c>
      <c r="K703" s="23">
        <f>IFERROR(__xludf.DUMMYFUNCTION("""COMPUTED_VALUE"""),4.9)</f>
        <v>4.9</v>
      </c>
      <c r="L703" s="24">
        <f>IFERROR(__xludf.DUMMYFUNCTION("""COMPUTED_VALUE"""),11.0)</f>
        <v>11</v>
      </c>
      <c r="M703" s="25" t="str">
        <f>IFERROR(__xludf.DUMMYFUNCTION("""COMPUTED_VALUE"""),"Action-Adventure")</f>
        <v>Action-Adventure</v>
      </c>
      <c r="N703" s="25"/>
      <c r="O703" s="26" t="str">
        <f>IFERROR(__xludf.DUMMYFUNCTION("""COMPUTED_VALUE"""),"No")</f>
        <v>No</v>
      </c>
      <c r="P703" s="26"/>
    </row>
    <row r="704">
      <c r="A704" s="13" t="str">
        <f>IFERROR(__xludf.DUMMYFUNCTION("""COMPUTED_VALUE"""),"Monster Jam Steel Titans")</f>
        <v>Monster Jam Steel Titans</v>
      </c>
      <c r="B704" s="15" t="str">
        <f>IFERROR(__xludf.DUMMYFUNCTION("""COMPUTED_VALUE"""),"PS5/PS4")</f>
        <v>PS5/PS4</v>
      </c>
      <c r="C704" s="16" t="str">
        <f>IFERROR(__xludf.DUMMYFUNCTION("""COMPUTED_VALUE"""),"Playstation Now (Discontinued)")</f>
        <v>Playstation Now (Discontinued)</v>
      </c>
      <c r="D704" s="15" t="str">
        <f>IFERROR(__xludf.DUMMYFUNCTION("""COMPUTED_VALUE"""),"Removed")</f>
        <v>Removed</v>
      </c>
      <c r="E704" s="17">
        <f>IFERROR(__xludf.DUMMYFUNCTION("""COMPUTED_VALUE"""),44138.0)</f>
        <v>44138</v>
      </c>
      <c r="F704" s="54">
        <f>IFERROR(__xludf.DUMMYFUNCTION("""COMPUTED_VALUE"""),44725.0)</f>
        <v>44725</v>
      </c>
      <c r="G704" s="19">
        <f>IFERROR(__xludf.DUMMYFUNCTION("""COMPUTED_VALUE"""),19.333333333333336)</f>
        <v>19.33333333</v>
      </c>
      <c r="H704" s="17">
        <f>IFERROR(__xludf.DUMMYFUNCTION("""COMPUTED_VALUE"""),43641.0)</f>
        <v>43641</v>
      </c>
      <c r="I704" s="19">
        <f>IFERROR(__xludf.DUMMYFUNCTION("""COMPUTED_VALUE"""),1.3555555555555556)</f>
        <v>1.355555556</v>
      </c>
      <c r="J704" s="21">
        <f>IFERROR(__xludf.DUMMYFUNCTION("""COMPUTED_VALUE"""),47.0)</f>
        <v>47</v>
      </c>
      <c r="K704" s="23">
        <f>IFERROR(__xludf.DUMMYFUNCTION("""COMPUTED_VALUE"""),3.8)</f>
        <v>3.8</v>
      </c>
      <c r="L704" s="24">
        <f>IFERROR(__xludf.DUMMYFUNCTION("""COMPUTED_VALUE"""),6.0)</f>
        <v>6</v>
      </c>
      <c r="M704" s="25" t="str">
        <f>IFERROR(__xludf.DUMMYFUNCTION("""COMPUTED_VALUE"""),"Racing")</f>
        <v>Racing</v>
      </c>
      <c r="N704" s="25"/>
      <c r="O704" s="26" t="str">
        <f>IFERROR(__xludf.DUMMYFUNCTION("""COMPUTED_VALUE"""),"No")</f>
        <v>No</v>
      </c>
      <c r="P704" s="26"/>
    </row>
    <row r="705">
      <c r="A705" s="13" t="str">
        <f>IFERROR(__xludf.DUMMYFUNCTION("""COMPUTED_VALUE"""),"Firewatch")</f>
        <v>Firewatch</v>
      </c>
      <c r="B705" s="15" t="str">
        <f>IFERROR(__xludf.DUMMYFUNCTION("""COMPUTED_VALUE"""),"PS5/PS4")</f>
        <v>PS5/PS4</v>
      </c>
      <c r="C705" s="16" t="str">
        <f>IFERROR(__xludf.DUMMYFUNCTION("""COMPUTED_VALUE"""),"Playstation Now (Discontinued)")</f>
        <v>Playstation Now (Discontinued)</v>
      </c>
      <c r="D705" s="15" t="str">
        <f>IFERROR(__xludf.DUMMYFUNCTION("""COMPUTED_VALUE"""),"Removed")</f>
        <v>Removed</v>
      </c>
      <c r="E705" s="17">
        <f>IFERROR(__xludf.DUMMYFUNCTION("""COMPUTED_VALUE"""),44013.0)</f>
        <v>44013</v>
      </c>
      <c r="F705" s="54">
        <f>IFERROR(__xludf.DUMMYFUNCTION("""COMPUTED_VALUE"""),44725.0)</f>
        <v>44725</v>
      </c>
      <c r="G705" s="19">
        <f>IFERROR(__xludf.DUMMYFUNCTION("""COMPUTED_VALUE"""),23.4)</f>
        <v>23.4</v>
      </c>
      <c r="H705" s="17">
        <f>IFERROR(__xludf.DUMMYFUNCTION("""COMPUTED_VALUE"""),42409.0)</f>
        <v>42409</v>
      </c>
      <c r="I705" s="19">
        <f>IFERROR(__xludf.DUMMYFUNCTION("""COMPUTED_VALUE"""),4.394444444444445)</f>
        <v>4.394444444</v>
      </c>
      <c r="J705" s="21">
        <f>IFERROR(__xludf.DUMMYFUNCTION("""COMPUTED_VALUE"""),81.0)</f>
        <v>81</v>
      </c>
      <c r="K705" s="23">
        <f>IFERROR(__xludf.DUMMYFUNCTION("""COMPUTED_VALUE"""),7.5)</f>
        <v>7.5</v>
      </c>
      <c r="L705" s="24">
        <f>IFERROR(__xludf.DUMMYFUNCTION("""COMPUTED_VALUE"""),4.5)</f>
        <v>4.5</v>
      </c>
      <c r="M705" s="25" t="str">
        <f>IFERROR(__xludf.DUMMYFUNCTION("""COMPUTED_VALUE"""),"Action-Adventure")</f>
        <v>Action-Adventure</v>
      </c>
      <c r="N705" s="25"/>
      <c r="O705" s="26" t="str">
        <f>IFERROR(__xludf.DUMMYFUNCTION("""COMPUTED_VALUE"""),"No")</f>
        <v>No</v>
      </c>
      <c r="P705" s="26"/>
    </row>
    <row r="706">
      <c r="A706" s="13" t="str">
        <f>IFERROR(__xludf.DUMMYFUNCTION("""COMPUTED_VALUE"""),"PlayerUnknown's Battlegrounds")</f>
        <v>PlayerUnknown's Battlegrounds</v>
      </c>
      <c r="B706" s="15" t="str">
        <f>IFERROR(__xludf.DUMMYFUNCTION("""COMPUTED_VALUE"""),"PS5/PS4")</f>
        <v>PS5/PS4</v>
      </c>
      <c r="C706" s="16" t="str">
        <f>IFERROR(__xludf.DUMMYFUNCTION("""COMPUTED_VALUE"""),"Playstation Now (Discontinued)")</f>
        <v>Playstation Now (Discontinued)</v>
      </c>
      <c r="D706" s="15" t="str">
        <f>IFERROR(__xludf.DUMMYFUNCTION("""COMPUTED_VALUE"""),"Removed")</f>
        <v>Removed</v>
      </c>
      <c r="E706" s="17">
        <f>IFERROR(__xludf.DUMMYFUNCTION("""COMPUTED_VALUE"""),43802.0)</f>
        <v>43802</v>
      </c>
      <c r="F706" s="54">
        <f>IFERROR(__xludf.DUMMYFUNCTION("""COMPUTED_VALUE"""),44725.0)</f>
        <v>44725</v>
      </c>
      <c r="G706" s="19">
        <f>IFERROR(__xludf.DUMMYFUNCTION("""COMPUTED_VALUE"""),30.333333333333332)</f>
        <v>30.33333333</v>
      </c>
      <c r="H706" s="17">
        <f>IFERROR(__xludf.DUMMYFUNCTION("""COMPUTED_VALUE"""),43090.0)</f>
        <v>43090</v>
      </c>
      <c r="I706" s="19">
        <f>IFERROR(__xludf.DUMMYFUNCTION("""COMPUTED_VALUE"""),1.95)</f>
        <v>1.95</v>
      </c>
      <c r="J706" s="21">
        <f>IFERROR(__xludf.DUMMYFUNCTION("""COMPUTED_VALUE"""),86.0)</f>
        <v>86</v>
      </c>
      <c r="K706" s="23">
        <f>IFERROR(__xludf.DUMMYFUNCTION("""COMPUTED_VALUE"""),5.0)</f>
        <v>5</v>
      </c>
      <c r="L706" s="24"/>
      <c r="M706" s="25" t="str">
        <f>IFERROR(__xludf.DUMMYFUNCTION("""COMPUTED_VALUE"""),"Shooter")</f>
        <v>Shooter</v>
      </c>
      <c r="N706" s="25"/>
      <c r="O706" s="26" t="str">
        <f>IFERROR(__xludf.DUMMYFUNCTION("""COMPUTED_VALUE"""),"No")</f>
        <v>No</v>
      </c>
      <c r="P706" s="26"/>
    </row>
    <row r="707">
      <c r="A707" s="13" t="str">
        <f>IFERROR(__xludf.DUMMYFUNCTION("""COMPUTED_VALUE"""),"Farming Simulator 19")</f>
        <v>Farming Simulator 19</v>
      </c>
      <c r="B707" s="15" t="str">
        <f>IFERROR(__xludf.DUMMYFUNCTION("""COMPUTED_VALUE"""),"PS5/PS4")</f>
        <v>PS5/PS4</v>
      </c>
      <c r="C707" s="16" t="str">
        <f>IFERROR(__xludf.DUMMYFUNCTION("""COMPUTED_VALUE"""),"Playstation Now (Discontinued)")</f>
        <v>Playstation Now (Discontinued)</v>
      </c>
      <c r="D707" s="15" t="str">
        <f>IFERROR(__xludf.DUMMYFUNCTION("""COMPUTED_VALUE"""),"Removed")</f>
        <v>Removed</v>
      </c>
      <c r="E707" s="17">
        <f>IFERROR(__xludf.DUMMYFUNCTION("""COMPUTED_VALUE"""),43711.0)</f>
        <v>43711</v>
      </c>
      <c r="F707" s="54">
        <f>IFERROR(__xludf.DUMMYFUNCTION("""COMPUTED_VALUE"""),44725.0)</f>
        <v>44725</v>
      </c>
      <c r="G707" s="19">
        <f>IFERROR(__xludf.DUMMYFUNCTION("""COMPUTED_VALUE"""),33.33333333333333)</f>
        <v>33.33333333</v>
      </c>
      <c r="H707" s="17">
        <f>IFERROR(__xludf.DUMMYFUNCTION("""COMPUTED_VALUE"""),43423.0)</f>
        <v>43423</v>
      </c>
      <c r="I707" s="19">
        <f>IFERROR(__xludf.DUMMYFUNCTION("""COMPUTED_VALUE"""),0.7888888888888889)</f>
        <v>0.7888888889</v>
      </c>
      <c r="J707" s="21">
        <f>IFERROR(__xludf.DUMMYFUNCTION("""COMPUTED_VALUE"""),73.0)</f>
        <v>73</v>
      </c>
      <c r="K707" s="23">
        <f>IFERROR(__xludf.DUMMYFUNCTION("""COMPUTED_VALUE"""),6.3)</f>
        <v>6.3</v>
      </c>
      <c r="L707" s="24"/>
      <c r="M707" s="25" t="str">
        <f>IFERROR(__xludf.DUMMYFUNCTION("""COMPUTED_VALUE"""),"Racing")</f>
        <v>Racing</v>
      </c>
      <c r="N707" s="25"/>
      <c r="O707" s="26" t="str">
        <f>IFERROR(__xludf.DUMMYFUNCTION("""COMPUTED_VALUE"""),"No")</f>
        <v>No</v>
      </c>
      <c r="P707" s="26"/>
    </row>
    <row r="708">
      <c r="A708" s="13" t="str">
        <f>IFERROR(__xludf.DUMMYFUNCTION("""COMPUTED_VALUE"""),"RIDE 3")</f>
        <v>RIDE 3</v>
      </c>
      <c r="B708" s="15" t="str">
        <f>IFERROR(__xludf.DUMMYFUNCTION("""COMPUTED_VALUE"""),"PS5/PS4")</f>
        <v>PS5/PS4</v>
      </c>
      <c r="C708" s="16" t="str">
        <f>IFERROR(__xludf.DUMMYFUNCTION("""COMPUTED_VALUE"""),"Playstation Now (Discontinued)")</f>
        <v>Playstation Now (Discontinued)</v>
      </c>
      <c r="D708" s="15" t="str">
        <f>IFERROR(__xludf.DUMMYFUNCTION("""COMPUTED_VALUE"""),"Removed")</f>
        <v>Removed</v>
      </c>
      <c r="E708" s="17">
        <f>IFERROR(__xludf.DUMMYFUNCTION("""COMPUTED_VALUE"""),43711.0)</f>
        <v>43711</v>
      </c>
      <c r="F708" s="54">
        <f>IFERROR(__xludf.DUMMYFUNCTION("""COMPUTED_VALUE"""),44725.0)</f>
        <v>44725</v>
      </c>
      <c r="G708" s="19">
        <f>IFERROR(__xludf.DUMMYFUNCTION("""COMPUTED_VALUE"""),33.33333333333333)</f>
        <v>33.33333333</v>
      </c>
      <c r="H708" s="17">
        <f>IFERROR(__xludf.DUMMYFUNCTION("""COMPUTED_VALUE"""),43434.0)</f>
        <v>43434</v>
      </c>
      <c r="I708" s="19">
        <f>IFERROR(__xludf.DUMMYFUNCTION("""COMPUTED_VALUE"""),0.7583333333333333)</f>
        <v>0.7583333333</v>
      </c>
      <c r="J708" s="21">
        <f>IFERROR(__xludf.DUMMYFUNCTION("""COMPUTED_VALUE"""),71.0)</f>
        <v>71</v>
      </c>
      <c r="K708" s="23">
        <f>IFERROR(__xludf.DUMMYFUNCTION("""COMPUTED_VALUE"""),6.3)</f>
        <v>6.3</v>
      </c>
      <c r="L708" s="24"/>
      <c r="M708" s="25" t="str">
        <f>IFERROR(__xludf.DUMMYFUNCTION("""COMPUTED_VALUE"""),"Racing")</f>
        <v>Racing</v>
      </c>
      <c r="N708" s="25"/>
      <c r="O708" s="26" t="str">
        <f>IFERROR(__xludf.DUMMYFUNCTION("""COMPUTED_VALUE"""),"No")</f>
        <v>No</v>
      </c>
      <c r="P708" s="26"/>
    </row>
    <row r="709">
      <c r="A709" s="13" t="str">
        <f>IFERROR(__xludf.DUMMYFUNCTION("""COMPUTED_VALUE"""),"Titan Quest")</f>
        <v>Titan Quest</v>
      </c>
      <c r="B709" s="15" t="str">
        <f>IFERROR(__xludf.DUMMYFUNCTION("""COMPUTED_VALUE"""),"PS5/PS4")</f>
        <v>PS5/PS4</v>
      </c>
      <c r="C709" s="16" t="str">
        <f>IFERROR(__xludf.DUMMYFUNCTION("""COMPUTED_VALUE"""),"Playstation Now (Discontinued)")</f>
        <v>Playstation Now (Discontinued)</v>
      </c>
      <c r="D709" s="15" t="str">
        <f>IFERROR(__xludf.DUMMYFUNCTION("""COMPUTED_VALUE"""),"Removed")</f>
        <v>Removed</v>
      </c>
      <c r="E709" s="17">
        <f>IFERROR(__xludf.DUMMYFUNCTION("""COMPUTED_VALUE"""),43711.0)</f>
        <v>43711</v>
      </c>
      <c r="F709" s="54">
        <f>IFERROR(__xludf.DUMMYFUNCTION("""COMPUTED_VALUE"""),44725.0)</f>
        <v>44725</v>
      </c>
      <c r="G709" s="19">
        <f>IFERROR(__xludf.DUMMYFUNCTION("""COMPUTED_VALUE"""),33.33333333333333)</f>
        <v>33.33333333</v>
      </c>
      <c r="H709" s="17">
        <f>IFERROR(__xludf.DUMMYFUNCTION("""COMPUTED_VALUE"""),38894.0)</f>
        <v>38894</v>
      </c>
      <c r="I709" s="19">
        <f>IFERROR(__xludf.DUMMYFUNCTION("""COMPUTED_VALUE"""),13.186111111111112)</f>
        <v>13.18611111</v>
      </c>
      <c r="J709" s="21">
        <f>IFERROR(__xludf.DUMMYFUNCTION("""COMPUTED_VALUE"""),77.0)</f>
        <v>77</v>
      </c>
      <c r="K709" s="23">
        <f>IFERROR(__xludf.DUMMYFUNCTION("""COMPUTED_VALUE"""),7.8)</f>
        <v>7.8</v>
      </c>
      <c r="L709" s="24">
        <f>IFERROR(__xludf.DUMMYFUNCTION("""COMPUTED_VALUE"""),25.5)</f>
        <v>25.5</v>
      </c>
      <c r="M709" s="25" t="str">
        <f>IFERROR(__xludf.DUMMYFUNCTION("""COMPUTED_VALUE"""),"RPG")</f>
        <v>RPG</v>
      </c>
      <c r="N709" s="25"/>
      <c r="O709" s="26" t="str">
        <f>IFERROR(__xludf.DUMMYFUNCTION("""COMPUTED_VALUE"""),"No")</f>
        <v>No</v>
      </c>
      <c r="P709" s="26"/>
    </row>
    <row r="710">
      <c r="A710" s="13" t="str">
        <f>IFERROR(__xludf.DUMMYFUNCTION("""COMPUTED_VALUE"""),"de Blob")</f>
        <v>de Blob</v>
      </c>
      <c r="B710" s="15" t="str">
        <f>IFERROR(__xludf.DUMMYFUNCTION("""COMPUTED_VALUE"""),"PS5/PS4")</f>
        <v>PS5/PS4</v>
      </c>
      <c r="C710" s="16" t="str">
        <f>IFERROR(__xludf.DUMMYFUNCTION("""COMPUTED_VALUE"""),"Playstation Now (Discontinued)")</f>
        <v>Playstation Now (Discontinued)</v>
      </c>
      <c r="D710" s="15" t="str">
        <f>IFERROR(__xludf.DUMMYFUNCTION("""COMPUTED_VALUE"""),"Removed")</f>
        <v>Removed</v>
      </c>
      <c r="E710" s="17">
        <f>IFERROR(__xludf.DUMMYFUNCTION("""COMPUTED_VALUE"""),43711.0)</f>
        <v>43711</v>
      </c>
      <c r="F710" s="54">
        <f>IFERROR(__xludf.DUMMYFUNCTION("""COMPUTED_VALUE"""),44725.0)</f>
        <v>44725</v>
      </c>
      <c r="G710" s="19">
        <f>IFERROR(__xludf.DUMMYFUNCTION("""COMPUTED_VALUE"""),33.33333333333333)</f>
        <v>33.33333333</v>
      </c>
      <c r="H710" s="17">
        <f>IFERROR(__xludf.DUMMYFUNCTION("""COMPUTED_VALUE"""),39713.0)</f>
        <v>39713</v>
      </c>
      <c r="I710" s="19">
        <f>IFERROR(__xludf.DUMMYFUNCTION("""COMPUTED_VALUE"""),10.947222222222223)</f>
        <v>10.94722222</v>
      </c>
      <c r="J710" s="21">
        <f>IFERROR(__xludf.DUMMYFUNCTION("""COMPUTED_VALUE"""),82.0)</f>
        <v>82</v>
      </c>
      <c r="K710" s="23">
        <f>IFERROR(__xludf.DUMMYFUNCTION("""COMPUTED_VALUE"""),7.5)</f>
        <v>7.5</v>
      </c>
      <c r="L710" s="24">
        <f>IFERROR(__xludf.DUMMYFUNCTION("""COMPUTED_VALUE"""),12.0)</f>
        <v>12</v>
      </c>
      <c r="M710" s="25" t="str">
        <f>IFERROR(__xludf.DUMMYFUNCTION("""COMPUTED_VALUE"""),"Action-Adventure")</f>
        <v>Action-Adventure</v>
      </c>
      <c r="N710" s="25"/>
      <c r="O710" s="26" t="str">
        <f>IFERROR(__xludf.DUMMYFUNCTION("""COMPUTED_VALUE"""),"No")</f>
        <v>No</v>
      </c>
      <c r="P710" s="26"/>
    </row>
    <row r="711">
      <c r="A711" s="13" t="str">
        <f>IFERROR(__xludf.DUMMYFUNCTION("""COMPUTED_VALUE"""),"MotoGP 17")</f>
        <v>MotoGP 17</v>
      </c>
      <c r="B711" s="15" t="str">
        <f>IFERROR(__xludf.DUMMYFUNCTION("""COMPUTED_VALUE"""),"PS5/PS4")</f>
        <v>PS5/PS4</v>
      </c>
      <c r="C711" s="16" t="str">
        <f>IFERROR(__xludf.DUMMYFUNCTION("""COMPUTED_VALUE"""),"Playstation Now (Discontinued)")</f>
        <v>Playstation Now (Discontinued)</v>
      </c>
      <c r="D711" s="15" t="str">
        <f>IFERROR(__xludf.DUMMYFUNCTION("""COMPUTED_VALUE"""),"Removed")</f>
        <v>Removed</v>
      </c>
      <c r="E711" s="17">
        <f>IFERROR(__xludf.DUMMYFUNCTION("""COMPUTED_VALUE"""),43683.0)</f>
        <v>43683</v>
      </c>
      <c r="F711" s="54">
        <f>IFERROR(__xludf.DUMMYFUNCTION("""COMPUTED_VALUE"""),44725.0)</f>
        <v>44725</v>
      </c>
      <c r="G711" s="19">
        <f>IFERROR(__xludf.DUMMYFUNCTION("""COMPUTED_VALUE"""),34.233333333333334)</f>
        <v>34.23333333</v>
      </c>
      <c r="H711" s="17">
        <f>IFERROR(__xludf.DUMMYFUNCTION("""COMPUTED_VALUE"""),42901.0)</f>
        <v>42901</v>
      </c>
      <c r="I711" s="19">
        <f>IFERROR(__xludf.DUMMYFUNCTION("""COMPUTED_VALUE"""),2.1416666666666666)</f>
        <v>2.141666667</v>
      </c>
      <c r="J711" s="21">
        <f>IFERROR(__xludf.DUMMYFUNCTION("""COMPUTED_VALUE"""),70.0)</f>
        <v>70</v>
      </c>
      <c r="K711" s="23">
        <f>IFERROR(__xludf.DUMMYFUNCTION("""COMPUTED_VALUE"""),6.8)</f>
        <v>6.8</v>
      </c>
      <c r="L711" s="24"/>
      <c r="M711" s="25" t="str">
        <f>IFERROR(__xludf.DUMMYFUNCTION("""COMPUTED_VALUE"""),"Racing")</f>
        <v>Racing</v>
      </c>
      <c r="N711" s="25"/>
      <c r="O711" s="26" t="str">
        <f>IFERROR(__xludf.DUMMYFUNCTION("""COMPUTED_VALUE"""),"No")</f>
        <v>No</v>
      </c>
      <c r="P711" s="26"/>
    </row>
    <row r="712">
      <c r="A712" s="13" t="str">
        <f>IFERROR(__xludf.DUMMYFUNCTION("""COMPUTED_VALUE"""),"Monster Energy Supercross - The Official Videogame")</f>
        <v>Monster Energy Supercross - The Official Videogame</v>
      </c>
      <c r="B712" s="15" t="str">
        <f>IFERROR(__xludf.DUMMYFUNCTION("""COMPUTED_VALUE"""),"PS5/PS4")</f>
        <v>PS5/PS4</v>
      </c>
      <c r="C712" s="16" t="str">
        <f>IFERROR(__xludf.DUMMYFUNCTION("""COMPUTED_VALUE"""),"Playstation Now (Discontinued)")</f>
        <v>Playstation Now (Discontinued)</v>
      </c>
      <c r="D712" s="15" t="str">
        <f>IFERROR(__xludf.DUMMYFUNCTION("""COMPUTED_VALUE"""),"Removed")</f>
        <v>Removed</v>
      </c>
      <c r="E712" s="17">
        <f>IFERROR(__xludf.DUMMYFUNCTION("""COMPUTED_VALUE"""),43683.0)</f>
        <v>43683</v>
      </c>
      <c r="F712" s="54">
        <f>IFERROR(__xludf.DUMMYFUNCTION("""COMPUTED_VALUE"""),44725.0)</f>
        <v>44725</v>
      </c>
      <c r="G712" s="19">
        <f>IFERROR(__xludf.DUMMYFUNCTION("""COMPUTED_VALUE"""),34.233333333333334)</f>
        <v>34.23333333</v>
      </c>
      <c r="H712" s="17">
        <f>IFERROR(__xludf.DUMMYFUNCTION("""COMPUTED_VALUE"""),43144.0)</f>
        <v>43144</v>
      </c>
      <c r="I712" s="19">
        <f>IFERROR(__xludf.DUMMYFUNCTION("""COMPUTED_VALUE"""),1.4805555555555556)</f>
        <v>1.480555556</v>
      </c>
      <c r="J712" s="21">
        <f>IFERROR(__xludf.DUMMYFUNCTION("""COMPUTED_VALUE"""),61.0)</f>
        <v>61</v>
      </c>
      <c r="K712" s="23">
        <f>IFERROR(__xludf.DUMMYFUNCTION("""COMPUTED_VALUE"""),5.8)</f>
        <v>5.8</v>
      </c>
      <c r="L712" s="24"/>
      <c r="M712" s="25" t="str">
        <f>IFERROR(__xludf.DUMMYFUNCTION("""COMPUTED_VALUE"""),"Racing")</f>
        <v>Racing</v>
      </c>
      <c r="N712" s="25"/>
      <c r="O712" s="26" t="str">
        <f>IFERROR(__xludf.DUMMYFUNCTION("""COMPUTED_VALUE"""),"No")</f>
        <v>No</v>
      </c>
      <c r="P712" s="26"/>
    </row>
    <row r="713">
      <c r="A713" s="13" t="str">
        <f>IFERROR(__xludf.DUMMYFUNCTION("""COMPUTED_VALUE"""),"Real Farm")</f>
        <v>Real Farm</v>
      </c>
      <c r="B713" s="15" t="str">
        <f>IFERROR(__xludf.DUMMYFUNCTION("""COMPUTED_VALUE"""),"PS5/PS4")</f>
        <v>PS5/PS4</v>
      </c>
      <c r="C713" s="16" t="str">
        <f>IFERROR(__xludf.DUMMYFUNCTION("""COMPUTED_VALUE"""),"Playstation Now (Discontinued)")</f>
        <v>Playstation Now (Discontinued)</v>
      </c>
      <c r="D713" s="15" t="str">
        <f>IFERROR(__xludf.DUMMYFUNCTION("""COMPUTED_VALUE"""),"Removed")</f>
        <v>Removed</v>
      </c>
      <c r="E713" s="17">
        <f>IFERROR(__xludf.DUMMYFUNCTION("""COMPUTED_VALUE"""),43648.0)</f>
        <v>43648</v>
      </c>
      <c r="F713" s="54">
        <f>IFERROR(__xludf.DUMMYFUNCTION("""COMPUTED_VALUE"""),44725.0)</f>
        <v>44725</v>
      </c>
      <c r="G713" s="19">
        <f>IFERROR(__xludf.DUMMYFUNCTION("""COMPUTED_VALUE"""),35.36666666666667)</f>
        <v>35.36666667</v>
      </c>
      <c r="H713" s="17">
        <f>IFERROR(__xludf.DUMMYFUNCTION("""COMPUTED_VALUE"""),43028.0)</f>
        <v>43028</v>
      </c>
      <c r="I713" s="19">
        <f>IFERROR(__xludf.DUMMYFUNCTION("""COMPUTED_VALUE"""),1.7)</f>
        <v>1.7</v>
      </c>
      <c r="J713" s="21">
        <f>IFERROR(__xludf.DUMMYFUNCTION("""COMPUTED_VALUE"""),44.0)</f>
        <v>44</v>
      </c>
      <c r="K713" s="23">
        <f>IFERROR(__xludf.DUMMYFUNCTION("""COMPUTED_VALUE"""),5.2)</f>
        <v>5.2</v>
      </c>
      <c r="L713" s="24"/>
      <c r="M713" s="25" t="str">
        <f>IFERROR(__xludf.DUMMYFUNCTION("""COMPUTED_VALUE"""),"Simulation")</f>
        <v>Simulation</v>
      </c>
      <c r="N713" s="25"/>
      <c r="O713" s="26" t="str">
        <f>IFERROR(__xludf.DUMMYFUNCTION("""COMPUTED_VALUE"""),"No")</f>
        <v>No</v>
      </c>
      <c r="P713" s="26"/>
    </row>
    <row r="714">
      <c r="A714" s="13" t="str">
        <f>IFERROR(__xludf.DUMMYFUNCTION("""COMPUTED_VALUE"""),"DARK ARCANA: THE CARNIVAL")</f>
        <v>DARK ARCANA: THE CARNIVAL</v>
      </c>
      <c r="B714" s="15" t="str">
        <f>IFERROR(__xludf.DUMMYFUNCTION("""COMPUTED_VALUE"""),"PS5/PS4")</f>
        <v>PS5/PS4</v>
      </c>
      <c r="C714" s="16" t="str">
        <f>IFERROR(__xludf.DUMMYFUNCTION("""COMPUTED_VALUE"""),"Playstation Now (Discontinued)")</f>
        <v>Playstation Now (Discontinued)</v>
      </c>
      <c r="D714" s="15" t="str">
        <f>IFERROR(__xludf.DUMMYFUNCTION("""COMPUTED_VALUE"""),"Removed")</f>
        <v>Removed</v>
      </c>
      <c r="E714" s="17">
        <f>IFERROR(__xludf.DUMMYFUNCTION("""COMPUTED_VALUE"""),43648.0)</f>
        <v>43648</v>
      </c>
      <c r="F714" s="54">
        <f>IFERROR(__xludf.DUMMYFUNCTION("""COMPUTED_VALUE"""),44725.0)</f>
        <v>44725</v>
      </c>
      <c r="G714" s="19">
        <f>IFERROR(__xludf.DUMMYFUNCTION("""COMPUTED_VALUE"""),35.36666666666667)</f>
        <v>35.36666667</v>
      </c>
      <c r="H714" s="17">
        <f>IFERROR(__xludf.DUMMYFUNCTION("""COMPUTED_VALUE"""),42811.0)</f>
        <v>42811</v>
      </c>
      <c r="I714" s="19">
        <f>IFERROR(__xludf.DUMMYFUNCTION("""COMPUTED_VALUE"""),2.2916666666666665)</f>
        <v>2.291666667</v>
      </c>
      <c r="J714" s="21">
        <f>IFERROR(__xludf.DUMMYFUNCTION("""COMPUTED_VALUE"""),68.0)</f>
        <v>68</v>
      </c>
      <c r="K714" s="23">
        <f>IFERROR(__xludf.DUMMYFUNCTION("""COMPUTED_VALUE"""),6.2)</f>
        <v>6.2</v>
      </c>
      <c r="L714" s="24">
        <f>IFERROR(__xludf.DUMMYFUNCTION("""COMPUTED_VALUE"""),3.0)</f>
        <v>3</v>
      </c>
      <c r="M714" s="25" t="str">
        <f>IFERROR(__xludf.DUMMYFUNCTION("""COMPUTED_VALUE"""),"Puzzle")</f>
        <v>Puzzle</v>
      </c>
      <c r="N714" s="25"/>
      <c r="O714" s="26" t="str">
        <f>IFERROR(__xludf.DUMMYFUNCTION("""COMPUTED_VALUE"""),"No")</f>
        <v>No</v>
      </c>
      <c r="P714" s="26"/>
    </row>
    <row r="715">
      <c r="A715" s="13" t="str">
        <f>IFERROR(__xludf.DUMMYFUNCTION("""COMPUTED_VALUE"""),"Wuppo")</f>
        <v>Wuppo</v>
      </c>
      <c r="B715" s="15" t="str">
        <f>IFERROR(__xludf.DUMMYFUNCTION("""COMPUTED_VALUE"""),"PS5/PS4")</f>
        <v>PS5/PS4</v>
      </c>
      <c r="C715" s="16" t="str">
        <f>IFERROR(__xludf.DUMMYFUNCTION("""COMPUTED_VALUE"""),"Playstation Now (Discontinued)")</f>
        <v>Playstation Now (Discontinued)</v>
      </c>
      <c r="D715" s="15" t="str">
        <f>IFERROR(__xludf.DUMMYFUNCTION("""COMPUTED_VALUE"""),"Removed")</f>
        <v>Removed</v>
      </c>
      <c r="E715" s="17">
        <f>IFERROR(__xludf.DUMMYFUNCTION("""COMPUTED_VALUE"""),43648.0)</f>
        <v>43648</v>
      </c>
      <c r="F715" s="54">
        <f>IFERROR(__xludf.DUMMYFUNCTION("""COMPUTED_VALUE"""),44725.0)</f>
        <v>44725</v>
      </c>
      <c r="G715" s="19">
        <f>IFERROR(__xludf.DUMMYFUNCTION("""COMPUTED_VALUE"""),35.36666666666667)</f>
        <v>35.36666667</v>
      </c>
      <c r="H715" s="17">
        <f>IFERROR(__xludf.DUMMYFUNCTION("""COMPUTED_VALUE"""),42642.0)</f>
        <v>42642</v>
      </c>
      <c r="I715" s="19">
        <f>IFERROR(__xludf.DUMMYFUNCTION("""COMPUTED_VALUE"""),2.7583333333333333)</f>
        <v>2.758333333</v>
      </c>
      <c r="J715" s="21">
        <f>IFERROR(__xludf.DUMMYFUNCTION("""COMPUTED_VALUE"""),78.0)</f>
        <v>78</v>
      </c>
      <c r="K715" s="23">
        <f>IFERROR(__xludf.DUMMYFUNCTION("""COMPUTED_VALUE"""),8.5)</f>
        <v>8.5</v>
      </c>
      <c r="L715" s="24">
        <f>IFERROR(__xludf.DUMMYFUNCTION("""COMPUTED_VALUE"""),8.0)</f>
        <v>8</v>
      </c>
      <c r="M715" s="25" t="str">
        <f>IFERROR(__xludf.DUMMYFUNCTION("""COMPUTED_VALUE"""),"Action-Adventure")</f>
        <v>Action-Adventure</v>
      </c>
      <c r="N715" s="25"/>
      <c r="O715" s="26" t="str">
        <f>IFERROR(__xludf.DUMMYFUNCTION("""COMPUTED_VALUE"""),"No")</f>
        <v>No</v>
      </c>
      <c r="P715" s="26"/>
    </row>
    <row r="716">
      <c r="A716" s="13" t="str">
        <f>IFERROR(__xludf.DUMMYFUNCTION("""COMPUTED_VALUE"""),"Tachyon Project")</f>
        <v>Tachyon Project</v>
      </c>
      <c r="B716" s="15" t="str">
        <f>IFERROR(__xludf.DUMMYFUNCTION("""COMPUTED_VALUE"""),"PS5/PS4")</f>
        <v>PS5/PS4</v>
      </c>
      <c r="C716" s="16" t="str">
        <f>IFERROR(__xludf.DUMMYFUNCTION("""COMPUTED_VALUE"""),"Playstation Now (Discontinued)")</f>
        <v>Playstation Now (Discontinued)</v>
      </c>
      <c r="D716" s="15" t="str">
        <f>IFERROR(__xludf.DUMMYFUNCTION("""COMPUTED_VALUE"""),"Removed")</f>
        <v>Removed</v>
      </c>
      <c r="E716" s="17">
        <f>IFERROR(__xludf.DUMMYFUNCTION("""COMPUTED_VALUE"""),43648.0)</f>
        <v>43648</v>
      </c>
      <c r="F716" s="54">
        <f>IFERROR(__xludf.DUMMYFUNCTION("""COMPUTED_VALUE"""),44725.0)</f>
        <v>44725</v>
      </c>
      <c r="G716" s="19">
        <f>IFERROR(__xludf.DUMMYFUNCTION("""COMPUTED_VALUE"""),35.36666666666667)</f>
        <v>35.36666667</v>
      </c>
      <c r="H716" s="17">
        <f>IFERROR(__xludf.DUMMYFUNCTION("""COMPUTED_VALUE"""),42200.0)</f>
        <v>42200</v>
      </c>
      <c r="I716" s="19">
        <f>IFERROR(__xludf.DUMMYFUNCTION("""COMPUTED_VALUE"""),3.963888888888889)</f>
        <v>3.963888889</v>
      </c>
      <c r="J716" s="21">
        <f>IFERROR(__xludf.DUMMYFUNCTION("""COMPUTED_VALUE"""),74.0)</f>
        <v>74</v>
      </c>
      <c r="K716" s="23">
        <f>IFERROR(__xludf.DUMMYFUNCTION("""COMPUTED_VALUE"""),6.9)</f>
        <v>6.9</v>
      </c>
      <c r="L716" s="24">
        <f>IFERROR(__xludf.DUMMYFUNCTION("""COMPUTED_VALUE"""),5.0)</f>
        <v>5</v>
      </c>
      <c r="M716" s="25" t="str">
        <f>IFERROR(__xludf.DUMMYFUNCTION("""COMPUTED_VALUE"""),"Shooter")</f>
        <v>Shooter</v>
      </c>
      <c r="N716" s="25"/>
      <c r="O716" s="26" t="str">
        <f>IFERROR(__xludf.DUMMYFUNCTION("""COMPUTED_VALUE"""),"No")</f>
        <v>No</v>
      </c>
      <c r="P716" s="26"/>
    </row>
    <row r="717">
      <c r="A717" s="13" t="str">
        <f>IFERROR(__xludf.DUMMYFUNCTION("""COMPUTED_VALUE"""),"MXGP3: The Official Motocross Videogame")</f>
        <v>MXGP3: The Official Motocross Videogame</v>
      </c>
      <c r="B717" s="15" t="str">
        <f>IFERROR(__xludf.DUMMYFUNCTION("""COMPUTED_VALUE"""),"PS5/PS4")</f>
        <v>PS5/PS4</v>
      </c>
      <c r="C717" s="16" t="str">
        <f>IFERROR(__xludf.DUMMYFUNCTION("""COMPUTED_VALUE"""),"Playstation Now (Discontinued)")</f>
        <v>Playstation Now (Discontinued)</v>
      </c>
      <c r="D717" s="15" t="str">
        <f>IFERROR(__xludf.DUMMYFUNCTION("""COMPUTED_VALUE"""),"Removed")</f>
        <v>Removed</v>
      </c>
      <c r="E717" s="17">
        <f>IFERROR(__xludf.DUMMYFUNCTION("""COMPUTED_VALUE"""),43648.0)</f>
        <v>43648</v>
      </c>
      <c r="F717" s="54">
        <f>IFERROR(__xludf.DUMMYFUNCTION("""COMPUTED_VALUE"""),44725.0)</f>
        <v>44725</v>
      </c>
      <c r="G717" s="19">
        <f>IFERROR(__xludf.DUMMYFUNCTION("""COMPUTED_VALUE"""),35.36666666666667)</f>
        <v>35.36666667</v>
      </c>
      <c r="H717" s="17">
        <f>IFERROR(__xludf.DUMMYFUNCTION("""COMPUTED_VALUE"""),42885.0)</f>
        <v>42885</v>
      </c>
      <c r="I717" s="19">
        <f>IFERROR(__xludf.DUMMYFUNCTION("""COMPUTED_VALUE"""),2.088888888888889)</f>
        <v>2.088888889</v>
      </c>
      <c r="J717" s="21">
        <f>IFERROR(__xludf.DUMMYFUNCTION("""COMPUTED_VALUE"""),65.0)</f>
        <v>65</v>
      </c>
      <c r="K717" s="23">
        <f>IFERROR(__xludf.DUMMYFUNCTION("""COMPUTED_VALUE"""),5.7)</f>
        <v>5.7</v>
      </c>
      <c r="L717" s="24"/>
      <c r="M717" s="25" t="str">
        <f>IFERROR(__xludf.DUMMYFUNCTION("""COMPUTED_VALUE"""),"Racing")</f>
        <v>Racing</v>
      </c>
      <c r="N717" s="25"/>
      <c r="O717" s="26" t="str">
        <f>IFERROR(__xludf.DUMMYFUNCTION("""COMPUTED_VALUE"""),"No")</f>
        <v>No</v>
      </c>
      <c r="P717" s="26"/>
    </row>
    <row r="718">
      <c r="A718" s="13" t="str">
        <f>IFERROR(__xludf.DUMMYFUNCTION("""COMPUTED_VALUE"""),"Desert Child")</f>
        <v>Desert Child</v>
      </c>
      <c r="B718" s="15" t="str">
        <f>IFERROR(__xludf.DUMMYFUNCTION("""COMPUTED_VALUE"""),"PS5/PS4")</f>
        <v>PS5/PS4</v>
      </c>
      <c r="C718" s="16" t="str">
        <f>IFERROR(__xludf.DUMMYFUNCTION("""COMPUTED_VALUE"""),"Playstation Now (Discontinued)")</f>
        <v>Playstation Now (Discontinued)</v>
      </c>
      <c r="D718" s="15" t="str">
        <f>IFERROR(__xludf.DUMMYFUNCTION("""COMPUTED_VALUE"""),"Removed")</f>
        <v>Removed</v>
      </c>
      <c r="E718" s="17">
        <f>IFERROR(__xludf.DUMMYFUNCTION("""COMPUTED_VALUE"""),43620.0)</f>
        <v>43620</v>
      </c>
      <c r="F718" s="54">
        <f>IFERROR(__xludf.DUMMYFUNCTION("""COMPUTED_VALUE"""),44725.0)</f>
        <v>44725</v>
      </c>
      <c r="G718" s="19">
        <f>IFERROR(__xludf.DUMMYFUNCTION("""COMPUTED_VALUE"""),36.3)</f>
        <v>36.3</v>
      </c>
      <c r="H718" s="17">
        <f>IFERROR(__xludf.DUMMYFUNCTION("""COMPUTED_VALUE"""),43445.0)</f>
        <v>43445</v>
      </c>
      <c r="I718" s="19">
        <f>IFERROR(__xludf.DUMMYFUNCTION("""COMPUTED_VALUE"""),0.48055555555555557)</f>
        <v>0.4805555556</v>
      </c>
      <c r="J718" s="21">
        <f>IFERROR(__xludf.DUMMYFUNCTION("""COMPUTED_VALUE"""),63.0)</f>
        <v>63</v>
      </c>
      <c r="K718" s="23">
        <f>IFERROR(__xludf.DUMMYFUNCTION("""COMPUTED_VALUE"""),6.8)</f>
        <v>6.8</v>
      </c>
      <c r="L718" s="24"/>
      <c r="M718" s="25" t="str">
        <f>IFERROR(__xludf.DUMMYFUNCTION("""COMPUTED_VALUE"""),"Racing")</f>
        <v>Racing</v>
      </c>
      <c r="N718" s="25"/>
      <c r="O718" s="26" t="str">
        <f>IFERROR(__xludf.DUMMYFUNCTION("""COMPUTED_VALUE"""),"No")</f>
        <v>No</v>
      </c>
      <c r="P718" s="26"/>
    </row>
    <row r="719">
      <c r="A719" s="13" t="str">
        <f>IFERROR(__xludf.DUMMYFUNCTION("""COMPUTED_VALUE"""),"Anodyne")</f>
        <v>Anodyne</v>
      </c>
      <c r="B719" s="15" t="str">
        <f>IFERROR(__xludf.DUMMYFUNCTION("""COMPUTED_VALUE"""),"PS5/PS4")</f>
        <v>PS5/PS4</v>
      </c>
      <c r="C719" s="16" t="str">
        <f>IFERROR(__xludf.DUMMYFUNCTION("""COMPUTED_VALUE"""),"Playstation Now (Discontinued)")</f>
        <v>Playstation Now (Discontinued)</v>
      </c>
      <c r="D719" s="15" t="str">
        <f>IFERROR(__xludf.DUMMYFUNCTION("""COMPUTED_VALUE"""),"Removed")</f>
        <v>Removed</v>
      </c>
      <c r="E719" s="17">
        <f>IFERROR(__xludf.DUMMYFUNCTION("""COMPUTED_VALUE"""),43620.0)</f>
        <v>43620</v>
      </c>
      <c r="F719" s="54">
        <f>IFERROR(__xludf.DUMMYFUNCTION("""COMPUTED_VALUE"""),44725.0)</f>
        <v>44725</v>
      </c>
      <c r="G719" s="19">
        <f>IFERROR(__xludf.DUMMYFUNCTION("""COMPUTED_VALUE"""),36.3)</f>
        <v>36.3</v>
      </c>
      <c r="H719" s="17">
        <f>IFERROR(__xludf.DUMMYFUNCTION("""COMPUTED_VALUE"""),41309.0)</f>
        <v>41309</v>
      </c>
      <c r="I719" s="19">
        <f>IFERROR(__xludf.DUMMYFUNCTION("""COMPUTED_VALUE"""),6.333333333333333)</f>
        <v>6.333333333</v>
      </c>
      <c r="J719" s="21">
        <f>IFERROR(__xludf.DUMMYFUNCTION("""COMPUTED_VALUE"""),75.0)</f>
        <v>75</v>
      </c>
      <c r="K719" s="23">
        <f>IFERROR(__xludf.DUMMYFUNCTION("""COMPUTED_VALUE"""),6.9)</f>
        <v>6.9</v>
      </c>
      <c r="L719" s="24">
        <f>IFERROR(__xludf.DUMMYFUNCTION("""COMPUTED_VALUE"""),6.0)</f>
        <v>6</v>
      </c>
      <c r="M719" s="25" t="str">
        <f>IFERROR(__xludf.DUMMYFUNCTION("""COMPUTED_VALUE"""),"Action-Adventure")</f>
        <v>Action-Adventure</v>
      </c>
      <c r="N719" s="25"/>
      <c r="O719" s="26" t="str">
        <f>IFERROR(__xludf.DUMMYFUNCTION("""COMPUTED_VALUE"""),"No")</f>
        <v>No</v>
      </c>
      <c r="P719" s="26"/>
    </row>
    <row r="720">
      <c r="A720" s="13" t="str">
        <f>IFERROR(__xludf.DUMMYFUNCTION("""COMPUTED_VALUE"""),"RIVE")</f>
        <v>RIVE</v>
      </c>
      <c r="B720" s="15" t="str">
        <f>IFERROR(__xludf.DUMMYFUNCTION("""COMPUTED_VALUE"""),"PS5/PS4")</f>
        <v>PS5/PS4</v>
      </c>
      <c r="C720" s="16" t="str">
        <f>IFERROR(__xludf.DUMMYFUNCTION("""COMPUTED_VALUE"""),"Playstation Now (Discontinued)")</f>
        <v>Playstation Now (Discontinued)</v>
      </c>
      <c r="D720" s="15" t="str">
        <f>IFERROR(__xludf.DUMMYFUNCTION("""COMPUTED_VALUE"""),"Removed")</f>
        <v>Removed</v>
      </c>
      <c r="E720" s="17">
        <f>IFERROR(__xludf.DUMMYFUNCTION("""COMPUTED_VALUE"""),43620.0)</f>
        <v>43620</v>
      </c>
      <c r="F720" s="54">
        <f>IFERROR(__xludf.DUMMYFUNCTION("""COMPUTED_VALUE"""),44725.0)</f>
        <v>44725</v>
      </c>
      <c r="G720" s="19">
        <f>IFERROR(__xludf.DUMMYFUNCTION("""COMPUTED_VALUE"""),36.3)</f>
        <v>36.3</v>
      </c>
      <c r="H720" s="17">
        <f>IFERROR(__xludf.DUMMYFUNCTION("""COMPUTED_VALUE"""),42626.0)</f>
        <v>42626</v>
      </c>
      <c r="I720" s="19">
        <f>IFERROR(__xludf.DUMMYFUNCTION("""COMPUTED_VALUE"""),2.725)</f>
        <v>2.725</v>
      </c>
      <c r="J720" s="21">
        <f>IFERROR(__xludf.DUMMYFUNCTION("""COMPUTED_VALUE"""),75.0)</f>
        <v>75</v>
      </c>
      <c r="K720" s="23">
        <f>IFERROR(__xludf.DUMMYFUNCTION("""COMPUTED_VALUE"""),6.8)</f>
        <v>6.8</v>
      </c>
      <c r="L720" s="24">
        <f>IFERROR(__xludf.DUMMYFUNCTION("""COMPUTED_VALUE"""),4.5)</f>
        <v>4.5</v>
      </c>
      <c r="M720" s="25" t="str">
        <f>IFERROR(__xludf.DUMMYFUNCTION("""COMPUTED_VALUE"""),"Shooter")</f>
        <v>Shooter</v>
      </c>
      <c r="N720" s="25"/>
      <c r="O720" s="26" t="str">
        <f>IFERROR(__xludf.DUMMYFUNCTION("""COMPUTED_VALUE"""),"No")</f>
        <v>No</v>
      </c>
      <c r="P720" s="26"/>
    </row>
    <row r="721">
      <c r="A721" s="13" t="str">
        <f>IFERROR(__xludf.DUMMYFUNCTION("""COMPUTED_VALUE"""),"Gal*Gun: Double Peace")</f>
        <v>Gal*Gun: Double Peace</v>
      </c>
      <c r="B721" s="15" t="str">
        <f>IFERROR(__xludf.DUMMYFUNCTION("""COMPUTED_VALUE"""),"PS5/PS4")</f>
        <v>PS5/PS4</v>
      </c>
      <c r="C721" s="16" t="str">
        <f>IFERROR(__xludf.DUMMYFUNCTION("""COMPUTED_VALUE"""),"Playstation Now (Discontinued)")</f>
        <v>Playstation Now (Discontinued)</v>
      </c>
      <c r="D721" s="15" t="str">
        <f>IFERROR(__xludf.DUMMYFUNCTION("""COMPUTED_VALUE"""),"Removed")</f>
        <v>Removed</v>
      </c>
      <c r="E721" s="17">
        <f>IFERROR(__xludf.DUMMYFUNCTION("""COMPUTED_VALUE"""),43620.0)</f>
        <v>43620</v>
      </c>
      <c r="F721" s="54">
        <f>IFERROR(__xludf.DUMMYFUNCTION("""COMPUTED_VALUE"""),44725.0)</f>
        <v>44725</v>
      </c>
      <c r="G721" s="19">
        <f>IFERROR(__xludf.DUMMYFUNCTION("""COMPUTED_VALUE"""),36.3)</f>
        <v>36.3</v>
      </c>
      <c r="H721" s="17">
        <f>IFERROR(__xludf.DUMMYFUNCTION("""COMPUTED_VALUE"""),42584.0)</f>
        <v>42584</v>
      </c>
      <c r="I721" s="19">
        <f>IFERROR(__xludf.DUMMYFUNCTION("""COMPUTED_VALUE"""),2.838888888888889)</f>
        <v>2.838888889</v>
      </c>
      <c r="J721" s="21">
        <f>IFERROR(__xludf.DUMMYFUNCTION("""COMPUTED_VALUE"""),64.0)</f>
        <v>64</v>
      </c>
      <c r="K721" s="23">
        <f>IFERROR(__xludf.DUMMYFUNCTION("""COMPUTED_VALUE"""),7.4)</f>
        <v>7.4</v>
      </c>
      <c r="L721" s="24">
        <f>IFERROR(__xludf.DUMMYFUNCTION("""COMPUTED_VALUE"""),3.5)</f>
        <v>3.5</v>
      </c>
      <c r="M721" s="25" t="str">
        <f>IFERROR(__xludf.DUMMYFUNCTION("""COMPUTED_VALUE"""),"Shooter")</f>
        <v>Shooter</v>
      </c>
      <c r="N721" s="25"/>
      <c r="O721" s="26" t="str">
        <f>IFERROR(__xludf.DUMMYFUNCTION("""COMPUTED_VALUE"""),"No")</f>
        <v>No</v>
      </c>
      <c r="P721" s="26"/>
    </row>
    <row r="722">
      <c r="A722" s="13" t="str">
        <f>IFERROR(__xludf.DUMMYFUNCTION("""COMPUTED_VALUE"""),"Inside My Radio")</f>
        <v>Inside My Radio</v>
      </c>
      <c r="B722" s="15" t="str">
        <f>IFERROR(__xludf.DUMMYFUNCTION("""COMPUTED_VALUE"""),"PS5/PS4")</f>
        <v>PS5/PS4</v>
      </c>
      <c r="C722" s="16" t="str">
        <f>IFERROR(__xludf.DUMMYFUNCTION("""COMPUTED_VALUE"""),"Playstation Now (Discontinued)")</f>
        <v>Playstation Now (Discontinued)</v>
      </c>
      <c r="D722" s="15" t="str">
        <f>IFERROR(__xludf.DUMMYFUNCTION("""COMPUTED_VALUE"""),"Removed")</f>
        <v>Removed</v>
      </c>
      <c r="E722" s="17">
        <f>IFERROR(__xludf.DUMMYFUNCTION("""COMPUTED_VALUE"""),43620.0)</f>
        <v>43620</v>
      </c>
      <c r="F722" s="54">
        <f>IFERROR(__xludf.DUMMYFUNCTION("""COMPUTED_VALUE"""),44725.0)</f>
        <v>44725</v>
      </c>
      <c r="G722" s="19">
        <f>IFERROR(__xludf.DUMMYFUNCTION("""COMPUTED_VALUE"""),36.3)</f>
        <v>36.3</v>
      </c>
      <c r="H722" s="17">
        <f>IFERROR(__xludf.DUMMYFUNCTION("""COMPUTED_VALUE"""),42135.0)</f>
        <v>42135</v>
      </c>
      <c r="I722" s="19">
        <f>IFERROR(__xludf.DUMMYFUNCTION("""COMPUTED_VALUE"""),4.063888888888889)</f>
        <v>4.063888889</v>
      </c>
      <c r="J722" s="21">
        <f>IFERROR(__xludf.DUMMYFUNCTION("""COMPUTED_VALUE"""),68.0)</f>
        <v>68</v>
      </c>
      <c r="K722" s="23">
        <f>IFERROR(__xludf.DUMMYFUNCTION("""COMPUTED_VALUE"""),7.4)</f>
        <v>7.4</v>
      </c>
      <c r="L722" s="24">
        <f>IFERROR(__xludf.DUMMYFUNCTION("""COMPUTED_VALUE"""),2.0)</f>
        <v>2</v>
      </c>
      <c r="M722" s="25" t="str">
        <f>IFERROR(__xludf.DUMMYFUNCTION("""COMPUTED_VALUE"""),"Platformer")</f>
        <v>Platformer</v>
      </c>
      <c r="N722" s="25"/>
      <c r="O722" s="26" t="str">
        <f>IFERROR(__xludf.DUMMYFUNCTION("""COMPUTED_VALUE"""),"No")</f>
        <v>No</v>
      </c>
      <c r="P722" s="26"/>
    </row>
    <row r="723">
      <c r="A723" s="13" t="str">
        <f>IFERROR(__xludf.DUMMYFUNCTION("""COMPUTED_VALUE"""),"Miko Gakkou Monogatari: Kaede Episode")</f>
        <v>Miko Gakkou Monogatari: Kaede Episode</v>
      </c>
      <c r="B723" s="15" t="str">
        <f>IFERROR(__xludf.DUMMYFUNCTION("""COMPUTED_VALUE"""),"PS5/PS4")</f>
        <v>PS5/PS4</v>
      </c>
      <c r="C723" s="16" t="str">
        <f>IFERROR(__xludf.DUMMYFUNCTION("""COMPUTED_VALUE"""),"Playstation Now (Discontinued)")</f>
        <v>Playstation Now (Discontinued)</v>
      </c>
      <c r="D723" s="15" t="str">
        <f>IFERROR(__xludf.DUMMYFUNCTION("""COMPUTED_VALUE"""),"Removed")</f>
        <v>Removed</v>
      </c>
      <c r="E723" s="17">
        <f>IFERROR(__xludf.DUMMYFUNCTION("""COMPUTED_VALUE"""),43592.0)</f>
        <v>43592</v>
      </c>
      <c r="F723" s="54">
        <f>IFERROR(__xludf.DUMMYFUNCTION("""COMPUTED_VALUE"""),44725.0)</f>
        <v>44725</v>
      </c>
      <c r="G723" s="19">
        <f>IFERROR(__xludf.DUMMYFUNCTION("""COMPUTED_VALUE"""),37.2)</f>
        <v>37.2</v>
      </c>
      <c r="H723" s="17">
        <f>IFERROR(__xludf.DUMMYFUNCTION("""COMPUTED_VALUE"""),42520.0)</f>
        <v>42520</v>
      </c>
      <c r="I723" s="19">
        <f>IFERROR(__xludf.DUMMYFUNCTION("""COMPUTED_VALUE"""),2.936111111111111)</f>
        <v>2.936111111</v>
      </c>
      <c r="J723" s="21"/>
      <c r="K723" s="23"/>
      <c r="L723" s="24">
        <f>IFERROR(__xludf.DUMMYFUNCTION("""COMPUTED_VALUE"""),2.0)</f>
        <v>2</v>
      </c>
      <c r="M723" s="25" t="str">
        <f>IFERROR(__xludf.DUMMYFUNCTION("""COMPUTED_VALUE"""),"Adventure")</f>
        <v>Adventure</v>
      </c>
      <c r="N723" s="25"/>
      <c r="O723" s="26" t="str">
        <f>IFERROR(__xludf.DUMMYFUNCTION("""COMPUTED_VALUE"""),"No")</f>
        <v>No</v>
      </c>
      <c r="P723" s="26"/>
    </row>
    <row r="724">
      <c r="A724" s="13" t="str">
        <f>IFERROR(__xludf.DUMMYFUNCTION("""COMPUTED_VALUE"""),"Tales of Zestiria")</f>
        <v>Tales of Zestiria</v>
      </c>
      <c r="B724" s="15" t="str">
        <f>IFERROR(__xludf.DUMMYFUNCTION("""COMPUTED_VALUE"""),"PS5/PS4")</f>
        <v>PS5/PS4</v>
      </c>
      <c r="C724" s="16" t="str">
        <f>IFERROR(__xludf.DUMMYFUNCTION("""COMPUTED_VALUE"""),"Playstation Now (Discontinued)")</f>
        <v>Playstation Now (Discontinued)</v>
      </c>
      <c r="D724" s="15" t="str">
        <f>IFERROR(__xludf.DUMMYFUNCTION("""COMPUTED_VALUE"""),"Removed")</f>
        <v>Removed</v>
      </c>
      <c r="E724" s="17">
        <f>IFERROR(__xludf.DUMMYFUNCTION("""COMPUTED_VALUE"""),43592.0)</f>
        <v>43592</v>
      </c>
      <c r="F724" s="54">
        <f>IFERROR(__xludf.DUMMYFUNCTION("""COMPUTED_VALUE"""),44725.0)</f>
        <v>44725</v>
      </c>
      <c r="G724" s="19">
        <f>IFERROR(__xludf.DUMMYFUNCTION("""COMPUTED_VALUE"""),37.2)</f>
        <v>37.2</v>
      </c>
      <c r="H724" s="17">
        <f>IFERROR(__xludf.DUMMYFUNCTION("""COMPUTED_VALUE"""),42297.0)</f>
        <v>42297</v>
      </c>
      <c r="I724" s="19">
        <f>IFERROR(__xludf.DUMMYFUNCTION("""COMPUTED_VALUE"""),3.547222222222222)</f>
        <v>3.547222222</v>
      </c>
      <c r="J724" s="21">
        <f>IFERROR(__xludf.DUMMYFUNCTION("""COMPUTED_VALUE"""),72.0)</f>
        <v>72</v>
      </c>
      <c r="K724" s="23">
        <f>IFERROR(__xludf.DUMMYFUNCTION("""COMPUTED_VALUE"""),7.2)</f>
        <v>7.2</v>
      </c>
      <c r="L724" s="24">
        <f>IFERROR(__xludf.DUMMYFUNCTION("""COMPUTED_VALUE"""),45.0)</f>
        <v>45</v>
      </c>
      <c r="M724" s="25" t="str">
        <f>IFERROR(__xludf.DUMMYFUNCTION("""COMPUTED_VALUE"""),"RPG")</f>
        <v>RPG</v>
      </c>
      <c r="N724" s="25"/>
      <c r="O724" s="26" t="str">
        <f>IFERROR(__xludf.DUMMYFUNCTION("""COMPUTED_VALUE"""),"No")</f>
        <v>No</v>
      </c>
      <c r="P724" s="26"/>
    </row>
    <row r="725">
      <c r="A725" s="13" t="str">
        <f>IFERROR(__xludf.DUMMYFUNCTION("""COMPUTED_VALUE"""),"Majin and the Forsaken Kingdom")</f>
        <v>Majin and the Forsaken Kingdom</v>
      </c>
      <c r="B725" s="15" t="str">
        <f>IFERROR(__xludf.DUMMYFUNCTION("""COMPUTED_VALUE"""),"PS5/PS4")</f>
        <v>PS5/PS4</v>
      </c>
      <c r="C725" s="16" t="str">
        <f>IFERROR(__xludf.DUMMYFUNCTION("""COMPUTED_VALUE"""),"Playstation Now (Discontinued)")</f>
        <v>Playstation Now (Discontinued)</v>
      </c>
      <c r="D725" s="15" t="str">
        <f>IFERROR(__xludf.DUMMYFUNCTION("""COMPUTED_VALUE"""),"Removed")</f>
        <v>Removed</v>
      </c>
      <c r="E725" s="17">
        <f>IFERROR(__xludf.DUMMYFUNCTION("""COMPUTED_VALUE"""),43592.0)</f>
        <v>43592</v>
      </c>
      <c r="F725" s="54">
        <f>IFERROR(__xludf.DUMMYFUNCTION("""COMPUTED_VALUE"""),44725.0)</f>
        <v>44725</v>
      </c>
      <c r="G725" s="19">
        <f>IFERROR(__xludf.DUMMYFUNCTION("""COMPUTED_VALUE"""),37.2)</f>
        <v>37.2</v>
      </c>
      <c r="H725" s="17">
        <f>IFERROR(__xludf.DUMMYFUNCTION("""COMPUTED_VALUE"""),40483.0)</f>
        <v>40483</v>
      </c>
      <c r="I725" s="19">
        <f>IFERROR(__xludf.DUMMYFUNCTION("""COMPUTED_VALUE"""),8.516666666666667)</f>
        <v>8.516666667</v>
      </c>
      <c r="J725" s="21">
        <f>IFERROR(__xludf.DUMMYFUNCTION("""COMPUTED_VALUE"""),72.0)</f>
        <v>72</v>
      </c>
      <c r="K725" s="23">
        <f>IFERROR(__xludf.DUMMYFUNCTION("""COMPUTED_VALUE"""),7.7)</f>
        <v>7.7</v>
      </c>
      <c r="L725" s="24">
        <f>IFERROR(__xludf.DUMMYFUNCTION("""COMPUTED_VALUE"""),17.0)</f>
        <v>17</v>
      </c>
      <c r="M725" s="25" t="str">
        <f>IFERROR(__xludf.DUMMYFUNCTION("""COMPUTED_VALUE"""),"Action-Adventure")</f>
        <v>Action-Adventure</v>
      </c>
      <c r="N725" s="25" t="str">
        <f>IFERROR(__xludf.DUMMYFUNCTION("""COMPUTED_VALUE"""),"PS3")</f>
        <v>PS3</v>
      </c>
      <c r="O725" s="26" t="str">
        <f>IFERROR(__xludf.DUMMYFUNCTION("""COMPUTED_VALUE"""),"No")</f>
        <v>No</v>
      </c>
      <c r="P725" s="26"/>
    </row>
    <row r="726">
      <c r="A726" s="13" t="str">
        <f>IFERROR(__xludf.DUMMYFUNCTION("""COMPUTED_VALUE"""),"DiRT 4")</f>
        <v>DiRT 4</v>
      </c>
      <c r="B726" s="15" t="str">
        <f>IFERROR(__xludf.DUMMYFUNCTION("""COMPUTED_VALUE"""),"PS5/PS4")</f>
        <v>PS5/PS4</v>
      </c>
      <c r="C726" s="16" t="str">
        <f>IFERROR(__xludf.DUMMYFUNCTION("""COMPUTED_VALUE"""),"Playstation Now (Discontinued)")</f>
        <v>Playstation Now (Discontinued)</v>
      </c>
      <c r="D726" s="15" t="str">
        <f>IFERROR(__xludf.DUMMYFUNCTION("""COMPUTED_VALUE"""),"Removed")</f>
        <v>Removed</v>
      </c>
      <c r="E726" s="17">
        <f>IFERROR(__xludf.DUMMYFUNCTION("""COMPUTED_VALUE"""),43557.0)</f>
        <v>43557</v>
      </c>
      <c r="F726" s="54">
        <f>IFERROR(__xludf.DUMMYFUNCTION("""COMPUTED_VALUE"""),44725.0)</f>
        <v>44725</v>
      </c>
      <c r="G726" s="19">
        <f>IFERROR(__xludf.DUMMYFUNCTION("""COMPUTED_VALUE"""),38.36666666666667)</f>
        <v>38.36666667</v>
      </c>
      <c r="H726" s="17">
        <f>IFERROR(__xludf.DUMMYFUNCTION("""COMPUTED_VALUE"""),42892.0)</f>
        <v>42892</v>
      </c>
      <c r="I726" s="19">
        <f>IFERROR(__xludf.DUMMYFUNCTION("""COMPUTED_VALUE"""),1.8222222222222222)</f>
        <v>1.822222222</v>
      </c>
      <c r="J726" s="21">
        <f>IFERROR(__xludf.DUMMYFUNCTION("""COMPUTED_VALUE"""),85.0)</f>
        <v>85</v>
      </c>
      <c r="K726" s="23">
        <f>IFERROR(__xludf.DUMMYFUNCTION("""COMPUTED_VALUE"""),7.4)</f>
        <v>7.4</v>
      </c>
      <c r="L726" s="24">
        <f>IFERROR(__xludf.DUMMYFUNCTION("""COMPUTED_VALUE"""),30.0)</f>
        <v>30</v>
      </c>
      <c r="M726" s="25" t="str">
        <f>IFERROR(__xludf.DUMMYFUNCTION("""COMPUTED_VALUE"""),"Racing")</f>
        <v>Racing</v>
      </c>
      <c r="N726" s="25"/>
      <c r="O726" s="26" t="str">
        <f>IFERROR(__xludf.DUMMYFUNCTION("""COMPUTED_VALUE"""),"No")</f>
        <v>No</v>
      </c>
      <c r="P726" s="26"/>
    </row>
    <row r="727">
      <c r="A727" s="13" t="str">
        <f>IFERROR(__xludf.DUMMYFUNCTION("""COMPUTED_VALUE"""),"WWE 2K18")</f>
        <v>WWE 2K18</v>
      </c>
      <c r="B727" s="15" t="str">
        <f>IFERROR(__xludf.DUMMYFUNCTION("""COMPUTED_VALUE"""),"PS5/PS4")</f>
        <v>PS5/PS4</v>
      </c>
      <c r="C727" s="16" t="str">
        <f>IFERROR(__xludf.DUMMYFUNCTION("""COMPUTED_VALUE"""),"Playstation Now (Discontinued)")</f>
        <v>Playstation Now (Discontinued)</v>
      </c>
      <c r="D727" s="15" t="str">
        <f>IFERROR(__xludf.DUMMYFUNCTION("""COMPUTED_VALUE"""),"Removed")</f>
        <v>Removed</v>
      </c>
      <c r="E727" s="17">
        <f>IFERROR(__xludf.DUMMYFUNCTION("""COMPUTED_VALUE"""),43529.0)</f>
        <v>43529</v>
      </c>
      <c r="F727" s="54">
        <f>IFERROR(__xludf.DUMMYFUNCTION("""COMPUTED_VALUE"""),44725.0)</f>
        <v>44725</v>
      </c>
      <c r="G727" s="19">
        <f>IFERROR(__xludf.DUMMYFUNCTION("""COMPUTED_VALUE"""),39.266666666666666)</f>
        <v>39.26666667</v>
      </c>
      <c r="H727" s="17">
        <f>IFERROR(__xludf.DUMMYFUNCTION("""COMPUTED_VALUE"""),43021.0)</f>
        <v>43021</v>
      </c>
      <c r="I727" s="19">
        <f>IFERROR(__xludf.DUMMYFUNCTION("""COMPUTED_VALUE"""),1.3944444444444444)</f>
        <v>1.394444444</v>
      </c>
      <c r="J727" s="21">
        <f>IFERROR(__xludf.DUMMYFUNCTION("""COMPUTED_VALUE"""),66.0)</f>
        <v>66</v>
      </c>
      <c r="K727" s="23">
        <f>IFERROR(__xludf.DUMMYFUNCTION("""COMPUTED_VALUE"""),5.7)</f>
        <v>5.7</v>
      </c>
      <c r="L727" s="24"/>
      <c r="M727" s="25" t="str">
        <f>IFERROR(__xludf.DUMMYFUNCTION("""COMPUTED_VALUE"""),"Wrestling")</f>
        <v>Wrestling</v>
      </c>
      <c r="N727" s="25"/>
      <c r="O727" s="26" t="str">
        <f>IFERROR(__xludf.DUMMYFUNCTION("""COMPUTED_VALUE"""),"No")</f>
        <v>No</v>
      </c>
      <c r="P727" s="26"/>
    </row>
    <row r="728">
      <c r="A728" s="13" t="str">
        <f>IFERROR(__xludf.DUMMYFUNCTION("""COMPUTED_VALUE"""),"A Bastard's Tale")</f>
        <v>A Bastard's Tale</v>
      </c>
      <c r="B728" s="15" t="str">
        <f>IFERROR(__xludf.DUMMYFUNCTION("""COMPUTED_VALUE"""),"PS5/PS4")</f>
        <v>PS5/PS4</v>
      </c>
      <c r="C728" s="16" t="str">
        <f>IFERROR(__xludf.DUMMYFUNCTION("""COMPUTED_VALUE"""),"Playstation Now (Discontinued)")</f>
        <v>Playstation Now (Discontinued)</v>
      </c>
      <c r="D728" s="15" t="str">
        <f>IFERROR(__xludf.DUMMYFUNCTION("""COMPUTED_VALUE"""),"Removed")</f>
        <v>Removed</v>
      </c>
      <c r="E728" s="17">
        <f>IFERROR(__xludf.DUMMYFUNCTION("""COMPUTED_VALUE"""),43529.0)</f>
        <v>43529</v>
      </c>
      <c r="F728" s="54">
        <f>IFERROR(__xludf.DUMMYFUNCTION("""COMPUTED_VALUE"""),44725.0)</f>
        <v>44725</v>
      </c>
      <c r="G728" s="19">
        <f>IFERROR(__xludf.DUMMYFUNCTION("""COMPUTED_VALUE"""),39.266666666666666)</f>
        <v>39.26666667</v>
      </c>
      <c r="H728" s="17">
        <f>IFERROR(__xludf.DUMMYFUNCTION("""COMPUTED_VALUE"""),42647.0)</f>
        <v>42647</v>
      </c>
      <c r="I728" s="19">
        <f>IFERROR(__xludf.DUMMYFUNCTION("""COMPUTED_VALUE"""),2.4194444444444443)</f>
        <v>2.419444444</v>
      </c>
      <c r="J728" s="21">
        <f>IFERROR(__xludf.DUMMYFUNCTION("""COMPUTED_VALUE"""),48.0)</f>
        <v>48</v>
      </c>
      <c r="K728" s="23">
        <f>IFERROR(__xludf.DUMMYFUNCTION("""COMPUTED_VALUE"""),5.3)</f>
        <v>5.3</v>
      </c>
      <c r="L728" s="24">
        <f>IFERROR(__xludf.DUMMYFUNCTION("""COMPUTED_VALUE"""),3.0)</f>
        <v>3</v>
      </c>
      <c r="M728" s="25" t="str">
        <f>IFERROR(__xludf.DUMMYFUNCTION("""COMPUTED_VALUE"""),"Beat-'Em-Up")</f>
        <v>Beat-'Em-Up</v>
      </c>
      <c r="N728" s="25"/>
      <c r="O728" s="26" t="str">
        <f>IFERROR(__xludf.DUMMYFUNCTION("""COMPUTED_VALUE"""),"No")</f>
        <v>No</v>
      </c>
      <c r="P728" s="26"/>
    </row>
    <row r="729">
      <c r="A729" s="13" t="str">
        <f>IFERROR(__xludf.DUMMYFUNCTION("""COMPUTED_VALUE"""),"Pac-Man Championship Edition 2")</f>
        <v>Pac-Man Championship Edition 2</v>
      </c>
      <c r="B729" s="15" t="str">
        <f>IFERROR(__xludf.DUMMYFUNCTION("""COMPUTED_VALUE"""),"PS5/PS4")</f>
        <v>PS5/PS4</v>
      </c>
      <c r="C729" s="16" t="str">
        <f>IFERROR(__xludf.DUMMYFUNCTION("""COMPUTED_VALUE"""),"Playstation Now (Discontinued)")</f>
        <v>Playstation Now (Discontinued)</v>
      </c>
      <c r="D729" s="15" t="str">
        <f>IFERROR(__xludf.DUMMYFUNCTION("""COMPUTED_VALUE"""),"Removed")</f>
        <v>Removed</v>
      </c>
      <c r="E729" s="17">
        <f>IFERROR(__xludf.DUMMYFUNCTION("""COMPUTED_VALUE"""),43529.0)</f>
        <v>43529</v>
      </c>
      <c r="F729" s="54">
        <f>IFERROR(__xludf.DUMMYFUNCTION("""COMPUTED_VALUE"""),44725.0)</f>
        <v>44725</v>
      </c>
      <c r="G729" s="19">
        <f>IFERROR(__xludf.DUMMYFUNCTION("""COMPUTED_VALUE"""),39.266666666666666)</f>
        <v>39.26666667</v>
      </c>
      <c r="H729" s="17">
        <f>IFERROR(__xludf.DUMMYFUNCTION("""COMPUTED_VALUE"""),42626.0)</f>
        <v>42626</v>
      </c>
      <c r="I729" s="19">
        <f>IFERROR(__xludf.DUMMYFUNCTION("""COMPUTED_VALUE"""),2.477777777777778)</f>
        <v>2.477777778</v>
      </c>
      <c r="J729" s="21">
        <f>IFERROR(__xludf.DUMMYFUNCTION("""COMPUTED_VALUE"""),77.0)</f>
        <v>77</v>
      </c>
      <c r="K729" s="23">
        <f>IFERROR(__xludf.DUMMYFUNCTION("""COMPUTED_VALUE"""),7.4)</f>
        <v>7.4</v>
      </c>
      <c r="L729" s="24">
        <f>IFERROR(__xludf.DUMMYFUNCTION("""COMPUTED_VALUE"""),4.5)</f>
        <v>4.5</v>
      </c>
      <c r="M729" s="25" t="str">
        <f>IFERROR(__xludf.DUMMYFUNCTION("""COMPUTED_VALUE"""),"Action")</f>
        <v>Action</v>
      </c>
      <c r="N729" s="25"/>
      <c r="O729" s="26" t="str">
        <f>IFERROR(__xludf.DUMMYFUNCTION("""COMPUTED_VALUE"""),"No")</f>
        <v>No</v>
      </c>
      <c r="P729" s="26"/>
    </row>
    <row r="730">
      <c r="A730" s="13" t="str">
        <f>IFERROR(__xludf.DUMMYFUNCTION("""COMPUTED_VALUE"""),"Battlefield 4")</f>
        <v>Battlefield 4</v>
      </c>
      <c r="B730" s="15" t="str">
        <f>IFERROR(__xludf.DUMMYFUNCTION("""COMPUTED_VALUE"""),"PS5/PS4")</f>
        <v>PS5/PS4</v>
      </c>
      <c r="C730" s="16" t="str">
        <f>IFERROR(__xludf.DUMMYFUNCTION("""COMPUTED_VALUE"""),"Playstation Now (Discontinued)")</f>
        <v>Playstation Now (Discontinued)</v>
      </c>
      <c r="D730" s="15" t="str">
        <f>IFERROR(__xludf.DUMMYFUNCTION("""COMPUTED_VALUE"""),"Removed")</f>
        <v>Removed</v>
      </c>
      <c r="E730" s="17">
        <f>IFERROR(__xludf.DUMMYFUNCTION("""COMPUTED_VALUE"""),43529.0)</f>
        <v>43529</v>
      </c>
      <c r="F730" s="54">
        <f>IFERROR(__xludf.DUMMYFUNCTION("""COMPUTED_VALUE"""),44725.0)</f>
        <v>44725</v>
      </c>
      <c r="G730" s="19">
        <f>IFERROR(__xludf.DUMMYFUNCTION("""COMPUTED_VALUE"""),39.266666666666666)</f>
        <v>39.26666667</v>
      </c>
      <c r="H730" s="17">
        <f>IFERROR(__xludf.DUMMYFUNCTION("""COMPUTED_VALUE"""),41579.0)</f>
        <v>41579</v>
      </c>
      <c r="I730" s="19">
        <f>IFERROR(__xludf.DUMMYFUNCTION("""COMPUTED_VALUE"""),5.344444444444444)</f>
        <v>5.344444444</v>
      </c>
      <c r="J730" s="21">
        <f>IFERROR(__xludf.DUMMYFUNCTION("""COMPUTED_VALUE"""),85.0)</f>
        <v>85</v>
      </c>
      <c r="K730" s="23">
        <f>IFERROR(__xludf.DUMMYFUNCTION("""COMPUTED_VALUE"""),6.1)</f>
        <v>6.1</v>
      </c>
      <c r="L730" s="24">
        <f>IFERROR(__xludf.DUMMYFUNCTION("""COMPUTED_VALUE"""),6.0)</f>
        <v>6</v>
      </c>
      <c r="M730" s="25" t="str">
        <f>IFERROR(__xludf.DUMMYFUNCTION("""COMPUTED_VALUE"""),"Shooter")</f>
        <v>Shooter</v>
      </c>
      <c r="N730" s="25"/>
      <c r="O730" s="26" t="str">
        <f>IFERROR(__xludf.DUMMYFUNCTION("""COMPUTED_VALUE"""),"No")</f>
        <v>No</v>
      </c>
      <c r="P730" s="26"/>
    </row>
    <row r="731">
      <c r="A731" s="13" t="str">
        <f>IFERROR(__xludf.DUMMYFUNCTION("""COMPUTED_VALUE"""),"Dead Space 3")</f>
        <v>Dead Space 3</v>
      </c>
      <c r="B731" s="15" t="str">
        <f>IFERROR(__xludf.DUMMYFUNCTION("""COMPUTED_VALUE"""),"PS5/PS4")</f>
        <v>PS5/PS4</v>
      </c>
      <c r="C731" s="16" t="str">
        <f>IFERROR(__xludf.DUMMYFUNCTION("""COMPUTED_VALUE"""),"Playstation Now (Discontinued)")</f>
        <v>Playstation Now (Discontinued)</v>
      </c>
      <c r="D731" s="15" t="str">
        <f>IFERROR(__xludf.DUMMYFUNCTION("""COMPUTED_VALUE"""),"Removed")</f>
        <v>Removed</v>
      </c>
      <c r="E731" s="17">
        <f>IFERROR(__xludf.DUMMYFUNCTION("""COMPUTED_VALUE"""),43529.0)</f>
        <v>43529</v>
      </c>
      <c r="F731" s="54">
        <f>IFERROR(__xludf.DUMMYFUNCTION("""COMPUTED_VALUE"""),44725.0)</f>
        <v>44725</v>
      </c>
      <c r="G731" s="19">
        <f>IFERROR(__xludf.DUMMYFUNCTION("""COMPUTED_VALUE"""),39.266666666666666)</f>
        <v>39.26666667</v>
      </c>
      <c r="H731" s="17">
        <f>IFERROR(__xludf.DUMMYFUNCTION("""COMPUTED_VALUE"""),41306.0)</f>
        <v>41306</v>
      </c>
      <c r="I731" s="19">
        <f>IFERROR(__xludf.DUMMYFUNCTION("""COMPUTED_VALUE"""),6.094444444444444)</f>
        <v>6.094444444</v>
      </c>
      <c r="J731" s="21">
        <f>IFERROR(__xludf.DUMMYFUNCTION("""COMPUTED_VALUE"""),76.0)</f>
        <v>76</v>
      </c>
      <c r="K731" s="23">
        <f>IFERROR(__xludf.DUMMYFUNCTION("""COMPUTED_VALUE"""),6.8)</f>
        <v>6.8</v>
      </c>
      <c r="L731" s="24">
        <f>IFERROR(__xludf.DUMMYFUNCTION("""COMPUTED_VALUE"""),12.0)</f>
        <v>12</v>
      </c>
      <c r="M731" s="25" t="str">
        <f>IFERROR(__xludf.DUMMYFUNCTION("""COMPUTED_VALUE"""),"Shooter")</f>
        <v>Shooter</v>
      </c>
      <c r="N731" s="25" t="str">
        <f>IFERROR(__xludf.DUMMYFUNCTION("""COMPUTED_VALUE"""),"PS3")</f>
        <v>PS3</v>
      </c>
      <c r="O731" s="26" t="str">
        <f>IFERROR(__xludf.DUMMYFUNCTION("""COMPUTED_VALUE"""),"No")</f>
        <v>No</v>
      </c>
      <c r="P731" s="26"/>
    </row>
    <row r="732">
      <c r="A732" s="13" t="str">
        <f>IFERROR(__xludf.DUMMYFUNCTION("""COMPUTED_VALUE"""),"F1 2017")</f>
        <v>F1 2017</v>
      </c>
      <c r="B732" s="15" t="str">
        <f>IFERROR(__xludf.DUMMYFUNCTION("""COMPUTED_VALUE"""),"PS5/PS4")</f>
        <v>PS5/PS4</v>
      </c>
      <c r="C732" s="16" t="str">
        <f>IFERROR(__xludf.DUMMYFUNCTION("""COMPUTED_VALUE"""),"Playstation Now (Discontinued)")</f>
        <v>Playstation Now (Discontinued)</v>
      </c>
      <c r="D732" s="15" t="str">
        <f>IFERROR(__xludf.DUMMYFUNCTION("""COMPUTED_VALUE"""),"Removed")</f>
        <v>Removed</v>
      </c>
      <c r="E732" s="17">
        <f>IFERROR(__xludf.DUMMYFUNCTION("""COMPUTED_VALUE"""),43503.0)</f>
        <v>43503</v>
      </c>
      <c r="F732" s="54">
        <f>IFERROR(__xludf.DUMMYFUNCTION("""COMPUTED_VALUE"""),44725.0)</f>
        <v>44725</v>
      </c>
      <c r="G732" s="19">
        <f>IFERROR(__xludf.DUMMYFUNCTION("""COMPUTED_VALUE"""),40.2)</f>
        <v>40.2</v>
      </c>
      <c r="H732" s="17">
        <f>IFERROR(__xludf.DUMMYFUNCTION("""COMPUTED_VALUE"""),42972.0)</f>
        <v>42972</v>
      </c>
      <c r="I732" s="19">
        <f>IFERROR(__xludf.DUMMYFUNCTION("""COMPUTED_VALUE"""),1.45)</f>
        <v>1.45</v>
      </c>
      <c r="J732" s="21">
        <f>IFERROR(__xludf.DUMMYFUNCTION("""COMPUTED_VALUE"""),86.0)</f>
        <v>86</v>
      </c>
      <c r="K732" s="23">
        <f>IFERROR(__xludf.DUMMYFUNCTION("""COMPUTED_VALUE"""),7.5)</f>
        <v>7.5</v>
      </c>
      <c r="L732" s="24"/>
      <c r="M732" s="25" t="str">
        <f>IFERROR(__xludf.DUMMYFUNCTION("""COMPUTED_VALUE"""),"Racing")</f>
        <v>Racing</v>
      </c>
      <c r="N732" s="25"/>
      <c r="O732" s="26" t="str">
        <f>IFERROR(__xludf.DUMMYFUNCTION("""COMPUTED_VALUE"""),"No")</f>
        <v>No</v>
      </c>
      <c r="P732" s="26"/>
    </row>
    <row r="733">
      <c r="A733" s="13" t="str">
        <f>IFERROR(__xludf.DUMMYFUNCTION("""COMPUTED_VALUE"""),"Battlefield Hardline")</f>
        <v>Battlefield Hardline</v>
      </c>
      <c r="B733" s="15" t="str">
        <f>IFERROR(__xludf.DUMMYFUNCTION("""COMPUTED_VALUE"""),"PS5/PS4")</f>
        <v>PS5/PS4</v>
      </c>
      <c r="C733" s="16" t="str">
        <f>IFERROR(__xludf.DUMMYFUNCTION("""COMPUTED_VALUE"""),"Playstation Now (Discontinued)")</f>
        <v>Playstation Now (Discontinued)</v>
      </c>
      <c r="D733" s="15" t="str">
        <f>IFERROR(__xludf.DUMMYFUNCTION("""COMPUTED_VALUE"""),"Removed")</f>
        <v>Removed</v>
      </c>
      <c r="E733" s="17">
        <f>IFERROR(__xludf.DUMMYFUNCTION("""COMPUTED_VALUE"""),43503.0)</f>
        <v>43503</v>
      </c>
      <c r="F733" s="54">
        <f>IFERROR(__xludf.DUMMYFUNCTION("""COMPUTED_VALUE"""),44725.0)</f>
        <v>44725</v>
      </c>
      <c r="G733" s="19">
        <f>IFERROR(__xludf.DUMMYFUNCTION("""COMPUTED_VALUE"""),40.2)</f>
        <v>40.2</v>
      </c>
      <c r="H733" s="17">
        <f>IFERROR(__xludf.DUMMYFUNCTION("""COMPUTED_VALUE"""),42080.0)</f>
        <v>42080</v>
      </c>
      <c r="I733" s="19">
        <f>IFERROR(__xludf.DUMMYFUNCTION("""COMPUTED_VALUE"""),3.888888888888889)</f>
        <v>3.888888889</v>
      </c>
      <c r="J733" s="21">
        <f>IFERROR(__xludf.DUMMYFUNCTION("""COMPUTED_VALUE"""),73.0)</f>
        <v>73</v>
      </c>
      <c r="K733" s="23">
        <f>IFERROR(__xludf.DUMMYFUNCTION("""COMPUTED_VALUE"""),5.9)</f>
        <v>5.9</v>
      </c>
      <c r="L733" s="24">
        <f>IFERROR(__xludf.DUMMYFUNCTION("""COMPUTED_VALUE"""),7.0)</f>
        <v>7</v>
      </c>
      <c r="M733" s="25" t="str">
        <f>IFERROR(__xludf.DUMMYFUNCTION("""COMPUTED_VALUE"""),"Shooter")</f>
        <v>Shooter</v>
      </c>
      <c r="N733" s="25"/>
      <c r="O733" s="26" t="str">
        <f>IFERROR(__xludf.DUMMYFUNCTION("""COMPUTED_VALUE"""),"No")</f>
        <v>No</v>
      </c>
      <c r="P733" s="26"/>
    </row>
    <row r="734">
      <c r="A734" s="13" t="str">
        <f>IFERROR(__xludf.DUMMYFUNCTION("""COMPUTED_VALUE"""),"Metal Gear Solid: Peace Walker")</f>
        <v>Metal Gear Solid: Peace Walker</v>
      </c>
      <c r="B734" s="15" t="str">
        <f>IFERROR(__xludf.DUMMYFUNCTION("""COMPUTED_VALUE"""),"PS5/PS4")</f>
        <v>PS5/PS4</v>
      </c>
      <c r="C734" s="16" t="str">
        <f>IFERROR(__xludf.DUMMYFUNCTION("""COMPUTED_VALUE"""),"Playstation Now (Discontinued)")</f>
        <v>Playstation Now (Discontinued)</v>
      </c>
      <c r="D734" s="15" t="str">
        <f>IFERROR(__xludf.DUMMYFUNCTION("""COMPUTED_VALUE"""),"Removed")</f>
        <v>Removed</v>
      </c>
      <c r="E734" s="17">
        <f>IFERROR(__xludf.DUMMYFUNCTION("""COMPUTED_VALUE"""),43503.0)</f>
        <v>43503</v>
      </c>
      <c r="F734" s="54">
        <f>IFERROR(__xludf.DUMMYFUNCTION("""COMPUTED_VALUE"""),44725.0)</f>
        <v>44725</v>
      </c>
      <c r="G734" s="19">
        <f>IFERROR(__xludf.DUMMYFUNCTION("""COMPUTED_VALUE"""),40.2)</f>
        <v>40.2</v>
      </c>
      <c r="H734" s="17">
        <f>IFERROR(__xludf.DUMMYFUNCTION("""COMPUTED_VALUE"""),40297.0)</f>
        <v>40297</v>
      </c>
      <c r="I734" s="19">
        <f>IFERROR(__xludf.DUMMYFUNCTION("""COMPUTED_VALUE"""),8.772222222222222)</f>
        <v>8.772222222</v>
      </c>
      <c r="J734" s="21">
        <f>IFERROR(__xludf.DUMMYFUNCTION("""COMPUTED_VALUE"""),89.0)</f>
        <v>89</v>
      </c>
      <c r="K734" s="23">
        <f>IFERROR(__xludf.DUMMYFUNCTION("""COMPUTED_VALUE"""),8.6)</f>
        <v>8.6</v>
      </c>
      <c r="L734" s="24">
        <f>IFERROR(__xludf.DUMMYFUNCTION("""COMPUTED_VALUE"""),18.0)</f>
        <v>18</v>
      </c>
      <c r="M734" s="25" t="str">
        <f>IFERROR(__xludf.DUMMYFUNCTION("""COMPUTED_VALUE"""),"Action-Adventure")</f>
        <v>Action-Adventure</v>
      </c>
      <c r="N734" s="25"/>
      <c r="O734" s="26" t="str">
        <f>IFERROR(__xludf.DUMMYFUNCTION("""COMPUTED_VALUE"""),"No")</f>
        <v>No</v>
      </c>
      <c r="P734" s="26"/>
    </row>
    <row r="735">
      <c r="A735" s="13" t="str">
        <f>IFERROR(__xludf.DUMMYFUNCTION("""COMPUTED_VALUE"""),"Need for Speed Rivals")</f>
        <v>Need for Speed Rivals</v>
      </c>
      <c r="B735" s="15" t="str">
        <f>IFERROR(__xludf.DUMMYFUNCTION("""COMPUTED_VALUE"""),"PS5/PS4")</f>
        <v>PS5/PS4</v>
      </c>
      <c r="C735" s="16" t="str">
        <f>IFERROR(__xludf.DUMMYFUNCTION("""COMPUTED_VALUE"""),"Playstation Now (Discontinued)")</f>
        <v>Playstation Now (Discontinued)</v>
      </c>
      <c r="D735" s="15" t="str">
        <f>IFERROR(__xludf.DUMMYFUNCTION("""COMPUTED_VALUE"""),"Removed")</f>
        <v>Removed</v>
      </c>
      <c r="E735" s="17">
        <f>IFERROR(__xludf.DUMMYFUNCTION("""COMPUTED_VALUE"""),43503.0)</f>
        <v>43503</v>
      </c>
      <c r="F735" s="54">
        <f>IFERROR(__xludf.DUMMYFUNCTION("""COMPUTED_VALUE"""),44725.0)</f>
        <v>44725</v>
      </c>
      <c r="G735" s="19">
        <f>IFERROR(__xludf.DUMMYFUNCTION("""COMPUTED_VALUE"""),40.2)</f>
        <v>40.2</v>
      </c>
      <c r="H735" s="17">
        <f>IFERROR(__xludf.DUMMYFUNCTION("""COMPUTED_VALUE"""),41579.0)</f>
        <v>41579</v>
      </c>
      <c r="I735" s="19">
        <f>IFERROR(__xludf.DUMMYFUNCTION("""COMPUTED_VALUE"""),5.266666666666667)</f>
        <v>5.266666667</v>
      </c>
      <c r="J735" s="21">
        <f>IFERROR(__xludf.DUMMYFUNCTION("""COMPUTED_VALUE"""),80.0)</f>
        <v>80</v>
      </c>
      <c r="K735" s="23">
        <f>IFERROR(__xludf.DUMMYFUNCTION("""COMPUTED_VALUE"""),7.1)</f>
        <v>7.1</v>
      </c>
      <c r="L735" s="24">
        <f>IFERROR(__xludf.DUMMYFUNCTION("""COMPUTED_VALUE"""),18.0)</f>
        <v>18</v>
      </c>
      <c r="M735" s="25" t="str">
        <f>IFERROR(__xludf.DUMMYFUNCTION("""COMPUTED_VALUE"""),"Racing")</f>
        <v>Racing</v>
      </c>
      <c r="N735" s="25" t="str">
        <f>IFERROR(__xludf.DUMMYFUNCTION("""COMPUTED_VALUE"""),"PS3")</f>
        <v>PS3</v>
      </c>
      <c r="O735" s="26" t="str">
        <f>IFERROR(__xludf.DUMMYFUNCTION("""COMPUTED_VALUE"""),"No")</f>
        <v>No</v>
      </c>
      <c r="P735" s="26"/>
    </row>
    <row r="736">
      <c r="A736" s="13" t="str">
        <f>IFERROR(__xludf.DUMMYFUNCTION("""COMPUTED_VALUE"""),"Project Cars 2")</f>
        <v>Project Cars 2</v>
      </c>
      <c r="B736" s="15" t="str">
        <f>IFERROR(__xludf.DUMMYFUNCTION("""COMPUTED_VALUE"""),"PS5/PS4")</f>
        <v>PS5/PS4</v>
      </c>
      <c r="C736" s="16" t="str">
        <f>IFERROR(__xludf.DUMMYFUNCTION("""COMPUTED_VALUE"""),"Playstation Now (Discontinued)")</f>
        <v>Playstation Now (Discontinued)</v>
      </c>
      <c r="D736" s="15" t="str">
        <f>IFERROR(__xludf.DUMMYFUNCTION("""COMPUTED_VALUE"""),"Removed")</f>
        <v>Removed</v>
      </c>
      <c r="E736" s="17">
        <f>IFERROR(__xludf.DUMMYFUNCTION("""COMPUTED_VALUE"""),43473.0)</f>
        <v>43473</v>
      </c>
      <c r="F736" s="54">
        <f>IFERROR(__xludf.DUMMYFUNCTION("""COMPUTED_VALUE"""),44725.0)</f>
        <v>44725</v>
      </c>
      <c r="G736" s="19">
        <f>IFERROR(__xludf.DUMMYFUNCTION("""COMPUTED_VALUE"""),41.166666666666664)</f>
        <v>41.16666667</v>
      </c>
      <c r="H736" s="17">
        <f>IFERROR(__xludf.DUMMYFUNCTION("""COMPUTED_VALUE"""),43000.0)</f>
        <v>43000</v>
      </c>
      <c r="I736" s="19">
        <f>IFERROR(__xludf.DUMMYFUNCTION("""COMPUTED_VALUE"""),1.2944444444444445)</f>
        <v>1.294444444</v>
      </c>
      <c r="J736" s="21">
        <f>IFERROR(__xludf.DUMMYFUNCTION("""COMPUTED_VALUE"""),82.0)</f>
        <v>82</v>
      </c>
      <c r="K736" s="23">
        <f>IFERROR(__xludf.DUMMYFUNCTION("""COMPUTED_VALUE"""),6.2)</f>
        <v>6.2</v>
      </c>
      <c r="L736" s="24">
        <f>IFERROR(__xludf.DUMMYFUNCTION("""COMPUTED_VALUE"""),27.0)</f>
        <v>27</v>
      </c>
      <c r="M736" s="25" t="str">
        <f>IFERROR(__xludf.DUMMYFUNCTION("""COMPUTED_VALUE"""),"Racing")</f>
        <v>Racing</v>
      </c>
      <c r="N736" s="25"/>
      <c r="O736" s="26" t="str">
        <f>IFERROR(__xludf.DUMMYFUNCTION("""COMPUTED_VALUE"""),"No")</f>
        <v>No</v>
      </c>
      <c r="P736" s="26"/>
    </row>
    <row r="737">
      <c r="A737" s="13" t="str">
        <f>IFERROR(__xludf.DUMMYFUNCTION("""COMPUTED_VALUE"""),"God Eater 2: Rage Burst")</f>
        <v>God Eater 2: Rage Burst</v>
      </c>
      <c r="B737" s="15" t="str">
        <f>IFERROR(__xludf.DUMMYFUNCTION("""COMPUTED_VALUE"""),"PS5/PS4")</f>
        <v>PS5/PS4</v>
      </c>
      <c r="C737" s="16" t="str">
        <f>IFERROR(__xludf.DUMMYFUNCTION("""COMPUTED_VALUE"""),"Playstation Now (Discontinued)")</f>
        <v>Playstation Now (Discontinued)</v>
      </c>
      <c r="D737" s="15" t="str">
        <f>IFERROR(__xludf.DUMMYFUNCTION("""COMPUTED_VALUE"""),"Removed")</f>
        <v>Removed</v>
      </c>
      <c r="E737" s="17">
        <f>IFERROR(__xludf.DUMMYFUNCTION("""COMPUTED_VALUE"""),43473.0)</f>
        <v>43473</v>
      </c>
      <c r="F737" s="54">
        <f>IFERROR(__xludf.DUMMYFUNCTION("""COMPUTED_VALUE"""),44725.0)</f>
        <v>44725</v>
      </c>
      <c r="G737" s="19">
        <f>IFERROR(__xludf.DUMMYFUNCTION("""COMPUTED_VALUE"""),41.166666666666664)</f>
        <v>41.16666667</v>
      </c>
      <c r="H737" s="17">
        <f>IFERROR(__xludf.DUMMYFUNCTION("""COMPUTED_VALUE"""),42612.0)</f>
        <v>42612</v>
      </c>
      <c r="I737" s="19">
        <f>IFERROR(__xludf.DUMMYFUNCTION("""COMPUTED_VALUE"""),2.3555555555555556)</f>
        <v>2.355555556</v>
      </c>
      <c r="J737" s="21">
        <f>IFERROR(__xludf.DUMMYFUNCTION("""COMPUTED_VALUE"""),69.0)</f>
        <v>69</v>
      </c>
      <c r="K737" s="23">
        <f>IFERROR(__xludf.DUMMYFUNCTION("""COMPUTED_VALUE"""),7.1)</f>
        <v>7.1</v>
      </c>
      <c r="L737" s="24">
        <f>IFERROR(__xludf.DUMMYFUNCTION("""COMPUTED_VALUE"""),53.5)</f>
        <v>53.5</v>
      </c>
      <c r="M737" s="25" t="str">
        <f>IFERROR(__xludf.DUMMYFUNCTION("""COMPUTED_VALUE"""),"RPG")</f>
        <v>RPG</v>
      </c>
      <c r="N737" s="25"/>
      <c r="O737" s="26" t="str">
        <f>IFERROR(__xludf.DUMMYFUNCTION("""COMPUTED_VALUE"""),"No")</f>
        <v>No</v>
      </c>
      <c r="P737" s="26"/>
    </row>
    <row r="738">
      <c r="A738" s="13" t="str">
        <f>IFERROR(__xludf.DUMMYFUNCTION("""COMPUTED_VALUE"""),"Onechanbara Z2: Chaos")</f>
        <v>Onechanbara Z2: Chaos</v>
      </c>
      <c r="B738" s="15" t="str">
        <f>IFERROR(__xludf.DUMMYFUNCTION("""COMPUTED_VALUE"""),"PS5/PS4")</f>
        <v>PS5/PS4</v>
      </c>
      <c r="C738" s="16" t="str">
        <f>IFERROR(__xludf.DUMMYFUNCTION("""COMPUTED_VALUE"""),"Playstation Now (Discontinued)")</f>
        <v>Playstation Now (Discontinued)</v>
      </c>
      <c r="D738" s="15" t="str">
        <f>IFERROR(__xludf.DUMMYFUNCTION("""COMPUTED_VALUE"""),"Removed")</f>
        <v>Removed</v>
      </c>
      <c r="E738" s="17">
        <f>IFERROR(__xludf.DUMMYFUNCTION("""COMPUTED_VALUE"""),43473.0)</f>
        <v>43473</v>
      </c>
      <c r="F738" s="54">
        <f>IFERROR(__xludf.DUMMYFUNCTION("""COMPUTED_VALUE"""),44725.0)</f>
        <v>44725</v>
      </c>
      <c r="G738" s="19">
        <f>IFERROR(__xludf.DUMMYFUNCTION("""COMPUTED_VALUE"""),41.166666666666664)</f>
        <v>41.16666667</v>
      </c>
      <c r="H738" s="17">
        <f>IFERROR(__xludf.DUMMYFUNCTION("""COMPUTED_VALUE"""),42262.0)</f>
        <v>42262</v>
      </c>
      <c r="I738" s="19">
        <f>IFERROR(__xludf.DUMMYFUNCTION("""COMPUTED_VALUE"""),3.313888888888889)</f>
        <v>3.313888889</v>
      </c>
      <c r="J738" s="21">
        <f>IFERROR(__xludf.DUMMYFUNCTION("""COMPUTED_VALUE"""),57.0)</f>
        <v>57</v>
      </c>
      <c r="K738" s="23">
        <f>IFERROR(__xludf.DUMMYFUNCTION("""COMPUTED_VALUE"""),6.6)</f>
        <v>6.6</v>
      </c>
      <c r="L738" s="24">
        <f>IFERROR(__xludf.DUMMYFUNCTION("""COMPUTED_VALUE"""),6.0)</f>
        <v>6</v>
      </c>
      <c r="M738" s="25" t="str">
        <f>IFERROR(__xludf.DUMMYFUNCTION("""COMPUTED_VALUE"""),"Action-Adventure")</f>
        <v>Action-Adventure</v>
      </c>
      <c r="N738" s="25"/>
      <c r="O738" s="26" t="str">
        <f>IFERROR(__xludf.DUMMYFUNCTION("""COMPUTED_VALUE"""),"No")</f>
        <v>No</v>
      </c>
      <c r="P738" s="26"/>
    </row>
    <row r="739">
      <c r="A739" s="13" t="str">
        <f>IFERROR(__xludf.DUMMYFUNCTION("""COMPUTED_VALUE"""),"Adventure Time: Pirates of the Enchiridion")</f>
        <v>Adventure Time: Pirates of the Enchiridion</v>
      </c>
      <c r="B739" s="15" t="str">
        <f>IFERROR(__xludf.DUMMYFUNCTION("""COMPUTED_VALUE"""),"PS5/PS4")</f>
        <v>PS5/PS4</v>
      </c>
      <c r="C739" s="16" t="str">
        <f>IFERROR(__xludf.DUMMYFUNCTION("""COMPUTED_VALUE"""),"Playstation Now (Discontinued)")</f>
        <v>Playstation Now (Discontinued)</v>
      </c>
      <c r="D739" s="15" t="str">
        <f>IFERROR(__xludf.DUMMYFUNCTION("""COMPUTED_VALUE"""),"Removed")</f>
        <v>Removed</v>
      </c>
      <c r="E739" s="17">
        <f>IFERROR(__xludf.DUMMYFUNCTION("""COMPUTED_VALUE"""),43438.0)</f>
        <v>43438</v>
      </c>
      <c r="F739" s="54">
        <f>IFERROR(__xludf.DUMMYFUNCTION("""COMPUTED_VALUE"""),44725.0)</f>
        <v>44725</v>
      </c>
      <c r="G739" s="19">
        <f>IFERROR(__xludf.DUMMYFUNCTION("""COMPUTED_VALUE"""),42.3)</f>
        <v>42.3</v>
      </c>
      <c r="H739" s="17">
        <f>IFERROR(__xludf.DUMMYFUNCTION("""COMPUTED_VALUE"""),43298.0)</f>
        <v>43298</v>
      </c>
      <c r="I739" s="19">
        <f>IFERROR(__xludf.DUMMYFUNCTION("""COMPUTED_VALUE"""),0.38055555555555554)</f>
        <v>0.3805555556</v>
      </c>
      <c r="J739" s="21">
        <f>IFERROR(__xludf.DUMMYFUNCTION("""COMPUTED_VALUE"""),62.0)</f>
        <v>62</v>
      </c>
      <c r="K739" s="23">
        <f>IFERROR(__xludf.DUMMYFUNCTION("""COMPUTED_VALUE"""),6.2)</f>
        <v>6.2</v>
      </c>
      <c r="L739" s="24">
        <f>IFERROR(__xludf.DUMMYFUNCTION("""COMPUTED_VALUE"""),12.0)</f>
        <v>12</v>
      </c>
      <c r="M739" s="25" t="str">
        <f>IFERROR(__xludf.DUMMYFUNCTION("""COMPUTED_VALUE"""),"RPG")</f>
        <v>RPG</v>
      </c>
      <c r="N739" s="25"/>
      <c r="O739" s="26" t="str">
        <f>IFERROR(__xludf.DUMMYFUNCTION("""COMPUTED_VALUE"""),"No")</f>
        <v>No</v>
      </c>
      <c r="P739" s="26"/>
    </row>
    <row r="740">
      <c r="A740" s="13" t="str">
        <f>IFERROR(__xludf.DUMMYFUNCTION("""COMPUTED_VALUE"""),"The Spectrum Retreat")</f>
        <v>The Spectrum Retreat</v>
      </c>
      <c r="B740" s="15" t="str">
        <f>IFERROR(__xludf.DUMMYFUNCTION("""COMPUTED_VALUE"""),"PS5/PS4")</f>
        <v>PS5/PS4</v>
      </c>
      <c r="C740" s="16" t="str">
        <f>IFERROR(__xludf.DUMMYFUNCTION("""COMPUTED_VALUE"""),"Playstation Now (Discontinued)")</f>
        <v>Playstation Now (Discontinued)</v>
      </c>
      <c r="D740" s="15" t="str">
        <f>IFERROR(__xludf.DUMMYFUNCTION("""COMPUTED_VALUE"""),"Removed")</f>
        <v>Removed</v>
      </c>
      <c r="E740" s="17">
        <f>IFERROR(__xludf.DUMMYFUNCTION("""COMPUTED_VALUE"""),43438.0)</f>
        <v>43438</v>
      </c>
      <c r="F740" s="54">
        <f>IFERROR(__xludf.DUMMYFUNCTION("""COMPUTED_VALUE"""),44725.0)</f>
        <v>44725</v>
      </c>
      <c r="G740" s="19">
        <f>IFERROR(__xludf.DUMMYFUNCTION("""COMPUTED_VALUE"""),42.3)</f>
        <v>42.3</v>
      </c>
      <c r="H740" s="17">
        <f>IFERROR(__xludf.DUMMYFUNCTION("""COMPUTED_VALUE"""),43291.0)</f>
        <v>43291</v>
      </c>
      <c r="I740" s="19">
        <f>IFERROR(__xludf.DUMMYFUNCTION("""COMPUTED_VALUE"""),0.4)</f>
        <v>0.4</v>
      </c>
      <c r="J740" s="21">
        <f>IFERROR(__xludf.DUMMYFUNCTION("""COMPUTED_VALUE"""),67.0)</f>
        <v>67</v>
      </c>
      <c r="K740" s="23">
        <f>IFERROR(__xludf.DUMMYFUNCTION("""COMPUTED_VALUE"""),3.5)</f>
        <v>3.5</v>
      </c>
      <c r="L740" s="24">
        <f>IFERROR(__xludf.DUMMYFUNCTION("""COMPUTED_VALUE"""),4.0)</f>
        <v>4</v>
      </c>
      <c r="M740" s="25" t="str">
        <f>IFERROR(__xludf.DUMMYFUNCTION("""COMPUTED_VALUE"""),"Shooter")</f>
        <v>Shooter</v>
      </c>
      <c r="N740" s="25"/>
      <c r="O740" s="26" t="str">
        <f>IFERROR(__xludf.DUMMYFUNCTION("""COMPUTED_VALUE"""),"No")</f>
        <v>No</v>
      </c>
      <c r="P740" s="26"/>
    </row>
    <row r="741">
      <c r="A741" s="13" t="str">
        <f>IFERROR(__xludf.DUMMYFUNCTION("""COMPUTED_VALUE"""),"Slime-san Superslime Edition")</f>
        <v>Slime-san Superslime Edition</v>
      </c>
      <c r="B741" s="15" t="str">
        <f>IFERROR(__xludf.DUMMYFUNCTION("""COMPUTED_VALUE"""),"PS5/PS4")</f>
        <v>PS5/PS4</v>
      </c>
      <c r="C741" s="16" t="str">
        <f>IFERROR(__xludf.DUMMYFUNCTION("""COMPUTED_VALUE"""),"Playstation Now (Discontinued)")</f>
        <v>Playstation Now (Discontinued)</v>
      </c>
      <c r="D741" s="15" t="str">
        <f>IFERROR(__xludf.DUMMYFUNCTION("""COMPUTED_VALUE"""),"Removed")</f>
        <v>Removed</v>
      </c>
      <c r="E741" s="17">
        <f>IFERROR(__xludf.DUMMYFUNCTION("""COMPUTED_VALUE"""),43438.0)</f>
        <v>43438</v>
      </c>
      <c r="F741" s="54">
        <f>IFERROR(__xludf.DUMMYFUNCTION("""COMPUTED_VALUE"""),44725.0)</f>
        <v>44725</v>
      </c>
      <c r="G741" s="19">
        <f>IFERROR(__xludf.DUMMYFUNCTION("""COMPUTED_VALUE"""),42.3)</f>
        <v>42.3</v>
      </c>
      <c r="H741" s="17">
        <f>IFERROR(__xludf.DUMMYFUNCTION("""COMPUTED_VALUE"""),43277.0)</f>
        <v>43277</v>
      </c>
      <c r="I741" s="19">
        <f>IFERROR(__xludf.DUMMYFUNCTION("""COMPUTED_VALUE"""),0.4388888888888889)</f>
        <v>0.4388888889</v>
      </c>
      <c r="J741" s="21">
        <f>IFERROR(__xludf.DUMMYFUNCTION("""COMPUTED_VALUE"""),81.0)</f>
        <v>81</v>
      </c>
      <c r="K741" s="23">
        <f>IFERROR(__xludf.DUMMYFUNCTION("""COMPUTED_VALUE"""),7.1)</f>
        <v>7.1</v>
      </c>
      <c r="L741" s="24">
        <f>IFERROR(__xludf.DUMMYFUNCTION("""COMPUTED_VALUE"""),4.0)</f>
        <v>4</v>
      </c>
      <c r="M741" s="25" t="str">
        <f>IFERROR(__xludf.DUMMYFUNCTION("""COMPUTED_VALUE"""),"Action-Adventure")</f>
        <v>Action-Adventure</v>
      </c>
      <c r="N741" s="25"/>
      <c r="O741" s="26" t="str">
        <f>IFERROR(__xludf.DUMMYFUNCTION("""COMPUTED_VALUE"""),"No")</f>
        <v>No</v>
      </c>
      <c r="P741" s="26"/>
    </row>
    <row r="742">
      <c r="A742" s="13" t="str">
        <f>IFERROR(__xludf.DUMMYFUNCTION("""COMPUTED_VALUE"""),"Vegas Party")</f>
        <v>Vegas Party</v>
      </c>
      <c r="B742" s="15" t="str">
        <f>IFERROR(__xludf.DUMMYFUNCTION("""COMPUTED_VALUE"""),"PS5/PS4")</f>
        <v>PS5/PS4</v>
      </c>
      <c r="C742" s="16" t="str">
        <f>IFERROR(__xludf.DUMMYFUNCTION("""COMPUTED_VALUE"""),"Playstation Now (Discontinued)")</f>
        <v>Playstation Now (Discontinued)</v>
      </c>
      <c r="D742" s="15" t="str">
        <f>IFERROR(__xludf.DUMMYFUNCTION("""COMPUTED_VALUE"""),"Removed")</f>
        <v>Removed</v>
      </c>
      <c r="E742" s="17">
        <f>IFERROR(__xludf.DUMMYFUNCTION("""COMPUTED_VALUE"""),43438.0)</f>
        <v>43438</v>
      </c>
      <c r="F742" s="54">
        <f>IFERROR(__xludf.DUMMYFUNCTION("""COMPUTED_VALUE"""),44725.0)</f>
        <v>44725</v>
      </c>
      <c r="G742" s="19">
        <f>IFERROR(__xludf.DUMMYFUNCTION("""COMPUTED_VALUE"""),42.3)</f>
        <v>42.3</v>
      </c>
      <c r="H742" s="17">
        <f>IFERROR(__xludf.DUMMYFUNCTION("""COMPUTED_VALUE"""),39763.0)</f>
        <v>39763</v>
      </c>
      <c r="I742" s="19">
        <f>IFERROR(__xludf.DUMMYFUNCTION("""COMPUTED_VALUE"""),10.063888888888888)</f>
        <v>10.06388889</v>
      </c>
      <c r="J742" s="21">
        <f>IFERROR(__xludf.DUMMYFUNCTION("""COMPUTED_VALUE"""),47.0)</f>
        <v>47</v>
      </c>
      <c r="K742" s="23">
        <f>IFERROR(__xludf.DUMMYFUNCTION("""COMPUTED_VALUE"""),4.7)</f>
        <v>4.7</v>
      </c>
      <c r="L742" s="24">
        <f>IFERROR(__xludf.DUMMYFUNCTION("""COMPUTED_VALUE"""),3.0)</f>
        <v>3</v>
      </c>
      <c r="M742" s="25" t="str">
        <f>IFERROR(__xludf.DUMMYFUNCTION("""COMPUTED_VALUE"""),"Party")</f>
        <v>Party</v>
      </c>
      <c r="N742" s="25"/>
      <c r="O742" s="26" t="str">
        <f>IFERROR(__xludf.DUMMYFUNCTION("""COMPUTED_VALUE"""),"No")</f>
        <v>No</v>
      </c>
      <c r="P742" s="26"/>
    </row>
    <row r="743">
      <c r="A743" s="13" t="str">
        <f>IFERROR(__xludf.DUMMYFUNCTION("""COMPUTED_VALUE"""),"Ben 10")</f>
        <v>Ben 10</v>
      </c>
      <c r="B743" s="15" t="str">
        <f>IFERROR(__xludf.DUMMYFUNCTION("""COMPUTED_VALUE"""),"PS5/PS4")</f>
        <v>PS5/PS4</v>
      </c>
      <c r="C743" s="16" t="str">
        <f>IFERROR(__xludf.DUMMYFUNCTION("""COMPUTED_VALUE"""),"Playstation Now (Discontinued)")</f>
        <v>Playstation Now (Discontinued)</v>
      </c>
      <c r="D743" s="15" t="str">
        <f>IFERROR(__xludf.DUMMYFUNCTION("""COMPUTED_VALUE"""),"Removed")</f>
        <v>Removed</v>
      </c>
      <c r="E743" s="17">
        <f>IFERROR(__xludf.DUMMYFUNCTION("""COMPUTED_VALUE"""),43438.0)</f>
        <v>43438</v>
      </c>
      <c r="F743" s="54">
        <f>IFERROR(__xludf.DUMMYFUNCTION("""COMPUTED_VALUE"""),44725.0)</f>
        <v>44725</v>
      </c>
      <c r="G743" s="19">
        <f>IFERROR(__xludf.DUMMYFUNCTION("""COMPUTED_VALUE"""),42.3)</f>
        <v>42.3</v>
      </c>
      <c r="H743" s="17">
        <f>IFERROR(__xludf.DUMMYFUNCTION("""COMPUTED_VALUE"""),43053.0)</f>
        <v>43053</v>
      </c>
      <c r="I743" s="19">
        <f>IFERROR(__xludf.DUMMYFUNCTION("""COMPUTED_VALUE"""),1.0555555555555556)</f>
        <v>1.055555556</v>
      </c>
      <c r="J743" s="21">
        <f>IFERROR(__xludf.DUMMYFUNCTION("""COMPUTED_VALUE"""),41.0)</f>
        <v>41</v>
      </c>
      <c r="K743" s="23">
        <f>IFERROR(__xludf.DUMMYFUNCTION("""COMPUTED_VALUE"""),5.0)</f>
        <v>5</v>
      </c>
      <c r="L743" s="24">
        <f>IFERROR(__xludf.DUMMYFUNCTION("""COMPUTED_VALUE"""),5.0)</f>
        <v>5</v>
      </c>
      <c r="M743" s="25" t="str">
        <f>IFERROR(__xludf.DUMMYFUNCTION("""COMPUTED_VALUE"""),"Action-Adventure")</f>
        <v>Action-Adventure</v>
      </c>
      <c r="N743" s="25"/>
      <c r="O743" s="26" t="str">
        <f>IFERROR(__xludf.DUMMYFUNCTION("""COMPUTED_VALUE"""),"No")</f>
        <v>No</v>
      </c>
      <c r="P743" s="26"/>
    </row>
    <row r="744">
      <c r="A744" s="13" t="str">
        <f>IFERROR(__xludf.DUMMYFUNCTION("""COMPUTED_VALUE"""),"Bokosuka Wars II")</f>
        <v>Bokosuka Wars II</v>
      </c>
      <c r="B744" s="15" t="str">
        <f>IFERROR(__xludf.DUMMYFUNCTION("""COMPUTED_VALUE"""),"PS5/PS4")</f>
        <v>PS5/PS4</v>
      </c>
      <c r="C744" s="16" t="str">
        <f>IFERROR(__xludf.DUMMYFUNCTION("""COMPUTED_VALUE"""),"Playstation Now (Discontinued)")</f>
        <v>Playstation Now (Discontinued)</v>
      </c>
      <c r="D744" s="15" t="str">
        <f>IFERROR(__xludf.DUMMYFUNCTION("""COMPUTED_VALUE"""),"Removed")</f>
        <v>Removed</v>
      </c>
      <c r="E744" s="17">
        <f>IFERROR(__xludf.DUMMYFUNCTION("""COMPUTED_VALUE"""),43438.0)</f>
        <v>43438</v>
      </c>
      <c r="F744" s="54">
        <f>IFERROR(__xludf.DUMMYFUNCTION("""COMPUTED_VALUE"""),44725.0)</f>
        <v>44725</v>
      </c>
      <c r="G744" s="19">
        <f>IFERROR(__xludf.DUMMYFUNCTION("""COMPUTED_VALUE"""),42.3)</f>
        <v>42.3</v>
      </c>
      <c r="H744" s="17">
        <f>IFERROR(__xludf.DUMMYFUNCTION("""COMPUTED_VALUE"""),42320.0)</f>
        <v>42320</v>
      </c>
      <c r="I744" s="19">
        <f>IFERROR(__xludf.DUMMYFUNCTION("""COMPUTED_VALUE"""),3.061111111111111)</f>
        <v>3.061111111</v>
      </c>
      <c r="J744" s="21"/>
      <c r="K744" s="23"/>
      <c r="L744" s="24">
        <f>IFERROR(__xludf.DUMMYFUNCTION("""COMPUTED_VALUE"""),3.0)</f>
        <v>3</v>
      </c>
      <c r="M744" s="25" t="str">
        <f>IFERROR(__xludf.DUMMYFUNCTION("""COMPUTED_VALUE"""),"Strategy")</f>
        <v>Strategy</v>
      </c>
      <c r="N744" s="25"/>
      <c r="O744" s="26" t="str">
        <f>IFERROR(__xludf.DUMMYFUNCTION("""COMPUTED_VALUE"""),"No")</f>
        <v>No</v>
      </c>
      <c r="P744" s="26"/>
    </row>
    <row r="745">
      <c r="A745" s="13" t="str">
        <f>IFERROR(__xludf.DUMMYFUNCTION("""COMPUTED_VALUE"""),"Plague Road")</f>
        <v>Plague Road</v>
      </c>
      <c r="B745" s="15" t="str">
        <f>IFERROR(__xludf.DUMMYFUNCTION("""COMPUTED_VALUE"""),"PS5/PS4")</f>
        <v>PS5/PS4</v>
      </c>
      <c r="C745" s="16" t="str">
        <f>IFERROR(__xludf.DUMMYFUNCTION("""COMPUTED_VALUE"""),"Playstation Now (Discontinued)")</f>
        <v>Playstation Now (Discontinued)</v>
      </c>
      <c r="D745" s="15" t="str">
        <f>IFERROR(__xludf.DUMMYFUNCTION("""COMPUTED_VALUE"""),"Removed")</f>
        <v>Removed</v>
      </c>
      <c r="E745" s="17">
        <f>IFERROR(__xludf.DUMMYFUNCTION("""COMPUTED_VALUE"""),43438.0)</f>
        <v>43438</v>
      </c>
      <c r="F745" s="54">
        <f>IFERROR(__xludf.DUMMYFUNCTION("""COMPUTED_VALUE"""),44725.0)</f>
        <v>44725</v>
      </c>
      <c r="G745" s="19">
        <f>IFERROR(__xludf.DUMMYFUNCTION("""COMPUTED_VALUE"""),42.3)</f>
        <v>42.3</v>
      </c>
      <c r="H745" s="17">
        <f>IFERROR(__xludf.DUMMYFUNCTION("""COMPUTED_VALUE"""),43067.0)</f>
        <v>43067</v>
      </c>
      <c r="I745" s="19">
        <f>IFERROR(__xludf.DUMMYFUNCTION("""COMPUTED_VALUE"""),1.0166666666666666)</f>
        <v>1.016666667</v>
      </c>
      <c r="J745" s="21">
        <f>IFERROR(__xludf.DUMMYFUNCTION("""COMPUTED_VALUE"""),49.0)</f>
        <v>49</v>
      </c>
      <c r="K745" s="23">
        <f>IFERROR(__xludf.DUMMYFUNCTION("""COMPUTED_VALUE"""),6.4)</f>
        <v>6.4</v>
      </c>
      <c r="L745" s="24">
        <f>IFERROR(__xludf.DUMMYFUNCTION("""COMPUTED_VALUE"""),12.0)</f>
        <v>12</v>
      </c>
      <c r="M745" s="25" t="str">
        <f>IFERROR(__xludf.DUMMYFUNCTION("""COMPUTED_VALUE"""),"RPG")</f>
        <v>RPG</v>
      </c>
      <c r="N745" s="25"/>
      <c r="O745" s="26" t="str">
        <f>IFERROR(__xludf.DUMMYFUNCTION("""COMPUTED_VALUE"""),"No")</f>
        <v>No</v>
      </c>
      <c r="P745" s="26"/>
    </row>
    <row r="746">
      <c r="A746" s="13" t="str">
        <f>IFERROR(__xludf.DUMMYFUNCTION("""COMPUTED_VALUE"""),"Neurovoider")</f>
        <v>Neurovoider</v>
      </c>
      <c r="B746" s="15" t="str">
        <f>IFERROR(__xludf.DUMMYFUNCTION("""COMPUTED_VALUE"""),"PS5/PS4")</f>
        <v>PS5/PS4</v>
      </c>
      <c r="C746" s="16" t="str">
        <f>IFERROR(__xludf.DUMMYFUNCTION("""COMPUTED_VALUE"""),"Playstation Now (Discontinued)")</f>
        <v>Playstation Now (Discontinued)</v>
      </c>
      <c r="D746" s="15" t="str">
        <f>IFERROR(__xludf.DUMMYFUNCTION("""COMPUTED_VALUE"""),"Removed")</f>
        <v>Removed</v>
      </c>
      <c r="E746" s="17">
        <f>IFERROR(__xludf.DUMMYFUNCTION("""COMPUTED_VALUE"""),43438.0)</f>
        <v>43438</v>
      </c>
      <c r="F746" s="54">
        <f>IFERROR(__xludf.DUMMYFUNCTION("""COMPUTED_VALUE"""),44725.0)</f>
        <v>44725</v>
      </c>
      <c r="G746" s="19">
        <f>IFERROR(__xludf.DUMMYFUNCTION("""COMPUTED_VALUE"""),42.3)</f>
        <v>42.3</v>
      </c>
      <c r="H746" s="17">
        <f>IFERROR(__xludf.DUMMYFUNCTION("""COMPUTED_VALUE"""),42985.0)</f>
        <v>42985</v>
      </c>
      <c r="I746" s="19">
        <f>IFERROR(__xludf.DUMMYFUNCTION("""COMPUTED_VALUE"""),1.2416666666666667)</f>
        <v>1.241666667</v>
      </c>
      <c r="J746" s="21">
        <f>IFERROR(__xludf.DUMMYFUNCTION("""COMPUTED_VALUE"""),85.0)</f>
        <v>85</v>
      </c>
      <c r="K746" s="23">
        <f>IFERROR(__xludf.DUMMYFUNCTION("""COMPUTED_VALUE"""),7.5)</f>
        <v>7.5</v>
      </c>
      <c r="L746" s="24">
        <f>IFERROR(__xludf.DUMMYFUNCTION("""COMPUTED_VALUE"""),6.0)</f>
        <v>6</v>
      </c>
      <c r="M746" s="25" t="str">
        <f>IFERROR(__xludf.DUMMYFUNCTION("""COMPUTED_VALUE"""),"Shooter")</f>
        <v>Shooter</v>
      </c>
      <c r="N746" s="25"/>
      <c r="O746" s="26" t="str">
        <f>IFERROR(__xludf.DUMMYFUNCTION("""COMPUTED_VALUE"""),"No")</f>
        <v>No</v>
      </c>
      <c r="P746" s="26"/>
    </row>
    <row r="747">
      <c r="A747" s="35" t="str">
        <f>IFERROR(__xludf.DUMMYFUNCTION("""COMPUTED_VALUE"""),"Pixel Heroes: Byte &amp; Magic")</f>
        <v>Pixel Heroes: Byte &amp; Magic</v>
      </c>
      <c r="B747" s="15" t="str">
        <f>IFERROR(__xludf.DUMMYFUNCTION("""COMPUTED_VALUE"""),"PS5/PS4")</f>
        <v>PS5/PS4</v>
      </c>
      <c r="C747" s="16" t="str">
        <f>IFERROR(__xludf.DUMMYFUNCTION("""COMPUTED_VALUE"""),"Playstation Now (Discontinued)")</f>
        <v>Playstation Now (Discontinued)</v>
      </c>
      <c r="D747" s="15" t="str">
        <f>IFERROR(__xludf.DUMMYFUNCTION("""COMPUTED_VALUE"""),"Removed")</f>
        <v>Removed</v>
      </c>
      <c r="E747" s="17">
        <f>IFERROR(__xludf.DUMMYFUNCTION("""COMPUTED_VALUE"""),43438.0)</f>
        <v>43438</v>
      </c>
      <c r="F747" s="54">
        <f>IFERROR(__xludf.DUMMYFUNCTION("""COMPUTED_VALUE"""),44725.0)</f>
        <v>44725</v>
      </c>
      <c r="G747" s="19">
        <f>IFERROR(__xludf.DUMMYFUNCTION("""COMPUTED_VALUE"""),42.3)</f>
        <v>42.3</v>
      </c>
      <c r="H747" s="17">
        <f>IFERROR(__xludf.DUMMYFUNCTION("""COMPUTED_VALUE"""),42769.0)</f>
        <v>42769</v>
      </c>
      <c r="I747" s="19">
        <f>IFERROR(__xludf.DUMMYFUNCTION("""COMPUTED_VALUE"""),1.836111111111111)</f>
        <v>1.836111111</v>
      </c>
      <c r="J747" s="21">
        <f>IFERROR(__xludf.DUMMYFUNCTION("""COMPUTED_VALUE"""),70.0)</f>
        <v>70</v>
      </c>
      <c r="K747" s="23">
        <f>IFERROR(__xludf.DUMMYFUNCTION("""COMPUTED_VALUE"""),6.7)</f>
        <v>6.7</v>
      </c>
      <c r="L747" s="24">
        <f>IFERROR(__xludf.DUMMYFUNCTION("""COMPUTED_VALUE"""),8.0)</f>
        <v>8</v>
      </c>
      <c r="M747" s="25" t="str">
        <f>IFERROR(__xludf.DUMMYFUNCTION("""COMPUTED_VALUE"""),"RPG")</f>
        <v>RPG</v>
      </c>
      <c r="N747" s="25"/>
      <c r="O747" s="26" t="str">
        <f>IFERROR(__xludf.DUMMYFUNCTION("""COMPUTED_VALUE"""),"No")</f>
        <v>No</v>
      </c>
      <c r="P747" s="26"/>
    </row>
    <row r="748">
      <c r="A748" s="35" t="str">
        <f>IFERROR(__xludf.DUMMYFUNCTION("""COMPUTED_VALUE"""),"Battalion Commander")</f>
        <v>Battalion Commander</v>
      </c>
      <c r="B748" s="15" t="str">
        <f>IFERROR(__xludf.DUMMYFUNCTION("""COMPUTED_VALUE"""),"PS5/PS4")</f>
        <v>PS5/PS4</v>
      </c>
      <c r="C748" s="16" t="str">
        <f>IFERROR(__xludf.DUMMYFUNCTION("""COMPUTED_VALUE"""),"Playstation Now (Discontinued)")</f>
        <v>Playstation Now (Discontinued)</v>
      </c>
      <c r="D748" s="15" t="str">
        <f>IFERROR(__xludf.DUMMYFUNCTION("""COMPUTED_VALUE"""),"Removed")</f>
        <v>Removed</v>
      </c>
      <c r="E748" s="17">
        <f>IFERROR(__xludf.DUMMYFUNCTION("""COMPUTED_VALUE"""),43438.0)</f>
        <v>43438</v>
      </c>
      <c r="F748" s="54">
        <f>IFERROR(__xludf.DUMMYFUNCTION("""COMPUTED_VALUE"""),44725.0)</f>
        <v>44725</v>
      </c>
      <c r="G748" s="19">
        <f>IFERROR(__xludf.DUMMYFUNCTION("""COMPUTED_VALUE"""),42.3)</f>
        <v>42.3</v>
      </c>
      <c r="H748" s="17">
        <f>IFERROR(__xludf.DUMMYFUNCTION("""COMPUTED_VALUE"""),43235.0)</f>
        <v>43235</v>
      </c>
      <c r="I748" s="19">
        <f>IFERROR(__xludf.DUMMYFUNCTION("""COMPUTED_VALUE"""),0.5527777777777778)</f>
        <v>0.5527777778</v>
      </c>
      <c r="J748" s="21">
        <f>IFERROR(__xludf.DUMMYFUNCTION("""COMPUTED_VALUE"""),35.0)</f>
        <v>35</v>
      </c>
      <c r="K748" s="23"/>
      <c r="L748" s="24">
        <f>IFERROR(__xludf.DUMMYFUNCTION("""COMPUTED_VALUE"""),2.0)</f>
        <v>2</v>
      </c>
      <c r="M748" s="25" t="str">
        <f>IFERROR(__xludf.DUMMYFUNCTION("""COMPUTED_VALUE"""),"Shooter")</f>
        <v>Shooter</v>
      </c>
      <c r="N748" s="25"/>
      <c r="O748" s="26" t="str">
        <f>IFERROR(__xludf.DUMMYFUNCTION("""COMPUTED_VALUE"""),"No")</f>
        <v>No</v>
      </c>
      <c r="P748" s="26"/>
    </row>
    <row r="749">
      <c r="A749" s="35" t="str">
        <f>IFERROR(__xludf.DUMMYFUNCTION("""COMPUTED_VALUE"""),"Momonga Pinball Adventures")</f>
        <v>Momonga Pinball Adventures</v>
      </c>
      <c r="B749" s="15" t="str">
        <f>IFERROR(__xludf.DUMMYFUNCTION("""COMPUTED_VALUE"""),"PS5/PS4")</f>
        <v>PS5/PS4</v>
      </c>
      <c r="C749" s="16" t="str">
        <f>IFERROR(__xludf.DUMMYFUNCTION("""COMPUTED_VALUE"""),"Playstation Now (Discontinued)")</f>
        <v>Playstation Now (Discontinued)</v>
      </c>
      <c r="D749" s="15" t="str">
        <f>IFERROR(__xludf.DUMMYFUNCTION("""COMPUTED_VALUE"""),"Removed")</f>
        <v>Removed</v>
      </c>
      <c r="E749" s="17">
        <f>IFERROR(__xludf.DUMMYFUNCTION("""COMPUTED_VALUE"""),43438.0)</f>
        <v>43438</v>
      </c>
      <c r="F749" s="54">
        <f>IFERROR(__xludf.DUMMYFUNCTION("""COMPUTED_VALUE"""),44725.0)</f>
        <v>44725</v>
      </c>
      <c r="G749" s="19">
        <f>IFERROR(__xludf.DUMMYFUNCTION("""COMPUTED_VALUE"""),42.3)</f>
        <v>42.3</v>
      </c>
      <c r="H749" s="17">
        <f>IFERROR(__xludf.DUMMYFUNCTION("""COMPUTED_VALUE"""),42643.0)</f>
        <v>42643</v>
      </c>
      <c r="I749" s="19">
        <f>IFERROR(__xludf.DUMMYFUNCTION("""COMPUTED_VALUE"""),2.1777777777777776)</f>
        <v>2.177777778</v>
      </c>
      <c r="J749" s="21">
        <f>IFERROR(__xludf.DUMMYFUNCTION("""COMPUTED_VALUE"""),51.0)</f>
        <v>51</v>
      </c>
      <c r="K749" s="23">
        <f>IFERROR(__xludf.DUMMYFUNCTION("""COMPUTED_VALUE"""),6.3)</f>
        <v>6.3</v>
      </c>
      <c r="L749" s="24">
        <f>IFERROR(__xludf.DUMMYFUNCTION("""COMPUTED_VALUE"""),4.0)</f>
        <v>4</v>
      </c>
      <c r="M749" s="25" t="str">
        <f>IFERROR(__xludf.DUMMYFUNCTION("""COMPUTED_VALUE"""),"Simulation")</f>
        <v>Simulation</v>
      </c>
      <c r="N749" s="25"/>
      <c r="O749" s="26" t="str">
        <f>IFERROR(__xludf.DUMMYFUNCTION("""COMPUTED_VALUE"""),"No")</f>
        <v>No</v>
      </c>
      <c r="P749" s="26"/>
    </row>
    <row r="750">
      <c r="A750" s="35" t="str">
        <f>IFERROR(__xludf.DUMMYFUNCTION("""COMPUTED_VALUE"""),"The Keeper of 4 Elements")</f>
        <v>The Keeper of 4 Elements</v>
      </c>
      <c r="B750" s="15" t="str">
        <f>IFERROR(__xludf.DUMMYFUNCTION("""COMPUTED_VALUE"""),"PS5/PS4")</f>
        <v>PS5/PS4</v>
      </c>
      <c r="C750" s="16" t="str">
        <f>IFERROR(__xludf.DUMMYFUNCTION("""COMPUTED_VALUE"""),"Playstation Now (Discontinued)")</f>
        <v>Playstation Now (Discontinued)</v>
      </c>
      <c r="D750" s="15" t="str">
        <f>IFERROR(__xludf.DUMMYFUNCTION("""COMPUTED_VALUE"""),"Removed")</f>
        <v>Removed</v>
      </c>
      <c r="E750" s="17">
        <f>IFERROR(__xludf.DUMMYFUNCTION("""COMPUTED_VALUE"""),43438.0)</f>
        <v>43438</v>
      </c>
      <c r="F750" s="54">
        <f>IFERROR(__xludf.DUMMYFUNCTION("""COMPUTED_VALUE"""),44725.0)</f>
        <v>44725</v>
      </c>
      <c r="G750" s="19">
        <f>IFERROR(__xludf.DUMMYFUNCTION("""COMPUTED_VALUE"""),42.3)</f>
        <v>42.3</v>
      </c>
      <c r="H750" s="17">
        <f>IFERROR(__xludf.DUMMYFUNCTION("""COMPUTED_VALUE"""),43039.0)</f>
        <v>43039</v>
      </c>
      <c r="I750" s="19">
        <f>IFERROR(__xludf.DUMMYFUNCTION("""COMPUTED_VALUE"""),1.0944444444444446)</f>
        <v>1.094444444</v>
      </c>
      <c r="J750" s="21">
        <f>IFERROR(__xludf.DUMMYFUNCTION("""COMPUTED_VALUE"""),50.0)</f>
        <v>50</v>
      </c>
      <c r="K750" s="23"/>
      <c r="L750" s="24"/>
      <c r="M750" s="25" t="str">
        <f>IFERROR(__xludf.DUMMYFUNCTION("""COMPUTED_VALUE"""),"Strategy")</f>
        <v>Strategy</v>
      </c>
      <c r="N750" s="25"/>
      <c r="O750" s="26" t="str">
        <f>IFERROR(__xludf.DUMMYFUNCTION("""COMPUTED_VALUE"""),"No")</f>
        <v>No</v>
      </c>
      <c r="P750" s="26"/>
    </row>
    <row r="751">
      <c r="A751" s="13" t="str">
        <f>IFERROR(__xludf.DUMMYFUNCTION("""COMPUTED_VALUE"""),"Mordheim - City of the Damned")</f>
        <v>Mordheim - City of the Damned</v>
      </c>
      <c r="B751" s="15" t="str">
        <f>IFERROR(__xludf.DUMMYFUNCTION("""COMPUTED_VALUE"""),"PS5/PS4")</f>
        <v>PS5/PS4</v>
      </c>
      <c r="C751" s="16" t="str">
        <f>IFERROR(__xludf.DUMMYFUNCTION("""COMPUTED_VALUE"""),"Playstation Now (Discontinued)")</f>
        <v>Playstation Now (Discontinued)</v>
      </c>
      <c r="D751" s="15" t="str">
        <f>IFERROR(__xludf.DUMMYFUNCTION("""COMPUTED_VALUE"""),"Removed")</f>
        <v>Removed</v>
      </c>
      <c r="E751" s="17">
        <f>IFERROR(__xludf.DUMMYFUNCTION("""COMPUTED_VALUE"""),43438.0)</f>
        <v>43438</v>
      </c>
      <c r="F751" s="54">
        <f>IFERROR(__xludf.DUMMYFUNCTION("""COMPUTED_VALUE"""),44725.0)</f>
        <v>44725</v>
      </c>
      <c r="G751" s="19">
        <f>IFERROR(__xludf.DUMMYFUNCTION("""COMPUTED_VALUE"""),42.3)</f>
        <v>42.3</v>
      </c>
      <c r="H751" s="17">
        <f>IFERROR(__xludf.DUMMYFUNCTION("""COMPUTED_VALUE"""),42327.0)</f>
        <v>42327</v>
      </c>
      <c r="I751" s="19">
        <f>IFERROR(__xludf.DUMMYFUNCTION("""COMPUTED_VALUE"""),3.0416666666666665)</f>
        <v>3.041666667</v>
      </c>
      <c r="J751" s="21">
        <f>IFERROR(__xludf.DUMMYFUNCTION("""COMPUTED_VALUE"""),74.0)</f>
        <v>74</v>
      </c>
      <c r="K751" s="23">
        <f>IFERROR(__xludf.DUMMYFUNCTION("""COMPUTED_VALUE"""),6.6)</f>
        <v>6.6</v>
      </c>
      <c r="L751" s="24">
        <f>IFERROR(__xludf.DUMMYFUNCTION("""COMPUTED_VALUE"""),16.0)</f>
        <v>16</v>
      </c>
      <c r="M751" s="25" t="str">
        <f>IFERROR(__xludf.DUMMYFUNCTION("""COMPUTED_VALUE"""),"Turn-Based Tactics")</f>
        <v>Turn-Based Tactics</v>
      </c>
      <c r="N751" s="25"/>
      <c r="O751" s="26" t="str">
        <f>IFERROR(__xludf.DUMMYFUNCTION("""COMPUTED_VALUE"""),"No")</f>
        <v>No</v>
      </c>
      <c r="P751" s="26"/>
    </row>
    <row r="752">
      <c r="A752" s="13" t="str">
        <f>IFERROR(__xludf.DUMMYFUNCTION("""COMPUTED_VALUE"""),"Castle Invasion: Throne Out")</f>
        <v>Castle Invasion: Throne Out</v>
      </c>
      <c r="B752" s="15" t="str">
        <f>IFERROR(__xludf.DUMMYFUNCTION("""COMPUTED_VALUE"""),"PS5/PS4")</f>
        <v>PS5/PS4</v>
      </c>
      <c r="C752" s="16" t="str">
        <f>IFERROR(__xludf.DUMMYFUNCTION("""COMPUTED_VALUE"""),"Playstation Now (Discontinued)")</f>
        <v>Playstation Now (Discontinued)</v>
      </c>
      <c r="D752" s="15" t="str">
        <f>IFERROR(__xludf.DUMMYFUNCTION("""COMPUTED_VALUE"""),"Removed")</f>
        <v>Removed</v>
      </c>
      <c r="E752" s="17">
        <f>IFERROR(__xludf.DUMMYFUNCTION("""COMPUTED_VALUE"""),43438.0)</f>
        <v>43438</v>
      </c>
      <c r="F752" s="54">
        <f>IFERROR(__xludf.DUMMYFUNCTION("""COMPUTED_VALUE"""),44725.0)</f>
        <v>44725</v>
      </c>
      <c r="G752" s="19">
        <f>IFERROR(__xludf.DUMMYFUNCTION("""COMPUTED_VALUE"""),42.3)</f>
        <v>42.3</v>
      </c>
      <c r="H752" s="17">
        <f>IFERROR(__xludf.DUMMYFUNCTION("""COMPUTED_VALUE"""),42661.0)</f>
        <v>42661</v>
      </c>
      <c r="I752" s="19">
        <f>IFERROR(__xludf.DUMMYFUNCTION("""COMPUTED_VALUE"""),2.1277777777777778)</f>
        <v>2.127777778</v>
      </c>
      <c r="J752" s="21">
        <f>IFERROR(__xludf.DUMMYFUNCTION("""COMPUTED_VALUE"""),65.0)</f>
        <v>65</v>
      </c>
      <c r="K752" s="23"/>
      <c r="L752" s="24">
        <f>IFERROR(__xludf.DUMMYFUNCTION("""COMPUTED_VALUE"""),4.0)</f>
        <v>4</v>
      </c>
      <c r="M752" s="25" t="str">
        <f>IFERROR(__xludf.DUMMYFUNCTION("""COMPUTED_VALUE"""),"Strategy")</f>
        <v>Strategy</v>
      </c>
      <c r="N752" s="25"/>
      <c r="O752" s="26" t="str">
        <f>IFERROR(__xludf.DUMMYFUNCTION("""COMPUTED_VALUE"""),"No")</f>
        <v>No</v>
      </c>
      <c r="P752" s="26"/>
    </row>
    <row r="753">
      <c r="A753" s="13" t="str">
        <f>IFERROR(__xludf.DUMMYFUNCTION("""COMPUTED_VALUE"""),"The Metronomicon: Slay the Dance Floor")</f>
        <v>The Metronomicon: Slay the Dance Floor</v>
      </c>
      <c r="B753" s="15" t="str">
        <f>IFERROR(__xludf.DUMMYFUNCTION("""COMPUTED_VALUE"""),"PS5/PS4")</f>
        <v>PS5/PS4</v>
      </c>
      <c r="C753" s="16" t="str">
        <f>IFERROR(__xludf.DUMMYFUNCTION("""COMPUTED_VALUE"""),"Playstation Now (Discontinued)")</f>
        <v>Playstation Now (Discontinued)</v>
      </c>
      <c r="D753" s="15" t="str">
        <f>IFERROR(__xludf.DUMMYFUNCTION("""COMPUTED_VALUE"""),"Removed")</f>
        <v>Removed</v>
      </c>
      <c r="E753" s="17">
        <f>IFERROR(__xludf.DUMMYFUNCTION("""COMPUTED_VALUE"""),43438.0)</f>
        <v>43438</v>
      </c>
      <c r="F753" s="54">
        <f>IFERROR(__xludf.DUMMYFUNCTION("""COMPUTED_VALUE"""),44725.0)</f>
        <v>44725</v>
      </c>
      <c r="G753" s="19">
        <f>IFERROR(__xludf.DUMMYFUNCTION("""COMPUTED_VALUE"""),42.3)</f>
        <v>42.3</v>
      </c>
      <c r="H753" s="17">
        <f>IFERROR(__xludf.DUMMYFUNCTION("""COMPUTED_VALUE"""),42643.0)</f>
        <v>42643</v>
      </c>
      <c r="I753" s="19">
        <f>IFERROR(__xludf.DUMMYFUNCTION("""COMPUTED_VALUE"""),2.1777777777777776)</f>
        <v>2.177777778</v>
      </c>
      <c r="J753" s="21">
        <f>IFERROR(__xludf.DUMMYFUNCTION("""COMPUTED_VALUE"""),74.0)</f>
        <v>74</v>
      </c>
      <c r="K753" s="23">
        <f>IFERROR(__xludf.DUMMYFUNCTION("""COMPUTED_VALUE"""),7.1)</f>
        <v>7.1</v>
      </c>
      <c r="L753" s="24">
        <f>IFERROR(__xludf.DUMMYFUNCTION("""COMPUTED_VALUE"""),6.5)</f>
        <v>6.5</v>
      </c>
      <c r="M753" s="25" t="str">
        <f>IFERROR(__xludf.DUMMYFUNCTION("""COMPUTED_VALUE"""),"RPG")</f>
        <v>RPG</v>
      </c>
      <c r="N753" s="25"/>
      <c r="O753" s="26" t="str">
        <f>IFERROR(__xludf.DUMMYFUNCTION("""COMPUTED_VALUE"""),"No")</f>
        <v>No</v>
      </c>
      <c r="P753" s="26"/>
    </row>
    <row r="754">
      <c r="A754" s="13" t="str">
        <f>IFERROR(__xludf.DUMMYFUNCTION("""COMPUTED_VALUE"""),"Assault Suit Leynos")</f>
        <v>Assault Suit Leynos</v>
      </c>
      <c r="B754" s="15" t="str">
        <f>IFERROR(__xludf.DUMMYFUNCTION("""COMPUTED_VALUE"""),"PS5/PS4")</f>
        <v>PS5/PS4</v>
      </c>
      <c r="C754" s="16" t="str">
        <f>IFERROR(__xludf.DUMMYFUNCTION("""COMPUTED_VALUE"""),"Playstation Now (Discontinued)")</f>
        <v>Playstation Now (Discontinued)</v>
      </c>
      <c r="D754" s="15" t="str">
        <f>IFERROR(__xludf.DUMMYFUNCTION("""COMPUTED_VALUE"""),"Removed")</f>
        <v>Removed</v>
      </c>
      <c r="E754" s="17">
        <f>IFERROR(__xludf.DUMMYFUNCTION("""COMPUTED_VALUE"""),43438.0)</f>
        <v>43438</v>
      </c>
      <c r="F754" s="54">
        <f>IFERROR(__xludf.DUMMYFUNCTION("""COMPUTED_VALUE"""),44725.0)</f>
        <v>44725</v>
      </c>
      <c r="G754" s="19">
        <f>IFERROR(__xludf.DUMMYFUNCTION("""COMPUTED_VALUE"""),42.3)</f>
        <v>42.3</v>
      </c>
      <c r="H754" s="17">
        <f>IFERROR(__xludf.DUMMYFUNCTION("""COMPUTED_VALUE"""),42565.0)</f>
        <v>42565</v>
      </c>
      <c r="I754" s="19">
        <f>IFERROR(__xludf.DUMMYFUNCTION("""COMPUTED_VALUE"""),2.388888888888889)</f>
        <v>2.388888889</v>
      </c>
      <c r="J754" s="21">
        <f>IFERROR(__xludf.DUMMYFUNCTION("""COMPUTED_VALUE"""),67.0)</f>
        <v>67</v>
      </c>
      <c r="K754" s="23">
        <f>IFERROR(__xludf.DUMMYFUNCTION("""COMPUTED_VALUE"""),6.9)</f>
        <v>6.9</v>
      </c>
      <c r="L754" s="24">
        <f>IFERROR(__xludf.DUMMYFUNCTION("""COMPUTED_VALUE"""),2.5)</f>
        <v>2.5</v>
      </c>
      <c r="M754" s="25" t="str">
        <f>IFERROR(__xludf.DUMMYFUNCTION("""COMPUTED_VALUE"""),"Action")</f>
        <v>Action</v>
      </c>
      <c r="N754" s="25"/>
      <c r="O754" s="26" t="str">
        <f>IFERROR(__xludf.DUMMYFUNCTION("""COMPUTED_VALUE"""),"No")</f>
        <v>No</v>
      </c>
      <c r="P754" s="26"/>
    </row>
    <row r="755">
      <c r="A755" s="13" t="str">
        <f>IFERROR(__xludf.DUMMYFUNCTION("""COMPUTED_VALUE"""),"Soul Axiom")</f>
        <v>Soul Axiom</v>
      </c>
      <c r="B755" s="15" t="str">
        <f>IFERROR(__xludf.DUMMYFUNCTION("""COMPUTED_VALUE"""),"PS5/PS4")</f>
        <v>PS5/PS4</v>
      </c>
      <c r="C755" s="16" t="str">
        <f>IFERROR(__xludf.DUMMYFUNCTION("""COMPUTED_VALUE"""),"Playstation Now (Discontinued)")</f>
        <v>Playstation Now (Discontinued)</v>
      </c>
      <c r="D755" s="15" t="str">
        <f>IFERROR(__xludf.DUMMYFUNCTION("""COMPUTED_VALUE"""),"Removed")</f>
        <v>Removed</v>
      </c>
      <c r="E755" s="17">
        <f>IFERROR(__xludf.DUMMYFUNCTION("""COMPUTED_VALUE"""),43438.0)</f>
        <v>43438</v>
      </c>
      <c r="F755" s="54">
        <f>IFERROR(__xludf.DUMMYFUNCTION("""COMPUTED_VALUE"""),44725.0)</f>
        <v>44725</v>
      </c>
      <c r="G755" s="19">
        <f>IFERROR(__xludf.DUMMYFUNCTION("""COMPUTED_VALUE"""),42.3)</f>
        <v>42.3</v>
      </c>
      <c r="H755" s="17">
        <f>IFERROR(__xludf.DUMMYFUNCTION("""COMPUTED_VALUE"""),42528.0)</f>
        <v>42528</v>
      </c>
      <c r="I755" s="19">
        <f>IFERROR(__xludf.DUMMYFUNCTION("""COMPUTED_VALUE"""),2.4916666666666667)</f>
        <v>2.491666667</v>
      </c>
      <c r="J755" s="21">
        <f>IFERROR(__xludf.DUMMYFUNCTION("""COMPUTED_VALUE"""),57.0)</f>
        <v>57</v>
      </c>
      <c r="K755" s="23">
        <f>IFERROR(__xludf.DUMMYFUNCTION("""COMPUTED_VALUE"""),6.0)</f>
        <v>6</v>
      </c>
      <c r="L755" s="24">
        <f>IFERROR(__xludf.DUMMYFUNCTION("""COMPUTED_VALUE"""),8.0)</f>
        <v>8</v>
      </c>
      <c r="M755" s="25" t="str">
        <f>IFERROR(__xludf.DUMMYFUNCTION("""COMPUTED_VALUE"""),"Action-Adventure")</f>
        <v>Action-Adventure</v>
      </c>
      <c r="N755" s="25"/>
      <c r="O755" s="26" t="str">
        <f>IFERROR(__xludf.DUMMYFUNCTION("""COMPUTED_VALUE"""),"No")</f>
        <v>No</v>
      </c>
      <c r="P755" s="26"/>
    </row>
    <row r="756">
      <c r="A756" s="13" t="str">
        <f>IFERROR(__xludf.DUMMYFUNCTION("""COMPUTED_VALUE"""),"Neon Chrome")</f>
        <v>Neon Chrome</v>
      </c>
      <c r="B756" s="15" t="str">
        <f>IFERROR(__xludf.DUMMYFUNCTION("""COMPUTED_VALUE"""),"PS5/PS4")</f>
        <v>PS5/PS4</v>
      </c>
      <c r="C756" s="16" t="str">
        <f>IFERROR(__xludf.DUMMYFUNCTION("""COMPUTED_VALUE"""),"Playstation Now (Discontinued)")</f>
        <v>Playstation Now (Discontinued)</v>
      </c>
      <c r="D756" s="15" t="str">
        <f>IFERROR(__xludf.DUMMYFUNCTION("""COMPUTED_VALUE"""),"Removed")</f>
        <v>Removed</v>
      </c>
      <c r="E756" s="17">
        <f>IFERROR(__xludf.DUMMYFUNCTION("""COMPUTED_VALUE"""),43438.0)</f>
        <v>43438</v>
      </c>
      <c r="F756" s="54">
        <f>IFERROR(__xludf.DUMMYFUNCTION("""COMPUTED_VALUE"""),44725.0)</f>
        <v>44725</v>
      </c>
      <c r="G756" s="19">
        <f>IFERROR(__xludf.DUMMYFUNCTION("""COMPUTED_VALUE"""),42.3)</f>
        <v>42.3</v>
      </c>
      <c r="H756" s="17">
        <f>IFERROR(__xludf.DUMMYFUNCTION("""COMPUTED_VALUE"""),42521.0)</f>
        <v>42521</v>
      </c>
      <c r="I756" s="19">
        <f>IFERROR(__xludf.DUMMYFUNCTION("""COMPUTED_VALUE"""),2.511111111111111)</f>
        <v>2.511111111</v>
      </c>
      <c r="J756" s="21">
        <f>IFERROR(__xludf.DUMMYFUNCTION("""COMPUTED_VALUE"""),67.0)</f>
        <v>67</v>
      </c>
      <c r="K756" s="23">
        <f>IFERROR(__xludf.DUMMYFUNCTION("""COMPUTED_VALUE"""),6.9)</f>
        <v>6.9</v>
      </c>
      <c r="L756" s="24">
        <f>IFERROR(__xludf.DUMMYFUNCTION("""COMPUTED_VALUE"""),5.5)</f>
        <v>5.5</v>
      </c>
      <c r="M756" s="25" t="str">
        <f>IFERROR(__xludf.DUMMYFUNCTION("""COMPUTED_VALUE"""),"Action")</f>
        <v>Action</v>
      </c>
      <c r="N756" s="25"/>
      <c r="O756" s="26" t="str">
        <f>IFERROR(__xludf.DUMMYFUNCTION("""COMPUTED_VALUE"""),"No")</f>
        <v>No</v>
      </c>
      <c r="P756" s="26"/>
    </row>
    <row r="757">
      <c r="A757" s="13" t="str">
        <f>IFERROR(__xludf.DUMMYFUNCTION("""COMPUTED_VALUE"""),"Square Heroes")</f>
        <v>Square Heroes</v>
      </c>
      <c r="B757" s="15" t="str">
        <f>IFERROR(__xludf.DUMMYFUNCTION("""COMPUTED_VALUE"""),"PS5/PS4")</f>
        <v>PS5/PS4</v>
      </c>
      <c r="C757" s="16" t="str">
        <f>IFERROR(__xludf.DUMMYFUNCTION("""COMPUTED_VALUE"""),"Playstation Now (Discontinued)")</f>
        <v>Playstation Now (Discontinued)</v>
      </c>
      <c r="D757" s="15" t="str">
        <f>IFERROR(__xludf.DUMMYFUNCTION("""COMPUTED_VALUE"""),"Removed")</f>
        <v>Removed</v>
      </c>
      <c r="E757" s="17">
        <f>IFERROR(__xludf.DUMMYFUNCTION("""COMPUTED_VALUE"""),43438.0)</f>
        <v>43438</v>
      </c>
      <c r="F757" s="54">
        <f>IFERROR(__xludf.DUMMYFUNCTION("""COMPUTED_VALUE"""),44725.0)</f>
        <v>44725</v>
      </c>
      <c r="G757" s="19">
        <f>IFERROR(__xludf.DUMMYFUNCTION("""COMPUTED_VALUE"""),42.3)</f>
        <v>42.3</v>
      </c>
      <c r="H757" s="17">
        <f>IFERROR(__xludf.DUMMYFUNCTION("""COMPUTED_VALUE"""),42192.0)</f>
        <v>42192</v>
      </c>
      <c r="I757" s="19">
        <f>IFERROR(__xludf.DUMMYFUNCTION("""COMPUTED_VALUE"""),3.408333333333333)</f>
        <v>3.408333333</v>
      </c>
      <c r="J757" s="21">
        <f>IFERROR(__xludf.DUMMYFUNCTION("""COMPUTED_VALUE"""),51.0)</f>
        <v>51</v>
      </c>
      <c r="K757" s="23">
        <f>IFERROR(__xludf.DUMMYFUNCTION("""COMPUTED_VALUE"""),5.9)</f>
        <v>5.9</v>
      </c>
      <c r="L757" s="24"/>
      <c r="M757" s="25" t="str">
        <f>IFERROR(__xludf.DUMMYFUNCTION("""COMPUTED_VALUE"""),"Shooter")</f>
        <v>Shooter</v>
      </c>
      <c r="N757" s="25"/>
      <c r="O757" s="26" t="str">
        <f>IFERROR(__xludf.DUMMYFUNCTION("""COMPUTED_VALUE"""),"No")</f>
        <v>No</v>
      </c>
      <c r="P757" s="26"/>
    </row>
    <row r="758">
      <c r="A758" s="13" t="str">
        <f>IFERROR(__xludf.DUMMYFUNCTION("""COMPUTED_VALUE"""),"Amazing Discoveries in Outer Space")</f>
        <v>Amazing Discoveries in Outer Space</v>
      </c>
      <c r="B758" s="15" t="str">
        <f>IFERROR(__xludf.DUMMYFUNCTION("""COMPUTED_VALUE"""),"PS5/PS4")</f>
        <v>PS5/PS4</v>
      </c>
      <c r="C758" s="16" t="str">
        <f>IFERROR(__xludf.DUMMYFUNCTION("""COMPUTED_VALUE"""),"Playstation Now (Discontinued)")</f>
        <v>Playstation Now (Discontinued)</v>
      </c>
      <c r="D758" s="15" t="str">
        <f>IFERROR(__xludf.DUMMYFUNCTION("""COMPUTED_VALUE"""),"Removed")</f>
        <v>Removed</v>
      </c>
      <c r="E758" s="17">
        <f>IFERROR(__xludf.DUMMYFUNCTION("""COMPUTED_VALUE"""),43438.0)</f>
        <v>43438</v>
      </c>
      <c r="F758" s="54">
        <f>IFERROR(__xludf.DUMMYFUNCTION("""COMPUTED_VALUE"""),44725.0)</f>
        <v>44725</v>
      </c>
      <c r="G758" s="19">
        <f>IFERROR(__xludf.DUMMYFUNCTION("""COMPUTED_VALUE"""),42.3)</f>
        <v>42.3</v>
      </c>
      <c r="H758" s="17">
        <f>IFERROR(__xludf.DUMMYFUNCTION("""COMPUTED_VALUE"""),42402.0)</f>
        <v>42402</v>
      </c>
      <c r="I758" s="19">
        <f>IFERROR(__xludf.DUMMYFUNCTION("""COMPUTED_VALUE"""),2.838888888888889)</f>
        <v>2.838888889</v>
      </c>
      <c r="J758" s="21">
        <f>IFERROR(__xludf.DUMMYFUNCTION("""COMPUTED_VALUE"""),71.0)</f>
        <v>71</v>
      </c>
      <c r="K758" s="23">
        <f>IFERROR(__xludf.DUMMYFUNCTION("""COMPUTED_VALUE"""),6.0)</f>
        <v>6</v>
      </c>
      <c r="L758" s="24"/>
      <c r="M758" s="25" t="str">
        <f>IFERROR(__xludf.DUMMYFUNCTION("""COMPUTED_VALUE"""),"Action-Adventure")</f>
        <v>Action-Adventure</v>
      </c>
      <c r="N758" s="25"/>
      <c r="O758" s="26" t="str">
        <f>IFERROR(__xludf.DUMMYFUNCTION("""COMPUTED_VALUE"""),"No")</f>
        <v>No</v>
      </c>
      <c r="P758" s="26"/>
    </row>
    <row r="759">
      <c r="A759" s="13" t="str">
        <f>IFERROR(__xludf.DUMMYFUNCTION("""COMPUTED_VALUE"""),"Obliteracers")</f>
        <v>Obliteracers</v>
      </c>
      <c r="B759" s="15" t="str">
        <f>IFERROR(__xludf.DUMMYFUNCTION("""COMPUTED_VALUE"""),"PS5/PS4")</f>
        <v>PS5/PS4</v>
      </c>
      <c r="C759" s="16" t="str">
        <f>IFERROR(__xludf.DUMMYFUNCTION("""COMPUTED_VALUE"""),"Playstation Now (Discontinued)")</f>
        <v>Playstation Now (Discontinued)</v>
      </c>
      <c r="D759" s="15" t="str">
        <f>IFERROR(__xludf.DUMMYFUNCTION("""COMPUTED_VALUE"""),"Removed")</f>
        <v>Removed</v>
      </c>
      <c r="E759" s="17">
        <f>IFERROR(__xludf.DUMMYFUNCTION("""COMPUTED_VALUE"""),43438.0)</f>
        <v>43438</v>
      </c>
      <c r="F759" s="54">
        <f>IFERROR(__xludf.DUMMYFUNCTION("""COMPUTED_VALUE"""),44725.0)</f>
        <v>44725</v>
      </c>
      <c r="G759" s="19">
        <f>IFERROR(__xludf.DUMMYFUNCTION("""COMPUTED_VALUE"""),42.3)</f>
        <v>42.3</v>
      </c>
      <c r="H759" s="17">
        <f>IFERROR(__xludf.DUMMYFUNCTION("""COMPUTED_VALUE"""),42431.0)</f>
        <v>42431</v>
      </c>
      <c r="I759" s="19">
        <f>IFERROR(__xludf.DUMMYFUNCTION("""COMPUTED_VALUE"""),2.7555555555555555)</f>
        <v>2.755555556</v>
      </c>
      <c r="J759" s="21">
        <f>IFERROR(__xludf.DUMMYFUNCTION("""COMPUTED_VALUE"""),78.0)</f>
        <v>78</v>
      </c>
      <c r="K759" s="23">
        <f>IFERROR(__xludf.DUMMYFUNCTION("""COMPUTED_VALUE"""),7.6)</f>
        <v>7.6</v>
      </c>
      <c r="L759" s="24"/>
      <c r="M759" s="25" t="str">
        <f>IFERROR(__xludf.DUMMYFUNCTION("""COMPUTED_VALUE"""),"Racing")</f>
        <v>Racing</v>
      </c>
      <c r="N759" s="25"/>
      <c r="O759" s="26" t="str">
        <f>IFERROR(__xludf.DUMMYFUNCTION("""COMPUTED_VALUE"""),"No")</f>
        <v>No</v>
      </c>
      <c r="P759" s="26"/>
    </row>
    <row r="760">
      <c r="A760" s="13" t="str">
        <f>IFERROR(__xludf.DUMMYFUNCTION("""COMPUTED_VALUE"""),"A Boy and His Blob")</f>
        <v>A Boy and His Blob</v>
      </c>
      <c r="B760" s="15" t="str">
        <f>IFERROR(__xludf.DUMMYFUNCTION("""COMPUTED_VALUE"""),"PS5/PS4")</f>
        <v>PS5/PS4</v>
      </c>
      <c r="C760" s="16" t="str">
        <f>IFERROR(__xludf.DUMMYFUNCTION("""COMPUTED_VALUE"""),"Playstation Now (Discontinued)")</f>
        <v>Playstation Now (Discontinued)</v>
      </c>
      <c r="D760" s="15" t="str">
        <f>IFERROR(__xludf.DUMMYFUNCTION("""COMPUTED_VALUE"""),"Removed")</f>
        <v>Removed</v>
      </c>
      <c r="E760" s="17">
        <f>IFERROR(__xludf.DUMMYFUNCTION("""COMPUTED_VALUE"""),43438.0)</f>
        <v>43438</v>
      </c>
      <c r="F760" s="54">
        <f>IFERROR(__xludf.DUMMYFUNCTION("""COMPUTED_VALUE"""),44725.0)</f>
        <v>44725</v>
      </c>
      <c r="G760" s="19">
        <f>IFERROR(__xludf.DUMMYFUNCTION("""COMPUTED_VALUE"""),42.3)</f>
        <v>42.3</v>
      </c>
      <c r="H760" s="17">
        <f>IFERROR(__xludf.DUMMYFUNCTION("""COMPUTED_VALUE"""),40099.0)</f>
        <v>40099</v>
      </c>
      <c r="I760" s="19">
        <f>IFERROR(__xludf.DUMMYFUNCTION("""COMPUTED_VALUE"""),9.141666666666667)</f>
        <v>9.141666667</v>
      </c>
      <c r="J760" s="21">
        <f>IFERROR(__xludf.DUMMYFUNCTION("""COMPUTED_VALUE"""),80.0)</f>
        <v>80</v>
      </c>
      <c r="K760" s="23">
        <f>IFERROR(__xludf.DUMMYFUNCTION("""COMPUTED_VALUE"""),7.9)</f>
        <v>7.9</v>
      </c>
      <c r="L760" s="24">
        <f>IFERROR(__xludf.DUMMYFUNCTION("""COMPUTED_VALUE"""),6.0)</f>
        <v>6</v>
      </c>
      <c r="M760" s="25" t="str">
        <f>IFERROR(__xludf.DUMMYFUNCTION("""COMPUTED_VALUE"""),"Platformer")</f>
        <v>Platformer</v>
      </c>
      <c r="N760" s="25"/>
      <c r="O760" s="26" t="str">
        <f>IFERROR(__xludf.DUMMYFUNCTION("""COMPUTED_VALUE"""),"No")</f>
        <v>No</v>
      </c>
      <c r="P760" s="26"/>
    </row>
    <row r="761">
      <c r="A761" s="13" t="str">
        <f>IFERROR(__xludf.DUMMYFUNCTION("""COMPUTED_VALUE"""),"Act It Out! A Game Of Charades")</f>
        <v>Act It Out! A Game Of Charades</v>
      </c>
      <c r="B761" s="15" t="str">
        <f>IFERROR(__xludf.DUMMYFUNCTION("""COMPUTED_VALUE"""),"PS5/PS4")</f>
        <v>PS5/PS4</v>
      </c>
      <c r="C761" s="16" t="str">
        <f>IFERROR(__xludf.DUMMYFUNCTION("""COMPUTED_VALUE"""),"Playstation Now (Discontinued)")</f>
        <v>Playstation Now (Discontinued)</v>
      </c>
      <c r="D761" s="15" t="str">
        <f>IFERROR(__xludf.DUMMYFUNCTION("""COMPUTED_VALUE"""),"Removed")</f>
        <v>Removed</v>
      </c>
      <c r="E761" s="17">
        <f>IFERROR(__xludf.DUMMYFUNCTION("""COMPUTED_VALUE"""),43438.0)</f>
        <v>43438</v>
      </c>
      <c r="F761" s="54">
        <f>IFERROR(__xludf.DUMMYFUNCTION("""COMPUTED_VALUE"""),44725.0)</f>
        <v>44725</v>
      </c>
      <c r="G761" s="19">
        <f>IFERROR(__xludf.DUMMYFUNCTION("""COMPUTED_VALUE"""),42.3)</f>
        <v>42.3</v>
      </c>
      <c r="H761" s="17">
        <f>IFERROR(__xludf.DUMMYFUNCTION("""COMPUTED_VALUE"""),42388.0)</f>
        <v>42388</v>
      </c>
      <c r="I761" s="19">
        <f>IFERROR(__xludf.DUMMYFUNCTION("""COMPUTED_VALUE"""),2.875)</f>
        <v>2.875</v>
      </c>
      <c r="J761" s="21"/>
      <c r="K761" s="23"/>
      <c r="L761" s="24"/>
      <c r="M761" s="25" t="str">
        <f>IFERROR(__xludf.DUMMYFUNCTION("""COMPUTED_VALUE"""),"Party")</f>
        <v>Party</v>
      </c>
      <c r="N761" s="25"/>
      <c r="O761" s="26" t="str">
        <f>IFERROR(__xludf.DUMMYFUNCTION("""COMPUTED_VALUE"""),"No")</f>
        <v>No</v>
      </c>
      <c r="P761" s="26"/>
    </row>
    <row r="762">
      <c r="A762" s="13" t="str">
        <f>IFERROR(__xludf.DUMMYFUNCTION("""COMPUTED_VALUE"""),"Zotrix")</f>
        <v>Zotrix</v>
      </c>
      <c r="B762" s="15" t="str">
        <f>IFERROR(__xludf.DUMMYFUNCTION("""COMPUTED_VALUE"""),"PS5/PS4")</f>
        <v>PS5/PS4</v>
      </c>
      <c r="C762" s="16" t="str">
        <f>IFERROR(__xludf.DUMMYFUNCTION("""COMPUTED_VALUE"""),"Playstation Now (Discontinued)")</f>
        <v>Playstation Now (Discontinued)</v>
      </c>
      <c r="D762" s="15" t="str">
        <f>IFERROR(__xludf.DUMMYFUNCTION("""COMPUTED_VALUE"""),"Removed")</f>
        <v>Removed</v>
      </c>
      <c r="E762" s="17">
        <f>IFERROR(__xludf.DUMMYFUNCTION("""COMPUTED_VALUE"""),43438.0)</f>
        <v>43438</v>
      </c>
      <c r="F762" s="54">
        <f>IFERROR(__xludf.DUMMYFUNCTION("""COMPUTED_VALUE"""),44725.0)</f>
        <v>44725</v>
      </c>
      <c r="G762" s="19">
        <f>IFERROR(__xludf.DUMMYFUNCTION("""COMPUTED_VALUE"""),42.3)</f>
        <v>42.3</v>
      </c>
      <c r="H762" s="17">
        <f>IFERROR(__xludf.DUMMYFUNCTION("""COMPUTED_VALUE"""),42346.0)</f>
        <v>42346</v>
      </c>
      <c r="I762" s="19">
        <f>IFERROR(__xludf.DUMMYFUNCTION("""COMPUTED_VALUE"""),2.988888888888889)</f>
        <v>2.988888889</v>
      </c>
      <c r="J762" s="21">
        <f>IFERROR(__xludf.DUMMYFUNCTION("""COMPUTED_VALUE"""),57.0)</f>
        <v>57</v>
      </c>
      <c r="K762" s="23">
        <f>IFERROR(__xludf.DUMMYFUNCTION("""COMPUTED_VALUE"""),3.7)</f>
        <v>3.7</v>
      </c>
      <c r="L762" s="24"/>
      <c r="M762" s="25" t="str">
        <f>IFERROR(__xludf.DUMMYFUNCTION("""COMPUTED_VALUE"""),"Shooter")</f>
        <v>Shooter</v>
      </c>
      <c r="N762" s="25"/>
      <c r="O762" s="26" t="str">
        <f>IFERROR(__xludf.DUMMYFUNCTION("""COMPUTED_VALUE"""),"No")</f>
        <v>No</v>
      </c>
      <c r="P762" s="26"/>
    </row>
    <row r="763">
      <c r="A763" s="13" t="str">
        <f>IFERROR(__xludf.DUMMYFUNCTION("""COMPUTED_VALUE"""),"Skyscrappers")</f>
        <v>Skyscrappers</v>
      </c>
      <c r="B763" s="15" t="str">
        <f>IFERROR(__xludf.DUMMYFUNCTION("""COMPUTED_VALUE"""),"PS5/PS4")</f>
        <v>PS5/PS4</v>
      </c>
      <c r="C763" s="16" t="str">
        <f>IFERROR(__xludf.DUMMYFUNCTION("""COMPUTED_VALUE"""),"Playstation Now (Discontinued)")</f>
        <v>Playstation Now (Discontinued)</v>
      </c>
      <c r="D763" s="15" t="str">
        <f>IFERROR(__xludf.DUMMYFUNCTION("""COMPUTED_VALUE"""),"Removed")</f>
        <v>Removed</v>
      </c>
      <c r="E763" s="17">
        <f>IFERROR(__xludf.DUMMYFUNCTION("""COMPUTED_VALUE"""),43438.0)</f>
        <v>43438</v>
      </c>
      <c r="F763" s="54">
        <f>IFERROR(__xludf.DUMMYFUNCTION("""COMPUTED_VALUE"""),44725.0)</f>
        <v>44725</v>
      </c>
      <c r="G763" s="19">
        <f>IFERROR(__xludf.DUMMYFUNCTION("""COMPUTED_VALUE"""),42.3)</f>
        <v>42.3</v>
      </c>
      <c r="H763" s="17">
        <f>IFERROR(__xludf.DUMMYFUNCTION("""COMPUTED_VALUE"""),42269.0)</f>
        <v>42269</v>
      </c>
      <c r="I763" s="19">
        <f>IFERROR(__xludf.DUMMYFUNCTION("""COMPUTED_VALUE"""),3.2)</f>
        <v>3.2</v>
      </c>
      <c r="J763" s="21">
        <f>IFERROR(__xludf.DUMMYFUNCTION("""COMPUTED_VALUE"""),48.0)</f>
        <v>48</v>
      </c>
      <c r="K763" s="23">
        <f>IFERROR(__xludf.DUMMYFUNCTION("""COMPUTED_VALUE"""),4.9)</f>
        <v>4.9</v>
      </c>
      <c r="L763" s="24"/>
      <c r="M763" s="25" t="str">
        <f>IFERROR(__xludf.DUMMYFUNCTION("""COMPUTED_VALUE"""),"Fighting")</f>
        <v>Fighting</v>
      </c>
      <c r="N763" s="25"/>
      <c r="O763" s="26" t="str">
        <f>IFERROR(__xludf.DUMMYFUNCTION("""COMPUTED_VALUE"""),"No")</f>
        <v>No</v>
      </c>
      <c r="P763" s="26"/>
    </row>
    <row r="764">
      <c r="A764" s="13" t="str">
        <f>IFERROR(__xludf.DUMMYFUNCTION("""COMPUTED_VALUE"""),"Super Toy Cars")</f>
        <v>Super Toy Cars</v>
      </c>
      <c r="B764" s="15" t="str">
        <f>IFERROR(__xludf.DUMMYFUNCTION("""COMPUTED_VALUE"""),"PS5/PS4")</f>
        <v>PS5/PS4</v>
      </c>
      <c r="C764" s="16" t="str">
        <f>IFERROR(__xludf.DUMMYFUNCTION("""COMPUTED_VALUE"""),"Playstation Now (Discontinued)")</f>
        <v>Playstation Now (Discontinued)</v>
      </c>
      <c r="D764" s="15" t="str">
        <f>IFERROR(__xludf.DUMMYFUNCTION("""COMPUTED_VALUE"""),"Removed")</f>
        <v>Removed</v>
      </c>
      <c r="E764" s="17">
        <f>IFERROR(__xludf.DUMMYFUNCTION("""COMPUTED_VALUE"""),43438.0)</f>
        <v>43438</v>
      </c>
      <c r="F764" s="54">
        <f>IFERROR(__xludf.DUMMYFUNCTION("""COMPUTED_VALUE"""),44725.0)</f>
        <v>44725</v>
      </c>
      <c r="G764" s="19">
        <f>IFERROR(__xludf.DUMMYFUNCTION("""COMPUTED_VALUE"""),42.3)</f>
        <v>42.3</v>
      </c>
      <c r="H764" s="17">
        <f>IFERROR(__xludf.DUMMYFUNCTION("""COMPUTED_VALUE"""),42066.0)</f>
        <v>42066</v>
      </c>
      <c r="I764" s="19">
        <f>IFERROR(__xludf.DUMMYFUNCTION("""COMPUTED_VALUE"""),3.7527777777777778)</f>
        <v>3.752777778</v>
      </c>
      <c r="J764" s="21">
        <f>IFERROR(__xludf.DUMMYFUNCTION("""COMPUTED_VALUE"""),49.0)</f>
        <v>49</v>
      </c>
      <c r="K764" s="23">
        <f>IFERROR(__xludf.DUMMYFUNCTION("""COMPUTED_VALUE"""),6.0)</f>
        <v>6</v>
      </c>
      <c r="L764" s="24"/>
      <c r="M764" s="25" t="str">
        <f>IFERROR(__xludf.DUMMYFUNCTION("""COMPUTED_VALUE"""),"Racing")</f>
        <v>Racing</v>
      </c>
      <c r="N764" s="25"/>
      <c r="O764" s="26" t="str">
        <f>IFERROR(__xludf.DUMMYFUNCTION("""COMPUTED_VALUE"""),"No")</f>
        <v>No</v>
      </c>
      <c r="P764" s="26"/>
    </row>
    <row r="765">
      <c r="A765" s="13" t="str">
        <f>IFERROR(__xludf.DUMMYFUNCTION("""COMPUTED_VALUE"""),"Mastercube")</f>
        <v>Mastercube</v>
      </c>
      <c r="B765" s="15" t="str">
        <f>IFERROR(__xludf.DUMMYFUNCTION("""COMPUTED_VALUE"""),"PS5/PS4")</f>
        <v>PS5/PS4</v>
      </c>
      <c r="C765" s="16" t="str">
        <f>IFERROR(__xludf.DUMMYFUNCTION("""COMPUTED_VALUE"""),"Playstation Now (Discontinued)")</f>
        <v>Playstation Now (Discontinued)</v>
      </c>
      <c r="D765" s="15" t="str">
        <f>IFERROR(__xludf.DUMMYFUNCTION("""COMPUTED_VALUE"""),"Removed")</f>
        <v>Removed</v>
      </c>
      <c r="E765" s="17">
        <f>IFERROR(__xludf.DUMMYFUNCTION("""COMPUTED_VALUE"""),43438.0)</f>
        <v>43438</v>
      </c>
      <c r="F765" s="54">
        <f>IFERROR(__xludf.DUMMYFUNCTION("""COMPUTED_VALUE"""),44725.0)</f>
        <v>44725</v>
      </c>
      <c r="G765" s="19">
        <f>IFERROR(__xludf.DUMMYFUNCTION("""COMPUTED_VALUE"""),42.3)</f>
        <v>42.3</v>
      </c>
      <c r="H765" s="17">
        <f>IFERROR(__xludf.DUMMYFUNCTION("""COMPUTED_VALUE"""),42629.0)</f>
        <v>42629</v>
      </c>
      <c r="I765" s="19">
        <f>IFERROR(__xludf.DUMMYFUNCTION("""COMPUTED_VALUE"""),2.216666666666667)</f>
        <v>2.216666667</v>
      </c>
      <c r="J765" s="21"/>
      <c r="K765" s="23"/>
      <c r="L765" s="24"/>
      <c r="M765" s="25" t="str">
        <f>IFERROR(__xludf.DUMMYFUNCTION("""COMPUTED_VALUE"""),"Puzzle")</f>
        <v>Puzzle</v>
      </c>
      <c r="N765" s="25"/>
      <c r="O765" s="26" t="str">
        <f>IFERROR(__xludf.DUMMYFUNCTION("""COMPUTED_VALUE"""),"No")</f>
        <v>No</v>
      </c>
      <c r="P765" s="26"/>
    </row>
    <row r="766">
      <c r="A766" s="13" t="str">
        <f>IFERROR(__xludf.DUMMYFUNCTION("""COMPUTED_VALUE"""),"Legend of Kay Anniversary")</f>
        <v>Legend of Kay Anniversary</v>
      </c>
      <c r="B766" s="15" t="str">
        <f>IFERROR(__xludf.DUMMYFUNCTION("""COMPUTED_VALUE"""),"PS5/PS4")</f>
        <v>PS5/PS4</v>
      </c>
      <c r="C766" s="16" t="str">
        <f>IFERROR(__xludf.DUMMYFUNCTION("""COMPUTED_VALUE"""),"Playstation Now (Discontinued)")</f>
        <v>Playstation Now (Discontinued)</v>
      </c>
      <c r="D766" s="15" t="str">
        <f>IFERROR(__xludf.DUMMYFUNCTION("""COMPUTED_VALUE"""),"Removed")</f>
        <v>Removed</v>
      </c>
      <c r="E766" s="17">
        <f>IFERROR(__xludf.DUMMYFUNCTION("""COMPUTED_VALUE"""),43438.0)</f>
        <v>43438</v>
      </c>
      <c r="F766" s="54">
        <f>IFERROR(__xludf.DUMMYFUNCTION("""COMPUTED_VALUE"""),44725.0)</f>
        <v>44725</v>
      </c>
      <c r="G766" s="19">
        <f>IFERROR(__xludf.DUMMYFUNCTION("""COMPUTED_VALUE"""),42.3)</f>
        <v>42.3</v>
      </c>
      <c r="H766" s="17">
        <f>IFERROR(__xludf.DUMMYFUNCTION("""COMPUTED_VALUE"""),42213.0)</f>
        <v>42213</v>
      </c>
      <c r="I766" s="19">
        <f>IFERROR(__xludf.DUMMYFUNCTION("""COMPUTED_VALUE"""),3.35)</f>
        <v>3.35</v>
      </c>
      <c r="J766" s="21">
        <f>IFERROR(__xludf.DUMMYFUNCTION("""COMPUTED_VALUE"""),62.0)</f>
        <v>62</v>
      </c>
      <c r="K766" s="23">
        <f>IFERROR(__xludf.DUMMYFUNCTION("""COMPUTED_VALUE"""),5.8)</f>
        <v>5.8</v>
      </c>
      <c r="L766" s="24">
        <f>IFERROR(__xludf.DUMMYFUNCTION("""COMPUTED_VALUE"""),12.0)</f>
        <v>12</v>
      </c>
      <c r="M766" s="25" t="str">
        <f>IFERROR(__xludf.DUMMYFUNCTION("""COMPUTED_VALUE"""),"Action-Adventure")</f>
        <v>Action-Adventure</v>
      </c>
      <c r="N766" s="25"/>
      <c r="O766" s="26" t="str">
        <f>IFERROR(__xludf.DUMMYFUNCTION("""COMPUTED_VALUE"""),"No")</f>
        <v>No</v>
      </c>
      <c r="P766" s="26"/>
    </row>
    <row r="767">
      <c r="A767" s="13" t="str">
        <f>IFERROR(__xludf.DUMMYFUNCTION("""COMPUTED_VALUE"""),"Chronicles of Teddy: Harmony of Exidus")</f>
        <v>Chronicles of Teddy: Harmony of Exidus</v>
      </c>
      <c r="B767" s="15" t="str">
        <f>IFERROR(__xludf.DUMMYFUNCTION("""COMPUTED_VALUE"""),"PS5/PS4")</f>
        <v>PS5/PS4</v>
      </c>
      <c r="C767" s="16" t="str">
        <f>IFERROR(__xludf.DUMMYFUNCTION("""COMPUTED_VALUE"""),"Playstation Now (Discontinued)")</f>
        <v>Playstation Now (Discontinued)</v>
      </c>
      <c r="D767" s="15" t="str">
        <f>IFERROR(__xludf.DUMMYFUNCTION("""COMPUTED_VALUE"""),"Removed")</f>
        <v>Removed</v>
      </c>
      <c r="E767" s="17">
        <f>IFERROR(__xludf.DUMMYFUNCTION("""COMPUTED_VALUE"""),43438.0)</f>
        <v>43438</v>
      </c>
      <c r="F767" s="54">
        <f>IFERROR(__xludf.DUMMYFUNCTION("""COMPUTED_VALUE"""),44725.0)</f>
        <v>44725</v>
      </c>
      <c r="G767" s="19">
        <f>IFERROR(__xludf.DUMMYFUNCTION("""COMPUTED_VALUE"""),42.3)</f>
        <v>42.3</v>
      </c>
      <c r="H767" s="17">
        <f>IFERROR(__xludf.DUMMYFUNCTION("""COMPUTED_VALUE"""),42320.0)</f>
        <v>42320</v>
      </c>
      <c r="I767" s="19">
        <f>IFERROR(__xludf.DUMMYFUNCTION("""COMPUTED_VALUE"""),3.061111111111111)</f>
        <v>3.061111111</v>
      </c>
      <c r="J767" s="21">
        <f>IFERROR(__xludf.DUMMYFUNCTION("""COMPUTED_VALUE"""),56.0)</f>
        <v>56</v>
      </c>
      <c r="K767" s="23">
        <f>IFERROR(__xludf.DUMMYFUNCTION("""COMPUTED_VALUE"""),6.4)</f>
        <v>6.4</v>
      </c>
      <c r="L767" s="24">
        <f>IFERROR(__xludf.DUMMYFUNCTION("""COMPUTED_VALUE"""),10.0)</f>
        <v>10</v>
      </c>
      <c r="M767" s="25" t="str">
        <f>IFERROR(__xludf.DUMMYFUNCTION("""COMPUTED_VALUE"""),"Action-Adventure")</f>
        <v>Action-Adventure</v>
      </c>
      <c r="N767" s="25"/>
      <c r="O767" s="26" t="str">
        <f>IFERROR(__xludf.DUMMYFUNCTION("""COMPUTED_VALUE"""),"No")</f>
        <v>No</v>
      </c>
      <c r="P767" s="26"/>
    </row>
    <row r="768">
      <c r="A768" s="13" t="str">
        <f>IFERROR(__xludf.DUMMYFUNCTION("""COMPUTED_VALUE"""),"Minutes")</f>
        <v>Minutes</v>
      </c>
      <c r="B768" s="15" t="str">
        <f>IFERROR(__xludf.DUMMYFUNCTION("""COMPUTED_VALUE"""),"PS5/PS4")</f>
        <v>PS5/PS4</v>
      </c>
      <c r="C768" s="16" t="str">
        <f>IFERROR(__xludf.DUMMYFUNCTION("""COMPUTED_VALUE"""),"Playstation Now (Discontinued)")</f>
        <v>Playstation Now (Discontinued)</v>
      </c>
      <c r="D768" s="15" t="str">
        <f>IFERROR(__xludf.DUMMYFUNCTION("""COMPUTED_VALUE"""),"Removed")</f>
        <v>Removed</v>
      </c>
      <c r="E768" s="17">
        <f>IFERROR(__xludf.DUMMYFUNCTION("""COMPUTED_VALUE"""),43438.0)</f>
        <v>43438</v>
      </c>
      <c r="F768" s="54">
        <f>IFERROR(__xludf.DUMMYFUNCTION("""COMPUTED_VALUE"""),44725.0)</f>
        <v>44725</v>
      </c>
      <c r="G768" s="19">
        <f>IFERROR(__xludf.DUMMYFUNCTION("""COMPUTED_VALUE"""),42.3)</f>
        <v>42.3</v>
      </c>
      <c r="H768" s="17">
        <f>IFERROR(__xludf.DUMMYFUNCTION("""COMPUTED_VALUE"""),41961.0)</f>
        <v>41961</v>
      </c>
      <c r="I768" s="19">
        <f>IFERROR(__xludf.DUMMYFUNCTION("""COMPUTED_VALUE"""),4.044444444444444)</f>
        <v>4.044444444</v>
      </c>
      <c r="J768" s="21">
        <f>IFERROR(__xludf.DUMMYFUNCTION("""COMPUTED_VALUE"""),76.0)</f>
        <v>76</v>
      </c>
      <c r="K768" s="23">
        <f>IFERROR(__xludf.DUMMYFUNCTION("""COMPUTED_VALUE"""),7.2)</f>
        <v>7.2</v>
      </c>
      <c r="L768" s="24"/>
      <c r="M768" s="25" t="str">
        <f>IFERROR(__xludf.DUMMYFUNCTION("""COMPUTED_VALUE"""),"Puzzle")</f>
        <v>Puzzle</v>
      </c>
      <c r="N768" s="25"/>
      <c r="O768" s="26" t="str">
        <f>IFERROR(__xludf.DUMMYFUNCTION("""COMPUTED_VALUE"""),"No")</f>
        <v>No</v>
      </c>
      <c r="P768" s="26"/>
    </row>
    <row r="769">
      <c r="A769" s="13" t="str">
        <f>IFERROR(__xludf.DUMMYFUNCTION("""COMPUTED_VALUE"""),"The Treasures of Montezuma 4")</f>
        <v>The Treasures of Montezuma 4</v>
      </c>
      <c r="B769" s="15" t="str">
        <f>IFERROR(__xludf.DUMMYFUNCTION("""COMPUTED_VALUE"""),"PS5/PS4")</f>
        <v>PS5/PS4</v>
      </c>
      <c r="C769" s="16" t="str">
        <f>IFERROR(__xludf.DUMMYFUNCTION("""COMPUTED_VALUE"""),"Playstation Now (Discontinued)")</f>
        <v>Playstation Now (Discontinued)</v>
      </c>
      <c r="D769" s="15" t="str">
        <f>IFERROR(__xludf.DUMMYFUNCTION("""COMPUTED_VALUE"""),"Removed")</f>
        <v>Removed</v>
      </c>
      <c r="E769" s="17">
        <f>IFERROR(__xludf.DUMMYFUNCTION("""COMPUTED_VALUE"""),43438.0)</f>
        <v>43438</v>
      </c>
      <c r="F769" s="54">
        <f>IFERROR(__xludf.DUMMYFUNCTION("""COMPUTED_VALUE"""),44725.0)</f>
        <v>44725</v>
      </c>
      <c r="G769" s="19">
        <f>IFERROR(__xludf.DUMMYFUNCTION("""COMPUTED_VALUE"""),42.3)</f>
        <v>42.3</v>
      </c>
      <c r="H769" s="17">
        <f>IFERROR(__xludf.DUMMYFUNCTION("""COMPUTED_VALUE"""),41579.0)</f>
        <v>41579</v>
      </c>
      <c r="I769" s="19">
        <f>IFERROR(__xludf.DUMMYFUNCTION("""COMPUTED_VALUE"""),5.091666666666667)</f>
        <v>5.091666667</v>
      </c>
      <c r="J769" s="21"/>
      <c r="K769" s="23">
        <f>IFERROR(__xludf.DUMMYFUNCTION("""COMPUTED_VALUE"""),7.4)</f>
        <v>7.4</v>
      </c>
      <c r="L769" s="24"/>
      <c r="M769" s="25" t="str">
        <f>IFERROR(__xludf.DUMMYFUNCTION("""COMPUTED_VALUE"""),"Matching Puzzle")</f>
        <v>Matching Puzzle</v>
      </c>
      <c r="N769" s="25" t="str">
        <f>IFERROR(__xludf.DUMMYFUNCTION("""COMPUTED_VALUE"""),"PS3")</f>
        <v>PS3</v>
      </c>
      <c r="O769" s="26" t="str">
        <f>IFERROR(__xludf.DUMMYFUNCTION("""COMPUTED_VALUE"""),"No")</f>
        <v>No</v>
      </c>
      <c r="P769" s="26"/>
    </row>
    <row r="770">
      <c r="A770" s="13" t="str">
        <f>IFERROR(__xludf.DUMMYFUNCTION("""COMPUTED_VALUE"""),"In Space We Brawl")</f>
        <v>In Space We Brawl</v>
      </c>
      <c r="B770" s="15" t="str">
        <f>IFERROR(__xludf.DUMMYFUNCTION("""COMPUTED_VALUE"""),"PS5/PS4")</f>
        <v>PS5/PS4</v>
      </c>
      <c r="C770" s="16" t="str">
        <f>IFERROR(__xludf.DUMMYFUNCTION("""COMPUTED_VALUE"""),"Playstation Now (Discontinued)")</f>
        <v>Playstation Now (Discontinued)</v>
      </c>
      <c r="D770" s="15" t="str">
        <f>IFERROR(__xludf.DUMMYFUNCTION("""COMPUTED_VALUE"""),"Removed")</f>
        <v>Removed</v>
      </c>
      <c r="E770" s="17">
        <f>IFERROR(__xludf.DUMMYFUNCTION("""COMPUTED_VALUE"""),43438.0)</f>
        <v>43438</v>
      </c>
      <c r="F770" s="54">
        <f>IFERROR(__xludf.DUMMYFUNCTION("""COMPUTED_VALUE"""),44725.0)</f>
        <v>44725</v>
      </c>
      <c r="G770" s="19">
        <f>IFERROR(__xludf.DUMMYFUNCTION("""COMPUTED_VALUE"""),42.3)</f>
        <v>42.3</v>
      </c>
      <c r="H770" s="17">
        <f>IFERROR(__xludf.DUMMYFUNCTION("""COMPUTED_VALUE"""),41926.0)</f>
        <v>41926</v>
      </c>
      <c r="I770" s="19">
        <f>IFERROR(__xludf.DUMMYFUNCTION("""COMPUTED_VALUE"""),4.138888888888889)</f>
        <v>4.138888889</v>
      </c>
      <c r="J770" s="21">
        <f>IFERROR(__xludf.DUMMYFUNCTION("""COMPUTED_VALUE"""),65.0)</f>
        <v>65</v>
      </c>
      <c r="K770" s="23">
        <f>IFERROR(__xludf.DUMMYFUNCTION("""COMPUTED_VALUE"""),6.7)</f>
        <v>6.7</v>
      </c>
      <c r="L770" s="24"/>
      <c r="M770" s="25" t="str">
        <f>IFERROR(__xludf.DUMMYFUNCTION("""COMPUTED_VALUE"""),"Shooter")</f>
        <v>Shooter</v>
      </c>
      <c r="N770" s="25"/>
      <c r="O770" s="26" t="str">
        <f>IFERROR(__xludf.DUMMYFUNCTION("""COMPUTED_VALUE"""),"No")</f>
        <v>No</v>
      </c>
      <c r="P770" s="26"/>
    </row>
    <row r="771">
      <c r="A771" s="13" t="str">
        <f>IFERROR(__xludf.DUMMYFUNCTION("""COMPUTED_VALUE"""),"Natural Doctrine")</f>
        <v>Natural Doctrine</v>
      </c>
      <c r="B771" s="15" t="str">
        <f>IFERROR(__xludf.DUMMYFUNCTION("""COMPUTED_VALUE"""),"PS5/PS4")</f>
        <v>PS5/PS4</v>
      </c>
      <c r="C771" s="16" t="str">
        <f>IFERROR(__xludf.DUMMYFUNCTION("""COMPUTED_VALUE"""),"Playstation Now (Discontinued)")</f>
        <v>Playstation Now (Discontinued)</v>
      </c>
      <c r="D771" s="15" t="str">
        <f>IFERROR(__xludf.DUMMYFUNCTION("""COMPUTED_VALUE"""),"Removed")</f>
        <v>Removed</v>
      </c>
      <c r="E771" s="17">
        <f>IFERROR(__xludf.DUMMYFUNCTION("""COMPUTED_VALUE"""),43438.0)</f>
        <v>43438</v>
      </c>
      <c r="F771" s="54">
        <f>IFERROR(__xludf.DUMMYFUNCTION("""COMPUTED_VALUE"""),44725.0)</f>
        <v>44725</v>
      </c>
      <c r="G771" s="19">
        <f>IFERROR(__xludf.DUMMYFUNCTION("""COMPUTED_VALUE"""),42.3)</f>
        <v>42.3</v>
      </c>
      <c r="H771" s="17">
        <f>IFERROR(__xludf.DUMMYFUNCTION("""COMPUTED_VALUE"""),41898.0)</f>
        <v>41898</v>
      </c>
      <c r="I771" s="19">
        <f>IFERROR(__xludf.DUMMYFUNCTION("""COMPUTED_VALUE"""),4.216666666666667)</f>
        <v>4.216666667</v>
      </c>
      <c r="J771" s="21">
        <f>IFERROR(__xludf.DUMMYFUNCTION("""COMPUTED_VALUE"""),49.0)</f>
        <v>49</v>
      </c>
      <c r="K771" s="23">
        <f>IFERROR(__xludf.DUMMYFUNCTION("""COMPUTED_VALUE"""),6.5)</f>
        <v>6.5</v>
      </c>
      <c r="L771" s="24">
        <f>IFERROR(__xludf.DUMMYFUNCTION("""COMPUTED_VALUE"""),36.0)</f>
        <v>36</v>
      </c>
      <c r="M771" s="25" t="str">
        <f>IFERROR(__xludf.DUMMYFUNCTION("""COMPUTED_VALUE"""),"RPG")</f>
        <v>RPG</v>
      </c>
      <c r="N771" s="25"/>
      <c r="O771" s="26" t="str">
        <f>IFERROR(__xludf.DUMMYFUNCTION("""COMPUTED_VALUE"""),"No")</f>
        <v>No</v>
      </c>
      <c r="P771" s="26"/>
    </row>
    <row r="772">
      <c r="A772" s="13" t="str">
        <f>IFERROR(__xludf.DUMMYFUNCTION("""COMPUTED_VALUE"""),"Velocity 2X")</f>
        <v>Velocity 2X</v>
      </c>
      <c r="B772" s="15" t="str">
        <f>IFERROR(__xludf.DUMMYFUNCTION("""COMPUTED_VALUE"""),"PS5/PS4")</f>
        <v>PS5/PS4</v>
      </c>
      <c r="C772" s="16" t="str">
        <f>IFERROR(__xludf.DUMMYFUNCTION("""COMPUTED_VALUE"""),"Playstation Now (Discontinued)")</f>
        <v>Playstation Now (Discontinued)</v>
      </c>
      <c r="D772" s="15" t="str">
        <f>IFERROR(__xludf.DUMMYFUNCTION("""COMPUTED_VALUE"""),"Removed")</f>
        <v>Removed</v>
      </c>
      <c r="E772" s="17">
        <f>IFERROR(__xludf.DUMMYFUNCTION("""COMPUTED_VALUE"""),43438.0)</f>
        <v>43438</v>
      </c>
      <c r="F772" s="54">
        <f>IFERROR(__xludf.DUMMYFUNCTION("""COMPUTED_VALUE"""),44725.0)</f>
        <v>44725</v>
      </c>
      <c r="G772" s="19">
        <f>IFERROR(__xludf.DUMMYFUNCTION("""COMPUTED_VALUE"""),42.3)</f>
        <v>42.3</v>
      </c>
      <c r="H772" s="17">
        <f>IFERROR(__xludf.DUMMYFUNCTION("""COMPUTED_VALUE"""),41884.0)</f>
        <v>41884</v>
      </c>
      <c r="I772" s="19">
        <f>IFERROR(__xludf.DUMMYFUNCTION("""COMPUTED_VALUE"""),4.2555555555555555)</f>
        <v>4.255555556</v>
      </c>
      <c r="J772" s="21">
        <f>IFERROR(__xludf.DUMMYFUNCTION("""COMPUTED_VALUE"""),86.0)</f>
        <v>86</v>
      </c>
      <c r="K772" s="23">
        <f>IFERROR(__xludf.DUMMYFUNCTION("""COMPUTED_VALUE"""),7.6)</f>
        <v>7.6</v>
      </c>
      <c r="L772" s="24">
        <f>IFERROR(__xludf.DUMMYFUNCTION("""COMPUTED_VALUE"""),8.0)</f>
        <v>8</v>
      </c>
      <c r="M772" s="25" t="str">
        <f>IFERROR(__xludf.DUMMYFUNCTION("""COMPUTED_VALUE"""),"Shooter")</f>
        <v>Shooter</v>
      </c>
      <c r="N772" s="25"/>
      <c r="O772" s="26" t="str">
        <f>IFERROR(__xludf.DUMMYFUNCTION("""COMPUTED_VALUE"""),"No")</f>
        <v>No</v>
      </c>
      <c r="P772" s="26"/>
    </row>
    <row r="773">
      <c r="A773" s="13" t="str">
        <f>IFERROR(__xludf.DUMMYFUNCTION("""COMPUTED_VALUE"""),"Strike Suit Zero: Director's Cut")</f>
        <v>Strike Suit Zero: Director's Cut</v>
      </c>
      <c r="B773" s="15" t="str">
        <f>IFERROR(__xludf.DUMMYFUNCTION("""COMPUTED_VALUE"""),"PS5/PS4")</f>
        <v>PS5/PS4</v>
      </c>
      <c r="C773" s="16" t="str">
        <f>IFERROR(__xludf.DUMMYFUNCTION("""COMPUTED_VALUE"""),"Playstation Now (Discontinued)")</f>
        <v>Playstation Now (Discontinued)</v>
      </c>
      <c r="D773" s="15" t="str">
        <f>IFERROR(__xludf.DUMMYFUNCTION("""COMPUTED_VALUE"""),"Removed")</f>
        <v>Removed</v>
      </c>
      <c r="E773" s="17">
        <f>IFERROR(__xludf.DUMMYFUNCTION("""COMPUTED_VALUE"""),43438.0)</f>
        <v>43438</v>
      </c>
      <c r="F773" s="54">
        <f>IFERROR(__xludf.DUMMYFUNCTION("""COMPUTED_VALUE"""),44725.0)</f>
        <v>44725</v>
      </c>
      <c r="G773" s="19">
        <f>IFERROR(__xludf.DUMMYFUNCTION("""COMPUTED_VALUE"""),42.3)</f>
        <v>42.3</v>
      </c>
      <c r="H773" s="17">
        <f>IFERROR(__xludf.DUMMYFUNCTION("""COMPUTED_VALUE"""),41737.0)</f>
        <v>41737</v>
      </c>
      <c r="I773" s="19">
        <f>IFERROR(__xludf.DUMMYFUNCTION("""COMPUTED_VALUE"""),4.655555555555556)</f>
        <v>4.655555556</v>
      </c>
      <c r="J773" s="21">
        <f>IFERROR(__xludf.DUMMYFUNCTION("""COMPUTED_VALUE"""),68.0)</f>
        <v>68</v>
      </c>
      <c r="K773" s="23">
        <f>IFERROR(__xludf.DUMMYFUNCTION("""COMPUTED_VALUE"""),6.9)</f>
        <v>6.9</v>
      </c>
      <c r="L773" s="24">
        <f>IFERROR(__xludf.DUMMYFUNCTION("""COMPUTED_VALUE"""),8.0)</f>
        <v>8</v>
      </c>
      <c r="M773" s="25" t="str">
        <f>IFERROR(__xludf.DUMMYFUNCTION("""COMPUTED_VALUE"""),"Shooter")</f>
        <v>Shooter</v>
      </c>
      <c r="N773" s="25"/>
      <c r="O773" s="26" t="str">
        <f>IFERROR(__xludf.DUMMYFUNCTION("""COMPUTED_VALUE"""),"No")</f>
        <v>No</v>
      </c>
      <c r="P773" s="26"/>
    </row>
    <row r="774">
      <c r="A774" s="13" t="str">
        <f>IFERROR(__xludf.DUMMYFUNCTION("""COMPUTED_VALUE"""),"Battle Worlds: Kronos")</f>
        <v>Battle Worlds: Kronos</v>
      </c>
      <c r="B774" s="15" t="str">
        <f>IFERROR(__xludf.DUMMYFUNCTION("""COMPUTED_VALUE"""),"PS5/PS4")</f>
        <v>PS5/PS4</v>
      </c>
      <c r="C774" s="16" t="str">
        <f>IFERROR(__xludf.DUMMYFUNCTION("""COMPUTED_VALUE"""),"Playstation Now (Discontinued)")</f>
        <v>Playstation Now (Discontinued)</v>
      </c>
      <c r="D774" s="15" t="str">
        <f>IFERROR(__xludf.DUMMYFUNCTION("""COMPUTED_VALUE"""),"Removed")</f>
        <v>Removed</v>
      </c>
      <c r="E774" s="17">
        <f>IFERROR(__xludf.DUMMYFUNCTION("""COMPUTED_VALUE"""),43438.0)</f>
        <v>43438</v>
      </c>
      <c r="F774" s="54">
        <f>IFERROR(__xludf.DUMMYFUNCTION("""COMPUTED_VALUE"""),44725.0)</f>
        <v>44725</v>
      </c>
      <c r="G774" s="19">
        <f>IFERROR(__xludf.DUMMYFUNCTION("""COMPUTED_VALUE"""),42.3)</f>
        <v>42.3</v>
      </c>
      <c r="H774" s="17">
        <f>IFERROR(__xludf.DUMMYFUNCTION("""COMPUTED_VALUE"""),41947.0)</f>
        <v>41947</v>
      </c>
      <c r="I774" s="19">
        <f>IFERROR(__xludf.DUMMYFUNCTION("""COMPUTED_VALUE"""),4.083333333333333)</f>
        <v>4.083333333</v>
      </c>
      <c r="J774" s="21">
        <f>IFERROR(__xludf.DUMMYFUNCTION("""COMPUTED_VALUE"""),66.0)</f>
        <v>66</v>
      </c>
      <c r="K774" s="23">
        <f>IFERROR(__xludf.DUMMYFUNCTION("""COMPUTED_VALUE"""),6.7)</f>
        <v>6.7</v>
      </c>
      <c r="L774" s="24">
        <f>IFERROR(__xludf.DUMMYFUNCTION("""COMPUTED_VALUE"""),22.0)</f>
        <v>22</v>
      </c>
      <c r="M774" s="25" t="str">
        <f>IFERROR(__xludf.DUMMYFUNCTION("""COMPUTED_VALUE"""),"Turn-Based Strategy")</f>
        <v>Turn-Based Strategy</v>
      </c>
      <c r="N774" s="25"/>
      <c r="O774" s="26" t="str">
        <f>IFERROR(__xludf.DUMMYFUNCTION("""COMPUTED_VALUE"""),"No")</f>
        <v>No</v>
      </c>
      <c r="P774" s="26"/>
    </row>
    <row r="775">
      <c r="A775" s="13" t="str">
        <f>IFERROR(__xludf.DUMMYFUNCTION("""COMPUTED_VALUE"""),"Fairy Fencer F: Advent Dark Force")</f>
        <v>Fairy Fencer F: Advent Dark Force</v>
      </c>
      <c r="B775" s="15" t="str">
        <f>IFERROR(__xludf.DUMMYFUNCTION("""COMPUTED_VALUE"""),"PS5/PS4")</f>
        <v>PS5/PS4</v>
      </c>
      <c r="C775" s="16" t="str">
        <f>IFERROR(__xludf.DUMMYFUNCTION("""COMPUTED_VALUE"""),"Playstation Now (Discontinued)")</f>
        <v>Playstation Now (Discontinued)</v>
      </c>
      <c r="D775" s="15" t="str">
        <f>IFERROR(__xludf.DUMMYFUNCTION("""COMPUTED_VALUE"""),"Removed")</f>
        <v>Removed</v>
      </c>
      <c r="E775" s="17">
        <f>IFERROR(__xludf.DUMMYFUNCTION("""COMPUTED_VALUE"""),43438.0)</f>
        <v>43438</v>
      </c>
      <c r="F775" s="54">
        <f>IFERROR(__xludf.DUMMYFUNCTION("""COMPUTED_VALUE"""),44725.0)</f>
        <v>44725</v>
      </c>
      <c r="G775" s="19">
        <f>IFERROR(__xludf.DUMMYFUNCTION("""COMPUTED_VALUE"""),42.3)</f>
        <v>42.3</v>
      </c>
      <c r="H775" s="17">
        <f>IFERROR(__xludf.DUMMYFUNCTION("""COMPUTED_VALUE"""),42565.0)</f>
        <v>42565</v>
      </c>
      <c r="I775" s="19">
        <f>IFERROR(__xludf.DUMMYFUNCTION("""COMPUTED_VALUE"""),2.388888888888889)</f>
        <v>2.388888889</v>
      </c>
      <c r="J775" s="21">
        <f>IFERROR(__xludf.DUMMYFUNCTION("""COMPUTED_VALUE"""),71.0)</f>
        <v>71</v>
      </c>
      <c r="K775" s="23">
        <f>IFERROR(__xludf.DUMMYFUNCTION("""COMPUTED_VALUE"""),7.5)</f>
        <v>7.5</v>
      </c>
      <c r="L775" s="24">
        <f>IFERROR(__xludf.DUMMYFUNCTION("""COMPUTED_VALUE"""),45.0)</f>
        <v>45</v>
      </c>
      <c r="M775" s="25" t="str">
        <f>IFERROR(__xludf.DUMMYFUNCTION("""COMPUTED_VALUE"""),"RPG")</f>
        <v>RPG</v>
      </c>
      <c r="N775" s="25"/>
      <c r="O775" s="26" t="str">
        <f>IFERROR(__xludf.DUMMYFUNCTION("""COMPUTED_VALUE"""),"No")</f>
        <v>No</v>
      </c>
      <c r="P775" s="26"/>
    </row>
    <row r="776">
      <c r="A776" s="13" t="str">
        <f>IFERROR(__xludf.DUMMYFUNCTION("""COMPUTED_VALUE"""),"Pumped BMX+")</f>
        <v>Pumped BMX+</v>
      </c>
      <c r="B776" s="15" t="str">
        <f>IFERROR(__xludf.DUMMYFUNCTION("""COMPUTED_VALUE"""),"PS5/PS4")</f>
        <v>PS5/PS4</v>
      </c>
      <c r="C776" s="16" t="str">
        <f>IFERROR(__xludf.DUMMYFUNCTION("""COMPUTED_VALUE"""),"Playstation Now (Discontinued)")</f>
        <v>Playstation Now (Discontinued)</v>
      </c>
      <c r="D776" s="15" t="str">
        <f>IFERROR(__xludf.DUMMYFUNCTION("""COMPUTED_VALUE"""),"Removed")</f>
        <v>Removed</v>
      </c>
      <c r="E776" s="17">
        <f>IFERROR(__xludf.DUMMYFUNCTION("""COMPUTED_VALUE"""),43438.0)</f>
        <v>43438</v>
      </c>
      <c r="F776" s="54">
        <f>IFERROR(__xludf.DUMMYFUNCTION("""COMPUTED_VALUE"""),44725.0)</f>
        <v>44725</v>
      </c>
      <c r="G776" s="19">
        <f>IFERROR(__xludf.DUMMYFUNCTION("""COMPUTED_VALUE"""),42.3)</f>
        <v>42.3</v>
      </c>
      <c r="H776" s="17">
        <f>IFERROR(__xludf.DUMMYFUNCTION("""COMPUTED_VALUE"""),42265.0)</f>
        <v>42265</v>
      </c>
      <c r="I776" s="19">
        <f>IFERROR(__xludf.DUMMYFUNCTION("""COMPUTED_VALUE"""),3.2111111111111112)</f>
        <v>3.211111111</v>
      </c>
      <c r="J776" s="21">
        <f>IFERROR(__xludf.DUMMYFUNCTION("""COMPUTED_VALUE"""),65.0)</f>
        <v>65</v>
      </c>
      <c r="K776" s="23">
        <f>IFERROR(__xludf.DUMMYFUNCTION("""COMPUTED_VALUE"""),6.7)</f>
        <v>6.7</v>
      </c>
      <c r="L776" s="24">
        <f>IFERROR(__xludf.DUMMYFUNCTION("""COMPUTED_VALUE"""),4.0)</f>
        <v>4</v>
      </c>
      <c r="M776" s="25" t="str">
        <f>IFERROR(__xludf.DUMMYFUNCTION("""COMPUTED_VALUE"""),"Sports")</f>
        <v>Sports</v>
      </c>
      <c r="N776" s="25"/>
      <c r="O776" s="26" t="str">
        <f>IFERROR(__xludf.DUMMYFUNCTION("""COMPUTED_VALUE"""),"No")</f>
        <v>No</v>
      </c>
      <c r="P776" s="26"/>
    </row>
    <row r="777">
      <c r="A777" s="13" t="str">
        <f>IFERROR(__xludf.DUMMYFUNCTION("""COMPUTED_VALUE"""),"Reus")</f>
        <v>Reus</v>
      </c>
      <c r="B777" s="15" t="str">
        <f>IFERROR(__xludf.DUMMYFUNCTION("""COMPUTED_VALUE"""),"PS5/PS4")</f>
        <v>PS5/PS4</v>
      </c>
      <c r="C777" s="16" t="str">
        <f>IFERROR(__xludf.DUMMYFUNCTION("""COMPUTED_VALUE"""),"Playstation Now (Discontinued)")</f>
        <v>Playstation Now (Discontinued)</v>
      </c>
      <c r="D777" s="15" t="str">
        <f>IFERROR(__xludf.DUMMYFUNCTION("""COMPUTED_VALUE"""),"Removed")</f>
        <v>Removed</v>
      </c>
      <c r="E777" s="17">
        <f>IFERROR(__xludf.DUMMYFUNCTION("""COMPUTED_VALUE"""),43438.0)</f>
        <v>43438</v>
      </c>
      <c r="F777" s="54">
        <f>IFERROR(__xludf.DUMMYFUNCTION("""COMPUTED_VALUE"""),44725.0)</f>
        <v>44725</v>
      </c>
      <c r="G777" s="19">
        <f>IFERROR(__xludf.DUMMYFUNCTION("""COMPUTED_VALUE"""),42.3)</f>
        <v>42.3</v>
      </c>
      <c r="H777" s="17">
        <f>IFERROR(__xludf.DUMMYFUNCTION("""COMPUTED_VALUE"""),41395.0)</f>
        <v>41395</v>
      </c>
      <c r="I777" s="19">
        <f>IFERROR(__xludf.DUMMYFUNCTION("""COMPUTED_VALUE"""),5.591666666666667)</f>
        <v>5.591666667</v>
      </c>
      <c r="J777" s="21">
        <f>IFERROR(__xludf.DUMMYFUNCTION("""COMPUTED_VALUE"""),75.0)</f>
        <v>75</v>
      </c>
      <c r="K777" s="23">
        <f>IFERROR(__xludf.DUMMYFUNCTION("""COMPUTED_VALUE"""),7.9)</f>
        <v>7.9</v>
      </c>
      <c r="L777" s="24">
        <f>IFERROR(__xludf.DUMMYFUNCTION("""COMPUTED_VALUE"""),14.0)</f>
        <v>14</v>
      </c>
      <c r="M777" s="25" t="str">
        <f>IFERROR(__xludf.DUMMYFUNCTION("""COMPUTED_VALUE"""),"Strategy")</f>
        <v>Strategy</v>
      </c>
      <c r="N777" s="25"/>
      <c r="O777" s="26" t="str">
        <f>IFERROR(__xludf.DUMMYFUNCTION("""COMPUTED_VALUE"""),"No")</f>
        <v>No</v>
      </c>
      <c r="P777" s="26"/>
    </row>
    <row r="778">
      <c r="A778" s="13" t="str">
        <f>IFERROR(__xludf.DUMMYFUNCTION("""COMPUTED_VALUE"""),"World to the West")</f>
        <v>World to the West</v>
      </c>
      <c r="B778" s="15" t="str">
        <f>IFERROR(__xludf.DUMMYFUNCTION("""COMPUTED_VALUE"""),"PS5/PS4")</f>
        <v>PS5/PS4</v>
      </c>
      <c r="C778" s="16" t="str">
        <f>IFERROR(__xludf.DUMMYFUNCTION("""COMPUTED_VALUE"""),"Playstation Now (Discontinued)")</f>
        <v>Playstation Now (Discontinued)</v>
      </c>
      <c r="D778" s="15" t="str">
        <f>IFERROR(__xludf.DUMMYFUNCTION("""COMPUTED_VALUE"""),"Removed")</f>
        <v>Removed</v>
      </c>
      <c r="E778" s="17">
        <f>IFERROR(__xludf.DUMMYFUNCTION("""COMPUTED_VALUE"""),43410.0)</f>
        <v>43410</v>
      </c>
      <c r="F778" s="54">
        <f>IFERROR(__xludf.DUMMYFUNCTION("""COMPUTED_VALUE"""),44725.0)</f>
        <v>44725</v>
      </c>
      <c r="G778" s="19">
        <f>IFERROR(__xludf.DUMMYFUNCTION("""COMPUTED_VALUE"""),43.233333333333334)</f>
        <v>43.23333333</v>
      </c>
      <c r="H778" s="17">
        <f>IFERROR(__xludf.DUMMYFUNCTION("""COMPUTED_VALUE"""),42857.0)</f>
        <v>42857</v>
      </c>
      <c r="I778" s="19">
        <f>IFERROR(__xludf.DUMMYFUNCTION("""COMPUTED_VALUE"""),1.511111111111111)</f>
        <v>1.511111111</v>
      </c>
      <c r="J778" s="21">
        <f>IFERROR(__xludf.DUMMYFUNCTION("""COMPUTED_VALUE"""),70.0)</f>
        <v>70</v>
      </c>
      <c r="K778" s="23">
        <f>IFERROR(__xludf.DUMMYFUNCTION("""COMPUTED_VALUE"""),7.0)</f>
        <v>7</v>
      </c>
      <c r="L778" s="24">
        <f>IFERROR(__xludf.DUMMYFUNCTION("""COMPUTED_VALUE"""),6.0)</f>
        <v>6</v>
      </c>
      <c r="M778" s="25" t="str">
        <f>IFERROR(__xludf.DUMMYFUNCTION("""COMPUTED_VALUE"""),"Action-Adventure")</f>
        <v>Action-Adventure</v>
      </c>
      <c r="N778" s="25"/>
      <c r="O778" s="26" t="str">
        <f>IFERROR(__xludf.DUMMYFUNCTION("""COMPUTED_VALUE"""),"No")</f>
        <v>No</v>
      </c>
      <c r="P778" s="26"/>
    </row>
    <row r="779">
      <c r="A779" s="13" t="str">
        <f>IFERROR(__xludf.DUMMYFUNCTION("""COMPUTED_VALUE"""),"Guilty Gear Xrd Rev 2")</f>
        <v>Guilty Gear Xrd Rev 2</v>
      </c>
      <c r="B779" s="15" t="str">
        <f>IFERROR(__xludf.DUMMYFUNCTION("""COMPUTED_VALUE"""),"PS5/PS4")</f>
        <v>PS5/PS4</v>
      </c>
      <c r="C779" s="16" t="str">
        <f>IFERROR(__xludf.DUMMYFUNCTION("""COMPUTED_VALUE"""),"Playstation Now (Discontinued)")</f>
        <v>Playstation Now (Discontinued)</v>
      </c>
      <c r="D779" s="15" t="str">
        <f>IFERROR(__xludf.DUMMYFUNCTION("""COMPUTED_VALUE"""),"Removed")</f>
        <v>Removed</v>
      </c>
      <c r="E779" s="17">
        <f>IFERROR(__xludf.DUMMYFUNCTION("""COMPUTED_VALUE"""),43410.0)</f>
        <v>43410</v>
      </c>
      <c r="F779" s="54">
        <f>IFERROR(__xludf.DUMMYFUNCTION("""COMPUTED_VALUE"""),44725.0)</f>
        <v>44725</v>
      </c>
      <c r="G779" s="19">
        <f>IFERROR(__xludf.DUMMYFUNCTION("""COMPUTED_VALUE"""),43.233333333333334)</f>
        <v>43.23333333</v>
      </c>
      <c r="H779" s="17">
        <f>IFERROR(__xludf.DUMMYFUNCTION("""COMPUTED_VALUE"""),42881.0)</f>
        <v>42881</v>
      </c>
      <c r="I779" s="19">
        <f>IFERROR(__xludf.DUMMYFUNCTION("""COMPUTED_VALUE"""),1.4444444444444444)</f>
        <v>1.444444444</v>
      </c>
      <c r="J779" s="21">
        <f>IFERROR(__xludf.DUMMYFUNCTION("""COMPUTED_VALUE"""),86.0)</f>
        <v>86</v>
      </c>
      <c r="K779" s="23">
        <f>IFERROR(__xludf.DUMMYFUNCTION("""COMPUTED_VALUE"""),8.2)</f>
        <v>8.2</v>
      </c>
      <c r="L779" s="24">
        <f>IFERROR(__xludf.DUMMYFUNCTION("""COMPUTED_VALUE"""),2.0)</f>
        <v>2</v>
      </c>
      <c r="M779" s="25" t="str">
        <f>IFERROR(__xludf.DUMMYFUNCTION("""COMPUTED_VALUE"""),"Fighting")</f>
        <v>Fighting</v>
      </c>
      <c r="N779" s="25"/>
      <c r="O779" s="26" t="str">
        <f>IFERROR(__xludf.DUMMYFUNCTION("""COMPUTED_VALUE"""),"No")</f>
        <v>No</v>
      </c>
      <c r="P779" s="26"/>
    </row>
    <row r="780">
      <c r="A780" s="81" t="str">
        <f>IFERROR(__xludf.DUMMYFUNCTION("""COMPUTED_VALUE"""),"Harvest Moon: Save the Homeland")</f>
        <v>Harvest Moon: Save the Homeland</v>
      </c>
      <c r="B780" s="82" t="str">
        <f>IFERROR(__xludf.DUMMYFUNCTION("""COMPUTED_VALUE"""),"PS5/PS4")</f>
        <v>PS5/PS4</v>
      </c>
      <c r="C780" s="83" t="str">
        <f>IFERROR(__xludf.DUMMYFUNCTION("""COMPUTED_VALUE"""),"Playstation Now (Discontinued)")</f>
        <v>Playstation Now (Discontinued)</v>
      </c>
      <c r="D780" s="82" t="str">
        <f>IFERROR(__xludf.DUMMYFUNCTION("""COMPUTED_VALUE"""),"Removed")</f>
        <v>Removed</v>
      </c>
      <c r="E780" s="84">
        <f>IFERROR(__xludf.DUMMYFUNCTION("""COMPUTED_VALUE"""),43410.0)</f>
        <v>43410</v>
      </c>
      <c r="F780" s="85">
        <f>IFERROR(__xludf.DUMMYFUNCTION("""COMPUTED_VALUE"""),44725.0)</f>
        <v>44725</v>
      </c>
      <c r="G780" s="86">
        <f>IFERROR(__xludf.DUMMYFUNCTION("""COMPUTED_VALUE"""),43.233333333333334)</f>
        <v>43.23333333</v>
      </c>
      <c r="H780" s="84">
        <f>IFERROR(__xludf.DUMMYFUNCTION("""COMPUTED_VALUE"""),37278.0)</f>
        <v>37278</v>
      </c>
      <c r="I780" s="86">
        <f>IFERROR(__xludf.DUMMYFUNCTION("""COMPUTED_VALUE"""),16.788888888888888)</f>
        <v>16.78888889</v>
      </c>
      <c r="J780" s="87">
        <f>IFERROR(__xludf.DUMMYFUNCTION("""COMPUTED_VALUE"""),75.0)</f>
        <v>75</v>
      </c>
      <c r="K780" s="88">
        <f>IFERROR(__xludf.DUMMYFUNCTION("""COMPUTED_VALUE"""),8.0)</f>
        <v>8</v>
      </c>
      <c r="L780" s="89">
        <f>IFERROR(__xludf.DUMMYFUNCTION("""COMPUTED_VALUE"""),20.0)</f>
        <v>20</v>
      </c>
      <c r="M780" s="26" t="str">
        <f>IFERROR(__xludf.DUMMYFUNCTION("""COMPUTED_VALUE"""),"RPG")</f>
        <v>RPG</v>
      </c>
      <c r="N780" s="26"/>
      <c r="O780" s="26" t="str">
        <f>IFERROR(__xludf.DUMMYFUNCTION("""COMPUTED_VALUE"""),"No")</f>
        <v>No</v>
      </c>
      <c r="P780" s="26"/>
    </row>
    <row r="781">
      <c r="A781" s="81" t="str">
        <f>IFERROR(__xludf.DUMMYFUNCTION("""COMPUTED_VALUE"""),"Destroy All Humans! 2")</f>
        <v>Destroy All Humans! 2</v>
      </c>
      <c r="B781" s="82" t="str">
        <f>IFERROR(__xludf.DUMMYFUNCTION("""COMPUTED_VALUE"""),"PS5/PS4")</f>
        <v>PS5/PS4</v>
      </c>
      <c r="C781" s="83" t="str">
        <f>IFERROR(__xludf.DUMMYFUNCTION("""COMPUTED_VALUE"""),"Playstation Now (Discontinued)")</f>
        <v>Playstation Now (Discontinued)</v>
      </c>
      <c r="D781" s="82" t="str">
        <f>IFERROR(__xludf.DUMMYFUNCTION("""COMPUTED_VALUE"""),"Removed")</f>
        <v>Removed</v>
      </c>
      <c r="E781" s="84">
        <f>IFERROR(__xludf.DUMMYFUNCTION("""COMPUTED_VALUE"""),43410.0)</f>
        <v>43410</v>
      </c>
      <c r="F781" s="85">
        <f>IFERROR(__xludf.DUMMYFUNCTION("""COMPUTED_VALUE"""),44725.0)</f>
        <v>44725</v>
      </c>
      <c r="G781" s="86">
        <f>IFERROR(__xludf.DUMMYFUNCTION("""COMPUTED_VALUE"""),43.233333333333334)</f>
        <v>43.23333333</v>
      </c>
      <c r="H781" s="84">
        <f>IFERROR(__xludf.DUMMYFUNCTION("""COMPUTED_VALUE"""),38991.0)</f>
        <v>38991</v>
      </c>
      <c r="I781" s="86">
        <f>IFERROR(__xludf.DUMMYFUNCTION("""COMPUTED_VALUE"""),12.097222222222221)</f>
        <v>12.09722222</v>
      </c>
      <c r="J781" s="87">
        <f>IFERROR(__xludf.DUMMYFUNCTION("""COMPUTED_VALUE"""),74.0)</f>
        <v>74</v>
      </c>
      <c r="K781" s="88">
        <f>IFERROR(__xludf.DUMMYFUNCTION("""COMPUTED_VALUE"""),8.0)</f>
        <v>8</v>
      </c>
      <c r="L781" s="89">
        <f>IFERROR(__xludf.DUMMYFUNCTION("""COMPUTED_VALUE"""),12.0)</f>
        <v>12</v>
      </c>
      <c r="M781" s="26" t="str">
        <f>IFERROR(__xludf.DUMMYFUNCTION("""COMPUTED_VALUE"""),"Action-Adventure")</f>
        <v>Action-Adventure</v>
      </c>
      <c r="N781" s="26" t="str">
        <f>IFERROR(__xludf.DUMMYFUNCTION("""COMPUTED_VALUE"""),"PS3")</f>
        <v>PS3</v>
      </c>
      <c r="O781" s="26" t="str">
        <f>IFERROR(__xludf.DUMMYFUNCTION("""COMPUTED_VALUE"""),"No")</f>
        <v>No</v>
      </c>
      <c r="P781" s="26"/>
    </row>
    <row r="782">
      <c r="A782" s="81" t="str">
        <f>IFERROR(__xludf.DUMMYFUNCTION("""COMPUTED_VALUE"""),"Bridge Constructor")</f>
        <v>Bridge Constructor</v>
      </c>
      <c r="B782" s="82" t="str">
        <f>IFERROR(__xludf.DUMMYFUNCTION("""COMPUTED_VALUE"""),"PS5/PS4")</f>
        <v>PS5/PS4</v>
      </c>
      <c r="C782" s="83" t="str">
        <f>IFERROR(__xludf.DUMMYFUNCTION("""COMPUTED_VALUE"""),"Playstation Now (Discontinued)")</f>
        <v>Playstation Now (Discontinued)</v>
      </c>
      <c r="D782" s="82" t="str">
        <f>IFERROR(__xludf.DUMMYFUNCTION("""COMPUTED_VALUE"""),"Removed")</f>
        <v>Removed</v>
      </c>
      <c r="E782" s="84">
        <f>IFERROR(__xludf.DUMMYFUNCTION("""COMPUTED_VALUE"""),43378.0)</f>
        <v>43378</v>
      </c>
      <c r="F782" s="85">
        <f>IFERROR(__xludf.DUMMYFUNCTION("""COMPUTED_VALUE"""),44725.0)</f>
        <v>44725</v>
      </c>
      <c r="G782" s="86">
        <f>IFERROR(__xludf.DUMMYFUNCTION("""COMPUTED_VALUE"""),44.266666666666666)</f>
        <v>44.26666667</v>
      </c>
      <c r="H782" s="84">
        <f>IFERROR(__xludf.DUMMYFUNCTION("""COMPUTED_VALUE"""),42237.0)</f>
        <v>42237</v>
      </c>
      <c r="I782" s="86">
        <f>IFERROR(__xludf.DUMMYFUNCTION("""COMPUTED_VALUE"""),3.1222222222222222)</f>
        <v>3.122222222</v>
      </c>
      <c r="J782" s="87">
        <f>IFERROR(__xludf.DUMMYFUNCTION("""COMPUTED_VALUE"""),58.0)</f>
        <v>58</v>
      </c>
      <c r="K782" s="88">
        <f>IFERROR(__xludf.DUMMYFUNCTION("""COMPUTED_VALUE"""),6.1)</f>
        <v>6.1</v>
      </c>
      <c r="L782" s="89">
        <f>IFERROR(__xludf.DUMMYFUNCTION("""COMPUTED_VALUE"""),8.0)</f>
        <v>8</v>
      </c>
      <c r="M782" s="26" t="str">
        <f>IFERROR(__xludf.DUMMYFUNCTION("""COMPUTED_VALUE"""),"Simulation")</f>
        <v>Simulation</v>
      </c>
      <c r="N782" s="26"/>
      <c r="O782" s="26" t="str">
        <f>IFERROR(__xludf.DUMMYFUNCTION("""COMPUTED_VALUE"""),"No")</f>
        <v>No</v>
      </c>
      <c r="P782" s="26"/>
    </row>
    <row r="783">
      <c r="A783" s="81" t="str">
        <f>IFERROR(__xludf.DUMMYFUNCTION("""COMPUTED_VALUE"""),"100ft Robot Golf")</f>
        <v>100ft Robot Golf</v>
      </c>
      <c r="B783" s="82" t="str">
        <f>IFERROR(__xludf.DUMMYFUNCTION("""COMPUTED_VALUE"""),"PS5/PS4")</f>
        <v>PS5/PS4</v>
      </c>
      <c r="C783" s="83" t="str">
        <f>IFERROR(__xludf.DUMMYFUNCTION("""COMPUTED_VALUE"""),"Playstation Now (Discontinued)")</f>
        <v>Playstation Now (Discontinued)</v>
      </c>
      <c r="D783" s="82" t="str">
        <f>IFERROR(__xludf.DUMMYFUNCTION("""COMPUTED_VALUE"""),"Removed")</f>
        <v>Removed</v>
      </c>
      <c r="E783" s="84">
        <f>IFERROR(__xludf.DUMMYFUNCTION("""COMPUTED_VALUE"""),43378.0)</f>
        <v>43378</v>
      </c>
      <c r="F783" s="85">
        <f>IFERROR(__xludf.DUMMYFUNCTION("""COMPUTED_VALUE"""),44725.0)</f>
        <v>44725</v>
      </c>
      <c r="G783" s="86">
        <f>IFERROR(__xludf.DUMMYFUNCTION("""COMPUTED_VALUE"""),44.266666666666666)</f>
        <v>44.26666667</v>
      </c>
      <c r="H783" s="84">
        <f>IFERROR(__xludf.DUMMYFUNCTION("""COMPUTED_VALUE"""),43005.0)</f>
        <v>43005</v>
      </c>
      <c r="I783" s="86">
        <f>IFERROR(__xludf.DUMMYFUNCTION("""COMPUTED_VALUE"""),1.0222222222222221)</f>
        <v>1.022222222</v>
      </c>
      <c r="J783" s="87">
        <f>IFERROR(__xludf.DUMMYFUNCTION("""COMPUTED_VALUE"""),56.0)</f>
        <v>56</v>
      </c>
      <c r="K783" s="88">
        <f>IFERROR(__xludf.DUMMYFUNCTION("""COMPUTED_VALUE"""),6.1)</f>
        <v>6.1</v>
      </c>
      <c r="L783" s="89">
        <f>IFERROR(__xludf.DUMMYFUNCTION("""COMPUTED_VALUE"""),6.0)</f>
        <v>6</v>
      </c>
      <c r="M783" s="26" t="str">
        <f>IFERROR(__xludf.DUMMYFUNCTION("""COMPUTED_VALUE"""),"Golf")</f>
        <v>Golf</v>
      </c>
      <c r="N783" s="26"/>
      <c r="O783" s="26" t="str">
        <f>IFERROR(__xludf.DUMMYFUNCTION("""COMPUTED_VALUE"""),"No")</f>
        <v>No</v>
      </c>
      <c r="P783" s="26"/>
    </row>
    <row r="784">
      <c r="A784" s="81" t="str">
        <f>IFERROR(__xludf.DUMMYFUNCTION("""COMPUTED_VALUE"""),"Styx: Shards of Darkness")</f>
        <v>Styx: Shards of Darkness</v>
      </c>
      <c r="B784" s="82" t="str">
        <f>IFERROR(__xludf.DUMMYFUNCTION("""COMPUTED_VALUE"""),"PS5/PS4")</f>
        <v>PS5/PS4</v>
      </c>
      <c r="C784" s="83" t="str">
        <f>IFERROR(__xludf.DUMMYFUNCTION("""COMPUTED_VALUE"""),"Playstation Now (Discontinued)")</f>
        <v>Playstation Now (Discontinued)</v>
      </c>
      <c r="D784" s="82" t="str">
        <f>IFERROR(__xludf.DUMMYFUNCTION("""COMPUTED_VALUE"""),"Removed")</f>
        <v>Removed</v>
      </c>
      <c r="E784" s="84">
        <f>IFERROR(__xludf.DUMMYFUNCTION("""COMPUTED_VALUE"""),43378.0)</f>
        <v>43378</v>
      </c>
      <c r="F784" s="85">
        <f>IFERROR(__xludf.DUMMYFUNCTION("""COMPUTED_VALUE"""),44725.0)</f>
        <v>44725</v>
      </c>
      <c r="G784" s="86">
        <f>IFERROR(__xludf.DUMMYFUNCTION("""COMPUTED_VALUE"""),44.266666666666666)</f>
        <v>44.26666667</v>
      </c>
      <c r="H784" s="84">
        <f>IFERROR(__xludf.DUMMYFUNCTION("""COMPUTED_VALUE"""),42808.0)</f>
        <v>42808</v>
      </c>
      <c r="I784" s="86">
        <f>IFERROR(__xludf.DUMMYFUNCTION("""COMPUTED_VALUE"""),1.5583333333333333)</f>
        <v>1.558333333</v>
      </c>
      <c r="J784" s="87">
        <f>IFERROR(__xludf.DUMMYFUNCTION("""COMPUTED_VALUE"""),72.0)</f>
        <v>72</v>
      </c>
      <c r="K784" s="88">
        <f>IFERROR(__xludf.DUMMYFUNCTION("""COMPUTED_VALUE"""),7.7)</f>
        <v>7.7</v>
      </c>
      <c r="L784" s="89">
        <f>IFERROR(__xludf.DUMMYFUNCTION("""COMPUTED_VALUE"""),14.0)</f>
        <v>14</v>
      </c>
      <c r="M784" s="26" t="str">
        <f>IFERROR(__xludf.DUMMYFUNCTION("""COMPUTED_VALUE"""),"Action-Adventure")</f>
        <v>Action-Adventure</v>
      </c>
      <c r="N784" s="26"/>
      <c r="O784" s="26" t="str">
        <f>IFERROR(__xludf.DUMMYFUNCTION("""COMPUTED_VALUE"""),"No")</f>
        <v>No</v>
      </c>
      <c r="P784" s="26"/>
    </row>
    <row r="785">
      <c r="A785" s="81" t="str">
        <f>IFERROR(__xludf.DUMMYFUNCTION("""COMPUTED_VALUE"""),"Ducati: 90th Anniversary")</f>
        <v>Ducati: 90th Anniversary</v>
      </c>
      <c r="B785" s="82" t="str">
        <f>IFERROR(__xludf.DUMMYFUNCTION("""COMPUTED_VALUE"""),"PS5/PS4")</f>
        <v>PS5/PS4</v>
      </c>
      <c r="C785" s="83" t="str">
        <f>IFERROR(__xludf.DUMMYFUNCTION("""COMPUTED_VALUE"""),"Playstation Now (Discontinued)")</f>
        <v>Playstation Now (Discontinued)</v>
      </c>
      <c r="D785" s="82" t="str">
        <f>IFERROR(__xludf.DUMMYFUNCTION("""COMPUTED_VALUE"""),"Removed")</f>
        <v>Removed</v>
      </c>
      <c r="E785" s="84">
        <f>IFERROR(__xludf.DUMMYFUNCTION("""COMPUTED_VALUE"""),43378.0)</f>
        <v>43378</v>
      </c>
      <c r="F785" s="85">
        <f>IFERROR(__xludf.DUMMYFUNCTION("""COMPUTED_VALUE"""),44725.0)</f>
        <v>44725</v>
      </c>
      <c r="G785" s="86">
        <f>IFERROR(__xludf.DUMMYFUNCTION("""COMPUTED_VALUE"""),44.266666666666666)</f>
        <v>44.26666667</v>
      </c>
      <c r="H785" s="84">
        <f>IFERROR(__xludf.DUMMYFUNCTION("""COMPUTED_VALUE"""),42530.0)</f>
        <v>42530</v>
      </c>
      <c r="I785" s="86">
        <f>IFERROR(__xludf.DUMMYFUNCTION("""COMPUTED_VALUE"""),2.3222222222222224)</f>
        <v>2.322222222</v>
      </c>
      <c r="J785" s="87">
        <f>IFERROR(__xludf.DUMMYFUNCTION("""COMPUTED_VALUE"""),48.0)</f>
        <v>48</v>
      </c>
      <c r="K785" s="88">
        <f>IFERROR(__xludf.DUMMYFUNCTION("""COMPUTED_VALUE"""),5.5)</f>
        <v>5.5</v>
      </c>
      <c r="L785" s="89"/>
      <c r="M785" s="26" t="str">
        <f>IFERROR(__xludf.DUMMYFUNCTION("""COMPUTED_VALUE"""),"Racing")</f>
        <v>Racing</v>
      </c>
      <c r="N785" s="26"/>
      <c r="O785" s="26" t="str">
        <f>IFERROR(__xludf.DUMMYFUNCTION("""COMPUTED_VALUE"""),"No")</f>
        <v>No</v>
      </c>
      <c r="P785" s="26"/>
    </row>
    <row r="786">
      <c r="A786" s="81" t="str">
        <f>IFERROR(__xludf.DUMMYFUNCTION("""COMPUTED_VALUE"""),"Asdivine Hearts")</f>
        <v>Asdivine Hearts</v>
      </c>
      <c r="B786" s="82" t="str">
        <f>IFERROR(__xludf.DUMMYFUNCTION("""COMPUTED_VALUE"""),"PS5/PS4")</f>
        <v>PS5/PS4</v>
      </c>
      <c r="C786" s="83" t="str">
        <f>IFERROR(__xludf.DUMMYFUNCTION("""COMPUTED_VALUE"""),"Playstation Now (Discontinued)")</f>
        <v>Playstation Now (Discontinued)</v>
      </c>
      <c r="D786" s="82" t="str">
        <f>IFERROR(__xludf.DUMMYFUNCTION("""COMPUTED_VALUE"""),"Removed")</f>
        <v>Removed</v>
      </c>
      <c r="E786" s="84">
        <f>IFERROR(__xludf.DUMMYFUNCTION("""COMPUTED_VALUE"""),43378.0)</f>
        <v>43378</v>
      </c>
      <c r="F786" s="85">
        <f>IFERROR(__xludf.DUMMYFUNCTION("""COMPUTED_VALUE"""),44725.0)</f>
        <v>44725</v>
      </c>
      <c r="G786" s="86">
        <f>IFERROR(__xludf.DUMMYFUNCTION("""COMPUTED_VALUE"""),44.266666666666666)</f>
        <v>44.26666667</v>
      </c>
      <c r="H786" s="84">
        <f>IFERROR(__xludf.DUMMYFUNCTION("""COMPUTED_VALUE"""),42474.0)</f>
        <v>42474</v>
      </c>
      <c r="I786" s="86">
        <f>IFERROR(__xludf.DUMMYFUNCTION("""COMPUTED_VALUE"""),2.475)</f>
        <v>2.475</v>
      </c>
      <c r="J786" s="87">
        <f>IFERROR(__xludf.DUMMYFUNCTION("""COMPUTED_VALUE"""),57.0)</f>
        <v>57</v>
      </c>
      <c r="K786" s="88">
        <f>IFERROR(__xludf.DUMMYFUNCTION("""COMPUTED_VALUE"""),6.4)</f>
        <v>6.4</v>
      </c>
      <c r="L786" s="89">
        <f>IFERROR(__xludf.DUMMYFUNCTION("""COMPUTED_VALUE"""),26.5)</f>
        <v>26.5</v>
      </c>
      <c r="M786" s="26" t="str">
        <f>IFERROR(__xludf.DUMMYFUNCTION("""COMPUTED_VALUE"""),"RPG")</f>
        <v>RPG</v>
      </c>
      <c r="N786" s="26"/>
      <c r="O786" s="26" t="str">
        <f>IFERROR(__xludf.DUMMYFUNCTION("""COMPUTED_VALUE"""),"No")</f>
        <v>No</v>
      </c>
      <c r="P786" s="26"/>
    </row>
    <row r="787">
      <c r="A787" s="81" t="str">
        <f>IFERROR(__xludf.DUMMYFUNCTION("""COMPUTED_VALUE"""),"Costume Quest 2")</f>
        <v>Costume Quest 2</v>
      </c>
      <c r="B787" s="82" t="str">
        <f>IFERROR(__xludf.DUMMYFUNCTION("""COMPUTED_VALUE"""),"PS5/PS4")</f>
        <v>PS5/PS4</v>
      </c>
      <c r="C787" s="83" t="str">
        <f>IFERROR(__xludf.DUMMYFUNCTION("""COMPUTED_VALUE"""),"Playstation Now (Discontinued)")</f>
        <v>Playstation Now (Discontinued)</v>
      </c>
      <c r="D787" s="82" t="str">
        <f>IFERROR(__xludf.DUMMYFUNCTION("""COMPUTED_VALUE"""),"Removed")</f>
        <v>Removed</v>
      </c>
      <c r="E787" s="84">
        <f>IFERROR(__xludf.DUMMYFUNCTION("""COMPUTED_VALUE"""),43378.0)</f>
        <v>43378</v>
      </c>
      <c r="F787" s="85">
        <f>IFERROR(__xludf.DUMMYFUNCTION("""COMPUTED_VALUE"""),44725.0)</f>
        <v>44725</v>
      </c>
      <c r="G787" s="86">
        <f>IFERROR(__xludf.DUMMYFUNCTION("""COMPUTED_VALUE"""),44.266666666666666)</f>
        <v>44.26666667</v>
      </c>
      <c r="H787" s="84">
        <f>IFERROR(__xludf.DUMMYFUNCTION("""COMPUTED_VALUE"""),41919.0)</f>
        <v>41919</v>
      </c>
      <c r="I787" s="86">
        <f>IFERROR(__xludf.DUMMYFUNCTION("""COMPUTED_VALUE"""),3.9944444444444445)</f>
        <v>3.994444444</v>
      </c>
      <c r="J787" s="87">
        <f>IFERROR(__xludf.DUMMYFUNCTION("""COMPUTED_VALUE"""),70.0)</f>
        <v>70</v>
      </c>
      <c r="K787" s="88">
        <f>IFERROR(__xludf.DUMMYFUNCTION("""COMPUTED_VALUE"""),6.8)</f>
        <v>6.8</v>
      </c>
      <c r="L787" s="89">
        <f>IFERROR(__xludf.DUMMYFUNCTION("""COMPUTED_VALUE"""),7.5)</f>
        <v>7.5</v>
      </c>
      <c r="M787" s="26" t="str">
        <f>IFERROR(__xludf.DUMMYFUNCTION("""COMPUTED_VALUE"""),"RPG")</f>
        <v>RPG</v>
      </c>
      <c r="N787" s="26"/>
      <c r="O787" s="26" t="str">
        <f>IFERROR(__xludf.DUMMYFUNCTION("""COMPUTED_VALUE"""),"No")</f>
        <v>No</v>
      </c>
      <c r="P787" s="26"/>
    </row>
    <row r="788">
      <c r="A788" s="81" t="str">
        <f>IFERROR(__xludf.DUMMYFUNCTION("""COMPUTED_VALUE"""),"Torment: Tides of Numenera")</f>
        <v>Torment: Tides of Numenera</v>
      </c>
      <c r="B788" s="82" t="str">
        <f>IFERROR(__xludf.DUMMYFUNCTION("""COMPUTED_VALUE"""),"PS5/PS4")</f>
        <v>PS5/PS4</v>
      </c>
      <c r="C788" s="83" t="str">
        <f>IFERROR(__xludf.DUMMYFUNCTION("""COMPUTED_VALUE"""),"Playstation Now (Discontinued)")</f>
        <v>Playstation Now (Discontinued)</v>
      </c>
      <c r="D788" s="82" t="str">
        <f>IFERROR(__xludf.DUMMYFUNCTION("""COMPUTED_VALUE"""),"Removed")</f>
        <v>Removed</v>
      </c>
      <c r="E788" s="84">
        <f>IFERROR(__xludf.DUMMYFUNCTION("""COMPUTED_VALUE"""),43378.0)</f>
        <v>43378</v>
      </c>
      <c r="F788" s="85">
        <f>IFERROR(__xludf.DUMMYFUNCTION("""COMPUTED_VALUE"""),44725.0)</f>
        <v>44725</v>
      </c>
      <c r="G788" s="86">
        <f>IFERROR(__xludf.DUMMYFUNCTION("""COMPUTED_VALUE"""),44.266666666666666)</f>
        <v>44.26666667</v>
      </c>
      <c r="H788" s="84">
        <f>IFERROR(__xludf.DUMMYFUNCTION("""COMPUTED_VALUE"""),42794.0)</f>
        <v>42794</v>
      </c>
      <c r="I788" s="86">
        <f>IFERROR(__xludf.DUMMYFUNCTION("""COMPUTED_VALUE"""),1.6027777777777779)</f>
        <v>1.602777778</v>
      </c>
      <c r="J788" s="87">
        <f>IFERROR(__xludf.DUMMYFUNCTION("""COMPUTED_VALUE"""),81.0)</f>
        <v>81</v>
      </c>
      <c r="K788" s="88">
        <f>IFERROR(__xludf.DUMMYFUNCTION("""COMPUTED_VALUE"""),6.9)</f>
        <v>6.9</v>
      </c>
      <c r="L788" s="89">
        <f>IFERROR(__xludf.DUMMYFUNCTION("""COMPUTED_VALUE"""),24.0)</f>
        <v>24</v>
      </c>
      <c r="M788" s="26" t="str">
        <f>IFERROR(__xludf.DUMMYFUNCTION("""COMPUTED_VALUE"""),"RPG")</f>
        <v>RPG</v>
      </c>
      <c r="N788" s="26"/>
      <c r="O788" s="26" t="str">
        <f>IFERROR(__xludf.DUMMYFUNCTION("""COMPUTED_VALUE"""),"No")</f>
        <v>No</v>
      </c>
      <c r="P788" s="26"/>
    </row>
    <row r="789">
      <c r="A789" s="81" t="str">
        <f>IFERROR(__xludf.DUMMYFUNCTION("""COMPUTED_VALUE"""),"Moto Racer 4")</f>
        <v>Moto Racer 4</v>
      </c>
      <c r="B789" s="82" t="str">
        <f>IFERROR(__xludf.DUMMYFUNCTION("""COMPUTED_VALUE"""),"PS5/PS4")</f>
        <v>PS5/PS4</v>
      </c>
      <c r="C789" s="83" t="str">
        <f>IFERROR(__xludf.DUMMYFUNCTION("""COMPUTED_VALUE"""),"Playstation Now (Discontinued)")</f>
        <v>Playstation Now (Discontinued)</v>
      </c>
      <c r="D789" s="82" t="str">
        <f>IFERROR(__xludf.DUMMYFUNCTION("""COMPUTED_VALUE"""),"Removed")</f>
        <v>Removed</v>
      </c>
      <c r="E789" s="84">
        <f>IFERROR(__xludf.DUMMYFUNCTION("""COMPUTED_VALUE"""),43347.0)</f>
        <v>43347</v>
      </c>
      <c r="F789" s="85">
        <f>IFERROR(__xludf.DUMMYFUNCTION("""COMPUTED_VALUE"""),44725.0)</f>
        <v>44725</v>
      </c>
      <c r="G789" s="86">
        <f>IFERROR(__xludf.DUMMYFUNCTION("""COMPUTED_VALUE"""),45.3)</f>
        <v>45.3</v>
      </c>
      <c r="H789" s="84">
        <f>IFERROR(__xludf.DUMMYFUNCTION("""COMPUTED_VALUE"""),42759.0)</f>
        <v>42759</v>
      </c>
      <c r="I789" s="86">
        <f>IFERROR(__xludf.DUMMYFUNCTION("""COMPUTED_VALUE"""),1.6111111111111112)</f>
        <v>1.611111111</v>
      </c>
      <c r="J789" s="87">
        <f>IFERROR(__xludf.DUMMYFUNCTION("""COMPUTED_VALUE"""),49.0)</f>
        <v>49</v>
      </c>
      <c r="K789" s="88">
        <f>IFERROR(__xludf.DUMMYFUNCTION("""COMPUTED_VALUE"""),5.0)</f>
        <v>5</v>
      </c>
      <c r="L789" s="89">
        <f>IFERROR(__xludf.DUMMYFUNCTION("""COMPUTED_VALUE"""),4.0)</f>
        <v>4</v>
      </c>
      <c r="M789" s="26" t="str">
        <f>IFERROR(__xludf.DUMMYFUNCTION("""COMPUTED_VALUE"""),"Racing")</f>
        <v>Racing</v>
      </c>
      <c r="N789" s="26"/>
      <c r="O789" s="26" t="str">
        <f>IFERROR(__xludf.DUMMYFUNCTION("""COMPUTED_VALUE"""),"No")</f>
        <v>No</v>
      </c>
      <c r="P789" s="26"/>
    </row>
    <row r="790">
      <c r="A790" s="81" t="str">
        <f>IFERROR(__xludf.DUMMYFUNCTION("""COMPUTED_VALUE"""),"Alchemic Jousts")</f>
        <v>Alchemic Jousts</v>
      </c>
      <c r="B790" s="82" t="str">
        <f>IFERROR(__xludf.DUMMYFUNCTION("""COMPUTED_VALUE"""),"PS5/PS4")</f>
        <v>PS5/PS4</v>
      </c>
      <c r="C790" s="83" t="str">
        <f>IFERROR(__xludf.DUMMYFUNCTION("""COMPUTED_VALUE"""),"Playstation Now (Discontinued)")</f>
        <v>Playstation Now (Discontinued)</v>
      </c>
      <c r="D790" s="82" t="str">
        <f>IFERROR(__xludf.DUMMYFUNCTION("""COMPUTED_VALUE"""),"Removed")</f>
        <v>Removed</v>
      </c>
      <c r="E790" s="84">
        <f>IFERROR(__xludf.DUMMYFUNCTION("""COMPUTED_VALUE"""),43347.0)</f>
        <v>43347</v>
      </c>
      <c r="F790" s="85">
        <f>IFERROR(__xludf.DUMMYFUNCTION("""COMPUTED_VALUE"""),44725.0)</f>
        <v>44725</v>
      </c>
      <c r="G790" s="86">
        <f>IFERROR(__xludf.DUMMYFUNCTION("""COMPUTED_VALUE"""),45.3)</f>
        <v>45.3</v>
      </c>
      <c r="H790" s="84">
        <f>IFERROR(__xludf.DUMMYFUNCTION("""COMPUTED_VALUE"""),42696.0)</f>
        <v>42696</v>
      </c>
      <c r="I790" s="86">
        <f>IFERROR(__xludf.DUMMYFUNCTION("""COMPUTED_VALUE"""),1.7833333333333334)</f>
        <v>1.783333333</v>
      </c>
      <c r="J790" s="87">
        <f>IFERROR(__xludf.DUMMYFUNCTION("""COMPUTED_VALUE"""),65.0)</f>
        <v>65</v>
      </c>
      <c r="K790" s="88">
        <f>IFERROR(__xludf.DUMMYFUNCTION("""COMPUTED_VALUE"""),6.3)</f>
        <v>6.3</v>
      </c>
      <c r="L790" s="89"/>
      <c r="M790" s="26" t="str">
        <f>IFERROR(__xludf.DUMMYFUNCTION("""COMPUTED_VALUE"""),"Action-Adventure")</f>
        <v>Action-Adventure</v>
      </c>
      <c r="N790" s="26"/>
      <c r="O790" s="26" t="str">
        <f>IFERROR(__xludf.DUMMYFUNCTION("""COMPUTED_VALUE"""),"No")</f>
        <v>No</v>
      </c>
      <c r="P790" s="26"/>
    </row>
    <row r="791">
      <c r="A791" s="81" t="str">
        <f>IFERROR(__xludf.DUMMYFUNCTION("""COMPUTED_VALUE"""),"God Eater: Resurrection")</f>
        <v>God Eater: Resurrection</v>
      </c>
      <c r="B791" s="82" t="str">
        <f>IFERROR(__xludf.DUMMYFUNCTION("""COMPUTED_VALUE"""),"PS5/PS4")</f>
        <v>PS5/PS4</v>
      </c>
      <c r="C791" s="83" t="str">
        <f>IFERROR(__xludf.DUMMYFUNCTION("""COMPUTED_VALUE"""),"Playstation Now (Discontinued)")</f>
        <v>Playstation Now (Discontinued)</v>
      </c>
      <c r="D791" s="82" t="str">
        <f>IFERROR(__xludf.DUMMYFUNCTION("""COMPUTED_VALUE"""),"Removed")</f>
        <v>Removed</v>
      </c>
      <c r="E791" s="84">
        <f>IFERROR(__xludf.DUMMYFUNCTION("""COMPUTED_VALUE"""),43347.0)</f>
        <v>43347</v>
      </c>
      <c r="F791" s="85">
        <f>IFERROR(__xludf.DUMMYFUNCTION("""COMPUTED_VALUE"""),44725.0)</f>
        <v>44725</v>
      </c>
      <c r="G791" s="86">
        <f>IFERROR(__xludf.DUMMYFUNCTION("""COMPUTED_VALUE"""),45.3)</f>
        <v>45.3</v>
      </c>
      <c r="H791" s="84">
        <f>IFERROR(__xludf.DUMMYFUNCTION("""COMPUTED_VALUE"""),42550.0)</f>
        <v>42550</v>
      </c>
      <c r="I791" s="86">
        <f>IFERROR(__xludf.DUMMYFUNCTION("""COMPUTED_VALUE"""),2.1805555555555554)</f>
        <v>2.180555556</v>
      </c>
      <c r="J791" s="87">
        <f>IFERROR(__xludf.DUMMYFUNCTION("""COMPUTED_VALUE"""),70.0)</f>
        <v>70</v>
      </c>
      <c r="K791" s="88">
        <f>IFERROR(__xludf.DUMMYFUNCTION("""COMPUTED_VALUE"""),7.0)</f>
        <v>7</v>
      </c>
      <c r="L791" s="89">
        <f>IFERROR(__xludf.DUMMYFUNCTION("""COMPUTED_VALUE"""),32.0)</f>
        <v>32</v>
      </c>
      <c r="M791" s="26" t="str">
        <f>IFERROR(__xludf.DUMMYFUNCTION("""COMPUTED_VALUE"""),"Action")</f>
        <v>Action</v>
      </c>
      <c r="N791" s="26"/>
      <c r="O791" s="26" t="str">
        <f>IFERROR(__xludf.DUMMYFUNCTION("""COMPUTED_VALUE"""),"No")</f>
        <v>No</v>
      </c>
      <c r="P791" s="26"/>
    </row>
    <row r="792">
      <c r="A792" s="81" t="str">
        <f>IFERROR(__xludf.DUMMYFUNCTION("""COMPUTED_VALUE"""),"Aces of the Luftwaffe")</f>
        <v>Aces of the Luftwaffe</v>
      </c>
      <c r="B792" s="82" t="str">
        <f>IFERROR(__xludf.DUMMYFUNCTION("""COMPUTED_VALUE"""),"PS5/PS4")</f>
        <v>PS5/PS4</v>
      </c>
      <c r="C792" s="83" t="str">
        <f>IFERROR(__xludf.DUMMYFUNCTION("""COMPUTED_VALUE"""),"Playstation Now (Discontinued)")</f>
        <v>Playstation Now (Discontinued)</v>
      </c>
      <c r="D792" s="82" t="str">
        <f>IFERROR(__xludf.DUMMYFUNCTION("""COMPUTED_VALUE"""),"Removed")</f>
        <v>Removed</v>
      </c>
      <c r="E792" s="84">
        <f>IFERROR(__xludf.DUMMYFUNCTION("""COMPUTED_VALUE"""),43347.0)</f>
        <v>43347</v>
      </c>
      <c r="F792" s="85">
        <f>IFERROR(__xludf.DUMMYFUNCTION("""COMPUTED_VALUE"""),44725.0)</f>
        <v>44725</v>
      </c>
      <c r="G792" s="86">
        <f>IFERROR(__xludf.DUMMYFUNCTION("""COMPUTED_VALUE"""),45.3)</f>
        <v>45.3</v>
      </c>
      <c r="H792" s="84">
        <f>IFERROR(__xludf.DUMMYFUNCTION("""COMPUTED_VALUE"""),41319.0)</f>
        <v>41319</v>
      </c>
      <c r="I792" s="86">
        <f>IFERROR(__xludf.DUMMYFUNCTION("""COMPUTED_VALUE"""),5.555555555555555)</f>
        <v>5.555555556</v>
      </c>
      <c r="J792" s="87"/>
      <c r="K792" s="88"/>
      <c r="L792" s="89"/>
      <c r="M792" s="26" t="str">
        <f>IFERROR(__xludf.DUMMYFUNCTION("""COMPUTED_VALUE"""),"Shooter")</f>
        <v>Shooter</v>
      </c>
      <c r="N792" s="26"/>
      <c r="O792" s="26" t="str">
        <f>IFERROR(__xludf.DUMMYFUNCTION("""COMPUTED_VALUE"""),"No")</f>
        <v>No</v>
      </c>
      <c r="P792" s="26"/>
    </row>
    <row r="793">
      <c r="A793" s="81" t="str">
        <f>IFERROR(__xludf.DUMMYFUNCTION("""COMPUTED_VALUE"""),"Project Cars")</f>
        <v>Project Cars</v>
      </c>
      <c r="B793" s="82" t="str">
        <f>IFERROR(__xludf.DUMMYFUNCTION("""COMPUTED_VALUE"""),"PS5/PS4")</f>
        <v>PS5/PS4</v>
      </c>
      <c r="C793" s="83" t="str">
        <f>IFERROR(__xludf.DUMMYFUNCTION("""COMPUTED_VALUE"""),"Playstation Now (Discontinued)")</f>
        <v>Playstation Now (Discontinued)</v>
      </c>
      <c r="D793" s="82" t="str">
        <f>IFERROR(__xludf.DUMMYFUNCTION("""COMPUTED_VALUE"""),"Removed")</f>
        <v>Removed</v>
      </c>
      <c r="E793" s="84">
        <f>IFERROR(__xludf.DUMMYFUNCTION("""COMPUTED_VALUE"""),43347.0)</f>
        <v>43347</v>
      </c>
      <c r="F793" s="85">
        <f>IFERROR(__xludf.DUMMYFUNCTION("""COMPUTED_VALUE"""),44725.0)</f>
        <v>44725</v>
      </c>
      <c r="G793" s="86">
        <f>IFERROR(__xludf.DUMMYFUNCTION("""COMPUTED_VALUE"""),45.3)</f>
        <v>45.3</v>
      </c>
      <c r="H793" s="84">
        <f>IFERROR(__xludf.DUMMYFUNCTION("""COMPUTED_VALUE"""),42130.0)</f>
        <v>42130</v>
      </c>
      <c r="I793" s="86">
        <f>IFERROR(__xludf.DUMMYFUNCTION("""COMPUTED_VALUE"""),3.327777777777778)</f>
        <v>3.327777778</v>
      </c>
      <c r="J793" s="87">
        <f>IFERROR(__xludf.DUMMYFUNCTION("""COMPUTED_VALUE"""),83.0)</f>
        <v>83</v>
      </c>
      <c r="K793" s="88">
        <f>IFERROR(__xludf.DUMMYFUNCTION("""COMPUTED_VALUE"""),7.2)</f>
        <v>7.2</v>
      </c>
      <c r="L793" s="89"/>
      <c r="M793" s="26" t="str">
        <f>IFERROR(__xludf.DUMMYFUNCTION("""COMPUTED_VALUE"""),"Racing")</f>
        <v>Racing</v>
      </c>
      <c r="N793" s="26"/>
      <c r="O793" s="26" t="str">
        <f>IFERROR(__xludf.DUMMYFUNCTION("""COMPUTED_VALUE"""),"No")</f>
        <v>No</v>
      </c>
      <c r="P793" s="26"/>
    </row>
    <row r="794">
      <c r="A794" s="81" t="str">
        <f>IFERROR(__xludf.DUMMYFUNCTION("""COMPUTED_VALUE"""),"Bard's Gold")</f>
        <v>Bard's Gold</v>
      </c>
      <c r="B794" s="82" t="str">
        <f>IFERROR(__xludf.DUMMYFUNCTION("""COMPUTED_VALUE"""),"PS5/PS4")</f>
        <v>PS5/PS4</v>
      </c>
      <c r="C794" s="83" t="str">
        <f>IFERROR(__xludf.DUMMYFUNCTION("""COMPUTED_VALUE"""),"Playstation Now (Discontinued)")</f>
        <v>Playstation Now (Discontinued)</v>
      </c>
      <c r="D794" s="82" t="str">
        <f>IFERROR(__xludf.DUMMYFUNCTION("""COMPUTED_VALUE"""),"Removed")</f>
        <v>Removed</v>
      </c>
      <c r="E794" s="84">
        <f>IFERROR(__xludf.DUMMYFUNCTION("""COMPUTED_VALUE"""),43347.0)</f>
        <v>43347</v>
      </c>
      <c r="F794" s="85">
        <f>IFERROR(__xludf.DUMMYFUNCTION("""COMPUTED_VALUE"""),44725.0)</f>
        <v>44725</v>
      </c>
      <c r="G794" s="86">
        <f>IFERROR(__xludf.DUMMYFUNCTION("""COMPUTED_VALUE"""),45.3)</f>
        <v>45.3</v>
      </c>
      <c r="H794" s="84">
        <f>IFERROR(__xludf.DUMMYFUNCTION("""COMPUTED_VALUE"""),42551.0)</f>
        <v>42551</v>
      </c>
      <c r="I794" s="86">
        <f>IFERROR(__xludf.DUMMYFUNCTION("""COMPUTED_VALUE"""),2.1777777777777776)</f>
        <v>2.177777778</v>
      </c>
      <c r="J794" s="87">
        <f>IFERROR(__xludf.DUMMYFUNCTION("""COMPUTED_VALUE"""),64.0)</f>
        <v>64</v>
      </c>
      <c r="K794" s="88">
        <f>IFERROR(__xludf.DUMMYFUNCTION("""COMPUTED_VALUE"""),7.0)</f>
        <v>7</v>
      </c>
      <c r="L794" s="89">
        <f>IFERROR(__xludf.DUMMYFUNCTION("""COMPUTED_VALUE"""),5.0)</f>
        <v>5</v>
      </c>
      <c r="M794" s="26" t="str">
        <f>IFERROR(__xludf.DUMMYFUNCTION("""COMPUTED_VALUE"""),"Platformer")</f>
        <v>Platformer</v>
      </c>
      <c r="N794" s="26"/>
      <c r="O794" s="26" t="str">
        <f>IFERROR(__xludf.DUMMYFUNCTION("""COMPUTED_VALUE"""),"No")</f>
        <v>No</v>
      </c>
      <c r="P794" s="26"/>
    </row>
    <row r="795">
      <c r="A795" s="81" t="str">
        <f>IFERROR(__xludf.DUMMYFUNCTION("""COMPUTED_VALUE"""),"Doki-Doki Universe")</f>
        <v>Doki-Doki Universe</v>
      </c>
      <c r="B795" s="82" t="str">
        <f>IFERROR(__xludf.DUMMYFUNCTION("""COMPUTED_VALUE"""),"PS5/PS4")</f>
        <v>PS5/PS4</v>
      </c>
      <c r="C795" s="83" t="str">
        <f>IFERROR(__xludf.DUMMYFUNCTION("""COMPUTED_VALUE"""),"Playstation Now (Discontinued)")</f>
        <v>Playstation Now (Discontinued)</v>
      </c>
      <c r="D795" s="82" t="str">
        <f>IFERROR(__xludf.DUMMYFUNCTION("""COMPUTED_VALUE"""),"Removed")</f>
        <v>Removed</v>
      </c>
      <c r="E795" s="84">
        <f>IFERROR(__xludf.DUMMYFUNCTION("""COMPUTED_VALUE"""),43347.0)</f>
        <v>43347</v>
      </c>
      <c r="F795" s="85">
        <f>IFERROR(__xludf.DUMMYFUNCTION("""COMPUTED_VALUE"""),44725.0)</f>
        <v>44725</v>
      </c>
      <c r="G795" s="86">
        <f>IFERROR(__xludf.DUMMYFUNCTION("""COMPUTED_VALUE"""),45.3)</f>
        <v>45.3</v>
      </c>
      <c r="H795" s="84">
        <f>IFERROR(__xludf.DUMMYFUNCTION("""COMPUTED_VALUE"""),41609.0)</f>
        <v>41609</v>
      </c>
      <c r="I795" s="86">
        <f>IFERROR(__xludf.DUMMYFUNCTION("""COMPUTED_VALUE"""),4.758333333333334)</f>
        <v>4.758333333</v>
      </c>
      <c r="J795" s="87">
        <f>IFERROR(__xludf.DUMMYFUNCTION("""COMPUTED_VALUE"""),71.0)</f>
        <v>71</v>
      </c>
      <c r="K795" s="88">
        <f>IFERROR(__xludf.DUMMYFUNCTION("""COMPUTED_VALUE"""),6.7)</f>
        <v>6.7</v>
      </c>
      <c r="L795" s="89"/>
      <c r="M795" s="26" t="str">
        <f>IFERROR(__xludf.DUMMYFUNCTION("""COMPUTED_VALUE"""),"Action-Adventure")</f>
        <v>Action-Adventure</v>
      </c>
      <c r="N795" s="26"/>
      <c r="O795" s="26" t="str">
        <f>IFERROR(__xludf.DUMMYFUNCTION("""COMPUTED_VALUE"""),"No")</f>
        <v>No</v>
      </c>
      <c r="P795" s="26"/>
    </row>
    <row r="796">
      <c r="A796" s="81" t="str">
        <f>IFERROR(__xludf.DUMMYFUNCTION("""COMPUTED_VALUE"""),"Sound Shapes")</f>
        <v>Sound Shapes</v>
      </c>
      <c r="B796" s="82" t="str">
        <f>IFERROR(__xludf.DUMMYFUNCTION("""COMPUTED_VALUE"""),"PS5/PS4")</f>
        <v>PS5/PS4</v>
      </c>
      <c r="C796" s="83" t="str">
        <f>IFERROR(__xludf.DUMMYFUNCTION("""COMPUTED_VALUE"""),"Playstation Now (Discontinued)")</f>
        <v>Playstation Now (Discontinued)</v>
      </c>
      <c r="D796" s="82" t="str">
        <f>IFERROR(__xludf.DUMMYFUNCTION("""COMPUTED_VALUE"""),"Removed")</f>
        <v>Removed</v>
      </c>
      <c r="E796" s="84">
        <f>IFERROR(__xludf.DUMMYFUNCTION("""COMPUTED_VALUE"""),43347.0)</f>
        <v>43347</v>
      </c>
      <c r="F796" s="85">
        <f>IFERROR(__xludf.DUMMYFUNCTION("""COMPUTED_VALUE"""),44725.0)</f>
        <v>44725</v>
      </c>
      <c r="G796" s="86">
        <f>IFERROR(__xludf.DUMMYFUNCTION("""COMPUTED_VALUE"""),45.3)</f>
        <v>45.3</v>
      </c>
      <c r="H796" s="84">
        <f>IFERROR(__xludf.DUMMYFUNCTION("""COMPUTED_VALUE"""),41122.0)</f>
        <v>41122</v>
      </c>
      <c r="I796" s="86">
        <f>IFERROR(__xludf.DUMMYFUNCTION("""COMPUTED_VALUE"""),6.091666666666667)</f>
        <v>6.091666667</v>
      </c>
      <c r="J796" s="87">
        <f>IFERROR(__xludf.DUMMYFUNCTION("""COMPUTED_VALUE"""),84.0)</f>
        <v>84</v>
      </c>
      <c r="K796" s="88">
        <f>IFERROR(__xludf.DUMMYFUNCTION("""COMPUTED_VALUE"""),7.7)</f>
        <v>7.7</v>
      </c>
      <c r="L796" s="89">
        <f>IFERROR(__xludf.DUMMYFUNCTION("""COMPUTED_VALUE"""),4.0)</f>
        <v>4</v>
      </c>
      <c r="M796" s="26" t="str">
        <f>IFERROR(__xludf.DUMMYFUNCTION("""COMPUTED_VALUE"""),"Platformer")</f>
        <v>Platformer</v>
      </c>
      <c r="N796" s="26"/>
      <c r="O796" s="26" t="str">
        <f>IFERROR(__xludf.DUMMYFUNCTION("""COMPUTED_VALUE"""),"No")</f>
        <v>No</v>
      </c>
      <c r="P796" s="26"/>
    </row>
    <row r="797">
      <c r="A797" s="81" t="str">
        <f>IFERROR(__xludf.DUMMYFUNCTION("""COMPUTED_VALUE"""),"Gem Smashers")</f>
        <v>Gem Smashers</v>
      </c>
      <c r="B797" s="82" t="str">
        <f>IFERROR(__xludf.DUMMYFUNCTION("""COMPUTED_VALUE"""),"PS5/PS4")</f>
        <v>PS5/PS4</v>
      </c>
      <c r="C797" s="83" t="str">
        <f>IFERROR(__xludf.DUMMYFUNCTION("""COMPUTED_VALUE"""),"Playstation Now (Discontinued)")</f>
        <v>Playstation Now (Discontinued)</v>
      </c>
      <c r="D797" s="82" t="str">
        <f>IFERROR(__xludf.DUMMYFUNCTION("""COMPUTED_VALUE"""),"Removed")</f>
        <v>Removed</v>
      </c>
      <c r="E797" s="84">
        <f>IFERROR(__xludf.DUMMYFUNCTION("""COMPUTED_VALUE"""),43312.0)</f>
        <v>43312</v>
      </c>
      <c r="F797" s="85">
        <f>IFERROR(__xludf.DUMMYFUNCTION("""COMPUTED_VALUE"""),44725.0)</f>
        <v>44725</v>
      </c>
      <c r="G797" s="86">
        <f>IFERROR(__xludf.DUMMYFUNCTION("""COMPUTED_VALUE"""),46.43333333333334)</f>
        <v>46.43333333</v>
      </c>
      <c r="H797" s="84">
        <f>IFERROR(__xludf.DUMMYFUNCTION("""COMPUTED_VALUE"""),38981.0)</f>
        <v>38981</v>
      </c>
      <c r="I797" s="86">
        <f>IFERROR(__xludf.DUMMYFUNCTION("""COMPUTED_VALUE"""),11.858333333333333)</f>
        <v>11.85833333</v>
      </c>
      <c r="J797" s="87">
        <f>IFERROR(__xludf.DUMMYFUNCTION("""COMPUTED_VALUE"""),70.0)</f>
        <v>70</v>
      </c>
      <c r="K797" s="88">
        <f>IFERROR(__xludf.DUMMYFUNCTION("""COMPUTED_VALUE"""),7.0)</f>
        <v>7</v>
      </c>
      <c r="L797" s="89">
        <f>IFERROR(__xludf.DUMMYFUNCTION("""COMPUTED_VALUE"""),3.0)</f>
        <v>3</v>
      </c>
      <c r="M797" s="26" t="str">
        <f>IFERROR(__xludf.DUMMYFUNCTION("""COMPUTED_VALUE"""),"Puzzle")</f>
        <v>Puzzle</v>
      </c>
      <c r="N797" s="26"/>
      <c r="O797" s="26" t="str">
        <f>IFERROR(__xludf.DUMMYFUNCTION("""COMPUTED_VALUE"""),"No")</f>
        <v>No</v>
      </c>
      <c r="P797" s="26"/>
    </row>
    <row r="798">
      <c r="A798" s="81" t="str">
        <f>IFERROR(__xludf.DUMMYFUNCTION("""COMPUTED_VALUE"""),"Touhou: Scarlet Curiosity")</f>
        <v>Touhou: Scarlet Curiosity</v>
      </c>
      <c r="B798" s="82" t="str">
        <f>IFERROR(__xludf.DUMMYFUNCTION("""COMPUTED_VALUE"""),"PS5/PS4")</f>
        <v>PS5/PS4</v>
      </c>
      <c r="C798" s="83" t="str">
        <f>IFERROR(__xludf.DUMMYFUNCTION("""COMPUTED_VALUE"""),"Playstation Now (Discontinued)")</f>
        <v>Playstation Now (Discontinued)</v>
      </c>
      <c r="D798" s="82" t="str">
        <f>IFERROR(__xludf.DUMMYFUNCTION("""COMPUTED_VALUE"""),"Removed")</f>
        <v>Removed</v>
      </c>
      <c r="E798" s="84">
        <f>IFERROR(__xludf.DUMMYFUNCTION("""COMPUTED_VALUE"""),43312.0)</f>
        <v>43312</v>
      </c>
      <c r="F798" s="85">
        <f>IFERROR(__xludf.DUMMYFUNCTION("""COMPUTED_VALUE"""),44725.0)</f>
        <v>44725</v>
      </c>
      <c r="G798" s="86">
        <f>IFERROR(__xludf.DUMMYFUNCTION("""COMPUTED_VALUE"""),46.43333333333334)</f>
        <v>46.43333333</v>
      </c>
      <c r="H798" s="84">
        <f>IFERROR(__xludf.DUMMYFUNCTION("""COMPUTED_VALUE"""),42633.0)</f>
        <v>42633</v>
      </c>
      <c r="I798" s="86">
        <f>IFERROR(__xludf.DUMMYFUNCTION("""COMPUTED_VALUE"""),1.8611111111111112)</f>
        <v>1.861111111</v>
      </c>
      <c r="J798" s="87">
        <f>IFERROR(__xludf.DUMMYFUNCTION("""COMPUTED_VALUE"""),58.0)</f>
        <v>58</v>
      </c>
      <c r="K798" s="88">
        <f>IFERROR(__xludf.DUMMYFUNCTION("""COMPUTED_VALUE"""),7.2)</f>
        <v>7.2</v>
      </c>
      <c r="L798" s="89">
        <f>IFERROR(__xludf.DUMMYFUNCTION("""COMPUTED_VALUE"""),5.0)</f>
        <v>5</v>
      </c>
      <c r="M798" s="26" t="str">
        <f>IFERROR(__xludf.DUMMYFUNCTION("""COMPUTED_VALUE"""),"Action-Adventure")</f>
        <v>Action-Adventure</v>
      </c>
      <c r="N798" s="26"/>
      <c r="O798" s="26" t="str">
        <f>IFERROR(__xludf.DUMMYFUNCTION("""COMPUTED_VALUE"""),"No")</f>
        <v>No</v>
      </c>
      <c r="P798" s="26"/>
    </row>
    <row r="799">
      <c r="A799" s="81" t="str">
        <f>IFERROR(__xludf.DUMMYFUNCTION("""COMPUTED_VALUE"""),"BRUT@L")</f>
        <v>BRUT@L</v>
      </c>
      <c r="B799" s="82" t="str">
        <f>IFERROR(__xludf.DUMMYFUNCTION("""COMPUTED_VALUE"""),"PS5/PS4")</f>
        <v>PS5/PS4</v>
      </c>
      <c r="C799" s="83" t="str">
        <f>IFERROR(__xludf.DUMMYFUNCTION("""COMPUTED_VALUE"""),"Playstation Now (Discontinued)")</f>
        <v>Playstation Now (Discontinued)</v>
      </c>
      <c r="D799" s="82" t="str">
        <f>IFERROR(__xludf.DUMMYFUNCTION("""COMPUTED_VALUE"""),"Removed")</f>
        <v>Removed</v>
      </c>
      <c r="E799" s="84">
        <f>IFERROR(__xludf.DUMMYFUNCTION("""COMPUTED_VALUE"""),43312.0)</f>
        <v>43312</v>
      </c>
      <c r="F799" s="85">
        <f>IFERROR(__xludf.DUMMYFUNCTION("""COMPUTED_VALUE"""),44725.0)</f>
        <v>44725</v>
      </c>
      <c r="G799" s="86">
        <f>IFERROR(__xludf.DUMMYFUNCTION("""COMPUTED_VALUE"""),46.43333333333334)</f>
        <v>46.43333333</v>
      </c>
      <c r="H799" s="84">
        <f>IFERROR(__xludf.DUMMYFUNCTION("""COMPUTED_VALUE"""),42591.0)</f>
        <v>42591</v>
      </c>
      <c r="I799" s="86">
        <f>IFERROR(__xludf.DUMMYFUNCTION("""COMPUTED_VALUE"""),1.975)</f>
        <v>1.975</v>
      </c>
      <c r="J799" s="87">
        <f>IFERROR(__xludf.DUMMYFUNCTION("""COMPUTED_VALUE"""),67.0)</f>
        <v>67</v>
      </c>
      <c r="K799" s="88">
        <f>IFERROR(__xludf.DUMMYFUNCTION("""COMPUTED_VALUE"""),6.5)</f>
        <v>6.5</v>
      </c>
      <c r="L799" s="89">
        <f>IFERROR(__xludf.DUMMYFUNCTION("""COMPUTED_VALUE"""),5.0)</f>
        <v>5</v>
      </c>
      <c r="M799" s="26" t="str">
        <f>IFERROR(__xludf.DUMMYFUNCTION("""COMPUTED_VALUE"""),"Action-Adventure")</f>
        <v>Action-Adventure</v>
      </c>
      <c r="N799" s="26"/>
      <c r="O799" s="26" t="str">
        <f>IFERROR(__xludf.DUMMYFUNCTION("""COMPUTED_VALUE"""),"No")</f>
        <v>No</v>
      </c>
      <c r="P799" s="26"/>
    </row>
    <row r="800">
      <c r="A800" s="81" t="str">
        <f>IFERROR(__xludf.DUMMYFUNCTION("""COMPUTED_VALUE"""),"Lost Sea")</f>
        <v>Lost Sea</v>
      </c>
      <c r="B800" s="82" t="str">
        <f>IFERROR(__xludf.DUMMYFUNCTION("""COMPUTED_VALUE"""),"PS5/PS4")</f>
        <v>PS5/PS4</v>
      </c>
      <c r="C800" s="83" t="str">
        <f>IFERROR(__xludf.DUMMYFUNCTION("""COMPUTED_VALUE"""),"Playstation Now (Discontinued)")</f>
        <v>Playstation Now (Discontinued)</v>
      </c>
      <c r="D800" s="82" t="str">
        <f>IFERROR(__xludf.DUMMYFUNCTION("""COMPUTED_VALUE"""),"Removed")</f>
        <v>Removed</v>
      </c>
      <c r="E800" s="84">
        <f>IFERROR(__xludf.DUMMYFUNCTION("""COMPUTED_VALUE"""),43312.0)</f>
        <v>43312</v>
      </c>
      <c r="F800" s="85">
        <f>IFERROR(__xludf.DUMMYFUNCTION("""COMPUTED_VALUE"""),44725.0)</f>
        <v>44725</v>
      </c>
      <c r="G800" s="86">
        <f>IFERROR(__xludf.DUMMYFUNCTION("""COMPUTED_VALUE"""),46.43333333333334)</f>
        <v>46.43333333</v>
      </c>
      <c r="H800" s="84">
        <f>IFERROR(__xludf.DUMMYFUNCTION("""COMPUTED_VALUE"""),42555.0)</f>
        <v>42555</v>
      </c>
      <c r="I800" s="86">
        <f>IFERROR(__xludf.DUMMYFUNCTION("""COMPUTED_VALUE"""),2.0722222222222224)</f>
        <v>2.072222222</v>
      </c>
      <c r="J800" s="87">
        <f>IFERROR(__xludf.DUMMYFUNCTION("""COMPUTED_VALUE"""),59.0)</f>
        <v>59</v>
      </c>
      <c r="K800" s="88">
        <f>IFERROR(__xludf.DUMMYFUNCTION("""COMPUTED_VALUE"""),6.8)</f>
        <v>6.8</v>
      </c>
      <c r="L800" s="89">
        <f>IFERROR(__xludf.DUMMYFUNCTION("""COMPUTED_VALUE"""),7.0)</f>
        <v>7</v>
      </c>
      <c r="M800" s="26" t="str">
        <f>IFERROR(__xludf.DUMMYFUNCTION("""COMPUTED_VALUE"""),"Action-Adventure")</f>
        <v>Action-Adventure</v>
      </c>
      <c r="N800" s="26"/>
      <c r="O800" s="26" t="str">
        <f>IFERROR(__xludf.DUMMYFUNCTION("""COMPUTED_VALUE"""),"No")</f>
        <v>No</v>
      </c>
      <c r="P800" s="26"/>
    </row>
    <row r="801">
      <c r="A801" s="81" t="str">
        <f>IFERROR(__xludf.DUMMYFUNCTION("""COMPUTED_VALUE"""),"Another World: 20th Anniversary Edition")</f>
        <v>Another World: 20th Anniversary Edition</v>
      </c>
      <c r="B801" s="82" t="str">
        <f>IFERROR(__xludf.DUMMYFUNCTION("""COMPUTED_VALUE"""),"PS5/PS4")</f>
        <v>PS5/PS4</v>
      </c>
      <c r="C801" s="83" t="str">
        <f>IFERROR(__xludf.DUMMYFUNCTION("""COMPUTED_VALUE"""),"Playstation Now (Discontinued)")</f>
        <v>Playstation Now (Discontinued)</v>
      </c>
      <c r="D801" s="82" t="str">
        <f>IFERROR(__xludf.DUMMYFUNCTION("""COMPUTED_VALUE"""),"Removed")</f>
        <v>Removed</v>
      </c>
      <c r="E801" s="84">
        <f>IFERROR(__xludf.DUMMYFUNCTION("""COMPUTED_VALUE"""),43312.0)</f>
        <v>43312</v>
      </c>
      <c r="F801" s="85">
        <f>IFERROR(__xludf.DUMMYFUNCTION("""COMPUTED_VALUE"""),44725.0)</f>
        <v>44725</v>
      </c>
      <c r="G801" s="86">
        <f>IFERROR(__xludf.DUMMYFUNCTION("""COMPUTED_VALUE"""),46.43333333333334)</f>
        <v>46.43333333</v>
      </c>
      <c r="H801" s="84">
        <f>IFERROR(__xludf.DUMMYFUNCTION("""COMPUTED_VALUE"""),41815.0)</f>
        <v>41815</v>
      </c>
      <c r="I801" s="86">
        <f>IFERROR(__xludf.DUMMYFUNCTION("""COMPUTED_VALUE"""),4.097222222222222)</f>
        <v>4.097222222</v>
      </c>
      <c r="J801" s="87">
        <f>IFERROR(__xludf.DUMMYFUNCTION("""COMPUTED_VALUE"""),75.0)</f>
        <v>75</v>
      </c>
      <c r="K801" s="88">
        <f>IFERROR(__xludf.DUMMYFUNCTION("""COMPUTED_VALUE"""),6.8)</f>
        <v>6.8</v>
      </c>
      <c r="L801" s="89">
        <f>IFERROR(__xludf.DUMMYFUNCTION("""COMPUTED_VALUE"""),2.0)</f>
        <v>2</v>
      </c>
      <c r="M801" s="26" t="str">
        <f>IFERROR(__xludf.DUMMYFUNCTION("""COMPUTED_VALUE"""),"Action-Adventure")</f>
        <v>Action-Adventure</v>
      </c>
      <c r="N801" s="26"/>
      <c r="O801" s="26" t="str">
        <f>IFERROR(__xludf.DUMMYFUNCTION("""COMPUTED_VALUE"""),"No")</f>
        <v>No</v>
      </c>
      <c r="P801" s="26"/>
    </row>
    <row r="802">
      <c r="A802" s="81" t="str">
        <f>IFERROR(__xludf.DUMMYFUNCTION("""COMPUTED_VALUE"""),"BlazBlue: Central Fiction")</f>
        <v>BlazBlue: Central Fiction</v>
      </c>
      <c r="B802" s="82" t="str">
        <f>IFERROR(__xludf.DUMMYFUNCTION("""COMPUTED_VALUE"""),"PS5/PS4")</f>
        <v>PS5/PS4</v>
      </c>
      <c r="C802" s="83" t="str">
        <f>IFERROR(__xludf.DUMMYFUNCTION("""COMPUTED_VALUE"""),"Playstation Now (Discontinued)")</f>
        <v>Playstation Now (Discontinued)</v>
      </c>
      <c r="D802" s="82" t="str">
        <f>IFERROR(__xludf.DUMMYFUNCTION("""COMPUTED_VALUE"""),"Removed")</f>
        <v>Removed</v>
      </c>
      <c r="E802" s="84">
        <f>IFERROR(__xludf.DUMMYFUNCTION("""COMPUTED_VALUE"""),43284.0)</f>
        <v>43284</v>
      </c>
      <c r="F802" s="85">
        <f>IFERROR(__xludf.DUMMYFUNCTION("""COMPUTED_VALUE"""),44725.0)</f>
        <v>44725</v>
      </c>
      <c r="G802" s="86">
        <f>IFERROR(__xludf.DUMMYFUNCTION("""COMPUTED_VALUE"""),47.333333333333336)</f>
        <v>47.33333333</v>
      </c>
      <c r="H802" s="84">
        <f>IFERROR(__xludf.DUMMYFUNCTION("""COMPUTED_VALUE"""),42675.0)</f>
        <v>42675</v>
      </c>
      <c r="I802" s="86">
        <f>IFERROR(__xludf.DUMMYFUNCTION("""COMPUTED_VALUE"""),1.6722222222222223)</f>
        <v>1.672222222</v>
      </c>
      <c r="J802" s="87">
        <f>IFERROR(__xludf.DUMMYFUNCTION("""COMPUTED_VALUE"""),84.0)</f>
        <v>84</v>
      </c>
      <c r="K802" s="88">
        <f>IFERROR(__xludf.DUMMYFUNCTION("""COMPUTED_VALUE"""),7.8)</f>
        <v>7.8</v>
      </c>
      <c r="L802" s="89"/>
      <c r="M802" s="26" t="str">
        <f>IFERROR(__xludf.DUMMYFUNCTION("""COMPUTED_VALUE"""),"Fighting")</f>
        <v>Fighting</v>
      </c>
      <c r="N802" s="26"/>
      <c r="O802" s="26" t="str">
        <f>IFERROR(__xludf.DUMMYFUNCTION("""COMPUTED_VALUE"""),"No")</f>
        <v>No</v>
      </c>
      <c r="P802" s="26"/>
    </row>
    <row r="803">
      <c r="A803" s="81" t="str">
        <f>IFERROR(__xludf.DUMMYFUNCTION("""COMPUTED_VALUE"""),"MXGP2: The Official Motocross Videogame")</f>
        <v>MXGP2: The Official Motocross Videogame</v>
      </c>
      <c r="B803" s="82" t="str">
        <f>IFERROR(__xludf.DUMMYFUNCTION("""COMPUTED_VALUE"""),"PS5/PS4")</f>
        <v>PS5/PS4</v>
      </c>
      <c r="C803" s="83" t="str">
        <f>IFERROR(__xludf.DUMMYFUNCTION("""COMPUTED_VALUE"""),"Playstation Now (Discontinued)")</f>
        <v>Playstation Now (Discontinued)</v>
      </c>
      <c r="D803" s="82" t="str">
        <f>IFERROR(__xludf.DUMMYFUNCTION("""COMPUTED_VALUE"""),"Removed")</f>
        <v>Removed</v>
      </c>
      <c r="E803" s="84">
        <f>IFERROR(__xludf.DUMMYFUNCTION("""COMPUTED_VALUE"""),43284.0)</f>
        <v>43284</v>
      </c>
      <c r="F803" s="85">
        <f>IFERROR(__xludf.DUMMYFUNCTION("""COMPUTED_VALUE"""),44725.0)</f>
        <v>44725</v>
      </c>
      <c r="G803" s="86">
        <f>IFERROR(__xludf.DUMMYFUNCTION("""COMPUTED_VALUE"""),47.333333333333336)</f>
        <v>47.33333333</v>
      </c>
      <c r="H803" s="84">
        <f>IFERROR(__xludf.DUMMYFUNCTION("""COMPUTED_VALUE"""),42542.0)</f>
        <v>42542</v>
      </c>
      <c r="I803" s="86">
        <f>IFERROR(__xludf.DUMMYFUNCTION("""COMPUTED_VALUE"""),2.033333333333333)</f>
        <v>2.033333333</v>
      </c>
      <c r="J803" s="87">
        <f>IFERROR(__xludf.DUMMYFUNCTION("""COMPUTED_VALUE"""),65.0)</f>
        <v>65</v>
      </c>
      <c r="K803" s="88">
        <f>IFERROR(__xludf.DUMMYFUNCTION("""COMPUTED_VALUE"""),6.5)</f>
        <v>6.5</v>
      </c>
      <c r="L803" s="89">
        <f>IFERROR(__xludf.DUMMYFUNCTION("""COMPUTED_VALUE"""),12.0)</f>
        <v>12</v>
      </c>
      <c r="M803" s="26" t="str">
        <f>IFERROR(__xludf.DUMMYFUNCTION("""COMPUTED_VALUE"""),"Racing")</f>
        <v>Racing</v>
      </c>
      <c r="N803" s="26"/>
      <c r="O803" s="26" t="str">
        <f>IFERROR(__xludf.DUMMYFUNCTION("""COMPUTED_VALUE"""),"No")</f>
        <v>No</v>
      </c>
      <c r="P803" s="26"/>
    </row>
    <row r="804">
      <c r="A804" s="81" t="str">
        <f>IFERROR(__xludf.DUMMYFUNCTION("""COMPUTED_VALUE"""),"Harvest Moon: A Wonderful Life - Special Edition")</f>
        <v>Harvest Moon: A Wonderful Life - Special Edition</v>
      </c>
      <c r="B804" s="82" t="str">
        <f>IFERROR(__xludf.DUMMYFUNCTION("""COMPUTED_VALUE"""),"PS5/PS4")</f>
        <v>PS5/PS4</v>
      </c>
      <c r="C804" s="83" t="str">
        <f>IFERROR(__xludf.DUMMYFUNCTION("""COMPUTED_VALUE"""),"Playstation Now (Discontinued)")</f>
        <v>Playstation Now (Discontinued)</v>
      </c>
      <c r="D804" s="82" t="str">
        <f>IFERROR(__xludf.DUMMYFUNCTION("""COMPUTED_VALUE"""),"Removed")</f>
        <v>Removed</v>
      </c>
      <c r="E804" s="84">
        <f>IFERROR(__xludf.DUMMYFUNCTION("""COMPUTED_VALUE"""),43284.0)</f>
        <v>43284</v>
      </c>
      <c r="F804" s="85">
        <f>IFERROR(__xludf.DUMMYFUNCTION("""COMPUTED_VALUE"""),44725.0)</f>
        <v>44725</v>
      </c>
      <c r="G804" s="86">
        <f>IFERROR(__xludf.DUMMYFUNCTION("""COMPUTED_VALUE"""),47.333333333333336)</f>
        <v>47.33333333</v>
      </c>
      <c r="H804" s="84">
        <f>IFERROR(__xludf.DUMMYFUNCTION("""COMPUTED_VALUE"""),38332.0)</f>
        <v>38332</v>
      </c>
      <c r="I804" s="86">
        <f>IFERROR(__xludf.DUMMYFUNCTION("""COMPUTED_VALUE"""),13.561111111111112)</f>
        <v>13.56111111</v>
      </c>
      <c r="J804" s="87">
        <f>IFERROR(__xludf.DUMMYFUNCTION("""COMPUTED_VALUE"""),67.0)</f>
        <v>67</v>
      </c>
      <c r="K804" s="88">
        <f>IFERROR(__xludf.DUMMYFUNCTION("""COMPUTED_VALUE"""),7.7)</f>
        <v>7.7</v>
      </c>
      <c r="L804" s="89">
        <f>IFERROR(__xludf.DUMMYFUNCTION("""COMPUTED_VALUE"""),20.0)</f>
        <v>20</v>
      </c>
      <c r="M804" s="26" t="str">
        <f>IFERROR(__xludf.DUMMYFUNCTION("""COMPUTED_VALUE"""),"RPG")</f>
        <v>RPG</v>
      </c>
      <c r="N804" s="26"/>
      <c r="O804" s="26" t="str">
        <f>IFERROR(__xludf.DUMMYFUNCTION("""COMPUTED_VALUE"""),"No")</f>
        <v>No</v>
      </c>
      <c r="P804" s="26"/>
    </row>
    <row r="805">
      <c r="A805" s="81" t="str">
        <f>IFERROR(__xludf.DUMMYFUNCTION("""COMPUTED_VALUE"""),"Firefighters: The Simulation")</f>
        <v>Firefighters: The Simulation</v>
      </c>
      <c r="B805" s="82" t="str">
        <f>IFERROR(__xludf.DUMMYFUNCTION("""COMPUTED_VALUE"""),"PS5/PS4")</f>
        <v>PS5/PS4</v>
      </c>
      <c r="C805" s="83" t="str">
        <f>IFERROR(__xludf.DUMMYFUNCTION("""COMPUTED_VALUE"""),"Playstation Now (Discontinued)")</f>
        <v>Playstation Now (Discontinued)</v>
      </c>
      <c r="D805" s="82" t="str">
        <f>IFERROR(__xludf.DUMMYFUNCTION("""COMPUTED_VALUE"""),"Removed")</f>
        <v>Removed</v>
      </c>
      <c r="E805" s="84">
        <f>IFERROR(__xludf.DUMMYFUNCTION("""COMPUTED_VALUE"""),43256.0)</f>
        <v>43256</v>
      </c>
      <c r="F805" s="85">
        <f>IFERROR(__xludf.DUMMYFUNCTION("""COMPUTED_VALUE"""),44725.0)</f>
        <v>44725</v>
      </c>
      <c r="G805" s="86">
        <f>IFERROR(__xludf.DUMMYFUNCTION("""COMPUTED_VALUE"""),48.266666666666666)</f>
        <v>48.26666667</v>
      </c>
      <c r="H805" s="84">
        <f>IFERROR(__xludf.DUMMYFUNCTION("""COMPUTED_VALUE"""),41170.0)</f>
        <v>41170</v>
      </c>
      <c r="I805" s="86">
        <f>IFERROR(__xludf.DUMMYFUNCTION("""COMPUTED_VALUE"""),5.713888888888889)</f>
        <v>5.713888889</v>
      </c>
      <c r="J805" s="87">
        <f>IFERROR(__xludf.DUMMYFUNCTION("""COMPUTED_VALUE"""),33.0)</f>
        <v>33</v>
      </c>
      <c r="K805" s="88"/>
      <c r="L805" s="89">
        <f>IFERROR(__xludf.DUMMYFUNCTION("""COMPUTED_VALUE"""),5.0)</f>
        <v>5</v>
      </c>
      <c r="M805" s="26" t="str">
        <f>IFERROR(__xludf.DUMMYFUNCTION("""COMPUTED_VALUE"""),"Simulation")</f>
        <v>Simulation</v>
      </c>
      <c r="N805" s="26"/>
      <c r="O805" s="26" t="str">
        <f>IFERROR(__xludf.DUMMYFUNCTION("""COMPUTED_VALUE"""),"No")</f>
        <v>No</v>
      </c>
      <c r="P805" s="26"/>
    </row>
    <row r="806">
      <c r="A806" s="81" t="str">
        <f>IFERROR(__xludf.DUMMYFUNCTION("""COMPUTED_VALUE"""),"Table Top Racing: World Tour")</f>
        <v>Table Top Racing: World Tour</v>
      </c>
      <c r="B806" s="82" t="str">
        <f>IFERROR(__xludf.DUMMYFUNCTION("""COMPUTED_VALUE"""),"PS5/PS4")</f>
        <v>PS5/PS4</v>
      </c>
      <c r="C806" s="83" t="str">
        <f>IFERROR(__xludf.DUMMYFUNCTION("""COMPUTED_VALUE"""),"Playstation Now (Discontinued)")</f>
        <v>Playstation Now (Discontinued)</v>
      </c>
      <c r="D806" s="82" t="str">
        <f>IFERROR(__xludf.DUMMYFUNCTION("""COMPUTED_VALUE"""),"Removed")</f>
        <v>Removed</v>
      </c>
      <c r="E806" s="84">
        <f>IFERROR(__xludf.DUMMYFUNCTION("""COMPUTED_VALUE"""),43256.0)</f>
        <v>43256</v>
      </c>
      <c r="F806" s="85">
        <f>IFERROR(__xludf.DUMMYFUNCTION("""COMPUTED_VALUE"""),44725.0)</f>
        <v>44725</v>
      </c>
      <c r="G806" s="86">
        <f>IFERROR(__xludf.DUMMYFUNCTION("""COMPUTED_VALUE"""),48.266666666666666)</f>
        <v>48.26666667</v>
      </c>
      <c r="H806" s="84">
        <f>IFERROR(__xludf.DUMMYFUNCTION("""COMPUTED_VALUE"""),42493.0)</f>
        <v>42493</v>
      </c>
      <c r="I806" s="86">
        <f>IFERROR(__xludf.DUMMYFUNCTION("""COMPUTED_VALUE"""),2.088888888888889)</f>
        <v>2.088888889</v>
      </c>
      <c r="J806" s="87">
        <f>IFERROR(__xludf.DUMMYFUNCTION("""COMPUTED_VALUE"""),65.0)</f>
        <v>65</v>
      </c>
      <c r="K806" s="88">
        <f>IFERROR(__xludf.DUMMYFUNCTION("""COMPUTED_VALUE"""),6.6)</f>
        <v>6.6</v>
      </c>
      <c r="L806" s="89">
        <f>IFERROR(__xludf.DUMMYFUNCTION("""COMPUTED_VALUE"""),5.0)</f>
        <v>5</v>
      </c>
      <c r="M806" s="26" t="str">
        <f>IFERROR(__xludf.DUMMYFUNCTION("""COMPUTED_VALUE"""),"Racing")</f>
        <v>Racing</v>
      </c>
      <c r="N806" s="26"/>
      <c r="O806" s="26" t="str">
        <f>IFERROR(__xludf.DUMMYFUNCTION("""COMPUTED_VALUE"""),"No")</f>
        <v>No</v>
      </c>
      <c r="P806" s="26"/>
    </row>
    <row r="807">
      <c r="A807" s="81" t="str">
        <f>IFERROR(__xludf.DUMMYFUNCTION("""COMPUTED_VALUE"""),"Adam's Venture: Origins")</f>
        <v>Adam's Venture: Origins</v>
      </c>
      <c r="B807" s="82" t="str">
        <f>IFERROR(__xludf.DUMMYFUNCTION("""COMPUTED_VALUE"""),"PS5/PS4")</f>
        <v>PS5/PS4</v>
      </c>
      <c r="C807" s="83" t="str">
        <f>IFERROR(__xludf.DUMMYFUNCTION("""COMPUTED_VALUE"""),"Playstation Now (Discontinued)")</f>
        <v>Playstation Now (Discontinued)</v>
      </c>
      <c r="D807" s="82" t="str">
        <f>IFERROR(__xludf.DUMMYFUNCTION("""COMPUTED_VALUE"""),"Removed")</f>
        <v>Removed</v>
      </c>
      <c r="E807" s="84">
        <f>IFERROR(__xludf.DUMMYFUNCTION("""COMPUTED_VALUE"""),43256.0)</f>
        <v>43256</v>
      </c>
      <c r="F807" s="85">
        <f>IFERROR(__xludf.DUMMYFUNCTION("""COMPUTED_VALUE"""),44725.0)</f>
        <v>44725</v>
      </c>
      <c r="G807" s="86">
        <f>IFERROR(__xludf.DUMMYFUNCTION("""COMPUTED_VALUE"""),48.266666666666666)</f>
        <v>48.26666667</v>
      </c>
      <c r="H807" s="84">
        <f>IFERROR(__xludf.DUMMYFUNCTION("""COMPUTED_VALUE"""),42461.0)</f>
        <v>42461</v>
      </c>
      <c r="I807" s="86">
        <f>IFERROR(__xludf.DUMMYFUNCTION("""COMPUTED_VALUE"""),2.1777777777777776)</f>
        <v>2.177777778</v>
      </c>
      <c r="J807" s="87">
        <f>IFERROR(__xludf.DUMMYFUNCTION("""COMPUTED_VALUE"""),53.0)</f>
        <v>53</v>
      </c>
      <c r="K807" s="88">
        <f>IFERROR(__xludf.DUMMYFUNCTION("""COMPUTED_VALUE"""),5.2)</f>
        <v>5.2</v>
      </c>
      <c r="L807" s="89">
        <f>IFERROR(__xludf.DUMMYFUNCTION("""COMPUTED_VALUE"""),5.0)</f>
        <v>5</v>
      </c>
      <c r="M807" s="26" t="str">
        <f>IFERROR(__xludf.DUMMYFUNCTION("""COMPUTED_VALUE"""),"Action-Adventure")</f>
        <v>Action-Adventure</v>
      </c>
      <c r="N807" s="26"/>
      <c r="O807" s="26" t="str">
        <f>IFERROR(__xludf.DUMMYFUNCTION("""COMPUTED_VALUE"""),"No")</f>
        <v>No</v>
      </c>
      <c r="P807" s="26"/>
    </row>
    <row r="808">
      <c r="A808" s="81" t="str">
        <f>IFERROR(__xludf.DUMMYFUNCTION("""COMPUTED_VALUE"""),"Aegis of Earth: Protonovus Assault")</f>
        <v>Aegis of Earth: Protonovus Assault</v>
      </c>
      <c r="B808" s="82" t="str">
        <f>IFERROR(__xludf.DUMMYFUNCTION("""COMPUTED_VALUE"""),"PS5/PS4")</f>
        <v>PS5/PS4</v>
      </c>
      <c r="C808" s="83" t="str">
        <f>IFERROR(__xludf.DUMMYFUNCTION("""COMPUTED_VALUE"""),"Playstation Now (Discontinued)")</f>
        <v>Playstation Now (Discontinued)</v>
      </c>
      <c r="D808" s="82" t="str">
        <f>IFERROR(__xludf.DUMMYFUNCTION("""COMPUTED_VALUE"""),"Removed")</f>
        <v>Removed</v>
      </c>
      <c r="E808" s="84">
        <f>IFERROR(__xludf.DUMMYFUNCTION("""COMPUTED_VALUE"""),43256.0)</f>
        <v>43256</v>
      </c>
      <c r="F808" s="85">
        <f>IFERROR(__xludf.DUMMYFUNCTION("""COMPUTED_VALUE"""),44725.0)</f>
        <v>44725</v>
      </c>
      <c r="G808" s="86">
        <f>IFERROR(__xludf.DUMMYFUNCTION("""COMPUTED_VALUE"""),48.266666666666666)</f>
        <v>48.26666667</v>
      </c>
      <c r="H808" s="84">
        <f>IFERROR(__xludf.DUMMYFUNCTION("""COMPUTED_VALUE"""),42451.0)</f>
        <v>42451</v>
      </c>
      <c r="I808" s="86">
        <f>IFERROR(__xludf.DUMMYFUNCTION("""COMPUTED_VALUE"""),2.202777777777778)</f>
        <v>2.202777778</v>
      </c>
      <c r="J808" s="87">
        <f>IFERROR(__xludf.DUMMYFUNCTION("""COMPUTED_VALUE"""),58.0)</f>
        <v>58</v>
      </c>
      <c r="K808" s="88">
        <f>IFERROR(__xludf.DUMMYFUNCTION("""COMPUTED_VALUE"""),6.5)</f>
        <v>6.5</v>
      </c>
      <c r="L808" s="89">
        <f>IFERROR(__xludf.DUMMYFUNCTION("""COMPUTED_VALUE"""),20.0)</f>
        <v>20</v>
      </c>
      <c r="M808" s="26" t="str">
        <f>IFERROR(__xludf.DUMMYFUNCTION("""COMPUTED_VALUE"""),"Strategy")</f>
        <v>Strategy</v>
      </c>
      <c r="N808" s="26"/>
      <c r="O808" s="26" t="str">
        <f>IFERROR(__xludf.DUMMYFUNCTION("""COMPUTED_VALUE"""),"No")</f>
        <v>No</v>
      </c>
      <c r="P808" s="26"/>
    </row>
    <row r="809">
      <c r="A809" s="81" t="str">
        <f>IFERROR(__xludf.DUMMYFUNCTION("""COMPUTED_VALUE"""),"Sebastien Loeb Rally Evo")</f>
        <v>Sebastien Loeb Rally Evo</v>
      </c>
      <c r="B809" s="82" t="str">
        <f>IFERROR(__xludf.DUMMYFUNCTION("""COMPUTED_VALUE"""),"PS5/PS4")</f>
        <v>PS5/PS4</v>
      </c>
      <c r="C809" s="83" t="str">
        <f>IFERROR(__xludf.DUMMYFUNCTION("""COMPUTED_VALUE"""),"Playstation Now (Discontinued)")</f>
        <v>Playstation Now (Discontinued)</v>
      </c>
      <c r="D809" s="82" t="str">
        <f>IFERROR(__xludf.DUMMYFUNCTION("""COMPUTED_VALUE"""),"Removed")</f>
        <v>Removed</v>
      </c>
      <c r="E809" s="84">
        <f>IFERROR(__xludf.DUMMYFUNCTION("""COMPUTED_VALUE"""),43256.0)</f>
        <v>43256</v>
      </c>
      <c r="F809" s="85">
        <f>IFERROR(__xludf.DUMMYFUNCTION("""COMPUTED_VALUE"""),44725.0)</f>
        <v>44725</v>
      </c>
      <c r="G809" s="86">
        <f>IFERROR(__xludf.DUMMYFUNCTION("""COMPUTED_VALUE"""),48.266666666666666)</f>
        <v>48.26666667</v>
      </c>
      <c r="H809" s="84">
        <f>IFERROR(__xludf.DUMMYFUNCTION("""COMPUTED_VALUE"""),42398.0)</f>
        <v>42398</v>
      </c>
      <c r="I809" s="86">
        <f>IFERROR(__xludf.DUMMYFUNCTION("""COMPUTED_VALUE"""),2.35)</f>
        <v>2.35</v>
      </c>
      <c r="J809" s="87">
        <f>IFERROR(__xludf.DUMMYFUNCTION("""COMPUTED_VALUE"""),66.0)</f>
        <v>66</v>
      </c>
      <c r="K809" s="88">
        <f>IFERROR(__xludf.DUMMYFUNCTION("""COMPUTED_VALUE"""),6.6)</f>
        <v>6.6</v>
      </c>
      <c r="L809" s="89"/>
      <c r="M809" s="26" t="str">
        <f>IFERROR(__xludf.DUMMYFUNCTION("""COMPUTED_VALUE"""),"Racing")</f>
        <v>Racing</v>
      </c>
      <c r="N809" s="26"/>
      <c r="O809" s="26" t="str">
        <f>IFERROR(__xludf.DUMMYFUNCTION("""COMPUTED_VALUE"""),"No")</f>
        <v>No</v>
      </c>
      <c r="P809" s="26"/>
    </row>
    <row r="810">
      <c r="A810" s="81" t="str">
        <f>IFERROR(__xludf.DUMMYFUNCTION("""COMPUTED_VALUE"""),"WRC 5: FIA World Rally Championship")</f>
        <v>WRC 5: FIA World Rally Championship</v>
      </c>
      <c r="B810" s="82" t="str">
        <f>IFERROR(__xludf.DUMMYFUNCTION("""COMPUTED_VALUE"""),"PS5/PS4")</f>
        <v>PS5/PS4</v>
      </c>
      <c r="C810" s="83" t="str">
        <f>IFERROR(__xludf.DUMMYFUNCTION("""COMPUTED_VALUE"""),"Playstation Now (Discontinued)")</f>
        <v>Playstation Now (Discontinued)</v>
      </c>
      <c r="D810" s="82" t="str">
        <f>IFERROR(__xludf.DUMMYFUNCTION("""COMPUTED_VALUE"""),"Removed")</f>
        <v>Removed</v>
      </c>
      <c r="E810" s="84">
        <f>IFERROR(__xludf.DUMMYFUNCTION("""COMPUTED_VALUE"""),43256.0)</f>
        <v>43256</v>
      </c>
      <c r="F810" s="85">
        <f>IFERROR(__xludf.DUMMYFUNCTION("""COMPUTED_VALUE"""),44725.0)</f>
        <v>44725</v>
      </c>
      <c r="G810" s="86">
        <f>IFERROR(__xludf.DUMMYFUNCTION("""COMPUTED_VALUE"""),48.266666666666666)</f>
        <v>48.26666667</v>
      </c>
      <c r="H810" s="84">
        <f>IFERROR(__xludf.DUMMYFUNCTION("""COMPUTED_VALUE"""),42286.0)</f>
        <v>42286</v>
      </c>
      <c r="I810" s="86">
        <f>IFERROR(__xludf.DUMMYFUNCTION("""COMPUTED_VALUE"""),2.6555555555555554)</f>
        <v>2.655555556</v>
      </c>
      <c r="J810" s="87">
        <f>IFERROR(__xludf.DUMMYFUNCTION("""COMPUTED_VALUE"""),69.0)</f>
        <v>69</v>
      </c>
      <c r="K810" s="88">
        <f>IFERROR(__xludf.DUMMYFUNCTION("""COMPUTED_VALUE"""),6.8)</f>
        <v>6.8</v>
      </c>
      <c r="L810" s="89"/>
      <c r="M810" s="26" t="str">
        <f>IFERROR(__xludf.DUMMYFUNCTION("""COMPUTED_VALUE"""),"Racing")</f>
        <v>Racing</v>
      </c>
      <c r="N810" s="26"/>
      <c r="O810" s="26" t="str">
        <f>IFERROR(__xludf.DUMMYFUNCTION("""COMPUTED_VALUE"""),"No")</f>
        <v>No</v>
      </c>
      <c r="P810" s="26"/>
    </row>
    <row r="811">
      <c r="A811" s="81" t="str">
        <f>IFERROR(__xludf.DUMMYFUNCTION("""COMPUTED_VALUE"""),"Mystery Chronicle: One Way Heroics")</f>
        <v>Mystery Chronicle: One Way Heroics</v>
      </c>
      <c r="B811" s="82" t="str">
        <f>IFERROR(__xludf.DUMMYFUNCTION("""COMPUTED_VALUE"""),"PS5/PS4")</f>
        <v>PS5/PS4</v>
      </c>
      <c r="C811" s="83" t="str">
        <f>IFERROR(__xludf.DUMMYFUNCTION("""COMPUTED_VALUE"""),"Playstation Now (Discontinued)")</f>
        <v>Playstation Now (Discontinued)</v>
      </c>
      <c r="D811" s="82" t="str">
        <f>IFERROR(__xludf.DUMMYFUNCTION("""COMPUTED_VALUE"""),"Removed")</f>
        <v>Removed</v>
      </c>
      <c r="E811" s="84">
        <f>IFERROR(__xludf.DUMMYFUNCTION("""COMPUTED_VALUE"""),43221.0)</f>
        <v>43221</v>
      </c>
      <c r="F811" s="85">
        <f>IFERROR(__xludf.DUMMYFUNCTION("""COMPUTED_VALUE"""),44725.0)</f>
        <v>44725</v>
      </c>
      <c r="G811" s="86">
        <f>IFERROR(__xludf.DUMMYFUNCTION("""COMPUTED_VALUE"""),49.39999999999999)</f>
        <v>49.4</v>
      </c>
      <c r="H811" s="84">
        <f>IFERROR(__xludf.DUMMYFUNCTION("""COMPUTED_VALUE"""),42607.0)</f>
        <v>42607</v>
      </c>
      <c r="I811" s="86">
        <f>IFERROR(__xludf.DUMMYFUNCTION("""COMPUTED_VALUE"""),1.6833333333333333)</f>
        <v>1.683333333</v>
      </c>
      <c r="J811" s="87">
        <f>IFERROR(__xludf.DUMMYFUNCTION("""COMPUTED_VALUE"""),68.0)</f>
        <v>68</v>
      </c>
      <c r="K811" s="88">
        <f>IFERROR(__xludf.DUMMYFUNCTION("""COMPUTED_VALUE"""),6.5)</f>
        <v>6.5</v>
      </c>
      <c r="L811" s="89">
        <f>IFERROR(__xludf.DUMMYFUNCTION("""COMPUTED_VALUE"""),5.0)</f>
        <v>5</v>
      </c>
      <c r="M811" s="26" t="str">
        <f>IFERROR(__xludf.DUMMYFUNCTION("""COMPUTED_VALUE"""),"RPG")</f>
        <v>RPG</v>
      </c>
      <c r="N811" s="26"/>
      <c r="O811" s="26" t="str">
        <f>IFERROR(__xludf.DUMMYFUNCTION("""COMPUTED_VALUE"""),"No")</f>
        <v>No</v>
      </c>
      <c r="P811" s="26"/>
    </row>
    <row r="812">
      <c r="A812" s="81" t="str">
        <f>IFERROR(__xludf.DUMMYFUNCTION("""COMPUTED_VALUE"""),"BlazBlue: Chrono Phantasma EXTEND")</f>
        <v>BlazBlue: Chrono Phantasma EXTEND</v>
      </c>
      <c r="B812" s="82" t="str">
        <f>IFERROR(__xludf.DUMMYFUNCTION("""COMPUTED_VALUE"""),"PS5/PS4")</f>
        <v>PS5/PS4</v>
      </c>
      <c r="C812" s="83" t="str">
        <f>IFERROR(__xludf.DUMMYFUNCTION("""COMPUTED_VALUE"""),"Playstation Now (Discontinued)")</f>
        <v>Playstation Now (Discontinued)</v>
      </c>
      <c r="D812" s="82" t="str">
        <f>IFERROR(__xludf.DUMMYFUNCTION("""COMPUTED_VALUE"""),"Removed")</f>
        <v>Removed</v>
      </c>
      <c r="E812" s="84">
        <f>IFERROR(__xludf.DUMMYFUNCTION("""COMPUTED_VALUE"""),43221.0)</f>
        <v>43221</v>
      </c>
      <c r="F812" s="85">
        <f>IFERROR(__xludf.DUMMYFUNCTION("""COMPUTED_VALUE"""),44725.0)</f>
        <v>44725</v>
      </c>
      <c r="G812" s="86">
        <f>IFERROR(__xludf.DUMMYFUNCTION("""COMPUTED_VALUE"""),49.39999999999999)</f>
        <v>49.4</v>
      </c>
      <c r="H812" s="84">
        <f>IFERROR(__xludf.DUMMYFUNCTION("""COMPUTED_VALUE"""),42185.0)</f>
        <v>42185</v>
      </c>
      <c r="I812" s="86">
        <f>IFERROR(__xludf.DUMMYFUNCTION("""COMPUTED_VALUE"""),2.8361111111111112)</f>
        <v>2.836111111</v>
      </c>
      <c r="J812" s="87">
        <f>IFERROR(__xludf.DUMMYFUNCTION("""COMPUTED_VALUE"""),73.0)</f>
        <v>73</v>
      </c>
      <c r="K812" s="88">
        <f>IFERROR(__xludf.DUMMYFUNCTION("""COMPUTED_VALUE"""),7.8)</f>
        <v>7.8</v>
      </c>
      <c r="L812" s="89"/>
      <c r="M812" s="26" t="str">
        <f>IFERROR(__xludf.DUMMYFUNCTION("""COMPUTED_VALUE"""),"Fighting")</f>
        <v>Fighting</v>
      </c>
      <c r="N812" s="26"/>
      <c r="O812" s="26" t="str">
        <f>IFERROR(__xludf.DUMMYFUNCTION("""COMPUTED_VALUE"""),"No")</f>
        <v>No</v>
      </c>
      <c r="P812" s="26"/>
    </row>
    <row r="813">
      <c r="A813" s="81" t="str">
        <f>IFERROR(__xludf.DUMMYFUNCTION("""COMPUTED_VALUE"""),"Limbo")</f>
        <v>Limbo</v>
      </c>
      <c r="B813" s="82" t="str">
        <f>IFERROR(__xludf.DUMMYFUNCTION("""COMPUTED_VALUE"""),"PS5/PS4")</f>
        <v>PS5/PS4</v>
      </c>
      <c r="C813" s="83" t="str">
        <f>IFERROR(__xludf.DUMMYFUNCTION("""COMPUTED_VALUE"""),"Playstation Now (Discontinued)")</f>
        <v>Playstation Now (Discontinued)</v>
      </c>
      <c r="D813" s="82" t="str">
        <f>IFERROR(__xludf.DUMMYFUNCTION("""COMPUTED_VALUE"""),"Removed")</f>
        <v>Removed</v>
      </c>
      <c r="E813" s="84">
        <f>IFERROR(__xludf.DUMMYFUNCTION("""COMPUTED_VALUE"""),43221.0)</f>
        <v>43221</v>
      </c>
      <c r="F813" s="85">
        <f>IFERROR(__xludf.DUMMYFUNCTION("""COMPUTED_VALUE"""),44725.0)</f>
        <v>44725</v>
      </c>
      <c r="G813" s="86">
        <f>IFERROR(__xludf.DUMMYFUNCTION("""COMPUTED_VALUE"""),49.39999999999999)</f>
        <v>49.4</v>
      </c>
      <c r="H813" s="84">
        <f>IFERROR(__xludf.DUMMYFUNCTION("""COMPUTED_VALUE"""),40756.0)</f>
        <v>40756</v>
      </c>
      <c r="I813" s="86">
        <f>IFERROR(__xludf.DUMMYFUNCTION("""COMPUTED_VALUE"""),6.75)</f>
        <v>6.75</v>
      </c>
      <c r="J813" s="87">
        <f>IFERROR(__xludf.DUMMYFUNCTION("""COMPUTED_VALUE"""),88.0)</f>
        <v>88</v>
      </c>
      <c r="K813" s="88">
        <f>IFERROR(__xludf.DUMMYFUNCTION("""COMPUTED_VALUE"""),8.2)</f>
        <v>8.2</v>
      </c>
      <c r="L813" s="89">
        <f>IFERROR(__xludf.DUMMYFUNCTION("""COMPUTED_VALUE"""),4.0)</f>
        <v>4</v>
      </c>
      <c r="M813" s="26" t="str">
        <f>IFERROR(__xludf.DUMMYFUNCTION("""COMPUTED_VALUE"""),"Platformer")</f>
        <v>Platformer</v>
      </c>
      <c r="N813" s="26"/>
      <c r="O813" s="26" t="str">
        <f>IFERROR(__xludf.DUMMYFUNCTION("""COMPUTED_VALUE"""),"No")</f>
        <v>No</v>
      </c>
      <c r="P813" s="26"/>
    </row>
    <row r="814">
      <c r="A814" s="81" t="str">
        <f>IFERROR(__xludf.DUMMYFUNCTION("""COMPUTED_VALUE"""),"Azkend 2")</f>
        <v>Azkend 2</v>
      </c>
      <c r="B814" s="82" t="str">
        <f>IFERROR(__xludf.DUMMYFUNCTION("""COMPUTED_VALUE"""),"PS5/PS4")</f>
        <v>PS5/PS4</v>
      </c>
      <c r="C814" s="83" t="str">
        <f>IFERROR(__xludf.DUMMYFUNCTION("""COMPUTED_VALUE"""),"Playstation Now (Discontinued)")</f>
        <v>Playstation Now (Discontinued)</v>
      </c>
      <c r="D814" s="82" t="str">
        <f>IFERROR(__xludf.DUMMYFUNCTION("""COMPUTED_VALUE"""),"Removed")</f>
        <v>Removed</v>
      </c>
      <c r="E814" s="84">
        <f>IFERROR(__xludf.DUMMYFUNCTION("""COMPUTED_VALUE"""),43193.0)</f>
        <v>43193</v>
      </c>
      <c r="F814" s="85">
        <f>IFERROR(__xludf.DUMMYFUNCTION("""COMPUTED_VALUE"""),44725.0)</f>
        <v>44725</v>
      </c>
      <c r="G814" s="86">
        <f>IFERROR(__xludf.DUMMYFUNCTION("""COMPUTED_VALUE"""),50.333333333333336)</f>
        <v>50.33333333</v>
      </c>
      <c r="H814" s="84">
        <f>IFERROR(__xludf.DUMMYFUNCTION("""COMPUTED_VALUE"""),43112.0)</f>
        <v>43112</v>
      </c>
      <c r="I814" s="86">
        <f>IFERROR(__xludf.DUMMYFUNCTION("""COMPUTED_VALUE"""),0.225)</f>
        <v>0.225</v>
      </c>
      <c r="J814" s="87">
        <f>IFERROR(__xludf.DUMMYFUNCTION("""COMPUTED_VALUE"""),68.0)</f>
        <v>68</v>
      </c>
      <c r="K814" s="88"/>
      <c r="L814" s="89">
        <f>IFERROR(__xludf.DUMMYFUNCTION("""COMPUTED_VALUE"""),3.0)</f>
        <v>3</v>
      </c>
      <c r="M814" s="26" t="str">
        <f>IFERROR(__xludf.DUMMYFUNCTION("""COMPUTED_VALUE"""),"Puzzle")</f>
        <v>Puzzle</v>
      </c>
      <c r="N814" s="26"/>
      <c r="O814" s="26" t="str">
        <f>IFERROR(__xludf.DUMMYFUNCTION("""COMPUTED_VALUE"""),"No")</f>
        <v>No</v>
      </c>
      <c r="P814" s="26"/>
    </row>
    <row r="815">
      <c r="A815" s="81" t="str">
        <f>IFERROR(__xludf.DUMMYFUNCTION("""COMPUTED_VALUE"""),"Mantis Burn Racing")</f>
        <v>Mantis Burn Racing</v>
      </c>
      <c r="B815" s="82" t="str">
        <f>IFERROR(__xludf.DUMMYFUNCTION("""COMPUTED_VALUE"""),"PS5/PS4")</f>
        <v>PS5/PS4</v>
      </c>
      <c r="C815" s="83" t="str">
        <f>IFERROR(__xludf.DUMMYFUNCTION("""COMPUTED_VALUE"""),"Playstation Now (Discontinued)")</f>
        <v>Playstation Now (Discontinued)</v>
      </c>
      <c r="D815" s="82" t="str">
        <f>IFERROR(__xludf.DUMMYFUNCTION("""COMPUTED_VALUE"""),"Removed")</f>
        <v>Removed</v>
      </c>
      <c r="E815" s="84">
        <f>IFERROR(__xludf.DUMMYFUNCTION("""COMPUTED_VALUE"""),43193.0)</f>
        <v>43193</v>
      </c>
      <c r="F815" s="85">
        <f>IFERROR(__xludf.DUMMYFUNCTION("""COMPUTED_VALUE"""),44725.0)</f>
        <v>44725</v>
      </c>
      <c r="G815" s="86">
        <f>IFERROR(__xludf.DUMMYFUNCTION("""COMPUTED_VALUE"""),50.333333333333336)</f>
        <v>50.33333333</v>
      </c>
      <c r="H815" s="84">
        <f>IFERROR(__xludf.DUMMYFUNCTION("""COMPUTED_VALUE"""),43062.0)</f>
        <v>43062</v>
      </c>
      <c r="I815" s="86">
        <f>IFERROR(__xludf.DUMMYFUNCTION("""COMPUTED_VALUE"""),0.3611111111111111)</f>
        <v>0.3611111111</v>
      </c>
      <c r="J815" s="87">
        <f>IFERROR(__xludf.DUMMYFUNCTION("""COMPUTED_VALUE"""),77.0)</f>
        <v>77</v>
      </c>
      <c r="K815" s="88">
        <f>IFERROR(__xludf.DUMMYFUNCTION("""COMPUTED_VALUE"""),7.9)</f>
        <v>7.9</v>
      </c>
      <c r="L815" s="89"/>
      <c r="M815" s="26" t="str">
        <f>IFERROR(__xludf.DUMMYFUNCTION("""COMPUTED_VALUE"""),"Racing")</f>
        <v>Racing</v>
      </c>
      <c r="N815" s="26"/>
      <c r="O815" s="26" t="str">
        <f>IFERROR(__xludf.DUMMYFUNCTION("""COMPUTED_VALUE"""),"No")</f>
        <v>No</v>
      </c>
      <c r="P815" s="26"/>
    </row>
    <row r="816">
      <c r="A816" s="81" t="str">
        <f>IFERROR(__xludf.DUMMYFUNCTION("""COMPUTED_VALUE"""),"F1 2016")</f>
        <v>F1 2016</v>
      </c>
      <c r="B816" s="82" t="str">
        <f>IFERROR(__xludf.DUMMYFUNCTION("""COMPUTED_VALUE"""),"PS5/PS4")</f>
        <v>PS5/PS4</v>
      </c>
      <c r="C816" s="83" t="str">
        <f>IFERROR(__xludf.DUMMYFUNCTION("""COMPUTED_VALUE"""),"Playstation Now (Discontinued)")</f>
        <v>Playstation Now (Discontinued)</v>
      </c>
      <c r="D816" s="82" t="str">
        <f>IFERROR(__xludf.DUMMYFUNCTION("""COMPUTED_VALUE"""),"Removed")</f>
        <v>Removed</v>
      </c>
      <c r="E816" s="84">
        <f>IFERROR(__xludf.DUMMYFUNCTION("""COMPUTED_VALUE"""),43193.0)</f>
        <v>43193</v>
      </c>
      <c r="F816" s="85">
        <f>IFERROR(__xludf.DUMMYFUNCTION("""COMPUTED_VALUE"""),44725.0)</f>
        <v>44725</v>
      </c>
      <c r="G816" s="86">
        <f>IFERROR(__xludf.DUMMYFUNCTION("""COMPUTED_VALUE"""),50.333333333333336)</f>
        <v>50.33333333</v>
      </c>
      <c r="H816" s="84">
        <f>IFERROR(__xludf.DUMMYFUNCTION("""COMPUTED_VALUE"""),42601.0)</f>
        <v>42601</v>
      </c>
      <c r="I816" s="86">
        <f>IFERROR(__xludf.DUMMYFUNCTION("""COMPUTED_VALUE"""),1.6222222222222222)</f>
        <v>1.622222222</v>
      </c>
      <c r="J816" s="87">
        <f>IFERROR(__xludf.DUMMYFUNCTION("""COMPUTED_VALUE"""),82.0)</f>
        <v>82</v>
      </c>
      <c r="K816" s="88">
        <f>IFERROR(__xludf.DUMMYFUNCTION("""COMPUTED_VALUE"""),7.6)</f>
        <v>7.6</v>
      </c>
      <c r="L816" s="89">
        <f>IFERROR(__xludf.DUMMYFUNCTION("""COMPUTED_VALUE"""),20.5)</f>
        <v>20.5</v>
      </c>
      <c r="M816" s="26" t="str">
        <f>IFERROR(__xludf.DUMMYFUNCTION("""COMPUTED_VALUE"""),"Racing")</f>
        <v>Racing</v>
      </c>
      <c r="N816" s="26"/>
      <c r="O816" s="26" t="str">
        <f>IFERROR(__xludf.DUMMYFUNCTION("""COMPUTED_VALUE"""),"No")</f>
        <v>No</v>
      </c>
      <c r="P816" s="26"/>
    </row>
    <row r="817">
      <c r="A817" s="81" t="str">
        <f>IFERROR(__xludf.DUMMYFUNCTION("""COMPUTED_VALUE"""),"Dynamite Fishing World Games")</f>
        <v>Dynamite Fishing World Games</v>
      </c>
      <c r="B817" s="82" t="str">
        <f>IFERROR(__xludf.DUMMYFUNCTION("""COMPUTED_VALUE"""),"PS5/PS4")</f>
        <v>PS5/PS4</v>
      </c>
      <c r="C817" s="83" t="str">
        <f>IFERROR(__xludf.DUMMYFUNCTION("""COMPUTED_VALUE"""),"Playstation Now (Discontinued)")</f>
        <v>Playstation Now (Discontinued)</v>
      </c>
      <c r="D817" s="82" t="str">
        <f>IFERROR(__xludf.DUMMYFUNCTION("""COMPUTED_VALUE"""),"Removed")</f>
        <v>Removed</v>
      </c>
      <c r="E817" s="84">
        <f>IFERROR(__xludf.DUMMYFUNCTION("""COMPUTED_VALUE"""),43193.0)</f>
        <v>43193</v>
      </c>
      <c r="F817" s="85">
        <f>IFERROR(__xludf.DUMMYFUNCTION("""COMPUTED_VALUE"""),44725.0)</f>
        <v>44725</v>
      </c>
      <c r="G817" s="86">
        <f>IFERROR(__xludf.DUMMYFUNCTION("""COMPUTED_VALUE"""),50.333333333333336)</f>
        <v>50.33333333</v>
      </c>
      <c r="H817" s="84">
        <f>IFERROR(__xludf.DUMMYFUNCTION("""COMPUTED_VALUE"""),41942.0)</f>
        <v>41942</v>
      </c>
      <c r="I817" s="86">
        <f>IFERROR(__xludf.DUMMYFUNCTION("""COMPUTED_VALUE"""),3.425)</f>
        <v>3.425</v>
      </c>
      <c r="J817" s="87">
        <f>IFERROR(__xludf.DUMMYFUNCTION("""COMPUTED_VALUE"""),50.0)</f>
        <v>50</v>
      </c>
      <c r="K817" s="88"/>
      <c r="L817" s="89"/>
      <c r="M817" s="26" t="str">
        <f>IFERROR(__xludf.DUMMYFUNCTION("""COMPUTED_VALUE"""),"Sports")</f>
        <v>Sports</v>
      </c>
      <c r="N817" s="26"/>
      <c r="O817" s="26" t="str">
        <f>IFERROR(__xludf.DUMMYFUNCTION("""COMPUTED_VALUE"""),"No")</f>
        <v>No</v>
      </c>
      <c r="P817" s="26"/>
    </row>
    <row r="818">
      <c r="A818" s="81" t="str">
        <f>IFERROR(__xludf.DUMMYFUNCTION("""COMPUTED_VALUE"""),"Dead Island: Retro Revenge")</f>
        <v>Dead Island: Retro Revenge</v>
      </c>
      <c r="B818" s="82" t="str">
        <f>IFERROR(__xludf.DUMMYFUNCTION("""COMPUTED_VALUE"""),"PS5/PS4")</f>
        <v>PS5/PS4</v>
      </c>
      <c r="C818" s="83" t="str">
        <f>IFERROR(__xludf.DUMMYFUNCTION("""COMPUTED_VALUE"""),"Playstation Now (Discontinued)")</f>
        <v>Playstation Now (Discontinued)</v>
      </c>
      <c r="D818" s="82" t="str">
        <f>IFERROR(__xludf.DUMMYFUNCTION("""COMPUTED_VALUE"""),"Removed")</f>
        <v>Removed</v>
      </c>
      <c r="E818" s="84">
        <f>IFERROR(__xludf.DUMMYFUNCTION("""COMPUTED_VALUE"""),43193.0)</f>
        <v>43193</v>
      </c>
      <c r="F818" s="85">
        <f>IFERROR(__xludf.DUMMYFUNCTION("""COMPUTED_VALUE"""),44725.0)</f>
        <v>44725</v>
      </c>
      <c r="G818" s="86">
        <f>IFERROR(__xludf.DUMMYFUNCTION("""COMPUTED_VALUE"""),50.333333333333336)</f>
        <v>50.33333333</v>
      </c>
      <c r="H818" s="84">
        <f>IFERROR(__xludf.DUMMYFUNCTION("""COMPUTED_VALUE"""),42583.0)</f>
        <v>42583</v>
      </c>
      <c r="I818" s="86">
        <f>IFERROR(__xludf.DUMMYFUNCTION("""COMPUTED_VALUE"""),1.6722222222222223)</f>
        <v>1.672222222</v>
      </c>
      <c r="J818" s="87">
        <f>IFERROR(__xludf.DUMMYFUNCTION("""COMPUTED_VALUE"""),65.0)</f>
        <v>65</v>
      </c>
      <c r="K818" s="88">
        <f>IFERROR(__xludf.DUMMYFUNCTION("""COMPUTED_VALUE"""),6.1)</f>
        <v>6.1</v>
      </c>
      <c r="L818" s="89">
        <f>IFERROR(__xludf.DUMMYFUNCTION("""COMPUTED_VALUE"""),4.0)</f>
        <v>4</v>
      </c>
      <c r="M818" s="26" t="str">
        <f>IFERROR(__xludf.DUMMYFUNCTION("""COMPUTED_VALUE"""),"Beat-'Em-Up")</f>
        <v>Beat-'Em-Up</v>
      </c>
      <c r="N818" s="26"/>
      <c r="O818" s="26" t="str">
        <f>IFERROR(__xludf.DUMMYFUNCTION("""COMPUTED_VALUE"""),"No")</f>
        <v>No</v>
      </c>
      <c r="P818" s="26"/>
    </row>
    <row r="819">
      <c r="A819" s="81" t="str">
        <f>IFERROR(__xludf.DUMMYFUNCTION("""COMPUTED_VALUE"""),"Baseball Riot")</f>
        <v>Baseball Riot</v>
      </c>
      <c r="B819" s="82" t="str">
        <f>IFERROR(__xludf.DUMMYFUNCTION("""COMPUTED_VALUE"""),"PS5/PS4")</f>
        <v>PS5/PS4</v>
      </c>
      <c r="C819" s="83" t="str">
        <f>IFERROR(__xludf.DUMMYFUNCTION("""COMPUTED_VALUE"""),"Playstation Now (Discontinued)")</f>
        <v>Playstation Now (Discontinued)</v>
      </c>
      <c r="D819" s="82" t="str">
        <f>IFERROR(__xludf.DUMMYFUNCTION("""COMPUTED_VALUE"""),"Removed")</f>
        <v>Removed</v>
      </c>
      <c r="E819" s="84">
        <f>IFERROR(__xludf.DUMMYFUNCTION("""COMPUTED_VALUE"""),43193.0)</f>
        <v>43193</v>
      </c>
      <c r="F819" s="85">
        <f>IFERROR(__xludf.DUMMYFUNCTION("""COMPUTED_VALUE"""),44725.0)</f>
        <v>44725</v>
      </c>
      <c r="G819" s="86">
        <f>IFERROR(__xludf.DUMMYFUNCTION("""COMPUTED_VALUE"""),50.333333333333336)</f>
        <v>50.33333333</v>
      </c>
      <c r="H819" s="84">
        <f>IFERROR(__xludf.DUMMYFUNCTION("""COMPUTED_VALUE"""),42339.0)</f>
        <v>42339</v>
      </c>
      <c r="I819" s="86">
        <f>IFERROR(__xludf.DUMMYFUNCTION("""COMPUTED_VALUE"""),2.338888888888889)</f>
        <v>2.338888889</v>
      </c>
      <c r="J819" s="87">
        <f>IFERROR(__xludf.DUMMYFUNCTION("""COMPUTED_VALUE"""),62.0)</f>
        <v>62</v>
      </c>
      <c r="K819" s="88">
        <f>IFERROR(__xludf.DUMMYFUNCTION("""COMPUTED_VALUE"""),6.8)</f>
        <v>6.8</v>
      </c>
      <c r="L819" s="89">
        <f>IFERROR(__xludf.DUMMYFUNCTION("""COMPUTED_VALUE"""),3.0)</f>
        <v>3</v>
      </c>
      <c r="M819" s="26" t="str">
        <f>IFERROR(__xludf.DUMMYFUNCTION("""COMPUTED_VALUE"""),"Sports")</f>
        <v>Sports</v>
      </c>
      <c r="N819" s="26"/>
      <c r="O819" s="26" t="str">
        <f>IFERROR(__xludf.DUMMYFUNCTION("""COMPUTED_VALUE"""),"No")</f>
        <v>No</v>
      </c>
      <c r="P819" s="26"/>
    </row>
    <row r="820">
      <c r="A820" s="81" t="str">
        <f>IFERROR(__xludf.DUMMYFUNCTION("""COMPUTED_VALUE"""),"Risen 3: Titan Lords - Enhanced Edition")</f>
        <v>Risen 3: Titan Lords - Enhanced Edition</v>
      </c>
      <c r="B820" s="82" t="str">
        <f>IFERROR(__xludf.DUMMYFUNCTION("""COMPUTED_VALUE"""),"PS5/PS4")</f>
        <v>PS5/PS4</v>
      </c>
      <c r="C820" s="83" t="str">
        <f>IFERROR(__xludf.DUMMYFUNCTION("""COMPUTED_VALUE"""),"Playstation Now (Discontinued)")</f>
        <v>Playstation Now (Discontinued)</v>
      </c>
      <c r="D820" s="82" t="str">
        <f>IFERROR(__xludf.DUMMYFUNCTION("""COMPUTED_VALUE"""),"Removed")</f>
        <v>Removed</v>
      </c>
      <c r="E820" s="84">
        <f>IFERROR(__xludf.DUMMYFUNCTION("""COMPUTED_VALUE"""),43193.0)</f>
        <v>43193</v>
      </c>
      <c r="F820" s="85">
        <f>IFERROR(__xludf.DUMMYFUNCTION("""COMPUTED_VALUE"""),44725.0)</f>
        <v>44725</v>
      </c>
      <c r="G820" s="86">
        <f>IFERROR(__xludf.DUMMYFUNCTION("""COMPUTED_VALUE"""),50.333333333333336)</f>
        <v>50.33333333</v>
      </c>
      <c r="H820" s="84">
        <f>IFERROR(__xludf.DUMMYFUNCTION("""COMPUTED_VALUE"""),42237.0)</f>
        <v>42237</v>
      </c>
      <c r="I820" s="86">
        <f>IFERROR(__xludf.DUMMYFUNCTION("""COMPUTED_VALUE"""),2.6166666666666667)</f>
        <v>2.616666667</v>
      </c>
      <c r="J820" s="87">
        <f>IFERROR(__xludf.DUMMYFUNCTION("""COMPUTED_VALUE"""),69.0)</f>
        <v>69</v>
      </c>
      <c r="K820" s="88">
        <f>IFERROR(__xludf.DUMMYFUNCTION("""COMPUTED_VALUE"""),7.0)</f>
        <v>7</v>
      </c>
      <c r="L820" s="89">
        <f>IFERROR(__xludf.DUMMYFUNCTION("""COMPUTED_VALUE"""),33.0)</f>
        <v>33</v>
      </c>
      <c r="M820" s="26" t="str">
        <f>IFERROR(__xludf.DUMMYFUNCTION("""COMPUTED_VALUE"""),"RPG")</f>
        <v>RPG</v>
      </c>
      <c r="N820" s="26"/>
      <c r="O820" s="26" t="str">
        <f>IFERROR(__xludf.DUMMYFUNCTION("""COMPUTED_VALUE"""),"No")</f>
        <v>No</v>
      </c>
      <c r="P820" s="26"/>
    </row>
    <row r="821">
      <c r="A821" s="81" t="str">
        <f>IFERROR(__xludf.DUMMYFUNCTION("""COMPUTED_VALUE"""),"Saints Row: Gat Out of Hell")</f>
        <v>Saints Row: Gat Out of Hell</v>
      </c>
      <c r="B821" s="82" t="str">
        <f>IFERROR(__xludf.DUMMYFUNCTION("""COMPUTED_VALUE"""),"PS5/PS4")</f>
        <v>PS5/PS4</v>
      </c>
      <c r="C821" s="83" t="str">
        <f>IFERROR(__xludf.DUMMYFUNCTION("""COMPUTED_VALUE"""),"Playstation Now (Discontinued)")</f>
        <v>Playstation Now (Discontinued)</v>
      </c>
      <c r="D821" s="82" t="str">
        <f>IFERROR(__xludf.DUMMYFUNCTION("""COMPUTED_VALUE"""),"Removed")</f>
        <v>Removed</v>
      </c>
      <c r="E821" s="84">
        <f>IFERROR(__xludf.DUMMYFUNCTION("""COMPUTED_VALUE"""),43193.0)</f>
        <v>43193</v>
      </c>
      <c r="F821" s="85">
        <f>IFERROR(__xludf.DUMMYFUNCTION("""COMPUTED_VALUE"""),44725.0)</f>
        <v>44725</v>
      </c>
      <c r="G821" s="86">
        <f>IFERROR(__xludf.DUMMYFUNCTION("""COMPUTED_VALUE"""),50.333333333333336)</f>
        <v>50.33333333</v>
      </c>
      <c r="H821" s="84">
        <f>IFERROR(__xludf.DUMMYFUNCTION("""COMPUTED_VALUE"""),42024.0)</f>
        <v>42024</v>
      </c>
      <c r="I821" s="86">
        <f>IFERROR(__xludf.DUMMYFUNCTION("""COMPUTED_VALUE"""),3.202777777777778)</f>
        <v>3.202777778</v>
      </c>
      <c r="J821" s="87">
        <f>IFERROR(__xludf.DUMMYFUNCTION("""COMPUTED_VALUE"""),65.0)</f>
        <v>65</v>
      </c>
      <c r="K821" s="88">
        <f>IFERROR(__xludf.DUMMYFUNCTION("""COMPUTED_VALUE"""),6.6)</f>
        <v>6.6</v>
      </c>
      <c r="L821" s="89">
        <f>IFERROR(__xludf.DUMMYFUNCTION("""COMPUTED_VALUE"""),5.0)</f>
        <v>5</v>
      </c>
      <c r="M821" s="26" t="str">
        <f>IFERROR(__xludf.DUMMYFUNCTION("""COMPUTED_VALUE"""),"Action-Adventure")</f>
        <v>Action-Adventure</v>
      </c>
      <c r="N821" s="26"/>
      <c r="O821" s="26" t="str">
        <f>IFERROR(__xludf.DUMMYFUNCTION("""COMPUTED_VALUE"""),"No")</f>
        <v>No</v>
      </c>
      <c r="P821" s="26"/>
    </row>
    <row r="822">
      <c r="A822" s="81" t="str">
        <f>IFERROR(__xludf.DUMMYFUNCTION("""COMPUTED_VALUE"""),"The Unfinished Swan")</f>
        <v>The Unfinished Swan</v>
      </c>
      <c r="B822" s="82" t="str">
        <f>IFERROR(__xludf.DUMMYFUNCTION("""COMPUTED_VALUE"""),"PS5/PS4")</f>
        <v>PS5/PS4</v>
      </c>
      <c r="C822" s="83" t="str">
        <f>IFERROR(__xludf.DUMMYFUNCTION("""COMPUTED_VALUE"""),"Playstation Now (Discontinued)")</f>
        <v>Playstation Now (Discontinued)</v>
      </c>
      <c r="D822" s="82" t="str">
        <f>IFERROR(__xludf.DUMMYFUNCTION("""COMPUTED_VALUE"""),"Removed")</f>
        <v>Removed</v>
      </c>
      <c r="E822" s="84">
        <f>IFERROR(__xludf.DUMMYFUNCTION("""COMPUTED_VALUE"""),43193.0)</f>
        <v>43193</v>
      </c>
      <c r="F822" s="85">
        <f>IFERROR(__xludf.DUMMYFUNCTION("""COMPUTED_VALUE"""),44725.0)</f>
        <v>44725</v>
      </c>
      <c r="G822" s="86">
        <f>IFERROR(__xludf.DUMMYFUNCTION("""COMPUTED_VALUE"""),50.333333333333336)</f>
        <v>50.33333333</v>
      </c>
      <c r="H822" s="84">
        <f>IFERROR(__xludf.DUMMYFUNCTION("""COMPUTED_VALUE"""),41183.0)</f>
        <v>41183</v>
      </c>
      <c r="I822" s="86">
        <f>IFERROR(__xludf.DUMMYFUNCTION("""COMPUTED_VALUE"""),5.5055555555555555)</f>
        <v>5.505555556</v>
      </c>
      <c r="J822" s="87">
        <f>IFERROR(__xludf.DUMMYFUNCTION("""COMPUTED_VALUE"""),79.0)</f>
        <v>79</v>
      </c>
      <c r="K822" s="88">
        <f>IFERROR(__xludf.DUMMYFUNCTION("""COMPUTED_VALUE"""),7.8)</f>
        <v>7.8</v>
      </c>
      <c r="L822" s="89">
        <f>IFERROR(__xludf.DUMMYFUNCTION("""COMPUTED_VALUE"""),3.5)</f>
        <v>3.5</v>
      </c>
      <c r="M822" s="26" t="str">
        <f>IFERROR(__xludf.DUMMYFUNCTION("""COMPUTED_VALUE"""),"Action-Adventure")</f>
        <v>Action-Adventure</v>
      </c>
      <c r="N822" s="26" t="str">
        <f>IFERROR(__xludf.DUMMYFUNCTION("""COMPUTED_VALUE"""),"PS3")</f>
        <v>PS3</v>
      </c>
      <c r="O822" s="26" t="str">
        <f>IFERROR(__xludf.DUMMYFUNCTION("""COMPUTED_VALUE"""),"No")</f>
        <v>No</v>
      </c>
      <c r="P822" s="26"/>
    </row>
    <row r="823">
      <c r="A823" s="81" t="str">
        <f>IFERROR(__xludf.DUMMYFUNCTION("""COMPUTED_VALUE"""),"Clockwork Tales: Of Glass and Ink")</f>
        <v>Clockwork Tales: Of Glass and Ink</v>
      </c>
      <c r="B823" s="82" t="str">
        <f>IFERROR(__xludf.DUMMYFUNCTION("""COMPUTED_VALUE"""),"PS5/PS4")</f>
        <v>PS5/PS4</v>
      </c>
      <c r="C823" s="83" t="str">
        <f>IFERROR(__xludf.DUMMYFUNCTION("""COMPUTED_VALUE"""),"Playstation Now (Discontinued)")</f>
        <v>Playstation Now (Discontinued)</v>
      </c>
      <c r="D823" s="82" t="str">
        <f>IFERROR(__xludf.DUMMYFUNCTION("""COMPUTED_VALUE"""),"Removed")</f>
        <v>Removed</v>
      </c>
      <c r="E823" s="84">
        <f>IFERROR(__xludf.DUMMYFUNCTION("""COMPUTED_VALUE"""),43165.0)</f>
        <v>43165</v>
      </c>
      <c r="F823" s="85">
        <f>IFERROR(__xludf.DUMMYFUNCTION("""COMPUTED_VALUE"""),44725.0)</f>
        <v>44725</v>
      </c>
      <c r="G823" s="86">
        <f>IFERROR(__xludf.DUMMYFUNCTION("""COMPUTED_VALUE"""),51.233333333333334)</f>
        <v>51.23333333</v>
      </c>
      <c r="H823" s="84">
        <f>IFERROR(__xludf.DUMMYFUNCTION("""COMPUTED_VALUE"""),42391.0)</f>
        <v>42391</v>
      </c>
      <c r="I823" s="86">
        <f>IFERROR(__xludf.DUMMYFUNCTION("""COMPUTED_VALUE"""),2.1222222222222222)</f>
        <v>2.122222222</v>
      </c>
      <c r="J823" s="87">
        <f>IFERROR(__xludf.DUMMYFUNCTION("""COMPUTED_VALUE"""),70.0)</f>
        <v>70</v>
      </c>
      <c r="K823" s="88"/>
      <c r="L823" s="89">
        <f>IFERROR(__xludf.DUMMYFUNCTION("""COMPUTED_VALUE"""),3.5)</f>
        <v>3.5</v>
      </c>
      <c r="M823" s="26" t="str">
        <f>IFERROR(__xludf.DUMMYFUNCTION("""COMPUTED_VALUE"""),"Hidden Object")</f>
        <v>Hidden Object</v>
      </c>
      <c r="N823" s="26"/>
      <c r="O823" s="26" t="str">
        <f>IFERROR(__xludf.DUMMYFUNCTION("""COMPUTED_VALUE"""),"No")</f>
        <v>No</v>
      </c>
      <c r="P823" s="26"/>
    </row>
    <row r="824">
      <c r="A824" s="81" t="str">
        <f>IFERROR(__xludf.DUMMYFUNCTION("""COMPUTED_VALUE"""),"Zombie Vikings")</f>
        <v>Zombie Vikings</v>
      </c>
      <c r="B824" s="82" t="str">
        <f>IFERROR(__xludf.DUMMYFUNCTION("""COMPUTED_VALUE"""),"PS5/PS4")</f>
        <v>PS5/PS4</v>
      </c>
      <c r="C824" s="83" t="str">
        <f>IFERROR(__xludf.DUMMYFUNCTION("""COMPUTED_VALUE"""),"Playstation Now (Discontinued)")</f>
        <v>Playstation Now (Discontinued)</v>
      </c>
      <c r="D824" s="82" t="str">
        <f>IFERROR(__xludf.DUMMYFUNCTION("""COMPUTED_VALUE"""),"Removed")</f>
        <v>Removed</v>
      </c>
      <c r="E824" s="84">
        <f>IFERROR(__xludf.DUMMYFUNCTION("""COMPUTED_VALUE"""),43165.0)</f>
        <v>43165</v>
      </c>
      <c r="F824" s="85">
        <f>IFERROR(__xludf.DUMMYFUNCTION("""COMPUTED_VALUE"""),44725.0)</f>
        <v>44725</v>
      </c>
      <c r="G824" s="86">
        <f>IFERROR(__xludf.DUMMYFUNCTION("""COMPUTED_VALUE"""),51.233333333333334)</f>
        <v>51.23333333</v>
      </c>
      <c r="H824" s="84">
        <f>IFERROR(__xludf.DUMMYFUNCTION("""COMPUTED_VALUE"""),42248.0)</f>
        <v>42248</v>
      </c>
      <c r="I824" s="86">
        <f>IFERROR(__xludf.DUMMYFUNCTION("""COMPUTED_VALUE"""),2.513888888888889)</f>
        <v>2.513888889</v>
      </c>
      <c r="J824" s="87">
        <f>IFERROR(__xludf.DUMMYFUNCTION("""COMPUTED_VALUE"""),64.0)</f>
        <v>64</v>
      </c>
      <c r="K824" s="88">
        <f>IFERROR(__xludf.DUMMYFUNCTION("""COMPUTED_VALUE"""),7.0)</f>
        <v>7</v>
      </c>
      <c r="L824" s="89">
        <f>IFERROR(__xludf.DUMMYFUNCTION("""COMPUTED_VALUE"""),6.5)</f>
        <v>6.5</v>
      </c>
      <c r="M824" s="26" t="str">
        <f>IFERROR(__xludf.DUMMYFUNCTION("""COMPUTED_VALUE"""),"Action-Adventure")</f>
        <v>Action-Adventure</v>
      </c>
      <c r="N824" s="26"/>
      <c r="O824" s="26" t="str">
        <f>IFERROR(__xludf.DUMMYFUNCTION("""COMPUTED_VALUE"""),"No")</f>
        <v>No</v>
      </c>
      <c r="P824" s="26"/>
    </row>
    <row r="825">
      <c r="A825" s="81" t="str">
        <f>IFERROR(__xludf.DUMMYFUNCTION("""COMPUTED_VALUE"""),"Assetto Corsa")</f>
        <v>Assetto Corsa</v>
      </c>
      <c r="B825" s="82" t="str">
        <f>IFERROR(__xludf.DUMMYFUNCTION("""COMPUTED_VALUE"""),"PS5/PS4")</f>
        <v>PS5/PS4</v>
      </c>
      <c r="C825" s="83" t="str">
        <f>IFERROR(__xludf.DUMMYFUNCTION("""COMPUTED_VALUE"""),"Playstation Now (Discontinued)")</f>
        <v>Playstation Now (Discontinued)</v>
      </c>
      <c r="D825" s="82" t="str">
        <f>IFERROR(__xludf.DUMMYFUNCTION("""COMPUTED_VALUE"""),"Removed")</f>
        <v>Removed</v>
      </c>
      <c r="E825" s="84">
        <f>IFERROR(__xludf.DUMMYFUNCTION("""COMPUTED_VALUE"""),43165.0)</f>
        <v>43165</v>
      </c>
      <c r="F825" s="85">
        <f>IFERROR(__xludf.DUMMYFUNCTION("""COMPUTED_VALUE"""),44725.0)</f>
        <v>44725</v>
      </c>
      <c r="G825" s="86">
        <f>IFERROR(__xludf.DUMMYFUNCTION("""COMPUTED_VALUE"""),51.233333333333334)</f>
        <v>51.23333333</v>
      </c>
      <c r="H825" s="84">
        <f>IFERROR(__xludf.DUMMYFUNCTION("""COMPUTED_VALUE"""),42608.0)</f>
        <v>42608</v>
      </c>
      <c r="I825" s="86">
        <f>IFERROR(__xludf.DUMMYFUNCTION("""COMPUTED_VALUE"""),1.5277777777777777)</f>
        <v>1.527777778</v>
      </c>
      <c r="J825" s="87">
        <f>IFERROR(__xludf.DUMMYFUNCTION("""COMPUTED_VALUE"""),68.0)</f>
        <v>68</v>
      </c>
      <c r="K825" s="88">
        <f>IFERROR(__xludf.DUMMYFUNCTION("""COMPUTED_VALUE"""),7.4)</f>
        <v>7.4</v>
      </c>
      <c r="L825" s="89"/>
      <c r="M825" s="26" t="str">
        <f>IFERROR(__xludf.DUMMYFUNCTION("""COMPUTED_VALUE"""),"Racing")</f>
        <v>Racing</v>
      </c>
      <c r="N825" s="26"/>
      <c r="O825" s="26" t="str">
        <f>IFERROR(__xludf.DUMMYFUNCTION("""COMPUTED_VALUE"""),"No")</f>
        <v>No</v>
      </c>
      <c r="P825" s="26"/>
    </row>
    <row r="826">
      <c r="A826" s="81" t="str">
        <f>IFERROR(__xludf.DUMMYFUNCTION("""COMPUTED_VALUE"""),"Lords of the Fallen")</f>
        <v>Lords of the Fallen</v>
      </c>
      <c r="B826" s="82" t="str">
        <f>IFERROR(__xludf.DUMMYFUNCTION("""COMPUTED_VALUE"""),"PS5/PS4")</f>
        <v>PS5/PS4</v>
      </c>
      <c r="C826" s="83" t="str">
        <f>IFERROR(__xludf.DUMMYFUNCTION("""COMPUTED_VALUE"""),"Playstation Now (Discontinued)")</f>
        <v>Playstation Now (Discontinued)</v>
      </c>
      <c r="D826" s="82" t="str">
        <f>IFERROR(__xludf.DUMMYFUNCTION("""COMPUTED_VALUE"""),"Removed")</f>
        <v>Removed</v>
      </c>
      <c r="E826" s="84">
        <f>IFERROR(__xludf.DUMMYFUNCTION("""COMPUTED_VALUE"""),43165.0)</f>
        <v>43165</v>
      </c>
      <c r="F826" s="85">
        <f>IFERROR(__xludf.DUMMYFUNCTION("""COMPUTED_VALUE"""),44725.0)</f>
        <v>44725</v>
      </c>
      <c r="G826" s="86">
        <f>IFERROR(__xludf.DUMMYFUNCTION("""COMPUTED_VALUE"""),51.233333333333334)</f>
        <v>51.23333333</v>
      </c>
      <c r="H826" s="84">
        <f>IFERROR(__xludf.DUMMYFUNCTION("""COMPUTED_VALUE"""),41940.0)</f>
        <v>41940</v>
      </c>
      <c r="I826" s="86">
        <f>IFERROR(__xludf.DUMMYFUNCTION("""COMPUTED_VALUE"""),3.3555555555555556)</f>
        <v>3.355555556</v>
      </c>
      <c r="J826" s="87">
        <f>IFERROR(__xludf.DUMMYFUNCTION("""COMPUTED_VALUE"""),73.0)</f>
        <v>73</v>
      </c>
      <c r="K826" s="88">
        <f>IFERROR(__xludf.DUMMYFUNCTION("""COMPUTED_VALUE"""),6.8)</f>
        <v>6.8</v>
      </c>
      <c r="L826" s="89">
        <f>IFERROR(__xludf.DUMMYFUNCTION("""COMPUTED_VALUE"""),21.0)</f>
        <v>21</v>
      </c>
      <c r="M826" s="26" t="str">
        <f>IFERROR(__xludf.DUMMYFUNCTION("""COMPUTED_VALUE"""),"RPG")</f>
        <v>RPG</v>
      </c>
      <c r="N826" s="26"/>
      <c r="O826" s="26" t="str">
        <f>IFERROR(__xludf.DUMMYFUNCTION("""COMPUTED_VALUE"""),"No")</f>
        <v>No</v>
      </c>
      <c r="P826" s="26"/>
    </row>
    <row r="827">
      <c r="A827" s="81" t="str">
        <f>IFERROR(__xludf.DUMMYFUNCTION("""COMPUTED_VALUE"""),"Tiny Brains")</f>
        <v>Tiny Brains</v>
      </c>
      <c r="B827" s="82" t="str">
        <f>IFERROR(__xludf.DUMMYFUNCTION("""COMPUTED_VALUE"""),"PS5/PS4")</f>
        <v>PS5/PS4</v>
      </c>
      <c r="C827" s="83" t="str">
        <f>IFERROR(__xludf.DUMMYFUNCTION("""COMPUTED_VALUE"""),"Playstation Now (Discontinued)")</f>
        <v>Playstation Now (Discontinued)</v>
      </c>
      <c r="D827" s="82" t="str">
        <f>IFERROR(__xludf.DUMMYFUNCTION("""COMPUTED_VALUE"""),"Removed")</f>
        <v>Removed</v>
      </c>
      <c r="E827" s="84">
        <f>IFERROR(__xludf.DUMMYFUNCTION("""COMPUTED_VALUE"""),43165.0)</f>
        <v>43165</v>
      </c>
      <c r="F827" s="85">
        <f>IFERROR(__xludf.DUMMYFUNCTION("""COMPUTED_VALUE"""),44725.0)</f>
        <v>44725</v>
      </c>
      <c r="G827" s="86">
        <f>IFERROR(__xludf.DUMMYFUNCTION("""COMPUTED_VALUE"""),51.233333333333334)</f>
        <v>51.23333333</v>
      </c>
      <c r="H827" s="84">
        <f>IFERROR(__xludf.DUMMYFUNCTION("""COMPUTED_VALUE"""),41609.0)</f>
        <v>41609</v>
      </c>
      <c r="I827" s="86">
        <f>IFERROR(__xludf.DUMMYFUNCTION("""COMPUTED_VALUE"""),4.263888888888889)</f>
        <v>4.263888889</v>
      </c>
      <c r="J827" s="87">
        <f>IFERROR(__xludf.DUMMYFUNCTION("""COMPUTED_VALUE"""),64.0)</f>
        <v>64</v>
      </c>
      <c r="K827" s="88">
        <f>IFERROR(__xludf.DUMMYFUNCTION("""COMPUTED_VALUE"""),6.1)</f>
        <v>6.1</v>
      </c>
      <c r="L827" s="89">
        <f>IFERROR(__xludf.DUMMYFUNCTION("""COMPUTED_VALUE"""),5.0)</f>
        <v>5</v>
      </c>
      <c r="M827" s="26" t="str">
        <f>IFERROR(__xludf.DUMMYFUNCTION("""COMPUTED_VALUE"""),"Puzzle")</f>
        <v>Puzzle</v>
      </c>
      <c r="N827" s="26"/>
      <c r="O827" s="26" t="str">
        <f>IFERROR(__xludf.DUMMYFUNCTION("""COMPUTED_VALUE"""),"No")</f>
        <v>No</v>
      </c>
      <c r="P827" s="26"/>
    </row>
    <row r="828">
      <c r="A828" s="81" t="str">
        <f>IFERROR(__xludf.DUMMYFUNCTION("""COMPUTED_VALUE"""),"Professional Farmer 2017")</f>
        <v>Professional Farmer 2017</v>
      </c>
      <c r="B828" s="82" t="str">
        <f>IFERROR(__xludf.DUMMYFUNCTION("""COMPUTED_VALUE"""),"PS5/PS4")</f>
        <v>PS5/PS4</v>
      </c>
      <c r="C828" s="83" t="str">
        <f>IFERROR(__xludf.DUMMYFUNCTION("""COMPUTED_VALUE"""),"Playstation Now (Discontinued)")</f>
        <v>Playstation Now (Discontinued)</v>
      </c>
      <c r="D828" s="82" t="str">
        <f>IFERROR(__xludf.DUMMYFUNCTION("""COMPUTED_VALUE"""),"Removed")</f>
        <v>Removed</v>
      </c>
      <c r="E828" s="84">
        <f>IFERROR(__xludf.DUMMYFUNCTION("""COMPUTED_VALUE"""),43137.0)</f>
        <v>43137</v>
      </c>
      <c r="F828" s="85">
        <f>IFERROR(__xludf.DUMMYFUNCTION("""COMPUTED_VALUE"""),44725.0)</f>
        <v>44725</v>
      </c>
      <c r="G828" s="86">
        <f>IFERROR(__xludf.DUMMYFUNCTION("""COMPUTED_VALUE"""),52.233333333333334)</f>
        <v>52.23333333</v>
      </c>
      <c r="H828" s="84">
        <f>IFERROR(__xludf.DUMMYFUNCTION("""COMPUTED_VALUE"""),42531.0)</f>
        <v>42531</v>
      </c>
      <c r="I828" s="86">
        <f>IFERROR(__xludf.DUMMYFUNCTION("""COMPUTED_VALUE"""),1.6555555555555554)</f>
        <v>1.655555556</v>
      </c>
      <c r="J828" s="87">
        <f>IFERROR(__xludf.DUMMYFUNCTION("""COMPUTED_VALUE"""),33.0)</f>
        <v>33</v>
      </c>
      <c r="K828" s="88">
        <f>IFERROR(__xludf.DUMMYFUNCTION("""COMPUTED_VALUE"""),4.0)</f>
        <v>4</v>
      </c>
      <c r="L828" s="89"/>
      <c r="M828" s="26" t="str">
        <f>IFERROR(__xludf.DUMMYFUNCTION("""COMPUTED_VALUE"""),"Virtual Career")</f>
        <v>Virtual Career</v>
      </c>
      <c r="N828" s="26"/>
      <c r="O828" s="26" t="str">
        <f>IFERROR(__xludf.DUMMYFUNCTION("""COMPUTED_VALUE"""),"No")</f>
        <v>No</v>
      </c>
      <c r="P828" s="26"/>
    </row>
    <row r="829">
      <c r="A829" s="81" t="str">
        <f>IFERROR(__xludf.DUMMYFUNCTION("""COMPUTED_VALUE"""),"DiRT Rally")</f>
        <v>DiRT Rally</v>
      </c>
      <c r="B829" s="82" t="str">
        <f>IFERROR(__xludf.DUMMYFUNCTION("""COMPUTED_VALUE"""),"PS5/PS4")</f>
        <v>PS5/PS4</v>
      </c>
      <c r="C829" s="83" t="str">
        <f>IFERROR(__xludf.DUMMYFUNCTION("""COMPUTED_VALUE"""),"Playstation Now (Discontinued)")</f>
        <v>Playstation Now (Discontinued)</v>
      </c>
      <c r="D829" s="82" t="str">
        <f>IFERROR(__xludf.DUMMYFUNCTION("""COMPUTED_VALUE"""),"Removed")</f>
        <v>Removed</v>
      </c>
      <c r="E829" s="84">
        <f>IFERROR(__xludf.DUMMYFUNCTION("""COMPUTED_VALUE"""),43137.0)</f>
        <v>43137</v>
      </c>
      <c r="F829" s="85">
        <f>IFERROR(__xludf.DUMMYFUNCTION("""COMPUTED_VALUE"""),44725.0)</f>
        <v>44725</v>
      </c>
      <c r="G829" s="86">
        <f>IFERROR(__xludf.DUMMYFUNCTION("""COMPUTED_VALUE"""),52.233333333333334)</f>
        <v>52.23333333</v>
      </c>
      <c r="H829" s="84">
        <f>IFERROR(__xludf.DUMMYFUNCTION("""COMPUTED_VALUE"""),42465.0)</f>
        <v>42465</v>
      </c>
      <c r="I829" s="86">
        <f>IFERROR(__xludf.DUMMYFUNCTION("""COMPUTED_VALUE"""),1.836111111111111)</f>
        <v>1.836111111</v>
      </c>
      <c r="J829" s="87">
        <f>IFERROR(__xludf.DUMMYFUNCTION("""COMPUTED_VALUE"""),85.0)</f>
        <v>85</v>
      </c>
      <c r="K829" s="88">
        <f>IFERROR(__xludf.DUMMYFUNCTION("""COMPUTED_VALUE"""),7.8)</f>
        <v>7.8</v>
      </c>
      <c r="L829" s="89"/>
      <c r="M829" s="26" t="str">
        <f>IFERROR(__xludf.DUMMYFUNCTION("""COMPUTED_VALUE"""),"Racing")</f>
        <v>Racing</v>
      </c>
      <c r="N829" s="26"/>
      <c r="O829" s="26" t="str">
        <f>IFERROR(__xludf.DUMMYFUNCTION("""COMPUTED_VALUE"""),"No")</f>
        <v>No</v>
      </c>
      <c r="P829" s="26"/>
    </row>
    <row r="830">
      <c r="A830" s="81" t="str">
        <f>IFERROR(__xludf.DUMMYFUNCTION("""COMPUTED_VALUE"""),"Grand Kingdom")</f>
        <v>Grand Kingdom</v>
      </c>
      <c r="B830" s="82" t="str">
        <f>IFERROR(__xludf.DUMMYFUNCTION("""COMPUTED_VALUE"""),"PS5/PS4")</f>
        <v>PS5/PS4</v>
      </c>
      <c r="C830" s="83" t="str">
        <f>IFERROR(__xludf.DUMMYFUNCTION("""COMPUTED_VALUE"""),"Playstation Now (Discontinued)")</f>
        <v>Playstation Now (Discontinued)</v>
      </c>
      <c r="D830" s="82" t="str">
        <f>IFERROR(__xludf.DUMMYFUNCTION("""COMPUTED_VALUE"""),"Removed")</f>
        <v>Removed</v>
      </c>
      <c r="E830" s="84">
        <f>IFERROR(__xludf.DUMMYFUNCTION("""COMPUTED_VALUE"""),43137.0)</f>
        <v>43137</v>
      </c>
      <c r="F830" s="85">
        <f>IFERROR(__xludf.DUMMYFUNCTION("""COMPUTED_VALUE"""),44725.0)</f>
        <v>44725</v>
      </c>
      <c r="G830" s="86">
        <f>IFERROR(__xludf.DUMMYFUNCTION("""COMPUTED_VALUE"""),52.233333333333334)</f>
        <v>52.23333333</v>
      </c>
      <c r="H830" s="84">
        <f>IFERROR(__xludf.DUMMYFUNCTION("""COMPUTED_VALUE"""),42538.0)</f>
        <v>42538</v>
      </c>
      <c r="I830" s="86">
        <f>IFERROR(__xludf.DUMMYFUNCTION("""COMPUTED_VALUE"""),1.636111111111111)</f>
        <v>1.636111111</v>
      </c>
      <c r="J830" s="87">
        <f>IFERROR(__xludf.DUMMYFUNCTION("""COMPUTED_VALUE"""),78.0)</f>
        <v>78</v>
      </c>
      <c r="K830" s="88">
        <f>IFERROR(__xludf.DUMMYFUNCTION("""COMPUTED_VALUE"""),7.5)</f>
        <v>7.5</v>
      </c>
      <c r="L830" s="89">
        <f>IFERROR(__xludf.DUMMYFUNCTION("""COMPUTED_VALUE"""),40.0)</f>
        <v>40</v>
      </c>
      <c r="M830" s="26" t="str">
        <f>IFERROR(__xludf.DUMMYFUNCTION("""COMPUTED_VALUE"""),"RPG")</f>
        <v>RPG</v>
      </c>
      <c r="N830" s="26"/>
      <c r="O830" s="26" t="str">
        <f>IFERROR(__xludf.DUMMYFUNCTION("""COMPUTED_VALUE"""),"No")</f>
        <v>No</v>
      </c>
      <c r="P830" s="26"/>
    </row>
    <row r="831">
      <c r="A831" s="81" t="str">
        <f>IFERROR(__xludf.DUMMYFUNCTION("""COMPUTED_VALUE"""),"Bombing Busters")</f>
        <v>Bombing Busters</v>
      </c>
      <c r="B831" s="82" t="str">
        <f>IFERROR(__xludf.DUMMYFUNCTION("""COMPUTED_VALUE"""),"PS5/PS4")</f>
        <v>PS5/PS4</v>
      </c>
      <c r="C831" s="83" t="str">
        <f>IFERROR(__xludf.DUMMYFUNCTION("""COMPUTED_VALUE"""),"Playstation Now (Discontinued)")</f>
        <v>Playstation Now (Discontinued)</v>
      </c>
      <c r="D831" s="82" t="str">
        <f>IFERROR(__xludf.DUMMYFUNCTION("""COMPUTED_VALUE"""),"Removed")</f>
        <v>Removed</v>
      </c>
      <c r="E831" s="84">
        <f>IFERROR(__xludf.DUMMYFUNCTION("""COMPUTED_VALUE"""),43137.0)</f>
        <v>43137</v>
      </c>
      <c r="F831" s="85">
        <f>IFERROR(__xludf.DUMMYFUNCTION("""COMPUTED_VALUE"""),44725.0)</f>
        <v>44725</v>
      </c>
      <c r="G831" s="86">
        <f>IFERROR(__xludf.DUMMYFUNCTION("""COMPUTED_VALUE"""),52.233333333333334)</f>
        <v>52.23333333</v>
      </c>
      <c r="H831" s="84">
        <f>IFERROR(__xludf.DUMMYFUNCTION("""COMPUTED_VALUE"""),42514.0)</f>
        <v>42514</v>
      </c>
      <c r="I831" s="86">
        <f>IFERROR(__xludf.DUMMYFUNCTION("""COMPUTED_VALUE"""),1.7)</f>
        <v>1.7</v>
      </c>
      <c r="J831" s="87">
        <f>IFERROR(__xludf.DUMMYFUNCTION("""COMPUTED_VALUE"""),55.0)</f>
        <v>55</v>
      </c>
      <c r="K831" s="88"/>
      <c r="L831" s="89"/>
      <c r="M831" s="26" t="str">
        <f>IFERROR(__xludf.DUMMYFUNCTION("""COMPUTED_VALUE"""),"Puzzle")</f>
        <v>Puzzle</v>
      </c>
      <c r="N831" s="26"/>
      <c r="O831" s="26" t="str">
        <f>IFERROR(__xludf.DUMMYFUNCTION("""COMPUTED_VALUE"""),"No")</f>
        <v>No</v>
      </c>
      <c r="P831" s="26"/>
    </row>
    <row r="832">
      <c r="A832" s="81" t="str">
        <f>IFERROR(__xludf.DUMMYFUNCTION("""COMPUTED_VALUE"""),"Motorcycle Club")</f>
        <v>Motorcycle Club</v>
      </c>
      <c r="B832" s="82" t="str">
        <f>IFERROR(__xludf.DUMMYFUNCTION("""COMPUTED_VALUE"""),"PS5/PS4")</f>
        <v>PS5/PS4</v>
      </c>
      <c r="C832" s="83" t="str">
        <f>IFERROR(__xludf.DUMMYFUNCTION("""COMPUTED_VALUE"""),"Playstation Now (Discontinued)")</f>
        <v>Playstation Now (Discontinued)</v>
      </c>
      <c r="D832" s="82" t="str">
        <f>IFERROR(__xludf.DUMMYFUNCTION("""COMPUTED_VALUE"""),"Removed")</f>
        <v>Removed</v>
      </c>
      <c r="E832" s="84">
        <f>IFERROR(__xludf.DUMMYFUNCTION("""COMPUTED_VALUE"""),43137.0)</f>
        <v>43137</v>
      </c>
      <c r="F832" s="85">
        <f>IFERROR(__xludf.DUMMYFUNCTION("""COMPUTED_VALUE"""),44725.0)</f>
        <v>44725</v>
      </c>
      <c r="G832" s="86">
        <f>IFERROR(__xludf.DUMMYFUNCTION("""COMPUTED_VALUE"""),52.233333333333334)</f>
        <v>52.23333333</v>
      </c>
      <c r="H832" s="84">
        <f>IFERROR(__xludf.DUMMYFUNCTION("""COMPUTED_VALUE"""),41940.0)</f>
        <v>41940</v>
      </c>
      <c r="I832" s="86">
        <f>IFERROR(__xludf.DUMMYFUNCTION("""COMPUTED_VALUE"""),3.272222222222222)</f>
        <v>3.272222222</v>
      </c>
      <c r="J832" s="87">
        <f>IFERROR(__xludf.DUMMYFUNCTION("""COMPUTED_VALUE"""),39.0)</f>
        <v>39</v>
      </c>
      <c r="K832" s="88">
        <f>IFERROR(__xludf.DUMMYFUNCTION("""COMPUTED_VALUE"""),3.6)</f>
        <v>3.6</v>
      </c>
      <c r="L832" s="89"/>
      <c r="M832" s="26" t="str">
        <f>IFERROR(__xludf.DUMMYFUNCTION("""COMPUTED_VALUE"""),"Racing")</f>
        <v>Racing</v>
      </c>
      <c r="N832" s="26" t="str">
        <f>IFERROR(__xludf.DUMMYFUNCTION("""COMPUTED_VALUE"""),"PS3")</f>
        <v>PS3</v>
      </c>
      <c r="O832" s="26" t="str">
        <f>IFERROR(__xludf.DUMMYFUNCTION("""COMPUTED_VALUE"""),"No")</f>
        <v>No</v>
      </c>
      <c r="P832" s="26"/>
    </row>
    <row r="833">
      <c r="A833" s="81" t="str">
        <f>IFERROR(__xludf.DUMMYFUNCTION("""COMPUTED_VALUE"""),"Backgammon Blitz")</f>
        <v>Backgammon Blitz</v>
      </c>
      <c r="B833" s="82" t="str">
        <f>IFERROR(__xludf.DUMMYFUNCTION("""COMPUTED_VALUE"""),"PS5/PS4")</f>
        <v>PS5/PS4</v>
      </c>
      <c r="C833" s="83" t="str">
        <f>IFERROR(__xludf.DUMMYFUNCTION("""COMPUTED_VALUE"""),"Playstation Now (Discontinued)")</f>
        <v>Playstation Now (Discontinued)</v>
      </c>
      <c r="D833" s="82" t="str">
        <f>IFERROR(__xludf.DUMMYFUNCTION("""COMPUTED_VALUE"""),"Removed")</f>
        <v>Removed</v>
      </c>
      <c r="E833" s="84">
        <f>IFERROR(__xludf.DUMMYFUNCTION("""COMPUTED_VALUE"""),43137.0)</f>
        <v>43137</v>
      </c>
      <c r="F833" s="85">
        <f>IFERROR(__xludf.DUMMYFUNCTION("""COMPUTED_VALUE"""),44725.0)</f>
        <v>44725</v>
      </c>
      <c r="G833" s="86">
        <f>IFERROR(__xludf.DUMMYFUNCTION("""COMPUTED_VALUE"""),52.233333333333334)</f>
        <v>52.23333333</v>
      </c>
      <c r="H833" s="84">
        <f>IFERROR(__xludf.DUMMYFUNCTION("""COMPUTED_VALUE"""),41597.0)</f>
        <v>41597</v>
      </c>
      <c r="I833" s="86">
        <f>IFERROR(__xludf.DUMMYFUNCTION("""COMPUTED_VALUE"""),4.213888888888889)</f>
        <v>4.213888889</v>
      </c>
      <c r="J833" s="87">
        <f>IFERROR(__xludf.DUMMYFUNCTION("""COMPUTED_VALUE"""),68.0)</f>
        <v>68</v>
      </c>
      <c r="K833" s="88">
        <f>IFERROR(__xludf.DUMMYFUNCTION("""COMPUTED_VALUE"""),6.7)</f>
        <v>6.7</v>
      </c>
      <c r="L833" s="89"/>
      <c r="M833" s="26" t="str">
        <f>IFERROR(__xludf.DUMMYFUNCTION("""COMPUTED_VALUE"""),"Card &amp; Board")</f>
        <v>Card &amp; Board</v>
      </c>
      <c r="N833" s="26"/>
      <c r="O833" s="26" t="str">
        <f>IFERROR(__xludf.DUMMYFUNCTION("""COMPUTED_VALUE"""),"No")</f>
        <v>No</v>
      </c>
      <c r="P833" s="26"/>
    </row>
    <row r="834">
      <c r="A834" s="81" t="str">
        <f>IFERROR(__xludf.DUMMYFUNCTION("""COMPUTED_VALUE"""),"Yakuza 4")</f>
        <v>Yakuza 4</v>
      </c>
      <c r="B834" s="82" t="str">
        <f>IFERROR(__xludf.DUMMYFUNCTION("""COMPUTED_VALUE"""),"PS5/PS4")</f>
        <v>PS5/PS4</v>
      </c>
      <c r="C834" s="83" t="str">
        <f>IFERROR(__xludf.DUMMYFUNCTION("""COMPUTED_VALUE"""),"Playstation Now (Discontinued)")</f>
        <v>Playstation Now (Discontinued)</v>
      </c>
      <c r="D834" s="82" t="str">
        <f>IFERROR(__xludf.DUMMYFUNCTION("""COMPUTED_VALUE"""),"Removed")</f>
        <v>Removed</v>
      </c>
      <c r="E834" s="84">
        <f>IFERROR(__xludf.DUMMYFUNCTION("""COMPUTED_VALUE"""),43137.0)</f>
        <v>43137</v>
      </c>
      <c r="F834" s="85">
        <f>IFERROR(__xludf.DUMMYFUNCTION("""COMPUTED_VALUE"""),44725.0)</f>
        <v>44725</v>
      </c>
      <c r="G834" s="86">
        <f>IFERROR(__xludf.DUMMYFUNCTION("""COMPUTED_VALUE"""),52.233333333333334)</f>
        <v>52.23333333</v>
      </c>
      <c r="H834" s="84">
        <f>IFERROR(__xludf.DUMMYFUNCTION("""COMPUTED_VALUE"""),40603.0)</f>
        <v>40603</v>
      </c>
      <c r="I834" s="86">
        <f>IFERROR(__xludf.DUMMYFUNCTION("""COMPUTED_VALUE"""),6.930555555555555)</f>
        <v>6.930555556</v>
      </c>
      <c r="J834" s="87">
        <f>IFERROR(__xludf.DUMMYFUNCTION("""COMPUTED_VALUE"""),78.0)</f>
        <v>78</v>
      </c>
      <c r="K834" s="88">
        <f>IFERROR(__xludf.DUMMYFUNCTION("""COMPUTED_VALUE"""),8.5)</f>
        <v>8.5</v>
      </c>
      <c r="L834" s="89">
        <f>IFERROR(__xludf.DUMMYFUNCTION("""COMPUTED_VALUE"""),19.0)</f>
        <v>19</v>
      </c>
      <c r="M834" s="26" t="str">
        <f>IFERROR(__xludf.DUMMYFUNCTION("""COMPUTED_VALUE"""),"Action-Adventure")</f>
        <v>Action-Adventure</v>
      </c>
      <c r="N834" s="26" t="str">
        <f>IFERROR(__xludf.DUMMYFUNCTION("""COMPUTED_VALUE"""),"PS3")</f>
        <v>PS3</v>
      </c>
      <c r="O834" s="26" t="str">
        <f>IFERROR(__xludf.DUMMYFUNCTION("""COMPUTED_VALUE"""),"No")</f>
        <v>No</v>
      </c>
      <c r="P834" s="26"/>
    </row>
    <row r="835">
      <c r="A835" s="81" t="str">
        <f>IFERROR(__xludf.DUMMYFUNCTION("""COMPUTED_VALUE"""),"Fat Princess Adventures")</f>
        <v>Fat Princess Adventures</v>
      </c>
      <c r="B835" s="82" t="str">
        <f>IFERROR(__xludf.DUMMYFUNCTION("""COMPUTED_VALUE"""),"PS5/PS4")</f>
        <v>PS5/PS4</v>
      </c>
      <c r="C835" s="83" t="str">
        <f>IFERROR(__xludf.DUMMYFUNCTION("""COMPUTED_VALUE"""),"Playstation Now (Discontinued)")</f>
        <v>Playstation Now (Discontinued)</v>
      </c>
      <c r="D835" s="82" t="str">
        <f>IFERROR(__xludf.DUMMYFUNCTION("""COMPUTED_VALUE"""),"Removed")</f>
        <v>Removed</v>
      </c>
      <c r="E835" s="84">
        <f>IFERROR(__xludf.DUMMYFUNCTION("""COMPUTED_VALUE"""),43109.0)</f>
        <v>43109</v>
      </c>
      <c r="F835" s="85">
        <f>IFERROR(__xludf.DUMMYFUNCTION("""COMPUTED_VALUE"""),44725.0)</f>
        <v>44725</v>
      </c>
      <c r="G835" s="86">
        <f>IFERROR(__xludf.DUMMYFUNCTION("""COMPUTED_VALUE"""),53.13333333333334)</f>
        <v>53.13333333</v>
      </c>
      <c r="H835" s="84">
        <f>IFERROR(__xludf.DUMMYFUNCTION("""COMPUTED_VALUE"""),42343.0)</f>
        <v>42343</v>
      </c>
      <c r="I835" s="86">
        <f>IFERROR(__xludf.DUMMYFUNCTION("""COMPUTED_VALUE"""),2.0944444444444446)</f>
        <v>2.094444444</v>
      </c>
      <c r="J835" s="87">
        <f>IFERROR(__xludf.DUMMYFUNCTION("""COMPUTED_VALUE"""),69.0)</f>
        <v>69</v>
      </c>
      <c r="K835" s="88">
        <f>IFERROR(__xludf.DUMMYFUNCTION("""COMPUTED_VALUE"""),6.8)</f>
        <v>6.8</v>
      </c>
      <c r="L835" s="89">
        <f>IFERROR(__xludf.DUMMYFUNCTION("""COMPUTED_VALUE"""),10.0)</f>
        <v>10</v>
      </c>
      <c r="M835" s="26" t="str">
        <f>IFERROR(__xludf.DUMMYFUNCTION("""COMPUTED_VALUE"""),"Action-Adventure")</f>
        <v>Action-Adventure</v>
      </c>
      <c r="N835" s="26"/>
      <c r="O835" s="26" t="str">
        <f>IFERROR(__xludf.DUMMYFUNCTION("""COMPUTED_VALUE"""),"No")</f>
        <v>No</v>
      </c>
      <c r="P835" s="26"/>
    </row>
    <row r="836">
      <c r="A836" s="81" t="str">
        <f>IFERROR(__xludf.DUMMYFUNCTION("""COMPUTED_VALUE"""),"PixelJunk Shooter Ultimate")</f>
        <v>PixelJunk Shooter Ultimate</v>
      </c>
      <c r="B836" s="82" t="str">
        <f>IFERROR(__xludf.DUMMYFUNCTION("""COMPUTED_VALUE"""),"PS5/PS4")</f>
        <v>PS5/PS4</v>
      </c>
      <c r="C836" s="83" t="str">
        <f>IFERROR(__xludf.DUMMYFUNCTION("""COMPUTED_VALUE"""),"Playstation Now (Discontinued)")</f>
        <v>Playstation Now (Discontinued)</v>
      </c>
      <c r="D836" s="82" t="str">
        <f>IFERROR(__xludf.DUMMYFUNCTION("""COMPUTED_VALUE"""),"Removed")</f>
        <v>Removed</v>
      </c>
      <c r="E836" s="84">
        <f>IFERROR(__xludf.DUMMYFUNCTION("""COMPUTED_VALUE"""),43109.0)</f>
        <v>43109</v>
      </c>
      <c r="F836" s="85">
        <f>IFERROR(__xludf.DUMMYFUNCTION("""COMPUTED_VALUE"""),44725.0)</f>
        <v>44725</v>
      </c>
      <c r="G836" s="86">
        <f>IFERROR(__xludf.DUMMYFUNCTION("""COMPUTED_VALUE"""),53.13333333333334)</f>
        <v>53.13333333</v>
      </c>
      <c r="H836" s="84">
        <f>IFERROR(__xludf.DUMMYFUNCTION("""COMPUTED_VALUE"""),41793.0)</f>
        <v>41793</v>
      </c>
      <c r="I836" s="86">
        <f>IFERROR(__xludf.DUMMYFUNCTION("""COMPUTED_VALUE"""),3.6)</f>
        <v>3.6</v>
      </c>
      <c r="J836" s="87">
        <f>IFERROR(__xludf.DUMMYFUNCTION("""COMPUTED_VALUE"""),81.0)</f>
        <v>81</v>
      </c>
      <c r="K836" s="88">
        <f>IFERROR(__xludf.DUMMYFUNCTION("""COMPUTED_VALUE"""),7.5)</f>
        <v>7.5</v>
      </c>
      <c r="L836" s="89">
        <f>IFERROR(__xludf.DUMMYFUNCTION("""COMPUTED_VALUE"""),8.0)</f>
        <v>8</v>
      </c>
      <c r="M836" s="26" t="str">
        <f>IFERROR(__xludf.DUMMYFUNCTION("""COMPUTED_VALUE"""),"Shooter")</f>
        <v>Shooter</v>
      </c>
      <c r="N836" s="26"/>
      <c r="O836" s="26" t="str">
        <f>IFERROR(__xludf.DUMMYFUNCTION("""COMPUTED_VALUE"""),"No")</f>
        <v>No</v>
      </c>
      <c r="P836" s="26"/>
    </row>
    <row r="837">
      <c r="A837" s="81" t="str">
        <f>IFERROR(__xludf.DUMMYFUNCTION("""COMPUTED_VALUE"""),"Everybody's Gone to the Rapture")</f>
        <v>Everybody's Gone to the Rapture</v>
      </c>
      <c r="B837" s="82" t="str">
        <f>IFERROR(__xludf.DUMMYFUNCTION("""COMPUTED_VALUE"""),"PS5/PS4")</f>
        <v>PS5/PS4</v>
      </c>
      <c r="C837" s="83" t="str">
        <f>IFERROR(__xludf.DUMMYFUNCTION("""COMPUTED_VALUE"""),"Playstation Now (Discontinued)")</f>
        <v>Playstation Now (Discontinued)</v>
      </c>
      <c r="D837" s="82" t="str">
        <f>IFERROR(__xludf.DUMMYFUNCTION("""COMPUTED_VALUE"""),"Removed")</f>
        <v>Removed</v>
      </c>
      <c r="E837" s="84">
        <f>IFERROR(__xludf.DUMMYFUNCTION("""COMPUTED_VALUE"""),43109.0)</f>
        <v>43109</v>
      </c>
      <c r="F837" s="85">
        <f>IFERROR(__xludf.DUMMYFUNCTION("""COMPUTED_VALUE"""),44725.0)</f>
        <v>44725</v>
      </c>
      <c r="G837" s="86">
        <f>IFERROR(__xludf.DUMMYFUNCTION("""COMPUTED_VALUE"""),53.13333333333334)</f>
        <v>53.13333333</v>
      </c>
      <c r="H837" s="84">
        <f>IFERROR(__xludf.DUMMYFUNCTION("""COMPUTED_VALUE"""),42227.0)</f>
        <v>42227</v>
      </c>
      <c r="I837" s="86">
        <f>IFERROR(__xludf.DUMMYFUNCTION("""COMPUTED_VALUE"""),2.411111111111111)</f>
        <v>2.411111111</v>
      </c>
      <c r="J837" s="87">
        <f>IFERROR(__xludf.DUMMYFUNCTION("""COMPUTED_VALUE"""),78.0)</f>
        <v>78</v>
      </c>
      <c r="K837" s="88">
        <f>IFERROR(__xludf.DUMMYFUNCTION("""COMPUTED_VALUE"""),7.4)</f>
        <v>7.4</v>
      </c>
      <c r="L837" s="89">
        <f>IFERROR(__xludf.DUMMYFUNCTION("""COMPUTED_VALUE"""),5.0)</f>
        <v>5</v>
      </c>
      <c r="M837" s="26" t="str">
        <f>IFERROR(__xludf.DUMMYFUNCTION("""COMPUTED_VALUE"""),"Action-Adventure")</f>
        <v>Action-Adventure</v>
      </c>
      <c r="N837" s="26"/>
      <c r="O837" s="26" t="str">
        <f>IFERROR(__xludf.DUMMYFUNCTION("""COMPUTED_VALUE"""),"No")</f>
        <v>No</v>
      </c>
      <c r="P837" s="26"/>
    </row>
    <row r="838">
      <c r="A838" s="81" t="str">
        <f>IFERROR(__xludf.DUMMYFUNCTION("""COMPUTED_VALUE"""),"Escape Plan")</f>
        <v>Escape Plan</v>
      </c>
      <c r="B838" s="82" t="str">
        <f>IFERROR(__xludf.DUMMYFUNCTION("""COMPUTED_VALUE"""),"PS5/PS4")</f>
        <v>PS5/PS4</v>
      </c>
      <c r="C838" s="83" t="str">
        <f>IFERROR(__xludf.DUMMYFUNCTION("""COMPUTED_VALUE"""),"Playstation Now (Discontinued)")</f>
        <v>Playstation Now (Discontinued)</v>
      </c>
      <c r="D838" s="82" t="str">
        <f>IFERROR(__xludf.DUMMYFUNCTION("""COMPUTED_VALUE"""),"Removed")</f>
        <v>Removed</v>
      </c>
      <c r="E838" s="84">
        <f>IFERROR(__xludf.DUMMYFUNCTION("""COMPUTED_VALUE"""),43109.0)</f>
        <v>43109</v>
      </c>
      <c r="F838" s="85">
        <f>IFERROR(__xludf.DUMMYFUNCTION("""COMPUTED_VALUE"""),44725.0)</f>
        <v>44725</v>
      </c>
      <c r="G838" s="86">
        <f>IFERROR(__xludf.DUMMYFUNCTION("""COMPUTED_VALUE"""),53.13333333333334)</f>
        <v>53.13333333</v>
      </c>
      <c r="H838" s="84">
        <f>IFERROR(__xludf.DUMMYFUNCTION("""COMPUTED_VALUE"""),41609.0)</f>
        <v>41609</v>
      </c>
      <c r="I838" s="86">
        <f>IFERROR(__xludf.DUMMYFUNCTION("""COMPUTED_VALUE"""),4.105555555555555)</f>
        <v>4.105555556</v>
      </c>
      <c r="J838" s="87">
        <f>IFERROR(__xludf.DUMMYFUNCTION("""COMPUTED_VALUE"""),73.0)</f>
        <v>73</v>
      </c>
      <c r="K838" s="88">
        <f>IFERROR(__xludf.DUMMYFUNCTION("""COMPUTED_VALUE"""),7.1)</f>
        <v>7.1</v>
      </c>
      <c r="L838" s="89">
        <f>IFERROR(__xludf.DUMMYFUNCTION("""COMPUTED_VALUE"""),3.5)</f>
        <v>3.5</v>
      </c>
      <c r="M838" s="26" t="str">
        <f>IFERROR(__xludf.DUMMYFUNCTION("""COMPUTED_VALUE"""),"Puzzle")</f>
        <v>Puzzle</v>
      </c>
      <c r="N838" s="26"/>
      <c r="O838" s="26" t="str">
        <f>IFERROR(__xludf.DUMMYFUNCTION("""COMPUTED_VALUE"""),"No")</f>
        <v>No</v>
      </c>
      <c r="P838" s="26"/>
    </row>
    <row r="839">
      <c r="A839" s="81" t="str">
        <f>IFERROR(__xludf.DUMMYFUNCTION("""COMPUTED_VALUE"""),"Tennis in the Face")</f>
        <v>Tennis in the Face</v>
      </c>
      <c r="B839" s="82" t="str">
        <f>IFERROR(__xludf.DUMMYFUNCTION("""COMPUTED_VALUE"""),"PS5/PS4")</f>
        <v>PS5/PS4</v>
      </c>
      <c r="C839" s="83" t="str">
        <f>IFERROR(__xludf.DUMMYFUNCTION("""COMPUTED_VALUE"""),"Playstation Now (Discontinued)")</f>
        <v>Playstation Now (Discontinued)</v>
      </c>
      <c r="D839" s="82" t="str">
        <f>IFERROR(__xludf.DUMMYFUNCTION("""COMPUTED_VALUE"""),"Removed")</f>
        <v>Removed</v>
      </c>
      <c r="E839" s="84">
        <f>IFERROR(__xludf.DUMMYFUNCTION("""COMPUTED_VALUE"""),43083.0)</f>
        <v>43083</v>
      </c>
      <c r="F839" s="85">
        <f>IFERROR(__xludf.DUMMYFUNCTION("""COMPUTED_VALUE"""),44725.0)</f>
        <v>44725</v>
      </c>
      <c r="G839" s="86">
        <f>IFERROR(__xludf.DUMMYFUNCTION("""COMPUTED_VALUE"""),53.96666666666666)</f>
        <v>53.96666667</v>
      </c>
      <c r="H839" s="84">
        <f>IFERROR(__xludf.DUMMYFUNCTION("""COMPUTED_VALUE"""),41982.0)</f>
        <v>41982</v>
      </c>
      <c r="I839" s="86">
        <f>IFERROR(__xludf.DUMMYFUNCTION("""COMPUTED_VALUE"""),3.013888888888889)</f>
        <v>3.013888889</v>
      </c>
      <c r="J839" s="87">
        <f>IFERROR(__xludf.DUMMYFUNCTION("""COMPUTED_VALUE"""),68.0)</f>
        <v>68</v>
      </c>
      <c r="K839" s="88">
        <f>IFERROR(__xludf.DUMMYFUNCTION("""COMPUTED_VALUE"""),5.6)</f>
        <v>5.6</v>
      </c>
      <c r="L839" s="89"/>
      <c r="M839" s="26" t="str">
        <f>IFERROR(__xludf.DUMMYFUNCTION("""COMPUTED_VALUE"""),"Puzzle")</f>
        <v>Puzzle</v>
      </c>
      <c r="N839" s="26"/>
      <c r="O839" s="26" t="str">
        <f>IFERROR(__xludf.DUMMYFUNCTION("""COMPUTED_VALUE"""),"No")</f>
        <v>No</v>
      </c>
      <c r="P839" s="26"/>
    </row>
    <row r="840">
      <c r="A840" s="81" t="str">
        <f>IFERROR(__xludf.DUMMYFUNCTION("""COMPUTED_VALUE"""),"MouseCraft")</f>
        <v>MouseCraft</v>
      </c>
      <c r="B840" s="82" t="str">
        <f>IFERROR(__xludf.DUMMYFUNCTION("""COMPUTED_VALUE"""),"PS5/PS4")</f>
        <v>PS5/PS4</v>
      </c>
      <c r="C840" s="83" t="str">
        <f>IFERROR(__xludf.DUMMYFUNCTION("""COMPUTED_VALUE"""),"Playstation Now (Discontinued)")</f>
        <v>Playstation Now (Discontinued)</v>
      </c>
      <c r="D840" s="82" t="str">
        <f>IFERROR(__xludf.DUMMYFUNCTION("""COMPUTED_VALUE"""),"Removed")</f>
        <v>Removed</v>
      </c>
      <c r="E840" s="84">
        <f>IFERROR(__xludf.DUMMYFUNCTION("""COMPUTED_VALUE"""),43083.0)</f>
        <v>43083</v>
      </c>
      <c r="F840" s="85">
        <f>IFERROR(__xludf.DUMMYFUNCTION("""COMPUTED_VALUE"""),44725.0)</f>
        <v>44725</v>
      </c>
      <c r="G840" s="86">
        <f>IFERROR(__xludf.DUMMYFUNCTION("""COMPUTED_VALUE"""),53.96666666666666)</f>
        <v>53.96666667</v>
      </c>
      <c r="H840" s="84">
        <f>IFERROR(__xludf.DUMMYFUNCTION("""COMPUTED_VALUE"""),41828.0)</f>
        <v>41828</v>
      </c>
      <c r="I840" s="86">
        <f>IFERROR(__xludf.DUMMYFUNCTION("""COMPUTED_VALUE"""),3.433333333333333)</f>
        <v>3.433333333</v>
      </c>
      <c r="J840" s="87">
        <f>IFERROR(__xludf.DUMMYFUNCTION("""COMPUTED_VALUE"""),68.0)</f>
        <v>68</v>
      </c>
      <c r="K840" s="88">
        <f>IFERROR(__xludf.DUMMYFUNCTION("""COMPUTED_VALUE"""),7.0)</f>
        <v>7</v>
      </c>
      <c r="L840" s="89">
        <f>IFERROR(__xludf.DUMMYFUNCTION("""COMPUTED_VALUE"""),7.0)</f>
        <v>7</v>
      </c>
      <c r="M840" s="26" t="str">
        <f>IFERROR(__xludf.DUMMYFUNCTION("""COMPUTED_VALUE"""),"Puzzle")</f>
        <v>Puzzle</v>
      </c>
      <c r="N840" s="26"/>
      <c r="O840" s="26" t="str">
        <f>IFERROR(__xludf.DUMMYFUNCTION("""COMPUTED_VALUE"""),"No")</f>
        <v>No</v>
      </c>
      <c r="P840" s="26"/>
    </row>
    <row r="841">
      <c r="A841" s="81" t="str">
        <f>IFERROR(__xludf.DUMMYFUNCTION("""COMPUTED_VALUE"""),"Sparkle 2")</f>
        <v>Sparkle 2</v>
      </c>
      <c r="B841" s="82" t="str">
        <f>IFERROR(__xludf.DUMMYFUNCTION("""COMPUTED_VALUE"""),"PS5/PS4")</f>
        <v>PS5/PS4</v>
      </c>
      <c r="C841" s="83" t="str">
        <f>IFERROR(__xludf.DUMMYFUNCTION("""COMPUTED_VALUE"""),"Playstation Now (Discontinued)")</f>
        <v>Playstation Now (Discontinued)</v>
      </c>
      <c r="D841" s="82" t="str">
        <f>IFERROR(__xludf.DUMMYFUNCTION("""COMPUTED_VALUE"""),"Removed")</f>
        <v>Removed</v>
      </c>
      <c r="E841" s="84">
        <f>IFERROR(__xludf.DUMMYFUNCTION("""COMPUTED_VALUE"""),43083.0)</f>
        <v>43083</v>
      </c>
      <c r="F841" s="85">
        <f>IFERROR(__xludf.DUMMYFUNCTION("""COMPUTED_VALUE"""),44725.0)</f>
        <v>44725</v>
      </c>
      <c r="G841" s="86">
        <f>IFERROR(__xludf.DUMMYFUNCTION("""COMPUTED_VALUE"""),53.96666666666666)</f>
        <v>53.96666667</v>
      </c>
      <c r="H841" s="84">
        <f>IFERROR(__xludf.DUMMYFUNCTION("""COMPUTED_VALUE"""),41991.0)</f>
        <v>41991</v>
      </c>
      <c r="I841" s="86">
        <f>IFERROR(__xludf.DUMMYFUNCTION("""COMPUTED_VALUE"""),2.988888888888889)</f>
        <v>2.988888889</v>
      </c>
      <c r="J841" s="87">
        <f>IFERROR(__xludf.DUMMYFUNCTION("""COMPUTED_VALUE"""),72.0)</f>
        <v>72</v>
      </c>
      <c r="K841" s="88">
        <f>IFERROR(__xludf.DUMMYFUNCTION("""COMPUTED_VALUE"""),7.3)</f>
        <v>7.3</v>
      </c>
      <c r="L841" s="89"/>
      <c r="M841" s="26" t="str">
        <f>IFERROR(__xludf.DUMMYFUNCTION("""COMPUTED_VALUE"""),"Puzzle")</f>
        <v>Puzzle</v>
      </c>
      <c r="N841" s="26"/>
      <c r="O841" s="26" t="str">
        <f>IFERROR(__xludf.DUMMYFUNCTION("""COMPUTED_VALUE"""),"No")</f>
        <v>No</v>
      </c>
      <c r="P841" s="26"/>
    </row>
    <row r="842">
      <c r="A842" s="81" t="str">
        <f>IFERROR(__xludf.DUMMYFUNCTION("""COMPUTED_VALUE"""),"Siegecraft Commander")</f>
        <v>Siegecraft Commander</v>
      </c>
      <c r="B842" s="82" t="str">
        <f>IFERROR(__xludf.DUMMYFUNCTION("""COMPUTED_VALUE"""),"PS5/PS4")</f>
        <v>PS5/PS4</v>
      </c>
      <c r="C842" s="83" t="str">
        <f>IFERROR(__xludf.DUMMYFUNCTION("""COMPUTED_VALUE"""),"Playstation Now (Discontinued)")</f>
        <v>Playstation Now (Discontinued)</v>
      </c>
      <c r="D842" s="82" t="str">
        <f>IFERROR(__xludf.DUMMYFUNCTION("""COMPUTED_VALUE"""),"Removed")</f>
        <v>Removed</v>
      </c>
      <c r="E842" s="84">
        <f>IFERROR(__xludf.DUMMYFUNCTION("""COMPUTED_VALUE"""),43074.0)</f>
        <v>43074</v>
      </c>
      <c r="F842" s="85">
        <f>IFERROR(__xludf.DUMMYFUNCTION("""COMPUTED_VALUE"""),44725.0)</f>
        <v>44725</v>
      </c>
      <c r="G842" s="86">
        <f>IFERROR(__xludf.DUMMYFUNCTION("""COMPUTED_VALUE"""),54.266666666666666)</f>
        <v>54.26666667</v>
      </c>
      <c r="H842" s="84">
        <f>IFERROR(__xludf.DUMMYFUNCTION("""COMPUTED_VALUE"""),42752.0)</f>
        <v>42752</v>
      </c>
      <c r="I842" s="86">
        <f>IFERROR(__xludf.DUMMYFUNCTION("""COMPUTED_VALUE"""),0.8833333333333333)</f>
        <v>0.8833333333</v>
      </c>
      <c r="J842" s="87">
        <f>IFERROR(__xludf.DUMMYFUNCTION("""COMPUTED_VALUE"""),68.0)</f>
        <v>68</v>
      </c>
      <c r="K842" s="88">
        <f>IFERROR(__xludf.DUMMYFUNCTION("""COMPUTED_VALUE"""),6.7)</f>
        <v>6.7</v>
      </c>
      <c r="L842" s="89">
        <f>IFERROR(__xludf.DUMMYFUNCTION("""COMPUTED_VALUE"""),3.0)</f>
        <v>3</v>
      </c>
      <c r="M842" s="26" t="str">
        <f>IFERROR(__xludf.DUMMYFUNCTION("""COMPUTED_VALUE"""),"Strategy")</f>
        <v>Strategy</v>
      </c>
      <c r="N842" s="26"/>
      <c r="O842" s="26" t="str">
        <f>IFERROR(__xludf.DUMMYFUNCTION("""COMPUTED_VALUE"""),"No")</f>
        <v>No</v>
      </c>
      <c r="P842" s="26"/>
    </row>
    <row r="843">
      <c r="A843" s="81" t="str">
        <f>IFERROR(__xludf.DUMMYFUNCTION("""COMPUTED_VALUE"""),"Industry Giant 2")</f>
        <v>Industry Giant 2</v>
      </c>
      <c r="B843" s="82" t="str">
        <f>IFERROR(__xludf.DUMMYFUNCTION("""COMPUTED_VALUE"""),"PS5/PS4")</f>
        <v>PS5/PS4</v>
      </c>
      <c r="C843" s="83" t="str">
        <f>IFERROR(__xludf.DUMMYFUNCTION("""COMPUTED_VALUE"""),"Playstation Now (Discontinued)")</f>
        <v>Playstation Now (Discontinued)</v>
      </c>
      <c r="D843" s="82" t="str">
        <f>IFERROR(__xludf.DUMMYFUNCTION("""COMPUTED_VALUE"""),"Removed")</f>
        <v>Removed</v>
      </c>
      <c r="E843" s="84">
        <f>IFERROR(__xludf.DUMMYFUNCTION("""COMPUTED_VALUE"""),43074.0)</f>
        <v>43074</v>
      </c>
      <c r="F843" s="85">
        <f>IFERROR(__xludf.DUMMYFUNCTION("""COMPUTED_VALUE"""),44725.0)</f>
        <v>44725</v>
      </c>
      <c r="G843" s="86">
        <f>IFERROR(__xludf.DUMMYFUNCTION("""COMPUTED_VALUE"""),54.266666666666666)</f>
        <v>54.26666667</v>
      </c>
      <c r="H843" s="84">
        <f>IFERROR(__xludf.DUMMYFUNCTION("""COMPUTED_VALUE"""),37501.0)</f>
        <v>37501</v>
      </c>
      <c r="I843" s="86">
        <f>IFERROR(__xludf.DUMMYFUNCTION("""COMPUTED_VALUE"""),15.258333333333333)</f>
        <v>15.25833333</v>
      </c>
      <c r="J843" s="87">
        <f>IFERROR(__xludf.DUMMYFUNCTION("""COMPUTED_VALUE"""),71.0)</f>
        <v>71</v>
      </c>
      <c r="K843" s="88">
        <f>IFERROR(__xludf.DUMMYFUNCTION("""COMPUTED_VALUE"""),8.2)</f>
        <v>8.2</v>
      </c>
      <c r="L843" s="89">
        <f>IFERROR(__xludf.DUMMYFUNCTION("""COMPUTED_VALUE"""),30.0)</f>
        <v>30</v>
      </c>
      <c r="M843" s="26" t="str">
        <f>IFERROR(__xludf.DUMMYFUNCTION("""COMPUTED_VALUE"""),"Tycoon")</f>
        <v>Tycoon</v>
      </c>
      <c r="N843" s="26"/>
      <c r="O843" s="26" t="str">
        <f>IFERROR(__xludf.DUMMYFUNCTION("""COMPUTED_VALUE"""),"No")</f>
        <v>No</v>
      </c>
      <c r="P843" s="26"/>
    </row>
    <row r="844">
      <c r="A844" s="81" t="str">
        <f>IFERROR(__xludf.DUMMYFUNCTION("""COMPUTED_VALUE"""),"Super Dungeon Bros")</f>
        <v>Super Dungeon Bros</v>
      </c>
      <c r="B844" s="82" t="str">
        <f>IFERROR(__xludf.DUMMYFUNCTION("""COMPUTED_VALUE"""),"PS5/PS4")</f>
        <v>PS5/PS4</v>
      </c>
      <c r="C844" s="83" t="str">
        <f>IFERROR(__xludf.DUMMYFUNCTION("""COMPUTED_VALUE"""),"Playstation Now (Discontinued)")</f>
        <v>Playstation Now (Discontinued)</v>
      </c>
      <c r="D844" s="82" t="str">
        <f>IFERROR(__xludf.DUMMYFUNCTION("""COMPUTED_VALUE"""),"Removed")</f>
        <v>Removed</v>
      </c>
      <c r="E844" s="84">
        <f>IFERROR(__xludf.DUMMYFUNCTION("""COMPUTED_VALUE"""),43074.0)</f>
        <v>43074</v>
      </c>
      <c r="F844" s="85">
        <f>IFERROR(__xludf.DUMMYFUNCTION("""COMPUTED_VALUE"""),44725.0)</f>
        <v>44725</v>
      </c>
      <c r="G844" s="86">
        <f>IFERROR(__xludf.DUMMYFUNCTION("""COMPUTED_VALUE"""),54.266666666666666)</f>
        <v>54.26666667</v>
      </c>
      <c r="H844" s="84">
        <f>IFERROR(__xludf.DUMMYFUNCTION("""COMPUTED_VALUE"""),42675.0)</f>
        <v>42675</v>
      </c>
      <c r="I844" s="86">
        <f>IFERROR(__xludf.DUMMYFUNCTION("""COMPUTED_VALUE"""),1.0944444444444446)</f>
        <v>1.094444444</v>
      </c>
      <c r="J844" s="87">
        <f>IFERROR(__xludf.DUMMYFUNCTION("""COMPUTED_VALUE"""),53.0)</f>
        <v>53</v>
      </c>
      <c r="K844" s="88">
        <f>IFERROR(__xludf.DUMMYFUNCTION("""COMPUTED_VALUE"""),2.5)</f>
        <v>2.5</v>
      </c>
      <c r="L844" s="89">
        <f>IFERROR(__xludf.DUMMYFUNCTION("""COMPUTED_VALUE"""),5.0)</f>
        <v>5</v>
      </c>
      <c r="M844" s="26" t="str">
        <f>IFERROR(__xludf.DUMMYFUNCTION("""COMPUTED_VALUE"""),"Roguelike")</f>
        <v>Roguelike</v>
      </c>
      <c r="N844" s="26" t="str">
        <f>IFERROR(__xludf.DUMMYFUNCTION("""COMPUTED_VALUE"""),"PS3")</f>
        <v>PS3</v>
      </c>
      <c r="O844" s="26" t="str">
        <f>IFERROR(__xludf.DUMMYFUNCTION("""COMPUTED_VALUE"""),"No")</f>
        <v>No</v>
      </c>
      <c r="P844" s="26"/>
    </row>
    <row r="845">
      <c r="A845" s="81" t="str">
        <f>IFERROR(__xludf.DUMMYFUNCTION("""COMPUTED_VALUE"""),"Brick Breaker")</f>
        <v>Brick Breaker</v>
      </c>
      <c r="B845" s="82" t="str">
        <f>IFERROR(__xludf.DUMMYFUNCTION("""COMPUTED_VALUE"""),"PS5/PS4")</f>
        <v>PS5/PS4</v>
      </c>
      <c r="C845" s="83" t="str">
        <f>IFERROR(__xludf.DUMMYFUNCTION("""COMPUTED_VALUE"""),"Playstation Now (Discontinued)")</f>
        <v>Playstation Now (Discontinued)</v>
      </c>
      <c r="D845" s="82" t="str">
        <f>IFERROR(__xludf.DUMMYFUNCTION("""COMPUTED_VALUE"""),"Removed")</f>
        <v>Removed</v>
      </c>
      <c r="E845" s="84">
        <f>IFERROR(__xludf.DUMMYFUNCTION("""COMPUTED_VALUE"""),43074.0)</f>
        <v>43074</v>
      </c>
      <c r="F845" s="85">
        <f>IFERROR(__xludf.DUMMYFUNCTION("""COMPUTED_VALUE"""),44725.0)</f>
        <v>44725</v>
      </c>
      <c r="G845" s="86">
        <f>IFERROR(__xludf.DUMMYFUNCTION("""COMPUTED_VALUE"""),54.266666666666666)</f>
        <v>54.26666667</v>
      </c>
      <c r="H845" s="84">
        <f>IFERROR(__xludf.DUMMYFUNCTION("""COMPUTED_VALUE"""),42780.0)</f>
        <v>42780</v>
      </c>
      <c r="I845" s="86">
        <f>IFERROR(__xludf.DUMMYFUNCTION("""COMPUTED_VALUE"""),0.8083333333333333)</f>
        <v>0.8083333333</v>
      </c>
      <c r="J845" s="87"/>
      <c r="K845" s="88">
        <f>IFERROR(__xludf.DUMMYFUNCTION("""COMPUTED_VALUE"""),3.2)</f>
        <v>3.2</v>
      </c>
      <c r="L845" s="89"/>
      <c r="M845" s="26" t="str">
        <f>IFERROR(__xludf.DUMMYFUNCTION("""COMPUTED_VALUE"""),"Puzzle")</f>
        <v>Puzzle</v>
      </c>
      <c r="N845" s="26"/>
      <c r="O845" s="26" t="str">
        <f>IFERROR(__xludf.DUMMYFUNCTION("""COMPUTED_VALUE"""),"No")</f>
        <v>No</v>
      </c>
      <c r="P845" s="26"/>
    </row>
    <row r="846">
      <c r="A846" s="81" t="str">
        <f>IFERROR(__xludf.DUMMYFUNCTION("""COMPUTED_VALUE"""),"Active Soccer 2 DX")</f>
        <v>Active Soccer 2 DX</v>
      </c>
      <c r="B846" s="82" t="str">
        <f>IFERROR(__xludf.DUMMYFUNCTION("""COMPUTED_VALUE"""),"PS5/PS4")</f>
        <v>PS5/PS4</v>
      </c>
      <c r="C846" s="83" t="str">
        <f>IFERROR(__xludf.DUMMYFUNCTION("""COMPUTED_VALUE"""),"Playstation Now (Discontinued)")</f>
        <v>Playstation Now (Discontinued)</v>
      </c>
      <c r="D846" s="82" t="str">
        <f>IFERROR(__xludf.DUMMYFUNCTION("""COMPUTED_VALUE"""),"Removed")</f>
        <v>Removed</v>
      </c>
      <c r="E846" s="84">
        <f>IFERROR(__xludf.DUMMYFUNCTION("""COMPUTED_VALUE"""),43074.0)</f>
        <v>43074</v>
      </c>
      <c r="F846" s="85">
        <f>IFERROR(__xludf.DUMMYFUNCTION("""COMPUTED_VALUE"""),44725.0)</f>
        <v>44725</v>
      </c>
      <c r="G846" s="86">
        <f>IFERROR(__xludf.DUMMYFUNCTION("""COMPUTED_VALUE"""),54.266666666666666)</f>
        <v>54.26666667</v>
      </c>
      <c r="H846" s="84">
        <f>IFERROR(__xludf.DUMMYFUNCTION("""COMPUTED_VALUE"""),42459.0)</f>
        <v>42459</v>
      </c>
      <c r="I846" s="86">
        <f>IFERROR(__xludf.DUMMYFUNCTION("""COMPUTED_VALUE"""),1.6805555555555556)</f>
        <v>1.680555556</v>
      </c>
      <c r="J846" s="87">
        <f>IFERROR(__xludf.DUMMYFUNCTION("""COMPUTED_VALUE"""),53.0)</f>
        <v>53</v>
      </c>
      <c r="K846" s="88">
        <f>IFERROR(__xludf.DUMMYFUNCTION("""COMPUTED_VALUE"""),7.2)</f>
        <v>7.2</v>
      </c>
      <c r="L846" s="89"/>
      <c r="M846" s="26" t="str">
        <f>IFERROR(__xludf.DUMMYFUNCTION("""COMPUTED_VALUE"""),"Sports")</f>
        <v>Sports</v>
      </c>
      <c r="N846" s="26"/>
      <c r="O846" s="26" t="str">
        <f>IFERROR(__xludf.DUMMYFUNCTION("""COMPUTED_VALUE"""),"No")</f>
        <v>No</v>
      </c>
      <c r="P846" s="26"/>
    </row>
    <row r="847">
      <c r="A847" s="81" t="str">
        <f>IFERROR(__xludf.DUMMYFUNCTION("""COMPUTED_VALUE"""),"Tetraminos")</f>
        <v>Tetraminos</v>
      </c>
      <c r="B847" s="82" t="str">
        <f>IFERROR(__xludf.DUMMYFUNCTION("""COMPUTED_VALUE"""),"PS5/PS4")</f>
        <v>PS5/PS4</v>
      </c>
      <c r="C847" s="83" t="str">
        <f>IFERROR(__xludf.DUMMYFUNCTION("""COMPUTED_VALUE"""),"Playstation Now (Discontinued)")</f>
        <v>Playstation Now (Discontinued)</v>
      </c>
      <c r="D847" s="82" t="str">
        <f>IFERROR(__xludf.DUMMYFUNCTION("""COMPUTED_VALUE"""),"Removed")</f>
        <v>Removed</v>
      </c>
      <c r="E847" s="84">
        <f>IFERROR(__xludf.DUMMYFUNCTION("""COMPUTED_VALUE"""),43074.0)</f>
        <v>43074</v>
      </c>
      <c r="F847" s="85">
        <f>IFERROR(__xludf.DUMMYFUNCTION("""COMPUTED_VALUE"""),44725.0)</f>
        <v>44725</v>
      </c>
      <c r="G847" s="86">
        <f>IFERROR(__xludf.DUMMYFUNCTION("""COMPUTED_VALUE"""),54.266666666666666)</f>
        <v>54.26666667</v>
      </c>
      <c r="H847" s="84">
        <f>IFERROR(__xludf.DUMMYFUNCTION("""COMPUTED_VALUE"""),42185.0)</f>
        <v>42185</v>
      </c>
      <c r="I847" s="86">
        <f>IFERROR(__xludf.DUMMYFUNCTION("""COMPUTED_VALUE"""),2.4305555555555554)</f>
        <v>2.430555556</v>
      </c>
      <c r="J847" s="87">
        <f>IFERROR(__xludf.DUMMYFUNCTION("""COMPUTED_VALUE"""),60.0)</f>
        <v>60</v>
      </c>
      <c r="K847" s="88"/>
      <c r="L847" s="89"/>
      <c r="M847" s="26" t="str">
        <f>IFERROR(__xludf.DUMMYFUNCTION("""COMPUTED_VALUE"""),"Puzzle")</f>
        <v>Puzzle</v>
      </c>
      <c r="N847" s="26"/>
      <c r="O847" s="26" t="str">
        <f>IFERROR(__xludf.DUMMYFUNCTION("""COMPUTED_VALUE"""),"No")</f>
        <v>No</v>
      </c>
      <c r="P847" s="26"/>
    </row>
    <row r="848">
      <c r="A848" s="81" t="str">
        <f>IFERROR(__xludf.DUMMYFUNCTION("""COMPUTED_VALUE"""),"ArcaniA - The Complete Tale")</f>
        <v>ArcaniA - The Complete Tale</v>
      </c>
      <c r="B848" s="82" t="str">
        <f>IFERROR(__xludf.DUMMYFUNCTION("""COMPUTED_VALUE"""),"PS5/PS4")</f>
        <v>PS5/PS4</v>
      </c>
      <c r="C848" s="83" t="str">
        <f>IFERROR(__xludf.DUMMYFUNCTION("""COMPUTED_VALUE"""),"Playstation Now (Discontinued)")</f>
        <v>Playstation Now (Discontinued)</v>
      </c>
      <c r="D848" s="82" t="str">
        <f>IFERROR(__xludf.DUMMYFUNCTION("""COMPUTED_VALUE"""),"Removed")</f>
        <v>Removed</v>
      </c>
      <c r="E848" s="84">
        <f>IFERROR(__xludf.DUMMYFUNCTION("""COMPUTED_VALUE"""),43074.0)</f>
        <v>43074</v>
      </c>
      <c r="F848" s="85">
        <f>IFERROR(__xludf.DUMMYFUNCTION("""COMPUTED_VALUE"""),44725.0)</f>
        <v>44725</v>
      </c>
      <c r="G848" s="86">
        <f>IFERROR(__xludf.DUMMYFUNCTION("""COMPUTED_VALUE"""),54.266666666666666)</f>
        <v>54.26666667</v>
      </c>
      <c r="H848" s="84">
        <f>IFERROR(__xludf.DUMMYFUNCTION("""COMPUTED_VALUE"""),42153.0)</f>
        <v>42153</v>
      </c>
      <c r="I848" s="86">
        <f>IFERROR(__xludf.DUMMYFUNCTION("""COMPUTED_VALUE"""),2.5166666666666666)</f>
        <v>2.516666667</v>
      </c>
      <c r="J848" s="87">
        <f>IFERROR(__xludf.DUMMYFUNCTION("""COMPUTED_VALUE"""),54.0)</f>
        <v>54</v>
      </c>
      <c r="K848" s="88">
        <f>IFERROR(__xludf.DUMMYFUNCTION("""COMPUTED_VALUE"""),6.4)</f>
        <v>6.4</v>
      </c>
      <c r="L848" s="89">
        <f>IFERROR(__xludf.DUMMYFUNCTION("""COMPUTED_VALUE"""),28.0)</f>
        <v>28</v>
      </c>
      <c r="M848" s="26" t="str">
        <f>IFERROR(__xludf.DUMMYFUNCTION("""COMPUTED_VALUE"""),"RPG")</f>
        <v>RPG</v>
      </c>
      <c r="N848" s="26"/>
      <c r="O848" s="26" t="str">
        <f>IFERROR(__xludf.DUMMYFUNCTION("""COMPUTED_VALUE"""),"No")</f>
        <v>No</v>
      </c>
      <c r="P848" s="26"/>
    </row>
    <row r="849">
      <c r="A849" s="81" t="str">
        <f>IFERROR(__xludf.DUMMYFUNCTION("""COMPUTED_VALUE"""),"Dishonored")</f>
        <v>Dishonored</v>
      </c>
      <c r="B849" s="82" t="str">
        <f>IFERROR(__xludf.DUMMYFUNCTION("""COMPUTED_VALUE"""),"PS5/PS4")</f>
        <v>PS5/PS4</v>
      </c>
      <c r="C849" s="83" t="str">
        <f>IFERROR(__xludf.DUMMYFUNCTION("""COMPUTED_VALUE"""),"Playstation Now (Discontinued)")</f>
        <v>Playstation Now (Discontinued)</v>
      </c>
      <c r="D849" s="82" t="str">
        <f>IFERROR(__xludf.DUMMYFUNCTION("""COMPUTED_VALUE"""),"Removed")</f>
        <v>Removed</v>
      </c>
      <c r="E849" s="84">
        <f>IFERROR(__xludf.DUMMYFUNCTION("""COMPUTED_VALUE"""),43074.0)</f>
        <v>43074</v>
      </c>
      <c r="F849" s="85">
        <f>IFERROR(__xludf.DUMMYFUNCTION("""COMPUTED_VALUE"""),44725.0)</f>
        <v>44725</v>
      </c>
      <c r="G849" s="86">
        <f>IFERROR(__xludf.DUMMYFUNCTION("""COMPUTED_VALUE"""),54.266666666666666)</f>
        <v>54.26666667</v>
      </c>
      <c r="H849" s="84">
        <f>IFERROR(__xludf.DUMMYFUNCTION("""COMPUTED_VALUE"""),41183.0)</f>
        <v>41183</v>
      </c>
      <c r="I849" s="86">
        <f>IFERROR(__xludf.DUMMYFUNCTION("""COMPUTED_VALUE"""),5.177777777777778)</f>
        <v>5.177777778</v>
      </c>
      <c r="J849" s="87">
        <f>IFERROR(__xludf.DUMMYFUNCTION("""COMPUTED_VALUE"""),89.0)</f>
        <v>89</v>
      </c>
      <c r="K849" s="88">
        <f>IFERROR(__xludf.DUMMYFUNCTION("""COMPUTED_VALUE"""),8.1)</f>
        <v>8.1</v>
      </c>
      <c r="L849" s="89">
        <f>IFERROR(__xludf.DUMMYFUNCTION("""COMPUTED_VALUE"""),12.0)</f>
        <v>12</v>
      </c>
      <c r="M849" s="26" t="str">
        <f>IFERROR(__xludf.DUMMYFUNCTION("""COMPUTED_VALUE"""),"Action-Adventure")</f>
        <v>Action-Adventure</v>
      </c>
      <c r="N849" s="26" t="str">
        <f>IFERROR(__xludf.DUMMYFUNCTION("""COMPUTED_VALUE"""),"PS3")</f>
        <v>PS3</v>
      </c>
      <c r="O849" s="26" t="str">
        <f>IFERROR(__xludf.DUMMYFUNCTION("""COMPUTED_VALUE"""),"No")</f>
        <v>No</v>
      </c>
      <c r="P849" s="26"/>
    </row>
    <row r="850">
      <c r="A850" s="81" t="str">
        <f>IFERROR(__xludf.DUMMYFUNCTION("""COMPUTED_VALUE"""),"Wet")</f>
        <v>Wet</v>
      </c>
      <c r="B850" s="82" t="str">
        <f>IFERROR(__xludf.DUMMYFUNCTION("""COMPUTED_VALUE"""),"PS5/PS4")</f>
        <v>PS5/PS4</v>
      </c>
      <c r="C850" s="83" t="str">
        <f>IFERROR(__xludf.DUMMYFUNCTION("""COMPUTED_VALUE"""),"Playstation Now (Discontinued)")</f>
        <v>Playstation Now (Discontinued)</v>
      </c>
      <c r="D850" s="82" t="str">
        <f>IFERROR(__xludf.DUMMYFUNCTION("""COMPUTED_VALUE"""),"Removed")</f>
        <v>Removed</v>
      </c>
      <c r="E850" s="84">
        <f>IFERROR(__xludf.DUMMYFUNCTION("""COMPUTED_VALUE"""),43074.0)</f>
        <v>43074</v>
      </c>
      <c r="F850" s="85">
        <f>IFERROR(__xludf.DUMMYFUNCTION("""COMPUTED_VALUE"""),44725.0)</f>
        <v>44725</v>
      </c>
      <c r="G850" s="86">
        <f>IFERROR(__xludf.DUMMYFUNCTION("""COMPUTED_VALUE"""),54.266666666666666)</f>
        <v>54.26666667</v>
      </c>
      <c r="H850" s="84">
        <f>IFERROR(__xludf.DUMMYFUNCTION("""COMPUTED_VALUE"""),40057.0)</f>
        <v>40057</v>
      </c>
      <c r="I850" s="86">
        <f>IFERROR(__xludf.DUMMYFUNCTION("""COMPUTED_VALUE"""),8.261111111111111)</f>
        <v>8.261111111</v>
      </c>
      <c r="J850" s="87">
        <f>IFERROR(__xludf.DUMMYFUNCTION("""COMPUTED_VALUE"""),70.0)</f>
        <v>70</v>
      </c>
      <c r="K850" s="88">
        <f>IFERROR(__xludf.DUMMYFUNCTION("""COMPUTED_VALUE"""),7.0)</f>
        <v>7</v>
      </c>
      <c r="L850" s="89">
        <f>IFERROR(__xludf.DUMMYFUNCTION("""COMPUTED_VALUE"""),7.0)</f>
        <v>7</v>
      </c>
      <c r="M850" s="26" t="str">
        <f>IFERROR(__xludf.DUMMYFUNCTION("""COMPUTED_VALUE"""),"Shooter")</f>
        <v>Shooter</v>
      </c>
      <c r="N850" s="26" t="str">
        <f>IFERROR(__xludf.DUMMYFUNCTION("""COMPUTED_VALUE"""),"PS3")</f>
        <v>PS3</v>
      </c>
      <c r="O850" s="26" t="str">
        <f>IFERROR(__xludf.DUMMYFUNCTION("""COMPUTED_VALUE"""),"No")</f>
        <v>No</v>
      </c>
      <c r="P850" s="26"/>
    </row>
    <row r="851">
      <c r="A851" s="81" t="str">
        <f>IFERROR(__xludf.DUMMYFUNCTION("""COMPUTED_VALUE"""),"The Deer God")</f>
        <v>The Deer God</v>
      </c>
      <c r="B851" s="82" t="str">
        <f>IFERROR(__xludf.DUMMYFUNCTION("""COMPUTED_VALUE"""),"PS5/PS4")</f>
        <v>PS5/PS4</v>
      </c>
      <c r="C851" s="83" t="str">
        <f>IFERROR(__xludf.DUMMYFUNCTION("""COMPUTED_VALUE"""),"Playstation Now (Discontinued)")</f>
        <v>Playstation Now (Discontinued)</v>
      </c>
      <c r="D851" s="82" t="str">
        <f>IFERROR(__xludf.DUMMYFUNCTION("""COMPUTED_VALUE"""),"Removed")</f>
        <v>Removed</v>
      </c>
      <c r="E851" s="84">
        <f>IFERROR(__xludf.DUMMYFUNCTION("""COMPUTED_VALUE"""),43046.0)</f>
        <v>43046</v>
      </c>
      <c r="F851" s="85">
        <f>IFERROR(__xludf.DUMMYFUNCTION("""COMPUTED_VALUE"""),44725.0)</f>
        <v>44725</v>
      </c>
      <c r="G851" s="86">
        <f>IFERROR(__xludf.DUMMYFUNCTION("""COMPUTED_VALUE"""),55.199999999999996)</f>
        <v>55.2</v>
      </c>
      <c r="H851" s="84">
        <f>IFERROR(__xludf.DUMMYFUNCTION("""COMPUTED_VALUE"""),42062.0)</f>
        <v>42062</v>
      </c>
      <c r="I851" s="86">
        <f>IFERROR(__xludf.DUMMYFUNCTION("""COMPUTED_VALUE"""),2.6944444444444446)</f>
        <v>2.694444444</v>
      </c>
      <c r="J851" s="87">
        <f>IFERROR(__xludf.DUMMYFUNCTION("""COMPUTED_VALUE"""),59.0)</f>
        <v>59</v>
      </c>
      <c r="K851" s="88">
        <f>IFERROR(__xludf.DUMMYFUNCTION("""COMPUTED_VALUE"""),6.0)</f>
        <v>6</v>
      </c>
      <c r="L851" s="89">
        <f>IFERROR(__xludf.DUMMYFUNCTION("""COMPUTED_VALUE"""),4.0)</f>
        <v>4</v>
      </c>
      <c r="M851" s="26" t="str">
        <f>IFERROR(__xludf.DUMMYFUNCTION("""COMPUTED_VALUE"""),"Action-Adventure")</f>
        <v>Action-Adventure</v>
      </c>
      <c r="N851" s="26"/>
      <c r="O851" s="26" t="str">
        <f>IFERROR(__xludf.DUMMYFUNCTION("""COMPUTED_VALUE"""),"No")</f>
        <v>No</v>
      </c>
      <c r="P851" s="26"/>
    </row>
    <row r="852">
      <c r="A852" s="81" t="str">
        <f>IFERROR(__xludf.DUMMYFUNCTION("""COMPUTED_VALUE"""),"Forestry 2017: The Simulation")</f>
        <v>Forestry 2017: The Simulation</v>
      </c>
      <c r="B852" s="82" t="str">
        <f>IFERROR(__xludf.DUMMYFUNCTION("""COMPUTED_VALUE"""),"PS5/PS4")</f>
        <v>PS5/PS4</v>
      </c>
      <c r="C852" s="83" t="str">
        <f>IFERROR(__xludf.DUMMYFUNCTION("""COMPUTED_VALUE"""),"Playstation Now (Discontinued)")</f>
        <v>Playstation Now (Discontinued)</v>
      </c>
      <c r="D852" s="82" t="str">
        <f>IFERROR(__xludf.DUMMYFUNCTION("""COMPUTED_VALUE"""),"Removed")</f>
        <v>Removed</v>
      </c>
      <c r="E852" s="84">
        <f>IFERROR(__xludf.DUMMYFUNCTION("""COMPUTED_VALUE"""),43046.0)</f>
        <v>43046</v>
      </c>
      <c r="F852" s="85">
        <f>IFERROR(__xludf.DUMMYFUNCTION("""COMPUTED_VALUE"""),44725.0)</f>
        <v>44725</v>
      </c>
      <c r="G852" s="86">
        <f>IFERROR(__xludf.DUMMYFUNCTION("""COMPUTED_VALUE"""),55.199999999999996)</f>
        <v>55.2</v>
      </c>
      <c r="H852" s="84">
        <f>IFERROR(__xludf.DUMMYFUNCTION("""COMPUTED_VALUE"""),42836.0)</f>
        <v>42836</v>
      </c>
      <c r="I852" s="86">
        <f>IFERROR(__xludf.DUMMYFUNCTION("""COMPUTED_VALUE"""),0.5722222222222222)</f>
        <v>0.5722222222</v>
      </c>
      <c r="J852" s="87"/>
      <c r="K852" s="88"/>
      <c r="L852" s="89"/>
      <c r="M852" s="26" t="str">
        <f>IFERROR(__xludf.DUMMYFUNCTION("""COMPUTED_VALUE"""),"Simulation")</f>
        <v>Simulation</v>
      </c>
      <c r="N852" s="26"/>
      <c r="O852" s="26" t="str">
        <f>IFERROR(__xludf.DUMMYFUNCTION("""COMPUTED_VALUE"""),"No")</f>
        <v>No</v>
      </c>
      <c r="P852" s="26"/>
    </row>
    <row r="853">
      <c r="A853" s="81" t="str">
        <f>IFERROR(__xludf.DUMMYFUNCTION("""COMPUTED_VALUE"""),"Ziggurat")</f>
        <v>Ziggurat</v>
      </c>
      <c r="B853" s="82" t="str">
        <f>IFERROR(__xludf.DUMMYFUNCTION("""COMPUTED_VALUE"""),"PS5/PS4")</f>
        <v>PS5/PS4</v>
      </c>
      <c r="C853" s="83" t="str">
        <f>IFERROR(__xludf.DUMMYFUNCTION("""COMPUTED_VALUE"""),"Playstation Now (Discontinued)")</f>
        <v>Playstation Now (Discontinued)</v>
      </c>
      <c r="D853" s="82" t="str">
        <f>IFERROR(__xludf.DUMMYFUNCTION("""COMPUTED_VALUE"""),"Removed")</f>
        <v>Removed</v>
      </c>
      <c r="E853" s="84">
        <f>IFERROR(__xludf.DUMMYFUNCTION("""COMPUTED_VALUE"""),43046.0)</f>
        <v>43046</v>
      </c>
      <c r="F853" s="85">
        <f>IFERROR(__xludf.DUMMYFUNCTION("""COMPUTED_VALUE"""),44725.0)</f>
        <v>44725</v>
      </c>
      <c r="G853" s="86">
        <f>IFERROR(__xludf.DUMMYFUNCTION("""COMPUTED_VALUE"""),55.199999999999996)</f>
        <v>55.2</v>
      </c>
      <c r="H853" s="84">
        <f>IFERROR(__xludf.DUMMYFUNCTION("""COMPUTED_VALUE"""),42115.0)</f>
        <v>42115</v>
      </c>
      <c r="I853" s="86">
        <f>IFERROR(__xludf.DUMMYFUNCTION("""COMPUTED_VALUE"""),2.5444444444444443)</f>
        <v>2.544444444</v>
      </c>
      <c r="J853" s="87">
        <f>IFERROR(__xludf.DUMMYFUNCTION("""COMPUTED_VALUE"""),75.0)</f>
        <v>75</v>
      </c>
      <c r="K853" s="88">
        <f>IFERROR(__xludf.DUMMYFUNCTION("""COMPUTED_VALUE"""),7.3)</f>
        <v>7.3</v>
      </c>
      <c r="L853" s="89">
        <f>IFERROR(__xludf.DUMMYFUNCTION("""COMPUTED_VALUE"""),4.0)</f>
        <v>4</v>
      </c>
      <c r="M853" s="26" t="str">
        <f>IFERROR(__xludf.DUMMYFUNCTION("""COMPUTED_VALUE"""),"RPG")</f>
        <v>RPG</v>
      </c>
      <c r="N853" s="26"/>
      <c r="O853" s="26" t="str">
        <f>IFERROR(__xludf.DUMMYFUNCTION("""COMPUTED_VALUE"""),"No")</f>
        <v>No</v>
      </c>
      <c r="P853" s="26"/>
    </row>
    <row r="854">
      <c r="A854" s="81" t="str">
        <f>IFERROR(__xludf.DUMMYFUNCTION("""COMPUTED_VALUE"""),"Stikbold! A Dodgeball Adventure")</f>
        <v>Stikbold! A Dodgeball Adventure</v>
      </c>
      <c r="B854" s="82" t="str">
        <f>IFERROR(__xludf.DUMMYFUNCTION("""COMPUTED_VALUE"""),"PS5/PS4")</f>
        <v>PS5/PS4</v>
      </c>
      <c r="C854" s="83" t="str">
        <f>IFERROR(__xludf.DUMMYFUNCTION("""COMPUTED_VALUE"""),"Playstation Now (Discontinued)")</f>
        <v>Playstation Now (Discontinued)</v>
      </c>
      <c r="D854" s="82" t="str">
        <f>IFERROR(__xludf.DUMMYFUNCTION("""COMPUTED_VALUE"""),"Removed")</f>
        <v>Removed</v>
      </c>
      <c r="E854" s="84">
        <f>IFERROR(__xludf.DUMMYFUNCTION("""COMPUTED_VALUE"""),43046.0)</f>
        <v>43046</v>
      </c>
      <c r="F854" s="85">
        <f>IFERROR(__xludf.DUMMYFUNCTION("""COMPUTED_VALUE"""),44725.0)</f>
        <v>44725</v>
      </c>
      <c r="G854" s="86">
        <f>IFERROR(__xludf.DUMMYFUNCTION("""COMPUTED_VALUE"""),55.199999999999996)</f>
        <v>55.2</v>
      </c>
      <c r="H854" s="84">
        <f>IFERROR(__xludf.DUMMYFUNCTION("""COMPUTED_VALUE"""),42461.0)</f>
        <v>42461</v>
      </c>
      <c r="I854" s="86">
        <f>IFERROR(__xludf.DUMMYFUNCTION("""COMPUTED_VALUE"""),1.6)</f>
        <v>1.6</v>
      </c>
      <c r="J854" s="87">
        <f>IFERROR(__xludf.DUMMYFUNCTION("""COMPUTED_VALUE"""),75.0)</f>
        <v>75</v>
      </c>
      <c r="K854" s="88">
        <f>IFERROR(__xludf.DUMMYFUNCTION("""COMPUTED_VALUE"""),6.6)</f>
        <v>6.6</v>
      </c>
      <c r="L854" s="89">
        <f>IFERROR(__xludf.DUMMYFUNCTION("""COMPUTED_VALUE"""),1.5)</f>
        <v>1.5</v>
      </c>
      <c r="M854" s="26" t="str">
        <f>IFERROR(__xludf.DUMMYFUNCTION("""COMPUTED_VALUE"""),"Action-Adventure")</f>
        <v>Action-Adventure</v>
      </c>
      <c r="N854" s="26"/>
      <c r="O854" s="26" t="str">
        <f>IFERROR(__xludf.DUMMYFUNCTION("""COMPUTED_VALUE"""),"No")</f>
        <v>No</v>
      </c>
      <c r="P854" s="26"/>
    </row>
    <row r="855">
      <c r="A855" s="81" t="str">
        <f>IFERROR(__xludf.DUMMYFUNCTION("""COMPUTED_VALUE"""),"Day of the Tentacle Remastered")</f>
        <v>Day of the Tentacle Remastered</v>
      </c>
      <c r="B855" s="82" t="str">
        <f>IFERROR(__xludf.DUMMYFUNCTION("""COMPUTED_VALUE"""),"PS5/PS4")</f>
        <v>PS5/PS4</v>
      </c>
      <c r="C855" s="83" t="str">
        <f>IFERROR(__xludf.DUMMYFUNCTION("""COMPUTED_VALUE"""),"Playstation Now (Discontinued)")</f>
        <v>Playstation Now (Discontinued)</v>
      </c>
      <c r="D855" s="82" t="str">
        <f>IFERROR(__xludf.DUMMYFUNCTION("""COMPUTED_VALUE"""),"Removed")</f>
        <v>Removed</v>
      </c>
      <c r="E855" s="84">
        <f>IFERROR(__xludf.DUMMYFUNCTION("""COMPUTED_VALUE"""),43046.0)</f>
        <v>43046</v>
      </c>
      <c r="F855" s="85">
        <f>IFERROR(__xludf.DUMMYFUNCTION("""COMPUTED_VALUE"""),44725.0)</f>
        <v>44725</v>
      </c>
      <c r="G855" s="86">
        <f>IFERROR(__xludf.DUMMYFUNCTION("""COMPUTED_VALUE"""),55.199999999999996)</f>
        <v>55.2</v>
      </c>
      <c r="H855" s="84">
        <f>IFERROR(__xludf.DUMMYFUNCTION("""COMPUTED_VALUE"""),42450.0)</f>
        <v>42450</v>
      </c>
      <c r="I855" s="86">
        <f>IFERROR(__xludf.DUMMYFUNCTION("""COMPUTED_VALUE"""),1.6277777777777778)</f>
        <v>1.627777778</v>
      </c>
      <c r="J855" s="87">
        <f>IFERROR(__xludf.DUMMYFUNCTION("""COMPUTED_VALUE"""),86.0)</f>
        <v>86</v>
      </c>
      <c r="K855" s="88">
        <f>IFERROR(__xludf.DUMMYFUNCTION("""COMPUTED_VALUE"""),8.0)</f>
        <v>8</v>
      </c>
      <c r="L855" s="89">
        <f>IFERROR(__xludf.DUMMYFUNCTION("""COMPUTED_VALUE"""),5.0)</f>
        <v>5</v>
      </c>
      <c r="M855" s="26" t="str">
        <f>IFERROR(__xludf.DUMMYFUNCTION("""COMPUTED_VALUE"""),"Adventure")</f>
        <v>Adventure</v>
      </c>
      <c r="N855" s="26"/>
      <c r="O855" s="26" t="str">
        <f>IFERROR(__xludf.DUMMYFUNCTION("""COMPUTED_VALUE"""),"No")</f>
        <v>No</v>
      </c>
      <c r="P855" s="26"/>
    </row>
    <row r="856">
      <c r="A856" s="81" t="str">
        <f>IFERROR(__xludf.DUMMYFUNCTION("""COMPUTED_VALUE"""),"The Bug Butcher")</f>
        <v>The Bug Butcher</v>
      </c>
      <c r="B856" s="82" t="str">
        <f>IFERROR(__xludf.DUMMYFUNCTION("""COMPUTED_VALUE"""),"PS5/PS4")</f>
        <v>PS5/PS4</v>
      </c>
      <c r="C856" s="83" t="str">
        <f>IFERROR(__xludf.DUMMYFUNCTION("""COMPUTED_VALUE"""),"Playstation Now (Discontinued)")</f>
        <v>Playstation Now (Discontinued)</v>
      </c>
      <c r="D856" s="82" t="str">
        <f>IFERROR(__xludf.DUMMYFUNCTION("""COMPUTED_VALUE"""),"Removed")</f>
        <v>Removed</v>
      </c>
      <c r="E856" s="84">
        <f>IFERROR(__xludf.DUMMYFUNCTION("""COMPUTED_VALUE"""),43046.0)</f>
        <v>43046</v>
      </c>
      <c r="F856" s="85">
        <f>IFERROR(__xludf.DUMMYFUNCTION("""COMPUTED_VALUE"""),44725.0)</f>
        <v>44725</v>
      </c>
      <c r="G856" s="86">
        <f>IFERROR(__xludf.DUMMYFUNCTION("""COMPUTED_VALUE"""),55.199999999999996)</f>
        <v>55.2</v>
      </c>
      <c r="H856" s="84">
        <f>IFERROR(__xludf.DUMMYFUNCTION("""COMPUTED_VALUE"""),42388.0)</f>
        <v>42388</v>
      </c>
      <c r="I856" s="86">
        <f>IFERROR(__xludf.DUMMYFUNCTION("""COMPUTED_VALUE"""),1.8)</f>
        <v>1.8</v>
      </c>
      <c r="J856" s="87">
        <f>IFERROR(__xludf.DUMMYFUNCTION("""COMPUTED_VALUE"""),80.0)</f>
        <v>80</v>
      </c>
      <c r="K856" s="88">
        <f>IFERROR(__xludf.DUMMYFUNCTION("""COMPUTED_VALUE"""),7.1)</f>
        <v>7.1</v>
      </c>
      <c r="L856" s="89">
        <f>IFERROR(__xludf.DUMMYFUNCTION("""COMPUTED_VALUE"""),4.5)</f>
        <v>4.5</v>
      </c>
      <c r="M856" s="26" t="str">
        <f>IFERROR(__xludf.DUMMYFUNCTION("""COMPUTED_VALUE"""),"Platformer")</f>
        <v>Platformer</v>
      </c>
      <c r="N856" s="26"/>
      <c r="O856" s="26" t="str">
        <f>IFERROR(__xludf.DUMMYFUNCTION("""COMPUTED_VALUE"""),"No")</f>
        <v>No</v>
      </c>
      <c r="P856" s="26"/>
    </row>
    <row r="857">
      <c r="A857" s="81" t="str">
        <f>IFERROR(__xludf.DUMMYFUNCTION("""COMPUTED_VALUE"""),"Poncho")</f>
        <v>Poncho</v>
      </c>
      <c r="B857" s="82" t="str">
        <f>IFERROR(__xludf.DUMMYFUNCTION("""COMPUTED_VALUE"""),"PS5/PS4")</f>
        <v>PS5/PS4</v>
      </c>
      <c r="C857" s="83" t="str">
        <f>IFERROR(__xludf.DUMMYFUNCTION("""COMPUTED_VALUE"""),"Playstation Now (Discontinued)")</f>
        <v>Playstation Now (Discontinued)</v>
      </c>
      <c r="D857" s="82" t="str">
        <f>IFERROR(__xludf.DUMMYFUNCTION("""COMPUTED_VALUE"""),"Removed")</f>
        <v>Removed</v>
      </c>
      <c r="E857" s="84">
        <f>IFERROR(__xludf.DUMMYFUNCTION("""COMPUTED_VALUE"""),43046.0)</f>
        <v>43046</v>
      </c>
      <c r="F857" s="85">
        <f>IFERROR(__xludf.DUMMYFUNCTION("""COMPUTED_VALUE"""),44725.0)</f>
        <v>44725</v>
      </c>
      <c r="G857" s="86">
        <f>IFERROR(__xludf.DUMMYFUNCTION("""COMPUTED_VALUE"""),55.199999999999996)</f>
        <v>55.2</v>
      </c>
      <c r="H857" s="84">
        <f>IFERROR(__xludf.DUMMYFUNCTION("""COMPUTED_VALUE"""),42311.0)</f>
        <v>42311</v>
      </c>
      <c r="I857" s="86">
        <f>IFERROR(__xludf.DUMMYFUNCTION("""COMPUTED_VALUE"""),2.011111111111111)</f>
        <v>2.011111111</v>
      </c>
      <c r="J857" s="87">
        <f>IFERROR(__xludf.DUMMYFUNCTION("""COMPUTED_VALUE"""),64.0)</f>
        <v>64</v>
      </c>
      <c r="K857" s="88">
        <f>IFERROR(__xludf.DUMMYFUNCTION("""COMPUTED_VALUE"""),6.4)</f>
        <v>6.4</v>
      </c>
      <c r="L857" s="89">
        <f>IFERROR(__xludf.DUMMYFUNCTION("""COMPUTED_VALUE"""),6.5)</f>
        <v>6.5</v>
      </c>
      <c r="M857" s="26" t="str">
        <f>IFERROR(__xludf.DUMMYFUNCTION("""COMPUTED_VALUE"""),"Action-Adventure")</f>
        <v>Action-Adventure</v>
      </c>
      <c r="N857" s="26"/>
      <c r="O857" s="26" t="str">
        <f>IFERROR(__xludf.DUMMYFUNCTION("""COMPUTED_VALUE"""),"No")</f>
        <v>No</v>
      </c>
      <c r="P857" s="26"/>
    </row>
    <row r="858">
      <c r="A858" s="81" t="str">
        <f>IFERROR(__xludf.DUMMYFUNCTION("""COMPUTED_VALUE"""),"One Upon Light")</f>
        <v>One Upon Light</v>
      </c>
      <c r="B858" s="82" t="str">
        <f>IFERROR(__xludf.DUMMYFUNCTION("""COMPUTED_VALUE"""),"PS5/PS4")</f>
        <v>PS5/PS4</v>
      </c>
      <c r="C858" s="83" t="str">
        <f>IFERROR(__xludf.DUMMYFUNCTION("""COMPUTED_VALUE"""),"Playstation Now (Discontinued)")</f>
        <v>Playstation Now (Discontinued)</v>
      </c>
      <c r="D858" s="82" t="str">
        <f>IFERROR(__xludf.DUMMYFUNCTION("""COMPUTED_VALUE"""),"Removed")</f>
        <v>Removed</v>
      </c>
      <c r="E858" s="84">
        <f>IFERROR(__xludf.DUMMYFUNCTION("""COMPUTED_VALUE"""),43046.0)</f>
        <v>43046</v>
      </c>
      <c r="F858" s="85">
        <f>IFERROR(__xludf.DUMMYFUNCTION("""COMPUTED_VALUE"""),44725.0)</f>
        <v>44725</v>
      </c>
      <c r="G858" s="86">
        <f>IFERROR(__xludf.DUMMYFUNCTION("""COMPUTED_VALUE"""),55.199999999999996)</f>
        <v>55.2</v>
      </c>
      <c r="H858" s="84">
        <f>IFERROR(__xludf.DUMMYFUNCTION("""COMPUTED_VALUE"""),42290.0)</f>
        <v>42290</v>
      </c>
      <c r="I858" s="86">
        <f>IFERROR(__xludf.DUMMYFUNCTION("""COMPUTED_VALUE"""),2.066666666666667)</f>
        <v>2.066666667</v>
      </c>
      <c r="J858" s="87">
        <f>IFERROR(__xludf.DUMMYFUNCTION("""COMPUTED_VALUE"""),59.0)</f>
        <v>59</v>
      </c>
      <c r="K858" s="88"/>
      <c r="L858" s="89">
        <f>IFERROR(__xludf.DUMMYFUNCTION("""COMPUTED_VALUE"""),3.0)</f>
        <v>3</v>
      </c>
      <c r="M858" s="26" t="str">
        <f>IFERROR(__xludf.DUMMYFUNCTION("""COMPUTED_VALUE"""),"Action-Adventure")</f>
        <v>Action-Adventure</v>
      </c>
      <c r="N858" s="26"/>
      <c r="O858" s="26" t="str">
        <f>IFERROR(__xludf.DUMMYFUNCTION("""COMPUTED_VALUE"""),"No")</f>
        <v>No</v>
      </c>
      <c r="P858" s="26"/>
    </row>
    <row r="859">
      <c r="A859" s="81" t="str">
        <f>IFERROR(__xludf.DUMMYFUNCTION("""COMPUTED_VALUE"""),"NOVA-111")</f>
        <v>NOVA-111</v>
      </c>
      <c r="B859" s="82" t="str">
        <f>IFERROR(__xludf.DUMMYFUNCTION("""COMPUTED_VALUE"""),"PS5/PS4")</f>
        <v>PS5/PS4</v>
      </c>
      <c r="C859" s="83" t="str">
        <f>IFERROR(__xludf.DUMMYFUNCTION("""COMPUTED_VALUE"""),"Playstation Now (Discontinued)")</f>
        <v>Playstation Now (Discontinued)</v>
      </c>
      <c r="D859" s="82" t="str">
        <f>IFERROR(__xludf.DUMMYFUNCTION("""COMPUTED_VALUE"""),"Removed")</f>
        <v>Removed</v>
      </c>
      <c r="E859" s="84">
        <f>IFERROR(__xludf.DUMMYFUNCTION("""COMPUTED_VALUE"""),43046.0)</f>
        <v>43046</v>
      </c>
      <c r="F859" s="85">
        <f>IFERROR(__xludf.DUMMYFUNCTION("""COMPUTED_VALUE"""),44725.0)</f>
        <v>44725</v>
      </c>
      <c r="G859" s="86">
        <f>IFERROR(__xludf.DUMMYFUNCTION("""COMPUTED_VALUE"""),55.199999999999996)</f>
        <v>55.2</v>
      </c>
      <c r="H859" s="84">
        <f>IFERROR(__xludf.DUMMYFUNCTION("""COMPUTED_VALUE"""),42271.0)</f>
        <v>42271</v>
      </c>
      <c r="I859" s="86">
        <f>IFERROR(__xludf.DUMMYFUNCTION("""COMPUTED_VALUE"""),2.1194444444444445)</f>
        <v>2.119444444</v>
      </c>
      <c r="J859" s="87">
        <f>IFERROR(__xludf.DUMMYFUNCTION("""COMPUTED_VALUE"""),76.0)</f>
        <v>76</v>
      </c>
      <c r="K859" s="88">
        <f>IFERROR(__xludf.DUMMYFUNCTION("""COMPUTED_VALUE"""),7.1)</f>
        <v>7.1</v>
      </c>
      <c r="L859" s="89">
        <f>IFERROR(__xludf.DUMMYFUNCTION("""COMPUTED_VALUE"""),8.0)</f>
        <v>8</v>
      </c>
      <c r="M859" s="26" t="str">
        <f>IFERROR(__xludf.DUMMYFUNCTION("""COMPUTED_VALUE"""),"Turn-Based Strategy")</f>
        <v>Turn-Based Strategy</v>
      </c>
      <c r="N859" s="26"/>
      <c r="O859" s="26" t="str">
        <f>IFERROR(__xludf.DUMMYFUNCTION("""COMPUTED_VALUE"""),"No")</f>
        <v>No</v>
      </c>
      <c r="P859" s="26"/>
    </row>
    <row r="860">
      <c r="A860" s="81" t="str">
        <f>IFERROR(__xludf.DUMMYFUNCTION("""COMPUTED_VALUE"""),"The Swindle")</f>
        <v>The Swindle</v>
      </c>
      <c r="B860" s="82" t="str">
        <f>IFERROR(__xludf.DUMMYFUNCTION("""COMPUTED_VALUE"""),"PS5/PS4")</f>
        <v>PS5/PS4</v>
      </c>
      <c r="C860" s="83" t="str">
        <f>IFERROR(__xludf.DUMMYFUNCTION("""COMPUTED_VALUE"""),"Playstation Now (Discontinued)")</f>
        <v>Playstation Now (Discontinued)</v>
      </c>
      <c r="D860" s="82" t="str">
        <f>IFERROR(__xludf.DUMMYFUNCTION("""COMPUTED_VALUE"""),"Removed")</f>
        <v>Removed</v>
      </c>
      <c r="E860" s="84">
        <f>IFERROR(__xludf.DUMMYFUNCTION("""COMPUTED_VALUE"""),43046.0)</f>
        <v>43046</v>
      </c>
      <c r="F860" s="85">
        <f>IFERROR(__xludf.DUMMYFUNCTION("""COMPUTED_VALUE"""),44725.0)</f>
        <v>44725</v>
      </c>
      <c r="G860" s="86">
        <f>IFERROR(__xludf.DUMMYFUNCTION("""COMPUTED_VALUE"""),55.199999999999996)</f>
        <v>55.2</v>
      </c>
      <c r="H860" s="84">
        <f>IFERROR(__xludf.DUMMYFUNCTION("""COMPUTED_VALUE"""),42213.0)</f>
        <v>42213</v>
      </c>
      <c r="I860" s="86">
        <f>IFERROR(__xludf.DUMMYFUNCTION("""COMPUTED_VALUE"""),2.275)</f>
        <v>2.275</v>
      </c>
      <c r="J860" s="87">
        <f>IFERROR(__xludf.DUMMYFUNCTION("""COMPUTED_VALUE"""),70.0)</f>
        <v>70</v>
      </c>
      <c r="K860" s="88">
        <f>IFERROR(__xludf.DUMMYFUNCTION("""COMPUTED_VALUE"""),7.0)</f>
        <v>7</v>
      </c>
      <c r="L860" s="89">
        <f>IFERROR(__xludf.DUMMYFUNCTION("""COMPUTED_VALUE"""),7.0)</f>
        <v>7</v>
      </c>
      <c r="M860" s="26" t="str">
        <f>IFERROR(__xludf.DUMMYFUNCTION("""COMPUTED_VALUE"""),"Action-Adventure")</f>
        <v>Action-Adventure</v>
      </c>
      <c r="N860" s="26"/>
      <c r="O860" s="26" t="str">
        <f>IFERROR(__xludf.DUMMYFUNCTION("""COMPUTED_VALUE"""),"No")</f>
        <v>No</v>
      </c>
      <c r="P860" s="26"/>
    </row>
    <row r="861">
      <c r="A861" s="81" t="str">
        <f>IFERROR(__xludf.DUMMYFUNCTION("""COMPUTED_VALUE"""),"Nom Nom Galaxy")</f>
        <v>Nom Nom Galaxy</v>
      </c>
      <c r="B861" s="82" t="str">
        <f>IFERROR(__xludf.DUMMYFUNCTION("""COMPUTED_VALUE"""),"PS5/PS4")</f>
        <v>PS5/PS4</v>
      </c>
      <c r="C861" s="83" t="str">
        <f>IFERROR(__xludf.DUMMYFUNCTION("""COMPUTED_VALUE"""),"Playstation Now (Discontinued)")</f>
        <v>Playstation Now (Discontinued)</v>
      </c>
      <c r="D861" s="82" t="str">
        <f>IFERROR(__xludf.DUMMYFUNCTION("""COMPUTED_VALUE"""),"Removed")</f>
        <v>Removed</v>
      </c>
      <c r="E861" s="84">
        <f>IFERROR(__xludf.DUMMYFUNCTION("""COMPUTED_VALUE"""),43046.0)</f>
        <v>43046</v>
      </c>
      <c r="F861" s="85">
        <f>IFERROR(__xludf.DUMMYFUNCTION("""COMPUTED_VALUE"""),44725.0)</f>
        <v>44725</v>
      </c>
      <c r="G861" s="86">
        <f>IFERROR(__xludf.DUMMYFUNCTION("""COMPUTED_VALUE"""),55.199999999999996)</f>
        <v>55.2</v>
      </c>
      <c r="H861" s="84">
        <f>IFERROR(__xludf.DUMMYFUNCTION("""COMPUTED_VALUE"""),42136.0)</f>
        <v>42136</v>
      </c>
      <c r="I861" s="86">
        <f>IFERROR(__xludf.DUMMYFUNCTION("""COMPUTED_VALUE"""),2.486111111111111)</f>
        <v>2.486111111</v>
      </c>
      <c r="J861" s="87">
        <f>IFERROR(__xludf.DUMMYFUNCTION("""COMPUTED_VALUE"""),68.0)</f>
        <v>68</v>
      </c>
      <c r="K861" s="88">
        <f>IFERROR(__xludf.DUMMYFUNCTION("""COMPUTED_VALUE"""),7.0)</f>
        <v>7</v>
      </c>
      <c r="L861" s="89">
        <f>IFERROR(__xludf.DUMMYFUNCTION("""COMPUTED_VALUE"""),15.0)</f>
        <v>15</v>
      </c>
      <c r="M861" s="26" t="str">
        <f>IFERROR(__xludf.DUMMYFUNCTION("""COMPUTED_VALUE"""),"Action-Adventure")</f>
        <v>Action-Adventure</v>
      </c>
      <c r="N861" s="26"/>
      <c r="O861" s="26" t="str">
        <f>IFERROR(__xludf.DUMMYFUNCTION("""COMPUTED_VALUE"""),"No")</f>
        <v>No</v>
      </c>
      <c r="P861" s="26"/>
    </row>
    <row r="862">
      <c r="A862" s="81" t="str">
        <f>IFERROR(__xludf.DUMMYFUNCTION("""COMPUTED_VALUE"""),"Grim Fandango Remastered")</f>
        <v>Grim Fandango Remastered</v>
      </c>
      <c r="B862" s="82" t="str">
        <f>IFERROR(__xludf.DUMMYFUNCTION("""COMPUTED_VALUE"""),"PS5/PS4")</f>
        <v>PS5/PS4</v>
      </c>
      <c r="C862" s="83" t="str">
        <f>IFERROR(__xludf.DUMMYFUNCTION("""COMPUTED_VALUE"""),"Playstation Now (Discontinued)")</f>
        <v>Playstation Now (Discontinued)</v>
      </c>
      <c r="D862" s="82" t="str">
        <f>IFERROR(__xludf.DUMMYFUNCTION("""COMPUTED_VALUE"""),"Removed")</f>
        <v>Removed</v>
      </c>
      <c r="E862" s="84">
        <f>IFERROR(__xludf.DUMMYFUNCTION("""COMPUTED_VALUE"""),43046.0)</f>
        <v>43046</v>
      </c>
      <c r="F862" s="85">
        <f>IFERROR(__xludf.DUMMYFUNCTION("""COMPUTED_VALUE"""),44725.0)</f>
        <v>44725</v>
      </c>
      <c r="G862" s="86">
        <f>IFERROR(__xludf.DUMMYFUNCTION("""COMPUTED_VALUE"""),55.199999999999996)</f>
        <v>55.2</v>
      </c>
      <c r="H862" s="84">
        <f>IFERROR(__xludf.DUMMYFUNCTION("""COMPUTED_VALUE"""),42031.0)</f>
        <v>42031</v>
      </c>
      <c r="I862" s="86">
        <f>IFERROR(__xludf.DUMMYFUNCTION("""COMPUTED_VALUE"""),2.7777777777777777)</f>
        <v>2.777777778</v>
      </c>
      <c r="J862" s="87">
        <f>IFERROR(__xludf.DUMMYFUNCTION("""COMPUTED_VALUE"""),84.0)</f>
        <v>84</v>
      </c>
      <c r="K862" s="88">
        <f>IFERROR(__xludf.DUMMYFUNCTION("""COMPUTED_VALUE"""),8.4)</f>
        <v>8.4</v>
      </c>
      <c r="L862" s="89">
        <f>IFERROR(__xludf.DUMMYFUNCTION("""COMPUTED_VALUE"""),11.0)</f>
        <v>11</v>
      </c>
      <c r="M862" s="26" t="str">
        <f>IFERROR(__xludf.DUMMYFUNCTION("""COMPUTED_VALUE"""),"Adventure")</f>
        <v>Adventure</v>
      </c>
      <c r="N862" s="26"/>
      <c r="O862" s="26" t="str">
        <f>IFERROR(__xludf.DUMMYFUNCTION("""COMPUTED_VALUE"""),"No")</f>
        <v>No</v>
      </c>
      <c r="P862" s="26"/>
    </row>
    <row r="863">
      <c r="A863" s="81" t="str">
        <f>IFERROR(__xludf.DUMMYFUNCTION("""COMPUTED_VALUE"""),"PixelJunk Nom Nom Galaxy")</f>
        <v>PixelJunk Nom Nom Galaxy</v>
      </c>
      <c r="B863" s="82" t="str">
        <f>IFERROR(__xludf.DUMMYFUNCTION("""COMPUTED_VALUE"""),"PS5/PS4")</f>
        <v>PS5/PS4</v>
      </c>
      <c r="C863" s="83" t="str">
        <f>IFERROR(__xludf.DUMMYFUNCTION("""COMPUTED_VALUE"""),"Playstation Now (Discontinued)")</f>
        <v>Playstation Now (Discontinued)</v>
      </c>
      <c r="D863" s="82" t="str">
        <f>IFERROR(__xludf.DUMMYFUNCTION("""COMPUTED_VALUE"""),"Removed")</f>
        <v>Removed</v>
      </c>
      <c r="E863" s="84">
        <f>IFERROR(__xludf.DUMMYFUNCTION("""COMPUTED_VALUE"""),43046.0)</f>
        <v>43046</v>
      </c>
      <c r="F863" s="85">
        <f>IFERROR(__xludf.DUMMYFUNCTION("""COMPUTED_VALUE"""),44725.0)</f>
        <v>44725</v>
      </c>
      <c r="G863" s="86">
        <f>IFERROR(__xludf.DUMMYFUNCTION("""COMPUTED_VALUE"""),55.199999999999996)</f>
        <v>55.2</v>
      </c>
      <c r="H863" s="84">
        <f>IFERROR(__xludf.DUMMYFUNCTION("""COMPUTED_VALUE"""),42136.0)</f>
        <v>42136</v>
      </c>
      <c r="I863" s="86">
        <f>IFERROR(__xludf.DUMMYFUNCTION("""COMPUTED_VALUE"""),2.486111111111111)</f>
        <v>2.486111111</v>
      </c>
      <c r="J863" s="87">
        <f>IFERROR(__xludf.DUMMYFUNCTION("""COMPUTED_VALUE"""),68.0)</f>
        <v>68</v>
      </c>
      <c r="K863" s="88">
        <f>IFERROR(__xludf.DUMMYFUNCTION("""COMPUTED_VALUE"""),7.0)</f>
        <v>7</v>
      </c>
      <c r="L863" s="89">
        <f>IFERROR(__xludf.DUMMYFUNCTION("""COMPUTED_VALUE"""),15.0)</f>
        <v>15</v>
      </c>
      <c r="M863" s="26" t="str">
        <f>IFERROR(__xludf.DUMMYFUNCTION("""COMPUTED_VALUE"""),"Action-Adventure")</f>
        <v>Action-Adventure</v>
      </c>
      <c r="N863" s="26"/>
      <c r="O863" s="26" t="str">
        <f>IFERROR(__xludf.DUMMYFUNCTION("""COMPUTED_VALUE"""),"No")</f>
        <v>No</v>
      </c>
      <c r="P863" s="26"/>
    </row>
    <row r="864">
      <c r="A864" s="81" t="str">
        <f>IFERROR(__xludf.DUMMYFUNCTION("""COMPUTED_VALUE"""),"Technomancer")</f>
        <v>Technomancer</v>
      </c>
      <c r="B864" s="82" t="str">
        <f>IFERROR(__xludf.DUMMYFUNCTION("""COMPUTED_VALUE"""),"PS5/PS4")</f>
        <v>PS5/PS4</v>
      </c>
      <c r="C864" s="83" t="str">
        <f>IFERROR(__xludf.DUMMYFUNCTION("""COMPUTED_VALUE"""),"Playstation Now (Discontinued)")</f>
        <v>Playstation Now (Discontinued)</v>
      </c>
      <c r="D864" s="82" t="str">
        <f>IFERROR(__xludf.DUMMYFUNCTION("""COMPUTED_VALUE"""),"Removed")</f>
        <v>Removed</v>
      </c>
      <c r="E864" s="84">
        <f>IFERROR(__xludf.DUMMYFUNCTION("""COMPUTED_VALUE"""),43011.0)</f>
        <v>43011</v>
      </c>
      <c r="F864" s="85">
        <f>IFERROR(__xludf.DUMMYFUNCTION("""COMPUTED_VALUE"""),44725.0)</f>
        <v>44725</v>
      </c>
      <c r="G864" s="86">
        <f>IFERROR(__xludf.DUMMYFUNCTION("""COMPUTED_VALUE"""),56.333333333333336)</f>
        <v>56.33333333</v>
      </c>
      <c r="H864" s="84">
        <f>IFERROR(__xludf.DUMMYFUNCTION("""COMPUTED_VALUE"""),42549.0)</f>
        <v>42549</v>
      </c>
      <c r="I864" s="86">
        <f>IFERROR(__xludf.DUMMYFUNCTION("""COMPUTED_VALUE"""),1.2638888888888888)</f>
        <v>1.263888889</v>
      </c>
      <c r="J864" s="87">
        <f>IFERROR(__xludf.DUMMYFUNCTION("""COMPUTED_VALUE"""),56.0)</f>
        <v>56</v>
      </c>
      <c r="K864" s="88">
        <f>IFERROR(__xludf.DUMMYFUNCTION("""COMPUTED_VALUE"""),6.4)</f>
        <v>6.4</v>
      </c>
      <c r="L864" s="89">
        <f>IFERROR(__xludf.DUMMYFUNCTION("""COMPUTED_VALUE"""),18.5)</f>
        <v>18.5</v>
      </c>
      <c r="M864" s="26" t="str">
        <f>IFERROR(__xludf.DUMMYFUNCTION("""COMPUTED_VALUE"""),"Action-Adventure")</f>
        <v>Action-Adventure</v>
      </c>
      <c r="N864" s="26"/>
      <c r="O864" s="26" t="str">
        <f>IFERROR(__xludf.DUMMYFUNCTION("""COMPUTED_VALUE"""),"No")</f>
        <v>No</v>
      </c>
      <c r="P864" s="26"/>
    </row>
    <row r="865">
      <c r="A865" s="81" t="str">
        <f>IFERROR(__xludf.DUMMYFUNCTION("""COMPUTED_VALUE"""),"Overlord: Fellowship of Evil")</f>
        <v>Overlord: Fellowship of Evil</v>
      </c>
      <c r="B865" s="82" t="str">
        <f>IFERROR(__xludf.DUMMYFUNCTION("""COMPUTED_VALUE"""),"PS5/PS4")</f>
        <v>PS5/PS4</v>
      </c>
      <c r="C865" s="83" t="str">
        <f>IFERROR(__xludf.DUMMYFUNCTION("""COMPUTED_VALUE"""),"Playstation Now (Discontinued)")</f>
        <v>Playstation Now (Discontinued)</v>
      </c>
      <c r="D865" s="82" t="str">
        <f>IFERROR(__xludf.DUMMYFUNCTION("""COMPUTED_VALUE"""),"Removed")</f>
        <v>Removed</v>
      </c>
      <c r="E865" s="84">
        <f>IFERROR(__xludf.DUMMYFUNCTION("""COMPUTED_VALUE"""),43011.0)</f>
        <v>43011</v>
      </c>
      <c r="F865" s="85">
        <f>IFERROR(__xludf.DUMMYFUNCTION("""COMPUTED_VALUE"""),44725.0)</f>
        <v>44725</v>
      </c>
      <c r="G865" s="86">
        <f>IFERROR(__xludf.DUMMYFUNCTION("""COMPUTED_VALUE"""),56.333333333333336)</f>
        <v>56.33333333</v>
      </c>
      <c r="H865" s="84">
        <f>IFERROR(__xludf.DUMMYFUNCTION("""COMPUTED_VALUE"""),42297.0)</f>
        <v>42297</v>
      </c>
      <c r="I865" s="86">
        <f>IFERROR(__xludf.DUMMYFUNCTION("""COMPUTED_VALUE"""),1.9527777777777777)</f>
        <v>1.952777778</v>
      </c>
      <c r="J865" s="87">
        <f>IFERROR(__xludf.DUMMYFUNCTION("""COMPUTED_VALUE"""),24.0)</f>
        <v>24</v>
      </c>
      <c r="K865" s="88">
        <f>IFERROR(__xludf.DUMMYFUNCTION("""COMPUTED_VALUE"""),4.4)</f>
        <v>4.4</v>
      </c>
      <c r="L865" s="89">
        <f>IFERROR(__xludf.DUMMYFUNCTION("""COMPUTED_VALUE"""),9.0)</f>
        <v>9</v>
      </c>
      <c r="M865" s="26" t="str">
        <f>IFERROR(__xludf.DUMMYFUNCTION("""COMPUTED_VALUE"""),"Action-Adventure")</f>
        <v>Action-Adventure</v>
      </c>
      <c r="N865" s="26"/>
      <c r="O865" s="26" t="str">
        <f>IFERROR(__xludf.DUMMYFUNCTION("""COMPUTED_VALUE"""),"No")</f>
        <v>No</v>
      </c>
      <c r="P865" s="26"/>
    </row>
    <row r="866">
      <c r="A866" s="81" t="str">
        <f>IFERROR(__xludf.DUMMYFUNCTION("""COMPUTED_VALUE"""),"Extreme Exorcism")</f>
        <v>Extreme Exorcism</v>
      </c>
      <c r="B866" s="82" t="str">
        <f>IFERROR(__xludf.DUMMYFUNCTION("""COMPUTED_VALUE"""),"PS5/PS4")</f>
        <v>PS5/PS4</v>
      </c>
      <c r="C866" s="83" t="str">
        <f>IFERROR(__xludf.DUMMYFUNCTION("""COMPUTED_VALUE"""),"Playstation Now (Discontinued)")</f>
        <v>Playstation Now (Discontinued)</v>
      </c>
      <c r="D866" s="82" t="str">
        <f>IFERROR(__xludf.DUMMYFUNCTION("""COMPUTED_VALUE"""),"Removed")</f>
        <v>Removed</v>
      </c>
      <c r="E866" s="84">
        <f>IFERROR(__xludf.DUMMYFUNCTION("""COMPUTED_VALUE"""),43011.0)</f>
        <v>43011</v>
      </c>
      <c r="F866" s="85">
        <f>IFERROR(__xludf.DUMMYFUNCTION("""COMPUTED_VALUE"""),44725.0)</f>
        <v>44725</v>
      </c>
      <c r="G866" s="86">
        <f>IFERROR(__xludf.DUMMYFUNCTION("""COMPUTED_VALUE"""),56.333333333333336)</f>
        <v>56.33333333</v>
      </c>
      <c r="H866" s="84">
        <f>IFERROR(__xludf.DUMMYFUNCTION("""COMPUTED_VALUE"""),42270.0)</f>
        <v>42270</v>
      </c>
      <c r="I866" s="86">
        <f>IFERROR(__xludf.DUMMYFUNCTION("""COMPUTED_VALUE"""),2.0277777777777777)</f>
        <v>2.027777778</v>
      </c>
      <c r="J866" s="87">
        <f>IFERROR(__xludf.DUMMYFUNCTION("""COMPUTED_VALUE"""),79.0)</f>
        <v>79</v>
      </c>
      <c r="K866" s="88">
        <f>IFERROR(__xludf.DUMMYFUNCTION("""COMPUTED_VALUE"""),7.1)</f>
        <v>7.1</v>
      </c>
      <c r="L866" s="89">
        <f>IFERROR(__xludf.DUMMYFUNCTION("""COMPUTED_VALUE"""),3.5)</f>
        <v>3.5</v>
      </c>
      <c r="M866" s="26" t="str">
        <f>IFERROR(__xludf.DUMMYFUNCTION("""COMPUTED_VALUE"""),"Platformer")</f>
        <v>Platformer</v>
      </c>
      <c r="N866" s="26"/>
      <c r="O866" s="26" t="str">
        <f>IFERROR(__xludf.DUMMYFUNCTION("""COMPUTED_VALUE"""),"No")</f>
        <v>No</v>
      </c>
      <c r="P866" s="26"/>
    </row>
    <row r="867">
      <c r="A867" s="81" t="str">
        <f>IFERROR(__xludf.DUMMYFUNCTION("""COMPUTED_VALUE"""),"Dead Island: Definitive Edition")</f>
        <v>Dead Island: Definitive Edition</v>
      </c>
      <c r="B867" s="82" t="str">
        <f>IFERROR(__xludf.DUMMYFUNCTION("""COMPUTED_VALUE"""),"PS5/PS4")</f>
        <v>PS5/PS4</v>
      </c>
      <c r="C867" s="83" t="str">
        <f>IFERROR(__xludf.DUMMYFUNCTION("""COMPUTED_VALUE"""),"Playstation Now (Discontinued)")</f>
        <v>Playstation Now (Discontinued)</v>
      </c>
      <c r="D867" s="82" t="str">
        <f>IFERROR(__xludf.DUMMYFUNCTION("""COMPUTED_VALUE"""),"Removed")</f>
        <v>Removed</v>
      </c>
      <c r="E867" s="84">
        <f>IFERROR(__xludf.DUMMYFUNCTION("""COMPUTED_VALUE"""),43011.0)</f>
        <v>43011</v>
      </c>
      <c r="F867" s="85">
        <f>IFERROR(__xludf.DUMMYFUNCTION("""COMPUTED_VALUE"""),44725.0)</f>
        <v>44725</v>
      </c>
      <c r="G867" s="86">
        <f>IFERROR(__xludf.DUMMYFUNCTION("""COMPUTED_VALUE"""),56.333333333333336)</f>
        <v>56.33333333</v>
      </c>
      <c r="H867" s="84">
        <f>IFERROR(__xludf.DUMMYFUNCTION("""COMPUTED_VALUE"""),42521.0)</f>
        <v>42521</v>
      </c>
      <c r="I867" s="86">
        <f>IFERROR(__xludf.DUMMYFUNCTION("""COMPUTED_VALUE"""),1.3416666666666666)</f>
        <v>1.341666667</v>
      </c>
      <c r="J867" s="87">
        <f>IFERROR(__xludf.DUMMYFUNCTION("""COMPUTED_VALUE"""),74.0)</f>
        <v>74</v>
      </c>
      <c r="K867" s="88">
        <f>IFERROR(__xludf.DUMMYFUNCTION("""COMPUTED_VALUE"""),6.5)</f>
        <v>6.5</v>
      </c>
      <c r="L867" s="89">
        <f>IFERROR(__xludf.DUMMYFUNCTION("""COMPUTED_VALUE"""),14.0)</f>
        <v>14</v>
      </c>
      <c r="M867" s="26" t="str">
        <f>IFERROR(__xludf.DUMMYFUNCTION("""COMPUTED_VALUE"""),"Action-Adventure")</f>
        <v>Action-Adventure</v>
      </c>
      <c r="N867" s="26"/>
      <c r="O867" s="26" t="str">
        <f>IFERROR(__xludf.DUMMYFUNCTION("""COMPUTED_VALUE"""),"No")</f>
        <v>No</v>
      </c>
      <c r="P867" s="26"/>
    </row>
    <row r="868">
      <c r="A868" s="81" t="str">
        <f>IFERROR(__xludf.DUMMYFUNCTION("""COMPUTED_VALUE"""),"Tokyo Twilight Ghost Hunters Daybreak: Special Gigs")</f>
        <v>Tokyo Twilight Ghost Hunters Daybreak: Special Gigs</v>
      </c>
      <c r="B868" s="82" t="str">
        <f>IFERROR(__xludf.DUMMYFUNCTION("""COMPUTED_VALUE"""),"PS5/PS4")</f>
        <v>PS5/PS4</v>
      </c>
      <c r="C868" s="83" t="str">
        <f>IFERROR(__xludf.DUMMYFUNCTION("""COMPUTED_VALUE"""),"Playstation Now (Discontinued)")</f>
        <v>Playstation Now (Discontinued)</v>
      </c>
      <c r="D868" s="82" t="str">
        <f>IFERROR(__xludf.DUMMYFUNCTION("""COMPUTED_VALUE"""),"Removed")</f>
        <v>Removed</v>
      </c>
      <c r="E868" s="84">
        <f>IFERROR(__xludf.DUMMYFUNCTION("""COMPUTED_VALUE"""),43011.0)</f>
        <v>43011</v>
      </c>
      <c r="F868" s="85">
        <f>IFERROR(__xludf.DUMMYFUNCTION("""COMPUTED_VALUE"""),44725.0)</f>
        <v>44725</v>
      </c>
      <c r="G868" s="86">
        <f>IFERROR(__xludf.DUMMYFUNCTION("""COMPUTED_VALUE"""),56.333333333333336)</f>
        <v>56.33333333</v>
      </c>
      <c r="H868" s="84">
        <f>IFERROR(__xludf.DUMMYFUNCTION("""COMPUTED_VALUE"""),42486.0)</f>
        <v>42486</v>
      </c>
      <c r="I868" s="86">
        <f>IFERROR(__xludf.DUMMYFUNCTION("""COMPUTED_VALUE"""),1.4361111111111111)</f>
        <v>1.436111111</v>
      </c>
      <c r="J868" s="87">
        <f>IFERROR(__xludf.DUMMYFUNCTION("""COMPUTED_VALUE"""),63.0)</f>
        <v>63</v>
      </c>
      <c r="K868" s="88">
        <f>IFERROR(__xludf.DUMMYFUNCTION("""COMPUTED_VALUE"""),7.0)</f>
        <v>7</v>
      </c>
      <c r="L868" s="89">
        <f>IFERROR(__xludf.DUMMYFUNCTION("""COMPUTED_VALUE"""),18.0)</f>
        <v>18</v>
      </c>
      <c r="M868" s="26" t="str">
        <f>IFERROR(__xludf.DUMMYFUNCTION("""COMPUTED_VALUE"""),"RPG")</f>
        <v>RPG</v>
      </c>
      <c r="N868" s="26"/>
      <c r="O868" s="26" t="str">
        <f>IFERROR(__xludf.DUMMYFUNCTION("""COMPUTED_VALUE"""),"No")</f>
        <v>No</v>
      </c>
      <c r="P868" s="26"/>
    </row>
    <row r="869">
      <c r="A869" s="81" t="str">
        <f>IFERROR(__xludf.DUMMYFUNCTION("""COMPUTED_VALUE"""),"The Swapper")</f>
        <v>The Swapper</v>
      </c>
      <c r="B869" s="82" t="str">
        <f>IFERROR(__xludf.DUMMYFUNCTION("""COMPUTED_VALUE"""),"PS5/PS4")</f>
        <v>PS5/PS4</v>
      </c>
      <c r="C869" s="83" t="str">
        <f>IFERROR(__xludf.DUMMYFUNCTION("""COMPUTED_VALUE"""),"Playstation Now (Discontinued)")</f>
        <v>Playstation Now (Discontinued)</v>
      </c>
      <c r="D869" s="82" t="str">
        <f>IFERROR(__xludf.DUMMYFUNCTION("""COMPUTED_VALUE"""),"Removed")</f>
        <v>Removed</v>
      </c>
      <c r="E869" s="84">
        <f>IFERROR(__xludf.DUMMYFUNCTION("""COMPUTED_VALUE"""),43011.0)</f>
        <v>43011</v>
      </c>
      <c r="F869" s="85">
        <f>IFERROR(__xludf.DUMMYFUNCTION("""COMPUTED_VALUE"""),44725.0)</f>
        <v>44725</v>
      </c>
      <c r="G869" s="86">
        <f>IFERROR(__xludf.DUMMYFUNCTION("""COMPUTED_VALUE"""),56.333333333333336)</f>
        <v>56.33333333</v>
      </c>
      <c r="H869" s="84">
        <f>IFERROR(__xludf.DUMMYFUNCTION("""COMPUTED_VALUE"""),41395.0)</f>
        <v>41395</v>
      </c>
      <c r="I869" s="86">
        <f>IFERROR(__xludf.DUMMYFUNCTION("""COMPUTED_VALUE"""),4.4222222222222225)</f>
        <v>4.422222222</v>
      </c>
      <c r="J869" s="87">
        <f>IFERROR(__xludf.DUMMYFUNCTION("""COMPUTED_VALUE"""),83.0)</f>
        <v>83</v>
      </c>
      <c r="K869" s="88">
        <f>IFERROR(__xludf.DUMMYFUNCTION("""COMPUTED_VALUE"""),8.1)</f>
        <v>8.1</v>
      </c>
      <c r="L869" s="89">
        <f>IFERROR(__xludf.DUMMYFUNCTION("""COMPUTED_VALUE"""),4.5)</f>
        <v>4.5</v>
      </c>
      <c r="M869" s="26" t="str">
        <f>IFERROR(__xludf.DUMMYFUNCTION("""COMPUTED_VALUE"""),"Puzzle")</f>
        <v>Puzzle</v>
      </c>
      <c r="N869" s="26"/>
      <c r="O869" s="26" t="str">
        <f>IFERROR(__xludf.DUMMYFUNCTION("""COMPUTED_VALUE"""),"No")</f>
        <v>No</v>
      </c>
      <c r="P869" s="26"/>
    </row>
    <row r="870">
      <c r="A870" s="81" t="str">
        <f>IFERROR(__xludf.DUMMYFUNCTION("""COMPUTED_VALUE"""),"Lone Survivor: The Director's Cut")</f>
        <v>Lone Survivor: The Director's Cut</v>
      </c>
      <c r="B870" s="82" t="str">
        <f>IFERROR(__xludf.DUMMYFUNCTION("""COMPUTED_VALUE"""),"PS5/PS4")</f>
        <v>PS5/PS4</v>
      </c>
      <c r="C870" s="83" t="str">
        <f>IFERROR(__xludf.DUMMYFUNCTION("""COMPUTED_VALUE"""),"Playstation Now (Discontinued)")</f>
        <v>Playstation Now (Discontinued)</v>
      </c>
      <c r="D870" s="82" t="str">
        <f>IFERROR(__xludf.DUMMYFUNCTION("""COMPUTED_VALUE"""),"Removed")</f>
        <v>Removed</v>
      </c>
      <c r="E870" s="84">
        <f>IFERROR(__xludf.DUMMYFUNCTION("""COMPUTED_VALUE"""),43011.0)</f>
        <v>43011</v>
      </c>
      <c r="F870" s="85">
        <f>IFERROR(__xludf.DUMMYFUNCTION("""COMPUTED_VALUE"""),44725.0)</f>
        <v>44725</v>
      </c>
      <c r="G870" s="86">
        <f>IFERROR(__xludf.DUMMYFUNCTION("""COMPUTED_VALUE"""),56.333333333333336)</f>
        <v>56.33333333</v>
      </c>
      <c r="H870" s="84">
        <f>IFERROR(__xludf.DUMMYFUNCTION("""COMPUTED_VALUE"""),40969.0)</f>
        <v>40969</v>
      </c>
      <c r="I870" s="86">
        <f>IFERROR(__xludf.DUMMYFUNCTION("""COMPUTED_VALUE"""),5.588888888888889)</f>
        <v>5.588888889</v>
      </c>
      <c r="J870" s="87">
        <f>IFERROR(__xludf.DUMMYFUNCTION("""COMPUTED_VALUE"""),81.0)</f>
        <v>81</v>
      </c>
      <c r="K870" s="88">
        <f>IFERROR(__xludf.DUMMYFUNCTION("""COMPUTED_VALUE"""),7.8)</f>
        <v>7.8</v>
      </c>
      <c r="L870" s="89">
        <f>IFERROR(__xludf.DUMMYFUNCTION("""COMPUTED_VALUE"""),4.5)</f>
        <v>4.5</v>
      </c>
      <c r="M870" s="26" t="str">
        <f>IFERROR(__xludf.DUMMYFUNCTION("""COMPUTED_VALUE"""),"Action-Adventure")</f>
        <v>Action-Adventure</v>
      </c>
      <c r="N870" s="26"/>
      <c r="O870" s="26" t="str">
        <f>IFERROR(__xludf.DUMMYFUNCTION("""COMPUTED_VALUE"""),"No")</f>
        <v>No</v>
      </c>
      <c r="P870" s="26"/>
    </row>
    <row r="871">
      <c r="A871" s="81" t="str">
        <f>IFERROR(__xludf.DUMMYFUNCTION("""COMPUTED_VALUE"""),"Wasteland 2: Director's Cut")</f>
        <v>Wasteland 2: Director's Cut</v>
      </c>
      <c r="B871" s="82" t="str">
        <f>IFERROR(__xludf.DUMMYFUNCTION("""COMPUTED_VALUE"""),"PS5/PS4")</f>
        <v>PS5/PS4</v>
      </c>
      <c r="C871" s="83" t="str">
        <f>IFERROR(__xludf.DUMMYFUNCTION("""COMPUTED_VALUE"""),"Playstation Now (Discontinued)")</f>
        <v>Playstation Now (Discontinued)</v>
      </c>
      <c r="D871" s="82" t="str">
        <f>IFERROR(__xludf.DUMMYFUNCTION("""COMPUTED_VALUE"""),"Removed")</f>
        <v>Removed</v>
      </c>
      <c r="E871" s="84">
        <f>IFERROR(__xludf.DUMMYFUNCTION("""COMPUTED_VALUE"""),42983.0)</f>
        <v>42983</v>
      </c>
      <c r="F871" s="85">
        <f>IFERROR(__xludf.DUMMYFUNCTION("""COMPUTED_VALUE"""),44725.0)</f>
        <v>44725</v>
      </c>
      <c r="G871" s="86">
        <f>IFERROR(__xludf.DUMMYFUNCTION("""COMPUTED_VALUE"""),57.266666666666666)</f>
        <v>57.26666667</v>
      </c>
      <c r="H871" s="84">
        <f>IFERROR(__xludf.DUMMYFUNCTION("""COMPUTED_VALUE"""),42290.0)</f>
        <v>42290</v>
      </c>
      <c r="I871" s="86">
        <f>IFERROR(__xludf.DUMMYFUNCTION("""COMPUTED_VALUE"""),1.8944444444444444)</f>
        <v>1.894444444</v>
      </c>
      <c r="J871" s="87">
        <f>IFERROR(__xludf.DUMMYFUNCTION("""COMPUTED_VALUE"""),87.0)</f>
        <v>87</v>
      </c>
      <c r="K871" s="88">
        <f>IFERROR(__xludf.DUMMYFUNCTION("""COMPUTED_VALUE"""),7.7)</f>
        <v>7.7</v>
      </c>
      <c r="L871" s="89">
        <f>IFERROR(__xludf.DUMMYFUNCTION("""COMPUTED_VALUE"""),40.0)</f>
        <v>40</v>
      </c>
      <c r="M871" s="26" t="str">
        <f>IFERROR(__xludf.DUMMYFUNCTION("""COMPUTED_VALUE"""),"RPG")</f>
        <v>RPG</v>
      </c>
      <c r="N871" s="26"/>
      <c r="O871" s="26" t="str">
        <f>IFERROR(__xludf.DUMMYFUNCTION("""COMPUTED_VALUE"""),"No")</f>
        <v>No</v>
      </c>
      <c r="P871" s="26"/>
    </row>
    <row r="872">
      <c r="A872" s="81" t="str">
        <f>IFERROR(__xludf.DUMMYFUNCTION("""COMPUTED_VALUE"""),"Tour de France 2016")</f>
        <v>Tour de France 2016</v>
      </c>
      <c r="B872" s="82" t="str">
        <f>IFERROR(__xludf.DUMMYFUNCTION("""COMPUTED_VALUE"""),"PS5/PS4")</f>
        <v>PS5/PS4</v>
      </c>
      <c r="C872" s="83" t="str">
        <f>IFERROR(__xludf.DUMMYFUNCTION("""COMPUTED_VALUE"""),"Playstation Now (Discontinued)")</f>
        <v>Playstation Now (Discontinued)</v>
      </c>
      <c r="D872" s="82" t="str">
        <f>IFERROR(__xludf.DUMMYFUNCTION("""COMPUTED_VALUE"""),"Removed")</f>
        <v>Removed</v>
      </c>
      <c r="E872" s="84">
        <f>IFERROR(__xludf.DUMMYFUNCTION("""COMPUTED_VALUE"""),42983.0)</f>
        <v>42983</v>
      </c>
      <c r="F872" s="85">
        <f>IFERROR(__xludf.DUMMYFUNCTION("""COMPUTED_VALUE"""),44725.0)</f>
        <v>44725</v>
      </c>
      <c r="G872" s="86">
        <f>IFERROR(__xludf.DUMMYFUNCTION("""COMPUTED_VALUE"""),57.266666666666666)</f>
        <v>57.26666667</v>
      </c>
      <c r="H872" s="84">
        <f>IFERROR(__xludf.DUMMYFUNCTION("""COMPUTED_VALUE"""),42537.0)</f>
        <v>42537</v>
      </c>
      <c r="I872" s="86">
        <f>IFERROR(__xludf.DUMMYFUNCTION("""COMPUTED_VALUE"""),1.2194444444444446)</f>
        <v>1.219444444</v>
      </c>
      <c r="J872" s="87">
        <f>IFERROR(__xludf.DUMMYFUNCTION("""COMPUTED_VALUE"""),61.0)</f>
        <v>61</v>
      </c>
      <c r="K872" s="88">
        <f>IFERROR(__xludf.DUMMYFUNCTION("""COMPUTED_VALUE"""),6.9)</f>
        <v>6.9</v>
      </c>
      <c r="L872" s="89"/>
      <c r="M872" s="26" t="str">
        <f>IFERROR(__xludf.DUMMYFUNCTION("""COMPUTED_VALUE"""),"Racing")</f>
        <v>Racing</v>
      </c>
      <c r="N872" s="26"/>
      <c r="O872" s="26" t="str">
        <f>IFERROR(__xludf.DUMMYFUNCTION("""COMPUTED_VALUE"""),"No")</f>
        <v>No</v>
      </c>
      <c r="P872" s="26"/>
    </row>
    <row r="873">
      <c r="A873" s="81" t="str">
        <f>IFERROR(__xludf.DUMMYFUNCTION("""COMPUTED_VALUE"""),"Titan Attacks!")</f>
        <v>Titan Attacks!</v>
      </c>
      <c r="B873" s="82" t="str">
        <f>IFERROR(__xludf.DUMMYFUNCTION("""COMPUTED_VALUE"""),"PS5/PS4")</f>
        <v>PS5/PS4</v>
      </c>
      <c r="C873" s="83" t="str">
        <f>IFERROR(__xludf.DUMMYFUNCTION("""COMPUTED_VALUE"""),"Playstation Now (Discontinued)")</f>
        <v>Playstation Now (Discontinued)</v>
      </c>
      <c r="D873" s="82" t="str">
        <f>IFERROR(__xludf.DUMMYFUNCTION("""COMPUTED_VALUE"""),"Removed")</f>
        <v>Removed</v>
      </c>
      <c r="E873" s="84">
        <f>IFERROR(__xludf.DUMMYFUNCTION("""COMPUTED_VALUE"""),42983.0)</f>
        <v>42983</v>
      </c>
      <c r="F873" s="85">
        <f>IFERROR(__xludf.DUMMYFUNCTION("""COMPUTED_VALUE"""),44725.0)</f>
        <v>44725</v>
      </c>
      <c r="G873" s="86">
        <f>IFERROR(__xludf.DUMMYFUNCTION("""COMPUTED_VALUE"""),57.266666666666666)</f>
        <v>57.26666667</v>
      </c>
      <c r="H873" s="84">
        <f>IFERROR(__xludf.DUMMYFUNCTION("""COMPUTED_VALUE"""),41765.0)</f>
        <v>41765</v>
      </c>
      <c r="I873" s="86">
        <f>IFERROR(__xludf.DUMMYFUNCTION("""COMPUTED_VALUE"""),3.3305555555555557)</f>
        <v>3.330555556</v>
      </c>
      <c r="J873" s="87">
        <f>IFERROR(__xludf.DUMMYFUNCTION("""COMPUTED_VALUE"""),67.0)</f>
        <v>67</v>
      </c>
      <c r="K873" s="88">
        <f>IFERROR(__xludf.DUMMYFUNCTION("""COMPUTED_VALUE"""),6.9)</f>
        <v>6.9</v>
      </c>
      <c r="L873" s="89">
        <f>IFERROR(__xludf.DUMMYFUNCTION("""COMPUTED_VALUE"""),4.0)</f>
        <v>4</v>
      </c>
      <c r="M873" s="26" t="str">
        <f>IFERROR(__xludf.DUMMYFUNCTION("""COMPUTED_VALUE"""),"Shooter")</f>
        <v>Shooter</v>
      </c>
      <c r="N873" s="26"/>
      <c r="O873" s="26" t="str">
        <f>IFERROR(__xludf.DUMMYFUNCTION("""COMPUTED_VALUE"""),"No")</f>
        <v>No</v>
      </c>
      <c r="P873" s="26"/>
    </row>
    <row r="874">
      <c r="A874" s="81" t="str">
        <f>IFERROR(__xludf.DUMMYFUNCTION("""COMPUTED_VALUE"""),"Ironcast")</f>
        <v>Ironcast</v>
      </c>
      <c r="B874" s="82" t="str">
        <f>IFERROR(__xludf.DUMMYFUNCTION("""COMPUTED_VALUE"""),"PS5/PS4")</f>
        <v>PS5/PS4</v>
      </c>
      <c r="C874" s="83" t="str">
        <f>IFERROR(__xludf.DUMMYFUNCTION("""COMPUTED_VALUE"""),"Playstation Now (Discontinued)")</f>
        <v>Playstation Now (Discontinued)</v>
      </c>
      <c r="D874" s="82" t="str">
        <f>IFERROR(__xludf.DUMMYFUNCTION("""COMPUTED_VALUE"""),"Removed")</f>
        <v>Removed</v>
      </c>
      <c r="E874" s="84">
        <f>IFERROR(__xludf.DUMMYFUNCTION("""COMPUTED_VALUE"""),42955.0)</f>
        <v>42955</v>
      </c>
      <c r="F874" s="85">
        <f>IFERROR(__xludf.DUMMYFUNCTION("""COMPUTED_VALUE"""),44725.0)</f>
        <v>44725</v>
      </c>
      <c r="G874" s="86">
        <f>IFERROR(__xludf.DUMMYFUNCTION("""COMPUTED_VALUE"""),58.16666666666667)</f>
        <v>58.16666667</v>
      </c>
      <c r="H874" s="84">
        <f>IFERROR(__xludf.DUMMYFUNCTION("""COMPUTED_VALUE"""),42089.0)</f>
        <v>42089</v>
      </c>
      <c r="I874" s="86">
        <f>IFERROR(__xludf.DUMMYFUNCTION("""COMPUTED_VALUE"""),2.3666666666666667)</f>
        <v>2.366666667</v>
      </c>
      <c r="J874" s="87">
        <f>IFERROR(__xludf.DUMMYFUNCTION("""COMPUTED_VALUE"""),73.0)</f>
        <v>73</v>
      </c>
      <c r="K874" s="88">
        <f>IFERROR(__xludf.DUMMYFUNCTION("""COMPUTED_VALUE"""),7.1)</f>
        <v>7.1</v>
      </c>
      <c r="L874" s="89">
        <f>IFERROR(__xludf.DUMMYFUNCTION("""COMPUTED_VALUE"""),10.0)</f>
        <v>10</v>
      </c>
      <c r="M874" s="26" t="str">
        <f>IFERROR(__xludf.DUMMYFUNCTION("""COMPUTED_VALUE"""),"RPG")</f>
        <v>RPG</v>
      </c>
      <c r="N874" s="26"/>
      <c r="O874" s="26" t="str">
        <f>IFERROR(__xludf.DUMMYFUNCTION("""COMPUTED_VALUE"""),"No")</f>
        <v>No</v>
      </c>
      <c r="P874" s="26"/>
    </row>
    <row r="875">
      <c r="A875" s="81" t="str">
        <f>IFERROR(__xludf.DUMMYFUNCTION("""COMPUTED_VALUE"""),"OlliOlli2: Welcome to Olliwood")</f>
        <v>OlliOlli2: Welcome to Olliwood</v>
      </c>
      <c r="B875" s="82" t="str">
        <f>IFERROR(__xludf.DUMMYFUNCTION("""COMPUTED_VALUE"""),"PS5/PS4")</f>
        <v>PS5/PS4</v>
      </c>
      <c r="C875" s="83" t="str">
        <f>IFERROR(__xludf.DUMMYFUNCTION("""COMPUTED_VALUE"""),"Playstation Now (Discontinued)")</f>
        <v>Playstation Now (Discontinued)</v>
      </c>
      <c r="D875" s="82" t="str">
        <f>IFERROR(__xludf.DUMMYFUNCTION("""COMPUTED_VALUE"""),"Removed")</f>
        <v>Removed</v>
      </c>
      <c r="E875" s="84">
        <f>IFERROR(__xludf.DUMMYFUNCTION("""COMPUTED_VALUE"""),42955.0)</f>
        <v>42955</v>
      </c>
      <c r="F875" s="85">
        <f>IFERROR(__xludf.DUMMYFUNCTION("""COMPUTED_VALUE"""),44725.0)</f>
        <v>44725</v>
      </c>
      <c r="G875" s="86">
        <f>IFERROR(__xludf.DUMMYFUNCTION("""COMPUTED_VALUE"""),58.16666666666667)</f>
        <v>58.16666667</v>
      </c>
      <c r="H875" s="84">
        <f>IFERROR(__xludf.DUMMYFUNCTION("""COMPUTED_VALUE"""),42066.0)</f>
        <v>42066</v>
      </c>
      <c r="I875" s="86">
        <f>IFERROR(__xludf.DUMMYFUNCTION("""COMPUTED_VALUE"""),2.4305555555555554)</f>
        <v>2.430555556</v>
      </c>
      <c r="J875" s="87">
        <f>IFERROR(__xludf.DUMMYFUNCTION("""COMPUTED_VALUE"""),83.0)</f>
        <v>83</v>
      </c>
      <c r="K875" s="88">
        <f>IFERROR(__xludf.DUMMYFUNCTION("""COMPUTED_VALUE"""),7.7)</f>
        <v>7.7</v>
      </c>
      <c r="L875" s="89">
        <f>IFERROR(__xludf.DUMMYFUNCTION("""COMPUTED_VALUE"""),4.0)</f>
        <v>4</v>
      </c>
      <c r="M875" s="26" t="str">
        <f>IFERROR(__xludf.DUMMYFUNCTION("""COMPUTED_VALUE"""),"Sports")</f>
        <v>Sports</v>
      </c>
      <c r="N875" s="26"/>
      <c r="O875" s="26" t="str">
        <f>IFERROR(__xludf.DUMMYFUNCTION("""COMPUTED_VALUE"""),"No")</f>
        <v>No</v>
      </c>
      <c r="P875" s="26"/>
    </row>
    <row r="876">
      <c r="A876" s="81" t="str">
        <f>IFERROR(__xludf.DUMMYFUNCTION("""COMPUTED_VALUE"""),"Exist Archive: The Other Side of the Sky")</f>
        <v>Exist Archive: The Other Side of the Sky</v>
      </c>
      <c r="B876" s="82" t="str">
        <f>IFERROR(__xludf.DUMMYFUNCTION("""COMPUTED_VALUE"""),"PS5/PS4")</f>
        <v>PS5/PS4</v>
      </c>
      <c r="C876" s="83" t="str">
        <f>IFERROR(__xludf.DUMMYFUNCTION("""COMPUTED_VALUE"""),"Playstation Now (Discontinued)")</f>
        <v>Playstation Now (Discontinued)</v>
      </c>
      <c r="D876" s="82" t="str">
        <f>IFERROR(__xludf.DUMMYFUNCTION("""COMPUTED_VALUE"""),"Removed")</f>
        <v>Removed</v>
      </c>
      <c r="E876" s="84">
        <f>IFERROR(__xludf.DUMMYFUNCTION("""COMPUTED_VALUE"""),42922.0)</f>
        <v>42922</v>
      </c>
      <c r="F876" s="85">
        <f>IFERROR(__xludf.DUMMYFUNCTION("""COMPUTED_VALUE"""),44725.0)</f>
        <v>44725</v>
      </c>
      <c r="G876" s="86">
        <f>IFERROR(__xludf.DUMMYFUNCTION("""COMPUTED_VALUE"""),59.233333333333334)</f>
        <v>59.23333333</v>
      </c>
      <c r="H876" s="84">
        <f>IFERROR(__xludf.DUMMYFUNCTION("""COMPUTED_VALUE"""),42355.0)</f>
        <v>42355</v>
      </c>
      <c r="I876" s="86">
        <f>IFERROR(__xludf.DUMMYFUNCTION("""COMPUTED_VALUE"""),1.5527777777777778)</f>
        <v>1.552777778</v>
      </c>
      <c r="J876" s="87">
        <f>IFERROR(__xludf.DUMMYFUNCTION("""COMPUTED_VALUE"""),69.0)</f>
        <v>69</v>
      </c>
      <c r="K876" s="88">
        <f>IFERROR(__xludf.DUMMYFUNCTION("""COMPUTED_VALUE"""),6.8)</f>
        <v>6.8</v>
      </c>
      <c r="L876" s="89">
        <f>IFERROR(__xludf.DUMMYFUNCTION("""COMPUTED_VALUE"""),36.5)</f>
        <v>36.5</v>
      </c>
      <c r="M876" s="26" t="str">
        <f>IFERROR(__xludf.DUMMYFUNCTION("""COMPUTED_VALUE"""),"RPG")</f>
        <v>RPG</v>
      </c>
      <c r="N876" s="26"/>
      <c r="O876" s="26" t="str">
        <f>IFERROR(__xludf.DUMMYFUNCTION("""COMPUTED_VALUE"""),"No")</f>
        <v>No</v>
      </c>
      <c r="P876" s="26"/>
    </row>
    <row r="877">
      <c r="A877" s="81" t="str">
        <f>IFERROR(__xludf.DUMMYFUNCTION("""COMPUTED_VALUE"""),"Blood Bowl 2")</f>
        <v>Blood Bowl 2</v>
      </c>
      <c r="B877" s="82" t="str">
        <f>IFERROR(__xludf.DUMMYFUNCTION("""COMPUTED_VALUE"""),"PS5/PS4")</f>
        <v>PS5/PS4</v>
      </c>
      <c r="C877" s="83" t="str">
        <f>IFERROR(__xludf.DUMMYFUNCTION("""COMPUTED_VALUE"""),"Playstation Now (Discontinued)")</f>
        <v>Playstation Now (Discontinued)</v>
      </c>
      <c r="D877" s="82" t="str">
        <f>IFERROR(__xludf.DUMMYFUNCTION("""COMPUTED_VALUE"""),"Removed")</f>
        <v>Removed</v>
      </c>
      <c r="E877" s="84">
        <f>IFERROR(__xludf.DUMMYFUNCTION("""COMPUTED_VALUE"""),42922.0)</f>
        <v>42922</v>
      </c>
      <c r="F877" s="85">
        <f>IFERROR(__xludf.DUMMYFUNCTION("""COMPUTED_VALUE"""),44725.0)</f>
        <v>44725</v>
      </c>
      <c r="G877" s="86">
        <f>IFERROR(__xludf.DUMMYFUNCTION("""COMPUTED_VALUE"""),59.233333333333334)</f>
        <v>59.23333333</v>
      </c>
      <c r="H877" s="84">
        <f>IFERROR(__xludf.DUMMYFUNCTION("""COMPUTED_VALUE"""),42269.0)</f>
        <v>42269</v>
      </c>
      <c r="I877" s="86">
        <f>IFERROR(__xludf.DUMMYFUNCTION("""COMPUTED_VALUE"""),1.788888888888889)</f>
        <v>1.788888889</v>
      </c>
      <c r="J877" s="87">
        <f>IFERROR(__xludf.DUMMYFUNCTION("""COMPUTED_VALUE"""),76.0)</f>
        <v>76</v>
      </c>
      <c r="K877" s="88">
        <f>IFERROR(__xludf.DUMMYFUNCTION("""COMPUTED_VALUE"""),7.0)</f>
        <v>7</v>
      </c>
      <c r="L877" s="89"/>
      <c r="M877" s="26" t="str">
        <f>IFERROR(__xludf.DUMMYFUNCTION("""COMPUTED_VALUE"""),"RPG")</f>
        <v>RPG</v>
      </c>
      <c r="N877" s="26"/>
      <c r="O877" s="26" t="str">
        <f>IFERROR(__xludf.DUMMYFUNCTION("""COMPUTED_VALUE"""),"No")</f>
        <v>No</v>
      </c>
      <c r="P877" s="26"/>
    </row>
    <row r="878">
      <c r="A878" s="81" t="str">
        <f>IFERROR(__xludf.DUMMYFUNCTION("""COMPUTED_VALUE"""),"Back to Bed")</f>
        <v>Back to Bed</v>
      </c>
      <c r="B878" s="82" t="str">
        <f>IFERROR(__xludf.DUMMYFUNCTION("""COMPUTED_VALUE"""),"PS5/PS4")</f>
        <v>PS5/PS4</v>
      </c>
      <c r="C878" s="83" t="str">
        <f>IFERROR(__xludf.DUMMYFUNCTION("""COMPUTED_VALUE"""),"Playstation Now (Discontinued)")</f>
        <v>Playstation Now (Discontinued)</v>
      </c>
      <c r="D878" s="82" t="str">
        <f>IFERROR(__xludf.DUMMYFUNCTION("""COMPUTED_VALUE"""),"Removed")</f>
        <v>Removed</v>
      </c>
      <c r="E878" s="84">
        <f>IFERROR(__xludf.DUMMYFUNCTION("""COMPUTED_VALUE"""),42922.0)</f>
        <v>42922</v>
      </c>
      <c r="F878" s="85">
        <f>IFERROR(__xludf.DUMMYFUNCTION("""COMPUTED_VALUE"""),44725.0)</f>
        <v>44725</v>
      </c>
      <c r="G878" s="86">
        <f>IFERROR(__xludf.DUMMYFUNCTION("""COMPUTED_VALUE"""),59.233333333333334)</f>
        <v>59.23333333</v>
      </c>
      <c r="H878" s="84">
        <f>IFERROR(__xludf.DUMMYFUNCTION("""COMPUTED_VALUE"""),42232.0)</f>
        <v>42232</v>
      </c>
      <c r="I878" s="86">
        <f>IFERROR(__xludf.DUMMYFUNCTION("""COMPUTED_VALUE"""),1.8888888888888888)</f>
        <v>1.888888889</v>
      </c>
      <c r="J878" s="87">
        <f>IFERROR(__xludf.DUMMYFUNCTION("""COMPUTED_VALUE"""),61.0)</f>
        <v>61</v>
      </c>
      <c r="K878" s="88">
        <f>IFERROR(__xludf.DUMMYFUNCTION("""COMPUTED_VALUE"""),6.2)</f>
        <v>6.2</v>
      </c>
      <c r="L878" s="89">
        <f>IFERROR(__xludf.DUMMYFUNCTION("""COMPUTED_VALUE"""),2.5)</f>
        <v>2.5</v>
      </c>
      <c r="M878" s="26" t="str">
        <f>IFERROR(__xludf.DUMMYFUNCTION("""COMPUTED_VALUE"""),"Puzzle")</f>
        <v>Puzzle</v>
      </c>
      <c r="N878" s="26"/>
      <c r="O878" s="26" t="str">
        <f>IFERROR(__xludf.DUMMYFUNCTION("""COMPUTED_VALUE"""),"No")</f>
        <v>No</v>
      </c>
      <c r="P878" s="26"/>
    </row>
    <row r="879">
      <c r="A879" s="81" t="str">
        <f>IFERROR(__xludf.DUMMYFUNCTION("""COMPUTED_VALUE"""),"F1 2015")</f>
        <v>F1 2015</v>
      </c>
      <c r="B879" s="82" t="str">
        <f>IFERROR(__xludf.DUMMYFUNCTION("""COMPUTED_VALUE"""),"PS5/PS4")</f>
        <v>PS5/PS4</v>
      </c>
      <c r="C879" s="83" t="str">
        <f>IFERROR(__xludf.DUMMYFUNCTION("""COMPUTED_VALUE"""),"Playstation Now (Discontinued)")</f>
        <v>Playstation Now (Discontinued)</v>
      </c>
      <c r="D879" s="82" t="str">
        <f>IFERROR(__xludf.DUMMYFUNCTION("""COMPUTED_VALUE"""),"Removed")</f>
        <v>Removed</v>
      </c>
      <c r="E879" s="84">
        <f>IFERROR(__xludf.DUMMYFUNCTION("""COMPUTED_VALUE"""),42922.0)</f>
        <v>42922</v>
      </c>
      <c r="F879" s="85">
        <f>IFERROR(__xludf.DUMMYFUNCTION("""COMPUTED_VALUE"""),44725.0)</f>
        <v>44725</v>
      </c>
      <c r="G879" s="86">
        <f>IFERROR(__xludf.DUMMYFUNCTION("""COMPUTED_VALUE"""),59.233333333333334)</f>
        <v>59.23333333</v>
      </c>
      <c r="H879" s="84">
        <f>IFERROR(__xludf.DUMMYFUNCTION("""COMPUTED_VALUE"""),42206.0)</f>
        <v>42206</v>
      </c>
      <c r="I879" s="86">
        <f>IFERROR(__xludf.DUMMYFUNCTION("""COMPUTED_VALUE"""),1.9583333333333333)</f>
        <v>1.958333333</v>
      </c>
      <c r="J879" s="87">
        <f>IFERROR(__xludf.DUMMYFUNCTION("""COMPUTED_VALUE"""),65.0)</f>
        <v>65</v>
      </c>
      <c r="K879" s="88">
        <f>IFERROR(__xludf.DUMMYFUNCTION("""COMPUTED_VALUE"""),6.2)</f>
        <v>6.2</v>
      </c>
      <c r="L879" s="89"/>
      <c r="M879" s="26" t="str">
        <f>IFERROR(__xludf.DUMMYFUNCTION("""COMPUTED_VALUE"""),"Racing")</f>
        <v>Racing</v>
      </c>
      <c r="N879" s="26"/>
      <c r="O879" s="26" t="str">
        <f>IFERROR(__xludf.DUMMYFUNCTION("""COMPUTED_VALUE"""),"No")</f>
        <v>No</v>
      </c>
      <c r="P879" s="26"/>
    </row>
    <row r="880">
      <c r="A880" s="81" t="str">
        <f>IFERROR(__xludf.DUMMYFUNCTION("""COMPUTED_VALUE"""),"Super Stardust Ultra")</f>
        <v>Super Stardust Ultra</v>
      </c>
      <c r="B880" s="82" t="str">
        <f>IFERROR(__xludf.DUMMYFUNCTION("""COMPUTED_VALUE"""),"PS5/PS4")</f>
        <v>PS5/PS4</v>
      </c>
      <c r="C880" s="83" t="str">
        <f>IFERROR(__xludf.DUMMYFUNCTION("""COMPUTED_VALUE"""),"Playstation Now (Discontinued)")</f>
        <v>Playstation Now (Discontinued)</v>
      </c>
      <c r="D880" s="82" t="str">
        <f>IFERROR(__xludf.DUMMYFUNCTION("""COMPUTED_VALUE"""),"Removed")</f>
        <v>Removed</v>
      </c>
      <c r="E880" s="84">
        <f>IFERROR(__xludf.DUMMYFUNCTION("""COMPUTED_VALUE"""),42922.0)</f>
        <v>42922</v>
      </c>
      <c r="F880" s="85">
        <f>IFERROR(__xludf.DUMMYFUNCTION("""COMPUTED_VALUE"""),44725.0)</f>
        <v>44725</v>
      </c>
      <c r="G880" s="86">
        <f>IFERROR(__xludf.DUMMYFUNCTION("""COMPUTED_VALUE"""),59.233333333333334)</f>
        <v>59.23333333</v>
      </c>
      <c r="H880" s="84">
        <f>IFERROR(__xludf.DUMMYFUNCTION("""COMPUTED_VALUE"""),42045.0)</f>
        <v>42045</v>
      </c>
      <c r="I880" s="86">
        <f>IFERROR(__xludf.DUMMYFUNCTION("""COMPUTED_VALUE"""),2.4055555555555554)</f>
        <v>2.405555556</v>
      </c>
      <c r="J880" s="87">
        <f>IFERROR(__xludf.DUMMYFUNCTION("""COMPUTED_VALUE"""),76.0)</f>
        <v>76</v>
      </c>
      <c r="K880" s="88">
        <f>IFERROR(__xludf.DUMMYFUNCTION("""COMPUTED_VALUE"""),7.4)</f>
        <v>7.4</v>
      </c>
      <c r="L880" s="89"/>
      <c r="M880" s="26" t="str">
        <f>IFERROR(__xludf.DUMMYFUNCTION("""COMPUTED_VALUE"""),"Shooter")</f>
        <v>Shooter</v>
      </c>
      <c r="N880" s="26"/>
      <c r="O880" s="26" t="str">
        <f>IFERROR(__xludf.DUMMYFUNCTION("""COMPUTED_VALUE"""),"No")</f>
        <v>No</v>
      </c>
      <c r="P880" s="26"/>
    </row>
    <row r="881">
      <c r="A881" s="81" t="str">
        <f>IFERROR(__xludf.DUMMYFUNCTION("""COMPUTED_VALUE"""),"Guilty Gear Xrd -SIGN-")</f>
        <v>Guilty Gear Xrd -SIGN-</v>
      </c>
      <c r="B881" s="82" t="str">
        <f>IFERROR(__xludf.DUMMYFUNCTION("""COMPUTED_VALUE"""),"PS5/PS4")</f>
        <v>PS5/PS4</v>
      </c>
      <c r="C881" s="83" t="str">
        <f>IFERROR(__xludf.DUMMYFUNCTION("""COMPUTED_VALUE"""),"Playstation Now (Discontinued)")</f>
        <v>Playstation Now (Discontinued)</v>
      </c>
      <c r="D881" s="82" t="str">
        <f>IFERROR(__xludf.DUMMYFUNCTION("""COMPUTED_VALUE"""),"Removed")</f>
        <v>Removed</v>
      </c>
      <c r="E881" s="84">
        <f>IFERROR(__xludf.DUMMYFUNCTION("""COMPUTED_VALUE"""),42922.0)</f>
        <v>42922</v>
      </c>
      <c r="F881" s="85">
        <f>IFERROR(__xludf.DUMMYFUNCTION("""COMPUTED_VALUE"""),44725.0)</f>
        <v>44725</v>
      </c>
      <c r="G881" s="86">
        <f>IFERROR(__xludf.DUMMYFUNCTION("""COMPUTED_VALUE"""),59.233333333333334)</f>
        <v>59.23333333</v>
      </c>
      <c r="H881" s="84">
        <f>IFERROR(__xludf.DUMMYFUNCTION("""COMPUTED_VALUE"""),41989.0)</f>
        <v>41989</v>
      </c>
      <c r="I881" s="86">
        <f>IFERROR(__xludf.DUMMYFUNCTION("""COMPUTED_VALUE"""),2.5555555555555554)</f>
        <v>2.555555556</v>
      </c>
      <c r="J881" s="87">
        <f>IFERROR(__xludf.DUMMYFUNCTION("""COMPUTED_VALUE"""),85.0)</f>
        <v>85</v>
      </c>
      <c r="K881" s="88">
        <f>IFERROR(__xludf.DUMMYFUNCTION("""COMPUTED_VALUE"""),8.2)</f>
        <v>8.2</v>
      </c>
      <c r="L881" s="89"/>
      <c r="M881" s="26" t="str">
        <f>IFERROR(__xludf.DUMMYFUNCTION("""COMPUTED_VALUE"""),"Fighting")</f>
        <v>Fighting</v>
      </c>
      <c r="N881" s="26"/>
      <c r="O881" s="26" t="str">
        <f>IFERROR(__xludf.DUMMYFUNCTION("""COMPUTED_VALUE"""),"No")</f>
        <v>No</v>
      </c>
      <c r="P881" s="26"/>
    </row>
    <row r="882">
      <c r="A882" s="81" t="str">
        <f>IFERROR(__xludf.DUMMYFUNCTION("""COMPUTED_VALUE"""),"Super Mega Baseball")</f>
        <v>Super Mega Baseball</v>
      </c>
      <c r="B882" s="82" t="str">
        <f>IFERROR(__xludf.DUMMYFUNCTION("""COMPUTED_VALUE"""),"PS5/PS4")</f>
        <v>PS5/PS4</v>
      </c>
      <c r="C882" s="83" t="str">
        <f>IFERROR(__xludf.DUMMYFUNCTION("""COMPUTED_VALUE"""),"Playstation Now (Discontinued)")</f>
        <v>Playstation Now (Discontinued)</v>
      </c>
      <c r="D882" s="82" t="str">
        <f>IFERROR(__xludf.DUMMYFUNCTION("""COMPUTED_VALUE"""),"Removed")</f>
        <v>Removed</v>
      </c>
      <c r="E882" s="84">
        <f>IFERROR(__xludf.DUMMYFUNCTION("""COMPUTED_VALUE"""),42922.0)</f>
        <v>42922</v>
      </c>
      <c r="F882" s="85">
        <f>IFERROR(__xludf.DUMMYFUNCTION("""COMPUTED_VALUE"""),44725.0)</f>
        <v>44725</v>
      </c>
      <c r="G882" s="86">
        <f>IFERROR(__xludf.DUMMYFUNCTION("""COMPUTED_VALUE"""),59.233333333333334)</f>
        <v>59.23333333</v>
      </c>
      <c r="H882" s="84">
        <f>IFERROR(__xludf.DUMMYFUNCTION("""COMPUTED_VALUE"""),42227.0)</f>
        <v>42227</v>
      </c>
      <c r="I882" s="86">
        <f>IFERROR(__xludf.DUMMYFUNCTION("""COMPUTED_VALUE"""),1.9027777777777777)</f>
        <v>1.902777778</v>
      </c>
      <c r="J882" s="87">
        <f>IFERROR(__xludf.DUMMYFUNCTION("""COMPUTED_VALUE"""),73.0)</f>
        <v>73</v>
      </c>
      <c r="K882" s="88">
        <f>IFERROR(__xludf.DUMMYFUNCTION("""COMPUTED_VALUE"""),7.6)</f>
        <v>7.6</v>
      </c>
      <c r="L882" s="89"/>
      <c r="M882" s="26" t="str">
        <f>IFERROR(__xludf.DUMMYFUNCTION("""COMPUTED_VALUE"""),"Sports")</f>
        <v>Sports</v>
      </c>
      <c r="N882" s="26"/>
      <c r="O882" s="26" t="str">
        <f>IFERROR(__xludf.DUMMYFUNCTION("""COMPUTED_VALUE"""),"No")</f>
        <v>No</v>
      </c>
      <c r="P882" s="26"/>
    </row>
    <row r="883">
      <c r="A883" s="81" t="str">
        <f>IFERROR(__xludf.DUMMYFUNCTION("""COMPUTED_VALUE"""),"CastleStorm Definitive Edition")</f>
        <v>CastleStorm Definitive Edition</v>
      </c>
      <c r="B883" s="82" t="str">
        <f>IFERROR(__xludf.DUMMYFUNCTION("""COMPUTED_VALUE"""),"PS5/PS4")</f>
        <v>PS5/PS4</v>
      </c>
      <c r="C883" s="83" t="str">
        <f>IFERROR(__xludf.DUMMYFUNCTION("""COMPUTED_VALUE"""),"Playstation Now (Discontinued)")</f>
        <v>Playstation Now (Discontinued)</v>
      </c>
      <c r="D883" s="82" t="str">
        <f>IFERROR(__xludf.DUMMYFUNCTION("""COMPUTED_VALUE"""),"Removed")</f>
        <v>Removed</v>
      </c>
      <c r="E883" s="84">
        <f>IFERROR(__xludf.DUMMYFUNCTION("""COMPUTED_VALUE"""),42922.0)</f>
        <v>42922</v>
      </c>
      <c r="F883" s="85">
        <f>IFERROR(__xludf.DUMMYFUNCTION("""COMPUTED_VALUE"""),44725.0)</f>
        <v>44725</v>
      </c>
      <c r="G883" s="86">
        <f>IFERROR(__xludf.DUMMYFUNCTION("""COMPUTED_VALUE"""),59.233333333333334)</f>
        <v>59.23333333</v>
      </c>
      <c r="H883" s="84">
        <f>IFERROR(__xludf.DUMMYFUNCTION("""COMPUTED_VALUE"""),41905.0)</f>
        <v>41905</v>
      </c>
      <c r="I883" s="86">
        <f>IFERROR(__xludf.DUMMYFUNCTION("""COMPUTED_VALUE"""),2.786111111111111)</f>
        <v>2.786111111</v>
      </c>
      <c r="J883" s="87">
        <f>IFERROR(__xludf.DUMMYFUNCTION("""COMPUTED_VALUE"""),80.0)</f>
        <v>80</v>
      </c>
      <c r="K883" s="88">
        <f>IFERROR(__xludf.DUMMYFUNCTION("""COMPUTED_VALUE"""),7.4)</f>
        <v>7.4</v>
      </c>
      <c r="L883" s="89">
        <f>IFERROR(__xludf.DUMMYFUNCTION("""COMPUTED_VALUE"""),10.0)</f>
        <v>10</v>
      </c>
      <c r="M883" s="26" t="str">
        <f>IFERROR(__xludf.DUMMYFUNCTION("""COMPUTED_VALUE"""),"Strategy")</f>
        <v>Strategy</v>
      </c>
      <c r="N883" s="26"/>
      <c r="O883" s="26" t="str">
        <f>IFERROR(__xludf.DUMMYFUNCTION("""COMPUTED_VALUE"""),"No")</f>
        <v>No</v>
      </c>
      <c r="P883" s="26"/>
    </row>
    <row r="884">
      <c r="A884" s="81" t="str">
        <f>IFERROR(__xludf.DUMMYFUNCTION("""COMPUTED_VALUE"""),"Stick it to the Man")</f>
        <v>Stick it to the Man</v>
      </c>
      <c r="B884" s="82" t="str">
        <f>IFERROR(__xludf.DUMMYFUNCTION("""COMPUTED_VALUE"""),"PS5/PS4")</f>
        <v>PS5/PS4</v>
      </c>
      <c r="C884" s="83" t="str">
        <f>IFERROR(__xludf.DUMMYFUNCTION("""COMPUTED_VALUE"""),"Playstation Now (Discontinued)")</f>
        <v>Playstation Now (Discontinued)</v>
      </c>
      <c r="D884" s="82" t="str">
        <f>IFERROR(__xludf.DUMMYFUNCTION("""COMPUTED_VALUE"""),"Removed")</f>
        <v>Removed</v>
      </c>
      <c r="E884" s="84">
        <f>IFERROR(__xludf.DUMMYFUNCTION("""COMPUTED_VALUE"""),42922.0)</f>
        <v>42922</v>
      </c>
      <c r="F884" s="85">
        <f>IFERROR(__xludf.DUMMYFUNCTION("""COMPUTED_VALUE"""),44725.0)</f>
        <v>44725</v>
      </c>
      <c r="G884" s="86">
        <f>IFERROR(__xludf.DUMMYFUNCTION("""COMPUTED_VALUE"""),59.233333333333334)</f>
        <v>59.23333333</v>
      </c>
      <c r="H884" s="84">
        <f>IFERROR(__xludf.DUMMYFUNCTION("""COMPUTED_VALUE"""),41772.0)</f>
        <v>41772</v>
      </c>
      <c r="I884" s="86">
        <f>IFERROR(__xludf.DUMMYFUNCTION("""COMPUTED_VALUE"""),3.147222222222222)</f>
        <v>3.147222222</v>
      </c>
      <c r="J884" s="87">
        <f>IFERROR(__xludf.DUMMYFUNCTION("""COMPUTED_VALUE"""),71.0)</f>
        <v>71</v>
      </c>
      <c r="K884" s="88">
        <f>IFERROR(__xludf.DUMMYFUNCTION("""COMPUTED_VALUE"""),7.4)</f>
        <v>7.4</v>
      </c>
      <c r="L884" s="89">
        <f>IFERROR(__xludf.DUMMYFUNCTION("""COMPUTED_VALUE"""),5.0)</f>
        <v>5</v>
      </c>
      <c r="M884" s="26" t="str">
        <f>IFERROR(__xludf.DUMMYFUNCTION("""COMPUTED_VALUE"""),"Action-Adventure")</f>
        <v>Action-Adventure</v>
      </c>
      <c r="N884" s="26"/>
      <c r="O884" s="26" t="str">
        <f>IFERROR(__xludf.DUMMYFUNCTION("""COMPUTED_VALUE"""),"No")</f>
        <v>No</v>
      </c>
      <c r="P884" s="26"/>
    </row>
    <row r="885">
      <c r="A885" s="81" t="str">
        <f>IFERROR(__xludf.DUMMYFUNCTION("""COMPUTED_VALUE"""),"Hardware Rivals")</f>
        <v>Hardware Rivals</v>
      </c>
      <c r="B885" s="82" t="str">
        <f>IFERROR(__xludf.DUMMYFUNCTION("""COMPUTED_VALUE"""),"PS5/PS4")</f>
        <v>PS5/PS4</v>
      </c>
      <c r="C885" s="83" t="str">
        <f>IFERROR(__xludf.DUMMYFUNCTION("""COMPUTED_VALUE"""),"Playstation Now (Discontinued)")</f>
        <v>Playstation Now (Discontinued)</v>
      </c>
      <c r="D885" s="82" t="str">
        <f>IFERROR(__xludf.DUMMYFUNCTION("""COMPUTED_VALUE"""),"Removed")</f>
        <v>Removed</v>
      </c>
      <c r="E885" s="84">
        <f>IFERROR(__xludf.DUMMYFUNCTION("""COMPUTED_VALUE"""),42922.0)</f>
        <v>42922</v>
      </c>
      <c r="F885" s="85">
        <f>IFERROR(__xludf.DUMMYFUNCTION("""COMPUTED_VALUE"""),44725.0)</f>
        <v>44725</v>
      </c>
      <c r="G885" s="86">
        <f>IFERROR(__xludf.DUMMYFUNCTION("""COMPUTED_VALUE"""),59.233333333333334)</f>
        <v>59.23333333</v>
      </c>
      <c r="H885" s="84">
        <f>IFERROR(__xludf.DUMMYFUNCTION("""COMPUTED_VALUE"""),42374.0)</f>
        <v>42374</v>
      </c>
      <c r="I885" s="86">
        <f>IFERROR(__xludf.DUMMYFUNCTION("""COMPUTED_VALUE"""),1.5027777777777778)</f>
        <v>1.502777778</v>
      </c>
      <c r="J885" s="87">
        <f>IFERROR(__xludf.DUMMYFUNCTION("""COMPUTED_VALUE"""),57.0)</f>
        <v>57</v>
      </c>
      <c r="K885" s="88">
        <f>IFERROR(__xludf.DUMMYFUNCTION("""COMPUTED_VALUE"""),5.3)</f>
        <v>5.3</v>
      </c>
      <c r="L885" s="89"/>
      <c r="M885" s="26" t="str">
        <f>IFERROR(__xludf.DUMMYFUNCTION("""COMPUTED_VALUE"""),"Shooter")</f>
        <v>Shooter</v>
      </c>
      <c r="N885" s="26"/>
      <c r="O885" s="26" t="str">
        <f>IFERROR(__xludf.DUMMYFUNCTION("""COMPUTED_VALUE"""),"No")</f>
        <v>No</v>
      </c>
      <c r="P885" s="26"/>
    </row>
    <row r="886">
      <c r="A886" s="81" t="str">
        <f>IFERROR(__xludf.DUMMYFUNCTION("""COMPUTED_VALUE"""),"Last Tinker: City of Colors")</f>
        <v>Last Tinker: City of Colors</v>
      </c>
      <c r="B886" s="82" t="str">
        <f>IFERROR(__xludf.DUMMYFUNCTION("""COMPUTED_VALUE"""),"PS5/PS4")</f>
        <v>PS5/PS4</v>
      </c>
      <c r="C886" s="83" t="str">
        <f>IFERROR(__xludf.DUMMYFUNCTION("""COMPUTED_VALUE"""),"Playstation Now (Discontinued)")</f>
        <v>Playstation Now (Discontinued)</v>
      </c>
      <c r="D886" s="82" t="str">
        <f>IFERROR(__xludf.DUMMYFUNCTION("""COMPUTED_VALUE"""),"Removed")</f>
        <v>Removed</v>
      </c>
      <c r="E886" s="84">
        <f>IFERROR(__xludf.DUMMYFUNCTION("""COMPUTED_VALUE"""),42922.0)</f>
        <v>42922</v>
      </c>
      <c r="F886" s="85">
        <f>IFERROR(__xludf.DUMMYFUNCTION("""COMPUTED_VALUE"""),44725.0)</f>
        <v>44725</v>
      </c>
      <c r="G886" s="86">
        <f>IFERROR(__xludf.DUMMYFUNCTION("""COMPUTED_VALUE"""),59.233333333333334)</f>
        <v>59.23333333</v>
      </c>
      <c r="H886" s="84">
        <f>IFERROR(__xludf.DUMMYFUNCTION("""COMPUTED_VALUE"""),41771.0)</f>
        <v>41771</v>
      </c>
      <c r="I886" s="86">
        <f>IFERROR(__xludf.DUMMYFUNCTION("""COMPUTED_VALUE"""),3.15)</f>
        <v>3.15</v>
      </c>
      <c r="J886" s="87">
        <f>IFERROR(__xludf.DUMMYFUNCTION("""COMPUTED_VALUE"""),57.0)</f>
        <v>57</v>
      </c>
      <c r="K886" s="88">
        <f>IFERROR(__xludf.DUMMYFUNCTION("""COMPUTED_VALUE"""),6.6)</f>
        <v>6.6</v>
      </c>
      <c r="L886" s="89">
        <f>IFERROR(__xludf.DUMMYFUNCTION("""COMPUTED_VALUE"""),8.0)</f>
        <v>8</v>
      </c>
      <c r="M886" s="26" t="str">
        <f>IFERROR(__xludf.DUMMYFUNCTION("""COMPUTED_VALUE"""),"Action-Adventure")</f>
        <v>Action-Adventure</v>
      </c>
      <c r="N886" s="26"/>
      <c r="O886" s="26" t="str">
        <f>IFERROR(__xludf.DUMMYFUNCTION("""COMPUTED_VALUE"""),"No")</f>
        <v>No</v>
      </c>
      <c r="P886" s="26"/>
    </row>
    <row r="887">
      <c r="A887" s="81" t="str">
        <f>IFERROR(__xludf.DUMMYFUNCTION("""COMPUTED_VALUE"""),"Saints Row IV: Re-Elected")</f>
        <v>Saints Row IV: Re-Elected</v>
      </c>
      <c r="B887" s="82" t="str">
        <f>IFERROR(__xludf.DUMMYFUNCTION("""COMPUTED_VALUE"""),"PS5/PS4")</f>
        <v>PS5/PS4</v>
      </c>
      <c r="C887" s="83" t="str">
        <f>IFERROR(__xludf.DUMMYFUNCTION("""COMPUTED_VALUE"""),"Playstation Now (Discontinued)")</f>
        <v>Playstation Now (Discontinued)</v>
      </c>
      <c r="D887" s="82" t="str">
        <f>IFERROR(__xludf.DUMMYFUNCTION("""COMPUTED_VALUE"""),"Removed")</f>
        <v>Removed</v>
      </c>
      <c r="E887" s="84">
        <f>IFERROR(__xludf.DUMMYFUNCTION("""COMPUTED_VALUE"""),42922.0)</f>
        <v>42922</v>
      </c>
      <c r="F887" s="85">
        <f>IFERROR(__xludf.DUMMYFUNCTION("""COMPUTED_VALUE"""),44725.0)</f>
        <v>44725</v>
      </c>
      <c r="G887" s="86">
        <f>IFERROR(__xludf.DUMMYFUNCTION("""COMPUTED_VALUE"""),59.233333333333334)</f>
        <v>59.23333333</v>
      </c>
      <c r="H887" s="84">
        <f>IFERROR(__xludf.DUMMYFUNCTION("""COMPUTED_VALUE"""),42024.0)</f>
        <v>42024</v>
      </c>
      <c r="I887" s="86">
        <f>IFERROR(__xludf.DUMMYFUNCTION("""COMPUTED_VALUE"""),2.4611111111111112)</f>
        <v>2.461111111</v>
      </c>
      <c r="J887" s="87">
        <f>IFERROR(__xludf.DUMMYFUNCTION("""COMPUTED_VALUE"""),76.0)</f>
        <v>76</v>
      </c>
      <c r="K887" s="88">
        <f>IFERROR(__xludf.DUMMYFUNCTION("""COMPUTED_VALUE"""),7.0)</f>
        <v>7</v>
      </c>
      <c r="L887" s="89">
        <f>IFERROR(__xludf.DUMMYFUNCTION("""COMPUTED_VALUE"""),16.0)</f>
        <v>16</v>
      </c>
      <c r="M887" s="26" t="str">
        <f>IFERROR(__xludf.DUMMYFUNCTION("""COMPUTED_VALUE"""),"Action-Adventure")</f>
        <v>Action-Adventure</v>
      </c>
      <c r="N887" s="26"/>
      <c r="O887" s="26" t="str">
        <f>IFERROR(__xludf.DUMMYFUNCTION("""COMPUTED_VALUE"""),"No")</f>
        <v>No</v>
      </c>
      <c r="P887" s="26"/>
    </row>
    <row r="888">
      <c r="A888" s="81" t="str">
        <f>IFERROR(__xludf.DUMMYFUNCTION("""COMPUTED_VALUE"""),"Ultra Street Fighter IV")</f>
        <v>Ultra Street Fighter IV</v>
      </c>
      <c r="B888" s="82" t="str">
        <f>IFERROR(__xludf.DUMMYFUNCTION("""COMPUTED_VALUE"""),"PS5/PS4")</f>
        <v>PS5/PS4</v>
      </c>
      <c r="C888" s="83" t="str">
        <f>IFERROR(__xludf.DUMMYFUNCTION("""COMPUTED_VALUE"""),"Playstation Now (Discontinued)")</f>
        <v>Playstation Now (Discontinued)</v>
      </c>
      <c r="D888" s="82" t="str">
        <f>IFERROR(__xludf.DUMMYFUNCTION("""COMPUTED_VALUE"""),"Removed")</f>
        <v>Removed</v>
      </c>
      <c r="E888" s="84">
        <f>IFERROR(__xludf.DUMMYFUNCTION("""COMPUTED_VALUE"""),42922.0)</f>
        <v>42922</v>
      </c>
      <c r="F888" s="85">
        <f>IFERROR(__xludf.DUMMYFUNCTION("""COMPUTED_VALUE"""),44725.0)</f>
        <v>44725</v>
      </c>
      <c r="G888" s="86">
        <f>IFERROR(__xludf.DUMMYFUNCTION("""COMPUTED_VALUE"""),59.233333333333334)</f>
        <v>59.23333333</v>
      </c>
      <c r="H888" s="84">
        <f>IFERROR(__xludf.DUMMYFUNCTION("""COMPUTED_VALUE"""),41858.0)</f>
        <v>41858</v>
      </c>
      <c r="I888" s="86">
        <f>IFERROR(__xludf.DUMMYFUNCTION("""COMPUTED_VALUE"""),2.9138888888888888)</f>
        <v>2.913888889</v>
      </c>
      <c r="J888" s="87">
        <f>IFERROR(__xludf.DUMMYFUNCTION("""COMPUTED_VALUE"""),85.0)</f>
        <v>85</v>
      </c>
      <c r="K888" s="88">
        <f>IFERROR(__xludf.DUMMYFUNCTION("""COMPUTED_VALUE"""),7.5)</f>
        <v>7.5</v>
      </c>
      <c r="L888" s="89"/>
      <c r="M888" s="26" t="str">
        <f>IFERROR(__xludf.DUMMYFUNCTION("""COMPUTED_VALUE"""),"Fighting")</f>
        <v>Fighting</v>
      </c>
      <c r="N888" s="26"/>
      <c r="O888" s="26" t="str">
        <f>IFERROR(__xludf.DUMMYFUNCTION("""COMPUTED_VALUE"""),"No")</f>
        <v>No</v>
      </c>
      <c r="P888" s="26"/>
    </row>
    <row r="889">
      <c r="A889" s="81" t="str">
        <f>IFERROR(__xludf.DUMMYFUNCTION("""COMPUTED_VALUE"""),"Broken Age")</f>
        <v>Broken Age</v>
      </c>
      <c r="B889" s="82" t="str">
        <f>IFERROR(__xludf.DUMMYFUNCTION("""COMPUTED_VALUE"""),"PS5/PS4")</f>
        <v>PS5/PS4</v>
      </c>
      <c r="C889" s="83" t="str">
        <f>IFERROR(__xludf.DUMMYFUNCTION("""COMPUTED_VALUE"""),"Playstation Now (Discontinued)")</f>
        <v>Playstation Now (Discontinued)</v>
      </c>
      <c r="D889" s="82" t="str">
        <f>IFERROR(__xludf.DUMMYFUNCTION("""COMPUTED_VALUE"""),"Removed")</f>
        <v>Removed</v>
      </c>
      <c r="E889" s="84">
        <f>IFERROR(__xludf.DUMMYFUNCTION("""COMPUTED_VALUE"""),42922.0)</f>
        <v>42922</v>
      </c>
      <c r="F889" s="85">
        <f>IFERROR(__xludf.DUMMYFUNCTION("""COMPUTED_VALUE"""),44725.0)</f>
        <v>44725</v>
      </c>
      <c r="G889" s="86">
        <f>IFERROR(__xludf.DUMMYFUNCTION("""COMPUTED_VALUE"""),59.233333333333334)</f>
        <v>59.23333333</v>
      </c>
      <c r="H889" s="84">
        <f>IFERROR(__xludf.DUMMYFUNCTION("""COMPUTED_VALUE"""),41640.0)</f>
        <v>41640</v>
      </c>
      <c r="I889" s="86">
        <f>IFERROR(__xludf.DUMMYFUNCTION("""COMPUTED_VALUE"""),3.513888888888889)</f>
        <v>3.513888889</v>
      </c>
      <c r="J889" s="87">
        <f>IFERROR(__xludf.DUMMYFUNCTION("""COMPUTED_VALUE"""),81.0)</f>
        <v>81</v>
      </c>
      <c r="K889" s="88">
        <f>IFERROR(__xludf.DUMMYFUNCTION("""COMPUTED_VALUE"""),7.8)</f>
        <v>7.8</v>
      </c>
      <c r="L889" s="89">
        <f>IFERROR(__xludf.DUMMYFUNCTION("""COMPUTED_VALUE"""),12.0)</f>
        <v>12</v>
      </c>
      <c r="M889" s="26" t="str">
        <f>IFERROR(__xludf.DUMMYFUNCTION("""COMPUTED_VALUE"""),"Adventure")</f>
        <v>Adventure</v>
      </c>
      <c r="N889" s="26"/>
      <c r="O889" s="26" t="str">
        <f>IFERROR(__xludf.DUMMYFUNCTION("""COMPUTED_VALUE"""),"No")</f>
        <v>No</v>
      </c>
      <c r="P889" s="26"/>
    </row>
    <row r="890">
      <c r="A890" s="81" t="str">
        <f>IFERROR(__xludf.DUMMYFUNCTION("""COMPUTED_VALUE"""),"OlliOlli")</f>
        <v>OlliOlli</v>
      </c>
      <c r="B890" s="82" t="str">
        <f>IFERROR(__xludf.DUMMYFUNCTION("""COMPUTED_VALUE"""),"PS5/PS4")</f>
        <v>PS5/PS4</v>
      </c>
      <c r="C890" s="83" t="str">
        <f>IFERROR(__xludf.DUMMYFUNCTION("""COMPUTED_VALUE"""),"Playstation Now (Discontinued)")</f>
        <v>Playstation Now (Discontinued)</v>
      </c>
      <c r="D890" s="82" t="str">
        <f>IFERROR(__xludf.DUMMYFUNCTION("""COMPUTED_VALUE"""),"Removed")</f>
        <v>Removed</v>
      </c>
      <c r="E890" s="84">
        <f>IFERROR(__xludf.DUMMYFUNCTION("""COMPUTED_VALUE"""),42922.0)</f>
        <v>42922</v>
      </c>
      <c r="F890" s="85">
        <f>IFERROR(__xludf.DUMMYFUNCTION("""COMPUTED_VALUE"""),44725.0)</f>
        <v>44725</v>
      </c>
      <c r="G890" s="86">
        <f>IFERROR(__xludf.DUMMYFUNCTION("""COMPUTED_VALUE"""),59.233333333333334)</f>
        <v>59.23333333</v>
      </c>
      <c r="H890" s="84">
        <f>IFERROR(__xludf.DUMMYFUNCTION("""COMPUTED_VALUE"""),41640.0)</f>
        <v>41640</v>
      </c>
      <c r="I890" s="86">
        <f>IFERROR(__xludf.DUMMYFUNCTION("""COMPUTED_VALUE"""),3.513888888888889)</f>
        <v>3.513888889</v>
      </c>
      <c r="J890" s="87">
        <f>IFERROR(__xludf.DUMMYFUNCTION("""COMPUTED_VALUE"""),78.0)</f>
        <v>78</v>
      </c>
      <c r="K890" s="88">
        <f>IFERROR(__xludf.DUMMYFUNCTION("""COMPUTED_VALUE"""),7.5)</f>
        <v>7.5</v>
      </c>
      <c r="L890" s="89">
        <f>IFERROR(__xludf.DUMMYFUNCTION("""COMPUTED_VALUE"""),5.0)</f>
        <v>5</v>
      </c>
      <c r="M890" s="26" t="str">
        <f>IFERROR(__xludf.DUMMYFUNCTION("""COMPUTED_VALUE"""),"Sports")</f>
        <v>Sports</v>
      </c>
      <c r="N890" s="26"/>
      <c r="O890" s="26" t="str">
        <f>IFERROR(__xludf.DUMMYFUNCTION("""COMPUTED_VALUE"""),"No")</f>
        <v>No</v>
      </c>
      <c r="P890" s="26"/>
    </row>
    <row r="891">
      <c r="A891" s="81" t="str">
        <f>IFERROR(__xludf.DUMMYFUNCTION("""COMPUTED_VALUE"""),"Brave")</f>
        <v>Brave</v>
      </c>
      <c r="B891" s="82" t="str">
        <f>IFERROR(__xludf.DUMMYFUNCTION("""COMPUTED_VALUE"""),"PS5/PS4")</f>
        <v>PS5/PS4</v>
      </c>
      <c r="C891" s="83" t="str">
        <f>IFERROR(__xludf.DUMMYFUNCTION("""COMPUTED_VALUE"""),"Playstation Now (Discontinued)")</f>
        <v>Playstation Now (Discontinued)</v>
      </c>
      <c r="D891" s="82" t="str">
        <f>IFERROR(__xludf.DUMMYFUNCTION("""COMPUTED_VALUE"""),"Removed")</f>
        <v>Removed</v>
      </c>
      <c r="E891" s="84">
        <f>IFERROR(__xludf.DUMMYFUNCTION("""COMPUTED_VALUE"""),42893.0)</f>
        <v>42893</v>
      </c>
      <c r="F891" s="85">
        <f>IFERROR(__xludf.DUMMYFUNCTION("""COMPUTED_VALUE"""),44725.0)</f>
        <v>44725</v>
      </c>
      <c r="G891" s="86">
        <f>IFERROR(__xludf.DUMMYFUNCTION("""COMPUTED_VALUE"""),60.2)</f>
        <v>60.2</v>
      </c>
      <c r="H891" s="84">
        <f>IFERROR(__xludf.DUMMYFUNCTION("""COMPUTED_VALUE"""),40876.0)</f>
        <v>40876</v>
      </c>
      <c r="I891" s="86">
        <f>IFERROR(__xludf.DUMMYFUNCTION("""COMPUTED_VALUE"""),5.522222222222222)</f>
        <v>5.522222222</v>
      </c>
      <c r="J891" s="87">
        <f>IFERROR(__xludf.DUMMYFUNCTION("""COMPUTED_VALUE"""),44.0)</f>
        <v>44</v>
      </c>
      <c r="K891" s="88">
        <f>IFERROR(__xludf.DUMMYFUNCTION("""COMPUTED_VALUE"""),5.6)</f>
        <v>5.6</v>
      </c>
      <c r="L891" s="89">
        <f>IFERROR(__xludf.DUMMYFUNCTION("""COMPUTED_VALUE"""),8.0)</f>
        <v>8</v>
      </c>
      <c r="M891" s="26" t="str">
        <f>IFERROR(__xludf.DUMMYFUNCTION("""COMPUTED_VALUE"""),"Action-Adventure")</f>
        <v>Action-Adventure</v>
      </c>
      <c r="N891" s="26"/>
      <c r="O891" s="26" t="str">
        <f>IFERROR(__xludf.DUMMYFUNCTION("""COMPUTED_VALUE"""),"No")</f>
        <v>No</v>
      </c>
      <c r="P891" s="26"/>
    </row>
    <row r="892">
      <c r="A892" s="81" t="str">
        <f>IFERROR(__xludf.DUMMYFUNCTION("""COMPUTED_VALUE"""),"Ratatouille")</f>
        <v>Ratatouille</v>
      </c>
      <c r="B892" s="82" t="str">
        <f>IFERROR(__xludf.DUMMYFUNCTION("""COMPUTED_VALUE"""),"PS5/PS4")</f>
        <v>PS5/PS4</v>
      </c>
      <c r="C892" s="83" t="str">
        <f>IFERROR(__xludf.DUMMYFUNCTION("""COMPUTED_VALUE"""),"Playstation Now (Discontinued)")</f>
        <v>Playstation Now (Discontinued)</v>
      </c>
      <c r="D892" s="82" t="str">
        <f>IFERROR(__xludf.DUMMYFUNCTION("""COMPUTED_VALUE"""),"Removed")</f>
        <v>Removed</v>
      </c>
      <c r="E892" s="84">
        <f>IFERROR(__xludf.DUMMYFUNCTION("""COMPUTED_VALUE"""),42893.0)</f>
        <v>42893</v>
      </c>
      <c r="F892" s="85">
        <f>IFERROR(__xludf.DUMMYFUNCTION("""COMPUTED_VALUE"""),44725.0)</f>
        <v>44725</v>
      </c>
      <c r="G892" s="86">
        <f>IFERROR(__xludf.DUMMYFUNCTION("""COMPUTED_VALUE"""),60.2)</f>
        <v>60.2</v>
      </c>
      <c r="H892" s="84">
        <f>IFERROR(__xludf.DUMMYFUNCTION("""COMPUTED_VALUE"""),39378.0)</f>
        <v>39378</v>
      </c>
      <c r="I892" s="86">
        <f>IFERROR(__xludf.DUMMYFUNCTION("""COMPUTED_VALUE"""),9.622222222222222)</f>
        <v>9.622222222</v>
      </c>
      <c r="J892" s="87">
        <f>IFERROR(__xludf.DUMMYFUNCTION("""COMPUTED_VALUE"""),65.0)</f>
        <v>65</v>
      </c>
      <c r="K892" s="88">
        <f>IFERROR(__xludf.DUMMYFUNCTION("""COMPUTED_VALUE"""),7.3)</f>
        <v>7.3</v>
      </c>
      <c r="L892" s="89">
        <f>IFERROR(__xludf.DUMMYFUNCTION("""COMPUTED_VALUE"""),7.0)</f>
        <v>7</v>
      </c>
      <c r="M892" s="26" t="str">
        <f>IFERROR(__xludf.DUMMYFUNCTION("""COMPUTED_VALUE"""),"Action-Adventure")</f>
        <v>Action-Adventure</v>
      </c>
      <c r="N892" s="26"/>
      <c r="O892" s="26" t="str">
        <f>IFERROR(__xludf.DUMMYFUNCTION("""COMPUTED_VALUE"""),"No")</f>
        <v>No</v>
      </c>
      <c r="P892" s="26"/>
    </row>
    <row r="893">
      <c r="A893" s="81" t="str">
        <f>IFERROR(__xludf.DUMMYFUNCTION("""COMPUTED_VALUE"""),"Toy Story Mania")</f>
        <v>Toy Story Mania</v>
      </c>
      <c r="B893" s="82" t="str">
        <f>IFERROR(__xludf.DUMMYFUNCTION("""COMPUTED_VALUE"""),"PS5/PS4")</f>
        <v>PS5/PS4</v>
      </c>
      <c r="C893" s="83" t="str">
        <f>IFERROR(__xludf.DUMMYFUNCTION("""COMPUTED_VALUE"""),"Playstation Now (Discontinued)")</f>
        <v>Playstation Now (Discontinued)</v>
      </c>
      <c r="D893" s="82" t="str">
        <f>IFERROR(__xludf.DUMMYFUNCTION("""COMPUTED_VALUE"""),"Removed")</f>
        <v>Removed</v>
      </c>
      <c r="E893" s="84">
        <f>IFERROR(__xludf.DUMMYFUNCTION("""COMPUTED_VALUE"""),42893.0)</f>
        <v>42893</v>
      </c>
      <c r="F893" s="85">
        <f>IFERROR(__xludf.DUMMYFUNCTION("""COMPUTED_VALUE"""),44725.0)</f>
        <v>44725</v>
      </c>
      <c r="G893" s="86">
        <f>IFERROR(__xludf.DUMMYFUNCTION("""COMPUTED_VALUE"""),60.2)</f>
        <v>60.2</v>
      </c>
      <c r="H893" s="84">
        <f>IFERROR(__xludf.DUMMYFUNCTION("""COMPUTED_VALUE"""),40084.0)</f>
        <v>40084</v>
      </c>
      <c r="I893" s="86">
        <f>IFERROR(__xludf.DUMMYFUNCTION("""COMPUTED_VALUE"""),7.691666666666666)</f>
        <v>7.691666667</v>
      </c>
      <c r="J893" s="87">
        <f>IFERROR(__xludf.DUMMYFUNCTION("""COMPUTED_VALUE"""),62.0)</f>
        <v>62</v>
      </c>
      <c r="K893" s="88">
        <f>IFERROR(__xludf.DUMMYFUNCTION("""COMPUTED_VALUE"""),6.7)</f>
        <v>6.7</v>
      </c>
      <c r="L893" s="89">
        <f>IFERROR(__xludf.DUMMYFUNCTION("""COMPUTED_VALUE"""),3.0)</f>
        <v>3</v>
      </c>
      <c r="M893" s="26" t="str">
        <f>IFERROR(__xludf.DUMMYFUNCTION("""COMPUTED_VALUE"""),"Party")</f>
        <v>Party</v>
      </c>
      <c r="N893" s="26"/>
      <c r="O893" s="26" t="str">
        <f>IFERROR(__xludf.DUMMYFUNCTION("""COMPUTED_VALUE"""),"No")</f>
        <v>No</v>
      </c>
      <c r="P893" s="26"/>
    </row>
    <row r="894">
      <c r="A894" s="81" t="str">
        <f>IFERROR(__xludf.DUMMYFUNCTION("""COMPUTED_VALUE"""),"Payday 2")</f>
        <v>Payday 2</v>
      </c>
      <c r="B894" s="82" t="str">
        <f>IFERROR(__xludf.DUMMYFUNCTION("""COMPUTED_VALUE"""),"PS5/PS4")</f>
        <v>PS5/PS4</v>
      </c>
      <c r="C894" s="83" t="str">
        <f>IFERROR(__xludf.DUMMYFUNCTION("""COMPUTED_VALUE"""),"Playstation Now (Discontinued)")</f>
        <v>Playstation Now (Discontinued)</v>
      </c>
      <c r="D894" s="82" t="str">
        <f>IFERROR(__xludf.DUMMYFUNCTION("""COMPUTED_VALUE"""),"Removed")</f>
        <v>Removed</v>
      </c>
      <c r="E894" s="84">
        <f>IFERROR(__xludf.DUMMYFUNCTION("""COMPUTED_VALUE"""),42857.0)</f>
        <v>42857</v>
      </c>
      <c r="F894" s="85">
        <f>IFERROR(__xludf.DUMMYFUNCTION("""COMPUTED_VALUE"""),44725.0)</f>
        <v>44725</v>
      </c>
      <c r="G894" s="86">
        <f>IFERROR(__xludf.DUMMYFUNCTION("""COMPUTED_VALUE"""),61.36666666666667)</f>
        <v>61.36666667</v>
      </c>
      <c r="H894" s="84">
        <f>IFERROR(__xludf.DUMMYFUNCTION("""COMPUTED_VALUE"""),41499.0)</f>
        <v>41499</v>
      </c>
      <c r="I894" s="86">
        <f>IFERROR(__xludf.DUMMYFUNCTION("""COMPUTED_VALUE"""),3.7194444444444446)</f>
        <v>3.719444444</v>
      </c>
      <c r="J894" s="87">
        <f>IFERROR(__xludf.DUMMYFUNCTION("""COMPUTED_VALUE"""),79.0)</f>
        <v>79</v>
      </c>
      <c r="K894" s="88">
        <f>IFERROR(__xludf.DUMMYFUNCTION("""COMPUTED_VALUE"""),4.2)</f>
        <v>4.2</v>
      </c>
      <c r="L894" s="89">
        <f>IFERROR(__xludf.DUMMYFUNCTION("""COMPUTED_VALUE"""),17.0)</f>
        <v>17</v>
      </c>
      <c r="M894" s="26" t="str">
        <f>IFERROR(__xludf.DUMMYFUNCTION("""COMPUTED_VALUE"""),"Shooter")</f>
        <v>Shooter</v>
      </c>
      <c r="N894" s="26"/>
      <c r="O894" s="26" t="str">
        <f>IFERROR(__xludf.DUMMYFUNCTION("""COMPUTED_VALUE"""),"No")</f>
        <v>No</v>
      </c>
      <c r="P894" s="26"/>
    </row>
    <row r="895">
      <c r="A895" s="81" t="str">
        <f>IFERROR(__xludf.DUMMYFUNCTION("""COMPUTED_VALUE"""),"The Revenge of Shinobi")</f>
        <v>The Revenge of Shinobi</v>
      </c>
      <c r="B895" s="82" t="str">
        <f>IFERROR(__xludf.DUMMYFUNCTION("""COMPUTED_VALUE"""),"PS5/PS4")</f>
        <v>PS5/PS4</v>
      </c>
      <c r="C895" s="83" t="str">
        <f>IFERROR(__xludf.DUMMYFUNCTION("""COMPUTED_VALUE"""),"Playstation Now (Discontinued)")</f>
        <v>Playstation Now (Discontinued)</v>
      </c>
      <c r="D895" s="82" t="str">
        <f>IFERROR(__xludf.DUMMYFUNCTION("""COMPUTED_VALUE"""),"Removed")</f>
        <v>Removed</v>
      </c>
      <c r="E895" s="84">
        <f>IFERROR(__xludf.DUMMYFUNCTION("""COMPUTED_VALUE"""),42801.0)</f>
        <v>42801</v>
      </c>
      <c r="F895" s="85">
        <f>IFERROR(__xludf.DUMMYFUNCTION("""COMPUTED_VALUE"""),44725.0)</f>
        <v>44725</v>
      </c>
      <c r="G895" s="86">
        <f>IFERROR(__xludf.DUMMYFUNCTION("""COMPUTED_VALUE"""),63.2)</f>
        <v>63.2</v>
      </c>
      <c r="H895" s="84">
        <f>IFERROR(__xludf.DUMMYFUNCTION("""COMPUTED_VALUE"""),40149.0)</f>
        <v>40149</v>
      </c>
      <c r="I895" s="86">
        <f>IFERROR(__xludf.DUMMYFUNCTION("""COMPUTED_VALUE"""),7.263888888888889)</f>
        <v>7.263888889</v>
      </c>
      <c r="J895" s="87">
        <f>IFERROR(__xludf.DUMMYFUNCTION("""COMPUTED_VALUE"""),77.0)</f>
        <v>77</v>
      </c>
      <c r="K895" s="88">
        <f>IFERROR(__xludf.DUMMYFUNCTION("""COMPUTED_VALUE"""),7.9)</f>
        <v>7.9</v>
      </c>
      <c r="L895" s="89">
        <f>IFERROR(__xludf.DUMMYFUNCTION("""COMPUTED_VALUE"""),4.0)</f>
        <v>4</v>
      </c>
      <c r="M895" s="26" t="str">
        <f>IFERROR(__xludf.DUMMYFUNCTION("""COMPUTED_VALUE"""),"Action-Adventure")</f>
        <v>Action-Adventure</v>
      </c>
      <c r="N895" s="26"/>
      <c r="O895" s="26" t="str">
        <f>IFERROR(__xludf.DUMMYFUNCTION("""COMPUTED_VALUE"""),"No")</f>
        <v>No</v>
      </c>
      <c r="P895" s="26"/>
    </row>
    <row r="896">
      <c r="A896" s="81" t="str">
        <f>IFERROR(__xludf.DUMMYFUNCTION("""COMPUTED_VALUE"""),"Sonic the Fighters")</f>
        <v>Sonic the Fighters</v>
      </c>
      <c r="B896" s="82" t="str">
        <f>IFERROR(__xludf.DUMMYFUNCTION("""COMPUTED_VALUE"""),"PS5/PS4")</f>
        <v>PS5/PS4</v>
      </c>
      <c r="C896" s="83" t="str">
        <f>IFERROR(__xludf.DUMMYFUNCTION("""COMPUTED_VALUE"""),"Playstation Now (Discontinued)")</f>
        <v>Playstation Now (Discontinued)</v>
      </c>
      <c r="D896" s="82" t="str">
        <f>IFERROR(__xludf.DUMMYFUNCTION("""COMPUTED_VALUE"""),"Removed")</f>
        <v>Removed</v>
      </c>
      <c r="E896" s="84">
        <f>IFERROR(__xludf.DUMMYFUNCTION("""COMPUTED_VALUE"""),42801.0)</f>
        <v>42801</v>
      </c>
      <c r="F896" s="85">
        <f>IFERROR(__xludf.DUMMYFUNCTION("""COMPUTED_VALUE"""),44725.0)</f>
        <v>44725</v>
      </c>
      <c r="G896" s="86">
        <f>IFERROR(__xludf.DUMMYFUNCTION("""COMPUTED_VALUE"""),63.2)</f>
        <v>63.2</v>
      </c>
      <c r="H896" s="84">
        <f>IFERROR(__xludf.DUMMYFUNCTION("""COMPUTED_VALUE"""),41214.0)</f>
        <v>41214</v>
      </c>
      <c r="I896" s="86">
        <f>IFERROR(__xludf.DUMMYFUNCTION("""COMPUTED_VALUE"""),4.35)</f>
        <v>4.35</v>
      </c>
      <c r="J896" s="87">
        <f>IFERROR(__xludf.DUMMYFUNCTION("""COMPUTED_VALUE"""),47.0)</f>
        <v>47</v>
      </c>
      <c r="K896" s="88">
        <f>IFERROR(__xludf.DUMMYFUNCTION("""COMPUTED_VALUE"""),7.0)</f>
        <v>7</v>
      </c>
      <c r="L896" s="89"/>
      <c r="M896" s="26" t="str">
        <f>IFERROR(__xludf.DUMMYFUNCTION("""COMPUTED_VALUE"""),"Fighting")</f>
        <v>Fighting</v>
      </c>
      <c r="N896" s="26" t="str">
        <f>IFERROR(__xludf.DUMMYFUNCTION("""COMPUTED_VALUE"""),"PS3")</f>
        <v>PS3</v>
      </c>
      <c r="O896" s="26" t="str">
        <f>IFERROR(__xludf.DUMMYFUNCTION("""COMPUTED_VALUE"""),"No")</f>
        <v>No</v>
      </c>
      <c r="P896" s="26"/>
    </row>
    <row r="897">
      <c r="A897" s="81" t="str">
        <f>IFERROR(__xludf.DUMMYFUNCTION("""COMPUTED_VALUE"""),"Virtua Fighter 2")</f>
        <v>Virtua Fighter 2</v>
      </c>
      <c r="B897" s="82" t="str">
        <f>IFERROR(__xludf.DUMMYFUNCTION("""COMPUTED_VALUE"""),"PS5/PS4")</f>
        <v>PS5/PS4</v>
      </c>
      <c r="C897" s="83" t="str">
        <f>IFERROR(__xludf.DUMMYFUNCTION("""COMPUTED_VALUE"""),"Playstation Now (Discontinued)")</f>
        <v>Playstation Now (Discontinued)</v>
      </c>
      <c r="D897" s="82" t="str">
        <f>IFERROR(__xludf.DUMMYFUNCTION("""COMPUTED_VALUE"""),"Removed")</f>
        <v>Removed</v>
      </c>
      <c r="E897" s="84">
        <f>IFERROR(__xludf.DUMMYFUNCTION("""COMPUTED_VALUE"""),42801.0)</f>
        <v>42801</v>
      </c>
      <c r="F897" s="85">
        <f>IFERROR(__xludf.DUMMYFUNCTION("""COMPUTED_VALUE"""),44725.0)</f>
        <v>44725</v>
      </c>
      <c r="G897" s="86">
        <f>IFERROR(__xludf.DUMMYFUNCTION("""COMPUTED_VALUE"""),63.2)</f>
        <v>63.2</v>
      </c>
      <c r="H897" s="84">
        <f>IFERROR(__xludf.DUMMYFUNCTION("""COMPUTED_VALUE"""),41214.0)</f>
        <v>41214</v>
      </c>
      <c r="I897" s="86">
        <f>IFERROR(__xludf.DUMMYFUNCTION("""COMPUTED_VALUE"""),4.35)</f>
        <v>4.35</v>
      </c>
      <c r="J897" s="87">
        <f>IFERROR(__xludf.DUMMYFUNCTION("""COMPUTED_VALUE"""),70.0)</f>
        <v>70</v>
      </c>
      <c r="K897" s="88">
        <f>IFERROR(__xludf.DUMMYFUNCTION("""COMPUTED_VALUE"""),7.8)</f>
        <v>7.8</v>
      </c>
      <c r="L897" s="89"/>
      <c r="M897" s="26" t="str">
        <f>IFERROR(__xludf.DUMMYFUNCTION("""COMPUTED_VALUE"""),"Fighting")</f>
        <v>Fighting</v>
      </c>
      <c r="N897" s="26" t="str">
        <f>IFERROR(__xludf.DUMMYFUNCTION("""COMPUTED_VALUE"""),"PS3")</f>
        <v>PS3</v>
      </c>
      <c r="O897" s="26" t="str">
        <f>IFERROR(__xludf.DUMMYFUNCTION("""COMPUTED_VALUE"""),"No")</f>
        <v>No</v>
      </c>
      <c r="P897" s="26"/>
    </row>
    <row r="898">
      <c r="A898" s="81" t="str">
        <f>IFERROR(__xludf.DUMMYFUNCTION("""COMPUTED_VALUE"""),"Sonic Adventure 2")</f>
        <v>Sonic Adventure 2</v>
      </c>
      <c r="B898" s="82" t="str">
        <f>IFERROR(__xludf.DUMMYFUNCTION("""COMPUTED_VALUE"""),"PS5/PS4")</f>
        <v>PS5/PS4</v>
      </c>
      <c r="C898" s="83" t="str">
        <f>IFERROR(__xludf.DUMMYFUNCTION("""COMPUTED_VALUE"""),"Playstation Now (Discontinued)")</f>
        <v>Playstation Now (Discontinued)</v>
      </c>
      <c r="D898" s="82" t="str">
        <f>IFERROR(__xludf.DUMMYFUNCTION("""COMPUTED_VALUE"""),"Removed")</f>
        <v>Removed</v>
      </c>
      <c r="E898" s="84">
        <f>IFERROR(__xludf.DUMMYFUNCTION("""COMPUTED_VALUE"""),42801.0)</f>
        <v>42801</v>
      </c>
      <c r="F898" s="85">
        <f>IFERROR(__xludf.DUMMYFUNCTION("""COMPUTED_VALUE"""),44725.0)</f>
        <v>44725</v>
      </c>
      <c r="G898" s="86">
        <f>IFERROR(__xludf.DUMMYFUNCTION("""COMPUTED_VALUE"""),63.2)</f>
        <v>63.2</v>
      </c>
      <c r="H898" s="84">
        <f>IFERROR(__xludf.DUMMYFUNCTION("""COMPUTED_VALUE"""),41183.0)</f>
        <v>41183</v>
      </c>
      <c r="I898" s="86">
        <f>IFERROR(__xludf.DUMMYFUNCTION("""COMPUTED_VALUE"""),4.433333333333334)</f>
        <v>4.433333333</v>
      </c>
      <c r="J898" s="87">
        <f>IFERROR(__xludf.DUMMYFUNCTION("""COMPUTED_VALUE"""),65.0)</f>
        <v>65</v>
      </c>
      <c r="K898" s="88">
        <f>IFERROR(__xludf.DUMMYFUNCTION("""COMPUTED_VALUE"""),8.3)</f>
        <v>8.3</v>
      </c>
      <c r="L898" s="89">
        <f>IFERROR(__xludf.DUMMYFUNCTION("""COMPUTED_VALUE"""),15.0)</f>
        <v>15</v>
      </c>
      <c r="M898" s="26" t="str">
        <f>IFERROR(__xludf.DUMMYFUNCTION("""COMPUTED_VALUE"""),"Action-Adventure")</f>
        <v>Action-Adventure</v>
      </c>
      <c r="N898" s="26" t="str">
        <f>IFERROR(__xludf.DUMMYFUNCTION("""COMPUTED_VALUE"""),"PS3")</f>
        <v>PS3</v>
      </c>
      <c r="O898" s="26" t="str">
        <f>IFERROR(__xludf.DUMMYFUNCTION("""COMPUTED_VALUE"""),"No")</f>
        <v>No</v>
      </c>
      <c r="P898" s="26"/>
    </row>
    <row r="899">
      <c r="A899" s="81" t="str">
        <f>IFERROR(__xludf.DUMMYFUNCTION("""COMPUTED_VALUE"""),"Super Hang-On")</f>
        <v>Super Hang-On</v>
      </c>
      <c r="B899" s="82" t="str">
        <f>IFERROR(__xludf.DUMMYFUNCTION("""COMPUTED_VALUE"""),"PS5/PS4")</f>
        <v>PS5/PS4</v>
      </c>
      <c r="C899" s="83" t="str">
        <f>IFERROR(__xludf.DUMMYFUNCTION("""COMPUTED_VALUE"""),"Playstation Now (Discontinued)")</f>
        <v>Playstation Now (Discontinued)</v>
      </c>
      <c r="D899" s="82" t="str">
        <f>IFERROR(__xludf.DUMMYFUNCTION("""COMPUTED_VALUE"""),"Removed")</f>
        <v>Removed</v>
      </c>
      <c r="E899" s="84">
        <f>IFERROR(__xludf.DUMMYFUNCTION("""COMPUTED_VALUE"""),42801.0)</f>
        <v>42801</v>
      </c>
      <c r="F899" s="85">
        <f>IFERROR(__xludf.DUMMYFUNCTION("""COMPUTED_VALUE"""),44725.0)</f>
        <v>44725</v>
      </c>
      <c r="G899" s="86">
        <f>IFERROR(__xludf.DUMMYFUNCTION("""COMPUTED_VALUE"""),63.2)</f>
        <v>63.2</v>
      </c>
      <c r="H899" s="84">
        <f>IFERROR(__xludf.DUMMYFUNCTION("""COMPUTED_VALUE"""),40086.0)</f>
        <v>40086</v>
      </c>
      <c r="I899" s="86">
        <f>IFERROR(__xludf.DUMMYFUNCTION("""COMPUTED_VALUE"""),7.436111111111111)</f>
        <v>7.436111111</v>
      </c>
      <c r="J899" s="87">
        <f>IFERROR(__xludf.DUMMYFUNCTION("""COMPUTED_VALUE"""),75.0)</f>
        <v>75</v>
      </c>
      <c r="K899" s="88">
        <f>IFERROR(__xludf.DUMMYFUNCTION("""COMPUTED_VALUE"""),7.7)</f>
        <v>7.7</v>
      </c>
      <c r="L899" s="89"/>
      <c r="M899" s="26" t="str">
        <f>IFERROR(__xludf.DUMMYFUNCTION("""COMPUTED_VALUE"""),"Racing")</f>
        <v>Racing</v>
      </c>
      <c r="N899" s="26" t="str">
        <f>IFERROR(__xludf.DUMMYFUNCTION("""COMPUTED_VALUE"""),"PS3")</f>
        <v>PS3</v>
      </c>
      <c r="O899" s="26" t="str">
        <f>IFERROR(__xludf.DUMMYFUNCTION("""COMPUTED_VALUE"""),"No")</f>
        <v>No</v>
      </c>
      <c r="P899" s="26"/>
    </row>
    <row r="900">
      <c r="A900" s="81" t="str">
        <f>IFERROR(__xludf.DUMMYFUNCTION("""COMPUTED_VALUE"""),"SEGA Bass Fishing")</f>
        <v>SEGA Bass Fishing</v>
      </c>
      <c r="B900" s="82" t="str">
        <f>IFERROR(__xludf.DUMMYFUNCTION("""COMPUTED_VALUE"""),"PS5/PS4")</f>
        <v>PS5/PS4</v>
      </c>
      <c r="C900" s="83" t="str">
        <f>IFERROR(__xludf.DUMMYFUNCTION("""COMPUTED_VALUE"""),"Playstation Now (Discontinued)")</f>
        <v>Playstation Now (Discontinued)</v>
      </c>
      <c r="D900" s="82" t="str">
        <f>IFERROR(__xludf.DUMMYFUNCTION("""COMPUTED_VALUE"""),"Removed")</f>
        <v>Removed</v>
      </c>
      <c r="E900" s="84">
        <f>IFERROR(__xludf.DUMMYFUNCTION("""COMPUTED_VALUE"""),42801.0)</f>
        <v>42801</v>
      </c>
      <c r="F900" s="85">
        <f>IFERROR(__xludf.DUMMYFUNCTION("""COMPUTED_VALUE"""),44725.0)</f>
        <v>44725</v>
      </c>
      <c r="G900" s="86">
        <f>IFERROR(__xludf.DUMMYFUNCTION("""COMPUTED_VALUE"""),63.2)</f>
        <v>63.2</v>
      </c>
      <c r="H900" s="84">
        <f>IFERROR(__xludf.DUMMYFUNCTION("""COMPUTED_VALUE"""),40817.0)</f>
        <v>40817</v>
      </c>
      <c r="I900" s="86">
        <f>IFERROR(__xludf.DUMMYFUNCTION("""COMPUTED_VALUE"""),5.433333333333334)</f>
        <v>5.433333333</v>
      </c>
      <c r="J900" s="87">
        <f>IFERROR(__xludf.DUMMYFUNCTION("""COMPUTED_VALUE"""),57.0)</f>
        <v>57</v>
      </c>
      <c r="K900" s="88">
        <f>IFERROR(__xludf.DUMMYFUNCTION("""COMPUTED_VALUE"""),7.3)</f>
        <v>7.3</v>
      </c>
      <c r="L900" s="89"/>
      <c r="M900" s="26" t="str">
        <f>IFERROR(__xludf.DUMMYFUNCTION("""COMPUTED_VALUE"""),"Fishing")</f>
        <v>Fishing</v>
      </c>
      <c r="N900" s="26" t="str">
        <f>IFERROR(__xludf.DUMMYFUNCTION("""COMPUTED_VALUE"""),"PS3")</f>
        <v>PS3</v>
      </c>
      <c r="O900" s="26" t="str">
        <f>IFERROR(__xludf.DUMMYFUNCTION("""COMPUTED_VALUE"""),"No")</f>
        <v>No</v>
      </c>
      <c r="P900" s="26"/>
    </row>
    <row r="901">
      <c r="A901" s="81" t="str">
        <f>IFERROR(__xludf.DUMMYFUNCTION("""COMPUTED_VALUE"""),"Sonic Adventure")</f>
        <v>Sonic Adventure</v>
      </c>
      <c r="B901" s="82" t="str">
        <f>IFERROR(__xludf.DUMMYFUNCTION("""COMPUTED_VALUE"""),"PS5/PS4")</f>
        <v>PS5/PS4</v>
      </c>
      <c r="C901" s="83" t="str">
        <f>IFERROR(__xludf.DUMMYFUNCTION("""COMPUTED_VALUE"""),"Playstation Now (Discontinued)")</f>
        <v>Playstation Now (Discontinued)</v>
      </c>
      <c r="D901" s="82" t="str">
        <f>IFERROR(__xludf.DUMMYFUNCTION("""COMPUTED_VALUE"""),"Removed")</f>
        <v>Removed</v>
      </c>
      <c r="E901" s="84">
        <f>IFERROR(__xludf.DUMMYFUNCTION("""COMPUTED_VALUE"""),42801.0)</f>
        <v>42801</v>
      </c>
      <c r="F901" s="85">
        <f>IFERROR(__xludf.DUMMYFUNCTION("""COMPUTED_VALUE"""),44725.0)</f>
        <v>44725</v>
      </c>
      <c r="G901" s="86">
        <f>IFERROR(__xludf.DUMMYFUNCTION("""COMPUTED_VALUE"""),63.2)</f>
        <v>63.2</v>
      </c>
      <c r="H901" s="84">
        <f>IFERROR(__xludf.DUMMYFUNCTION("""COMPUTED_VALUE"""),40422.0)</f>
        <v>40422</v>
      </c>
      <c r="I901" s="86">
        <f>IFERROR(__xludf.DUMMYFUNCTION("""COMPUTED_VALUE"""),6.516666666666667)</f>
        <v>6.516666667</v>
      </c>
      <c r="J901" s="87">
        <f>IFERROR(__xludf.DUMMYFUNCTION("""COMPUTED_VALUE"""),48.0)</f>
        <v>48</v>
      </c>
      <c r="K901" s="88">
        <f>IFERROR(__xludf.DUMMYFUNCTION("""COMPUTED_VALUE"""),8.4)</f>
        <v>8.4</v>
      </c>
      <c r="L901" s="89">
        <f>IFERROR(__xludf.DUMMYFUNCTION("""COMPUTED_VALUE"""),15.0)</f>
        <v>15</v>
      </c>
      <c r="M901" s="26" t="str">
        <f>IFERROR(__xludf.DUMMYFUNCTION("""COMPUTED_VALUE"""),"Action-Adventure")</f>
        <v>Action-Adventure</v>
      </c>
      <c r="N901" s="26" t="str">
        <f>IFERROR(__xludf.DUMMYFUNCTION("""COMPUTED_VALUE"""),"PS3")</f>
        <v>PS3</v>
      </c>
      <c r="O901" s="26" t="str">
        <f>IFERROR(__xludf.DUMMYFUNCTION("""COMPUTED_VALUE"""),"No")</f>
        <v>No</v>
      </c>
      <c r="P901" s="26"/>
    </row>
    <row r="902">
      <c r="A902" s="81" t="str">
        <f>IFERROR(__xludf.DUMMYFUNCTION("""COMPUTED_VALUE"""),"Sonic Unleashed")</f>
        <v>Sonic Unleashed</v>
      </c>
      <c r="B902" s="82" t="str">
        <f>IFERROR(__xludf.DUMMYFUNCTION("""COMPUTED_VALUE"""),"PS5/PS4")</f>
        <v>PS5/PS4</v>
      </c>
      <c r="C902" s="83" t="str">
        <f>IFERROR(__xludf.DUMMYFUNCTION("""COMPUTED_VALUE"""),"Playstation Now (Discontinued)")</f>
        <v>Playstation Now (Discontinued)</v>
      </c>
      <c r="D902" s="82" t="str">
        <f>IFERROR(__xludf.DUMMYFUNCTION("""COMPUTED_VALUE"""),"Removed")</f>
        <v>Removed</v>
      </c>
      <c r="E902" s="84">
        <f>IFERROR(__xludf.DUMMYFUNCTION("""COMPUTED_VALUE"""),42801.0)</f>
        <v>42801</v>
      </c>
      <c r="F902" s="85">
        <f>IFERROR(__xludf.DUMMYFUNCTION("""COMPUTED_VALUE"""),44725.0)</f>
        <v>44725</v>
      </c>
      <c r="G902" s="86">
        <f>IFERROR(__xludf.DUMMYFUNCTION("""COMPUTED_VALUE"""),63.2)</f>
        <v>63.2</v>
      </c>
      <c r="H902" s="84">
        <f>IFERROR(__xludf.DUMMYFUNCTION("""COMPUTED_VALUE"""),39783.0)</f>
        <v>39783</v>
      </c>
      <c r="I902" s="86">
        <f>IFERROR(__xludf.DUMMYFUNCTION("""COMPUTED_VALUE"""),8.266666666666667)</f>
        <v>8.266666667</v>
      </c>
      <c r="J902" s="87">
        <f>IFERROR(__xludf.DUMMYFUNCTION("""COMPUTED_VALUE"""),54.0)</f>
        <v>54</v>
      </c>
      <c r="K902" s="88">
        <f>IFERROR(__xludf.DUMMYFUNCTION("""COMPUTED_VALUE"""),7.1)</f>
        <v>7.1</v>
      </c>
      <c r="L902" s="89">
        <f>IFERROR(__xludf.DUMMYFUNCTION("""COMPUTED_VALUE"""),13.0)</f>
        <v>13</v>
      </c>
      <c r="M902" s="26" t="str">
        <f>IFERROR(__xludf.DUMMYFUNCTION("""COMPUTED_VALUE"""),"Platformer")</f>
        <v>Platformer</v>
      </c>
      <c r="N902" s="26" t="str">
        <f>IFERROR(__xludf.DUMMYFUNCTION("""COMPUTED_VALUE"""),"PS3")</f>
        <v>PS3</v>
      </c>
      <c r="O902" s="26" t="str">
        <f>IFERROR(__xludf.DUMMYFUNCTION("""COMPUTED_VALUE"""),"No")</f>
        <v>No</v>
      </c>
      <c r="P902" s="26"/>
    </row>
    <row r="903">
      <c r="A903" s="81" t="str">
        <f>IFERROR(__xludf.DUMMYFUNCTION("""COMPUTED_VALUE"""),"Revenge of Shinobi")</f>
        <v>Revenge of Shinobi</v>
      </c>
      <c r="B903" s="82" t="str">
        <f>IFERROR(__xludf.DUMMYFUNCTION("""COMPUTED_VALUE"""),"PS5/PS4")</f>
        <v>PS5/PS4</v>
      </c>
      <c r="C903" s="83" t="str">
        <f>IFERROR(__xludf.DUMMYFUNCTION("""COMPUTED_VALUE"""),"Playstation Now (Discontinued)")</f>
        <v>Playstation Now (Discontinued)</v>
      </c>
      <c r="D903" s="82" t="str">
        <f>IFERROR(__xludf.DUMMYFUNCTION("""COMPUTED_VALUE"""),"Removed")</f>
        <v>Removed</v>
      </c>
      <c r="E903" s="84">
        <f>IFERROR(__xludf.DUMMYFUNCTION("""COMPUTED_VALUE"""),42801.0)</f>
        <v>42801</v>
      </c>
      <c r="F903" s="85">
        <f>IFERROR(__xludf.DUMMYFUNCTION("""COMPUTED_VALUE"""),44725.0)</f>
        <v>44725</v>
      </c>
      <c r="G903" s="86">
        <f>IFERROR(__xludf.DUMMYFUNCTION("""COMPUTED_VALUE"""),63.2)</f>
        <v>63.2</v>
      </c>
      <c r="H903" s="84">
        <f>IFERROR(__xludf.DUMMYFUNCTION("""COMPUTED_VALUE"""),37561.0)</f>
        <v>37561</v>
      </c>
      <c r="I903" s="86">
        <f>IFERROR(__xludf.DUMMYFUNCTION("""COMPUTED_VALUE"""),14.35)</f>
        <v>14.35</v>
      </c>
      <c r="J903" s="87">
        <f>IFERROR(__xludf.DUMMYFUNCTION("""COMPUTED_VALUE"""),51.0)</f>
        <v>51</v>
      </c>
      <c r="K903" s="88">
        <f>IFERROR(__xludf.DUMMYFUNCTION("""COMPUTED_VALUE"""),7.4)</f>
        <v>7.4</v>
      </c>
      <c r="L903" s="89">
        <f>IFERROR(__xludf.DUMMYFUNCTION("""COMPUTED_VALUE"""),2.0)</f>
        <v>2</v>
      </c>
      <c r="M903" s="26" t="str">
        <f>IFERROR(__xludf.DUMMYFUNCTION("""COMPUTED_VALUE"""),"Platformer")</f>
        <v>Platformer</v>
      </c>
      <c r="N903" s="26" t="str">
        <f>IFERROR(__xludf.DUMMYFUNCTION("""COMPUTED_VALUE"""),"PS3")</f>
        <v>PS3</v>
      </c>
      <c r="O903" s="26" t="str">
        <f>IFERROR(__xludf.DUMMYFUNCTION("""COMPUTED_VALUE"""),"No")</f>
        <v>No</v>
      </c>
      <c r="P903" s="26"/>
    </row>
    <row r="904">
      <c r="A904" s="81" t="str">
        <f>IFERROR(__xludf.DUMMYFUNCTION("""COMPUTED_VALUE"""),"Tekken Tag Tournament 2")</f>
        <v>Tekken Tag Tournament 2</v>
      </c>
      <c r="B904" s="82" t="str">
        <f>IFERROR(__xludf.DUMMYFUNCTION("""COMPUTED_VALUE"""),"PS5/PS4")</f>
        <v>PS5/PS4</v>
      </c>
      <c r="C904" s="83" t="str">
        <f>IFERROR(__xludf.DUMMYFUNCTION("""COMPUTED_VALUE"""),"Playstation Now (Discontinued)")</f>
        <v>Playstation Now (Discontinued)</v>
      </c>
      <c r="D904" s="82" t="str">
        <f>IFERROR(__xludf.DUMMYFUNCTION("""COMPUTED_VALUE"""),"Removed")</f>
        <v>Removed</v>
      </c>
      <c r="E904" s="84">
        <f>IFERROR(__xludf.DUMMYFUNCTION("""COMPUTED_VALUE"""),42739.0)</f>
        <v>42739</v>
      </c>
      <c r="F904" s="85">
        <f>IFERROR(__xludf.DUMMYFUNCTION("""COMPUTED_VALUE"""),44725.0)</f>
        <v>44725</v>
      </c>
      <c r="G904" s="86">
        <f>IFERROR(__xludf.DUMMYFUNCTION("""COMPUTED_VALUE"""),65.3)</f>
        <v>65.3</v>
      </c>
      <c r="H904" s="84">
        <f>IFERROR(__xludf.DUMMYFUNCTION("""COMPUTED_VALUE"""),41153.0)</f>
        <v>41153</v>
      </c>
      <c r="I904" s="86">
        <f>IFERROR(__xludf.DUMMYFUNCTION("""COMPUTED_VALUE"""),4.341666666666667)</f>
        <v>4.341666667</v>
      </c>
      <c r="J904" s="87">
        <f>IFERROR(__xludf.DUMMYFUNCTION("""COMPUTED_VALUE"""),82.0)</f>
        <v>82</v>
      </c>
      <c r="K904" s="88">
        <f>IFERROR(__xludf.DUMMYFUNCTION("""COMPUTED_VALUE"""),7.9)</f>
        <v>7.9</v>
      </c>
      <c r="L904" s="89"/>
      <c r="M904" s="26" t="str">
        <f>IFERROR(__xludf.DUMMYFUNCTION("""COMPUTED_VALUE"""),"Fighting")</f>
        <v>Fighting</v>
      </c>
      <c r="N904" s="26" t="str">
        <f>IFERROR(__xludf.DUMMYFUNCTION("""COMPUTED_VALUE"""),"PS3")</f>
        <v>PS3</v>
      </c>
      <c r="O904" s="26" t="str">
        <f>IFERROR(__xludf.DUMMYFUNCTION("""COMPUTED_VALUE"""),"No")</f>
        <v>No</v>
      </c>
      <c r="P904" s="26"/>
    </row>
    <row r="905">
      <c r="A905" s="81" t="str">
        <f>IFERROR(__xludf.DUMMYFUNCTION("""COMPUTED_VALUE"""),"Dead to Rights: Retribution")</f>
        <v>Dead to Rights: Retribution</v>
      </c>
      <c r="B905" s="82" t="str">
        <f>IFERROR(__xludf.DUMMYFUNCTION("""COMPUTED_VALUE"""),"PS5/PS4")</f>
        <v>PS5/PS4</v>
      </c>
      <c r="C905" s="83" t="str">
        <f>IFERROR(__xludf.DUMMYFUNCTION("""COMPUTED_VALUE"""),"Playstation Now (Discontinued)")</f>
        <v>Playstation Now (Discontinued)</v>
      </c>
      <c r="D905" s="82" t="str">
        <f>IFERROR(__xludf.DUMMYFUNCTION("""COMPUTED_VALUE"""),"Removed")</f>
        <v>Removed</v>
      </c>
      <c r="E905" s="84">
        <f>IFERROR(__xludf.DUMMYFUNCTION("""COMPUTED_VALUE"""),42739.0)</f>
        <v>42739</v>
      </c>
      <c r="F905" s="85">
        <f>IFERROR(__xludf.DUMMYFUNCTION("""COMPUTED_VALUE"""),44725.0)</f>
        <v>44725</v>
      </c>
      <c r="G905" s="86">
        <f>IFERROR(__xludf.DUMMYFUNCTION("""COMPUTED_VALUE"""),65.3)</f>
        <v>65.3</v>
      </c>
      <c r="H905" s="84">
        <f>IFERROR(__xludf.DUMMYFUNCTION("""COMPUTED_VALUE"""),40269.0)</f>
        <v>40269</v>
      </c>
      <c r="I905" s="86">
        <f>IFERROR(__xludf.DUMMYFUNCTION("""COMPUTED_VALUE"""),6.758333333333334)</f>
        <v>6.758333333</v>
      </c>
      <c r="J905" s="87">
        <f>IFERROR(__xludf.DUMMYFUNCTION("""COMPUTED_VALUE"""),60.0)</f>
        <v>60</v>
      </c>
      <c r="K905" s="88">
        <f>IFERROR(__xludf.DUMMYFUNCTION("""COMPUTED_VALUE"""),7.1)</f>
        <v>7.1</v>
      </c>
      <c r="L905" s="89">
        <f>IFERROR(__xludf.DUMMYFUNCTION("""COMPUTED_VALUE"""),7.0)</f>
        <v>7</v>
      </c>
      <c r="M905" s="26" t="str">
        <f>IFERROR(__xludf.DUMMYFUNCTION("""COMPUTED_VALUE"""),"Shooter")</f>
        <v>Shooter</v>
      </c>
      <c r="N905" s="26" t="str">
        <f>IFERROR(__xludf.DUMMYFUNCTION("""COMPUTED_VALUE"""),"PS3")</f>
        <v>PS3</v>
      </c>
      <c r="O905" s="26" t="str">
        <f>IFERROR(__xludf.DUMMYFUNCTION("""COMPUTED_VALUE"""),"No")</f>
        <v>No</v>
      </c>
      <c r="P905" s="26"/>
    </row>
    <row r="906">
      <c r="A906" s="81" t="str">
        <f>IFERROR(__xludf.DUMMYFUNCTION("""COMPUTED_VALUE"""),"Tour de France 2015")</f>
        <v>Tour de France 2015</v>
      </c>
      <c r="B906" s="82" t="str">
        <f>IFERROR(__xludf.DUMMYFUNCTION("""COMPUTED_VALUE"""),"PS5/PS4")</f>
        <v>PS5/PS4</v>
      </c>
      <c r="C906" s="83" t="str">
        <f>IFERROR(__xludf.DUMMYFUNCTION("""COMPUTED_VALUE"""),"Playstation Now (Discontinued)")</f>
        <v>Playstation Now (Discontinued)</v>
      </c>
      <c r="D906" s="82" t="str">
        <f>IFERROR(__xludf.DUMMYFUNCTION("""COMPUTED_VALUE"""),"Removed")</f>
        <v>Removed</v>
      </c>
      <c r="E906" s="84">
        <f>IFERROR(__xludf.DUMMYFUNCTION("""COMPUTED_VALUE"""),42724.0)</f>
        <v>42724</v>
      </c>
      <c r="F906" s="85">
        <f>IFERROR(__xludf.DUMMYFUNCTION("""COMPUTED_VALUE"""),44725.0)</f>
        <v>44725</v>
      </c>
      <c r="G906" s="86">
        <f>IFERROR(__xludf.DUMMYFUNCTION("""COMPUTED_VALUE"""),65.76666666666667)</f>
        <v>65.76666667</v>
      </c>
      <c r="H906" s="84">
        <f>IFERROR(__xludf.DUMMYFUNCTION("""COMPUTED_VALUE"""),42173.0)</f>
        <v>42173</v>
      </c>
      <c r="I906" s="86">
        <f>IFERROR(__xludf.DUMMYFUNCTION("""COMPUTED_VALUE"""),1.5055555555555555)</f>
        <v>1.505555556</v>
      </c>
      <c r="J906" s="87">
        <f>IFERROR(__xludf.DUMMYFUNCTION("""COMPUTED_VALUE"""),50.0)</f>
        <v>50</v>
      </c>
      <c r="K906" s="88">
        <f>IFERROR(__xludf.DUMMYFUNCTION("""COMPUTED_VALUE"""),5.5)</f>
        <v>5.5</v>
      </c>
      <c r="L906" s="89"/>
      <c r="M906" s="26" t="str">
        <f>IFERROR(__xludf.DUMMYFUNCTION("""COMPUTED_VALUE"""),"Racing")</f>
        <v>Racing</v>
      </c>
      <c r="N906" s="26"/>
      <c r="O906" s="26" t="str">
        <f>IFERROR(__xludf.DUMMYFUNCTION("""COMPUTED_VALUE"""),"No")</f>
        <v>No</v>
      </c>
      <c r="P906" s="26"/>
    </row>
    <row r="907">
      <c r="A907" s="81" t="str">
        <f>IFERROR(__xludf.DUMMYFUNCTION("""COMPUTED_VALUE"""),"Syberia II")</f>
        <v>Syberia II</v>
      </c>
      <c r="B907" s="82" t="str">
        <f>IFERROR(__xludf.DUMMYFUNCTION("""COMPUTED_VALUE"""),"PS5/PS4")</f>
        <v>PS5/PS4</v>
      </c>
      <c r="C907" s="83" t="str">
        <f>IFERROR(__xludf.DUMMYFUNCTION("""COMPUTED_VALUE"""),"Playstation Now (Discontinued)")</f>
        <v>Playstation Now (Discontinued)</v>
      </c>
      <c r="D907" s="82" t="str">
        <f>IFERROR(__xludf.DUMMYFUNCTION("""COMPUTED_VALUE"""),"Removed")</f>
        <v>Removed</v>
      </c>
      <c r="E907" s="84">
        <f>IFERROR(__xludf.DUMMYFUNCTION("""COMPUTED_VALUE"""),42724.0)</f>
        <v>42724</v>
      </c>
      <c r="F907" s="85">
        <f>IFERROR(__xludf.DUMMYFUNCTION("""COMPUTED_VALUE"""),44725.0)</f>
        <v>44725</v>
      </c>
      <c r="G907" s="86">
        <f>IFERROR(__xludf.DUMMYFUNCTION("""COMPUTED_VALUE"""),65.76666666666667)</f>
        <v>65.76666667</v>
      </c>
      <c r="H907" s="84">
        <f>IFERROR(__xludf.DUMMYFUNCTION("""COMPUTED_VALUE"""),38991.0)</f>
        <v>38991</v>
      </c>
      <c r="I907" s="86">
        <f>IFERROR(__xludf.DUMMYFUNCTION("""COMPUTED_VALUE"""),10.219444444444445)</f>
        <v>10.21944444</v>
      </c>
      <c r="J907" s="87">
        <f>IFERROR(__xludf.DUMMYFUNCTION("""COMPUTED_VALUE"""),71.0)</f>
        <v>71</v>
      </c>
      <c r="K907" s="88">
        <f>IFERROR(__xludf.DUMMYFUNCTION("""COMPUTED_VALUE"""),8.1)</f>
        <v>8.1</v>
      </c>
      <c r="L907" s="89">
        <f>IFERROR(__xludf.DUMMYFUNCTION("""COMPUTED_VALUE"""),11.0)</f>
        <v>11</v>
      </c>
      <c r="M907" s="26" t="str">
        <f>IFERROR(__xludf.DUMMYFUNCTION("""COMPUTED_VALUE"""),"Adventure")</f>
        <v>Adventure</v>
      </c>
      <c r="N907" s="26" t="str">
        <f>IFERROR(__xludf.DUMMYFUNCTION("""COMPUTED_VALUE"""),"PS3")</f>
        <v>PS3</v>
      </c>
      <c r="O907" s="26" t="str">
        <f>IFERROR(__xludf.DUMMYFUNCTION("""COMPUTED_VALUE"""),"No")</f>
        <v>No</v>
      </c>
      <c r="P907" s="26"/>
    </row>
    <row r="908">
      <c r="A908" s="81" t="str">
        <f>IFERROR(__xludf.DUMMYFUNCTION("""COMPUTED_VALUE"""),"The Legend of Heroes: Trails of Cold Steel II")</f>
        <v>The Legend of Heroes: Trails of Cold Steel II</v>
      </c>
      <c r="B908" s="82" t="str">
        <f>IFERROR(__xludf.DUMMYFUNCTION("""COMPUTED_VALUE"""),"PS5/PS4")</f>
        <v>PS5/PS4</v>
      </c>
      <c r="C908" s="83" t="str">
        <f>IFERROR(__xludf.DUMMYFUNCTION("""COMPUTED_VALUE"""),"Playstation Now (Discontinued)")</f>
        <v>Playstation Now (Discontinued)</v>
      </c>
      <c r="D908" s="82" t="str">
        <f>IFERROR(__xludf.DUMMYFUNCTION("""COMPUTED_VALUE"""),"Removed")</f>
        <v>Removed</v>
      </c>
      <c r="E908" s="84">
        <f>IFERROR(__xludf.DUMMYFUNCTION("""COMPUTED_VALUE"""),42682.0)</f>
        <v>42682</v>
      </c>
      <c r="F908" s="85">
        <f>IFERROR(__xludf.DUMMYFUNCTION("""COMPUTED_VALUE"""),44725.0)</f>
        <v>44725</v>
      </c>
      <c r="G908" s="86">
        <f>IFERROR(__xludf.DUMMYFUNCTION("""COMPUTED_VALUE"""),67.16666666666667)</f>
        <v>67.16666667</v>
      </c>
      <c r="H908" s="84">
        <f>IFERROR(__xludf.DUMMYFUNCTION("""COMPUTED_VALUE"""),42619.0)</f>
        <v>42619</v>
      </c>
      <c r="I908" s="86">
        <f>IFERROR(__xludf.DUMMYFUNCTION("""COMPUTED_VALUE"""),0.17222222222222222)</f>
        <v>0.1722222222</v>
      </c>
      <c r="J908" s="87">
        <f>IFERROR(__xludf.DUMMYFUNCTION("""COMPUTED_VALUE"""),80.0)</f>
        <v>80</v>
      </c>
      <c r="K908" s="88">
        <f>IFERROR(__xludf.DUMMYFUNCTION("""COMPUTED_VALUE"""),8.2)</f>
        <v>8.2</v>
      </c>
      <c r="L908" s="89">
        <f>IFERROR(__xludf.DUMMYFUNCTION("""COMPUTED_VALUE"""),70.0)</f>
        <v>70</v>
      </c>
      <c r="M908" s="26" t="str">
        <f>IFERROR(__xludf.DUMMYFUNCTION("""COMPUTED_VALUE"""),"RPG")</f>
        <v>RPG</v>
      </c>
      <c r="N908" s="26" t="str">
        <f>IFERROR(__xludf.DUMMYFUNCTION("""COMPUTED_VALUE"""),"PS3")</f>
        <v>PS3</v>
      </c>
      <c r="O908" s="26" t="str">
        <f>IFERROR(__xludf.DUMMYFUNCTION("""COMPUTED_VALUE"""),"No")</f>
        <v>No</v>
      </c>
      <c r="P908" s="26"/>
    </row>
    <row r="909">
      <c r="A909" s="81" t="str">
        <f>IFERROR(__xludf.DUMMYFUNCTION("""COMPUTED_VALUE"""),"Nitroplus Blasterz: Heroines Infinite Duel")</f>
        <v>Nitroplus Blasterz: Heroines Infinite Duel</v>
      </c>
      <c r="B909" s="82" t="str">
        <f>IFERROR(__xludf.DUMMYFUNCTION("""COMPUTED_VALUE"""),"PS5/PS4")</f>
        <v>PS5/PS4</v>
      </c>
      <c r="C909" s="83" t="str">
        <f>IFERROR(__xludf.DUMMYFUNCTION("""COMPUTED_VALUE"""),"Playstation Now (Discontinued)")</f>
        <v>Playstation Now (Discontinued)</v>
      </c>
      <c r="D909" s="82" t="str">
        <f>IFERROR(__xludf.DUMMYFUNCTION("""COMPUTED_VALUE"""),"Removed")</f>
        <v>Removed</v>
      </c>
      <c r="E909" s="84">
        <f>IFERROR(__xludf.DUMMYFUNCTION("""COMPUTED_VALUE"""),42682.0)</f>
        <v>42682</v>
      </c>
      <c r="F909" s="85">
        <f>IFERROR(__xludf.DUMMYFUNCTION("""COMPUTED_VALUE"""),44725.0)</f>
        <v>44725</v>
      </c>
      <c r="G909" s="86">
        <f>IFERROR(__xludf.DUMMYFUNCTION("""COMPUTED_VALUE"""),67.16666666666667)</f>
        <v>67.16666667</v>
      </c>
      <c r="H909" s="84">
        <f>IFERROR(__xludf.DUMMYFUNCTION("""COMPUTED_VALUE"""),42402.0)</f>
        <v>42402</v>
      </c>
      <c r="I909" s="86">
        <f>IFERROR(__xludf.DUMMYFUNCTION("""COMPUTED_VALUE"""),0.7666666666666667)</f>
        <v>0.7666666667</v>
      </c>
      <c r="J909" s="87">
        <f>IFERROR(__xludf.DUMMYFUNCTION("""COMPUTED_VALUE"""),63.0)</f>
        <v>63</v>
      </c>
      <c r="K909" s="88">
        <f>IFERROR(__xludf.DUMMYFUNCTION("""COMPUTED_VALUE"""),7.0)</f>
        <v>7</v>
      </c>
      <c r="L909" s="89">
        <f>IFERROR(__xludf.DUMMYFUNCTION("""COMPUTED_VALUE"""),1.5)</f>
        <v>1.5</v>
      </c>
      <c r="M909" s="26" t="str">
        <f>IFERROR(__xludf.DUMMYFUNCTION("""COMPUTED_VALUE"""),"Fighting")</f>
        <v>Fighting</v>
      </c>
      <c r="N909" s="26"/>
      <c r="O909" s="26" t="str">
        <f>IFERROR(__xludf.DUMMYFUNCTION("""COMPUTED_VALUE"""),"No")</f>
        <v>No</v>
      </c>
      <c r="P909" s="26"/>
    </row>
    <row r="910">
      <c r="A910" s="81" t="str">
        <f>IFERROR(__xludf.DUMMYFUNCTION("""COMPUTED_VALUE"""),"Handball 16")</f>
        <v>Handball 16</v>
      </c>
      <c r="B910" s="82" t="str">
        <f>IFERROR(__xludf.DUMMYFUNCTION("""COMPUTED_VALUE"""),"PS5/PS4")</f>
        <v>PS5/PS4</v>
      </c>
      <c r="C910" s="83" t="str">
        <f>IFERROR(__xludf.DUMMYFUNCTION("""COMPUTED_VALUE"""),"Playstation Now (Discontinued)")</f>
        <v>Playstation Now (Discontinued)</v>
      </c>
      <c r="D910" s="82" t="str">
        <f>IFERROR(__xludf.DUMMYFUNCTION("""COMPUTED_VALUE"""),"Removed")</f>
        <v>Removed</v>
      </c>
      <c r="E910" s="84">
        <f>IFERROR(__xludf.DUMMYFUNCTION("""COMPUTED_VALUE"""),42682.0)</f>
        <v>42682</v>
      </c>
      <c r="F910" s="85">
        <f>IFERROR(__xludf.DUMMYFUNCTION("""COMPUTED_VALUE"""),44725.0)</f>
        <v>44725</v>
      </c>
      <c r="G910" s="86">
        <f>IFERROR(__xludf.DUMMYFUNCTION("""COMPUTED_VALUE"""),67.16666666666667)</f>
        <v>67.16666667</v>
      </c>
      <c r="H910" s="84">
        <f>IFERROR(__xludf.DUMMYFUNCTION("""COMPUTED_VALUE"""),42335.0)</f>
        <v>42335</v>
      </c>
      <c r="I910" s="86">
        <f>IFERROR(__xludf.DUMMYFUNCTION("""COMPUTED_VALUE"""),0.9472222222222222)</f>
        <v>0.9472222222</v>
      </c>
      <c r="J910" s="87">
        <f>IFERROR(__xludf.DUMMYFUNCTION("""COMPUTED_VALUE"""),49.0)</f>
        <v>49</v>
      </c>
      <c r="K910" s="88">
        <f>IFERROR(__xludf.DUMMYFUNCTION("""COMPUTED_VALUE"""),5.5)</f>
        <v>5.5</v>
      </c>
      <c r="L910" s="89"/>
      <c r="M910" s="26" t="str">
        <f>IFERROR(__xludf.DUMMYFUNCTION("""COMPUTED_VALUE"""),"Sports")</f>
        <v>Sports</v>
      </c>
      <c r="N910" s="26"/>
      <c r="O910" s="26" t="str">
        <f>IFERROR(__xludf.DUMMYFUNCTION("""COMPUTED_VALUE"""),"No")</f>
        <v>No</v>
      </c>
      <c r="P910" s="26"/>
    </row>
    <row r="911">
      <c r="A911" s="81" t="str">
        <f>IFERROR(__xludf.DUMMYFUNCTION("""COMPUTED_VALUE"""),"Rugby 15")</f>
        <v>Rugby 15</v>
      </c>
      <c r="B911" s="82" t="str">
        <f>IFERROR(__xludf.DUMMYFUNCTION("""COMPUTED_VALUE"""),"PS5/PS4")</f>
        <v>PS5/PS4</v>
      </c>
      <c r="C911" s="83" t="str">
        <f>IFERROR(__xludf.DUMMYFUNCTION("""COMPUTED_VALUE"""),"Playstation Now (Discontinued)")</f>
        <v>Playstation Now (Discontinued)</v>
      </c>
      <c r="D911" s="82" t="str">
        <f>IFERROR(__xludf.DUMMYFUNCTION("""COMPUTED_VALUE"""),"Removed")</f>
        <v>Removed</v>
      </c>
      <c r="E911" s="84">
        <f>IFERROR(__xludf.DUMMYFUNCTION("""COMPUTED_VALUE"""),42682.0)</f>
        <v>42682</v>
      </c>
      <c r="F911" s="85">
        <f>IFERROR(__xludf.DUMMYFUNCTION("""COMPUTED_VALUE"""),44725.0)</f>
        <v>44725</v>
      </c>
      <c r="G911" s="86">
        <f>IFERROR(__xludf.DUMMYFUNCTION("""COMPUTED_VALUE"""),67.16666666666667)</f>
        <v>67.16666667</v>
      </c>
      <c r="H911" s="84">
        <f>IFERROR(__xludf.DUMMYFUNCTION("""COMPUTED_VALUE"""),42017.0)</f>
        <v>42017</v>
      </c>
      <c r="I911" s="86">
        <f>IFERROR(__xludf.DUMMYFUNCTION("""COMPUTED_VALUE"""),1.8194444444444444)</f>
        <v>1.819444444</v>
      </c>
      <c r="J911" s="87">
        <f>IFERROR(__xludf.DUMMYFUNCTION("""COMPUTED_VALUE"""),20.0)</f>
        <v>20</v>
      </c>
      <c r="K911" s="88">
        <f>IFERROR(__xludf.DUMMYFUNCTION("""COMPUTED_VALUE"""),2.7)</f>
        <v>2.7</v>
      </c>
      <c r="L911" s="89"/>
      <c r="M911" s="26" t="str">
        <f>IFERROR(__xludf.DUMMYFUNCTION("""COMPUTED_VALUE"""),"Sports")</f>
        <v>Sports</v>
      </c>
      <c r="N911" s="26"/>
      <c r="O911" s="26" t="str">
        <f>IFERROR(__xludf.DUMMYFUNCTION("""COMPUTED_VALUE"""),"No")</f>
        <v>No</v>
      </c>
      <c r="P911" s="26"/>
    </row>
    <row r="912">
      <c r="A912" s="81" t="str">
        <f>IFERROR(__xludf.DUMMYFUNCTION("""COMPUTED_VALUE"""),"Crimsonland")</f>
        <v>Crimsonland</v>
      </c>
      <c r="B912" s="82" t="str">
        <f>IFERROR(__xludf.DUMMYFUNCTION("""COMPUTED_VALUE"""),"PS5/PS4")</f>
        <v>PS5/PS4</v>
      </c>
      <c r="C912" s="83" t="str">
        <f>IFERROR(__xludf.DUMMYFUNCTION("""COMPUTED_VALUE"""),"Playstation Now (Discontinued)")</f>
        <v>Playstation Now (Discontinued)</v>
      </c>
      <c r="D912" s="82" t="str">
        <f>IFERROR(__xludf.DUMMYFUNCTION("""COMPUTED_VALUE"""),"Removed")</f>
        <v>Removed</v>
      </c>
      <c r="E912" s="84">
        <f>IFERROR(__xludf.DUMMYFUNCTION("""COMPUTED_VALUE"""),42682.0)</f>
        <v>42682</v>
      </c>
      <c r="F912" s="85">
        <f>IFERROR(__xludf.DUMMYFUNCTION("""COMPUTED_VALUE"""),44725.0)</f>
        <v>44725</v>
      </c>
      <c r="G912" s="86">
        <f>IFERROR(__xludf.DUMMYFUNCTION("""COMPUTED_VALUE"""),67.16666666666667)</f>
        <v>67.16666667</v>
      </c>
      <c r="H912" s="84">
        <f>IFERROR(__xludf.DUMMYFUNCTION("""COMPUTED_VALUE"""),41831.0)</f>
        <v>41831</v>
      </c>
      <c r="I912" s="86">
        <f>IFERROR(__xludf.DUMMYFUNCTION("""COMPUTED_VALUE"""),2.325)</f>
        <v>2.325</v>
      </c>
      <c r="J912" s="87">
        <f>IFERROR(__xludf.DUMMYFUNCTION("""COMPUTED_VALUE"""),71.0)</f>
        <v>71</v>
      </c>
      <c r="K912" s="88">
        <f>IFERROR(__xludf.DUMMYFUNCTION("""COMPUTED_VALUE"""),7.3)</f>
        <v>7.3</v>
      </c>
      <c r="L912" s="89">
        <f>IFERROR(__xludf.DUMMYFUNCTION("""COMPUTED_VALUE"""),5.0)</f>
        <v>5</v>
      </c>
      <c r="M912" s="26" t="str">
        <f>IFERROR(__xludf.DUMMYFUNCTION("""COMPUTED_VALUE"""),"Shooter")</f>
        <v>Shooter</v>
      </c>
      <c r="N912" s="26"/>
      <c r="O912" s="26" t="str">
        <f>IFERROR(__xludf.DUMMYFUNCTION("""COMPUTED_VALUE"""),"No")</f>
        <v>No</v>
      </c>
      <c r="P912" s="26"/>
    </row>
    <row r="913">
      <c r="A913" s="81" t="str">
        <f>IFERROR(__xludf.DUMMYFUNCTION("""COMPUTED_VALUE"""),"Don Bradman Cricket 14")</f>
        <v>Don Bradman Cricket 14</v>
      </c>
      <c r="B913" s="82" t="str">
        <f>IFERROR(__xludf.DUMMYFUNCTION("""COMPUTED_VALUE"""),"PS5/PS4")</f>
        <v>PS5/PS4</v>
      </c>
      <c r="C913" s="83" t="str">
        <f>IFERROR(__xludf.DUMMYFUNCTION("""COMPUTED_VALUE"""),"Playstation Now (Discontinued)")</f>
        <v>Playstation Now (Discontinued)</v>
      </c>
      <c r="D913" s="82" t="str">
        <f>IFERROR(__xludf.DUMMYFUNCTION("""COMPUTED_VALUE"""),"Removed")</f>
        <v>Removed</v>
      </c>
      <c r="E913" s="84">
        <f>IFERROR(__xludf.DUMMYFUNCTION("""COMPUTED_VALUE"""),42682.0)</f>
        <v>42682</v>
      </c>
      <c r="F913" s="85">
        <f>IFERROR(__xludf.DUMMYFUNCTION("""COMPUTED_VALUE"""),44725.0)</f>
        <v>44725</v>
      </c>
      <c r="G913" s="86">
        <f>IFERROR(__xludf.DUMMYFUNCTION("""COMPUTED_VALUE"""),67.16666666666667)</f>
        <v>67.16666667</v>
      </c>
      <c r="H913" s="84">
        <f>IFERROR(__xludf.DUMMYFUNCTION("""COMPUTED_VALUE"""),42111.0)</f>
        <v>42111</v>
      </c>
      <c r="I913" s="86">
        <f>IFERROR(__xludf.DUMMYFUNCTION("""COMPUTED_VALUE"""),1.5583333333333333)</f>
        <v>1.558333333</v>
      </c>
      <c r="J913" s="87">
        <f>IFERROR(__xludf.DUMMYFUNCTION("""COMPUTED_VALUE"""),75.0)</f>
        <v>75</v>
      </c>
      <c r="K913" s="88">
        <f>IFERROR(__xludf.DUMMYFUNCTION("""COMPUTED_VALUE"""),7.4)</f>
        <v>7.4</v>
      </c>
      <c r="L913" s="89"/>
      <c r="M913" s="26" t="str">
        <f>IFERROR(__xludf.DUMMYFUNCTION("""COMPUTED_VALUE"""),"Sports")</f>
        <v>Sports</v>
      </c>
      <c r="N913" s="26" t="str">
        <f>IFERROR(__xludf.DUMMYFUNCTION("""COMPUTED_VALUE"""),"PS3")</f>
        <v>PS3</v>
      </c>
      <c r="O913" s="26" t="str">
        <f>IFERROR(__xludf.DUMMYFUNCTION("""COMPUTED_VALUE"""),"No")</f>
        <v>No</v>
      </c>
      <c r="P913" s="26"/>
    </row>
    <row r="914">
      <c r="A914" s="81" t="str">
        <f>IFERROR(__xludf.DUMMYFUNCTION("""COMPUTED_VALUE"""),"BlazeRush")</f>
        <v>BlazeRush</v>
      </c>
      <c r="B914" s="82" t="str">
        <f>IFERROR(__xludf.DUMMYFUNCTION("""COMPUTED_VALUE"""),"PS5/PS4")</f>
        <v>PS5/PS4</v>
      </c>
      <c r="C914" s="83" t="str">
        <f>IFERROR(__xludf.DUMMYFUNCTION("""COMPUTED_VALUE"""),"Playstation Now (Discontinued)")</f>
        <v>Playstation Now (Discontinued)</v>
      </c>
      <c r="D914" s="82" t="str">
        <f>IFERROR(__xludf.DUMMYFUNCTION("""COMPUTED_VALUE"""),"Removed")</f>
        <v>Removed</v>
      </c>
      <c r="E914" s="84">
        <f>IFERROR(__xludf.DUMMYFUNCTION("""COMPUTED_VALUE"""),42682.0)</f>
        <v>42682</v>
      </c>
      <c r="F914" s="85">
        <f>IFERROR(__xludf.DUMMYFUNCTION("""COMPUTED_VALUE"""),44725.0)</f>
        <v>44725</v>
      </c>
      <c r="G914" s="86">
        <f>IFERROR(__xludf.DUMMYFUNCTION("""COMPUTED_VALUE"""),67.16666666666667)</f>
        <v>67.16666667</v>
      </c>
      <c r="H914" s="84">
        <f>IFERROR(__xludf.DUMMYFUNCTION("""COMPUTED_VALUE"""),41941.0)</f>
        <v>41941</v>
      </c>
      <c r="I914" s="86">
        <f>IFERROR(__xludf.DUMMYFUNCTION("""COMPUTED_VALUE"""),2.025)</f>
        <v>2.025</v>
      </c>
      <c r="J914" s="87">
        <f>IFERROR(__xludf.DUMMYFUNCTION("""COMPUTED_VALUE"""),77.0)</f>
        <v>77</v>
      </c>
      <c r="K914" s="88">
        <f>IFERROR(__xludf.DUMMYFUNCTION("""COMPUTED_VALUE"""),7.4)</f>
        <v>7.4</v>
      </c>
      <c r="L914" s="89"/>
      <c r="M914" s="26" t="str">
        <f>IFERROR(__xludf.DUMMYFUNCTION("""COMPUTED_VALUE"""),"Racing")</f>
        <v>Racing</v>
      </c>
      <c r="N914" s="26"/>
      <c r="O914" s="26" t="str">
        <f>IFERROR(__xludf.DUMMYFUNCTION("""COMPUTED_VALUE"""),"No")</f>
        <v>No</v>
      </c>
      <c r="P914" s="26"/>
    </row>
    <row r="915">
      <c r="A915" s="81" t="str">
        <f>IFERROR(__xludf.DUMMYFUNCTION("""COMPUTED_VALUE"""),"Hunter's Trophy 2 : Australia")</f>
        <v>Hunter's Trophy 2 : Australia</v>
      </c>
      <c r="B915" s="82" t="str">
        <f>IFERROR(__xludf.DUMMYFUNCTION("""COMPUTED_VALUE"""),"PS5/PS4")</f>
        <v>PS5/PS4</v>
      </c>
      <c r="C915" s="83" t="str">
        <f>IFERROR(__xludf.DUMMYFUNCTION("""COMPUTED_VALUE"""),"Playstation Now (Discontinued)")</f>
        <v>Playstation Now (Discontinued)</v>
      </c>
      <c r="D915" s="82" t="str">
        <f>IFERROR(__xludf.DUMMYFUNCTION("""COMPUTED_VALUE"""),"Removed")</f>
        <v>Removed</v>
      </c>
      <c r="E915" s="84">
        <f>IFERROR(__xludf.DUMMYFUNCTION("""COMPUTED_VALUE"""),42682.0)</f>
        <v>42682</v>
      </c>
      <c r="F915" s="85">
        <f>IFERROR(__xludf.DUMMYFUNCTION("""COMPUTED_VALUE"""),44725.0)</f>
        <v>44725</v>
      </c>
      <c r="G915" s="86">
        <f>IFERROR(__xludf.DUMMYFUNCTION("""COMPUTED_VALUE"""),67.16666666666667)</f>
        <v>67.16666667</v>
      </c>
      <c r="H915" s="84">
        <f>IFERROR(__xludf.DUMMYFUNCTION("""COMPUTED_VALUE"""),41548.0)</f>
        <v>41548</v>
      </c>
      <c r="I915" s="86">
        <f>IFERROR(__xludf.DUMMYFUNCTION("""COMPUTED_VALUE"""),3.102777777777778)</f>
        <v>3.102777778</v>
      </c>
      <c r="J915" s="87">
        <f>IFERROR(__xludf.DUMMYFUNCTION("""COMPUTED_VALUE"""),48.0)</f>
        <v>48</v>
      </c>
      <c r="K915" s="88">
        <f>IFERROR(__xludf.DUMMYFUNCTION("""COMPUTED_VALUE"""),6.5)</f>
        <v>6.5</v>
      </c>
      <c r="L915" s="89"/>
      <c r="M915" s="26" t="str">
        <f>IFERROR(__xludf.DUMMYFUNCTION("""COMPUTED_VALUE"""),"Sports")</f>
        <v>Sports</v>
      </c>
      <c r="N915" s="26"/>
      <c r="O915" s="26" t="str">
        <f>IFERROR(__xludf.DUMMYFUNCTION("""COMPUTED_VALUE"""),"No")</f>
        <v>No</v>
      </c>
      <c r="P915" s="26"/>
    </row>
    <row r="916">
      <c r="A916" s="81" t="str">
        <f>IFERROR(__xludf.DUMMYFUNCTION("""COMPUTED_VALUE"""),"Rugby World Cup 2015")</f>
        <v>Rugby World Cup 2015</v>
      </c>
      <c r="B916" s="82" t="str">
        <f>IFERROR(__xludf.DUMMYFUNCTION("""COMPUTED_VALUE"""),"PS5/PS4")</f>
        <v>PS5/PS4</v>
      </c>
      <c r="C916" s="83" t="str">
        <f>IFERROR(__xludf.DUMMYFUNCTION("""COMPUTED_VALUE"""),"Playstation Now (Discontinued)")</f>
        <v>Playstation Now (Discontinued)</v>
      </c>
      <c r="D916" s="82" t="str">
        <f>IFERROR(__xludf.DUMMYFUNCTION("""COMPUTED_VALUE"""),"Removed")</f>
        <v>Removed</v>
      </c>
      <c r="E916" s="84">
        <f>IFERROR(__xludf.DUMMYFUNCTION("""COMPUTED_VALUE"""),42682.0)</f>
        <v>42682</v>
      </c>
      <c r="F916" s="85">
        <f>IFERROR(__xludf.DUMMYFUNCTION("""COMPUTED_VALUE"""),44725.0)</f>
        <v>44725</v>
      </c>
      <c r="G916" s="86">
        <f>IFERROR(__xludf.DUMMYFUNCTION("""COMPUTED_VALUE"""),67.16666666666667)</f>
        <v>67.16666667</v>
      </c>
      <c r="H916" s="84">
        <f>IFERROR(__xludf.DUMMYFUNCTION("""COMPUTED_VALUE"""),42251.0)</f>
        <v>42251</v>
      </c>
      <c r="I916" s="86">
        <f>IFERROR(__xludf.DUMMYFUNCTION("""COMPUTED_VALUE"""),1.1777777777777778)</f>
        <v>1.177777778</v>
      </c>
      <c r="J916" s="87">
        <f>IFERROR(__xludf.DUMMYFUNCTION("""COMPUTED_VALUE"""),38.0)</f>
        <v>38</v>
      </c>
      <c r="K916" s="88">
        <f>IFERROR(__xludf.DUMMYFUNCTION("""COMPUTED_VALUE"""),3.6)</f>
        <v>3.6</v>
      </c>
      <c r="L916" s="89"/>
      <c r="M916" s="26" t="str">
        <f>IFERROR(__xludf.DUMMYFUNCTION("""COMPUTED_VALUE"""),"Sports")</f>
        <v>Sports</v>
      </c>
      <c r="N916" s="26"/>
      <c r="O916" s="26" t="str">
        <f>IFERROR(__xludf.DUMMYFUNCTION("""COMPUTED_VALUE"""),"No")</f>
        <v>No</v>
      </c>
      <c r="P916" s="26"/>
    </row>
    <row r="917">
      <c r="A917" s="81" t="str">
        <f>IFERROR(__xludf.DUMMYFUNCTION("""COMPUTED_VALUE"""),"Trine")</f>
        <v>Trine</v>
      </c>
      <c r="B917" s="82" t="str">
        <f>IFERROR(__xludf.DUMMYFUNCTION("""COMPUTED_VALUE"""),"PS5/PS4")</f>
        <v>PS5/PS4</v>
      </c>
      <c r="C917" s="83" t="str">
        <f>IFERROR(__xludf.DUMMYFUNCTION("""COMPUTED_VALUE"""),"Playstation Now (Discontinued)")</f>
        <v>Playstation Now (Discontinued)</v>
      </c>
      <c r="D917" s="82" t="str">
        <f>IFERROR(__xludf.DUMMYFUNCTION("""COMPUTED_VALUE"""),"Removed")</f>
        <v>Removed</v>
      </c>
      <c r="E917" s="84">
        <f>IFERROR(__xludf.DUMMYFUNCTION("""COMPUTED_VALUE"""),42682.0)</f>
        <v>42682</v>
      </c>
      <c r="F917" s="85">
        <f>IFERROR(__xludf.DUMMYFUNCTION("""COMPUTED_VALUE"""),44725.0)</f>
        <v>44725</v>
      </c>
      <c r="G917" s="86">
        <f>IFERROR(__xludf.DUMMYFUNCTION("""COMPUTED_VALUE"""),67.16666666666667)</f>
        <v>67.16666667</v>
      </c>
      <c r="H917" s="84">
        <f>IFERROR(__xludf.DUMMYFUNCTION("""COMPUTED_VALUE"""),40087.0)</f>
        <v>40087</v>
      </c>
      <c r="I917" s="86">
        <f>IFERROR(__xludf.DUMMYFUNCTION("""COMPUTED_VALUE"""),7.102777777777778)</f>
        <v>7.102777778</v>
      </c>
      <c r="J917" s="87">
        <f>IFERROR(__xludf.DUMMYFUNCTION("""COMPUTED_VALUE"""),83.0)</f>
        <v>83</v>
      </c>
      <c r="K917" s="88">
        <f>IFERROR(__xludf.DUMMYFUNCTION("""COMPUTED_VALUE"""),7.9)</f>
        <v>7.9</v>
      </c>
      <c r="L917" s="89">
        <f>IFERROR(__xludf.DUMMYFUNCTION("""COMPUTED_VALUE"""),9.0)</f>
        <v>9</v>
      </c>
      <c r="M917" s="26" t="str">
        <f>IFERROR(__xludf.DUMMYFUNCTION("""COMPUTED_VALUE"""),"Platformer")</f>
        <v>Platformer</v>
      </c>
      <c r="N917" s="26" t="str">
        <f>IFERROR(__xludf.DUMMYFUNCTION("""COMPUTED_VALUE"""),"PS3")</f>
        <v>PS3</v>
      </c>
      <c r="O917" s="26" t="str">
        <f>IFERROR(__xludf.DUMMYFUNCTION("""COMPUTED_VALUE"""),"No")</f>
        <v>No</v>
      </c>
      <c r="P917" s="26"/>
    </row>
    <row r="918">
      <c r="A918" s="81" t="str">
        <f>IFERROR(__xludf.DUMMYFUNCTION("""COMPUTED_VALUE"""),"Burn Zombie Burn: The Diarrhea Bundle")</f>
        <v>Burn Zombie Burn: The Diarrhea Bundle</v>
      </c>
      <c r="B918" s="82" t="str">
        <f>IFERROR(__xludf.DUMMYFUNCTION("""COMPUTED_VALUE"""),"PS5/PS4")</f>
        <v>PS5/PS4</v>
      </c>
      <c r="C918" s="83" t="str">
        <f>IFERROR(__xludf.DUMMYFUNCTION("""COMPUTED_VALUE"""),"Playstation Now (Discontinued)")</f>
        <v>Playstation Now (Discontinued)</v>
      </c>
      <c r="D918" s="82" t="str">
        <f>IFERROR(__xludf.DUMMYFUNCTION("""COMPUTED_VALUE"""),"Removed")</f>
        <v>Removed</v>
      </c>
      <c r="E918" s="84">
        <f>IFERROR(__xludf.DUMMYFUNCTION("""COMPUTED_VALUE"""),42647.0)</f>
        <v>42647</v>
      </c>
      <c r="F918" s="85">
        <f>IFERROR(__xludf.DUMMYFUNCTION("""COMPUTED_VALUE"""),44725.0)</f>
        <v>44725</v>
      </c>
      <c r="G918" s="86">
        <f>IFERROR(__xludf.DUMMYFUNCTION("""COMPUTED_VALUE"""),68.3)</f>
        <v>68.3</v>
      </c>
      <c r="H918" s="84">
        <f>IFERROR(__xludf.DUMMYFUNCTION("""COMPUTED_VALUE"""),41569.0)</f>
        <v>41569</v>
      </c>
      <c r="I918" s="86">
        <f>IFERROR(__xludf.DUMMYFUNCTION("""COMPUTED_VALUE"""),2.95)</f>
        <v>2.95</v>
      </c>
      <c r="J918" s="87"/>
      <c r="K918" s="88"/>
      <c r="L918" s="89"/>
      <c r="M918" s="26" t="str">
        <f>IFERROR(__xludf.DUMMYFUNCTION("""COMPUTED_VALUE"""),"Shooter")</f>
        <v>Shooter</v>
      </c>
      <c r="N918" s="26"/>
      <c r="O918" s="26" t="str">
        <f>IFERROR(__xludf.DUMMYFUNCTION("""COMPUTED_VALUE"""),"No")</f>
        <v>No</v>
      </c>
      <c r="P918" s="26"/>
    </row>
    <row r="919">
      <c r="A919" s="81" t="str">
        <f>IFERROR(__xludf.DUMMYFUNCTION("""COMPUTED_VALUE"""),"The House of the Dead 4")</f>
        <v>The House of the Dead 4</v>
      </c>
      <c r="B919" s="82" t="str">
        <f>IFERROR(__xludf.DUMMYFUNCTION("""COMPUTED_VALUE"""),"PS5/PS4")</f>
        <v>PS5/PS4</v>
      </c>
      <c r="C919" s="83" t="str">
        <f>IFERROR(__xludf.DUMMYFUNCTION("""COMPUTED_VALUE"""),"Playstation Now (Discontinued)")</f>
        <v>Playstation Now (Discontinued)</v>
      </c>
      <c r="D919" s="82" t="str">
        <f>IFERROR(__xludf.DUMMYFUNCTION("""COMPUTED_VALUE"""),"Removed")</f>
        <v>Removed</v>
      </c>
      <c r="E919" s="84">
        <f>IFERROR(__xludf.DUMMYFUNCTION("""COMPUTED_VALUE"""),42647.0)</f>
        <v>42647</v>
      </c>
      <c r="F919" s="85">
        <f>IFERROR(__xludf.DUMMYFUNCTION("""COMPUTED_VALUE"""),44725.0)</f>
        <v>44725</v>
      </c>
      <c r="G919" s="86">
        <f>IFERROR(__xludf.DUMMYFUNCTION("""COMPUTED_VALUE"""),68.3)</f>
        <v>68.3</v>
      </c>
      <c r="H919" s="84">
        <f>IFERROR(__xludf.DUMMYFUNCTION("""COMPUTED_VALUE"""),41017.0)</f>
        <v>41017</v>
      </c>
      <c r="I919" s="86">
        <f>IFERROR(__xludf.DUMMYFUNCTION("""COMPUTED_VALUE"""),4.461111111111111)</f>
        <v>4.461111111</v>
      </c>
      <c r="J919" s="87">
        <f>IFERROR(__xludf.DUMMYFUNCTION("""COMPUTED_VALUE"""),67.0)</f>
        <v>67</v>
      </c>
      <c r="K919" s="88">
        <f>IFERROR(__xludf.DUMMYFUNCTION("""COMPUTED_VALUE"""),7.5)</f>
        <v>7.5</v>
      </c>
      <c r="L919" s="89">
        <f>IFERROR(__xludf.DUMMYFUNCTION("""COMPUTED_VALUE"""),1.0)</f>
        <v>1</v>
      </c>
      <c r="M919" s="26" t="str">
        <f>IFERROR(__xludf.DUMMYFUNCTION("""COMPUTED_VALUE"""),"Shooter")</f>
        <v>Shooter</v>
      </c>
      <c r="N919" s="26"/>
      <c r="O919" s="26" t="str">
        <f>IFERROR(__xludf.DUMMYFUNCTION("""COMPUTED_VALUE"""),"No")</f>
        <v>No</v>
      </c>
      <c r="P919" s="26"/>
    </row>
    <row r="920">
      <c r="A920" s="81" t="str">
        <f>IFERROR(__xludf.DUMMYFUNCTION("""COMPUTED_VALUE"""),"The House of the Dead Overkill Extended Cut")</f>
        <v>The House of the Dead Overkill Extended Cut</v>
      </c>
      <c r="B920" s="82" t="str">
        <f>IFERROR(__xludf.DUMMYFUNCTION("""COMPUTED_VALUE"""),"PS5/PS4")</f>
        <v>PS5/PS4</v>
      </c>
      <c r="C920" s="83" t="str">
        <f>IFERROR(__xludf.DUMMYFUNCTION("""COMPUTED_VALUE"""),"Playstation Now (Discontinued)")</f>
        <v>Playstation Now (Discontinued)</v>
      </c>
      <c r="D920" s="82" t="str">
        <f>IFERROR(__xludf.DUMMYFUNCTION("""COMPUTED_VALUE"""),"Removed")</f>
        <v>Removed</v>
      </c>
      <c r="E920" s="84">
        <f>IFERROR(__xludf.DUMMYFUNCTION("""COMPUTED_VALUE"""),42647.0)</f>
        <v>42647</v>
      </c>
      <c r="F920" s="85">
        <f>IFERROR(__xludf.DUMMYFUNCTION("""COMPUTED_VALUE"""),44725.0)</f>
        <v>44725</v>
      </c>
      <c r="G920" s="86">
        <f>IFERROR(__xludf.DUMMYFUNCTION("""COMPUTED_VALUE"""),68.3)</f>
        <v>68.3</v>
      </c>
      <c r="H920" s="84">
        <f>IFERROR(__xludf.DUMMYFUNCTION("""COMPUTED_VALUE"""),40841.0)</f>
        <v>40841</v>
      </c>
      <c r="I920" s="86">
        <f>IFERROR(__xludf.DUMMYFUNCTION("""COMPUTED_VALUE"""),4.941666666666666)</f>
        <v>4.941666667</v>
      </c>
      <c r="J920" s="87">
        <f>IFERROR(__xludf.DUMMYFUNCTION("""COMPUTED_VALUE"""),69.0)</f>
        <v>69</v>
      </c>
      <c r="K920" s="88">
        <f>IFERROR(__xludf.DUMMYFUNCTION("""COMPUTED_VALUE"""),7.5)</f>
        <v>7.5</v>
      </c>
      <c r="L920" s="89">
        <f>IFERROR(__xludf.DUMMYFUNCTION("""COMPUTED_VALUE"""),3.0)</f>
        <v>3</v>
      </c>
      <c r="M920" s="26" t="str">
        <f>IFERROR(__xludf.DUMMYFUNCTION("""COMPUTED_VALUE"""),"Shooter")</f>
        <v>Shooter</v>
      </c>
      <c r="N920" s="26"/>
      <c r="O920" s="26" t="str">
        <f>IFERROR(__xludf.DUMMYFUNCTION("""COMPUTED_VALUE"""),"No")</f>
        <v>No</v>
      </c>
      <c r="P920" s="26"/>
    </row>
    <row r="921">
      <c r="A921" s="81" t="str">
        <f>IFERROR(__xludf.DUMMYFUNCTION("""COMPUTED_VALUE"""),"Silent Hill HD Collection")</f>
        <v>Silent Hill HD Collection</v>
      </c>
      <c r="B921" s="82" t="str">
        <f>IFERROR(__xludf.DUMMYFUNCTION("""COMPUTED_VALUE"""),"PS5/PS4")</f>
        <v>PS5/PS4</v>
      </c>
      <c r="C921" s="83" t="str">
        <f>IFERROR(__xludf.DUMMYFUNCTION("""COMPUTED_VALUE"""),"Playstation Now (Discontinued)")</f>
        <v>Playstation Now (Discontinued)</v>
      </c>
      <c r="D921" s="82" t="str">
        <f>IFERROR(__xludf.DUMMYFUNCTION("""COMPUTED_VALUE"""),"Removed")</f>
        <v>Removed</v>
      </c>
      <c r="E921" s="84">
        <f>IFERROR(__xludf.DUMMYFUNCTION("""COMPUTED_VALUE"""),42647.0)</f>
        <v>42647</v>
      </c>
      <c r="F921" s="85">
        <f>IFERROR(__xludf.DUMMYFUNCTION("""COMPUTED_VALUE"""),44725.0)</f>
        <v>44725</v>
      </c>
      <c r="G921" s="86">
        <f>IFERROR(__xludf.DUMMYFUNCTION("""COMPUTED_VALUE"""),68.3)</f>
        <v>68.3</v>
      </c>
      <c r="H921" s="84">
        <f>IFERROR(__xludf.DUMMYFUNCTION("""COMPUTED_VALUE"""),40969.0)</f>
        <v>40969</v>
      </c>
      <c r="I921" s="86">
        <f>IFERROR(__xludf.DUMMYFUNCTION("""COMPUTED_VALUE"""),4.591666666666667)</f>
        <v>4.591666667</v>
      </c>
      <c r="J921" s="87">
        <f>IFERROR(__xludf.DUMMYFUNCTION("""COMPUTED_VALUE"""),70.0)</f>
        <v>70</v>
      </c>
      <c r="K921" s="88">
        <f>IFERROR(__xludf.DUMMYFUNCTION("""COMPUTED_VALUE"""),6.4)</f>
        <v>6.4</v>
      </c>
      <c r="L921" s="89">
        <f>IFERROR(__xludf.DUMMYFUNCTION("""COMPUTED_VALUE"""),20.0)</f>
        <v>20</v>
      </c>
      <c r="M921" s="26" t="str">
        <f>IFERROR(__xludf.DUMMYFUNCTION("""COMPUTED_VALUE"""),"Horror")</f>
        <v>Horror</v>
      </c>
      <c r="N921" s="26" t="str">
        <f>IFERROR(__xludf.DUMMYFUNCTION("""COMPUTED_VALUE"""),"PS3")</f>
        <v>PS3</v>
      </c>
      <c r="O921" s="26" t="str">
        <f>IFERROR(__xludf.DUMMYFUNCTION("""COMPUTED_VALUE"""),"No")</f>
        <v>No</v>
      </c>
      <c r="P921" s="26"/>
    </row>
    <row r="922">
      <c r="A922" s="81" t="str">
        <f>IFERROR(__xludf.DUMMYFUNCTION("""COMPUTED_VALUE"""),"The House of the Dead 3")</f>
        <v>The House of the Dead 3</v>
      </c>
      <c r="B922" s="82" t="str">
        <f>IFERROR(__xludf.DUMMYFUNCTION("""COMPUTED_VALUE"""),"PS5/PS4")</f>
        <v>PS5/PS4</v>
      </c>
      <c r="C922" s="83" t="str">
        <f>IFERROR(__xludf.DUMMYFUNCTION("""COMPUTED_VALUE"""),"Playstation Now (Discontinued)")</f>
        <v>Playstation Now (Discontinued)</v>
      </c>
      <c r="D922" s="82" t="str">
        <f>IFERROR(__xludf.DUMMYFUNCTION("""COMPUTED_VALUE"""),"Removed")</f>
        <v>Removed</v>
      </c>
      <c r="E922" s="84">
        <f>IFERROR(__xludf.DUMMYFUNCTION("""COMPUTED_VALUE"""),42647.0)</f>
        <v>42647</v>
      </c>
      <c r="F922" s="85">
        <f>IFERROR(__xludf.DUMMYFUNCTION("""COMPUTED_VALUE"""),44725.0)</f>
        <v>44725</v>
      </c>
      <c r="G922" s="86">
        <f>IFERROR(__xludf.DUMMYFUNCTION("""COMPUTED_VALUE"""),68.3)</f>
        <v>68.3</v>
      </c>
      <c r="H922" s="84">
        <f>IFERROR(__xludf.DUMMYFUNCTION("""COMPUTED_VALUE"""),37530.0)</f>
        <v>37530</v>
      </c>
      <c r="I922" s="86">
        <f>IFERROR(__xludf.DUMMYFUNCTION("""COMPUTED_VALUE"""),14.008333333333333)</f>
        <v>14.00833333</v>
      </c>
      <c r="J922" s="87">
        <f>IFERROR(__xludf.DUMMYFUNCTION("""COMPUTED_VALUE"""),70.0)</f>
        <v>70</v>
      </c>
      <c r="K922" s="88">
        <f>IFERROR(__xludf.DUMMYFUNCTION("""COMPUTED_VALUE"""),7.5)</f>
        <v>7.5</v>
      </c>
      <c r="L922" s="89">
        <f>IFERROR(__xludf.DUMMYFUNCTION("""COMPUTED_VALUE"""),2.0)</f>
        <v>2</v>
      </c>
      <c r="M922" s="26" t="str">
        <f>IFERROR(__xludf.DUMMYFUNCTION("""COMPUTED_VALUE"""),"Shooter")</f>
        <v>Shooter</v>
      </c>
      <c r="N922" s="26" t="str">
        <f>IFERROR(__xludf.DUMMYFUNCTION("""COMPUTED_VALUE"""),"PS3")</f>
        <v>PS3</v>
      </c>
      <c r="O922" s="26" t="str">
        <f>IFERROR(__xludf.DUMMYFUNCTION("""COMPUTED_VALUE"""),"No")</f>
        <v>No</v>
      </c>
      <c r="P922" s="26"/>
    </row>
    <row r="923">
      <c r="A923" s="81" t="str">
        <f>IFERROR(__xludf.DUMMYFUNCTION("""COMPUTED_VALUE"""),"Ni No Kuni: Wrath of the White Witch")</f>
        <v>Ni No Kuni: Wrath of the White Witch</v>
      </c>
      <c r="B923" s="82" t="str">
        <f>IFERROR(__xludf.DUMMYFUNCTION("""COMPUTED_VALUE"""),"PS5/PS4")</f>
        <v>PS5/PS4</v>
      </c>
      <c r="C923" s="83" t="str">
        <f>IFERROR(__xludf.DUMMYFUNCTION("""COMPUTED_VALUE"""),"Playstation Now (Discontinued)")</f>
        <v>Playstation Now (Discontinued)</v>
      </c>
      <c r="D923" s="82" t="str">
        <f>IFERROR(__xludf.DUMMYFUNCTION("""COMPUTED_VALUE"""),"Removed")</f>
        <v>Removed</v>
      </c>
      <c r="E923" s="84">
        <f>IFERROR(__xludf.DUMMYFUNCTION("""COMPUTED_VALUE"""),42612.0)</f>
        <v>42612</v>
      </c>
      <c r="F923" s="85">
        <f>IFERROR(__xludf.DUMMYFUNCTION("""COMPUTED_VALUE"""),44725.0)</f>
        <v>44725</v>
      </c>
      <c r="G923" s="86">
        <f>IFERROR(__xludf.DUMMYFUNCTION("""COMPUTED_VALUE"""),69.43333333333334)</f>
        <v>69.43333333</v>
      </c>
      <c r="H923" s="84">
        <f>IFERROR(__xludf.DUMMYFUNCTION("""COMPUTED_VALUE"""),41296.0)</f>
        <v>41296</v>
      </c>
      <c r="I923" s="86">
        <f>IFERROR(__xludf.DUMMYFUNCTION("""COMPUTED_VALUE"""),3.6055555555555556)</f>
        <v>3.605555556</v>
      </c>
      <c r="J923" s="87">
        <f>IFERROR(__xludf.DUMMYFUNCTION("""COMPUTED_VALUE"""),85.0)</f>
        <v>85</v>
      </c>
      <c r="K923" s="88">
        <f>IFERROR(__xludf.DUMMYFUNCTION("""COMPUTED_VALUE"""),8.6)</f>
        <v>8.6</v>
      </c>
      <c r="L923" s="89">
        <f>IFERROR(__xludf.DUMMYFUNCTION("""COMPUTED_VALUE"""),44.0)</f>
        <v>44</v>
      </c>
      <c r="M923" s="26" t="str">
        <f>IFERROR(__xludf.DUMMYFUNCTION("""COMPUTED_VALUE"""),"RPG")</f>
        <v>RPG</v>
      </c>
      <c r="N923" s="26"/>
      <c r="O923" s="26" t="str">
        <f>IFERROR(__xludf.DUMMYFUNCTION("""COMPUTED_VALUE"""),"No")</f>
        <v>No</v>
      </c>
      <c r="P923" s="26"/>
    </row>
    <row r="924">
      <c r="A924" s="81" t="str">
        <f>IFERROR(__xludf.DUMMYFUNCTION("""COMPUTED_VALUE"""),"The Legend of Heroes: Trails of Cold Steel")</f>
        <v>The Legend of Heroes: Trails of Cold Steel</v>
      </c>
      <c r="B924" s="82" t="str">
        <f>IFERROR(__xludf.DUMMYFUNCTION("""COMPUTED_VALUE"""),"PS5/PS4")</f>
        <v>PS5/PS4</v>
      </c>
      <c r="C924" s="83" t="str">
        <f>IFERROR(__xludf.DUMMYFUNCTION("""COMPUTED_VALUE"""),"Playstation Now (Discontinued)")</f>
        <v>Playstation Now (Discontinued)</v>
      </c>
      <c r="D924" s="82" t="str">
        <f>IFERROR(__xludf.DUMMYFUNCTION("""COMPUTED_VALUE"""),"Removed")</f>
        <v>Removed</v>
      </c>
      <c r="E924" s="84">
        <f>IFERROR(__xludf.DUMMYFUNCTION("""COMPUTED_VALUE"""),42592.0)</f>
        <v>42592</v>
      </c>
      <c r="F924" s="85">
        <f>IFERROR(__xludf.DUMMYFUNCTION("""COMPUTED_VALUE"""),44725.0)</f>
        <v>44725</v>
      </c>
      <c r="G924" s="86">
        <f>IFERROR(__xludf.DUMMYFUNCTION("""COMPUTED_VALUE"""),70.1)</f>
        <v>70.1</v>
      </c>
      <c r="H924" s="84">
        <f>IFERROR(__xludf.DUMMYFUNCTION("""COMPUTED_VALUE"""),42360.0)</f>
        <v>42360</v>
      </c>
      <c r="I924" s="86">
        <f>IFERROR(__xludf.DUMMYFUNCTION("""COMPUTED_VALUE"""),0.6333333333333333)</f>
        <v>0.6333333333</v>
      </c>
      <c r="J924" s="87">
        <f>IFERROR(__xludf.DUMMYFUNCTION("""COMPUTED_VALUE"""),77.0)</f>
        <v>77</v>
      </c>
      <c r="K924" s="88">
        <f>IFERROR(__xludf.DUMMYFUNCTION("""COMPUTED_VALUE"""),8.3)</f>
        <v>8.3</v>
      </c>
      <c r="L924" s="89">
        <f>IFERROR(__xludf.DUMMYFUNCTION("""COMPUTED_VALUE"""),55.0)</f>
        <v>55</v>
      </c>
      <c r="M924" s="26" t="str">
        <f>IFERROR(__xludf.DUMMYFUNCTION("""COMPUTED_VALUE"""),"RPG")</f>
        <v>RPG</v>
      </c>
      <c r="N924" s="26" t="str">
        <f>IFERROR(__xludf.DUMMYFUNCTION("""COMPUTED_VALUE"""),"PS3")</f>
        <v>PS3</v>
      </c>
      <c r="O924" s="26" t="str">
        <f>IFERROR(__xludf.DUMMYFUNCTION("""COMPUTED_VALUE"""),"No")</f>
        <v>No</v>
      </c>
      <c r="P924" s="26"/>
    </row>
    <row r="925">
      <c r="A925" s="81" t="str">
        <f>IFERROR(__xludf.DUMMYFUNCTION("""COMPUTED_VALUE"""),"The Awakened Fate Ultimatum")</f>
        <v>The Awakened Fate Ultimatum</v>
      </c>
      <c r="B925" s="82" t="str">
        <f>IFERROR(__xludf.DUMMYFUNCTION("""COMPUTED_VALUE"""),"PS5/PS4")</f>
        <v>PS5/PS4</v>
      </c>
      <c r="C925" s="83" t="str">
        <f>IFERROR(__xludf.DUMMYFUNCTION("""COMPUTED_VALUE"""),"Playstation Now (Discontinued)")</f>
        <v>Playstation Now (Discontinued)</v>
      </c>
      <c r="D925" s="82" t="str">
        <f>IFERROR(__xludf.DUMMYFUNCTION("""COMPUTED_VALUE"""),"Removed")</f>
        <v>Removed</v>
      </c>
      <c r="E925" s="84">
        <f>IFERROR(__xludf.DUMMYFUNCTION("""COMPUTED_VALUE"""),42592.0)</f>
        <v>42592</v>
      </c>
      <c r="F925" s="85">
        <f>IFERROR(__xludf.DUMMYFUNCTION("""COMPUTED_VALUE"""),44725.0)</f>
        <v>44725</v>
      </c>
      <c r="G925" s="86">
        <f>IFERROR(__xludf.DUMMYFUNCTION("""COMPUTED_VALUE"""),70.1)</f>
        <v>70.1</v>
      </c>
      <c r="H925" s="84">
        <f>IFERROR(__xludf.DUMMYFUNCTION("""COMPUTED_VALUE"""),42080.0)</f>
        <v>42080</v>
      </c>
      <c r="I925" s="86">
        <f>IFERROR(__xludf.DUMMYFUNCTION("""COMPUTED_VALUE"""),1.3972222222222221)</f>
        <v>1.397222222</v>
      </c>
      <c r="J925" s="87">
        <f>IFERROR(__xludf.DUMMYFUNCTION("""COMPUTED_VALUE"""),63.0)</f>
        <v>63</v>
      </c>
      <c r="K925" s="88">
        <f>IFERROR(__xludf.DUMMYFUNCTION("""COMPUTED_VALUE"""),7.0)</f>
        <v>7</v>
      </c>
      <c r="L925" s="89">
        <f>IFERROR(__xludf.DUMMYFUNCTION("""COMPUTED_VALUE"""),25.0)</f>
        <v>25</v>
      </c>
      <c r="M925" s="26" t="str">
        <f>IFERROR(__xludf.DUMMYFUNCTION("""COMPUTED_VALUE"""),"RPG")</f>
        <v>RPG</v>
      </c>
      <c r="N925" s="26"/>
      <c r="O925" s="26" t="str">
        <f>IFERROR(__xludf.DUMMYFUNCTION("""COMPUTED_VALUE"""),"No")</f>
        <v>No</v>
      </c>
      <c r="P925" s="26"/>
    </row>
    <row r="926">
      <c r="A926" s="81" t="str">
        <f>IFERROR(__xludf.DUMMYFUNCTION("""COMPUTED_VALUE"""),"Counter Spy")</f>
        <v>Counter Spy</v>
      </c>
      <c r="B926" s="82" t="str">
        <f>IFERROR(__xludf.DUMMYFUNCTION("""COMPUTED_VALUE"""),"PS5/PS4")</f>
        <v>PS5/PS4</v>
      </c>
      <c r="C926" s="83" t="str">
        <f>IFERROR(__xludf.DUMMYFUNCTION("""COMPUTED_VALUE"""),"Playstation Now (Discontinued)")</f>
        <v>Playstation Now (Discontinued)</v>
      </c>
      <c r="D926" s="82" t="str">
        <f>IFERROR(__xludf.DUMMYFUNCTION("""COMPUTED_VALUE"""),"Removed")</f>
        <v>Removed</v>
      </c>
      <c r="E926" s="84">
        <f>IFERROR(__xludf.DUMMYFUNCTION("""COMPUTED_VALUE"""),42528.0)</f>
        <v>42528</v>
      </c>
      <c r="F926" s="85">
        <f>IFERROR(__xludf.DUMMYFUNCTION("""COMPUTED_VALUE"""),44725.0)</f>
        <v>44725</v>
      </c>
      <c r="G926" s="86">
        <f>IFERROR(__xludf.DUMMYFUNCTION("""COMPUTED_VALUE"""),72.2)</f>
        <v>72.2</v>
      </c>
      <c r="H926" s="84">
        <f>IFERROR(__xludf.DUMMYFUNCTION("""COMPUTED_VALUE"""),41870.0)</f>
        <v>41870</v>
      </c>
      <c r="I926" s="86">
        <f>IFERROR(__xludf.DUMMYFUNCTION("""COMPUTED_VALUE"""),1.8)</f>
        <v>1.8</v>
      </c>
      <c r="J926" s="87">
        <f>IFERROR(__xludf.DUMMYFUNCTION("""COMPUTED_VALUE"""),72.0)</f>
        <v>72</v>
      </c>
      <c r="K926" s="88">
        <f>IFERROR(__xludf.DUMMYFUNCTION("""COMPUTED_VALUE"""),6.9)</f>
        <v>6.9</v>
      </c>
      <c r="L926" s="89">
        <f>IFERROR(__xludf.DUMMYFUNCTION("""COMPUTED_VALUE"""),4.0)</f>
        <v>4</v>
      </c>
      <c r="M926" s="26" t="str">
        <f>IFERROR(__xludf.DUMMYFUNCTION("""COMPUTED_VALUE"""),"Action-Adventure")</f>
        <v>Action-Adventure</v>
      </c>
      <c r="N926" s="26"/>
      <c r="O926" s="26" t="str">
        <f>IFERROR(__xludf.DUMMYFUNCTION("""COMPUTED_VALUE"""),"No")</f>
        <v>No</v>
      </c>
      <c r="P926" s="26"/>
    </row>
    <row r="927">
      <c r="A927" s="81" t="str">
        <f>IFERROR(__xludf.DUMMYFUNCTION("""COMPUTED_VALUE"""),"Hohokum")</f>
        <v>Hohokum</v>
      </c>
      <c r="B927" s="82" t="str">
        <f>IFERROR(__xludf.DUMMYFUNCTION("""COMPUTED_VALUE"""),"PS5/PS4")</f>
        <v>PS5/PS4</v>
      </c>
      <c r="C927" s="83" t="str">
        <f>IFERROR(__xludf.DUMMYFUNCTION("""COMPUTED_VALUE"""),"Playstation Now (Discontinued)")</f>
        <v>Playstation Now (Discontinued)</v>
      </c>
      <c r="D927" s="82" t="str">
        <f>IFERROR(__xludf.DUMMYFUNCTION("""COMPUTED_VALUE"""),"Removed")</f>
        <v>Removed</v>
      </c>
      <c r="E927" s="84">
        <f>IFERROR(__xludf.DUMMYFUNCTION("""COMPUTED_VALUE"""),42528.0)</f>
        <v>42528</v>
      </c>
      <c r="F927" s="85">
        <f>IFERROR(__xludf.DUMMYFUNCTION("""COMPUTED_VALUE"""),44725.0)</f>
        <v>44725</v>
      </c>
      <c r="G927" s="86">
        <f>IFERROR(__xludf.DUMMYFUNCTION("""COMPUTED_VALUE"""),72.2)</f>
        <v>72.2</v>
      </c>
      <c r="H927" s="84">
        <f>IFERROR(__xludf.DUMMYFUNCTION("""COMPUTED_VALUE"""),41863.0)</f>
        <v>41863</v>
      </c>
      <c r="I927" s="86">
        <f>IFERROR(__xludf.DUMMYFUNCTION("""COMPUTED_VALUE"""),1.8194444444444444)</f>
        <v>1.819444444</v>
      </c>
      <c r="J927" s="87">
        <f>IFERROR(__xludf.DUMMYFUNCTION("""COMPUTED_VALUE"""),67.0)</f>
        <v>67</v>
      </c>
      <c r="K927" s="88">
        <f>IFERROR(__xludf.DUMMYFUNCTION("""COMPUTED_VALUE"""),6.7)</f>
        <v>6.7</v>
      </c>
      <c r="L927" s="89">
        <f>IFERROR(__xludf.DUMMYFUNCTION("""COMPUTED_VALUE"""),2.5)</f>
        <v>2.5</v>
      </c>
      <c r="M927" s="26" t="str">
        <f>IFERROR(__xludf.DUMMYFUNCTION("""COMPUTED_VALUE"""),"Action-Adventure")</f>
        <v>Action-Adventure</v>
      </c>
      <c r="N927" s="26"/>
      <c r="O927" s="26" t="str">
        <f>IFERROR(__xludf.DUMMYFUNCTION("""COMPUTED_VALUE"""),"No")</f>
        <v>No</v>
      </c>
      <c r="P927" s="26"/>
    </row>
    <row r="928">
      <c r="A928" s="81" t="str">
        <f>IFERROR(__xludf.DUMMYFUNCTION("""COMPUTED_VALUE"""),"Spec Ops: The Line")</f>
        <v>Spec Ops: The Line</v>
      </c>
      <c r="B928" s="82" t="str">
        <f>IFERROR(__xludf.DUMMYFUNCTION("""COMPUTED_VALUE"""),"PS5/PS4")</f>
        <v>PS5/PS4</v>
      </c>
      <c r="C928" s="83" t="str">
        <f>IFERROR(__xludf.DUMMYFUNCTION("""COMPUTED_VALUE"""),"Playstation Now (Discontinued)")</f>
        <v>Playstation Now (Discontinued)</v>
      </c>
      <c r="D928" s="82" t="str">
        <f>IFERROR(__xludf.DUMMYFUNCTION("""COMPUTED_VALUE"""),"Removed")</f>
        <v>Removed</v>
      </c>
      <c r="E928" s="84">
        <f>IFERROR(__xludf.DUMMYFUNCTION("""COMPUTED_VALUE"""),42528.0)</f>
        <v>42528</v>
      </c>
      <c r="F928" s="85">
        <f>IFERROR(__xludf.DUMMYFUNCTION("""COMPUTED_VALUE"""),44725.0)</f>
        <v>44725</v>
      </c>
      <c r="G928" s="86">
        <f>IFERROR(__xludf.DUMMYFUNCTION("""COMPUTED_VALUE"""),72.2)</f>
        <v>72.2</v>
      </c>
      <c r="H928" s="84">
        <f>IFERROR(__xludf.DUMMYFUNCTION("""COMPUTED_VALUE"""),41061.0)</f>
        <v>41061</v>
      </c>
      <c r="I928" s="86">
        <f>IFERROR(__xludf.DUMMYFUNCTION("""COMPUTED_VALUE"""),4.016666666666667)</f>
        <v>4.016666667</v>
      </c>
      <c r="J928" s="87">
        <f>IFERROR(__xludf.DUMMYFUNCTION("""COMPUTED_VALUE"""),77.0)</f>
        <v>77</v>
      </c>
      <c r="K928" s="88">
        <f>IFERROR(__xludf.DUMMYFUNCTION("""COMPUTED_VALUE"""),8.0)</f>
        <v>8</v>
      </c>
      <c r="L928" s="89">
        <f>IFERROR(__xludf.DUMMYFUNCTION("""COMPUTED_VALUE"""),6.5)</f>
        <v>6.5</v>
      </c>
      <c r="M928" s="26" t="str">
        <f>IFERROR(__xludf.DUMMYFUNCTION("""COMPUTED_VALUE"""),"Shooter")</f>
        <v>Shooter</v>
      </c>
      <c r="N928" s="26" t="str">
        <f>IFERROR(__xludf.DUMMYFUNCTION("""COMPUTED_VALUE"""),"PS3")</f>
        <v>PS3</v>
      </c>
      <c r="O928" s="26" t="str">
        <f>IFERROR(__xludf.DUMMYFUNCTION("""COMPUTED_VALUE"""),"No")</f>
        <v>No</v>
      </c>
      <c r="P928" s="26"/>
    </row>
    <row r="929">
      <c r="A929" s="81" t="str">
        <f>IFERROR(__xludf.DUMMYFUNCTION("""COMPUTED_VALUE"""),"Katamari Forever")</f>
        <v>Katamari Forever</v>
      </c>
      <c r="B929" s="82" t="str">
        <f>IFERROR(__xludf.DUMMYFUNCTION("""COMPUTED_VALUE"""),"PS5/PS4")</f>
        <v>PS5/PS4</v>
      </c>
      <c r="C929" s="83" t="str">
        <f>IFERROR(__xludf.DUMMYFUNCTION("""COMPUTED_VALUE"""),"Playstation Now (Discontinued)")</f>
        <v>Playstation Now (Discontinued)</v>
      </c>
      <c r="D929" s="82" t="str">
        <f>IFERROR(__xludf.DUMMYFUNCTION("""COMPUTED_VALUE"""),"Removed")</f>
        <v>Removed</v>
      </c>
      <c r="E929" s="84">
        <f>IFERROR(__xludf.DUMMYFUNCTION("""COMPUTED_VALUE"""),42493.0)</f>
        <v>42493</v>
      </c>
      <c r="F929" s="85">
        <f>IFERROR(__xludf.DUMMYFUNCTION("""COMPUTED_VALUE"""),44725.0)</f>
        <v>44725</v>
      </c>
      <c r="G929" s="86">
        <f>IFERROR(__xludf.DUMMYFUNCTION("""COMPUTED_VALUE"""),73.33333333333333)</f>
        <v>73.33333333</v>
      </c>
      <c r="H929" s="84">
        <f>IFERROR(__xludf.DUMMYFUNCTION("""COMPUTED_VALUE"""),40057.0)</f>
        <v>40057</v>
      </c>
      <c r="I929" s="86">
        <f>IFERROR(__xludf.DUMMYFUNCTION("""COMPUTED_VALUE"""),6.6722222222222225)</f>
        <v>6.672222222</v>
      </c>
      <c r="J929" s="87">
        <f>IFERROR(__xludf.DUMMYFUNCTION("""COMPUTED_VALUE"""),74.0)</f>
        <v>74</v>
      </c>
      <c r="K929" s="88">
        <f>IFERROR(__xludf.DUMMYFUNCTION("""COMPUTED_VALUE"""),7.5)</f>
        <v>7.5</v>
      </c>
      <c r="L929" s="89">
        <f>IFERROR(__xludf.DUMMYFUNCTION("""COMPUTED_VALUE"""),8.0)</f>
        <v>8</v>
      </c>
      <c r="M929" s="26" t="str">
        <f>IFERROR(__xludf.DUMMYFUNCTION("""COMPUTED_VALUE"""),"Action")</f>
        <v>Action</v>
      </c>
      <c r="N929" s="26" t="str">
        <f>IFERROR(__xludf.DUMMYFUNCTION("""COMPUTED_VALUE"""),"PS3")</f>
        <v>PS3</v>
      </c>
      <c r="O929" s="26" t="str">
        <f>IFERROR(__xludf.DUMMYFUNCTION("""COMPUTED_VALUE"""),"No")</f>
        <v>No</v>
      </c>
      <c r="P929" s="26"/>
    </row>
    <row r="930">
      <c r="A930" s="81" t="str">
        <f>IFERROR(__xludf.DUMMYFUNCTION("""COMPUTED_VALUE"""),"The Wolf Among Us")</f>
        <v>The Wolf Among Us</v>
      </c>
      <c r="B930" s="82" t="str">
        <f>IFERROR(__xludf.DUMMYFUNCTION("""COMPUTED_VALUE"""),"PS5/PS4")</f>
        <v>PS5/PS4</v>
      </c>
      <c r="C930" s="83" t="str">
        <f>IFERROR(__xludf.DUMMYFUNCTION("""COMPUTED_VALUE"""),"Playstation Now (Discontinued)")</f>
        <v>Playstation Now (Discontinued)</v>
      </c>
      <c r="D930" s="82" t="str">
        <f>IFERROR(__xludf.DUMMYFUNCTION("""COMPUTED_VALUE"""),"Removed")</f>
        <v>Removed</v>
      </c>
      <c r="E930" s="84">
        <f>IFERROR(__xludf.DUMMYFUNCTION("""COMPUTED_VALUE"""),42430.0)</f>
        <v>42430</v>
      </c>
      <c r="F930" s="85">
        <f>IFERROR(__xludf.DUMMYFUNCTION("""COMPUTED_VALUE"""),44725.0)</f>
        <v>44725</v>
      </c>
      <c r="G930" s="86">
        <f>IFERROR(__xludf.DUMMYFUNCTION("""COMPUTED_VALUE"""),75.4)</f>
        <v>75.4</v>
      </c>
      <c r="H930" s="84">
        <f>IFERROR(__xludf.DUMMYFUNCTION("""COMPUTED_VALUE"""),41828.0)</f>
        <v>41828</v>
      </c>
      <c r="I930" s="86">
        <f>IFERROR(__xludf.DUMMYFUNCTION("""COMPUTED_VALUE"""),1.6472222222222221)</f>
        <v>1.647222222</v>
      </c>
      <c r="J930" s="87">
        <f>IFERROR(__xludf.DUMMYFUNCTION("""COMPUTED_VALUE"""),85.0)</f>
        <v>85</v>
      </c>
      <c r="K930" s="88">
        <f>IFERROR(__xludf.DUMMYFUNCTION("""COMPUTED_VALUE"""),8.5)</f>
        <v>8.5</v>
      </c>
      <c r="L930" s="89">
        <f>IFERROR(__xludf.DUMMYFUNCTION("""COMPUTED_VALUE"""),10.0)</f>
        <v>10</v>
      </c>
      <c r="M930" s="26" t="str">
        <f>IFERROR(__xludf.DUMMYFUNCTION("""COMPUTED_VALUE"""),"Action-Adventure")</f>
        <v>Action-Adventure</v>
      </c>
      <c r="N930" s="26"/>
      <c r="O930" s="26" t="str">
        <f>IFERROR(__xludf.DUMMYFUNCTION("""COMPUTED_VALUE"""),"No")</f>
        <v>No</v>
      </c>
      <c r="P930" s="26"/>
    </row>
    <row r="931">
      <c r="A931" s="81" t="str">
        <f>IFERROR(__xludf.DUMMYFUNCTION("""COMPUTED_VALUE"""),"Under Night In-Birth Exe:Late")</f>
        <v>Under Night In-Birth Exe:Late</v>
      </c>
      <c r="B931" s="82" t="str">
        <f>IFERROR(__xludf.DUMMYFUNCTION("""COMPUTED_VALUE"""),"PS5/PS4")</f>
        <v>PS5/PS4</v>
      </c>
      <c r="C931" s="83" t="str">
        <f>IFERROR(__xludf.DUMMYFUNCTION("""COMPUTED_VALUE"""),"Playstation Now (Discontinued)")</f>
        <v>Playstation Now (Discontinued)</v>
      </c>
      <c r="D931" s="82" t="str">
        <f>IFERROR(__xludf.DUMMYFUNCTION("""COMPUTED_VALUE"""),"Removed")</f>
        <v>Removed</v>
      </c>
      <c r="E931" s="84">
        <f>IFERROR(__xludf.DUMMYFUNCTION("""COMPUTED_VALUE"""),42374.0)</f>
        <v>42374</v>
      </c>
      <c r="F931" s="85">
        <f>IFERROR(__xludf.DUMMYFUNCTION("""COMPUTED_VALUE"""),44725.0)</f>
        <v>44725</v>
      </c>
      <c r="G931" s="86">
        <f>IFERROR(__xludf.DUMMYFUNCTION("""COMPUTED_VALUE"""),77.26666666666667)</f>
        <v>77.26666667</v>
      </c>
      <c r="H931" s="84">
        <f>IFERROR(__xludf.DUMMYFUNCTION("""COMPUTED_VALUE"""),42059.0)</f>
        <v>42059</v>
      </c>
      <c r="I931" s="86">
        <f>IFERROR(__xludf.DUMMYFUNCTION("""COMPUTED_VALUE"""),0.8638888888888889)</f>
        <v>0.8638888889</v>
      </c>
      <c r="J931" s="87">
        <f>IFERROR(__xludf.DUMMYFUNCTION("""COMPUTED_VALUE"""),80.0)</f>
        <v>80</v>
      </c>
      <c r="K931" s="88">
        <f>IFERROR(__xludf.DUMMYFUNCTION("""COMPUTED_VALUE"""),8.3)</f>
        <v>8.3</v>
      </c>
      <c r="L931" s="89">
        <f>IFERROR(__xludf.DUMMYFUNCTION("""COMPUTED_VALUE"""),2.0)</f>
        <v>2</v>
      </c>
      <c r="M931" s="26" t="str">
        <f>IFERROR(__xludf.DUMMYFUNCTION("""COMPUTED_VALUE"""),"Fighting")</f>
        <v>Fighting</v>
      </c>
      <c r="N931" s="26"/>
      <c r="O931" s="26" t="str">
        <f>IFERROR(__xludf.DUMMYFUNCTION("""COMPUTED_VALUE"""),"No")</f>
        <v>No</v>
      </c>
      <c r="P931" s="26"/>
    </row>
    <row r="932">
      <c r="A932" s="81" t="str">
        <f>IFERROR(__xludf.DUMMYFUNCTION("""COMPUTED_VALUE"""),"Everyday Shooter")</f>
        <v>Everyday Shooter</v>
      </c>
      <c r="B932" s="82" t="str">
        <f>IFERROR(__xludf.DUMMYFUNCTION("""COMPUTED_VALUE"""),"PS5/PS4")</f>
        <v>PS5/PS4</v>
      </c>
      <c r="C932" s="83" t="str">
        <f>IFERROR(__xludf.DUMMYFUNCTION("""COMPUTED_VALUE"""),"Playstation Now (Discontinued)")</f>
        <v>Playstation Now (Discontinued)</v>
      </c>
      <c r="D932" s="82" t="str">
        <f>IFERROR(__xludf.DUMMYFUNCTION("""COMPUTED_VALUE"""),"Removed")</f>
        <v>Removed</v>
      </c>
      <c r="E932" s="84">
        <f>IFERROR(__xludf.DUMMYFUNCTION("""COMPUTED_VALUE"""),42374.0)</f>
        <v>42374</v>
      </c>
      <c r="F932" s="85">
        <f>IFERROR(__xludf.DUMMYFUNCTION("""COMPUTED_VALUE"""),44725.0)</f>
        <v>44725</v>
      </c>
      <c r="G932" s="86">
        <f>IFERROR(__xludf.DUMMYFUNCTION("""COMPUTED_VALUE"""),77.26666666666667)</f>
        <v>77.26666667</v>
      </c>
      <c r="H932" s="84">
        <f>IFERROR(__xludf.DUMMYFUNCTION("""COMPUTED_VALUE"""),39366.0)</f>
        <v>39366</v>
      </c>
      <c r="I932" s="86">
        <f>IFERROR(__xludf.DUMMYFUNCTION("""COMPUTED_VALUE"""),8.233333333333333)</f>
        <v>8.233333333</v>
      </c>
      <c r="J932" s="87">
        <f>IFERROR(__xludf.DUMMYFUNCTION("""COMPUTED_VALUE"""),79.0)</f>
        <v>79</v>
      </c>
      <c r="K932" s="88">
        <f>IFERROR(__xludf.DUMMYFUNCTION("""COMPUTED_VALUE"""),7.5)</f>
        <v>7.5</v>
      </c>
      <c r="L932" s="89">
        <f>IFERROR(__xludf.DUMMYFUNCTION("""COMPUTED_VALUE"""),3.0)</f>
        <v>3</v>
      </c>
      <c r="M932" s="26" t="str">
        <f>IFERROR(__xludf.DUMMYFUNCTION("""COMPUTED_VALUE"""),"Shooter")</f>
        <v>Shooter</v>
      </c>
      <c r="N932" s="26"/>
      <c r="O932" s="26" t="str">
        <f>IFERROR(__xludf.DUMMYFUNCTION("""COMPUTED_VALUE"""),"No")</f>
        <v>No</v>
      </c>
      <c r="P932" s="26"/>
    </row>
    <row r="933">
      <c r="A933" s="81" t="str">
        <f>IFERROR(__xludf.DUMMYFUNCTION("""COMPUTED_VALUE"""),"KILLZONE HD")</f>
        <v>KILLZONE HD</v>
      </c>
      <c r="B933" s="82" t="str">
        <f>IFERROR(__xludf.DUMMYFUNCTION("""COMPUTED_VALUE"""),"PS5/PS4")</f>
        <v>PS5/PS4</v>
      </c>
      <c r="C933" s="83" t="str">
        <f>IFERROR(__xludf.DUMMYFUNCTION("""COMPUTED_VALUE"""),"Playstation Now (Discontinued)")</f>
        <v>Playstation Now (Discontinued)</v>
      </c>
      <c r="D933" s="82" t="str">
        <f>IFERROR(__xludf.DUMMYFUNCTION("""COMPUTED_VALUE"""),"Removed")</f>
        <v>Removed</v>
      </c>
      <c r="E933" s="84">
        <f>IFERROR(__xludf.DUMMYFUNCTION("""COMPUTED_VALUE"""),42374.0)</f>
        <v>42374</v>
      </c>
      <c r="F933" s="85">
        <f>IFERROR(__xludf.DUMMYFUNCTION("""COMPUTED_VALUE"""),44725.0)</f>
        <v>44725</v>
      </c>
      <c r="G933" s="86">
        <f>IFERROR(__xludf.DUMMYFUNCTION("""COMPUTED_VALUE"""),77.26666666666667)</f>
        <v>77.26666667</v>
      </c>
      <c r="H933" s="84">
        <f>IFERROR(__xludf.DUMMYFUNCTION("""COMPUTED_VALUE"""),41205.0)</f>
        <v>41205</v>
      </c>
      <c r="I933" s="86">
        <f>IFERROR(__xludf.DUMMYFUNCTION("""COMPUTED_VALUE"""),3.2)</f>
        <v>3.2</v>
      </c>
      <c r="J933" s="87">
        <f>IFERROR(__xludf.DUMMYFUNCTION("""COMPUTED_VALUE"""),70.0)</f>
        <v>70</v>
      </c>
      <c r="K933" s="88">
        <f>IFERROR(__xludf.DUMMYFUNCTION("""COMPUTED_VALUE"""),7.6)</f>
        <v>7.6</v>
      </c>
      <c r="L933" s="89">
        <f>IFERROR(__xludf.DUMMYFUNCTION("""COMPUTED_VALUE"""),6.5)</f>
        <v>6.5</v>
      </c>
      <c r="M933" s="26" t="str">
        <f>IFERROR(__xludf.DUMMYFUNCTION("""COMPUTED_VALUE"""),"Shooter")</f>
        <v>Shooter</v>
      </c>
      <c r="N933" s="26"/>
      <c r="O933" s="26" t="str">
        <f>IFERROR(__xludf.DUMMYFUNCTION("""COMPUTED_VALUE"""),"No")</f>
        <v>No</v>
      </c>
      <c r="P933" s="26"/>
    </row>
    <row r="934">
      <c r="A934" s="81" t="str">
        <f>IFERROR(__xludf.DUMMYFUNCTION("""COMPUTED_VALUE"""),"Super Stacker Party")</f>
        <v>Super Stacker Party</v>
      </c>
      <c r="B934" s="82" t="str">
        <f>IFERROR(__xludf.DUMMYFUNCTION("""COMPUTED_VALUE"""),"PS5/PS4")</f>
        <v>PS5/PS4</v>
      </c>
      <c r="C934" s="83" t="str">
        <f>IFERROR(__xludf.DUMMYFUNCTION("""COMPUTED_VALUE"""),"Playstation Now (Discontinued)")</f>
        <v>Playstation Now (Discontinued)</v>
      </c>
      <c r="D934" s="82" t="str">
        <f>IFERROR(__xludf.DUMMYFUNCTION("""COMPUTED_VALUE"""),"Removed")</f>
        <v>Removed</v>
      </c>
      <c r="E934" s="84">
        <f>IFERROR(__xludf.DUMMYFUNCTION("""COMPUTED_VALUE"""),42374.0)</f>
        <v>42374</v>
      </c>
      <c r="F934" s="85">
        <f>IFERROR(__xludf.DUMMYFUNCTION("""COMPUTED_VALUE"""),44725.0)</f>
        <v>44725</v>
      </c>
      <c r="G934" s="86">
        <f>IFERROR(__xludf.DUMMYFUNCTION("""COMPUTED_VALUE"""),77.26666666666667)</f>
        <v>77.26666667</v>
      </c>
      <c r="H934" s="84">
        <f>IFERROR(__xludf.DUMMYFUNCTION("""COMPUTED_VALUE"""),40757.0)</f>
        <v>40757</v>
      </c>
      <c r="I934" s="86">
        <f>IFERROR(__xludf.DUMMYFUNCTION("""COMPUTED_VALUE"""),4.425)</f>
        <v>4.425</v>
      </c>
      <c r="J934" s="87"/>
      <c r="K934" s="88"/>
      <c r="L934" s="89"/>
      <c r="M934" s="26" t="str">
        <f>IFERROR(__xludf.DUMMYFUNCTION("""COMPUTED_VALUE"""),"Puzzle")</f>
        <v>Puzzle</v>
      </c>
      <c r="N934" s="26"/>
      <c r="O934" s="26" t="str">
        <f>IFERROR(__xludf.DUMMYFUNCTION("""COMPUTED_VALUE"""),"No")</f>
        <v>No</v>
      </c>
      <c r="P934" s="26"/>
    </row>
    <row r="935">
      <c r="A935" s="81" t="str">
        <f>IFERROR(__xludf.DUMMYFUNCTION("""COMPUTED_VALUE"""),"fLOW")</f>
        <v>fLOW</v>
      </c>
      <c r="B935" s="82" t="str">
        <f>IFERROR(__xludf.DUMMYFUNCTION("""COMPUTED_VALUE"""),"PS5/PS4")</f>
        <v>PS5/PS4</v>
      </c>
      <c r="C935" s="83" t="str">
        <f>IFERROR(__xludf.DUMMYFUNCTION("""COMPUTED_VALUE"""),"Playstation Now (Discontinued)")</f>
        <v>Playstation Now (Discontinued)</v>
      </c>
      <c r="D935" s="82" t="str">
        <f>IFERROR(__xludf.DUMMYFUNCTION("""COMPUTED_VALUE"""),"Removed")</f>
        <v>Removed</v>
      </c>
      <c r="E935" s="84">
        <f>IFERROR(__xludf.DUMMYFUNCTION("""COMPUTED_VALUE"""),42374.0)</f>
        <v>42374</v>
      </c>
      <c r="F935" s="85">
        <f>IFERROR(__xludf.DUMMYFUNCTION("""COMPUTED_VALUE"""),44725.0)</f>
        <v>44725</v>
      </c>
      <c r="G935" s="86">
        <f>IFERROR(__xludf.DUMMYFUNCTION("""COMPUTED_VALUE"""),77.26666666666667)</f>
        <v>77.26666667</v>
      </c>
      <c r="H935" s="84">
        <f>IFERROR(__xludf.DUMMYFUNCTION("""COMPUTED_VALUE"""),41609.0)</f>
        <v>41609</v>
      </c>
      <c r="I935" s="86">
        <f>IFERROR(__xludf.DUMMYFUNCTION("""COMPUTED_VALUE"""),2.0944444444444446)</f>
        <v>2.094444444</v>
      </c>
      <c r="J935" s="87">
        <f>IFERROR(__xludf.DUMMYFUNCTION("""COMPUTED_VALUE"""),71.0)</f>
        <v>71</v>
      </c>
      <c r="K935" s="88">
        <f>IFERROR(__xludf.DUMMYFUNCTION("""COMPUTED_VALUE"""),7.4)</f>
        <v>7.4</v>
      </c>
      <c r="L935" s="89">
        <f>IFERROR(__xludf.DUMMYFUNCTION("""COMPUTED_VALUE"""),1.0)</f>
        <v>1</v>
      </c>
      <c r="M935" s="26" t="str">
        <f>IFERROR(__xludf.DUMMYFUNCTION("""COMPUTED_VALUE"""),"Action")</f>
        <v>Action</v>
      </c>
      <c r="N935" s="26" t="str">
        <f>IFERROR(__xludf.DUMMYFUNCTION("""COMPUTED_VALUE"""),"PS3")</f>
        <v>PS3</v>
      </c>
      <c r="O935" s="26" t="str">
        <f>IFERROR(__xludf.DUMMYFUNCTION("""COMPUTED_VALUE"""),"No")</f>
        <v>No</v>
      </c>
      <c r="P935" s="26"/>
    </row>
    <row r="936">
      <c r="A936" s="81" t="str">
        <f>IFERROR(__xludf.DUMMYFUNCTION("""COMPUTED_VALUE"""),"Bentley's Hackpack")</f>
        <v>Bentley's Hackpack</v>
      </c>
      <c r="B936" s="82" t="str">
        <f>IFERROR(__xludf.DUMMYFUNCTION("""COMPUTED_VALUE"""),"PS5/PS4")</f>
        <v>PS5/PS4</v>
      </c>
      <c r="C936" s="83" t="str">
        <f>IFERROR(__xludf.DUMMYFUNCTION("""COMPUTED_VALUE"""),"Playstation Now (Discontinued)")</f>
        <v>Playstation Now (Discontinued)</v>
      </c>
      <c r="D936" s="82" t="str">
        <f>IFERROR(__xludf.DUMMYFUNCTION("""COMPUTED_VALUE"""),"Removed")</f>
        <v>Removed</v>
      </c>
      <c r="E936" s="84">
        <f>IFERROR(__xludf.DUMMYFUNCTION("""COMPUTED_VALUE"""),42374.0)</f>
        <v>42374</v>
      </c>
      <c r="F936" s="85">
        <f>IFERROR(__xludf.DUMMYFUNCTION("""COMPUTED_VALUE"""),44725.0)</f>
        <v>44725</v>
      </c>
      <c r="G936" s="86">
        <f>IFERROR(__xludf.DUMMYFUNCTION("""COMPUTED_VALUE"""),77.26666666666667)</f>
        <v>77.26666667</v>
      </c>
      <c r="H936" s="84">
        <f>IFERROR(__xludf.DUMMYFUNCTION("""COMPUTED_VALUE"""),41618.0)</f>
        <v>41618</v>
      </c>
      <c r="I936" s="86">
        <f>IFERROR(__xludf.DUMMYFUNCTION("""COMPUTED_VALUE"""),2.0694444444444446)</f>
        <v>2.069444444</v>
      </c>
      <c r="J936" s="87">
        <f>IFERROR(__xludf.DUMMYFUNCTION("""COMPUTED_VALUE"""),60.0)</f>
        <v>60</v>
      </c>
      <c r="K936" s="88">
        <f>IFERROR(__xludf.DUMMYFUNCTION("""COMPUTED_VALUE"""),7.3)</f>
        <v>7.3</v>
      </c>
      <c r="L936" s="89"/>
      <c r="M936" s="26" t="str">
        <f>IFERROR(__xludf.DUMMYFUNCTION("""COMPUTED_VALUE"""),"Party")</f>
        <v>Party</v>
      </c>
      <c r="N936" s="26" t="str">
        <f>IFERROR(__xludf.DUMMYFUNCTION("""COMPUTED_VALUE"""),"PS3")</f>
        <v>PS3</v>
      </c>
      <c r="O936" s="26" t="str">
        <f>IFERROR(__xludf.DUMMYFUNCTION("""COMPUTED_VALUE"""),"No")</f>
        <v>No</v>
      </c>
      <c r="P936" s="26"/>
    </row>
    <row r="937">
      <c r="A937" s="81" t="str">
        <f>IFERROR(__xludf.DUMMYFUNCTION("""COMPUTED_VALUE"""),"Journey")</f>
        <v>Journey</v>
      </c>
      <c r="B937" s="82" t="str">
        <f>IFERROR(__xludf.DUMMYFUNCTION("""COMPUTED_VALUE"""),"PS5/PS4")</f>
        <v>PS5/PS4</v>
      </c>
      <c r="C937" s="83" t="str">
        <f>IFERROR(__xludf.DUMMYFUNCTION("""COMPUTED_VALUE"""),"Playstation Now (Discontinued)")</f>
        <v>Playstation Now (Discontinued)</v>
      </c>
      <c r="D937" s="82" t="str">
        <f>IFERROR(__xludf.DUMMYFUNCTION("""COMPUTED_VALUE"""),"Removed")</f>
        <v>Removed</v>
      </c>
      <c r="E937" s="84">
        <f>IFERROR(__xludf.DUMMYFUNCTION("""COMPUTED_VALUE"""),42374.0)</f>
        <v>42374</v>
      </c>
      <c r="F937" s="85">
        <f>IFERROR(__xludf.DUMMYFUNCTION("""COMPUTED_VALUE"""),44725.0)</f>
        <v>44725</v>
      </c>
      <c r="G937" s="86">
        <f>IFERROR(__xludf.DUMMYFUNCTION("""COMPUTED_VALUE"""),77.26666666666667)</f>
        <v>77.26666667</v>
      </c>
      <c r="H937" s="84">
        <f>IFERROR(__xludf.DUMMYFUNCTION("""COMPUTED_VALUE"""),41091.0)</f>
        <v>41091</v>
      </c>
      <c r="I937" s="86">
        <f>IFERROR(__xludf.DUMMYFUNCTION("""COMPUTED_VALUE"""),3.511111111111111)</f>
        <v>3.511111111</v>
      </c>
      <c r="J937" s="87">
        <f>IFERROR(__xludf.DUMMYFUNCTION("""COMPUTED_VALUE"""),92.0)</f>
        <v>92</v>
      </c>
      <c r="K937" s="88">
        <f>IFERROR(__xludf.DUMMYFUNCTION("""COMPUTED_VALUE"""),8.6)</f>
        <v>8.6</v>
      </c>
      <c r="L937" s="89">
        <f>IFERROR(__xludf.DUMMYFUNCTION("""COMPUTED_VALUE"""),2.5)</f>
        <v>2.5</v>
      </c>
      <c r="M937" s="26" t="str">
        <f>IFERROR(__xludf.DUMMYFUNCTION("""COMPUTED_VALUE"""),"Action-Adventure")</f>
        <v>Action-Adventure</v>
      </c>
      <c r="N937" s="26" t="str">
        <f>IFERROR(__xludf.DUMMYFUNCTION("""COMPUTED_VALUE"""),"PS3")</f>
        <v>PS3</v>
      </c>
      <c r="O937" s="26" t="str">
        <f>IFERROR(__xludf.DUMMYFUNCTION("""COMPUTED_VALUE"""),"No")</f>
        <v>No</v>
      </c>
      <c r="P937" s="26"/>
    </row>
    <row r="938">
      <c r="A938" s="81" t="str">
        <f>IFERROR(__xludf.DUMMYFUNCTION("""COMPUTED_VALUE"""),"Starhawk")</f>
        <v>Starhawk</v>
      </c>
      <c r="B938" s="82" t="str">
        <f>IFERROR(__xludf.DUMMYFUNCTION("""COMPUTED_VALUE"""),"PS5/PS4")</f>
        <v>PS5/PS4</v>
      </c>
      <c r="C938" s="83" t="str">
        <f>IFERROR(__xludf.DUMMYFUNCTION("""COMPUTED_VALUE"""),"Playstation Now (Discontinued)")</f>
        <v>Playstation Now (Discontinued)</v>
      </c>
      <c r="D938" s="82" t="str">
        <f>IFERROR(__xludf.DUMMYFUNCTION("""COMPUTED_VALUE"""),"Removed")</f>
        <v>Removed</v>
      </c>
      <c r="E938" s="84">
        <f>IFERROR(__xludf.DUMMYFUNCTION("""COMPUTED_VALUE"""),42374.0)</f>
        <v>42374</v>
      </c>
      <c r="F938" s="85">
        <f>IFERROR(__xludf.DUMMYFUNCTION("""COMPUTED_VALUE"""),44725.0)</f>
        <v>44725</v>
      </c>
      <c r="G938" s="86">
        <f>IFERROR(__xludf.DUMMYFUNCTION("""COMPUTED_VALUE"""),77.26666666666667)</f>
        <v>77.26666667</v>
      </c>
      <c r="H938" s="84">
        <f>IFERROR(__xludf.DUMMYFUNCTION("""COMPUTED_VALUE"""),41030.0)</f>
        <v>41030</v>
      </c>
      <c r="I938" s="86">
        <f>IFERROR(__xludf.DUMMYFUNCTION("""COMPUTED_VALUE"""),3.6777777777777776)</f>
        <v>3.677777778</v>
      </c>
      <c r="J938" s="87">
        <f>IFERROR(__xludf.DUMMYFUNCTION("""COMPUTED_VALUE"""),77.0)</f>
        <v>77</v>
      </c>
      <c r="K938" s="88">
        <f>IFERROR(__xludf.DUMMYFUNCTION("""COMPUTED_VALUE"""),7.7)</f>
        <v>7.7</v>
      </c>
      <c r="L938" s="89">
        <f>IFERROR(__xludf.DUMMYFUNCTION("""COMPUTED_VALUE"""),8.0)</f>
        <v>8</v>
      </c>
      <c r="M938" s="26" t="str">
        <f>IFERROR(__xludf.DUMMYFUNCTION("""COMPUTED_VALUE"""),"Shooter")</f>
        <v>Shooter</v>
      </c>
      <c r="N938" s="26" t="str">
        <f>IFERROR(__xludf.DUMMYFUNCTION("""COMPUTED_VALUE"""),"PS3")</f>
        <v>PS3</v>
      </c>
      <c r="O938" s="26" t="str">
        <f>IFERROR(__xludf.DUMMYFUNCTION("""COMPUTED_VALUE"""),"No")</f>
        <v>No</v>
      </c>
      <c r="P938" s="26"/>
    </row>
    <row r="939">
      <c r="A939" s="81" t="str">
        <f>IFERROR(__xludf.DUMMYFUNCTION("""COMPUTED_VALUE"""),"God of War: Ghost of Sparta")</f>
        <v>God of War: Ghost of Sparta</v>
      </c>
      <c r="B939" s="82" t="str">
        <f>IFERROR(__xludf.DUMMYFUNCTION("""COMPUTED_VALUE"""),"PS5/PS4")</f>
        <v>PS5/PS4</v>
      </c>
      <c r="C939" s="83" t="str">
        <f>IFERROR(__xludf.DUMMYFUNCTION("""COMPUTED_VALUE"""),"Playstation Now (Discontinued)")</f>
        <v>Playstation Now (Discontinued)</v>
      </c>
      <c r="D939" s="82" t="str">
        <f>IFERROR(__xludf.DUMMYFUNCTION("""COMPUTED_VALUE"""),"Removed")</f>
        <v>Removed</v>
      </c>
      <c r="E939" s="84">
        <f>IFERROR(__xludf.DUMMYFUNCTION("""COMPUTED_VALUE"""),42374.0)</f>
        <v>42374</v>
      </c>
      <c r="F939" s="85">
        <f>IFERROR(__xludf.DUMMYFUNCTION("""COMPUTED_VALUE"""),44725.0)</f>
        <v>44725</v>
      </c>
      <c r="G939" s="86">
        <f>IFERROR(__xludf.DUMMYFUNCTION("""COMPUTED_VALUE"""),77.26666666666667)</f>
        <v>77.26666667</v>
      </c>
      <c r="H939" s="84">
        <f>IFERROR(__xludf.DUMMYFUNCTION("""COMPUTED_VALUE"""),40452.0)</f>
        <v>40452</v>
      </c>
      <c r="I939" s="86">
        <f>IFERROR(__xludf.DUMMYFUNCTION("""COMPUTED_VALUE"""),5.261111111111111)</f>
        <v>5.261111111</v>
      </c>
      <c r="J939" s="87">
        <f>IFERROR(__xludf.DUMMYFUNCTION("""COMPUTED_VALUE"""),86.0)</f>
        <v>86</v>
      </c>
      <c r="K939" s="88">
        <f>IFERROR(__xludf.DUMMYFUNCTION("""COMPUTED_VALUE"""),8.8)</f>
        <v>8.8</v>
      </c>
      <c r="L939" s="89">
        <f>IFERROR(__xludf.DUMMYFUNCTION("""COMPUTED_VALUE"""),5.0)</f>
        <v>5</v>
      </c>
      <c r="M939" s="26" t="str">
        <f>IFERROR(__xludf.DUMMYFUNCTION("""COMPUTED_VALUE"""),"Action-Adventure")</f>
        <v>Action-Adventure</v>
      </c>
      <c r="N939" s="26" t="str">
        <f>IFERROR(__xludf.DUMMYFUNCTION("""COMPUTED_VALUE"""),"PS3")</f>
        <v>PS3</v>
      </c>
      <c r="O939" s="26" t="str">
        <f>IFERROR(__xludf.DUMMYFUNCTION("""COMPUTED_VALUE"""),"No")</f>
        <v>No</v>
      </c>
      <c r="P939" s="26"/>
    </row>
    <row r="940">
      <c r="A940" s="81" t="str">
        <f>IFERROR(__xludf.DUMMYFUNCTION("""COMPUTED_VALUE"""),"Gravity Crash")</f>
        <v>Gravity Crash</v>
      </c>
      <c r="B940" s="82" t="str">
        <f>IFERROR(__xludf.DUMMYFUNCTION("""COMPUTED_VALUE"""),"PS5/PS4")</f>
        <v>PS5/PS4</v>
      </c>
      <c r="C940" s="83" t="str">
        <f>IFERROR(__xludf.DUMMYFUNCTION("""COMPUTED_VALUE"""),"Playstation Now (Discontinued)")</f>
        <v>Playstation Now (Discontinued)</v>
      </c>
      <c r="D940" s="82" t="str">
        <f>IFERROR(__xludf.DUMMYFUNCTION("""COMPUTED_VALUE"""),"Removed")</f>
        <v>Removed</v>
      </c>
      <c r="E940" s="84">
        <f>IFERROR(__xludf.DUMMYFUNCTION("""COMPUTED_VALUE"""),42374.0)</f>
        <v>42374</v>
      </c>
      <c r="F940" s="85">
        <f>IFERROR(__xludf.DUMMYFUNCTION("""COMPUTED_VALUE"""),44725.0)</f>
        <v>44725</v>
      </c>
      <c r="G940" s="86">
        <f>IFERROR(__xludf.DUMMYFUNCTION("""COMPUTED_VALUE"""),77.26666666666667)</f>
        <v>77.26666667</v>
      </c>
      <c r="H940" s="84">
        <f>IFERROR(__xludf.DUMMYFUNCTION("""COMPUTED_VALUE"""),40087.0)</f>
        <v>40087</v>
      </c>
      <c r="I940" s="86">
        <f>IFERROR(__xludf.DUMMYFUNCTION("""COMPUTED_VALUE"""),6.261111111111111)</f>
        <v>6.261111111</v>
      </c>
      <c r="J940" s="87">
        <f>IFERROR(__xludf.DUMMYFUNCTION("""COMPUTED_VALUE"""),73.0)</f>
        <v>73</v>
      </c>
      <c r="K940" s="88">
        <f>IFERROR(__xludf.DUMMYFUNCTION("""COMPUTED_VALUE"""),7.0)</f>
        <v>7</v>
      </c>
      <c r="L940" s="89">
        <f>IFERROR(__xludf.DUMMYFUNCTION("""COMPUTED_VALUE"""),3.0)</f>
        <v>3</v>
      </c>
      <c r="M940" s="26" t="str">
        <f>IFERROR(__xludf.DUMMYFUNCTION("""COMPUTED_VALUE"""),"Shooter")</f>
        <v>Shooter</v>
      </c>
      <c r="N940" s="26" t="str">
        <f>IFERROR(__xludf.DUMMYFUNCTION("""COMPUTED_VALUE"""),"PS3")</f>
        <v>PS3</v>
      </c>
      <c r="O940" s="26" t="str">
        <f>IFERROR(__xludf.DUMMYFUNCTION("""COMPUTED_VALUE"""),"No")</f>
        <v>No</v>
      </c>
      <c r="P940" s="26"/>
    </row>
    <row r="941">
      <c r="A941" s="81" t="str">
        <f>IFERROR(__xludf.DUMMYFUNCTION("""COMPUTED_VALUE"""),"Flower")</f>
        <v>Flower</v>
      </c>
      <c r="B941" s="82" t="str">
        <f>IFERROR(__xludf.DUMMYFUNCTION("""COMPUTED_VALUE"""),"PS5/PS4")</f>
        <v>PS5/PS4</v>
      </c>
      <c r="C941" s="83" t="str">
        <f>IFERROR(__xludf.DUMMYFUNCTION("""COMPUTED_VALUE"""),"Playstation Now (Discontinued)")</f>
        <v>Playstation Now (Discontinued)</v>
      </c>
      <c r="D941" s="82" t="str">
        <f>IFERROR(__xludf.DUMMYFUNCTION("""COMPUTED_VALUE"""),"Removed")</f>
        <v>Removed</v>
      </c>
      <c r="E941" s="84">
        <f>IFERROR(__xludf.DUMMYFUNCTION("""COMPUTED_VALUE"""),42374.0)</f>
        <v>42374</v>
      </c>
      <c r="F941" s="85">
        <f>IFERROR(__xludf.DUMMYFUNCTION("""COMPUTED_VALUE"""),44725.0)</f>
        <v>44725</v>
      </c>
      <c r="G941" s="86">
        <f>IFERROR(__xludf.DUMMYFUNCTION("""COMPUTED_VALUE"""),77.26666666666667)</f>
        <v>77.26666667</v>
      </c>
      <c r="H941" s="84">
        <f>IFERROR(__xludf.DUMMYFUNCTION("""COMPUTED_VALUE"""),39845.0)</f>
        <v>39845</v>
      </c>
      <c r="I941" s="86">
        <f>IFERROR(__xludf.DUMMYFUNCTION("""COMPUTED_VALUE"""),6.927777777777778)</f>
        <v>6.927777778</v>
      </c>
      <c r="J941" s="87">
        <f>IFERROR(__xludf.DUMMYFUNCTION("""COMPUTED_VALUE"""),87.0)</f>
        <v>87</v>
      </c>
      <c r="K941" s="88">
        <f>IFERROR(__xludf.DUMMYFUNCTION("""COMPUTED_VALUE"""),8.3)</f>
        <v>8.3</v>
      </c>
      <c r="L941" s="89">
        <f>IFERROR(__xludf.DUMMYFUNCTION("""COMPUTED_VALUE"""),2.0)</f>
        <v>2</v>
      </c>
      <c r="M941" s="26" t="str">
        <f>IFERROR(__xludf.DUMMYFUNCTION("""COMPUTED_VALUE"""),"Action-Adventure")</f>
        <v>Action-Adventure</v>
      </c>
      <c r="N941" s="26" t="str">
        <f>IFERROR(__xludf.DUMMYFUNCTION("""COMPUTED_VALUE"""),"PS3")</f>
        <v>PS3</v>
      </c>
      <c r="O941" s="26" t="str">
        <f>IFERROR(__xludf.DUMMYFUNCTION("""COMPUTED_VALUE"""),"No")</f>
        <v>No</v>
      </c>
      <c r="P941" s="26"/>
    </row>
    <row r="942">
      <c r="A942" s="81" t="str">
        <f>IFERROR(__xludf.DUMMYFUNCTION("""COMPUTED_VALUE"""),"KILLZONE 2")</f>
        <v>KILLZONE 2</v>
      </c>
      <c r="B942" s="82" t="str">
        <f>IFERROR(__xludf.DUMMYFUNCTION("""COMPUTED_VALUE"""),"PS5/PS4")</f>
        <v>PS5/PS4</v>
      </c>
      <c r="C942" s="83" t="str">
        <f>IFERROR(__xludf.DUMMYFUNCTION("""COMPUTED_VALUE"""),"Playstation Now (Discontinued)")</f>
        <v>Playstation Now (Discontinued)</v>
      </c>
      <c r="D942" s="82" t="str">
        <f>IFERROR(__xludf.DUMMYFUNCTION("""COMPUTED_VALUE"""),"Removed")</f>
        <v>Removed</v>
      </c>
      <c r="E942" s="84">
        <f>IFERROR(__xludf.DUMMYFUNCTION("""COMPUTED_VALUE"""),42374.0)</f>
        <v>42374</v>
      </c>
      <c r="F942" s="85">
        <f>IFERROR(__xludf.DUMMYFUNCTION("""COMPUTED_VALUE"""),44725.0)</f>
        <v>44725</v>
      </c>
      <c r="G942" s="86">
        <f>IFERROR(__xludf.DUMMYFUNCTION("""COMPUTED_VALUE"""),77.26666666666667)</f>
        <v>77.26666667</v>
      </c>
      <c r="H942" s="84">
        <f>IFERROR(__xludf.DUMMYFUNCTION("""COMPUTED_VALUE"""),39845.0)</f>
        <v>39845</v>
      </c>
      <c r="I942" s="86">
        <f>IFERROR(__xludf.DUMMYFUNCTION("""COMPUTED_VALUE"""),6.927777777777778)</f>
        <v>6.927777778</v>
      </c>
      <c r="J942" s="87">
        <f>IFERROR(__xludf.DUMMYFUNCTION("""COMPUTED_VALUE"""),91.0)</f>
        <v>91</v>
      </c>
      <c r="K942" s="88">
        <f>IFERROR(__xludf.DUMMYFUNCTION("""COMPUTED_VALUE"""),8.4)</f>
        <v>8.4</v>
      </c>
      <c r="L942" s="89">
        <f>IFERROR(__xludf.DUMMYFUNCTION("""COMPUTED_VALUE"""),6.0)</f>
        <v>6</v>
      </c>
      <c r="M942" s="26" t="str">
        <f>IFERROR(__xludf.DUMMYFUNCTION("""COMPUTED_VALUE"""),"Shooter")</f>
        <v>Shooter</v>
      </c>
      <c r="N942" s="26" t="str">
        <f>IFERROR(__xludf.DUMMYFUNCTION("""COMPUTED_VALUE"""),"PS3")</f>
        <v>PS3</v>
      </c>
      <c r="O942" s="26" t="str">
        <f>IFERROR(__xludf.DUMMYFUNCTION("""COMPUTED_VALUE"""),"No")</f>
        <v>No</v>
      </c>
      <c r="P942" s="26"/>
    </row>
    <row r="943">
      <c r="A943" s="81" t="str">
        <f>IFERROR(__xludf.DUMMYFUNCTION("""COMPUTED_VALUE"""),"God of War: Chains of Olympus")</f>
        <v>God of War: Chains of Olympus</v>
      </c>
      <c r="B943" s="82" t="str">
        <f>IFERROR(__xludf.DUMMYFUNCTION("""COMPUTED_VALUE"""),"PS5/PS4")</f>
        <v>PS5/PS4</v>
      </c>
      <c r="C943" s="83" t="str">
        <f>IFERROR(__xludf.DUMMYFUNCTION("""COMPUTED_VALUE"""),"Playstation Now (Discontinued)")</f>
        <v>Playstation Now (Discontinued)</v>
      </c>
      <c r="D943" s="82" t="str">
        <f>IFERROR(__xludf.DUMMYFUNCTION("""COMPUTED_VALUE"""),"Removed")</f>
        <v>Removed</v>
      </c>
      <c r="E943" s="84">
        <f>IFERROR(__xludf.DUMMYFUNCTION("""COMPUTED_VALUE"""),42374.0)</f>
        <v>42374</v>
      </c>
      <c r="F943" s="85">
        <f>IFERROR(__xludf.DUMMYFUNCTION("""COMPUTED_VALUE"""),44725.0)</f>
        <v>44725</v>
      </c>
      <c r="G943" s="86">
        <f>IFERROR(__xludf.DUMMYFUNCTION("""COMPUTED_VALUE"""),77.26666666666667)</f>
        <v>77.26666667</v>
      </c>
      <c r="H943" s="84">
        <f>IFERROR(__xludf.DUMMYFUNCTION("""COMPUTED_VALUE"""),39508.0)</f>
        <v>39508</v>
      </c>
      <c r="I943" s="86">
        <f>IFERROR(__xludf.DUMMYFUNCTION("""COMPUTED_VALUE"""),7.844444444444444)</f>
        <v>7.844444444</v>
      </c>
      <c r="J943" s="87">
        <f>IFERROR(__xludf.DUMMYFUNCTION("""COMPUTED_VALUE"""),91.0)</f>
        <v>91</v>
      </c>
      <c r="K943" s="88">
        <f>IFERROR(__xludf.DUMMYFUNCTION("""COMPUTED_VALUE"""),8.8)</f>
        <v>8.8</v>
      </c>
      <c r="L943" s="89">
        <f>IFERROR(__xludf.DUMMYFUNCTION("""COMPUTED_VALUE"""),5.0)</f>
        <v>5</v>
      </c>
      <c r="M943" s="26" t="str">
        <f>IFERROR(__xludf.DUMMYFUNCTION("""COMPUTED_VALUE"""),"Action-Adventure")</f>
        <v>Action-Adventure</v>
      </c>
      <c r="N943" s="26" t="str">
        <f>IFERROR(__xludf.DUMMYFUNCTION("""COMPUTED_VALUE"""),"PS3")</f>
        <v>PS3</v>
      </c>
      <c r="O943" s="26" t="str">
        <f>IFERROR(__xludf.DUMMYFUNCTION("""COMPUTED_VALUE"""),"No")</f>
        <v>No</v>
      </c>
      <c r="P943" s="26"/>
    </row>
    <row r="944">
      <c r="A944" s="81" t="str">
        <f>IFERROR(__xludf.DUMMYFUNCTION("""COMPUTED_VALUE"""),"Heavenly Sword")</f>
        <v>Heavenly Sword</v>
      </c>
      <c r="B944" s="82" t="str">
        <f>IFERROR(__xludf.DUMMYFUNCTION("""COMPUTED_VALUE"""),"PS5/PS4")</f>
        <v>PS5/PS4</v>
      </c>
      <c r="C944" s="83" t="str">
        <f>IFERROR(__xludf.DUMMYFUNCTION("""COMPUTED_VALUE"""),"Playstation Now (Discontinued)")</f>
        <v>Playstation Now (Discontinued)</v>
      </c>
      <c r="D944" s="82" t="str">
        <f>IFERROR(__xludf.DUMMYFUNCTION("""COMPUTED_VALUE"""),"Removed")</f>
        <v>Removed</v>
      </c>
      <c r="E944" s="84">
        <f>IFERROR(__xludf.DUMMYFUNCTION("""COMPUTED_VALUE"""),42374.0)</f>
        <v>42374</v>
      </c>
      <c r="F944" s="85">
        <f>IFERROR(__xludf.DUMMYFUNCTION("""COMPUTED_VALUE"""),44725.0)</f>
        <v>44725</v>
      </c>
      <c r="G944" s="86">
        <f>IFERROR(__xludf.DUMMYFUNCTION("""COMPUTED_VALUE"""),77.26666666666667)</f>
        <v>77.26666667</v>
      </c>
      <c r="H944" s="84">
        <f>IFERROR(__xludf.DUMMYFUNCTION("""COMPUTED_VALUE"""),39326.0)</f>
        <v>39326</v>
      </c>
      <c r="I944" s="86">
        <f>IFERROR(__xludf.DUMMYFUNCTION("""COMPUTED_VALUE"""),8.344444444444445)</f>
        <v>8.344444444</v>
      </c>
      <c r="J944" s="87">
        <f>IFERROR(__xludf.DUMMYFUNCTION("""COMPUTED_VALUE"""),79.0)</f>
        <v>79</v>
      </c>
      <c r="K944" s="88">
        <f>IFERROR(__xludf.DUMMYFUNCTION("""COMPUTED_VALUE"""),8.0)</f>
        <v>8</v>
      </c>
      <c r="L944" s="89">
        <f>IFERROR(__xludf.DUMMYFUNCTION("""COMPUTED_VALUE"""),7.0)</f>
        <v>7</v>
      </c>
      <c r="M944" s="26" t="str">
        <f>IFERROR(__xludf.DUMMYFUNCTION("""COMPUTED_VALUE"""),"Action-Adventure")</f>
        <v>Action-Adventure</v>
      </c>
      <c r="N944" s="26" t="str">
        <f>IFERROR(__xludf.DUMMYFUNCTION("""COMPUTED_VALUE"""),"PS3")</f>
        <v>PS3</v>
      </c>
      <c r="O944" s="26" t="str">
        <f>IFERROR(__xludf.DUMMYFUNCTION("""COMPUTED_VALUE"""),"No")</f>
        <v>No</v>
      </c>
      <c r="P944" s="26"/>
    </row>
    <row r="945">
      <c r="A945" s="81" t="str">
        <f>IFERROR(__xludf.DUMMYFUNCTION("""COMPUTED_VALUE"""),"Go! Puzzle")</f>
        <v>Go! Puzzle</v>
      </c>
      <c r="B945" s="82" t="str">
        <f>IFERROR(__xludf.DUMMYFUNCTION("""COMPUTED_VALUE"""),"PS5/PS4")</f>
        <v>PS5/PS4</v>
      </c>
      <c r="C945" s="83" t="str">
        <f>IFERROR(__xludf.DUMMYFUNCTION("""COMPUTED_VALUE"""),"Playstation Now (Discontinued)")</f>
        <v>Playstation Now (Discontinued)</v>
      </c>
      <c r="D945" s="82" t="str">
        <f>IFERROR(__xludf.DUMMYFUNCTION("""COMPUTED_VALUE"""),"Removed")</f>
        <v>Removed</v>
      </c>
      <c r="E945" s="84">
        <f>IFERROR(__xludf.DUMMYFUNCTION("""COMPUTED_VALUE"""),42374.0)</f>
        <v>42374</v>
      </c>
      <c r="F945" s="85">
        <f>IFERROR(__xludf.DUMMYFUNCTION("""COMPUTED_VALUE"""),44725.0)</f>
        <v>44725</v>
      </c>
      <c r="G945" s="86">
        <f>IFERROR(__xludf.DUMMYFUNCTION("""COMPUTED_VALUE"""),77.26666666666667)</f>
        <v>77.26666667</v>
      </c>
      <c r="H945" s="84">
        <f>IFERROR(__xludf.DUMMYFUNCTION("""COMPUTED_VALUE"""),39234.0)</f>
        <v>39234</v>
      </c>
      <c r="I945" s="86">
        <f>IFERROR(__xludf.DUMMYFUNCTION("""COMPUTED_VALUE"""),8.594444444444445)</f>
        <v>8.594444444</v>
      </c>
      <c r="J945" s="87">
        <f>IFERROR(__xludf.DUMMYFUNCTION("""COMPUTED_VALUE"""),62.0)</f>
        <v>62</v>
      </c>
      <c r="K945" s="88">
        <f>IFERROR(__xludf.DUMMYFUNCTION("""COMPUTED_VALUE"""),7.1)</f>
        <v>7.1</v>
      </c>
      <c r="L945" s="89">
        <f>IFERROR(__xludf.DUMMYFUNCTION("""COMPUTED_VALUE"""),4.0)</f>
        <v>4</v>
      </c>
      <c r="M945" s="26" t="str">
        <f>IFERROR(__xludf.DUMMYFUNCTION("""COMPUTED_VALUE"""),"Puzzle")</f>
        <v>Puzzle</v>
      </c>
      <c r="N945" s="26" t="str">
        <f>IFERROR(__xludf.DUMMYFUNCTION("""COMPUTED_VALUE"""),"PS3")</f>
        <v>PS3</v>
      </c>
      <c r="O945" s="26" t="str">
        <f>IFERROR(__xludf.DUMMYFUNCTION("""COMPUTED_VALUE"""),"No")</f>
        <v>No</v>
      </c>
      <c r="P945" s="26"/>
    </row>
    <row r="946">
      <c r="A946" s="81" t="str">
        <f>IFERROR(__xludf.DUMMYFUNCTION("""COMPUTED_VALUE"""),"Lemmings")</f>
        <v>Lemmings</v>
      </c>
      <c r="B946" s="82" t="str">
        <f>IFERROR(__xludf.DUMMYFUNCTION("""COMPUTED_VALUE"""),"PS5/PS4")</f>
        <v>PS5/PS4</v>
      </c>
      <c r="C946" s="83" t="str">
        <f>IFERROR(__xludf.DUMMYFUNCTION("""COMPUTED_VALUE"""),"Playstation Now (Discontinued)")</f>
        <v>Playstation Now (Discontinued)</v>
      </c>
      <c r="D946" s="82" t="str">
        <f>IFERROR(__xludf.DUMMYFUNCTION("""COMPUTED_VALUE"""),"Removed")</f>
        <v>Removed</v>
      </c>
      <c r="E946" s="84">
        <f>IFERROR(__xludf.DUMMYFUNCTION("""COMPUTED_VALUE"""),42374.0)</f>
        <v>42374</v>
      </c>
      <c r="F946" s="85">
        <f>IFERROR(__xludf.DUMMYFUNCTION("""COMPUTED_VALUE"""),44725.0)</f>
        <v>44725</v>
      </c>
      <c r="G946" s="86">
        <f>IFERROR(__xludf.DUMMYFUNCTION("""COMPUTED_VALUE"""),77.26666666666667)</f>
        <v>77.26666667</v>
      </c>
      <c r="H946" s="84">
        <f>IFERROR(__xludf.DUMMYFUNCTION("""COMPUTED_VALUE"""),39052.0)</f>
        <v>39052</v>
      </c>
      <c r="I946" s="86">
        <f>IFERROR(__xludf.DUMMYFUNCTION("""COMPUTED_VALUE"""),9.094444444444445)</f>
        <v>9.094444444</v>
      </c>
      <c r="J946" s="87">
        <f>IFERROR(__xludf.DUMMYFUNCTION("""COMPUTED_VALUE"""),59.0)</f>
        <v>59</v>
      </c>
      <c r="K946" s="88">
        <f>IFERROR(__xludf.DUMMYFUNCTION("""COMPUTED_VALUE"""),7.8)</f>
        <v>7.8</v>
      </c>
      <c r="L946" s="89">
        <f>IFERROR(__xludf.DUMMYFUNCTION("""COMPUTED_VALUE"""),9.0)</f>
        <v>9</v>
      </c>
      <c r="M946" s="26" t="str">
        <f>IFERROR(__xludf.DUMMYFUNCTION("""COMPUTED_VALUE"""),"Puzzle")</f>
        <v>Puzzle</v>
      </c>
      <c r="N946" s="26" t="str">
        <f>IFERROR(__xludf.DUMMYFUNCTION("""COMPUTED_VALUE"""),"PS3")</f>
        <v>PS3</v>
      </c>
      <c r="O946" s="26" t="str">
        <f>IFERROR(__xludf.DUMMYFUNCTION("""COMPUTED_VALUE"""),"No")</f>
        <v>No</v>
      </c>
      <c r="P946" s="26"/>
    </row>
    <row r="947">
      <c r="A947" s="81" t="str">
        <f>IFERROR(__xludf.DUMMYFUNCTION("""COMPUTED_VALUE"""),"Marvel Puzzle Quest: Dark Reign")</f>
        <v>Marvel Puzzle Quest: Dark Reign</v>
      </c>
      <c r="B947" s="82" t="str">
        <f>IFERROR(__xludf.DUMMYFUNCTION("""COMPUTED_VALUE"""),"PS5/PS4")</f>
        <v>PS5/PS4</v>
      </c>
      <c r="C947" s="83" t="str">
        <f>IFERROR(__xludf.DUMMYFUNCTION("""COMPUTED_VALUE"""),"Playstation Now (Discontinued)")</f>
        <v>Playstation Now (Discontinued)</v>
      </c>
      <c r="D947" s="82" t="str">
        <f>IFERROR(__xludf.DUMMYFUNCTION("""COMPUTED_VALUE"""),"Removed")</f>
        <v>Removed</v>
      </c>
      <c r="E947" s="84">
        <f>IFERROR(__xludf.DUMMYFUNCTION("""COMPUTED_VALUE"""),42312.0)</f>
        <v>42312</v>
      </c>
      <c r="F947" s="85">
        <f>IFERROR(__xludf.DUMMYFUNCTION("""COMPUTED_VALUE"""),44725.0)</f>
        <v>44725</v>
      </c>
      <c r="G947" s="86">
        <f>IFERROR(__xludf.DUMMYFUNCTION("""COMPUTED_VALUE"""),79.3)</f>
        <v>79.3</v>
      </c>
      <c r="H947" s="84">
        <f>IFERROR(__xludf.DUMMYFUNCTION("""COMPUTED_VALUE"""),41550.0)</f>
        <v>41550</v>
      </c>
      <c r="I947" s="86">
        <f>IFERROR(__xludf.DUMMYFUNCTION("""COMPUTED_VALUE"""),2.0861111111111112)</f>
        <v>2.086111111</v>
      </c>
      <c r="J947" s="87">
        <f>IFERROR(__xludf.DUMMYFUNCTION("""COMPUTED_VALUE"""),74.0)</f>
        <v>74</v>
      </c>
      <c r="K947" s="88">
        <f>IFERROR(__xludf.DUMMYFUNCTION("""COMPUTED_VALUE"""),7.2)</f>
        <v>7.2</v>
      </c>
      <c r="L947" s="89"/>
      <c r="M947" s="26" t="str">
        <f>IFERROR(__xludf.DUMMYFUNCTION("""COMPUTED_VALUE"""),"Puzzle")</f>
        <v>Puzzle</v>
      </c>
      <c r="N947" s="26"/>
      <c r="O947" s="26" t="str">
        <f>IFERROR(__xludf.DUMMYFUNCTION("""COMPUTED_VALUE"""),"No")</f>
        <v>No</v>
      </c>
      <c r="P947" s="26"/>
    </row>
    <row r="948">
      <c r="A948" s="81" t="str">
        <f>IFERROR(__xludf.DUMMYFUNCTION("""COMPUTED_VALUE"""),"Jeremy McGrath's Offroad")</f>
        <v>Jeremy McGrath's Offroad</v>
      </c>
      <c r="B948" s="82" t="str">
        <f>IFERROR(__xludf.DUMMYFUNCTION("""COMPUTED_VALUE"""),"PS5/PS4")</f>
        <v>PS5/PS4</v>
      </c>
      <c r="C948" s="83" t="str">
        <f>IFERROR(__xludf.DUMMYFUNCTION("""COMPUTED_VALUE"""),"Playstation Now (Discontinued)")</f>
        <v>Playstation Now (Discontinued)</v>
      </c>
      <c r="D948" s="82" t="str">
        <f>IFERROR(__xludf.DUMMYFUNCTION("""COMPUTED_VALUE"""),"Removed")</f>
        <v>Removed</v>
      </c>
      <c r="E948" s="84">
        <f>IFERROR(__xludf.DUMMYFUNCTION("""COMPUTED_VALUE"""),42312.0)</f>
        <v>42312</v>
      </c>
      <c r="F948" s="85">
        <f>IFERROR(__xludf.DUMMYFUNCTION("""COMPUTED_VALUE"""),44725.0)</f>
        <v>44725</v>
      </c>
      <c r="G948" s="86">
        <f>IFERROR(__xludf.DUMMYFUNCTION("""COMPUTED_VALUE"""),79.3)</f>
        <v>79.3</v>
      </c>
      <c r="H948" s="84">
        <f>IFERROR(__xludf.DUMMYFUNCTION("""COMPUTED_VALUE"""),41107.0)</f>
        <v>41107</v>
      </c>
      <c r="I948" s="86">
        <f>IFERROR(__xludf.DUMMYFUNCTION("""COMPUTED_VALUE"""),3.297222222222222)</f>
        <v>3.297222222</v>
      </c>
      <c r="J948" s="87">
        <f>IFERROR(__xludf.DUMMYFUNCTION("""COMPUTED_VALUE"""),53.0)</f>
        <v>53</v>
      </c>
      <c r="K948" s="88">
        <f>IFERROR(__xludf.DUMMYFUNCTION("""COMPUTED_VALUE"""),6.1)</f>
        <v>6.1</v>
      </c>
      <c r="L948" s="89"/>
      <c r="M948" s="26" t="str">
        <f>IFERROR(__xludf.DUMMYFUNCTION("""COMPUTED_VALUE"""),"Racing")</f>
        <v>Racing</v>
      </c>
      <c r="N948" s="26" t="str">
        <f>IFERROR(__xludf.DUMMYFUNCTION("""COMPUTED_VALUE"""),"PS3")</f>
        <v>PS3</v>
      </c>
      <c r="O948" s="26" t="str">
        <f>IFERROR(__xludf.DUMMYFUNCTION("""COMPUTED_VALUE"""),"No")</f>
        <v>No</v>
      </c>
      <c r="P948" s="26"/>
    </row>
    <row r="949">
      <c r="A949" s="81" t="str">
        <f>IFERROR(__xludf.DUMMYFUNCTION("""COMPUTED_VALUE"""),"WRC 4: FIA World Rally Championship")</f>
        <v>WRC 4: FIA World Rally Championship</v>
      </c>
      <c r="B949" s="82" t="str">
        <f>IFERROR(__xludf.DUMMYFUNCTION("""COMPUTED_VALUE"""),"PS5/PS4")</f>
        <v>PS5/PS4</v>
      </c>
      <c r="C949" s="83" t="str">
        <f>IFERROR(__xludf.DUMMYFUNCTION("""COMPUTED_VALUE"""),"Playstation Now (Discontinued)")</f>
        <v>Playstation Now (Discontinued)</v>
      </c>
      <c r="D949" s="82" t="str">
        <f>IFERROR(__xludf.DUMMYFUNCTION("""COMPUTED_VALUE"""),"Removed")</f>
        <v>Removed</v>
      </c>
      <c r="E949" s="84">
        <f>IFERROR(__xludf.DUMMYFUNCTION("""COMPUTED_VALUE"""),42311.0)</f>
        <v>42311</v>
      </c>
      <c r="F949" s="85">
        <f>IFERROR(__xludf.DUMMYFUNCTION("""COMPUTED_VALUE"""),44725.0)</f>
        <v>44725</v>
      </c>
      <c r="G949" s="86">
        <f>IFERROR(__xludf.DUMMYFUNCTION("""COMPUTED_VALUE"""),79.33333333333333)</f>
        <v>79.33333333</v>
      </c>
      <c r="H949" s="84">
        <f>IFERROR(__xludf.DUMMYFUNCTION("""COMPUTED_VALUE"""),41572.0)</f>
        <v>41572</v>
      </c>
      <c r="I949" s="86">
        <f>IFERROR(__xludf.DUMMYFUNCTION("""COMPUTED_VALUE"""),2.022222222222222)</f>
        <v>2.022222222</v>
      </c>
      <c r="J949" s="87">
        <f>IFERROR(__xludf.DUMMYFUNCTION("""COMPUTED_VALUE"""),68.0)</f>
        <v>68</v>
      </c>
      <c r="K949" s="88">
        <f>IFERROR(__xludf.DUMMYFUNCTION("""COMPUTED_VALUE"""),6.9)</f>
        <v>6.9</v>
      </c>
      <c r="L949" s="89"/>
      <c r="M949" s="26" t="str">
        <f>IFERROR(__xludf.DUMMYFUNCTION("""COMPUTED_VALUE"""),"Racing")</f>
        <v>Racing</v>
      </c>
      <c r="N949" s="26" t="str">
        <f>IFERROR(__xludf.DUMMYFUNCTION("""COMPUTED_VALUE"""),"PS3")</f>
        <v>PS3</v>
      </c>
      <c r="O949" s="26" t="str">
        <f>IFERROR(__xludf.DUMMYFUNCTION("""COMPUTED_VALUE"""),"No")</f>
        <v>No</v>
      </c>
      <c r="P949" s="26"/>
    </row>
    <row r="950">
      <c r="A950" s="81" t="str">
        <f>IFERROR(__xludf.DUMMYFUNCTION("""COMPUTED_VALUE"""),"DeathSpank: The Baconing")</f>
        <v>DeathSpank: The Baconing</v>
      </c>
      <c r="B950" s="82" t="str">
        <f>IFERROR(__xludf.DUMMYFUNCTION("""COMPUTED_VALUE"""),"PS5/PS4")</f>
        <v>PS5/PS4</v>
      </c>
      <c r="C950" s="83" t="str">
        <f>IFERROR(__xludf.DUMMYFUNCTION("""COMPUTED_VALUE"""),"Playstation Now (Discontinued)")</f>
        <v>Playstation Now (Discontinued)</v>
      </c>
      <c r="D950" s="82" t="str">
        <f>IFERROR(__xludf.DUMMYFUNCTION("""COMPUTED_VALUE"""),"Removed")</f>
        <v>Removed</v>
      </c>
      <c r="E950" s="84">
        <f>IFERROR(__xludf.DUMMYFUNCTION("""COMPUTED_VALUE"""),42311.0)</f>
        <v>42311</v>
      </c>
      <c r="F950" s="85">
        <f>IFERROR(__xludf.DUMMYFUNCTION("""COMPUTED_VALUE"""),44725.0)</f>
        <v>44725</v>
      </c>
      <c r="G950" s="86">
        <f>IFERROR(__xludf.DUMMYFUNCTION("""COMPUTED_VALUE"""),79.33333333333333)</f>
        <v>79.33333333</v>
      </c>
      <c r="H950" s="84">
        <f>IFERROR(__xludf.DUMMYFUNCTION("""COMPUTED_VALUE"""),40785.0)</f>
        <v>40785</v>
      </c>
      <c r="I950" s="86">
        <f>IFERROR(__xludf.DUMMYFUNCTION("""COMPUTED_VALUE"""),4.175)</f>
        <v>4.175</v>
      </c>
      <c r="J950" s="87">
        <f>IFERROR(__xludf.DUMMYFUNCTION("""COMPUTED_VALUE"""),75.0)</f>
        <v>75</v>
      </c>
      <c r="K950" s="88">
        <f>IFERROR(__xludf.DUMMYFUNCTION("""COMPUTED_VALUE"""),7.1)</f>
        <v>7.1</v>
      </c>
      <c r="L950" s="89">
        <f>IFERROR(__xludf.DUMMYFUNCTION("""COMPUTED_VALUE"""),10.0)</f>
        <v>10</v>
      </c>
      <c r="M950" s="26" t="str">
        <f>IFERROR(__xludf.DUMMYFUNCTION("""COMPUTED_VALUE"""),"RPG")</f>
        <v>RPG</v>
      </c>
      <c r="N950" s="26"/>
      <c r="O950" s="26" t="str">
        <f>IFERROR(__xludf.DUMMYFUNCTION("""COMPUTED_VALUE"""),"No")</f>
        <v>No</v>
      </c>
      <c r="P950" s="26"/>
    </row>
    <row r="951">
      <c r="A951" s="81" t="str">
        <f>IFERROR(__xludf.DUMMYFUNCTION("""COMPUTED_VALUE"""),"Hunter's Trophy 2: America")</f>
        <v>Hunter's Trophy 2: America</v>
      </c>
      <c r="B951" s="82" t="str">
        <f>IFERROR(__xludf.DUMMYFUNCTION("""COMPUTED_VALUE"""),"PS5/PS4")</f>
        <v>PS5/PS4</v>
      </c>
      <c r="C951" s="83" t="str">
        <f>IFERROR(__xludf.DUMMYFUNCTION("""COMPUTED_VALUE"""),"Playstation Now (Discontinued)")</f>
        <v>Playstation Now (Discontinued)</v>
      </c>
      <c r="D951" s="82" t="str">
        <f>IFERROR(__xludf.DUMMYFUNCTION("""COMPUTED_VALUE"""),"Removed")</f>
        <v>Removed</v>
      </c>
      <c r="E951" s="84">
        <f>IFERROR(__xludf.DUMMYFUNCTION("""COMPUTED_VALUE"""),42311.0)</f>
        <v>42311</v>
      </c>
      <c r="F951" s="85">
        <f>IFERROR(__xludf.DUMMYFUNCTION("""COMPUTED_VALUE"""),44725.0)</f>
        <v>44725</v>
      </c>
      <c r="G951" s="86">
        <f>IFERROR(__xludf.DUMMYFUNCTION("""COMPUTED_VALUE"""),79.33333333333333)</f>
        <v>79.33333333</v>
      </c>
      <c r="H951" s="84">
        <f>IFERROR(__xludf.DUMMYFUNCTION("""COMPUTED_VALUE"""),41548.0)</f>
        <v>41548</v>
      </c>
      <c r="I951" s="86">
        <f>IFERROR(__xludf.DUMMYFUNCTION("""COMPUTED_VALUE"""),2.088888888888889)</f>
        <v>2.088888889</v>
      </c>
      <c r="J951" s="87">
        <f>IFERROR(__xludf.DUMMYFUNCTION("""COMPUTED_VALUE"""),48.0)</f>
        <v>48</v>
      </c>
      <c r="K951" s="88">
        <f>IFERROR(__xludf.DUMMYFUNCTION("""COMPUTED_VALUE"""),6.5)</f>
        <v>6.5</v>
      </c>
      <c r="L951" s="89"/>
      <c r="M951" s="26" t="str">
        <f>IFERROR(__xludf.DUMMYFUNCTION("""COMPUTED_VALUE"""),"Sports")</f>
        <v>Sports</v>
      </c>
      <c r="N951" s="26"/>
      <c r="O951" s="26" t="str">
        <f>IFERROR(__xludf.DUMMYFUNCTION("""COMPUTED_VALUE"""),"No")</f>
        <v>No</v>
      </c>
      <c r="P951" s="26"/>
    </row>
    <row r="952">
      <c r="A952" s="81" t="str">
        <f>IFERROR(__xludf.DUMMYFUNCTION("""COMPUTED_VALUE"""),"Mortal Kombat")</f>
        <v>Mortal Kombat</v>
      </c>
      <c r="B952" s="82" t="str">
        <f>IFERROR(__xludf.DUMMYFUNCTION("""COMPUTED_VALUE"""),"PS5/PS4")</f>
        <v>PS5/PS4</v>
      </c>
      <c r="C952" s="83" t="str">
        <f>IFERROR(__xludf.DUMMYFUNCTION("""COMPUTED_VALUE"""),"Playstation Now (Discontinued)")</f>
        <v>Playstation Now (Discontinued)</v>
      </c>
      <c r="D952" s="82" t="str">
        <f>IFERROR(__xludf.DUMMYFUNCTION("""COMPUTED_VALUE"""),"Removed")</f>
        <v>Removed</v>
      </c>
      <c r="E952" s="84">
        <f>IFERROR(__xludf.DUMMYFUNCTION("""COMPUTED_VALUE"""),42311.0)</f>
        <v>42311</v>
      </c>
      <c r="F952" s="85">
        <f>IFERROR(__xludf.DUMMYFUNCTION("""COMPUTED_VALUE"""),44725.0)</f>
        <v>44725</v>
      </c>
      <c r="G952" s="86">
        <f>IFERROR(__xludf.DUMMYFUNCTION("""COMPUTED_VALUE"""),79.33333333333333)</f>
        <v>79.33333333</v>
      </c>
      <c r="H952" s="84">
        <f>IFERROR(__xludf.DUMMYFUNCTION("""COMPUTED_VALUE"""),40652.0)</f>
        <v>40652</v>
      </c>
      <c r="I952" s="86">
        <f>IFERROR(__xludf.DUMMYFUNCTION("""COMPUTED_VALUE"""),4.538888888888889)</f>
        <v>4.538888889</v>
      </c>
      <c r="J952" s="87">
        <f>IFERROR(__xludf.DUMMYFUNCTION("""COMPUTED_VALUE"""),86.0)</f>
        <v>86</v>
      </c>
      <c r="K952" s="88">
        <f>IFERROR(__xludf.DUMMYFUNCTION("""COMPUTED_VALUE"""),8.2)</f>
        <v>8.2</v>
      </c>
      <c r="L952" s="89">
        <f>IFERROR(__xludf.DUMMYFUNCTION("""COMPUTED_VALUE"""),6.0)</f>
        <v>6</v>
      </c>
      <c r="M952" s="26" t="str">
        <f>IFERROR(__xludf.DUMMYFUNCTION("""COMPUTED_VALUE"""),"Fighting")</f>
        <v>Fighting</v>
      </c>
      <c r="N952" s="26"/>
      <c r="O952" s="26" t="str">
        <f>IFERROR(__xludf.DUMMYFUNCTION("""COMPUTED_VALUE"""),"No")</f>
        <v>No</v>
      </c>
      <c r="P952" s="26"/>
    </row>
    <row r="953">
      <c r="A953" s="81" t="str">
        <f>IFERROR(__xludf.DUMMYFUNCTION("""COMPUTED_VALUE"""),"Zeno Clash II")</f>
        <v>Zeno Clash II</v>
      </c>
      <c r="B953" s="82" t="str">
        <f>IFERROR(__xludf.DUMMYFUNCTION("""COMPUTED_VALUE"""),"PS5/PS4")</f>
        <v>PS5/PS4</v>
      </c>
      <c r="C953" s="83" t="str">
        <f>IFERROR(__xludf.DUMMYFUNCTION("""COMPUTED_VALUE"""),"Playstation Now (Discontinued)")</f>
        <v>Playstation Now (Discontinued)</v>
      </c>
      <c r="D953" s="82" t="str">
        <f>IFERROR(__xludf.DUMMYFUNCTION("""COMPUTED_VALUE"""),"Removed")</f>
        <v>Removed</v>
      </c>
      <c r="E953" s="84">
        <f>IFERROR(__xludf.DUMMYFUNCTION("""COMPUTED_VALUE"""),42311.0)</f>
        <v>42311</v>
      </c>
      <c r="F953" s="85">
        <f>IFERROR(__xludf.DUMMYFUNCTION("""COMPUTED_VALUE"""),44725.0)</f>
        <v>44725</v>
      </c>
      <c r="G953" s="86">
        <f>IFERROR(__xludf.DUMMYFUNCTION("""COMPUTED_VALUE"""),79.33333333333333)</f>
        <v>79.33333333</v>
      </c>
      <c r="H953" s="84">
        <f>IFERROR(__xludf.DUMMYFUNCTION("""COMPUTED_VALUE"""),41394.0)</f>
        <v>41394</v>
      </c>
      <c r="I953" s="86">
        <f>IFERROR(__xludf.DUMMYFUNCTION("""COMPUTED_VALUE"""),2.5083333333333333)</f>
        <v>2.508333333</v>
      </c>
      <c r="J953" s="87">
        <f>IFERROR(__xludf.DUMMYFUNCTION("""COMPUTED_VALUE"""),63.0)</f>
        <v>63</v>
      </c>
      <c r="K953" s="88">
        <f>IFERROR(__xludf.DUMMYFUNCTION("""COMPUTED_VALUE"""),6.8)</f>
        <v>6.8</v>
      </c>
      <c r="L953" s="89">
        <f>IFERROR(__xludf.DUMMYFUNCTION("""COMPUTED_VALUE"""),8.0)</f>
        <v>8</v>
      </c>
      <c r="M953" s="26" t="str">
        <f>IFERROR(__xludf.DUMMYFUNCTION("""COMPUTED_VALUE"""),"Action-Adventure")</f>
        <v>Action-Adventure</v>
      </c>
      <c r="N953" s="26"/>
      <c r="O953" s="26" t="str">
        <f>IFERROR(__xludf.DUMMYFUNCTION("""COMPUTED_VALUE"""),"No")</f>
        <v>No</v>
      </c>
      <c r="P953" s="26"/>
    </row>
    <row r="954">
      <c r="A954" s="81" t="str">
        <f>IFERROR(__xludf.DUMMYFUNCTION("""COMPUTED_VALUE"""),"CAPCOM ARCADE CABINET")</f>
        <v>CAPCOM ARCADE CABINET</v>
      </c>
      <c r="B954" s="82" t="str">
        <f>IFERROR(__xludf.DUMMYFUNCTION("""COMPUTED_VALUE"""),"PS5/PS4")</f>
        <v>PS5/PS4</v>
      </c>
      <c r="C954" s="83" t="str">
        <f>IFERROR(__xludf.DUMMYFUNCTION("""COMPUTED_VALUE"""),"Playstation Now (Discontinued)")</f>
        <v>Playstation Now (Discontinued)</v>
      </c>
      <c r="D954" s="82" t="str">
        <f>IFERROR(__xludf.DUMMYFUNCTION("""COMPUTED_VALUE"""),"Removed")</f>
        <v>Removed</v>
      </c>
      <c r="E954" s="84">
        <f>IFERROR(__xludf.DUMMYFUNCTION("""COMPUTED_VALUE"""),42311.0)</f>
        <v>42311</v>
      </c>
      <c r="F954" s="85">
        <f>IFERROR(__xludf.DUMMYFUNCTION("""COMPUTED_VALUE"""),44725.0)</f>
        <v>44725</v>
      </c>
      <c r="G954" s="86">
        <f>IFERROR(__xludf.DUMMYFUNCTION("""COMPUTED_VALUE"""),79.33333333333333)</f>
        <v>79.33333333</v>
      </c>
      <c r="H954" s="84">
        <f>IFERROR(__xludf.DUMMYFUNCTION("""COMPUTED_VALUE"""),41324.0)</f>
        <v>41324</v>
      </c>
      <c r="I954" s="86">
        <f>IFERROR(__xludf.DUMMYFUNCTION("""COMPUTED_VALUE"""),2.7055555555555557)</f>
        <v>2.705555556</v>
      </c>
      <c r="J954" s="87">
        <f>IFERROR(__xludf.DUMMYFUNCTION("""COMPUTED_VALUE"""),69.0)</f>
        <v>69</v>
      </c>
      <c r="K954" s="88"/>
      <c r="L954" s="89"/>
      <c r="M954" s="26" t="str">
        <f>IFERROR(__xludf.DUMMYFUNCTION("""COMPUTED_VALUE"""),"Compilation")</f>
        <v>Compilation</v>
      </c>
      <c r="N954" s="26" t="str">
        <f>IFERROR(__xludf.DUMMYFUNCTION("""COMPUTED_VALUE"""),"PS3")</f>
        <v>PS3</v>
      </c>
      <c r="O954" s="26" t="str">
        <f>IFERROR(__xludf.DUMMYFUNCTION("""COMPUTED_VALUE"""),"No")</f>
        <v>No</v>
      </c>
      <c r="P954" s="26"/>
    </row>
    <row r="955">
      <c r="A955" s="81" t="str">
        <f>IFERROR(__xludf.DUMMYFUNCTION("""COMPUTED_VALUE"""),"Choplifter HD")</f>
        <v>Choplifter HD</v>
      </c>
      <c r="B955" s="82" t="str">
        <f>IFERROR(__xludf.DUMMYFUNCTION("""COMPUTED_VALUE"""),"PS5/PS4")</f>
        <v>PS5/PS4</v>
      </c>
      <c r="C955" s="83" t="str">
        <f>IFERROR(__xludf.DUMMYFUNCTION("""COMPUTED_VALUE"""),"Playstation Now (Discontinued)")</f>
        <v>Playstation Now (Discontinued)</v>
      </c>
      <c r="D955" s="82" t="str">
        <f>IFERROR(__xludf.DUMMYFUNCTION("""COMPUTED_VALUE"""),"Removed")</f>
        <v>Removed</v>
      </c>
      <c r="E955" s="84">
        <f>IFERROR(__xludf.DUMMYFUNCTION("""COMPUTED_VALUE"""),42311.0)</f>
        <v>42311</v>
      </c>
      <c r="F955" s="85">
        <f>IFERROR(__xludf.DUMMYFUNCTION("""COMPUTED_VALUE"""),44725.0)</f>
        <v>44725</v>
      </c>
      <c r="G955" s="86">
        <f>IFERROR(__xludf.DUMMYFUNCTION("""COMPUTED_VALUE"""),79.33333333333333)</f>
        <v>79.33333333</v>
      </c>
      <c r="H955" s="84">
        <f>IFERROR(__xludf.DUMMYFUNCTION("""COMPUTED_VALUE"""),40909.0)</f>
        <v>40909</v>
      </c>
      <c r="I955" s="86">
        <f>IFERROR(__xludf.DUMMYFUNCTION("""COMPUTED_VALUE"""),3.838888888888889)</f>
        <v>3.838888889</v>
      </c>
      <c r="J955" s="87">
        <f>IFERROR(__xludf.DUMMYFUNCTION("""COMPUTED_VALUE"""),71.0)</f>
        <v>71</v>
      </c>
      <c r="K955" s="88">
        <f>IFERROR(__xludf.DUMMYFUNCTION("""COMPUTED_VALUE"""),6.7)</f>
        <v>6.7</v>
      </c>
      <c r="L955" s="89">
        <f>IFERROR(__xludf.DUMMYFUNCTION("""COMPUTED_VALUE"""),4.0)</f>
        <v>4</v>
      </c>
      <c r="M955" s="26" t="str">
        <f>IFERROR(__xludf.DUMMYFUNCTION("""COMPUTED_VALUE"""),"Shooter")</f>
        <v>Shooter</v>
      </c>
      <c r="N955" s="26" t="str">
        <f>IFERROR(__xludf.DUMMYFUNCTION("""COMPUTED_VALUE"""),"PS3")</f>
        <v>PS3</v>
      </c>
      <c r="O955" s="26" t="str">
        <f>IFERROR(__xludf.DUMMYFUNCTION("""COMPUTED_VALUE"""),"No")</f>
        <v>No</v>
      </c>
      <c r="P955" s="26"/>
    </row>
    <row r="956">
      <c r="A956" s="81" t="str">
        <f>IFERROR(__xludf.DUMMYFUNCTION("""COMPUTED_VALUE"""),"Oddworld: Stranger's Wrath HD")</f>
        <v>Oddworld: Stranger's Wrath HD</v>
      </c>
      <c r="B956" s="82" t="str">
        <f>IFERROR(__xludf.DUMMYFUNCTION("""COMPUTED_VALUE"""),"PS5/PS4")</f>
        <v>PS5/PS4</v>
      </c>
      <c r="C956" s="83" t="str">
        <f>IFERROR(__xludf.DUMMYFUNCTION("""COMPUTED_VALUE"""),"Playstation Now (Discontinued)")</f>
        <v>Playstation Now (Discontinued)</v>
      </c>
      <c r="D956" s="82" t="str">
        <f>IFERROR(__xludf.DUMMYFUNCTION("""COMPUTED_VALUE"""),"Removed")</f>
        <v>Removed</v>
      </c>
      <c r="E956" s="84">
        <f>IFERROR(__xludf.DUMMYFUNCTION("""COMPUTED_VALUE"""),42311.0)</f>
        <v>42311</v>
      </c>
      <c r="F956" s="85">
        <f>IFERROR(__xludf.DUMMYFUNCTION("""COMPUTED_VALUE"""),44725.0)</f>
        <v>44725</v>
      </c>
      <c r="G956" s="86">
        <f>IFERROR(__xludf.DUMMYFUNCTION("""COMPUTED_VALUE"""),79.33333333333333)</f>
        <v>79.33333333</v>
      </c>
      <c r="H956" s="84">
        <f>IFERROR(__xludf.DUMMYFUNCTION("""COMPUTED_VALUE"""),40878.0)</f>
        <v>40878</v>
      </c>
      <c r="I956" s="86">
        <f>IFERROR(__xludf.DUMMYFUNCTION("""COMPUTED_VALUE"""),3.922222222222222)</f>
        <v>3.922222222</v>
      </c>
      <c r="J956" s="87">
        <f>IFERROR(__xludf.DUMMYFUNCTION("""COMPUTED_VALUE"""),82.0)</f>
        <v>82</v>
      </c>
      <c r="K956" s="88">
        <f>IFERROR(__xludf.DUMMYFUNCTION("""COMPUTED_VALUE"""),8.3)</f>
        <v>8.3</v>
      </c>
      <c r="L956" s="89">
        <f>IFERROR(__xludf.DUMMYFUNCTION("""COMPUTED_VALUE"""),9.0)</f>
        <v>9</v>
      </c>
      <c r="M956" s="26" t="str">
        <f>IFERROR(__xludf.DUMMYFUNCTION("""COMPUTED_VALUE"""),"Shooter")</f>
        <v>Shooter</v>
      </c>
      <c r="N956" s="26" t="str">
        <f>IFERROR(__xludf.DUMMYFUNCTION("""COMPUTED_VALUE"""),"PS3")</f>
        <v>PS3</v>
      </c>
      <c r="O956" s="26" t="str">
        <f>IFERROR(__xludf.DUMMYFUNCTION("""COMPUTED_VALUE"""),"No")</f>
        <v>No</v>
      </c>
      <c r="P956" s="26"/>
    </row>
    <row r="957">
      <c r="A957" s="81" t="str">
        <f>IFERROR(__xludf.DUMMYFUNCTION("""COMPUTED_VALUE"""),"Bodycount")</f>
        <v>Bodycount</v>
      </c>
      <c r="B957" s="82" t="str">
        <f>IFERROR(__xludf.DUMMYFUNCTION("""COMPUTED_VALUE"""),"PS5/PS4")</f>
        <v>PS5/PS4</v>
      </c>
      <c r="C957" s="83" t="str">
        <f>IFERROR(__xludf.DUMMYFUNCTION("""COMPUTED_VALUE"""),"Playstation Now (Discontinued)")</f>
        <v>Playstation Now (Discontinued)</v>
      </c>
      <c r="D957" s="82" t="str">
        <f>IFERROR(__xludf.DUMMYFUNCTION("""COMPUTED_VALUE"""),"Removed")</f>
        <v>Removed</v>
      </c>
      <c r="E957" s="84">
        <f>IFERROR(__xludf.DUMMYFUNCTION("""COMPUTED_VALUE"""),42311.0)</f>
        <v>42311</v>
      </c>
      <c r="F957" s="85">
        <f>IFERROR(__xludf.DUMMYFUNCTION("""COMPUTED_VALUE"""),44725.0)</f>
        <v>44725</v>
      </c>
      <c r="G957" s="86">
        <f>IFERROR(__xludf.DUMMYFUNCTION("""COMPUTED_VALUE"""),79.33333333333333)</f>
        <v>79.33333333</v>
      </c>
      <c r="H957" s="84">
        <f>IFERROR(__xludf.DUMMYFUNCTION("""COMPUTED_VALUE"""),40756.0)</f>
        <v>40756</v>
      </c>
      <c r="I957" s="86">
        <f>IFERROR(__xludf.DUMMYFUNCTION("""COMPUTED_VALUE"""),4.2555555555555555)</f>
        <v>4.255555556</v>
      </c>
      <c r="J957" s="87">
        <f>IFERROR(__xludf.DUMMYFUNCTION("""COMPUTED_VALUE"""),50.0)</f>
        <v>50</v>
      </c>
      <c r="K957" s="88">
        <f>IFERROR(__xludf.DUMMYFUNCTION("""COMPUTED_VALUE"""),5.5)</f>
        <v>5.5</v>
      </c>
      <c r="L957" s="89">
        <f>IFERROR(__xludf.DUMMYFUNCTION("""COMPUTED_VALUE"""),6.0)</f>
        <v>6</v>
      </c>
      <c r="M957" s="26" t="str">
        <f>IFERROR(__xludf.DUMMYFUNCTION("""COMPUTED_VALUE"""),"Shooter")</f>
        <v>Shooter</v>
      </c>
      <c r="N957" s="26" t="str">
        <f>IFERROR(__xludf.DUMMYFUNCTION("""COMPUTED_VALUE"""),"PS3")</f>
        <v>PS3</v>
      </c>
      <c r="O957" s="26" t="str">
        <f>IFERROR(__xludf.DUMMYFUNCTION("""COMPUTED_VALUE"""),"No")</f>
        <v>No</v>
      </c>
      <c r="P957" s="26"/>
    </row>
    <row r="958">
      <c r="A958" s="81" t="str">
        <f>IFERROR(__xludf.DUMMYFUNCTION("""COMPUTED_VALUE"""),"Sniper: Ghost Warrior")</f>
        <v>Sniper: Ghost Warrior</v>
      </c>
      <c r="B958" s="82" t="str">
        <f>IFERROR(__xludf.DUMMYFUNCTION("""COMPUTED_VALUE"""),"PS5/PS4")</f>
        <v>PS5/PS4</v>
      </c>
      <c r="C958" s="83" t="str">
        <f>IFERROR(__xludf.DUMMYFUNCTION("""COMPUTED_VALUE"""),"Playstation Now (Discontinued)")</f>
        <v>Playstation Now (Discontinued)</v>
      </c>
      <c r="D958" s="82" t="str">
        <f>IFERROR(__xludf.DUMMYFUNCTION("""COMPUTED_VALUE"""),"Removed")</f>
        <v>Removed</v>
      </c>
      <c r="E958" s="84">
        <f>IFERROR(__xludf.DUMMYFUNCTION("""COMPUTED_VALUE"""),42311.0)</f>
        <v>42311</v>
      </c>
      <c r="F958" s="85">
        <f>IFERROR(__xludf.DUMMYFUNCTION("""COMPUTED_VALUE"""),44725.0)</f>
        <v>44725</v>
      </c>
      <c r="G958" s="86">
        <f>IFERROR(__xludf.DUMMYFUNCTION("""COMPUTED_VALUE"""),79.33333333333333)</f>
        <v>79.33333333</v>
      </c>
      <c r="H958" s="84">
        <f>IFERROR(__xludf.DUMMYFUNCTION("""COMPUTED_VALUE"""),40269.0)</f>
        <v>40269</v>
      </c>
      <c r="I958" s="86">
        <f>IFERROR(__xludf.DUMMYFUNCTION("""COMPUTED_VALUE"""),5.588888888888889)</f>
        <v>5.588888889</v>
      </c>
      <c r="J958" s="87">
        <f>IFERROR(__xludf.DUMMYFUNCTION("""COMPUTED_VALUE"""),55.0)</f>
        <v>55</v>
      </c>
      <c r="K958" s="88">
        <f>IFERROR(__xludf.DUMMYFUNCTION("""COMPUTED_VALUE"""),6.3)</f>
        <v>6.3</v>
      </c>
      <c r="L958" s="89">
        <f>IFERROR(__xludf.DUMMYFUNCTION("""COMPUTED_VALUE"""),7.0)</f>
        <v>7</v>
      </c>
      <c r="M958" s="26" t="str">
        <f>IFERROR(__xludf.DUMMYFUNCTION("""COMPUTED_VALUE"""),"Shooter")</f>
        <v>Shooter</v>
      </c>
      <c r="N958" s="26" t="str">
        <f>IFERROR(__xludf.DUMMYFUNCTION("""COMPUTED_VALUE"""),"PS3")</f>
        <v>PS3</v>
      </c>
      <c r="O958" s="26" t="str">
        <f>IFERROR(__xludf.DUMMYFUNCTION("""COMPUTED_VALUE"""),"No")</f>
        <v>No</v>
      </c>
      <c r="P958" s="26"/>
    </row>
    <row r="959">
      <c r="A959" s="81" t="str">
        <f>IFERROR(__xludf.DUMMYFUNCTION("""COMPUTED_VALUE"""),"Braid")</f>
        <v>Braid</v>
      </c>
      <c r="B959" s="82" t="str">
        <f>IFERROR(__xludf.DUMMYFUNCTION("""COMPUTED_VALUE"""),"PS5/PS4")</f>
        <v>PS5/PS4</v>
      </c>
      <c r="C959" s="83" t="str">
        <f>IFERROR(__xludf.DUMMYFUNCTION("""COMPUTED_VALUE"""),"Playstation Now (Discontinued)")</f>
        <v>Playstation Now (Discontinued)</v>
      </c>
      <c r="D959" s="82" t="str">
        <f>IFERROR(__xludf.DUMMYFUNCTION("""COMPUTED_VALUE"""),"Removed")</f>
        <v>Removed</v>
      </c>
      <c r="E959" s="84">
        <f>IFERROR(__xludf.DUMMYFUNCTION("""COMPUTED_VALUE"""),42311.0)</f>
        <v>42311</v>
      </c>
      <c r="F959" s="85">
        <f>IFERROR(__xludf.DUMMYFUNCTION("""COMPUTED_VALUE"""),44725.0)</f>
        <v>44725</v>
      </c>
      <c r="G959" s="86">
        <f>IFERROR(__xludf.DUMMYFUNCTION("""COMPUTED_VALUE"""),79.33333333333333)</f>
        <v>79.33333333</v>
      </c>
      <c r="H959" s="84">
        <f>IFERROR(__xludf.DUMMYFUNCTION("""COMPUTED_VALUE"""),40118.0)</f>
        <v>40118</v>
      </c>
      <c r="I959" s="86">
        <f>IFERROR(__xludf.DUMMYFUNCTION("""COMPUTED_VALUE"""),6.0055555555555555)</f>
        <v>6.005555556</v>
      </c>
      <c r="J959" s="87">
        <f>IFERROR(__xludf.DUMMYFUNCTION("""COMPUTED_VALUE"""),93.0)</f>
        <v>93</v>
      </c>
      <c r="K959" s="88">
        <f>IFERROR(__xludf.DUMMYFUNCTION("""COMPUTED_VALUE"""),8.3)</f>
        <v>8.3</v>
      </c>
      <c r="L959" s="89">
        <f>IFERROR(__xludf.DUMMYFUNCTION("""COMPUTED_VALUE"""),6.0)</f>
        <v>6</v>
      </c>
      <c r="M959" s="26" t="str">
        <f>IFERROR(__xludf.DUMMYFUNCTION("""COMPUTED_VALUE"""),"Platformer")</f>
        <v>Platformer</v>
      </c>
      <c r="N959" s="26" t="str">
        <f>IFERROR(__xludf.DUMMYFUNCTION("""COMPUTED_VALUE"""),"PS3")</f>
        <v>PS3</v>
      </c>
      <c r="O959" s="26" t="str">
        <f>IFERROR(__xludf.DUMMYFUNCTION("""COMPUTED_VALUE"""),"No")</f>
        <v>No</v>
      </c>
      <c r="P959" s="26"/>
    </row>
    <row r="960">
      <c r="A960" s="81" t="str">
        <f>IFERROR(__xludf.DUMMYFUNCTION("""COMPUTED_VALUE"""),"Painkiller - Hell and Damnation")</f>
        <v>Painkiller - Hell and Damnation</v>
      </c>
      <c r="B960" s="82" t="str">
        <f>IFERROR(__xludf.DUMMYFUNCTION("""COMPUTED_VALUE"""),"PS5/PS4")</f>
        <v>PS5/PS4</v>
      </c>
      <c r="C960" s="83" t="str">
        <f>IFERROR(__xludf.DUMMYFUNCTION("""COMPUTED_VALUE"""),"Playstation Now (Discontinued)")</f>
        <v>Playstation Now (Discontinued)</v>
      </c>
      <c r="D960" s="82" t="str">
        <f>IFERROR(__xludf.DUMMYFUNCTION("""COMPUTED_VALUE"""),"Removed")</f>
        <v>Removed</v>
      </c>
      <c r="E960" s="84">
        <f>IFERROR(__xludf.DUMMYFUNCTION("""COMPUTED_VALUE"""),42282.0)</f>
        <v>42282</v>
      </c>
      <c r="F960" s="85">
        <f>IFERROR(__xludf.DUMMYFUNCTION("""COMPUTED_VALUE"""),44725.0)</f>
        <v>44725</v>
      </c>
      <c r="G960" s="86">
        <f>IFERROR(__xludf.DUMMYFUNCTION("""COMPUTED_VALUE"""),80.26666666666667)</f>
        <v>80.26666667</v>
      </c>
      <c r="H960" s="84">
        <f>IFERROR(__xludf.DUMMYFUNCTION("""COMPUTED_VALUE"""),41213.0)</f>
        <v>41213</v>
      </c>
      <c r="I960" s="86">
        <f>IFERROR(__xludf.DUMMYFUNCTION("""COMPUTED_VALUE"""),2.9305555555555554)</f>
        <v>2.930555556</v>
      </c>
      <c r="J960" s="87">
        <f>IFERROR(__xludf.DUMMYFUNCTION("""COMPUTED_VALUE"""),66.0)</f>
        <v>66</v>
      </c>
      <c r="K960" s="88">
        <f>IFERROR(__xludf.DUMMYFUNCTION("""COMPUTED_VALUE"""),6.6)</f>
        <v>6.6</v>
      </c>
      <c r="L960" s="89">
        <f>IFERROR(__xludf.DUMMYFUNCTION("""COMPUTED_VALUE"""),7.0)</f>
        <v>7</v>
      </c>
      <c r="M960" s="26" t="str">
        <f>IFERROR(__xludf.DUMMYFUNCTION("""COMPUTED_VALUE"""),"Shooter")</f>
        <v>Shooter</v>
      </c>
      <c r="N960" s="26"/>
      <c r="O960" s="26" t="str">
        <f>IFERROR(__xludf.DUMMYFUNCTION("""COMPUTED_VALUE"""),"No")</f>
        <v>No</v>
      </c>
      <c r="P960" s="26"/>
    </row>
    <row r="961">
      <c r="A961" s="81" t="str">
        <f>IFERROR(__xludf.DUMMYFUNCTION("""COMPUTED_VALUE"""),"PixelJunk Sidescroller")</f>
        <v>PixelJunk Sidescroller</v>
      </c>
      <c r="B961" s="82" t="str">
        <f>IFERROR(__xludf.DUMMYFUNCTION("""COMPUTED_VALUE"""),"PS5/PS4")</f>
        <v>PS5/PS4</v>
      </c>
      <c r="C961" s="83" t="str">
        <f>IFERROR(__xludf.DUMMYFUNCTION("""COMPUTED_VALUE"""),"Playstation Now (Discontinued)")</f>
        <v>Playstation Now (Discontinued)</v>
      </c>
      <c r="D961" s="82" t="str">
        <f>IFERROR(__xludf.DUMMYFUNCTION("""COMPUTED_VALUE"""),"Removed")</f>
        <v>Removed</v>
      </c>
      <c r="E961" s="84">
        <f>IFERROR(__xludf.DUMMYFUNCTION("""COMPUTED_VALUE"""),42247.0)</f>
        <v>42247</v>
      </c>
      <c r="F961" s="85">
        <f>IFERROR(__xludf.DUMMYFUNCTION("""COMPUTED_VALUE"""),44725.0)</f>
        <v>44725</v>
      </c>
      <c r="G961" s="86">
        <f>IFERROR(__xludf.DUMMYFUNCTION("""COMPUTED_VALUE"""),81.43333333333334)</f>
        <v>81.43333333</v>
      </c>
      <c r="H961" s="84">
        <f>IFERROR(__xludf.DUMMYFUNCTION("""COMPUTED_VALUE"""),40817.0)</f>
        <v>40817</v>
      </c>
      <c r="I961" s="86">
        <f>IFERROR(__xludf.DUMMYFUNCTION("""COMPUTED_VALUE"""),3.9138888888888888)</f>
        <v>3.913888889</v>
      </c>
      <c r="J961" s="87">
        <f>IFERROR(__xludf.DUMMYFUNCTION("""COMPUTED_VALUE"""),76.0)</f>
        <v>76</v>
      </c>
      <c r="K961" s="88">
        <f>IFERROR(__xludf.DUMMYFUNCTION("""COMPUTED_VALUE"""),7.3)</f>
        <v>7.3</v>
      </c>
      <c r="L961" s="89">
        <f>IFERROR(__xludf.DUMMYFUNCTION("""COMPUTED_VALUE"""),3.0)</f>
        <v>3</v>
      </c>
      <c r="M961" s="26" t="str">
        <f>IFERROR(__xludf.DUMMYFUNCTION("""COMPUTED_VALUE"""),"Shooter")</f>
        <v>Shooter</v>
      </c>
      <c r="N961" s="26" t="str">
        <f>IFERROR(__xludf.DUMMYFUNCTION("""COMPUTED_VALUE"""),"PS3")</f>
        <v>PS3</v>
      </c>
      <c r="O961" s="26" t="str">
        <f>IFERROR(__xludf.DUMMYFUNCTION("""COMPUTED_VALUE"""),"No")</f>
        <v>No</v>
      </c>
      <c r="P961" s="26"/>
    </row>
    <row r="962">
      <c r="A962" s="81" t="str">
        <f>IFERROR(__xludf.DUMMYFUNCTION("""COMPUTED_VALUE"""),"PixelJunk Shooter 2")</f>
        <v>PixelJunk Shooter 2</v>
      </c>
      <c r="B962" s="82" t="str">
        <f>IFERROR(__xludf.DUMMYFUNCTION("""COMPUTED_VALUE"""),"PS5/PS4")</f>
        <v>PS5/PS4</v>
      </c>
      <c r="C962" s="83" t="str">
        <f>IFERROR(__xludf.DUMMYFUNCTION("""COMPUTED_VALUE"""),"Playstation Now (Discontinued)")</f>
        <v>Playstation Now (Discontinued)</v>
      </c>
      <c r="D962" s="82" t="str">
        <f>IFERROR(__xludf.DUMMYFUNCTION("""COMPUTED_VALUE"""),"Removed")</f>
        <v>Removed</v>
      </c>
      <c r="E962" s="84">
        <f>IFERROR(__xludf.DUMMYFUNCTION("""COMPUTED_VALUE"""),42247.0)</f>
        <v>42247</v>
      </c>
      <c r="F962" s="85">
        <f>IFERROR(__xludf.DUMMYFUNCTION("""COMPUTED_VALUE"""),44725.0)</f>
        <v>44725</v>
      </c>
      <c r="G962" s="86">
        <f>IFERROR(__xludf.DUMMYFUNCTION("""COMPUTED_VALUE"""),81.43333333333334)</f>
        <v>81.43333333</v>
      </c>
      <c r="H962" s="84">
        <f>IFERROR(__xludf.DUMMYFUNCTION("""COMPUTED_VALUE"""),40603.0)</f>
        <v>40603</v>
      </c>
      <c r="I962" s="86">
        <f>IFERROR(__xludf.DUMMYFUNCTION("""COMPUTED_VALUE"""),4.497222222222222)</f>
        <v>4.497222222</v>
      </c>
      <c r="J962" s="87">
        <f>IFERROR(__xludf.DUMMYFUNCTION("""COMPUTED_VALUE"""),82.0)</f>
        <v>82</v>
      </c>
      <c r="K962" s="88">
        <f>IFERROR(__xludf.DUMMYFUNCTION("""COMPUTED_VALUE"""),7.7)</f>
        <v>7.7</v>
      </c>
      <c r="L962" s="89">
        <f>IFERROR(__xludf.DUMMYFUNCTION("""COMPUTED_VALUE"""),4.5)</f>
        <v>4.5</v>
      </c>
      <c r="M962" s="26" t="str">
        <f>IFERROR(__xludf.DUMMYFUNCTION("""COMPUTED_VALUE"""),"Shooter")</f>
        <v>Shooter</v>
      </c>
      <c r="N962" s="26" t="str">
        <f>IFERROR(__xludf.DUMMYFUNCTION("""COMPUTED_VALUE"""),"PS3")</f>
        <v>PS3</v>
      </c>
      <c r="O962" s="26" t="str">
        <f>IFERROR(__xludf.DUMMYFUNCTION("""COMPUTED_VALUE"""),"No")</f>
        <v>No</v>
      </c>
      <c r="P962" s="26"/>
    </row>
    <row r="963">
      <c r="A963" s="81" t="str">
        <f>IFERROR(__xludf.DUMMYFUNCTION("""COMPUTED_VALUE"""),"PixelJunk Shooter")</f>
        <v>PixelJunk Shooter</v>
      </c>
      <c r="B963" s="82" t="str">
        <f>IFERROR(__xludf.DUMMYFUNCTION("""COMPUTED_VALUE"""),"PS5/PS4")</f>
        <v>PS5/PS4</v>
      </c>
      <c r="C963" s="83" t="str">
        <f>IFERROR(__xludf.DUMMYFUNCTION("""COMPUTED_VALUE"""),"Playstation Now (Discontinued)")</f>
        <v>Playstation Now (Discontinued)</v>
      </c>
      <c r="D963" s="82" t="str">
        <f>IFERROR(__xludf.DUMMYFUNCTION("""COMPUTED_VALUE"""),"Removed")</f>
        <v>Removed</v>
      </c>
      <c r="E963" s="84">
        <f>IFERROR(__xludf.DUMMYFUNCTION("""COMPUTED_VALUE"""),42247.0)</f>
        <v>42247</v>
      </c>
      <c r="F963" s="85">
        <f>IFERROR(__xludf.DUMMYFUNCTION("""COMPUTED_VALUE"""),44725.0)</f>
        <v>44725</v>
      </c>
      <c r="G963" s="86">
        <f>IFERROR(__xludf.DUMMYFUNCTION("""COMPUTED_VALUE"""),81.43333333333334)</f>
        <v>81.43333333</v>
      </c>
      <c r="H963" s="84">
        <f>IFERROR(__xludf.DUMMYFUNCTION("""COMPUTED_VALUE"""),40148.0)</f>
        <v>40148</v>
      </c>
      <c r="I963" s="86">
        <f>IFERROR(__xludf.DUMMYFUNCTION("""COMPUTED_VALUE"""),5.747222222222222)</f>
        <v>5.747222222</v>
      </c>
      <c r="J963" s="87">
        <f>IFERROR(__xludf.DUMMYFUNCTION("""COMPUTED_VALUE"""),87.0)</f>
        <v>87</v>
      </c>
      <c r="K963" s="88">
        <f>IFERROR(__xludf.DUMMYFUNCTION("""COMPUTED_VALUE"""),7.8)</f>
        <v>7.8</v>
      </c>
      <c r="L963" s="89">
        <f>IFERROR(__xludf.DUMMYFUNCTION("""COMPUTED_VALUE"""),4.0)</f>
        <v>4</v>
      </c>
      <c r="M963" s="26" t="str">
        <f>IFERROR(__xludf.DUMMYFUNCTION("""COMPUTED_VALUE"""),"Shooter")</f>
        <v>Shooter</v>
      </c>
      <c r="N963" s="26" t="str">
        <f>IFERROR(__xludf.DUMMYFUNCTION("""COMPUTED_VALUE"""),"PS3")</f>
        <v>PS3</v>
      </c>
      <c r="O963" s="26" t="str">
        <f>IFERROR(__xludf.DUMMYFUNCTION("""COMPUTED_VALUE"""),"No")</f>
        <v>No</v>
      </c>
      <c r="P963" s="26"/>
    </row>
    <row r="964">
      <c r="A964" s="81" t="str">
        <f>IFERROR(__xludf.DUMMYFUNCTION("""COMPUTED_VALUE"""),"King Oddball")</f>
        <v>King Oddball</v>
      </c>
      <c r="B964" s="82" t="str">
        <f>IFERROR(__xludf.DUMMYFUNCTION("""COMPUTED_VALUE"""),"PS5/PS4")</f>
        <v>PS5/PS4</v>
      </c>
      <c r="C964" s="83" t="str">
        <f>IFERROR(__xludf.DUMMYFUNCTION("""COMPUTED_VALUE"""),"Playstation Now (Discontinued)")</f>
        <v>Playstation Now (Discontinued)</v>
      </c>
      <c r="D964" s="82" t="str">
        <f>IFERROR(__xludf.DUMMYFUNCTION("""COMPUTED_VALUE"""),"Removed")</f>
        <v>Removed</v>
      </c>
      <c r="E964" s="84">
        <f>IFERROR(__xludf.DUMMYFUNCTION("""COMPUTED_VALUE"""),42206.0)</f>
        <v>42206</v>
      </c>
      <c r="F964" s="85">
        <f>IFERROR(__xludf.DUMMYFUNCTION("""COMPUTED_VALUE"""),44725.0)</f>
        <v>44725</v>
      </c>
      <c r="G964" s="86">
        <f>IFERROR(__xludf.DUMMYFUNCTION("""COMPUTED_VALUE"""),82.73333333333333)</f>
        <v>82.73333333</v>
      </c>
      <c r="H964" s="84">
        <f>IFERROR(__xludf.DUMMYFUNCTION("""COMPUTED_VALUE"""),41648.0)</f>
        <v>41648</v>
      </c>
      <c r="I964" s="86">
        <f>IFERROR(__xludf.DUMMYFUNCTION("""COMPUTED_VALUE"""),1.5333333333333334)</f>
        <v>1.533333333</v>
      </c>
      <c r="J964" s="87">
        <f>IFERROR(__xludf.DUMMYFUNCTION("""COMPUTED_VALUE"""),70.0)</f>
        <v>70</v>
      </c>
      <c r="K964" s="88">
        <f>IFERROR(__xludf.DUMMYFUNCTION("""COMPUTED_VALUE"""),7.1)</f>
        <v>7.1</v>
      </c>
      <c r="L964" s="89">
        <f>IFERROR(__xludf.DUMMYFUNCTION("""COMPUTED_VALUE"""),3.0)</f>
        <v>3</v>
      </c>
      <c r="M964" s="26" t="str">
        <f>IFERROR(__xludf.DUMMYFUNCTION("""COMPUTED_VALUE"""),"Puzzle")</f>
        <v>Puzzle</v>
      </c>
      <c r="N964" s="26"/>
      <c r="O964" s="26" t="str">
        <f>IFERROR(__xludf.DUMMYFUNCTION("""COMPUTED_VALUE"""),"No")</f>
        <v>No</v>
      </c>
      <c r="P964" s="26"/>
    </row>
    <row r="965">
      <c r="A965" s="81" t="str">
        <f>IFERROR(__xludf.DUMMYFUNCTION("""COMPUTED_VALUE"""),"Red Faction Battlegrounds")</f>
        <v>Red Faction Battlegrounds</v>
      </c>
      <c r="B965" s="82" t="str">
        <f>IFERROR(__xludf.DUMMYFUNCTION("""COMPUTED_VALUE"""),"PS5/PS4")</f>
        <v>PS5/PS4</v>
      </c>
      <c r="C965" s="83" t="str">
        <f>IFERROR(__xludf.DUMMYFUNCTION("""COMPUTED_VALUE"""),"Playstation Now (Discontinued)")</f>
        <v>Playstation Now (Discontinued)</v>
      </c>
      <c r="D965" s="82" t="str">
        <f>IFERROR(__xludf.DUMMYFUNCTION("""COMPUTED_VALUE"""),"Removed")</f>
        <v>Removed</v>
      </c>
      <c r="E965" s="84">
        <f>IFERROR(__xludf.DUMMYFUNCTION("""COMPUTED_VALUE"""),42157.0)</f>
        <v>42157</v>
      </c>
      <c r="F965" s="85">
        <f>IFERROR(__xludf.DUMMYFUNCTION("""COMPUTED_VALUE"""),44725.0)</f>
        <v>44725</v>
      </c>
      <c r="G965" s="86">
        <f>IFERROR(__xludf.DUMMYFUNCTION("""COMPUTED_VALUE"""),84.36666666666667)</f>
        <v>84.36666667</v>
      </c>
      <c r="H965" s="84">
        <f>IFERROR(__xludf.DUMMYFUNCTION("""COMPUTED_VALUE"""),40638.0)</f>
        <v>40638</v>
      </c>
      <c r="I965" s="86">
        <f>IFERROR(__xludf.DUMMYFUNCTION("""COMPUTED_VALUE"""),4.158333333333333)</f>
        <v>4.158333333</v>
      </c>
      <c r="J965" s="87">
        <f>IFERROR(__xludf.DUMMYFUNCTION("""COMPUTED_VALUE"""),55.0)</f>
        <v>55</v>
      </c>
      <c r="K965" s="88">
        <f>IFERROR(__xludf.DUMMYFUNCTION("""COMPUTED_VALUE"""),6.3)</f>
        <v>6.3</v>
      </c>
      <c r="L965" s="89"/>
      <c r="M965" s="26" t="str">
        <f>IFERROR(__xludf.DUMMYFUNCTION("""COMPUTED_VALUE"""),"Shooter")</f>
        <v>Shooter</v>
      </c>
      <c r="N965" s="26"/>
      <c r="O965" s="26" t="str">
        <f>IFERROR(__xludf.DUMMYFUNCTION("""COMPUTED_VALUE"""),"No")</f>
        <v>No</v>
      </c>
      <c r="P965" s="26"/>
    </row>
    <row r="966">
      <c r="A966" s="81" t="str">
        <f>IFERROR(__xludf.DUMMYFUNCTION("""COMPUTED_VALUE"""),"Sniper: Ghost Warrior 2")</f>
        <v>Sniper: Ghost Warrior 2</v>
      </c>
      <c r="B966" s="82" t="str">
        <f>IFERROR(__xludf.DUMMYFUNCTION("""COMPUTED_VALUE"""),"PS5/PS4")</f>
        <v>PS5/PS4</v>
      </c>
      <c r="C966" s="83" t="str">
        <f>IFERROR(__xludf.DUMMYFUNCTION("""COMPUTED_VALUE"""),"Playstation Now (Discontinued)")</f>
        <v>Playstation Now (Discontinued)</v>
      </c>
      <c r="D966" s="82" t="str">
        <f>IFERROR(__xludf.DUMMYFUNCTION("""COMPUTED_VALUE"""),"Removed")</f>
        <v>Removed</v>
      </c>
      <c r="E966" s="84">
        <f>IFERROR(__xludf.DUMMYFUNCTION("""COMPUTED_VALUE"""),42157.0)</f>
        <v>42157</v>
      </c>
      <c r="F966" s="85">
        <f>IFERROR(__xludf.DUMMYFUNCTION("""COMPUTED_VALUE"""),44725.0)</f>
        <v>44725</v>
      </c>
      <c r="G966" s="86">
        <f>IFERROR(__xludf.DUMMYFUNCTION("""COMPUTED_VALUE"""),84.36666666666667)</f>
        <v>84.36666667</v>
      </c>
      <c r="H966" s="84">
        <f>IFERROR(__xludf.DUMMYFUNCTION("""COMPUTED_VALUE"""),41345.0)</f>
        <v>41345</v>
      </c>
      <c r="I966" s="86">
        <f>IFERROR(__xludf.DUMMYFUNCTION("""COMPUTED_VALUE"""),2.2222222222222223)</f>
        <v>2.222222222</v>
      </c>
      <c r="J966" s="87">
        <f>IFERROR(__xludf.DUMMYFUNCTION("""COMPUTED_VALUE"""),52.0)</f>
        <v>52</v>
      </c>
      <c r="K966" s="88">
        <f>IFERROR(__xludf.DUMMYFUNCTION("""COMPUTED_VALUE"""),6.4)</f>
        <v>6.4</v>
      </c>
      <c r="L966" s="89">
        <f>IFERROR(__xludf.DUMMYFUNCTION("""COMPUTED_VALUE"""),6.0)</f>
        <v>6</v>
      </c>
      <c r="M966" s="26" t="str">
        <f>IFERROR(__xludf.DUMMYFUNCTION("""COMPUTED_VALUE"""),"Shooter")</f>
        <v>Shooter</v>
      </c>
      <c r="N966" s="26"/>
      <c r="O966" s="26" t="str">
        <f>IFERROR(__xludf.DUMMYFUNCTION("""COMPUTED_VALUE"""),"No")</f>
        <v>No</v>
      </c>
      <c r="P966" s="26"/>
    </row>
    <row r="967">
      <c r="A967" s="81" t="str">
        <f>IFERROR(__xludf.DUMMYFUNCTION("""COMPUTED_VALUE"""),"F1 2014")</f>
        <v>F1 2014</v>
      </c>
      <c r="B967" s="82" t="str">
        <f>IFERROR(__xludf.DUMMYFUNCTION("""COMPUTED_VALUE"""),"PS5/PS4")</f>
        <v>PS5/PS4</v>
      </c>
      <c r="C967" s="83" t="str">
        <f>IFERROR(__xludf.DUMMYFUNCTION("""COMPUTED_VALUE"""),"Playstation Now (Discontinued)")</f>
        <v>Playstation Now (Discontinued)</v>
      </c>
      <c r="D967" s="82" t="str">
        <f>IFERROR(__xludf.DUMMYFUNCTION("""COMPUTED_VALUE"""),"Removed")</f>
        <v>Removed</v>
      </c>
      <c r="E967" s="84">
        <f>IFERROR(__xludf.DUMMYFUNCTION("""COMPUTED_VALUE"""),42129.0)</f>
        <v>42129</v>
      </c>
      <c r="F967" s="85">
        <f>IFERROR(__xludf.DUMMYFUNCTION("""COMPUTED_VALUE"""),44725.0)</f>
        <v>44725</v>
      </c>
      <c r="G967" s="86">
        <f>IFERROR(__xludf.DUMMYFUNCTION("""COMPUTED_VALUE"""),85.26666666666667)</f>
        <v>85.26666667</v>
      </c>
      <c r="H967" s="84">
        <f>IFERROR(__xludf.DUMMYFUNCTION("""COMPUTED_VALUE"""),41933.0)</f>
        <v>41933</v>
      </c>
      <c r="I967" s="86">
        <f>IFERROR(__xludf.DUMMYFUNCTION("""COMPUTED_VALUE"""),0.5388888888888889)</f>
        <v>0.5388888889</v>
      </c>
      <c r="J967" s="87">
        <f>IFERROR(__xludf.DUMMYFUNCTION("""COMPUTED_VALUE"""),61.0)</f>
        <v>61</v>
      </c>
      <c r="K967" s="88">
        <f>IFERROR(__xludf.DUMMYFUNCTION("""COMPUTED_VALUE"""),6.1)</f>
        <v>6.1</v>
      </c>
      <c r="L967" s="89"/>
      <c r="M967" s="26" t="str">
        <f>IFERROR(__xludf.DUMMYFUNCTION("""COMPUTED_VALUE"""),"Racing")</f>
        <v>Racing</v>
      </c>
      <c r="N967" s="26" t="str">
        <f>IFERROR(__xludf.DUMMYFUNCTION("""COMPUTED_VALUE"""),"PS3")</f>
        <v>PS3</v>
      </c>
      <c r="O967" s="26" t="str">
        <f>IFERROR(__xludf.DUMMYFUNCTION("""COMPUTED_VALUE"""),"No")</f>
        <v>No</v>
      </c>
      <c r="P967" s="26"/>
    </row>
    <row r="968">
      <c r="A968" s="81" t="str">
        <f>IFERROR(__xludf.DUMMYFUNCTION("""COMPUTED_VALUE"""),"Farming Simulator")</f>
        <v>Farming Simulator</v>
      </c>
      <c r="B968" s="82" t="str">
        <f>IFERROR(__xludf.DUMMYFUNCTION("""COMPUTED_VALUE"""),"PS5/PS4")</f>
        <v>PS5/PS4</v>
      </c>
      <c r="C968" s="83" t="str">
        <f>IFERROR(__xludf.DUMMYFUNCTION("""COMPUTED_VALUE"""),"Playstation Now (Discontinued)")</f>
        <v>Playstation Now (Discontinued)</v>
      </c>
      <c r="D968" s="82" t="str">
        <f>IFERROR(__xludf.DUMMYFUNCTION("""COMPUTED_VALUE"""),"Removed")</f>
        <v>Removed</v>
      </c>
      <c r="E968" s="84">
        <f>IFERROR(__xludf.DUMMYFUNCTION("""COMPUTED_VALUE"""),42129.0)</f>
        <v>42129</v>
      </c>
      <c r="F968" s="85">
        <f>IFERROR(__xludf.DUMMYFUNCTION("""COMPUTED_VALUE"""),44725.0)</f>
        <v>44725</v>
      </c>
      <c r="G968" s="86">
        <f>IFERROR(__xludf.DUMMYFUNCTION("""COMPUTED_VALUE"""),85.26666666666667)</f>
        <v>85.26666667</v>
      </c>
      <c r="H968" s="84">
        <f>IFERROR(__xludf.DUMMYFUNCTION("""COMPUTED_VALUE"""),41572.0)</f>
        <v>41572</v>
      </c>
      <c r="I968" s="86">
        <f>IFERROR(__xludf.DUMMYFUNCTION("""COMPUTED_VALUE"""),1.5277777777777777)</f>
        <v>1.527777778</v>
      </c>
      <c r="J968" s="87">
        <f>IFERROR(__xludf.DUMMYFUNCTION("""COMPUTED_VALUE"""),58.0)</f>
        <v>58</v>
      </c>
      <c r="K968" s="88">
        <f>IFERROR(__xludf.DUMMYFUNCTION("""COMPUTED_VALUE"""),5.5)</f>
        <v>5.5</v>
      </c>
      <c r="L968" s="89"/>
      <c r="M968" s="26" t="str">
        <f>IFERROR(__xludf.DUMMYFUNCTION("""COMPUTED_VALUE"""),"Farming")</f>
        <v>Farming</v>
      </c>
      <c r="N968" s="26"/>
      <c r="O968" s="26" t="str">
        <f>IFERROR(__xludf.DUMMYFUNCTION("""COMPUTED_VALUE"""),"No")</f>
        <v>No</v>
      </c>
      <c r="P968" s="26"/>
    </row>
    <row r="969">
      <c r="A969" s="81" t="str">
        <f>IFERROR(__xludf.DUMMYFUNCTION("""COMPUTED_VALUE"""),"Operation Flashpoint: Red River")</f>
        <v>Operation Flashpoint: Red River</v>
      </c>
      <c r="B969" s="82" t="str">
        <f>IFERROR(__xludf.DUMMYFUNCTION("""COMPUTED_VALUE"""),"PS5/PS4")</f>
        <v>PS5/PS4</v>
      </c>
      <c r="C969" s="83" t="str">
        <f>IFERROR(__xludf.DUMMYFUNCTION("""COMPUTED_VALUE"""),"Playstation Now (Discontinued)")</f>
        <v>Playstation Now (Discontinued)</v>
      </c>
      <c r="D969" s="82" t="str">
        <f>IFERROR(__xludf.DUMMYFUNCTION("""COMPUTED_VALUE"""),"Removed")</f>
        <v>Removed</v>
      </c>
      <c r="E969" s="84">
        <f>IFERROR(__xludf.DUMMYFUNCTION("""COMPUTED_VALUE"""),42066.0)</f>
        <v>42066</v>
      </c>
      <c r="F969" s="85">
        <f>IFERROR(__xludf.DUMMYFUNCTION("""COMPUTED_VALUE"""),44725.0)</f>
        <v>44725</v>
      </c>
      <c r="G969" s="86">
        <f>IFERROR(__xludf.DUMMYFUNCTION("""COMPUTED_VALUE"""),87.33333333333333)</f>
        <v>87.33333333</v>
      </c>
      <c r="H969" s="84">
        <f>IFERROR(__xludf.DUMMYFUNCTION("""COMPUTED_VALUE"""),40695.0)</f>
        <v>40695</v>
      </c>
      <c r="I969" s="86">
        <f>IFERROR(__xludf.DUMMYFUNCTION("""COMPUTED_VALUE"""),3.7555555555555555)</f>
        <v>3.755555556</v>
      </c>
      <c r="J969" s="87">
        <f>IFERROR(__xludf.DUMMYFUNCTION("""COMPUTED_VALUE"""),67.0)</f>
        <v>67</v>
      </c>
      <c r="K969" s="88">
        <f>IFERROR(__xludf.DUMMYFUNCTION("""COMPUTED_VALUE"""),5.9)</f>
        <v>5.9</v>
      </c>
      <c r="L969" s="89">
        <f>IFERROR(__xludf.DUMMYFUNCTION("""COMPUTED_VALUE"""),9.0)</f>
        <v>9</v>
      </c>
      <c r="M969" s="26" t="str">
        <f>IFERROR(__xludf.DUMMYFUNCTION("""COMPUTED_VALUE"""),"Shooter")</f>
        <v>Shooter</v>
      </c>
      <c r="N969" s="26" t="str">
        <f>IFERROR(__xludf.DUMMYFUNCTION("""COMPUTED_VALUE"""),"PS3")</f>
        <v>PS3</v>
      </c>
      <c r="O969" s="26" t="str">
        <f>IFERROR(__xludf.DUMMYFUNCTION("""COMPUTED_VALUE"""),"No")</f>
        <v>No</v>
      </c>
      <c r="P969" s="26"/>
    </row>
    <row r="970">
      <c r="A970" s="81" t="str">
        <f>IFERROR(__xludf.DUMMYFUNCTION("""COMPUTED_VALUE"""),"Galaga Legions DX")</f>
        <v>Galaga Legions DX</v>
      </c>
      <c r="B970" s="82" t="str">
        <f>IFERROR(__xludf.DUMMYFUNCTION("""COMPUTED_VALUE"""),"PS5/PS4")</f>
        <v>PS5/PS4</v>
      </c>
      <c r="C970" s="83" t="str">
        <f>IFERROR(__xludf.DUMMYFUNCTION("""COMPUTED_VALUE"""),"Playstation Now (Discontinued)")</f>
        <v>Playstation Now (Discontinued)</v>
      </c>
      <c r="D970" s="82" t="str">
        <f>IFERROR(__xludf.DUMMYFUNCTION("""COMPUTED_VALUE"""),"Removed")</f>
        <v>Removed</v>
      </c>
      <c r="E970" s="84">
        <f>IFERROR(__xludf.DUMMYFUNCTION("""COMPUTED_VALUE"""),42038.0)</f>
        <v>42038</v>
      </c>
      <c r="F970" s="85">
        <f>IFERROR(__xludf.DUMMYFUNCTION("""COMPUTED_VALUE"""),44725.0)</f>
        <v>44725</v>
      </c>
      <c r="G970" s="86">
        <f>IFERROR(__xludf.DUMMYFUNCTION("""COMPUTED_VALUE"""),88.33333333333333)</f>
        <v>88.33333333</v>
      </c>
      <c r="H970" s="84">
        <f>IFERROR(__xludf.DUMMYFUNCTION("""COMPUTED_VALUE"""),40756.0)</f>
        <v>40756</v>
      </c>
      <c r="I970" s="86">
        <f>IFERROR(__xludf.DUMMYFUNCTION("""COMPUTED_VALUE"""),3.5055555555555555)</f>
        <v>3.505555556</v>
      </c>
      <c r="J970" s="87">
        <f>IFERROR(__xludf.DUMMYFUNCTION("""COMPUTED_VALUE"""),72.0)</f>
        <v>72</v>
      </c>
      <c r="K970" s="88">
        <f>IFERROR(__xludf.DUMMYFUNCTION("""COMPUTED_VALUE"""),7.7)</f>
        <v>7.7</v>
      </c>
      <c r="L970" s="89">
        <f>IFERROR(__xludf.DUMMYFUNCTION("""COMPUTED_VALUE"""),3.0)</f>
        <v>3</v>
      </c>
      <c r="M970" s="26" t="str">
        <f>IFERROR(__xludf.DUMMYFUNCTION("""COMPUTED_VALUE"""),"Shooter")</f>
        <v>Shooter</v>
      </c>
      <c r="N970" s="26" t="str">
        <f>IFERROR(__xludf.DUMMYFUNCTION("""COMPUTED_VALUE"""),"PS3")</f>
        <v>PS3</v>
      </c>
      <c r="O970" s="26" t="str">
        <f>IFERROR(__xludf.DUMMYFUNCTION("""COMPUTED_VALUE"""),"No")</f>
        <v>No</v>
      </c>
      <c r="P970" s="26"/>
    </row>
    <row r="971">
      <c r="A971" s="81" t="str">
        <f>IFERROR(__xludf.DUMMYFUNCTION("""COMPUTED_VALUE"""),"Grid Autosport")</f>
        <v>Grid Autosport</v>
      </c>
      <c r="B971" s="82" t="str">
        <f>IFERROR(__xludf.DUMMYFUNCTION("""COMPUTED_VALUE"""),"PS5/PS4")</f>
        <v>PS5/PS4</v>
      </c>
      <c r="C971" s="83" t="str">
        <f>IFERROR(__xludf.DUMMYFUNCTION("""COMPUTED_VALUE"""),"Playstation Now (Discontinued)")</f>
        <v>Playstation Now (Discontinued)</v>
      </c>
      <c r="D971" s="82" t="str">
        <f>IFERROR(__xludf.DUMMYFUNCTION("""COMPUTED_VALUE"""),"Removed")</f>
        <v>Removed</v>
      </c>
      <c r="E971" s="84">
        <f>IFERROR(__xludf.DUMMYFUNCTION("""COMPUTED_VALUE"""),42017.0)</f>
        <v>42017</v>
      </c>
      <c r="F971" s="85">
        <f>IFERROR(__xludf.DUMMYFUNCTION("""COMPUTED_VALUE"""),44725.0)</f>
        <v>44725</v>
      </c>
      <c r="G971" s="86">
        <f>IFERROR(__xludf.DUMMYFUNCTION("""COMPUTED_VALUE"""),89.0)</f>
        <v>89</v>
      </c>
      <c r="H971" s="84">
        <f>IFERROR(__xludf.DUMMYFUNCTION("""COMPUTED_VALUE"""),41814.0)</f>
        <v>41814</v>
      </c>
      <c r="I971" s="86">
        <f>IFERROR(__xludf.DUMMYFUNCTION("""COMPUTED_VALUE"""),0.5527777777777778)</f>
        <v>0.5527777778</v>
      </c>
      <c r="J971" s="87">
        <f>IFERROR(__xludf.DUMMYFUNCTION("""COMPUTED_VALUE"""),78.0)</f>
        <v>78</v>
      </c>
      <c r="K971" s="88">
        <f>IFERROR(__xludf.DUMMYFUNCTION("""COMPUTED_VALUE"""),7.6)</f>
        <v>7.6</v>
      </c>
      <c r="L971" s="89">
        <f>IFERROR(__xludf.DUMMYFUNCTION("""COMPUTED_VALUE"""),32.0)</f>
        <v>32</v>
      </c>
      <c r="M971" s="26" t="str">
        <f>IFERROR(__xludf.DUMMYFUNCTION("""COMPUTED_VALUE"""),"Racing")</f>
        <v>Racing</v>
      </c>
      <c r="N971" s="26" t="str">
        <f>IFERROR(__xludf.DUMMYFUNCTION("""COMPUTED_VALUE"""),"PS3")</f>
        <v>PS3</v>
      </c>
      <c r="O971" s="26" t="str">
        <f>IFERROR(__xludf.DUMMYFUNCTION("""COMPUTED_VALUE"""),"No")</f>
        <v>No</v>
      </c>
      <c r="P971" s="26"/>
    </row>
    <row r="972">
      <c r="A972" s="81" t="str">
        <f>IFERROR(__xludf.DUMMYFUNCTION("""COMPUTED_VALUE"""),"Sly Cooper Collection")</f>
        <v>Sly Cooper Collection</v>
      </c>
      <c r="B972" s="82" t="str">
        <f>IFERROR(__xludf.DUMMYFUNCTION("""COMPUTED_VALUE"""),"PS5/PS4")</f>
        <v>PS5/PS4</v>
      </c>
      <c r="C972" s="83" t="str">
        <f>IFERROR(__xludf.DUMMYFUNCTION("""COMPUTED_VALUE"""),"Playstation Now (Discontinued)")</f>
        <v>Playstation Now (Discontinued)</v>
      </c>
      <c r="D972" s="82" t="str">
        <f>IFERROR(__xludf.DUMMYFUNCTION("""COMPUTED_VALUE"""),"Removed")</f>
        <v>Removed</v>
      </c>
      <c r="E972" s="84">
        <f>IFERROR(__xludf.DUMMYFUNCTION("""COMPUTED_VALUE"""),42017.0)</f>
        <v>42017</v>
      </c>
      <c r="F972" s="85">
        <f>IFERROR(__xludf.DUMMYFUNCTION("""COMPUTED_VALUE"""),44725.0)</f>
        <v>44725</v>
      </c>
      <c r="G972" s="86">
        <f>IFERROR(__xludf.DUMMYFUNCTION("""COMPUTED_VALUE"""),89.0)</f>
        <v>89</v>
      </c>
      <c r="H972" s="84">
        <f>IFERROR(__xludf.DUMMYFUNCTION("""COMPUTED_VALUE"""),40876.0)</f>
        <v>40876</v>
      </c>
      <c r="I972" s="86">
        <f>IFERROR(__xludf.DUMMYFUNCTION("""COMPUTED_VALUE"""),3.1222222222222222)</f>
        <v>3.122222222</v>
      </c>
      <c r="J972" s="87">
        <f>IFERROR(__xludf.DUMMYFUNCTION("""COMPUTED_VALUE"""),80.0)</f>
        <v>80</v>
      </c>
      <c r="K972" s="88">
        <f>IFERROR(__xludf.DUMMYFUNCTION("""COMPUTED_VALUE"""),8.6)</f>
        <v>8.6</v>
      </c>
      <c r="L972" s="89">
        <f>IFERROR(__xludf.DUMMYFUNCTION("""COMPUTED_VALUE"""),25.0)</f>
        <v>25</v>
      </c>
      <c r="M972" s="26" t="str">
        <f>IFERROR(__xludf.DUMMYFUNCTION("""COMPUTED_VALUE"""),"Action-Adventure")</f>
        <v>Action-Adventure</v>
      </c>
      <c r="N972" s="26" t="str">
        <f>IFERROR(__xludf.DUMMYFUNCTION("""COMPUTED_VALUE"""),"PS3")</f>
        <v>PS3</v>
      </c>
      <c r="O972" s="26" t="str">
        <f>IFERROR(__xludf.DUMMYFUNCTION("""COMPUTED_VALUE"""),"No")</f>
        <v>No</v>
      </c>
      <c r="P972" s="26"/>
    </row>
    <row r="973">
      <c r="A973" s="81" t="str">
        <f>IFERROR(__xludf.DUMMYFUNCTION("""COMPUTED_VALUE"""),"Dead Island: Riptide")</f>
        <v>Dead Island: Riptide</v>
      </c>
      <c r="B973" s="82" t="str">
        <f>IFERROR(__xludf.DUMMYFUNCTION("""COMPUTED_VALUE"""),"PS5/PS4")</f>
        <v>PS5/PS4</v>
      </c>
      <c r="C973" s="83" t="str">
        <f>IFERROR(__xludf.DUMMYFUNCTION("""COMPUTED_VALUE"""),"Playstation Now (Discontinued)")</f>
        <v>Playstation Now (Discontinued)</v>
      </c>
      <c r="D973" s="82" t="str">
        <f>IFERROR(__xludf.DUMMYFUNCTION("""COMPUTED_VALUE"""),"Removed")</f>
        <v>Removed</v>
      </c>
      <c r="E973" s="84">
        <f>IFERROR(__xludf.DUMMYFUNCTION("""COMPUTED_VALUE"""),42017.0)</f>
        <v>42017</v>
      </c>
      <c r="F973" s="85">
        <f>IFERROR(__xludf.DUMMYFUNCTION("""COMPUTED_VALUE"""),44725.0)</f>
        <v>44725</v>
      </c>
      <c r="G973" s="86">
        <f>IFERROR(__xludf.DUMMYFUNCTION("""COMPUTED_VALUE"""),89.0)</f>
        <v>89</v>
      </c>
      <c r="H973" s="84">
        <f>IFERROR(__xludf.DUMMYFUNCTION("""COMPUTED_VALUE"""),41387.0)</f>
        <v>41387</v>
      </c>
      <c r="I973" s="86">
        <f>IFERROR(__xludf.DUMMYFUNCTION("""COMPUTED_VALUE"""),1.7222222222222223)</f>
        <v>1.722222222</v>
      </c>
      <c r="J973" s="87">
        <f>IFERROR(__xludf.DUMMYFUNCTION("""COMPUTED_VALUE"""),64.0)</f>
        <v>64</v>
      </c>
      <c r="K973" s="88">
        <f>IFERROR(__xludf.DUMMYFUNCTION("""COMPUTED_VALUE"""),5.3)</f>
        <v>5.3</v>
      </c>
      <c r="L973" s="89">
        <f>IFERROR(__xludf.DUMMYFUNCTION("""COMPUTED_VALUE"""),12.0)</f>
        <v>12</v>
      </c>
      <c r="M973" s="26" t="str">
        <f>IFERROR(__xludf.DUMMYFUNCTION("""COMPUTED_VALUE"""),"Action-Adventure")</f>
        <v>Action-Adventure</v>
      </c>
      <c r="N973" s="26"/>
      <c r="O973" s="26" t="str">
        <f>IFERROR(__xludf.DUMMYFUNCTION("""COMPUTED_VALUE"""),"No")</f>
        <v>No</v>
      </c>
      <c r="P973" s="26"/>
    </row>
    <row r="974">
      <c r="A974" s="81" t="str">
        <f>IFERROR(__xludf.DUMMYFUNCTION("""COMPUTED_VALUE"""),"Guacamelee! Bundle Fantástico")</f>
        <v>Guacamelee! Bundle Fantástico</v>
      </c>
      <c r="B974" s="82" t="str">
        <f>IFERROR(__xludf.DUMMYFUNCTION("""COMPUTED_VALUE"""),"PS5/PS4")</f>
        <v>PS5/PS4</v>
      </c>
      <c r="C974" s="83" t="str">
        <f>IFERROR(__xludf.DUMMYFUNCTION("""COMPUTED_VALUE"""),"Playstation Now (Discontinued)")</f>
        <v>Playstation Now (Discontinued)</v>
      </c>
      <c r="D974" s="82" t="str">
        <f>IFERROR(__xludf.DUMMYFUNCTION("""COMPUTED_VALUE"""),"Removed")</f>
        <v>Removed</v>
      </c>
      <c r="E974" s="84">
        <f>IFERROR(__xludf.DUMMYFUNCTION("""COMPUTED_VALUE"""),42017.0)</f>
        <v>42017</v>
      </c>
      <c r="F974" s="85">
        <f>IFERROR(__xludf.DUMMYFUNCTION("""COMPUTED_VALUE"""),44725.0)</f>
        <v>44725</v>
      </c>
      <c r="G974" s="86">
        <f>IFERROR(__xludf.DUMMYFUNCTION("""COMPUTED_VALUE"""),89.0)</f>
        <v>89</v>
      </c>
      <c r="H974" s="84">
        <f>IFERROR(__xludf.DUMMYFUNCTION("""COMPUTED_VALUE"""),41697.0)</f>
        <v>41697</v>
      </c>
      <c r="I974" s="86">
        <f>IFERROR(__xludf.DUMMYFUNCTION("""COMPUTED_VALUE"""),0.8777777777777778)</f>
        <v>0.8777777778</v>
      </c>
      <c r="J974" s="87">
        <f>IFERROR(__xludf.DUMMYFUNCTION("""COMPUTED_VALUE"""),80.0)</f>
        <v>80</v>
      </c>
      <c r="K974" s="88">
        <f>IFERROR(__xludf.DUMMYFUNCTION("""COMPUTED_VALUE"""),7.8)</f>
        <v>7.8</v>
      </c>
      <c r="L974" s="89">
        <f>IFERROR(__xludf.DUMMYFUNCTION("""COMPUTED_VALUE"""),5.5)</f>
        <v>5.5</v>
      </c>
      <c r="M974" s="26" t="str">
        <f>IFERROR(__xludf.DUMMYFUNCTION("""COMPUTED_VALUE"""),"Action-Adventure")</f>
        <v>Action-Adventure</v>
      </c>
      <c r="N974" s="26"/>
      <c r="O974" s="26" t="str">
        <f>IFERROR(__xludf.DUMMYFUNCTION("""COMPUTED_VALUE"""),"No")</f>
        <v>No</v>
      </c>
      <c r="P974" s="26"/>
    </row>
    <row r="975">
      <c r="A975" s="81" t="str">
        <f>IFERROR(__xludf.DUMMYFUNCTION("""COMPUTED_VALUE"""),"MotorStorm: Apocalypse")</f>
        <v>MotorStorm: Apocalypse</v>
      </c>
      <c r="B975" s="82" t="str">
        <f>IFERROR(__xludf.DUMMYFUNCTION("""COMPUTED_VALUE"""),"PS5/PS4")</f>
        <v>PS5/PS4</v>
      </c>
      <c r="C975" s="83" t="str">
        <f>IFERROR(__xludf.DUMMYFUNCTION("""COMPUTED_VALUE"""),"Playstation Now (Discontinued)")</f>
        <v>Playstation Now (Discontinued)</v>
      </c>
      <c r="D975" s="82" t="str">
        <f>IFERROR(__xludf.DUMMYFUNCTION("""COMPUTED_VALUE"""),"Removed")</f>
        <v>Removed</v>
      </c>
      <c r="E975" s="84">
        <f>IFERROR(__xludf.DUMMYFUNCTION("""COMPUTED_VALUE"""),42017.0)</f>
        <v>42017</v>
      </c>
      <c r="F975" s="85">
        <f>IFERROR(__xludf.DUMMYFUNCTION("""COMPUTED_VALUE"""),44725.0)</f>
        <v>44725</v>
      </c>
      <c r="G975" s="86">
        <f>IFERROR(__xludf.DUMMYFUNCTION("""COMPUTED_VALUE"""),89.0)</f>
        <v>89</v>
      </c>
      <c r="H975" s="84">
        <f>IFERROR(__xludf.DUMMYFUNCTION("""COMPUTED_VALUE"""),40618.0)</f>
        <v>40618</v>
      </c>
      <c r="I975" s="86">
        <f>IFERROR(__xludf.DUMMYFUNCTION("""COMPUTED_VALUE"""),3.825)</f>
        <v>3.825</v>
      </c>
      <c r="J975" s="87">
        <f>IFERROR(__xludf.DUMMYFUNCTION("""COMPUTED_VALUE"""),77.0)</f>
        <v>77</v>
      </c>
      <c r="K975" s="88">
        <f>IFERROR(__xludf.DUMMYFUNCTION("""COMPUTED_VALUE"""),8.0)</f>
        <v>8</v>
      </c>
      <c r="L975" s="89">
        <f>IFERROR(__xludf.DUMMYFUNCTION("""COMPUTED_VALUE"""),8.0)</f>
        <v>8</v>
      </c>
      <c r="M975" s="26" t="str">
        <f>IFERROR(__xludf.DUMMYFUNCTION("""COMPUTED_VALUE"""),"Racing")</f>
        <v>Racing</v>
      </c>
      <c r="N975" s="26"/>
      <c r="O975" s="26" t="str">
        <f>IFERROR(__xludf.DUMMYFUNCTION("""COMPUTED_VALUE"""),"No")</f>
        <v>No</v>
      </c>
      <c r="P975" s="26"/>
    </row>
    <row r="976">
      <c r="A976" s="81" t="str">
        <f>IFERROR(__xludf.DUMMYFUNCTION("""COMPUTED_VALUE"""),"PAC-MAN Championship Edition DX")</f>
        <v>PAC-MAN Championship Edition DX</v>
      </c>
      <c r="B976" s="82" t="str">
        <f>IFERROR(__xludf.DUMMYFUNCTION("""COMPUTED_VALUE"""),"PS5/PS4")</f>
        <v>PS5/PS4</v>
      </c>
      <c r="C976" s="83" t="str">
        <f>IFERROR(__xludf.DUMMYFUNCTION("""COMPUTED_VALUE"""),"Playstation Now (Discontinued)")</f>
        <v>Playstation Now (Discontinued)</v>
      </c>
      <c r="D976" s="82" t="str">
        <f>IFERROR(__xludf.DUMMYFUNCTION("""COMPUTED_VALUE"""),"Removed")</f>
        <v>Removed</v>
      </c>
      <c r="E976" s="84">
        <f>IFERROR(__xludf.DUMMYFUNCTION("""COMPUTED_VALUE"""),42017.0)</f>
        <v>42017</v>
      </c>
      <c r="F976" s="85">
        <f>IFERROR(__xludf.DUMMYFUNCTION("""COMPUTED_VALUE"""),44725.0)</f>
        <v>44725</v>
      </c>
      <c r="G976" s="86">
        <f>IFERROR(__xludf.DUMMYFUNCTION("""COMPUTED_VALUE"""),89.0)</f>
        <v>89</v>
      </c>
      <c r="H976" s="84">
        <f>IFERROR(__xludf.DUMMYFUNCTION("""COMPUTED_VALUE"""),40499.0)</f>
        <v>40499</v>
      </c>
      <c r="I976" s="86">
        <f>IFERROR(__xludf.DUMMYFUNCTION("""COMPUTED_VALUE"""),4.155555555555556)</f>
        <v>4.155555556</v>
      </c>
      <c r="J976" s="87">
        <f>IFERROR(__xludf.DUMMYFUNCTION("""COMPUTED_VALUE"""),93.0)</f>
        <v>93</v>
      </c>
      <c r="K976" s="88">
        <f>IFERROR(__xludf.DUMMYFUNCTION("""COMPUTED_VALUE"""),8.6)</f>
        <v>8.6</v>
      </c>
      <c r="L976" s="89">
        <f>IFERROR(__xludf.DUMMYFUNCTION("""COMPUTED_VALUE"""),2.0)</f>
        <v>2</v>
      </c>
      <c r="M976" s="26" t="str">
        <f>IFERROR(__xludf.DUMMYFUNCTION("""COMPUTED_VALUE"""),"Arcade")</f>
        <v>Arcade</v>
      </c>
      <c r="N976" s="26"/>
      <c r="O976" s="26" t="str">
        <f>IFERROR(__xludf.DUMMYFUNCTION("""COMPUTED_VALUE"""),"No")</f>
        <v>No</v>
      </c>
      <c r="P976" s="26"/>
    </row>
    <row r="977">
      <c r="A977" s="81" t="str">
        <f>IFERROR(__xludf.DUMMYFUNCTION("""COMPUTED_VALUE"""),"Port Royale 3: Gold")</f>
        <v>Port Royale 3: Gold</v>
      </c>
      <c r="B977" s="82" t="str">
        <f>IFERROR(__xludf.DUMMYFUNCTION("""COMPUTED_VALUE"""),"PS5/PS4")</f>
        <v>PS5/PS4</v>
      </c>
      <c r="C977" s="83" t="str">
        <f>IFERROR(__xludf.DUMMYFUNCTION("""COMPUTED_VALUE"""),"Playstation Now (Discontinued)")</f>
        <v>Playstation Now (Discontinued)</v>
      </c>
      <c r="D977" s="82" t="str">
        <f>IFERROR(__xludf.DUMMYFUNCTION("""COMPUTED_VALUE"""),"Removed")</f>
        <v>Removed</v>
      </c>
      <c r="E977" s="84">
        <f>IFERROR(__xludf.DUMMYFUNCTION("""COMPUTED_VALUE"""),42017.0)</f>
        <v>42017</v>
      </c>
      <c r="F977" s="85">
        <f>IFERROR(__xludf.DUMMYFUNCTION("""COMPUTED_VALUE"""),44725.0)</f>
        <v>44725</v>
      </c>
      <c r="G977" s="86">
        <f>IFERROR(__xludf.DUMMYFUNCTION("""COMPUTED_VALUE"""),89.0)</f>
        <v>89</v>
      </c>
      <c r="H977" s="84">
        <f>IFERROR(__xludf.DUMMYFUNCTION("""COMPUTED_VALUE"""),41397.0)</f>
        <v>41397</v>
      </c>
      <c r="I977" s="86">
        <f>IFERROR(__xludf.DUMMYFUNCTION("""COMPUTED_VALUE"""),1.6944444444444444)</f>
        <v>1.694444444</v>
      </c>
      <c r="J977" s="87">
        <f>IFERROR(__xludf.DUMMYFUNCTION("""COMPUTED_VALUE"""),62.0)</f>
        <v>62</v>
      </c>
      <c r="K977" s="88">
        <f>IFERROR(__xludf.DUMMYFUNCTION("""COMPUTED_VALUE"""),6.7)</f>
        <v>6.7</v>
      </c>
      <c r="L977" s="89"/>
      <c r="M977" s="26" t="str">
        <f>IFERROR(__xludf.DUMMYFUNCTION("""COMPUTED_VALUE"""),"Strategy")</f>
        <v>Strategy</v>
      </c>
      <c r="N977" s="26"/>
      <c r="O977" s="26" t="str">
        <f>IFERROR(__xludf.DUMMYFUNCTION("""COMPUTED_VALUE"""),"No")</f>
        <v>No</v>
      </c>
      <c r="P977" s="26"/>
    </row>
    <row r="978">
      <c r="A978" s="81" t="str">
        <f>IFERROR(__xludf.DUMMYFUNCTION("""COMPUTED_VALUE"""),"Runner2: Future Legend of Rhythm Alien")</f>
        <v>Runner2: Future Legend of Rhythm Alien</v>
      </c>
      <c r="B978" s="82" t="str">
        <f>IFERROR(__xludf.DUMMYFUNCTION("""COMPUTED_VALUE"""),"PS5/PS4")</f>
        <v>PS5/PS4</v>
      </c>
      <c r="C978" s="83" t="str">
        <f>IFERROR(__xludf.DUMMYFUNCTION("""COMPUTED_VALUE"""),"Playstation Now (Discontinued)")</f>
        <v>Playstation Now (Discontinued)</v>
      </c>
      <c r="D978" s="82" t="str">
        <f>IFERROR(__xludf.DUMMYFUNCTION("""COMPUTED_VALUE"""),"Removed")</f>
        <v>Removed</v>
      </c>
      <c r="E978" s="84">
        <f>IFERROR(__xludf.DUMMYFUNCTION("""COMPUTED_VALUE"""),42017.0)</f>
        <v>42017</v>
      </c>
      <c r="F978" s="85">
        <f>IFERROR(__xludf.DUMMYFUNCTION("""COMPUTED_VALUE"""),44725.0)</f>
        <v>44725</v>
      </c>
      <c r="G978" s="86">
        <f>IFERROR(__xludf.DUMMYFUNCTION("""COMPUTED_VALUE"""),89.0)</f>
        <v>89</v>
      </c>
      <c r="H978" s="84">
        <f>IFERROR(__xludf.DUMMYFUNCTION("""COMPUTED_VALUE"""),41331.0)</f>
        <v>41331</v>
      </c>
      <c r="I978" s="86">
        <f>IFERROR(__xludf.DUMMYFUNCTION("""COMPUTED_VALUE"""),1.8805555555555555)</f>
        <v>1.880555556</v>
      </c>
      <c r="J978" s="87">
        <f>IFERROR(__xludf.DUMMYFUNCTION("""COMPUTED_VALUE"""),79.0)</f>
        <v>79</v>
      </c>
      <c r="K978" s="88">
        <f>IFERROR(__xludf.DUMMYFUNCTION("""COMPUTED_VALUE"""),7.8)</f>
        <v>7.8</v>
      </c>
      <c r="L978" s="89">
        <f>IFERROR(__xludf.DUMMYFUNCTION("""COMPUTED_VALUE"""),5.0)</f>
        <v>5</v>
      </c>
      <c r="M978" s="26" t="str">
        <f>IFERROR(__xludf.DUMMYFUNCTION("""COMPUTED_VALUE"""),"Platformer")</f>
        <v>Platformer</v>
      </c>
      <c r="N978" s="26"/>
      <c r="O978" s="26" t="str">
        <f>IFERROR(__xludf.DUMMYFUNCTION("""COMPUTED_VALUE"""),"No")</f>
        <v>No</v>
      </c>
      <c r="P978" s="26"/>
    </row>
    <row r="979">
      <c r="A979" s="81" t="str">
        <f>IFERROR(__xludf.DUMMYFUNCTION("""COMPUTED_VALUE"""),"Saints Row IV")</f>
        <v>Saints Row IV</v>
      </c>
      <c r="B979" s="82" t="str">
        <f>IFERROR(__xludf.DUMMYFUNCTION("""COMPUTED_VALUE"""),"PS5/PS4")</f>
        <v>PS5/PS4</v>
      </c>
      <c r="C979" s="83" t="str">
        <f>IFERROR(__xludf.DUMMYFUNCTION("""COMPUTED_VALUE"""),"Playstation Now (Discontinued)")</f>
        <v>Playstation Now (Discontinued)</v>
      </c>
      <c r="D979" s="82" t="str">
        <f>IFERROR(__xludf.DUMMYFUNCTION("""COMPUTED_VALUE"""),"Removed")</f>
        <v>Removed</v>
      </c>
      <c r="E979" s="84">
        <f>IFERROR(__xludf.DUMMYFUNCTION("""COMPUTED_VALUE"""),42017.0)</f>
        <v>42017</v>
      </c>
      <c r="F979" s="85">
        <f>IFERROR(__xludf.DUMMYFUNCTION("""COMPUTED_VALUE"""),44725.0)</f>
        <v>44725</v>
      </c>
      <c r="G979" s="86">
        <f>IFERROR(__xludf.DUMMYFUNCTION("""COMPUTED_VALUE"""),89.0)</f>
        <v>89</v>
      </c>
      <c r="H979" s="84">
        <f>IFERROR(__xludf.DUMMYFUNCTION("""COMPUTED_VALUE"""),41505.0)</f>
        <v>41505</v>
      </c>
      <c r="I979" s="86">
        <f>IFERROR(__xludf.DUMMYFUNCTION("""COMPUTED_VALUE"""),1.4)</f>
        <v>1.4</v>
      </c>
      <c r="J979" s="87">
        <f>IFERROR(__xludf.DUMMYFUNCTION("""COMPUTED_VALUE"""),86.0)</f>
        <v>86</v>
      </c>
      <c r="K979" s="88">
        <f>IFERROR(__xludf.DUMMYFUNCTION("""COMPUTED_VALUE"""),7.3)</f>
        <v>7.3</v>
      </c>
      <c r="L979" s="89">
        <f>IFERROR(__xludf.DUMMYFUNCTION("""COMPUTED_VALUE"""),16.0)</f>
        <v>16</v>
      </c>
      <c r="M979" s="26" t="str">
        <f>IFERROR(__xludf.DUMMYFUNCTION("""COMPUTED_VALUE"""),"Action-Adventure")</f>
        <v>Action-Adventure</v>
      </c>
      <c r="N979" s="26"/>
      <c r="O979" s="26" t="str">
        <f>IFERROR(__xludf.DUMMYFUNCTION("""COMPUTED_VALUE"""),"No")</f>
        <v>No</v>
      </c>
      <c r="P979" s="26"/>
    </row>
    <row r="980">
      <c r="A980" s="81" t="str">
        <f>IFERROR(__xludf.DUMMYFUNCTION("""COMPUTED_VALUE"""),"Stealth Inc: A Clone in the Dark")</f>
        <v>Stealth Inc: A Clone in the Dark</v>
      </c>
      <c r="B980" s="82" t="str">
        <f>IFERROR(__xludf.DUMMYFUNCTION("""COMPUTED_VALUE"""),"PS5/PS4")</f>
        <v>PS5/PS4</v>
      </c>
      <c r="C980" s="83" t="str">
        <f>IFERROR(__xludf.DUMMYFUNCTION("""COMPUTED_VALUE"""),"Playstation Now (Discontinued)")</f>
        <v>Playstation Now (Discontinued)</v>
      </c>
      <c r="D980" s="82" t="str">
        <f>IFERROR(__xludf.DUMMYFUNCTION("""COMPUTED_VALUE"""),"Removed")</f>
        <v>Removed</v>
      </c>
      <c r="E980" s="84">
        <f>IFERROR(__xludf.DUMMYFUNCTION("""COMPUTED_VALUE"""),42017.0)</f>
        <v>42017</v>
      </c>
      <c r="F980" s="85">
        <f>IFERROR(__xludf.DUMMYFUNCTION("""COMPUTED_VALUE"""),44725.0)</f>
        <v>44725</v>
      </c>
      <c r="G980" s="86">
        <f>IFERROR(__xludf.DUMMYFUNCTION("""COMPUTED_VALUE"""),89.0)</f>
        <v>89</v>
      </c>
      <c r="H980" s="84">
        <f>IFERROR(__xludf.DUMMYFUNCTION("""COMPUTED_VALUE"""),41478.0)</f>
        <v>41478</v>
      </c>
      <c r="I980" s="86">
        <f>IFERROR(__xludf.DUMMYFUNCTION("""COMPUTED_VALUE"""),1.4722222222222223)</f>
        <v>1.472222222</v>
      </c>
      <c r="J980" s="87">
        <f>IFERROR(__xludf.DUMMYFUNCTION("""COMPUTED_VALUE"""),70.0)</f>
        <v>70</v>
      </c>
      <c r="K980" s="88">
        <f>IFERROR(__xludf.DUMMYFUNCTION("""COMPUTED_VALUE"""),7.2)</f>
        <v>7.2</v>
      </c>
      <c r="L980" s="89">
        <f>IFERROR(__xludf.DUMMYFUNCTION("""COMPUTED_VALUE"""),5.0)</f>
        <v>5</v>
      </c>
      <c r="M980" s="26" t="str">
        <f>IFERROR(__xludf.DUMMYFUNCTION("""COMPUTED_VALUE"""),"Platformer")</f>
        <v>Platformer</v>
      </c>
      <c r="N980" s="26"/>
      <c r="O980" s="26" t="str">
        <f>IFERROR(__xludf.DUMMYFUNCTION("""COMPUTED_VALUE"""),"No")</f>
        <v>No</v>
      </c>
      <c r="P980" s="26"/>
    </row>
    <row r="981">
      <c r="A981" s="81" t="str">
        <f>IFERROR(__xludf.DUMMYFUNCTION("""COMPUTED_VALUE"""),"The Sly Collection")</f>
        <v>The Sly Collection</v>
      </c>
      <c r="B981" s="82" t="str">
        <f>IFERROR(__xludf.DUMMYFUNCTION("""COMPUTED_VALUE"""),"PS5/PS4")</f>
        <v>PS5/PS4</v>
      </c>
      <c r="C981" s="83" t="str">
        <f>IFERROR(__xludf.DUMMYFUNCTION("""COMPUTED_VALUE"""),"Playstation Now (Discontinued)")</f>
        <v>Playstation Now (Discontinued)</v>
      </c>
      <c r="D981" s="82" t="str">
        <f>IFERROR(__xludf.DUMMYFUNCTION("""COMPUTED_VALUE"""),"Removed")</f>
        <v>Removed</v>
      </c>
      <c r="E981" s="84">
        <f>IFERROR(__xludf.DUMMYFUNCTION("""COMPUTED_VALUE"""),42017.0)</f>
        <v>42017</v>
      </c>
      <c r="F981" s="85">
        <f>IFERROR(__xludf.DUMMYFUNCTION("""COMPUTED_VALUE"""),44725.0)</f>
        <v>44725</v>
      </c>
      <c r="G981" s="86">
        <f>IFERROR(__xludf.DUMMYFUNCTION("""COMPUTED_VALUE"""),89.0)</f>
        <v>89</v>
      </c>
      <c r="H981" s="84">
        <f>IFERROR(__xludf.DUMMYFUNCTION("""COMPUTED_VALUE"""),40876.0)</f>
        <v>40876</v>
      </c>
      <c r="I981" s="86">
        <f>IFERROR(__xludf.DUMMYFUNCTION("""COMPUTED_VALUE"""),3.1222222222222222)</f>
        <v>3.122222222</v>
      </c>
      <c r="J981" s="87">
        <f>IFERROR(__xludf.DUMMYFUNCTION("""COMPUTED_VALUE"""),80.0)</f>
        <v>80</v>
      </c>
      <c r="K981" s="88">
        <f>IFERROR(__xludf.DUMMYFUNCTION("""COMPUTED_VALUE"""),8.6)</f>
        <v>8.6</v>
      </c>
      <c r="L981" s="89">
        <f>IFERROR(__xludf.DUMMYFUNCTION("""COMPUTED_VALUE"""),25.0)</f>
        <v>25</v>
      </c>
      <c r="M981" s="26" t="str">
        <f>IFERROR(__xludf.DUMMYFUNCTION("""COMPUTED_VALUE"""),"Action-Adventure")</f>
        <v>Action-Adventure</v>
      </c>
      <c r="N981" s="26"/>
      <c r="O981" s="26" t="str">
        <f>IFERROR(__xludf.DUMMYFUNCTION("""COMPUTED_VALUE"""),"No")</f>
        <v>No</v>
      </c>
      <c r="P981" s="26"/>
    </row>
    <row r="982">
      <c r="A982" s="81" t="str">
        <f>IFERROR(__xludf.DUMMYFUNCTION("""COMPUTED_VALUE"""),"Virtua Fighter 5: Final Showdown")</f>
        <v>Virtua Fighter 5: Final Showdown</v>
      </c>
      <c r="B982" s="82" t="str">
        <f>IFERROR(__xludf.DUMMYFUNCTION("""COMPUTED_VALUE"""),"PS5/PS4")</f>
        <v>PS5/PS4</v>
      </c>
      <c r="C982" s="83" t="str">
        <f>IFERROR(__xludf.DUMMYFUNCTION("""COMPUTED_VALUE"""),"Playstation Now (Discontinued)")</f>
        <v>Playstation Now (Discontinued)</v>
      </c>
      <c r="D982" s="82" t="str">
        <f>IFERROR(__xludf.DUMMYFUNCTION("""COMPUTED_VALUE"""),"Removed")</f>
        <v>Removed</v>
      </c>
      <c r="E982" s="84">
        <f>IFERROR(__xludf.DUMMYFUNCTION("""COMPUTED_VALUE"""),42017.0)</f>
        <v>42017</v>
      </c>
      <c r="F982" s="85">
        <f>IFERROR(__xludf.DUMMYFUNCTION("""COMPUTED_VALUE"""),44725.0)</f>
        <v>44725</v>
      </c>
      <c r="G982" s="86">
        <f>IFERROR(__xludf.DUMMYFUNCTION("""COMPUTED_VALUE"""),89.0)</f>
        <v>89</v>
      </c>
      <c r="H982" s="84">
        <f>IFERROR(__xludf.DUMMYFUNCTION("""COMPUTED_VALUE"""),41065.0)</f>
        <v>41065</v>
      </c>
      <c r="I982" s="86">
        <f>IFERROR(__xludf.DUMMYFUNCTION("""COMPUTED_VALUE"""),2.6055555555555556)</f>
        <v>2.605555556</v>
      </c>
      <c r="J982" s="87">
        <f>IFERROR(__xludf.DUMMYFUNCTION("""COMPUTED_VALUE"""),84.0)</f>
        <v>84</v>
      </c>
      <c r="K982" s="88">
        <f>IFERROR(__xludf.DUMMYFUNCTION("""COMPUTED_VALUE"""),8.0)</f>
        <v>8</v>
      </c>
      <c r="L982" s="89"/>
      <c r="M982" s="26" t="str">
        <f>IFERROR(__xludf.DUMMYFUNCTION("""COMPUTED_VALUE"""),"Fighting")</f>
        <v>Fighting</v>
      </c>
      <c r="N982" s="26"/>
      <c r="O982" s="26" t="str">
        <f>IFERROR(__xludf.DUMMYFUNCTION("""COMPUTED_VALUE"""),"No")</f>
        <v>No</v>
      </c>
      <c r="P982" s="26"/>
    </row>
    <row r="983">
      <c r="A983" s="81" t="str">
        <f>IFERROR(__xludf.DUMMYFUNCTION("""COMPUTED_VALUE"""),"Moto GP 13")</f>
        <v>Moto GP 13</v>
      </c>
      <c r="B983" s="82" t="str">
        <f>IFERROR(__xludf.DUMMYFUNCTION("""COMPUTED_VALUE"""),"PS5/PS4")</f>
        <v>PS5/PS4</v>
      </c>
      <c r="C983" s="83" t="str">
        <f>IFERROR(__xludf.DUMMYFUNCTION("""COMPUTED_VALUE"""),"Playstation Now (Discontinued)")</f>
        <v>Playstation Now (Discontinued)</v>
      </c>
      <c r="D983" s="82" t="str">
        <f>IFERROR(__xludf.DUMMYFUNCTION("""COMPUTED_VALUE"""),"Removed")</f>
        <v>Removed</v>
      </c>
      <c r="E983" s="84">
        <f>IFERROR(__xludf.DUMMYFUNCTION("""COMPUTED_VALUE"""),42017.0)</f>
        <v>42017</v>
      </c>
      <c r="F983" s="85">
        <f>IFERROR(__xludf.DUMMYFUNCTION("""COMPUTED_VALUE"""),44725.0)</f>
        <v>44725</v>
      </c>
      <c r="G983" s="86">
        <f>IFERROR(__xludf.DUMMYFUNCTION("""COMPUTED_VALUE"""),89.0)</f>
        <v>89</v>
      </c>
      <c r="H983" s="84">
        <f>IFERROR(__xludf.DUMMYFUNCTION("""COMPUTED_VALUE"""),41640.0)</f>
        <v>41640</v>
      </c>
      <c r="I983" s="86">
        <f>IFERROR(__xludf.DUMMYFUNCTION("""COMPUTED_VALUE"""),1.0333333333333334)</f>
        <v>1.033333333</v>
      </c>
      <c r="J983" s="87">
        <f>IFERROR(__xludf.DUMMYFUNCTION("""COMPUTED_VALUE"""),73.0)</f>
        <v>73</v>
      </c>
      <c r="K983" s="88">
        <f>IFERROR(__xludf.DUMMYFUNCTION("""COMPUTED_VALUE"""),6.4)</f>
        <v>6.4</v>
      </c>
      <c r="L983" s="89"/>
      <c r="M983" s="26" t="str">
        <f>IFERROR(__xludf.DUMMYFUNCTION("""COMPUTED_VALUE"""),"Racing")</f>
        <v>Racing</v>
      </c>
      <c r="N983" s="26" t="str">
        <f>IFERROR(__xludf.DUMMYFUNCTION("""COMPUTED_VALUE"""),"PS3")</f>
        <v>PS3</v>
      </c>
      <c r="O983" s="26" t="str">
        <f>IFERROR(__xludf.DUMMYFUNCTION("""COMPUTED_VALUE"""),"No")</f>
        <v>No</v>
      </c>
      <c r="P983" s="26"/>
    </row>
    <row r="984">
      <c r="A984" s="81" t="str">
        <f>IFERROR(__xludf.DUMMYFUNCTION("""COMPUTED_VALUE"""),"Spelunky")</f>
        <v>Spelunky</v>
      </c>
      <c r="B984" s="82" t="str">
        <f>IFERROR(__xludf.DUMMYFUNCTION("""COMPUTED_VALUE"""),"PS5/PS4")</f>
        <v>PS5/PS4</v>
      </c>
      <c r="C984" s="83" t="str">
        <f>IFERROR(__xludf.DUMMYFUNCTION("""COMPUTED_VALUE"""),"Playstation Now (Discontinued)")</f>
        <v>Playstation Now (Discontinued)</v>
      </c>
      <c r="D984" s="82" t="str">
        <f>IFERROR(__xludf.DUMMYFUNCTION("""COMPUTED_VALUE"""),"Removed")</f>
        <v>Removed</v>
      </c>
      <c r="E984" s="84">
        <f>IFERROR(__xludf.DUMMYFUNCTION("""COMPUTED_VALUE"""),42017.0)</f>
        <v>42017</v>
      </c>
      <c r="F984" s="85">
        <f>IFERROR(__xludf.DUMMYFUNCTION("""COMPUTED_VALUE"""),44725.0)</f>
        <v>44725</v>
      </c>
      <c r="G984" s="86">
        <f>IFERROR(__xludf.DUMMYFUNCTION("""COMPUTED_VALUE"""),89.0)</f>
        <v>89</v>
      </c>
      <c r="H984" s="84">
        <f>IFERROR(__xludf.DUMMYFUNCTION("""COMPUTED_VALUE"""),41609.0)</f>
        <v>41609</v>
      </c>
      <c r="I984" s="86">
        <f>IFERROR(__xludf.DUMMYFUNCTION("""COMPUTED_VALUE"""),1.1166666666666667)</f>
        <v>1.116666667</v>
      </c>
      <c r="J984" s="87">
        <f>IFERROR(__xludf.DUMMYFUNCTION("""COMPUTED_VALUE"""),83.0)</f>
        <v>83</v>
      </c>
      <c r="K984" s="88">
        <f>IFERROR(__xludf.DUMMYFUNCTION("""COMPUTED_VALUE"""),8.3)</f>
        <v>8.3</v>
      </c>
      <c r="L984" s="89">
        <f>IFERROR(__xludf.DUMMYFUNCTION("""COMPUTED_VALUE"""),8.0)</f>
        <v>8</v>
      </c>
      <c r="M984" s="26" t="str">
        <f>IFERROR(__xludf.DUMMYFUNCTION("""COMPUTED_VALUE"""),"Platformer")</f>
        <v>Platformer</v>
      </c>
      <c r="N984" s="26"/>
      <c r="O984" s="26" t="str">
        <f>IFERROR(__xludf.DUMMYFUNCTION("""COMPUTED_VALUE"""),"No")</f>
        <v>No</v>
      </c>
      <c r="P984" s="26"/>
    </row>
    <row r="985">
      <c r="A985" s="81" t="str">
        <f>IFERROR(__xludf.DUMMYFUNCTION("""COMPUTED_VALUE"""),"The Last of Us")</f>
        <v>The Last of Us</v>
      </c>
      <c r="B985" s="82" t="str">
        <f>IFERROR(__xludf.DUMMYFUNCTION("""COMPUTED_VALUE"""),"PS5/PS4")</f>
        <v>PS5/PS4</v>
      </c>
      <c r="C985" s="83" t="str">
        <f>IFERROR(__xludf.DUMMYFUNCTION("""COMPUTED_VALUE"""),"Playstation Now (Discontinued)")</f>
        <v>Playstation Now (Discontinued)</v>
      </c>
      <c r="D985" s="82" t="str">
        <f>IFERROR(__xludf.DUMMYFUNCTION("""COMPUTED_VALUE"""),"Removed")</f>
        <v>Removed</v>
      </c>
      <c r="E985" s="84">
        <f>IFERROR(__xludf.DUMMYFUNCTION("""COMPUTED_VALUE"""),42017.0)</f>
        <v>42017</v>
      </c>
      <c r="F985" s="85">
        <f>IFERROR(__xludf.DUMMYFUNCTION("""COMPUTED_VALUE"""),44725.0)</f>
        <v>44725</v>
      </c>
      <c r="G985" s="86">
        <f>IFERROR(__xludf.DUMMYFUNCTION("""COMPUTED_VALUE"""),89.0)</f>
        <v>89</v>
      </c>
      <c r="H985" s="84">
        <f>IFERROR(__xludf.DUMMYFUNCTION("""COMPUTED_VALUE"""),41426.0)</f>
        <v>41426</v>
      </c>
      <c r="I985" s="86">
        <f>IFERROR(__xludf.DUMMYFUNCTION("""COMPUTED_VALUE"""),1.6166666666666667)</f>
        <v>1.616666667</v>
      </c>
      <c r="J985" s="87">
        <f>IFERROR(__xludf.DUMMYFUNCTION("""COMPUTED_VALUE"""),95.0)</f>
        <v>95</v>
      </c>
      <c r="K985" s="88">
        <f>IFERROR(__xludf.DUMMYFUNCTION("""COMPUTED_VALUE"""),9.2)</f>
        <v>9.2</v>
      </c>
      <c r="L985" s="89">
        <f>IFERROR(__xludf.DUMMYFUNCTION("""COMPUTED_VALUE"""),15.0)</f>
        <v>15</v>
      </c>
      <c r="M985" s="26" t="str">
        <f>IFERROR(__xludf.DUMMYFUNCTION("""COMPUTED_VALUE"""),"Action-Adventure")</f>
        <v>Action-Adventure</v>
      </c>
      <c r="N985" s="26" t="str">
        <f>IFERROR(__xludf.DUMMYFUNCTION("""COMPUTED_VALUE"""),"PS3")</f>
        <v>PS3</v>
      </c>
      <c r="O985" s="26" t="str">
        <f>IFERROR(__xludf.DUMMYFUNCTION("""COMPUTED_VALUE"""),"No")</f>
        <v>No</v>
      </c>
      <c r="P985" s="26"/>
    </row>
    <row r="986">
      <c r="A986" s="81" t="str">
        <f>IFERROR(__xludf.DUMMYFUNCTION("""COMPUTED_VALUE"""),"Grid 2")</f>
        <v>Grid 2</v>
      </c>
      <c r="B986" s="82" t="str">
        <f>IFERROR(__xludf.DUMMYFUNCTION("""COMPUTED_VALUE"""),"PS5/PS4")</f>
        <v>PS5/PS4</v>
      </c>
      <c r="C986" s="83" t="str">
        <f>IFERROR(__xludf.DUMMYFUNCTION("""COMPUTED_VALUE"""),"Playstation Now (Discontinued)")</f>
        <v>Playstation Now (Discontinued)</v>
      </c>
      <c r="D986" s="82" t="str">
        <f>IFERROR(__xludf.DUMMYFUNCTION("""COMPUTED_VALUE"""),"Removed")</f>
        <v>Removed</v>
      </c>
      <c r="E986" s="84">
        <f>IFERROR(__xludf.DUMMYFUNCTION("""COMPUTED_VALUE"""),42017.0)</f>
        <v>42017</v>
      </c>
      <c r="F986" s="85">
        <f>IFERROR(__xludf.DUMMYFUNCTION("""COMPUTED_VALUE"""),44725.0)</f>
        <v>44725</v>
      </c>
      <c r="G986" s="86">
        <f>IFERROR(__xludf.DUMMYFUNCTION("""COMPUTED_VALUE"""),89.0)</f>
        <v>89</v>
      </c>
      <c r="H986" s="84">
        <f>IFERROR(__xludf.DUMMYFUNCTION("""COMPUTED_VALUE"""),41395.0)</f>
        <v>41395</v>
      </c>
      <c r="I986" s="86">
        <f>IFERROR(__xludf.DUMMYFUNCTION("""COMPUTED_VALUE"""),1.7)</f>
        <v>1.7</v>
      </c>
      <c r="J986" s="87">
        <f>IFERROR(__xludf.DUMMYFUNCTION("""COMPUTED_VALUE"""),82.0)</f>
        <v>82</v>
      </c>
      <c r="K986" s="88">
        <f>IFERROR(__xludf.DUMMYFUNCTION("""COMPUTED_VALUE"""),7.4)</f>
        <v>7.4</v>
      </c>
      <c r="L986" s="89"/>
      <c r="M986" s="26" t="str">
        <f>IFERROR(__xludf.DUMMYFUNCTION("""COMPUTED_VALUE"""),"Racing")</f>
        <v>Racing</v>
      </c>
      <c r="N986" s="26" t="str">
        <f>IFERROR(__xludf.DUMMYFUNCTION("""COMPUTED_VALUE"""),"PS3")</f>
        <v>PS3</v>
      </c>
      <c r="O986" s="26" t="str">
        <f>IFERROR(__xludf.DUMMYFUNCTION("""COMPUTED_VALUE"""),"No")</f>
        <v>No</v>
      </c>
      <c r="P986" s="26"/>
    </row>
    <row r="987">
      <c r="A987" s="81" t="str">
        <f>IFERROR(__xludf.DUMMYFUNCTION("""COMPUTED_VALUE"""),"Sly Cooper: Thieves in Time")</f>
        <v>Sly Cooper: Thieves in Time</v>
      </c>
      <c r="B987" s="82" t="str">
        <f>IFERROR(__xludf.DUMMYFUNCTION("""COMPUTED_VALUE"""),"PS5/PS4")</f>
        <v>PS5/PS4</v>
      </c>
      <c r="C987" s="83" t="str">
        <f>IFERROR(__xludf.DUMMYFUNCTION("""COMPUTED_VALUE"""),"Playstation Now (Discontinued)")</f>
        <v>Playstation Now (Discontinued)</v>
      </c>
      <c r="D987" s="82" t="str">
        <f>IFERROR(__xludf.DUMMYFUNCTION("""COMPUTED_VALUE"""),"Removed")</f>
        <v>Removed</v>
      </c>
      <c r="E987" s="84">
        <f>IFERROR(__xludf.DUMMYFUNCTION("""COMPUTED_VALUE"""),42017.0)</f>
        <v>42017</v>
      </c>
      <c r="F987" s="85">
        <f>IFERROR(__xludf.DUMMYFUNCTION("""COMPUTED_VALUE"""),44725.0)</f>
        <v>44725</v>
      </c>
      <c r="G987" s="86">
        <f>IFERROR(__xludf.DUMMYFUNCTION("""COMPUTED_VALUE"""),89.0)</f>
        <v>89</v>
      </c>
      <c r="H987" s="84">
        <f>IFERROR(__xludf.DUMMYFUNCTION("""COMPUTED_VALUE"""),41306.0)</f>
        <v>41306</v>
      </c>
      <c r="I987" s="86">
        <f>IFERROR(__xludf.DUMMYFUNCTION("""COMPUTED_VALUE"""),1.95)</f>
        <v>1.95</v>
      </c>
      <c r="J987" s="87">
        <f>IFERROR(__xludf.DUMMYFUNCTION("""COMPUTED_VALUE"""),75.0)</f>
        <v>75</v>
      </c>
      <c r="K987" s="88">
        <f>IFERROR(__xludf.DUMMYFUNCTION("""COMPUTED_VALUE"""),8.0)</f>
        <v>8</v>
      </c>
      <c r="L987" s="89">
        <f>IFERROR(__xludf.DUMMYFUNCTION("""COMPUTED_VALUE"""),18.0)</f>
        <v>18</v>
      </c>
      <c r="M987" s="26" t="str">
        <f>IFERROR(__xludf.DUMMYFUNCTION("""COMPUTED_VALUE"""),"Action-Adventure")</f>
        <v>Action-Adventure</v>
      </c>
      <c r="N987" s="26" t="str">
        <f>IFERROR(__xludf.DUMMYFUNCTION("""COMPUTED_VALUE"""),"PS3")</f>
        <v>PS3</v>
      </c>
      <c r="O987" s="26" t="str">
        <f>IFERROR(__xludf.DUMMYFUNCTION("""COMPUTED_VALUE"""),"No")</f>
        <v>No</v>
      </c>
      <c r="P987" s="26"/>
    </row>
    <row r="988">
      <c r="A988" s="81" t="str">
        <f>IFERROR(__xludf.DUMMYFUNCTION("""COMPUTED_VALUE"""),"Sonic The Hedgehog 4 Episode II")</f>
        <v>Sonic The Hedgehog 4 Episode II</v>
      </c>
      <c r="B988" s="82" t="str">
        <f>IFERROR(__xludf.DUMMYFUNCTION("""COMPUTED_VALUE"""),"PS5/PS4")</f>
        <v>PS5/PS4</v>
      </c>
      <c r="C988" s="83" t="str">
        <f>IFERROR(__xludf.DUMMYFUNCTION("""COMPUTED_VALUE"""),"Playstation Now (Discontinued)")</f>
        <v>Playstation Now (Discontinued)</v>
      </c>
      <c r="D988" s="82" t="str">
        <f>IFERROR(__xludf.DUMMYFUNCTION("""COMPUTED_VALUE"""),"Removed")</f>
        <v>Removed</v>
      </c>
      <c r="E988" s="84">
        <f>IFERROR(__xludf.DUMMYFUNCTION("""COMPUTED_VALUE"""),42017.0)</f>
        <v>42017</v>
      </c>
      <c r="F988" s="85">
        <f>IFERROR(__xludf.DUMMYFUNCTION("""COMPUTED_VALUE"""),44725.0)</f>
        <v>44725</v>
      </c>
      <c r="G988" s="86">
        <f>IFERROR(__xludf.DUMMYFUNCTION("""COMPUTED_VALUE"""),89.0)</f>
        <v>89</v>
      </c>
      <c r="H988" s="84">
        <f>IFERROR(__xludf.DUMMYFUNCTION("""COMPUTED_VALUE"""),41030.0)</f>
        <v>41030</v>
      </c>
      <c r="I988" s="86">
        <f>IFERROR(__xludf.DUMMYFUNCTION("""COMPUTED_VALUE"""),2.7)</f>
        <v>2.7</v>
      </c>
      <c r="J988" s="87">
        <f>IFERROR(__xludf.DUMMYFUNCTION("""COMPUTED_VALUE"""),61.0)</f>
        <v>61</v>
      </c>
      <c r="K988" s="88">
        <f>IFERROR(__xludf.DUMMYFUNCTION("""COMPUTED_VALUE"""),6.5)</f>
        <v>6.5</v>
      </c>
      <c r="L988" s="89">
        <f>IFERROR(__xludf.DUMMYFUNCTION("""COMPUTED_VALUE"""),3.0)</f>
        <v>3</v>
      </c>
      <c r="M988" s="26" t="str">
        <f>IFERROR(__xludf.DUMMYFUNCTION("""COMPUTED_VALUE"""),"Platformer")</f>
        <v>Platformer</v>
      </c>
      <c r="N988" s="26" t="str">
        <f>IFERROR(__xludf.DUMMYFUNCTION("""COMPUTED_VALUE"""),"PS3")</f>
        <v>PS3</v>
      </c>
      <c r="O988" s="26" t="str">
        <f>IFERROR(__xludf.DUMMYFUNCTION("""COMPUTED_VALUE"""),"No")</f>
        <v>No</v>
      </c>
      <c r="P988" s="26"/>
    </row>
    <row r="989">
      <c r="A989" s="81" t="str">
        <f>IFERROR(__xludf.DUMMYFUNCTION("""COMPUTED_VALUE"""),"Sonic Generations")</f>
        <v>Sonic Generations</v>
      </c>
      <c r="B989" s="82" t="str">
        <f>IFERROR(__xludf.DUMMYFUNCTION("""COMPUTED_VALUE"""),"PS5/PS4")</f>
        <v>PS5/PS4</v>
      </c>
      <c r="C989" s="83" t="str">
        <f>IFERROR(__xludf.DUMMYFUNCTION("""COMPUTED_VALUE"""),"Playstation Now (Discontinued)")</f>
        <v>Playstation Now (Discontinued)</v>
      </c>
      <c r="D989" s="82" t="str">
        <f>IFERROR(__xludf.DUMMYFUNCTION("""COMPUTED_VALUE"""),"Removed")</f>
        <v>Removed</v>
      </c>
      <c r="E989" s="84">
        <f>IFERROR(__xludf.DUMMYFUNCTION("""COMPUTED_VALUE"""),42017.0)</f>
        <v>42017</v>
      </c>
      <c r="F989" s="85">
        <f>IFERROR(__xludf.DUMMYFUNCTION("""COMPUTED_VALUE"""),44725.0)</f>
        <v>44725</v>
      </c>
      <c r="G989" s="86">
        <f>IFERROR(__xludf.DUMMYFUNCTION("""COMPUTED_VALUE"""),89.0)</f>
        <v>89</v>
      </c>
      <c r="H989" s="84">
        <f>IFERROR(__xludf.DUMMYFUNCTION("""COMPUTED_VALUE"""),40848.0)</f>
        <v>40848</v>
      </c>
      <c r="I989" s="86">
        <f>IFERROR(__xludf.DUMMYFUNCTION("""COMPUTED_VALUE"""),3.2)</f>
        <v>3.2</v>
      </c>
      <c r="J989" s="87">
        <f>IFERROR(__xludf.DUMMYFUNCTION("""COMPUTED_VALUE"""),77.0)</f>
        <v>77</v>
      </c>
      <c r="K989" s="88">
        <f>IFERROR(__xludf.DUMMYFUNCTION("""COMPUTED_VALUE"""),8.3)</f>
        <v>8.3</v>
      </c>
      <c r="L989" s="89">
        <f>IFERROR(__xludf.DUMMYFUNCTION("""COMPUTED_VALUE"""),7.0)</f>
        <v>7</v>
      </c>
      <c r="M989" s="26" t="str">
        <f>IFERROR(__xludf.DUMMYFUNCTION("""COMPUTED_VALUE"""),"Platformer")</f>
        <v>Platformer</v>
      </c>
      <c r="N989" s="26" t="str">
        <f>IFERROR(__xludf.DUMMYFUNCTION("""COMPUTED_VALUE"""),"PS3")</f>
        <v>PS3</v>
      </c>
      <c r="O989" s="26" t="str">
        <f>IFERROR(__xludf.DUMMYFUNCTION("""COMPUTED_VALUE"""),"No")</f>
        <v>No</v>
      </c>
      <c r="P989" s="26"/>
    </row>
    <row r="990">
      <c r="A990" s="81" t="str">
        <f>IFERROR(__xludf.DUMMYFUNCTION("""COMPUTED_VALUE"""),"de Blob 2")</f>
        <v>de Blob 2</v>
      </c>
      <c r="B990" s="82" t="str">
        <f>IFERROR(__xludf.DUMMYFUNCTION("""COMPUTED_VALUE"""),"PS5/PS4")</f>
        <v>PS5/PS4</v>
      </c>
      <c r="C990" s="83" t="str">
        <f>IFERROR(__xludf.DUMMYFUNCTION("""COMPUTED_VALUE"""),"Playstation Now (Discontinued)")</f>
        <v>Playstation Now (Discontinued)</v>
      </c>
      <c r="D990" s="82" t="str">
        <f>IFERROR(__xludf.DUMMYFUNCTION("""COMPUTED_VALUE"""),"Removed")</f>
        <v>Removed</v>
      </c>
      <c r="E990" s="84">
        <f>IFERROR(__xludf.DUMMYFUNCTION("""COMPUTED_VALUE"""),42017.0)</f>
        <v>42017</v>
      </c>
      <c r="F990" s="85">
        <f>IFERROR(__xludf.DUMMYFUNCTION("""COMPUTED_VALUE"""),44725.0)</f>
        <v>44725</v>
      </c>
      <c r="G990" s="86">
        <f>IFERROR(__xludf.DUMMYFUNCTION("""COMPUTED_VALUE"""),89.0)</f>
        <v>89</v>
      </c>
      <c r="H990" s="84">
        <f>IFERROR(__xludf.DUMMYFUNCTION("""COMPUTED_VALUE"""),40575.0)</f>
        <v>40575</v>
      </c>
      <c r="I990" s="86">
        <f>IFERROR(__xludf.DUMMYFUNCTION("""COMPUTED_VALUE"""),3.95)</f>
        <v>3.95</v>
      </c>
      <c r="J990" s="87">
        <f>IFERROR(__xludf.DUMMYFUNCTION("""COMPUTED_VALUE"""),74.0)</f>
        <v>74</v>
      </c>
      <c r="K990" s="88">
        <f>IFERROR(__xludf.DUMMYFUNCTION("""COMPUTED_VALUE"""),7.9)</f>
        <v>7.9</v>
      </c>
      <c r="L990" s="89">
        <f>IFERROR(__xludf.DUMMYFUNCTION("""COMPUTED_VALUE"""),10.0)</f>
        <v>10</v>
      </c>
      <c r="M990" s="26" t="str">
        <f>IFERROR(__xludf.DUMMYFUNCTION("""COMPUTED_VALUE"""),"Action-Adventure")</f>
        <v>Action-Adventure</v>
      </c>
      <c r="N990" s="26" t="str">
        <f>IFERROR(__xludf.DUMMYFUNCTION("""COMPUTED_VALUE"""),"PS3")</f>
        <v>PS3</v>
      </c>
      <c r="O990" s="26" t="str">
        <f>IFERROR(__xludf.DUMMYFUNCTION("""COMPUTED_VALUE"""),"No")</f>
        <v>No</v>
      </c>
      <c r="P990" s="26"/>
    </row>
    <row r="991">
      <c r="A991" s="81" t="str">
        <f>IFERROR(__xludf.DUMMYFUNCTION("""COMPUTED_VALUE"""),"KILLZONE 3")</f>
        <v>KILLZONE 3</v>
      </c>
      <c r="B991" s="82" t="str">
        <f>IFERROR(__xludf.DUMMYFUNCTION("""COMPUTED_VALUE"""),"PS5/PS4")</f>
        <v>PS5/PS4</v>
      </c>
      <c r="C991" s="83" t="str">
        <f>IFERROR(__xludf.DUMMYFUNCTION("""COMPUTED_VALUE"""),"Playstation Now (Discontinued)")</f>
        <v>Playstation Now (Discontinued)</v>
      </c>
      <c r="D991" s="82" t="str">
        <f>IFERROR(__xludf.DUMMYFUNCTION("""COMPUTED_VALUE"""),"Removed")</f>
        <v>Removed</v>
      </c>
      <c r="E991" s="84">
        <f>IFERROR(__xludf.DUMMYFUNCTION("""COMPUTED_VALUE"""),42017.0)</f>
        <v>42017</v>
      </c>
      <c r="F991" s="85">
        <f>IFERROR(__xludf.DUMMYFUNCTION("""COMPUTED_VALUE"""),44725.0)</f>
        <v>44725</v>
      </c>
      <c r="G991" s="86">
        <f>IFERROR(__xludf.DUMMYFUNCTION("""COMPUTED_VALUE"""),89.0)</f>
        <v>89</v>
      </c>
      <c r="H991" s="84">
        <f>IFERROR(__xludf.DUMMYFUNCTION("""COMPUTED_VALUE"""),40575.0)</f>
        <v>40575</v>
      </c>
      <c r="I991" s="86">
        <f>IFERROR(__xludf.DUMMYFUNCTION("""COMPUTED_VALUE"""),3.95)</f>
        <v>3.95</v>
      </c>
      <c r="J991" s="87">
        <f>IFERROR(__xludf.DUMMYFUNCTION("""COMPUTED_VALUE"""),84.0)</f>
        <v>84</v>
      </c>
      <c r="K991" s="88">
        <f>IFERROR(__xludf.DUMMYFUNCTION("""COMPUTED_VALUE"""),7.7)</f>
        <v>7.7</v>
      </c>
      <c r="L991" s="89">
        <f>IFERROR(__xludf.DUMMYFUNCTION("""COMPUTED_VALUE"""),9.0)</f>
        <v>9</v>
      </c>
      <c r="M991" s="26" t="str">
        <f>IFERROR(__xludf.DUMMYFUNCTION("""COMPUTED_VALUE"""),"Shooter")</f>
        <v>Shooter</v>
      </c>
      <c r="N991" s="26" t="str">
        <f>IFERROR(__xludf.DUMMYFUNCTION("""COMPUTED_VALUE"""),"PS3")</f>
        <v>PS3</v>
      </c>
      <c r="O991" s="26" t="str">
        <f>IFERROR(__xludf.DUMMYFUNCTION("""COMPUTED_VALUE"""),"No")</f>
        <v>No</v>
      </c>
      <c r="P991" s="26"/>
    </row>
    <row r="992">
      <c r="A992" s="81" t="str">
        <f>IFERROR(__xludf.DUMMYFUNCTION("""COMPUTED_VALUE"""),"Sonic The Hedgehog 4 Episode I")</f>
        <v>Sonic The Hedgehog 4 Episode I</v>
      </c>
      <c r="B992" s="82" t="str">
        <f>IFERROR(__xludf.DUMMYFUNCTION("""COMPUTED_VALUE"""),"PS5/PS4")</f>
        <v>PS5/PS4</v>
      </c>
      <c r="C992" s="83" t="str">
        <f>IFERROR(__xludf.DUMMYFUNCTION("""COMPUTED_VALUE"""),"Playstation Now (Discontinued)")</f>
        <v>Playstation Now (Discontinued)</v>
      </c>
      <c r="D992" s="82" t="str">
        <f>IFERROR(__xludf.DUMMYFUNCTION("""COMPUTED_VALUE"""),"Removed")</f>
        <v>Removed</v>
      </c>
      <c r="E992" s="84">
        <f>IFERROR(__xludf.DUMMYFUNCTION("""COMPUTED_VALUE"""),42017.0)</f>
        <v>42017</v>
      </c>
      <c r="F992" s="85">
        <f>IFERROR(__xludf.DUMMYFUNCTION("""COMPUTED_VALUE"""),44725.0)</f>
        <v>44725</v>
      </c>
      <c r="G992" s="86">
        <f>IFERROR(__xludf.DUMMYFUNCTION("""COMPUTED_VALUE"""),89.0)</f>
        <v>89</v>
      </c>
      <c r="H992" s="84">
        <f>IFERROR(__xludf.DUMMYFUNCTION("""COMPUTED_VALUE"""),40452.0)</f>
        <v>40452</v>
      </c>
      <c r="I992" s="86">
        <f>IFERROR(__xludf.DUMMYFUNCTION("""COMPUTED_VALUE"""),4.283333333333333)</f>
        <v>4.283333333</v>
      </c>
      <c r="J992" s="87">
        <f>IFERROR(__xludf.DUMMYFUNCTION("""COMPUTED_VALUE"""),72.0)</f>
        <v>72</v>
      </c>
      <c r="K992" s="88">
        <f>IFERROR(__xludf.DUMMYFUNCTION("""COMPUTED_VALUE"""),7.6)</f>
        <v>7.6</v>
      </c>
      <c r="L992" s="89">
        <f>IFERROR(__xludf.DUMMYFUNCTION("""COMPUTED_VALUE"""),3.0)</f>
        <v>3</v>
      </c>
      <c r="M992" s="26" t="str">
        <f>IFERROR(__xludf.DUMMYFUNCTION("""COMPUTED_VALUE"""),"Platformer")</f>
        <v>Platformer</v>
      </c>
      <c r="N992" s="26" t="str">
        <f>IFERROR(__xludf.DUMMYFUNCTION("""COMPUTED_VALUE"""),"PS3")</f>
        <v>PS3</v>
      </c>
      <c r="O992" s="26" t="str">
        <f>IFERROR(__xludf.DUMMYFUNCTION("""COMPUTED_VALUE"""),"No")</f>
        <v>No</v>
      </c>
      <c r="P992" s="26"/>
    </row>
    <row r="993">
      <c r="A993" s="81" t="str">
        <f>IFERROR(__xludf.DUMMYFUNCTION("""COMPUTED_VALUE"""),"LUMINES Supernova")</f>
        <v>LUMINES Supernova</v>
      </c>
      <c r="B993" s="82" t="str">
        <f>IFERROR(__xludf.DUMMYFUNCTION("""COMPUTED_VALUE"""),"PS5/PS4")</f>
        <v>PS5/PS4</v>
      </c>
      <c r="C993" s="83" t="str">
        <f>IFERROR(__xludf.DUMMYFUNCTION("""COMPUTED_VALUE"""),"Playstation Now (Discontinued)")</f>
        <v>Playstation Now (Discontinued)</v>
      </c>
      <c r="D993" s="82" t="str">
        <f>IFERROR(__xludf.DUMMYFUNCTION("""COMPUTED_VALUE"""),"Removed")</f>
        <v>Removed</v>
      </c>
      <c r="E993" s="84">
        <f>IFERROR(__xludf.DUMMYFUNCTION("""COMPUTED_VALUE"""),42017.0)</f>
        <v>42017</v>
      </c>
      <c r="F993" s="85">
        <f>IFERROR(__xludf.DUMMYFUNCTION("""COMPUTED_VALUE"""),44725.0)</f>
        <v>44725</v>
      </c>
      <c r="G993" s="86">
        <f>IFERROR(__xludf.DUMMYFUNCTION("""COMPUTED_VALUE"""),89.0)</f>
        <v>89</v>
      </c>
      <c r="H993" s="84">
        <f>IFERROR(__xludf.DUMMYFUNCTION("""COMPUTED_VALUE"""),39783.0)</f>
        <v>39783</v>
      </c>
      <c r="I993" s="86">
        <f>IFERROR(__xludf.DUMMYFUNCTION("""COMPUTED_VALUE"""),6.116666666666666)</f>
        <v>6.116666667</v>
      </c>
      <c r="J993" s="87">
        <f>IFERROR(__xludf.DUMMYFUNCTION("""COMPUTED_VALUE"""),80.0)</f>
        <v>80</v>
      </c>
      <c r="K993" s="88">
        <f>IFERROR(__xludf.DUMMYFUNCTION("""COMPUTED_VALUE"""),7.8)</f>
        <v>7.8</v>
      </c>
      <c r="L993" s="89">
        <f>IFERROR(__xludf.DUMMYFUNCTION("""COMPUTED_VALUE"""),7.0)</f>
        <v>7</v>
      </c>
      <c r="M993" s="26" t="str">
        <f>IFERROR(__xludf.DUMMYFUNCTION("""COMPUTED_VALUE"""),"Puzzle")</f>
        <v>Puzzle</v>
      </c>
      <c r="N993" s="26" t="str">
        <f>IFERROR(__xludf.DUMMYFUNCTION("""COMPUTED_VALUE"""),"PS3")</f>
        <v>PS3</v>
      </c>
      <c r="O993" s="26" t="str">
        <f>IFERROR(__xludf.DUMMYFUNCTION("""COMPUTED_VALUE"""),"No")</f>
        <v>No</v>
      </c>
      <c r="P993" s="26"/>
    </row>
    <row r="994">
      <c r="A994" s="81" t="str">
        <f>IFERROR(__xludf.DUMMYFUNCTION("""COMPUTED_VALUE"""),"Mahjong Tales: Ancient Wisdom")</f>
        <v>Mahjong Tales: Ancient Wisdom</v>
      </c>
      <c r="B994" s="82" t="str">
        <f>IFERROR(__xludf.DUMMYFUNCTION("""COMPUTED_VALUE"""),"PS5/PS4")</f>
        <v>PS5/PS4</v>
      </c>
      <c r="C994" s="83" t="str">
        <f>IFERROR(__xludf.DUMMYFUNCTION("""COMPUTED_VALUE"""),"Playstation Now (Discontinued)")</f>
        <v>Playstation Now (Discontinued)</v>
      </c>
      <c r="D994" s="82" t="str">
        <f>IFERROR(__xludf.DUMMYFUNCTION("""COMPUTED_VALUE"""),"Removed")</f>
        <v>Removed</v>
      </c>
      <c r="E994" s="84">
        <f>IFERROR(__xludf.DUMMYFUNCTION("""COMPUTED_VALUE"""),41667.0)</f>
        <v>41667</v>
      </c>
      <c r="F994" s="85">
        <f>IFERROR(__xludf.DUMMYFUNCTION("""COMPUTED_VALUE"""),44725.0)</f>
        <v>44725</v>
      </c>
      <c r="G994" s="86">
        <f>IFERROR(__xludf.DUMMYFUNCTION("""COMPUTED_VALUE"""),100.5)</f>
        <v>100.5</v>
      </c>
      <c r="H994" s="84">
        <f>IFERROR(__xludf.DUMMYFUNCTION("""COMPUTED_VALUE"""),39309.0)</f>
        <v>39309</v>
      </c>
      <c r="I994" s="86">
        <f>IFERROR(__xludf.DUMMYFUNCTION("""COMPUTED_VALUE"""),6.4527777777777775)</f>
        <v>6.452777778</v>
      </c>
      <c r="J994" s="87">
        <f>IFERROR(__xludf.DUMMYFUNCTION("""COMPUTED_VALUE"""),47.0)</f>
        <v>47</v>
      </c>
      <c r="K994" s="88"/>
      <c r="L994" s="89"/>
      <c r="M994" s="26" t="str">
        <f>IFERROR(__xludf.DUMMYFUNCTION("""COMPUTED_VALUE"""),"Puzzle")</f>
        <v>Puzzle</v>
      </c>
      <c r="N994" s="26"/>
      <c r="O994" s="26" t="str">
        <f>IFERROR(__xludf.DUMMYFUNCTION("""COMPUTED_VALUE"""),"No")</f>
        <v>No</v>
      </c>
      <c r="P994" s="26"/>
    </row>
    <row r="995">
      <c r="A995" s="81" t="str">
        <f>IFERROR(__xludf.DUMMYFUNCTION("""COMPUTED_VALUE"""),"Mirror's Edge")</f>
        <v>Mirror's Edge</v>
      </c>
      <c r="B995" s="82" t="str">
        <f>IFERROR(__xludf.DUMMYFUNCTION("""COMPUTED_VALUE"""),"PS5/PS4")</f>
        <v>PS5/PS4</v>
      </c>
      <c r="C995" s="83" t="str">
        <f>IFERROR(__xludf.DUMMYFUNCTION("""COMPUTED_VALUE"""),"Playstation Now (Discontinued)")</f>
        <v>Playstation Now (Discontinued)</v>
      </c>
      <c r="D995" s="82" t="str">
        <f>IFERROR(__xludf.DUMMYFUNCTION("""COMPUTED_VALUE"""),"Removed")</f>
        <v>Removed</v>
      </c>
      <c r="E995" s="84">
        <f>IFERROR(__xludf.DUMMYFUNCTION("""COMPUTED_VALUE"""),41667.0)</f>
        <v>41667</v>
      </c>
      <c r="F995" s="85">
        <f>IFERROR(__xludf.DUMMYFUNCTION("""COMPUTED_VALUE"""),44725.0)</f>
        <v>44725</v>
      </c>
      <c r="G995" s="86">
        <f>IFERROR(__xludf.DUMMYFUNCTION("""COMPUTED_VALUE"""),100.5)</f>
        <v>100.5</v>
      </c>
      <c r="H995" s="84">
        <f>IFERROR(__xludf.DUMMYFUNCTION("""COMPUTED_VALUE"""),39763.0)</f>
        <v>39763</v>
      </c>
      <c r="I995" s="86">
        <f>IFERROR(__xludf.DUMMYFUNCTION("""COMPUTED_VALUE"""),5.213888888888889)</f>
        <v>5.213888889</v>
      </c>
      <c r="J995" s="87">
        <f>IFERROR(__xludf.DUMMYFUNCTION("""COMPUTED_VALUE"""),79.0)</f>
        <v>79</v>
      </c>
      <c r="K995" s="88">
        <f>IFERROR(__xludf.DUMMYFUNCTION("""COMPUTED_VALUE"""),7.6)</f>
        <v>7.6</v>
      </c>
      <c r="L995" s="89">
        <f>IFERROR(__xludf.DUMMYFUNCTION("""COMPUTED_VALUE"""),6.0)</f>
        <v>6</v>
      </c>
      <c r="M995" s="26" t="str">
        <f>IFERROR(__xludf.DUMMYFUNCTION("""COMPUTED_VALUE"""),"Action-Adventure")</f>
        <v>Action-Adventure</v>
      </c>
      <c r="N995" s="26"/>
      <c r="O995" s="26" t="str">
        <f>IFERROR(__xludf.DUMMYFUNCTION("""COMPUTED_VALUE"""),"No")</f>
        <v>No</v>
      </c>
      <c r="P995" s="26"/>
    </row>
    <row r="996">
      <c r="A996" s="81" t="str">
        <f>IFERROR(__xludf.DUMMYFUNCTION("""COMPUTED_VALUE"""),"FIFA 22")</f>
        <v>FIFA 22</v>
      </c>
      <c r="B996" s="82" t="str">
        <f>IFERROR(__xludf.DUMMYFUNCTION("""COMPUTED_VALUE"""),"PS5/PS4")</f>
        <v>PS5/PS4</v>
      </c>
      <c r="C996" s="83" t="str">
        <f>IFERROR(__xludf.DUMMYFUNCTION("""COMPUTED_VALUE"""),"Playstation Plus (Discontinued)")</f>
        <v>Playstation Plus (Discontinued)</v>
      </c>
      <c r="D996" s="82" t="str">
        <f>IFERROR(__xludf.DUMMYFUNCTION("""COMPUTED_VALUE"""),"Removed")</f>
        <v>Removed</v>
      </c>
      <c r="E996" s="84">
        <f>IFERROR(__xludf.DUMMYFUNCTION("""COMPUTED_VALUE"""),44684.0)</f>
        <v>44684</v>
      </c>
      <c r="F996" s="85">
        <f>IFERROR(__xludf.DUMMYFUNCTION("""COMPUTED_VALUE"""),44718.0)</f>
        <v>44718</v>
      </c>
      <c r="G996" s="86">
        <f>IFERROR(__xludf.DUMMYFUNCTION("""COMPUTED_VALUE"""),1.0999999999999999)</f>
        <v>1.1</v>
      </c>
      <c r="H996" s="84">
        <f>IFERROR(__xludf.DUMMYFUNCTION("""COMPUTED_VALUE"""),44470.0)</f>
        <v>44470</v>
      </c>
      <c r="I996" s="86">
        <f>IFERROR(__xludf.DUMMYFUNCTION("""COMPUTED_VALUE"""),0.5888888888888889)</f>
        <v>0.5888888889</v>
      </c>
      <c r="J996" s="87">
        <f>IFERROR(__xludf.DUMMYFUNCTION("""COMPUTED_VALUE"""),78.0)</f>
        <v>78</v>
      </c>
      <c r="K996" s="88">
        <f>IFERROR(__xludf.DUMMYFUNCTION("""COMPUTED_VALUE"""),3.9)</f>
        <v>3.9</v>
      </c>
      <c r="L996" s="89">
        <f>IFERROR(__xludf.DUMMYFUNCTION("""COMPUTED_VALUE"""),27.0)</f>
        <v>27</v>
      </c>
      <c r="M996" s="26" t="str">
        <f>IFERROR(__xludf.DUMMYFUNCTION("""COMPUTED_VALUE"""),"Sports")</f>
        <v>Sports</v>
      </c>
      <c r="N996" s="26"/>
      <c r="O996" s="26" t="str">
        <f>IFERROR(__xludf.DUMMYFUNCTION("""COMPUTED_VALUE"""),"No")</f>
        <v>No</v>
      </c>
      <c r="P996" s="26"/>
    </row>
    <row r="997">
      <c r="A997" s="81" t="str">
        <f>IFERROR(__xludf.DUMMYFUNCTION("""COMPUTED_VALUE"""),"Tribes of Midgard")</f>
        <v>Tribes of Midgard</v>
      </c>
      <c r="B997" s="82" t="str">
        <f>IFERROR(__xludf.DUMMYFUNCTION("""COMPUTED_VALUE"""),"PS5/PS4")</f>
        <v>PS5/PS4</v>
      </c>
      <c r="C997" s="83" t="str">
        <f>IFERROR(__xludf.DUMMYFUNCTION("""COMPUTED_VALUE"""),"Playstation Plus (Discontinued)")</f>
        <v>Playstation Plus (Discontinued)</v>
      </c>
      <c r="D997" s="82" t="str">
        <f>IFERROR(__xludf.DUMMYFUNCTION("""COMPUTED_VALUE"""),"Removed")</f>
        <v>Removed</v>
      </c>
      <c r="E997" s="84">
        <f>IFERROR(__xludf.DUMMYFUNCTION("""COMPUTED_VALUE"""),44684.0)</f>
        <v>44684</v>
      </c>
      <c r="F997" s="85">
        <f>IFERROR(__xludf.DUMMYFUNCTION("""COMPUTED_VALUE"""),44718.0)</f>
        <v>44718</v>
      </c>
      <c r="G997" s="86">
        <f>IFERROR(__xludf.DUMMYFUNCTION("""COMPUTED_VALUE"""),1.0999999999999999)</f>
        <v>1.1</v>
      </c>
      <c r="H997" s="84">
        <f>IFERROR(__xludf.DUMMYFUNCTION("""COMPUTED_VALUE"""),44404.0)</f>
        <v>44404</v>
      </c>
      <c r="I997" s="86">
        <f>IFERROR(__xludf.DUMMYFUNCTION("""COMPUTED_VALUE"""),0.7666666666666667)</f>
        <v>0.7666666667</v>
      </c>
      <c r="J997" s="87">
        <f>IFERROR(__xludf.DUMMYFUNCTION("""COMPUTED_VALUE"""),71.0)</f>
        <v>71</v>
      </c>
      <c r="K997" s="88">
        <f>IFERROR(__xludf.DUMMYFUNCTION("""COMPUTED_VALUE"""),7.0)</f>
        <v>7</v>
      </c>
      <c r="L997" s="89">
        <f>IFERROR(__xludf.DUMMYFUNCTION("""COMPUTED_VALUE"""),18.0)</f>
        <v>18</v>
      </c>
      <c r="M997" s="26" t="str">
        <f>IFERROR(__xludf.DUMMYFUNCTION("""COMPUTED_VALUE"""),"Action-Adventure")</f>
        <v>Action-Adventure</v>
      </c>
      <c r="N997" s="26"/>
      <c r="O997" s="26" t="str">
        <f>IFERROR(__xludf.DUMMYFUNCTION("""COMPUTED_VALUE"""),"No")</f>
        <v>No</v>
      </c>
      <c r="P997" s="26"/>
    </row>
    <row r="998">
      <c r="A998" s="81" t="str">
        <f>IFERROR(__xludf.DUMMYFUNCTION("""COMPUTED_VALUE"""),"Curse of the Dead Gods")</f>
        <v>Curse of the Dead Gods</v>
      </c>
      <c r="B998" s="82" t="str">
        <f>IFERROR(__xludf.DUMMYFUNCTION("""COMPUTED_VALUE"""),"PS4")</f>
        <v>PS4</v>
      </c>
      <c r="C998" s="83" t="str">
        <f>IFERROR(__xludf.DUMMYFUNCTION("""COMPUTED_VALUE"""),"Playstation Plus (Discontinued)")</f>
        <v>Playstation Plus (Discontinued)</v>
      </c>
      <c r="D998" s="82" t="str">
        <f>IFERROR(__xludf.DUMMYFUNCTION("""COMPUTED_VALUE"""),"Removed")</f>
        <v>Removed</v>
      </c>
      <c r="E998" s="84">
        <f>IFERROR(__xludf.DUMMYFUNCTION("""COMPUTED_VALUE"""),44684.0)</f>
        <v>44684</v>
      </c>
      <c r="F998" s="85">
        <f>IFERROR(__xludf.DUMMYFUNCTION("""COMPUTED_VALUE"""),44718.0)</f>
        <v>44718</v>
      </c>
      <c r="G998" s="86">
        <f>IFERROR(__xludf.DUMMYFUNCTION("""COMPUTED_VALUE"""),1.0999999999999999)</f>
        <v>1.1</v>
      </c>
      <c r="H998" s="84">
        <f>IFERROR(__xludf.DUMMYFUNCTION("""COMPUTED_VALUE"""),44250.0)</f>
        <v>44250</v>
      </c>
      <c r="I998" s="86">
        <f>IFERROR(__xludf.DUMMYFUNCTION("""COMPUTED_VALUE"""),1.1944444444444444)</f>
        <v>1.194444444</v>
      </c>
      <c r="J998" s="87">
        <f>IFERROR(__xludf.DUMMYFUNCTION("""COMPUTED_VALUE"""),79.0)</f>
        <v>79</v>
      </c>
      <c r="K998" s="88">
        <f>IFERROR(__xludf.DUMMYFUNCTION("""COMPUTED_VALUE"""),6.9)</f>
        <v>6.9</v>
      </c>
      <c r="L998" s="89">
        <f>IFERROR(__xludf.DUMMYFUNCTION("""COMPUTED_VALUE"""),12.0)</f>
        <v>12</v>
      </c>
      <c r="M998" s="26" t="str">
        <f>IFERROR(__xludf.DUMMYFUNCTION("""COMPUTED_VALUE"""),"RPG")</f>
        <v>RPG</v>
      </c>
      <c r="N998" s="26"/>
      <c r="O998" s="26" t="str">
        <f>IFERROR(__xludf.DUMMYFUNCTION("""COMPUTED_VALUE"""),"No")</f>
        <v>No</v>
      </c>
      <c r="P998" s="26"/>
    </row>
    <row r="999">
      <c r="A999" s="81" t="str">
        <f>IFERROR(__xludf.DUMMYFUNCTION("""COMPUTED_VALUE"""),"Sonic Forces")</f>
        <v>Sonic Forces</v>
      </c>
      <c r="B999" s="82" t="str">
        <f>IFERROR(__xludf.DUMMYFUNCTION("""COMPUTED_VALUE"""),"PS5/PS4")</f>
        <v>PS5/PS4</v>
      </c>
      <c r="C999" s="83" t="str">
        <f>IFERROR(__xludf.DUMMYFUNCTION("""COMPUTED_VALUE"""),"Playstation Now (Discontinued)")</f>
        <v>Playstation Now (Discontinued)</v>
      </c>
      <c r="D999" s="82" t="str">
        <f>IFERROR(__xludf.DUMMYFUNCTION("""COMPUTED_VALUE"""),"Removed")</f>
        <v>Removed</v>
      </c>
      <c r="E999" s="84">
        <f>IFERROR(__xludf.DUMMYFUNCTION("""COMPUTED_VALUE"""),44348.0)</f>
        <v>44348</v>
      </c>
      <c r="F999" s="85">
        <f>IFERROR(__xludf.DUMMYFUNCTION("""COMPUTED_VALUE"""),44698.0)</f>
        <v>44698</v>
      </c>
      <c r="G999" s="86">
        <f>IFERROR(__xludf.DUMMYFUNCTION("""COMPUTED_VALUE"""),11.533333333333333)</f>
        <v>11.53333333</v>
      </c>
      <c r="H999" s="84">
        <f>IFERROR(__xludf.DUMMYFUNCTION("""COMPUTED_VALUE"""),43046.0)</f>
        <v>43046</v>
      </c>
      <c r="I999" s="86">
        <f>IFERROR(__xludf.DUMMYFUNCTION("""COMPUTED_VALUE"""),3.566666666666667)</f>
        <v>3.566666667</v>
      </c>
      <c r="J999" s="87">
        <f>IFERROR(__xludf.DUMMYFUNCTION("""COMPUTED_VALUE"""),57.0)</f>
        <v>57</v>
      </c>
      <c r="K999" s="88">
        <f>IFERROR(__xludf.DUMMYFUNCTION("""COMPUTED_VALUE"""),6.2)</f>
        <v>6.2</v>
      </c>
      <c r="L999" s="89">
        <f>IFERROR(__xludf.DUMMYFUNCTION("""COMPUTED_VALUE"""),4.0)</f>
        <v>4</v>
      </c>
      <c r="M999" s="26" t="str">
        <f>IFERROR(__xludf.DUMMYFUNCTION("""COMPUTED_VALUE"""),"Platformer")</f>
        <v>Platformer</v>
      </c>
      <c r="N999" s="26"/>
      <c r="O999" s="26" t="str">
        <f>IFERROR(__xludf.DUMMYFUNCTION("""COMPUTED_VALUE"""),"No")</f>
        <v>No</v>
      </c>
      <c r="P999" s="26"/>
    </row>
    <row r="1000">
      <c r="A1000" s="81" t="str">
        <f>IFERROR(__xludf.DUMMYFUNCTION("""COMPUTED_VALUE"""),"Sonic Mania")</f>
        <v>Sonic Mania</v>
      </c>
      <c r="B1000" s="82" t="str">
        <f>IFERROR(__xludf.DUMMYFUNCTION("""COMPUTED_VALUE"""),"PS5/PS4")</f>
        <v>PS5/PS4</v>
      </c>
      <c r="C1000" s="83" t="str">
        <f>IFERROR(__xludf.DUMMYFUNCTION("""COMPUTED_VALUE"""),"Playstation Now (Discontinued)")</f>
        <v>Playstation Now (Discontinued)</v>
      </c>
      <c r="D1000" s="82" t="str">
        <f>IFERROR(__xludf.DUMMYFUNCTION("""COMPUTED_VALUE"""),"Removed")</f>
        <v>Removed</v>
      </c>
      <c r="E1000" s="84">
        <f>IFERROR(__xludf.DUMMYFUNCTION("""COMPUTED_VALUE"""),44348.0)</f>
        <v>44348</v>
      </c>
      <c r="F1000" s="85">
        <f>IFERROR(__xludf.DUMMYFUNCTION("""COMPUTED_VALUE"""),44698.0)</f>
        <v>44698</v>
      </c>
      <c r="G1000" s="86">
        <f>IFERROR(__xludf.DUMMYFUNCTION("""COMPUTED_VALUE"""),11.533333333333333)</f>
        <v>11.53333333</v>
      </c>
      <c r="H1000" s="84">
        <f>IFERROR(__xludf.DUMMYFUNCTION("""COMPUTED_VALUE"""),42962.0)</f>
        <v>42962</v>
      </c>
      <c r="I1000" s="86">
        <f>IFERROR(__xludf.DUMMYFUNCTION("""COMPUTED_VALUE"""),3.7944444444444443)</f>
        <v>3.794444444</v>
      </c>
      <c r="J1000" s="87">
        <f>IFERROR(__xludf.DUMMYFUNCTION("""COMPUTED_VALUE"""),86.0)</f>
        <v>86</v>
      </c>
      <c r="K1000" s="88">
        <f>IFERROR(__xludf.DUMMYFUNCTION("""COMPUTED_VALUE"""),8.5)</f>
        <v>8.5</v>
      </c>
      <c r="L1000" s="89">
        <f>IFERROR(__xludf.DUMMYFUNCTION("""COMPUTED_VALUE"""),5.0)</f>
        <v>5</v>
      </c>
      <c r="M1000" s="26" t="str">
        <f>IFERROR(__xludf.DUMMYFUNCTION("""COMPUTED_VALUE"""),"Platformer")</f>
        <v>Platformer</v>
      </c>
      <c r="N1000" s="26"/>
      <c r="O1000" s="26" t="str">
        <f>IFERROR(__xludf.DUMMYFUNCTION("""COMPUTED_VALUE"""),"No")</f>
        <v>No</v>
      </c>
      <c r="P1000" s="26"/>
    </row>
    <row r="1001">
      <c r="A1001" s="81" t="str">
        <f>IFERROR(__xludf.DUMMYFUNCTION("""COMPUTED_VALUE"""),"Team Sonic Racing")</f>
        <v>Team Sonic Racing</v>
      </c>
      <c r="B1001" s="82" t="str">
        <f>IFERROR(__xludf.DUMMYFUNCTION("""COMPUTED_VALUE"""),"PS5/PS4")</f>
        <v>PS5/PS4</v>
      </c>
      <c r="C1001" s="83" t="str">
        <f>IFERROR(__xludf.DUMMYFUNCTION("""COMPUTED_VALUE"""),"Playstation Now (Discontinued)")</f>
        <v>Playstation Now (Discontinued)</v>
      </c>
      <c r="D1001" s="82" t="str">
        <f>IFERROR(__xludf.DUMMYFUNCTION("""COMPUTED_VALUE"""),"Removed")</f>
        <v>Removed</v>
      </c>
      <c r="E1001" s="84">
        <f>IFERROR(__xludf.DUMMYFUNCTION("""COMPUTED_VALUE"""),44348.0)</f>
        <v>44348</v>
      </c>
      <c r="F1001" s="85">
        <f>IFERROR(__xludf.DUMMYFUNCTION("""COMPUTED_VALUE"""),44698.0)</f>
        <v>44698</v>
      </c>
      <c r="G1001" s="86">
        <f>IFERROR(__xludf.DUMMYFUNCTION("""COMPUTED_VALUE"""),11.533333333333333)</f>
        <v>11.53333333</v>
      </c>
      <c r="H1001" s="84">
        <f>IFERROR(__xludf.DUMMYFUNCTION("""COMPUTED_VALUE"""),43606.0)</f>
        <v>43606</v>
      </c>
      <c r="I1001" s="86">
        <f>IFERROR(__xludf.DUMMYFUNCTION("""COMPUTED_VALUE"""),2.0277777777777777)</f>
        <v>2.027777778</v>
      </c>
      <c r="J1001" s="87">
        <f>IFERROR(__xludf.DUMMYFUNCTION("""COMPUTED_VALUE"""),72.0)</f>
        <v>72</v>
      </c>
      <c r="K1001" s="88">
        <f>IFERROR(__xludf.DUMMYFUNCTION("""COMPUTED_VALUE"""),7.2)</f>
        <v>7.2</v>
      </c>
      <c r="L1001" s="89">
        <f>IFERROR(__xludf.DUMMYFUNCTION("""COMPUTED_VALUE"""),10.0)</f>
        <v>10</v>
      </c>
      <c r="M1001" s="26" t="str">
        <f>IFERROR(__xludf.DUMMYFUNCTION("""COMPUTED_VALUE"""),"Racing")</f>
        <v>Racing</v>
      </c>
      <c r="N1001" s="26"/>
      <c r="O1001" s="26" t="str">
        <f>IFERROR(__xludf.DUMMYFUNCTION("""COMPUTED_VALUE"""),"No")</f>
        <v>No</v>
      </c>
      <c r="P1001" s="26"/>
    </row>
    <row r="1002">
      <c r="A1002" s="81" t="str">
        <f>IFERROR(__xludf.DUMMYFUNCTION("""COMPUTED_VALUE"""),"WWE 2K19")</f>
        <v>WWE 2K19</v>
      </c>
      <c r="B1002" s="82" t="str">
        <f>IFERROR(__xludf.DUMMYFUNCTION("""COMPUTED_VALUE"""),"PS5/PS4")</f>
        <v>PS5/PS4</v>
      </c>
      <c r="C1002" s="83" t="str">
        <f>IFERROR(__xludf.DUMMYFUNCTION("""COMPUTED_VALUE"""),"Playstation Now (Discontinued)")</f>
        <v>Playstation Now (Discontinued)</v>
      </c>
      <c r="D1002" s="82" t="str">
        <f>IFERROR(__xludf.DUMMYFUNCTION("""COMPUTED_VALUE"""),"Removed")</f>
        <v>Removed</v>
      </c>
      <c r="E1002" s="84">
        <f>IFERROR(__xludf.DUMMYFUNCTION("""COMPUTED_VALUE"""),44075.0)</f>
        <v>44075</v>
      </c>
      <c r="F1002" s="85">
        <f>IFERROR(__xludf.DUMMYFUNCTION("""COMPUTED_VALUE"""),44698.0)</f>
        <v>44698</v>
      </c>
      <c r="G1002" s="86">
        <f>IFERROR(__xludf.DUMMYFUNCTION("""COMPUTED_VALUE"""),20.53333333333333)</f>
        <v>20.53333333</v>
      </c>
      <c r="H1002" s="84">
        <f>IFERROR(__xludf.DUMMYFUNCTION("""COMPUTED_VALUE"""),43378.0)</f>
        <v>43378</v>
      </c>
      <c r="I1002" s="86">
        <f>IFERROR(__xludf.DUMMYFUNCTION("""COMPUTED_VALUE"""),1.9055555555555554)</f>
        <v>1.905555556</v>
      </c>
      <c r="J1002" s="87">
        <f>IFERROR(__xludf.DUMMYFUNCTION("""COMPUTED_VALUE"""),76.0)</f>
        <v>76</v>
      </c>
      <c r="K1002" s="88">
        <f>IFERROR(__xludf.DUMMYFUNCTION("""COMPUTED_VALUE"""),6.6)</f>
        <v>6.6</v>
      </c>
      <c r="L1002" s="89"/>
      <c r="M1002" s="26" t="str">
        <f>IFERROR(__xludf.DUMMYFUNCTION("""COMPUTED_VALUE"""),"Wrestling")</f>
        <v>Wrestling</v>
      </c>
      <c r="N1002" s="26"/>
      <c r="O1002" s="26" t="str">
        <f>IFERROR(__xludf.DUMMYFUNCTION("""COMPUTED_VALUE"""),"No")</f>
        <v>No</v>
      </c>
      <c r="P1002" s="26"/>
    </row>
    <row r="1003">
      <c r="A1003" s="81" t="str">
        <f>IFERROR(__xludf.DUMMYFUNCTION("""COMPUTED_VALUE"""),"Valkyria Chronicles: Remastered")</f>
        <v>Valkyria Chronicles: Remastered</v>
      </c>
      <c r="B1003" s="82" t="str">
        <f>IFERROR(__xludf.DUMMYFUNCTION("""COMPUTED_VALUE"""),"PS5/PS4")</f>
        <v>PS5/PS4</v>
      </c>
      <c r="C1003" s="83" t="str">
        <f>IFERROR(__xludf.DUMMYFUNCTION("""COMPUTED_VALUE"""),"Playstation Now (Discontinued)")</f>
        <v>Playstation Now (Discontinued)</v>
      </c>
      <c r="D1003" s="82" t="str">
        <f>IFERROR(__xludf.DUMMYFUNCTION("""COMPUTED_VALUE"""),"Removed")</f>
        <v>Removed</v>
      </c>
      <c r="E1003" s="84">
        <f>IFERROR(__xludf.DUMMYFUNCTION("""COMPUTED_VALUE"""),43620.0)</f>
        <v>43620</v>
      </c>
      <c r="F1003" s="85">
        <f>IFERROR(__xludf.DUMMYFUNCTION("""COMPUTED_VALUE"""),44698.0)</f>
        <v>44698</v>
      </c>
      <c r="G1003" s="86">
        <f>IFERROR(__xludf.DUMMYFUNCTION("""COMPUTED_VALUE"""),35.43333333333334)</f>
        <v>35.43333333</v>
      </c>
      <c r="H1003" s="84">
        <f>IFERROR(__xludf.DUMMYFUNCTION("""COMPUTED_VALUE"""),42507.0)</f>
        <v>42507</v>
      </c>
      <c r="I1003" s="86">
        <f>IFERROR(__xludf.DUMMYFUNCTION("""COMPUTED_VALUE"""),3.047222222222222)</f>
        <v>3.047222222</v>
      </c>
      <c r="J1003" s="87">
        <f>IFERROR(__xludf.DUMMYFUNCTION("""COMPUTED_VALUE"""),84.0)</f>
        <v>84</v>
      </c>
      <c r="K1003" s="88">
        <f>IFERROR(__xludf.DUMMYFUNCTION("""COMPUTED_VALUE"""),8.3)</f>
        <v>8.3</v>
      </c>
      <c r="L1003" s="89">
        <f>IFERROR(__xludf.DUMMYFUNCTION("""COMPUTED_VALUE"""),30.5)</f>
        <v>30.5</v>
      </c>
      <c r="M1003" s="26" t="str">
        <f>IFERROR(__xludf.DUMMYFUNCTION("""COMPUTED_VALUE"""),"Action-Adventure")</f>
        <v>Action-Adventure</v>
      </c>
      <c r="N1003" s="26"/>
      <c r="O1003" s="26" t="str">
        <f>IFERROR(__xludf.DUMMYFUNCTION("""COMPUTED_VALUE"""),"No")</f>
        <v>No</v>
      </c>
      <c r="P1003" s="26"/>
    </row>
    <row r="1004">
      <c r="A1004" s="81" t="str">
        <f>IFERROR(__xludf.DUMMYFUNCTION("""COMPUTED_VALUE"""),"Metal Gear Rising Revengeance Ultimate Edition")</f>
        <v>Metal Gear Rising Revengeance Ultimate Edition</v>
      </c>
      <c r="B1004" s="82" t="str">
        <f>IFERROR(__xludf.DUMMYFUNCTION("""COMPUTED_VALUE"""),"PS5/PS4")</f>
        <v>PS5/PS4</v>
      </c>
      <c r="C1004" s="83" t="str">
        <f>IFERROR(__xludf.DUMMYFUNCTION("""COMPUTED_VALUE"""),"Playstation Now (Discontinued)")</f>
        <v>Playstation Now (Discontinued)</v>
      </c>
      <c r="D1004" s="82" t="str">
        <f>IFERROR(__xludf.DUMMYFUNCTION("""COMPUTED_VALUE"""),"Removed")</f>
        <v>Removed</v>
      </c>
      <c r="E1004" s="84">
        <f>IFERROR(__xludf.DUMMYFUNCTION("""COMPUTED_VALUE"""),43592.0)</f>
        <v>43592</v>
      </c>
      <c r="F1004" s="85">
        <f>IFERROR(__xludf.DUMMYFUNCTION("""COMPUTED_VALUE"""),44698.0)</f>
        <v>44698</v>
      </c>
      <c r="G1004" s="86">
        <f>IFERROR(__xludf.DUMMYFUNCTION("""COMPUTED_VALUE"""),36.33333333333333)</f>
        <v>36.33333333</v>
      </c>
      <c r="H1004" s="84">
        <f>IFERROR(__xludf.DUMMYFUNCTION("""COMPUTED_VALUE"""),41324.0)</f>
        <v>41324</v>
      </c>
      <c r="I1004" s="86">
        <f>IFERROR(__xludf.DUMMYFUNCTION("""COMPUTED_VALUE"""),6.216666666666667)</f>
        <v>6.216666667</v>
      </c>
      <c r="J1004" s="87">
        <f>IFERROR(__xludf.DUMMYFUNCTION("""COMPUTED_VALUE"""),80.0)</f>
        <v>80</v>
      </c>
      <c r="K1004" s="88">
        <f>IFERROR(__xludf.DUMMYFUNCTION("""COMPUTED_VALUE"""),8.3)</f>
        <v>8.3</v>
      </c>
      <c r="L1004" s="89">
        <f>IFERROR(__xludf.DUMMYFUNCTION("""COMPUTED_VALUE"""),5.0)</f>
        <v>5</v>
      </c>
      <c r="M1004" s="26" t="str">
        <f>IFERROR(__xludf.DUMMYFUNCTION("""COMPUTED_VALUE"""),"Action-Adventure")</f>
        <v>Action-Adventure</v>
      </c>
      <c r="N1004" s="26"/>
      <c r="O1004" s="26" t="str">
        <f>IFERROR(__xludf.DUMMYFUNCTION("""COMPUTED_VALUE"""),"No")</f>
        <v>No</v>
      </c>
      <c r="P1004" s="26"/>
    </row>
    <row r="1005">
      <c r="A1005" s="81" t="str">
        <f>IFERROR(__xludf.DUMMYFUNCTION("""COMPUTED_VALUE"""),"Metal Gear Solid V: The Phantom Pain")</f>
        <v>Metal Gear Solid V: The Phantom Pain</v>
      </c>
      <c r="B1005" s="82" t="str">
        <f>IFERROR(__xludf.DUMMYFUNCTION("""COMPUTED_VALUE"""),"PS5/PS4")</f>
        <v>PS5/PS4</v>
      </c>
      <c r="C1005" s="83" t="str">
        <f>IFERROR(__xludf.DUMMYFUNCTION("""COMPUTED_VALUE"""),"Playstation Now (Discontinued)")</f>
        <v>Playstation Now (Discontinued)</v>
      </c>
      <c r="D1005" s="82" t="str">
        <f>IFERROR(__xludf.DUMMYFUNCTION("""COMPUTED_VALUE"""),"Removed")</f>
        <v>Removed</v>
      </c>
      <c r="E1005" s="84">
        <f>IFERROR(__xludf.DUMMYFUNCTION("""COMPUTED_VALUE"""),43557.0)</f>
        <v>43557</v>
      </c>
      <c r="F1005" s="85">
        <f>IFERROR(__xludf.DUMMYFUNCTION("""COMPUTED_VALUE"""),44698.0)</f>
        <v>44698</v>
      </c>
      <c r="G1005" s="86">
        <f>IFERROR(__xludf.DUMMYFUNCTION("""COMPUTED_VALUE"""),37.5)</f>
        <v>37.5</v>
      </c>
      <c r="H1005" s="84">
        <f>IFERROR(__xludf.DUMMYFUNCTION("""COMPUTED_VALUE"""),42248.0)</f>
        <v>42248</v>
      </c>
      <c r="I1005" s="86">
        <f>IFERROR(__xludf.DUMMYFUNCTION("""COMPUTED_VALUE"""),3.5861111111111112)</f>
        <v>3.586111111</v>
      </c>
      <c r="J1005" s="87">
        <f>IFERROR(__xludf.DUMMYFUNCTION("""COMPUTED_VALUE"""),93.0)</f>
        <v>93</v>
      </c>
      <c r="K1005" s="88">
        <f>IFERROR(__xludf.DUMMYFUNCTION("""COMPUTED_VALUE"""),8.2)</f>
        <v>8.2</v>
      </c>
      <c r="L1005" s="89">
        <f>IFERROR(__xludf.DUMMYFUNCTION("""COMPUTED_VALUE"""),45.0)</f>
        <v>45</v>
      </c>
      <c r="M1005" s="26" t="str">
        <f>IFERROR(__xludf.DUMMYFUNCTION("""COMPUTED_VALUE"""),"Action-Adventure")</f>
        <v>Action-Adventure</v>
      </c>
      <c r="N1005" s="26"/>
      <c r="O1005" s="26" t="str">
        <f>IFERROR(__xludf.DUMMYFUNCTION("""COMPUTED_VALUE"""),"No")</f>
        <v>No</v>
      </c>
      <c r="P1005" s="26"/>
    </row>
    <row r="1006">
      <c r="A1006" s="81" t="str">
        <f>IFERROR(__xludf.DUMMYFUNCTION("""COMPUTED_VALUE"""),"Metal Gear Solid V: Ground Zeroes")</f>
        <v>Metal Gear Solid V: Ground Zeroes</v>
      </c>
      <c r="B1006" s="82" t="str">
        <f>IFERROR(__xludf.DUMMYFUNCTION("""COMPUTED_VALUE"""),"PS5/PS4")</f>
        <v>PS5/PS4</v>
      </c>
      <c r="C1006" s="83" t="str">
        <f>IFERROR(__xludf.DUMMYFUNCTION("""COMPUTED_VALUE"""),"Playstation Now (Discontinued)")</f>
        <v>Playstation Now (Discontinued)</v>
      </c>
      <c r="D1006" s="82" t="str">
        <f>IFERROR(__xludf.DUMMYFUNCTION("""COMPUTED_VALUE"""),"Removed")</f>
        <v>Removed</v>
      </c>
      <c r="E1006" s="84">
        <f>IFERROR(__xludf.DUMMYFUNCTION("""COMPUTED_VALUE"""),43557.0)</f>
        <v>43557</v>
      </c>
      <c r="F1006" s="85">
        <f>IFERROR(__xludf.DUMMYFUNCTION("""COMPUTED_VALUE"""),44698.0)</f>
        <v>44698</v>
      </c>
      <c r="G1006" s="86">
        <f>IFERROR(__xludf.DUMMYFUNCTION("""COMPUTED_VALUE"""),37.5)</f>
        <v>37.5</v>
      </c>
      <c r="H1006" s="84">
        <f>IFERROR(__xludf.DUMMYFUNCTION("""COMPUTED_VALUE"""),41716.0)</f>
        <v>41716</v>
      </c>
      <c r="I1006" s="86">
        <f>IFERROR(__xludf.DUMMYFUNCTION("""COMPUTED_VALUE"""),5.038888888888889)</f>
        <v>5.038888889</v>
      </c>
      <c r="J1006" s="87">
        <f>IFERROR(__xludf.DUMMYFUNCTION("""COMPUTED_VALUE"""),75.0)</f>
        <v>75</v>
      </c>
      <c r="K1006" s="88">
        <f>IFERROR(__xludf.DUMMYFUNCTION("""COMPUTED_VALUE"""),6.5)</f>
        <v>6.5</v>
      </c>
      <c r="L1006" s="89">
        <f>IFERROR(__xludf.DUMMYFUNCTION("""COMPUTED_VALUE"""),2.0)</f>
        <v>2</v>
      </c>
      <c r="M1006" s="26" t="str">
        <f>IFERROR(__xludf.DUMMYFUNCTION("""COMPUTED_VALUE"""),"Action-Adventure")</f>
        <v>Action-Adventure</v>
      </c>
      <c r="N1006" s="26"/>
      <c r="O1006" s="26" t="str">
        <f>IFERROR(__xludf.DUMMYFUNCTION("""COMPUTED_VALUE"""),"No")</f>
        <v>No</v>
      </c>
      <c r="P1006" s="26"/>
    </row>
    <row r="1007">
      <c r="A1007" s="81" t="str">
        <f>IFERROR(__xludf.DUMMYFUNCTION("""COMPUTED_VALUE"""),"Metal Gear Solid 4: Guns of the Patriots")</f>
        <v>Metal Gear Solid 4: Guns of the Patriots</v>
      </c>
      <c r="B1007" s="82" t="str">
        <f>IFERROR(__xludf.DUMMYFUNCTION("""COMPUTED_VALUE"""),"PS5/PS4")</f>
        <v>PS5/PS4</v>
      </c>
      <c r="C1007" s="83" t="str">
        <f>IFERROR(__xludf.DUMMYFUNCTION("""COMPUTED_VALUE"""),"Playstation Now (Discontinued)")</f>
        <v>Playstation Now (Discontinued)</v>
      </c>
      <c r="D1007" s="82" t="str">
        <f>IFERROR(__xludf.DUMMYFUNCTION("""COMPUTED_VALUE"""),"Removed")</f>
        <v>Removed</v>
      </c>
      <c r="E1007" s="84">
        <f>IFERROR(__xludf.DUMMYFUNCTION("""COMPUTED_VALUE"""),43529.0)</f>
        <v>43529</v>
      </c>
      <c r="F1007" s="85">
        <f>IFERROR(__xludf.DUMMYFUNCTION("""COMPUTED_VALUE"""),44698.0)</f>
        <v>44698</v>
      </c>
      <c r="G1007" s="86">
        <f>IFERROR(__xludf.DUMMYFUNCTION("""COMPUTED_VALUE"""),38.400000000000006)</f>
        <v>38.4</v>
      </c>
      <c r="H1007" s="84">
        <f>IFERROR(__xludf.DUMMYFUNCTION("""COMPUTED_VALUE"""),39448.0)</f>
        <v>39448</v>
      </c>
      <c r="I1007" s="86">
        <f>IFERROR(__xludf.DUMMYFUNCTION("""COMPUTED_VALUE"""),11.177777777777777)</f>
        <v>11.17777778</v>
      </c>
      <c r="J1007" s="87">
        <f>IFERROR(__xludf.DUMMYFUNCTION("""COMPUTED_VALUE"""),94.0)</f>
        <v>94</v>
      </c>
      <c r="K1007" s="88">
        <f>IFERROR(__xludf.DUMMYFUNCTION("""COMPUTED_VALUE"""),9.2)</f>
        <v>9.2</v>
      </c>
      <c r="L1007" s="89">
        <f>IFERROR(__xludf.DUMMYFUNCTION("""COMPUTED_VALUE"""),18.0)</f>
        <v>18</v>
      </c>
      <c r="M1007" s="26" t="str">
        <f>IFERROR(__xludf.DUMMYFUNCTION("""COMPUTED_VALUE"""),"Action-Adventure")</f>
        <v>Action-Adventure</v>
      </c>
      <c r="N1007" s="26" t="str">
        <f>IFERROR(__xludf.DUMMYFUNCTION("""COMPUTED_VALUE"""),"PS3")</f>
        <v>PS3</v>
      </c>
      <c r="O1007" s="26" t="str">
        <f>IFERROR(__xludf.DUMMYFUNCTION("""COMPUTED_VALUE"""),"No")</f>
        <v>No</v>
      </c>
      <c r="P1007" s="26"/>
    </row>
    <row r="1008">
      <c r="A1008" s="81" t="str">
        <f>IFERROR(__xludf.DUMMYFUNCTION("""COMPUTED_VALUE"""),"Destroy All Humans!")</f>
        <v>Destroy All Humans!</v>
      </c>
      <c r="B1008" s="82" t="str">
        <f>IFERROR(__xludf.DUMMYFUNCTION("""COMPUTED_VALUE"""),"PS5/PS4")</f>
        <v>PS5/PS4</v>
      </c>
      <c r="C1008" s="83" t="str">
        <f>IFERROR(__xludf.DUMMYFUNCTION("""COMPUTED_VALUE"""),"Playstation Now (Discontinued)")</f>
        <v>Playstation Now (Discontinued)</v>
      </c>
      <c r="D1008" s="82" t="str">
        <f>IFERROR(__xludf.DUMMYFUNCTION("""COMPUTED_VALUE"""),"Removed")</f>
        <v>Removed</v>
      </c>
      <c r="E1008" s="84">
        <f>IFERROR(__xludf.DUMMYFUNCTION("""COMPUTED_VALUE"""),43410.0)</f>
        <v>43410</v>
      </c>
      <c r="F1008" s="85">
        <f>IFERROR(__xludf.DUMMYFUNCTION("""COMPUTED_VALUE"""),44698.0)</f>
        <v>44698</v>
      </c>
      <c r="G1008" s="86">
        <f>IFERROR(__xludf.DUMMYFUNCTION("""COMPUTED_VALUE"""),42.36666666666667)</f>
        <v>42.36666667</v>
      </c>
      <c r="H1008" s="84">
        <f>IFERROR(__xludf.DUMMYFUNCTION("""COMPUTED_VALUE"""),38496.0)</f>
        <v>38496</v>
      </c>
      <c r="I1008" s="86">
        <f>IFERROR(__xludf.DUMMYFUNCTION("""COMPUTED_VALUE"""),13.45)</f>
        <v>13.45</v>
      </c>
      <c r="J1008" s="87">
        <f>IFERROR(__xludf.DUMMYFUNCTION("""COMPUTED_VALUE"""),71.0)</f>
        <v>71</v>
      </c>
      <c r="K1008" s="88">
        <f>IFERROR(__xludf.DUMMYFUNCTION("""COMPUTED_VALUE"""),7.0)</f>
        <v>7</v>
      </c>
      <c r="L1008" s="89">
        <f>IFERROR(__xludf.DUMMYFUNCTION("""COMPUTED_VALUE"""),11.0)</f>
        <v>11</v>
      </c>
      <c r="M1008" s="26" t="str">
        <f>IFERROR(__xludf.DUMMYFUNCTION("""COMPUTED_VALUE"""),"Action-Adventure")</f>
        <v>Action-Adventure</v>
      </c>
      <c r="N1008" s="26"/>
      <c r="O1008" s="26" t="str">
        <f>IFERROR(__xludf.DUMMYFUNCTION("""COMPUTED_VALUE"""),"No")</f>
        <v>No</v>
      </c>
      <c r="P1008" s="26"/>
    </row>
    <row r="1009">
      <c r="A1009" s="81" t="str">
        <f>IFERROR(__xludf.DUMMYFUNCTION("""COMPUTED_VALUE"""),"The Dwarves")</f>
        <v>The Dwarves</v>
      </c>
      <c r="B1009" s="82" t="str">
        <f>IFERROR(__xludf.DUMMYFUNCTION("""COMPUTED_VALUE"""),"PS5/PS4")</f>
        <v>PS5/PS4</v>
      </c>
      <c r="C1009" s="83" t="str">
        <f>IFERROR(__xludf.DUMMYFUNCTION("""COMPUTED_VALUE"""),"Playstation Now (Discontinued)")</f>
        <v>Playstation Now (Discontinued)</v>
      </c>
      <c r="D1009" s="82" t="str">
        <f>IFERROR(__xludf.DUMMYFUNCTION("""COMPUTED_VALUE"""),"Removed")</f>
        <v>Removed</v>
      </c>
      <c r="E1009" s="84">
        <f>IFERROR(__xludf.DUMMYFUNCTION("""COMPUTED_VALUE"""),43347.0)</f>
        <v>43347</v>
      </c>
      <c r="F1009" s="85">
        <f>IFERROR(__xludf.DUMMYFUNCTION("""COMPUTED_VALUE"""),44698.0)</f>
        <v>44698</v>
      </c>
      <c r="G1009" s="86">
        <f>IFERROR(__xludf.DUMMYFUNCTION("""COMPUTED_VALUE"""),44.43333333333334)</f>
        <v>44.43333333</v>
      </c>
      <c r="H1009" s="84">
        <f>IFERROR(__xludf.DUMMYFUNCTION("""COMPUTED_VALUE"""),42705.0)</f>
        <v>42705</v>
      </c>
      <c r="I1009" s="86">
        <f>IFERROR(__xludf.DUMMYFUNCTION("""COMPUTED_VALUE"""),1.7583333333333333)</f>
        <v>1.758333333</v>
      </c>
      <c r="J1009" s="87">
        <f>IFERROR(__xludf.DUMMYFUNCTION("""COMPUTED_VALUE"""),61.0)</f>
        <v>61</v>
      </c>
      <c r="K1009" s="88">
        <f>IFERROR(__xludf.DUMMYFUNCTION("""COMPUTED_VALUE"""),6.1)</f>
        <v>6.1</v>
      </c>
      <c r="L1009" s="89">
        <f>IFERROR(__xludf.DUMMYFUNCTION("""COMPUTED_VALUE"""),8.5)</f>
        <v>8.5</v>
      </c>
      <c r="M1009" s="26" t="str">
        <f>IFERROR(__xludf.DUMMYFUNCTION("""COMPUTED_VALUE"""),"RPG")</f>
        <v>RPG</v>
      </c>
      <c r="N1009" s="26"/>
      <c r="O1009" s="26" t="str">
        <f>IFERROR(__xludf.DUMMYFUNCTION("""COMPUTED_VALUE"""),"No")</f>
        <v>No</v>
      </c>
      <c r="P1009" s="26"/>
    </row>
    <row r="1010">
      <c r="A1010" s="81" t="str">
        <f>IFERROR(__xludf.DUMMYFUNCTION("""COMPUTED_VALUE"""),"Yakuza 5")</f>
        <v>Yakuza 5</v>
      </c>
      <c r="B1010" s="82" t="str">
        <f>IFERROR(__xludf.DUMMYFUNCTION("""COMPUTED_VALUE"""),"PS5/PS4")</f>
        <v>PS5/PS4</v>
      </c>
      <c r="C1010" s="83" t="str">
        <f>IFERROR(__xludf.DUMMYFUNCTION("""COMPUTED_VALUE"""),"Playstation Now (Discontinued)")</f>
        <v>Playstation Now (Discontinued)</v>
      </c>
      <c r="D1010" s="82" t="str">
        <f>IFERROR(__xludf.DUMMYFUNCTION("""COMPUTED_VALUE"""),"Removed")</f>
        <v>Removed</v>
      </c>
      <c r="E1010" s="84">
        <f>IFERROR(__xludf.DUMMYFUNCTION("""COMPUTED_VALUE"""),43137.0)</f>
        <v>43137</v>
      </c>
      <c r="F1010" s="85">
        <f>IFERROR(__xludf.DUMMYFUNCTION("""COMPUTED_VALUE"""),44698.0)</f>
        <v>44698</v>
      </c>
      <c r="G1010" s="86">
        <f>IFERROR(__xludf.DUMMYFUNCTION("""COMPUTED_VALUE"""),51.366666666666674)</f>
        <v>51.36666667</v>
      </c>
      <c r="H1010" s="84">
        <f>IFERROR(__xludf.DUMMYFUNCTION("""COMPUTED_VALUE"""),42346.0)</f>
        <v>42346</v>
      </c>
      <c r="I1010" s="86">
        <f>IFERROR(__xludf.DUMMYFUNCTION("""COMPUTED_VALUE"""),2.161111111111111)</f>
        <v>2.161111111</v>
      </c>
      <c r="J1010" s="87">
        <f>IFERROR(__xludf.DUMMYFUNCTION("""COMPUTED_VALUE"""),83.0)</f>
        <v>83</v>
      </c>
      <c r="K1010" s="88">
        <f>IFERROR(__xludf.DUMMYFUNCTION("""COMPUTED_VALUE"""),8.2)</f>
        <v>8.2</v>
      </c>
      <c r="L1010" s="89">
        <f>IFERROR(__xludf.DUMMYFUNCTION("""COMPUTED_VALUE"""),37.0)</f>
        <v>37</v>
      </c>
      <c r="M1010" s="26" t="str">
        <f>IFERROR(__xludf.DUMMYFUNCTION("""COMPUTED_VALUE"""),"Action-Adventure")</f>
        <v>Action-Adventure</v>
      </c>
      <c r="N1010" s="26" t="str">
        <f>IFERROR(__xludf.DUMMYFUNCTION("""COMPUTED_VALUE"""),"PS3")</f>
        <v>PS3</v>
      </c>
      <c r="O1010" s="26" t="str">
        <f>IFERROR(__xludf.DUMMYFUNCTION("""COMPUTED_VALUE"""),"No")</f>
        <v>No</v>
      </c>
      <c r="P1010" s="26"/>
    </row>
    <row r="1011">
      <c r="A1011" s="81" t="str">
        <f>IFERROR(__xludf.DUMMYFUNCTION("""COMPUTED_VALUE"""),"MX vs. ATV: Supercross Encore")</f>
        <v>MX vs. ATV: Supercross Encore</v>
      </c>
      <c r="B1011" s="82" t="str">
        <f>IFERROR(__xludf.DUMMYFUNCTION("""COMPUTED_VALUE"""),"PS5/PS4")</f>
        <v>PS5/PS4</v>
      </c>
      <c r="C1011" s="83" t="str">
        <f>IFERROR(__xludf.DUMMYFUNCTION("""COMPUTED_VALUE"""),"Playstation Now (Discontinued)")</f>
        <v>Playstation Now (Discontinued)</v>
      </c>
      <c r="D1011" s="82" t="str">
        <f>IFERROR(__xludf.DUMMYFUNCTION("""COMPUTED_VALUE"""),"Removed")</f>
        <v>Removed</v>
      </c>
      <c r="E1011" s="84">
        <f>IFERROR(__xludf.DUMMYFUNCTION("""COMPUTED_VALUE"""),42922.0)</f>
        <v>42922</v>
      </c>
      <c r="F1011" s="85">
        <f>IFERROR(__xludf.DUMMYFUNCTION("""COMPUTED_VALUE"""),44698.0)</f>
        <v>44698</v>
      </c>
      <c r="G1011" s="86">
        <f>IFERROR(__xludf.DUMMYFUNCTION("""COMPUTED_VALUE"""),58.36666666666667)</f>
        <v>58.36666667</v>
      </c>
      <c r="H1011" s="84">
        <f>IFERROR(__xludf.DUMMYFUNCTION("""COMPUTED_VALUE"""),42304.0)</f>
        <v>42304</v>
      </c>
      <c r="I1011" s="86">
        <f>IFERROR(__xludf.DUMMYFUNCTION("""COMPUTED_VALUE"""),1.6916666666666667)</f>
        <v>1.691666667</v>
      </c>
      <c r="J1011" s="87">
        <f>IFERROR(__xludf.DUMMYFUNCTION("""COMPUTED_VALUE"""),42.0)</f>
        <v>42</v>
      </c>
      <c r="K1011" s="88">
        <f>IFERROR(__xludf.DUMMYFUNCTION("""COMPUTED_VALUE"""),4.3)</f>
        <v>4.3</v>
      </c>
      <c r="L1011" s="89"/>
      <c r="M1011" s="26" t="str">
        <f>IFERROR(__xludf.DUMMYFUNCTION("""COMPUTED_VALUE"""),"Racing")</f>
        <v>Racing</v>
      </c>
      <c r="N1011" s="26"/>
      <c r="O1011" s="26" t="str">
        <f>IFERROR(__xludf.DUMMYFUNCTION("""COMPUTED_VALUE"""),"No")</f>
        <v>No</v>
      </c>
      <c r="P1011" s="26"/>
    </row>
    <row r="1012">
      <c r="A1012" s="81" t="str">
        <f>IFERROR(__xludf.DUMMYFUNCTION("""COMPUTED_VALUE"""),"Alex Kidd in Miracle World")</f>
        <v>Alex Kidd in Miracle World</v>
      </c>
      <c r="B1012" s="82" t="str">
        <f>IFERROR(__xludf.DUMMYFUNCTION("""COMPUTED_VALUE"""),"PS5/PS4")</f>
        <v>PS5/PS4</v>
      </c>
      <c r="C1012" s="83" t="str">
        <f>IFERROR(__xludf.DUMMYFUNCTION("""COMPUTED_VALUE"""),"Playstation Now (Discontinued)")</f>
        <v>Playstation Now (Discontinued)</v>
      </c>
      <c r="D1012" s="82" t="str">
        <f>IFERROR(__xludf.DUMMYFUNCTION("""COMPUTED_VALUE"""),"Removed")</f>
        <v>Removed</v>
      </c>
      <c r="E1012" s="84">
        <f>IFERROR(__xludf.DUMMYFUNCTION("""COMPUTED_VALUE"""),42801.0)</f>
        <v>42801</v>
      </c>
      <c r="F1012" s="85">
        <f>IFERROR(__xludf.DUMMYFUNCTION("""COMPUTED_VALUE"""),44698.0)</f>
        <v>44698</v>
      </c>
      <c r="G1012" s="86">
        <f>IFERROR(__xludf.DUMMYFUNCTION("""COMPUTED_VALUE"""),62.333333333333336)</f>
        <v>62.33333333</v>
      </c>
      <c r="H1012" s="84">
        <f>IFERROR(__xludf.DUMMYFUNCTION("""COMPUTED_VALUE"""),31747.0)</f>
        <v>31747</v>
      </c>
      <c r="I1012" s="86">
        <f>IFERROR(__xludf.DUMMYFUNCTION("""COMPUTED_VALUE"""),30.266666666666666)</f>
        <v>30.26666667</v>
      </c>
      <c r="J1012" s="87">
        <f>IFERROR(__xludf.DUMMYFUNCTION("""COMPUTED_VALUE"""),68.0)</f>
        <v>68</v>
      </c>
      <c r="K1012" s="88">
        <f>IFERROR(__xludf.DUMMYFUNCTION("""COMPUTED_VALUE"""),7.4)</f>
        <v>7.4</v>
      </c>
      <c r="L1012" s="89">
        <f>IFERROR(__xludf.DUMMYFUNCTION("""COMPUTED_VALUE"""),2.0)</f>
        <v>2</v>
      </c>
      <c r="M1012" s="26" t="str">
        <f>IFERROR(__xludf.DUMMYFUNCTION("""COMPUTED_VALUE"""),"Platformer")</f>
        <v>Platformer</v>
      </c>
      <c r="N1012" s="26"/>
      <c r="O1012" s="26" t="str">
        <f>IFERROR(__xludf.DUMMYFUNCTION("""COMPUTED_VALUE"""),"No")</f>
        <v>No</v>
      </c>
      <c r="P1012" s="26"/>
    </row>
    <row r="1013">
      <c r="A1013" s="81" t="str">
        <f>IFERROR(__xludf.DUMMYFUNCTION("""COMPUTED_VALUE"""),"Fighting Vipers")</f>
        <v>Fighting Vipers</v>
      </c>
      <c r="B1013" s="82" t="str">
        <f>IFERROR(__xludf.DUMMYFUNCTION("""COMPUTED_VALUE"""),"PS5/PS4")</f>
        <v>PS5/PS4</v>
      </c>
      <c r="C1013" s="83" t="str">
        <f>IFERROR(__xludf.DUMMYFUNCTION("""COMPUTED_VALUE"""),"Playstation Now (Discontinued)")</f>
        <v>Playstation Now (Discontinued)</v>
      </c>
      <c r="D1013" s="82" t="str">
        <f>IFERROR(__xludf.DUMMYFUNCTION("""COMPUTED_VALUE"""),"Removed")</f>
        <v>Removed</v>
      </c>
      <c r="E1013" s="84">
        <f>IFERROR(__xludf.DUMMYFUNCTION("""COMPUTED_VALUE"""),42801.0)</f>
        <v>42801</v>
      </c>
      <c r="F1013" s="85">
        <f>IFERROR(__xludf.DUMMYFUNCTION("""COMPUTED_VALUE"""),44698.0)</f>
        <v>44698</v>
      </c>
      <c r="G1013" s="86">
        <f>IFERROR(__xludf.DUMMYFUNCTION("""COMPUTED_VALUE"""),62.333333333333336)</f>
        <v>62.33333333</v>
      </c>
      <c r="H1013" s="84">
        <f>IFERROR(__xludf.DUMMYFUNCTION("""COMPUTED_VALUE"""),41214.0)</f>
        <v>41214</v>
      </c>
      <c r="I1013" s="86">
        <f>IFERROR(__xludf.DUMMYFUNCTION("""COMPUTED_VALUE"""),4.35)</f>
        <v>4.35</v>
      </c>
      <c r="J1013" s="87">
        <f>IFERROR(__xludf.DUMMYFUNCTION("""COMPUTED_VALUE"""),71.0)</f>
        <v>71</v>
      </c>
      <c r="K1013" s="88">
        <f>IFERROR(__xludf.DUMMYFUNCTION("""COMPUTED_VALUE"""),7.5)</f>
        <v>7.5</v>
      </c>
      <c r="L1013" s="89"/>
      <c r="M1013" s="26" t="str">
        <f>IFERROR(__xludf.DUMMYFUNCTION("""COMPUTED_VALUE"""),"Fighting")</f>
        <v>Fighting</v>
      </c>
      <c r="N1013" s="26" t="str">
        <f>IFERROR(__xludf.DUMMYFUNCTION("""COMPUTED_VALUE"""),"PS3")</f>
        <v>PS3</v>
      </c>
      <c r="O1013" s="26" t="str">
        <f>IFERROR(__xludf.DUMMYFUNCTION("""COMPUTED_VALUE"""),"No")</f>
        <v>No</v>
      </c>
      <c r="P1013" s="26"/>
    </row>
    <row r="1014">
      <c r="A1014" s="81" t="str">
        <f>IFERROR(__xludf.DUMMYFUNCTION("""COMPUTED_VALUE"""),"Altered Beast")</f>
        <v>Altered Beast</v>
      </c>
      <c r="B1014" s="82" t="str">
        <f>IFERROR(__xludf.DUMMYFUNCTION("""COMPUTED_VALUE"""),"PS5/PS4")</f>
        <v>PS5/PS4</v>
      </c>
      <c r="C1014" s="83" t="str">
        <f>IFERROR(__xludf.DUMMYFUNCTION("""COMPUTED_VALUE"""),"Playstation Now (Discontinued)")</f>
        <v>Playstation Now (Discontinued)</v>
      </c>
      <c r="D1014" s="82" t="str">
        <f>IFERROR(__xludf.DUMMYFUNCTION("""COMPUTED_VALUE"""),"Removed")</f>
        <v>Removed</v>
      </c>
      <c r="E1014" s="84">
        <f>IFERROR(__xludf.DUMMYFUNCTION("""COMPUTED_VALUE"""),42801.0)</f>
        <v>42801</v>
      </c>
      <c r="F1014" s="85">
        <f>IFERROR(__xludf.DUMMYFUNCTION("""COMPUTED_VALUE"""),44698.0)</f>
        <v>44698</v>
      </c>
      <c r="G1014" s="86">
        <f>IFERROR(__xludf.DUMMYFUNCTION("""COMPUTED_VALUE"""),62.333333333333336)</f>
        <v>62.33333333</v>
      </c>
      <c r="H1014" s="84">
        <f>IFERROR(__xludf.DUMMYFUNCTION("""COMPUTED_VALUE"""),39965.0)</f>
        <v>39965</v>
      </c>
      <c r="I1014" s="86">
        <f>IFERROR(__xludf.DUMMYFUNCTION("""COMPUTED_VALUE"""),7.766666666666667)</f>
        <v>7.766666667</v>
      </c>
      <c r="J1014" s="87">
        <f>IFERROR(__xludf.DUMMYFUNCTION("""COMPUTED_VALUE"""),40.0)</f>
        <v>40</v>
      </c>
      <c r="K1014" s="88">
        <f>IFERROR(__xludf.DUMMYFUNCTION("""COMPUTED_VALUE"""),7.1)</f>
        <v>7.1</v>
      </c>
      <c r="L1014" s="89">
        <f>IFERROR(__xludf.DUMMYFUNCTION("""COMPUTED_VALUE"""),1.0)</f>
        <v>1</v>
      </c>
      <c r="M1014" s="26" t="str">
        <f>IFERROR(__xludf.DUMMYFUNCTION("""COMPUTED_VALUE"""),"Platformer")</f>
        <v>Platformer</v>
      </c>
      <c r="N1014" s="26"/>
      <c r="O1014" s="26" t="str">
        <f>IFERROR(__xludf.DUMMYFUNCTION("""COMPUTED_VALUE"""),"No")</f>
        <v>No</v>
      </c>
      <c r="P1014" s="26"/>
    </row>
    <row r="1015">
      <c r="A1015" s="81" t="str">
        <f>IFERROR(__xludf.DUMMYFUNCTION("""COMPUTED_VALUE"""),"Comix Zone")</f>
        <v>Comix Zone</v>
      </c>
      <c r="B1015" s="82" t="str">
        <f>IFERROR(__xludf.DUMMYFUNCTION("""COMPUTED_VALUE"""),"PS5/PS4")</f>
        <v>PS5/PS4</v>
      </c>
      <c r="C1015" s="83" t="str">
        <f>IFERROR(__xludf.DUMMYFUNCTION("""COMPUTED_VALUE"""),"Playstation Now (Discontinued)")</f>
        <v>Playstation Now (Discontinued)</v>
      </c>
      <c r="D1015" s="82" t="str">
        <f>IFERROR(__xludf.DUMMYFUNCTION("""COMPUTED_VALUE"""),"Removed")</f>
        <v>Removed</v>
      </c>
      <c r="E1015" s="84">
        <f>IFERROR(__xludf.DUMMYFUNCTION("""COMPUTED_VALUE"""),42801.0)</f>
        <v>42801</v>
      </c>
      <c r="F1015" s="85">
        <f>IFERROR(__xludf.DUMMYFUNCTION("""COMPUTED_VALUE"""),44698.0)</f>
        <v>44698</v>
      </c>
      <c r="G1015" s="86">
        <f>IFERROR(__xludf.DUMMYFUNCTION("""COMPUTED_VALUE"""),62.333333333333336)</f>
        <v>62.33333333</v>
      </c>
      <c r="H1015" s="84">
        <f>IFERROR(__xludf.DUMMYFUNCTION("""COMPUTED_VALUE"""),34942.0)</f>
        <v>34942</v>
      </c>
      <c r="I1015" s="86">
        <f>IFERROR(__xludf.DUMMYFUNCTION("""COMPUTED_VALUE"""),21.519444444444446)</f>
        <v>21.51944444</v>
      </c>
      <c r="J1015" s="87">
        <f>IFERROR(__xludf.DUMMYFUNCTION("""COMPUTED_VALUE"""),76.0)</f>
        <v>76</v>
      </c>
      <c r="K1015" s="88">
        <f>IFERROR(__xludf.DUMMYFUNCTION("""COMPUTED_VALUE"""),8.2)</f>
        <v>8.2</v>
      </c>
      <c r="L1015" s="89">
        <f>IFERROR(__xludf.DUMMYFUNCTION("""COMPUTED_VALUE"""),3.0)</f>
        <v>3</v>
      </c>
      <c r="M1015" s="26" t="str">
        <f>IFERROR(__xludf.DUMMYFUNCTION("""COMPUTED_VALUE"""),"Action-Adventure")</f>
        <v>Action-Adventure</v>
      </c>
      <c r="N1015" s="26" t="str">
        <f>IFERROR(__xludf.DUMMYFUNCTION("""COMPUTED_VALUE"""),"PS3")</f>
        <v>PS3</v>
      </c>
      <c r="O1015" s="26" t="str">
        <f>IFERROR(__xludf.DUMMYFUNCTION("""COMPUTED_VALUE"""),"No")</f>
        <v>No</v>
      </c>
      <c r="P1015" s="26"/>
    </row>
    <row r="1016">
      <c r="A1016" s="81" t="str">
        <f>IFERROR(__xludf.DUMMYFUNCTION("""COMPUTED_VALUE"""),"Golden Axe")</f>
        <v>Golden Axe</v>
      </c>
      <c r="B1016" s="82" t="str">
        <f>IFERROR(__xludf.DUMMYFUNCTION("""COMPUTED_VALUE"""),"PS5/PS4")</f>
        <v>PS5/PS4</v>
      </c>
      <c r="C1016" s="83" t="str">
        <f>IFERROR(__xludf.DUMMYFUNCTION("""COMPUTED_VALUE"""),"Playstation Now (Discontinued)")</f>
        <v>Playstation Now (Discontinued)</v>
      </c>
      <c r="D1016" s="82" t="str">
        <f>IFERROR(__xludf.DUMMYFUNCTION("""COMPUTED_VALUE"""),"Removed")</f>
        <v>Removed</v>
      </c>
      <c r="E1016" s="84">
        <f>IFERROR(__xludf.DUMMYFUNCTION("""COMPUTED_VALUE"""),42801.0)</f>
        <v>42801</v>
      </c>
      <c r="F1016" s="85">
        <f>IFERROR(__xludf.DUMMYFUNCTION("""COMPUTED_VALUE"""),44698.0)</f>
        <v>44698</v>
      </c>
      <c r="G1016" s="86">
        <f>IFERROR(__xludf.DUMMYFUNCTION("""COMPUTED_VALUE"""),62.333333333333336)</f>
        <v>62.33333333</v>
      </c>
      <c r="H1016" s="84">
        <f>IFERROR(__xludf.DUMMYFUNCTION("""COMPUTED_VALUE"""),39722.0)</f>
        <v>39722</v>
      </c>
      <c r="I1016" s="86">
        <f>IFERROR(__xludf.DUMMYFUNCTION("""COMPUTED_VALUE"""),8.433333333333334)</f>
        <v>8.433333333</v>
      </c>
      <c r="J1016" s="87">
        <f>IFERROR(__xludf.DUMMYFUNCTION("""COMPUTED_VALUE"""),44.0)</f>
        <v>44</v>
      </c>
      <c r="K1016" s="88">
        <f>IFERROR(__xludf.DUMMYFUNCTION("""COMPUTED_VALUE"""),7.0)</f>
        <v>7</v>
      </c>
      <c r="L1016" s="89">
        <f>IFERROR(__xludf.DUMMYFUNCTION("""COMPUTED_VALUE"""),2.0)</f>
        <v>2</v>
      </c>
      <c r="M1016" s="26" t="str">
        <f>IFERROR(__xludf.DUMMYFUNCTION("""COMPUTED_VALUE"""),"Action-Adventure")</f>
        <v>Action-Adventure</v>
      </c>
      <c r="N1016" s="26" t="str">
        <f>IFERROR(__xludf.DUMMYFUNCTION("""COMPUTED_VALUE"""),"PS3")</f>
        <v>PS3</v>
      </c>
      <c r="O1016" s="26" t="str">
        <f>IFERROR(__xludf.DUMMYFUNCTION("""COMPUTED_VALUE"""),"No")</f>
        <v>No</v>
      </c>
      <c r="P1016" s="26"/>
    </row>
    <row r="1017">
      <c r="A1017" s="81" t="str">
        <f>IFERROR(__xludf.DUMMYFUNCTION("""COMPUTED_VALUE"""),"Catherine")</f>
        <v>Catherine</v>
      </c>
      <c r="B1017" s="82" t="str">
        <f>IFERROR(__xludf.DUMMYFUNCTION("""COMPUTED_VALUE"""),"PS5/PS4")</f>
        <v>PS5/PS4</v>
      </c>
      <c r="C1017" s="83" t="str">
        <f>IFERROR(__xludf.DUMMYFUNCTION("""COMPUTED_VALUE"""),"Playstation Now (Discontinued)")</f>
        <v>Playstation Now (Discontinued)</v>
      </c>
      <c r="D1017" s="82" t="str">
        <f>IFERROR(__xludf.DUMMYFUNCTION("""COMPUTED_VALUE"""),"Removed")</f>
        <v>Removed</v>
      </c>
      <c r="E1017" s="84">
        <f>IFERROR(__xludf.DUMMYFUNCTION("""COMPUTED_VALUE"""),42682.0)</f>
        <v>42682</v>
      </c>
      <c r="F1017" s="85">
        <f>IFERROR(__xludf.DUMMYFUNCTION("""COMPUTED_VALUE"""),44698.0)</f>
        <v>44698</v>
      </c>
      <c r="G1017" s="86">
        <f>IFERROR(__xludf.DUMMYFUNCTION("""COMPUTED_VALUE"""),66.30000000000001)</f>
        <v>66.3</v>
      </c>
      <c r="H1017" s="84">
        <f>IFERROR(__xludf.DUMMYFUNCTION("""COMPUTED_VALUE"""),40725.0)</f>
        <v>40725</v>
      </c>
      <c r="I1017" s="86">
        <f>IFERROR(__xludf.DUMMYFUNCTION("""COMPUTED_VALUE"""),5.352777777777778)</f>
        <v>5.352777778</v>
      </c>
      <c r="J1017" s="87">
        <f>IFERROR(__xludf.DUMMYFUNCTION("""COMPUTED_VALUE"""),79.0)</f>
        <v>79</v>
      </c>
      <c r="K1017" s="88">
        <f>IFERROR(__xludf.DUMMYFUNCTION("""COMPUTED_VALUE"""),8.3)</f>
        <v>8.3</v>
      </c>
      <c r="L1017" s="89">
        <f>IFERROR(__xludf.DUMMYFUNCTION("""COMPUTED_VALUE"""),13.0)</f>
        <v>13</v>
      </c>
      <c r="M1017" s="26" t="str">
        <f>IFERROR(__xludf.DUMMYFUNCTION("""COMPUTED_VALUE"""),"Puzzle")</f>
        <v>Puzzle</v>
      </c>
      <c r="N1017" s="26" t="str">
        <f>IFERROR(__xludf.DUMMYFUNCTION("""COMPUTED_VALUE"""),"PS3")</f>
        <v>PS3</v>
      </c>
      <c r="O1017" s="26" t="str">
        <f>IFERROR(__xludf.DUMMYFUNCTION("""COMPUTED_VALUE"""),"No")</f>
        <v>No</v>
      </c>
      <c r="P1017" s="26"/>
    </row>
    <row r="1018">
      <c r="A1018" s="81" t="str">
        <f>IFERROR(__xludf.DUMMYFUNCTION("""COMPUTED_VALUE"""),"Nights Into Dreams")</f>
        <v>Nights Into Dreams</v>
      </c>
      <c r="B1018" s="82" t="str">
        <f>IFERROR(__xludf.DUMMYFUNCTION("""COMPUTED_VALUE"""),"PS5/PS4")</f>
        <v>PS5/PS4</v>
      </c>
      <c r="C1018" s="83" t="str">
        <f>IFERROR(__xludf.DUMMYFUNCTION("""COMPUTED_VALUE"""),"Playstation Now (Discontinued)")</f>
        <v>Playstation Now (Discontinued)</v>
      </c>
      <c r="D1018" s="82" t="str">
        <f>IFERROR(__xludf.DUMMYFUNCTION("""COMPUTED_VALUE"""),"Removed")</f>
        <v>Removed</v>
      </c>
      <c r="E1018" s="84">
        <f>IFERROR(__xludf.DUMMYFUNCTION("""COMPUTED_VALUE"""),42493.0)</f>
        <v>42493</v>
      </c>
      <c r="F1018" s="85">
        <f>IFERROR(__xludf.DUMMYFUNCTION("""COMPUTED_VALUE"""),44698.0)</f>
        <v>44698</v>
      </c>
      <c r="G1018" s="86">
        <f>IFERROR(__xludf.DUMMYFUNCTION("""COMPUTED_VALUE"""),72.46666666666667)</f>
        <v>72.46666667</v>
      </c>
      <c r="H1018" s="84">
        <f>IFERROR(__xludf.DUMMYFUNCTION("""COMPUTED_VALUE"""),41183.0)</f>
        <v>41183</v>
      </c>
      <c r="I1018" s="86">
        <f>IFERROR(__xludf.DUMMYFUNCTION("""COMPUTED_VALUE"""),3.588888888888889)</f>
        <v>3.588888889</v>
      </c>
      <c r="J1018" s="87">
        <f>IFERROR(__xludf.DUMMYFUNCTION("""COMPUTED_VALUE"""),75.0)</f>
        <v>75</v>
      </c>
      <c r="K1018" s="88">
        <f>IFERROR(__xludf.DUMMYFUNCTION("""COMPUTED_VALUE"""),7.5)</f>
        <v>7.5</v>
      </c>
      <c r="L1018" s="89">
        <f>IFERROR(__xludf.DUMMYFUNCTION("""COMPUTED_VALUE"""),3.0)</f>
        <v>3</v>
      </c>
      <c r="M1018" s="26" t="str">
        <f>IFERROR(__xludf.DUMMYFUNCTION("""COMPUTED_VALUE"""),"Action-Adventure")</f>
        <v>Action-Adventure</v>
      </c>
      <c r="N1018" s="26" t="str">
        <f>IFERROR(__xludf.DUMMYFUNCTION("""COMPUTED_VALUE"""),"PS3")</f>
        <v>PS3</v>
      </c>
      <c r="O1018" s="26" t="str">
        <f>IFERROR(__xludf.DUMMYFUNCTION("""COMPUTED_VALUE"""),"No")</f>
        <v>No</v>
      </c>
      <c r="P1018" s="26"/>
    </row>
    <row r="1019">
      <c r="A1019" s="81" t="str">
        <f>IFERROR(__xludf.DUMMYFUNCTION("""COMPUTED_VALUE"""),"Virtua Fighter V")</f>
        <v>Virtua Fighter V</v>
      </c>
      <c r="B1019" s="82" t="str">
        <f>IFERROR(__xludf.DUMMYFUNCTION("""COMPUTED_VALUE"""),"PS5/PS4")</f>
        <v>PS5/PS4</v>
      </c>
      <c r="C1019" s="83" t="str">
        <f>IFERROR(__xludf.DUMMYFUNCTION("""COMPUTED_VALUE"""),"Playstation Now (Discontinued)")</f>
        <v>Playstation Now (Discontinued)</v>
      </c>
      <c r="D1019" s="82" t="str">
        <f>IFERROR(__xludf.DUMMYFUNCTION("""COMPUTED_VALUE"""),"Removed")</f>
        <v>Removed</v>
      </c>
      <c r="E1019" s="84">
        <f>IFERROR(__xludf.DUMMYFUNCTION("""COMPUTED_VALUE"""),42017.0)</f>
        <v>42017</v>
      </c>
      <c r="F1019" s="85">
        <f>IFERROR(__xludf.DUMMYFUNCTION("""COMPUTED_VALUE"""),44698.0)</f>
        <v>44698</v>
      </c>
      <c r="G1019" s="86">
        <f>IFERROR(__xludf.DUMMYFUNCTION("""COMPUTED_VALUE"""),88.13333333333333)</f>
        <v>88.13333333</v>
      </c>
      <c r="H1019" s="84">
        <f>IFERROR(__xludf.DUMMYFUNCTION("""COMPUTED_VALUE"""),39114.0)</f>
        <v>39114</v>
      </c>
      <c r="I1019" s="86">
        <f>IFERROR(__xludf.DUMMYFUNCTION("""COMPUTED_VALUE"""),7.95)</f>
        <v>7.95</v>
      </c>
      <c r="J1019" s="87">
        <f>IFERROR(__xludf.DUMMYFUNCTION("""COMPUTED_VALUE"""),85.0)</f>
        <v>85</v>
      </c>
      <c r="K1019" s="88">
        <f>IFERROR(__xludf.DUMMYFUNCTION("""COMPUTED_VALUE"""),7.7)</f>
        <v>7.7</v>
      </c>
      <c r="L1019" s="89"/>
      <c r="M1019" s="26" t="str">
        <f>IFERROR(__xludf.DUMMYFUNCTION("""COMPUTED_VALUE"""),"Fighting")</f>
        <v>Fighting</v>
      </c>
      <c r="N1019" s="26"/>
      <c r="O1019" s="26" t="str">
        <f>IFERROR(__xludf.DUMMYFUNCTION("""COMPUTED_VALUE"""),"No")</f>
        <v>No</v>
      </c>
      <c r="P1019" s="26"/>
    </row>
    <row r="1020">
      <c r="A1020" s="81" t="str">
        <f>IFERROR(__xludf.DUMMYFUNCTION("""COMPUTED_VALUE"""),"Renegade Ops")</f>
        <v>Renegade Ops</v>
      </c>
      <c r="B1020" s="82" t="str">
        <f>IFERROR(__xludf.DUMMYFUNCTION("""COMPUTED_VALUE"""),"PS5/PS4")</f>
        <v>PS5/PS4</v>
      </c>
      <c r="C1020" s="83" t="str">
        <f>IFERROR(__xludf.DUMMYFUNCTION("""COMPUTED_VALUE"""),"Playstation Now (Discontinued)")</f>
        <v>Playstation Now (Discontinued)</v>
      </c>
      <c r="D1020" s="82" t="str">
        <f>IFERROR(__xludf.DUMMYFUNCTION("""COMPUTED_VALUE"""),"Removed")</f>
        <v>Removed</v>
      </c>
      <c r="E1020" s="84">
        <f>IFERROR(__xludf.DUMMYFUNCTION("""COMPUTED_VALUE"""),42017.0)</f>
        <v>42017</v>
      </c>
      <c r="F1020" s="85">
        <f>IFERROR(__xludf.DUMMYFUNCTION("""COMPUTED_VALUE"""),44698.0)</f>
        <v>44698</v>
      </c>
      <c r="G1020" s="86">
        <f>IFERROR(__xludf.DUMMYFUNCTION("""COMPUTED_VALUE"""),88.13333333333333)</f>
        <v>88.13333333</v>
      </c>
      <c r="H1020" s="84">
        <f>IFERROR(__xludf.DUMMYFUNCTION("""COMPUTED_VALUE"""),40787.0)</f>
        <v>40787</v>
      </c>
      <c r="I1020" s="86">
        <f>IFERROR(__xludf.DUMMYFUNCTION("""COMPUTED_VALUE"""),3.3666666666666667)</f>
        <v>3.366666667</v>
      </c>
      <c r="J1020" s="87">
        <f>IFERROR(__xludf.DUMMYFUNCTION("""COMPUTED_VALUE"""),80.0)</f>
        <v>80</v>
      </c>
      <c r="K1020" s="88">
        <f>IFERROR(__xludf.DUMMYFUNCTION("""COMPUTED_VALUE"""),7.5)</f>
        <v>7.5</v>
      </c>
      <c r="L1020" s="89">
        <f>IFERROR(__xludf.DUMMYFUNCTION("""COMPUTED_VALUE"""),7.0)</f>
        <v>7</v>
      </c>
      <c r="M1020" s="26" t="str">
        <f>IFERROR(__xludf.DUMMYFUNCTION("""COMPUTED_VALUE"""),"Shooter")</f>
        <v>Shooter</v>
      </c>
      <c r="N1020" s="26" t="str">
        <f>IFERROR(__xludf.DUMMYFUNCTION("""COMPUTED_VALUE"""),"PS3")</f>
        <v>PS3</v>
      </c>
      <c r="O1020" s="26" t="str">
        <f>IFERROR(__xludf.DUMMYFUNCTION("""COMPUTED_VALUE"""),"No")</f>
        <v>No</v>
      </c>
      <c r="P1020" s="26"/>
    </row>
    <row r="1021">
      <c r="A1021" s="81" t="str">
        <f>IFERROR(__xludf.DUMMYFUNCTION("""COMPUTED_VALUE"""),"Crazy Taxi")</f>
        <v>Crazy Taxi</v>
      </c>
      <c r="B1021" s="82" t="str">
        <f>IFERROR(__xludf.DUMMYFUNCTION("""COMPUTED_VALUE"""),"PS5/PS4")</f>
        <v>PS5/PS4</v>
      </c>
      <c r="C1021" s="83" t="str">
        <f>IFERROR(__xludf.DUMMYFUNCTION("""COMPUTED_VALUE"""),"Playstation Now (Discontinued)")</f>
        <v>Playstation Now (Discontinued)</v>
      </c>
      <c r="D1021" s="82" t="str">
        <f>IFERROR(__xludf.DUMMYFUNCTION("""COMPUTED_VALUE"""),"Removed")</f>
        <v>Removed</v>
      </c>
      <c r="E1021" s="84">
        <f>IFERROR(__xludf.DUMMYFUNCTION("""COMPUTED_VALUE"""),42017.0)</f>
        <v>42017</v>
      </c>
      <c r="F1021" s="85">
        <f>IFERROR(__xludf.DUMMYFUNCTION("""COMPUTED_VALUE"""),44698.0)</f>
        <v>44698</v>
      </c>
      <c r="G1021" s="86">
        <f>IFERROR(__xludf.DUMMYFUNCTION("""COMPUTED_VALUE"""),88.13333333333333)</f>
        <v>88.13333333</v>
      </c>
      <c r="H1021" s="84">
        <f>IFERROR(__xludf.DUMMYFUNCTION("""COMPUTED_VALUE"""),40483.0)</f>
        <v>40483</v>
      </c>
      <c r="I1021" s="86">
        <f>IFERROR(__xludf.DUMMYFUNCTION("""COMPUTED_VALUE"""),4.2)</f>
        <v>4.2</v>
      </c>
      <c r="J1021" s="87">
        <f>IFERROR(__xludf.DUMMYFUNCTION("""COMPUTED_VALUE"""),60.0)</f>
        <v>60</v>
      </c>
      <c r="K1021" s="88">
        <f>IFERROR(__xludf.DUMMYFUNCTION("""COMPUTED_VALUE"""),8.1)</f>
        <v>8.1</v>
      </c>
      <c r="L1021" s="89">
        <f>IFERROR(__xludf.DUMMYFUNCTION("""COMPUTED_VALUE"""),2.0)</f>
        <v>2</v>
      </c>
      <c r="M1021" s="26" t="str">
        <f>IFERROR(__xludf.DUMMYFUNCTION("""COMPUTED_VALUE"""),"Racing")</f>
        <v>Racing</v>
      </c>
      <c r="N1021" s="26" t="str">
        <f>IFERROR(__xludf.DUMMYFUNCTION("""COMPUTED_VALUE"""),"PS3")</f>
        <v>PS3</v>
      </c>
      <c r="O1021" s="26" t="str">
        <f>IFERROR(__xludf.DUMMYFUNCTION("""COMPUTED_VALUE"""),"No")</f>
        <v>No</v>
      </c>
      <c r="P1021" s="26"/>
    </row>
    <row r="1022">
      <c r="A1022" s="81" t="str">
        <f>IFERROR(__xludf.DUMMYFUNCTION("""COMPUTED_VALUE"""),"Bomberman Ultra")</f>
        <v>Bomberman Ultra</v>
      </c>
      <c r="B1022" s="82" t="str">
        <f>IFERROR(__xludf.DUMMYFUNCTION("""COMPUTED_VALUE"""),"PS5/PS4")</f>
        <v>PS5/PS4</v>
      </c>
      <c r="C1022" s="83" t="str">
        <f>IFERROR(__xludf.DUMMYFUNCTION("""COMPUTED_VALUE"""),"Playstation Now (Discontinued)")</f>
        <v>Playstation Now (Discontinued)</v>
      </c>
      <c r="D1022" s="82" t="str">
        <f>IFERROR(__xludf.DUMMYFUNCTION("""COMPUTED_VALUE"""),"Removed")</f>
        <v>Removed</v>
      </c>
      <c r="E1022" s="84">
        <f>IFERROR(__xludf.DUMMYFUNCTION("""COMPUTED_VALUE"""),42017.0)</f>
        <v>42017</v>
      </c>
      <c r="F1022" s="85">
        <f>IFERROR(__xludf.DUMMYFUNCTION("""COMPUTED_VALUE"""),44698.0)</f>
        <v>44698</v>
      </c>
      <c r="G1022" s="86">
        <f>IFERROR(__xludf.DUMMYFUNCTION("""COMPUTED_VALUE"""),88.13333333333333)</f>
        <v>88.13333333</v>
      </c>
      <c r="H1022" s="84">
        <f>IFERROR(__xludf.DUMMYFUNCTION("""COMPUTED_VALUE"""),39965.0)</f>
        <v>39965</v>
      </c>
      <c r="I1022" s="86">
        <f>IFERROR(__xludf.DUMMYFUNCTION("""COMPUTED_VALUE"""),5.616666666666666)</f>
        <v>5.616666667</v>
      </c>
      <c r="J1022" s="87">
        <f>IFERROR(__xludf.DUMMYFUNCTION("""COMPUTED_VALUE"""),81.0)</f>
        <v>81</v>
      </c>
      <c r="K1022" s="88">
        <f>IFERROR(__xludf.DUMMYFUNCTION("""COMPUTED_VALUE"""),7.7)</f>
        <v>7.7</v>
      </c>
      <c r="L1022" s="89"/>
      <c r="M1022" s="26" t="str">
        <f>IFERROR(__xludf.DUMMYFUNCTION("""COMPUTED_VALUE"""),"Fighting")</f>
        <v>Fighting</v>
      </c>
      <c r="N1022" s="26" t="str">
        <f>IFERROR(__xludf.DUMMYFUNCTION("""COMPUTED_VALUE"""),"PS3")</f>
        <v>PS3</v>
      </c>
      <c r="O1022" s="26" t="str">
        <f>IFERROR(__xludf.DUMMYFUNCTION("""COMPUTED_VALUE"""),"No")</f>
        <v>No</v>
      </c>
      <c r="P1022" s="26"/>
    </row>
    <row r="1023">
      <c r="A1023" s="81" t="str">
        <f>IFERROR(__xludf.DUMMYFUNCTION("""COMPUTED_VALUE"""),"Persona 5")</f>
        <v>Persona 5</v>
      </c>
      <c r="B1023" s="82" t="str">
        <f>IFERROR(__xludf.DUMMYFUNCTION("""COMPUTED_VALUE"""),"PS5/PS4")</f>
        <v>PS5/PS4</v>
      </c>
      <c r="C1023" s="83" t="str">
        <f>IFERROR(__xludf.DUMMYFUNCTION("""COMPUTED_VALUE"""),"Essential (PS+ Collection)")</f>
        <v>Essential (PS+ Collection)</v>
      </c>
      <c r="D1023" s="82" t="str">
        <f>IFERROR(__xludf.DUMMYFUNCTION("""COMPUTED_VALUE"""),"Removed")</f>
        <v>Removed</v>
      </c>
      <c r="E1023" s="84">
        <f>IFERROR(__xludf.DUMMYFUNCTION("""COMPUTED_VALUE"""),44147.0)</f>
        <v>44147</v>
      </c>
      <c r="F1023" s="85">
        <f>IFERROR(__xludf.DUMMYFUNCTION("""COMPUTED_VALUE"""),44692.0)</f>
        <v>44692</v>
      </c>
      <c r="G1023" s="86">
        <f>IFERROR(__xludf.DUMMYFUNCTION("""COMPUTED_VALUE"""),17.96666666666667)</f>
        <v>17.96666667</v>
      </c>
      <c r="H1023" s="84">
        <f>IFERROR(__xludf.DUMMYFUNCTION("""COMPUTED_VALUE"""),42638.0)</f>
        <v>42638</v>
      </c>
      <c r="I1023" s="86">
        <f>IFERROR(__xludf.DUMMYFUNCTION("""COMPUTED_VALUE"""),4.1305555555555555)</f>
        <v>4.130555556</v>
      </c>
      <c r="J1023" s="87">
        <f>IFERROR(__xludf.DUMMYFUNCTION("""COMPUTED_VALUE"""),93.0)</f>
        <v>93</v>
      </c>
      <c r="K1023" s="88">
        <f>IFERROR(__xludf.DUMMYFUNCTION("""COMPUTED_VALUE"""),8.7)</f>
        <v>8.7</v>
      </c>
      <c r="L1023" s="89">
        <f>IFERROR(__xludf.DUMMYFUNCTION("""COMPUTED_VALUE"""),97.5)</f>
        <v>97.5</v>
      </c>
      <c r="M1023" s="26" t="str">
        <f>IFERROR(__xludf.DUMMYFUNCTION("""COMPUTED_VALUE"""),"RPG")</f>
        <v>RPG</v>
      </c>
      <c r="N1023" s="26"/>
      <c r="O1023" s="26" t="str">
        <f>IFERROR(__xludf.DUMMYFUNCTION("""COMPUTED_VALUE"""),"No")</f>
        <v>No</v>
      </c>
      <c r="P1023" s="26"/>
    </row>
    <row r="1024">
      <c r="A1024" s="81" t="str">
        <f>IFERROR(__xludf.DUMMYFUNCTION("""COMPUTED_VALUE"""),"Grand Theft Auto: Vice City - The Definitive Edition")</f>
        <v>Grand Theft Auto: Vice City - The Definitive Edition</v>
      </c>
      <c r="B1024" s="82" t="str">
        <f>IFERROR(__xludf.DUMMYFUNCTION("""COMPUTED_VALUE"""),"PS5/PS4")</f>
        <v>PS5/PS4</v>
      </c>
      <c r="C1024" s="83" t="str">
        <f>IFERROR(__xludf.DUMMYFUNCTION("""COMPUTED_VALUE"""),"Playstation Now (Discontinued)")</f>
        <v>Playstation Now (Discontinued)</v>
      </c>
      <c r="D1024" s="82" t="str">
        <f>IFERROR(__xludf.DUMMYFUNCTION("""COMPUTED_VALUE"""),"Removed")</f>
        <v>Removed</v>
      </c>
      <c r="E1024" s="84">
        <f>IFERROR(__xludf.DUMMYFUNCTION("""COMPUTED_VALUE"""),44537.0)</f>
        <v>44537</v>
      </c>
      <c r="F1024" s="85">
        <f>IFERROR(__xludf.DUMMYFUNCTION("""COMPUTED_VALUE"""),44684.0)</f>
        <v>44684</v>
      </c>
      <c r="G1024" s="86">
        <f>IFERROR(__xludf.DUMMYFUNCTION("""COMPUTED_VALUE"""),4.866666666666667)</f>
        <v>4.866666667</v>
      </c>
      <c r="H1024" s="84">
        <f>IFERROR(__xludf.DUMMYFUNCTION("""COMPUTED_VALUE"""),44511.0)</f>
        <v>44511</v>
      </c>
      <c r="I1024" s="86">
        <f>IFERROR(__xludf.DUMMYFUNCTION("""COMPUTED_VALUE"""),0.07222222222222222)</f>
        <v>0.07222222222</v>
      </c>
      <c r="J1024" s="87">
        <f>IFERROR(__xludf.DUMMYFUNCTION("""COMPUTED_VALUE"""),74.0)</f>
        <v>74</v>
      </c>
      <c r="K1024" s="88">
        <f>IFERROR(__xludf.DUMMYFUNCTION("""COMPUTED_VALUE"""),6.2)</f>
        <v>6.2</v>
      </c>
      <c r="L1024" s="89">
        <f>IFERROR(__xludf.DUMMYFUNCTION("""COMPUTED_VALUE"""),18.0)</f>
        <v>18</v>
      </c>
      <c r="M1024" s="26" t="str">
        <f>IFERROR(__xludf.DUMMYFUNCTION("""COMPUTED_VALUE"""),"Action-Adventure")</f>
        <v>Action-Adventure</v>
      </c>
      <c r="N1024" s="26"/>
      <c r="O1024" s="26" t="str">
        <f>IFERROR(__xludf.DUMMYFUNCTION("""COMPUTED_VALUE"""),"No")</f>
        <v>No</v>
      </c>
      <c r="P1024" s="26"/>
    </row>
    <row r="1025">
      <c r="A1025" s="81" t="str">
        <f>IFERROR(__xludf.DUMMYFUNCTION("""COMPUTED_VALUE"""),"The Golf Club 2019 Featuring PGA Tour")</f>
        <v>The Golf Club 2019 Featuring PGA Tour</v>
      </c>
      <c r="B1025" s="82" t="str">
        <f>IFERROR(__xludf.DUMMYFUNCTION("""COMPUTED_VALUE"""),"PS5/PS4")</f>
        <v>PS5/PS4</v>
      </c>
      <c r="C1025" s="83" t="str">
        <f>IFERROR(__xludf.DUMMYFUNCTION("""COMPUTED_VALUE"""),"Playstation Now (Discontinued)")</f>
        <v>Playstation Now (Discontinued)</v>
      </c>
      <c r="D1025" s="82" t="str">
        <f>IFERROR(__xludf.DUMMYFUNCTION("""COMPUTED_VALUE"""),"Removed")</f>
        <v>Removed</v>
      </c>
      <c r="E1025" s="84">
        <f>IFERROR(__xludf.DUMMYFUNCTION("""COMPUTED_VALUE"""),43928.0)</f>
        <v>43928</v>
      </c>
      <c r="F1025" s="85">
        <f>IFERROR(__xludf.DUMMYFUNCTION("""COMPUTED_VALUE"""),44684.0)</f>
        <v>44684</v>
      </c>
      <c r="G1025" s="86">
        <f>IFERROR(__xludf.DUMMYFUNCTION("""COMPUTED_VALUE"""),24.866666666666667)</f>
        <v>24.86666667</v>
      </c>
      <c r="H1025" s="84">
        <f>IFERROR(__xludf.DUMMYFUNCTION("""COMPUTED_VALUE"""),43340.0)</f>
        <v>43340</v>
      </c>
      <c r="I1025" s="86">
        <f>IFERROR(__xludf.DUMMYFUNCTION("""COMPUTED_VALUE"""),1.6083333333333334)</f>
        <v>1.608333333</v>
      </c>
      <c r="J1025" s="87">
        <f>IFERROR(__xludf.DUMMYFUNCTION("""COMPUTED_VALUE"""),75.0)</f>
        <v>75</v>
      </c>
      <c r="K1025" s="88">
        <f>IFERROR(__xludf.DUMMYFUNCTION("""COMPUTED_VALUE"""),6.5)</f>
        <v>6.5</v>
      </c>
      <c r="L1025" s="89"/>
      <c r="M1025" s="26" t="str">
        <f>IFERROR(__xludf.DUMMYFUNCTION("""COMPUTED_VALUE"""),"Golf")</f>
        <v>Golf</v>
      </c>
      <c r="N1025" s="26"/>
      <c r="O1025" s="26" t="str">
        <f>IFERROR(__xludf.DUMMYFUNCTION("""COMPUTED_VALUE"""),"No")</f>
        <v>No</v>
      </c>
      <c r="P1025" s="26"/>
    </row>
    <row r="1026">
      <c r="A1026" s="81" t="str">
        <f>IFERROR(__xludf.DUMMYFUNCTION("""COMPUTED_VALUE"""),"NBA 2K18")</f>
        <v>NBA 2K18</v>
      </c>
      <c r="B1026" s="82" t="str">
        <f>IFERROR(__xludf.DUMMYFUNCTION("""COMPUTED_VALUE"""),"PS5/PS4")</f>
        <v>PS5/PS4</v>
      </c>
      <c r="C1026" s="83" t="str">
        <f>IFERROR(__xludf.DUMMYFUNCTION("""COMPUTED_VALUE"""),"Playstation Now (Discontinued)")</f>
        <v>Playstation Now (Discontinued)</v>
      </c>
      <c r="D1026" s="82" t="str">
        <f>IFERROR(__xludf.DUMMYFUNCTION("""COMPUTED_VALUE"""),"Removed")</f>
        <v>Removed</v>
      </c>
      <c r="E1026" s="84">
        <f>IFERROR(__xludf.DUMMYFUNCTION("""COMPUTED_VALUE"""),43529.0)</f>
        <v>43529</v>
      </c>
      <c r="F1026" s="85">
        <f>IFERROR(__xludf.DUMMYFUNCTION("""COMPUTED_VALUE"""),44684.0)</f>
        <v>44684</v>
      </c>
      <c r="G1026" s="86">
        <f>IFERROR(__xludf.DUMMYFUNCTION("""COMPUTED_VALUE"""),37.93333333333333)</f>
        <v>37.93333333</v>
      </c>
      <c r="H1026" s="84">
        <f>IFERROR(__xludf.DUMMYFUNCTION("""COMPUTED_VALUE"""),42993.0)</f>
        <v>42993</v>
      </c>
      <c r="I1026" s="86">
        <f>IFERROR(__xludf.DUMMYFUNCTION("""COMPUTED_VALUE"""),1.4722222222222223)</f>
        <v>1.472222222</v>
      </c>
      <c r="J1026" s="87">
        <f>IFERROR(__xludf.DUMMYFUNCTION("""COMPUTED_VALUE"""),80.0)</f>
        <v>80</v>
      </c>
      <c r="K1026" s="88">
        <f>IFERROR(__xludf.DUMMYFUNCTION("""COMPUTED_VALUE"""),2.0)</f>
        <v>2</v>
      </c>
      <c r="L1026" s="89"/>
      <c r="M1026" s="26" t="str">
        <f>IFERROR(__xludf.DUMMYFUNCTION("""COMPUTED_VALUE"""),"Basketball")</f>
        <v>Basketball</v>
      </c>
      <c r="N1026" s="26"/>
      <c r="O1026" s="26" t="str">
        <f>IFERROR(__xludf.DUMMYFUNCTION("""COMPUTED_VALUE"""),"No")</f>
        <v>No</v>
      </c>
      <c r="P1026" s="26"/>
    </row>
    <row r="1027">
      <c r="A1027" s="81" t="str">
        <f>IFERROR(__xludf.DUMMYFUNCTION("""COMPUTED_VALUE"""),"Hotel Transylvania 3: Monsters Overboard")</f>
        <v>Hotel Transylvania 3: Monsters Overboard</v>
      </c>
      <c r="B1027" s="82" t="str">
        <f>IFERROR(__xludf.DUMMYFUNCTION("""COMPUTED_VALUE"""),"PS5/PS4")</f>
        <v>PS5/PS4</v>
      </c>
      <c r="C1027" s="83" t="str">
        <f>IFERROR(__xludf.DUMMYFUNCTION("""COMPUTED_VALUE"""),"Playstation Now (Discontinued)")</f>
        <v>Playstation Now (Discontinued)</v>
      </c>
      <c r="D1027" s="82" t="str">
        <f>IFERROR(__xludf.DUMMYFUNCTION("""COMPUTED_VALUE"""),"Removed")</f>
        <v>Removed</v>
      </c>
      <c r="E1027" s="84">
        <f>IFERROR(__xludf.DUMMYFUNCTION("""COMPUTED_VALUE"""),43438.0)</f>
        <v>43438</v>
      </c>
      <c r="F1027" s="85">
        <f>IFERROR(__xludf.DUMMYFUNCTION("""COMPUTED_VALUE"""),44684.0)</f>
        <v>44684</v>
      </c>
      <c r="G1027" s="86">
        <f>IFERROR(__xludf.DUMMYFUNCTION("""COMPUTED_VALUE"""),40.96666666666667)</f>
        <v>40.96666667</v>
      </c>
      <c r="H1027" s="84">
        <f>IFERROR(__xludf.DUMMYFUNCTION("""COMPUTED_VALUE"""),43291.0)</f>
        <v>43291</v>
      </c>
      <c r="I1027" s="86">
        <f>IFERROR(__xludf.DUMMYFUNCTION("""COMPUTED_VALUE"""),0.4)</f>
        <v>0.4</v>
      </c>
      <c r="J1027" s="87">
        <f>IFERROR(__xludf.DUMMYFUNCTION("""COMPUTED_VALUE"""),55.0)</f>
        <v>55</v>
      </c>
      <c r="K1027" s="88">
        <f>IFERROR(__xludf.DUMMYFUNCTION("""COMPUTED_VALUE"""),5.6)</f>
        <v>5.6</v>
      </c>
      <c r="L1027" s="89">
        <f>IFERROR(__xludf.DUMMYFUNCTION("""COMPUTED_VALUE"""),5.0)</f>
        <v>5</v>
      </c>
      <c r="M1027" s="26" t="str">
        <f>IFERROR(__xludf.DUMMYFUNCTION("""COMPUTED_VALUE"""),"Action-Adventure")</f>
        <v>Action-Adventure</v>
      </c>
      <c r="N1027" s="26"/>
      <c r="O1027" s="26" t="str">
        <f>IFERROR(__xludf.DUMMYFUNCTION("""COMPUTED_VALUE"""),"No")</f>
        <v>No</v>
      </c>
      <c r="P1027" s="26"/>
    </row>
    <row r="1028">
      <c r="A1028" s="81" t="str">
        <f>IFERROR(__xludf.DUMMYFUNCTION("""COMPUTED_VALUE"""),"No Time to Explain")</f>
        <v>No Time to Explain</v>
      </c>
      <c r="B1028" s="82" t="str">
        <f>IFERROR(__xludf.DUMMYFUNCTION("""COMPUTED_VALUE"""),"PS5/PS4")</f>
        <v>PS5/PS4</v>
      </c>
      <c r="C1028" s="83" t="str">
        <f>IFERROR(__xludf.DUMMYFUNCTION("""COMPUTED_VALUE"""),"Playstation Now (Discontinued)")</f>
        <v>Playstation Now (Discontinued)</v>
      </c>
      <c r="D1028" s="82" t="str">
        <f>IFERROR(__xludf.DUMMYFUNCTION("""COMPUTED_VALUE"""),"Removed")</f>
        <v>Removed</v>
      </c>
      <c r="E1028" s="84">
        <f>IFERROR(__xludf.DUMMYFUNCTION("""COMPUTED_VALUE"""),43438.0)</f>
        <v>43438</v>
      </c>
      <c r="F1028" s="85">
        <f>IFERROR(__xludf.DUMMYFUNCTION("""COMPUTED_VALUE"""),44684.0)</f>
        <v>44684</v>
      </c>
      <c r="G1028" s="86">
        <f>IFERROR(__xludf.DUMMYFUNCTION("""COMPUTED_VALUE"""),40.96666666666667)</f>
        <v>40.96666667</v>
      </c>
      <c r="H1028" s="84">
        <f>IFERROR(__xludf.DUMMYFUNCTION("""COMPUTED_VALUE"""),42202.0)</f>
        <v>42202</v>
      </c>
      <c r="I1028" s="86">
        <f>IFERROR(__xludf.DUMMYFUNCTION("""COMPUTED_VALUE"""),3.3805555555555555)</f>
        <v>3.380555556</v>
      </c>
      <c r="J1028" s="87">
        <f>IFERROR(__xludf.DUMMYFUNCTION("""COMPUTED_VALUE"""),52.0)</f>
        <v>52</v>
      </c>
      <c r="K1028" s="88">
        <f>IFERROR(__xludf.DUMMYFUNCTION("""COMPUTED_VALUE"""),5.9)</f>
        <v>5.9</v>
      </c>
      <c r="L1028" s="89">
        <f>IFERROR(__xludf.DUMMYFUNCTION("""COMPUTED_VALUE"""),3.5)</f>
        <v>3.5</v>
      </c>
      <c r="M1028" s="26" t="str">
        <f>IFERROR(__xludf.DUMMYFUNCTION("""COMPUTED_VALUE"""),"Action-Adventure")</f>
        <v>Action-Adventure</v>
      </c>
      <c r="N1028" s="26"/>
      <c r="O1028" s="26" t="str">
        <f>IFERROR(__xludf.DUMMYFUNCTION("""COMPUTED_VALUE"""),"No")</f>
        <v>No</v>
      </c>
      <c r="P1028" s="26"/>
    </row>
    <row r="1029">
      <c r="A1029" s="81" t="str">
        <f>IFERROR(__xludf.DUMMYFUNCTION("""COMPUTED_VALUE"""),"Exile's End")</f>
        <v>Exile's End</v>
      </c>
      <c r="B1029" s="82" t="str">
        <f>IFERROR(__xludf.DUMMYFUNCTION("""COMPUTED_VALUE"""),"PS5/PS4")</f>
        <v>PS5/PS4</v>
      </c>
      <c r="C1029" s="83" t="str">
        <f>IFERROR(__xludf.DUMMYFUNCTION("""COMPUTED_VALUE"""),"Playstation Now (Discontinued)")</f>
        <v>Playstation Now (Discontinued)</v>
      </c>
      <c r="D1029" s="82" t="str">
        <f>IFERROR(__xludf.DUMMYFUNCTION("""COMPUTED_VALUE"""),"Removed")</f>
        <v>Removed</v>
      </c>
      <c r="E1029" s="84">
        <f>IFERROR(__xludf.DUMMYFUNCTION("""COMPUTED_VALUE"""),43347.0)</f>
        <v>43347</v>
      </c>
      <c r="F1029" s="85">
        <f>IFERROR(__xludf.DUMMYFUNCTION("""COMPUTED_VALUE"""),44684.0)</f>
        <v>44684</v>
      </c>
      <c r="G1029" s="86">
        <f>IFERROR(__xludf.DUMMYFUNCTION("""COMPUTED_VALUE"""),43.96666666666667)</f>
        <v>43.96666667</v>
      </c>
      <c r="H1029" s="84">
        <f>IFERROR(__xludf.DUMMYFUNCTION("""COMPUTED_VALUE"""),42286.0)</f>
        <v>42286</v>
      </c>
      <c r="I1029" s="86">
        <f>IFERROR(__xludf.DUMMYFUNCTION("""COMPUTED_VALUE"""),2.9027777777777777)</f>
        <v>2.902777778</v>
      </c>
      <c r="J1029" s="87">
        <f>IFERROR(__xludf.DUMMYFUNCTION("""COMPUTED_VALUE"""),59.0)</f>
        <v>59</v>
      </c>
      <c r="K1029" s="88">
        <f>IFERROR(__xludf.DUMMYFUNCTION("""COMPUTED_VALUE"""),6.4)</f>
        <v>6.4</v>
      </c>
      <c r="L1029" s="89">
        <f>IFERROR(__xludf.DUMMYFUNCTION("""COMPUTED_VALUE"""),5.0)</f>
        <v>5</v>
      </c>
      <c r="M1029" s="26" t="str">
        <f>IFERROR(__xludf.DUMMYFUNCTION("""COMPUTED_VALUE"""),"Action-Adventure")</f>
        <v>Action-Adventure</v>
      </c>
      <c r="N1029" s="26"/>
      <c r="O1029" s="26" t="str">
        <f>IFERROR(__xludf.DUMMYFUNCTION("""COMPUTED_VALUE"""),"No")</f>
        <v>No</v>
      </c>
      <c r="P1029" s="26"/>
    </row>
    <row r="1030">
      <c r="A1030" s="81" t="str">
        <f>IFERROR(__xludf.DUMMYFUNCTION("""COMPUTED_VALUE"""),"Anomaly 2")</f>
        <v>Anomaly 2</v>
      </c>
      <c r="B1030" s="82" t="str">
        <f>IFERROR(__xludf.DUMMYFUNCTION("""COMPUTED_VALUE"""),"PS5/PS4")</f>
        <v>PS5/PS4</v>
      </c>
      <c r="C1030" s="83" t="str">
        <f>IFERROR(__xludf.DUMMYFUNCTION("""COMPUTED_VALUE"""),"Playstation Now (Discontinued)")</f>
        <v>Playstation Now (Discontinued)</v>
      </c>
      <c r="D1030" s="82" t="str">
        <f>IFERROR(__xludf.DUMMYFUNCTION("""COMPUTED_VALUE"""),"Removed")</f>
        <v>Removed</v>
      </c>
      <c r="E1030" s="84">
        <f>IFERROR(__xludf.DUMMYFUNCTION("""COMPUTED_VALUE"""),43137.0)</f>
        <v>43137</v>
      </c>
      <c r="F1030" s="85">
        <f>IFERROR(__xludf.DUMMYFUNCTION("""COMPUTED_VALUE"""),44684.0)</f>
        <v>44684</v>
      </c>
      <c r="G1030" s="86">
        <f>IFERROR(__xludf.DUMMYFUNCTION("""COMPUTED_VALUE"""),50.89999999999999)</f>
        <v>50.9</v>
      </c>
      <c r="H1030" s="84">
        <f>IFERROR(__xludf.DUMMYFUNCTION("""COMPUTED_VALUE"""),41395.0)</f>
        <v>41395</v>
      </c>
      <c r="I1030" s="86">
        <f>IFERROR(__xludf.DUMMYFUNCTION("""COMPUTED_VALUE"""),4.763888888888889)</f>
        <v>4.763888889</v>
      </c>
      <c r="J1030" s="87">
        <f>IFERROR(__xludf.DUMMYFUNCTION("""COMPUTED_VALUE"""),74.0)</f>
        <v>74</v>
      </c>
      <c r="K1030" s="88">
        <f>IFERROR(__xludf.DUMMYFUNCTION("""COMPUTED_VALUE"""),7.3)</f>
        <v>7.3</v>
      </c>
      <c r="L1030" s="89">
        <f>IFERROR(__xludf.DUMMYFUNCTION("""COMPUTED_VALUE"""),6.0)</f>
        <v>6</v>
      </c>
      <c r="M1030" s="26" t="str">
        <f>IFERROR(__xludf.DUMMYFUNCTION("""COMPUTED_VALUE"""),"Strategy")</f>
        <v>Strategy</v>
      </c>
      <c r="N1030" s="26"/>
      <c r="O1030" s="26" t="str">
        <f>IFERROR(__xludf.DUMMYFUNCTION("""COMPUTED_VALUE"""),"No")</f>
        <v>No</v>
      </c>
      <c r="P1030" s="26"/>
    </row>
    <row r="1031">
      <c r="A1031" s="81" t="str">
        <f>IFERROR(__xludf.DUMMYFUNCTION("""COMPUTED_VALUE"""),"The Final Station")</f>
        <v>The Final Station</v>
      </c>
      <c r="B1031" s="82" t="str">
        <f>IFERROR(__xludf.DUMMYFUNCTION("""COMPUTED_VALUE"""),"PS5/PS4")</f>
        <v>PS5/PS4</v>
      </c>
      <c r="C1031" s="83" t="str">
        <f>IFERROR(__xludf.DUMMYFUNCTION("""COMPUTED_VALUE"""),"Playstation Now (Discontinued)")</f>
        <v>Playstation Now (Discontinued)</v>
      </c>
      <c r="D1031" s="82" t="str">
        <f>IFERROR(__xludf.DUMMYFUNCTION("""COMPUTED_VALUE"""),"Removed")</f>
        <v>Removed</v>
      </c>
      <c r="E1031" s="84">
        <f>IFERROR(__xludf.DUMMYFUNCTION("""COMPUTED_VALUE"""),43046.0)</f>
        <v>43046</v>
      </c>
      <c r="F1031" s="85">
        <f>IFERROR(__xludf.DUMMYFUNCTION("""COMPUTED_VALUE"""),44684.0)</f>
        <v>44684</v>
      </c>
      <c r="G1031" s="86">
        <f>IFERROR(__xludf.DUMMYFUNCTION("""COMPUTED_VALUE"""),53.86666666666667)</f>
        <v>53.86666667</v>
      </c>
      <c r="H1031" s="84">
        <f>IFERROR(__xludf.DUMMYFUNCTION("""COMPUTED_VALUE"""),42612.0)</f>
        <v>42612</v>
      </c>
      <c r="I1031" s="86">
        <f>IFERROR(__xludf.DUMMYFUNCTION("""COMPUTED_VALUE"""),1.1861111111111111)</f>
        <v>1.186111111</v>
      </c>
      <c r="J1031" s="87">
        <f>IFERROR(__xludf.DUMMYFUNCTION("""COMPUTED_VALUE"""),76.0)</f>
        <v>76</v>
      </c>
      <c r="K1031" s="88">
        <f>IFERROR(__xludf.DUMMYFUNCTION("""COMPUTED_VALUE"""),7.6)</f>
        <v>7.6</v>
      </c>
      <c r="L1031" s="89">
        <f>IFERROR(__xludf.DUMMYFUNCTION("""COMPUTED_VALUE"""),4.5)</f>
        <v>4.5</v>
      </c>
      <c r="M1031" s="26" t="str">
        <f>IFERROR(__xludf.DUMMYFUNCTION("""COMPUTED_VALUE"""),"Action-Adventure")</f>
        <v>Action-Adventure</v>
      </c>
      <c r="N1031" s="26"/>
      <c r="O1031" s="26" t="str">
        <f>IFERROR(__xludf.DUMMYFUNCTION("""COMPUTED_VALUE"""),"No")</f>
        <v>No</v>
      </c>
      <c r="P1031" s="26"/>
    </row>
    <row r="1032">
      <c r="A1032" s="81" t="str">
        <f>IFERROR(__xludf.DUMMYFUNCTION("""COMPUTED_VALUE"""),"Lovely Planet")</f>
        <v>Lovely Planet</v>
      </c>
      <c r="B1032" s="82" t="str">
        <f>IFERROR(__xludf.DUMMYFUNCTION("""COMPUTED_VALUE"""),"PS5/PS4")</f>
        <v>PS5/PS4</v>
      </c>
      <c r="C1032" s="83" t="str">
        <f>IFERROR(__xludf.DUMMYFUNCTION("""COMPUTED_VALUE"""),"Playstation Now (Discontinued)")</f>
        <v>Playstation Now (Discontinued)</v>
      </c>
      <c r="D1032" s="82" t="str">
        <f>IFERROR(__xludf.DUMMYFUNCTION("""COMPUTED_VALUE"""),"Removed")</f>
        <v>Removed</v>
      </c>
      <c r="E1032" s="84">
        <f>IFERROR(__xludf.DUMMYFUNCTION("""COMPUTED_VALUE"""),43046.0)</f>
        <v>43046</v>
      </c>
      <c r="F1032" s="85">
        <f>IFERROR(__xludf.DUMMYFUNCTION("""COMPUTED_VALUE"""),44684.0)</f>
        <v>44684</v>
      </c>
      <c r="G1032" s="86">
        <f>IFERROR(__xludf.DUMMYFUNCTION("""COMPUTED_VALUE"""),53.86666666666667)</f>
        <v>53.86666667</v>
      </c>
      <c r="H1032" s="84">
        <f>IFERROR(__xludf.DUMMYFUNCTION("""COMPUTED_VALUE"""),42377.0)</f>
        <v>42377</v>
      </c>
      <c r="I1032" s="86">
        <f>IFERROR(__xludf.DUMMYFUNCTION("""COMPUTED_VALUE"""),1.8305555555555555)</f>
        <v>1.830555556</v>
      </c>
      <c r="J1032" s="87">
        <f>IFERROR(__xludf.DUMMYFUNCTION("""COMPUTED_VALUE"""),65.0)</f>
        <v>65</v>
      </c>
      <c r="K1032" s="88">
        <f>IFERROR(__xludf.DUMMYFUNCTION("""COMPUTED_VALUE"""),6.8)</f>
        <v>6.8</v>
      </c>
      <c r="L1032" s="89">
        <f>IFERROR(__xludf.DUMMYFUNCTION("""COMPUTED_VALUE"""),3.0)</f>
        <v>3</v>
      </c>
      <c r="M1032" s="26" t="str">
        <f>IFERROR(__xludf.DUMMYFUNCTION("""COMPUTED_VALUE"""),"Shooter")</f>
        <v>Shooter</v>
      </c>
      <c r="N1032" s="26"/>
      <c r="O1032" s="26" t="str">
        <f>IFERROR(__xludf.DUMMYFUNCTION("""COMPUTED_VALUE"""),"No")</f>
        <v>No</v>
      </c>
      <c r="P1032" s="26"/>
    </row>
    <row r="1033">
      <c r="A1033" s="81" t="str">
        <f>IFERROR(__xludf.DUMMYFUNCTION("""COMPUTED_VALUE"""),"AKIBA'S BEAT")</f>
        <v>AKIBA'S BEAT</v>
      </c>
      <c r="B1033" s="82" t="str">
        <f>IFERROR(__xludf.DUMMYFUNCTION("""COMPUTED_VALUE"""),"PS5/PS4")</f>
        <v>PS5/PS4</v>
      </c>
      <c r="C1033" s="83" t="str">
        <f>IFERROR(__xludf.DUMMYFUNCTION("""COMPUTED_VALUE"""),"Playstation Now (Discontinued)")</f>
        <v>Playstation Now (Discontinued)</v>
      </c>
      <c r="D1033" s="82" t="str">
        <f>IFERROR(__xludf.DUMMYFUNCTION("""COMPUTED_VALUE"""),"Removed")</f>
        <v>Removed</v>
      </c>
      <c r="E1033" s="84">
        <f>IFERROR(__xludf.DUMMYFUNCTION("""COMPUTED_VALUE"""),42922.0)</f>
        <v>42922</v>
      </c>
      <c r="F1033" s="85">
        <f>IFERROR(__xludf.DUMMYFUNCTION("""COMPUTED_VALUE"""),44684.0)</f>
        <v>44684</v>
      </c>
      <c r="G1033" s="86">
        <f>IFERROR(__xludf.DUMMYFUNCTION("""COMPUTED_VALUE"""),57.900000000000006)</f>
        <v>57.9</v>
      </c>
      <c r="H1033" s="84">
        <f>IFERROR(__xludf.DUMMYFUNCTION("""COMPUTED_VALUE"""),42689.0)</f>
        <v>42689</v>
      </c>
      <c r="I1033" s="86">
        <f>IFERROR(__xludf.DUMMYFUNCTION("""COMPUTED_VALUE"""),0.6416666666666667)</f>
        <v>0.6416666667</v>
      </c>
      <c r="J1033" s="87">
        <f>IFERROR(__xludf.DUMMYFUNCTION("""COMPUTED_VALUE"""),49.0)</f>
        <v>49</v>
      </c>
      <c r="K1033" s="88">
        <f>IFERROR(__xludf.DUMMYFUNCTION("""COMPUTED_VALUE"""),6.3)</f>
        <v>6.3</v>
      </c>
      <c r="L1033" s="89">
        <f>IFERROR(__xludf.DUMMYFUNCTION("""COMPUTED_VALUE"""),35.0)</f>
        <v>35</v>
      </c>
      <c r="M1033" s="26" t="str">
        <f>IFERROR(__xludf.DUMMYFUNCTION("""COMPUTED_VALUE"""),"RPG")</f>
        <v>RPG</v>
      </c>
      <c r="N1033" s="26"/>
      <c r="O1033" s="26" t="str">
        <f>IFERROR(__xludf.DUMMYFUNCTION("""COMPUTED_VALUE"""),"No")</f>
        <v>No</v>
      </c>
      <c r="P1033" s="26"/>
    </row>
    <row r="1034">
      <c r="A1034" s="81" t="str">
        <f>IFERROR(__xludf.DUMMYFUNCTION("""COMPUTED_VALUE"""),"Sonic CD")</f>
        <v>Sonic CD</v>
      </c>
      <c r="B1034" s="82" t="str">
        <f>IFERROR(__xludf.DUMMYFUNCTION("""COMPUTED_VALUE"""),"PS5/PS4")</f>
        <v>PS5/PS4</v>
      </c>
      <c r="C1034" s="83" t="str">
        <f>IFERROR(__xludf.DUMMYFUNCTION("""COMPUTED_VALUE"""),"Playstation Now (Discontinued)")</f>
        <v>Playstation Now (Discontinued)</v>
      </c>
      <c r="D1034" s="82" t="str">
        <f>IFERROR(__xludf.DUMMYFUNCTION("""COMPUTED_VALUE"""),"Removed")</f>
        <v>Removed</v>
      </c>
      <c r="E1034" s="84">
        <f>IFERROR(__xludf.DUMMYFUNCTION("""COMPUTED_VALUE"""),42017.0)</f>
        <v>42017</v>
      </c>
      <c r="F1034" s="85">
        <f>IFERROR(__xludf.DUMMYFUNCTION("""COMPUTED_VALUE"""),44684.0)</f>
        <v>44684</v>
      </c>
      <c r="G1034" s="86">
        <f>IFERROR(__xludf.DUMMYFUNCTION("""COMPUTED_VALUE"""),87.66666666666666)</f>
        <v>87.66666667</v>
      </c>
      <c r="H1034" s="84">
        <f>IFERROR(__xludf.DUMMYFUNCTION("""COMPUTED_VALUE"""),40878.0)</f>
        <v>40878</v>
      </c>
      <c r="I1034" s="86">
        <f>IFERROR(__xludf.DUMMYFUNCTION("""COMPUTED_VALUE"""),3.1166666666666667)</f>
        <v>3.116666667</v>
      </c>
      <c r="J1034" s="87">
        <f>IFERROR(__xludf.DUMMYFUNCTION("""COMPUTED_VALUE"""),80.0)</f>
        <v>80</v>
      </c>
      <c r="K1034" s="88">
        <f>IFERROR(__xludf.DUMMYFUNCTION("""COMPUTED_VALUE"""),8.2)</f>
        <v>8.2</v>
      </c>
      <c r="L1034" s="89">
        <f>IFERROR(__xludf.DUMMYFUNCTION("""COMPUTED_VALUE"""),4.0)</f>
        <v>4</v>
      </c>
      <c r="M1034" s="26" t="str">
        <f>IFERROR(__xludf.DUMMYFUNCTION("""COMPUTED_VALUE"""),"Platformer")</f>
        <v>Platformer</v>
      </c>
      <c r="N1034" s="26" t="str">
        <f>IFERROR(__xludf.DUMMYFUNCTION("""COMPUTED_VALUE"""),"PS3")</f>
        <v>PS3</v>
      </c>
      <c r="O1034" s="26" t="str">
        <f>IFERROR(__xludf.DUMMYFUNCTION("""COMPUTED_VALUE"""),"No")</f>
        <v>No</v>
      </c>
      <c r="P1034" s="26"/>
    </row>
    <row r="1035">
      <c r="A1035" s="81" t="str">
        <f>IFERROR(__xludf.DUMMYFUNCTION("""COMPUTED_VALUE"""),"Hood: Outlaws &amp; Legends")</f>
        <v>Hood: Outlaws &amp; Legends</v>
      </c>
      <c r="B1035" s="82" t="str">
        <f>IFERROR(__xludf.DUMMYFUNCTION("""COMPUTED_VALUE"""),"PS5/PS4")</f>
        <v>PS5/PS4</v>
      </c>
      <c r="C1035" s="83" t="str">
        <f>IFERROR(__xludf.DUMMYFUNCTION("""COMPUTED_VALUE"""),"Playstation Plus (Discontinued)")</f>
        <v>Playstation Plus (Discontinued)</v>
      </c>
      <c r="D1035" s="82" t="str">
        <f>IFERROR(__xludf.DUMMYFUNCTION("""COMPUTED_VALUE"""),"Removed")</f>
        <v>Removed</v>
      </c>
      <c r="E1035" s="84">
        <f>IFERROR(__xludf.DUMMYFUNCTION("""COMPUTED_VALUE"""),44656.0)</f>
        <v>44656</v>
      </c>
      <c r="F1035" s="85">
        <f>IFERROR(__xludf.DUMMYFUNCTION("""COMPUTED_VALUE"""),44683.0)</f>
        <v>44683</v>
      </c>
      <c r="G1035" s="86">
        <f>IFERROR(__xludf.DUMMYFUNCTION("""COMPUTED_VALUE"""),0.8999999999999999)</f>
        <v>0.9</v>
      </c>
      <c r="H1035" s="84">
        <f>IFERROR(__xludf.DUMMYFUNCTION("""COMPUTED_VALUE"""),44326.0)</f>
        <v>44326</v>
      </c>
      <c r="I1035" s="86">
        <f>IFERROR(__xludf.DUMMYFUNCTION("""COMPUTED_VALUE"""),0.9027777777777778)</f>
        <v>0.9027777778</v>
      </c>
      <c r="J1035" s="87">
        <f>IFERROR(__xludf.DUMMYFUNCTION("""COMPUTED_VALUE"""),63.0)</f>
        <v>63</v>
      </c>
      <c r="K1035" s="88">
        <f>IFERROR(__xludf.DUMMYFUNCTION("""COMPUTED_VALUE"""),5.8)</f>
        <v>5.8</v>
      </c>
      <c r="L1035" s="89"/>
      <c r="M1035" s="26" t="str">
        <f>IFERROR(__xludf.DUMMYFUNCTION("""COMPUTED_VALUE"""),"Shooter")</f>
        <v>Shooter</v>
      </c>
      <c r="N1035" s="26"/>
      <c r="O1035" s="26" t="str">
        <f>IFERROR(__xludf.DUMMYFUNCTION("""COMPUTED_VALUE"""),"No")</f>
        <v>No</v>
      </c>
      <c r="P1035" s="26"/>
    </row>
    <row r="1036">
      <c r="A1036" s="81" t="str">
        <f>IFERROR(__xludf.DUMMYFUNCTION("""COMPUTED_VALUE"""),"SpongeBob SquarePants: Battle for Bikini Bottom - Rehydrated")</f>
        <v>SpongeBob SquarePants: Battle for Bikini Bottom - Rehydrated</v>
      </c>
      <c r="B1036" s="82" t="str">
        <f>IFERROR(__xludf.DUMMYFUNCTION("""COMPUTED_VALUE"""),"PS4")</f>
        <v>PS4</v>
      </c>
      <c r="C1036" s="83" t="str">
        <f>IFERROR(__xludf.DUMMYFUNCTION("""COMPUTED_VALUE"""),"Playstation Plus (Discontinued)")</f>
        <v>Playstation Plus (Discontinued)</v>
      </c>
      <c r="D1036" s="82" t="str">
        <f>IFERROR(__xludf.DUMMYFUNCTION("""COMPUTED_VALUE"""),"Removed")</f>
        <v>Removed</v>
      </c>
      <c r="E1036" s="84">
        <f>IFERROR(__xludf.DUMMYFUNCTION("""COMPUTED_VALUE"""),44656.0)</f>
        <v>44656</v>
      </c>
      <c r="F1036" s="85">
        <f>IFERROR(__xludf.DUMMYFUNCTION("""COMPUTED_VALUE"""),44683.0)</f>
        <v>44683</v>
      </c>
      <c r="G1036" s="86">
        <f>IFERROR(__xludf.DUMMYFUNCTION("""COMPUTED_VALUE"""),0.8999999999999999)</f>
        <v>0.9</v>
      </c>
      <c r="H1036" s="84">
        <f>IFERROR(__xludf.DUMMYFUNCTION("""COMPUTED_VALUE"""),44005.0)</f>
        <v>44005</v>
      </c>
      <c r="I1036" s="86">
        <f>IFERROR(__xludf.DUMMYFUNCTION("""COMPUTED_VALUE"""),1.7833333333333334)</f>
        <v>1.783333333</v>
      </c>
      <c r="J1036" s="87">
        <f>IFERROR(__xludf.DUMMYFUNCTION("""COMPUTED_VALUE"""),68.0)</f>
        <v>68</v>
      </c>
      <c r="K1036" s="88">
        <f>IFERROR(__xludf.DUMMYFUNCTION("""COMPUTED_VALUE"""),7.5)</f>
        <v>7.5</v>
      </c>
      <c r="L1036" s="89">
        <f>IFERROR(__xludf.DUMMYFUNCTION("""COMPUTED_VALUE"""),9.0)</f>
        <v>9</v>
      </c>
      <c r="M1036" s="26" t="str">
        <f>IFERROR(__xludf.DUMMYFUNCTION("""COMPUTED_VALUE"""),"Action-Adventure")</f>
        <v>Action-Adventure</v>
      </c>
      <c r="N1036" s="26"/>
      <c r="O1036" s="26" t="str">
        <f>IFERROR(__xludf.DUMMYFUNCTION("""COMPUTED_VALUE"""),"No")</f>
        <v>No</v>
      </c>
      <c r="P1036" s="26"/>
    </row>
    <row r="1037">
      <c r="A1037" s="81" t="str">
        <f>IFERROR(__xludf.DUMMYFUNCTION("""COMPUTED_VALUE"""),"Slay the Spire")</f>
        <v>Slay the Spire</v>
      </c>
      <c r="B1037" s="82" t="str">
        <f>IFERROR(__xludf.DUMMYFUNCTION("""COMPUTED_VALUE"""),"PS4")</f>
        <v>PS4</v>
      </c>
      <c r="C1037" s="83" t="str">
        <f>IFERROR(__xludf.DUMMYFUNCTION("""COMPUTED_VALUE"""),"Playstation Plus (Discontinued)")</f>
        <v>Playstation Plus (Discontinued)</v>
      </c>
      <c r="D1037" s="82" t="str">
        <f>IFERROR(__xludf.DUMMYFUNCTION("""COMPUTED_VALUE"""),"Removed")</f>
        <v>Removed</v>
      </c>
      <c r="E1037" s="84">
        <f>IFERROR(__xludf.DUMMYFUNCTION("""COMPUTED_VALUE"""),44656.0)</f>
        <v>44656</v>
      </c>
      <c r="F1037" s="85">
        <f>IFERROR(__xludf.DUMMYFUNCTION("""COMPUTED_VALUE"""),44683.0)</f>
        <v>44683</v>
      </c>
      <c r="G1037" s="86">
        <f>IFERROR(__xludf.DUMMYFUNCTION("""COMPUTED_VALUE"""),0.8999999999999999)</f>
        <v>0.9</v>
      </c>
      <c r="H1037" s="84">
        <f>IFERROR(__xludf.DUMMYFUNCTION("""COMPUTED_VALUE"""),43599.0)</f>
        <v>43599</v>
      </c>
      <c r="I1037" s="86">
        <f>IFERROR(__xludf.DUMMYFUNCTION("""COMPUTED_VALUE"""),2.8916666666666666)</f>
        <v>2.891666667</v>
      </c>
      <c r="J1037" s="87">
        <f>IFERROR(__xludf.DUMMYFUNCTION("""COMPUTED_VALUE"""),88.0)</f>
        <v>88</v>
      </c>
      <c r="K1037" s="88">
        <f>IFERROR(__xludf.DUMMYFUNCTION("""COMPUTED_VALUE"""),8.1)</f>
        <v>8.1</v>
      </c>
      <c r="L1037" s="89">
        <f>IFERROR(__xludf.DUMMYFUNCTION("""COMPUTED_VALUE"""),12.0)</f>
        <v>12</v>
      </c>
      <c r="M1037" s="26" t="str">
        <f>IFERROR(__xludf.DUMMYFUNCTION("""COMPUTED_VALUE"""),"Strategy")</f>
        <v>Strategy</v>
      </c>
      <c r="N1037" s="26"/>
      <c r="O1037" s="26" t="str">
        <f>IFERROR(__xludf.DUMMYFUNCTION("""COMPUTED_VALUE"""),"No")</f>
        <v>No</v>
      </c>
      <c r="P1037" s="26"/>
    </row>
    <row r="1038">
      <c r="A1038" s="81" t="str">
        <f>IFERROR(__xludf.DUMMYFUNCTION("""COMPUTED_VALUE"""),"Ghostrunner")</f>
        <v>Ghostrunner</v>
      </c>
      <c r="B1038" s="82" t="str">
        <f>IFERROR(__xludf.DUMMYFUNCTION("""COMPUTED_VALUE"""),"PS5")</f>
        <v>PS5</v>
      </c>
      <c r="C1038" s="83" t="str">
        <f>IFERROR(__xludf.DUMMYFUNCTION("""COMPUTED_VALUE"""),"Playstation Plus (Discontinued)")</f>
        <v>Playstation Plus (Discontinued)</v>
      </c>
      <c r="D1038" s="82" t="str">
        <f>IFERROR(__xludf.DUMMYFUNCTION("""COMPUTED_VALUE"""),"Removed")</f>
        <v>Removed</v>
      </c>
      <c r="E1038" s="84">
        <f>IFERROR(__xludf.DUMMYFUNCTION("""COMPUTED_VALUE"""),44621.0)</f>
        <v>44621</v>
      </c>
      <c r="F1038" s="85">
        <f>IFERROR(__xludf.DUMMYFUNCTION("""COMPUTED_VALUE"""),44655.0)</f>
        <v>44655</v>
      </c>
      <c r="G1038" s="86">
        <f>IFERROR(__xludf.DUMMYFUNCTION("""COMPUTED_VALUE"""),1.0999999999999999)</f>
        <v>1.1</v>
      </c>
      <c r="H1038" s="84">
        <f>IFERROR(__xludf.DUMMYFUNCTION("""COMPUTED_VALUE"""),44131.0)</f>
        <v>44131</v>
      </c>
      <c r="I1038" s="86">
        <f>IFERROR(__xludf.DUMMYFUNCTION("""COMPUTED_VALUE"""),1.3444444444444446)</f>
        <v>1.344444444</v>
      </c>
      <c r="J1038" s="87">
        <f>IFERROR(__xludf.DUMMYFUNCTION("""COMPUTED_VALUE"""),78.0)</f>
        <v>78</v>
      </c>
      <c r="K1038" s="88">
        <f>IFERROR(__xludf.DUMMYFUNCTION("""COMPUTED_VALUE"""),8.0)</f>
        <v>8</v>
      </c>
      <c r="L1038" s="89">
        <f>IFERROR(__xludf.DUMMYFUNCTION("""COMPUTED_VALUE"""),8.0)</f>
        <v>8</v>
      </c>
      <c r="M1038" s="26" t="str">
        <f>IFERROR(__xludf.DUMMYFUNCTION("""COMPUTED_VALUE"""),"Action-Adventure")</f>
        <v>Action-Adventure</v>
      </c>
      <c r="N1038" s="26"/>
      <c r="O1038" s="26" t="str">
        <f>IFERROR(__xludf.DUMMYFUNCTION("""COMPUTED_VALUE"""),"No")</f>
        <v>No</v>
      </c>
      <c r="P1038" s="26"/>
    </row>
    <row r="1039">
      <c r="A1039" s="81" t="str">
        <f>IFERROR(__xludf.DUMMYFUNCTION("""COMPUTED_VALUE"""),"ARK: Survival Evolved")</f>
        <v>ARK: Survival Evolved</v>
      </c>
      <c r="B1039" s="82" t="str">
        <f>IFERROR(__xludf.DUMMYFUNCTION("""COMPUTED_VALUE"""),"PS4")</f>
        <v>PS4</v>
      </c>
      <c r="C1039" s="83" t="str">
        <f>IFERROR(__xludf.DUMMYFUNCTION("""COMPUTED_VALUE"""),"Playstation Plus (Discontinued)")</f>
        <v>Playstation Plus (Discontinued)</v>
      </c>
      <c r="D1039" s="82" t="str">
        <f>IFERROR(__xludf.DUMMYFUNCTION("""COMPUTED_VALUE"""),"Removed")</f>
        <v>Removed</v>
      </c>
      <c r="E1039" s="84">
        <f>IFERROR(__xludf.DUMMYFUNCTION("""COMPUTED_VALUE"""),44621.0)</f>
        <v>44621</v>
      </c>
      <c r="F1039" s="85">
        <f>IFERROR(__xludf.DUMMYFUNCTION("""COMPUTED_VALUE"""),44655.0)</f>
        <v>44655</v>
      </c>
      <c r="G1039" s="86">
        <f>IFERROR(__xludf.DUMMYFUNCTION("""COMPUTED_VALUE"""),1.0999999999999999)</f>
        <v>1.1</v>
      </c>
      <c r="H1039" s="84">
        <f>IFERROR(__xludf.DUMMYFUNCTION("""COMPUTED_VALUE"""),42976.0)</f>
        <v>42976</v>
      </c>
      <c r="I1039" s="86">
        <f>IFERROR(__xludf.DUMMYFUNCTION("""COMPUTED_VALUE"""),4.5055555555555555)</f>
        <v>4.505555556</v>
      </c>
      <c r="J1039" s="87">
        <f>IFERROR(__xludf.DUMMYFUNCTION("""COMPUTED_VALUE"""),69.0)</f>
        <v>69</v>
      </c>
      <c r="K1039" s="88">
        <f>IFERROR(__xludf.DUMMYFUNCTION("""COMPUTED_VALUE"""),6.7)</f>
        <v>6.7</v>
      </c>
      <c r="L1039" s="89"/>
      <c r="M1039" s="26" t="str">
        <f>IFERROR(__xludf.DUMMYFUNCTION("""COMPUTED_VALUE"""),"Survival")</f>
        <v>Survival</v>
      </c>
      <c r="N1039" s="26"/>
      <c r="O1039" s="26" t="str">
        <f>IFERROR(__xludf.DUMMYFUNCTION("""COMPUTED_VALUE"""),"No")</f>
        <v>No</v>
      </c>
      <c r="P1039" s="26"/>
    </row>
    <row r="1040">
      <c r="A1040" s="81" t="str">
        <f>IFERROR(__xludf.DUMMYFUNCTION("""COMPUTED_VALUE"""),"Team Sonic Racing")</f>
        <v>Team Sonic Racing</v>
      </c>
      <c r="B1040" s="82" t="str">
        <f>IFERROR(__xludf.DUMMYFUNCTION("""COMPUTED_VALUE"""),"PS4")</f>
        <v>PS4</v>
      </c>
      <c r="C1040" s="83" t="str">
        <f>IFERROR(__xludf.DUMMYFUNCTION("""COMPUTED_VALUE"""),"Playstation Plus (Discontinued)")</f>
        <v>Playstation Plus (Discontinued)</v>
      </c>
      <c r="D1040" s="82" t="str">
        <f>IFERROR(__xludf.DUMMYFUNCTION("""COMPUTED_VALUE"""),"Removed")</f>
        <v>Removed</v>
      </c>
      <c r="E1040" s="84">
        <f>IFERROR(__xludf.DUMMYFUNCTION("""COMPUTED_VALUE"""),44621.0)</f>
        <v>44621</v>
      </c>
      <c r="F1040" s="85">
        <f>IFERROR(__xludf.DUMMYFUNCTION("""COMPUTED_VALUE"""),44655.0)</f>
        <v>44655</v>
      </c>
      <c r="G1040" s="86">
        <f>IFERROR(__xludf.DUMMYFUNCTION("""COMPUTED_VALUE"""),1.0999999999999999)</f>
        <v>1.1</v>
      </c>
      <c r="H1040" s="84">
        <f>IFERROR(__xludf.DUMMYFUNCTION("""COMPUTED_VALUE"""),43606.0)</f>
        <v>43606</v>
      </c>
      <c r="I1040" s="86">
        <f>IFERROR(__xludf.DUMMYFUNCTION("""COMPUTED_VALUE"""),2.7777777777777777)</f>
        <v>2.777777778</v>
      </c>
      <c r="J1040" s="87">
        <f>IFERROR(__xludf.DUMMYFUNCTION("""COMPUTED_VALUE"""),72.0)</f>
        <v>72</v>
      </c>
      <c r="K1040" s="88">
        <f>IFERROR(__xludf.DUMMYFUNCTION("""COMPUTED_VALUE"""),7.0)</f>
        <v>7</v>
      </c>
      <c r="L1040" s="89">
        <f>IFERROR(__xludf.DUMMYFUNCTION("""COMPUTED_VALUE"""),10.0)</f>
        <v>10</v>
      </c>
      <c r="M1040" s="26" t="str">
        <f>IFERROR(__xludf.DUMMYFUNCTION("""COMPUTED_VALUE"""),"Racing")</f>
        <v>Racing</v>
      </c>
      <c r="N1040" s="26"/>
      <c r="O1040" s="26" t="str">
        <f>IFERROR(__xludf.DUMMYFUNCTION("""COMPUTED_VALUE"""),"No")</f>
        <v>No</v>
      </c>
      <c r="P1040" s="26"/>
    </row>
    <row r="1041">
      <c r="A1041" s="81" t="str">
        <f>IFERROR(__xludf.DUMMYFUNCTION("""COMPUTED_VALUE"""),"Ghost of Tsushima: Legends")</f>
        <v>Ghost of Tsushima: Legends</v>
      </c>
      <c r="B1041" s="82" t="str">
        <f>IFERROR(__xludf.DUMMYFUNCTION("""COMPUTED_VALUE"""),"PS5/PS4")</f>
        <v>PS5/PS4</v>
      </c>
      <c r="C1041" s="83" t="str">
        <f>IFERROR(__xludf.DUMMYFUNCTION("""COMPUTED_VALUE"""),"Playstation Plus (Discontinued)")</f>
        <v>Playstation Plus (Discontinued)</v>
      </c>
      <c r="D1041" s="82" t="str">
        <f>IFERROR(__xludf.DUMMYFUNCTION("""COMPUTED_VALUE"""),"Removed")</f>
        <v>Removed</v>
      </c>
      <c r="E1041" s="84">
        <f>IFERROR(__xludf.DUMMYFUNCTION("""COMPUTED_VALUE"""),44621.0)</f>
        <v>44621</v>
      </c>
      <c r="F1041" s="85">
        <f>IFERROR(__xludf.DUMMYFUNCTION("""COMPUTED_VALUE"""),44655.0)</f>
        <v>44655</v>
      </c>
      <c r="G1041" s="86">
        <f>IFERROR(__xludf.DUMMYFUNCTION("""COMPUTED_VALUE"""),1.0999999999999999)</f>
        <v>1.1</v>
      </c>
      <c r="H1041" s="84">
        <f>IFERROR(__xludf.DUMMYFUNCTION("""COMPUTED_VALUE"""),44120.0)</f>
        <v>44120</v>
      </c>
      <c r="I1041" s="86">
        <f>IFERROR(__xludf.DUMMYFUNCTION("""COMPUTED_VALUE"""),1.375)</f>
        <v>1.375</v>
      </c>
      <c r="J1041" s="87">
        <f>IFERROR(__xludf.DUMMYFUNCTION("""COMPUTED_VALUE"""),93.0)</f>
        <v>93</v>
      </c>
      <c r="K1041" s="88">
        <f>IFERROR(__xludf.DUMMYFUNCTION("""COMPUTED_VALUE"""),8.9)</f>
        <v>8.9</v>
      </c>
      <c r="L1041" s="89"/>
      <c r="M1041" s="26" t="str">
        <f>IFERROR(__xludf.DUMMYFUNCTION("""COMPUTED_VALUE"""),"Action-Adventure")</f>
        <v>Action-Adventure</v>
      </c>
      <c r="N1041" s="26"/>
      <c r="O1041" s="26" t="str">
        <f>IFERROR(__xludf.DUMMYFUNCTION("""COMPUTED_VALUE"""),"No")</f>
        <v>No</v>
      </c>
      <c r="P1041" s="26"/>
    </row>
    <row r="1042">
      <c r="A1042" s="81" t="str">
        <f>IFERROR(__xludf.DUMMYFUNCTION("""COMPUTED_VALUE"""),"Planet Coaster: Console Edition")</f>
        <v>Planet Coaster: Console Edition</v>
      </c>
      <c r="B1042" s="82" t="str">
        <f>IFERROR(__xludf.DUMMYFUNCTION("""COMPUTED_VALUE"""),"PS5")</f>
        <v>PS5</v>
      </c>
      <c r="C1042" s="83" t="str">
        <f>IFERROR(__xludf.DUMMYFUNCTION("""COMPUTED_VALUE"""),"Playstation Plus (Discontinued)")</f>
        <v>Playstation Plus (Discontinued)</v>
      </c>
      <c r="D1042" s="82" t="str">
        <f>IFERROR(__xludf.DUMMYFUNCTION("""COMPUTED_VALUE"""),"Removed")</f>
        <v>Removed</v>
      </c>
      <c r="E1042" s="84">
        <f>IFERROR(__xludf.DUMMYFUNCTION("""COMPUTED_VALUE"""),44593.0)</f>
        <v>44593</v>
      </c>
      <c r="F1042" s="85">
        <f>IFERROR(__xludf.DUMMYFUNCTION("""COMPUTED_VALUE"""),44620.0)</f>
        <v>44620</v>
      </c>
      <c r="G1042" s="86">
        <f>IFERROR(__xludf.DUMMYFUNCTION("""COMPUTED_VALUE"""),0.8999999999999999)</f>
        <v>0.9</v>
      </c>
      <c r="H1042" s="84">
        <f>IFERROR(__xludf.DUMMYFUNCTION("""COMPUTED_VALUE"""),44145.0)</f>
        <v>44145</v>
      </c>
      <c r="I1042" s="86">
        <f>IFERROR(__xludf.DUMMYFUNCTION("""COMPUTED_VALUE"""),1.225)</f>
        <v>1.225</v>
      </c>
      <c r="J1042" s="87">
        <f>IFERROR(__xludf.DUMMYFUNCTION("""COMPUTED_VALUE"""),81.0)</f>
        <v>81</v>
      </c>
      <c r="K1042" s="88">
        <f>IFERROR(__xludf.DUMMYFUNCTION("""COMPUTED_VALUE"""),7.1)</f>
        <v>7.1</v>
      </c>
      <c r="L1042" s="89"/>
      <c r="M1042" s="26" t="str">
        <f>IFERROR(__xludf.DUMMYFUNCTION("""COMPUTED_VALUE"""),"Simulation")</f>
        <v>Simulation</v>
      </c>
      <c r="N1042" s="26"/>
      <c r="O1042" s="26" t="str">
        <f>IFERROR(__xludf.DUMMYFUNCTION("""COMPUTED_VALUE"""),"No")</f>
        <v>No</v>
      </c>
      <c r="P1042" s="26"/>
    </row>
    <row r="1043">
      <c r="A1043" s="81" t="str">
        <f>IFERROR(__xludf.DUMMYFUNCTION("""COMPUTED_VALUE"""),"UFC 4")</f>
        <v>UFC 4</v>
      </c>
      <c r="B1043" s="82" t="str">
        <f>IFERROR(__xludf.DUMMYFUNCTION("""COMPUTED_VALUE"""),"PS4")</f>
        <v>PS4</v>
      </c>
      <c r="C1043" s="83" t="str">
        <f>IFERROR(__xludf.DUMMYFUNCTION("""COMPUTED_VALUE"""),"Playstation Plus (Discontinued)")</f>
        <v>Playstation Plus (Discontinued)</v>
      </c>
      <c r="D1043" s="82" t="str">
        <f>IFERROR(__xludf.DUMMYFUNCTION("""COMPUTED_VALUE"""),"Removed")</f>
        <v>Removed</v>
      </c>
      <c r="E1043" s="84">
        <f>IFERROR(__xludf.DUMMYFUNCTION("""COMPUTED_VALUE"""),44593.0)</f>
        <v>44593</v>
      </c>
      <c r="F1043" s="85">
        <f>IFERROR(__xludf.DUMMYFUNCTION("""COMPUTED_VALUE"""),44620.0)</f>
        <v>44620</v>
      </c>
      <c r="G1043" s="86">
        <f>IFERROR(__xludf.DUMMYFUNCTION("""COMPUTED_VALUE"""),0.8999999999999999)</f>
        <v>0.9</v>
      </c>
      <c r="H1043" s="84">
        <f>IFERROR(__xludf.DUMMYFUNCTION("""COMPUTED_VALUE"""),44057.0)</f>
        <v>44057</v>
      </c>
      <c r="I1043" s="86">
        <f>IFERROR(__xludf.DUMMYFUNCTION("""COMPUTED_VALUE"""),1.4638888888888888)</f>
        <v>1.463888889</v>
      </c>
      <c r="J1043" s="87">
        <f>IFERROR(__xludf.DUMMYFUNCTION("""COMPUTED_VALUE"""),78.0)</f>
        <v>78</v>
      </c>
      <c r="K1043" s="88">
        <f>IFERROR(__xludf.DUMMYFUNCTION("""COMPUTED_VALUE"""),6.8)</f>
        <v>6.8</v>
      </c>
      <c r="L1043" s="89"/>
      <c r="M1043" s="26" t="str">
        <f>IFERROR(__xludf.DUMMYFUNCTION("""COMPUTED_VALUE"""),"Sports")</f>
        <v>Sports</v>
      </c>
      <c r="N1043" s="26"/>
      <c r="O1043" s="26" t="str">
        <f>IFERROR(__xludf.DUMMYFUNCTION("""COMPUTED_VALUE"""),"No")</f>
        <v>No</v>
      </c>
      <c r="P1043" s="26"/>
    </row>
    <row r="1044">
      <c r="A1044" s="81" t="str">
        <f>IFERROR(__xludf.DUMMYFUNCTION("""COMPUTED_VALUE"""),"Tiny Tina's Assault on Dragon Keep: A Wonderlands One-Shot Adventure")</f>
        <v>Tiny Tina's Assault on Dragon Keep: A Wonderlands One-Shot Adventure</v>
      </c>
      <c r="B1044" s="82" t="str">
        <f>IFERROR(__xludf.DUMMYFUNCTION("""COMPUTED_VALUE"""),"PS4")</f>
        <v>PS4</v>
      </c>
      <c r="C1044" s="83" t="str">
        <f>IFERROR(__xludf.DUMMYFUNCTION("""COMPUTED_VALUE"""),"Playstation Plus (Discontinued)")</f>
        <v>Playstation Plus (Discontinued)</v>
      </c>
      <c r="D1044" s="82" t="str">
        <f>IFERROR(__xludf.DUMMYFUNCTION("""COMPUTED_VALUE"""),"Removed")</f>
        <v>Removed</v>
      </c>
      <c r="E1044" s="84">
        <f>IFERROR(__xludf.DUMMYFUNCTION("""COMPUTED_VALUE"""),44593.0)</f>
        <v>44593</v>
      </c>
      <c r="F1044" s="85">
        <f>IFERROR(__xludf.DUMMYFUNCTION("""COMPUTED_VALUE"""),44620.0)</f>
        <v>44620</v>
      </c>
      <c r="G1044" s="86">
        <f>IFERROR(__xludf.DUMMYFUNCTION("""COMPUTED_VALUE"""),0.8999999999999999)</f>
        <v>0.9</v>
      </c>
      <c r="H1044" s="84">
        <f>IFERROR(__xludf.DUMMYFUNCTION("""COMPUTED_VALUE"""),44509.0)</f>
        <v>44509</v>
      </c>
      <c r="I1044" s="86">
        <f>IFERROR(__xludf.DUMMYFUNCTION("""COMPUTED_VALUE"""),0.22777777777777777)</f>
        <v>0.2277777778</v>
      </c>
      <c r="J1044" s="87">
        <f>IFERROR(__xludf.DUMMYFUNCTION("""COMPUTED_VALUE"""),80.0)</f>
        <v>80</v>
      </c>
      <c r="K1044" s="88">
        <f>IFERROR(__xludf.DUMMYFUNCTION("""COMPUTED_VALUE"""),7.5)</f>
        <v>7.5</v>
      </c>
      <c r="L1044" s="89">
        <f>IFERROR(__xludf.DUMMYFUNCTION("""COMPUTED_VALUE"""),9.0)</f>
        <v>9</v>
      </c>
      <c r="M1044" s="26" t="str">
        <f>IFERROR(__xludf.DUMMYFUNCTION("""COMPUTED_VALUE"""),"RPG")</f>
        <v>RPG</v>
      </c>
      <c r="N1044" s="26"/>
      <c r="O1044" s="26" t="str">
        <f>IFERROR(__xludf.DUMMYFUNCTION("""COMPUTED_VALUE"""),"No")</f>
        <v>No</v>
      </c>
      <c r="P1044" s="26"/>
    </row>
    <row r="1045">
      <c r="A1045" s="81" t="str">
        <f>IFERROR(__xludf.DUMMYFUNCTION("""COMPUTED_VALUE"""),"Superhot")</f>
        <v>Superhot</v>
      </c>
      <c r="B1045" s="82" t="str">
        <f>IFERROR(__xludf.DUMMYFUNCTION("""COMPUTED_VALUE"""),"PS5/PS4")</f>
        <v>PS5/PS4</v>
      </c>
      <c r="C1045" s="83" t="str">
        <f>IFERROR(__xludf.DUMMYFUNCTION("""COMPUTED_VALUE"""),"Playstation Now (Discontinued)")</f>
        <v>Playstation Now (Discontinued)</v>
      </c>
      <c r="D1045" s="82" t="str">
        <f>IFERROR(__xludf.DUMMYFUNCTION("""COMPUTED_VALUE"""),"Removed")</f>
        <v>Removed</v>
      </c>
      <c r="E1045" s="84">
        <f>IFERROR(__xludf.DUMMYFUNCTION("""COMPUTED_VALUE"""),44257.0)</f>
        <v>44257</v>
      </c>
      <c r="F1045" s="85">
        <f>IFERROR(__xludf.DUMMYFUNCTION("""COMPUTED_VALUE"""),44620.0)</f>
        <v>44620</v>
      </c>
      <c r="G1045" s="86">
        <f>IFERROR(__xludf.DUMMYFUNCTION("""COMPUTED_VALUE"""),11.866666666666667)</f>
        <v>11.86666667</v>
      </c>
      <c r="H1045" s="84">
        <f>IFERROR(__xludf.DUMMYFUNCTION("""COMPUTED_VALUE"""),42425.0)</f>
        <v>42425</v>
      </c>
      <c r="I1045" s="86">
        <f>IFERROR(__xludf.DUMMYFUNCTION("""COMPUTED_VALUE"""),5.019444444444445)</f>
        <v>5.019444444</v>
      </c>
      <c r="J1045" s="87">
        <f>IFERROR(__xludf.DUMMYFUNCTION("""COMPUTED_VALUE"""),82.0)</f>
        <v>82</v>
      </c>
      <c r="K1045" s="88">
        <f>IFERROR(__xludf.DUMMYFUNCTION("""COMPUTED_VALUE"""),7.6)</f>
        <v>7.6</v>
      </c>
      <c r="L1045" s="89">
        <f>IFERROR(__xludf.DUMMYFUNCTION("""COMPUTED_VALUE"""),2.0)</f>
        <v>2</v>
      </c>
      <c r="M1045" s="26" t="str">
        <f>IFERROR(__xludf.DUMMYFUNCTION("""COMPUTED_VALUE"""),"Shooter")</f>
        <v>Shooter</v>
      </c>
      <c r="N1045" s="26"/>
      <c r="O1045" s="26" t="str">
        <f>IFERROR(__xludf.DUMMYFUNCTION("""COMPUTED_VALUE"""),"No")</f>
        <v>No</v>
      </c>
      <c r="P1045" s="26"/>
    </row>
    <row r="1046">
      <c r="A1046" s="81" t="str">
        <f>IFERROR(__xludf.DUMMYFUNCTION("""COMPUTED_VALUE"""),"Tekken 7")</f>
        <v>Tekken 7</v>
      </c>
      <c r="B1046" s="82" t="str">
        <f>IFERROR(__xludf.DUMMYFUNCTION("""COMPUTED_VALUE"""),"PS5/PS4")</f>
        <v>PS5/PS4</v>
      </c>
      <c r="C1046" s="83" t="str">
        <f>IFERROR(__xludf.DUMMYFUNCTION("""COMPUTED_VALUE"""),"Playstation Now (Discontinued)")</f>
        <v>Playstation Now (Discontinued)</v>
      </c>
      <c r="D1046" s="82" t="str">
        <f>IFERROR(__xludf.DUMMYFUNCTION("""COMPUTED_VALUE"""),"Removed")</f>
        <v>Removed</v>
      </c>
      <c r="E1046" s="84">
        <f>IFERROR(__xludf.DUMMYFUNCTION("""COMPUTED_VALUE"""),43683.0)</f>
        <v>43683</v>
      </c>
      <c r="F1046" s="85">
        <f>IFERROR(__xludf.DUMMYFUNCTION("""COMPUTED_VALUE"""),44620.0)</f>
        <v>44620</v>
      </c>
      <c r="G1046" s="86">
        <f>IFERROR(__xludf.DUMMYFUNCTION("""COMPUTED_VALUE"""),30.73333333333333)</f>
        <v>30.73333333</v>
      </c>
      <c r="H1046" s="84">
        <f>IFERROR(__xludf.DUMMYFUNCTION("""COMPUTED_VALUE"""),42888.0)</f>
        <v>42888</v>
      </c>
      <c r="I1046" s="86">
        <f>IFERROR(__xludf.DUMMYFUNCTION("""COMPUTED_VALUE"""),2.1777777777777776)</f>
        <v>2.177777778</v>
      </c>
      <c r="J1046" s="87">
        <f>IFERROR(__xludf.DUMMYFUNCTION("""COMPUTED_VALUE"""),82.0)</f>
        <v>82</v>
      </c>
      <c r="K1046" s="88">
        <f>IFERROR(__xludf.DUMMYFUNCTION("""COMPUTED_VALUE"""),6.7)</f>
        <v>6.7</v>
      </c>
      <c r="L1046" s="89">
        <f>IFERROR(__xludf.DUMMYFUNCTION("""COMPUTED_VALUE"""),5.0)</f>
        <v>5</v>
      </c>
      <c r="M1046" s="26" t="str">
        <f>IFERROR(__xludf.DUMMYFUNCTION("""COMPUTED_VALUE"""),"Fighting")</f>
        <v>Fighting</v>
      </c>
      <c r="N1046" s="26"/>
      <c r="O1046" s="26" t="str">
        <f>IFERROR(__xludf.DUMMYFUNCTION("""COMPUTED_VALUE"""),"No")</f>
        <v>No</v>
      </c>
      <c r="P1046" s="26"/>
    </row>
    <row r="1047">
      <c r="A1047" s="81" t="str">
        <f>IFERROR(__xludf.DUMMYFUNCTION("""COMPUTED_VALUE"""),"Persona 5 Strikers")</f>
        <v>Persona 5 Strikers</v>
      </c>
      <c r="B1047" s="82" t="str">
        <f>IFERROR(__xludf.DUMMYFUNCTION("""COMPUTED_VALUE"""),"PS4")</f>
        <v>PS4</v>
      </c>
      <c r="C1047" s="83" t="str">
        <f>IFERROR(__xludf.DUMMYFUNCTION("""COMPUTED_VALUE"""),"Playstation Plus (Discontinued)")</f>
        <v>Playstation Plus (Discontinued)</v>
      </c>
      <c r="D1047" s="82" t="str">
        <f>IFERROR(__xludf.DUMMYFUNCTION("""COMPUTED_VALUE"""),"Removed")</f>
        <v>Removed</v>
      </c>
      <c r="E1047" s="84">
        <f>IFERROR(__xludf.DUMMYFUNCTION("""COMPUTED_VALUE"""),44565.0)</f>
        <v>44565</v>
      </c>
      <c r="F1047" s="85">
        <f>IFERROR(__xludf.DUMMYFUNCTION("""COMPUTED_VALUE"""),44592.0)</f>
        <v>44592</v>
      </c>
      <c r="G1047" s="86">
        <f>IFERROR(__xludf.DUMMYFUNCTION("""COMPUTED_VALUE"""),0.8666666666666666)</f>
        <v>0.8666666667</v>
      </c>
      <c r="H1047" s="84">
        <f>IFERROR(__xludf.DUMMYFUNCTION("""COMPUTED_VALUE"""),44246.0)</f>
        <v>44246</v>
      </c>
      <c r="I1047" s="86">
        <f>IFERROR(__xludf.DUMMYFUNCTION("""COMPUTED_VALUE"""),0.875)</f>
        <v>0.875</v>
      </c>
      <c r="J1047" s="87">
        <f>IFERROR(__xludf.DUMMYFUNCTION("""COMPUTED_VALUE"""),83.0)</f>
        <v>83</v>
      </c>
      <c r="K1047" s="88">
        <f>IFERROR(__xludf.DUMMYFUNCTION("""COMPUTED_VALUE"""),7.8)</f>
        <v>7.8</v>
      </c>
      <c r="L1047" s="89">
        <f>IFERROR(__xludf.DUMMYFUNCTION("""COMPUTED_VALUE"""),36.0)</f>
        <v>36</v>
      </c>
      <c r="M1047" s="26" t="str">
        <f>IFERROR(__xludf.DUMMYFUNCTION("""COMPUTED_VALUE"""),"RPG")</f>
        <v>RPG</v>
      </c>
      <c r="N1047" s="26"/>
      <c r="O1047" s="26" t="str">
        <f>IFERROR(__xludf.DUMMYFUNCTION("""COMPUTED_VALUE"""),"No")</f>
        <v>No</v>
      </c>
      <c r="P1047" s="26"/>
    </row>
    <row r="1048">
      <c r="A1048" s="81" t="str">
        <f>IFERROR(__xludf.DUMMYFUNCTION("""COMPUTED_VALUE"""),"Dirt 5")</f>
        <v>Dirt 5</v>
      </c>
      <c r="B1048" s="82" t="str">
        <f>IFERROR(__xludf.DUMMYFUNCTION("""COMPUTED_VALUE"""),"PS5/PS4")</f>
        <v>PS5/PS4</v>
      </c>
      <c r="C1048" s="83" t="str">
        <f>IFERROR(__xludf.DUMMYFUNCTION("""COMPUTED_VALUE"""),"Playstation Plus (Discontinued)")</f>
        <v>Playstation Plus (Discontinued)</v>
      </c>
      <c r="D1048" s="82" t="str">
        <f>IFERROR(__xludf.DUMMYFUNCTION("""COMPUTED_VALUE"""),"Removed")</f>
        <v>Removed</v>
      </c>
      <c r="E1048" s="84">
        <f>IFERROR(__xludf.DUMMYFUNCTION("""COMPUTED_VALUE"""),44565.0)</f>
        <v>44565</v>
      </c>
      <c r="F1048" s="85">
        <f>IFERROR(__xludf.DUMMYFUNCTION("""COMPUTED_VALUE"""),44592.0)</f>
        <v>44592</v>
      </c>
      <c r="G1048" s="86">
        <f>IFERROR(__xludf.DUMMYFUNCTION("""COMPUTED_VALUE"""),0.8666666666666666)</f>
        <v>0.8666666667</v>
      </c>
      <c r="H1048" s="84">
        <f>IFERROR(__xludf.DUMMYFUNCTION("""COMPUTED_VALUE"""),44141.0)</f>
        <v>44141</v>
      </c>
      <c r="I1048" s="86">
        <f>IFERROR(__xludf.DUMMYFUNCTION("""COMPUTED_VALUE"""),1.1611111111111112)</f>
        <v>1.161111111</v>
      </c>
      <c r="J1048" s="87">
        <f>IFERROR(__xludf.DUMMYFUNCTION("""COMPUTED_VALUE"""),80.0)</f>
        <v>80</v>
      </c>
      <c r="K1048" s="88">
        <f>IFERROR(__xludf.DUMMYFUNCTION("""COMPUTED_VALUE"""),6.9)</f>
        <v>6.9</v>
      </c>
      <c r="L1048" s="89">
        <f>IFERROR(__xludf.DUMMYFUNCTION("""COMPUTED_VALUE"""),9.0)</f>
        <v>9</v>
      </c>
      <c r="M1048" s="26" t="str">
        <f>IFERROR(__xludf.DUMMYFUNCTION("""COMPUTED_VALUE"""),"Racing")</f>
        <v>Racing</v>
      </c>
      <c r="N1048" s="26"/>
      <c r="O1048" s="26" t="str">
        <f>IFERROR(__xludf.DUMMYFUNCTION("""COMPUTED_VALUE"""),"No")</f>
        <v>No</v>
      </c>
      <c r="P1048" s="26"/>
    </row>
    <row r="1049">
      <c r="A1049" s="81" t="str">
        <f>IFERROR(__xludf.DUMMYFUNCTION("""COMPUTED_VALUE"""),"Deep Rock Galactic")</f>
        <v>Deep Rock Galactic</v>
      </c>
      <c r="B1049" s="82" t="str">
        <f>IFERROR(__xludf.DUMMYFUNCTION("""COMPUTED_VALUE"""),"PS5/PS4")</f>
        <v>PS5/PS4</v>
      </c>
      <c r="C1049" s="83" t="str">
        <f>IFERROR(__xludf.DUMMYFUNCTION("""COMPUTED_VALUE"""),"Playstation Plus (Discontinued)")</f>
        <v>Playstation Plus (Discontinued)</v>
      </c>
      <c r="D1049" s="82" t="str">
        <f>IFERROR(__xludf.DUMMYFUNCTION("""COMPUTED_VALUE"""),"Removed")</f>
        <v>Removed</v>
      </c>
      <c r="E1049" s="84">
        <f>IFERROR(__xludf.DUMMYFUNCTION("""COMPUTED_VALUE"""),44565.0)</f>
        <v>44565</v>
      </c>
      <c r="F1049" s="85">
        <f>IFERROR(__xludf.DUMMYFUNCTION("""COMPUTED_VALUE"""),44592.0)</f>
        <v>44592</v>
      </c>
      <c r="G1049" s="86">
        <f>IFERROR(__xludf.DUMMYFUNCTION("""COMPUTED_VALUE"""),0.8666666666666666)</f>
        <v>0.8666666667</v>
      </c>
      <c r="H1049" s="84">
        <f>IFERROR(__xludf.DUMMYFUNCTION("""COMPUTED_VALUE"""),44329.0)</f>
        <v>44329</v>
      </c>
      <c r="I1049" s="86">
        <f>IFERROR(__xludf.DUMMYFUNCTION("""COMPUTED_VALUE"""),0.6416666666666667)</f>
        <v>0.6416666667</v>
      </c>
      <c r="J1049" s="87">
        <f>IFERROR(__xludf.DUMMYFUNCTION("""COMPUTED_VALUE"""),85.0)</f>
        <v>85</v>
      </c>
      <c r="K1049" s="88">
        <f>IFERROR(__xludf.DUMMYFUNCTION("""COMPUTED_VALUE"""),8.6)</f>
        <v>8.6</v>
      </c>
      <c r="L1049" s="89"/>
      <c r="M1049" s="26" t="str">
        <f>IFERROR(__xludf.DUMMYFUNCTION("""COMPUTED_VALUE"""),"Shooter")</f>
        <v>Shooter</v>
      </c>
      <c r="N1049" s="26"/>
      <c r="O1049" s="26" t="str">
        <f>IFERROR(__xludf.DUMMYFUNCTION("""COMPUTED_VALUE"""),"No")</f>
        <v>No</v>
      </c>
      <c r="P1049" s="26"/>
    </row>
    <row r="1050">
      <c r="A1050" s="81" t="str">
        <f>IFERROR(__xludf.DUMMYFUNCTION("""COMPUTED_VALUE"""),"The Last of Us Part II")</f>
        <v>The Last of Us Part II</v>
      </c>
      <c r="B1050" s="82" t="str">
        <f>IFERROR(__xludf.DUMMYFUNCTION("""COMPUTED_VALUE"""),"PS5/PS4")</f>
        <v>PS5/PS4</v>
      </c>
      <c r="C1050" s="83" t="str">
        <f>IFERROR(__xludf.DUMMYFUNCTION("""COMPUTED_VALUE"""),"Playstation Now (Discontinued)")</f>
        <v>Playstation Now (Discontinued)</v>
      </c>
      <c r="D1050" s="82" t="str">
        <f>IFERROR(__xludf.DUMMYFUNCTION("""COMPUTED_VALUE"""),"Removed")</f>
        <v>Removed</v>
      </c>
      <c r="E1050" s="84">
        <f>IFERROR(__xludf.DUMMYFUNCTION("""COMPUTED_VALUE"""),44474.0)</f>
        <v>44474</v>
      </c>
      <c r="F1050" s="85">
        <f>IFERROR(__xludf.DUMMYFUNCTION("""COMPUTED_VALUE"""),44565.0)</f>
        <v>44565</v>
      </c>
      <c r="G1050" s="86">
        <f>IFERROR(__xludf.DUMMYFUNCTION("""COMPUTED_VALUE"""),2.966666666666667)</f>
        <v>2.966666667</v>
      </c>
      <c r="H1050" s="84">
        <f>IFERROR(__xludf.DUMMYFUNCTION("""COMPUTED_VALUE"""),44001.0)</f>
        <v>44001</v>
      </c>
      <c r="I1050" s="86">
        <f>IFERROR(__xludf.DUMMYFUNCTION("""COMPUTED_VALUE"""),1.2944444444444445)</f>
        <v>1.294444444</v>
      </c>
      <c r="J1050" s="87">
        <f>IFERROR(__xludf.DUMMYFUNCTION("""COMPUTED_VALUE"""),93.0)</f>
        <v>93</v>
      </c>
      <c r="K1050" s="88">
        <f>IFERROR(__xludf.DUMMYFUNCTION("""COMPUTED_VALUE"""),5.9)</f>
        <v>5.9</v>
      </c>
      <c r="L1050" s="89">
        <f>IFERROR(__xludf.DUMMYFUNCTION("""COMPUTED_VALUE"""),24.0)</f>
        <v>24</v>
      </c>
      <c r="M1050" s="26" t="str">
        <f>IFERROR(__xludf.DUMMYFUNCTION("""COMPUTED_VALUE"""),"Action-Adventure")</f>
        <v>Action-Adventure</v>
      </c>
      <c r="N1050" s="26"/>
      <c r="O1050" s="26" t="str">
        <f>IFERROR(__xludf.DUMMYFUNCTION("""COMPUTED_VALUE"""),"No")</f>
        <v>No</v>
      </c>
      <c r="P1050" s="26"/>
    </row>
    <row r="1051">
      <c r="A1051" s="81" t="str">
        <f>IFERROR(__xludf.DUMMYFUNCTION("""COMPUTED_VALUE"""),"Godfall: Challenger Edition")</f>
        <v>Godfall: Challenger Edition</v>
      </c>
      <c r="B1051" s="82" t="str">
        <f>IFERROR(__xludf.DUMMYFUNCTION("""COMPUTED_VALUE"""),"PS5/PS4")</f>
        <v>PS5/PS4</v>
      </c>
      <c r="C1051" s="83" t="str">
        <f>IFERROR(__xludf.DUMMYFUNCTION("""COMPUTED_VALUE"""),"Playstation Plus (Discontinued)")</f>
        <v>Playstation Plus (Discontinued)</v>
      </c>
      <c r="D1051" s="82" t="str">
        <f>IFERROR(__xludf.DUMMYFUNCTION("""COMPUTED_VALUE"""),"Removed")</f>
        <v>Removed</v>
      </c>
      <c r="E1051" s="84">
        <f>IFERROR(__xludf.DUMMYFUNCTION("""COMPUTED_VALUE"""),44537.0)</f>
        <v>44537</v>
      </c>
      <c r="F1051" s="85">
        <f>IFERROR(__xludf.DUMMYFUNCTION("""COMPUTED_VALUE"""),44564.0)</f>
        <v>44564</v>
      </c>
      <c r="G1051" s="86">
        <f>IFERROR(__xludf.DUMMYFUNCTION("""COMPUTED_VALUE"""),0.8666666666666666)</f>
        <v>0.8666666667</v>
      </c>
      <c r="H1051" s="84">
        <f>IFERROR(__xludf.DUMMYFUNCTION("""COMPUTED_VALUE"""),44507.0)</f>
        <v>44507</v>
      </c>
      <c r="I1051" s="86">
        <f>IFERROR(__xludf.DUMMYFUNCTION("""COMPUTED_VALUE"""),0.08333333333333333)</f>
        <v>0.08333333333</v>
      </c>
      <c r="J1051" s="87">
        <f>IFERROR(__xludf.DUMMYFUNCTION("""COMPUTED_VALUE"""),61.0)</f>
        <v>61</v>
      </c>
      <c r="K1051" s="88">
        <f>IFERROR(__xludf.DUMMYFUNCTION("""COMPUTED_VALUE"""),5.4)</f>
        <v>5.4</v>
      </c>
      <c r="L1051" s="89">
        <f>IFERROR(__xludf.DUMMYFUNCTION("""COMPUTED_VALUE"""),12.0)</f>
        <v>12</v>
      </c>
      <c r="M1051" s="26" t="str">
        <f>IFERROR(__xludf.DUMMYFUNCTION("""COMPUTED_VALUE"""),"RPG")</f>
        <v>RPG</v>
      </c>
      <c r="N1051" s="26"/>
      <c r="O1051" s="26" t="str">
        <f>IFERROR(__xludf.DUMMYFUNCTION("""COMPUTED_VALUE"""),"No")</f>
        <v>No</v>
      </c>
      <c r="P1051" s="26"/>
    </row>
    <row r="1052">
      <c r="A1052" s="81" t="str">
        <f>IFERROR(__xludf.DUMMYFUNCTION("""COMPUTED_VALUE"""),"Lego DC Super-Villains")</f>
        <v>Lego DC Super-Villains</v>
      </c>
      <c r="B1052" s="82" t="str">
        <f>IFERROR(__xludf.DUMMYFUNCTION("""COMPUTED_VALUE"""),"PS4")</f>
        <v>PS4</v>
      </c>
      <c r="C1052" s="83" t="str">
        <f>IFERROR(__xludf.DUMMYFUNCTION("""COMPUTED_VALUE"""),"Playstation Plus (Discontinued)")</f>
        <v>Playstation Plus (Discontinued)</v>
      </c>
      <c r="D1052" s="82" t="str">
        <f>IFERROR(__xludf.DUMMYFUNCTION("""COMPUTED_VALUE"""),"Removed")</f>
        <v>Removed</v>
      </c>
      <c r="E1052" s="84">
        <f>IFERROR(__xludf.DUMMYFUNCTION("""COMPUTED_VALUE"""),44537.0)</f>
        <v>44537</v>
      </c>
      <c r="F1052" s="85">
        <f>IFERROR(__xludf.DUMMYFUNCTION("""COMPUTED_VALUE"""),44564.0)</f>
        <v>44564</v>
      </c>
      <c r="G1052" s="86">
        <f>IFERROR(__xludf.DUMMYFUNCTION("""COMPUTED_VALUE"""),0.8666666666666666)</f>
        <v>0.8666666667</v>
      </c>
      <c r="H1052" s="84">
        <f>IFERROR(__xludf.DUMMYFUNCTION("""COMPUTED_VALUE"""),43389.0)</f>
        <v>43389</v>
      </c>
      <c r="I1052" s="86">
        <f>IFERROR(__xludf.DUMMYFUNCTION("""COMPUTED_VALUE"""),3.1416666666666666)</f>
        <v>3.141666667</v>
      </c>
      <c r="J1052" s="87">
        <f>IFERROR(__xludf.DUMMYFUNCTION("""COMPUTED_VALUE"""),74.0)</f>
        <v>74</v>
      </c>
      <c r="K1052" s="88">
        <f>IFERROR(__xludf.DUMMYFUNCTION("""COMPUTED_VALUE"""),7.7)</f>
        <v>7.7</v>
      </c>
      <c r="L1052" s="89">
        <f>IFERROR(__xludf.DUMMYFUNCTION("""COMPUTED_VALUE"""),15.0)</f>
        <v>15</v>
      </c>
      <c r="M1052" s="26" t="str">
        <f>IFERROR(__xludf.DUMMYFUNCTION("""COMPUTED_VALUE"""),"Action-Adventure")</f>
        <v>Action-Adventure</v>
      </c>
      <c r="N1052" s="26"/>
      <c r="O1052" s="26" t="str">
        <f>IFERROR(__xludf.DUMMYFUNCTION("""COMPUTED_VALUE"""),"No")</f>
        <v>No</v>
      </c>
      <c r="P1052" s="26"/>
    </row>
    <row r="1053">
      <c r="A1053" s="81" t="str">
        <f>IFERROR(__xludf.DUMMYFUNCTION("""COMPUTED_VALUE"""),"Mortal Shell")</f>
        <v>Mortal Shell</v>
      </c>
      <c r="B1053" s="82" t="str">
        <f>IFERROR(__xludf.DUMMYFUNCTION("""COMPUTED_VALUE"""),"PS4")</f>
        <v>PS4</v>
      </c>
      <c r="C1053" s="83" t="str">
        <f>IFERROR(__xludf.DUMMYFUNCTION("""COMPUTED_VALUE"""),"Playstation Plus (Discontinued)")</f>
        <v>Playstation Plus (Discontinued)</v>
      </c>
      <c r="D1053" s="82" t="str">
        <f>IFERROR(__xludf.DUMMYFUNCTION("""COMPUTED_VALUE"""),"Removed")</f>
        <v>Removed</v>
      </c>
      <c r="E1053" s="84">
        <f>IFERROR(__xludf.DUMMYFUNCTION("""COMPUTED_VALUE"""),44537.0)</f>
        <v>44537</v>
      </c>
      <c r="F1053" s="85">
        <f>IFERROR(__xludf.DUMMYFUNCTION("""COMPUTED_VALUE"""),44564.0)</f>
        <v>44564</v>
      </c>
      <c r="G1053" s="86">
        <f>IFERROR(__xludf.DUMMYFUNCTION("""COMPUTED_VALUE"""),0.8666666666666666)</f>
        <v>0.8666666667</v>
      </c>
      <c r="H1053" s="84">
        <f>IFERROR(__xludf.DUMMYFUNCTION("""COMPUTED_VALUE"""),44061.0)</f>
        <v>44061</v>
      </c>
      <c r="I1053" s="86">
        <f>IFERROR(__xludf.DUMMYFUNCTION("""COMPUTED_VALUE"""),1.3027777777777778)</f>
        <v>1.302777778</v>
      </c>
      <c r="J1053" s="87">
        <f>IFERROR(__xludf.DUMMYFUNCTION("""COMPUTED_VALUE"""),76.0)</f>
        <v>76</v>
      </c>
      <c r="K1053" s="88">
        <f>IFERROR(__xludf.DUMMYFUNCTION("""COMPUTED_VALUE"""),6.8)</f>
        <v>6.8</v>
      </c>
      <c r="L1053" s="89">
        <f>IFERROR(__xludf.DUMMYFUNCTION("""COMPUTED_VALUE"""),13.0)</f>
        <v>13</v>
      </c>
      <c r="M1053" s="26" t="str">
        <f>IFERROR(__xludf.DUMMYFUNCTION("""COMPUTED_VALUE"""),"Action-Adventure")</f>
        <v>Action-Adventure</v>
      </c>
      <c r="N1053" s="26"/>
      <c r="O1053" s="26" t="str">
        <f>IFERROR(__xludf.DUMMYFUNCTION("""COMPUTED_VALUE"""),"No")</f>
        <v>No</v>
      </c>
      <c r="P1053" s="26"/>
    </row>
    <row r="1054">
      <c r="A1054" s="81" t="str">
        <f>IFERROR(__xludf.DUMMYFUNCTION("""COMPUTED_VALUE"""),"The Persistence")</f>
        <v>The Persistence</v>
      </c>
      <c r="B1054" s="82" t="str">
        <f>IFERROR(__xludf.DUMMYFUNCTION("""COMPUTED_VALUE"""),"PS4/PSVR")</f>
        <v>PS4/PSVR</v>
      </c>
      <c r="C1054" s="83" t="str">
        <f>IFERROR(__xludf.DUMMYFUNCTION("""COMPUTED_VALUE"""),"Playstation Plus (Discontinued)")</f>
        <v>Playstation Plus (Discontinued)</v>
      </c>
      <c r="D1054" s="82" t="str">
        <f>IFERROR(__xludf.DUMMYFUNCTION("""COMPUTED_VALUE"""),"Removed")</f>
        <v>Removed</v>
      </c>
      <c r="E1054" s="84">
        <f>IFERROR(__xludf.DUMMYFUNCTION("""COMPUTED_VALUE"""),44502.0)</f>
        <v>44502</v>
      </c>
      <c r="F1054" s="85">
        <f>IFERROR(__xludf.DUMMYFUNCTION("""COMPUTED_VALUE"""),44564.0)</f>
        <v>44564</v>
      </c>
      <c r="G1054" s="86">
        <f>IFERROR(__xludf.DUMMYFUNCTION("""COMPUTED_VALUE"""),2.033333333333333)</f>
        <v>2.033333333</v>
      </c>
      <c r="H1054" s="84">
        <f>IFERROR(__xludf.DUMMYFUNCTION("""COMPUTED_VALUE"""),43305.0)</f>
        <v>43305</v>
      </c>
      <c r="I1054" s="86">
        <f>IFERROR(__xludf.DUMMYFUNCTION("""COMPUTED_VALUE"""),3.272222222222222)</f>
        <v>3.272222222</v>
      </c>
      <c r="J1054" s="87">
        <f>IFERROR(__xludf.DUMMYFUNCTION("""COMPUTED_VALUE"""),78.0)</f>
        <v>78</v>
      </c>
      <c r="K1054" s="88">
        <f>IFERROR(__xludf.DUMMYFUNCTION("""COMPUTED_VALUE"""),7.3)</f>
        <v>7.3</v>
      </c>
      <c r="L1054" s="89">
        <f>IFERROR(__xludf.DUMMYFUNCTION("""COMPUTED_VALUE"""),10.0)</f>
        <v>10</v>
      </c>
      <c r="M1054" s="26" t="str">
        <f>IFERROR(__xludf.DUMMYFUNCTION("""COMPUTED_VALUE"""),"Horror")</f>
        <v>Horror</v>
      </c>
      <c r="N1054" s="26"/>
      <c r="O1054" s="26" t="str">
        <f>IFERROR(__xludf.DUMMYFUNCTION("""COMPUTED_VALUE"""),"No")</f>
        <v>No</v>
      </c>
      <c r="P1054" s="26"/>
    </row>
    <row r="1055">
      <c r="A1055" s="81" t="str">
        <f>IFERROR(__xludf.DUMMYFUNCTION("""COMPUTED_VALUE"""),"The Walking Dead: Saints &amp; Sinners")</f>
        <v>The Walking Dead: Saints &amp; Sinners</v>
      </c>
      <c r="B1055" s="82" t="str">
        <f>IFERROR(__xludf.DUMMYFUNCTION("""COMPUTED_VALUE"""),"PS4/PSVR")</f>
        <v>PS4/PSVR</v>
      </c>
      <c r="C1055" s="83" t="str">
        <f>IFERROR(__xludf.DUMMYFUNCTION("""COMPUTED_VALUE"""),"Playstation Plus (Discontinued)")</f>
        <v>Playstation Plus (Discontinued)</v>
      </c>
      <c r="D1055" s="82" t="str">
        <f>IFERROR(__xludf.DUMMYFUNCTION("""COMPUTED_VALUE"""),"Removed")</f>
        <v>Removed</v>
      </c>
      <c r="E1055" s="84">
        <f>IFERROR(__xludf.DUMMYFUNCTION("""COMPUTED_VALUE"""),44502.0)</f>
        <v>44502</v>
      </c>
      <c r="F1055" s="85">
        <f>IFERROR(__xludf.DUMMYFUNCTION("""COMPUTED_VALUE"""),44564.0)</f>
        <v>44564</v>
      </c>
      <c r="G1055" s="86">
        <f>IFERROR(__xludf.DUMMYFUNCTION("""COMPUTED_VALUE"""),2.033333333333333)</f>
        <v>2.033333333</v>
      </c>
      <c r="H1055" s="84">
        <f>IFERROR(__xludf.DUMMYFUNCTION("""COMPUTED_VALUE"""),43853.0)</f>
        <v>43853</v>
      </c>
      <c r="I1055" s="86">
        <f>IFERROR(__xludf.DUMMYFUNCTION("""COMPUTED_VALUE"""),1.775)</f>
        <v>1.775</v>
      </c>
      <c r="J1055" s="87">
        <f>IFERROR(__xludf.DUMMYFUNCTION("""COMPUTED_VALUE"""),79.0)</f>
        <v>79</v>
      </c>
      <c r="K1055" s="88">
        <f>IFERROR(__xludf.DUMMYFUNCTION("""COMPUTED_VALUE"""),8.2)</f>
        <v>8.2</v>
      </c>
      <c r="L1055" s="89">
        <f>IFERROR(__xludf.DUMMYFUNCTION("""COMPUTED_VALUE"""),11.0)</f>
        <v>11</v>
      </c>
      <c r="M1055" s="26" t="str">
        <f>IFERROR(__xludf.DUMMYFUNCTION("""COMPUTED_VALUE"""),"Action-Adventure")</f>
        <v>Action-Adventure</v>
      </c>
      <c r="N1055" s="26"/>
      <c r="O1055" s="26" t="str">
        <f>IFERROR(__xludf.DUMMYFUNCTION("""COMPUTED_VALUE"""),"No")</f>
        <v>No</v>
      </c>
      <c r="P1055" s="26"/>
    </row>
    <row r="1056">
      <c r="A1056" s="81" t="str">
        <f>IFERROR(__xludf.DUMMYFUNCTION("""COMPUTED_VALUE"""),"Until You Fall")</f>
        <v>Until You Fall</v>
      </c>
      <c r="B1056" s="82" t="str">
        <f>IFERROR(__xludf.DUMMYFUNCTION("""COMPUTED_VALUE"""),"PS4/PSVR")</f>
        <v>PS4/PSVR</v>
      </c>
      <c r="C1056" s="83" t="str">
        <f>IFERROR(__xludf.DUMMYFUNCTION("""COMPUTED_VALUE"""),"Playstation Plus (Discontinued)")</f>
        <v>Playstation Plus (Discontinued)</v>
      </c>
      <c r="D1056" s="82" t="str">
        <f>IFERROR(__xludf.DUMMYFUNCTION("""COMPUTED_VALUE"""),"Removed")</f>
        <v>Removed</v>
      </c>
      <c r="E1056" s="84">
        <f>IFERROR(__xludf.DUMMYFUNCTION("""COMPUTED_VALUE"""),44502.0)</f>
        <v>44502</v>
      </c>
      <c r="F1056" s="85">
        <f>IFERROR(__xludf.DUMMYFUNCTION("""COMPUTED_VALUE"""),44564.0)</f>
        <v>44564</v>
      </c>
      <c r="G1056" s="86">
        <f>IFERROR(__xludf.DUMMYFUNCTION("""COMPUTED_VALUE"""),2.033333333333333)</f>
        <v>2.033333333</v>
      </c>
      <c r="H1056" s="84">
        <f>IFERROR(__xludf.DUMMYFUNCTION("""COMPUTED_VALUE"""),44103.0)</f>
        <v>44103</v>
      </c>
      <c r="I1056" s="86">
        <f>IFERROR(__xludf.DUMMYFUNCTION("""COMPUTED_VALUE"""),1.0916666666666666)</f>
        <v>1.091666667</v>
      </c>
      <c r="J1056" s="87">
        <f>IFERROR(__xludf.DUMMYFUNCTION("""COMPUTED_VALUE"""),79.0)</f>
        <v>79</v>
      </c>
      <c r="K1056" s="88">
        <f>IFERROR(__xludf.DUMMYFUNCTION("""COMPUTED_VALUE"""),7.7)</f>
        <v>7.7</v>
      </c>
      <c r="L1056" s="89">
        <f>IFERROR(__xludf.DUMMYFUNCTION("""COMPUTED_VALUE"""),5.0)</f>
        <v>5</v>
      </c>
      <c r="M1056" s="26" t="str">
        <f>IFERROR(__xludf.DUMMYFUNCTION("""COMPUTED_VALUE"""),"Action-Adventure")</f>
        <v>Action-Adventure</v>
      </c>
      <c r="N1056" s="26"/>
      <c r="O1056" s="26" t="str">
        <f>IFERROR(__xludf.DUMMYFUNCTION("""COMPUTED_VALUE"""),"No")</f>
        <v>No</v>
      </c>
      <c r="P1056" s="26"/>
    </row>
    <row r="1057">
      <c r="A1057" s="81" t="str">
        <f>IFERROR(__xludf.DUMMYFUNCTION("""COMPUTED_VALUE"""),"Knockout City")</f>
        <v>Knockout City</v>
      </c>
      <c r="B1057" s="82" t="str">
        <f>IFERROR(__xludf.DUMMYFUNCTION("""COMPUTED_VALUE"""),"PS5/PS4")</f>
        <v>PS5/PS4</v>
      </c>
      <c r="C1057" s="83" t="str">
        <f>IFERROR(__xludf.DUMMYFUNCTION("""COMPUTED_VALUE"""),"Playstation Plus (Discontinued)")</f>
        <v>Playstation Plus (Discontinued)</v>
      </c>
      <c r="D1057" s="82" t="str">
        <f>IFERROR(__xludf.DUMMYFUNCTION("""COMPUTED_VALUE"""),"Removed")</f>
        <v>Removed</v>
      </c>
      <c r="E1057" s="84">
        <f>IFERROR(__xludf.DUMMYFUNCTION("""COMPUTED_VALUE"""),44502.0)</f>
        <v>44502</v>
      </c>
      <c r="F1057" s="85">
        <f>IFERROR(__xludf.DUMMYFUNCTION("""COMPUTED_VALUE"""),44536.0)</f>
        <v>44536</v>
      </c>
      <c r="G1057" s="86">
        <f>IFERROR(__xludf.DUMMYFUNCTION("""COMPUTED_VALUE"""),1.1333333333333333)</f>
        <v>1.133333333</v>
      </c>
      <c r="H1057" s="84">
        <f>IFERROR(__xludf.DUMMYFUNCTION("""COMPUTED_VALUE"""),44337.0)</f>
        <v>44337</v>
      </c>
      <c r="I1057" s="86">
        <f>IFERROR(__xludf.DUMMYFUNCTION("""COMPUTED_VALUE"""),0.44722222222222224)</f>
        <v>0.4472222222</v>
      </c>
      <c r="J1057" s="87">
        <f>IFERROR(__xludf.DUMMYFUNCTION("""COMPUTED_VALUE"""),80.0)</f>
        <v>80</v>
      </c>
      <c r="K1057" s="88">
        <f>IFERROR(__xludf.DUMMYFUNCTION("""COMPUTED_VALUE"""),7.1)</f>
        <v>7.1</v>
      </c>
      <c r="L1057" s="89"/>
      <c r="M1057" s="26" t="str">
        <f>IFERROR(__xludf.DUMMYFUNCTION("""COMPUTED_VALUE"""),"Shooter")</f>
        <v>Shooter</v>
      </c>
      <c r="N1057" s="26"/>
      <c r="O1057" s="26" t="str">
        <f>IFERROR(__xludf.DUMMYFUNCTION("""COMPUTED_VALUE"""),"No")</f>
        <v>No</v>
      </c>
      <c r="P1057" s="26"/>
    </row>
    <row r="1058">
      <c r="A1058" s="81" t="str">
        <f>IFERROR(__xludf.DUMMYFUNCTION("""COMPUTED_VALUE"""),"First Class Trouble")</f>
        <v>First Class Trouble</v>
      </c>
      <c r="B1058" s="82" t="str">
        <f>IFERROR(__xludf.DUMMYFUNCTION("""COMPUTED_VALUE"""),"PS5/PS4")</f>
        <v>PS5/PS4</v>
      </c>
      <c r="C1058" s="83" t="str">
        <f>IFERROR(__xludf.DUMMYFUNCTION("""COMPUTED_VALUE"""),"Playstation Plus (Discontinued)")</f>
        <v>Playstation Plus (Discontinued)</v>
      </c>
      <c r="D1058" s="82" t="str">
        <f>IFERROR(__xludf.DUMMYFUNCTION("""COMPUTED_VALUE"""),"Removed")</f>
        <v>Removed</v>
      </c>
      <c r="E1058" s="84">
        <f>IFERROR(__xludf.DUMMYFUNCTION("""COMPUTED_VALUE"""),44502.0)</f>
        <v>44502</v>
      </c>
      <c r="F1058" s="85">
        <f>IFERROR(__xludf.DUMMYFUNCTION("""COMPUTED_VALUE"""),44536.0)</f>
        <v>44536</v>
      </c>
      <c r="G1058" s="86">
        <f>IFERROR(__xludf.DUMMYFUNCTION("""COMPUTED_VALUE"""),1.1333333333333333)</f>
        <v>1.133333333</v>
      </c>
      <c r="H1058" s="84">
        <f>IFERROR(__xludf.DUMMYFUNCTION("""COMPUTED_VALUE"""),44502.0)</f>
        <v>44502</v>
      </c>
      <c r="I1058" s="86">
        <f>IFERROR(__xludf.DUMMYFUNCTION("""COMPUTED_VALUE"""),0.0)</f>
        <v>0</v>
      </c>
      <c r="J1058" s="87">
        <f>IFERROR(__xludf.DUMMYFUNCTION("""COMPUTED_VALUE"""),66.0)</f>
        <v>66</v>
      </c>
      <c r="K1058" s="88">
        <f>IFERROR(__xludf.DUMMYFUNCTION("""COMPUTED_VALUE"""),6.5)</f>
        <v>6.5</v>
      </c>
      <c r="L1058" s="89"/>
      <c r="M1058" s="26" t="str">
        <f>IFERROR(__xludf.DUMMYFUNCTION("""COMPUTED_VALUE"""),"Party")</f>
        <v>Party</v>
      </c>
      <c r="N1058" s="26"/>
      <c r="O1058" s="26" t="str">
        <f>IFERROR(__xludf.DUMMYFUNCTION("""COMPUTED_VALUE"""),"No")</f>
        <v>No</v>
      </c>
      <c r="P1058" s="26"/>
    </row>
    <row r="1059">
      <c r="A1059" s="81" t="str">
        <f>IFERROR(__xludf.DUMMYFUNCTION("""COMPUTED_VALUE"""),"Kingdoms of Amalur: Re-Reckoning")</f>
        <v>Kingdoms of Amalur: Re-Reckoning</v>
      </c>
      <c r="B1059" s="82" t="str">
        <f>IFERROR(__xludf.DUMMYFUNCTION("""COMPUTED_VALUE"""),"PS4")</f>
        <v>PS4</v>
      </c>
      <c r="C1059" s="83" t="str">
        <f>IFERROR(__xludf.DUMMYFUNCTION("""COMPUTED_VALUE"""),"Playstation Plus (Discontinued)")</f>
        <v>Playstation Plus (Discontinued)</v>
      </c>
      <c r="D1059" s="82" t="str">
        <f>IFERROR(__xludf.DUMMYFUNCTION("""COMPUTED_VALUE"""),"Removed")</f>
        <v>Removed</v>
      </c>
      <c r="E1059" s="84">
        <f>IFERROR(__xludf.DUMMYFUNCTION("""COMPUTED_VALUE"""),44502.0)</f>
        <v>44502</v>
      </c>
      <c r="F1059" s="85">
        <f>IFERROR(__xludf.DUMMYFUNCTION("""COMPUTED_VALUE"""),44536.0)</f>
        <v>44536</v>
      </c>
      <c r="G1059" s="86">
        <f>IFERROR(__xludf.DUMMYFUNCTION("""COMPUTED_VALUE"""),1.1333333333333333)</f>
        <v>1.133333333</v>
      </c>
      <c r="H1059" s="84">
        <f>IFERROR(__xludf.DUMMYFUNCTION("""COMPUTED_VALUE"""),44082.0)</f>
        <v>44082</v>
      </c>
      <c r="I1059" s="86">
        <f>IFERROR(__xludf.DUMMYFUNCTION("""COMPUTED_VALUE"""),1.15)</f>
        <v>1.15</v>
      </c>
      <c r="J1059" s="87">
        <f>IFERROR(__xludf.DUMMYFUNCTION("""COMPUTED_VALUE"""),72.0)</f>
        <v>72</v>
      </c>
      <c r="K1059" s="88">
        <f>IFERROR(__xludf.DUMMYFUNCTION("""COMPUTED_VALUE"""),7.1)</f>
        <v>7.1</v>
      </c>
      <c r="L1059" s="89">
        <f>IFERROR(__xludf.DUMMYFUNCTION("""COMPUTED_VALUE"""),22.0)</f>
        <v>22</v>
      </c>
      <c r="M1059" s="26" t="str">
        <f>IFERROR(__xludf.DUMMYFUNCTION("""COMPUTED_VALUE"""),"RPG")</f>
        <v>RPG</v>
      </c>
      <c r="N1059" s="26"/>
      <c r="O1059" s="26" t="str">
        <f>IFERROR(__xludf.DUMMYFUNCTION("""COMPUTED_VALUE"""),"No")</f>
        <v>No</v>
      </c>
      <c r="P1059" s="26"/>
    </row>
    <row r="1060">
      <c r="A1060" s="81" t="str">
        <f>IFERROR(__xludf.DUMMYFUNCTION("""COMPUTED_VALUE"""),"Hell Let Loose")</f>
        <v>Hell Let Loose</v>
      </c>
      <c r="B1060" s="82" t="str">
        <f>IFERROR(__xludf.DUMMYFUNCTION("""COMPUTED_VALUE"""),"PS5")</f>
        <v>PS5</v>
      </c>
      <c r="C1060" s="83" t="str">
        <f>IFERROR(__xludf.DUMMYFUNCTION("""COMPUTED_VALUE"""),"Playstation Plus (Discontinued)")</f>
        <v>Playstation Plus (Discontinued)</v>
      </c>
      <c r="D1060" s="82" t="str">
        <f>IFERROR(__xludf.DUMMYFUNCTION("""COMPUTED_VALUE"""),"Removed")</f>
        <v>Removed</v>
      </c>
      <c r="E1060" s="84">
        <f>IFERROR(__xludf.DUMMYFUNCTION("""COMPUTED_VALUE"""),44474.0)</f>
        <v>44474</v>
      </c>
      <c r="F1060" s="85">
        <f>IFERROR(__xludf.DUMMYFUNCTION("""COMPUTED_VALUE"""),44501.0)</f>
        <v>44501</v>
      </c>
      <c r="G1060" s="86">
        <f>IFERROR(__xludf.DUMMYFUNCTION("""COMPUTED_VALUE"""),0.8666666666666666)</f>
        <v>0.8666666667</v>
      </c>
      <c r="H1060" s="84">
        <f>IFERROR(__xludf.DUMMYFUNCTION("""COMPUTED_VALUE"""),44404.0)</f>
        <v>44404</v>
      </c>
      <c r="I1060" s="86">
        <f>IFERROR(__xludf.DUMMYFUNCTION("""COMPUTED_VALUE"""),0.18888888888888888)</f>
        <v>0.1888888889</v>
      </c>
      <c r="J1060" s="87">
        <f>IFERROR(__xludf.DUMMYFUNCTION("""COMPUTED_VALUE"""),79.0)</f>
        <v>79</v>
      </c>
      <c r="K1060" s="88">
        <f>IFERROR(__xludf.DUMMYFUNCTION("""COMPUTED_VALUE"""),7.3)</f>
        <v>7.3</v>
      </c>
      <c r="L1060" s="89"/>
      <c r="M1060" s="26" t="str">
        <f>IFERROR(__xludf.DUMMYFUNCTION("""COMPUTED_VALUE"""),"Shooter")</f>
        <v>Shooter</v>
      </c>
      <c r="N1060" s="26"/>
      <c r="O1060" s="26" t="str">
        <f>IFERROR(__xludf.DUMMYFUNCTION("""COMPUTED_VALUE"""),"No")</f>
        <v>No</v>
      </c>
      <c r="P1060" s="26"/>
    </row>
    <row r="1061">
      <c r="A1061" s="81" t="str">
        <f>IFERROR(__xludf.DUMMYFUNCTION("""COMPUTED_VALUE"""),"PGA Tour 2K21")</f>
        <v>PGA Tour 2K21</v>
      </c>
      <c r="B1061" s="82" t="str">
        <f>IFERROR(__xludf.DUMMYFUNCTION("""COMPUTED_VALUE"""),"PS4")</f>
        <v>PS4</v>
      </c>
      <c r="C1061" s="83" t="str">
        <f>IFERROR(__xludf.DUMMYFUNCTION("""COMPUTED_VALUE"""),"Playstation Plus (Discontinued)")</f>
        <v>Playstation Plus (Discontinued)</v>
      </c>
      <c r="D1061" s="82" t="str">
        <f>IFERROR(__xludf.DUMMYFUNCTION("""COMPUTED_VALUE"""),"Removed")</f>
        <v>Removed</v>
      </c>
      <c r="E1061" s="84">
        <f>IFERROR(__xludf.DUMMYFUNCTION("""COMPUTED_VALUE"""),44474.0)</f>
        <v>44474</v>
      </c>
      <c r="F1061" s="85">
        <f>IFERROR(__xludf.DUMMYFUNCTION("""COMPUTED_VALUE"""),44501.0)</f>
        <v>44501</v>
      </c>
      <c r="G1061" s="86">
        <f>IFERROR(__xludf.DUMMYFUNCTION("""COMPUTED_VALUE"""),0.8666666666666666)</f>
        <v>0.8666666667</v>
      </c>
      <c r="H1061" s="84">
        <f>IFERROR(__xludf.DUMMYFUNCTION("""COMPUTED_VALUE"""),44064.0)</f>
        <v>44064</v>
      </c>
      <c r="I1061" s="86">
        <f>IFERROR(__xludf.DUMMYFUNCTION("""COMPUTED_VALUE"""),1.1222222222222222)</f>
        <v>1.122222222</v>
      </c>
      <c r="J1061" s="87">
        <f>IFERROR(__xludf.DUMMYFUNCTION("""COMPUTED_VALUE"""),76.0)</f>
        <v>76</v>
      </c>
      <c r="K1061" s="88">
        <f>IFERROR(__xludf.DUMMYFUNCTION("""COMPUTED_VALUE"""),7.0)</f>
        <v>7</v>
      </c>
      <c r="L1061" s="89"/>
      <c r="M1061" s="26" t="str">
        <f>IFERROR(__xludf.DUMMYFUNCTION("""COMPUTED_VALUE"""),"Sports")</f>
        <v>Sports</v>
      </c>
      <c r="N1061" s="26"/>
      <c r="O1061" s="26" t="str">
        <f>IFERROR(__xludf.DUMMYFUNCTION("""COMPUTED_VALUE"""),"No")</f>
        <v>No</v>
      </c>
      <c r="P1061" s="26"/>
    </row>
    <row r="1062">
      <c r="A1062" s="81" t="str">
        <f>IFERROR(__xludf.DUMMYFUNCTION("""COMPUTED_VALUE"""),"Mortal Kombat X")</f>
        <v>Mortal Kombat X</v>
      </c>
      <c r="B1062" s="82" t="str">
        <f>IFERROR(__xludf.DUMMYFUNCTION("""COMPUTED_VALUE"""),"PS4")</f>
        <v>PS4</v>
      </c>
      <c r="C1062" s="83" t="str">
        <f>IFERROR(__xludf.DUMMYFUNCTION("""COMPUTED_VALUE"""),"Playstation Plus (Discontinued)")</f>
        <v>Playstation Plus (Discontinued)</v>
      </c>
      <c r="D1062" s="82" t="str">
        <f>IFERROR(__xludf.DUMMYFUNCTION("""COMPUTED_VALUE"""),"Removed")</f>
        <v>Removed</v>
      </c>
      <c r="E1062" s="84">
        <f>IFERROR(__xludf.DUMMYFUNCTION("""COMPUTED_VALUE"""),44474.0)</f>
        <v>44474</v>
      </c>
      <c r="F1062" s="85">
        <f>IFERROR(__xludf.DUMMYFUNCTION("""COMPUTED_VALUE"""),44501.0)</f>
        <v>44501</v>
      </c>
      <c r="G1062" s="86">
        <f>IFERROR(__xludf.DUMMYFUNCTION("""COMPUTED_VALUE"""),0.8666666666666666)</f>
        <v>0.8666666667</v>
      </c>
      <c r="H1062" s="84">
        <f>IFERROR(__xludf.DUMMYFUNCTION("""COMPUTED_VALUE"""),42108.0)</f>
        <v>42108</v>
      </c>
      <c r="I1062" s="86">
        <f>IFERROR(__xludf.DUMMYFUNCTION("""COMPUTED_VALUE"""),6.475)</f>
        <v>6.475</v>
      </c>
      <c r="J1062" s="87">
        <f>IFERROR(__xludf.DUMMYFUNCTION("""COMPUTED_VALUE"""),83.0)</f>
        <v>83</v>
      </c>
      <c r="K1062" s="88">
        <f>IFERROR(__xludf.DUMMYFUNCTION("""COMPUTED_VALUE"""),7.7)</f>
        <v>7.7</v>
      </c>
      <c r="L1062" s="89">
        <f>IFERROR(__xludf.DUMMYFUNCTION("""COMPUTED_VALUE"""),6.0)</f>
        <v>6</v>
      </c>
      <c r="M1062" s="26" t="str">
        <f>IFERROR(__xludf.DUMMYFUNCTION("""COMPUTED_VALUE"""),"Fighting")</f>
        <v>Fighting</v>
      </c>
      <c r="N1062" s="26"/>
      <c r="O1062" s="26" t="str">
        <f>IFERROR(__xludf.DUMMYFUNCTION("""COMPUTED_VALUE"""),"No")</f>
        <v>No</v>
      </c>
      <c r="P1062" s="26"/>
    </row>
    <row r="1063">
      <c r="A1063" s="81" t="str">
        <f>IFERROR(__xludf.DUMMYFUNCTION("""COMPUTED_VALUE"""),"Overcooked: All You Can Eat!")</f>
        <v>Overcooked: All You Can Eat!</v>
      </c>
      <c r="B1063" s="82" t="str">
        <f>IFERROR(__xludf.DUMMYFUNCTION("""COMPUTED_VALUE"""),"PS5")</f>
        <v>PS5</v>
      </c>
      <c r="C1063" s="83" t="str">
        <f>IFERROR(__xludf.DUMMYFUNCTION("""COMPUTED_VALUE"""),"Playstation Plus (Discontinued)")</f>
        <v>Playstation Plus (Discontinued)</v>
      </c>
      <c r="D1063" s="82" t="str">
        <f>IFERROR(__xludf.DUMMYFUNCTION("""COMPUTED_VALUE"""),"Removed")</f>
        <v>Removed</v>
      </c>
      <c r="E1063" s="84">
        <f>IFERROR(__xludf.DUMMYFUNCTION("""COMPUTED_VALUE"""),44446.0)</f>
        <v>44446</v>
      </c>
      <c r="F1063" s="85">
        <f>IFERROR(__xludf.DUMMYFUNCTION("""COMPUTED_VALUE"""),44473.0)</f>
        <v>44473</v>
      </c>
      <c r="G1063" s="86">
        <f>IFERROR(__xludf.DUMMYFUNCTION("""COMPUTED_VALUE"""),0.8999999999999999)</f>
        <v>0.9</v>
      </c>
      <c r="H1063" s="84">
        <f>IFERROR(__xludf.DUMMYFUNCTION("""COMPUTED_VALUE"""),44278.0)</f>
        <v>44278</v>
      </c>
      <c r="I1063" s="86">
        <f>IFERROR(__xludf.DUMMYFUNCTION("""COMPUTED_VALUE"""),0.45555555555555555)</f>
        <v>0.4555555556</v>
      </c>
      <c r="J1063" s="87">
        <f>IFERROR(__xludf.DUMMYFUNCTION("""COMPUTED_VALUE"""),84.0)</f>
        <v>84</v>
      </c>
      <c r="K1063" s="88">
        <f>IFERROR(__xludf.DUMMYFUNCTION("""COMPUTED_VALUE"""),7.4)</f>
        <v>7.4</v>
      </c>
      <c r="L1063" s="89">
        <f>IFERROR(__xludf.DUMMYFUNCTION("""COMPUTED_VALUE"""),8.0)</f>
        <v>8</v>
      </c>
      <c r="M1063" s="26" t="str">
        <f>IFERROR(__xludf.DUMMYFUNCTION("""COMPUTED_VALUE"""),"Simulation")</f>
        <v>Simulation</v>
      </c>
      <c r="N1063" s="26"/>
      <c r="O1063" s="26" t="str">
        <f>IFERROR(__xludf.DUMMYFUNCTION("""COMPUTED_VALUE"""),"No")</f>
        <v>No</v>
      </c>
      <c r="P1063" s="26"/>
    </row>
    <row r="1064">
      <c r="A1064" s="81" t="str">
        <f>IFERROR(__xludf.DUMMYFUNCTION("""COMPUTED_VALUE"""),"Predator: Hunting Grounds")</f>
        <v>Predator: Hunting Grounds</v>
      </c>
      <c r="B1064" s="82" t="str">
        <f>IFERROR(__xludf.DUMMYFUNCTION("""COMPUTED_VALUE"""),"PS4")</f>
        <v>PS4</v>
      </c>
      <c r="C1064" s="83" t="str">
        <f>IFERROR(__xludf.DUMMYFUNCTION("""COMPUTED_VALUE"""),"Playstation Plus (Discontinued)")</f>
        <v>Playstation Plus (Discontinued)</v>
      </c>
      <c r="D1064" s="82" t="str">
        <f>IFERROR(__xludf.DUMMYFUNCTION("""COMPUTED_VALUE"""),"Removed")</f>
        <v>Removed</v>
      </c>
      <c r="E1064" s="84">
        <f>IFERROR(__xludf.DUMMYFUNCTION("""COMPUTED_VALUE"""),44446.0)</f>
        <v>44446</v>
      </c>
      <c r="F1064" s="85">
        <f>IFERROR(__xludf.DUMMYFUNCTION("""COMPUTED_VALUE"""),44473.0)</f>
        <v>44473</v>
      </c>
      <c r="G1064" s="86">
        <f>IFERROR(__xludf.DUMMYFUNCTION("""COMPUTED_VALUE"""),0.8999999999999999)</f>
        <v>0.9</v>
      </c>
      <c r="H1064" s="84">
        <f>IFERROR(__xludf.DUMMYFUNCTION("""COMPUTED_VALUE"""),43945.0)</f>
        <v>43945</v>
      </c>
      <c r="I1064" s="86">
        <f>IFERROR(__xludf.DUMMYFUNCTION("""COMPUTED_VALUE"""),1.3694444444444445)</f>
        <v>1.369444444</v>
      </c>
      <c r="J1064" s="87">
        <f>IFERROR(__xludf.DUMMYFUNCTION("""COMPUTED_VALUE"""),56.0)</f>
        <v>56</v>
      </c>
      <c r="K1064" s="88">
        <f>IFERROR(__xludf.DUMMYFUNCTION("""COMPUTED_VALUE"""),6.4)</f>
        <v>6.4</v>
      </c>
      <c r="L1064" s="89"/>
      <c r="M1064" s="26" t="str">
        <f>IFERROR(__xludf.DUMMYFUNCTION("""COMPUTED_VALUE"""),"Shooter")</f>
        <v>Shooter</v>
      </c>
      <c r="N1064" s="26"/>
      <c r="O1064" s="26" t="str">
        <f>IFERROR(__xludf.DUMMYFUNCTION("""COMPUTED_VALUE"""),"No")</f>
        <v>No</v>
      </c>
      <c r="P1064" s="26"/>
    </row>
    <row r="1065">
      <c r="A1065" s="81" t="str">
        <f>IFERROR(__xludf.DUMMYFUNCTION("""COMPUTED_VALUE"""),"Hitman 2")</f>
        <v>Hitman 2</v>
      </c>
      <c r="B1065" s="82" t="str">
        <f>IFERROR(__xludf.DUMMYFUNCTION("""COMPUTED_VALUE"""),"PS4")</f>
        <v>PS4</v>
      </c>
      <c r="C1065" s="83" t="str">
        <f>IFERROR(__xludf.DUMMYFUNCTION("""COMPUTED_VALUE"""),"Playstation Plus (Discontinued)")</f>
        <v>Playstation Plus (Discontinued)</v>
      </c>
      <c r="D1065" s="82" t="str">
        <f>IFERROR(__xludf.DUMMYFUNCTION("""COMPUTED_VALUE"""),"Removed")</f>
        <v>Removed</v>
      </c>
      <c r="E1065" s="84">
        <f>IFERROR(__xludf.DUMMYFUNCTION("""COMPUTED_VALUE"""),44446.0)</f>
        <v>44446</v>
      </c>
      <c r="F1065" s="85">
        <f>IFERROR(__xludf.DUMMYFUNCTION("""COMPUTED_VALUE"""),44473.0)</f>
        <v>44473</v>
      </c>
      <c r="G1065" s="86">
        <f>IFERROR(__xludf.DUMMYFUNCTION("""COMPUTED_VALUE"""),0.8999999999999999)</f>
        <v>0.9</v>
      </c>
      <c r="H1065" s="84">
        <f>IFERROR(__xludf.DUMMYFUNCTION("""COMPUTED_VALUE"""),43417.0)</f>
        <v>43417</v>
      </c>
      <c r="I1065" s="86">
        <f>IFERROR(__xludf.DUMMYFUNCTION("""COMPUTED_VALUE"""),2.816666666666667)</f>
        <v>2.816666667</v>
      </c>
      <c r="J1065" s="87">
        <f>IFERROR(__xludf.DUMMYFUNCTION("""COMPUTED_VALUE"""),82.0)</f>
        <v>82</v>
      </c>
      <c r="K1065" s="88">
        <f>IFERROR(__xludf.DUMMYFUNCTION("""COMPUTED_VALUE"""),7.9)</f>
        <v>7.9</v>
      </c>
      <c r="L1065" s="89">
        <f>IFERROR(__xludf.DUMMYFUNCTION("""COMPUTED_VALUE"""),10.0)</f>
        <v>10</v>
      </c>
      <c r="M1065" s="26" t="str">
        <f>IFERROR(__xludf.DUMMYFUNCTION("""COMPUTED_VALUE"""),"Action-Adventure")</f>
        <v>Action-Adventure</v>
      </c>
      <c r="N1065" s="26"/>
      <c r="O1065" s="26" t="str">
        <f>IFERROR(__xludf.DUMMYFUNCTION("""COMPUTED_VALUE"""),"No")</f>
        <v>No</v>
      </c>
      <c r="P1065" s="26"/>
    </row>
    <row r="1066">
      <c r="A1066" s="81" t="str">
        <f>IFERROR(__xludf.DUMMYFUNCTION("""COMPUTED_VALUE"""),"Hunter’s Arena: Legends")</f>
        <v>Hunter’s Arena: Legends</v>
      </c>
      <c r="B1066" s="82" t="str">
        <f>IFERROR(__xludf.DUMMYFUNCTION("""COMPUTED_VALUE"""),"PS5/PS4")</f>
        <v>PS5/PS4</v>
      </c>
      <c r="C1066" s="83" t="str">
        <f>IFERROR(__xludf.DUMMYFUNCTION("""COMPUTED_VALUE"""),"Playstation Plus (Discontinued)")</f>
        <v>Playstation Plus (Discontinued)</v>
      </c>
      <c r="D1066" s="82" t="str">
        <f>IFERROR(__xludf.DUMMYFUNCTION("""COMPUTED_VALUE"""),"Removed")</f>
        <v>Removed</v>
      </c>
      <c r="E1066" s="84">
        <f>IFERROR(__xludf.DUMMYFUNCTION("""COMPUTED_VALUE"""),44411.0)</f>
        <v>44411</v>
      </c>
      <c r="F1066" s="85">
        <f>IFERROR(__xludf.DUMMYFUNCTION("""COMPUTED_VALUE"""),44445.0)</f>
        <v>44445</v>
      </c>
      <c r="G1066" s="86">
        <f>IFERROR(__xludf.DUMMYFUNCTION("""COMPUTED_VALUE"""),1.0999999999999999)</f>
        <v>1.1</v>
      </c>
      <c r="H1066" s="84">
        <f>IFERROR(__xludf.DUMMYFUNCTION("""COMPUTED_VALUE"""),44411.0)</f>
        <v>44411</v>
      </c>
      <c r="I1066" s="86">
        <f>IFERROR(__xludf.DUMMYFUNCTION("""COMPUTED_VALUE"""),0.0)</f>
        <v>0</v>
      </c>
      <c r="J1066" s="87">
        <f>IFERROR(__xludf.DUMMYFUNCTION("""COMPUTED_VALUE"""),48.0)</f>
        <v>48</v>
      </c>
      <c r="K1066" s="88">
        <f>IFERROR(__xludf.DUMMYFUNCTION("""COMPUTED_VALUE"""),5.6)</f>
        <v>5.6</v>
      </c>
      <c r="L1066" s="89"/>
      <c r="M1066" s="26" t="str">
        <f>IFERROR(__xludf.DUMMYFUNCTION("""COMPUTED_VALUE"""),"Action-Adventure")</f>
        <v>Action-Adventure</v>
      </c>
      <c r="N1066" s="26"/>
      <c r="O1066" s="26" t="str">
        <f>IFERROR(__xludf.DUMMYFUNCTION("""COMPUTED_VALUE"""),"No")</f>
        <v>No</v>
      </c>
      <c r="P1066" s="26"/>
    </row>
    <row r="1067">
      <c r="A1067" s="81" t="str">
        <f>IFERROR(__xludf.DUMMYFUNCTION("""COMPUTED_VALUE"""),"Plants vs. Zombies: Battle for Neighborville")</f>
        <v>Plants vs. Zombies: Battle for Neighborville</v>
      </c>
      <c r="B1067" s="82" t="str">
        <f>IFERROR(__xludf.DUMMYFUNCTION("""COMPUTED_VALUE"""),"PS4")</f>
        <v>PS4</v>
      </c>
      <c r="C1067" s="83" t="str">
        <f>IFERROR(__xludf.DUMMYFUNCTION("""COMPUTED_VALUE"""),"Playstation Plus (Discontinued)")</f>
        <v>Playstation Plus (Discontinued)</v>
      </c>
      <c r="D1067" s="82" t="str">
        <f>IFERROR(__xludf.DUMMYFUNCTION("""COMPUTED_VALUE"""),"Removed")</f>
        <v>Removed</v>
      </c>
      <c r="E1067" s="84">
        <f>IFERROR(__xludf.DUMMYFUNCTION("""COMPUTED_VALUE"""),44411.0)</f>
        <v>44411</v>
      </c>
      <c r="F1067" s="85">
        <f>IFERROR(__xludf.DUMMYFUNCTION("""COMPUTED_VALUE"""),44445.0)</f>
        <v>44445</v>
      </c>
      <c r="G1067" s="86">
        <f>IFERROR(__xludf.DUMMYFUNCTION("""COMPUTED_VALUE"""),1.0999999999999999)</f>
        <v>1.1</v>
      </c>
      <c r="H1067" s="84">
        <f>IFERROR(__xludf.DUMMYFUNCTION("""COMPUTED_VALUE"""),43712.0)</f>
        <v>43712</v>
      </c>
      <c r="I1067" s="86">
        <f>IFERROR(__xludf.DUMMYFUNCTION("""COMPUTED_VALUE"""),1.913888888888889)</f>
        <v>1.913888889</v>
      </c>
      <c r="J1067" s="87">
        <f>IFERROR(__xludf.DUMMYFUNCTION("""COMPUTED_VALUE"""),77.0)</f>
        <v>77</v>
      </c>
      <c r="K1067" s="88">
        <f>IFERROR(__xludf.DUMMYFUNCTION("""COMPUTED_VALUE"""),6.6)</f>
        <v>6.6</v>
      </c>
      <c r="L1067" s="89">
        <f>IFERROR(__xludf.DUMMYFUNCTION("""COMPUTED_VALUE"""),10.0)</f>
        <v>10</v>
      </c>
      <c r="M1067" s="26" t="str">
        <f>IFERROR(__xludf.DUMMYFUNCTION("""COMPUTED_VALUE"""),"Shooter")</f>
        <v>Shooter</v>
      </c>
      <c r="N1067" s="26"/>
      <c r="O1067" s="26" t="str">
        <f>IFERROR(__xludf.DUMMYFUNCTION("""COMPUTED_VALUE"""),"No")</f>
        <v>No</v>
      </c>
      <c r="P1067" s="26"/>
    </row>
    <row r="1068">
      <c r="A1068" s="81" t="str">
        <f>IFERROR(__xludf.DUMMYFUNCTION("""COMPUTED_VALUE"""),"Tennis World Tour 2")</f>
        <v>Tennis World Tour 2</v>
      </c>
      <c r="B1068" s="82" t="str">
        <f>IFERROR(__xludf.DUMMYFUNCTION("""COMPUTED_VALUE"""),"PS4")</f>
        <v>PS4</v>
      </c>
      <c r="C1068" s="83" t="str">
        <f>IFERROR(__xludf.DUMMYFUNCTION("""COMPUTED_VALUE"""),"Playstation Plus (Discontinued)")</f>
        <v>Playstation Plus (Discontinued)</v>
      </c>
      <c r="D1068" s="82" t="str">
        <f>IFERROR(__xludf.DUMMYFUNCTION("""COMPUTED_VALUE"""),"Removed")</f>
        <v>Removed</v>
      </c>
      <c r="E1068" s="84">
        <f>IFERROR(__xludf.DUMMYFUNCTION("""COMPUTED_VALUE"""),44411.0)</f>
        <v>44411</v>
      </c>
      <c r="F1068" s="85">
        <f>IFERROR(__xludf.DUMMYFUNCTION("""COMPUTED_VALUE"""),44445.0)</f>
        <v>44445</v>
      </c>
      <c r="G1068" s="86">
        <f>IFERROR(__xludf.DUMMYFUNCTION("""COMPUTED_VALUE"""),1.0999999999999999)</f>
        <v>1.1</v>
      </c>
      <c r="H1068" s="84">
        <f>IFERROR(__xludf.DUMMYFUNCTION("""COMPUTED_VALUE"""),44098.0)</f>
        <v>44098</v>
      </c>
      <c r="I1068" s="86">
        <f>IFERROR(__xludf.DUMMYFUNCTION("""COMPUTED_VALUE"""),0.8583333333333333)</f>
        <v>0.8583333333</v>
      </c>
      <c r="J1068" s="87">
        <f>IFERROR(__xludf.DUMMYFUNCTION("""COMPUTED_VALUE"""),56.0)</f>
        <v>56</v>
      </c>
      <c r="K1068" s="88">
        <f>IFERROR(__xludf.DUMMYFUNCTION("""COMPUTED_VALUE"""),5.9)</f>
        <v>5.9</v>
      </c>
      <c r="L1068" s="89"/>
      <c r="M1068" s="26" t="str">
        <f>IFERROR(__xludf.DUMMYFUNCTION("""COMPUTED_VALUE"""),"Sports")</f>
        <v>Sports</v>
      </c>
      <c r="N1068" s="26"/>
      <c r="O1068" s="26" t="str">
        <f>IFERROR(__xludf.DUMMYFUNCTION("""COMPUTED_VALUE"""),"No")</f>
        <v>No</v>
      </c>
      <c r="P1068" s="26"/>
    </row>
    <row r="1069">
      <c r="A1069" s="81" t="str">
        <f>IFERROR(__xludf.DUMMYFUNCTION("""COMPUTED_VALUE"""),"Virtua Fighter 5 Ultimate Showdown")</f>
        <v>Virtua Fighter 5 Ultimate Showdown</v>
      </c>
      <c r="B1069" s="82" t="str">
        <f>IFERROR(__xludf.DUMMYFUNCTION("""COMPUTED_VALUE"""),"PS4")</f>
        <v>PS4</v>
      </c>
      <c r="C1069" s="83" t="str">
        <f>IFERROR(__xludf.DUMMYFUNCTION("""COMPUTED_VALUE"""),"Playstation Plus (Discontinued)")</f>
        <v>Playstation Plus (Discontinued)</v>
      </c>
      <c r="D1069" s="82" t="str">
        <f>IFERROR(__xludf.DUMMYFUNCTION("""COMPUTED_VALUE"""),"Removed")</f>
        <v>Removed</v>
      </c>
      <c r="E1069" s="84">
        <f>IFERROR(__xludf.DUMMYFUNCTION("""COMPUTED_VALUE"""),44383.0)</f>
        <v>44383</v>
      </c>
      <c r="F1069" s="85">
        <f>IFERROR(__xludf.DUMMYFUNCTION("""COMPUTED_VALUE"""),44445.0)</f>
        <v>44445</v>
      </c>
      <c r="G1069" s="86">
        <f>IFERROR(__xludf.DUMMYFUNCTION("""COMPUTED_VALUE"""),2.0)</f>
        <v>2</v>
      </c>
      <c r="H1069" s="84">
        <f>IFERROR(__xludf.DUMMYFUNCTION("""COMPUTED_VALUE"""),44348.0)</f>
        <v>44348</v>
      </c>
      <c r="I1069" s="86">
        <f>IFERROR(__xludf.DUMMYFUNCTION("""COMPUTED_VALUE"""),0.09722222222222222)</f>
        <v>0.09722222222</v>
      </c>
      <c r="J1069" s="87">
        <f>IFERROR(__xludf.DUMMYFUNCTION("""COMPUTED_VALUE"""),78.0)</f>
        <v>78</v>
      </c>
      <c r="K1069" s="88">
        <f>IFERROR(__xludf.DUMMYFUNCTION("""COMPUTED_VALUE"""),7.8)</f>
        <v>7.8</v>
      </c>
      <c r="L1069" s="89"/>
      <c r="M1069" s="26" t="str">
        <f>IFERROR(__xludf.DUMMYFUNCTION("""COMPUTED_VALUE"""),"Fighting")</f>
        <v>Fighting</v>
      </c>
      <c r="N1069" s="26"/>
      <c r="O1069" s="26" t="str">
        <f>IFERROR(__xludf.DUMMYFUNCTION("""COMPUTED_VALUE"""),"No")</f>
        <v>No</v>
      </c>
      <c r="P1069" s="26"/>
    </row>
    <row r="1070">
      <c r="A1070" s="81" t="str">
        <f>IFERROR(__xludf.DUMMYFUNCTION("""COMPUTED_VALUE"""),"The Witcher 3: Wild Hunt - Game of the Year Edition")</f>
        <v>The Witcher 3: Wild Hunt - Game of the Year Edition</v>
      </c>
      <c r="B1070" s="82" t="str">
        <f>IFERROR(__xludf.DUMMYFUNCTION("""COMPUTED_VALUE"""),"PS5/PS4")</f>
        <v>PS5/PS4</v>
      </c>
      <c r="C1070" s="83" t="str">
        <f>IFERROR(__xludf.DUMMYFUNCTION("""COMPUTED_VALUE"""),"Playstation Now (Discontinued)")</f>
        <v>Playstation Now (Discontinued)</v>
      </c>
      <c r="D1070" s="82" t="str">
        <f>IFERROR(__xludf.DUMMYFUNCTION("""COMPUTED_VALUE"""),"Removed")</f>
        <v>Removed</v>
      </c>
      <c r="E1070" s="84">
        <f>IFERROR(__xludf.DUMMYFUNCTION("""COMPUTED_VALUE"""),44348.0)</f>
        <v>44348</v>
      </c>
      <c r="F1070" s="85">
        <f>IFERROR(__xludf.DUMMYFUNCTION("""COMPUTED_VALUE"""),44445.0)</f>
        <v>44445</v>
      </c>
      <c r="G1070" s="86">
        <f>IFERROR(__xludf.DUMMYFUNCTION("""COMPUTED_VALUE"""),3.166666666666667)</f>
        <v>3.166666667</v>
      </c>
      <c r="H1070" s="84">
        <f>IFERROR(__xludf.DUMMYFUNCTION("""COMPUTED_VALUE"""),42612.0)</f>
        <v>42612</v>
      </c>
      <c r="I1070" s="86">
        <f>IFERROR(__xludf.DUMMYFUNCTION("""COMPUTED_VALUE"""),4.752777777777778)</f>
        <v>4.752777778</v>
      </c>
      <c r="J1070" s="87">
        <f>IFERROR(__xludf.DUMMYFUNCTION("""COMPUTED_VALUE"""),92.0)</f>
        <v>92</v>
      </c>
      <c r="K1070" s="88">
        <f>IFERROR(__xludf.DUMMYFUNCTION("""COMPUTED_VALUE"""),9.2)</f>
        <v>9.2</v>
      </c>
      <c r="L1070" s="89">
        <f>IFERROR(__xludf.DUMMYFUNCTION("""COMPUTED_VALUE"""),51.0)</f>
        <v>51</v>
      </c>
      <c r="M1070" s="26" t="str">
        <f>IFERROR(__xludf.DUMMYFUNCTION("""COMPUTED_VALUE"""),"RPG")</f>
        <v>RPG</v>
      </c>
      <c r="N1070" s="26"/>
      <c r="O1070" s="26" t="str">
        <f>IFERROR(__xludf.DUMMYFUNCTION("""COMPUTED_VALUE"""),"No")</f>
        <v>No</v>
      </c>
      <c r="P1070" s="26"/>
    </row>
    <row r="1071">
      <c r="A1071" s="81" t="str">
        <f>IFERROR(__xludf.DUMMYFUNCTION("""COMPUTED_VALUE"""),"A Plague Tale: Innocence")</f>
        <v>A Plague Tale: Innocence</v>
      </c>
      <c r="B1071" s="82" t="str">
        <f>IFERROR(__xludf.DUMMYFUNCTION("""COMPUTED_VALUE"""),"PS5")</f>
        <v>PS5</v>
      </c>
      <c r="C1071" s="83" t="str">
        <f>IFERROR(__xludf.DUMMYFUNCTION("""COMPUTED_VALUE"""),"Playstation Plus (Discontinued)")</f>
        <v>Playstation Plus (Discontinued)</v>
      </c>
      <c r="D1071" s="82" t="str">
        <f>IFERROR(__xludf.DUMMYFUNCTION("""COMPUTED_VALUE"""),"Removed")</f>
        <v>Removed</v>
      </c>
      <c r="E1071" s="84">
        <f>IFERROR(__xludf.DUMMYFUNCTION("""COMPUTED_VALUE"""),44383.0)</f>
        <v>44383</v>
      </c>
      <c r="F1071" s="85">
        <f>IFERROR(__xludf.DUMMYFUNCTION("""COMPUTED_VALUE"""),44410.0)</f>
        <v>44410</v>
      </c>
      <c r="G1071" s="86">
        <f>IFERROR(__xludf.DUMMYFUNCTION("""COMPUTED_VALUE"""),0.8666666666666666)</f>
        <v>0.8666666667</v>
      </c>
      <c r="H1071" s="84">
        <f>IFERROR(__xludf.DUMMYFUNCTION("""COMPUTED_VALUE"""),43599.0)</f>
        <v>43599</v>
      </c>
      <c r="I1071" s="86">
        <f>IFERROR(__xludf.DUMMYFUNCTION("""COMPUTED_VALUE"""),2.1444444444444444)</f>
        <v>2.144444444</v>
      </c>
      <c r="J1071" s="87">
        <f>IFERROR(__xludf.DUMMYFUNCTION("""COMPUTED_VALUE"""),81.0)</f>
        <v>81</v>
      </c>
      <c r="K1071" s="88">
        <f>IFERROR(__xludf.DUMMYFUNCTION("""COMPUTED_VALUE"""),8.2)</f>
        <v>8.2</v>
      </c>
      <c r="L1071" s="89">
        <f>IFERROR(__xludf.DUMMYFUNCTION("""COMPUTED_VALUE"""),11.0)</f>
        <v>11</v>
      </c>
      <c r="M1071" s="26" t="str">
        <f>IFERROR(__xludf.DUMMYFUNCTION("""COMPUTED_VALUE"""),"Action-Adventure")</f>
        <v>Action-Adventure</v>
      </c>
      <c r="N1071" s="26"/>
      <c r="O1071" s="26" t="str">
        <f>IFERROR(__xludf.DUMMYFUNCTION("""COMPUTED_VALUE"""),"No")</f>
        <v>No</v>
      </c>
      <c r="P1071" s="26"/>
    </row>
    <row r="1072">
      <c r="A1072" s="81" t="str">
        <f>IFERROR(__xludf.DUMMYFUNCTION("""COMPUTED_VALUE"""),"Call of Duty: Black Ops 4")</f>
        <v>Call of Duty: Black Ops 4</v>
      </c>
      <c r="B1072" s="82" t="str">
        <f>IFERROR(__xludf.DUMMYFUNCTION("""COMPUTED_VALUE"""),"PS4")</f>
        <v>PS4</v>
      </c>
      <c r="C1072" s="83" t="str">
        <f>IFERROR(__xludf.DUMMYFUNCTION("""COMPUTED_VALUE"""),"Playstation Plus (Discontinued)")</f>
        <v>Playstation Plus (Discontinued)</v>
      </c>
      <c r="D1072" s="82" t="str">
        <f>IFERROR(__xludf.DUMMYFUNCTION("""COMPUTED_VALUE"""),"Removed")</f>
        <v>Removed</v>
      </c>
      <c r="E1072" s="84">
        <f>IFERROR(__xludf.DUMMYFUNCTION("""COMPUTED_VALUE"""),44383.0)</f>
        <v>44383</v>
      </c>
      <c r="F1072" s="85">
        <f>IFERROR(__xludf.DUMMYFUNCTION("""COMPUTED_VALUE"""),44410.0)</f>
        <v>44410</v>
      </c>
      <c r="G1072" s="86">
        <f>IFERROR(__xludf.DUMMYFUNCTION("""COMPUTED_VALUE"""),0.8666666666666666)</f>
        <v>0.8666666667</v>
      </c>
      <c r="H1072" s="84">
        <f>IFERROR(__xludf.DUMMYFUNCTION("""COMPUTED_VALUE"""),43385.0)</f>
        <v>43385</v>
      </c>
      <c r="I1072" s="86">
        <f>IFERROR(__xludf.DUMMYFUNCTION("""COMPUTED_VALUE"""),2.7333333333333334)</f>
        <v>2.733333333</v>
      </c>
      <c r="J1072" s="87">
        <f>IFERROR(__xludf.DUMMYFUNCTION("""COMPUTED_VALUE"""),83.0)</f>
        <v>83</v>
      </c>
      <c r="K1072" s="88">
        <f>IFERROR(__xludf.DUMMYFUNCTION("""COMPUTED_VALUE"""),6.5)</f>
        <v>6.5</v>
      </c>
      <c r="L1072" s="89">
        <f>IFERROR(__xludf.DUMMYFUNCTION("""COMPUTED_VALUE"""),6.0)</f>
        <v>6</v>
      </c>
      <c r="M1072" s="26" t="str">
        <f>IFERROR(__xludf.DUMMYFUNCTION("""COMPUTED_VALUE"""),"Shooter")</f>
        <v>Shooter</v>
      </c>
      <c r="N1072" s="26"/>
      <c r="O1072" s="26" t="str">
        <f>IFERROR(__xludf.DUMMYFUNCTION("""COMPUTED_VALUE"""),"No")</f>
        <v>No</v>
      </c>
      <c r="P1072" s="26"/>
    </row>
    <row r="1073">
      <c r="A1073" s="81" t="str">
        <f>IFERROR(__xludf.DUMMYFUNCTION("""COMPUTED_VALUE"""),"WWE 2K Battlegrounds")</f>
        <v>WWE 2K Battlegrounds</v>
      </c>
      <c r="B1073" s="82" t="str">
        <f>IFERROR(__xludf.DUMMYFUNCTION("""COMPUTED_VALUE"""),"PS4")</f>
        <v>PS4</v>
      </c>
      <c r="C1073" s="83" t="str">
        <f>IFERROR(__xludf.DUMMYFUNCTION("""COMPUTED_VALUE"""),"Playstation Plus (Discontinued)")</f>
        <v>Playstation Plus (Discontinued)</v>
      </c>
      <c r="D1073" s="82" t="str">
        <f>IFERROR(__xludf.DUMMYFUNCTION("""COMPUTED_VALUE"""),"Removed")</f>
        <v>Removed</v>
      </c>
      <c r="E1073" s="84">
        <f>IFERROR(__xludf.DUMMYFUNCTION("""COMPUTED_VALUE"""),44383.0)</f>
        <v>44383</v>
      </c>
      <c r="F1073" s="85">
        <f>IFERROR(__xludf.DUMMYFUNCTION("""COMPUTED_VALUE"""),44410.0)</f>
        <v>44410</v>
      </c>
      <c r="G1073" s="86">
        <f>IFERROR(__xludf.DUMMYFUNCTION("""COMPUTED_VALUE"""),0.8666666666666666)</f>
        <v>0.8666666667</v>
      </c>
      <c r="H1073" s="84">
        <f>IFERROR(__xludf.DUMMYFUNCTION("""COMPUTED_VALUE"""),44092.0)</f>
        <v>44092</v>
      </c>
      <c r="I1073" s="86">
        <f>IFERROR(__xludf.DUMMYFUNCTION("""COMPUTED_VALUE"""),0.8)</f>
        <v>0.8</v>
      </c>
      <c r="J1073" s="87">
        <f>IFERROR(__xludf.DUMMYFUNCTION("""COMPUTED_VALUE"""),60.0)</f>
        <v>60</v>
      </c>
      <c r="K1073" s="88">
        <f>IFERROR(__xludf.DUMMYFUNCTION("""COMPUTED_VALUE"""),5.8)</f>
        <v>5.8</v>
      </c>
      <c r="L1073" s="89">
        <f>IFERROR(__xludf.DUMMYFUNCTION("""COMPUTED_VALUE"""),7.0)</f>
        <v>7</v>
      </c>
      <c r="M1073" s="26" t="str">
        <f>IFERROR(__xludf.DUMMYFUNCTION("""COMPUTED_VALUE"""),"Fighting")</f>
        <v>Fighting</v>
      </c>
      <c r="N1073" s="26"/>
      <c r="O1073" s="26" t="str">
        <f>IFERROR(__xludf.DUMMYFUNCTION("""COMPUTED_VALUE"""),"No")</f>
        <v>No</v>
      </c>
      <c r="P1073" s="26"/>
    </row>
    <row r="1074">
      <c r="A1074" s="81" t="str">
        <f>IFERROR(__xludf.DUMMYFUNCTION("""COMPUTED_VALUE"""),"Virtua Fighter 5 Ultimate Showdown")</f>
        <v>Virtua Fighter 5 Ultimate Showdown</v>
      </c>
      <c r="B1074" s="82" t="str">
        <f>IFERROR(__xludf.DUMMYFUNCTION("""COMPUTED_VALUE"""),"PS4")</f>
        <v>PS4</v>
      </c>
      <c r="C1074" s="83" t="str">
        <f>IFERROR(__xludf.DUMMYFUNCTION("""COMPUTED_VALUE"""),"Playstation Plus (Discontinued)")</f>
        <v>Playstation Plus (Discontinued)</v>
      </c>
      <c r="D1074" s="82" t="str">
        <f>IFERROR(__xludf.DUMMYFUNCTION("""COMPUTED_VALUE"""),"Removed")</f>
        <v>Removed</v>
      </c>
      <c r="E1074" s="84">
        <f>IFERROR(__xludf.DUMMYFUNCTION("""COMPUTED_VALUE"""),44348.0)</f>
        <v>44348</v>
      </c>
      <c r="F1074" s="85">
        <f>IFERROR(__xludf.DUMMYFUNCTION("""COMPUTED_VALUE"""),44410.0)</f>
        <v>44410</v>
      </c>
      <c r="G1074" s="86">
        <f>IFERROR(__xludf.DUMMYFUNCTION("""COMPUTED_VALUE"""),2.033333333333333)</f>
        <v>2.033333333</v>
      </c>
      <c r="H1074" s="84">
        <f>IFERROR(__xludf.DUMMYFUNCTION("""COMPUTED_VALUE"""),44348.0)</f>
        <v>44348</v>
      </c>
      <c r="I1074" s="86">
        <f>IFERROR(__xludf.DUMMYFUNCTION("""COMPUTED_VALUE"""),0.0)</f>
        <v>0</v>
      </c>
      <c r="J1074" s="87">
        <f>IFERROR(__xludf.DUMMYFUNCTION("""COMPUTED_VALUE"""),78.0)</f>
        <v>78</v>
      </c>
      <c r="K1074" s="88">
        <f>IFERROR(__xludf.DUMMYFUNCTION("""COMPUTED_VALUE"""),7.8)</f>
        <v>7.8</v>
      </c>
      <c r="L1074" s="89"/>
      <c r="M1074" s="26" t="str">
        <f>IFERROR(__xludf.DUMMYFUNCTION("""COMPUTED_VALUE"""),"Fighting")</f>
        <v>Fighting</v>
      </c>
      <c r="N1074" s="26"/>
      <c r="O1074" s="26" t="str">
        <f>IFERROR(__xludf.DUMMYFUNCTION("""COMPUTED_VALUE"""),"No")</f>
        <v>No</v>
      </c>
      <c r="P1074" s="26"/>
    </row>
    <row r="1075">
      <c r="A1075" s="81" t="str">
        <f>IFERROR(__xludf.DUMMYFUNCTION("""COMPUTED_VALUE"""),"Operation: Tango")</f>
        <v>Operation: Tango</v>
      </c>
      <c r="B1075" s="82" t="str">
        <f>IFERROR(__xludf.DUMMYFUNCTION("""COMPUTED_VALUE"""),"PS5")</f>
        <v>PS5</v>
      </c>
      <c r="C1075" s="83" t="str">
        <f>IFERROR(__xludf.DUMMYFUNCTION("""COMPUTED_VALUE"""),"Playstation Plus (Discontinued)")</f>
        <v>Playstation Plus (Discontinued)</v>
      </c>
      <c r="D1075" s="82" t="str">
        <f>IFERROR(__xludf.DUMMYFUNCTION("""COMPUTED_VALUE"""),"Removed")</f>
        <v>Removed</v>
      </c>
      <c r="E1075" s="84">
        <f>IFERROR(__xludf.DUMMYFUNCTION("""COMPUTED_VALUE"""),44348.0)</f>
        <v>44348</v>
      </c>
      <c r="F1075" s="85">
        <f>IFERROR(__xludf.DUMMYFUNCTION("""COMPUTED_VALUE"""),44382.0)</f>
        <v>44382</v>
      </c>
      <c r="G1075" s="86">
        <f>IFERROR(__xludf.DUMMYFUNCTION("""COMPUTED_VALUE"""),1.1333333333333333)</f>
        <v>1.133333333</v>
      </c>
      <c r="H1075" s="84">
        <f>IFERROR(__xludf.DUMMYFUNCTION("""COMPUTED_VALUE"""),44348.0)</f>
        <v>44348</v>
      </c>
      <c r="I1075" s="86">
        <f>IFERROR(__xludf.DUMMYFUNCTION("""COMPUTED_VALUE"""),0.0)</f>
        <v>0</v>
      </c>
      <c r="J1075" s="87">
        <f>IFERROR(__xludf.DUMMYFUNCTION("""COMPUTED_VALUE"""),72.0)</f>
        <v>72</v>
      </c>
      <c r="K1075" s="88">
        <f>IFERROR(__xludf.DUMMYFUNCTION("""COMPUTED_VALUE"""),7.0)</f>
        <v>7</v>
      </c>
      <c r="L1075" s="89">
        <f>IFERROR(__xludf.DUMMYFUNCTION("""COMPUTED_VALUE"""),5.0)</f>
        <v>5</v>
      </c>
      <c r="M1075" s="26" t="str">
        <f>IFERROR(__xludf.DUMMYFUNCTION("""COMPUTED_VALUE"""),"Adventure")</f>
        <v>Adventure</v>
      </c>
      <c r="N1075" s="26"/>
      <c r="O1075" s="26" t="str">
        <f>IFERROR(__xludf.DUMMYFUNCTION("""COMPUTED_VALUE"""),"No")</f>
        <v>No</v>
      </c>
      <c r="P1075" s="26"/>
    </row>
    <row r="1076">
      <c r="A1076" s="81" t="str">
        <f>IFERROR(__xludf.DUMMYFUNCTION("""COMPUTED_VALUE"""),"Star Wars: Squadrons")</f>
        <v>Star Wars: Squadrons</v>
      </c>
      <c r="B1076" s="82" t="str">
        <f>IFERROR(__xludf.DUMMYFUNCTION("""COMPUTED_VALUE"""),"PS4/PSVR")</f>
        <v>PS4/PSVR</v>
      </c>
      <c r="C1076" s="83" t="str">
        <f>IFERROR(__xludf.DUMMYFUNCTION("""COMPUTED_VALUE"""),"Playstation Plus (Discontinued)")</f>
        <v>Playstation Plus (Discontinued)</v>
      </c>
      <c r="D1076" s="82" t="str">
        <f>IFERROR(__xludf.DUMMYFUNCTION("""COMPUTED_VALUE"""),"Removed")</f>
        <v>Removed</v>
      </c>
      <c r="E1076" s="84">
        <f>IFERROR(__xludf.DUMMYFUNCTION("""COMPUTED_VALUE"""),44348.0)</f>
        <v>44348</v>
      </c>
      <c r="F1076" s="85">
        <f>IFERROR(__xludf.DUMMYFUNCTION("""COMPUTED_VALUE"""),44382.0)</f>
        <v>44382</v>
      </c>
      <c r="G1076" s="86">
        <f>IFERROR(__xludf.DUMMYFUNCTION("""COMPUTED_VALUE"""),1.1333333333333333)</f>
        <v>1.133333333</v>
      </c>
      <c r="H1076" s="84">
        <f>IFERROR(__xludf.DUMMYFUNCTION("""COMPUTED_VALUE"""),44106.0)</f>
        <v>44106</v>
      </c>
      <c r="I1076" s="86">
        <f>IFERROR(__xludf.DUMMYFUNCTION("""COMPUTED_VALUE"""),0.6638888888888889)</f>
        <v>0.6638888889</v>
      </c>
      <c r="J1076" s="87">
        <f>IFERROR(__xludf.DUMMYFUNCTION("""COMPUTED_VALUE"""),79.0)</f>
        <v>79</v>
      </c>
      <c r="K1076" s="88">
        <f>IFERROR(__xludf.DUMMYFUNCTION("""COMPUTED_VALUE"""),7.5)</f>
        <v>7.5</v>
      </c>
      <c r="L1076" s="89">
        <f>IFERROR(__xludf.DUMMYFUNCTION("""COMPUTED_VALUE"""),8.0)</f>
        <v>8</v>
      </c>
      <c r="M1076" s="26" t="str">
        <f>IFERROR(__xludf.DUMMYFUNCTION("""COMPUTED_VALUE"""),"Shooter")</f>
        <v>Shooter</v>
      </c>
      <c r="N1076" s="26"/>
      <c r="O1076" s="26" t="str">
        <f>IFERROR(__xludf.DUMMYFUNCTION("""COMPUTED_VALUE"""),"No")</f>
        <v>No</v>
      </c>
      <c r="P1076" s="26"/>
    </row>
    <row r="1077">
      <c r="A1077" s="81" t="str">
        <f>IFERROR(__xludf.DUMMYFUNCTION("""COMPUTED_VALUE"""),"Wreckfest")</f>
        <v>Wreckfest</v>
      </c>
      <c r="B1077" s="82" t="str">
        <f>IFERROR(__xludf.DUMMYFUNCTION("""COMPUTED_VALUE"""),"PS5")</f>
        <v>PS5</v>
      </c>
      <c r="C1077" s="83" t="str">
        <f>IFERROR(__xludf.DUMMYFUNCTION("""COMPUTED_VALUE"""),"Playstation Plus (Discontinued)")</f>
        <v>Playstation Plus (Discontinued)</v>
      </c>
      <c r="D1077" s="82" t="str">
        <f>IFERROR(__xludf.DUMMYFUNCTION("""COMPUTED_VALUE"""),"Removed")</f>
        <v>Removed</v>
      </c>
      <c r="E1077" s="84">
        <f>IFERROR(__xludf.DUMMYFUNCTION("""COMPUTED_VALUE"""),44320.0)</f>
        <v>44320</v>
      </c>
      <c r="F1077" s="85">
        <f>IFERROR(__xludf.DUMMYFUNCTION("""COMPUTED_VALUE"""),44347.0)</f>
        <v>44347</v>
      </c>
      <c r="G1077" s="86">
        <f>IFERROR(__xludf.DUMMYFUNCTION("""COMPUTED_VALUE"""),0.8666666666666666)</f>
        <v>0.8666666667</v>
      </c>
      <c r="H1077" s="84">
        <f>IFERROR(__xludf.DUMMYFUNCTION("""COMPUTED_VALUE"""),43704.0)</f>
        <v>43704</v>
      </c>
      <c r="I1077" s="86">
        <f>IFERROR(__xludf.DUMMYFUNCTION("""COMPUTED_VALUE"""),1.6861111111111111)</f>
        <v>1.686111111</v>
      </c>
      <c r="J1077" s="87">
        <f>IFERROR(__xludf.DUMMYFUNCTION("""COMPUTED_VALUE"""),79.0)</f>
        <v>79</v>
      </c>
      <c r="K1077" s="88">
        <f>IFERROR(__xludf.DUMMYFUNCTION("""COMPUTED_VALUE"""),7.6)</f>
        <v>7.6</v>
      </c>
      <c r="L1077" s="89">
        <f>IFERROR(__xludf.DUMMYFUNCTION("""COMPUTED_VALUE"""),14.0)</f>
        <v>14</v>
      </c>
      <c r="M1077" s="26" t="str">
        <f>IFERROR(__xludf.DUMMYFUNCTION("""COMPUTED_VALUE"""),"Racing")</f>
        <v>Racing</v>
      </c>
      <c r="N1077" s="26"/>
      <c r="O1077" s="26" t="str">
        <f>IFERROR(__xludf.DUMMYFUNCTION("""COMPUTED_VALUE"""),"No")</f>
        <v>No</v>
      </c>
      <c r="P1077" s="26"/>
    </row>
    <row r="1078">
      <c r="A1078" s="81" t="str">
        <f>IFERROR(__xludf.DUMMYFUNCTION("""COMPUTED_VALUE"""),"Battlefield V")</f>
        <v>Battlefield V</v>
      </c>
      <c r="B1078" s="82" t="str">
        <f>IFERROR(__xludf.DUMMYFUNCTION("""COMPUTED_VALUE"""),"PS4")</f>
        <v>PS4</v>
      </c>
      <c r="C1078" s="83" t="str">
        <f>IFERROR(__xludf.DUMMYFUNCTION("""COMPUTED_VALUE"""),"Playstation Plus (Discontinued)")</f>
        <v>Playstation Plus (Discontinued)</v>
      </c>
      <c r="D1078" s="82" t="str">
        <f>IFERROR(__xludf.DUMMYFUNCTION("""COMPUTED_VALUE"""),"Removed")</f>
        <v>Removed</v>
      </c>
      <c r="E1078" s="84">
        <f>IFERROR(__xludf.DUMMYFUNCTION("""COMPUTED_VALUE"""),44320.0)</f>
        <v>44320</v>
      </c>
      <c r="F1078" s="85">
        <f>IFERROR(__xludf.DUMMYFUNCTION("""COMPUTED_VALUE"""),44347.0)</f>
        <v>44347</v>
      </c>
      <c r="G1078" s="86">
        <f>IFERROR(__xludf.DUMMYFUNCTION("""COMPUTED_VALUE"""),0.8666666666666666)</f>
        <v>0.8666666667</v>
      </c>
      <c r="H1078" s="84">
        <f>IFERROR(__xludf.DUMMYFUNCTION("""COMPUTED_VALUE"""),43424.0)</f>
        <v>43424</v>
      </c>
      <c r="I1078" s="86">
        <f>IFERROR(__xludf.DUMMYFUNCTION("""COMPUTED_VALUE"""),2.4555555555555557)</f>
        <v>2.455555556</v>
      </c>
      <c r="J1078" s="87">
        <f>IFERROR(__xludf.DUMMYFUNCTION("""COMPUTED_VALUE"""),73.0)</f>
        <v>73</v>
      </c>
      <c r="K1078" s="88">
        <f>IFERROR(__xludf.DUMMYFUNCTION("""COMPUTED_VALUE"""),7.1)</f>
        <v>7.1</v>
      </c>
      <c r="L1078" s="89">
        <f>IFERROR(__xludf.DUMMYFUNCTION("""COMPUTED_VALUE"""),6.0)</f>
        <v>6</v>
      </c>
      <c r="M1078" s="26" t="str">
        <f>IFERROR(__xludf.DUMMYFUNCTION("""COMPUTED_VALUE"""),"Shooter")</f>
        <v>Shooter</v>
      </c>
      <c r="N1078" s="26"/>
      <c r="O1078" s="26" t="str">
        <f>IFERROR(__xludf.DUMMYFUNCTION("""COMPUTED_VALUE"""),"No")</f>
        <v>No</v>
      </c>
      <c r="P1078" s="26"/>
    </row>
    <row r="1079">
      <c r="A1079" s="81" t="str">
        <f>IFERROR(__xludf.DUMMYFUNCTION("""COMPUTED_VALUE"""),"Stranded Deep")</f>
        <v>Stranded Deep</v>
      </c>
      <c r="B1079" s="82" t="str">
        <f>IFERROR(__xludf.DUMMYFUNCTION("""COMPUTED_VALUE"""),"PS4")</f>
        <v>PS4</v>
      </c>
      <c r="C1079" s="83" t="str">
        <f>IFERROR(__xludf.DUMMYFUNCTION("""COMPUTED_VALUE"""),"Playstation Plus (Discontinued)")</f>
        <v>Playstation Plus (Discontinued)</v>
      </c>
      <c r="D1079" s="82" t="str">
        <f>IFERROR(__xludf.DUMMYFUNCTION("""COMPUTED_VALUE"""),"Removed")</f>
        <v>Removed</v>
      </c>
      <c r="E1079" s="84">
        <f>IFERROR(__xludf.DUMMYFUNCTION("""COMPUTED_VALUE"""),44320.0)</f>
        <v>44320</v>
      </c>
      <c r="F1079" s="85">
        <f>IFERROR(__xludf.DUMMYFUNCTION("""COMPUTED_VALUE"""),44347.0)</f>
        <v>44347</v>
      </c>
      <c r="G1079" s="86">
        <f>IFERROR(__xludf.DUMMYFUNCTION("""COMPUTED_VALUE"""),0.8666666666666666)</f>
        <v>0.8666666667</v>
      </c>
      <c r="H1079" s="84">
        <f>IFERROR(__xludf.DUMMYFUNCTION("""COMPUTED_VALUE"""),43942.0)</f>
        <v>43942</v>
      </c>
      <c r="I1079" s="86">
        <f>IFERROR(__xludf.DUMMYFUNCTION("""COMPUTED_VALUE"""),1.0361111111111112)</f>
        <v>1.036111111</v>
      </c>
      <c r="J1079" s="87">
        <f>IFERROR(__xludf.DUMMYFUNCTION("""COMPUTED_VALUE"""),64.0)</f>
        <v>64</v>
      </c>
      <c r="K1079" s="88">
        <f>IFERROR(__xludf.DUMMYFUNCTION("""COMPUTED_VALUE"""),6.0)</f>
        <v>6</v>
      </c>
      <c r="L1079" s="89">
        <f>IFERROR(__xludf.DUMMYFUNCTION("""COMPUTED_VALUE"""),23.0)</f>
        <v>23</v>
      </c>
      <c r="M1079" s="26" t="str">
        <f>IFERROR(__xludf.DUMMYFUNCTION("""COMPUTED_VALUE"""),"Survival")</f>
        <v>Survival</v>
      </c>
      <c r="N1079" s="26"/>
      <c r="O1079" s="26" t="str">
        <f>IFERROR(__xludf.DUMMYFUNCTION("""COMPUTED_VALUE"""),"No")</f>
        <v>No</v>
      </c>
      <c r="P1079" s="26"/>
    </row>
    <row r="1080">
      <c r="A1080" s="81" t="str">
        <f>IFERROR(__xludf.DUMMYFUNCTION("""COMPUTED_VALUE"""),"The Evil Within 2")</f>
        <v>The Evil Within 2</v>
      </c>
      <c r="B1080" s="82" t="str">
        <f>IFERROR(__xludf.DUMMYFUNCTION("""COMPUTED_VALUE"""),"PS5/PS4")</f>
        <v>PS5/PS4</v>
      </c>
      <c r="C1080" s="83" t="str">
        <f>IFERROR(__xludf.DUMMYFUNCTION("""COMPUTED_VALUE"""),"Playstation Now (Discontinued)")</f>
        <v>Playstation Now (Discontinued)</v>
      </c>
      <c r="D1080" s="82" t="str">
        <f>IFERROR(__xludf.DUMMYFUNCTION("""COMPUTED_VALUE"""),"Removed")</f>
        <v>Removed</v>
      </c>
      <c r="E1080" s="84">
        <f>IFERROR(__xludf.DUMMYFUNCTION("""COMPUTED_VALUE"""),43956.0)</f>
        <v>43956</v>
      </c>
      <c r="F1080" s="85">
        <f>IFERROR(__xludf.DUMMYFUNCTION("""COMPUTED_VALUE"""),44320.0)</f>
        <v>44320</v>
      </c>
      <c r="G1080" s="86">
        <f>IFERROR(__xludf.DUMMYFUNCTION("""COMPUTED_VALUE"""),11.966666666666667)</f>
        <v>11.96666667</v>
      </c>
      <c r="H1080" s="84">
        <f>IFERROR(__xludf.DUMMYFUNCTION("""COMPUTED_VALUE"""),43021.0)</f>
        <v>43021</v>
      </c>
      <c r="I1080" s="86">
        <f>IFERROR(__xludf.DUMMYFUNCTION("""COMPUTED_VALUE"""),2.561111111111111)</f>
        <v>2.561111111</v>
      </c>
      <c r="J1080" s="87">
        <f>IFERROR(__xludf.DUMMYFUNCTION("""COMPUTED_VALUE"""),76.0)</f>
        <v>76</v>
      </c>
      <c r="K1080" s="88">
        <f>IFERROR(__xludf.DUMMYFUNCTION("""COMPUTED_VALUE"""),7.8)</f>
        <v>7.8</v>
      </c>
      <c r="L1080" s="89">
        <f>IFERROR(__xludf.DUMMYFUNCTION("""COMPUTED_VALUE"""),13.0)</f>
        <v>13</v>
      </c>
      <c r="M1080" s="26" t="str">
        <f>IFERROR(__xludf.DUMMYFUNCTION("""COMPUTED_VALUE"""),"Action-Adventure")</f>
        <v>Action-Adventure</v>
      </c>
      <c r="N1080" s="26"/>
      <c r="O1080" s="26" t="str">
        <f>IFERROR(__xludf.DUMMYFUNCTION("""COMPUTED_VALUE"""),"No")</f>
        <v>No</v>
      </c>
      <c r="P1080" s="26"/>
    </row>
    <row r="1081">
      <c r="A1081" s="81" t="str">
        <f>IFERROR(__xludf.DUMMYFUNCTION("""COMPUTED_VALUE"""),"Oddworld: Soulstorm")</f>
        <v>Oddworld: Soulstorm</v>
      </c>
      <c r="B1081" s="82" t="str">
        <f>IFERROR(__xludf.DUMMYFUNCTION("""COMPUTED_VALUE"""),"PS5")</f>
        <v>PS5</v>
      </c>
      <c r="C1081" s="83" t="str">
        <f>IFERROR(__xludf.DUMMYFUNCTION("""COMPUTED_VALUE"""),"Playstation Plus (Discontinued)")</f>
        <v>Playstation Plus (Discontinued)</v>
      </c>
      <c r="D1081" s="82" t="str">
        <f>IFERROR(__xludf.DUMMYFUNCTION("""COMPUTED_VALUE"""),"Removed")</f>
        <v>Removed</v>
      </c>
      <c r="E1081" s="84">
        <f>IFERROR(__xludf.DUMMYFUNCTION("""COMPUTED_VALUE"""),44292.0)</f>
        <v>44292</v>
      </c>
      <c r="F1081" s="85">
        <f>IFERROR(__xludf.DUMMYFUNCTION("""COMPUTED_VALUE"""),44319.0)</f>
        <v>44319</v>
      </c>
      <c r="G1081" s="86">
        <f>IFERROR(__xludf.DUMMYFUNCTION("""COMPUTED_VALUE"""),0.8999999999999999)</f>
        <v>0.9</v>
      </c>
      <c r="H1081" s="84">
        <f>IFERROR(__xludf.DUMMYFUNCTION("""COMPUTED_VALUE"""),44292.0)</f>
        <v>44292</v>
      </c>
      <c r="I1081" s="86">
        <f>IFERROR(__xludf.DUMMYFUNCTION("""COMPUTED_VALUE"""),0.0)</f>
        <v>0</v>
      </c>
      <c r="J1081" s="87">
        <f>IFERROR(__xludf.DUMMYFUNCTION("""COMPUTED_VALUE"""),66.0)</f>
        <v>66</v>
      </c>
      <c r="K1081" s="88">
        <f>IFERROR(__xludf.DUMMYFUNCTION("""COMPUTED_VALUE"""),5.8)</f>
        <v>5.8</v>
      </c>
      <c r="L1081" s="89">
        <f>IFERROR(__xludf.DUMMYFUNCTION("""COMPUTED_VALUE"""),13.0)</f>
        <v>13</v>
      </c>
      <c r="M1081" s="26" t="str">
        <f>IFERROR(__xludf.DUMMYFUNCTION("""COMPUTED_VALUE"""),"Platformer")</f>
        <v>Platformer</v>
      </c>
      <c r="N1081" s="26"/>
      <c r="O1081" s="26" t="str">
        <f>IFERROR(__xludf.DUMMYFUNCTION("""COMPUTED_VALUE"""),"No")</f>
        <v>No</v>
      </c>
      <c r="P1081" s="26"/>
    </row>
    <row r="1082">
      <c r="A1082" s="81" t="str">
        <f>IFERROR(__xludf.DUMMYFUNCTION("""COMPUTED_VALUE"""),"Days Gone")</f>
        <v>Days Gone</v>
      </c>
      <c r="B1082" s="82" t="str">
        <f>IFERROR(__xludf.DUMMYFUNCTION("""COMPUTED_VALUE"""),"PS4")</f>
        <v>PS4</v>
      </c>
      <c r="C1082" s="83" t="str">
        <f>IFERROR(__xludf.DUMMYFUNCTION("""COMPUTED_VALUE"""),"Playstation Plus (Discontinued)")</f>
        <v>Playstation Plus (Discontinued)</v>
      </c>
      <c r="D1082" s="82" t="str">
        <f>IFERROR(__xludf.DUMMYFUNCTION("""COMPUTED_VALUE"""),"Removed")</f>
        <v>Removed</v>
      </c>
      <c r="E1082" s="84">
        <f>IFERROR(__xludf.DUMMYFUNCTION("""COMPUTED_VALUE"""),44292.0)</f>
        <v>44292</v>
      </c>
      <c r="F1082" s="85">
        <f>IFERROR(__xludf.DUMMYFUNCTION("""COMPUTED_VALUE"""),44319.0)</f>
        <v>44319</v>
      </c>
      <c r="G1082" s="86">
        <f>IFERROR(__xludf.DUMMYFUNCTION("""COMPUTED_VALUE"""),0.8999999999999999)</f>
        <v>0.9</v>
      </c>
      <c r="H1082" s="84">
        <f>IFERROR(__xludf.DUMMYFUNCTION("""COMPUTED_VALUE"""),43581.0)</f>
        <v>43581</v>
      </c>
      <c r="I1082" s="86">
        <f>IFERROR(__xludf.DUMMYFUNCTION("""COMPUTED_VALUE"""),1.9444444444444444)</f>
        <v>1.944444444</v>
      </c>
      <c r="J1082" s="87">
        <f>IFERROR(__xludf.DUMMYFUNCTION("""COMPUTED_VALUE"""),71.0)</f>
        <v>71</v>
      </c>
      <c r="K1082" s="88">
        <f>IFERROR(__xludf.DUMMYFUNCTION("""COMPUTED_VALUE"""),8.2)</f>
        <v>8.2</v>
      </c>
      <c r="L1082" s="89">
        <f>IFERROR(__xludf.DUMMYFUNCTION("""COMPUTED_VALUE"""),36.0)</f>
        <v>36</v>
      </c>
      <c r="M1082" s="26" t="str">
        <f>IFERROR(__xludf.DUMMYFUNCTION("""COMPUTED_VALUE"""),"Action-Adventure")</f>
        <v>Action-Adventure</v>
      </c>
      <c r="N1082" s="26"/>
      <c r="O1082" s="26" t="str">
        <f>IFERROR(__xludf.DUMMYFUNCTION("""COMPUTED_VALUE"""),"No")</f>
        <v>No</v>
      </c>
      <c r="P1082" s="26"/>
    </row>
    <row r="1083">
      <c r="A1083" s="81" t="str">
        <f>IFERROR(__xludf.DUMMYFUNCTION("""COMPUTED_VALUE"""),"Zombie Army 4: Dead War")</f>
        <v>Zombie Army 4: Dead War</v>
      </c>
      <c r="B1083" s="82" t="str">
        <f>IFERROR(__xludf.DUMMYFUNCTION("""COMPUTED_VALUE"""),"PS4")</f>
        <v>PS4</v>
      </c>
      <c r="C1083" s="83" t="str">
        <f>IFERROR(__xludf.DUMMYFUNCTION("""COMPUTED_VALUE"""),"Playstation Plus (Discontinued)")</f>
        <v>Playstation Plus (Discontinued)</v>
      </c>
      <c r="D1083" s="82" t="str">
        <f>IFERROR(__xludf.DUMMYFUNCTION("""COMPUTED_VALUE"""),"Removed")</f>
        <v>Removed</v>
      </c>
      <c r="E1083" s="84">
        <f>IFERROR(__xludf.DUMMYFUNCTION("""COMPUTED_VALUE"""),44292.0)</f>
        <v>44292</v>
      </c>
      <c r="F1083" s="85">
        <f>IFERROR(__xludf.DUMMYFUNCTION("""COMPUTED_VALUE"""),44319.0)</f>
        <v>44319</v>
      </c>
      <c r="G1083" s="86">
        <f>IFERROR(__xludf.DUMMYFUNCTION("""COMPUTED_VALUE"""),0.8999999999999999)</f>
        <v>0.9</v>
      </c>
      <c r="H1083" s="84">
        <f>IFERROR(__xludf.DUMMYFUNCTION("""COMPUTED_VALUE"""),43865.0)</f>
        <v>43865</v>
      </c>
      <c r="I1083" s="86">
        <f>IFERROR(__xludf.DUMMYFUNCTION("""COMPUTED_VALUE"""),1.1722222222222223)</f>
        <v>1.172222222</v>
      </c>
      <c r="J1083" s="87">
        <f>IFERROR(__xludf.DUMMYFUNCTION("""COMPUTED_VALUE"""),72.0)</f>
        <v>72</v>
      </c>
      <c r="K1083" s="88">
        <f>IFERROR(__xludf.DUMMYFUNCTION("""COMPUTED_VALUE"""),7.6)</f>
        <v>7.6</v>
      </c>
      <c r="L1083" s="89">
        <f>IFERROR(__xludf.DUMMYFUNCTION("""COMPUTED_VALUE"""),9.0)</f>
        <v>9</v>
      </c>
      <c r="M1083" s="26" t="str">
        <f>IFERROR(__xludf.DUMMYFUNCTION("""COMPUTED_VALUE"""),"Shooter")</f>
        <v>Shooter</v>
      </c>
      <c r="N1083" s="26"/>
      <c r="O1083" s="26" t="str">
        <f>IFERROR(__xludf.DUMMYFUNCTION("""COMPUTED_VALUE"""),"No")</f>
        <v>No</v>
      </c>
      <c r="P1083" s="26"/>
    </row>
    <row r="1084">
      <c r="A1084" s="81" t="str">
        <f>IFERROR(__xludf.DUMMYFUNCTION("""COMPUTED_VALUE"""),"Destruction AllStars")</f>
        <v>Destruction AllStars</v>
      </c>
      <c r="B1084" s="82" t="str">
        <f>IFERROR(__xludf.DUMMYFUNCTION("""COMPUTED_VALUE"""),"PS5")</f>
        <v>PS5</v>
      </c>
      <c r="C1084" s="83" t="str">
        <f>IFERROR(__xludf.DUMMYFUNCTION("""COMPUTED_VALUE"""),"Playstation Plus (Discontinued)")</f>
        <v>Playstation Plus (Discontinued)</v>
      </c>
      <c r="D1084" s="82" t="str">
        <f>IFERROR(__xludf.DUMMYFUNCTION("""COMPUTED_VALUE"""),"Removed")</f>
        <v>Removed</v>
      </c>
      <c r="E1084" s="84">
        <f>IFERROR(__xludf.DUMMYFUNCTION("""COMPUTED_VALUE"""),44229.0)</f>
        <v>44229</v>
      </c>
      <c r="F1084" s="85">
        <f>IFERROR(__xludf.DUMMYFUNCTION("""COMPUTED_VALUE"""),44319.0)</f>
        <v>44319</v>
      </c>
      <c r="G1084" s="86">
        <f>IFERROR(__xludf.DUMMYFUNCTION("""COMPUTED_VALUE"""),3.033333333333333)</f>
        <v>3.033333333</v>
      </c>
      <c r="H1084" s="84">
        <f>IFERROR(__xludf.DUMMYFUNCTION("""COMPUTED_VALUE"""),44229.0)</f>
        <v>44229</v>
      </c>
      <c r="I1084" s="86">
        <f>IFERROR(__xludf.DUMMYFUNCTION("""COMPUTED_VALUE"""),0.0)</f>
        <v>0</v>
      </c>
      <c r="J1084" s="87">
        <f>IFERROR(__xludf.DUMMYFUNCTION("""COMPUTED_VALUE"""),62.0)</f>
        <v>62</v>
      </c>
      <c r="K1084" s="88">
        <f>IFERROR(__xludf.DUMMYFUNCTION("""COMPUTED_VALUE"""),6.3)</f>
        <v>6.3</v>
      </c>
      <c r="L1084" s="89"/>
      <c r="M1084" s="26" t="str">
        <f>IFERROR(__xludf.DUMMYFUNCTION("""COMPUTED_VALUE"""),"Driving")</f>
        <v>Driving</v>
      </c>
      <c r="N1084" s="26"/>
      <c r="O1084" s="26" t="str">
        <f>IFERROR(__xludf.DUMMYFUNCTION("""COMPUTED_VALUE"""),"No")</f>
        <v>No</v>
      </c>
      <c r="P1084" s="26"/>
    </row>
    <row r="1085">
      <c r="A1085" s="81" t="str">
        <f>IFERROR(__xludf.DUMMYFUNCTION("""COMPUTED_VALUE"""),"Final Fantasy VII Remake")</f>
        <v>Final Fantasy VII Remake</v>
      </c>
      <c r="B1085" s="82" t="str">
        <f>IFERROR(__xludf.DUMMYFUNCTION("""COMPUTED_VALUE"""),"PS4")</f>
        <v>PS4</v>
      </c>
      <c r="C1085" s="83" t="str">
        <f>IFERROR(__xludf.DUMMYFUNCTION("""COMPUTED_VALUE"""),"Playstation Plus (Discontinued)")</f>
        <v>Playstation Plus (Discontinued)</v>
      </c>
      <c r="D1085" s="82" t="str">
        <f>IFERROR(__xludf.DUMMYFUNCTION("""COMPUTED_VALUE"""),"Removed")</f>
        <v>Removed</v>
      </c>
      <c r="E1085" s="84">
        <f>IFERROR(__xludf.DUMMYFUNCTION("""COMPUTED_VALUE"""),44257.0)</f>
        <v>44257</v>
      </c>
      <c r="F1085" s="85">
        <f>IFERROR(__xludf.DUMMYFUNCTION("""COMPUTED_VALUE"""),44291.0)</f>
        <v>44291</v>
      </c>
      <c r="G1085" s="86">
        <f>IFERROR(__xludf.DUMMYFUNCTION("""COMPUTED_VALUE"""),1.0999999999999999)</f>
        <v>1.1</v>
      </c>
      <c r="H1085" s="84">
        <f>IFERROR(__xludf.DUMMYFUNCTION("""COMPUTED_VALUE"""),43931.0)</f>
        <v>43931</v>
      </c>
      <c r="I1085" s="86">
        <f>IFERROR(__xludf.DUMMYFUNCTION("""COMPUTED_VALUE"""),0.8944444444444445)</f>
        <v>0.8944444444</v>
      </c>
      <c r="J1085" s="87">
        <f>IFERROR(__xludf.DUMMYFUNCTION("""COMPUTED_VALUE"""),87.0)</f>
        <v>87</v>
      </c>
      <c r="K1085" s="88">
        <f>IFERROR(__xludf.DUMMYFUNCTION("""COMPUTED_VALUE"""),8.1)</f>
        <v>8.1</v>
      </c>
      <c r="L1085" s="89">
        <f>IFERROR(__xludf.DUMMYFUNCTION("""COMPUTED_VALUE"""),35.0)</f>
        <v>35</v>
      </c>
      <c r="M1085" s="26" t="str">
        <f>IFERROR(__xludf.DUMMYFUNCTION("""COMPUTED_VALUE"""),"RPG")</f>
        <v>RPG</v>
      </c>
      <c r="N1085" s="26"/>
      <c r="O1085" s="26" t="str">
        <f>IFERROR(__xludf.DUMMYFUNCTION("""COMPUTED_VALUE"""),"No")</f>
        <v>No</v>
      </c>
      <c r="P1085" s="26"/>
    </row>
    <row r="1086">
      <c r="A1086" s="81" t="str">
        <f>IFERROR(__xludf.DUMMYFUNCTION("""COMPUTED_VALUE"""),"Remnant: From the Ashes")</f>
        <v>Remnant: From the Ashes</v>
      </c>
      <c r="B1086" s="82" t="str">
        <f>IFERROR(__xludf.DUMMYFUNCTION("""COMPUTED_VALUE"""),"PS4")</f>
        <v>PS4</v>
      </c>
      <c r="C1086" s="83" t="str">
        <f>IFERROR(__xludf.DUMMYFUNCTION("""COMPUTED_VALUE"""),"Playstation Plus (Discontinued)")</f>
        <v>Playstation Plus (Discontinued)</v>
      </c>
      <c r="D1086" s="82" t="str">
        <f>IFERROR(__xludf.DUMMYFUNCTION("""COMPUTED_VALUE"""),"Removed")</f>
        <v>Removed</v>
      </c>
      <c r="E1086" s="84">
        <f>IFERROR(__xludf.DUMMYFUNCTION("""COMPUTED_VALUE"""),44257.0)</f>
        <v>44257</v>
      </c>
      <c r="F1086" s="85">
        <f>IFERROR(__xludf.DUMMYFUNCTION("""COMPUTED_VALUE"""),44291.0)</f>
        <v>44291</v>
      </c>
      <c r="G1086" s="86">
        <f>IFERROR(__xludf.DUMMYFUNCTION("""COMPUTED_VALUE"""),1.0999999999999999)</f>
        <v>1.1</v>
      </c>
      <c r="H1086" s="84">
        <f>IFERROR(__xludf.DUMMYFUNCTION("""COMPUTED_VALUE"""),43697.0)</f>
        <v>43697</v>
      </c>
      <c r="I1086" s="86">
        <f>IFERROR(__xludf.DUMMYFUNCTION("""COMPUTED_VALUE"""),1.5333333333333334)</f>
        <v>1.533333333</v>
      </c>
      <c r="J1086" s="87">
        <f>IFERROR(__xludf.DUMMYFUNCTION("""COMPUTED_VALUE"""),77.0)</f>
        <v>77</v>
      </c>
      <c r="K1086" s="88">
        <f>IFERROR(__xludf.DUMMYFUNCTION("""COMPUTED_VALUE"""),7.9)</f>
        <v>7.9</v>
      </c>
      <c r="L1086" s="89">
        <f>IFERROR(__xludf.DUMMYFUNCTION("""COMPUTED_VALUE"""),13.0)</f>
        <v>13</v>
      </c>
      <c r="M1086" s="26" t="str">
        <f>IFERROR(__xludf.DUMMYFUNCTION("""COMPUTED_VALUE"""),"Shooter")</f>
        <v>Shooter</v>
      </c>
      <c r="N1086" s="26"/>
      <c r="O1086" s="26" t="str">
        <f>IFERROR(__xludf.DUMMYFUNCTION("""COMPUTED_VALUE"""),"No")</f>
        <v>No</v>
      </c>
      <c r="P1086" s="26"/>
    </row>
    <row r="1087">
      <c r="A1087" s="81" t="str">
        <f>IFERROR(__xludf.DUMMYFUNCTION("""COMPUTED_VALUE"""),"Maquette")</f>
        <v>Maquette</v>
      </c>
      <c r="B1087" s="82" t="str">
        <f>IFERROR(__xludf.DUMMYFUNCTION("""COMPUTED_VALUE"""),"PS5")</f>
        <v>PS5</v>
      </c>
      <c r="C1087" s="83" t="str">
        <f>IFERROR(__xludf.DUMMYFUNCTION("""COMPUTED_VALUE"""),"Playstation Plus (Discontinued)")</f>
        <v>Playstation Plus (Discontinued)</v>
      </c>
      <c r="D1087" s="82" t="str">
        <f>IFERROR(__xludf.DUMMYFUNCTION("""COMPUTED_VALUE"""),"Removed")</f>
        <v>Removed</v>
      </c>
      <c r="E1087" s="84">
        <f>IFERROR(__xludf.DUMMYFUNCTION("""COMPUTED_VALUE"""),44257.0)</f>
        <v>44257</v>
      </c>
      <c r="F1087" s="85">
        <f>IFERROR(__xludf.DUMMYFUNCTION("""COMPUTED_VALUE"""),44291.0)</f>
        <v>44291</v>
      </c>
      <c r="G1087" s="86">
        <f>IFERROR(__xludf.DUMMYFUNCTION("""COMPUTED_VALUE"""),1.0999999999999999)</f>
        <v>1.1</v>
      </c>
      <c r="H1087" s="84">
        <f>IFERROR(__xludf.DUMMYFUNCTION("""COMPUTED_VALUE"""),44257.0)</f>
        <v>44257</v>
      </c>
      <c r="I1087" s="86">
        <f>IFERROR(__xludf.DUMMYFUNCTION("""COMPUTED_VALUE"""),0.0)</f>
        <v>0</v>
      </c>
      <c r="J1087" s="87">
        <f>IFERROR(__xludf.DUMMYFUNCTION("""COMPUTED_VALUE"""),70.0)</f>
        <v>70</v>
      </c>
      <c r="K1087" s="88">
        <f>IFERROR(__xludf.DUMMYFUNCTION("""COMPUTED_VALUE"""),6.8)</f>
        <v>6.8</v>
      </c>
      <c r="L1087" s="89">
        <f>IFERROR(__xludf.DUMMYFUNCTION("""COMPUTED_VALUE"""),4.0)</f>
        <v>4</v>
      </c>
      <c r="M1087" s="26" t="str">
        <f>IFERROR(__xludf.DUMMYFUNCTION("""COMPUTED_VALUE"""),"Puzzle")</f>
        <v>Puzzle</v>
      </c>
      <c r="N1087" s="26"/>
      <c r="O1087" s="26" t="str">
        <f>IFERROR(__xludf.DUMMYFUNCTION("""COMPUTED_VALUE"""),"No")</f>
        <v>No</v>
      </c>
      <c r="P1087" s="26"/>
    </row>
    <row r="1088">
      <c r="A1088" s="81" t="str">
        <f>IFERROR(__xludf.DUMMYFUNCTION("""COMPUTED_VALUE"""),"Farpoint")</f>
        <v>Farpoint</v>
      </c>
      <c r="B1088" s="82" t="str">
        <f>IFERROR(__xludf.DUMMYFUNCTION("""COMPUTED_VALUE"""),"PS4/PSVR")</f>
        <v>PS4/PSVR</v>
      </c>
      <c r="C1088" s="83" t="str">
        <f>IFERROR(__xludf.DUMMYFUNCTION("""COMPUTED_VALUE"""),"Playstation Plus (Discontinued)")</f>
        <v>Playstation Plus (Discontinued)</v>
      </c>
      <c r="D1088" s="82" t="str">
        <f>IFERROR(__xludf.DUMMYFUNCTION("""COMPUTED_VALUE"""),"Removed")</f>
        <v>Removed</v>
      </c>
      <c r="E1088" s="84">
        <f>IFERROR(__xludf.DUMMYFUNCTION("""COMPUTED_VALUE"""),44257.0)</f>
        <v>44257</v>
      </c>
      <c r="F1088" s="85">
        <f>IFERROR(__xludf.DUMMYFUNCTION("""COMPUTED_VALUE"""),44291.0)</f>
        <v>44291</v>
      </c>
      <c r="G1088" s="86">
        <f>IFERROR(__xludf.DUMMYFUNCTION("""COMPUTED_VALUE"""),1.0999999999999999)</f>
        <v>1.1</v>
      </c>
      <c r="H1088" s="84">
        <f>IFERROR(__xludf.DUMMYFUNCTION("""COMPUTED_VALUE"""),42871.0)</f>
        <v>42871</v>
      </c>
      <c r="I1088" s="86">
        <f>IFERROR(__xludf.DUMMYFUNCTION("""COMPUTED_VALUE"""),3.7944444444444443)</f>
        <v>3.794444444</v>
      </c>
      <c r="J1088" s="87">
        <f>IFERROR(__xludf.DUMMYFUNCTION("""COMPUTED_VALUE"""),71.0)</f>
        <v>71</v>
      </c>
      <c r="K1088" s="88">
        <f>IFERROR(__xludf.DUMMYFUNCTION("""COMPUTED_VALUE"""),7.2)</f>
        <v>7.2</v>
      </c>
      <c r="L1088" s="89">
        <f>IFERROR(__xludf.DUMMYFUNCTION("""COMPUTED_VALUE"""),6.0)</f>
        <v>6</v>
      </c>
      <c r="M1088" s="26" t="str">
        <f>IFERROR(__xludf.DUMMYFUNCTION("""COMPUTED_VALUE"""),"Shooter")</f>
        <v>Shooter</v>
      </c>
      <c r="N1088" s="26"/>
      <c r="O1088" s="26" t="str">
        <f>IFERROR(__xludf.DUMMYFUNCTION("""COMPUTED_VALUE"""),"No")</f>
        <v>No</v>
      </c>
      <c r="P1088" s="26"/>
    </row>
    <row r="1089">
      <c r="A1089" s="81" t="str">
        <f>IFERROR(__xludf.DUMMYFUNCTION("""COMPUTED_VALUE"""),"Control: Ultimate Edition")</f>
        <v>Control: Ultimate Edition</v>
      </c>
      <c r="B1089" s="82" t="str">
        <f>IFERROR(__xludf.DUMMYFUNCTION("""COMPUTED_VALUE"""),"PS5/PS4")</f>
        <v>PS5/PS4</v>
      </c>
      <c r="C1089" s="83" t="str">
        <f>IFERROR(__xludf.DUMMYFUNCTION("""COMPUTED_VALUE"""),"Playstation Plus (Discontinued)")</f>
        <v>Playstation Plus (Discontinued)</v>
      </c>
      <c r="D1089" s="82" t="str">
        <f>IFERROR(__xludf.DUMMYFUNCTION("""COMPUTED_VALUE"""),"Removed")</f>
        <v>Removed</v>
      </c>
      <c r="E1089" s="84">
        <f>IFERROR(__xludf.DUMMYFUNCTION("""COMPUTED_VALUE"""),44229.0)</f>
        <v>44229</v>
      </c>
      <c r="F1089" s="85">
        <f>IFERROR(__xludf.DUMMYFUNCTION("""COMPUTED_VALUE"""),44256.0)</f>
        <v>44256</v>
      </c>
      <c r="G1089" s="86">
        <f>IFERROR(__xludf.DUMMYFUNCTION("""COMPUTED_VALUE"""),0.9666666666666668)</f>
        <v>0.9666666667</v>
      </c>
      <c r="H1089" s="84">
        <f>IFERROR(__xludf.DUMMYFUNCTION("""COMPUTED_VALUE"""),44229.0)</f>
        <v>44229</v>
      </c>
      <c r="I1089" s="86">
        <f>IFERROR(__xludf.DUMMYFUNCTION("""COMPUTED_VALUE"""),0.0)</f>
        <v>0</v>
      </c>
      <c r="J1089" s="87">
        <f>IFERROR(__xludf.DUMMYFUNCTION("""COMPUTED_VALUE"""),82.0)</f>
        <v>82</v>
      </c>
      <c r="K1089" s="88">
        <f>IFERROR(__xludf.DUMMYFUNCTION("""COMPUTED_VALUE"""),7.6)</f>
        <v>7.6</v>
      </c>
      <c r="L1089" s="89">
        <f>IFERROR(__xludf.DUMMYFUNCTION("""COMPUTED_VALUE"""),11.0)</f>
        <v>11</v>
      </c>
      <c r="M1089" s="26" t="str">
        <f>IFERROR(__xludf.DUMMYFUNCTION("""COMPUTED_VALUE"""),"Shooter")</f>
        <v>Shooter</v>
      </c>
      <c r="N1089" s="26"/>
      <c r="O1089" s="26" t="str">
        <f>IFERROR(__xludf.DUMMYFUNCTION("""COMPUTED_VALUE"""),"No")</f>
        <v>No</v>
      </c>
      <c r="P1089" s="26"/>
    </row>
    <row r="1090">
      <c r="A1090" s="81" t="str">
        <f>IFERROR(__xludf.DUMMYFUNCTION("""COMPUTED_VALUE"""),"Concrete Genie")</f>
        <v>Concrete Genie</v>
      </c>
      <c r="B1090" s="82" t="str">
        <f>IFERROR(__xludf.DUMMYFUNCTION("""COMPUTED_VALUE"""),"PS4")</f>
        <v>PS4</v>
      </c>
      <c r="C1090" s="83" t="str">
        <f>IFERROR(__xludf.DUMMYFUNCTION("""COMPUTED_VALUE"""),"Playstation Plus (Discontinued)")</f>
        <v>Playstation Plus (Discontinued)</v>
      </c>
      <c r="D1090" s="82" t="str">
        <f>IFERROR(__xludf.DUMMYFUNCTION("""COMPUTED_VALUE"""),"Removed")</f>
        <v>Removed</v>
      </c>
      <c r="E1090" s="84">
        <f>IFERROR(__xludf.DUMMYFUNCTION("""COMPUTED_VALUE"""),44229.0)</f>
        <v>44229</v>
      </c>
      <c r="F1090" s="85">
        <f>IFERROR(__xludf.DUMMYFUNCTION("""COMPUTED_VALUE"""),44256.0)</f>
        <v>44256</v>
      </c>
      <c r="G1090" s="86">
        <f>IFERROR(__xludf.DUMMYFUNCTION("""COMPUTED_VALUE"""),0.9666666666666668)</f>
        <v>0.9666666667</v>
      </c>
      <c r="H1090" s="84">
        <f>IFERROR(__xludf.DUMMYFUNCTION("""COMPUTED_VALUE"""),43746.0)</f>
        <v>43746</v>
      </c>
      <c r="I1090" s="86">
        <f>IFERROR(__xludf.DUMMYFUNCTION("""COMPUTED_VALUE"""),1.3166666666666667)</f>
        <v>1.316666667</v>
      </c>
      <c r="J1090" s="87">
        <f>IFERROR(__xludf.DUMMYFUNCTION("""COMPUTED_VALUE"""),75.0)</f>
        <v>75</v>
      </c>
      <c r="K1090" s="88">
        <f>IFERROR(__xludf.DUMMYFUNCTION("""COMPUTED_VALUE"""),7.6)</f>
        <v>7.6</v>
      </c>
      <c r="L1090" s="89">
        <f>IFERROR(__xludf.DUMMYFUNCTION("""COMPUTED_VALUE"""),5.0)</f>
        <v>5</v>
      </c>
      <c r="M1090" s="26" t="str">
        <f>IFERROR(__xludf.DUMMYFUNCTION("""COMPUTED_VALUE"""),"Action-Adventure")</f>
        <v>Action-Adventure</v>
      </c>
      <c r="N1090" s="26"/>
      <c r="O1090" s="26" t="str">
        <f>IFERROR(__xludf.DUMMYFUNCTION("""COMPUTED_VALUE"""),"No")</f>
        <v>No</v>
      </c>
      <c r="P1090" s="26"/>
    </row>
    <row r="1091">
      <c r="A1091" s="81" t="str">
        <f>IFERROR(__xludf.DUMMYFUNCTION("""COMPUTED_VALUE"""),"Maneater")</f>
        <v>Maneater</v>
      </c>
      <c r="B1091" s="82" t="str">
        <f>IFERROR(__xludf.DUMMYFUNCTION("""COMPUTED_VALUE"""),"PS5")</f>
        <v>PS5</v>
      </c>
      <c r="C1091" s="83" t="str">
        <f>IFERROR(__xludf.DUMMYFUNCTION("""COMPUTED_VALUE"""),"Playstation Plus (Discontinued)")</f>
        <v>Playstation Plus (Discontinued)</v>
      </c>
      <c r="D1091" s="82" t="str">
        <f>IFERROR(__xludf.DUMMYFUNCTION("""COMPUTED_VALUE"""),"Removed")</f>
        <v>Removed</v>
      </c>
      <c r="E1091" s="84">
        <f>IFERROR(__xludf.DUMMYFUNCTION("""COMPUTED_VALUE"""),44201.0)</f>
        <v>44201</v>
      </c>
      <c r="F1091" s="85">
        <f>IFERROR(__xludf.DUMMYFUNCTION("""COMPUTED_VALUE"""),44228.0)</f>
        <v>44228</v>
      </c>
      <c r="G1091" s="86">
        <f>IFERROR(__xludf.DUMMYFUNCTION("""COMPUTED_VALUE"""),0.8666666666666666)</f>
        <v>0.8666666667</v>
      </c>
      <c r="H1091" s="84">
        <f>IFERROR(__xludf.DUMMYFUNCTION("""COMPUTED_VALUE"""),43973.0)</f>
        <v>43973</v>
      </c>
      <c r="I1091" s="86">
        <f>IFERROR(__xludf.DUMMYFUNCTION("""COMPUTED_VALUE"""),0.6194444444444445)</f>
        <v>0.6194444444</v>
      </c>
      <c r="J1091" s="87">
        <f>IFERROR(__xludf.DUMMYFUNCTION("""COMPUTED_VALUE"""),68.0)</f>
        <v>68</v>
      </c>
      <c r="K1091" s="88">
        <f>IFERROR(__xludf.DUMMYFUNCTION("""COMPUTED_VALUE"""),7.3)</f>
        <v>7.3</v>
      </c>
      <c r="L1091" s="89">
        <f>IFERROR(__xludf.DUMMYFUNCTION("""COMPUTED_VALUE"""),9.0)</f>
        <v>9</v>
      </c>
      <c r="M1091" s="26" t="str">
        <f>IFERROR(__xludf.DUMMYFUNCTION("""COMPUTED_VALUE"""),"Action-Adventure")</f>
        <v>Action-Adventure</v>
      </c>
      <c r="N1091" s="26"/>
      <c r="O1091" s="26" t="str">
        <f>IFERROR(__xludf.DUMMYFUNCTION("""COMPUTED_VALUE"""),"No")</f>
        <v>No</v>
      </c>
      <c r="P1091" s="26"/>
    </row>
    <row r="1092">
      <c r="A1092" s="81" t="str">
        <f>IFERROR(__xludf.DUMMYFUNCTION("""COMPUTED_VALUE"""),"Shadow of the Tomb Raider")</f>
        <v>Shadow of the Tomb Raider</v>
      </c>
      <c r="B1092" s="82" t="str">
        <f>IFERROR(__xludf.DUMMYFUNCTION("""COMPUTED_VALUE"""),"PS4")</f>
        <v>PS4</v>
      </c>
      <c r="C1092" s="83" t="str">
        <f>IFERROR(__xludf.DUMMYFUNCTION("""COMPUTED_VALUE"""),"Playstation Plus (Discontinued)")</f>
        <v>Playstation Plus (Discontinued)</v>
      </c>
      <c r="D1092" s="82" t="str">
        <f>IFERROR(__xludf.DUMMYFUNCTION("""COMPUTED_VALUE"""),"Removed")</f>
        <v>Removed</v>
      </c>
      <c r="E1092" s="84">
        <f>IFERROR(__xludf.DUMMYFUNCTION("""COMPUTED_VALUE"""),44201.0)</f>
        <v>44201</v>
      </c>
      <c r="F1092" s="85">
        <f>IFERROR(__xludf.DUMMYFUNCTION("""COMPUTED_VALUE"""),44228.0)</f>
        <v>44228</v>
      </c>
      <c r="G1092" s="86">
        <f>IFERROR(__xludf.DUMMYFUNCTION("""COMPUTED_VALUE"""),0.8666666666666666)</f>
        <v>0.8666666667</v>
      </c>
      <c r="H1092" s="84">
        <f>IFERROR(__xludf.DUMMYFUNCTION("""COMPUTED_VALUE"""),43357.0)</f>
        <v>43357</v>
      </c>
      <c r="I1092" s="86">
        <f>IFERROR(__xludf.DUMMYFUNCTION("""COMPUTED_VALUE"""),2.308333333333333)</f>
        <v>2.308333333</v>
      </c>
      <c r="J1092" s="87">
        <f>IFERROR(__xludf.DUMMYFUNCTION("""COMPUTED_VALUE"""),75.0)</f>
        <v>75</v>
      </c>
      <c r="K1092" s="88">
        <f>IFERROR(__xludf.DUMMYFUNCTION("""COMPUTED_VALUE"""),7.5)</f>
        <v>7.5</v>
      </c>
      <c r="L1092" s="89">
        <f>IFERROR(__xludf.DUMMYFUNCTION("""COMPUTED_VALUE"""),13.0)</f>
        <v>13</v>
      </c>
      <c r="M1092" s="26" t="str">
        <f>IFERROR(__xludf.DUMMYFUNCTION("""COMPUTED_VALUE"""),"Action-Adventure")</f>
        <v>Action-Adventure</v>
      </c>
      <c r="N1092" s="26"/>
      <c r="O1092" s="26" t="str">
        <f>IFERROR(__xludf.DUMMYFUNCTION("""COMPUTED_VALUE"""),"No")</f>
        <v>No</v>
      </c>
      <c r="P1092" s="26"/>
    </row>
    <row r="1093">
      <c r="A1093" s="81" t="str">
        <f>IFERROR(__xludf.DUMMYFUNCTION("""COMPUTED_VALUE"""),"Greedfall")</f>
        <v>Greedfall</v>
      </c>
      <c r="B1093" s="82" t="str">
        <f>IFERROR(__xludf.DUMMYFUNCTION("""COMPUTED_VALUE"""),"PS4")</f>
        <v>PS4</v>
      </c>
      <c r="C1093" s="83" t="str">
        <f>IFERROR(__xludf.DUMMYFUNCTION("""COMPUTED_VALUE"""),"Playstation Plus (Discontinued)")</f>
        <v>Playstation Plus (Discontinued)</v>
      </c>
      <c r="D1093" s="82" t="str">
        <f>IFERROR(__xludf.DUMMYFUNCTION("""COMPUTED_VALUE"""),"Removed")</f>
        <v>Removed</v>
      </c>
      <c r="E1093" s="84">
        <f>IFERROR(__xludf.DUMMYFUNCTION("""COMPUTED_VALUE"""),44201.0)</f>
        <v>44201</v>
      </c>
      <c r="F1093" s="85">
        <f>IFERROR(__xludf.DUMMYFUNCTION("""COMPUTED_VALUE"""),44228.0)</f>
        <v>44228</v>
      </c>
      <c r="G1093" s="86">
        <f>IFERROR(__xludf.DUMMYFUNCTION("""COMPUTED_VALUE"""),0.8666666666666666)</f>
        <v>0.8666666667</v>
      </c>
      <c r="H1093" s="84">
        <f>IFERROR(__xludf.DUMMYFUNCTION("""COMPUTED_VALUE"""),43718.0)</f>
        <v>43718</v>
      </c>
      <c r="I1093" s="86">
        <f>IFERROR(__xludf.DUMMYFUNCTION("""COMPUTED_VALUE"""),1.3194444444444444)</f>
        <v>1.319444444</v>
      </c>
      <c r="J1093" s="87">
        <f>IFERROR(__xludf.DUMMYFUNCTION("""COMPUTED_VALUE"""),72.0)</f>
        <v>72</v>
      </c>
      <c r="K1093" s="88">
        <f>IFERROR(__xludf.DUMMYFUNCTION("""COMPUTED_VALUE"""),7.7)</f>
        <v>7.7</v>
      </c>
      <c r="L1093" s="89">
        <f>IFERROR(__xludf.DUMMYFUNCTION("""COMPUTED_VALUE"""),30.0)</f>
        <v>30</v>
      </c>
      <c r="M1093" s="26" t="str">
        <f>IFERROR(__xludf.DUMMYFUNCTION("""COMPUTED_VALUE"""),"RPG")</f>
        <v>RPG</v>
      </c>
      <c r="N1093" s="26"/>
      <c r="O1093" s="26" t="str">
        <f>IFERROR(__xludf.DUMMYFUNCTION("""COMPUTED_VALUE"""),"No")</f>
        <v>No</v>
      </c>
      <c r="P1093" s="26"/>
    </row>
    <row r="1094">
      <c r="A1094" s="81" t="str">
        <f>IFERROR(__xludf.DUMMYFUNCTION("""COMPUTED_VALUE"""),"HITMAN 2")</f>
        <v>HITMAN 2</v>
      </c>
      <c r="B1094" s="82" t="str">
        <f>IFERROR(__xludf.DUMMYFUNCTION("""COMPUTED_VALUE"""),"PS5/PS4")</f>
        <v>PS5/PS4</v>
      </c>
      <c r="C1094" s="83" t="str">
        <f>IFERROR(__xludf.DUMMYFUNCTION("""COMPUTED_VALUE"""),"Playstation Now (Discontinued)")</f>
        <v>Playstation Now (Discontinued)</v>
      </c>
      <c r="D1094" s="82" t="str">
        <f>IFERROR(__xludf.DUMMYFUNCTION("""COMPUTED_VALUE"""),"Removed")</f>
        <v>Removed</v>
      </c>
      <c r="E1094" s="84">
        <f>IFERROR(__xludf.DUMMYFUNCTION("""COMPUTED_VALUE"""),44047.0)</f>
        <v>44047</v>
      </c>
      <c r="F1094" s="85">
        <f>IFERROR(__xludf.DUMMYFUNCTION("""COMPUTED_VALUE"""),44228.0)</f>
        <v>44228</v>
      </c>
      <c r="G1094" s="86">
        <f>IFERROR(__xludf.DUMMYFUNCTION("""COMPUTED_VALUE"""),5.8999999999999995)</f>
        <v>5.9</v>
      </c>
      <c r="H1094" s="84">
        <f>IFERROR(__xludf.DUMMYFUNCTION("""COMPUTED_VALUE"""),43413.0)</f>
        <v>43413</v>
      </c>
      <c r="I1094" s="86">
        <f>IFERROR(__xludf.DUMMYFUNCTION("""COMPUTED_VALUE"""),1.7361111111111112)</f>
        <v>1.736111111</v>
      </c>
      <c r="J1094" s="87">
        <f>IFERROR(__xludf.DUMMYFUNCTION("""COMPUTED_VALUE"""),82.0)</f>
        <v>82</v>
      </c>
      <c r="K1094" s="88">
        <f>IFERROR(__xludf.DUMMYFUNCTION("""COMPUTED_VALUE"""),8.3)</f>
        <v>8.3</v>
      </c>
      <c r="L1094" s="89">
        <f>IFERROR(__xludf.DUMMYFUNCTION("""COMPUTED_VALUE"""),10.0)</f>
        <v>10</v>
      </c>
      <c r="M1094" s="26" t="str">
        <f>IFERROR(__xludf.DUMMYFUNCTION("""COMPUTED_VALUE"""),"Action-Adventure")</f>
        <v>Action-Adventure</v>
      </c>
      <c r="N1094" s="26"/>
      <c r="O1094" s="26" t="str">
        <f>IFERROR(__xludf.DUMMYFUNCTION("""COMPUTED_VALUE"""),"No")</f>
        <v>No</v>
      </c>
      <c r="P1094" s="26"/>
    </row>
    <row r="1095">
      <c r="A1095" s="81" t="str">
        <f>IFERROR(__xludf.DUMMYFUNCTION("""COMPUTED_VALUE"""),"Just Cause 4")</f>
        <v>Just Cause 4</v>
      </c>
      <c r="B1095" s="82" t="str">
        <f>IFERROR(__xludf.DUMMYFUNCTION("""COMPUTED_VALUE"""),"PS4")</f>
        <v>PS4</v>
      </c>
      <c r="C1095" s="83" t="str">
        <f>IFERROR(__xludf.DUMMYFUNCTION("""COMPUTED_VALUE"""),"Playstation Plus (Discontinued)")</f>
        <v>Playstation Plus (Discontinued)</v>
      </c>
      <c r="D1095" s="82" t="str">
        <f>IFERROR(__xludf.DUMMYFUNCTION("""COMPUTED_VALUE"""),"Removed")</f>
        <v>Removed</v>
      </c>
      <c r="E1095" s="84">
        <f>IFERROR(__xludf.DUMMYFUNCTION("""COMPUTED_VALUE"""),44166.0)</f>
        <v>44166</v>
      </c>
      <c r="F1095" s="85">
        <f>IFERROR(__xludf.DUMMYFUNCTION("""COMPUTED_VALUE"""),44200.0)</f>
        <v>44200</v>
      </c>
      <c r="G1095" s="86">
        <f>IFERROR(__xludf.DUMMYFUNCTION("""COMPUTED_VALUE"""),1.0999999999999999)</f>
        <v>1.1</v>
      </c>
      <c r="H1095" s="84">
        <f>IFERROR(__xludf.DUMMYFUNCTION("""COMPUTED_VALUE"""),43438.0)</f>
        <v>43438</v>
      </c>
      <c r="I1095" s="86">
        <f>IFERROR(__xludf.DUMMYFUNCTION("""COMPUTED_VALUE"""),1.9916666666666667)</f>
        <v>1.991666667</v>
      </c>
      <c r="J1095" s="87">
        <f>IFERROR(__xludf.DUMMYFUNCTION("""COMPUTED_VALUE"""),65.0)</f>
        <v>65</v>
      </c>
      <c r="K1095" s="88">
        <f>IFERROR(__xludf.DUMMYFUNCTION("""COMPUTED_VALUE"""),5.8)</f>
        <v>5.8</v>
      </c>
      <c r="L1095" s="89">
        <f>IFERROR(__xludf.DUMMYFUNCTION("""COMPUTED_VALUE"""),17.0)</f>
        <v>17</v>
      </c>
      <c r="M1095" s="26" t="str">
        <f>IFERROR(__xludf.DUMMYFUNCTION("""COMPUTED_VALUE"""),"Action-Adventure")</f>
        <v>Action-Adventure</v>
      </c>
      <c r="N1095" s="26"/>
      <c r="O1095" s="26" t="str">
        <f>IFERROR(__xludf.DUMMYFUNCTION("""COMPUTED_VALUE"""),"No")</f>
        <v>No</v>
      </c>
      <c r="P1095" s="26"/>
    </row>
    <row r="1096">
      <c r="A1096" s="81" t="str">
        <f>IFERROR(__xludf.DUMMYFUNCTION("""COMPUTED_VALUE"""),"Rocket Arena")</f>
        <v>Rocket Arena</v>
      </c>
      <c r="B1096" s="82" t="str">
        <f>IFERROR(__xludf.DUMMYFUNCTION("""COMPUTED_VALUE"""),"PS4")</f>
        <v>PS4</v>
      </c>
      <c r="C1096" s="83" t="str">
        <f>IFERROR(__xludf.DUMMYFUNCTION("""COMPUTED_VALUE"""),"Playstation Plus (Discontinued)")</f>
        <v>Playstation Plus (Discontinued)</v>
      </c>
      <c r="D1096" s="82" t="str">
        <f>IFERROR(__xludf.DUMMYFUNCTION("""COMPUTED_VALUE"""),"Removed")</f>
        <v>Removed</v>
      </c>
      <c r="E1096" s="84">
        <f>IFERROR(__xludf.DUMMYFUNCTION("""COMPUTED_VALUE"""),44166.0)</f>
        <v>44166</v>
      </c>
      <c r="F1096" s="85">
        <f>IFERROR(__xludf.DUMMYFUNCTION("""COMPUTED_VALUE"""),44200.0)</f>
        <v>44200</v>
      </c>
      <c r="G1096" s="86">
        <f>IFERROR(__xludf.DUMMYFUNCTION("""COMPUTED_VALUE"""),1.0999999999999999)</f>
        <v>1.1</v>
      </c>
      <c r="H1096" s="84">
        <f>IFERROR(__xludf.DUMMYFUNCTION("""COMPUTED_VALUE"""),44026.0)</f>
        <v>44026</v>
      </c>
      <c r="I1096" s="86">
        <f>IFERROR(__xludf.DUMMYFUNCTION("""COMPUTED_VALUE"""),0.38055555555555554)</f>
        <v>0.3805555556</v>
      </c>
      <c r="J1096" s="87">
        <f>IFERROR(__xludf.DUMMYFUNCTION("""COMPUTED_VALUE"""),68.0)</f>
        <v>68</v>
      </c>
      <c r="K1096" s="88">
        <f>IFERROR(__xludf.DUMMYFUNCTION("""COMPUTED_VALUE"""),5.8)</f>
        <v>5.8</v>
      </c>
      <c r="L1096" s="89"/>
      <c r="M1096" s="26" t="str">
        <f>IFERROR(__xludf.DUMMYFUNCTION("""COMPUTED_VALUE"""),"Shooter")</f>
        <v>Shooter</v>
      </c>
      <c r="N1096" s="26"/>
      <c r="O1096" s="26" t="str">
        <f>IFERROR(__xludf.DUMMYFUNCTION("""COMPUTED_VALUE"""),"No")</f>
        <v>No</v>
      </c>
      <c r="P1096" s="26"/>
    </row>
    <row r="1097">
      <c r="A1097" s="81" t="str">
        <f>IFERROR(__xludf.DUMMYFUNCTION("""COMPUTED_VALUE"""),"Worms Rumble")</f>
        <v>Worms Rumble</v>
      </c>
      <c r="B1097" s="82" t="str">
        <f>IFERROR(__xludf.DUMMYFUNCTION("""COMPUTED_VALUE"""),"PS5/PS4")</f>
        <v>PS5/PS4</v>
      </c>
      <c r="C1097" s="83" t="str">
        <f>IFERROR(__xludf.DUMMYFUNCTION("""COMPUTED_VALUE"""),"Playstation Plus (Discontinued)")</f>
        <v>Playstation Plus (Discontinued)</v>
      </c>
      <c r="D1097" s="82" t="str">
        <f>IFERROR(__xludf.DUMMYFUNCTION("""COMPUTED_VALUE"""),"Removed")</f>
        <v>Removed</v>
      </c>
      <c r="E1097" s="84">
        <f>IFERROR(__xludf.DUMMYFUNCTION("""COMPUTED_VALUE"""),44166.0)</f>
        <v>44166</v>
      </c>
      <c r="F1097" s="85">
        <f>IFERROR(__xludf.DUMMYFUNCTION("""COMPUTED_VALUE"""),44200.0)</f>
        <v>44200</v>
      </c>
      <c r="G1097" s="86">
        <f>IFERROR(__xludf.DUMMYFUNCTION("""COMPUTED_VALUE"""),1.0999999999999999)</f>
        <v>1.1</v>
      </c>
      <c r="H1097" s="84">
        <f>IFERROR(__xludf.DUMMYFUNCTION("""COMPUTED_VALUE"""),44166.0)</f>
        <v>44166</v>
      </c>
      <c r="I1097" s="86">
        <f>IFERROR(__xludf.DUMMYFUNCTION("""COMPUTED_VALUE"""),0.0)</f>
        <v>0</v>
      </c>
      <c r="J1097" s="87">
        <f>IFERROR(__xludf.DUMMYFUNCTION("""COMPUTED_VALUE"""),68.0)</f>
        <v>68</v>
      </c>
      <c r="K1097" s="88">
        <f>IFERROR(__xludf.DUMMYFUNCTION("""COMPUTED_VALUE"""),5.9)</f>
        <v>5.9</v>
      </c>
      <c r="L1097" s="89"/>
      <c r="M1097" s="26" t="str">
        <f>IFERROR(__xludf.DUMMYFUNCTION("""COMPUTED_VALUE"""),"Shooter")</f>
        <v>Shooter</v>
      </c>
      <c r="N1097" s="26"/>
      <c r="O1097" s="26" t="str">
        <f>IFERROR(__xludf.DUMMYFUNCTION("""COMPUTED_VALUE"""),"No")</f>
        <v>No</v>
      </c>
      <c r="P1097" s="26"/>
    </row>
    <row r="1098">
      <c r="A1098" s="81" t="str">
        <f>IFERROR(__xludf.DUMMYFUNCTION("""COMPUTED_VALUE"""),"Bugsnax")</f>
        <v>Bugsnax</v>
      </c>
      <c r="B1098" s="82" t="str">
        <f>IFERROR(__xludf.DUMMYFUNCTION("""COMPUTED_VALUE"""),"PS5")</f>
        <v>PS5</v>
      </c>
      <c r="C1098" s="83" t="str">
        <f>IFERROR(__xludf.DUMMYFUNCTION("""COMPUTED_VALUE"""),"Playstation Plus (Discontinued)")</f>
        <v>Playstation Plus (Discontinued)</v>
      </c>
      <c r="D1098" s="82" t="str">
        <f>IFERROR(__xludf.DUMMYFUNCTION("""COMPUTED_VALUE"""),"Removed")</f>
        <v>Removed</v>
      </c>
      <c r="E1098" s="84">
        <f>IFERROR(__xludf.DUMMYFUNCTION("""COMPUTED_VALUE"""),44147.0)</f>
        <v>44147</v>
      </c>
      <c r="F1098" s="85">
        <f>IFERROR(__xludf.DUMMYFUNCTION("""COMPUTED_VALUE"""),44200.0)</f>
        <v>44200</v>
      </c>
      <c r="G1098" s="86">
        <f>IFERROR(__xludf.DUMMYFUNCTION("""COMPUTED_VALUE"""),1.7333333333333332)</f>
        <v>1.733333333</v>
      </c>
      <c r="H1098" s="84">
        <f>IFERROR(__xludf.DUMMYFUNCTION("""COMPUTED_VALUE"""),44147.0)</f>
        <v>44147</v>
      </c>
      <c r="I1098" s="86">
        <f>IFERROR(__xludf.DUMMYFUNCTION("""COMPUTED_VALUE"""),0.0)</f>
        <v>0</v>
      </c>
      <c r="J1098" s="87">
        <f>IFERROR(__xludf.DUMMYFUNCTION("""COMPUTED_VALUE"""),74.0)</f>
        <v>74</v>
      </c>
      <c r="K1098" s="88">
        <f>IFERROR(__xludf.DUMMYFUNCTION("""COMPUTED_VALUE"""),7.7)</f>
        <v>7.7</v>
      </c>
      <c r="L1098" s="89">
        <f>IFERROR(__xludf.DUMMYFUNCTION("""COMPUTED_VALUE"""),5.0)</f>
        <v>5</v>
      </c>
      <c r="M1098" s="26" t="str">
        <f>IFERROR(__xludf.DUMMYFUNCTION("""COMPUTED_VALUE"""),"Action-Adventure")</f>
        <v>Action-Adventure</v>
      </c>
      <c r="N1098" s="26"/>
      <c r="O1098" s="26" t="str">
        <f>IFERROR(__xludf.DUMMYFUNCTION("""COMPUTED_VALUE"""),"No")</f>
        <v>No</v>
      </c>
      <c r="P1098" s="26"/>
    </row>
    <row r="1099">
      <c r="A1099" s="81" t="str">
        <f>IFERROR(__xludf.DUMMYFUNCTION("""COMPUTED_VALUE"""),"Wolfenstein: The Old Blood")</f>
        <v>Wolfenstein: The Old Blood</v>
      </c>
      <c r="B1099" s="82" t="str">
        <f>IFERROR(__xludf.DUMMYFUNCTION("""COMPUTED_VALUE"""),"PS5/PS4")</f>
        <v>PS5/PS4</v>
      </c>
      <c r="C1099" s="83" t="str">
        <f>IFERROR(__xludf.DUMMYFUNCTION("""COMPUTED_VALUE"""),"Playstation Now (Discontinued)")</f>
        <v>Playstation Now (Discontinued)</v>
      </c>
      <c r="D1099" s="82" t="str">
        <f>IFERROR(__xludf.DUMMYFUNCTION("""COMPUTED_VALUE"""),"Removed")</f>
        <v>Removed</v>
      </c>
      <c r="E1099" s="84">
        <f>IFERROR(__xludf.DUMMYFUNCTION("""COMPUTED_VALUE"""),43802.0)</f>
        <v>43802</v>
      </c>
      <c r="F1099" s="85">
        <f>IFERROR(__xludf.DUMMYFUNCTION("""COMPUTED_VALUE"""),44166.0)</f>
        <v>44166</v>
      </c>
      <c r="G1099" s="86">
        <f>IFERROR(__xludf.DUMMYFUNCTION("""COMPUTED_VALUE"""),11.933333333333334)</f>
        <v>11.93333333</v>
      </c>
      <c r="H1099" s="84">
        <f>IFERROR(__xludf.DUMMYFUNCTION("""COMPUTED_VALUE"""),42129.0)</f>
        <v>42129</v>
      </c>
      <c r="I1099" s="86">
        <f>IFERROR(__xludf.DUMMYFUNCTION("""COMPUTED_VALUE"""),4.5777777777777775)</f>
        <v>4.577777778</v>
      </c>
      <c r="J1099" s="87">
        <f>IFERROR(__xludf.DUMMYFUNCTION("""COMPUTED_VALUE"""),76.0)</f>
        <v>76</v>
      </c>
      <c r="K1099" s="88">
        <f>IFERROR(__xludf.DUMMYFUNCTION("""COMPUTED_VALUE"""),7.5)</f>
        <v>7.5</v>
      </c>
      <c r="L1099" s="89">
        <f>IFERROR(__xludf.DUMMYFUNCTION("""COMPUTED_VALUE"""),7.0)</f>
        <v>7</v>
      </c>
      <c r="M1099" s="26" t="str">
        <f>IFERROR(__xludf.DUMMYFUNCTION("""COMPUTED_VALUE"""),"Shooter")</f>
        <v>Shooter</v>
      </c>
      <c r="N1099" s="26"/>
      <c r="O1099" s="26" t="str">
        <f>IFERROR(__xludf.DUMMYFUNCTION("""COMPUTED_VALUE"""),"No")</f>
        <v>No</v>
      </c>
      <c r="P1099" s="26"/>
    </row>
    <row r="1100">
      <c r="A1100" s="81" t="str">
        <f>IFERROR(__xludf.DUMMYFUNCTION("""COMPUTED_VALUE"""),"Hollow Knight: Voidheart Edition")</f>
        <v>Hollow Knight: Voidheart Edition</v>
      </c>
      <c r="B1100" s="82" t="str">
        <f>IFERROR(__xludf.DUMMYFUNCTION("""COMPUTED_VALUE"""),"PS4")</f>
        <v>PS4</v>
      </c>
      <c r="C1100" s="83" t="str">
        <f>IFERROR(__xludf.DUMMYFUNCTION("""COMPUTED_VALUE"""),"Playstation Plus (Discontinued)")</f>
        <v>Playstation Plus (Discontinued)</v>
      </c>
      <c r="D1100" s="82" t="str">
        <f>IFERROR(__xludf.DUMMYFUNCTION("""COMPUTED_VALUE"""),"Removed")</f>
        <v>Removed</v>
      </c>
      <c r="E1100" s="84">
        <f>IFERROR(__xludf.DUMMYFUNCTION("""COMPUTED_VALUE"""),44138.0)</f>
        <v>44138</v>
      </c>
      <c r="F1100" s="85">
        <f>IFERROR(__xludf.DUMMYFUNCTION("""COMPUTED_VALUE"""),44146.0)</f>
        <v>44146</v>
      </c>
      <c r="G1100" s="86">
        <f>IFERROR(__xludf.DUMMYFUNCTION("""COMPUTED_VALUE"""),0.26666666666666666)</f>
        <v>0.2666666667</v>
      </c>
      <c r="H1100" s="84">
        <f>IFERROR(__xludf.DUMMYFUNCTION("""COMPUTED_VALUE"""),43368.0)</f>
        <v>43368</v>
      </c>
      <c r="I1100" s="86">
        <f>IFERROR(__xludf.DUMMYFUNCTION("""COMPUTED_VALUE"""),2.1055555555555556)</f>
        <v>2.105555556</v>
      </c>
      <c r="J1100" s="87">
        <f>IFERROR(__xludf.DUMMYFUNCTION("""COMPUTED_VALUE"""),85.0)</f>
        <v>85</v>
      </c>
      <c r="K1100" s="88">
        <f>IFERROR(__xludf.DUMMYFUNCTION("""COMPUTED_VALUE"""),8.5)</f>
        <v>8.5</v>
      </c>
      <c r="L1100" s="89">
        <f>IFERROR(__xludf.DUMMYFUNCTION("""COMPUTED_VALUE"""),27.0)</f>
        <v>27</v>
      </c>
      <c r="M1100" s="26" t="str">
        <f>IFERROR(__xludf.DUMMYFUNCTION("""COMPUTED_VALUE"""),"Platformer")</f>
        <v>Platformer</v>
      </c>
      <c r="N1100" s="26"/>
      <c r="O1100" s="26" t="str">
        <f>IFERROR(__xludf.DUMMYFUNCTION("""COMPUTED_VALUE"""),"No")</f>
        <v>No</v>
      </c>
      <c r="P1100" s="26"/>
    </row>
    <row r="1101">
      <c r="A1101" s="81" t="str">
        <f>IFERROR(__xludf.DUMMYFUNCTION("""COMPUTED_VALUE"""),"Middle-Earth: Shadow of War")</f>
        <v>Middle-Earth: Shadow of War</v>
      </c>
      <c r="B1101" s="82" t="str">
        <f>IFERROR(__xludf.DUMMYFUNCTION("""COMPUTED_VALUE"""),"PS4")</f>
        <v>PS4</v>
      </c>
      <c r="C1101" s="83" t="str">
        <f>IFERROR(__xludf.DUMMYFUNCTION("""COMPUTED_VALUE"""),"Playstation Plus (Discontinued)")</f>
        <v>Playstation Plus (Discontinued)</v>
      </c>
      <c r="D1101" s="82" t="str">
        <f>IFERROR(__xludf.DUMMYFUNCTION("""COMPUTED_VALUE"""),"Removed")</f>
        <v>Removed</v>
      </c>
      <c r="E1101" s="84">
        <f>IFERROR(__xludf.DUMMYFUNCTION("""COMPUTED_VALUE"""),44138.0)</f>
        <v>44138</v>
      </c>
      <c r="F1101" s="85">
        <f>IFERROR(__xludf.DUMMYFUNCTION("""COMPUTED_VALUE"""),44146.0)</f>
        <v>44146</v>
      </c>
      <c r="G1101" s="86">
        <f>IFERROR(__xludf.DUMMYFUNCTION("""COMPUTED_VALUE"""),0.26666666666666666)</f>
        <v>0.2666666667</v>
      </c>
      <c r="H1101" s="84">
        <f>IFERROR(__xludf.DUMMYFUNCTION("""COMPUTED_VALUE"""),43018.0)</f>
        <v>43018</v>
      </c>
      <c r="I1101" s="86">
        <f>IFERROR(__xludf.DUMMYFUNCTION("""COMPUTED_VALUE"""),3.063888888888889)</f>
        <v>3.063888889</v>
      </c>
      <c r="J1101" s="87">
        <f>IFERROR(__xludf.DUMMYFUNCTION("""COMPUTED_VALUE"""),80.0)</f>
        <v>80</v>
      </c>
      <c r="K1101" s="88">
        <f>IFERROR(__xludf.DUMMYFUNCTION("""COMPUTED_VALUE"""),7.3)</f>
        <v>7.3</v>
      </c>
      <c r="L1101" s="89">
        <f>IFERROR(__xludf.DUMMYFUNCTION("""COMPUTED_VALUE"""),20.0)</f>
        <v>20</v>
      </c>
      <c r="M1101" s="26" t="str">
        <f>IFERROR(__xludf.DUMMYFUNCTION("""COMPUTED_VALUE"""),"Action-Adventure")</f>
        <v>Action-Adventure</v>
      </c>
      <c r="N1101" s="26"/>
      <c r="O1101" s="26" t="str">
        <f>IFERROR(__xludf.DUMMYFUNCTION("""COMPUTED_VALUE"""),"No")</f>
        <v>No</v>
      </c>
      <c r="P1101" s="26"/>
    </row>
    <row r="1102">
      <c r="A1102" s="81" t="str">
        <f>IFERROR(__xludf.DUMMYFUNCTION("""COMPUTED_VALUE"""),"Need for Speed Payback")</f>
        <v>Need for Speed Payback</v>
      </c>
      <c r="B1102" s="82" t="str">
        <f>IFERROR(__xludf.DUMMYFUNCTION("""COMPUTED_VALUE"""),"PS4")</f>
        <v>PS4</v>
      </c>
      <c r="C1102" s="83" t="str">
        <f>IFERROR(__xludf.DUMMYFUNCTION("""COMPUTED_VALUE"""),"Playstation Plus (Discontinued)")</f>
        <v>Playstation Plus (Discontinued)</v>
      </c>
      <c r="D1102" s="82" t="str">
        <f>IFERROR(__xludf.DUMMYFUNCTION("""COMPUTED_VALUE"""),"Removed")</f>
        <v>Removed</v>
      </c>
      <c r="E1102" s="84">
        <f>IFERROR(__xludf.DUMMYFUNCTION("""COMPUTED_VALUE"""),44110.0)</f>
        <v>44110</v>
      </c>
      <c r="F1102" s="85">
        <f>IFERROR(__xludf.DUMMYFUNCTION("""COMPUTED_VALUE"""),44137.0)</f>
        <v>44137</v>
      </c>
      <c r="G1102" s="86">
        <f>IFERROR(__xludf.DUMMYFUNCTION("""COMPUTED_VALUE"""),0.8666666666666666)</f>
        <v>0.8666666667</v>
      </c>
      <c r="H1102" s="84">
        <f>IFERROR(__xludf.DUMMYFUNCTION("""COMPUTED_VALUE"""),43049.0)</f>
        <v>43049</v>
      </c>
      <c r="I1102" s="86">
        <f>IFERROR(__xludf.DUMMYFUNCTION("""COMPUTED_VALUE"""),2.9055555555555554)</f>
        <v>2.905555556</v>
      </c>
      <c r="J1102" s="87">
        <f>IFERROR(__xludf.DUMMYFUNCTION("""COMPUTED_VALUE"""),61.0)</f>
        <v>61</v>
      </c>
      <c r="K1102" s="88">
        <f>IFERROR(__xludf.DUMMYFUNCTION("""COMPUTED_VALUE"""),4.8)</f>
        <v>4.8</v>
      </c>
      <c r="L1102" s="89">
        <f>IFERROR(__xludf.DUMMYFUNCTION("""COMPUTED_VALUE"""),18.0)</f>
        <v>18</v>
      </c>
      <c r="M1102" s="26" t="str">
        <f>IFERROR(__xludf.DUMMYFUNCTION("""COMPUTED_VALUE"""),"Racing")</f>
        <v>Racing</v>
      </c>
      <c r="N1102" s="26"/>
      <c r="O1102" s="26" t="str">
        <f>IFERROR(__xludf.DUMMYFUNCTION("""COMPUTED_VALUE"""),"No")</f>
        <v>No</v>
      </c>
      <c r="P1102" s="26"/>
    </row>
    <row r="1103">
      <c r="A1103" s="81" t="str">
        <f>IFERROR(__xludf.DUMMYFUNCTION("""COMPUTED_VALUE"""),"Vampyr")</f>
        <v>Vampyr</v>
      </c>
      <c r="B1103" s="82" t="str">
        <f>IFERROR(__xludf.DUMMYFUNCTION("""COMPUTED_VALUE"""),"PS4")</f>
        <v>PS4</v>
      </c>
      <c r="C1103" s="83" t="str">
        <f>IFERROR(__xludf.DUMMYFUNCTION("""COMPUTED_VALUE"""),"Playstation Plus (Discontinued)")</f>
        <v>Playstation Plus (Discontinued)</v>
      </c>
      <c r="D1103" s="82" t="str">
        <f>IFERROR(__xludf.DUMMYFUNCTION("""COMPUTED_VALUE"""),"Removed")</f>
        <v>Removed</v>
      </c>
      <c r="E1103" s="84">
        <f>IFERROR(__xludf.DUMMYFUNCTION("""COMPUTED_VALUE"""),44110.0)</f>
        <v>44110</v>
      </c>
      <c r="F1103" s="85">
        <f>IFERROR(__xludf.DUMMYFUNCTION("""COMPUTED_VALUE"""),44137.0)</f>
        <v>44137</v>
      </c>
      <c r="G1103" s="86">
        <f>IFERROR(__xludf.DUMMYFUNCTION("""COMPUTED_VALUE"""),0.8666666666666666)</f>
        <v>0.8666666667</v>
      </c>
      <c r="H1103" s="84">
        <f>IFERROR(__xludf.DUMMYFUNCTION("""COMPUTED_VALUE"""),43256.0)</f>
        <v>43256</v>
      </c>
      <c r="I1103" s="86">
        <f>IFERROR(__xludf.DUMMYFUNCTION("""COMPUTED_VALUE"""),2.3361111111111112)</f>
        <v>2.336111111</v>
      </c>
      <c r="J1103" s="87">
        <f>IFERROR(__xludf.DUMMYFUNCTION("""COMPUTED_VALUE"""),70.0)</f>
        <v>70</v>
      </c>
      <c r="K1103" s="88">
        <f>IFERROR(__xludf.DUMMYFUNCTION("""COMPUTED_VALUE"""),7.2)</f>
        <v>7.2</v>
      </c>
      <c r="L1103" s="89">
        <f>IFERROR(__xludf.DUMMYFUNCTION("""COMPUTED_VALUE"""),16.0)</f>
        <v>16</v>
      </c>
      <c r="M1103" s="26" t="str">
        <f>IFERROR(__xludf.DUMMYFUNCTION("""COMPUTED_VALUE"""),"RPG")</f>
        <v>RPG</v>
      </c>
      <c r="N1103" s="26"/>
      <c r="O1103" s="26" t="str">
        <f>IFERROR(__xludf.DUMMYFUNCTION("""COMPUTED_VALUE"""),"No")</f>
        <v>No</v>
      </c>
      <c r="P1103" s="26"/>
    </row>
    <row r="1104">
      <c r="A1104" s="81" t="str">
        <f>IFERROR(__xludf.DUMMYFUNCTION("""COMPUTED_VALUE"""),"PlayerUnknown's Battlegrounds")</f>
        <v>PlayerUnknown's Battlegrounds</v>
      </c>
      <c r="B1104" s="82" t="str">
        <f>IFERROR(__xludf.DUMMYFUNCTION("""COMPUTED_VALUE"""),"PS4")</f>
        <v>PS4</v>
      </c>
      <c r="C1104" s="83" t="str">
        <f>IFERROR(__xludf.DUMMYFUNCTION("""COMPUTED_VALUE"""),"Playstation Plus (Discontinued)")</f>
        <v>Playstation Plus (Discontinued)</v>
      </c>
      <c r="D1104" s="82" t="str">
        <f>IFERROR(__xludf.DUMMYFUNCTION("""COMPUTED_VALUE"""),"Removed")</f>
        <v>Removed</v>
      </c>
      <c r="E1104" s="84">
        <f>IFERROR(__xludf.DUMMYFUNCTION("""COMPUTED_VALUE"""),44075.0)</f>
        <v>44075</v>
      </c>
      <c r="F1104" s="85">
        <f>IFERROR(__xludf.DUMMYFUNCTION("""COMPUTED_VALUE"""),44109.0)</f>
        <v>44109</v>
      </c>
      <c r="G1104" s="86">
        <f>IFERROR(__xludf.DUMMYFUNCTION("""COMPUTED_VALUE"""),1.1333333333333333)</f>
        <v>1.133333333</v>
      </c>
      <c r="H1104" s="84">
        <f>IFERROR(__xludf.DUMMYFUNCTION("""COMPUTED_VALUE"""),43076.0)</f>
        <v>43076</v>
      </c>
      <c r="I1104" s="86">
        <f>IFERROR(__xludf.DUMMYFUNCTION("""COMPUTED_VALUE"""),2.7333333333333334)</f>
        <v>2.733333333</v>
      </c>
      <c r="J1104" s="87">
        <f>IFERROR(__xludf.DUMMYFUNCTION("""COMPUTED_VALUE"""),72.0)</f>
        <v>72</v>
      </c>
      <c r="K1104" s="88">
        <f>IFERROR(__xludf.DUMMYFUNCTION("""COMPUTED_VALUE"""),5.9)</f>
        <v>5.9</v>
      </c>
      <c r="L1104" s="89"/>
      <c r="M1104" s="26" t="str">
        <f>IFERROR(__xludf.DUMMYFUNCTION("""COMPUTED_VALUE"""),"Shooter")</f>
        <v>Shooter</v>
      </c>
      <c r="N1104" s="26"/>
      <c r="O1104" s="26" t="str">
        <f>IFERROR(__xludf.DUMMYFUNCTION("""COMPUTED_VALUE"""),"No")</f>
        <v>No</v>
      </c>
      <c r="P1104" s="26"/>
    </row>
    <row r="1105">
      <c r="A1105" s="81" t="str">
        <f>IFERROR(__xludf.DUMMYFUNCTION("""COMPUTED_VALUE"""),"Street Fighter V")</f>
        <v>Street Fighter V</v>
      </c>
      <c r="B1105" s="82" t="str">
        <f>IFERROR(__xludf.DUMMYFUNCTION("""COMPUTED_VALUE"""),"PS4")</f>
        <v>PS4</v>
      </c>
      <c r="C1105" s="83" t="str">
        <f>IFERROR(__xludf.DUMMYFUNCTION("""COMPUTED_VALUE"""),"Playstation Plus (Discontinued)")</f>
        <v>Playstation Plus (Discontinued)</v>
      </c>
      <c r="D1105" s="82" t="str">
        <f>IFERROR(__xludf.DUMMYFUNCTION("""COMPUTED_VALUE"""),"Removed")</f>
        <v>Removed</v>
      </c>
      <c r="E1105" s="84">
        <f>IFERROR(__xludf.DUMMYFUNCTION("""COMPUTED_VALUE"""),44075.0)</f>
        <v>44075</v>
      </c>
      <c r="F1105" s="85">
        <f>IFERROR(__xludf.DUMMYFUNCTION("""COMPUTED_VALUE"""),44109.0)</f>
        <v>44109</v>
      </c>
      <c r="G1105" s="86">
        <f>IFERROR(__xludf.DUMMYFUNCTION("""COMPUTED_VALUE"""),1.1333333333333333)</f>
        <v>1.133333333</v>
      </c>
      <c r="H1105" s="84">
        <f>IFERROR(__xludf.DUMMYFUNCTION("""COMPUTED_VALUE"""),42416.0)</f>
        <v>42416</v>
      </c>
      <c r="I1105" s="86">
        <f>IFERROR(__xludf.DUMMYFUNCTION("""COMPUTED_VALUE"""),4.541666666666667)</f>
        <v>4.541666667</v>
      </c>
      <c r="J1105" s="87">
        <f>IFERROR(__xludf.DUMMYFUNCTION("""COMPUTED_VALUE"""),87.0)</f>
        <v>87</v>
      </c>
      <c r="K1105" s="88">
        <f>IFERROR(__xludf.DUMMYFUNCTION("""COMPUTED_VALUE"""),6.8)</f>
        <v>6.8</v>
      </c>
      <c r="L1105" s="89">
        <f>IFERROR(__xludf.DUMMYFUNCTION("""COMPUTED_VALUE"""),4.0)</f>
        <v>4</v>
      </c>
      <c r="M1105" s="26" t="str">
        <f>IFERROR(__xludf.DUMMYFUNCTION("""COMPUTED_VALUE"""),"Fighting")</f>
        <v>Fighting</v>
      </c>
      <c r="N1105" s="26"/>
      <c r="O1105" s="26" t="str">
        <f>IFERROR(__xludf.DUMMYFUNCTION("""COMPUTED_VALUE"""),"No")</f>
        <v>No</v>
      </c>
      <c r="P1105" s="26"/>
    </row>
    <row r="1106">
      <c r="A1106" s="81" t="str">
        <f>IFERROR(__xludf.DUMMYFUNCTION("""COMPUTED_VALUE"""),"Fall Guys")</f>
        <v>Fall Guys</v>
      </c>
      <c r="B1106" s="82" t="str">
        <f>IFERROR(__xludf.DUMMYFUNCTION("""COMPUTED_VALUE"""),"PS4")</f>
        <v>PS4</v>
      </c>
      <c r="C1106" s="83" t="str">
        <f>IFERROR(__xludf.DUMMYFUNCTION("""COMPUTED_VALUE"""),"Playstation Plus (Discontinued)")</f>
        <v>Playstation Plus (Discontinued)</v>
      </c>
      <c r="D1106" s="82" t="str">
        <f>IFERROR(__xludf.DUMMYFUNCTION("""COMPUTED_VALUE"""),"Removed")</f>
        <v>Removed</v>
      </c>
      <c r="E1106" s="84">
        <f>IFERROR(__xludf.DUMMYFUNCTION("""COMPUTED_VALUE"""),44047.0)</f>
        <v>44047</v>
      </c>
      <c r="F1106" s="85">
        <f>IFERROR(__xludf.DUMMYFUNCTION("""COMPUTED_VALUE"""),44074.0)</f>
        <v>44074</v>
      </c>
      <c r="G1106" s="86">
        <f>IFERROR(__xludf.DUMMYFUNCTION("""COMPUTED_VALUE"""),0.8666666666666666)</f>
        <v>0.8666666667</v>
      </c>
      <c r="H1106" s="84">
        <f>IFERROR(__xludf.DUMMYFUNCTION("""COMPUTED_VALUE"""),44047.0)</f>
        <v>44047</v>
      </c>
      <c r="I1106" s="86">
        <f>IFERROR(__xludf.DUMMYFUNCTION("""COMPUTED_VALUE"""),0.0)</f>
        <v>0</v>
      </c>
      <c r="J1106" s="87">
        <f>IFERROR(__xludf.DUMMYFUNCTION("""COMPUTED_VALUE"""),79.0)</f>
        <v>79</v>
      </c>
      <c r="K1106" s="88">
        <f>IFERROR(__xludf.DUMMYFUNCTION("""COMPUTED_VALUE"""),6.8)</f>
        <v>6.8</v>
      </c>
      <c r="L1106" s="89"/>
      <c r="M1106" s="26" t="str">
        <f>IFERROR(__xludf.DUMMYFUNCTION("""COMPUTED_VALUE"""),"Party")</f>
        <v>Party</v>
      </c>
      <c r="N1106" s="26"/>
      <c r="O1106" s="26" t="str">
        <f>IFERROR(__xludf.DUMMYFUNCTION("""COMPUTED_VALUE"""),"No")</f>
        <v>No</v>
      </c>
      <c r="P1106" s="26"/>
    </row>
    <row r="1107">
      <c r="A1107" s="81" t="str">
        <f>IFERROR(__xludf.DUMMYFUNCTION("""COMPUTED_VALUE"""),"Call of Duty: Modern Warfare 2 Campaign Remastered")</f>
        <v>Call of Duty: Modern Warfare 2 Campaign Remastered</v>
      </c>
      <c r="B1107" s="82" t="str">
        <f>IFERROR(__xludf.DUMMYFUNCTION("""COMPUTED_VALUE"""),"PS4")</f>
        <v>PS4</v>
      </c>
      <c r="C1107" s="83" t="str">
        <f>IFERROR(__xludf.DUMMYFUNCTION("""COMPUTED_VALUE"""),"Playstation Plus (Discontinued)")</f>
        <v>Playstation Plus (Discontinued)</v>
      </c>
      <c r="D1107" s="82" t="str">
        <f>IFERROR(__xludf.DUMMYFUNCTION("""COMPUTED_VALUE"""),"Removed")</f>
        <v>Removed</v>
      </c>
      <c r="E1107" s="84">
        <f>IFERROR(__xludf.DUMMYFUNCTION("""COMPUTED_VALUE"""),44040.0)</f>
        <v>44040</v>
      </c>
      <c r="F1107" s="85">
        <f>IFERROR(__xludf.DUMMYFUNCTION("""COMPUTED_VALUE"""),44046.0)</f>
        <v>44046</v>
      </c>
      <c r="G1107" s="86">
        <f>IFERROR(__xludf.DUMMYFUNCTION("""COMPUTED_VALUE"""),0.16666666666666666)</f>
        <v>0.1666666667</v>
      </c>
      <c r="H1107" s="84">
        <f>IFERROR(__xludf.DUMMYFUNCTION("""COMPUTED_VALUE"""),43921.0)</f>
        <v>43921</v>
      </c>
      <c r="I1107" s="86">
        <f>IFERROR(__xludf.DUMMYFUNCTION("""COMPUTED_VALUE"""),0.3277777777777778)</f>
        <v>0.3277777778</v>
      </c>
      <c r="J1107" s="87">
        <f>IFERROR(__xludf.DUMMYFUNCTION("""COMPUTED_VALUE"""),71.0)</f>
        <v>71</v>
      </c>
      <c r="K1107" s="88">
        <f>IFERROR(__xludf.DUMMYFUNCTION("""COMPUTED_VALUE"""),7.7)</f>
        <v>7.7</v>
      </c>
      <c r="L1107" s="89">
        <f>IFERROR(__xludf.DUMMYFUNCTION("""COMPUTED_VALUE"""),6.0)</f>
        <v>6</v>
      </c>
      <c r="M1107" s="26" t="str">
        <f>IFERROR(__xludf.DUMMYFUNCTION("""COMPUTED_VALUE"""),"Shooter")</f>
        <v>Shooter</v>
      </c>
      <c r="N1107" s="26"/>
      <c r="O1107" s="26" t="str">
        <f>IFERROR(__xludf.DUMMYFUNCTION("""COMPUTED_VALUE"""),"No")</f>
        <v>No</v>
      </c>
      <c r="P1107" s="26"/>
    </row>
    <row r="1108">
      <c r="A1108" s="81" t="str">
        <f>IFERROR(__xludf.DUMMYFUNCTION("""COMPUTED_VALUE"""),"NBA 2K20")</f>
        <v>NBA 2K20</v>
      </c>
      <c r="B1108" s="82" t="str">
        <f>IFERROR(__xludf.DUMMYFUNCTION("""COMPUTED_VALUE"""),"PS4")</f>
        <v>PS4</v>
      </c>
      <c r="C1108" s="83" t="str">
        <f>IFERROR(__xludf.DUMMYFUNCTION("""COMPUTED_VALUE"""),"Playstation Plus (Discontinued)")</f>
        <v>Playstation Plus (Discontinued)</v>
      </c>
      <c r="D1108" s="82" t="str">
        <f>IFERROR(__xludf.DUMMYFUNCTION("""COMPUTED_VALUE"""),"Removed")</f>
        <v>Removed</v>
      </c>
      <c r="E1108" s="84">
        <f>IFERROR(__xludf.DUMMYFUNCTION("""COMPUTED_VALUE"""),44019.0)</f>
        <v>44019</v>
      </c>
      <c r="F1108" s="85">
        <f>IFERROR(__xludf.DUMMYFUNCTION("""COMPUTED_VALUE"""),44039.0)</f>
        <v>44039</v>
      </c>
      <c r="G1108" s="86">
        <f>IFERROR(__xludf.DUMMYFUNCTION("""COMPUTED_VALUE"""),0.6666666666666666)</f>
        <v>0.6666666667</v>
      </c>
      <c r="H1108" s="84">
        <f>IFERROR(__xludf.DUMMYFUNCTION("""COMPUTED_VALUE"""),43714.0)</f>
        <v>43714</v>
      </c>
      <c r="I1108" s="86">
        <f>IFERROR(__xludf.DUMMYFUNCTION("""COMPUTED_VALUE"""),0.8361111111111111)</f>
        <v>0.8361111111</v>
      </c>
      <c r="J1108" s="87">
        <f>IFERROR(__xludf.DUMMYFUNCTION("""COMPUTED_VALUE"""),78.0)</f>
        <v>78</v>
      </c>
      <c r="K1108" s="88">
        <f>IFERROR(__xludf.DUMMYFUNCTION("""COMPUTED_VALUE"""),3.8)</f>
        <v>3.8</v>
      </c>
      <c r="L1108" s="89"/>
      <c r="M1108" s="26" t="str">
        <f>IFERROR(__xludf.DUMMYFUNCTION("""COMPUTED_VALUE"""),"Sports")</f>
        <v>Sports</v>
      </c>
      <c r="N1108" s="26"/>
      <c r="O1108" s="26" t="str">
        <f>IFERROR(__xludf.DUMMYFUNCTION("""COMPUTED_VALUE"""),"No")</f>
        <v>No</v>
      </c>
      <c r="P1108" s="26"/>
    </row>
    <row r="1109">
      <c r="A1109" s="81" t="str">
        <f>IFERROR(__xludf.DUMMYFUNCTION("""COMPUTED_VALUE"""),"Rise of the Tomb Raider: 20 Year Celebration")</f>
        <v>Rise of the Tomb Raider: 20 Year Celebration</v>
      </c>
      <c r="B1109" s="82" t="str">
        <f>IFERROR(__xludf.DUMMYFUNCTION("""COMPUTED_VALUE"""),"PS4")</f>
        <v>PS4</v>
      </c>
      <c r="C1109" s="83" t="str">
        <f>IFERROR(__xludf.DUMMYFUNCTION("""COMPUTED_VALUE"""),"Playstation Plus (Discontinued)")</f>
        <v>Playstation Plus (Discontinued)</v>
      </c>
      <c r="D1109" s="82" t="str">
        <f>IFERROR(__xludf.DUMMYFUNCTION("""COMPUTED_VALUE"""),"Removed")</f>
        <v>Removed</v>
      </c>
      <c r="E1109" s="84">
        <f>IFERROR(__xludf.DUMMYFUNCTION("""COMPUTED_VALUE"""),44019.0)</f>
        <v>44019</v>
      </c>
      <c r="F1109" s="85">
        <f>IFERROR(__xludf.DUMMYFUNCTION("""COMPUTED_VALUE"""),44039.0)</f>
        <v>44039</v>
      </c>
      <c r="G1109" s="86">
        <f>IFERROR(__xludf.DUMMYFUNCTION("""COMPUTED_VALUE"""),0.6666666666666666)</f>
        <v>0.6666666667</v>
      </c>
      <c r="H1109" s="84">
        <f>IFERROR(__xludf.DUMMYFUNCTION("""COMPUTED_VALUE"""),42654.0)</f>
        <v>42654</v>
      </c>
      <c r="I1109" s="86">
        <f>IFERROR(__xludf.DUMMYFUNCTION("""COMPUTED_VALUE"""),3.738888888888889)</f>
        <v>3.738888889</v>
      </c>
      <c r="J1109" s="87">
        <f>IFERROR(__xludf.DUMMYFUNCTION("""COMPUTED_VALUE"""),88.0)</f>
        <v>88</v>
      </c>
      <c r="K1109" s="88">
        <f>IFERROR(__xludf.DUMMYFUNCTION("""COMPUTED_VALUE"""),8.1)</f>
        <v>8.1</v>
      </c>
      <c r="L1109" s="89">
        <f>IFERROR(__xludf.DUMMYFUNCTION("""COMPUTED_VALUE"""),13.0)</f>
        <v>13</v>
      </c>
      <c r="M1109" s="26" t="str">
        <f>IFERROR(__xludf.DUMMYFUNCTION("""COMPUTED_VALUE"""),"Action-Adventure")</f>
        <v>Action-Adventure</v>
      </c>
      <c r="N1109" s="26"/>
      <c r="O1109" s="26" t="str">
        <f>IFERROR(__xludf.DUMMYFUNCTION("""COMPUTED_VALUE"""),"No")</f>
        <v>No</v>
      </c>
      <c r="P1109" s="26"/>
    </row>
    <row r="1110">
      <c r="A1110" s="81" t="str">
        <f>IFERROR(__xludf.DUMMYFUNCTION("""COMPUTED_VALUE"""),"Erica")</f>
        <v>Erica</v>
      </c>
      <c r="B1110" s="82" t="str">
        <f>IFERROR(__xludf.DUMMYFUNCTION("""COMPUTED_VALUE"""),"PS4")</f>
        <v>PS4</v>
      </c>
      <c r="C1110" s="83" t="str">
        <f>IFERROR(__xludf.DUMMYFUNCTION("""COMPUTED_VALUE"""),"Playstation Plus (Discontinued)")</f>
        <v>Playstation Plus (Discontinued)</v>
      </c>
      <c r="D1110" s="82" t="str">
        <f>IFERROR(__xludf.DUMMYFUNCTION("""COMPUTED_VALUE"""),"Removed")</f>
        <v>Removed</v>
      </c>
      <c r="E1110" s="84">
        <f>IFERROR(__xludf.DUMMYFUNCTION("""COMPUTED_VALUE"""),44019.0)</f>
        <v>44019</v>
      </c>
      <c r="F1110" s="85">
        <f>IFERROR(__xludf.DUMMYFUNCTION("""COMPUTED_VALUE"""),44039.0)</f>
        <v>44039</v>
      </c>
      <c r="G1110" s="86">
        <f>IFERROR(__xludf.DUMMYFUNCTION("""COMPUTED_VALUE"""),0.6666666666666666)</f>
        <v>0.6666666667</v>
      </c>
      <c r="H1110" s="84">
        <f>IFERROR(__xludf.DUMMYFUNCTION("""COMPUTED_VALUE"""),43696.0)</f>
        <v>43696</v>
      </c>
      <c r="I1110" s="86">
        <f>IFERROR(__xludf.DUMMYFUNCTION("""COMPUTED_VALUE"""),0.8833333333333333)</f>
        <v>0.8833333333</v>
      </c>
      <c r="J1110" s="87">
        <f>IFERROR(__xludf.DUMMYFUNCTION("""COMPUTED_VALUE"""),69.0)</f>
        <v>69</v>
      </c>
      <c r="K1110" s="88">
        <f>IFERROR(__xludf.DUMMYFUNCTION("""COMPUTED_VALUE"""),7.1)</f>
        <v>7.1</v>
      </c>
      <c r="L1110" s="89">
        <f>IFERROR(__xludf.DUMMYFUNCTION("""COMPUTED_VALUE"""),2.0)</f>
        <v>2</v>
      </c>
      <c r="M1110" s="26" t="str">
        <f>IFERROR(__xludf.DUMMYFUNCTION("""COMPUTED_VALUE"""),"Adventure")</f>
        <v>Adventure</v>
      </c>
      <c r="N1110" s="26"/>
      <c r="O1110" s="26" t="str">
        <f>IFERROR(__xludf.DUMMYFUNCTION("""COMPUTED_VALUE"""),"No")</f>
        <v>No</v>
      </c>
      <c r="P1110" s="26"/>
    </row>
    <row r="1111">
      <c r="A1111" s="81" t="str">
        <f>IFERROR(__xludf.DUMMYFUNCTION("""COMPUTED_VALUE"""),"Star Wars Battlefront II")</f>
        <v>Star Wars Battlefront II</v>
      </c>
      <c r="B1111" s="82" t="str">
        <f>IFERROR(__xludf.DUMMYFUNCTION("""COMPUTED_VALUE"""),"PS4")</f>
        <v>PS4</v>
      </c>
      <c r="C1111" s="83" t="str">
        <f>IFERROR(__xludf.DUMMYFUNCTION("""COMPUTED_VALUE"""),"Playstation Plus (Discontinued)")</f>
        <v>Playstation Plus (Discontinued)</v>
      </c>
      <c r="D1111" s="82" t="str">
        <f>IFERROR(__xludf.DUMMYFUNCTION("""COMPUTED_VALUE"""),"Removed")</f>
        <v>Removed</v>
      </c>
      <c r="E1111" s="84">
        <f>IFERROR(__xludf.DUMMYFUNCTION("""COMPUTED_VALUE"""),43984.0)</f>
        <v>43984</v>
      </c>
      <c r="F1111" s="85">
        <f>IFERROR(__xludf.DUMMYFUNCTION("""COMPUTED_VALUE"""),44018.0)</f>
        <v>44018</v>
      </c>
      <c r="G1111" s="86">
        <f>IFERROR(__xludf.DUMMYFUNCTION("""COMPUTED_VALUE"""),1.1333333333333333)</f>
        <v>1.133333333</v>
      </c>
      <c r="H1111" s="84">
        <f>IFERROR(__xludf.DUMMYFUNCTION("""COMPUTED_VALUE"""),43056.0)</f>
        <v>43056</v>
      </c>
      <c r="I1111" s="86">
        <f>IFERROR(__xludf.DUMMYFUNCTION("""COMPUTED_VALUE"""),2.5416666666666665)</f>
        <v>2.541666667</v>
      </c>
      <c r="J1111" s="87">
        <f>IFERROR(__xludf.DUMMYFUNCTION("""COMPUTED_VALUE"""),68.0)</f>
        <v>68</v>
      </c>
      <c r="K1111" s="88">
        <f>IFERROR(__xludf.DUMMYFUNCTION("""COMPUTED_VALUE"""),3.6)</f>
        <v>3.6</v>
      </c>
      <c r="L1111" s="89">
        <f>IFERROR(__xludf.DUMMYFUNCTION("""COMPUTED_VALUE"""),7.0)</f>
        <v>7</v>
      </c>
      <c r="M1111" s="26" t="str">
        <f>IFERROR(__xludf.DUMMYFUNCTION("""COMPUTED_VALUE"""),"Shooter")</f>
        <v>Shooter</v>
      </c>
      <c r="N1111" s="26"/>
      <c r="O1111" s="26" t="str">
        <f>IFERROR(__xludf.DUMMYFUNCTION("""COMPUTED_VALUE"""),"No")</f>
        <v>No</v>
      </c>
      <c r="P1111" s="26"/>
    </row>
    <row r="1112">
      <c r="A1112" s="81" t="str">
        <f>IFERROR(__xludf.DUMMYFUNCTION("""COMPUTED_VALUE"""),"Call of Duty: WWII")</f>
        <v>Call of Duty: WWII</v>
      </c>
      <c r="B1112" s="82" t="str">
        <f>IFERROR(__xludf.DUMMYFUNCTION("""COMPUTED_VALUE"""),"PS4")</f>
        <v>PS4</v>
      </c>
      <c r="C1112" s="83" t="str">
        <f>IFERROR(__xludf.DUMMYFUNCTION("""COMPUTED_VALUE"""),"Playstation Plus (Discontinued)")</f>
        <v>Playstation Plus (Discontinued)</v>
      </c>
      <c r="D1112" s="82" t="str">
        <f>IFERROR(__xludf.DUMMYFUNCTION("""COMPUTED_VALUE"""),"Removed")</f>
        <v>Removed</v>
      </c>
      <c r="E1112" s="84">
        <f>IFERROR(__xludf.DUMMYFUNCTION("""COMPUTED_VALUE"""),43977.0)</f>
        <v>43977</v>
      </c>
      <c r="F1112" s="85">
        <f>IFERROR(__xludf.DUMMYFUNCTION("""COMPUTED_VALUE"""),43983.0)</f>
        <v>43983</v>
      </c>
      <c r="G1112" s="86">
        <f>IFERROR(__xludf.DUMMYFUNCTION("""COMPUTED_VALUE"""),0.16666666666666666)</f>
        <v>0.1666666667</v>
      </c>
      <c r="H1112" s="84">
        <f>IFERROR(__xludf.DUMMYFUNCTION("""COMPUTED_VALUE"""),43042.0)</f>
        <v>43042</v>
      </c>
      <c r="I1112" s="86">
        <f>IFERROR(__xludf.DUMMYFUNCTION("""COMPUTED_VALUE"""),2.563888888888889)</f>
        <v>2.563888889</v>
      </c>
      <c r="J1112" s="87">
        <f>IFERROR(__xludf.DUMMYFUNCTION("""COMPUTED_VALUE"""),79.0)</f>
        <v>79</v>
      </c>
      <c r="K1112" s="88">
        <f>IFERROR(__xludf.DUMMYFUNCTION("""COMPUTED_VALUE"""),5.8)</f>
        <v>5.8</v>
      </c>
      <c r="L1112" s="89">
        <f>IFERROR(__xludf.DUMMYFUNCTION("""COMPUTED_VALUE"""),7.0)</f>
        <v>7</v>
      </c>
      <c r="M1112" s="26" t="str">
        <f>IFERROR(__xludf.DUMMYFUNCTION("""COMPUTED_VALUE"""),"Shooter")</f>
        <v>Shooter</v>
      </c>
      <c r="N1112" s="26"/>
      <c r="O1112" s="26" t="str">
        <f>IFERROR(__xludf.DUMMYFUNCTION("""COMPUTED_VALUE"""),"No")</f>
        <v>No</v>
      </c>
      <c r="P1112" s="26"/>
    </row>
    <row r="1113">
      <c r="A1113" s="81" t="str">
        <f>IFERROR(__xludf.DUMMYFUNCTION("""COMPUTED_VALUE"""),"Cities: Skylines")</f>
        <v>Cities: Skylines</v>
      </c>
      <c r="B1113" s="82" t="str">
        <f>IFERROR(__xludf.DUMMYFUNCTION("""COMPUTED_VALUE"""),"PS4")</f>
        <v>PS4</v>
      </c>
      <c r="C1113" s="83" t="str">
        <f>IFERROR(__xludf.DUMMYFUNCTION("""COMPUTED_VALUE"""),"Playstation Plus (Discontinued)")</f>
        <v>Playstation Plus (Discontinued)</v>
      </c>
      <c r="D1113" s="82" t="str">
        <f>IFERROR(__xludf.DUMMYFUNCTION("""COMPUTED_VALUE"""),"Removed")</f>
        <v>Removed</v>
      </c>
      <c r="E1113" s="84">
        <f>IFERROR(__xludf.DUMMYFUNCTION("""COMPUTED_VALUE"""),43956.0)</f>
        <v>43956</v>
      </c>
      <c r="F1113" s="85">
        <f>IFERROR(__xludf.DUMMYFUNCTION("""COMPUTED_VALUE"""),43976.0)</f>
        <v>43976</v>
      </c>
      <c r="G1113" s="86">
        <f>IFERROR(__xludf.DUMMYFUNCTION("""COMPUTED_VALUE"""),0.6666666666666666)</f>
        <v>0.6666666667</v>
      </c>
      <c r="H1113" s="84">
        <f>IFERROR(__xludf.DUMMYFUNCTION("""COMPUTED_VALUE"""),42962.0)</f>
        <v>42962</v>
      </c>
      <c r="I1113" s="86">
        <f>IFERROR(__xludf.DUMMYFUNCTION("""COMPUTED_VALUE"""),2.7222222222222223)</f>
        <v>2.722222222</v>
      </c>
      <c r="J1113" s="87">
        <f>IFERROR(__xludf.DUMMYFUNCTION("""COMPUTED_VALUE"""),81.0)</f>
        <v>81</v>
      </c>
      <c r="K1113" s="88">
        <f>IFERROR(__xludf.DUMMYFUNCTION("""COMPUTED_VALUE"""),7.7)</f>
        <v>7.7</v>
      </c>
      <c r="L1113" s="89"/>
      <c r="M1113" s="26" t="str">
        <f>IFERROR(__xludf.DUMMYFUNCTION("""COMPUTED_VALUE"""),"Simulation")</f>
        <v>Simulation</v>
      </c>
      <c r="N1113" s="26"/>
      <c r="O1113" s="26" t="str">
        <f>IFERROR(__xludf.DUMMYFUNCTION("""COMPUTED_VALUE"""),"No")</f>
        <v>No</v>
      </c>
      <c r="P1113" s="26"/>
    </row>
    <row r="1114">
      <c r="A1114" s="81" t="str">
        <f>IFERROR(__xludf.DUMMYFUNCTION("""COMPUTED_VALUE"""),"Farming Simulator 19")</f>
        <v>Farming Simulator 19</v>
      </c>
      <c r="B1114" s="82" t="str">
        <f>IFERROR(__xludf.DUMMYFUNCTION("""COMPUTED_VALUE"""),"PS4")</f>
        <v>PS4</v>
      </c>
      <c r="C1114" s="83" t="str">
        <f>IFERROR(__xludf.DUMMYFUNCTION("""COMPUTED_VALUE"""),"Playstation Plus (Discontinued)")</f>
        <v>Playstation Plus (Discontinued)</v>
      </c>
      <c r="D1114" s="82" t="str">
        <f>IFERROR(__xludf.DUMMYFUNCTION("""COMPUTED_VALUE"""),"Removed")</f>
        <v>Removed</v>
      </c>
      <c r="E1114" s="84">
        <f>IFERROR(__xludf.DUMMYFUNCTION("""COMPUTED_VALUE"""),43956.0)</f>
        <v>43956</v>
      </c>
      <c r="F1114" s="85">
        <f>IFERROR(__xludf.DUMMYFUNCTION("""COMPUTED_VALUE"""),43976.0)</f>
        <v>43976</v>
      </c>
      <c r="G1114" s="86">
        <f>IFERROR(__xludf.DUMMYFUNCTION("""COMPUTED_VALUE"""),0.6666666666666666)</f>
        <v>0.6666666667</v>
      </c>
      <c r="H1114" s="84">
        <f>IFERROR(__xludf.DUMMYFUNCTION("""COMPUTED_VALUE"""),43424.0)</f>
        <v>43424</v>
      </c>
      <c r="I1114" s="86">
        <f>IFERROR(__xludf.DUMMYFUNCTION("""COMPUTED_VALUE"""),1.4583333333333333)</f>
        <v>1.458333333</v>
      </c>
      <c r="J1114" s="87">
        <f>IFERROR(__xludf.DUMMYFUNCTION("""COMPUTED_VALUE"""),64.0)</f>
        <v>64</v>
      </c>
      <c r="K1114" s="88">
        <f>IFERROR(__xludf.DUMMYFUNCTION("""COMPUTED_VALUE"""),6.8)</f>
        <v>6.8</v>
      </c>
      <c r="L1114" s="89"/>
      <c r="M1114" s="26" t="str">
        <f>IFERROR(__xludf.DUMMYFUNCTION("""COMPUTED_VALUE"""),"Farming")</f>
        <v>Farming</v>
      </c>
      <c r="N1114" s="26"/>
      <c r="O1114" s="26" t="str">
        <f>IFERROR(__xludf.DUMMYFUNCTION("""COMPUTED_VALUE"""),"No")</f>
        <v>No</v>
      </c>
      <c r="P1114" s="26"/>
    </row>
    <row r="1115">
      <c r="A1115" s="81" t="str">
        <f>IFERROR(__xludf.DUMMYFUNCTION("""COMPUTED_VALUE"""),"Uncharted 4: A Thief’s End")</f>
        <v>Uncharted 4: A Thief’s End</v>
      </c>
      <c r="B1115" s="82" t="str">
        <f>IFERROR(__xludf.DUMMYFUNCTION("""COMPUTED_VALUE"""),"PS4")</f>
        <v>PS4</v>
      </c>
      <c r="C1115" s="83" t="str">
        <f>IFERROR(__xludf.DUMMYFUNCTION("""COMPUTED_VALUE"""),"Playstation Plus (Discontinued)")</f>
        <v>Playstation Plus (Discontinued)</v>
      </c>
      <c r="D1115" s="82" t="str">
        <f>IFERROR(__xludf.DUMMYFUNCTION("""COMPUTED_VALUE"""),"Removed")</f>
        <v>Removed</v>
      </c>
      <c r="E1115" s="84">
        <f>IFERROR(__xludf.DUMMYFUNCTION("""COMPUTED_VALUE"""),43928.0)</f>
        <v>43928</v>
      </c>
      <c r="F1115" s="85">
        <f>IFERROR(__xludf.DUMMYFUNCTION("""COMPUTED_VALUE"""),43955.0)</f>
        <v>43955</v>
      </c>
      <c r="G1115" s="86">
        <f>IFERROR(__xludf.DUMMYFUNCTION("""COMPUTED_VALUE"""),0.8999999999999999)</f>
        <v>0.9</v>
      </c>
      <c r="H1115" s="84">
        <f>IFERROR(__xludf.DUMMYFUNCTION("""COMPUTED_VALUE"""),42500.0)</f>
        <v>42500</v>
      </c>
      <c r="I1115" s="86">
        <f>IFERROR(__xludf.DUMMYFUNCTION("""COMPUTED_VALUE"""),3.908333333333333)</f>
        <v>3.908333333</v>
      </c>
      <c r="J1115" s="87">
        <f>IFERROR(__xludf.DUMMYFUNCTION("""COMPUTED_VALUE"""),93.0)</f>
        <v>93</v>
      </c>
      <c r="K1115" s="88">
        <f>IFERROR(__xludf.DUMMYFUNCTION("""COMPUTED_VALUE"""),8.6)</f>
        <v>8.6</v>
      </c>
      <c r="L1115" s="89">
        <f>IFERROR(__xludf.DUMMYFUNCTION("""COMPUTED_VALUE"""),15.0)</f>
        <v>15</v>
      </c>
      <c r="M1115" s="26" t="str">
        <f>IFERROR(__xludf.DUMMYFUNCTION("""COMPUTED_VALUE"""),"Action-Adventure")</f>
        <v>Action-Adventure</v>
      </c>
      <c r="N1115" s="26"/>
      <c r="O1115" s="26" t="str">
        <f>IFERROR(__xludf.DUMMYFUNCTION("""COMPUTED_VALUE"""),"No")</f>
        <v>No</v>
      </c>
      <c r="P1115" s="26"/>
    </row>
    <row r="1116">
      <c r="A1116" s="81" t="str">
        <f>IFERROR(__xludf.DUMMYFUNCTION("""COMPUTED_VALUE"""),"DiRT Rally 2.0")</f>
        <v>DiRT Rally 2.0</v>
      </c>
      <c r="B1116" s="82" t="str">
        <f>IFERROR(__xludf.DUMMYFUNCTION("""COMPUTED_VALUE"""),"PS4")</f>
        <v>PS4</v>
      </c>
      <c r="C1116" s="83" t="str">
        <f>IFERROR(__xludf.DUMMYFUNCTION("""COMPUTED_VALUE"""),"Playstation Plus (Discontinued)")</f>
        <v>Playstation Plus (Discontinued)</v>
      </c>
      <c r="D1116" s="82" t="str">
        <f>IFERROR(__xludf.DUMMYFUNCTION("""COMPUTED_VALUE"""),"Removed")</f>
        <v>Removed</v>
      </c>
      <c r="E1116" s="84">
        <f>IFERROR(__xludf.DUMMYFUNCTION("""COMPUTED_VALUE"""),43928.0)</f>
        <v>43928</v>
      </c>
      <c r="F1116" s="85">
        <f>IFERROR(__xludf.DUMMYFUNCTION("""COMPUTED_VALUE"""),43955.0)</f>
        <v>43955</v>
      </c>
      <c r="G1116" s="86">
        <f>IFERROR(__xludf.DUMMYFUNCTION("""COMPUTED_VALUE"""),0.8999999999999999)</f>
        <v>0.9</v>
      </c>
      <c r="H1116" s="84">
        <f>IFERROR(__xludf.DUMMYFUNCTION("""COMPUTED_VALUE"""),43522.0)</f>
        <v>43522</v>
      </c>
      <c r="I1116" s="86">
        <f>IFERROR(__xludf.DUMMYFUNCTION("""COMPUTED_VALUE"""),1.113888888888889)</f>
        <v>1.113888889</v>
      </c>
      <c r="J1116" s="87">
        <f>IFERROR(__xludf.DUMMYFUNCTION("""COMPUTED_VALUE"""),84.0)</f>
        <v>84</v>
      </c>
      <c r="K1116" s="88">
        <f>IFERROR(__xludf.DUMMYFUNCTION("""COMPUTED_VALUE"""),7.7)</f>
        <v>7.7</v>
      </c>
      <c r="L1116" s="89"/>
      <c r="M1116" s="26" t="str">
        <f>IFERROR(__xludf.DUMMYFUNCTION("""COMPUTED_VALUE"""),"Racing")</f>
        <v>Racing</v>
      </c>
      <c r="N1116" s="26"/>
      <c r="O1116" s="26" t="str">
        <f>IFERROR(__xludf.DUMMYFUNCTION("""COMPUTED_VALUE"""),"No")</f>
        <v>No</v>
      </c>
      <c r="P1116" s="26"/>
    </row>
    <row r="1117">
      <c r="A1117" s="81" t="str">
        <f>IFERROR(__xludf.DUMMYFUNCTION("""COMPUTED_VALUE"""),"Shadow of the Colossus")</f>
        <v>Shadow of the Colossus</v>
      </c>
      <c r="B1117" s="82" t="str">
        <f>IFERROR(__xludf.DUMMYFUNCTION("""COMPUTED_VALUE"""),"PS4")</f>
        <v>PS4</v>
      </c>
      <c r="C1117" s="83" t="str">
        <f>IFERROR(__xludf.DUMMYFUNCTION("""COMPUTED_VALUE"""),"Playstation Plus (Discontinued)")</f>
        <v>Playstation Plus (Discontinued)</v>
      </c>
      <c r="D1117" s="82" t="str">
        <f>IFERROR(__xludf.DUMMYFUNCTION("""COMPUTED_VALUE"""),"Removed")</f>
        <v>Removed</v>
      </c>
      <c r="E1117" s="84">
        <f>IFERROR(__xludf.DUMMYFUNCTION("""COMPUTED_VALUE"""),43893.0)</f>
        <v>43893</v>
      </c>
      <c r="F1117" s="85">
        <f>IFERROR(__xludf.DUMMYFUNCTION("""COMPUTED_VALUE"""),43927.0)</f>
        <v>43927</v>
      </c>
      <c r="G1117" s="86">
        <f>IFERROR(__xludf.DUMMYFUNCTION("""COMPUTED_VALUE"""),1.0999999999999999)</f>
        <v>1.1</v>
      </c>
      <c r="H1117" s="84">
        <f>IFERROR(__xludf.DUMMYFUNCTION("""COMPUTED_VALUE"""),43137.0)</f>
        <v>43137</v>
      </c>
      <c r="I1117" s="86">
        <f>IFERROR(__xludf.DUMMYFUNCTION("""COMPUTED_VALUE"""),2.075)</f>
        <v>2.075</v>
      </c>
      <c r="J1117" s="87">
        <f>IFERROR(__xludf.DUMMYFUNCTION("""COMPUTED_VALUE"""),91.0)</f>
        <v>91</v>
      </c>
      <c r="K1117" s="88">
        <f>IFERROR(__xludf.DUMMYFUNCTION("""COMPUTED_VALUE"""),8.6)</f>
        <v>8.6</v>
      </c>
      <c r="L1117" s="89">
        <f>IFERROR(__xludf.DUMMYFUNCTION("""COMPUTED_VALUE"""),8.0)</f>
        <v>8</v>
      </c>
      <c r="M1117" s="26" t="str">
        <f>IFERROR(__xludf.DUMMYFUNCTION("""COMPUTED_VALUE"""),"Action-Adventure")</f>
        <v>Action-Adventure</v>
      </c>
      <c r="N1117" s="26"/>
      <c r="O1117" s="26" t="str">
        <f>IFERROR(__xludf.DUMMYFUNCTION("""COMPUTED_VALUE"""),"No")</f>
        <v>No</v>
      </c>
      <c r="P1117" s="26"/>
    </row>
    <row r="1118">
      <c r="A1118" s="81" t="str">
        <f>IFERROR(__xludf.DUMMYFUNCTION("""COMPUTED_VALUE"""),"Sonic Forces")</f>
        <v>Sonic Forces</v>
      </c>
      <c r="B1118" s="82" t="str">
        <f>IFERROR(__xludf.DUMMYFUNCTION("""COMPUTED_VALUE"""),"PS4")</f>
        <v>PS4</v>
      </c>
      <c r="C1118" s="83" t="str">
        <f>IFERROR(__xludf.DUMMYFUNCTION("""COMPUTED_VALUE"""),"Playstation Plus (Discontinued)")</f>
        <v>Playstation Plus (Discontinued)</v>
      </c>
      <c r="D1118" s="82" t="str">
        <f>IFERROR(__xludf.DUMMYFUNCTION("""COMPUTED_VALUE"""),"Removed")</f>
        <v>Removed</v>
      </c>
      <c r="E1118" s="84">
        <f>IFERROR(__xludf.DUMMYFUNCTION("""COMPUTED_VALUE"""),43893.0)</f>
        <v>43893</v>
      </c>
      <c r="F1118" s="85">
        <f>IFERROR(__xludf.DUMMYFUNCTION("""COMPUTED_VALUE"""),43927.0)</f>
        <v>43927</v>
      </c>
      <c r="G1118" s="86">
        <f>IFERROR(__xludf.DUMMYFUNCTION("""COMPUTED_VALUE"""),1.0999999999999999)</f>
        <v>1.1</v>
      </c>
      <c r="H1118" s="84">
        <f>IFERROR(__xludf.DUMMYFUNCTION("""COMPUTED_VALUE"""),43046.0)</f>
        <v>43046</v>
      </c>
      <c r="I1118" s="86">
        <f>IFERROR(__xludf.DUMMYFUNCTION("""COMPUTED_VALUE"""),2.3222222222222224)</f>
        <v>2.322222222</v>
      </c>
      <c r="J1118" s="87">
        <f>IFERROR(__xludf.DUMMYFUNCTION("""COMPUTED_VALUE"""),57.0)</f>
        <v>57</v>
      </c>
      <c r="K1118" s="88">
        <f>IFERROR(__xludf.DUMMYFUNCTION("""COMPUTED_VALUE"""),6.0)</f>
        <v>6</v>
      </c>
      <c r="L1118" s="89">
        <f>IFERROR(__xludf.DUMMYFUNCTION("""COMPUTED_VALUE"""),4.0)</f>
        <v>4</v>
      </c>
      <c r="M1118" s="26" t="str">
        <f>IFERROR(__xludf.DUMMYFUNCTION("""COMPUTED_VALUE"""),"Platformer")</f>
        <v>Platformer</v>
      </c>
      <c r="N1118" s="26"/>
      <c r="O1118" s="26" t="str">
        <f>IFERROR(__xludf.DUMMYFUNCTION("""COMPUTED_VALUE"""),"No")</f>
        <v>No</v>
      </c>
      <c r="P1118" s="26"/>
    </row>
    <row r="1119">
      <c r="A1119" s="81" t="str">
        <f>IFERROR(__xludf.DUMMYFUNCTION("""COMPUTED_VALUE"""),"Bioshock: The Collection")</f>
        <v>Bioshock: The Collection</v>
      </c>
      <c r="B1119" s="82" t="str">
        <f>IFERROR(__xludf.DUMMYFUNCTION("""COMPUTED_VALUE"""),"PS4")</f>
        <v>PS4</v>
      </c>
      <c r="C1119" s="83" t="str">
        <f>IFERROR(__xludf.DUMMYFUNCTION("""COMPUTED_VALUE"""),"Playstation Plus (Discontinued)")</f>
        <v>Playstation Plus (Discontinued)</v>
      </c>
      <c r="D1119" s="82" t="str">
        <f>IFERROR(__xludf.DUMMYFUNCTION("""COMPUTED_VALUE"""),"Removed")</f>
        <v>Removed</v>
      </c>
      <c r="E1119" s="84">
        <f>IFERROR(__xludf.DUMMYFUNCTION("""COMPUTED_VALUE"""),43865.0)</f>
        <v>43865</v>
      </c>
      <c r="F1119" s="85">
        <f>IFERROR(__xludf.DUMMYFUNCTION("""COMPUTED_VALUE"""),43892.0)</f>
        <v>43892</v>
      </c>
      <c r="G1119" s="86">
        <f>IFERROR(__xludf.DUMMYFUNCTION("""COMPUTED_VALUE"""),0.9333333333333333)</f>
        <v>0.9333333333</v>
      </c>
      <c r="H1119" s="84">
        <f>IFERROR(__xludf.DUMMYFUNCTION("""COMPUTED_VALUE"""),42626.0)</f>
        <v>42626</v>
      </c>
      <c r="I1119" s="86">
        <f>IFERROR(__xludf.DUMMYFUNCTION("""COMPUTED_VALUE"""),3.3916666666666666)</f>
        <v>3.391666667</v>
      </c>
      <c r="J1119" s="87">
        <f>IFERROR(__xludf.DUMMYFUNCTION("""COMPUTED_VALUE"""),84.0)</f>
        <v>84</v>
      </c>
      <c r="K1119" s="88">
        <f>IFERROR(__xludf.DUMMYFUNCTION("""COMPUTED_VALUE"""),7.9)</f>
        <v>7.9</v>
      </c>
      <c r="L1119" s="89">
        <f>IFERROR(__xludf.DUMMYFUNCTION("""COMPUTED_VALUE"""),37.0)</f>
        <v>37</v>
      </c>
      <c r="M1119" s="26" t="str">
        <f>IFERROR(__xludf.DUMMYFUNCTION("""COMPUTED_VALUE"""),"Shooter")</f>
        <v>Shooter</v>
      </c>
      <c r="N1119" s="26"/>
      <c r="O1119" s="26" t="str">
        <f>IFERROR(__xludf.DUMMYFUNCTION("""COMPUTED_VALUE"""),"No")</f>
        <v>No</v>
      </c>
      <c r="P1119" s="26"/>
    </row>
    <row r="1120">
      <c r="A1120" s="81" t="str">
        <f>IFERROR(__xludf.DUMMYFUNCTION("""COMPUTED_VALUE"""),"The Sims 4")</f>
        <v>The Sims 4</v>
      </c>
      <c r="B1120" s="82" t="str">
        <f>IFERROR(__xludf.DUMMYFUNCTION("""COMPUTED_VALUE"""),"PS4")</f>
        <v>PS4</v>
      </c>
      <c r="C1120" s="83" t="str">
        <f>IFERROR(__xludf.DUMMYFUNCTION("""COMPUTED_VALUE"""),"Playstation Plus (Discontinued)")</f>
        <v>Playstation Plus (Discontinued)</v>
      </c>
      <c r="D1120" s="82" t="str">
        <f>IFERROR(__xludf.DUMMYFUNCTION("""COMPUTED_VALUE"""),"Removed")</f>
        <v>Removed</v>
      </c>
      <c r="E1120" s="84">
        <f>IFERROR(__xludf.DUMMYFUNCTION("""COMPUTED_VALUE"""),43865.0)</f>
        <v>43865</v>
      </c>
      <c r="F1120" s="85">
        <f>IFERROR(__xludf.DUMMYFUNCTION("""COMPUTED_VALUE"""),43892.0)</f>
        <v>43892</v>
      </c>
      <c r="G1120" s="86">
        <f>IFERROR(__xludf.DUMMYFUNCTION("""COMPUTED_VALUE"""),0.9333333333333333)</f>
        <v>0.9333333333</v>
      </c>
      <c r="H1120" s="84">
        <f>IFERROR(__xludf.DUMMYFUNCTION("""COMPUTED_VALUE"""),43056.0)</f>
        <v>43056</v>
      </c>
      <c r="I1120" s="86">
        <f>IFERROR(__xludf.DUMMYFUNCTION("""COMPUTED_VALUE"""),2.213888888888889)</f>
        <v>2.213888889</v>
      </c>
      <c r="J1120" s="87">
        <f>IFERROR(__xludf.DUMMYFUNCTION("""COMPUTED_VALUE"""),66.0)</f>
        <v>66</v>
      </c>
      <c r="K1120" s="88">
        <f>IFERROR(__xludf.DUMMYFUNCTION("""COMPUTED_VALUE"""),4.7)</f>
        <v>4.7</v>
      </c>
      <c r="L1120" s="89"/>
      <c r="M1120" s="26" t="str">
        <f>IFERROR(__xludf.DUMMYFUNCTION("""COMPUTED_VALUE"""),"Simulation")</f>
        <v>Simulation</v>
      </c>
      <c r="N1120" s="26"/>
      <c r="O1120" s="26" t="str">
        <f>IFERROR(__xludf.DUMMYFUNCTION("""COMPUTED_VALUE"""),"No")</f>
        <v>No</v>
      </c>
      <c r="P1120" s="26"/>
    </row>
    <row r="1121">
      <c r="A1121" s="81" t="str">
        <f>IFERROR(__xludf.DUMMYFUNCTION("""COMPUTED_VALUE"""),"Firewall Zero Hour")</f>
        <v>Firewall Zero Hour</v>
      </c>
      <c r="B1121" s="82" t="str">
        <f>IFERROR(__xludf.DUMMYFUNCTION("""COMPUTED_VALUE"""),"PS4/PSVR")</f>
        <v>PS4/PSVR</v>
      </c>
      <c r="C1121" s="83" t="str">
        <f>IFERROR(__xludf.DUMMYFUNCTION("""COMPUTED_VALUE"""),"Playstation Plus (Discontinued)")</f>
        <v>Playstation Plus (Discontinued)</v>
      </c>
      <c r="D1121" s="82" t="str">
        <f>IFERROR(__xludf.DUMMYFUNCTION("""COMPUTED_VALUE"""),"Removed")</f>
        <v>Removed</v>
      </c>
      <c r="E1121" s="84">
        <f>IFERROR(__xludf.DUMMYFUNCTION("""COMPUTED_VALUE"""),43865.0)</f>
        <v>43865</v>
      </c>
      <c r="F1121" s="85">
        <f>IFERROR(__xludf.DUMMYFUNCTION("""COMPUTED_VALUE"""),43892.0)</f>
        <v>43892</v>
      </c>
      <c r="G1121" s="86">
        <f>IFERROR(__xludf.DUMMYFUNCTION("""COMPUTED_VALUE"""),0.9333333333333333)</f>
        <v>0.9333333333</v>
      </c>
      <c r="H1121" s="84">
        <f>IFERROR(__xludf.DUMMYFUNCTION("""COMPUTED_VALUE"""),43340.0)</f>
        <v>43340</v>
      </c>
      <c r="I1121" s="86">
        <f>IFERROR(__xludf.DUMMYFUNCTION("""COMPUTED_VALUE"""),1.4333333333333333)</f>
        <v>1.433333333</v>
      </c>
      <c r="J1121" s="87">
        <f>IFERROR(__xludf.DUMMYFUNCTION("""COMPUTED_VALUE"""),79.0)</f>
        <v>79</v>
      </c>
      <c r="K1121" s="88">
        <f>IFERROR(__xludf.DUMMYFUNCTION("""COMPUTED_VALUE"""),8.8)</f>
        <v>8.8</v>
      </c>
      <c r="L1121" s="89"/>
      <c r="M1121" s="26" t="str">
        <f>IFERROR(__xludf.DUMMYFUNCTION("""COMPUTED_VALUE"""),"Shooter")</f>
        <v>Shooter</v>
      </c>
      <c r="N1121" s="26"/>
      <c r="O1121" s="26" t="str">
        <f>IFERROR(__xludf.DUMMYFUNCTION("""COMPUTED_VALUE"""),"No")</f>
        <v>No</v>
      </c>
      <c r="P1121" s="26"/>
    </row>
    <row r="1122">
      <c r="A1122" s="81" t="str">
        <f>IFERROR(__xludf.DUMMYFUNCTION("""COMPUTED_VALUE"""),"Uncharted: The Nathan Drake Collection")</f>
        <v>Uncharted: The Nathan Drake Collection</v>
      </c>
      <c r="B1122" s="82" t="str">
        <f>IFERROR(__xludf.DUMMYFUNCTION("""COMPUTED_VALUE"""),"PS4")</f>
        <v>PS4</v>
      </c>
      <c r="C1122" s="83" t="str">
        <f>IFERROR(__xludf.DUMMYFUNCTION("""COMPUTED_VALUE"""),"Playstation Plus (Discontinued)")</f>
        <v>Playstation Plus (Discontinued)</v>
      </c>
      <c r="D1122" s="82" t="str">
        <f>IFERROR(__xludf.DUMMYFUNCTION("""COMPUTED_VALUE"""),"Removed")</f>
        <v>Removed</v>
      </c>
      <c r="E1122" s="84">
        <f>IFERROR(__xludf.DUMMYFUNCTION("""COMPUTED_VALUE"""),43837.0)</f>
        <v>43837</v>
      </c>
      <c r="F1122" s="85">
        <f>IFERROR(__xludf.DUMMYFUNCTION("""COMPUTED_VALUE"""),43864.0)</f>
        <v>43864</v>
      </c>
      <c r="G1122" s="86">
        <f>IFERROR(__xludf.DUMMYFUNCTION("""COMPUTED_VALUE"""),0.8666666666666666)</f>
        <v>0.8666666667</v>
      </c>
      <c r="H1122" s="84">
        <f>IFERROR(__xludf.DUMMYFUNCTION("""COMPUTED_VALUE"""),42286.0)</f>
        <v>42286</v>
      </c>
      <c r="I1122" s="86">
        <f>IFERROR(__xludf.DUMMYFUNCTION("""COMPUTED_VALUE"""),4.2444444444444445)</f>
        <v>4.244444444</v>
      </c>
      <c r="J1122" s="87">
        <f>IFERROR(__xludf.DUMMYFUNCTION("""COMPUTED_VALUE"""),86.0)</f>
        <v>86</v>
      </c>
      <c r="K1122" s="88">
        <f>IFERROR(__xludf.DUMMYFUNCTION("""COMPUTED_VALUE"""),8.6)</f>
        <v>8.6</v>
      </c>
      <c r="L1122" s="89">
        <f>IFERROR(__xludf.DUMMYFUNCTION("""COMPUTED_VALUE"""),36.0)</f>
        <v>36</v>
      </c>
      <c r="M1122" s="26" t="str">
        <f>IFERROR(__xludf.DUMMYFUNCTION("""COMPUTED_VALUE"""),"Action-Adventure")</f>
        <v>Action-Adventure</v>
      </c>
      <c r="N1122" s="26"/>
      <c r="O1122" s="26" t="str">
        <f>IFERROR(__xludf.DUMMYFUNCTION("""COMPUTED_VALUE"""),"No")</f>
        <v>No</v>
      </c>
      <c r="P1122" s="26"/>
    </row>
    <row r="1123">
      <c r="A1123" s="81" t="str">
        <f>IFERROR(__xludf.DUMMYFUNCTION("""COMPUTED_VALUE"""),"Goat Simulator")</f>
        <v>Goat Simulator</v>
      </c>
      <c r="B1123" s="82" t="str">
        <f>IFERROR(__xludf.DUMMYFUNCTION("""COMPUTED_VALUE"""),"PS4")</f>
        <v>PS4</v>
      </c>
      <c r="C1123" s="83" t="str">
        <f>IFERROR(__xludf.DUMMYFUNCTION("""COMPUTED_VALUE"""),"Playstation Plus (Discontinued)")</f>
        <v>Playstation Plus (Discontinued)</v>
      </c>
      <c r="D1123" s="82" t="str">
        <f>IFERROR(__xludf.DUMMYFUNCTION("""COMPUTED_VALUE"""),"Removed")</f>
        <v>Removed</v>
      </c>
      <c r="E1123" s="84">
        <f>IFERROR(__xludf.DUMMYFUNCTION("""COMPUTED_VALUE"""),43837.0)</f>
        <v>43837</v>
      </c>
      <c r="F1123" s="85">
        <f>IFERROR(__xludf.DUMMYFUNCTION("""COMPUTED_VALUE"""),43864.0)</f>
        <v>43864</v>
      </c>
      <c r="G1123" s="86">
        <f>IFERROR(__xludf.DUMMYFUNCTION("""COMPUTED_VALUE"""),0.8666666666666666)</f>
        <v>0.8666666667</v>
      </c>
      <c r="H1123" s="84">
        <f>IFERROR(__xludf.DUMMYFUNCTION("""COMPUTED_VALUE"""),42108.0)</f>
        <v>42108</v>
      </c>
      <c r="I1123" s="86">
        <f>IFERROR(__xludf.DUMMYFUNCTION("""COMPUTED_VALUE"""),4.730555555555555)</f>
        <v>4.730555556</v>
      </c>
      <c r="J1123" s="87">
        <f>IFERROR(__xludf.DUMMYFUNCTION("""COMPUTED_VALUE"""),58.0)</f>
        <v>58</v>
      </c>
      <c r="K1123" s="88">
        <f>IFERROR(__xludf.DUMMYFUNCTION("""COMPUTED_VALUE"""),7.1)</f>
        <v>7.1</v>
      </c>
      <c r="L1123" s="89">
        <f>IFERROR(__xludf.DUMMYFUNCTION("""COMPUTED_VALUE"""),4.0)</f>
        <v>4</v>
      </c>
      <c r="M1123" s="26" t="str">
        <f>IFERROR(__xludf.DUMMYFUNCTION("""COMPUTED_VALUE"""),"Simulation")</f>
        <v>Simulation</v>
      </c>
      <c r="N1123" s="26"/>
      <c r="O1123" s="26" t="str">
        <f>IFERROR(__xludf.DUMMYFUNCTION("""COMPUTED_VALUE"""),"No")</f>
        <v>No</v>
      </c>
      <c r="P1123" s="26"/>
    </row>
    <row r="1124">
      <c r="A1124" s="81" t="str">
        <f>IFERROR(__xludf.DUMMYFUNCTION("""COMPUTED_VALUE"""),"Titanfall 2")</f>
        <v>Titanfall 2</v>
      </c>
      <c r="B1124" s="82" t="str">
        <f>IFERROR(__xludf.DUMMYFUNCTION("""COMPUTED_VALUE"""),"PS4")</f>
        <v>PS4</v>
      </c>
      <c r="C1124" s="83" t="str">
        <f>IFERROR(__xludf.DUMMYFUNCTION("""COMPUTED_VALUE"""),"Playstation Plus (Discontinued)")</f>
        <v>Playstation Plus (Discontinued)</v>
      </c>
      <c r="D1124" s="82" t="str">
        <f>IFERROR(__xludf.DUMMYFUNCTION("""COMPUTED_VALUE"""),"Removed")</f>
        <v>Removed</v>
      </c>
      <c r="E1124" s="84">
        <f>IFERROR(__xludf.DUMMYFUNCTION("""COMPUTED_VALUE"""),43802.0)</f>
        <v>43802</v>
      </c>
      <c r="F1124" s="85">
        <f>IFERROR(__xludf.DUMMYFUNCTION("""COMPUTED_VALUE"""),43836.0)</f>
        <v>43836</v>
      </c>
      <c r="G1124" s="86">
        <f>IFERROR(__xludf.DUMMYFUNCTION("""COMPUTED_VALUE"""),1.0999999999999999)</f>
        <v>1.1</v>
      </c>
      <c r="H1124" s="84">
        <f>IFERROR(__xludf.DUMMYFUNCTION("""COMPUTED_VALUE"""),42671.0)</f>
        <v>42671</v>
      </c>
      <c r="I1124" s="86">
        <f>IFERROR(__xludf.DUMMYFUNCTION("""COMPUTED_VALUE"""),3.0972222222222223)</f>
        <v>3.097222222</v>
      </c>
      <c r="J1124" s="87">
        <f>IFERROR(__xludf.DUMMYFUNCTION("""COMPUTED_VALUE"""),89.0)</f>
        <v>89</v>
      </c>
      <c r="K1124" s="88">
        <f>IFERROR(__xludf.DUMMYFUNCTION("""COMPUTED_VALUE"""),8.6)</f>
        <v>8.6</v>
      </c>
      <c r="L1124" s="89">
        <f>IFERROR(__xludf.DUMMYFUNCTION("""COMPUTED_VALUE"""),8.0)</f>
        <v>8</v>
      </c>
      <c r="M1124" s="26" t="str">
        <f>IFERROR(__xludf.DUMMYFUNCTION("""COMPUTED_VALUE"""),"Shooter")</f>
        <v>Shooter</v>
      </c>
      <c r="N1124" s="26"/>
      <c r="O1124" s="26" t="str">
        <f>IFERROR(__xludf.DUMMYFUNCTION("""COMPUTED_VALUE"""),"No")</f>
        <v>No</v>
      </c>
      <c r="P1124" s="26"/>
    </row>
    <row r="1125">
      <c r="A1125" s="81" t="str">
        <f>IFERROR(__xludf.DUMMYFUNCTION("""COMPUTED_VALUE"""),"Monster Energy Supercross: The Game")</f>
        <v>Monster Energy Supercross: The Game</v>
      </c>
      <c r="B1125" s="82" t="str">
        <f>IFERROR(__xludf.DUMMYFUNCTION("""COMPUTED_VALUE"""),"PS4")</f>
        <v>PS4</v>
      </c>
      <c r="C1125" s="83" t="str">
        <f>IFERROR(__xludf.DUMMYFUNCTION("""COMPUTED_VALUE"""),"Playstation Plus (Discontinued)")</f>
        <v>Playstation Plus (Discontinued)</v>
      </c>
      <c r="D1125" s="82" t="str">
        <f>IFERROR(__xludf.DUMMYFUNCTION("""COMPUTED_VALUE"""),"Removed")</f>
        <v>Removed</v>
      </c>
      <c r="E1125" s="84">
        <f>IFERROR(__xludf.DUMMYFUNCTION("""COMPUTED_VALUE"""),43802.0)</f>
        <v>43802</v>
      </c>
      <c r="F1125" s="85">
        <f>IFERROR(__xludf.DUMMYFUNCTION("""COMPUTED_VALUE"""),43836.0)</f>
        <v>43836</v>
      </c>
      <c r="G1125" s="86">
        <f>IFERROR(__xludf.DUMMYFUNCTION("""COMPUTED_VALUE"""),1.0999999999999999)</f>
        <v>1.1</v>
      </c>
      <c r="H1125" s="84">
        <f>IFERROR(__xludf.DUMMYFUNCTION("""COMPUTED_VALUE"""),43144.0)</f>
        <v>43144</v>
      </c>
      <c r="I1125" s="86">
        <f>IFERROR(__xludf.DUMMYFUNCTION("""COMPUTED_VALUE"""),1.8055555555555556)</f>
        <v>1.805555556</v>
      </c>
      <c r="J1125" s="87">
        <f>IFERROR(__xludf.DUMMYFUNCTION("""COMPUTED_VALUE"""),67.0)</f>
        <v>67</v>
      </c>
      <c r="K1125" s="88">
        <f>IFERROR(__xludf.DUMMYFUNCTION("""COMPUTED_VALUE"""),5.9)</f>
        <v>5.9</v>
      </c>
      <c r="L1125" s="89"/>
      <c r="M1125" s="26" t="str">
        <f>IFERROR(__xludf.DUMMYFUNCTION("""COMPUTED_VALUE"""),"Racing")</f>
        <v>Racing</v>
      </c>
      <c r="N1125" s="26"/>
      <c r="O1125" s="26" t="str">
        <f>IFERROR(__xludf.DUMMYFUNCTION("""COMPUTED_VALUE"""),"No")</f>
        <v>No</v>
      </c>
      <c r="P1125" s="26"/>
    </row>
    <row r="1126">
      <c r="A1126" s="81" t="str">
        <f>IFERROR(__xludf.DUMMYFUNCTION("""COMPUTED_VALUE"""),"Nioh")</f>
        <v>Nioh</v>
      </c>
      <c r="B1126" s="82" t="str">
        <f>IFERROR(__xludf.DUMMYFUNCTION("""COMPUTED_VALUE"""),"PS4")</f>
        <v>PS4</v>
      </c>
      <c r="C1126" s="83" t="str">
        <f>IFERROR(__xludf.DUMMYFUNCTION("""COMPUTED_VALUE"""),"Playstation Plus (Discontinued)")</f>
        <v>Playstation Plus (Discontinued)</v>
      </c>
      <c r="D1126" s="82" t="str">
        <f>IFERROR(__xludf.DUMMYFUNCTION("""COMPUTED_VALUE"""),"Removed")</f>
        <v>Removed</v>
      </c>
      <c r="E1126" s="84">
        <f>IFERROR(__xludf.DUMMYFUNCTION("""COMPUTED_VALUE"""),43774.0)</f>
        <v>43774</v>
      </c>
      <c r="F1126" s="85">
        <f>IFERROR(__xludf.DUMMYFUNCTION("""COMPUTED_VALUE"""),43801.0)</f>
        <v>43801</v>
      </c>
      <c r="G1126" s="86">
        <f>IFERROR(__xludf.DUMMYFUNCTION("""COMPUTED_VALUE"""),0.8999999999999999)</f>
        <v>0.9</v>
      </c>
      <c r="H1126" s="84">
        <f>IFERROR(__xludf.DUMMYFUNCTION("""COMPUTED_VALUE"""),42773.0)</f>
        <v>42773</v>
      </c>
      <c r="I1126" s="86">
        <f>IFERROR(__xludf.DUMMYFUNCTION("""COMPUTED_VALUE"""),2.7444444444444445)</f>
        <v>2.744444444</v>
      </c>
      <c r="J1126" s="87">
        <f>IFERROR(__xludf.DUMMYFUNCTION("""COMPUTED_VALUE"""),88.0)</f>
        <v>88</v>
      </c>
      <c r="K1126" s="88">
        <f>IFERROR(__xludf.DUMMYFUNCTION("""COMPUTED_VALUE"""),8.6)</f>
        <v>8.6</v>
      </c>
      <c r="L1126" s="89">
        <f>IFERROR(__xludf.DUMMYFUNCTION("""COMPUTED_VALUE"""),35.0)</f>
        <v>35</v>
      </c>
      <c r="M1126" s="26" t="str">
        <f>IFERROR(__xludf.DUMMYFUNCTION("""COMPUTED_VALUE"""),"Action-Adventure")</f>
        <v>Action-Adventure</v>
      </c>
      <c r="N1126" s="26"/>
      <c r="O1126" s="26" t="str">
        <f>IFERROR(__xludf.DUMMYFUNCTION("""COMPUTED_VALUE"""),"No")</f>
        <v>No</v>
      </c>
      <c r="P1126" s="26"/>
    </row>
    <row r="1127">
      <c r="A1127" s="81" t="str">
        <f>IFERROR(__xludf.DUMMYFUNCTION("""COMPUTED_VALUE"""),"Outlast 2")</f>
        <v>Outlast 2</v>
      </c>
      <c r="B1127" s="82" t="str">
        <f>IFERROR(__xludf.DUMMYFUNCTION("""COMPUTED_VALUE"""),"PS4")</f>
        <v>PS4</v>
      </c>
      <c r="C1127" s="83" t="str">
        <f>IFERROR(__xludf.DUMMYFUNCTION("""COMPUTED_VALUE"""),"Playstation Plus (Discontinued)")</f>
        <v>Playstation Plus (Discontinued)</v>
      </c>
      <c r="D1127" s="82" t="str">
        <f>IFERROR(__xludf.DUMMYFUNCTION("""COMPUTED_VALUE"""),"Removed")</f>
        <v>Removed</v>
      </c>
      <c r="E1127" s="84">
        <f>IFERROR(__xludf.DUMMYFUNCTION("""COMPUTED_VALUE"""),43774.0)</f>
        <v>43774</v>
      </c>
      <c r="F1127" s="85">
        <f>IFERROR(__xludf.DUMMYFUNCTION("""COMPUTED_VALUE"""),43801.0)</f>
        <v>43801</v>
      </c>
      <c r="G1127" s="86">
        <f>IFERROR(__xludf.DUMMYFUNCTION("""COMPUTED_VALUE"""),0.8999999999999999)</f>
        <v>0.9</v>
      </c>
      <c r="H1127" s="84">
        <f>IFERROR(__xludf.DUMMYFUNCTION("""COMPUTED_VALUE"""),42850.0)</f>
        <v>42850</v>
      </c>
      <c r="I1127" s="86">
        <f>IFERROR(__xludf.DUMMYFUNCTION("""COMPUTED_VALUE"""),2.5277777777777777)</f>
        <v>2.527777778</v>
      </c>
      <c r="J1127" s="87">
        <f>IFERROR(__xludf.DUMMYFUNCTION("""COMPUTED_VALUE"""),68.0)</f>
        <v>68</v>
      </c>
      <c r="K1127" s="88">
        <f>IFERROR(__xludf.DUMMYFUNCTION("""COMPUTED_VALUE"""),6.8)</f>
        <v>6.8</v>
      </c>
      <c r="L1127" s="89">
        <f>IFERROR(__xludf.DUMMYFUNCTION("""COMPUTED_VALUE"""),9.0)</f>
        <v>9</v>
      </c>
      <c r="M1127" s="26" t="str">
        <f>IFERROR(__xludf.DUMMYFUNCTION("""COMPUTED_VALUE"""),"Horror")</f>
        <v>Horror</v>
      </c>
      <c r="N1127" s="26"/>
      <c r="O1127" s="26" t="str">
        <f>IFERROR(__xludf.DUMMYFUNCTION("""COMPUTED_VALUE"""),"No")</f>
        <v>No</v>
      </c>
      <c r="P1127" s="26"/>
    </row>
    <row r="1128">
      <c r="A1128" s="81" t="str">
        <f>IFERROR(__xludf.DUMMYFUNCTION("""COMPUTED_VALUE"""),"The Last of Us Remastered")</f>
        <v>The Last of Us Remastered</v>
      </c>
      <c r="B1128" s="82" t="str">
        <f>IFERROR(__xludf.DUMMYFUNCTION("""COMPUTED_VALUE"""),"PS4")</f>
        <v>PS4</v>
      </c>
      <c r="C1128" s="83" t="str">
        <f>IFERROR(__xludf.DUMMYFUNCTION("""COMPUTED_VALUE"""),"Playstation Plus (Discontinued)")</f>
        <v>Playstation Plus (Discontinued)</v>
      </c>
      <c r="D1128" s="82" t="str">
        <f>IFERROR(__xludf.DUMMYFUNCTION("""COMPUTED_VALUE"""),"Removed")</f>
        <v>Removed</v>
      </c>
      <c r="E1128" s="84">
        <f>IFERROR(__xludf.DUMMYFUNCTION("""COMPUTED_VALUE"""),43739.0)</f>
        <v>43739</v>
      </c>
      <c r="F1128" s="85">
        <f>IFERROR(__xludf.DUMMYFUNCTION("""COMPUTED_VALUE"""),43773.0)</f>
        <v>43773</v>
      </c>
      <c r="G1128" s="86">
        <f>IFERROR(__xludf.DUMMYFUNCTION("""COMPUTED_VALUE"""),1.0999999999999999)</f>
        <v>1.1</v>
      </c>
      <c r="H1128" s="84">
        <f>IFERROR(__xludf.DUMMYFUNCTION("""COMPUTED_VALUE"""),41849.0)</f>
        <v>41849</v>
      </c>
      <c r="I1128" s="86">
        <f>IFERROR(__xludf.DUMMYFUNCTION("""COMPUTED_VALUE"""),5.1722222222222225)</f>
        <v>5.172222222</v>
      </c>
      <c r="J1128" s="87">
        <f>IFERROR(__xludf.DUMMYFUNCTION("""COMPUTED_VALUE"""),95.0)</f>
        <v>95</v>
      </c>
      <c r="K1128" s="88">
        <f>IFERROR(__xludf.DUMMYFUNCTION("""COMPUTED_VALUE"""),9.2)</f>
        <v>9.2</v>
      </c>
      <c r="L1128" s="89">
        <f>IFERROR(__xludf.DUMMYFUNCTION("""COMPUTED_VALUE"""),15.0)</f>
        <v>15</v>
      </c>
      <c r="M1128" s="26" t="str">
        <f>IFERROR(__xludf.DUMMYFUNCTION("""COMPUTED_VALUE"""),"Action-Adventure")</f>
        <v>Action-Adventure</v>
      </c>
      <c r="N1128" s="26"/>
      <c r="O1128" s="26" t="str">
        <f>IFERROR(__xludf.DUMMYFUNCTION("""COMPUTED_VALUE"""),"No")</f>
        <v>No</v>
      </c>
      <c r="P1128" s="26"/>
    </row>
    <row r="1129">
      <c r="A1129" s="81" t="str">
        <f>IFERROR(__xludf.DUMMYFUNCTION("""COMPUTED_VALUE"""),"MLB The Show 19")</f>
        <v>MLB The Show 19</v>
      </c>
      <c r="B1129" s="82" t="str">
        <f>IFERROR(__xludf.DUMMYFUNCTION("""COMPUTED_VALUE"""),"PS4")</f>
        <v>PS4</v>
      </c>
      <c r="C1129" s="83" t="str">
        <f>IFERROR(__xludf.DUMMYFUNCTION("""COMPUTED_VALUE"""),"Playstation Plus (Discontinued)")</f>
        <v>Playstation Plus (Discontinued)</v>
      </c>
      <c r="D1129" s="82" t="str">
        <f>IFERROR(__xludf.DUMMYFUNCTION("""COMPUTED_VALUE"""),"Removed")</f>
        <v>Removed</v>
      </c>
      <c r="E1129" s="84">
        <f>IFERROR(__xludf.DUMMYFUNCTION("""COMPUTED_VALUE"""),43739.0)</f>
        <v>43739</v>
      </c>
      <c r="F1129" s="85">
        <f>IFERROR(__xludf.DUMMYFUNCTION("""COMPUTED_VALUE"""),43773.0)</f>
        <v>43773</v>
      </c>
      <c r="G1129" s="86">
        <f>IFERROR(__xludf.DUMMYFUNCTION("""COMPUTED_VALUE"""),1.0999999999999999)</f>
        <v>1.1</v>
      </c>
      <c r="H1129" s="84">
        <f>IFERROR(__xludf.DUMMYFUNCTION("""COMPUTED_VALUE"""),43550.0)</f>
        <v>43550</v>
      </c>
      <c r="I1129" s="86">
        <f>IFERROR(__xludf.DUMMYFUNCTION("""COMPUTED_VALUE"""),0.5138888888888888)</f>
        <v>0.5138888889</v>
      </c>
      <c r="J1129" s="87">
        <f>IFERROR(__xludf.DUMMYFUNCTION("""COMPUTED_VALUE"""),86.0)</f>
        <v>86</v>
      </c>
      <c r="K1129" s="88">
        <f>IFERROR(__xludf.DUMMYFUNCTION("""COMPUTED_VALUE"""),7.7)</f>
        <v>7.7</v>
      </c>
      <c r="L1129" s="89"/>
      <c r="M1129" s="26" t="str">
        <f>IFERROR(__xludf.DUMMYFUNCTION("""COMPUTED_VALUE"""),"Sports")</f>
        <v>Sports</v>
      </c>
      <c r="N1129" s="26"/>
      <c r="O1129" s="26" t="str">
        <f>IFERROR(__xludf.DUMMYFUNCTION("""COMPUTED_VALUE"""),"No")</f>
        <v>No</v>
      </c>
      <c r="P1129" s="26"/>
    </row>
    <row r="1130">
      <c r="A1130" s="81" t="str">
        <f>IFERROR(__xludf.DUMMYFUNCTION("""COMPUTED_VALUE"""),"Batman Arkham Knight")</f>
        <v>Batman Arkham Knight</v>
      </c>
      <c r="B1130" s="82" t="str">
        <f>IFERROR(__xludf.DUMMYFUNCTION("""COMPUTED_VALUE"""),"PS4")</f>
        <v>PS4</v>
      </c>
      <c r="C1130" s="83" t="str">
        <f>IFERROR(__xludf.DUMMYFUNCTION("""COMPUTED_VALUE"""),"Playstation Plus (Discontinued)")</f>
        <v>Playstation Plus (Discontinued)</v>
      </c>
      <c r="D1130" s="82" t="str">
        <f>IFERROR(__xludf.DUMMYFUNCTION("""COMPUTED_VALUE"""),"Removed")</f>
        <v>Removed</v>
      </c>
      <c r="E1130" s="84">
        <f>IFERROR(__xludf.DUMMYFUNCTION("""COMPUTED_VALUE"""),43711.0)</f>
        <v>43711</v>
      </c>
      <c r="F1130" s="85">
        <f>IFERROR(__xludf.DUMMYFUNCTION("""COMPUTED_VALUE"""),43738.0)</f>
        <v>43738</v>
      </c>
      <c r="G1130" s="86">
        <f>IFERROR(__xludf.DUMMYFUNCTION("""COMPUTED_VALUE"""),0.8999999999999999)</f>
        <v>0.9</v>
      </c>
      <c r="H1130" s="84">
        <f>IFERROR(__xludf.DUMMYFUNCTION("""COMPUTED_VALUE"""),42178.0)</f>
        <v>42178</v>
      </c>
      <c r="I1130" s="86">
        <f>IFERROR(__xludf.DUMMYFUNCTION("""COMPUTED_VALUE"""),4.194444444444445)</f>
        <v>4.194444444</v>
      </c>
      <c r="J1130" s="87">
        <f>IFERROR(__xludf.DUMMYFUNCTION("""COMPUTED_VALUE"""),87.0)</f>
        <v>87</v>
      </c>
      <c r="K1130" s="88">
        <f>IFERROR(__xludf.DUMMYFUNCTION("""COMPUTED_VALUE"""),7.9)</f>
        <v>7.9</v>
      </c>
      <c r="L1130" s="89">
        <f>IFERROR(__xludf.DUMMYFUNCTION("""COMPUTED_VALUE"""),16.0)</f>
        <v>16</v>
      </c>
      <c r="M1130" s="26" t="str">
        <f>IFERROR(__xludf.DUMMYFUNCTION("""COMPUTED_VALUE"""),"Action-Adventure")</f>
        <v>Action-Adventure</v>
      </c>
      <c r="N1130" s="26"/>
      <c r="O1130" s="26" t="str">
        <f>IFERROR(__xludf.DUMMYFUNCTION("""COMPUTED_VALUE"""),"No")</f>
        <v>No</v>
      </c>
      <c r="P1130" s="26"/>
    </row>
    <row r="1131">
      <c r="A1131" s="81" t="str">
        <f>IFERROR(__xludf.DUMMYFUNCTION("""COMPUTED_VALUE"""),"Darksiders III")</f>
        <v>Darksiders III</v>
      </c>
      <c r="B1131" s="82" t="str">
        <f>IFERROR(__xludf.DUMMYFUNCTION("""COMPUTED_VALUE"""),"PS4")</f>
        <v>PS4</v>
      </c>
      <c r="C1131" s="83" t="str">
        <f>IFERROR(__xludf.DUMMYFUNCTION("""COMPUTED_VALUE"""),"Playstation Plus (Discontinued)")</f>
        <v>Playstation Plus (Discontinued)</v>
      </c>
      <c r="D1131" s="82" t="str">
        <f>IFERROR(__xludf.DUMMYFUNCTION("""COMPUTED_VALUE"""),"Removed")</f>
        <v>Removed</v>
      </c>
      <c r="E1131" s="84">
        <f>IFERROR(__xludf.DUMMYFUNCTION("""COMPUTED_VALUE"""),43711.0)</f>
        <v>43711</v>
      </c>
      <c r="F1131" s="85">
        <f>IFERROR(__xludf.DUMMYFUNCTION("""COMPUTED_VALUE"""),43738.0)</f>
        <v>43738</v>
      </c>
      <c r="G1131" s="86">
        <f>IFERROR(__xludf.DUMMYFUNCTION("""COMPUTED_VALUE"""),0.8999999999999999)</f>
        <v>0.9</v>
      </c>
      <c r="H1131" s="84">
        <f>IFERROR(__xludf.DUMMYFUNCTION("""COMPUTED_VALUE"""),43431.0)</f>
        <v>43431</v>
      </c>
      <c r="I1131" s="86">
        <f>IFERROR(__xludf.DUMMYFUNCTION("""COMPUTED_VALUE"""),0.7666666666666667)</f>
        <v>0.7666666667</v>
      </c>
      <c r="J1131" s="87">
        <f>IFERROR(__xludf.DUMMYFUNCTION("""COMPUTED_VALUE"""),64.0)</f>
        <v>64</v>
      </c>
      <c r="K1131" s="88">
        <f>IFERROR(__xludf.DUMMYFUNCTION("""COMPUTED_VALUE"""),6.5)</f>
        <v>6.5</v>
      </c>
      <c r="L1131" s="89">
        <f>IFERROR(__xludf.DUMMYFUNCTION("""COMPUTED_VALUE"""),15.0)</f>
        <v>15</v>
      </c>
      <c r="M1131" s="26" t="str">
        <f>IFERROR(__xludf.DUMMYFUNCTION("""COMPUTED_VALUE"""),"Action-Adventure")</f>
        <v>Action-Adventure</v>
      </c>
      <c r="N1131" s="26"/>
      <c r="O1131" s="26" t="str">
        <f>IFERROR(__xludf.DUMMYFUNCTION("""COMPUTED_VALUE"""),"No")</f>
        <v>No</v>
      </c>
      <c r="P1131" s="26"/>
    </row>
    <row r="1132">
      <c r="A1132" s="81" t="str">
        <f>IFERROR(__xludf.DUMMYFUNCTION("""COMPUTED_VALUE"""),"Wipeout Omega Collection")</f>
        <v>Wipeout Omega Collection</v>
      </c>
      <c r="B1132" s="82" t="str">
        <f>IFERROR(__xludf.DUMMYFUNCTION("""COMPUTED_VALUE"""),"PS4/PSVR")</f>
        <v>PS4/PSVR</v>
      </c>
      <c r="C1132" s="83" t="str">
        <f>IFERROR(__xludf.DUMMYFUNCTION("""COMPUTED_VALUE"""),"Playstation Plus (Discontinued)")</f>
        <v>Playstation Plus (Discontinued)</v>
      </c>
      <c r="D1132" s="82" t="str">
        <f>IFERROR(__xludf.DUMMYFUNCTION("""COMPUTED_VALUE"""),"Removed")</f>
        <v>Removed</v>
      </c>
      <c r="E1132" s="84">
        <f>IFERROR(__xludf.DUMMYFUNCTION("""COMPUTED_VALUE"""),43683.0)</f>
        <v>43683</v>
      </c>
      <c r="F1132" s="85">
        <f>IFERROR(__xludf.DUMMYFUNCTION("""COMPUTED_VALUE"""),43710.0)</f>
        <v>43710</v>
      </c>
      <c r="G1132" s="86">
        <f>IFERROR(__xludf.DUMMYFUNCTION("""COMPUTED_VALUE"""),0.8666666666666666)</f>
        <v>0.8666666667</v>
      </c>
      <c r="H1132" s="84">
        <f>IFERROR(__xludf.DUMMYFUNCTION("""COMPUTED_VALUE"""),42892.0)</f>
        <v>42892</v>
      </c>
      <c r="I1132" s="86">
        <f>IFERROR(__xludf.DUMMYFUNCTION("""COMPUTED_VALUE"""),2.1666666666666665)</f>
        <v>2.166666667</v>
      </c>
      <c r="J1132" s="87">
        <f>IFERROR(__xludf.DUMMYFUNCTION("""COMPUTED_VALUE"""),85.0)</f>
        <v>85</v>
      </c>
      <c r="K1132" s="88">
        <f>IFERROR(__xludf.DUMMYFUNCTION("""COMPUTED_VALUE"""),8.2)</f>
        <v>8.2</v>
      </c>
      <c r="L1132" s="89">
        <f>IFERROR(__xludf.DUMMYFUNCTION("""COMPUTED_VALUE"""),8.0)</f>
        <v>8</v>
      </c>
      <c r="M1132" s="26" t="str">
        <f>IFERROR(__xludf.DUMMYFUNCTION("""COMPUTED_VALUE"""),"Racing")</f>
        <v>Racing</v>
      </c>
      <c r="N1132" s="26"/>
      <c r="O1132" s="26" t="str">
        <f>IFERROR(__xludf.DUMMYFUNCTION("""COMPUTED_VALUE"""),"No")</f>
        <v>No</v>
      </c>
      <c r="P1132" s="26"/>
    </row>
    <row r="1133">
      <c r="A1133" s="81" t="str">
        <f>IFERROR(__xludf.DUMMYFUNCTION("""COMPUTED_VALUE"""),"Sniper Elite 4")</f>
        <v>Sniper Elite 4</v>
      </c>
      <c r="B1133" s="82" t="str">
        <f>IFERROR(__xludf.DUMMYFUNCTION("""COMPUTED_VALUE"""),"PS4")</f>
        <v>PS4</v>
      </c>
      <c r="C1133" s="83" t="str">
        <f>IFERROR(__xludf.DUMMYFUNCTION("""COMPUTED_VALUE"""),"Playstation Plus (Discontinued)")</f>
        <v>Playstation Plus (Discontinued)</v>
      </c>
      <c r="D1133" s="82" t="str">
        <f>IFERROR(__xludf.DUMMYFUNCTION("""COMPUTED_VALUE"""),"Removed")</f>
        <v>Removed</v>
      </c>
      <c r="E1133" s="84">
        <f>IFERROR(__xludf.DUMMYFUNCTION("""COMPUTED_VALUE"""),43683.0)</f>
        <v>43683</v>
      </c>
      <c r="F1133" s="85">
        <f>IFERROR(__xludf.DUMMYFUNCTION("""COMPUTED_VALUE"""),43710.0)</f>
        <v>43710</v>
      </c>
      <c r="G1133" s="86">
        <f>IFERROR(__xludf.DUMMYFUNCTION("""COMPUTED_VALUE"""),0.8666666666666666)</f>
        <v>0.8666666667</v>
      </c>
      <c r="H1133" s="84">
        <f>IFERROR(__xludf.DUMMYFUNCTION("""COMPUTED_VALUE"""),42780.0)</f>
        <v>42780</v>
      </c>
      <c r="I1133" s="86">
        <f>IFERROR(__xludf.DUMMYFUNCTION("""COMPUTED_VALUE"""),2.477777777777778)</f>
        <v>2.477777778</v>
      </c>
      <c r="J1133" s="87">
        <f>IFERROR(__xludf.DUMMYFUNCTION("""COMPUTED_VALUE"""),77.0)</f>
        <v>77</v>
      </c>
      <c r="K1133" s="88">
        <f>IFERROR(__xludf.DUMMYFUNCTION("""COMPUTED_VALUE"""),7.6)</f>
        <v>7.6</v>
      </c>
      <c r="L1133" s="89">
        <f>IFERROR(__xludf.DUMMYFUNCTION("""COMPUTED_VALUE"""),12.0)</f>
        <v>12</v>
      </c>
      <c r="M1133" s="26" t="str">
        <f>IFERROR(__xludf.DUMMYFUNCTION("""COMPUTED_VALUE"""),"Shooter")</f>
        <v>Shooter</v>
      </c>
      <c r="N1133" s="26"/>
      <c r="O1133" s="26" t="str">
        <f>IFERROR(__xludf.DUMMYFUNCTION("""COMPUTED_VALUE"""),"No")</f>
        <v>No</v>
      </c>
      <c r="P1133" s="26"/>
    </row>
    <row r="1134">
      <c r="A1134" s="81" t="str">
        <f>IFERROR(__xludf.DUMMYFUNCTION("""COMPUTED_VALUE"""),"Detroit: Become Human")</f>
        <v>Detroit: Become Human</v>
      </c>
      <c r="B1134" s="82" t="str">
        <f>IFERROR(__xludf.DUMMYFUNCTION("""COMPUTED_VALUE"""),"PS4")</f>
        <v>PS4</v>
      </c>
      <c r="C1134" s="83" t="str">
        <f>IFERROR(__xludf.DUMMYFUNCTION("""COMPUTED_VALUE"""),"Playstation Plus (Discontinued)")</f>
        <v>Playstation Plus (Discontinued)</v>
      </c>
      <c r="D1134" s="82" t="str">
        <f>IFERROR(__xludf.DUMMYFUNCTION("""COMPUTED_VALUE"""),"Removed")</f>
        <v>Removed</v>
      </c>
      <c r="E1134" s="84">
        <f>IFERROR(__xludf.DUMMYFUNCTION("""COMPUTED_VALUE"""),43648.0)</f>
        <v>43648</v>
      </c>
      <c r="F1134" s="85">
        <f>IFERROR(__xludf.DUMMYFUNCTION("""COMPUTED_VALUE"""),43682.0)</f>
        <v>43682</v>
      </c>
      <c r="G1134" s="86">
        <f>IFERROR(__xludf.DUMMYFUNCTION("""COMPUTED_VALUE"""),1.0999999999999999)</f>
        <v>1.1</v>
      </c>
      <c r="H1134" s="84">
        <f>IFERROR(__xludf.DUMMYFUNCTION("""COMPUTED_VALUE"""),43245.0)</f>
        <v>43245</v>
      </c>
      <c r="I1134" s="86">
        <f>IFERROR(__xludf.DUMMYFUNCTION("""COMPUTED_VALUE"""),1.1027777777777779)</f>
        <v>1.102777778</v>
      </c>
      <c r="J1134" s="87">
        <f>IFERROR(__xludf.DUMMYFUNCTION("""COMPUTED_VALUE"""),78.0)</f>
        <v>78</v>
      </c>
      <c r="K1134" s="88">
        <f>IFERROR(__xludf.DUMMYFUNCTION("""COMPUTED_VALUE"""),8.3)</f>
        <v>8.3</v>
      </c>
      <c r="L1134" s="89">
        <f>IFERROR(__xludf.DUMMYFUNCTION("""COMPUTED_VALUE"""),10.0)</f>
        <v>10</v>
      </c>
      <c r="M1134" s="26" t="str">
        <f>IFERROR(__xludf.DUMMYFUNCTION("""COMPUTED_VALUE"""),"Action-Adventure")</f>
        <v>Action-Adventure</v>
      </c>
      <c r="N1134" s="26"/>
      <c r="O1134" s="26" t="str">
        <f>IFERROR(__xludf.DUMMYFUNCTION("""COMPUTED_VALUE"""),"No")</f>
        <v>No</v>
      </c>
      <c r="P1134" s="26"/>
    </row>
    <row r="1135">
      <c r="A1135" s="81" t="str">
        <f>IFERROR(__xludf.DUMMYFUNCTION("""COMPUTED_VALUE"""),"Heavy Rain")</f>
        <v>Heavy Rain</v>
      </c>
      <c r="B1135" s="82" t="str">
        <f>IFERROR(__xludf.DUMMYFUNCTION("""COMPUTED_VALUE"""),"PS4")</f>
        <v>PS4</v>
      </c>
      <c r="C1135" s="83" t="str">
        <f>IFERROR(__xludf.DUMMYFUNCTION("""COMPUTED_VALUE"""),"Playstation Plus (Discontinued)")</f>
        <v>Playstation Plus (Discontinued)</v>
      </c>
      <c r="D1135" s="82" t="str">
        <f>IFERROR(__xludf.DUMMYFUNCTION("""COMPUTED_VALUE"""),"Removed")</f>
        <v>Removed</v>
      </c>
      <c r="E1135" s="84">
        <f>IFERROR(__xludf.DUMMYFUNCTION("""COMPUTED_VALUE"""),43648.0)</f>
        <v>43648</v>
      </c>
      <c r="F1135" s="85">
        <f>IFERROR(__xludf.DUMMYFUNCTION("""COMPUTED_VALUE"""),43682.0)</f>
        <v>43682</v>
      </c>
      <c r="G1135" s="86">
        <f>IFERROR(__xludf.DUMMYFUNCTION("""COMPUTED_VALUE"""),1.0999999999999999)</f>
        <v>1.1</v>
      </c>
      <c r="H1135" s="84">
        <f>IFERROR(__xludf.DUMMYFUNCTION("""COMPUTED_VALUE"""),40232.0)</f>
        <v>40232</v>
      </c>
      <c r="I1135" s="86">
        <f>IFERROR(__xludf.DUMMYFUNCTION("""COMPUTED_VALUE"""),9.358333333333333)</f>
        <v>9.358333333</v>
      </c>
      <c r="J1135" s="87">
        <f>IFERROR(__xludf.DUMMYFUNCTION("""COMPUTED_VALUE"""),78.0)</f>
        <v>78</v>
      </c>
      <c r="K1135" s="88">
        <f>IFERROR(__xludf.DUMMYFUNCTION("""COMPUTED_VALUE"""),8.2)</f>
        <v>8.2</v>
      </c>
      <c r="L1135" s="89">
        <f>IFERROR(__xludf.DUMMYFUNCTION("""COMPUTED_VALUE"""),10.0)</f>
        <v>10</v>
      </c>
      <c r="M1135" s="26" t="str">
        <f>IFERROR(__xludf.DUMMYFUNCTION("""COMPUTED_VALUE"""),"Action-Adventure")</f>
        <v>Action-Adventure</v>
      </c>
      <c r="N1135" s="26"/>
      <c r="O1135" s="26" t="str">
        <f>IFERROR(__xludf.DUMMYFUNCTION("""COMPUTED_VALUE"""),"No")</f>
        <v>No</v>
      </c>
      <c r="P1135" s="26"/>
    </row>
    <row r="1136">
      <c r="A1136" s="81" t="str">
        <f>IFERROR(__xludf.DUMMYFUNCTION("""COMPUTED_VALUE"""),"Horizon Chase Turbo")</f>
        <v>Horizon Chase Turbo</v>
      </c>
      <c r="B1136" s="82" t="str">
        <f>IFERROR(__xludf.DUMMYFUNCTION("""COMPUTED_VALUE"""),"PS4")</f>
        <v>PS4</v>
      </c>
      <c r="C1136" s="83" t="str">
        <f>IFERROR(__xludf.DUMMYFUNCTION("""COMPUTED_VALUE"""),"Playstation Plus (Discontinued)")</f>
        <v>Playstation Plus (Discontinued)</v>
      </c>
      <c r="D1136" s="82" t="str">
        <f>IFERROR(__xludf.DUMMYFUNCTION("""COMPUTED_VALUE"""),"Removed")</f>
        <v>Removed</v>
      </c>
      <c r="E1136" s="84">
        <f>IFERROR(__xludf.DUMMYFUNCTION("""COMPUTED_VALUE"""),43648.0)</f>
        <v>43648</v>
      </c>
      <c r="F1136" s="85">
        <f>IFERROR(__xludf.DUMMYFUNCTION("""COMPUTED_VALUE"""),43682.0)</f>
        <v>43682</v>
      </c>
      <c r="G1136" s="86">
        <f>IFERROR(__xludf.DUMMYFUNCTION("""COMPUTED_VALUE"""),1.0999999999999999)</f>
        <v>1.1</v>
      </c>
      <c r="H1136" s="84">
        <f>IFERROR(__xludf.DUMMYFUNCTION("""COMPUTED_VALUE"""),43235.0)</f>
        <v>43235</v>
      </c>
      <c r="I1136" s="86">
        <f>IFERROR(__xludf.DUMMYFUNCTION("""COMPUTED_VALUE"""),1.1305555555555555)</f>
        <v>1.130555556</v>
      </c>
      <c r="J1136" s="87">
        <f>IFERROR(__xludf.DUMMYFUNCTION("""COMPUTED_VALUE"""),77.0)</f>
        <v>77</v>
      </c>
      <c r="K1136" s="88">
        <f>IFERROR(__xludf.DUMMYFUNCTION("""COMPUTED_VALUE"""),7.7)</f>
        <v>7.7</v>
      </c>
      <c r="L1136" s="89">
        <f>IFERROR(__xludf.DUMMYFUNCTION("""COMPUTED_VALUE"""),4.0)</f>
        <v>4</v>
      </c>
      <c r="M1136" s="26" t="str">
        <f>IFERROR(__xludf.DUMMYFUNCTION("""COMPUTED_VALUE"""),"Racing")</f>
        <v>Racing</v>
      </c>
      <c r="N1136" s="26"/>
      <c r="O1136" s="26" t="str">
        <f>IFERROR(__xludf.DUMMYFUNCTION("""COMPUTED_VALUE"""),"No")</f>
        <v>No</v>
      </c>
      <c r="P1136" s="26"/>
    </row>
    <row r="1137">
      <c r="A1137" s="81" t="str">
        <f>IFERROR(__xludf.DUMMYFUNCTION("""COMPUTED_VALUE"""),"Borderlands: The Handsome Collection")</f>
        <v>Borderlands: The Handsome Collection</v>
      </c>
      <c r="B1137" s="82" t="str">
        <f>IFERROR(__xludf.DUMMYFUNCTION("""COMPUTED_VALUE"""),"PS4")</f>
        <v>PS4</v>
      </c>
      <c r="C1137" s="83" t="str">
        <f>IFERROR(__xludf.DUMMYFUNCTION("""COMPUTED_VALUE"""),"Playstation Plus (Discontinued)")</f>
        <v>Playstation Plus (Discontinued)</v>
      </c>
      <c r="D1137" s="82" t="str">
        <f>IFERROR(__xludf.DUMMYFUNCTION("""COMPUTED_VALUE"""),"Removed")</f>
        <v>Removed</v>
      </c>
      <c r="E1137" s="84">
        <f>IFERROR(__xludf.DUMMYFUNCTION("""COMPUTED_VALUE"""),43620.0)</f>
        <v>43620</v>
      </c>
      <c r="F1137" s="85">
        <f>IFERROR(__xludf.DUMMYFUNCTION("""COMPUTED_VALUE"""),43647.0)</f>
        <v>43647</v>
      </c>
      <c r="G1137" s="86">
        <f>IFERROR(__xludf.DUMMYFUNCTION("""COMPUTED_VALUE"""),0.8999999999999999)</f>
        <v>0.9</v>
      </c>
      <c r="H1137" s="84">
        <f>IFERROR(__xludf.DUMMYFUNCTION("""COMPUTED_VALUE"""),42087.0)</f>
        <v>42087</v>
      </c>
      <c r="I1137" s="86">
        <f>IFERROR(__xludf.DUMMYFUNCTION("""COMPUTED_VALUE"""),4.194444444444445)</f>
        <v>4.194444444</v>
      </c>
      <c r="J1137" s="87">
        <f>IFERROR(__xludf.DUMMYFUNCTION("""COMPUTED_VALUE"""),82.0)</f>
        <v>82</v>
      </c>
      <c r="K1137" s="88">
        <f>IFERROR(__xludf.DUMMYFUNCTION("""COMPUTED_VALUE"""),7.8)</f>
        <v>7.8</v>
      </c>
      <c r="L1137" s="89">
        <f>IFERROR(__xludf.DUMMYFUNCTION("""COMPUTED_VALUE"""),59.0)</f>
        <v>59</v>
      </c>
      <c r="M1137" s="26" t="str">
        <f>IFERROR(__xludf.DUMMYFUNCTION("""COMPUTED_VALUE"""),"Shooter")</f>
        <v>Shooter</v>
      </c>
      <c r="N1137" s="26"/>
      <c r="O1137" s="26" t="str">
        <f>IFERROR(__xludf.DUMMYFUNCTION("""COMPUTED_VALUE"""),"No")</f>
        <v>No</v>
      </c>
      <c r="P1137" s="26"/>
    </row>
    <row r="1138">
      <c r="A1138" s="81" t="str">
        <f>IFERROR(__xludf.DUMMYFUNCTION("""COMPUTED_VALUE"""),"Sonic Mania")</f>
        <v>Sonic Mania</v>
      </c>
      <c r="B1138" s="82" t="str">
        <f>IFERROR(__xludf.DUMMYFUNCTION("""COMPUTED_VALUE"""),"PS4")</f>
        <v>PS4</v>
      </c>
      <c r="C1138" s="83" t="str">
        <f>IFERROR(__xludf.DUMMYFUNCTION("""COMPUTED_VALUE"""),"Playstation Plus (Discontinued)")</f>
        <v>Playstation Plus (Discontinued)</v>
      </c>
      <c r="D1138" s="82" t="str">
        <f>IFERROR(__xludf.DUMMYFUNCTION("""COMPUTED_VALUE"""),"Removed")</f>
        <v>Removed</v>
      </c>
      <c r="E1138" s="84">
        <f>IFERROR(__xludf.DUMMYFUNCTION("""COMPUTED_VALUE"""),43620.0)</f>
        <v>43620</v>
      </c>
      <c r="F1138" s="85">
        <f>IFERROR(__xludf.DUMMYFUNCTION("""COMPUTED_VALUE"""),43647.0)</f>
        <v>43647</v>
      </c>
      <c r="G1138" s="86">
        <f>IFERROR(__xludf.DUMMYFUNCTION("""COMPUTED_VALUE"""),0.8999999999999999)</f>
        <v>0.9</v>
      </c>
      <c r="H1138" s="84">
        <f>IFERROR(__xludf.DUMMYFUNCTION("""COMPUTED_VALUE"""),42962.0)</f>
        <v>42962</v>
      </c>
      <c r="I1138" s="86">
        <f>IFERROR(__xludf.DUMMYFUNCTION("""COMPUTED_VALUE"""),1.8027777777777778)</f>
        <v>1.802777778</v>
      </c>
      <c r="J1138" s="87">
        <f>IFERROR(__xludf.DUMMYFUNCTION("""COMPUTED_VALUE"""),86.0)</f>
        <v>86</v>
      </c>
      <c r="K1138" s="88">
        <f>IFERROR(__xludf.DUMMYFUNCTION("""COMPUTED_VALUE"""),8.5)</f>
        <v>8.5</v>
      </c>
      <c r="L1138" s="89">
        <f>IFERROR(__xludf.DUMMYFUNCTION("""COMPUTED_VALUE"""),6.0)</f>
        <v>6</v>
      </c>
      <c r="M1138" s="26" t="str">
        <f>IFERROR(__xludf.DUMMYFUNCTION("""COMPUTED_VALUE"""),"Platformer")</f>
        <v>Platformer</v>
      </c>
      <c r="N1138" s="26"/>
      <c r="O1138" s="26" t="str">
        <f>IFERROR(__xludf.DUMMYFUNCTION("""COMPUTED_VALUE"""),"No")</f>
        <v>No</v>
      </c>
      <c r="P1138" s="26"/>
    </row>
    <row r="1139">
      <c r="A1139" s="81" t="str">
        <f>IFERROR(__xludf.DUMMYFUNCTION("""COMPUTED_VALUE"""),"Overcooked")</f>
        <v>Overcooked</v>
      </c>
      <c r="B1139" s="82" t="str">
        <f>IFERROR(__xludf.DUMMYFUNCTION("""COMPUTED_VALUE"""),"PS4")</f>
        <v>PS4</v>
      </c>
      <c r="C1139" s="83" t="str">
        <f>IFERROR(__xludf.DUMMYFUNCTION("""COMPUTED_VALUE"""),"Playstation Plus (Discontinued)")</f>
        <v>Playstation Plus (Discontinued)</v>
      </c>
      <c r="D1139" s="82" t="str">
        <f>IFERROR(__xludf.DUMMYFUNCTION("""COMPUTED_VALUE"""),"Removed")</f>
        <v>Removed</v>
      </c>
      <c r="E1139" s="84">
        <f>IFERROR(__xludf.DUMMYFUNCTION("""COMPUTED_VALUE"""),43592.0)</f>
        <v>43592</v>
      </c>
      <c r="F1139" s="85">
        <f>IFERROR(__xludf.DUMMYFUNCTION("""COMPUTED_VALUE"""),43619.0)</f>
        <v>43619</v>
      </c>
      <c r="G1139" s="86">
        <f>IFERROR(__xludf.DUMMYFUNCTION("""COMPUTED_VALUE"""),0.8666666666666666)</f>
        <v>0.8666666667</v>
      </c>
      <c r="H1139" s="84">
        <f>IFERROR(__xludf.DUMMYFUNCTION("""COMPUTED_VALUE"""),42585.0)</f>
        <v>42585</v>
      </c>
      <c r="I1139" s="86">
        <f>IFERROR(__xludf.DUMMYFUNCTION("""COMPUTED_VALUE"""),2.761111111111111)</f>
        <v>2.761111111</v>
      </c>
      <c r="J1139" s="87">
        <f>IFERROR(__xludf.DUMMYFUNCTION("""COMPUTED_VALUE"""),78.0)</f>
        <v>78</v>
      </c>
      <c r="K1139" s="88">
        <f>IFERROR(__xludf.DUMMYFUNCTION("""COMPUTED_VALUE"""),7.6)</f>
        <v>7.6</v>
      </c>
      <c r="L1139" s="89">
        <f>IFERROR(__xludf.DUMMYFUNCTION("""COMPUTED_VALUE"""),4.0)</f>
        <v>4</v>
      </c>
      <c r="M1139" s="26" t="str">
        <f>IFERROR(__xludf.DUMMYFUNCTION("""COMPUTED_VALUE"""),"Simulation")</f>
        <v>Simulation</v>
      </c>
      <c r="N1139" s="26"/>
      <c r="O1139" s="26" t="str">
        <f>IFERROR(__xludf.DUMMYFUNCTION("""COMPUTED_VALUE"""),"No")</f>
        <v>No</v>
      </c>
      <c r="P1139" s="26"/>
    </row>
    <row r="1140">
      <c r="A1140" s="81" t="str">
        <f>IFERROR(__xludf.DUMMYFUNCTION("""COMPUTED_VALUE"""),"What Remains of Edith Finch")</f>
        <v>What Remains of Edith Finch</v>
      </c>
      <c r="B1140" s="82" t="str">
        <f>IFERROR(__xludf.DUMMYFUNCTION("""COMPUTED_VALUE"""),"PS4")</f>
        <v>PS4</v>
      </c>
      <c r="C1140" s="83" t="str">
        <f>IFERROR(__xludf.DUMMYFUNCTION("""COMPUTED_VALUE"""),"Playstation Plus (Discontinued)")</f>
        <v>Playstation Plus (Discontinued)</v>
      </c>
      <c r="D1140" s="82" t="str">
        <f>IFERROR(__xludf.DUMMYFUNCTION("""COMPUTED_VALUE"""),"Removed")</f>
        <v>Removed</v>
      </c>
      <c r="E1140" s="84">
        <f>IFERROR(__xludf.DUMMYFUNCTION("""COMPUTED_VALUE"""),43592.0)</f>
        <v>43592</v>
      </c>
      <c r="F1140" s="85">
        <f>IFERROR(__xludf.DUMMYFUNCTION("""COMPUTED_VALUE"""),43619.0)</f>
        <v>43619</v>
      </c>
      <c r="G1140" s="86">
        <f>IFERROR(__xludf.DUMMYFUNCTION("""COMPUTED_VALUE"""),0.8666666666666666)</f>
        <v>0.8666666667</v>
      </c>
      <c r="H1140" s="84">
        <f>IFERROR(__xludf.DUMMYFUNCTION("""COMPUTED_VALUE"""),42850.0)</f>
        <v>42850</v>
      </c>
      <c r="I1140" s="86">
        <f>IFERROR(__xludf.DUMMYFUNCTION("""COMPUTED_VALUE"""),2.033333333333333)</f>
        <v>2.033333333</v>
      </c>
      <c r="J1140" s="87">
        <f>IFERROR(__xludf.DUMMYFUNCTION("""COMPUTED_VALUE"""),88.0)</f>
        <v>88</v>
      </c>
      <c r="K1140" s="88">
        <f>IFERROR(__xludf.DUMMYFUNCTION("""COMPUTED_VALUE"""),8.3)</f>
        <v>8.3</v>
      </c>
      <c r="L1140" s="89">
        <f>IFERROR(__xludf.DUMMYFUNCTION("""COMPUTED_VALUE"""),2.0)</f>
        <v>2</v>
      </c>
      <c r="M1140" s="26" t="str">
        <f>IFERROR(__xludf.DUMMYFUNCTION("""COMPUTED_VALUE"""),"Action-Adventure")</f>
        <v>Action-Adventure</v>
      </c>
      <c r="N1140" s="26"/>
      <c r="O1140" s="26" t="str">
        <f>IFERROR(__xludf.DUMMYFUNCTION("""COMPUTED_VALUE"""),"No")</f>
        <v>No</v>
      </c>
      <c r="P1140" s="26"/>
    </row>
    <row r="1141">
      <c r="A1141" s="81" t="str">
        <f>IFERROR(__xludf.DUMMYFUNCTION("""COMPUTED_VALUE"""),"The Surge")</f>
        <v>The Surge</v>
      </c>
      <c r="B1141" s="82" t="str">
        <f>IFERROR(__xludf.DUMMYFUNCTION("""COMPUTED_VALUE"""),"PS4")</f>
        <v>PS4</v>
      </c>
      <c r="C1141" s="83" t="str">
        <f>IFERROR(__xludf.DUMMYFUNCTION("""COMPUTED_VALUE"""),"Playstation Plus (Discontinued)")</f>
        <v>Playstation Plus (Discontinued)</v>
      </c>
      <c r="D1141" s="82" t="str">
        <f>IFERROR(__xludf.DUMMYFUNCTION("""COMPUTED_VALUE"""),"Removed")</f>
        <v>Removed</v>
      </c>
      <c r="E1141" s="84">
        <f>IFERROR(__xludf.DUMMYFUNCTION("""COMPUTED_VALUE"""),43557.0)</f>
        <v>43557</v>
      </c>
      <c r="F1141" s="85">
        <f>IFERROR(__xludf.DUMMYFUNCTION("""COMPUTED_VALUE"""),43591.0)</f>
        <v>43591</v>
      </c>
      <c r="G1141" s="86">
        <f>IFERROR(__xludf.DUMMYFUNCTION("""COMPUTED_VALUE"""),1.1333333333333333)</f>
        <v>1.133333333</v>
      </c>
      <c r="H1141" s="84">
        <f>IFERROR(__xludf.DUMMYFUNCTION("""COMPUTED_VALUE"""),42871.0)</f>
        <v>42871</v>
      </c>
      <c r="I1141" s="86">
        <f>IFERROR(__xludf.DUMMYFUNCTION("""COMPUTED_VALUE"""),1.8777777777777778)</f>
        <v>1.877777778</v>
      </c>
      <c r="J1141" s="87">
        <f>IFERROR(__xludf.DUMMYFUNCTION("""COMPUTED_VALUE"""),73.0)</f>
        <v>73</v>
      </c>
      <c r="K1141" s="88">
        <f>IFERROR(__xludf.DUMMYFUNCTION("""COMPUTED_VALUE"""),7.3)</f>
        <v>7.3</v>
      </c>
      <c r="L1141" s="89">
        <f>IFERROR(__xludf.DUMMYFUNCTION("""COMPUTED_VALUE"""),22.0)</f>
        <v>22</v>
      </c>
      <c r="M1141" s="26" t="str">
        <f>IFERROR(__xludf.DUMMYFUNCTION("""COMPUTED_VALUE"""),"Action-Adventure")</f>
        <v>Action-Adventure</v>
      </c>
      <c r="N1141" s="26"/>
      <c r="O1141" s="26" t="str">
        <f>IFERROR(__xludf.DUMMYFUNCTION("""COMPUTED_VALUE"""),"No")</f>
        <v>No</v>
      </c>
      <c r="P1141" s="26"/>
    </row>
    <row r="1142">
      <c r="A1142" s="81" t="str">
        <f>IFERROR(__xludf.DUMMYFUNCTION("""COMPUTED_VALUE"""),"Conan: Exiles")</f>
        <v>Conan: Exiles</v>
      </c>
      <c r="B1142" s="82" t="str">
        <f>IFERROR(__xludf.DUMMYFUNCTION("""COMPUTED_VALUE"""),"PS4")</f>
        <v>PS4</v>
      </c>
      <c r="C1142" s="83" t="str">
        <f>IFERROR(__xludf.DUMMYFUNCTION("""COMPUTED_VALUE"""),"Playstation Plus (Discontinued)")</f>
        <v>Playstation Plus (Discontinued)</v>
      </c>
      <c r="D1142" s="82" t="str">
        <f>IFERROR(__xludf.DUMMYFUNCTION("""COMPUTED_VALUE"""),"Removed")</f>
        <v>Removed</v>
      </c>
      <c r="E1142" s="84">
        <f>IFERROR(__xludf.DUMMYFUNCTION("""COMPUTED_VALUE"""),43557.0)</f>
        <v>43557</v>
      </c>
      <c r="F1142" s="85">
        <f>IFERROR(__xludf.DUMMYFUNCTION("""COMPUTED_VALUE"""),43591.0)</f>
        <v>43591</v>
      </c>
      <c r="G1142" s="86">
        <f>IFERROR(__xludf.DUMMYFUNCTION("""COMPUTED_VALUE"""),1.1333333333333333)</f>
        <v>1.133333333</v>
      </c>
      <c r="H1142" s="84">
        <f>IFERROR(__xludf.DUMMYFUNCTION("""COMPUTED_VALUE"""),43228.0)</f>
        <v>43228</v>
      </c>
      <c r="I1142" s="86">
        <f>IFERROR(__xludf.DUMMYFUNCTION("""COMPUTED_VALUE"""),0.9)</f>
        <v>0.9</v>
      </c>
      <c r="J1142" s="87">
        <f>IFERROR(__xludf.DUMMYFUNCTION("""COMPUTED_VALUE"""),68.0)</f>
        <v>68</v>
      </c>
      <c r="K1142" s="88">
        <f>IFERROR(__xludf.DUMMYFUNCTION("""COMPUTED_VALUE"""),6.3)</f>
        <v>6.3</v>
      </c>
      <c r="L1142" s="89"/>
      <c r="M1142" s="26" t="str">
        <f>IFERROR(__xludf.DUMMYFUNCTION("""COMPUTED_VALUE"""),"Survival")</f>
        <v>Survival</v>
      </c>
      <c r="N1142" s="26"/>
      <c r="O1142" s="26" t="str">
        <f>IFERROR(__xludf.DUMMYFUNCTION("""COMPUTED_VALUE"""),"No")</f>
        <v>No</v>
      </c>
      <c r="P1142" s="26"/>
    </row>
    <row r="1143">
      <c r="A1143" s="81" t="str">
        <f>IFERROR(__xludf.DUMMYFUNCTION("""COMPUTED_VALUE"""),"Call of Duty: Modern Warfare Remastered")</f>
        <v>Call of Duty: Modern Warfare Remastered</v>
      </c>
      <c r="B1143" s="82" t="str">
        <f>IFERROR(__xludf.DUMMYFUNCTION("""COMPUTED_VALUE"""),"PS4")</f>
        <v>PS4</v>
      </c>
      <c r="C1143" s="83" t="str">
        <f>IFERROR(__xludf.DUMMYFUNCTION("""COMPUTED_VALUE"""),"Playstation Plus (Discontinued)")</f>
        <v>Playstation Plus (Discontinued)</v>
      </c>
      <c r="D1143" s="82" t="str">
        <f>IFERROR(__xludf.DUMMYFUNCTION("""COMPUTED_VALUE"""),"Removed")</f>
        <v>Removed</v>
      </c>
      <c r="E1143" s="84">
        <f>IFERROR(__xludf.DUMMYFUNCTION("""COMPUTED_VALUE"""),43529.0)</f>
        <v>43529</v>
      </c>
      <c r="F1143" s="85">
        <f>IFERROR(__xludf.DUMMYFUNCTION("""COMPUTED_VALUE"""),43556.0)</f>
        <v>43556</v>
      </c>
      <c r="G1143" s="86">
        <f>IFERROR(__xludf.DUMMYFUNCTION("""COMPUTED_VALUE"""),0.8666666666666666)</f>
        <v>0.8666666667</v>
      </c>
      <c r="H1143" s="84">
        <f>IFERROR(__xludf.DUMMYFUNCTION("""COMPUTED_VALUE"""),42678.0)</f>
        <v>42678</v>
      </c>
      <c r="I1143" s="86">
        <f>IFERROR(__xludf.DUMMYFUNCTION("""COMPUTED_VALUE"""),2.3361111111111112)</f>
        <v>2.336111111</v>
      </c>
      <c r="J1143" s="87">
        <f>IFERROR(__xludf.DUMMYFUNCTION("""COMPUTED_VALUE"""),83.0)</f>
        <v>83</v>
      </c>
      <c r="K1143" s="88">
        <f>IFERROR(__xludf.DUMMYFUNCTION("""COMPUTED_VALUE"""),7.7)</f>
        <v>7.7</v>
      </c>
      <c r="L1143" s="89">
        <f>IFERROR(__xludf.DUMMYFUNCTION("""COMPUTED_VALUE"""),7.0)</f>
        <v>7</v>
      </c>
      <c r="M1143" s="26" t="str">
        <f>IFERROR(__xludf.DUMMYFUNCTION("""COMPUTED_VALUE"""),"Shooter")</f>
        <v>Shooter</v>
      </c>
      <c r="N1143" s="26"/>
      <c r="O1143" s="26" t="str">
        <f>IFERROR(__xludf.DUMMYFUNCTION("""COMPUTED_VALUE"""),"No")</f>
        <v>No</v>
      </c>
      <c r="P1143" s="26"/>
    </row>
    <row r="1144">
      <c r="A1144" s="81" t="str">
        <f>IFERROR(__xludf.DUMMYFUNCTION("""COMPUTED_VALUE"""),"The Witness")</f>
        <v>The Witness</v>
      </c>
      <c r="B1144" s="82" t="str">
        <f>IFERROR(__xludf.DUMMYFUNCTION("""COMPUTED_VALUE"""),"PS4")</f>
        <v>PS4</v>
      </c>
      <c r="C1144" s="83" t="str">
        <f>IFERROR(__xludf.DUMMYFUNCTION("""COMPUTED_VALUE"""),"Playstation Plus (Discontinued)")</f>
        <v>Playstation Plus (Discontinued)</v>
      </c>
      <c r="D1144" s="82" t="str">
        <f>IFERROR(__xludf.DUMMYFUNCTION("""COMPUTED_VALUE"""),"Removed")</f>
        <v>Removed</v>
      </c>
      <c r="E1144" s="84">
        <f>IFERROR(__xludf.DUMMYFUNCTION("""COMPUTED_VALUE"""),43529.0)</f>
        <v>43529</v>
      </c>
      <c r="F1144" s="85">
        <f>IFERROR(__xludf.DUMMYFUNCTION("""COMPUTED_VALUE"""),43556.0)</f>
        <v>43556</v>
      </c>
      <c r="G1144" s="86">
        <f>IFERROR(__xludf.DUMMYFUNCTION("""COMPUTED_VALUE"""),0.8666666666666666)</f>
        <v>0.8666666667</v>
      </c>
      <c r="H1144" s="84">
        <f>IFERROR(__xludf.DUMMYFUNCTION("""COMPUTED_VALUE"""),42395.0)</f>
        <v>42395</v>
      </c>
      <c r="I1144" s="86">
        <f>IFERROR(__xludf.DUMMYFUNCTION("""COMPUTED_VALUE"""),3.1083333333333334)</f>
        <v>3.108333333</v>
      </c>
      <c r="J1144" s="87">
        <f>IFERROR(__xludf.DUMMYFUNCTION("""COMPUTED_VALUE"""),87.0)</f>
        <v>87</v>
      </c>
      <c r="K1144" s="88">
        <f>IFERROR(__xludf.DUMMYFUNCTION("""COMPUTED_VALUE"""),8.0)</f>
        <v>8</v>
      </c>
      <c r="L1144" s="89">
        <f>IFERROR(__xludf.DUMMYFUNCTION("""COMPUTED_VALUE"""),18.0)</f>
        <v>18</v>
      </c>
      <c r="M1144" s="26" t="str">
        <f>IFERROR(__xludf.DUMMYFUNCTION("""COMPUTED_VALUE"""),"Puzzle")</f>
        <v>Puzzle</v>
      </c>
      <c r="N1144" s="26"/>
      <c r="O1144" s="26" t="str">
        <f>IFERROR(__xludf.DUMMYFUNCTION("""COMPUTED_VALUE"""),"No")</f>
        <v>No</v>
      </c>
      <c r="P1144" s="26"/>
    </row>
    <row r="1145">
      <c r="A1145" s="81" t="str">
        <f>IFERROR(__xludf.DUMMYFUNCTION("""COMPUTED_VALUE"""),"For Honor")</f>
        <v>For Honor</v>
      </c>
      <c r="B1145" s="82" t="str">
        <f>IFERROR(__xludf.DUMMYFUNCTION("""COMPUTED_VALUE"""),"PS4")</f>
        <v>PS4</v>
      </c>
      <c r="C1145" s="83" t="str">
        <f>IFERROR(__xludf.DUMMYFUNCTION("""COMPUTED_VALUE"""),"Playstation Plus (Discontinued)")</f>
        <v>Playstation Plus (Discontinued)</v>
      </c>
      <c r="D1145" s="82" t="str">
        <f>IFERROR(__xludf.DUMMYFUNCTION("""COMPUTED_VALUE"""),"Removed")</f>
        <v>Removed</v>
      </c>
      <c r="E1145" s="84">
        <f>IFERROR(__xludf.DUMMYFUNCTION("""COMPUTED_VALUE"""),43501.0)</f>
        <v>43501</v>
      </c>
      <c r="F1145" s="85">
        <f>IFERROR(__xludf.DUMMYFUNCTION("""COMPUTED_VALUE"""),43528.0)</f>
        <v>43528</v>
      </c>
      <c r="G1145" s="86">
        <f>IFERROR(__xludf.DUMMYFUNCTION("""COMPUTED_VALUE"""),0.9666666666666668)</f>
        <v>0.9666666667</v>
      </c>
      <c r="H1145" s="84">
        <f>IFERROR(__xludf.DUMMYFUNCTION("""COMPUTED_VALUE"""),42780.0)</f>
        <v>42780</v>
      </c>
      <c r="I1145" s="86">
        <f>IFERROR(__xludf.DUMMYFUNCTION("""COMPUTED_VALUE"""),1.975)</f>
        <v>1.975</v>
      </c>
      <c r="J1145" s="87">
        <f>IFERROR(__xludf.DUMMYFUNCTION("""COMPUTED_VALUE"""),78.0)</f>
        <v>78</v>
      </c>
      <c r="K1145" s="88">
        <f>IFERROR(__xludf.DUMMYFUNCTION("""COMPUTED_VALUE"""),6.8)</f>
        <v>6.8</v>
      </c>
      <c r="L1145" s="89">
        <f>IFERROR(__xludf.DUMMYFUNCTION("""COMPUTED_VALUE"""),6.0)</f>
        <v>6</v>
      </c>
      <c r="M1145" s="26" t="str">
        <f>IFERROR(__xludf.DUMMYFUNCTION("""COMPUTED_VALUE"""),"Action-Adventure")</f>
        <v>Action-Adventure</v>
      </c>
      <c r="N1145" s="26"/>
      <c r="O1145" s="26" t="str">
        <f>IFERROR(__xludf.DUMMYFUNCTION("""COMPUTED_VALUE"""),"No")</f>
        <v>No</v>
      </c>
      <c r="P1145" s="26"/>
    </row>
    <row r="1146">
      <c r="A1146" s="81" t="str">
        <f>IFERROR(__xludf.DUMMYFUNCTION("""COMPUTED_VALUE"""),"Hitman: The Complete First Season")</f>
        <v>Hitman: The Complete First Season</v>
      </c>
      <c r="B1146" s="82" t="str">
        <f>IFERROR(__xludf.DUMMYFUNCTION("""COMPUTED_VALUE"""),"PS4")</f>
        <v>PS4</v>
      </c>
      <c r="C1146" s="83" t="str">
        <f>IFERROR(__xludf.DUMMYFUNCTION("""COMPUTED_VALUE"""),"Playstation Plus (Discontinued)")</f>
        <v>Playstation Plus (Discontinued)</v>
      </c>
      <c r="D1146" s="82" t="str">
        <f>IFERROR(__xludf.DUMMYFUNCTION("""COMPUTED_VALUE"""),"Removed")</f>
        <v>Removed</v>
      </c>
      <c r="E1146" s="84">
        <f>IFERROR(__xludf.DUMMYFUNCTION("""COMPUTED_VALUE"""),43501.0)</f>
        <v>43501</v>
      </c>
      <c r="F1146" s="85">
        <f>IFERROR(__xludf.DUMMYFUNCTION("""COMPUTED_VALUE"""),43528.0)</f>
        <v>43528</v>
      </c>
      <c r="G1146" s="86">
        <f>IFERROR(__xludf.DUMMYFUNCTION("""COMPUTED_VALUE"""),0.9666666666666668)</f>
        <v>0.9666666667</v>
      </c>
      <c r="H1146" s="84">
        <f>IFERROR(__xludf.DUMMYFUNCTION("""COMPUTED_VALUE"""),42766.0)</f>
        <v>42766</v>
      </c>
      <c r="I1146" s="86">
        <f>IFERROR(__xludf.DUMMYFUNCTION("""COMPUTED_VALUE"""),2.013888888888889)</f>
        <v>2.013888889</v>
      </c>
      <c r="J1146" s="87">
        <f>IFERROR(__xludf.DUMMYFUNCTION("""COMPUTED_VALUE"""),84.0)</f>
        <v>84</v>
      </c>
      <c r="K1146" s="88">
        <f>IFERROR(__xludf.DUMMYFUNCTION("""COMPUTED_VALUE"""),7.8)</f>
        <v>7.8</v>
      </c>
      <c r="L1146" s="89">
        <f>IFERROR(__xludf.DUMMYFUNCTION("""COMPUTED_VALUE"""),10.0)</f>
        <v>10</v>
      </c>
      <c r="M1146" s="26" t="str">
        <f>IFERROR(__xludf.DUMMYFUNCTION("""COMPUTED_VALUE"""),"Action-Adventure")</f>
        <v>Action-Adventure</v>
      </c>
      <c r="N1146" s="26"/>
      <c r="O1146" s="26" t="str">
        <f>IFERROR(__xludf.DUMMYFUNCTION("""COMPUTED_VALUE"""),"No")</f>
        <v>No</v>
      </c>
      <c r="P1146" s="26"/>
    </row>
    <row r="1147">
      <c r="A1147" s="81" t="str">
        <f>IFERROR(__xludf.DUMMYFUNCTION("""COMPUTED_VALUE"""),"Metal Gear Solid 4: Guns of the Patriots")</f>
        <v>Metal Gear Solid 4: Guns of the Patriots</v>
      </c>
      <c r="B1147" s="82" t="str">
        <f>IFERROR(__xludf.DUMMYFUNCTION("""COMPUTED_VALUE"""),"PS3")</f>
        <v>PS3</v>
      </c>
      <c r="C1147" s="83" t="str">
        <f>IFERROR(__xludf.DUMMYFUNCTION("""COMPUTED_VALUE"""),"Playstation Plus (Discontinued)")</f>
        <v>Playstation Plus (Discontinued)</v>
      </c>
      <c r="D1147" s="82" t="str">
        <f>IFERROR(__xludf.DUMMYFUNCTION("""COMPUTED_VALUE"""),"Removed")</f>
        <v>Removed</v>
      </c>
      <c r="E1147" s="84">
        <f>IFERROR(__xludf.DUMMYFUNCTION("""COMPUTED_VALUE"""),43501.0)</f>
        <v>43501</v>
      </c>
      <c r="F1147" s="85">
        <f>IFERROR(__xludf.DUMMYFUNCTION("""COMPUTED_VALUE"""),43528.0)</f>
        <v>43528</v>
      </c>
      <c r="G1147" s="86">
        <f>IFERROR(__xludf.DUMMYFUNCTION("""COMPUTED_VALUE"""),0.9666666666666668)</f>
        <v>0.9666666667</v>
      </c>
      <c r="H1147" s="84">
        <f>IFERROR(__xludf.DUMMYFUNCTION("""COMPUTED_VALUE"""),39611.0)</f>
        <v>39611</v>
      </c>
      <c r="I1147" s="86">
        <f>IFERROR(__xludf.DUMMYFUNCTION("""COMPUTED_VALUE"""),10.647222222222222)</f>
        <v>10.64722222</v>
      </c>
      <c r="J1147" s="87">
        <f>IFERROR(__xludf.DUMMYFUNCTION("""COMPUTED_VALUE"""),94.0)</f>
        <v>94</v>
      </c>
      <c r="K1147" s="88">
        <f>IFERROR(__xludf.DUMMYFUNCTION("""COMPUTED_VALUE"""),8.7)</f>
        <v>8.7</v>
      </c>
      <c r="L1147" s="89">
        <f>IFERROR(__xludf.DUMMYFUNCTION("""COMPUTED_VALUE"""),18.0)</f>
        <v>18</v>
      </c>
      <c r="M1147" s="26" t="str">
        <f>IFERROR(__xludf.DUMMYFUNCTION("""COMPUTED_VALUE"""),"Action-Adventure")</f>
        <v>Action-Adventure</v>
      </c>
      <c r="N1147" s="26"/>
      <c r="O1147" s="26" t="str">
        <f>IFERROR(__xludf.DUMMYFUNCTION("""COMPUTED_VALUE"""),"No")</f>
        <v>No</v>
      </c>
      <c r="P1147" s="26"/>
    </row>
    <row r="1148">
      <c r="A1148" s="81" t="str">
        <f>IFERROR(__xludf.DUMMYFUNCTION("""COMPUTED_VALUE"""),"Divekick")</f>
        <v>Divekick</v>
      </c>
      <c r="B1148" s="82" t="str">
        <f>IFERROR(__xludf.DUMMYFUNCTION("""COMPUTED_VALUE"""),"PS3/Vita")</f>
        <v>PS3/Vita</v>
      </c>
      <c r="C1148" s="83" t="str">
        <f>IFERROR(__xludf.DUMMYFUNCTION("""COMPUTED_VALUE"""),"Playstation Plus (Discontinued)")</f>
        <v>Playstation Plus (Discontinued)</v>
      </c>
      <c r="D1148" s="82" t="str">
        <f>IFERROR(__xludf.DUMMYFUNCTION("""COMPUTED_VALUE"""),"Removed")</f>
        <v>Removed</v>
      </c>
      <c r="E1148" s="84">
        <f>IFERROR(__xludf.DUMMYFUNCTION("""COMPUTED_VALUE"""),43501.0)</f>
        <v>43501</v>
      </c>
      <c r="F1148" s="85">
        <f>IFERROR(__xludf.DUMMYFUNCTION("""COMPUTED_VALUE"""),43528.0)</f>
        <v>43528</v>
      </c>
      <c r="G1148" s="86">
        <f>IFERROR(__xludf.DUMMYFUNCTION("""COMPUTED_VALUE"""),0.9666666666666668)</f>
        <v>0.9666666667</v>
      </c>
      <c r="H1148" s="84">
        <f>IFERROR(__xludf.DUMMYFUNCTION("""COMPUTED_VALUE"""),41506.0)</f>
        <v>41506</v>
      </c>
      <c r="I1148" s="86">
        <f>IFERROR(__xludf.DUMMYFUNCTION("""COMPUTED_VALUE"""),5.458333333333333)</f>
        <v>5.458333333</v>
      </c>
      <c r="J1148" s="87">
        <f>IFERROR(__xludf.DUMMYFUNCTION("""COMPUTED_VALUE"""),65.0)</f>
        <v>65</v>
      </c>
      <c r="K1148" s="88">
        <f>IFERROR(__xludf.DUMMYFUNCTION("""COMPUTED_VALUE"""),7.1)</f>
        <v>7.1</v>
      </c>
      <c r="L1148" s="89"/>
      <c r="M1148" s="26" t="str">
        <f>IFERROR(__xludf.DUMMYFUNCTION("""COMPUTED_VALUE"""),"Fighting")</f>
        <v>Fighting</v>
      </c>
      <c r="N1148" s="26"/>
      <c r="O1148" s="26" t="str">
        <f>IFERROR(__xludf.DUMMYFUNCTION("""COMPUTED_VALUE"""),"No")</f>
        <v>No</v>
      </c>
      <c r="P1148" s="26"/>
    </row>
    <row r="1149">
      <c r="A1149" s="81" t="str">
        <f>IFERROR(__xludf.DUMMYFUNCTION("""COMPUTED_VALUE"""),"Gunhouse")</f>
        <v>Gunhouse</v>
      </c>
      <c r="B1149" s="82" t="str">
        <f>IFERROR(__xludf.DUMMYFUNCTION("""COMPUTED_VALUE"""),"PS4/Vita")</f>
        <v>PS4/Vita</v>
      </c>
      <c r="C1149" s="83" t="str">
        <f>IFERROR(__xludf.DUMMYFUNCTION("""COMPUTED_VALUE"""),"Playstation Plus (Discontinued)")</f>
        <v>Playstation Plus (Discontinued)</v>
      </c>
      <c r="D1149" s="82" t="str">
        <f>IFERROR(__xludf.DUMMYFUNCTION("""COMPUTED_VALUE"""),"Removed")</f>
        <v>Removed</v>
      </c>
      <c r="E1149" s="84">
        <f>IFERROR(__xludf.DUMMYFUNCTION("""COMPUTED_VALUE"""),43501.0)</f>
        <v>43501</v>
      </c>
      <c r="F1149" s="85">
        <f>IFERROR(__xludf.DUMMYFUNCTION("""COMPUTED_VALUE"""),43528.0)</f>
        <v>43528</v>
      </c>
      <c r="G1149" s="86">
        <f>IFERROR(__xludf.DUMMYFUNCTION("""COMPUTED_VALUE"""),0.9666666666666668)</f>
        <v>0.9666666667</v>
      </c>
      <c r="H1149" s="84">
        <f>IFERROR(__xludf.DUMMYFUNCTION("""COMPUTED_VALUE"""),42706.0)</f>
        <v>42706</v>
      </c>
      <c r="I1149" s="86">
        <f>IFERROR(__xludf.DUMMYFUNCTION("""COMPUTED_VALUE"""),2.175)</f>
        <v>2.175</v>
      </c>
      <c r="J1149" s="87">
        <f>IFERROR(__xludf.DUMMYFUNCTION("""COMPUTED_VALUE"""),63.0)</f>
        <v>63</v>
      </c>
      <c r="K1149" s="88">
        <f>IFERROR(__xludf.DUMMYFUNCTION("""COMPUTED_VALUE"""),6.7)</f>
        <v>6.7</v>
      </c>
      <c r="L1149" s="89"/>
      <c r="M1149" s="26" t="str">
        <f>IFERROR(__xludf.DUMMYFUNCTION("""COMPUTED_VALUE"""),"Puzzle")</f>
        <v>Puzzle</v>
      </c>
      <c r="N1149" s="26"/>
      <c r="O1149" s="26" t="str">
        <f>IFERROR(__xludf.DUMMYFUNCTION("""COMPUTED_VALUE"""),"No")</f>
        <v>No</v>
      </c>
      <c r="P1149" s="26"/>
    </row>
    <row r="1150">
      <c r="A1150" s="81" t="str">
        <f>IFERROR(__xludf.DUMMYFUNCTION("""COMPUTED_VALUE"""),"Rogue Aces")</f>
        <v>Rogue Aces</v>
      </c>
      <c r="B1150" s="82" t="str">
        <f>IFERROR(__xludf.DUMMYFUNCTION("""COMPUTED_VALUE"""),"PS4/Vita")</f>
        <v>PS4/Vita</v>
      </c>
      <c r="C1150" s="83" t="str">
        <f>IFERROR(__xludf.DUMMYFUNCTION("""COMPUTED_VALUE"""),"Playstation Plus (Discontinued)")</f>
        <v>Playstation Plus (Discontinued)</v>
      </c>
      <c r="D1150" s="82" t="str">
        <f>IFERROR(__xludf.DUMMYFUNCTION("""COMPUTED_VALUE"""),"Removed")</f>
        <v>Removed</v>
      </c>
      <c r="E1150" s="84">
        <f>IFERROR(__xludf.DUMMYFUNCTION("""COMPUTED_VALUE"""),43501.0)</f>
        <v>43501</v>
      </c>
      <c r="F1150" s="85">
        <f>IFERROR(__xludf.DUMMYFUNCTION("""COMPUTED_VALUE"""),43528.0)</f>
        <v>43528</v>
      </c>
      <c r="G1150" s="86">
        <f>IFERROR(__xludf.DUMMYFUNCTION("""COMPUTED_VALUE"""),0.9666666666666668)</f>
        <v>0.9666666667</v>
      </c>
      <c r="H1150" s="84">
        <f>IFERROR(__xludf.DUMMYFUNCTION("""COMPUTED_VALUE"""),43172.0)</f>
        <v>43172</v>
      </c>
      <c r="I1150" s="86">
        <f>IFERROR(__xludf.DUMMYFUNCTION("""COMPUTED_VALUE"""),0.8944444444444445)</f>
        <v>0.8944444444</v>
      </c>
      <c r="J1150" s="87">
        <f>IFERROR(__xludf.DUMMYFUNCTION("""COMPUTED_VALUE"""),72.0)</f>
        <v>72</v>
      </c>
      <c r="K1150" s="88">
        <f>IFERROR(__xludf.DUMMYFUNCTION("""COMPUTED_VALUE"""),6.9)</f>
        <v>6.9</v>
      </c>
      <c r="L1150" s="89">
        <f>IFERROR(__xludf.DUMMYFUNCTION("""COMPUTED_VALUE"""),3.0)</f>
        <v>3</v>
      </c>
      <c r="M1150" s="26" t="str">
        <f>IFERROR(__xludf.DUMMYFUNCTION("""COMPUTED_VALUE"""),"Shooter")</f>
        <v>Shooter</v>
      </c>
      <c r="N1150" s="26"/>
      <c r="O1150" s="26" t="str">
        <f>IFERROR(__xludf.DUMMYFUNCTION("""COMPUTED_VALUE"""),"No")</f>
        <v>No</v>
      </c>
      <c r="P1150" s="26"/>
    </row>
    <row r="1151">
      <c r="A1151" s="81" t="str">
        <f>IFERROR(__xludf.DUMMYFUNCTION("""COMPUTED_VALUE"""),"Steep")</f>
        <v>Steep</v>
      </c>
      <c r="B1151" s="82" t="str">
        <f>IFERROR(__xludf.DUMMYFUNCTION("""COMPUTED_VALUE"""),"PS4")</f>
        <v>PS4</v>
      </c>
      <c r="C1151" s="83" t="str">
        <f>IFERROR(__xludf.DUMMYFUNCTION("""COMPUTED_VALUE"""),"Playstation Plus (Discontinued)")</f>
        <v>Playstation Plus (Discontinued)</v>
      </c>
      <c r="D1151" s="82" t="str">
        <f>IFERROR(__xludf.DUMMYFUNCTION("""COMPUTED_VALUE"""),"Removed")</f>
        <v>Removed</v>
      </c>
      <c r="E1151" s="84">
        <f>IFERROR(__xludf.DUMMYFUNCTION("""COMPUTED_VALUE"""),43466.0)</f>
        <v>43466</v>
      </c>
      <c r="F1151" s="85">
        <f>IFERROR(__xludf.DUMMYFUNCTION("""COMPUTED_VALUE"""),43500.0)</f>
        <v>43500</v>
      </c>
      <c r="G1151" s="86">
        <f>IFERROR(__xludf.DUMMYFUNCTION("""COMPUTED_VALUE"""),1.0999999999999999)</f>
        <v>1.1</v>
      </c>
      <c r="H1151" s="84">
        <f>IFERROR(__xludf.DUMMYFUNCTION("""COMPUTED_VALUE"""),42706.0)</f>
        <v>42706</v>
      </c>
      <c r="I1151" s="86">
        <f>IFERROR(__xludf.DUMMYFUNCTION("""COMPUTED_VALUE"""),2.0805555555555557)</f>
        <v>2.080555556</v>
      </c>
      <c r="J1151" s="87">
        <f>IFERROR(__xludf.DUMMYFUNCTION("""COMPUTED_VALUE"""),71.0)</f>
        <v>71</v>
      </c>
      <c r="K1151" s="88">
        <f>IFERROR(__xludf.DUMMYFUNCTION("""COMPUTED_VALUE"""),7.0)</f>
        <v>7</v>
      </c>
      <c r="L1151" s="89">
        <f>IFERROR(__xludf.DUMMYFUNCTION("""COMPUTED_VALUE"""),12.0)</f>
        <v>12</v>
      </c>
      <c r="M1151" s="26" t="str">
        <f>IFERROR(__xludf.DUMMYFUNCTION("""COMPUTED_VALUE"""),"Sports")</f>
        <v>Sports</v>
      </c>
      <c r="N1151" s="26"/>
      <c r="O1151" s="26" t="str">
        <f>IFERROR(__xludf.DUMMYFUNCTION("""COMPUTED_VALUE"""),"No")</f>
        <v>No</v>
      </c>
      <c r="P1151" s="26"/>
    </row>
    <row r="1152">
      <c r="A1152" s="81" t="str">
        <f>IFERROR(__xludf.DUMMYFUNCTION("""COMPUTED_VALUE"""),"Portal Knights")</f>
        <v>Portal Knights</v>
      </c>
      <c r="B1152" s="82" t="str">
        <f>IFERROR(__xludf.DUMMYFUNCTION("""COMPUTED_VALUE"""),"PS4")</f>
        <v>PS4</v>
      </c>
      <c r="C1152" s="83" t="str">
        <f>IFERROR(__xludf.DUMMYFUNCTION("""COMPUTED_VALUE"""),"Playstation Plus (Discontinued)")</f>
        <v>Playstation Plus (Discontinued)</v>
      </c>
      <c r="D1152" s="82" t="str">
        <f>IFERROR(__xludf.DUMMYFUNCTION("""COMPUTED_VALUE"""),"Removed")</f>
        <v>Removed</v>
      </c>
      <c r="E1152" s="84">
        <f>IFERROR(__xludf.DUMMYFUNCTION("""COMPUTED_VALUE"""),43466.0)</f>
        <v>43466</v>
      </c>
      <c r="F1152" s="85">
        <f>IFERROR(__xludf.DUMMYFUNCTION("""COMPUTED_VALUE"""),43500.0)</f>
        <v>43500</v>
      </c>
      <c r="G1152" s="86">
        <f>IFERROR(__xludf.DUMMYFUNCTION("""COMPUTED_VALUE"""),1.0999999999999999)</f>
        <v>1.1</v>
      </c>
      <c r="H1152" s="84">
        <f>IFERROR(__xludf.DUMMYFUNCTION("""COMPUTED_VALUE"""),42878.0)</f>
        <v>42878</v>
      </c>
      <c r="I1152" s="86">
        <f>IFERROR(__xludf.DUMMYFUNCTION("""COMPUTED_VALUE"""),1.6055555555555556)</f>
        <v>1.605555556</v>
      </c>
      <c r="J1152" s="87">
        <f>IFERROR(__xludf.DUMMYFUNCTION("""COMPUTED_VALUE"""),71.0)</f>
        <v>71</v>
      </c>
      <c r="K1152" s="88">
        <f>IFERROR(__xludf.DUMMYFUNCTION("""COMPUTED_VALUE"""),7.3)</f>
        <v>7.3</v>
      </c>
      <c r="L1152" s="89">
        <f>IFERROR(__xludf.DUMMYFUNCTION("""COMPUTED_VALUE"""),19.0)</f>
        <v>19</v>
      </c>
      <c r="M1152" s="26" t="str">
        <f>IFERROR(__xludf.DUMMYFUNCTION("""COMPUTED_VALUE"""),"Action-Adventure")</f>
        <v>Action-Adventure</v>
      </c>
      <c r="N1152" s="26"/>
      <c r="O1152" s="26" t="str">
        <f>IFERROR(__xludf.DUMMYFUNCTION("""COMPUTED_VALUE"""),"No")</f>
        <v>No</v>
      </c>
      <c r="P1152" s="26"/>
    </row>
    <row r="1153">
      <c r="A1153" s="81" t="str">
        <f>IFERROR(__xludf.DUMMYFUNCTION("""COMPUTED_VALUE"""),"Zone of the Enders HD Collection")</f>
        <v>Zone of the Enders HD Collection</v>
      </c>
      <c r="B1153" s="82" t="str">
        <f>IFERROR(__xludf.DUMMYFUNCTION("""COMPUTED_VALUE"""),"PS3")</f>
        <v>PS3</v>
      </c>
      <c r="C1153" s="83" t="str">
        <f>IFERROR(__xludf.DUMMYFUNCTION("""COMPUTED_VALUE"""),"Playstation Plus (Discontinued)")</f>
        <v>Playstation Plus (Discontinued)</v>
      </c>
      <c r="D1153" s="82" t="str">
        <f>IFERROR(__xludf.DUMMYFUNCTION("""COMPUTED_VALUE"""),"Removed")</f>
        <v>Removed</v>
      </c>
      <c r="E1153" s="84">
        <f>IFERROR(__xludf.DUMMYFUNCTION("""COMPUTED_VALUE"""),43466.0)</f>
        <v>43466</v>
      </c>
      <c r="F1153" s="85">
        <f>IFERROR(__xludf.DUMMYFUNCTION("""COMPUTED_VALUE"""),43500.0)</f>
        <v>43500</v>
      </c>
      <c r="G1153" s="86">
        <f>IFERROR(__xludf.DUMMYFUNCTION("""COMPUTED_VALUE"""),1.0999999999999999)</f>
        <v>1.1</v>
      </c>
      <c r="H1153" s="84">
        <f>IFERROR(__xludf.DUMMYFUNCTION("""COMPUTED_VALUE"""),41212.0)</f>
        <v>41212</v>
      </c>
      <c r="I1153" s="86">
        <f>IFERROR(__xludf.DUMMYFUNCTION("""COMPUTED_VALUE"""),6.169444444444444)</f>
        <v>6.169444444</v>
      </c>
      <c r="J1153" s="87">
        <f>IFERROR(__xludf.DUMMYFUNCTION("""COMPUTED_VALUE"""),73.0)</f>
        <v>73</v>
      </c>
      <c r="K1153" s="88">
        <f>IFERROR(__xludf.DUMMYFUNCTION("""COMPUTED_VALUE"""),7.8)</f>
        <v>7.8</v>
      </c>
      <c r="L1153" s="89">
        <f>IFERROR(__xludf.DUMMYFUNCTION("""COMPUTED_VALUE"""),17.0)</f>
        <v>17</v>
      </c>
      <c r="M1153" s="26" t="str">
        <f>IFERROR(__xludf.DUMMYFUNCTION("""COMPUTED_VALUE"""),"Action-Adventure")</f>
        <v>Action-Adventure</v>
      </c>
      <c r="N1153" s="26"/>
      <c r="O1153" s="26" t="str">
        <f>IFERROR(__xludf.DUMMYFUNCTION("""COMPUTED_VALUE"""),"No")</f>
        <v>No</v>
      </c>
      <c r="P1153" s="26"/>
    </row>
    <row r="1154">
      <c r="A1154" s="81" t="str">
        <f>IFERROR(__xludf.DUMMYFUNCTION("""COMPUTED_VALUE"""),"Amplitude")</f>
        <v>Amplitude</v>
      </c>
      <c r="B1154" s="82" t="str">
        <f>IFERROR(__xludf.DUMMYFUNCTION("""COMPUTED_VALUE"""),"PS4/PS3")</f>
        <v>PS4/PS3</v>
      </c>
      <c r="C1154" s="83" t="str">
        <f>IFERROR(__xludf.DUMMYFUNCTION("""COMPUTED_VALUE"""),"Playstation Plus (Discontinued)")</f>
        <v>Playstation Plus (Discontinued)</v>
      </c>
      <c r="D1154" s="82" t="str">
        <f>IFERROR(__xludf.DUMMYFUNCTION("""COMPUTED_VALUE"""),"Removed")</f>
        <v>Removed</v>
      </c>
      <c r="E1154" s="84">
        <f>IFERROR(__xludf.DUMMYFUNCTION("""COMPUTED_VALUE"""),43466.0)</f>
        <v>43466</v>
      </c>
      <c r="F1154" s="85">
        <f>IFERROR(__xludf.DUMMYFUNCTION("""COMPUTED_VALUE"""),43500.0)</f>
        <v>43500</v>
      </c>
      <c r="G1154" s="86">
        <f>IFERROR(__xludf.DUMMYFUNCTION("""COMPUTED_VALUE"""),1.0999999999999999)</f>
        <v>1.1</v>
      </c>
      <c r="H1154" s="84">
        <f>IFERROR(__xludf.DUMMYFUNCTION("""COMPUTED_VALUE"""),42374.0)</f>
        <v>42374</v>
      </c>
      <c r="I1154" s="86">
        <f>IFERROR(__xludf.DUMMYFUNCTION("""COMPUTED_VALUE"""),2.988888888888889)</f>
        <v>2.988888889</v>
      </c>
      <c r="J1154" s="87">
        <f>IFERROR(__xludf.DUMMYFUNCTION("""COMPUTED_VALUE"""),74.0)</f>
        <v>74</v>
      </c>
      <c r="K1154" s="88">
        <f>IFERROR(__xludf.DUMMYFUNCTION("""COMPUTED_VALUE"""),7.6)</f>
        <v>7.6</v>
      </c>
      <c r="L1154" s="89"/>
      <c r="M1154" s="26" t="str">
        <f>IFERROR(__xludf.DUMMYFUNCTION("""COMPUTED_VALUE"""),"Sports")</f>
        <v>Sports</v>
      </c>
      <c r="N1154" s="26"/>
      <c r="O1154" s="26" t="str">
        <f>IFERROR(__xludf.DUMMYFUNCTION("""COMPUTED_VALUE"""),"No")</f>
        <v>No</v>
      </c>
      <c r="P1154" s="26"/>
    </row>
    <row r="1155">
      <c r="A1155" s="81" t="str">
        <f>IFERROR(__xludf.DUMMYFUNCTION("""COMPUTED_VALUE"""),"Fallen Legion: Flames of Rebellion")</f>
        <v>Fallen Legion: Flames of Rebellion</v>
      </c>
      <c r="B1155" s="82" t="str">
        <f>IFERROR(__xludf.DUMMYFUNCTION("""COMPUTED_VALUE"""),"PS4/Vita")</f>
        <v>PS4/Vita</v>
      </c>
      <c r="C1155" s="83" t="str">
        <f>IFERROR(__xludf.DUMMYFUNCTION("""COMPUTED_VALUE"""),"Playstation Plus (Discontinued)")</f>
        <v>Playstation Plus (Discontinued)</v>
      </c>
      <c r="D1155" s="82" t="str">
        <f>IFERROR(__xludf.DUMMYFUNCTION("""COMPUTED_VALUE"""),"Removed")</f>
        <v>Removed</v>
      </c>
      <c r="E1155" s="84">
        <f>IFERROR(__xludf.DUMMYFUNCTION("""COMPUTED_VALUE"""),43466.0)</f>
        <v>43466</v>
      </c>
      <c r="F1155" s="85">
        <f>IFERROR(__xludf.DUMMYFUNCTION("""COMPUTED_VALUE"""),43500.0)</f>
        <v>43500</v>
      </c>
      <c r="G1155" s="86">
        <f>IFERROR(__xludf.DUMMYFUNCTION("""COMPUTED_VALUE"""),1.0999999999999999)</f>
        <v>1.1</v>
      </c>
      <c r="H1155" s="84">
        <f>IFERROR(__xludf.DUMMYFUNCTION("""COMPUTED_VALUE"""),42934.0)</f>
        <v>42934</v>
      </c>
      <c r="I1155" s="86">
        <f>IFERROR(__xludf.DUMMYFUNCTION("""COMPUTED_VALUE"""),1.4527777777777777)</f>
        <v>1.452777778</v>
      </c>
      <c r="J1155" s="87">
        <f>IFERROR(__xludf.DUMMYFUNCTION("""COMPUTED_VALUE"""),63.0)</f>
        <v>63</v>
      </c>
      <c r="K1155" s="88">
        <f>IFERROR(__xludf.DUMMYFUNCTION("""COMPUTED_VALUE"""),7.4)</f>
        <v>7.4</v>
      </c>
      <c r="L1155" s="89">
        <f>IFERROR(__xludf.DUMMYFUNCTION("""COMPUTED_VALUE"""),20.0)</f>
        <v>20</v>
      </c>
      <c r="M1155" s="26" t="str">
        <f>IFERROR(__xludf.DUMMYFUNCTION("""COMPUTED_VALUE"""),"RPG")</f>
        <v>RPG</v>
      </c>
      <c r="N1155" s="26"/>
      <c r="O1155" s="26" t="str">
        <f>IFERROR(__xludf.DUMMYFUNCTION("""COMPUTED_VALUE"""),"No")</f>
        <v>No</v>
      </c>
      <c r="P1155" s="26"/>
    </row>
    <row r="1156">
      <c r="A1156" s="81" t="str">
        <f>IFERROR(__xludf.DUMMYFUNCTION("""COMPUTED_VALUE"""),"Super Mutant Alien Assault")</f>
        <v>Super Mutant Alien Assault</v>
      </c>
      <c r="B1156" s="82" t="str">
        <f>IFERROR(__xludf.DUMMYFUNCTION("""COMPUTED_VALUE"""),"Vita")</f>
        <v>Vita</v>
      </c>
      <c r="C1156" s="83" t="str">
        <f>IFERROR(__xludf.DUMMYFUNCTION("""COMPUTED_VALUE"""),"Playstation Plus (Discontinued)")</f>
        <v>Playstation Plus (Discontinued)</v>
      </c>
      <c r="D1156" s="82" t="str">
        <f>IFERROR(__xludf.DUMMYFUNCTION("""COMPUTED_VALUE"""),"Removed")</f>
        <v>Removed</v>
      </c>
      <c r="E1156" s="84">
        <f>IFERROR(__xludf.DUMMYFUNCTION("""COMPUTED_VALUE"""),43466.0)</f>
        <v>43466</v>
      </c>
      <c r="F1156" s="85">
        <f>IFERROR(__xludf.DUMMYFUNCTION("""COMPUTED_VALUE"""),43500.0)</f>
        <v>43500</v>
      </c>
      <c r="G1156" s="86">
        <f>IFERROR(__xludf.DUMMYFUNCTION("""COMPUTED_VALUE"""),1.0999999999999999)</f>
        <v>1.1</v>
      </c>
      <c r="H1156" s="84">
        <f>IFERROR(__xludf.DUMMYFUNCTION("""COMPUTED_VALUE"""),42228.0)</f>
        <v>42228</v>
      </c>
      <c r="I1156" s="86">
        <f>IFERROR(__xludf.DUMMYFUNCTION("""COMPUTED_VALUE"""),3.386111111111111)</f>
        <v>3.386111111</v>
      </c>
      <c r="J1156" s="87">
        <f>IFERROR(__xludf.DUMMYFUNCTION("""COMPUTED_VALUE"""),65.0)</f>
        <v>65</v>
      </c>
      <c r="K1156" s="88">
        <f>IFERROR(__xludf.DUMMYFUNCTION("""COMPUTED_VALUE"""),6.7)</f>
        <v>6.7</v>
      </c>
      <c r="L1156" s="89">
        <f>IFERROR(__xludf.DUMMYFUNCTION("""COMPUTED_VALUE"""),3.0)</f>
        <v>3</v>
      </c>
      <c r="M1156" s="26" t="str">
        <f>IFERROR(__xludf.DUMMYFUNCTION("""COMPUTED_VALUE"""),"Shooter")</f>
        <v>Shooter</v>
      </c>
      <c r="N1156" s="26"/>
      <c r="O1156" s="26" t="str">
        <f>IFERROR(__xludf.DUMMYFUNCTION("""COMPUTED_VALUE"""),"No")</f>
        <v>No</v>
      </c>
      <c r="P1156" s="26"/>
    </row>
    <row r="1157">
      <c r="A1157" s="81" t="str">
        <f>IFERROR(__xludf.DUMMYFUNCTION("""COMPUTED_VALUE"""),"ONRUSH")</f>
        <v>ONRUSH</v>
      </c>
      <c r="B1157" s="82" t="str">
        <f>IFERROR(__xludf.DUMMYFUNCTION("""COMPUTED_VALUE"""),"PS4")</f>
        <v>PS4</v>
      </c>
      <c r="C1157" s="83" t="str">
        <f>IFERROR(__xludf.DUMMYFUNCTION("""COMPUTED_VALUE"""),"Playstation Plus (Discontinued)")</f>
        <v>Playstation Plus (Discontinued)</v>
      </c>
      <c r="D1157" s="82" t="str">
        <f>IFERROR(__xludf.DUMMYFUNCTION("""COMPUTED_VALUE"""),"Removed")</f>
        <v>Removed</v>
      </c>
      <c r="E1157" s="84">
        <f>IFERROR(__xludf.DUMMYFUNCTION("""COMPUTED_VALUE"""),43438.0)</f>
        <v>43438</v>
      </c>
      <c r="F1157" s="85">
        <f>IFERROR(__xludf.DUMMYFUNCTION("""COMPUTED_VALUE"""),43465.0)</f>
        <v>43465</v>
      </c>
      <c r="G1157" s="86">
        <f>IFERROR(__xludf.DUMMYFUNCTION("""COMPUTED_VALUE"""),0.8666666666666666)</f>
        <v>0.8666666667</v>
      </c>
      <c r="H1157" s="84">
        <f>IFERROR(__xludf.DUMMYFUNCTION("""COMPUTED_VALUE"""),43256.0)</f>
        <v>43256</v>
      </c>
      <c r="I1157" s="86">
        <f>IFERROR(__xludf.DUMMYFUNCTION("""COMPUTED_VALUE"""),0.49722222222222223)</f>
        <v>0.4972222222</v>
      </c>
      <c r="J1157" s="87">
        <f>IFERROR(__xludf.DUMMYFUNCTION("""COMPUTED_VALUE"""),76.0)</f>
        <v>76</v>
      </c>
      <c r="K1157" s="88">
        <f>IFERROR(__xludf.DUMMYFUNCTION("""COMPUTED_VALUE"""),7.0)</f>
        <v>7</v>
      </c>
      <c r="L1157" s="89"/>
      <c r="M1157" s="26" t="str">
        <f>IFERROR(__xludf.DUMMYFUNCTION("""COMPUTED_VALUE"""),"Racing")</f>
        <v>Racing</v>
      </c>
      <c r="N1157" s="26"/>
      <c r="O1157" s="26" t="str">
        <f>IFERROR(__xludf.DUMMYFUNCTION("""COMPUTED_VALUE"""),"No")</f>
        <v>No</v>
      </c>
      <c r="P1157" s="26"/>
    </row>
    <row r="1158">
      <c r="A1158" s="81" t="str">
        <f>IFERROR(__xludf.DUMMYFUNCTION("""COMPUTED_VALUE"""),"SOMA")</f>
        <v>SOMA</v>
      </c>
      <c r="B1158" s="82" t="str">
        <f>IFERROR(__xludf.DUMMYFUNCTION("""COMPUTED_VALUE"""),"PS4")</f>
        <v>PS4</v>
      </c>
      <c r="C1158" s="83" t="str">
        <f>IFERROR(__xludf.DUMMYFUNCTION("""COMPUTED_VALUE"""),"Playstation Plus (Discontinued)")</f>
        <v>Playstation Plus (Discontinued)</v>
      </c>
      <c r="D1158" s="82" t="str">
        <f>IFERROR(__xludf.DUMMYFUNCTION("""COMPUTED_VALUE"""),"Removed")</f>
        <v>Removed</v>
      </c>
      <c r="E1158" s="84">
        <f>IFERROR(__xludf.DUMMYFUNCTION("""COMPUTED_VALUE"""),43438.0)</f>
        <v>43438</v>
      </c>
      <c r="F1158" s="85">
        <f>IFERROR(__xludf.DUMMYFUNCTION("""COMPUTED_VALUE"""),43465.0)</f>
        <v>43465</v>
      </c>
      <c r="G1158" s="86">
        <f>IFERROR(__xludf.DUMMYFUNCTION("""COMPUTED_VALUE"""),0.8666666666666666)</f>
        <v>0.8666666667</v>
      </c>
      <c r="H1158" s="84">
        <f>IFERROR(__xludf.DUMMYFUNCTION("""COMPUTED_VALUE"""),42269.0)</f>
        <v>42269</v>
      </c>
      <c r="I1158" s="86">
        <f>IFERROR(__xludf.DUMMYFUNCTION("""COMPUTED_VALUE"""),3.2)</f>
        <v>3.2</v>
      </c>
      <c r="J1158" s="87">
        <f>IFERROR(__xludf.DUMMYFUNCTION("""COMPUTED_VALUE"""),79.0)</f>
        <v>79</v>
      </c>
      <c r="K1158" s="88">
        <f>IFERROR(__xludf.DUMMYFUNCTION("""COMPUTED_VALUE"""),8.0)</f>
        <v>8</v>
      </c>
      <c r="L1158" s="89">
        <f>IFERROR(__xludf.DUMMYFUNCTION("""COMPUTED_VALUE"""),10.0)</f>
        <v>10</v>
      </c>
      <c r="M1158" s="26" t="str">
        <f>IFERROR(__xludf.DUMMYFUNCTION("""COMPUTED_VALUE"""),"Horror")</f>
        <v>Horror</v>
      </c>
      <c r="N1158" s="26"/>
      <c r="O1158" s="26" t="str">
        <f>IFERROR(__xludf.DUMMYFUNCTION("""COMPUTED_VALUE"""),"No")</f>
        <v>No</v>
      </c>
      <c r="P1158" s="26"/>
    </row>
    <row r="1159">
      <c r="A1159" s="81" t="str">
        <f>IFERROR(__xludf.DUMMYFUNCTION("""COMPUTED_VALUE"""),"Steins;Gate")</f>
        <v>Steins;Gate</v>
      </c>
      <c r="B1159" s="82" t="str">
        <f>IFERROR(__xludf.DUMMYFUNCTION("""COMPUTED_VALUE"""),"PS3")</f>
        <v>PS3</v>
      </c>
      <c r="C1159" s="83" t="str">
        <f>IFERROR(__xludf.DUMMYFUNCTION("""COMPUTED_VALUE"""),"Playstation Plus (Discontinued)")</f>
        <v>Playstation Plus (Discontinued)</v>
      </c>
      <c r="D1159" s="82" t="str">
        <f>IFERROR(__xludf.DUMMYFUNCTION("""COMPUTED_VALUE"""),"Removed")</f>
        <v>Removed</v>
      </c>
      <c r="E1159" s="84">
        <f>IFERROR(__xludf.DUMMYFUNCTION("""COMPUTED_VALUE"""),43438.0)</f>
        <v>43438</v>
      </c>
      <c r="F1159" s="85">
        <f>IFERROR(__xludf.DUMMYFUNCTION("""COMPUTED_VALUE"""),43465.0)</f>
        <v>43465</v>
      </c>
      <c r="G1159" s="86">
        <f>IFERROR(__xludf.DUMMYFUNCTION("""COMPUTED_VALUE"""),0.8666666666666666)</f>
        <v>0.8666666667</v>
      </c>
      <c r="H1159" s="84">
        <f>IFERROR(__xludf.DUMMYFUNCTION("""COMPUTED_VALUE"""),41536.0)</f>
        <v>41536</v>
      </c>
      <c r="I1159" s="86">
        <f>IFERROR(__xludf.DUMMYFUNCTION("""COMPUTED_VALUE"""),5.208333333333333)</f>
        <v>5.208333333</v>
      </c>
      <c r="J1159" s="87">
        <f>IFERROR(__xludf.DUMMYFUNCTION("""COMPUTED_VALUE"""),83.0)</f>
        <v>83</v>
      </c>
      <c r="K1159" s="88">
        <f>IFERROR(__xludf.DUMMYFUNCTION("""COMPUTED_VALUE"""),8.8)</f>
        <v>8.8</v>
      </c>
      <c r="L1159" s="89">
        <f>IFERROR(__xludf.DUMMYFUNCTION("""COMPUTED_VALUE"""),34.0)</f>
        <v>34</v>
      </c>
      <c r="M1159" s="26" t="str">
        <f>IFERROR(__xludf.DUMMYFUNCTION("""COMPUTED_VALUE"""),"Visual Novel")</f>
        <v>Visual Novel</v>
      </c>
      <c r="N1159" s="26"/>
      <c r="O1159" s="26" t="str">
        <f>IFERROR(__xludf.DUMMYFUNCTION("""COMPUTED_VALUE"""),"No")</f>
        <v>No</v>
      </c>
      <c r="P1159" s="26"/>
    </row>
    <row r="1160">
      <c r="A1160" s="81" t="str">
        <f>IFERROR(__xludf.DUMMYFUNCTION("""COMPUTED_VALUE"""),"Steredenn")</f>
        <v>Steredenn</v>
      </c>
      <c r="B1160" s="82" t="str">
        <f>IFERROR(__xludf.DUMMYFUNCTION("""COMPUTED_VALUE"""),"PS3")</f>
        <v>PS3</v>
      </c>
      <c r="C1160" s="83" t="str">
        <f>IFERROR(__xludf.DUMMYFUNCTION("""COMPUTED_VALUE"""),"Playstation Plus (Discontinued)")</f>
        <v>Playstation Plus (Discontinued)</v>
      </c>
      <c r="D1160" s="82" t="str">
        <f>IFERROR(__xludf.DUMMYFUNCTION("""COMPUTED_VALUE"""),"Removed")</f>
        <v>Removed</v>
      </c>
      <c r="E1160" s="84">
        <f>IFERROR(__xludf.DUMMYFUNCTION("""COMPUTED_VALUE"""),43438.0)</f>
        <v>43438</v>
      </c>
      <c r="F1160" s="85">
        <f>IFERROR(__xludf.DUMMYFUNCTION("""COMPUTED_VALUE"""),43465.0)</f>
        <v>43465</v>
      </c>
      <c r="G1160" s="86">
        <f>IFERROR(__xludf.DUMMYFUNCTION("""COMPUTED_VALUE"""),0.8666666666666666)</f>
        <v>0.8666666667</v>
      </c>
      <c r="H1160" s="84">
        <f>IFERROR(__xludf.DUMMYFUNCTION("""COMPUTED_VALUE"""),42278.0)</f>
        <v>42278</v>
      </c>
      <c r="I1160" s="86">
        <f>IFERROR(__xludf.DUMMYFUNCTION("""COMPUTED_VALUE"""),3.175)</f>
        <v>3.175</v>
      </c>
      <c r="J1160" s="87">
        <f>IFERROR(__xludf.DUMMYFUNCTION("""COMPUTED_VALUE"""),79.0)</f>
        <v>79</v>
      </c>
      <c r="K1160" s="88">
        <f>IFERROR(__xludf.DUMMYFUNCTION("""COMPUTED_VALUE"""),7.5)</f>
        <v>7.5</v>
      </c>
      <c r="L1160" s="89">
        <f>IFERROR(__xludf.DUMMYFUNCTION("""COMPUTED_VALUE"""),5.0)</f>
        <v>5</v>
      </c>
      <c r="M1160" s="26" t="str">
        <f>IFERROR(__xludf.DUMMYFUNCTION("""COMPUTED_VALUE"""),"Shooter")</f>
        <v>Shooter</v>
      </c>
      <c r="N1160" s="26"/>
      <c r="O1160" s="26" t="str">
        <f>IFERROR(__xludf.DUMMYFUNCTION("""COMPUTED_VALUE"""),"No")</f>
        <v>No</v>
      </c>
      <c r="P1160" s="26"/>
    </row>
    <row r="1161">
      <c r="A1161" s="81" t="str">
        <f>IFERROR(__xludf.DUMMYFUNCTION("""COMPUTED_VALUE"""),"Iconoclasts")</f>
        <v>Iconoclasts</v>
      </c>
      <c r="B1161" s="82" t="str">
        <f>IFERROR(__xludf.DUMMYFUNCTION("""COMPUTED_VALUE"""),"PS4/Vita")</f>
        <v>PS4/Vita</v>
      </c>
      <c r="C1161" s="83" t="str">
        <f>IFERROR(__xludf.DUMMYFUNCTION("""COMPUTED_VALUE"""),"Playstation Plus (Discontinued)")</f>
        <v>Playstation Plus (Discontinued)</v>
      </c>
      <c r="D1161" s="82" t="str">
        <f>IFERROR(__xludf.DUMMYFUNCTION("""COMPUTED_VALUE"""),"Removed")</f>
        <v>Removed</v>
      </c>
      <c r="E1161" s="84">
        <f>IFERROR(__xludf.DUMMYFUNCTION("""COMPUTED_VALUE"""),43438.0)</f>
        <v>43438</v>
      </c>
      <c r="F1161" s="85">
        <f>IFERROR(__xludf.DUMMYFUNCTION("""COMPUTED_VALUE"""),43465.0)</f>
        <v>43465</v>
      </c>
      <c r="G1161" s="86">
        <f>IFERROR(__xludf.DUMMYFUNCTION("""COMPUTED_VALUE"""),0.8666666666666666)</f>
        <v>0.8666666667</v>
      </c>
      <c r="H1161" s="84">
        <f>IFERROR(__xludf.DUMMYFUNCTION("""COMPUTED_VALUE"""),43123.0)</f>
        <v>43123</v>
      </c>
      <c r="I1161" s="86">
        <f>IFERROR(__xludf.DUMMYFUNCTION("""COMPUTED_VALUE"""),0.8638888888888889)</f>
        <v>0.8638888889</v>
      </c>
      <c r="J1161" s="87">
        <f>IFERROR(__xludf.DUMMYFUNCTION("""COMPUTED_VALUE"""),83.0)</f>
        <v>83</v>
      </c>
      <c r="K1161" s="88">
        <f>IFERROR(__xludf.DUMMYFUNCTION("""COMPUTED_VALUE"""),8.0)</f>
        <v>8</v>
      </c>
      <c r="L1161" s="89">
        <f>IFERROR(__xludf.DUMMYFUNCTION("""COMPUTED_VALUE"""),13.0)</f>
        <v>13</v>
      </c>
      <c r="M1161" s="26" t="str">
        <f>IFERROR(__xludf.DUMMYFUNCTION("""COMPUTED_VALUE"""),"Platformer")</f>
        <v>Platformer</v>
      </c>
      <c r="N1161" s="26"/>
      <c r="O1161" s="26" t="str">
        <f>IFERROR(__xludf.DUMMYFUNCTION("""COMPUTED_VALUE"""),"No")</f>
        <v>No</v>
      </c>
      <c r="P1161" s="26"/>
    </row>
    <row r="1162">
      <c r="A1162" s="81" t="str">
        <f>IFERROR(__xludf.DUMMYFUNCTION("""COMPUTED_VALUE"""),"Papers, Please")</f>
        <v>Papers, Please</v>
      </c>
      <c r="B1162" s="82" t="str">
        <f>IFERROR(__xludf.DUMMYFUNCTION("""COMPUTED_VALUE"""),"Vita")</f>
        <v>Vita</v>
      </c>
      <c r="C1162" s="83" t="str">
        <f>IFERROR(__xludf.DUMMYFUNCTION("""COMPUTED_VALUE"""),"Playstation Plus (Discontinued)")</f>
        <v>Playstation Plus (Discontinued)</v>
      </c>
      <c r="D1162" s="82" t="str">
        <f>IFERROR(__xludf.DUMMYFUNCTION("""COMPUTED_VALUE"""),"Removed")</f>
        <v>Removed</v>
      </c>
      <c r="E1162" s="84">
        <f>IFERROR(__xludf.DUMMYFUNCTION("""COMPUTED_VALUE"""),43438.0)</f>
        <v>43438</v>
      </c>
      <c r="F1162" s="85">
        <f>IFERROR(__xludf.DUMMYFUNCTION("""COMPUTED_VALUE"""),43465.0)</f>
        <v>43465</v>
      </c>
      <c r="G1162" s="86">
        <f>IFERROR(__xludf.DUMMYFUNCTION("""COMPUTED_VALUE"""),0.8666666666666666)</f>
        <v>0.8666666667</v>
      </c>
      <c r="H1162" s="84">
        <f>IFERROR(__xludf.DUMMYFUNCTION("""COMPUTED_VALUE"""),41494.0)</f>
        <v>41494</v>
      </c>
      <c r="I1162" s="86">
        <f>IFERROR(__xludf.DUMMYFUNCTION("""COMPUTED_VALUE"""),5.322222222222222)</f>
        <v>5.322222222</v>
      </c>
      <c r="J1162" s="87">
        <f>IFERROR(__xludf.DUMMYFUNCTION("""COMPUTED_VALUE"""),85.0)</f>
        <v>85</v>
      </c>
      <c r="K1162" s="88">
        <f>IFERROR(__xludf.DUMMYFUNCTION("""COMPUTED_VALUE"""),8.3)</f>
        <v>8.3</v>
      </c>
      <c r="L1162" s="89">
        <f>IFERROR(__xludf.DUMMYFUNCTION("""COMPUTED_VALUE"""),4.0)</f>
        <v>4</v>
      </c>
      <c r="M1162" s="26" t="str">
        <f>IFERROR(__xludf.DUMMYFUNCTION("""COMPUTED_VALUE"""),"Simulation")</f>
        <v>Simulation</v>
      </c>
      <c r="N1162" s="26"/>
      <c r="O1162" s="26" t="str">
        <f>IFERROR(__xludf.DUMMYFUNCTION("""COMPUTED_VALUE"""),"No")</f>
        <v>No</v>
      </c>
      <c r="P1162" s="26"/>
    </row>
    <row r="1163">
      <c r="A1163" s="81" t="str">
        <f>IFERROR(__xludf.DUMMYFUNCTION("""COMPUTED_VALUE"""),"Bulletstorm: Full Clip Edition")</f>
        <v>Bulletstorm: Full Clip Edition</v>
      </c>
      <c r="B1163" s="82" t="str">
        <f>IFERROR(__xludf.DUMMYFUNCTION("""COMPUTED_VALUE"""),"PS4")</f>
        <v>PS4</v>
      </c>
      <c r="C1163" s="83" t="str">
        <f>IFERROR(__xludf.DUMMYFUNCTION("""COMPUTED_VALUE"""),"Playstation Plus (Discontinued)")</f>
        <v>Playstation Plus (Discontinued)</v>
      </c>
      <c r="D1163" s="82" t="str">
        <f>IFERROR(__xludf.DUMMYFUNCTION("""COMPUTED_VALUE"""),"Removed")</f>
        <v>Removed</v>
      </c>
      <c r="E1163" s="84">
        <f>IFERROR(__xludf.DUMMYFUNCTION("""COMPUTED_VALUE"""),43410.0)</f>
        <v>43410</v>
      </c>
      <c r="F1163" s="85">
        <f>IFERROR(__xludf.DUMMYFUNCTION("""COMPUTED_VALUE"""),43437.0)</f>
        <v>43437</v>
      </c>
      <c r="G1163" s="86">
        <f>IFERROR(__xludf.DUMMYFUNCTION("""COMPUTED_VALUE"""),0.8999999999999999)</f>
        <v>0.9</v>
      </c>
      <c r="H1163" s="84">
        <f>IFERROR(__xludf.DUMMYFUNCTION("""COMPUTED_VALUE"""),42832.0)</f>
        <v>42832</v>
      </c>
      <c r="I1163" s="86">
        <f>IFERROR(__xludf.DUMMYFUNCTION("""COMPUTED_VALUE"""),1.5805555555555555)</f>
        <v>1.580555556</v>
      </c>
      <c r="J1163" s="87">
        <f>IFERROR(__xludf.DUMMYFUNCTION("""COMPUTED_VALUE"""),75.0)</f>
        <v>75</v>
      </c>
      <c r="K1163" s="88">
        <f>IFERROR(__xludf.DUMMYFUNCTION("""COMPUTED_VALUE"""),7.7)</f>
        <v>7.7</v>
      </c>
      <c r="L1163" s="89">
        <f>IFERROR(__xludf.DUMMYFUNCTION("""COMPUTED_VALUE"""),7.0)</f>
        <v>7</v>
      </c>
      <c r="M1163" s="26" t="str">
        <f>IFERROR(__xludf.DUMMYFUNCTION("""COMPUTED_VALUE"""),"Shooter")</f>
        <v>Shooter</v>
      </c>
      <c r="N1163" s="26"/>
      <c r="O1163" s="26" t="str">
        <f>IFERROR(__xludf.DUMMYFUNCTION("""COMPUTED_VALUE"""),"No")</f>
        <v>No</v>
      </c>
      <c r="P1163" s="26"/>
    </row>
    <row r="1164">
      <c r="A1164" s="81" t="str">
        <f>IFERROR(__xludf.DUMMYFUNCTION("""COMPUTED_VALUE"""),"Yakuza Kiwami")</f>
        <v>Yakuza Kiwami</v>
      </c>
      <c r="B1164" s="82" t="str">
        <f>IFERROR(__xludf.DUMMYFUNCTION("""COMPUTED_VALUE"""),"PS4")</f>
        <v>PS4</v>
      </c>
      <c r="C1164" s="83" t="str">
        <f>IFERROR(__xludf.DUMMYFUNCTION("""COMPUTED_VALUE"""),"Playstation Plus (Discontinued)")</f>
        <v>Playstation Plus (Discontinued)</v>
      </c>
      <c r="D1164" s="82" t="str">
        <f>IFERROR(__xludf.DUMMYFUNCTION("""COMPUTED_VALUE"""),"Removed")</f>
        <v>Removed</v>
      </c>
      <c r="E1164" s="84">
        <f>IFERROR(__xludf.DUMMYFUNCTION("""COMPUTED_VALUE"""),43410.0)</f>
        <v>43410</v>
      </c>
      <c r="F1164" s="85">
        <f>IFERROR(__xludf.DUMMYFUNCTION("""COMPUTED_VALUE"""),43437.0)</f>
        <v>43437</v>
      </c>
      <c r="G1164" s="86">
        <f>IFERROR(__xludf.DUMMYFUNCTION("""COMPUTED_VALUE"""),0.8999999999999999)</f>
        <v>0.9</v>
      </c>
      <c r="H1164" s="84">
        <f>IFERROR(__xludf.DUMMYFUNCTION("""COMPUTED_VALUE"""),42976.0)</f>
        <v>42976</v>
      </c>
      <c r="I1164" s="86">
        <f>IFERROR(__xludf.DUMMYFUNCTION("""COMPUTED_VALUE"""),1.1861111111111111)</f>
        <v>1.186111111</v>
      </c>
      <c r="J1164" s="87">
        <f>IFERROR(__xludf.DUMMYFUNCTION("""COMPUTED_VALUE"""),80.0)</f>
        <v>80</v>
      </c>
      <c r="K1164" s="88">
        <f>IFERROR(__xludf.DUMMYFUNCTION("""COMPUTED_VALUE"""),8.4)</f>
        <v>8.4</v>
      </c>
      <c r="L1164" s="89">
        <f>IFERROR(__xludf.DUMMYFUNCTION("""COMPUTED_VALUE"""),17.0)</f>
        <v>17</v>
      </c>
      <c r="M1164" s="26" t="str">
        <f>IFERROR(__xludf.DUMMYFUNCTION("""COMPUTED_VALUE"""),"Action-Adventure")</f>
        <v>Action-Adventure</v>
      </c>
      <c r="N1164" s="26"/>
      <c r="O1164" s="26" t="str">
        <f>IFERROR(__xludf.DUMMYFUNCTION("""COMPUTED_VALUE"""),"No")</f>
        <v>No</v>
      </c>
      <c r="P1164" s="26"/>
    </row>
    <row r="1165">
      <c r="A1165" s="81" t="str">
        <f>IFERROR(__xludf.DUMMYFUNCTION("""COMPUTED_VALUE"""),"The Jackbox Party Pack 2")</f>
        <v>The Jackbox Party Pack 2</v>
      </c>
      <c r="B1165" s="82" t="str">
        <f>IFERROR(__xludf.DUMMYFUNCTION("""COMPUTED_VALUE"""),"PS3")</f>
        <v>PS3</v>
      </c>
      <c r="C1165" s="83" t="str">
        <f>IFERROR(__xludf.DUMMYFUNCTION("""COMPUTED_VALUE"""),"Playstation Plus (Discontinued)")</f>
        <v>Playstation Plus (Discontinued)</v>
      </c>
      <c r="D1165" s="82" t="str">
        <f>IFERROR(__xludf.DUMMYFUNCTION("""COMPUTED_VALUE"""),"Removed")</f>
        <v>Removed</v>
      </c>
      <c r="E1165" s="84">
        <f>IFERROR(__xludf.DUMMYFUNCTION("""COMPUTED_VALUE"""),43410.0)</f>
        <v>43410</v>
      </c>
      <c r="F1165" s="85">
        <f>IFERROR(__xludf.DUMMYFUNCTION("""COMPUTED_VALUE"""),43437.0)</f>
        <v>43437</v>
      </c>
      <c r="G1165" s="86">
        <f>IFERROR(__xludf.DUMMYFUNCTION("""COMPUTED_VALUE"""),0.8999999999999999)</f>
        <v>0.9</v>
      </c>
      <c r="H1165" s="84">
        <f>IFERROR(__xludf.DUMMYFUNCTION("""COMPUTED_VALUE"""),42290.0)</f>
        <v>42290</v>
      </c>
      <c r="I1165" s="86">
        <f>IFERROR(__xludf.DUMMYFUNCTION("""COMPUTED_VALUE"""),3.063888888888889)</f>
        <v>3.063888889</v>
      </c>
      <c r="J1165" s="87">
        <f>IFERROR(__xludf.DUMMYFUNCTION("""COMPUTED_VALUE"""),71.0)</f>
        <v>71</v>
      </c>
      <c r="K1165" s="88">
        <f>IFERROR(__xludf.DUMMYFUNCTION("""COMPUTED_VALUE"""),7.8)</f>
        <v>7.8</v>
      </c>
      <c r="L1165" s="89"/>
      <c r="M1165" s="26" t="str">
        <f>IFERROR(__xludf.DUMMYFUNCTION("""COMPUTED_VALUE"""),"Party")</f>
        <v>Party</v>
      </c>
      <c r="N1165" s="26"/>
      <c r="O1165" s="26" t="str">
        <f>IFERROR(__xludf.DUMMYFUNCTION("""COMPUTED_VALUE"""),"No")</f>
        <v>No</v>
      </c>
      <c r="P1165" s="26"/>
    </row>
    <row r="1166">
      <c r="A1166" s="81" t="str">
        <f>IFERROR(__xludf.DUMMYFUNCTION("""COMPUTED_VALUE"""),"Arkedo Series")</f>
        <v>Arkedo Series</v>
      </c>
      <c r="B1166" s="82" t="str">
        <f>IFERROR(__xludf.DUMMYFUNCTION("""COMPUTED_VALUE"""),"PS3")</f>
        <v>PS3</v>
      </c>
      <c r="C1166" s="83" t="str">
        <f>IFERROR(__xludf.DUMMYFUNCTION("""COMPUTED_VALUE"""),"Playstation Plus (Discontinued)")</f>
        <v>Playstation Plus (Discontinued)</v>
      </c>
      <c r="D1166" s="82" t="str">
        <f>IFERROR(__xludf.DUMMYFUNCTION("""COMPUTED_VALUE"""),"Removed")</f>
        <v>Removed</v>
      </c>
      <c r="E1166" s="84">
        <f>IFERROR(__xludf.DUMMYFUNCTION("""COMPUTED_VALUE"""),43410.0)</f>
        <v>43410</v>
      </c>
      <c r="F1166" s="85">
        <f>IFERROR(__xludf.DUMMYFUNCTION("""COMPUTED_VALUE"""),43437.0)</f>
        <v>43437</v>
      </c>
      <c r="G1166" s="86">
        <f>IFERROR(__xludf.DUMMYFUNCTION("""COMPUTED_VALUE"""),0.8999999999999999)</f>
        <v>0.9</v>
      </c>
      <c r="H1166" s="84">
        <f>IFERROR(__xludf.DUMMYFUNCTION("""COMPUTED_VALUE"""),41928.0)</f>
        <v>41928</v>
      </c>
      <c r="I1166" s="86">
        <f>IFERROR(__xludf.DUMMYFUNCTION("""COMPUTED_VALUE"""),4.055555555555555)</f>
        <v>4.055555556</v>
      </c>
      <c r="J1166" s="87"/>
      <c r="K1166" s="88"/>
      <c r="L1166" s="89">
        <f>IFERROR(__xludf.DUMMYFUNCTION("""COMPUTED_VALUE"""),5.0)</f>
        <v>5</v>
      </c>
      <c r="M1166" s="26" t="str">
        <f>IFERROR(__xludf.DUMMYFUNCTION("""COMPUTED_VALUE"""),"Puzzle")</f>
        <v>Puzzle</v>
      </c>
      <c r="N1166" s="26"/>
      <c r="O1166" s="26" t="str">
        <f>IFERROR(__xludf.DUMMYFUNCTION("""COMPUTED_VALUE"""),"No")</f>
        <v>No</v>
      </c>
      <c r="P1166" s="26"/>
    </row>
    <row r="1167">
      <c r="A1167" s="81" t="str">
        <f>IFERROR(__xludf.DUMMYFUNCTION("""COMPUTED_VALUE"""),"Burly Men at Sea")</f>
        <v>Burly Men at Sea</v>
      </c>
      <c r="B1167" s="82" t="str">
        <f>IFERROR(__xludf.DUMMYFUNCTION("""COMPUTED_VALUE"""),"PS4/Vita")</f>
        <v>PS4/Vita</v>
      </c>
      <c r="C1167" s="83" t="str">
        <f>IFERROR(__xludf.DUMMYFUNCTION("""COMPUTED_VALUE"""),"Playstation Plus (Discontinued)")</f>
        <v>Playstation Plus (Discontinued)</v>
      </c>
      <c r="D1167" s="82" t="str">
        <f>IFERROR(__xludf.DUMMYFUNCTION("""COMPUTED_VALUE"""),"Removed")</f>
        <v>Removed</v>
      </c>
      <c r="E1167" s="84">
        <f>IFERROR(__xludf.DUMMYFUNCTION("""COMPUTED_VALUE"""),43410.0)</f>
        <v>43410</v>
      </c>
      <c r="F1167" s="85">
        <f>IFERROR(__xludf.DUMMYFUNCTION("""COMPUTED_VALUE"""),43437.0)</f>
        <v>43437</v>
      </c>
      <c r="G1167" s="86">
        <f>IFERROR(__xludf.DUMMYFUNCTION("""COMPUTED_VALUE"""),0.8999999999999999)</f>
        <v>0.9</v>
      </c>
      <c r="H1167" s="84">
        <f>IFERROR(__xludf.DUMMYFUNCTION("""COMPUTED_VALUE"""),43007.0)</f>
        <v>43007</v>
      </c>
      <c r="I1167" s="86">
        <f>IFERROR(__xludf.DUMMYFUNCTION("""COMPUTED_VALUE"""),1.1027777777777779)</f>
        <v>1.102777778</v>
      </c>
      <c r="J1167" s="87">
        <f>IFERROR(__xludf.DUMMYFUNCTION("""COMPUTED_VALUE"""),75.0)</f>
        <v>75</v>
      </c>
      <c r="K1167" s="88">
        <f>IFERROR(__xludf.DUMMYFUNCTION("""COMPUTED_VALUE"""),7.3)</f>
        <v>7.3</v>
      </c>
      <c r="L1167" s="89">
        <f>IFERROR(__xludf.DUMMYFUNCTION("""COMPUTED_VALUE"""),2.0)</f>
        <v>2</v>
      </c>
      <c r="M1167" s="26" t="str">
        <f>IFERROR(__xludf.DUMMYFUNCTION("""COMPUTED_VALUE"""),"Adventure")</f>
        <v>Adventure</v>
      </c>
      <c r="N1167" s="26"/>
      <c r="O1167" s="26" t="str">
        <f>IFERROR(__xludf.DUMMYFUNCTION("""COMPUTED_VALUE"""),"No")</f>
        <v>No</v>
      </c>
      <c r="P1167" s="26"/>
    </row>
    <row r="1168">
      <c r="A1168" s="81" t="str">
        <f>IFERROR(__xludf.DUMMYFUNCTION("""COMPUTED_VALUE"""),"Roundabout")</f>
        <v>Roundabout</v>
      </c>
      <c r="B1168" s="82" t="str">
        <f>IFERROR(__xludf.DUMMYFUNCTION("""COMPUTED_VALUE"""),"PS4/Vita")</f>
        <v>PS4/Vita</v>
      </c>
      <c r="C1168" s="83" t="str">
        <f>IFERROR(__xludf.DUMMYFUNCTION("""COMPUTED_VALUE"""),"Playstation Plus (Discontinued)")</f>
        <v>Playstation Plus (Discontinued)</v>
      </c>
      <c r="D1168" s="82" t="str">
        <f>IFERROR(__xludf.DUMMYFUNCTION("""COMPUTED_VALUE"""),"Removed")</f>
        <v>Removed</v>
      </c>
      <c r="E1168" s="84">
        <f>IFERROR(__xludf.DUMMYFUNCTION("""COMPUTED_VALUE"""),43410.0)</f>
        <v>43410</v>
      </c>
      <c r="F1168" s="85">
        <f>IFERROR(__xludf.DUMMYFUNCTION("""COMPUTED_VALUE"""),43437.0)</f>
        <v>43437</v>
      </c>
      <c r="G1168" s="86">
        <f>IFERROR(__xludf.DUMMYFUNCTION("""COMPUTED_VALUE"""),0.8999999999999999)</f>
        <v>0.9</v>
      </c>
      <c r="H1168" s="84">
        <f>IFERROR(__xludf.DUMMYFUNCTION("""COMPUTED_VALUE"""),41900.0)</f>
        <v>41900</v>
      </c>
      <c r="I1168" s="86">
        <f>IFERROR(__xludf.DUMMYFUNCTION("""COMPUTED_VALUE"""),4.133333333333334)</f>
        <v>4.133333333</v>
      </c>
      <c r="J1168" s="87">
        <f>IFERROR(__xludf.DUMMYFUNCTION("""COMPUTED_VALUE"""),69.0)</f>
        <v>69</v>
      </c>
      <c r="K1168" s="88">
        <f>IFERROR(__xludf.DUMMYFUNCTION("""COMPUTED_VALUE"""),7.2)</f>
        <v>7.2</v>
      </c>
      <c r="L1168" s="89">
        <f>IFERROR(__xludf.DUMMYFUNCTION("""COMPUTED_VALUE"""),4.0)</f>
        <v>4</v>
      </c>
      <c r="M1168" s="26" t="str">
        <f>IFERROR(__xludf.DUMMYFUNCTION("""COMPUTED_VALUE"""),"Racing")</f>
        <v>Racing</v>
      </c>
      <c r="N1168" s="26"/>
      <c r="O1168" s="26" t="str">
        <f>IFERROR(__xludf.DUMMYFUNCTION("""COMPUTED_VALUE"""),"No")</f>
        <v>No</v>
      </c>
      <c r="P1168" s="26"/>
    </row>
    <row r="1169">
      <c r="A1169" s="81" t="str">
        <f>IFERROR(__xludf.DUMMYFUNCTION("""COMPUTED_VALUE"""),"Friday the 13th: The Game")</f>
        <v>Friday the 13th: The Game</v>
      </c>
      <c r="B1169" s="82" t="str">
        <f>IFERROR(__xludf.DUMMYFUNCTION("""COMPUTED_VALUE"""),"PS4")</f>
        <v>PS4</v>
      </c>
      <c r="C1169" s="83" t="str">
        <f>IFERROR(__xludf.DUMMYFUNCTION("""COMPUTED_VALUE"""),"Playstation Plus (Discontinued)")</f>
        <v>Playstation Plus (Discontinued)</v>
      </c>
      <c r="D1169" s="82" t="str">
        <f>IFERROR(__xludf.DUMMYFUNCTION("""COMPUTED_VALUE"""),"Removed")</f>
        <v>Removed</v>
      </c>
      <c r="E1169" s="84">
        <f>IFERROR(__xludf.DUMMYFUNCTION("""COMPUTED_VALUE"""),43375.0)</f>
        <v>43375</v>
      </c>
      <c r="F1169" s="85">
        <f>IFERROR(__xludf.DUMMYFUNCTION("""COMPUTED_VALUE"""),43409.0)</f>
        <v>43409</v>
      </c>
      <c r="G1169" s="86">
        <f>IFERROR(__xludf.DUMMYFUNCTION("""COMPUTED_VALUE"""),1.0999999999999999)</f>
        <v>1.1</v>
      </c>
      <c r="H1169" s="84">
        <f>IFERROR(__xludf.DUMMYFUNCTION("""COMPUTED_VALUE"""),42881.0)</f>
        <v>42881</v>
      </c>
      <c r="I1169" s="86">
        <f>IFERROR(__xludf.DUMMYFUNCTION("""COMPUTED_VALUE"""),1.35)</f>
        <v>1.35</v>
      </c>
      <c r="J1169" s="87">
        <f>IFERROR(__xludf.DUMMYFUNCTION("""COMPUTED_VALUE"""),61.0)</f>
        <v>61</v>
      </c>
      <c r="K1169" s="88">
        <f>IFERROR(__xludf.DUMMYFUNCTION("""COMPUTED_VALUE"""),6.3)</f>
        <v>6.3</v>
      </c>
      <c r="L1169" s="89"/>
      <c r="M1169" s="26" t="str">
        <f>IFERROR(__xludf.DUMMYFUNCTION("""COMPUTED_VALUE"""),"Survival")</f>
        <v>Survival</v>
      </c>
      <c r="N1169" s="26"/>
      <c r="O1169" s="26" t="str">
        <f>IFERROR(__xludf.DUMMYFUNCTION("""COMPUTED_VALUE"""),"No")</f>
        <v>No</v>
      </c>
      <c r="P1169" s="26"/>
    </row>
    <row r="1170">
      <c r="A1170" s="81" t="str">
        <f>IFERROR(__xludf.DUMMYFUNCTION("""COMPUTED_VALUE"""),"Laser League")</f>
        <v>Laser League</v>
      </c>
      <c r="B1170" s="82" t="str">
        <f>IFERROR(__xludf.DUMMYFUNCTION("""COMPUTED_VALUE"""),"PS4")</f>
        <v>PS4</v>
      </c>
      <c r="C1170" s="83" t="str">
        <f>IFERROR(__xludf.DUMMYFUNCTION("""COMPUTED_VALUE"""),"Playstation Plus (Discontinued)")</f>
        <v>Playstation Plus (Discontinued)</v>
      </c>
      <c r="D1170" s="82" t="str">
        <f>IFERROR(__xludf.DUMMYFUNCTION("""COMPUTED_VALUE"""),"Removed")</f>
        <v>Removed</v>
      </c>
      <c r="E1170" s="84">
        <f>IFERROR(__xludf.DUMMYFUNCTION("""COMPUTED_VALUE"""),43375.0)</f>
        <v>43375</v>
      </c>
      <c r="F1170" s="85">
        <f>IFERROR(__xludf.DUMMYFUNCTION("""COMPUTED_VALUE"""),43409.0)</f>
        <v>43409</v>
      </c>
      <c r="G1170" s="86">
        <f>IFERROR(__xludf.DUMMYFUNCTION("""COMPUTED_VALUE"""),1.0999999999999999)</f>
        <v>1.1</v>
      </c>
      <c r="H1170" s="84">
        <f>IFERROR(__xludf.DUMMYFUNCTION("""COMPUTED_VALUE"""),43230.0)</f>
        <v>43230</v>
      </c>
      <c r="I1170" s="86">
        <f>IFERROR(__xludf.DUMMYFUNCTION("""COMPUTED_VALUE"""),0.39444444444444443)</f>
        <v>0.3944444444</v>
      </c>
      <c r="J1170" s="87">
        <f>IFERROR(__xludf.DUMMYFUNCTION("""COMPUTED_VALUE"""),82.0)</f>
        <v>82</v>
      </c>
      <c r="K1170" s="88">
        <f>IFERROR(__xludf.DUMMYFUNCTION("""COMPUTED_VALUE"""),6.4)</f>
        <v>6.4</v>
      </c>
      <c r="L1170" s="89"/>
      <c r="M1170" s="26" t="str">
        <f>IFERROR(__xludf.DUMMYFUNCTION("""COMPUTED_VALUE"""),"Arcade")</f>
        <v>Arcade</v>
      </c>
      <c r="N1170" s="26"/>
      <c r="O1170" s="26" t="str">
        <f>IFERROR(__xludf.DUMMYFUNCTION("""COMPUTED_VALUE"""),"No")</f>
        <v>No</v>
      </c>
      <c r="P1170" s="26"/>
    </row>
    <row r="1171">
      <c r="A1171" s="81" t="str">
        <f>IFERROR(__xludf.DUMMYFUNCTION("""COMPUTED_VALUE"""),"Knowledge is Power")</f>
        <v>Knowledge is Power</v>
      </c>
      <c r="B1171" s="82" t="str">
        <f>IFERROR(__xludf.DUMMYFUNCTION("""COMPUTED_VALUE"""),"PS4")</f>
        <v>PS4</v>
      </c>
      <c r="C1171" s="83" t="str">
        <f>IFERROR(__xludf.DUMMYFUNCTION("""COMPUTED_VALUE"""),"Playstation Plus (Discontinued)")</f>
        <v>Playstation Plus (Discontinued)</v>
      </c>
      <c r="D1171" s="82" t="str">
        <f>IFERROR(__xludf.DUMMYFUNCTION("""COMPUTED_VALUE"""),"Removed")</f>
        <v>Removed</v>
      </c>
      <c r="E1171" s="84">
        <f>IFERROR(__xludf.DUMMYFUNCTION("""COMPUTED_VALUE"""),43375.0)</f>
        <v>43375</v>
      </c>
      <c r="F1171" s="85">
        <f>IFERROR(__xludf.DUMMYFUNCTION("""COMPUTED_VALUE"""),43409.0)</f>
        <v>43409</v>
      </c>
      <c r="G1171" s="86">
        <f>IFERROR(__xludf.DUMMYFUNCTION("""COMPUTED_VALUE"""),1.0999999999999999)</f>
        <v>1.1</v>
      </c>
      <c r="H1171" s="84">
        <f>IFERROR(__xludf.DUMMYFUNCTION("""COMPUTED_VALUE"""),43060.0)</f>
        <v>43060</v>
      </c>
      <c r="I1171" s="86">
        <f>IFERROR(__xludf.DUMMYFUNCTION("""COMPUTED_VALUE"""),0.8638888888888889)</f>
        <v>0.8638888889</v>
      </c>
      <c r="J1171" s="87">
        <f>IFERROR(__xludf.DUMMYFUNCTION("""COMPUTED_VALUE"""),71.0)</f>
        <v>71</v>
      </c>
      <c r="K1171" s="88">
        <f>IFERROR(__xludf.DUMMYFUNCTION("""COMPUTED_VALUE"""),7.4)</f>
        <v>7.4</v>
      </c>
      <c r="L1171" s="89"/>
      <c r="M1171" s="26" t="str">
        <f>IFERROR(__xludf.DUMMYFUNCTION("""COMPUTED_VALUE"""),"Party")</f>
        <v>Party</v>
      </c>
      <c r="N1171" s="26"/>
      <c r="O1171" s="26" t="str">
        <f>IFERROR(__xludf.DUMMYFUNCTION("""COMPUTED_VALUE"""),"No")</f>
        <v>No</v>
      </c>
      <c r="P1171" s="26"/>
    </row>
    <row r="1172">
      <c r="A1172" s="81" t="str">
        <f>IFERROR(__xludf.DUMMYFUNCTION("""COMPUTED_VALUE"""),"Master Reboot")</f>
        <v>Master Reboot</v>
      </c>
      <c r="B1172" s="82" t="str">
        <f>IFERROR(__xludf.DUMMYFUNCTION("""COMPUTED_VALUE"""),"PS3")</f>
        <v>PS3</v>
      </c>
      <c r="C1172" s="83" t="str">
        <f>IFERROR(__xludf.DUMMYFUNCTION("""COMPUTED_VALUE"""),"Playstation Plus (Discontinued)")</f>
        <v>Playstation Plus (Discontinued)</v>
      </c>
      <c r="D1172" s="82" t="str">
        <f>IFERROR(__xludf.DUMMYFUNCTION("""COMPUTED_VALUE"""),"Removed")</f>
        <v>Removed</v>
      </c>
      <c r="E1172" s="84">
        <f>IFERROR(__xludf.DUMMYFUNCTION("""COMPUTED_VALUE"""),43375.0)</f>
        <v>43375</v>
      </c>
      <c r="F1172" s="85">
        <f>IFERROR(__xludf.DUMMYFUNCTION("""COMPUTED_VALUE"""),43409.0)</f>
        <v>43409</v>
      </c>
      <c r="G1172" s="86">
        <f>IFERROR(__xludf.DUMMYFUNCTION("""COMPUTED_VALUE"""),1.0999999999999999)</f>
        <v>1.1</v>
      </c>
      <c r="H1172" s="84">
        <f>IFERROR(__xludf.DUMMYFUNCTION("""COMPUTED_VALUE"""),41835.0)</f>
        <v>41835</v>
      </c>
      <c r="I1172" s="86">
        <f>IFERROR(__xludf.DUMMYFUNCTION("""COMPUTED_VALUE"""),4.213888888888889)</f>
        <v>4.213888889</v>
      </c>
      <c r="J1172" s="87">
        <f>IFERROR(__xludf.DUMMYFUNCTION("""COMPUTED_VALUE"""),62.0)</f>
        <v>62</v>
      </c>
      <c r="K1172" s="88">
        <f>IFERROR(__xludf.DUMMYFUNCTION("""COMPUTED_VALUE"""),5.9)</f>
        <v>5.9</v>
      </c>
      <c r="L1172" s="89">
        <f>IFERROR(__xludf.DUMMYFUNCTION("""COMPUTED_VALUE"""),4.0)</f>
        <v>4</v>
      </c>
      <c r="M1172" s="26" t="str">
        <f>IFERROR(__xludf.DUMMYFUNCTION("""COMPUTED_VALUE"""),"Adventure")</f>
        <v>Adventure</v>
      </c>
      <c r="N1172" s="26"/>
      <c r="O1172" s="26" t="str">
        <f>IFERROR(__xludf.DUMMYFUNCTION("""COMPUTED_VALUE"""),"No")</f>
        <v>No</v>
      </c>
      <c r="P1172" s="26"/>
    </row>
    <row r="1173">
      <c r="A1173" s="81" t="str">
        <f>IFERROR(__xludf.DUMMYFUNCTION("""COMPUTED_VALUE"""),"The Bridge")</f>
        <v>The Bridge</v>
      </c>
      <c r="B1173" s="82" t="str">
        <f>IFERROR(__xludf.DUMMYFUNCTION("""COMPUTED_VALUE"""),"PS4/PS3/Vita")</f>
        <v>PS4/PS3/Vita</v>
      </c>
      <c r="C1173" s="83" t="str">
        <f>IFERROR(__xludf.DUMMYFUNCTION("""COMPUTED_VALUE"""),"Playstation Plus (Discontinued)")</f>
        <v>Playstation Plus (Discontinued)</v>
      </c>
      <c r="D1173" s="82" t="str">
        <f>IFERROR(__xludf.DUMMYFUNCTION("""COMPUTED_VALUE"""),"Removed")</f>
        <v>Removed</v>
      </c>
      <c r="E1173" s="84">
        <f>IFERROR(__xludf.DUMMYFUNCTION("""COMPUTED_VALUE"""),43375.0)</f>
        <v>43375</v>
      </c>
      <c r="F1173" s="85">
        <f>IFERROR(__xludf.DUMMYFUNCTION("""COMPUTED_VALUE"""),43409.0)</f>
        <v>43409</v>
      </c>
      <c r="G1173" s="86">
        <f>IFERROR(__xludf.DUMMYFUNCTION("""COMPUTED_VALUE"""),1.0999999999999999)</f>
        <v>1.1</v>
      </c>
      <c r="H1173" s="84">
        <f>IFERROR(__xludf.DUMMYFUNCTION("""COMPUTED_VALUE"""),41590.0)</f>
        <v>41590</v>
      </c>
      <c r="I1173" s="86">
        <f>IFERROR(__xludf.DUMMYFUNCTION("""COMPUTED_VALUE"""),4.888888888888889)</f>
        <v>4.888888889</v>
      </c>
      <c r="J1173" s="87">
        <f>IFERROR(__xludf.DUMMYFUNCTION("""COMPUTED_VALUE"""),77.0)</f>
        <v>77</v>
      </c>
      <c r="K1173" s="88">
        <f>IFERROR(__xludf.DUMMYFUNCTION("""COMPUTED_VALUE"""),7.5)</f>
        <v>7.5</v>
      </c>
      <c r="L1173" s="89">
        <f>IFERROR(__xludf.DUMMYFUNCTION("""COMPUTED_VALUE"""),4.0)</f>
        <v>4</v>
      </c>
      <c r="M1173" s="26" t="str">
        <f>IFERROR(__xludf.DUMMYFUNCTION("""COMPUTED_VALUE"""),"Puzzle")</f>
        <v>Puzzle</v>
      </c>
      <c r="N1173" s="26"/>
      <c r="O1173" s="26" t="str">
        <f>IFERROR(__xludf.DUMMYFUNCTION("""COMPUTED_VALUE"""),"No")</f>
        <v>No</v>
      </c>
      <c r="P1173" s="26"/>
    </row>
    <row r="1174">
      <c r="A1174" s="81" t="str">
        <f>IFERROR(__xludf.DUMMYFUNCTION("""COMPUTED_VALUE"""),"2064: Read Only Memories")</f>
        <v>2064: Read Only Memories</v>
      </c>
      <c r="B1174" s="82" t="str">
        <f>IFERROR(__xludf.DUMMYFUNCTION("""COMPUTED_VALUE"""),"PS4/Vita")</f>
        <v>PS4/Vita</v>
      </c>
      <c r="C1174" s="83" t="str">
        <f>IFERROR(__xludf.DUMMYFUNCTION("""COMPUTED_VALUE"""),"Playstation Plus (Discontinued)")</f>
        <v>Playstation Plus (Discontinued)</v>
      </c>
      <c r="D1174" s="82" t="str">
        <f>IFERROR(__xludf.DUMMYFUNCTION("""COMPUTED_VALUE"""),"Removed")</f>
        <v>Removed</v>
      </c>
      <c r="E1174" s="84">
        <f>IFERROR(__xludf.DUMMYFUNCTION("""COMPUTED_VALUE"""),43375.0)</f>
        <v>43375</v>
      </c>
      <c r="F1174" s="85">
        <f>IFERROR(__xludf.DUMMYFUNCTION("""COMPUTED_VALUE"""),43409.0)</f>
        <v>43409</v>
      </c>
      <c r="G1174" s="86">
        <f>IFERROR(__xludf.DUMMYFUNCTION("""COMPUTED_VALUE"""),1.0999999999999999)</f>
        <v>1.1</v>
      </c>
      <c r="H1174" s="84">
        <f>IFERROR(__xludf.DUMMYFUNCTION("""COMPUTED_VALUE"""),43025.0)</f>
        <v>43025</v>
      </c>
      <c r="I1174" s="86">
        <f>IFERROR(__xludf.DUMMYFUNCTION("""COMPUTED_VALUE"""),0.9583333333333334)</f>
        <v>0.9583333333</v>
      </c>
      <c r="J1174" s="87">
        <f>IFERROR(__xludf.DUMMYFUNCTION("""COMPUTED_VALUE"""),76.0)</f>
        <v>76</v>
      </c>
      <c r="K1174" s="88">
        <f>IFERROR(__xludf.DUMMYFUNCTION("""COMPUTED_VALUE"""),7.3)</f>
        <v>7.3</v>
      </c>
      <c r="L1174" s="89">
        <f>IFERROR(__xludf.DUMMYFUNCTION("""COMPUTED_VALUE"""),12.0)</f>
        <v>12</v>
      </c>
      <c r="M1174" s="26" t="str">
        <f>IFERROR(__xludf.DUMMYFUNCTION("""COMPUTED_VALUE"""),"Adventure")</f>
        <v>Adventure</v>
      </c>
      <c r="N1174" s="26"/>
      <c r="O1174" s="26" t="str">
        <f>IFERROR(__xludf.DUMMYFUNCTION("""COMPUTED_VALUE"""),"No")</f>
        <v>No</v>
      </c>
      <c r="P1174" s="26"/>
    </row>
    <row r="1175">
      <c r="A1175" s="81" t="str">
        <f>IFERROR(__xludf.DUMMYFUNCTION("""COMPUTED_VALUE"""),"Rocketbirds 2: Evolution")</f>
        <v>Rocketbirds 2: Evolution</v>
      </c>
      <c r="B1175" s="82" t="str">
        <f>IFERROR(__xludf.DUMMYFUNCTION("""COMPUTED_VALUE"""),"PS4/Vita")</f>
        <v>PS4/Vita</v>
      </c>
      <c r="C1175" s="83" t="str">
        <f>IFERROR(__xludf.DUMMYFUNCTION("""COMPUTED_VALUE"""),"Playstation Plus (Discontinued)")</f>
        <v>Playstation Plus (Discontinued)</v>
      </c>
      <c r="D1175" s="82" t="str">
        <f>IFERROR(__xludf.DUMMYFUNCTION("""COMPUTED_VALUE"""),"Removed")</f>
        <v>Removed</v>
      </c>
      <c r="E1175" s="84">
        <f>IFERROR(__xludf.DUMMYFUNCTION("""COMPUTED_VALUE"""),43375.0)</f>
        <v>43375</v>
      </c>
      <c r="F1175" s="85">
        <f>IFERROR(__xludf.DUMMYFUNCTION("""COMPUTED_VALUE"""),43409.0)</f>
        <v>43409</v>
      </c>
      <c r="G1175" s="86">
        <f>IFERROR(__xludf.DUMMYFUNCTION("""COMPUTED_VALUE"""),1.0999999999999999)</f>
        <v>1.1</v>
      </c>
      <c r="H1175" s="84">
        <f>IFERROR(__xludf.DUMMYFUNCTION("""COMPUTED_VALUE"""),42486.0)</f>
        <v>42486</v>
      </c>
      <c r="I1175" s="86">
        <f>IFERROR(__xludf.DUMMYFUNCTION("""COMPUTED_VALUE"""),2.433333333333333)</f>
        <v>2.433333333</v>
      </c>
      <c r="J1175" s="87">
        <f>IFERROR(__xludf.DUMMYFUNCTION("""COMPUTED_VALUE"""),67.0)</f>
        <v>67</v>
      </c>
      <c r="K1175" s="88">
        <f>IFERROR(__xludf.DUMMYFUNCTION("""COMPUTED_VALUE"""),6.7)</f>
        <v>6.7</v>
      </c>
      <c r="L1175" s="89">
        <f>IFERROR(__xludf.DUMMYFUNCTION("""COMPUTED_VALUE"""),7.0)</f>
        <v>7</v>
      </c>
      <c r="M1175" s="26" t="str">
        <f>IFERROR(__xludf.DUMMYFUNCTION("""COMPUTED_VALUE"""),"Shooter")</f>
        <v>Shooter</v>
      </c>
      <c r="N1175" s="26"/>
      <c r="O1175" s="26" t="str">
        <f>IFERROR(__xludf.DUMMYFUNCTION("""COMPUTED_VALUE"""),"No")</f>
        <v>No</v>
      </c>
      <c r="P1175" s="26"/>
    </row>
    <row r="1176">
      <c r="A1176" s="81" t="str">
        <f>IFERROR(__xludf.DUMMYFUNCTION("""COMPUTED_VALUE"""),"Destiny 2")</f>
        <v>Destiny 2</v>
      </c>
      <c r="B1176" s="82" t="str">
        <f>IFERROR(__xludf.DUMMYFUNCTION("""COMPUTED_VALUE"""),"PS4")</f>
        <v>PS4</v>
      </c>
      <c r="C1176" s="83" t="str">
        <f>IFERROR(__xludf.DUMMYFUNCTION("""COMPUTED_VALUE"""),"Playstation Plus (Discontinued)")</f>
        <v>Playstation Plus (Discontinued)</v>
      </c>
      <c r="D1176" s="82" t="str">
        <f>IFERROR(__xludf.DUMMYFUNCTION("""COMPUTED_VALUE"""),"Removed")</f>
        <v>Removed</v>
      </c>
      <c r="E1176" s="84">
        <f>IFERROR(__xludf.DUMMYFUNCTION("""COMPUTED_VALUE"""),43347.0)</f>
        <v>43347</v>
      </c>
      <c r="F1176" s="85">
        <f>IFERROR(__xludf.DUMMYFUNCTION("""COMPUTED_VALUE"""),43374.0)</f>
        <v>43374</v>
      </c>
      <c r="G1176" s="86">
        <f>IFERROR(__xludf.DUMMYFUNCTION("""COMPUTED_VALUE"""),0.8999999999999999)</f>
        <v>0.9</v>
      </c>
      <c r="H1176" s="84">
        <f>IFERROR(__xludf.DUMMYFUNCTION("""COMPUTED_VALUE"""),42984.0)</f>
        <v>42984</v>
      </c>
      <c r="I1176" s="86">
        <f>IFERROR(__xludf.DUMMYFUNCTION("""COMPUTED_VALUE"""),0.9944444444444445)</f>
        <v>0.9944444444</v>
      </c>
      <c r="J1176" s="87">
        <f>IFERROR(__xludf.DUMMYFUNCTION("""COMPUTED_VALUE"""),85.0)</f>
        <v>85</v>
      </c>
      <c r="K1176" s="88">
        <f>IFERROR(__xludf.DUMMYFUNCTION("""COMPUTED_VALUE"""),5.4)</f>
        <v>5.4</v>
      </c>
      <c r="L1176" s="89">
        <f>IFERROR(__xludf.DUMMYFUNCTION("""COMPUTED_VALUE"""),12.0)</f>
        <v>12</v>
      </c>
      <c r="M1176" s="26" t="str">
        <f>IFERROR(__xludf.DUMMYFUNCTION("""COMPUTED_VALUE"""),"Shooter")</f>
        <v>Shooter</v>
      </c>
      <c r="N1176" s="26"/>
      <c r="O1176" s="26" t="str">
        <f>IFERROR(__xludf.DUMMYFUNCTION("""COMPUTED_VALUE"""),"No")</f>
        <v>No</v>
      </c>
      <c r="P1176" s="26"/>
    </row>
    <row r="1177">
      <c r="A1177" s="81" t="str">
        <f>IFERROR(__xludf.DUMMYFUNCTION("""COMPUTED_VALUE"""),"God of War III: Remastered")</f>
        <v>God of War III: Remastered</v>
      </c>
      <c r="B1177" s="82" t="str">
        <f>IFERROR(__xludf.DUMMYFUNCTION("""COMPUTED_VALUE"""),"PS4")</f>
        <v>PS4</v>
      </c>
      <c r="C1177" s="83" t="str">
        <f>IFERROR(__xludf.DUMMYFUNCTION("""COMPUTED_VALUE"""),"Playstation Plus (Discontinued)")</f>
        <v>Playstation Plus (Discontinued)</v>
      </c>
      <c r="D1177" s="82" t="str">
        <f>IFERROR(__xludf.DUMMYFUNCTION("""COMPUTED_VALUE"""),"Removed")</f>
        <v>Removed</v>
      </c>
      <c r="E1177" s="84">
        <f>IFERROR(__xludf.DUMMYFUNCTION("""COMPUTED_VALUE"""),43347.0)</f>
        <v>43347</v>
      </c>
      <c r="F1177" s="85">
        <f>IFERROR(__xludf.DUMMYFUNCTION("""COMPUTED_VALUE"""),43374.0)</f>
        <v>43374</v>
      </c>
      <c r="G1177" s="86">
        <f>IFERROR(__xludf.DUMMYFUNCTION("""COMPUTED_VALUE"""),0.8999999999999999)</f>
        <v>0.9</v>
      </c>
      <c r="H1177" s="84">
        <f>IFERROR(__xludf.DUMMYFUNCTION("""COMPUTED_VALUE"""),42199.0)</f>
        <v>42199</v>
      </c>
      <c r="I1177" s="86">
        <f>IFERROR(__xludf.DUMMYFUNCTION("""COMPUTED_VALUE"""),3.138888888888889)</f>
        <v>3.138888889</v>
      </c>
      <c r="J1177" s="87">
        <f>IFERROR(__xludf.DUMMYFUNCTION("""COMPUTED_VALUE"""),81.0)</f>
        <v>81</v>
      </c>
      <c r="K1177" s="88">
        <f>IFERROR(__xludf.DUMMYFUNCTION("""COMPUTED_VALUE"""),8.4)</f>
        <v>8.4</v>
      </c>
      <c r="L1177" s="89">
        <f>IFERROR(__xludf.DUMMYFUNCTION("""COMPUTED_VALUE"""),9.0)</f>
        <v>9</v>
      </c>
      <c r="M1177" s="26" t="str">
        <f>IFERROR(__xludf.DUMMYFUNCTION("""COMPUTED_VALUE"""),"Action-Adventure")</f>
        <v>Action-Adventure</v>
      </c>
      <c r="N1177" s="26"/>
      <c r="O1177" s="26" t="str">
        <f>IFERROR(__xludf.DUMMYFUNCTION("""COMPUTED_VALUE"""),"No")</f>
        <v>No</v>
      </c>
      <c r="P1177" s="26"/>
    </row>
    <row r="1178">
      <c r="A1178" s="81" t="str">
        <f>IFERROR(__xludf.DUMMYFUNCTION("""COMPUTED_VALUE"""),"Another World: 20th Anniversary Edition")</f>
        <v>Another World: 20th Anniversary Edition</v>
      </c>
      <c r="B1178" s="82" t="str">
        <f>IFERROR(__xludf.DUMMYFUNCTION("""COMPUTED_VALUE"""),"PS4/PS3/Vita")</f>
        <v>PS4/PS3/Vita</v>
      </c>
      <c r="C1178" s="83" t="str">
        <f>IFERROR(__xludf.DUMMYFUNCTION("""COMPUTED_VALUE"""),"Playstation Plus (Discontinued)")</f>
        <v>Playstation Plus (Discontinued)</v>
      </c>
      <c r="D1178" s="82" t="str">
        <f>IFERROR(__xludf.DUMMYFUNCTION("""COMPUTED_VALUE"""),"Removed")</f>
        <v>Removed</v>
      </c>
      <c r="E1178" s="84">
        <f>IFERROR(__xludf.DUMMYFUNCTION("""COMPUTED_VALUE"""),43347.0)</f>
        <v>43347</v>
      </c>
      <c r="F1178" s="85">
        <f>IFERROR(__xludf.DUMMYFUNCTION("""COMPUTED_VALUE"""),43374.0)</f>
        <v>43374</v>
      </c>
      <c r="G1178" s="86">
        <f>IFERROR(__xludf.DUMMYFUNCTION("""COMPUTED_VALUE"""),0.8999999999999999)</f>
        <v>0.9</v>
      </c>
      <c r="H1178" s="84">
        <f>IFERROR(__xludf.DUMMYFUNCTION("""COMPUTED_VALUE"""),41815.0)</f>
        <v>41815</v>
      </c>
      <c r="I1178" s="86">
        <f>IFERROR(__xludf.DUMMYFUNCTION("""COMPUTED_VALUE"""),4.191666666666666)</f>
        <v>4.191666667</v>
      </c>
      <c r="J1178" s="87">
        <f>IFERROR(__xludf.DUMMYFUNCTION("""COMPUTED_VALUE"""),53.0)</f>
        <v>53</v>
      </c>
      <c r="K1178" s="88">
        <f>IFERROR(__xludf.DUMMYFUNCTION("""COMPUTED_VALUE"""),7.0)</f>
        <v>7</v>
      </c>
      <c r="L1178" s="89">
        <f>IFERROR(__xludf.DUMMYFUNCTION("""COMPUTED_VALUE"""),2.0)</f>
        <v>2</v>
      </c>
      <c r="M1178" s="26" t="str">
        <f>IFERROR(__xludf.DUMMYFUNCTION("""COMPUTED_VALUE"""),"Action-Adventure")</f>
        <v>Action-Adventure</v>
      </c>
      <c r="N1178" s="26"/>
      <c r="O1178" s="26" t="str">
        <f>IFERROR(__xludf.DUMMYFUNCTION("""COMPUTED_VALUE"""),"No")</f>
        <v>No</v>
      </c>
      <c r="P1178" s="26"/>
    </row>
    <row r="1179">
      <c r="A1179" s="81" t="str">
        <f>IFERROR(__xludf.DUMMYFUNCTION("""COMPUTED_VALUE"""),"Q.U.B.E Director's Cut")</f>
        <v>Q.U.B.E Director's Cut</v>
      </c>
      <c r="B1179" s="82" t="str">
        <f>IFERROR(__xludf.DUMMYFUNCTION("""COMPUTED_VALUE"""),"PS4/PS3")</f>
        <v>PS4/PS3</v>
      </c>
      <c r="C1179" s="83" t="str">
        <f>IFERROR(__xludf.DUMMYFUNCTION("""COMPUTED_VALUE"""),"Playstation Plus (Discontinued)")</f>
        <v>Playstation Plus (Discontinued)</v>
      </c>
      <c r="D1179" s="82" t="str">
        <f>IFERROR(__xludf.DUMMYFUNCTION("""COMPUTED_VALUE"""),"Removed")</f>
        <v>Removed</v>
      </c>
      <c r="E1179" s="84">
        <f>IFERROR(__xludf.DUMMYFUNCTION("""COMPUTED_VALUE"""),43347.0)</f>
        <v>43347</v>
      </c>
      <c r="F1179" s="85">
        <f>IFERROR(__xludf.DUMMYFUNCTION("""COMPUTED_VALUE"""),43374.0)</f>
        <v>43374</v>
      </c>
      <c r="G1179" s="86">
        <f>IFERROR(__xludf.DUMMYFUNCTION("""COMPUTED_VALUE"""),0.8999999999999999)</f>
        <v>0.9</v>
      </c>
      <c r="H1179" s="84">
        <f>IFERROR(__xludf.DUMMYFUNCTION("""COMPUTED_VALUE"""),42206.0)</f>
        <v>42206</v>
      </c>
      <c r="I1179" s="86">
        <f>IFERROR(__xludf.DUMMYFUNCTION("""COMPUTED_VALUE"""),3.1194444444444445)</f>
        <v>3.119444444</v>
      </c>
      <c r="J1179" s="87">
        <f>IFERROR(__xludf.DUMMYFUNCTION("""COMPUTED_VALUE"""),76.0)</f>
        <v>76</v>
      </c>
      <c r="K1179" s="88">
        <f>IFERROR(__xludf.DUMMYFUNCTION("""COMPUTED_VALUE"""),7.1)</f>
        <v>7.1</v>
      </c>
      <c r="L1179" s="89">
        <f>IFERROR(__xludf.DUMMYFUNCTION("""COMPUTED_VALUE"""),4.0)</f>
        <v>4</v>
      </c>
      <c r="M1179" s="26" t="str">
        <f>IFERROR(__xludf.DUMMYFUNCTION("""COMPUTED_VALUE"""),"Puzzle")</f>
        <v>Puzzle</v>
      </c>
      <c r="N1179" s="26"/>
      <c r="O1179" s="26" t="str">
        <f>IFERROR(__xludf.DUMMYFUNCTION("""COMPUTED_VALUE"""),"No")</f>
        <v>No</v>
      </c>
      <c r="P1179" s="26"/>
    </row>
    <row r="1180">
      <c r="A1180" s="81" t="str">
        <f>IFERROR(__xludf.DUMMYFUNCTION("""COMPUTED_VALUE"""),"Sparkle 2")</f>
        <v>Sparkle 2</v>
      </c>
      <c r="B1180" s="82" t="str">
        <f>IFERROR(__xludf.DUMMYFUNCTION("""COMPUTED_VALUE"""),"PS4/Vita")</f>
        <v>PS4/Vita</v>
      </c>
      <c r="C1180" s="83" t="str">
        <f>IFERROR(__xludf.DUMMYFUNCTION("""COMPUTED_VALUE"""),"Playstation Plus (Discontinued)")</f>
        <v>Playstation Plus (Discontinued)</v>
      </c>
      <c r="D1180" s="82" t="str">
        <f>IFERROR(__xludf.DUMMYFUNCTION("""COMPUTED_VALUE"""),"Removed")</f>
        <v>Removed</v>
      </c>
      <c r="E1180" s="84">
        <f>IFERROR(__xludf.DUMMYFUNCTION("""COMPUTED_VALUE"""),43347.0)</f>
        <v>43347</v>
      </c>
      <c r="F1180" s="85">
        <f>IFERROR(__xludf.DUMMYFUNCTION("""COMPUTED_VALUE"""),43374.0)</f>
        <v>43374</v>
      </c>
      <c r="G1180" s="86">
        <f>IFERROR(__xludf.DUMMYFUNCTION("""COMPUTED_VALUE"""),0.8999999999999999)</f>
        <v>0.9</v>
      </c>
      <c r="H1180" s="84">
        <f>IFERROR(__xludf.DUMMYFUNCTION("""COMPUTED_VALUE"""),41991.0)</f>
        <v>41991</v>
      </c>
      <c r="I1180" s="86">
        <f>IFERROR(__xludf.DUMMYFUNCTION("""COMPUTED_VALUE"""),3.7111111111111112)</f>
        <v>3.711111111</v>
      </c>
      <c r="J1180" s="87">
        <f>IFERROR(__xludf.DUMMYFUNCTION("""COMPUTED_VALUE"""),72.0)</f>
        <v>72</v>
      </c>
      <c r="K1180" s="88">
        <f>IFERROR(__xludf.DUMMYFUNCTION("""COMPUTED_VALUE"""),7.3)</f>
        <v>7.3</v>
      </c>
      <c r="L1180" s="89">
        <f>IFERROR(__xludf.DUMMYFUNCTION("""COMPUTED_VALUE"""),4.0)</f>
        <v>4</v>
      </c>
      <c r="M1180" s="26" t="str">
        <f>IFERROR(__xludf.DUMMYFUNCTION("""COMPUTED_VALUE"""),"Puzzle")</f>
        <v>Puzzle</v>
      </c>
      <c r="N1180" s="26"/>
      <c r="O1180" s="26" t="str">
        <f>IFERROR(__xludf.DUMMYFUNCTION("""COMPUTED_VALUE"""),"No")</f>
        <v>No</v>
      </c>
      <c r="P1180" s="26"/>
    </row>
    <row r="1181">
      <c r="A1181" s="81" t="str">
        <f>IFERROR(__xludf.DUMMYFUNCTION("""COMPUTED_VALUE"""),"Foul Play")</f>
        <v>Foul Play</v>
      </c>
      <c r="B1181" s="82" t="str">
        <f>IFERROR(__xludf.DUMMYFUNCTION("""COMPUTED_VALUE"""),"PS4/Vita")</f>
        <v>PS4/Vita</v>
      </c>
      <c r="C1181" s="83" t="str">
        <f>IFERROR(__xludf.DUMMYFUNCTION("""COMPUTED_VALUE"""),"Playstation Plus (Discontinued)")</f>
        <v>Playstation Plus (Discontinued)</v>
      </c>
      <c r="D1181" s="82" t="str">
        <f>IFERROR(__xludf.DUMMYFUNCTION("""COMPUTED_VALUE"""),"Removed")</f>
        <v>Removed</v>
      </c>
      <c r="E1181" s="84">
        <f>IFERROR(__xludf.DUMMYFUNCTION("""COMPUTED_VALUE"""),43347.0)</f>
        <v>43347</v>
      </c>
      <c r="F1181" s="85">
        <f>IFERROR(__xludf.DUMMYFUNCTION("""COMPUTED_VALUE"""),43374.0)</f>
        <v>43374</v>
      </c>
      <c r="G1181" s="86">
        <f>IFERROR(__xludf.DUMMYFUNCTION("""COMPUTED_VALUE"""),0.8999999999999999)</f>
        <v>0.9</v>
      </c>
      <c r="H1181" s="84">
        <f>IFERROR(__xludf.DUMMYFUNCTION("""COMPUTED_VALUE"""),41535.0)</f>
        <v>41535</v>
      </c>
      <c r="I1181" s="86">
        <f>IFERROR(__xludf.DUMMYFUNCTION("""COMPUTED_VALUE"""),4.961111111111111)</f>
        <v>4.961111111</v>
      </c>
      <c r="J1181" s="87">
        <f>IFERROR(__xludf.DUMMYFUNCTION("""COMPUTED_VALUE"""),66.0)</f>
        <v>66</v>
      </c>
      <c r="K1181" s="88">
        <f>IFERROR(__xludf.DUMMYFUNCTION("""COMPUTED_VALUE"""),6.8)</f>
        <v>6.8</v>
      </c>
      <c r="L1181" s="89">
        <f>IFERROR(__xludf.DUMMYFUNCTION("""COMPUTED_VALUE"""),5.0)</f>
        <v>5</v>
      </c>
      <c r="M1181" s="26" t="str">
        <f>IFERROR(__xludf.DUMMYFUNCTION("""COMPUTED_VALUE"""),"Action-Adventure")</f>
        <v>Action-Adventure</v>
      </c>
      <c r="N1181" s="26"/>
      <c r="O1181" s="26" t="str">
        <f>IFERROR(__xludf.DUMMYFUNCTION("""COMPUTED_VALUE"""),"No")</f>
        <v>No</v>
      </c>
      <c r="P1181" s="26"/>
    </row>
    <row r="1182">
      <c r="A1182" s="81" t="str">
        <f>IFERROR(__xludf.DUMMYFUNCTION("""COMPUTED_VALUE"""),"Mafia III")</f>
        <v>Mafia III</v>
      </c>
      <c r="B1182" s="82" t="str">
        <f>IFERROR(__xludf.DUMMYFUNCTION("""COMPUTED_VALUE"""),"PS4")</f>
        <v>PS4</v>
      </c>
      <c r="C1182" s="83" t="str">
        <f>IFERROR(__xludf.DUMMYFUNCTION("""COMPUTED_VALUE"""),"Playstation Plus (Discontinued)")</f>
        <v>Playstation Plus (Discontinued)</v>
      </c>
      <c r="D1182" s="82" t="str">
        <f>IFERROR(__xludf.DUMMYFUNCTION("""COMPUTED_VALUE"""),"Removed")</f>
        <v>Removed</v>
      </c>
      <c r="E1182" s="84">
        <f>IFERROR(__xludf.DUMMYFUNCTION("""COMPUTED_VALUE"""),43319.0)</f>
        <v>43319</v>
      </c>
      <c r="F1182" s="85">
        <f>IFERROR(__xludf.DUMMYFUNCTION("""COMPUTED_VALUE"""),43346.0)</f>
        <v>43346</v>
      </c>
      <c r="G1182" s="86">
        <f>IFERROR(__xludf.DUMMYFUNCTION("""COMPUTED_VALUE"""),0.8666666666666666)</f>
        <v>0.8666666667</v>
      </c>
      <c r="H1182" s="84">
        <f>IFERROR(__xludf.DUMMYFUNCTION("""COMPUTED_VALUE"""),42650.0)</f>
        <v>42650</v>
      </c>
      <c r="I1182" s="86">
        <f>IFERROR(__xludf.DUMMYFUNCTION("""COMPUTED_VALUE"""),1.8333333333333333)</f>
        <v>1.833333333</v>
      </c>
      <c r="J1182" s="87">
        <f>IFERROR(__xludf.DUMMYFUNCTION("""COMPUTED_VALUE"""),68.0)</f>
        <v>68</v>
      </c>
      <c r="K1182" s="88">
        <f>IFERROR(__xludf.DUMMYFUNCTION("""COMPUTED_VALUE"""),5.1)</f>
        <v>5.1</v>
      </c>
      <c r="L1182" s="89">
        <f>IFERROR(__xludf.DUMMYFUNCTION("""COMPUTED_VALUE"""),23.0)</f>
        <v>23</v>
      </c>
      <c r="M1182" s="26" t="str">
        <f>IFERROR(__xludf.DUMMYFUNCTION("""COMPUTED_VALUE"""),"Action-Adventure")</f>
        <v>Action-Adventure</v>
      </c>
      <c r="N1182" s="26"/>
      <c r="O1182" s="26" t="str">
        <f>IFERROR(__xludf.DUMMYFUNCTION("""COMPUTED_VALUE"""),"No")</f>
        <v>No</v>
      </c>
      <c r="P1182" s="26"/>
    </row>
    <row r="1183">
      <c r="A1183" s="81" t="str">
        <f>IFERROR(__xludf.DUMMYFUNCTION("""COMPUTED_VALUE"""),"Dead by Daylight")</f>
        <v>Dead by Daylight</v>
      </c>
      <c r="B1183" s="82" t="str">
        <f>IFERROR(__xludf.DUMMYFUNCTION("""COMPUTED_VALUE"""),"PS4")</f>
        <v>PS4</v>
      </c>
      <c r="C1183" s="83" t="str">
        <f>IFERROR(__xludf.DUMMYFUNCTION("""COMPUTED_VALUE"""),"Playstation Plus (Discontinued)")</f>
        <v>Playstation Plus (Discontinued)</v>
      </c>
      <c r="D1183" s="82" t="str">
        <f>IFERROR(__xludf.DUMMYFUNCTION("""COMPUTED_VALUE"""),"Removed")</f>
        <v>Removed</v>
      </c>
      <c r="E1183" s="84">
        <f>IFERROR(__xludf.DUMMYFUNCTION("""COMPUTED_VALUE"""),43319.0)</f>
        <v>43319</v>
      </c>
      <c r="F1183" s="85">
        <f>IFERROR(__xludf.DUMMYFUNCTION("""COMPUTED_VALUE"""),43346.0)</f>
        <v>43346</v>
      </c>
      <c r="G1183" s="86">
        <f>IFERROR(__xludf.DUMMYFUNCTION("""COMPUTED_VALUE"""),0.8666666666666666)</f>
        <v>0.8666666667</v>
      </c>
      <c r="H1183" s="84">
        <f>IFERROR(__xludf.DUMMYFUNCTION("""COMPUTED_VALUE"""),42535.0)</f>
        <v>42535</v>
      </c>
      <c r="I1183" s="86">
        <f>IFERROR(__xludf.DUMMYFUNCTION("""COMPUTED_VALUE"""),2.147222222222222)</f>
        <v>2.147222222</v>
      </c>
      <c r="J1183" s="87">
        <f>IFERROR(__xludf.DUMMYFUNCTION("""COMPUTED_VALUE"""),64.0)</f>
        <v>64</v>
      </c>
      <c r="K1183" s="88">
        <f>IFERROR(__xludf.DUMMYFUNCTION("""COMPUTED_VALUE"""),6.8)</f>
        <v>6.8</v>
      </c>
      <c r="L1183" s="89"/>
      <c r="M1183" s="26" t="str">
        <f>IFERROR(__xludf.DUMMYFUNCTION("""COMPUTED_VALUE"""),"Horror")</f>
        <v>Horror</v>
      </c>
      <c r="N1183" s="26"/>
      <c r="O1183" s="26" t="str">
        <f>IFERROR(__xludf.DUMMYFUNCTION("""COMPUTED_VALUE"""),"No")</f>
        <v>No</v>
      </c>
      <c r="P1183" s="26"/>
    </row>
    <row r="1184">
      <c r="A1184" s="81" t="str">
        <f>IFERROR(__xludf.DUMMYFUNCTION("""COMPUTED_VALUE"""),"Bound by Flame")</f>
        <v>Bound by Flame</v>
      </c>
      <c r="B1184" s="82" t="str">
        <f>IFERROR(__xludf.DUMMYFUNCTION("""COMPUTED_VALUE"""),"PS3")</f>
        <v>PS3</v>
      </c>
      <c r="C1184" s="83" t="str">
        <f>IFERROR(__xludf.DUMMYFUNCTION("""COMPUTED_VALUE"""),"Playstation Plus (Discontinued)")</f>
        <v>Playstation Plus (Discontinued)</v>
      </c>
      <c r="D1184" s="82" t="str">
        <f>IFERROR(__xludf.DUMMYFUNCTION("""COMPUTED_VALUE"""),"Removed")</f>
        <v>Removed</v>
      </c>
      <c r="E1184" s="84">
        <f>IFERROR(__xludf.DUMMYFUNCTION("""COMPUTED_VALUE"""),43319.0)</f>
        <v>43319</v>
      </c>
      <c r="F1184" s="85">
        <f>IFERROR(__xludf.DUMMYFUNCTION("""COMPUTED_VALUE"""),43346.0)</f>
        <v>43346</v>
      </c>
      <c r="G1184" s="86">
        <f>IFERROR(__xludf.DUMMYFUNCTION("""COMPUTED_VALUE"""),0.8666666666666666)</f>
        <v>0.8666666667</v>
      </c>
      <c r="H1184" s="84">
        <f>IFERROR(__xludf.DUMMYFUNCTION("""COMPUTED_VALUE"""),41768.0)</f>
        <v>41768</v>
      </c>
      <c r="I1184" s="86">
        <f>IFERROR(__xludf.DUMMYFUNCTION("""COMPUTED_VALUE"""),4.2444444444444445)</f>
        <v>4.244444444</v>
      </c>
      <c r="J1184" s="87">
        <f>IFERROR(__xludf.DUMMYFUNCTION("""COMPUTED_VALUE"""),53.0)</f>
        <v>53</v>
      </c>
      <c r="K1184" s="88">
        <f>IFERROR(__xludf.DUMMYFUNCTION("""COMPUTED_VALUE"""),5.9)</f>
        <v>5.9</v>
      </c>
      <c r="L1184" s="89">
        <f>IFERROR(__xludf.DUMMYFUNCTION("""COMPUTED_VALUE"""),20.0)</f>
        <v>20</v>
      </c>
      <c r="M1184" s="26" t="str">
        <f>IFERROR(__xludf.DUMMYFUNCTION("""COMPUTED_VALUE"""),"RPG")</f>
        <v>RPG</v>
      </c>
      <c r="N1184" s="26"/>
      <c r="O1184" s="26" t="str">
        <f>IFERROR(__xludf.DUMMYFUNCTION("""COMPUTED_VALUE"""),"No")</f>
        <v>No</v>
      </c>
      <c r="P1184" s="26"/>
    </row>
    <row r="1185">
      <c r="A1185" s="81" t="str">
        <f>IFERROR(__xludf.DUMMYFUNCTION("""COMPUTED_VALUE"""),"Serious Sam 3: BFE")</f>
        <v>Serious Sam 3: BFE</v>
      </c>
      <c r="B1185" s="82" t="str">
        <f>IFERROR(__xludf.DUMMYFUNCTION("""COMPUTED_VALUE"""),"PS3")</f>
        <v>PS3</v>
      </c>
      <c r="C1185" s="83" t="str">
        <f>IFERROR(__xludf.DUMMYFUNCTION("""COMPUTED_VALUE"""),"Playstation Plus (Discontinued)")</f>
        <v>Playstation Plus (Discontinued)</v>
      </c>
      <c r="D1185" s="82" t="str">
        <f>IFERROR(__xludf.DUMMYFUNCTION("""COMPUTED_VALUE"""),"Removed")</f>
        <v>Removed</v>
      </c>
      <c r="E1185" s="84">
        <f>IFERROR(__xludf.DUMMYFUNCTION("""COMPUTED_VALUE"""),43319.0)</f>
        <v>43319</v>
      </c>
      <c r="F1185" s="85">
        <f>IFERROR(__xludf.DUMMYFUNCTION("""COMPUTED_VALUE"""),43346.0)</f>
        <v>43346</v>
      </c>
      <c r="G1185" s="86">
        <f>IFERROR(__xludf.DUMMYFUNCTION("""COMPUTED_VALUE"""),0.8666666666666666)</f>
        <v>0.8666666667</v>
      </c>
      <c r="H1185" s="84">
        <f>IFERROR(__xludf.DUMMYFUNCTION("""COMPUTED_VALUE"""),40869.0)</f>
        <v>40869</v>
      </c>
      <c r="I1185" s="86">
        <f>IFERROR(__xludf.DUMMYFUNCTION("""COMPUTED_VALUE"""),6.708333333333333)</f>
        <v>6.708333333</v>
      </c>
      <c r="J1185" s="87">
        <f>IFERROR(__xludf.DUMMYFUNCTION("""COMPUTED_VALUE"""),72.0)</f>
        <v>72</v>
      </c>
      <c r="K1185" s="88">
        <f>IFERROR(__xludf.DUMMYFUNCTION("""COMPUTED_VALUE"""),7.6)</f>
        <v>7.6</v>
      </c>
      <c r="L1185" s="89">
        <f>IFERROR(__xludf.DUMMYFUNCTION("""COMPUTED_VALUE"""),8.0)</f>
        <v>8</v>
      </c>
      <c r="M1185" s="26" t="str">
        <f>IFERROR(__xludf.DUMMYFUNCTION("""COMPUTED_VALUE"""),"Shooter")</f>
        <v>Shooter</v>
      </c>
      <c r="N1185" s="26"/>
      <c r="O1185" s="26" t="str">
        <f>IFERROR(__xludf.DUMMYFUNCTION("""COMPUTED_VALUE"""),"No")</f>
        <v>No</v>
      </c>
      <c r="P1185" s="26"/>
    </row>
    <row r="1186">
      <c r="A1186" s="81" t="str">
        <f>IFERROR(__xludf.DUMMYFUNCTION("""COMPUTED_VALUE"""),"Draw Slasher")</f>
        <v>Draw Slasher</v>
      </c>
      <c r="B1186" s="82" t="str">
        <f>IFERROR(__xludf.DUMMYFUNCTION("""COMPUTED_VALUE"""),"Vita")</f>
        <v>Vita</v>
      </c>
      <c r="C1186" s="83" t="str">
        <f>IFERROR(__xludf.DUMMYFUNCTION("""COMPUTED_VALUE"""),"Playstation Plus (Discontinued)")</f>
        <v>Playstation Plus (Discontinued)</v>
      </c>
      <c r="D1186" s="82" t="str">
        <f>IFERROR(__xludf.DUMMYFUNCTION("""COMPUTED_VALUE"""),"Removed")</f>
        <v>Removed</v>
      </c>
      <c r="E1186" s="84">
        <f>IFERROR(__xludf.DUMMYFUNCTION("""COMPUTED_VALUE"""),43319.0)</f>
        <v>43319</v>
      </c>
      <c r="F1186" s="85">
        <f>IFERROR(__xludf.DUMMYFUNCTION("""COMPUTED_VALUE"""),43346.0)</f>
        <v>43346</v>
      </c>
      <c r="G1186" s="86">
        <f>IFERROR(__xludf.DUMMYFUNCTION("""COMPUTED_VALUE"""),0.8666666666666666)</f>
        <v>0.8666666667</v>
      </c>
      <c r="H1186" s="84">
        <f>IFERROR(__xludf.DUMMYFUNCTION("""COMPUTED_VALUE"""),41402.0)</f>
        <v>41402</v>
      </c>
      <c r="I1186" s="86">
        <f>IFERROR(__xludf.DUMMYFUNCTION("""COMPUTED_VALUE"""),5.247222222222222)</f>
        <v>5.247222222</v>
      </c>
      <c r="J1186" s="87">
        <f>IFERROR(__xludf.DUMMYFUNCTION("""COMPUTED_VALUE"""),69.0)</f>
        <v>69</v>
      </c>
      <c r="K1186" s="88">
        <f>IFERROR(__xludf.DUMMYFUNCTION("""COMPUTED_VALUE"""),6.4)</f>
        <v>6.4</v>
      </c>
      <c r="L1186" s="89">
        <f>IFERROR(__xludf.DUMMYFUNCTION("""COMPUTED_VALUE"""),3.0)</f>
        <v>3</v>
      </c>
      <c r="M1186" s="26" t="str">
        <f>IFERROR(__xludf.DUMMYFUNCTION("""COMPUTED_VALUE"""),"Action-Adventure")</f>
        <v>Action-Adventure</v>
      </c>
      <c r="N1186" s="26"/>
      <c r="O1186" s="26" t="str">
        <f>IFERROR(__xludf.DUMMYFUNCTION("""COMPUTED_VALUE"""),"No")</f>
        <v>No</v>
      </c>
      <c r="P1186" s="26"/>
    </row>
    <row r="1187">
      <c r="A1187" s="81" t="str">
        <f>IFERROR(__xludf.DUMMYFUNCTION("""COMPUTED_VALUE"""),"Space Hulk")</f>
        <v>Space Hulk</v>
      </c>
      <c r="B1187" s="82" t="str">
        <f>IFERROR(__xludf.DUMMYFUNCTION("""COMPUTED_VALUE"""),"Vita")</f>
        <v>Vita</v>
      </c>
      <c r="C1187" s="83" t="str">
        <f>IFERROR(__xludf.DUMMYFUNCTION("""COMPUTED_VALUE"""),"Playstation Plus (Discontinued)")</f>
        <v>Playstation Plus (Discontinued)</v>
      </c>
      <c r="D1187" s="82" t="str">
        <f>IFERROR(__xludf.DUMMYFUNCTION("""COMPUTED_VALUE"""),"Removed")</f>
        <v>Removed</v>
      </c>
      <c r="E1187" s="84">
        <f>IFERROR(__xludf.DUMMYFUNCTION("""COMPUTED_VALUE"""),43319.0)</f>
        <v>43319</v>
      </c>
      <c r="F1187" s="85">
        <f>IFERROR(__xludf.DUMMYFUNCTION("""COMPUTED_VALUE"""),43346.0)</f>
        <v>43346</v>
      </c>
      <c r="G1187" s="86">
        <f>IFERROR(__xludf.DUMMYFUNCTION("""COMPUTED_VALUE"""),0.8666666666666666)</f>
        <v>0.8666666667</v>
      </c>
      <c r="H1187" s="84">
        <f>IFERROR(__xludf.DUMMYFUNCTION("""COMPUTED_VALUE"""),41501.0)</f>
        <v>41501</v>
      </c>
      <c r="I1187" s="86">
        <f>IFERROR(__xludf.DUMMYFUNCTION("""COMPUTED_VALUE"""),4.977777777777778)</f>
        <v>4.977777778</v>
      </c>
      <c r="J1187" s="87">
        <f>IFERROR(__xludf.DUMMYFUNCTION("""COMPUTED_VALUE"""),51.0)</f>
        <v>51</v>
      </c>
      <c r="K1187" s="88">
        <f>IFERROR(__xludf.DUMMYFUNCTION("""COMPUTED_VALUE"""),5.3)</f>
        <v>5.3</v>
      </c>
      <c r="L1187" s="89">
        <f>IFERROR(__xludf.DUMMYFUNCTION("""COMPUTED_VALUE"""),18.0)</f>
        <v>18</v>
      </c>
      <c r="M1187" s="26" t="str">
        <f>IFERROR(__xludf.DUMMYFUNCTION("""COMPUTED_VALUE"""),"Strategy")</f>
        <v>Strategy</v>
      </c>
      <c r="N1187" s="26"/>
      <c r="O1187" s="26" t="str">
        <f>IFERROR(__xludf.DUMMYFUNCTION("""COMPUTED_VALUE"""),"No")</f>
        <v>No</v>
      </c>
      <c r="P1187" s="26"/>
    </row>
    <row r="1188">
      <c r="A1188" s="81" t="str">
        <f>IFERROR(__xludf.DUMMYFUNCTION("""COMPUTED_VALUE"""),"Heavy Rain")</f>
        <v>Heavy Rain</v>
      </c>
      <c r="B1188" s="82" t="str">
        <f>IFERROR(__xludf.DUMMYFUNCTION("""COMPUTED_VALUE"""),"PS4")</f>
        <v>PS4</v>
      </c>
      <c r="C1188" s="83" t="str">
        <f>IFERROR(__xludf.DUMMYFUNCTION("""COMPUTED_VALUE"""),"Playstation Plus (Discontinued)")</f>
        <v>Playstation Plus (Discontinued)</v>
      </c>
      <c r="D1188" s="82" t="str">
        <f>IFERROR(__xludf.DUMMYFUNCTION("""COMPUTED_VALUE"""),"Removed")</f>
        <v>Removed</v>
      </c>
      <c r="E1188" s="84">
        <f>IFERROR(__xludf.DUMMYFUNCTION("""COMPUTED_VALUE"""),43284.0)</f>
        <v>43284</v>
      </c>
      <c r="F1188" s="85">
        <f>IFERROR(__xludf.DUMMYFUNCTION("""COMPUTED_VALUE"""),43318.0)</f>
        <v>43318</v>
      </c>
      <c r="G1188" s="86">
        <f>IFERROR(__xludf.DUMMYFUNCTION("""COMPUTED_VALUE"""),1.0999999999999999)</f>
        <v>1.1</v>
      </c>
      <c r="H1188" s="84">
        <f>IFERROR(__xludf.DUMMYFUNCTION("""COMPUTED_VALUE"""),40232.0)</f>
        <v>40232</v>
      </c>
      <c r="I1188" s="86">
        <f>IFERROR(__xludf.DUMMYFUNCTION("""COMPUTED_VALUE"""),8.36111111111111)</f>
        <v>8.361111111</v>
      </c>
      <c r="J1188" s="87">
        <f>IFERROR(__xludf.DUMMYFUNCTION("""COMPUTED_VALUE"""),78.0)</f>
        <v>78</v>
      </c>
      <c r="K1188" s="88">
        <f>IFERROR(__xludf.DUMMYFUNCTION("""COMPUTED_VALUE"""),8.2)</f>
        <v>8.2</v>
      </c>
      <c r="L1188" s="89">
        <f>IFERROR(__xludf.DUMMYFUNCTION("""COMPUTED_VALUE"""),10.0)</f>
        <v>10</v>
      </c>
      <c r="M1188" s="26" t="str">
        <f>IFERROR(__xludf.DUMMYFUNCTION("""COMPUTED_VALUE"""),"Action-Adventure")</f>
        <v>Action-Adventure</v>
      </c>
      <c r="N1188" s="26"/>
      <c r="O1188" s="26" t="str">
        <f>IFERROR(__xludf.DUMMYFUNCTION("""COMPUTED_VALUE"""),"No")</f>
        <v>No</v>
      </c>
      <c r="P1188" s="26"/>
    </row>
    <row r="1189">
      <c r="A1189" s="81" t="str">
        <f>IFERROR(__xludf.DUMMYFUNCTION("""COMPUTED_VALUE"""),"Absolver")</f>
        <v>Absolver</v>
      </c>
      <c r="B1189" s="82" t="str">
        <f>IFERROR(__xludf.DUMMYFUNCTION("""COMPUTED_VALUE"""),"PS4")</f>
        <v>PS4</v>
      </c>
      <c r="C1189" s="83" t="str">
        <f>IFERROR(__xludf.DUMMYFUNCTION("""COMPUTED_VALUE"""),"Playstation Plus (Discontinued)")</f>
        <v>Playstation Plus (Discontinued)</v>
      </c>
      <c r="D1189" s="82" t="str">
        <f>IFERROR(__xludf.DUMMYFUNCTION("""COMPUTED_VALUE"""),"Removed")</f>
        <v>Removed</v>
      </c>
      <c r="E1189" s="84">
        <f>IFERROR(__xludf.DUMMYFUNCTION("""COMPUTED_VALUE"""),43284.0)</f>
        <v>43284</v>
      </c>
      <c r="F1189" s="85">
        <f>IFERROR(__xludf.DUMMYFUNCTION("""COMPUTED_VALUE"""),43318.0)</f>
        <v>43318</v>
      </c>
      <c r="G1189" s="86">
        <f>IFERROR(__xludf.DUMMYFUNCTION("""COMPUTED_VALUE"""),1.0999999999999999)</f>
        <v>1.1</v>
      </c>
      <c r="H1189" s="84">
        <f>IFERROR(__xludf.DUMMYFUNCTION("""COMPUTED_VALUE"""),42976.0)</f>
        <v>42976</v>
      </c>
      <c r="I1189" s="86">
        <f>IFERROR(__xludf.DUMMYFUNCTION("""COMPUTED_VALUE"""),0.8444444444444444)</f>
        <v>0.8444444444</v>
      </c>
      <c r="J1189" s="87">
        <f>IFERROR(__xludf.DUMMYFUNCTION("""COMPUTED_VALUE"""),69.0)</f>
        <v>69</v>
      </c>
      <c r="K1189" s="88">
        <f>IFERROR(__xludf.DUMMYFUNCTION("""COMPUTED_VALUE"""),6.6)</f>
        <v>6.6</v>
      </c>
      <c r="L1189" s="89"/>
      <c r="M1189" s="26" t="str">
        <f>IFERROR(__xludf.DUMMYFUNCTION("""COMPUTED_VALUE"""),"RPG")</f>
        <v>RPG</v>
      </c>
      <c r="N1189" s="26"/>
      <c r="O1189" s="26" t="str">
        <f>IFERROR(__xludf.DUMMYFUNCTION("""COMPUTED_VALUE"""),"No")</f>
        <v>No</v>
      </c>
      <c r="P1189" s="26"/>
    </row>
    <row r="1190">
      <c r="A1190" s="81" t="str">
        <f>IFERROR(__xludf.DUMMYFUNCTION("""COMPUTED_VALUE"""),"Rayman 3 HD")</f>
        <v>Rayman 3 HD</v>
      </c>
      <c r="B1190" s="82" t="str">
        <f>IFERROR(__xludf.DUMMYFUNCTION("""COMPUTED_VALUE"""),"PS3")</f>
        <v>PS3</v>
      </c>
      <c r="C1190" s="83" t="str">
        <f>IFERROR(__xludf.DUMMYFUNCTION("""COMPUTED_VALUE"""),"Playstation Plus (Discontinued)")</f>
        <v>Playstation Plus (Discontinued)</v>
      </c>
      <c r="D1190" s="82" t="str">
        <f>IFERROR(__xludf.DUMMYFUNCTION("""COMPUTED_VALUE"""),"Removed")</f>
        <v>Removed</v>
      </c>
      <c r="E1190" s="84">
        <f>IFERROR(__xludf.DUMMYFUNCTION("""COMPUTED_VALUE"""),43284.0)</f>
        <v>43284</v>
      </c>
      <c r="F1190" s="85">
        <f>IFERROR(__xludf.DUMMYFUNCTION("""COMPUTED_VALUE"""),43318.0)</f>
        <v>43318</v>
      </c>
      <c r="G1190" s="86">
        <f>IFERROR(__xludf.DUMMYFUNCTION("""COMPUTED_VALUE"""),1.0999999999999999)</f>
        <v>1.1</v>
      </c>
      <c r="H1190" s="84">
        <f>IFERROR(__xludf.DUMMYFUNCTION("""COMPUTED_VALUE"""),40989.0)</f>
        <v>40989</v>
      </c>
      <c r="I1190" s="86">
        <f>IFERROR(__xludf.DUMMYFUNCTION("""COMPUTED_VALUE"""),6.283333333333333)</f>
        <v>6.283333333</v>
      </c>
      <c r="J1190" s="87">
        <f>IFERROR(__xludf.DUMMYFUNCTION("""COMPUTED_VALUE"""),72.0)</f>
        <v>72</v>
      </c>
      <c r="K1190" s="88">
        <f>IFERROR(__xludf.DUMMYFUNCTION("""COMPUTED_VALUE"""),7.9)</f>
        <v>7.9</v>
      </c>
      <c r="L1190" s="89">
        <f>IFERROR(__xludf.DUMMYFUNCTION("""COMPUTED_VALUE"""),7.0)</f>
        <v>7</v>
      </c>
      <c r="M1190" s="26" t="str">
        <f>IFERROR(__xludf.DUMMYFUNCTION("""COMPUTED_VALUE"""),"Platformer")</f>
        <v>Platformer</v>
      </c>
      <c r="N1190" s="26"/>
      <c r="O1190" s="26" t="str">
        <f>IFERROR(__xludf.DUMMYFUNCTION("""COMPUTED_VALUE"""),"No")</f>
        <v>No</v>
      </c>
      <c r="P1190" s="26"/>
    </row>
    <row r="1191">
      <c r="A1191" s="81" t="str">
        <f>IFERROR(__xludf.DUMMYFUNCTION("""COMPUTED_VALUE"""),"Extreme Exorcism")</f>
        <v>Extreme Exorcism</v>
      </c>
      <c r="B1191" s="82" t="str">
        <f>IFERROR(__xludf.DUMMYFUNCTION("""COMPUTED_VALUE"""),"PS4/PS3")</f>
        <v>PS4/PS3</v>
      </c>
      <c r="C1191" s="83" t="str">
        <f>IFERROR(__xludf.DUMMYFUNCTION("""COMPUTED_VALUE"""),"Playstation Plus (Discontinued)")</f>
        <v>Playstation Plus (Discontinued)</v>
      </c>
      <c r="D1191" s="82" t="str">
        <f>IFERROR(__xludf.DUMMYFUNCTION("""COMPUTED_VALUE"""),"Removed")</f>
        <v>Removed</v>
      </c>
      <c r="E1191" s="84">
        <f>IFERROR(__xludf.DUMMYFUNCTION("""COMPUTED_VALUE"""),43284.0)</f>
        <v>43284</v>
      </c>
      <c r="F1191" s="85">
        <f>IFERROR(__xludf.DUMMYFUNCTION("""COMPUTED_VALUE"""),43318.0)</f>
        <v>43318</v>
      </c>
      <c r="G1191" s="86">
        <f>IFERROR(__xludf.DUMMYFUNCTION("""COMPUTED_VALUE"""),1.0999999999999999)</f>
        <v>1.1</v>
      </c>
      <c r="H1191" s="84">
        <f>IFERROR(__xludf.DUMMYFUNCTION("""COMPUTED_VALUE"""),42270.0)</f>
        <v>42270</v>
      </c>
      <c r="I1191" s="86">
        <f>IFERROR(__xludf.DUMMYFUNCTION("""COMPUTED_VALUE"""),2.7777777777777777)</f>
        <v>2.777777778</v>
      </c>
      <c r="J1191" s="87">
        <f>IFERROR(__xludf.DUMMYFUNCTION("""COMPUTED_VALUE"""),74.0)</f>
        <v>74</v>
      </c>
      <c r="K1191" s="88">
        <f>IFERROR(__xludf.DUMMYFUNCTION("""COMPUTED_VALUE"""),7.1)</f>
        <v>7.1</v>
      </c>
      <c r="L1191" s="89">
        <f>IFERROR(__xludf.DUMMYFUNCTION("""COMPUTED_VALUE"""),4.0)</f>
        <v>4</v>
      </c>
      <c r="M1191" s="26" t="str">
        <f>IFERROR(__xludf.DUMMYFUNCTION("""COMPUTED_VALUE"""),"Platformer")</f>
        <v>Platformer</v>
      </c>
      <c r="N1191" s="26"/>
      <c r="O1191" s="26" t="str">
        <f>IFERROR(__xludf.DUMMYFUNCTION("""COMPUTED_VALUE"""),"No")</f>
        <v>No</v>
      </c>
      <c r="P1191" s="26"/>
    </row>
    <row r="1192">
      <c r="A1192" s="81" t="str">
        <f>IFERROR(__xludf.DUMMYFUNCTION("""COMPUTED_VALUE"""),"Space Overlords")</f>
        <v>Space Overlords</v>
      </c>
      <c r="B1192" s="82" t="str">
        <f>IFERROR(__xludf.DUMMYFUNCTION("""COMPUTED_VALUE"""),"PS4/Vita")</f>
        <v>PS4/Vita</v>
      </c>
      <c r="C1192" s="83" t="str">
        <f>IFERROR(__xludf.DUMMYFUNCTION("""COMPUTED_VALUE"""),"Playstation Plus (Discontinued)")</f>
        <v>Playstation Plus (Discontinued)</v>
      </c>
      <c r="D1192" s="82" t="str">
        <f>IFERROR(__xludf.DUMMYFUNCTION("""COMPUTED_VALUE"""),"Removed")</f>
        <v>Removed</v>
      </c>
      <c r="E1192" s="84">
        <f>IFERROR(__xludf.DUMMYFUNCTION("""COMPUTED_VALUE"""),43284.0)</f>
        <v>43284</v>
      </c>
      <c r="F1192" s="85">
        <f>IFERROR(__xludf.DUMMYFUNCTION("""COMPUTED_VALUE"""),43318.0)</f>
        <v>43318</v>
      </c>
      <c r="G1192" s="86">
        <f>IFERROR(__xludf.DUMMYFUNCTION("""COMPUTED_VALUE"""),1.0999999999999999)</f>
        <v>1.1</v>
      </c>
      <c r="H1192" s="84">
        <f>IFERROR(__xludf.DUMMYFUNCTION("""COMPUTED_VALUE"""),42444.0)</f>
        <v>42444</v>
      </c>
      <c r="I1192" s="86">
        <f>IFERROR(__xludf.DUMMYFUNCTION("""COMPUTED_VALUE"""),2.3)</f>
        <v>2.3</v>
      </c>
      <c r="J1192" s="87">
        <f>IFERROR(__xludf.DUMMYFUNCTION("""COMPUTED_VALUE"""),42.0)</f>
        <v>42</v>
      </c>
      <c r="K1192" s="88">
        <f>IFERROR(__xludf.DUMMYFUNCTION("""COMPUTED_VALUE"""),5.7)</f>
        <v>5.7</v>
      </c>
      <c r="L1192" s="89">
        <f>IFERROR(__xludf.DUMMYFUNCTION("""COMPUTED_VALUE"""),3.0)</f>
        <v>3</v>
      </c>
      <c r="M1192" s="26" t="str">
        <f>IFERROR(__xludf.DUMMYFUNCTION("""COMPUTED_VALUE"""),"Action-Adventure")</f>
        <v>Action-Adventure</v>
      </c>
      <c r="N1192" s="26"/>
      <c r="O1192" s="26" t="str">
        <f>IFERROR(__xludf.DUMMYFUNCTION("""COMPUTED_VALUE"""),"No")</f>
        <v>No</v>
      </c>
      <c r="P1192" s="26"/>
    </row>
    <row r="1193">
      <c r="A1193" s="81" t="str">
        <f>IFERROR(__xludf.DUMMYFUNCTION("""COMPUTED_VALUE"""),"Zero Escape: Zero Time Dilemma")</f>
        <v>Zero Escape: Zero Time Dilemma</v>
      </c>
      <c r="B1193" s="82" t="str">
        <f>IFERROR(__xludf.DUMMYFUNCTION("""COMPUTED_VALUE"""),"Vita")</f>
        <v>Vita</v>
      </c>
      <c r="C1193" s="83" t="str">
        <f>IFERROR(__xludf.DUMMYFUNCTION("""COMPUTED_VALUE"""),"Playstation Plus (Discontinued)")</f>
        <v>Playstation Plus (Discontinued)</v>
      </c>
      <c r="D1193" s="82" t="str">
        <f>IFERROR(__xludf.DUMMYFUNCTION("""COMPUTED_VALUE"""),"Removed")</f>
        <v>Removed</v>
      </c>
      <c r="E1193" s="84">
        <f>IFERROR(__xludf.DUMMYFUNCTION("""COMPUTED_VALUE"""),43284.0)</f>
        <v>43284</v>
      </c>
      <c r="F1193" s="85">
        <f>IFERROR(__xludf.DUMMYFUNCTION("""COMPUTED_VALUE"""),43318.0)</f>
        <v>43318</v>
      </c>
      <c r="G1193" s="86">
        <f>IFERROR(__xludf.DUMMYFUNCTION("""COMPUTED_VALUE"""),1.0999999999999999)</f>
        <v>1.1</v>
      </c>
      <c r="H1193" s="84">
        <f>IFERROR(__xludf.DUMMYFUNCTION("""COMPUTED_VALUE"""),42549.0)</f>
        <v>42549</v>
      </c>
      <c r="I1193" s="86">
        <f>IFERROR(__xludf.DUMMYFUNCTION("""COMPUTED_VALUE"""),2.013888888888889)</f>
        <v>2.013888889</v>
      </c>
      <c r="J1193" s="87">
        <f>IFERROR(__xludf.DUMMYFUNCTION("""COMPUTED_VALUE"""),83.0)</f>
        <v>83</v>
      </c>
      <c r="K1193" s="88">
        <f>IFERROR(__xludf.DUMMYFUNCTION("""COMPUTED_VALUE"""),8.0)</f>
        <v>8</v>
      </c>
      <c r="L1193" s="89">
        <f>IFERROR(__xludf.DUMMYFUNCTION("""COMPUTED_VALUE"""),20.0)</f>
        <v>20</v>
      </c>
      <c r="M1193" s="26" t="str">
        <f>IFERROR(__xludf.DUMMYFUNCTION("""COMPUTED_VALUE"""),"Adventure")</f>
        <v>Adventure</v>
      </c>
      <c r="N1193" s="26"/>
      <c r="O1193" s="26" t="str">
        <f>IFERROR(__xludf.DUMMYFUNCTION("""COMPUTED_VALUE"""),"No")</f>
        <v>No</v>
      </c>
      <c r="P1193" s="26"/>
    </row>
    <row r="1194">
      <c r="A1194" s="81" t="str">
        <f>IFERROR(__xludf.DUMMYFUNCTION("""COMPUTED_VALUE"""),"Call of Duty: Black Ops III")</f>
        <v>Call of Duty: Black Ops III</v>
      </c>
      <c r="B1194" s="82" t="str">
        <f>IFERROR(__xludf.DUMMYFUNCTION("""COMPUTED_VALUE"""),"PS4")</f>
        <v>PS4</v>
      </c>
      <c r="C1194" s="83" t="str">
        <f>IFERROR(__xludf.DUMMYFUNCTION("""COMPUTED_VALUE"""),"Playstation Plus (Discontinued)")</f>
        <v>Playstation Plus (Discontinued)</v>
      </c>
      <c r="D1194" s="82" t="str">
        <f>IFERROR(__xludf.DUMMYFUNCTION("""COMPUTED_VALUE"""),"Removed")</f>
        <v>Removed</v>
      </c>
      <c r="E1194" s="84">
        <f>IFERROR(__xludf.DUMMYFUNCTION("""COMPUTED_VALUE"""),43262.0)</f>
        <v>43262</v>
      </c>
      <c r="F1194" s="85">
        <f>IFERROR(__xludf.DUMMYFUNCTION("""COMPUTED_VALUE"""),43292.0)</f>
        <v>43292</v>
      </c>
      <c r="G1194" s="86">
        <f>IFERROR(__xludf.DUMMYFUNCTION("""COMPUTED_VALUE"""),1.0)</f>
        <v>1</v>
      </c>
      <c r="H1194" s="84">
        <f>IFERROR(__xludf.DUMMYFUNCTION("""COMPUTED_VALUE"""),42314.0)</f>
        <v>42314</v>
      </c>
      <c r="I1194" s="86">
        <f>IFERROR(__xludf.DUMMYFUNCTION("""COMPUTED_VALUE"""),2.5972222222222223)</f>
        <v>2.597222222</v>
      </c>
      <c r="J1194" s="87">
        <f>IFERROR(__xludf.DUMMYFUNCTION("""COMPUTED_VALUE"""),81.0)</f>
        <v>81</v>
      </c>
      <c r="K1194" s="88">
        <f>IFERROR(__xludf.DUMMYFUNCTION("""COMPUTED_VALUE"""),6.6)</f>
        <v>6.6</v>
      </c>
      <c r="L1194" s="89">
        <f>IFERROR(__xludf.DUMMYFUNCTION("""COMPUTED_VALUE"""),8.0)</f>
        <v>8</v>
      </c>
      <c r="M1194" s="26" t="str">
        <f>IFERROR(__xludf.DUMMYFUNCTION("""COMPUTED_VALUE"""),"Shooter")</f>
        <v>Shooter</v>
      </c>
      <c r="N1194" s="26"/>
      <c r="O1194" s="26" t="str">
        <f>IFERROR(__xludf.DUMMYFUNCTION("""COMPUTED_VALUE"""),"No")</f>
        <v>No</v>
      </c>
      <c r="P1194" s="26"/>
    </row>
    <row r="1195">
      <c r="A1195" s="81" t="str">
        <f>IFERROR(__xludf.DUMMYFUNCTION("""COMPUTED_VALUE"""),"XCOM 2")</f>
        <v>XCOM 2</v>
      </c>
      <c r="B1195" s="82" t="str">
        <f>IFERROR(__xludf.DUMMYFUNCTION("""COMPUTED_VALUE"""),"PS4")</f>
        <v>PS4</v>
      </c>
      <c r="C1195" s="83" t="str">
        <f>IFERROR(__xludf.DUMMYFUNCTION("""COMPUTED_VALUE"""),"Playstation Plus (Discontinued)")</f>
        <v>Playstation Plus (Discontinued)</v>
      </c>
      <c r="D1195" s="82" t="str">
        <f>IFERROR(__xludf.DUMMYFUNCTION("""COMPUTED_VALUE"""),"Removed")</f>
        <v>Removed</v>
      </c>
      <c r="E1195" s="84">
        <f>IFERROR(__xludf.DUMMYFUNCTION("""COMPUTED_VALUE"""),43256.0)</f>
        <v>43256</v>
      </c>
      <c r="F1195" s="85">
        <f>IFERROR(__xludf.DUMMYFUNCTION("""COMPUTED_VALUE"""),43261.0)</f>
        <v>43261</v>
      </c>
      <c r="G1195" s="86">
        <f>IFERROR(__xludf.DUMMYFUNCTION("""COMPUTED_VALUE"""),0.16666666666666666)</f>
        <v>0.1666666667</v>
      </c>
      <c r="H1195" s="84">
        <f>IFERROR(__xludf.DUMMYFUNCTION("""COMPUTED_VALUE"""),42405.0)</f>
        <v>42405</v>
      </c>
      <c r="I1195" s="86">
        <f>IFERROR(__xludf.DUMMYFUNCTION("""COMPUTED_VALUE"""),2.3333333333333335)</f>
        <v>2.333333333</v>
      </c>
      <c r="J1195" s="87">
        <f>IFERROR(__xludf.DUMMYFUNCTION("""COMPUTED_VALUE"""),87.0)</f>
        <v>87</v>
      </c>
      <c r="K1195" s="88">
        <f>IFERROR(__xludf.DUMMYFUNCTION("""COMPUTED_VALUE"""),7.9)</f>
        <v>7.9</v>
      </c>
      <c r="L1195" s="89">
        <f>IFERROR(__xludf.DUMMYFUNCTION("""COMPUTED_VALUE"""),33.0)</f>
        <v>33</v>
      </c>
      <c r="M1195" s="26" t="str">
        <f>IFERROR(__xludf.DUMMYFUNCTION("""COMPUTED_VALUE"""),"Strategy")</f>
        <v>Strategy</v>
      </c>
      <c r="N1195" s="26"/>
      <c r="O1195" s="26" t="str">
        <f>IFERROR(__xludf.DUMMYFUNCTION("""COMPUTED_VALUE"""),"No")</f>
        <v>No</v>
      </c>
      <c r="P1195" s="26"/>
    </row>
    <row r="1196">
      <c r="A1196" s="81" t="str">
        <f>IFERROR(__xludf.DUMMYFUNCTION("""COMPUTED_VALUE"""),"Trials Fusion")</f>
        <v>Trials Fusion</v>
      </c>
      <c r="B1196" s="82" t="str">
        <f>IFERROR(__xludf.DUMMYFUNCTION("""COMPUTED_VALUE"""),"PS4")</f>
        <v>PS4</v>
      </c>
      <c r="C1196" s="83" t="str">
        <f>IFERROR(__xludf.DUMMYFUNCTION("""COMPUTED_VALUE"""),"Playstation Plus (Discontinued)")</f>
        <v>Playstation Plus (Discontinued)</v>
      </c>
      <c r="D1196" s="82" t="str">
        <f>IFERROR(__xludf.DUMMYFUNCTION("""COMPUTED_VALUE"""),"Removed")</f>
        <v>Removed</v>
      </c>
      <c r="E1196" s="84">
        <f>IFERROR(__xludf.DUMMYFUNCTION("""COMPUTED_VALUE"""),43256.0)</f>
        <v>43256</v>
      </c>
      <c r="F1196" s="85">
        <f>IFERROR(__xludf.DUMMYFUNCTION("""COMPUTED_VALUE"""),43261.0)</f>
        <v>43261</v>
      </c>
      <c r="G1196" s="86">
        <f>IFERROR(__xludf.DUMMYFUNCTION("""COMPUTED_VALUE"""),0.16666666666666666)</f>
        <v>0.1666666667</v>
      </c>
      <c r="H1196" s="84">
        <f>IFERROR(__xludf.DUMMYFUNCTION("""COMPUTED_VALUE"""),41745.0)</f>
        <v>41745</v>
      </c>
      <c r="I1196" s="86">
        <f>IFERROR(__xludf.DUMMYFUNCTION("""COMPUTED_VALUE"""),4.136111111111111)</f>
        <v>4.136111111</v>
      </c>
      <c r="J1196" s="87">
        <f>IFERROR(__xludf.DUMMYFUNCTION("""COMPUTED_VALUE"""),79.0)</f>
        <v>79</v>
      </c>
      <c r="K1196" s="88">
        <f>IFERROR(__xludf.DUMMYFUNCTION("""COMPUTED_VALUE"""),7.1)</f>
        <v>7.1</v>
      </c>
      <c r="L1196" s="89">
        <f>IFERROR(__xludf.DUMMYFUNCTION("""COMPUTED_VALUE"""),7.0)</f>
        <v>7</v>
      </c>
      <c r="M1196" s="26" t="str">
        <f>IFERROR(__xludf.DUMMYFUNCTION("""COMPUTED_VALUE"""),"Racing")</f>
        <v>Racing</v>
      </c>
      <c r="N1196" s="26"/>
      <c r="O1196" s="26" t="str">
        <f>IFERROR(__xludf.DUMMYFUNCTION("""COMPUTED_VALUE"""),"No")</f>
        <v>No</v>
      </c>
      <c r="P1196" s="26"/>
    </row>
    <row r="1197">
      <c r="A1197" s="81" t="str">
        <f>IFERROR(__xludf.DUMMYFUNCTION("""COMPUTED_VALUE"""),"Zombie Driver HD")</f>
        <v>Zombie Driver HD</v>
      </c>
      <c r="B1197" s="82" t="str">
        <f>IFERROR(__xludf.DUMMYFUNCTION("""COMPUTED_VALUE"""),"PS3")</f>
        <v>PS3</v>
      </c>
      <c r="C1197" s="83" t="str">
        <f>IFERROR(__xludf.DUMMYFUNCTION("""COMPUTED_VALUE"""),"Playstation Plus (Discontinued)")</f>
        <v>Playstation Plus (Discontinued)</v>
      </c>
      <c r="D1197" s="82" t="str">
        <f>IFERROR(__xludf.DUMMYFUNCTION("""COMPUTED_VALUE"""),"Removed")</f>
        <v>Removed</v>
      </c>
      <c r="E1197" s="84">
        <f>IFERROR(__xludf.DUMMYFUNCTION("""COMPUTED_VALUE"""),43256.0)</f>
        <v>43256</v>
      </c>
      <c r="F1197" s="85">
        <f>IFERROR(__xludf.DUMMYFUNCTION("""COMPUTED_VALUE"""),43261.0)</f>
        <v>43261</v>
      </c>
      <c r="G1197" s="86">
        <f>IFERROR(__xludf.DUMMYFUNCTION("""COMPUTED_VALUE"""),0.16666666666666666)</f>
        <v>0.1666666667</v>
      </c>
      <c r="H1197" s="84">
        <f>IFERROR(__xludf.DUMMYFUNCTION("""COMPUTED_VALUE"""),41199.0)</f>
        <v>41199</v>
      </c>
      <c r="I1197" s="86">
        <f>IFERROR(__xludf.DUMMYFUNCTION("""COMPUTED_VALUE"""),5.633333333333334)</f>
        <v>5.633333333</v>
      </c>
      <c r="J1197" s="87">
        <f>IFERROR(__xludf.DUMMYFUNCTION("""COMPUTED_VALUE"""),70.0)</f>
        <v>70</v>
      </c>
      <c r="K1197" s="88">
        <f>IFERROR(__xludf.DUMMYFUNCTION("""COMPUTED_VALUE"""),7.5)</f>
        <v>7.5</v>
      </c>
      <c r="L1197" s="89">
        <f>IFERROR(__xludf.DUMMYFUNCTION("""COMPUTED_VALUE"""),4.0)</f>
        <v>4</v>
      </c>
      <c r="M1197" s="26" t="str">
        <f>IFERROR(__xludf.DUMMYFUNCTION("""COMPUTED_VALUE"""),"Racing")</f>
        <v>Racing</v>
      </c>
      <c r="N1197" s="26"/>
      <c r="O1197" s="26" t="str">
        <f>IFERROR(__xludf.DUMMYFUNCTION("""COMPUTED_VALUE"""),"No")</f>
        <v>No</v>
      </c>
      <c r="P1197" s="26"/>
    </row>
    <row r="1198">
      <c r="A1198" s="81" t="str">
        <f>IFERROR(__xludf.DUMMYFUNCTION("""COMPUTED_VALUE"""),"Tom Clancy’s Ghost Recon: Future Soldier")</f>
        <v>Tom Clancy’s Ghost Recon: Future Soldier</v>
      </c>
      <c r="B1198" s="82" t="str">
        <f>IFERROR(__xludf.DUMMYFUNCTION("""COMPUTED_VALUE"""),"PS3")</f>
        <v>PS3</v>
      </c>
      <c r="C1198" s="83" t="str">
        <f>IFERROR(__xludf.DUMMYFUNCTION("""COMPUTED_VALUE"""),"Playstation Plus (Discontinued)")</f>
        <v>Playstation Plus (Discontinued)</v>
      </c>
      <c r="D1198" s="82" t="str">
        <f>IFERROR(__xludf.DUMMYFUNCTION("""COMPUTED_VALUE"""),"Removed")</f>
        <v>Removed</v>
      </c>
      <c r="E1198" s="84">
        <f>IFERROR(__xludf.DUMMYFUNCTION("""COMPUTED_VALUE"""),43256.0)</f>
        <v>43256</v>
      </c>
      <c r="F1198" s="85">
        <f>IFERROR(__xludf.DUMMYFUNCTION("""COMPUTED_VALUE"""),43261.0)</f>
        <v>43261</v>
      </c>
      <c r="G1198" s="86">
        <f>IFERROR(__xludf.DUMMYFUNCTION("""COMPUTED_VALUE"""),0.16666666666666666)</f>
        <v>0.1666666667</v>
      </c>
      <c r="H1198" s="84">
        <f>IFERROR(__xludf.DUMMYFUNCTION("""COMPUTED_VALUE"""),41051.0)</f>
        <v>41051</v>
      </c>
      <c r="I1198" s="86">
        <f>IFERROR(__xludf.DUMMYFUNCTION("""COMPUTED_VALUE"""),6.036111111111111)</f>
        <v>6.036111111</v>
      </c>
      <c r="J1198" s="87">
        <f>IFERROR(__xludf.DUMMYFUNCTION("""COMPUTED_VALUE"""),79.0)</f>
        <v>79</v>
      </c>
      <c r="K1198" s="88">
        <f>IFERROR(__xludf.DUMMYFUNCTION("""COMPUTED_VALUE"""),7.6)</f>
        <v>7.6</v>
      </c>
      <c r="L1198" s="89">
        <f>IFERROR(__xludf.DUMMYFUNCTION("""COMPUTED_VALUE"""),10.0)</f>
        <v>10</v>
      </c>
      <c r="M1198" s="26" t="str">
        <f>IFERROR(__xludf.DUMMYFUNCTION("""COMPUTED_VALUE"""),"Shooter")</f>
        <v>Shooter</v>
      </c>
      <c r="N1198" s="26"/>
      <c r="O1198" s="26" t="str">
        <f>IFERROR(__xludf.DUMMYFUNCTION("""COMPUTED_VALUE"""),"No")</f>
        <v>No</v>
      </c>
      <c r="P1198" s="26"/>
    </row>
    <row r="1199">
      <c r="A1199" s="81" t="str">
        <f>IFERROR(__xludf.DUMMYFUNCTION("""COMPUTED_VALUE"""),"Atomic Ninjas")</f>
        <v>Atomic Ninjas</v>
      </c>
      <c r="B1199" s="82" t="str">
        <f>IFERROR(__xludf.DUMMYFUNCTION("""COMPUTED_VALUE"""),"Vita")</f>
        <v>Vita</v>
      </c>
      <c r="C1199" s="83" t="str">
        <f>IFERROR(__xludf.DUMMYFUNCTION("""COMPUTED_VALUE"""),"Playstation Plus (Discontinued)")</f>
        <v>Playstation Plus (Discontinued)</v>
      </c>
      <c r="D1199" s="82" t="str">
        <f>IFERROR(__xludf.DUMMYFUNCTION("""COMPUTED_VALUE"""),"Removed")</f>
        <v>Removed</v>
      </c>
      <c r="E1199" s="84">
        <f>IFERROR(__xludf.DUMMYFUNCTION("""COMPUTED_VALUE"""),43256.0)</f>
        <v>43256</v>
      </c>
      <c r="F1199" s="85">
        <f>IFERROR(__xludf.DUMMYFUNCTION("""COMPUTED_VALUE"""),43261.0)</f>
        <v>43261</v>
      </c>
      <c r="G1199" s="86">
        <f>IFERROR(__xludf.DUMMYFUNCTION("""COMPUTED_VALUE"""),0.16666666666666666)</f>
        <v>0.1666666667</v>
      </c>
      <c r="H1199" s="84">
        <f>IFERROR(__xludf.DUMMYFUNCTION("""COMPUTED_VALUE"""),41555.0)</f>
        <v>41555</v>
      </c>
      <c r="I1199" s="86">
        <f>IFERROR(__xludf.DUMMYFUNCTION("""COMPUTED_VALUE"""),4.658333333333333)</f>
        <v>4.658333333</v>
      </c>
      <c r="J1199" s="87">
        <f>IFERROR(__xludf.DUMMYFUNCTION("""COMPUTED_VALUE"""),58.0)</f>
        <v>58</v>
      </c>
      <c r="K1199" s="88">
        <f>IFERROR(__xludf.DUMMYFUNCTION("""COMPUTED_VALUE"""),5.7)</f>
        <v>5.7</v>
      </c>
      <c r="L1199" s="89"/>
      <c r="M1199" s="26" t="str">
        <f>IFERROR(__xludf.DUMMYFUNCTION("""COMPUTED_VALUE"""),"Platformer")</f>
        <v>Platformer</v>
      </c>
      <c r="N1199" s="26"/>
      <c r="O1199" s="26" t="str">
        <f>IFERROR(__xludf.DUMMYFUNCTION("""COMPUTED_VALUE"""),"No")</f>
        <v>No</v>
      </c>
      <c r="P1199" s="26"/>
    </row>
    <row r="1200">
      <c r="A1200" s="81" t="str">
        <f>IFERROR(__xludf.DUMMYFUNCTION("""COMPUTED_VALUE"""),"Squares")</f>
        <v>Squares</v>
      </c>
      <c r="B1200" s="82" t="str">
        <f>IFERROR(__xludf.DUMMYFUNCTION("""COMPUTED_VALUE"""),"Vita")</f>
        <v>Vita</v>
      </c>
      <c r="C1200" s="83" t="str">
        <f>IFERROR(__xludf.DUMMYFUNCTION("""COMPUTED_VALUE"""),"Playstation Plus (Discontinued)")</f>
        <v>Playstation Plus (Discontinued)</v>
      </c>
      <c r="D1200" s="82" t="str">
        <f>IFERROR(__xludf.DUMMYFUNCTION("""COMPUTED_VALUE"""),"Removed")</f>
        <v>Removed</v>
      </c>
      <c r="E1200" s="84">
        <f>IFERROR(__xludf.DUMMYFUNCTION("""COMPUTED_VALUE"""),43256.0)</f>
        <v>43256</v>
      </c>
      <c r="F1200" s="85">
        <f>IFERROR(__xludf.DUMMYFUNCTION("""COMPUTED_VALUE"""),43261.0)</f>
        <v>43261</v>
      </c>
      <c r="G1200" s="86">
        <f>IFERROR(__xludf.DUMMYFUNCTION("""COMPUTED_VALUE"""),0.16666666666666666)</f>
        <v>0.1666666667</v>
      </c>
      <c r="H1200" s="84">
        <f>IFERROR(__xludf.DUMMYFUNCTION("""COMPUTED_VALUE"""),41334.0)</f>
        <v>41334</v>
      </c>
      <c r="I1200" s="86">
        <f>IFERROR(__xludf.DUMMYFUNCTION("""COMPUTED_VALUE"""),5.261111111111111)</f>
        <v>5.261111111</v>
      </c>
      <c r="J1200" s="87">
        <f>IFERROR(__xludf.DUMMYFUNCTION("""COMPUTED_VALUE"""),67.0)</f>
        <v>67</v>
      </c>
      <c r="K1200" s="88"/>
      <c r="L1200" s="89">
        <f>IFERROR(__xludf.DUMMYFUNCTION("""COMPUTED_VALUE"""),2.0)</f>
        <v>2</v>
      </c>
      <c r="M1200" s="26" t="str">
        <f>IFERROR(__xludf.DUMMYFUNCTION("""COMPUTED_VALUE"""),"Puzzle")</f>
        <v>Puzzle</v>
      </c>
      <c r="N1200" s="26"/>
      <c r="O1200" s="26" t="str">
        <f>IFERROR(__xludf.DUMMYFUNCTION("""COMPUTED_VALUE"""),"No")</f>
        <v>No</v>
      </c>
      <c r="P1200" s="26"/>
    </row>
    <row r="1201">
      <c r="A1201" s="81" t="str">
        <f>IFERROR(__xludf.DUMMYFUNCTION("""COMPUTED_VALUE"""),"Beyond: Two Souls")</f>
        <v>Beyond: Two Souls</v>
      </c>
      <c r="B1201" s="82" t="str">
        <f>IFERROR(__xludf.DUMMYFUNCTION("""COMPUTED_VALUE"""),"PS4")</f>
        <v>PS4</v>
      </c>
      <c r="C1201" s="83" t="str">
        <f>IFERROR(__xludf.DUMMYFUNCTION("""COMPUTED_VALUE"""),"Playstation Plus (Discontinued)")</f>
        <v>Playstation Plus (Discontinued)</v>
      </c>
      <c r="D1201" s="82" t="str">
        <f>IFERROR(__xludf.DUMMYFUNCTION("""COMPUTED_VALUE"""),"Removed")</f>
        <v>Removed</v>
      </c>
      <c r="E1201" s="84">
        <f>IFERROR(__xludf.DUMMYFUNCTION("""COMPUTED_VALUE"""),43221.0)</f>
        <v>43221</v>
      </c>
      <c r="F1201" s="85">
        <f>IFERROR(__xludf.DUMMYFUNCTION("""COMPUTED_VALUE"""),43255.0)</f>
        <v>43255</v>
      </c>
      <c r="G1201" s="86">
        <f>IFERROR(__xludf.DUMMYFUNCTION("""COMPUTED_VALUE"""),1.0999999999999999)</f>
        <v>1.1</v>
      </c>
      <c r="H1201" s="84">
        <f>IFERROR(__xludf.DUMMYFUNCTION("""COMPUTED_VALUE"""),41555.0)</f>
        <v>41555</v>
      </c>
      <c r="I1201" s="86">
        <f>IFERROR(__xludf.DUMMYFUNCTION("""COMPUTED_VALUE"""),4.563888888888889)</f>
        <v>4.563888889</v>
      </c>
      <c r="J1201" s="87">
        <f>IFERROR(__xludf.DUMMYFUNCTION("""COMPUTED_VALUE"""),72.0)</f>
        <v>72</v>
      </c>
      <c r="K1201" s="88">
        <f>IFERROR(__xludf.DUMMYFUNCTION("""COMPUTED_VALUE"""),7.2)</f>
        <v>7.2</v>
      </c>
      <c r="L1201" s="89">
        <f>IFERROR(__xludf.DUMMYFUNCTION("""COMPUTED_VALUE"""),10.0)</f>
        <v>10</v>
      </c>
      <c r="M1201" s="26" t="str">
        <f>IFERROR(__xludf.DUMMYFUNCTION("""COMPUTED_VALUE"""),"Action-Adventure")</f>
        <v>Action-Adventure</v>
      </c>
      <c r="N1201" s="26"/>
      <c r="O1201" s="26" t="str">
        <f>IFERROR(__xludf.DUMMYFUNCTION("""COMPUTED_VALUE"""),"No")</f>
        <v>No</v>
      </c>
      <c r="P1201" s="26"/>
    </row>
    <row r="1202">
      <c r="A1202" s="81" t="str">
        <f>IFERROR(__xludf.DUMMYFUNCTION("""COMPUTED_VALUE"""),"Rayman Legends")</f>
        <v>Rayman Legends</v>
      </c>
      <c r="B1202" s="82" t="str">
        <f>IFERROR(__xludf.DUMMYFUNCTION("""COMPUTED_VALUE"""),"PS4")</f>
        <v>PS4</v>
      </c>
      <c r="C1202" s="83" t="str">
        <f>IFERROR(__xludf.DUMMYFUNCTION("""COMPUTED_VALUE"""),"Playstation Plus (Discontinued)")</f>
        <v>Playstation Plus (Discontinued)</v>
      </c>
      <c r="D1202" s="82" t="str">
        <f>IFERROR(__xludf.DUMMYFUNCTION("""COMPUTED_VALUE"""),"Removed")</f>
        <v>Removed</v>
      </c>
      <c r="E1202" s="84">
        <f>IFERROR(__xludf.DUMMYFUNCTION("""COMPUTED_VALUE"""),43221.0)</f>
        <v>43221</v>
      </c>
      <c r="F1202" s="85">
        <f>IFERROR(__xludf.DUMMYFUNCTION("""COMPUTED_VALUE"""),43255.0)</f>
        <v>43255</v>
      </c>
      <c r="G1202" s="86">
        <f>IFERROR(__xludf.DUMMYFUNCTION("""COMPUTED_VALUE"""),1.0999999999999999)</f>
        <v>1.1</v>
      </c>
      <c r="H1202" s="84">
        <f>IFERROR(__xludf.DUMMYFUNCTION("""COMPUTED_VALUE"""),41513.0)</f>
        <v>41513</v>
      </c>
      <c r="I1202" s="86">
        <f>IFERROR(__xludf.DUMMYFUNCTION("""COMPUTED_VALUE"""),4.677777777777778)</f>
        <v>4.677777778</v>
      </c>
      <c r="J1202" s="87">
        <f>IFERROR(__xludf.DUMMYFUNCTION("""COMPUTED_VALUE"""),90.0)</f>
        <v>90</v>
      </c>
      <c r="K1202" s="88">
        <f>IFERROR(__xludf.DUMMYFUNCTION("""COMPUTED_VALUE"""),8.0)</f>
        <v>8</v>
      </c>
      <c r="L1202" s="89">
        <f>IFERROR(__xludf.DUMMYFUNCTION("""COMPUTED_VALUE"""),12.0)</f>
        <v>12</v>
      </c>
      <c r="M1202" s="26" t="str">
        <f>IFERROR(__xludf.DUMMYFUNCTION("""COMPUTED_VALUE"""),"Platformer")</f>
        <v>Platformer</v>
      </c>
      <c r="N1202" s="26"/>
      <c r="O1202" s="26" t="str">
        <f>IFERROR(__xludf.DUMMYFUNCTION("""COMPUTED_VALUE"""),"No")</f>
        <v>No</v>
      </c>
      <c r="P1202" s="26"/>
    </row>
    <row r="1203">
      <c r="A1203" s="81" t="str">
        <f>IFERROR(__xludf.DUMMYFUNCTION("""COMPUTED_VALUE"""),"Risen 3: Titan Lords")</f>
        <v>Risen 3: Titan Lords</v>
      </c>
      <c r="B1203" s="82" t="str">
        <f>IFERROR(__xludf.DUMMYFUNCTION("""COMPUTED_VALUE"""),"PS3")</f>
        <v>PS3</v>
      </c>
      <c r="C1203" s="83" t="str">
        <f>IFERROR(__xludf.DUMMYFUNCTION("""COMPUTED_VALUE"""),"Playstation Plus (Discontinued)")</f>
        <v>Playstation Plus (Discontinued)</v>
      </c>
      <c r="D1203" s="82" t="str">
        <f>IFERROR(__xludf.DUMMYFUNCTION("""COMPUTED_VALUE"""),"Removed")</f>
        <v>Removed</v>
      </c>
      <c r="E1203" s="84">
        <f>IFERROR(__xludf.DUMMYFUNCTION("""COMPUTED_VALUE"""),43221.0)</f>
        <v>43221</v>
      </c>
      <c r="F1203" s="85">
        <f>IFERROR(__xludf.DUMMYFUNCTION("""COMPUTED_VALUE"""),43255.0)</f>
        <v>43255</v>
      </c>
      <c r="G1203" s="86">
        <f>IFERROR(__xludf.DUMMYFUNCTION("""COMPUTED_VALUE"""),1.0999999999999999)</f>
        <v>1.1</v>
      </c>
      <c r="H1203" s="84">
        <f>IFERROR(__xludf.DUMMYFUNCTION("""COMPUTED_VALUE"""),41863.0)</f>
        <v>41863</v>
      </c>
      <c r="I1203" s="86">
        <f>IFERROR(__xludf.DUMMYFUNCTION("""COMPUTED_VALUE"""),3.7194444444444446)</f>
        <v>3.719444444</v>
      </c>
      <c r="J1203" s="87">
        <f>IFERROR(__xludf.DUMMYFUNCTION("""COMPUTED_VALUE"""),51.0)</f>
        <v>51</v>
      </c>
      <c r="K1203" s="88">
        <f>IFERROR(__xludf.DUMMYFUNCTION("""COMPUTED_VALUE"""),6.9)</f>
        <v>6.9</v>
      </c>
      <c r="L1203" s="89">
        <f>IFERROR(__xludf.DUMMYFUNCTION("""COMPUTED_VALUE"""),36.0)</f>
        <v>36</v>
      </c>
      <c r="M1203" s="26" t="str">
        <f>IFERROR(__xludf.DUMMYFUNCTION("""COMPUTED_VALUE"""),"RPG")</f>
        <v>RPG</v>
      </c>
      <c r="N1203" s="26"/>
      <c r="O1203" s="26" t="str">
        <f>IFERROR(__xludf.DUMMYFUNCTION("""COMPUTED_VALUE"""),"No")</f>
        <v>No</v>
      </c>
      <c r="P1203" s="26"/>
    </row>
    <row r="1204">
      <c r="A1204" s="81" t="str">
        <f>IFERROR(__xludf.DUMMYFUNCTION("""COMPUTED_VALUE"""),"Eat Them")</f>
        <v>Eat Them</v>
      </c>
      <c r="B1204" s="82" t="str">
        <f>IFERROR(__xludf.DUMMYFUNCTION("""COMPUTED_VALUE"""),"PS3")</f>
        <v>PS3</v>
      </c>
      <c r="C1204" s="83" t="str">
        <f>IFERROR(__xludf.DUMMYFUNCTION("""COMPUTED_VALUE"""),"Playstation Plus (Discontinued)")</f>
        <v>Playstation Plus (Discontinued)</v>
      </c>
      <c r="D1204" s="82" t="str">
        <f>IFERROR(__xludf.DUMMYFUNCTION("""COMPUTED_VALUE"""),"Removed")</f>
        <v>Removed</v>
      </c>
      <c r="E1204" s="84">
        <f>IFERROR(__xludf.DUMMYFUNCTION("""COMPUTED_VALUE"""),43221.0)</f>
        <v>43221</v>
      </c>
      <c r="F1204" s="85">
        <f>IFERROR(__xludf.DUMMYFUNCTION("""COMPUTED_VALUE"""),43255.0)</f>
        <v>43255</v>
      </c>
      <c r="G1204" s="86">
        <f>IFERROR(__xludf.DUMMYFUNCTION("""COMPUTED_VALUE"""),1.0999999999999999)</f>
        <v>1.1</v>
      </c>
      <c r="H1204" s="84">
        <f>IFERROR(__xludf.DUMMYFUNCTION("""COMPUTED_VALUE"""),40533.0)</f>
        <v>40533</v>
      </c>
      <c r="I1204" s="86">
        <f>IFERROR(__xludf.DUMMYFUNCTION("""COMPUTED_VALUE"""),7.361111111111111)</f>
        <v>7.361111111</v>
      </c>
      <c r="J1204" s="87">
        <f>IFERROR(__xludf.DUMMYFUNCTION("""COMPUTED_VALUE"""),65.0)</f>
        <v>65</v>
      </c>
      <c r="K1204" s="88">
        <f>IFERROR(__xludf.DUMMYFUNCTION("""COMPUTED_VALUE"""),7.2)</f>
        <v>7.2</v>
      </c>
      <c r="L1204" s="89">
        <f>IFERROR(__xludf.DUMMYFUNCTION("""COMPUTED_VALUE"""),6.0)</f>
        <v>6</v>
      </c>
      <c r="M1204" s="26" t="str">
        <f>IFERROR(__xludf.DUMMYFUNCTION("""COMPUTED_VALUE"""),"Action-Adventure")</f>
        <v>Action-Adventure</v>
      </c>
      <c r="N1204" s="26"/>
      <c r="O1204" s="26" t="str">
        <f>IFERROR(__xludf.DUMMYFUNCTION("""COMPUTED_VALUE"""),"No")</f>
        <v>No</v>
      </c>
      <c r="P1204" s="26"/>
    </row>
    <row r="1205">
      <c r="A1205" s="81" t="str">
        <f>IFERROR(__xludf.DUMMYFUNCTION("""COMPUTED_VALUE"""),"King Oddball")</f>
        <v>King Oddball</v>
      </c>
      <c r="B1205" s="82" t="str">
        <f>IFERROR(__xludf.DUMMYFUNCTION("""COMPUTED_VALUE"""),"Vita")</f>
        <v>Vita</v>
      </c>
      <c r="C1205" s="83" t="str">
        <f>IFERROR(__xludf.DUMMYFUNCTION("""COMPUTED_VALUE"""),"Playstation Plus (Discontinued)")</f>
        <v>Playstation Plus (Discontinued)</v>
      </c>
      <c r="D1205" s="82" t="str">
        <f>IFERROR(__xludf.DUMMYFUNCTION("""COMPUTED_VALUE"""),"Removed")</f>
        <v>Removed</v>
      </c>
      <c r="E1205" s="84">
        <f>IFERROR(__xludf.DUMMYFUNCTION("""COMPUTED_VALUE"""),43221.0)</f>
        <v>43221</v>
      </c>
      <c r="F1205" s="85">
        <f>IFERROR(__xludf.DUMMYFUNCTION("""COMPUTED_VALUE"""),43255.0)</f>
        <v>43255</v>
      </c>
      <c r="G1205" s="86">
        <f>IFERROR(__xludf.DUMMYFUNCTION("""COMPUTED_VALUE"""),1.0999999999999999)</f>
        <v>1.1</v>
      </c>
      <c r="H1205" s="84">
        <f>IFERROR(__xludf.DUMMYFUNCTION("""COMPUTED_VALUE"""),41648.0)</f>
        <v>41648</v>
      </c>
      <c r="I1205" s="86">
        <f>IFERROR(__xludf.DUMMYFUNCTION("""COMPUTED_VALUE"""),4.311111111111111)</f>
        <v>4.311111111</v>
      </c>
      <c r="J1205" s="87">
        <f>IFERROR(__xludf.DUMMYFUNCTION("""COMPUTED_VALUE"""),66.0)</f>
        <v>66</v>
      </c>
      <c r="K1205" s="88">
        <f>IFERROR(__xludf.DUMMYFUNCTION("""COMPUTED_VALUE"""),7.1)</f>
        <v>7.1</v>
      </c>
      <c r="L1205" s="89">
        <f>IFERROR(__xludf.DUMMYFUNCTION("""COMPUTED_VALUE"""),3.0)</f>
        <v>3</v>
      </c>
      <c r="M1205" s="26" t="str">
        <f>IFERROR(__xludf.DUMMYFUNCTION("""COMPUTED_VALUE"""),"Puzzle")</f>
        <v>Puzzle</v>
      </c>
      <c r="N1205" s="26"/>
      <c r="O1205" s="26" t="str">
        <f>IFERROR(__xludf.DUMMYFUNCTION("""COMPUTED_VALUE"""),"No")</f>
        <v>No</v>
      </c>
      <c r="P1205" s="26"/>
    </row>
    <row r="1206">
      <c r="A1206" s="81" t="str">
        <f>IFERROR(__xludf.DUMMYFUNCTION("""COMPUTED_VALUE"""),"Furmins")</f>
        <v>Furmins</v>
      </c>
      <c r="B1206" s="82" t="str">
        <f>IFERROR(__xludf.DUMMYFUNCTION("""COMPUTED_VALUE"""),"Vita")</f>
        <v>Vita</v>
      </c>
      <c r="C1206" s="83" t="str">
        <f>IFERROR(__xludf.DUMMYFUNCTION("""COMPUTED_VALUE"""),"Playstation Plus (Discontinued)")</f>
        <v>Playstation Plus (Discontinued)</v>
      </c>
      <c r="D1206" s="82" t="str">
        <f>IFERROR(__xludf.DUMMYFUNCTION("""COMPUTED_VALUE"""),"Removed")</f>
        <v>Removed</v>
      </c>
      <c r="E1206" s="84">
        <f>IFERROR(__xludf.DUMMYFUNCTION("""COMPUTED_VALUE"""),43221.0)</f>
        <v>43221</v>
      </c>
      <c r="F1206" s="85">
        <f>IFERROR(__xludf.DUMMYFUNCTION("""COMPUTED_VALUE"""),43255.0)</f>
        <v>43255</v>
      </c>
      <c r="G1206" s="86">
        <f>IFERROR(__xludf.DUMMYFUNCTION("""COMPUTED_VALUE"""),1.0999999999999999)</f>
        <v>1.1</v>
      </c>
      <c r="H1206" s="84">
        <f>IFERROR(__xludf.DUMMYFUNCTION("""COMPUTED_VALUE"""),41569.0)</f>
        <v>41569</v>
      </c>
      <c r="I1206" s="86">
        <f>IFERROR(__xludf.DUMMYFUNCTION("""COMPUTED_VALUE"""),4.525)</f>
        <v>4.525</v>
      </c>
      <c r="J1206" s="87">
        <f>IFERROR(__xludf.DUMMYFUNCTION("""COMPUTED_VALUE"""),69.0)</f>
        <v>69</v>
      </c>
      <c r="K1206" s="88">
        <f>IFERROR(__xludf.DUMMYFUNCTION("""COMPUTED_VALUE"""),6.7)</f>
        <v>6.7</v>
      </c>
      <c r="L1206" s="89">
        <f>IFERROR(__xludf.DUMMYFUNCTION("""COMPUTED_VALUE"""),4.0)</f>
        <v>4</v>
      </c>
      <c r="M1206" s="26" t="str">
        <f>IFERROR(__xludf.DUMMYFUNCTION("""COMPUTED_VALUE"""),"Puzzle")</f>
        <v>Puzzle</v>
      </c>
      <c r="N1206" s="26"/>
      <c r="O1206" s="26" t="str">
        <f>IFERROR(__xludf.DUMMYFUNCTION("""COMPUTED_VALUE"""),"No")</f>
        <v>No</v>
      </c>
      <c r="P1206" s="26"/>
    </row>
    <row r="1207">
      <c r="A1207" s="81" t="str">
        <f>IFERROR(__xludf.DUMMYFUNCTION("""COMPUTED_VALUE"""),"Mad Max")</f>
        <v>Mad Max</v>
      </c>
      <c r="B1207" s="82" t="str">
        <f>IFERROR(__xludf.DUMMYFUNCTION("""COMPUTED_VALUE"""),"PS4")</f>
        <v>PS4</v>
      </c>
      <c r="C1207" s="83" t="str">
        <f>IFERROR(__xludf.DUMMYFUNCTION("""COMPUTED_VALUE"""),"Playstation Plus (Discontinued)")</f>
        <v>Playstation Plus (Discontinued)</v>
      </c>
      <c r="D1207" s="82" t="str">
        <f>IFERROR(__xludf.DUMMYFUNCTION("""COMPUTED_VALUE"""),"Removed")</f>
        <v>Removed</v>
      </c>
      <c r="E1207" s="84">
        <f>IFERROR(__xludf.DUMMYFUNCTION("""COMPUTED_VALUE"""),43193.0)</f>
        <v>43193</v>
      </c>
      <c r="F1207" s="85">
        <f>IFERROR(__xludf.DUMMYFUNCTION("""COMPUTED_VALUE"""),43220.0)</f>
        <v>43220</v>
      </c>
      <c r="G1207" s="86">
        <f>IFERROR(__xludf.DUMMYFUNCTION("""COMPUTED_VALUE"""),0.8999999999999999)</f>
        <v>0.9</v>
      </c>
      <c r="H1207" s="84">
        <f>IFERROR(__xludf.DUMMYFUNCTION("""COMPUTED_VALUE"""),42248.0)</f>
        <v>42248</v>
      </c>
      <c r="I1207" s="86">
        <f>IFERROR(__xludf.DUMMYFUNCTION("""COMPUTED_VALUE"""),2.588888888888889)</f>
        <v>2.588888889</v>
      </c>
      <c r="J1207" s="87">
        <f>IFERROR(__xludf.DUMMYFUNCTION("""COMPUTED_VALUE"""),69.0)</f>
        <v>69</v>
      </c>
      <c r="K1207" s="88">
        <f>IFERROR(__xludf.DUMMYFUNCTION("""COMPUTED_VALUE"""),7.6)</f>
        <v>7.6</v>
      </c>
      <c r="L1207" s="89">
        <f>IFERROR(__xludf.DUMMYFUNCTION("""COMPUTED_VALUE"""),20.0)</f>
        <v>20</v>
      </c>
      <c r="M1207" s="26" t="str">
        <f>IFERROR(__xludf.DUMMYFUNCTION("""COMPUTED_VALUE"""),"Action-Adventure")</f>
        <v>Action-Adventure</v>
      </c>
      <c r="N1207" s="26"/>
      <c r="O1207" s="26" t="str">
        <f>IFERROR(__xludf.DUMMYFUNCTION("""COMPUTED_VALUE"""),"No")</f>
        <v>No</v>
      </c>
      <c r="P1207" s="26"/>
    </row>
    <row r="1208">
      <c r="A1208" s="81" t="str">
        <f>IFERROR(__xludf.DUMMYFUNCTION("""COMPUTED_VALUE"""),"Trackmania Turbo")</f>
        <v>Trackmania Turbo</v>
      </c>
      <c r="B1208" s="82" t="str">
        <f>IFERROR(__xludf.DUMMYFUNCTION("""COMPUTED_VALUE"""),"PS4")</f>
        <v>PS4</v>
      </c>
      <c r="C1208" s="83" t="str">
        <f>IFERROR(__xludf.DUMMYFUNCTION("""COMPUTED_VALUE"""),"Playstation Plus (Discontinued)")</f>
        <v>Playstation Plus (Discontinued)</v>
      </c>
      <c r="D1208" s="82" t="str">
        <f>IFERROR(__xludf.DUMMYFUNCTION("""COMPUTED_VALUE"""),"Removed")</f>
        <v>Removed</v>
      </c>
      <c r="E1208" s="84">
        <f>IFERROR(__xludf.DUMMYFUNCTION("""COMPUTED_VALUE"""),43193.0)</f>
        <v>43193</v>
      </c>
      <c r="F1208" s="85">
        <f>IFERROR(__xludf.DUMMYFUNCTION("""COMPUTED_VALUE"""),43220.0)</f>
        <v>43220</v>
      </c>
      <c r="G1208" s="86">
        <f>IFERROR(__xludf.DUMMYFUNCTION("""COMPUTED_VALUE"""),0.8999999999999999)</f>
        <v>0.9</v>
      </c>
      <c r="H1208" s="84">
        <f>IFERROR(__xludf.DUMMYFUNCTION("""COMPUTED_VALUE"""),42451.0)</f>
        <v>42451</v>
      </c>
      <c r="I1208" s="86">
        <f>IFERROR(__xludf.DUMMYFUNCTION("""COMPUTED_VALUE"""),2.0305555555555554)</f>
        <v>2.030555556</v>
      </c>
      <c r="J1208" s="87">
        <f>IFERROR(__xludf.DUMMYFUNCTION("""COMPUTED_VALUE"""),81.0)</f>
        <v>81</v>
      </c>
      <c r="K1208" s="88">
        <f>IFERROR(__xludf.DUMMYFUNCTION("""COMPUTED_VALUE"""),7.5)</f>
        <v>7.5</v>
      </c>
      <c r="L1208" s="89">
        <f>IFERROR(__xludf.DUMMYFUNCTION("""COMPUTED_VALUE"""),14.0)</f>
        <v>14</v>
      </c>
      <c r="M1208" s="26" t="str">
        <f>IFERROR(__xludf.DUMMYFUNCTION("""COMPUTED_VALUE"""),"Racing")</f>
        <v>Racing</v>
      </c>
      <c r="N1208" s="26"/>
      <c r="O1208" s="26" t="str">
        <f>IFERROR(__xludf.DUMMYFUNCTION("""COMPUTED_VALUE"""),"No")</f>
        <v>No</v>
      </c>
      <c r="P1208" s="26"/>
    </row>
    <row r="1209">
      <c r="A1209" s="81" t="str">
        <f>IFERROR(__xludf.DUMMYFUNCTION("""COMPUTED_VALUE"""),"In Space We Brawl")</f>
        <v>In Space We Brawl</v>
      </c>
      <c r="B1209" s="82" t="str">
        <f>IFERROR(__xludf.DUMMYFUNCTION("""COMPUTED_VALUE"""),"PS4/PS3")</f>
        <v>PS4/PS3</v>
      </c>
      <c r="C1209" s="83" t="str">
        <f>IFERROR(__xludf.DUMMYFUNCTION("""COMPUTED_VALUE"""),"Playstation Plus (Discontinued)")</f>
        <v>Playstation Plus (Discontinued)</v>
      </c>
      <c r="D1209" s="82" t="str">
        <f>IFERROR(__xludf.DUMMYFUNCTION("""COMPUTED_VALUE"""),"Removed")</f>
        <v>Removed</v>
      </c>
      <c r="E1209" s="84">
        <f>IFERROR(__xludf.DUMMYFUNCTION("""COMPUTED_VALUE"""),43193.0)</f>
        <v>43193</v>
      </c>
      <c r="F1209" s="85">
        <f>IFERROR(__xludf.DUMMYFUNCTION("""COMPUTED_VALUE"""),43220.0)</f>
        <v>43220</v>
      </c>
      <c r="G1209" s="86">
        <f>IFERROR(__xludf.DUMMYFUNCTION("""COMPUTED_VALUE"""),0.8999999999999999)</f>
        <v>0.9</v>
      </c>
      <c r="H1209" s="84">
        <f>IFERROR(__xludf.DUMMYFUNCTION("""COMPUTED_VALUE"""),41926.0)</f>
        <v>41926</v>
      </c>
      <c r="I1209" s="86">
        <f>IFERROR(__xludf.DUMMYFUNCTION("""COMPUTED_VALUE"""),3.4694444444444446)</f>
        <v>3.469444444</v>
      </c>
      <c r="J1209" s="87">
        <f>IFERROR(__xludf.DUMMYFUNCTION("""COMPUTED_VALUE"""),65.0)</f>
        <v>65</v>
      </c>
      <c r="K1209" s="88">
        <f>IFERROR(__xludf.DUMMYFUNCTION("""COMPUTED_VALUE"""),6.7)</f>
        <v>6.7</v>
      </c>
      <c r="L1209" s="89"/>
      <c r="M1209" s="26" t="str">
        <f>IFERROR(__xludf.DUMMYFUNCTION("""COMPUTED_VALUE"""),"Shooter")</f>
        <v>Shooter</v>
      </c>
      <c r="N1209" s="26"/>
      <c r="O1209" s="26" t="str">
        <f>IFERROR(__xludf.DUMMYFUNCTION("""COMPUTED_VALUE"""),"No")</f>
        <v>No</v>
      </c>
      <c r="P1209" s="26"/>
    </row>
    <row r="1210">
      <c r="A1210" s="81" t="str">
        <f>IFERROR(__xludf.DUMMYFUNCTION("""COMPUTED_VALUE"""),"Toy Home")</f>
        <v>Toy Home</v>
      </c>
      <c r="B1210" s="82" t="str">
        <f>IFERROR(__xludf.DUMMYFUNCTION("""COMPUTED_VALUE"""),"PS3")</f>
        <v>PS3</v>
      </c>
      <c r="C1210" s="83" t="str">
        <f>IFERROR(__xludf.DUMMYFUNCTION("""COMPUTED_VALUE"""),"Playstation Plus (Discontinued)")</f>
        <v>Playstation Plus (Discontinued)</v>
      </c>
      <c r="D1210" s="82" t="str">
        <f>IFERROR(__xludf.DUMMYFUNCTION("""COMPUTED_VALUE"""),"Removed")</f>
        <v>Removed</v>
      </c>
      <c r="E1210" s="84">
        <f>IFERROR(__xludf.DUMMYFUNCTION("""COMPUTED_VALUE"""),43193.0)</f>
        <v>43193</v>
      </c>
      <c r="F1210" s="85">
        <f>IFERROR(__xludf.DUMMYFUNCTION("""COMPUTED_VALUE"""),43220.0)</f>
        <v>43220</v>
      </c>
      <c r="G1210" s="86">
        <f>IFERROR(__xludf.DUMMYFUNCTION("""COMPUTED_VALUE"""),0.8999999999999999)</f>
        <v>0.9</v>
      </c>
      <c r="H1210" s="84">
        <f>IFERROR(__xludf.DUMMYFUNCTION("""COMPUTED_VALUE"""),39380.0)</f>
        <v>39380</v>
      </c>
      <c r="I1210" s="86">
        <f>IFERROR(__xludf.DUMMYFUNCTION("""COMPUTED_VALUE"""),10.438888888888888)</f>
        <v>10.43888889</v>
      </c>
      <c r="J1210" s="87">
        <f>IFERROR(__xludf.DUMMYFUNCTION("""COMPUTED_VALUE"""),57.0)</f>
        <v>57</v>
      </c>
      <c r="K1210" s="88">
        <f>IFERROR(__xludf.DUMMYFUNCTION("""COMPUTED_VALUE"""),6.9)</f>
        <v>6.9</v>
      </c>
      <c r="L1210" s="89">
        <f>IFERROR(__xludf.DUMMYFUNCTION("""COMPUTED_VALUE"""),3.0)</f>
        <v>3</v>
      </c>
      <c r="M1210" s="26" t="str">
        <f>IFERROR(__xludf.DUMMYFUNCTION("""COMPUTED_VALUE"""),"Racing")</f>
        <v>Racing</v>
      </c>
      <c r="N1210" s="26"/>
      <c r="O1210" s="26" t="str">
        <f>IFERROR(__xludf.DUMMYFUNCTION("""COMPUTED_VALUE"""),"No")</f>
        <v>No</v>
      </c>
      <c r="P1210" s="26"/>
    </row>
    <row r="1211">
      <c r="A1211" s="81" t="str">
        <f>IFERROR(__xludf.DUMMYFUNCTION("""COMPUTED_VALUE"""),"99Vidas")</f>
        <v>99Vidas</v>
      </c>
      <c r="B1211" s="82" t="str">
        <f>IFERROR(__xludf.DUMMYFUNCTION("""COMPUTED_VALUE"""),"PS4/PS3/Vita")</f>
        <v>PS4/PS3/Vita</v>
      </c>
      <c r="C1211" s="83" t="str">
        <f>IFERROR(__xludf.DUMMYFUNCTION("""COMPUTED_VALUE"""),"Playstation Plus (Discontinued)")</f>
        <v>Playstation Plus (Discontinued)</v>
      </c>
      <c r="D1211" s="82" t="str">
        <f>IFERROR(__xludf.DUMMYFUNCTION("""COMPUTED_VALUE"""),"Removed")</f>
        <v>Removed</v>
      </c>
      <c r="E1211" s="84">
        <f>IFERROR(__xludf.DUMMYFUNCTION("""COMPUTED_VALUE"""),43193.0)</f>
        <v>43193</v>
      </c>
      <c r="F1211" s="85">
        <f>IFERROR(__xludf.DUMMYFUNCTION("""COMPUTED_VALUE"""),43220.0)</f>
        <v>43220</v>
      </c>
      <c r="G1211" s="86">
        <f>IFERROR(__xludf.DUMMYFUNCTION("""COMPUTED_VALUE"""),0.8999999999999999)</f>
        <v>0.9</v>
      </c>
      <c r="H1211" s="84">
        <f>IFERROR(__xludf.DUMMYFUNCTION("""COMPUTED_VALUE"""),42717.0)</f>
        <v>42717</v>
      </c>
      <c r="I1211" s="86">
        <f>IFERROR(__xludf.DUMMYFUNCTION("""COMPUTED_VALUE"""),1.3055555555555556)</f>
        <v>1.305555556</v>
      </c>
      <c r="J1211" s="87">
        <f>IFERROR(__xludf.DUMMYFUNCTION("""COMPUTED_VALUE"""),61.0)</f>
        <v>61</v>
      </c>
      <c r="K1211" s="88">
        <f>IFERROR(__xludf.DUMMYFUNCTION("""COMPUTED_VALUE"""),7.1)</f>
        <v>7.1</v>
      </c>
      <c r="L1211" s="89">
        <f>IFERROR(__xludf.DUMMYFUNCTION("""COMPUTED_VALUE"""),6.0)</f>
        <v>6</v>
      </c>
      <c r="M1211" s="26" t="str">
        <f>IFERROR(__xludf.DUMMYFUNCTION("""COMPUTED_VALUE"""),"Action-Adventure")</f>
        <v>Action-Adventure</v>
      </c>
      <c r="N1211" s="26"/>
      <c r="O1211" s="26" t="str">
        <f>IFERROR(__xludf.DUMMYFUNCTION("""COMPUTED_VALUE"""),"No")</f>
        <v>No</v>
      </c>
      <c r="P1211" s="26"/>
    </row>
    <row r="1212">
      <c r="A1212" s="81" t="str">
        <f>IFERROR(__xludf.DUMMYFUNCTION("""COMPUTED_VALUE"""),"Q*Bert Rebooted")</f>
        <v>Q*Bert Rebooted</v>
      </c>
      <c r="B1212" s="82" t="str">
        <f>IFERROR(__xludf.DUMMYFUNCTION("""COMPUTED_VALUE"""),"PS4/PS3/Vita")</f>
        <v>PS4/PS3/Vita</v>
      </c>
      <c r="C1212" s="83" t="str">
        <f>IFERROR(__xludf.DUMMYFUNCTION("""COMPUTED_VALUE"""),"Playstation Plus (Discontinued)")</f>
        <v>Playstation Plus (Discontinued)</v>
      </c>
      <c r="D1212" s="82" t="str">
        <f>IFERROR(__xludf.DUMMYFUNCTION("""COMPUTED_VALUE"""),"Removed")</f>
        <v>Removed</v>
      </c>
      <c r="E1212" s="84">
        <f>IFERROR(__xludf.DUMMYFUNCTION("""COMPUTED_VALUE"""),43193.0)</f>
        <v>43193</v>
      </c>
      <c r="F1212" s="85">
        <f>IFERROR(__xludf.DUMMYFUNCTION("""COMPUTED_VALUE"""),43220.0)</f>
        <v>43220</v>
      </c>
      <c r="G1212" s="86">
        <f>IFERROR(__xludf.DUMMYFUNCTION("""COMPUTED_VALUE"""),0.8999999999999999)</f>
        <v>0.9</v>
      </c>
      <c r="H1212" s="84">
        <f>IFERROR(__xludf.DUMMYFUNCTION("""COMPUTED_VALUE"""),42052.0)</f>
        <v>42052</v>
      </c>
      <c r="I1212" s="86">
        <f>IFERROR(__xludf.DUMMYFUNCTION("""COMPUTED_VALUE"""),3.1277777777777778)</f>
        <v>3.127777778</v>
      </c>
      <c r="J1212" s="87">
        <f>IFERROR(__xludf.DUMMYFUNCTION("""COMPUTED_VALUE"""),44.0)</f>
        <v>44</v>
      </c>
      <c r="K1212" s="88">
        <f>IFERROR(__xludf.DUMMYFUNCTION("""COMPUTED_VALUE"""),4.7)</f>
        <v>4.7</v>
      </c>
      <c r="L1212" s="89"/>
      <c r="M1212" s="26" t="str">
        <f>IFERROR(__xludf.DUMMYFUNCTION("""COMPUTED_VALUE"""),"Arcade")</f>
        <v>Arcade</v>
      </c>
      <c r="N1212" s="26"/>
      <c r="O1212" s="26" t="str">
        <f>IFERROR(__xludf.DUMMYFUNCTION("""COMPUTED_VALUE"""),"No")</f>
        <v>No</v>
      </c>
      <c r="P1212" s="26"/>
    </row>
    <row r="1213">
      <c r="A1213" s="81" t="str">
        <f>IFERROR(__xludf.DUMMYFUNCTION("""COMPUTED_VALUE"""),"Bloodborne")</f>
        <v>Bloodborne</v>
      </c>
      <c r="B1213" s="82" t="str">
        <f>IFERROR(__xludf.DUMMYFUNCTION("""COMPUTED_VALUE"""),"PS4")</f>
        <v>PS4</v>
      </c>
      <c r="C1213" s="83" t="str">
        <f>IFERROR(__xludf.DUMMYFUNCTION("""COMPUTED_VALUE"""),"Playstation Plus (Discontinued)")</f>
        <v>Playstation Plus (Discontinued)</v>
      </c>
      <c r="D1213" s="82" t="str">
        <f>IFERROR(__xludf.DUMMYFUNCTION("""COMPUTED_VALUE"""),"Removed")</f>
        <v>Removed</v>
      </c>
      <c r="E1213" s="84">
        <f>IFERROR(__xludf.DUMMYFUNCTION("""COMPUTED_VALUE"""),43165.0)</f>
        <v>43165</v>
      </c>
      <c r="F1213" s="85">
        <f>IFERROR(__xludf.DUMMYFUNCTION("""COMPUTED_VALUE"""),43192.0)</f>
        <v>43192</v>
      </c>
      <c r="G1213" s="86">
        <f>IFERROR(__xludf.DUMMYFUNCTION("""COMPUTED_VALUE"""),0.8666666666666666)</f>
        <v>0.8666666667</v>
      </c>
      <c r="H1213" s="84">
        <f>IFERROR(__xludf.DUMMYFUNCTION("""COMPUTED_VALUE"""),42087.0)</f>
        <v>42087</v>
      </c>
      <c r="I1213" s="86">
        <f>IFERROR(__xludf.DUMMYFUNCTION("""COMPUTED_VALUE"""),2.95)</f>
        <v>2.95</v>
      </c>
      <c r="J1213" s="87">
        <f>IFERROR(__xludf.DUMMYFUNCTION("""COMPUTED_VALUE"""),92.0)</f>
        <v>92</v>
      </c>
      <c r="K1213" s="88">
        <f>IFERROR(__xludf.DUMMYFUNCTION("""COMPUTED_VALUE"""),9.1)</f>
        <v>9.1</v>
      </c>
      <c r="L1213" s="89">
        <f>IFERROR(__xludf.DUMMYFUNCTION("""COMPUTED_VALUE"""),34.0)</f>
        <v>34</v>
      </c>
      <c r="M1213" s="26" t="str">
        <f>IFERROR(__xludf.DUMMYFUNCTION("""COMPUTED_VALUE"""),"Action-Adventure")</f>
        <v>Action-Adventure</v>
      </c>
      <c r="N1213" s="26"/>
      <c r="O1213" s="26" t="str">
        <f>IFERROR(__xludf.DUMMYFUNCTION("""COMPUTED_VALUE"""),"No")</f>
        <v>No</v>
      </c>
      <c r="P1213" s="26"/>
    </row>
    <row r="1214">
      <c r="A1214" s="81" t="str">
        <f>IFERROR(__xludf.DUMMYFUNCTION("""COMPUTED_VALUE"""),"Ratchet and Clank")</f>
        <v>Ratchet and Clank</v>
      </c>
      <c r="B1214" s="82" t="str">
        <f>IFERROR(__xludf.DUMMYFUNCTION("""COMPUTED_VALUE"""),"PS4")</f>
        <v>PS4</v>
      </c>
      <c r="C1214" s="83" t="str">
        <f>IFERROR(__xludf.DUMMYFUNCTION("""COMPUTED_VALUE"""),"Playstation Plus (Discontinued)")</f>
        <v>Playstation Plus (Discontinued)</v>
      </c>
      <c r="D1214" s="82" t="str">
        <f>IFERROR(__xludf.DUMMYFUNCTION("""COMPUTED_VALUE"""),"Removed")</f>
        <v>Removed</v>
      </c>
      <c r="E1214" s="84">
        <f>IFERROR(__xludf.DUMMYFUNCTION("""COMPUTED_VALUE"""),43165.0)</f>
        <v>43165</v>
      </c>
      <c r="F1214" s="85">
        <f>IFERROR(__xludf.DUMMYFUNCTION("""COMPUTED_VALUE"""),43192.0)</f>
        <v>43192</v>
      </c>
      <c r="G1214" s="86">
        <f>IFERROR(__xludf.DUMMYFUNCTION("""COMPUTED_VALUE"""),0.8666666666666666)</f>
        <v>0.8666666667</v>
      </c>
      <c r="H1214" s="84">
        <f>IFERROR(__xludf.DUMMYFUNCTION("""COMPUTED_VALUE"""),42472.0)</f>
        <v>42472</v>
      </c>
      <c r="I1214" s="86">
        <f>IFERROR(__xludf.DUMMYFUNCTION("""COMPUTED_VALUE"""),1.9)</f>
        <v>1.9</v>
      </c>
      <c r="J1214" s="87">
        <f>IFERROR(__xludf.DUMMYFUNCTION("""COMPUTED_VALUE"""),85.0)</f>
        <v>85</v>
      </c>
      <c r="K1214" s="88">
        <f>IFERROR(__xludf.DUMMYFUNCTION("""COMPUTED_VALUE"""),8.3)</f>
        <v>8.3</v>
      </c>
      <c r="L1214" s="89">
        <f>IFERROR(__xludf.DUMMYFUNCTION("""COMPUTED_VALUE"""),11.0)</f>
        <v>11</v>
      </c>
      <c r="M1214" s="26" t="str">
        <f>IFERROR(__xludf.DUMMYFUNCTION("""COMPUTED_VALUE"""),"Action-Adventure")</f>
        <v>Action-Adventure</v>
      </c>
      <c r="N1214" s="26"/>
      <c r="O1214" s="26" t="str">
        <f>IFERROR(__xludf.DUMMYFUNCTION("""COMPUTED_VALUE"""),"No")</f>
        <v>No</v>
      </c>
      <c r="P1214" s="26"/>
    </row>
    <row r="1215">
      <c r="A1215" s="81" t="str">
        <f>IFERROR(__xludf.DUMMYFUNCTION("""COMPUTED_VALUE"""),"Legend of Kay Anniversary")</f>
        <v>Legend of Kay Anniversary</v>
      </c>
      <c r="B1215" s="82" t="str">
        <f>IFERROR(__xludf.DUMMYFUNCTION("""COMPUTED_VALUE"""),"PS3")</f>
        <v>PS3</v>
      </c>
      <c r="C1215" s="83" t="str">
        <f>IFERROR(__xludf.DUMMYFUNCTION("""COMPUTED_VALUE"""),"Playstation Plus (Discontinued)")</f>
        <v>Playstation Plus (Discontinued)</v>
      </c>
      <c r="D1215" s="82" t="str">
        <f>IFERROR(__xludf.DUMMYFUNCTION("""COMPUTED_VALUE"""),"Removed")</f>
        <v>Removed</v>
      </c>
      <c r="E1215" s="84">
        <f>IFERROR(__xludf.DUMMYFUNCTION("""COMPUTED_VALUE"""),43165.0)</f>
        <v>43165</v>
      </c>
      <c r="F1215" s="85">
        <f>IFERROR(__xludf.DUMMYFUNCTION("""COMPUTED_VALUE"""),43192.0)</f>
        <v>43192</v>
      </c>
      <c r="G1215" s="86">
        <f>IFERROR(__xludf.DUMMYFUNCTION("""COMPUTED_VALUE"""),0.8666666666666666)</f>
        <v>0.8666666667</v>
      </c>
      <c r="H1215" s="84">
        <f>IFERROR(__xludf.DUMMYFUNCTION("""COMPUTED_VALUE"""),42213.0)</f>
        <v>42213</v>
      </c>
      <c r="I1215" s="86">
        <f>IFERROR(__xludf.DUMMYFUNCTION("""COMPUTED_VALUE"""),2.6055555555555556)</f>
        <v>2.605555556</v>
      </c>
      <c r="J1215" s="87">
        <f>IFERROR(__xludf.DUMMYFUNCTION("""COMPUTED_VALUE"""),70.0)</f>
        <v>70</v>
      </c>
      <c r="K1215" s="88">
        <f>IFERROR(__xludf.DUMMYFUNCTION("""COMPUTED_VALUE"""),7.2)</f>
        <v>7.2</v>
      </c>
      <c r="L1215" s="89">
        <f>IFERROR(__xludf.DUMMYFUNCTION("""COMPUTED_VALUE"""),10.0)</f>
        <v>10</v>
      </c>
      <c r="M1215" s="26" t="str">
        <f>IFERROR(__xludf.DUMMYFUNCTION("""COMPUTED_VALUE"""),"Action-Adventure")</f>
        <v>Action-Adventure</v>
      </c>
      <c r="N1215" s="26"/>
      <c r="O1215" s="26" t="str">
        <f>IFERROR(__xludf.DUMMYFUNCTION("""COMPUTED_VALUE"""),"No")</f>
        <v>No</v>
      </c>
      <c r="P1215" s="26"/>
    </row>
    <row r="1216">
      <c r="A1216" s="81" t="str">
        <f>IFERROR(__xludf.DUMMYFUNCTION("""COMPUTED_VALUE"""),"Mighty No. 9")</f>
        <v>Mighty No. 9</v>
      </c>
      <c r="B1216" s="82" t="str">
        <f>IFERROR(__xludf.DUMMYFUNCTION("""COMPUTED_VALUE"""),"PS4/PS3")</f>
        <v>PS4/PS3</v>
      </c>
      <c r="C1216" s="83" t="str">
        <f>IFERROR(__xludf.DUMMYFUNCTION("""COMPUTED_VALUE"""),"Playstation Plus (Discontinued)")</f>
        <v>Playstation Plus (Discontinued)</v>
      </c>
      <c r="D1216" s="82" t="str">
        <f>IFERROR(__xludf.DUMMYFUNCTION("""COMPUTED_VALUE"""),"Removed")</f>
        <v>Removed</v>
      </c>
      <c r="E1216" s="84">
        <f>IFERROR(__xludf.DUMMYFUNCTION("""COMPUTED_VALUE"""),43165.0)</f>
        <v>43165</v>
      </c>
      <c r="F1216" s="85">
        <f>IFERROR(__xludf.DUMMYFUNCTION("""COMPUTED_VALUE"""),43192.0)</f>
        <v>43192</v>
      </c>
      <c r="G1216" s="86">
        <f>IFERROR(__xludf.DUMMYFUNCTION("""COMPUTED_VALUE"""),0.8666666666666666)</f>
        <v>0.8666666667</v>
      </c>
      <c r="H1216" s="84">
        <f>IFERROR(__xludf.DUMMYFUNCTION("""COMPUTED_VALUE"""),42542.0)</f>
        <v>42542</v>
      </c>
      <c r="I1216" s="86">
        <f>IFERROR(__xludf.DUMMYFUNCTION("""COMPUTED_VALUE"""),1.7083333333333333)</f>
        <v>1.708333333</v>
      </c>
      <c r="J1216" s="87">
        <f>IFERROR(__xludf.DUMMYFUNCTION("""COMPUTED_VALUE"""),52.0)</f>
        <v>52</v>
      </c>
      <c r="K1216" s="88">
        <f>IFERROR(__xludf.DUMMYFUNCTION("""COMPUTED_VALUE"""),4.6)</f>
        <v>4.6</v>
      </c>
      <c r="L1216" s="89">
        <f>IFERROR(__xludf.DUMMYFUNCTION("""COMPUTED_VALUE"""),4.0)</f>
        <v>4</v>
      </c>
      <c r="M1216" s="26" t="str">
        <f>IFERROR(__xludf.DUMMYFUNCTION("""COMPUTED_VALUE"""),"Platformer")</f>
        <v>Platformer</v>
      </c>
      <c r="N1216" s="26"/>
      <c r="O1216" s="26" t="str">
        <f>IFERROR(__xludf.DUMMYFUNCTION("""COMPUTED_VALUE"""),"No")</f>
        <v>No</v>
      </c>
      <c r="P1216" s="26"/>
    </row>
    <row r="1217">
      <c r="A1217" s="81" t="str">
        <f>IFERROR(__xludf.DUMMYFUNCTION("""COMPUTED_VALUE"""),"Claire: Extended Cut")</f>
        <v>Claire: Extended Cut</v>
      </c>
      <c r="B1217" s="82" t="str">
        <f>IFERROR(__xludf.DUMMYFUNCTION("""COMPUTED_VALUE"""),"PS4/Vita")</f>
        <v>PS4/Vita</v>
      </c>
      <c r="C1217" s="83" t="str">
        <f>IFERROR(__xludf.DUMMYFUNCTION("""COMPUTED_VALUE"""),"Playstation Plus (Discontinued)")</f>
        <v>Playstation Plus (Discontinued)</v>
      </c>
      <c r="D1217" s="82" t="str">
        <f>IFERROR(__xludf.DUMMYFUNCTION("""COMPUTED_VALUE"""),"Removed")</f>
        <v>Removed</v>
      </c>
      <c r="E1217" s="84">
        <f>IFERROR(__xludf.DUMMYFUNCTION("""COMPUTED_VALUE"""),43165.0)</f>
        <v>43165</v>
      </c>
      <c r="F1217" s="85">
        <f>IFERROR(__xludf.DUMMYFUNCTION("""COMPUTED_VALUE"""),43192.0)</f>
        <v>43192</v>
      </c>
      <c r="G1217" s="86">
        <f>IFERROR(__xludf.DUMMYFUNCTION("""COMPUTED_VALUE"""),0.8666666666666666)</f>
        <v>0.8666666667</v>
      </c>
      <c r="H1217" s="84">
        <f>IFERROR(__xludf.DUMMYFUNCTION("""COMPUTED_VALUE"""),42955.0)</f>
        <v>42955</v>
      </c>
      <c r="I1217" s="86">
        <f>IFERROR(__xludf.DUMMYFUNCTION("""COMPUTED_VALUE"""),0.5777777777777777)</f>
        <v>0.5777777778</v>
      </c>
      <c r="J1217" s="87">
        <f>IFERROR(__xludf.DUMMYFUNCTION("""COMPUTED_VALUE"""),58.0)</f>
        <v>58</v>
      </c>
      <c r="K1217" s="88">
        <f>IFERROR(__xludf.DUMMYFUNCTION("""COMPUTED_VALUE"""),6.8)</f>
        <v>6.8</v>
      </c>
      <c r="L1217" s="89">
        <f>IFERROR(__xludf.DUMMYFUNCTION("""COMPUTED_VALUE"""),5.0)</f>
        <v>5</v>
      </c>
      <c r="M1217" s="26" t="str">
        <f>IFERROR(__xludf.DUMMYFUNCTION("""COMPUTED_VALUE"""),"Horror")</f>
        <v>Horror</v>
      </c>
      <c r="N1217" s="26"/>
      <c r="O1217" s="26" t="str">
        <f>IFERROR(__xludf.DUMMYFUNCTION("""COMPUTED_VALUE"""),"No")</f>
        <v>No</v>
      </c>
      <c r="P1217" s="26"/>
    </row>
    <row r="1218">
      <c r="A1218" s="81" t="str">
        <f>IFERROR(__xludf.DUMMYFUNCTION("""COMPUTED_VALUE"""),"Bombing Busters")</f>
        <v>Bombing Busters</v>
      </c>
      <c r="B1218" s="82" t="str">
        <f>IFERROR(__xludf.DUMMYFUNCTION("""COMPUTED_VALUE"""),"PS4/Vita")</f>
        <v>PS4/Vita</v>
      </c>
      <c r="C1218" s="83" t="str">
        <f>IFERROR(__xludf.DUMMYFUNCTION("""COMPUTED_VALUE"""),"Playstation Plus (Discontinued)")</f>
        <v>Playstation Plus (Discontinued)</v>
      </c>
      <c r="D1218" s="82" t="str">
        <f>IFERROR(__xludf.DUMMYFUNCTION("""COMPUTED_VALUE"""),"Removed")</f>
        <v>Removed</v>
      </c>
      <c r="E1218" s="84">
        <f>IFERROR(__xludf.DUMMYFUNCTION("""COMPUTED_VALUE"""),43165.0)</f>
        <v>43165</v>
      </c>
      <c r="F1218" s="85">
        <f>IFERROR(__xludf.DUMMYFUNCTION("""COMPUTED_VALUE"""),43192.0)</f>
        <v>43192</v>
      </c>
      <c r="G1218" s="86">
        <f>IFERROR(__xludf.DUMMYFUNCTION("""COMPUTED_VALUE"""),0.8666666666666666)</f>
        <v>0.8666666667</v>
      </c>
      <c r="H1218" s="84">
        <f>IFERROR(__xludf.DUMMYFUNCTION("""COMPUTED_VALUE"""),42514.0)</f>
        <v>42514</v>
      </c>
      <c r="I1218" s="86">
        <f>IFERROR(__xludf.DUMMYFUNCTION("""COMPUTED_VALUE"""),1.7833333333333334)</f>
        <v>1.783333333</v>
      </c>
      <c r="J1218" s="87">
        <f>IFERROR(__xludf.DUMMYFUNCTION("""COMPUTED_VALUE"""),55.0)</f>
        <v>55</v>
      </c>
      <c r="K1218" s="88">
        <f>IFERROR(__xludf.DUMMYFUNCTION("""COMPUTED_VALUE"""),6.2)</f>
        <v>6.2</v>
      </c>
      <c r="L1218" s="89"/>
      <c r="M1218" s="26" t="str">
        <f>IFERROR(__xludf.DUMMYFUNCTION("""COMPUTED_VALUE"""),"Puzzle")</f>
        <v>Puzzle</v>
      </c>
      <c r="N1218" s="26"/>
      <c r="O1218" s="26" t="str">
        <f>IFERROR(__xludf.DUMMYFUNCTION("""COMPUTED_VALUE"""),"No")</f>
        <v>No</v>
      </c>
      <c r="P1218" s="26"/>
    </row>
    <row r="1219">
      <c r="A1219" s="81" t="str">
        <f>IFERROR(__xludf.DUMMYFUNCTION("""COMPUTED_VALUE"""),"Knack")</f>
        <v>Knack</v>
      </c>
      <c r="B1219" s="82" t="str">
        <f>IFERROR(__xludf.DUMMYFUNCTION("""COMPUTED_VALUE"""),"PS4")</f>
        <v>PS4</v>
      </c>
      <c r="C1219" s="83" t="str">
        <f>IFERROR(__xludf.DUMMYFUNCTION("""COMPUTED_VALUE"""),"Playstation Plus (Discontinued)")</f>
        <v>Playstation Plus (Discontinued)</v>
      </c>
      <c r="D1219" s="82" t="str">
        <f>IFERROR(__xludf.DUMMYFUNCTION("""COMPUTED_VALUE"""),"Removed")</f>
        <v>Removed</v>
      </c>
      <c r="E1219" s="84">
        <f>IFERROR(__xludf.DUMMYFUNCTION("""COMPUTED_VALUE"""),43137.0)</f>
        <v>43137</v>
      </c>
      <c r="F1219" s="85">
        <f>IFERROR(__xludf.DUMMYFUNCTION("""COMPUTED_VALUE"""),43164.0)</f>
        <v>43164</v>
      </c>
      <c r="G1219" s="86">
        <f>IFERROR(__xludf.DUMMYFUNCTION("""COMPUTED_VALUE"""),0.9666666666666668)</f>
        <v>0.9666666667</v>
      </c>
      <c r="H1219" s="84">
        <f>IFERROR(__xludf.DUMMYFUNCTION("""COMPUTED_VALUE"""),41593.0)</f>
        <v>41593</v>
      </c>
      <c r="I1219" s="86">
        <f>IFERROR(__xludf.DUMMYFUNCTION("""COMPUTED_VALUE"""),4.225)</f>
        <v>4.225</v>
      </c>
      <c r="J1219" s="87">
        <f>IFERROR(__xludf.DUMMYFUNCTION("""COMPUTED_VALUE"""),54.0)</f>
        <v>54</v>
      </c>
      <c r="K1219" s="88">
        <f>IFERROR(__xludf.DUMMYFUNCTION("""COMPUTED_VALUE"""),6.3)</f>
        <v>6.3</v>
      </c>
      <c r="L1219" s="89">
        <f>IFERROR(__xludf.DUMMYFUNCTION("""COMPUTED_VALUE"""),11.0)</f>
        <v>11</v>
      </c>
      <c r="M1219" s="26" t="str">
        <f>IFERROR(__xludf.DUMMYFUNCTION("""COMPUTED_VALUE"""),"Action-Adventure")</f>
        <v>Action-Adventure</v>
      </c>
      <c r="N1219" s="26"/>
      <c r="O1219" s="26" t="str">
        <f>IFERROR(__xludf.DUMMYFUNCTION("""COMPUTED_VALUE"""),"No")</f>
        <v>No</v>
      </c>
      <c r="P1219" s="26"/>
    </row>
    <row r="1220">
      <c r="A1220" s="81" t="str">
        <f>IFERROR(__xludf.DUMMYFUNCTION("""COMPUTED_VALUE"""),"RiME")</f>
        <v>RiME</v>
      </c>
      <c r="B1220" s="82" t="str">
        <f>IFERROR(__xludf.DUMMYFUNCTION("""COMPUTED_VALUE"""),"PS4")</f>
        <v>PS4</v>
      </c>
      <c r="C1220" s="83" t="str">
        <f>IFERROR(__xludf.DUMMYFUNCTION("""COMPUTED_VALUE"""),"Playstation Plus (Discontinued)")</f>
        <v>Playstation Plus (Discontinued)</v>
      </c>
      <c r="D1220" s="82" t="str">
        <f>IFERROR(__xludf.DUMMYFUNCTION("""COMPUTED_VALUE"""),"Removed")</f>
        <v>Removed</v>
      </c>
      <c r="E1220" s="84">
        <f>IFERROR(__xludf.DUMMYFUNCTION("""COMPUTED_VALUE"""),43137.0)</f>
        <v>43137</v>
      </c>
      <c r="F1220" s="85">
        <f>IFERROR(__xludf.DUMMYFUNCTION("""COMPUTED_VALUE"""),43164.0)</f>
        <v>43164</v>
      </c>
      <c r="G1220" s="86">
        <f>IFERROR(__xludf.DUMMYFUNCTION("""COMPUTED_VALUE"""),0.9666666666666668)</f>
        <v>0.9666666667</v>
      </c>
      <c r="H1220" s="84">
        <f>IFERROR(__xludf.DUMMYFUNCTION("""COMPUTED_VALUE"""),42881.0)</f>
        <v>42881</v>
      </c>
      <c r="I1220" s="86">
        <f>IFERROR(__xludf.DUMMYFUNCTION("""COMPUTED_VALUE"""),0.6944444444444444)</f>
        <v>0.6944444444</v>
      </c>
      <c r="J1220" s="87">
        <f>IFERROR(__xludf.DUMMYFUNCTION("""COMPUTED_VALUE"""),80.0)</f>
        <v>80</v>
      </c>
      <c r="K1220" s="88">
        <f>IFERROR(__xludf.DUMMYFUNCTION("""COMPUTED_VALUE"""),7.5)</f>
        <v>7.5</v>
      </c>
      <c r="L1220" s="89">
        <f>IFERROR(__xludf.DUMMYFUNCTION("""COMPUTED_VALUE"""),10.0)</f>
        <v>10</v>
      </c>
      <c r="M1220" s="26" t="str">
        <f>IFERROR(__xludf.DUMMYFUNCTION("""COMPUTED_VALUE"""),"Action-Adventure")</f>
        <v>Action-Adventure</v>
      </c>
      <c r="N1220" s="26"/>
      <c r="O1220" s="26" t="str">
        <f>IFERROR(__xludf.DUMMYFUNCTION("""COMPUTED_VALUE"""),"No")</f>
        <v>No</v>
      </c>
      <c r="P1220" s="26"/>
    </row>
    <row r="1221">
      <c r="A1221" s="81" t="str">
        <f>IFERROR(__xludf.DUMMYFUNCTION("""COMPUTED_VALUE"""),"Starblood Arena")</f>
        <v>Starblood Arena</v>
      </c>
      <c r="B1221" s="82" t="str">
        <f>IFERROR(__xludf.DUMMYFUNCTION("""COMPUTED_VALUE"""),"PS4/PSVR")</f>
        <v>PS4/PSVR</v>
      </c>
      <c r="C1221" s="83" t="str">
        <f>IFERROR(__xludf.DUMMYFUNCTION("""COMPUTED_VALUE"""),"Playstation Plus (Discontinued)")</f>
        <v>Playstation Plus (Discontinued)</v>
      </c>
      <c r="D1221" s="82" t="str">
        <f>IFERROR(__xludf.DUMMYFUNCTION("""COMPUTED_VALUE"""),"Removed")</f>
        <v>Removed</v>
      </c>
      <c r="E1221" s="84">
        <f>IFERROR(__xludf.DUMMYFUNCTION("""COMPUTED_VALUE"""),43137.0)</f>
        <v>43137</v>
      </c>
      <c r="F1221" s="85">
        <f>IFERROR(__xludf.DUMMYFUNCTION("""COMPUTED_VALUE"""),43164.0)</f>
        <v>43164</v>
      </c>
      <c r="G1221" s="86">
        <f>IFERROR(__xludf.DUMMYFUNCTION("""COMPUTED_VALUE"""),0.9666666666666668)</f>
        <v>0.9666666667</v>
      </c>
      <c r="H1221" s="84">
        <f>IFERROR(__xludf.DUMMYFUNCTION("""COMPUTED_VALUE"""),42836.0)</f>
        <v>42836</v>
      </c>
      <c r="I1221" s="86">
        <f>IFERROR(__xludf.DUMMYFUNCTION("""COMPUTED_VALUE"""),0.8194444444444444)</f>
        <v>0.8194444444</v>
      </c>
      <c r="J1221" s="87">
        <f>IFERROR(__xludf.DUMMYFUNCTION("""COMPUTED_VALUE"""),68.0)</f>
        <v>68</v>
      </c>
      <c r="K1221" s="88">
        <f>IFERROR(__xludf.DUMMYFUNCTION("""COMPUTED_VALUE"""),7.0)</f>
        <v>7</v>
      </c>
      <c r="L1221" s="89"/>
      <c r="M1221" s="26" t="str">
        <f>IFERROR(__xludf.DUMMYFUNCTION("""COMPUTED_VALUE"""),"Shooter")</f>
        <v>Shooter</v>
      </c>
      <c r="N1221" s="26"/>
      <c r="O1221" s="26" t="str">
        <f>IFERROR(__xludf.DUMMYFUNCTION("""COMPUTED_VALUE"""),"No")</f>
        <v>No</v>
      </c>
      <c r="P1221" s="26"/>
    </row>
    <row r="1222">
      <c r="A1222" s="81" t="str">
        <f>IFERROR(__xludf.DUMMYFUNCTION("""COMPUTED_VALUE"""),"Spelunker HD")</f>
        <v>Spelunker HD</v>
      </c>
      <c r="B1222" s="82" t="str">
        <f>IFERROR(__xludf.DUMMYFUNCTION("""COMPUTED_VALUE"""),"PS3")</f>
        <v>PS3</v>
      </c>
      <c r="C1222" s="83" t="str">
        <f>IFERROR(__xludf.DUMMYFUNCTION("""COMPUTED_VALUE"""),"Playstation Plus (Discontinued)")</f>
        <v>Playstation Plus (Discontinued)</v>
      </c>
      <c r="D1222" s="82" t="str">
        <f>IFERROR(__xludf.DUMMYFUNCTION("""COMPUTED_VALUE"""),"Removed")</f>
        <v>Removed</v>
      </c>
      <c r="E1222" s="84">
        <f>IFERROR(__xludf.DUMMYFUNCTION("""COMPUTED_VALUE"""),43137.0)</f>
        <v>43137</v>
      </c>
      <c r="F1222" s="85">
        <f>IFERROR(__xludf.DUMMYFUNCTION("""COMPUTED_VALUE"""),43164.0)</f>
        <v>43164</v>
      </c>
      <c r="G1222" s="86">
        <f>IFERROR(__xludf.DUMMYFUNCTION("""COMPUTED_VALUE"""),0.9666666666666668)</f>
        <v>0.9666666667</v>
      </c>
      <c r="H1222" s="84">
        <f>IFERROR(__xludf.DUMMYFUNCTION("""COMPUTED_VALUE"""),40290.0)</f>
        <v>40290</v>
      </c>
      <c r="I1222" s="86">
        <f>IFERROR(__xludf.DUMMYFUNCTION("""COMPUTED_VALUE"""),7.788888888888889)</f>
        <v>7.788888889</v>
      </c>
      <c r="J1222" s="87">
        <f>IFERROR(__xludf.DUMMYFUNCTION("""COMPUTED_VALUE"""),56.0)</f>
        <v>56</v>
      </c>
      <c r="K1222" s="88">
        <f>IFERROR(__xludf.DUMMYFUNCTION("""COMPUTED_VALUE"""),6.8)</f>
        <v>6.8</v>
      </c>
      <c r="L1222" s="89">
        <f>IFERROR(__xludf.DUMMYFUNCTION("""COMPUTED_VALUE"""),5.0)</f>
        <v>5</v>
      </c>
      <c r="M1222" s="26" t="str">
        <f>IFERROR(__xludf.DUMMYFUNCTION("""COMPUTED_VALUE"""),"Platformer")</f>
        <v>Platformer</v>
      </c>
      <c r="N1222" s="26"/>
      <c r="O1222" s="26" t="str">
        <f>IFERROR(__xludf.DUMMYFUNCTION("""COMPUTED_VALUE"""),"No")</f>
        <v>No</v>
      </c>
      <c r="P1222" s="26"/>
    </row>
    <row r="1223">
      <c r="A1223" s="81" t="str">
        <f>IFERROR(__xludf.DUMMYFUNCTION("""COMPUTED_VALUE"""),"Mugen Souls Z")</f>
        <v>Mugen Souls Z</v>
      </c>
      <c r="B1223" s="82" t="str">
        <f>IFERROR(__xludf.DUMMYFUNCTION("""COMPUTED_VALUE"""),"PS3")</f>
        <v>PS3</v>
      </c>
      <c r="C1223" s="83" t="str">
        <f>IFERROR(__xludf.DUMMYFUNCTION("""COMPUTED_VALUE"""),"Playstation Plus (Discontinued)")</f>
        <v>Playstation Plus (Discontinued)</v>
      </c>
      <c r="D1223" s="82" t="str">
        <f>IFERROR(__xludf.DUMMYFUNCTION("""COMPUTED_VALUE"""),"Removed")</f>
        <v>Removed</v>
      </c>
      <c r="E1223" s="84">
        <f>IFERROR(__xludf.DUMMYFUNCTION("""COMPUTED_VALUE"""),43137.0)</f>
        <v>43137</v>
      </c>
      <c r="F1223" s="85">
        <f>IFERROR(__xludf.DUMMYFUNCTION("""COMPUTED_VALUE"""),43164.0)</f>
        <v>43164</v>
      </c>
      <c r="G1223" s="86">
        <f>IFERROR(__xludf.DUMMYFUNCTION("""COMPUTED_VALUE"""),0.9666666666666668)</f>
        <v>0.9666666667</v>
      </c>
      <c r="H1223" s="84">
        <f>IFERROR(__xludf.DUMMYFUNCTION("""COMPUTED_VALUE"""),41779.0)</f>
        <v>41779</v>
      </c>
      <c r="I1223" s="86">
        <f>IFERROR(__xludf.DUMMYFUNCTION("""COMPUTED_VALUE"""),3.7111111111111112)</f>
        <v>3.711111111</v>
      </c>
      <c r="J1223" s="87">
        <f>IFERROR(__xludf.DUMMYFUNCTION("""COMPUTED_VALUE"""),55.0)</f>
        <v>55</v>
      </c>
      <c r="K1223" s="88">
        <f>IFERROR(__xludf.DUMMYFUNCTION("""COMPUTED_VALUE"""),7.3)</f>
        <v>7.3</v>
      </c>
      <c r="L1223" s="89">
        <f>IFERROR(__xludf.DUMMYFUNCTION("""COMPUTED_VALUE"""),45.0)</f>
        <v>45</v>
      </c>
      <c r="M1223" s="26" t="str">
        <f>IFERROR(__xludf.DUMMYFUNCTION("""COMPUTED_VALUE"""),"RPG")</f>
        <v>RPG</v>
      </c>
      <c r="N1223" s="26"/>
      <c r="O1223" s="26" t="str">
        <f>IFERROR(__xludf.DUMMYFUNCTION("""COMPUTED_VALUE"""),"No")</f>
        <v>No</v>
      </c>
      <c r="P1223" s="26"/>
    </row>
    <row r="1224">
      <c r="A1224" s="81" t="str">
        <f>IFERROR(__xludf.DUMMYFUNCTION("""COMPUTED_VALUE"""),"Exiles End")</f>
        <v>Exiles End</v>
      </c>
      <c r="B1224" s="82" t="str">
        <f>IFERROR(__xludf.DUMMYFUNCTION("""COMPUTED_VALUE"""),"Vita")</f>
        <v>Vita</v>
      </c>
      <c r="C1224" s="83" t="str">
        <f>IFERROR(__xludf.DUMMYFUNCTION("""COMPUTED_VALUE"""),"Playstation Plus (Discontinued)")</f>
        <v>Playstation Plus (Discontinued)</v>
      </c>
      <c r="D1224" s="82" t="str">
        <f>IFERROR(__xludf.DUMMYFUNCTION("""COMPUTED_VALUE"""),"Removed")</f>
        <v>Removed</v>
      </c>
      <c r="E1224" s="84">
        <f>IFERROR(__xludf.DUMMYFUNCTION("""COMPUTED_VALUE"""),43137.0)</f>
        <v>43137</v>
      </c>
      <c r="F1224" s="85">
        <f>IFERROR(__xludf.DUMMYFUNCTION("""COMPUTED_VALUE"""),43164.0)</f>
        <v>43164</v>
      </c>
      <c r="G1224" s="86">
        <f>IFERROR(__xludf.DUMMYFUNCTION("""COMPUTED_VALUE"""),0.9666666666666668)</f>
        <v>0.9666666667</v>
      </c>
      <c r="H1224" s="84">
        <f>IFERROR(__xludf.DUMMYFUNCTION("""COMPUTED_VALUE"""),42325.0)</f>
        <v>42325</v>
      </c>
      <c r="I1224" s="86">
        <f>IFERROR(__xludf.DUMMYFUNCTION("""COMPUTED_VALUE"""),2.2194444444444446)</f>
        <v>2.219444444</v>
      </c>
      <c r="J1224" s="87">
        <f>IFERROR(__xludf.DUMMYFUNCTION("""COMPUTED_VALUE"""),53.0)</f>
        <v>53</v>
      </c>
      <c r="K1224" s="88">
        <f>IFERROR(__xludf.DUMMYFUNCTION("""COMPUTED_VALUE"""),6.8)</f>
        <v>6.8</v>
      </c>
      <c r="L1224" s="89">
        <f>IFERROR(__xludf.DUMMYFUNCTION("""COMPUTED_VALUE"""),5.0)</f>
        <v>5</v>
      </c>
      <c r="M1224" s="26" t="str">
        <f>IFERROR(__xludf.DUMMYFUNCTION("""COMPUTED_VALUE"""),"Platformer")</f>
        <v>Platformer</v>
      </c>
      <c r="N1224" s="26"/>
      <c r="O1224" s="26" t="str">
        <f>IFERROR(__xludf.DUMMYFUNCTION("""COMPUTED_VALUE"""),"No")</f>
        <v>No</v>
      </c>
      <c r="P1224" s="26"/>
    </row>
    <row r="1225">
      <c r="A1225" s="81" t="str">
        <f>IFERROR(__xludf.DUMMYFUNCTION("""COMPUTED_VALUE"""),"Grand Kingdom")</f>
        <v>Grand Kingdom</v>
      </c>
      <c r="B1225" s="82" t="str">
        <f>IFERROR(__xludf.DUMMYFUNCTION("""COMPUTED_VALUE"""),"PS4/Vita")</f>
        <v>PS4/Vita</v>
      </c>
      <c r="C1225" s="83" t="str">
        <f>IFERROR(__xludf.DUMMYFUNCTION("""COMPUTED_VALUE"""),"Playstation Plus (Discontinued)")</f>
        <v>Playstation Plus (Discontinued)</v>
      </c>
      <c r="D1225" s="82" t="str">
        <f>IFERROR(__xludf.DUMMYFUNCTION("""COMPUTED_VALUE"""),"Removed")</f>
        <v>Removed</v>
      </c>
      <c r="E1225" s="84">
        <f>IFERROR(__xludf.DUMMYFUNCTION("""COMPUTED_VALUE"""),43137.0)</f>
        <v>43137</v>
      </c>
      <c r="F1225" s="85">
        <f>IFERROR(__xludf.DUMMYFUNCTION("""COMPUTED_VALUE"""),43164.0)</f>
        <v>43164</v>
      </c>
      <c r="G1225" s="86">
        <f>IFERROR(__xludf.DUMMYFUNCTION("""COMPUTED_VALUE"""),0.9666666666666668)</f>
        <v>0.9666666667</v>
      </c>
      <c r="H1225" s="84">
        <f>IFERROR(__xludf.DUMMYFUNCTION("""COMPUTED_VALUE"""),42542.0)</f>
        <v>42542</v>
      </c>
      <c r="I1225" s="86">
        <f>IFERROR(__xludf.DUMMYFUNCTION("""COMPUTED_VALUE"""),1.625)</f>
        <v>1.625</v>
      </c>
      <c r="J1225" s="87">
        <f>IFERROR(__xludf.DUMMYFUNCTION("""COMPUTED_VALUE"""),78.0)</f>
        <v>78</v>
      </c>
      <c r="K1225" s="88">
        <f>IFERROR(__xludf.DUMMYFUNCTION("""COMPUTED_VALUE"""),7.5)</f>
        <v>7.5</v>
      </c>
      <c r="L1225" s="89">
        <f>IFERROR(__xludf.DUMMYFUNCTION("""COMPUTED_VALUE"""),40.0)</f>
        <v>40</v>
      </c>
      <c r="M1225" s="26" t="str">
        <f>IFERROR(__xludf.DUMMYFUNCTION("""COMPUTED_VALUE"""),"RPG")</f>
        <v>RPG</v>
      </c>
      <c r="N1225" s="26"/>
      <c r="O1225" s="26" t="str">
        <f>IFERROR(__xludf.DUMMYFUNCTION("""COMPUTED_VALUE"""),"No")</f>
        <v>No</v>
      </c>
      <c r="P1225" s="26"/>
    </row>
    <row r="1226">
      <c r="A1226" s="81" t="str">
        <f>IFERROR(__xludf.DUMMYFUNCTION("""COMPUTED_VALUE"""),"Deus Ex: Mankind Divided")</f>
        <v>Deus Ex: Mankind Divided</v>
      </c>
      <c r="B1226" s="82" t="str">
        <f>IFERROR(__xludf.DUMMYFUNCTION("""COMPUTED_VALUE"""),"PS4")</f>
        <v>PS4</v>
      </c>
      <c r="C1226" s="83" t="str">
        <f>IFERROR(__xludf.DUMMYFUNCTION("""COMPUTED_VALUE"""),"Playstation Plus (Discontinued)")</f>
        <v>Playstation Plus (Discontinued)</v>
      </c>
      <c r="D1226" s="82" t="str">
        <f>IFERROR(__xludf.DUMMYFUNCTION("""COMPUTED_VALUE"""),"Removed")</f>
        <v>Removed</v>
      </c>
      <c r="E1226" s="84">
        <f>IFERROR(__xludf.DUMMYFUNCTION("""COMPUTED_VALUE"""),43102.0)</f>
        <v>43102</v>
      </c>
      <c r="F1226" s="85">
        <f>IFERROR(__xludf.DUMMYFUNCTION("""COMPUTED_VALUE"""),43136.0)</f>
        <v>43136</v>
      </c>
      <c r="G1226" s="86">
        <f>IFERROR(__xludf.DUMMYFUNCTION("""COMPUTED_VALUE"""),1.0999999999999999)</f>
        <v>1.1</v>
      </c>
      <c r="H1226" s="84">
        <f>IFERROR(__xludf.DUMMYFUNCTION("""COMPUTED_VALUE"""),42605.0)</f>
        <v>42605</v>
      </c>
      <c r="I1226" s="86">
        <f>IFERROR(__xludf.DUMMYFUNCTION("""COMPUTED_VALUE"""),1.3583333333333334)</f>
        <v>1.358333333</v>
      </c>
      <c r="J1226" s="87">
        <f>IFERROR(__xludf.DUMMYFUNCTION("""COMPUTED_VALUE"""),84.0)</f>
        <v>84</v>
      </c>
      <c r="K1226" s="88">
        <f>IFERROR(__xludf.DUMMYFUNCTION("""COMPUTED_VALUE"""),7.7)</f>
        <v>7.7</v>
      </c>
      <c r="L1226" s="89">
        <f>IFERROR(__xludf.DUMMYFUNCTION("""COMPUTED_VALUE"""),15.0)</f>
        <v>15</v>
      </c>
      <c r="M1226" s="26" t="str">
        <f>IFERROR(__xludf.DUMMYFUNCTION("""COMPUTED_VALUE"""),"Action-Adventure")</f>
        <v>Action-Adventure</v>
      </c>
      <c r="N1226" s="26"/>
      <c r="O1226" s="26" t="str">
        <f>IFERROR(__xludf.DUMMYFUNCTION("""COMPUTED_VALUE"""),"No")</f>
        <v>No</v>
      </c>
      <c r="P1226" s="26"/>
    </row>
    <row r="1227">
      <c r="A1227" s="81" t="str">
        <f>IFERROR(__xludf.DUMMYFUNCTION("""COMPUTED_VALUE"""),"Batman: The Telltale Series")</f>
        <v>Batman: The Telltale Series</v>
      </c>
      <c r="B1227" s="82" t="str">
        <f>IFERROR(__xludf.DUMMYFUNCTION("""COMPUTED_VALUE"""),"PS4")</f>
        <v>PS4</v>
      </c>
      <c r="C1227" s="83" t="str">
        <f>IFERROR(__xludf.DUMMYFUNCTION("""COMPUTED_VALUE"""),"Playstation Plus (Discontinued)")</f>
        <v>Playstation Plus (Discontinued)</v>
      </c>
      <c r="D1227" s="82" t="str">
        <f>IFERROR(__xludf.DUMMYFUNCTION("""COMPUTED_VALUE"""),"Removed")</f>
        <v>Removed</v>
      </c>
      <c r="E1227" s="84">
        <f>IFERROR(__xludf.DUMMYFUNCTION("""COMPUTED_VALUE"""),43102.0)</f>
        <v>43102</v>
      </c>
      <c r="F1227" s="85">
        <f>IFERROR(__xludf.DUMMYFUNCTION("""COMPUTED_VALUE"""),43136.0)</f>
        <v>43136</v>
      </c>
      <c r="G1227" s="86">
        <f>IFERROR(__xludf.DUMMYFUNCTION("""COMPUTED_VALUE"""),1.0999999999999999)</f>
        <v>1.1</v>
      </c>
      <c r="H1227" s="84">
        <f>IFERROR(__xludf.DUMMYFUNCTION("""COMPUTED_VALUE"""),42584.0)</f>
        <v>42584</v>
      </c>
      <c r="I1227" s="86">
        <f>IFERROR(__xludf.DUMMYFUNCTION("""COMPUTED_VALUE"""),1.4166666666666667)</f>
        <v>1.416666667</v>
      </c>
      <c r="J1227" s="87">
        <f>IFERROR(__xludf.DUMMYFUNCTION("""COMPUTED_VALUE"""),68.0)</f>
        <v>68</v>
      </c>
      <c r="K1227" s="88">
        <f>IFERROR(__xludf.DUMMYFUNCTION("""COMPUTED_VALUE"""),6.7)</f>
        <v>6.7</v>
      </c>
      <c r="L1227" s="89">
        <f>IFERROR(__xludf.DUMMYFUNCTION("""COMPUTED_VALUE"""),12.0)</f>
        <v>12</v>
      </c>
      <c r="M1227" s="26" t="str">
        <f>IFERROR(__xludf.DUMMYFUNCTION("""COMPUTED_VALUE"""),"Adventure")</f>
        <v>Adventure</v>
      </c>
      <c r="N1227" s="26"/>
      <c r="O1227" s="26" t="str">
        <f>IFERROR(__xludf.DUMMYFUNCTION("""COMPUTED_VALUE"""),"No")</f>
        <v>No</v>
      </c>
      <c r="P1227" s="26"/>
    </row>
    <row r="1228">
      <c r="A1228" s="81" t="str">
        <f>IFERROR(__xludf.DUMMYFUNCTION("""COMPUTED_VALUE"""),"Starblood Arena")</f>
        <v>Starblood Arena</v>
      </c>
      <c r="B1228" s="82" t="str">
        <f>IFERROR(__xludf.DUMMYFUNCTION("""COMPUTED_VALUE"""),"PS4/PSVR")</f>
        <v>PS4/PSVR</v>
      </c>
      <c r="C1228" s="83" t="str">
        <f>IFERROR(__xludf.DUMMYFUNCTION("""COMPUTED_VALUE"""),"Playstation Plus (Discontinued)")</f>
        <v>Playstation Plus (Discontinued)</v>
      </c>
      <c r="D1228" s="82" t="str">
        <f>IFERROR(__xludf.DUMMYFUNCTION("""COMPUTED_VALUE"""),"Removed")</f>
        <v>Removed</v>
      </c>
      <c r="E1228" s="84">
        <f>IFERROR(__xludf.DUMMYFUNCTION("""COMPUTED_VALUE"""),43102.0)</f>
        <v>43102</v>
      </c>
      <c r="F1228" s="85">
        <f>IFERROR(__xludf.DUMMYFUNCTION("""COMPUTED_VALUE"""),43136.0)</f>
        <v>43136</v>
      </c>
      <c r="G1228" s="86">
        <f>IFERROR(__xludf.DUMMYFUNCTION("""COMPUTED_VALUE"""),1.0999999999999999)</f>
        <v>1.1</v>
      </c>
      <c r="H1228" s="84">
        <f>IFERROR(__xludf.DUMMYFUNCTION("""COMPUTED_VALUE"""),42836.0)</f>
        <v>42836</v>
      </c>
      <c r="I1228" s="86">
        <f>IFERROR(__xludf.DUMMYFUNCTION("""COMPUTED_VALUE"""),0.725)</f>
        <v>0.725</v>
      </c>
      <c r="J1228" s="87">
        <f>IFERROR(__xludf.DUMMYFUNCTION("""COMPUTED_VALUE"""),68.0)</f>
        <v>68</v>
      </c>
      <c r="K1228" s="88">
        <f>IFERROR(__xludf.DUMMYFUNCTION("""COMPUTED_VALUE"""),7.0)</f>
        <v>7</v>
      </c>
      <c r="L1228" s="89"/>
      <c r="M1228" s="26" t="str">
        <f>IFERROR(__xludf.DUMMYFUNCTION("""COMPUTED_VALUE"""),"Shooter")</f>
        <v>Shooter</v>
      </c>
      <c r="N1228" s="26"/>
      <c r="O1228" s="26" t="str">
        <f>IFERROR(__xludf.DUMMYFUNCTION("""COMPUTED_VALUE"""),"No")</f>
        <v>No</v>
      </c>
      <c r="P1228" s="26"/>
    </row>
    <row r="1229">
      <c r="A1229" s="81" t="str">
        <f>IFERROR(__xludf.DUMMYFUNCTION("""COMPUTED_VALUE"""),"Sacred 3")</f>
        <v>Sacred 3</v>
      </c>
      <c r="B1229" s="82" t="str">
        <f>IFERROR(__xludf.DUMMYFUNCTION("""COMPUTED_VALUE"""),"PS3")</f>
        <v>PS3</v>
      </c>
      <c r="C1229" s="83" t="str">
        <f>IFERROR(__xludf.DUMMYFUNCTION("""COMPUTED_VALUE"""),"Playstation Plus (Discontinued)")</f>
        <v>Playstation Plus (Discontinued)</v>
      </c>
      <c r="D1229" s="82" t="str">
        <f>IFERROR(__xludf.DUMMYFUNCTION("""COMPUTED_VALUE"""),"Removed")</f>
        <v>Removed</v>
      </c>
      <c r="E1229" s="84">
        <f>IFERROR(__xludf.DUMMYFUNCTION("""COMPUTED_VALUE"""),43102.0)</f>
        <v>43102</v>
      </c>
      <c r="F1229" s="85">
        <f>IFERROR(__xludf.DUMMYFUNCTION("""COMPUTED_VALUE"""),43136.0)</f>
        <v>43136</v>
      </c>
      <c r="G1229" s="86">
        <f>IFERROR(__xludf.DUMMYFUNCTION("""COMPUTED_VALUE"""),1.0999999999999999)</f>
        <v>1.1</v>
      </c>
      <c r="H1229" s="84">
        <f>IFERROR(__xludf.DUMMYFUNCTION("""COMPUTED_VALUE"""),41856.0)</f>
        <v>41856</v>
      </c>
      <c r="I1229" s="86">
        <f>IFERROR(__xludf.DUMMYFUNCTION("""COMPUTED_VALUE"""),3.408333333333333)</f>
        <v>3.408333333</v>
      </c>
      <c r="J1229" s="87">
        <f>IFERROR(__xludf.DUMMYFUNCTION("""COMPUTED_VALUE"""),56.0)</f>
        <v>56</v>
      </c>
      <c r="K1229" s="88">
        <f>IFERROR(__xludf.DUMMYFUNCTION("""COMPUTED_VALUE"""),5.1)</f>
        <v>5.1</v>
      </c>
      <c r="L1229" s="89">
        <f>IFERROR(__xludf.DUMMYFUNCTION("""COMPUTED_VALUE"""),10.0)</f>
        <v>10</v>
      </c>
      <c r="M1229" s="26" t="str">
        <f>IFERROR(__xludf.DUMMYFUNCTION("""COMPUTED_VALUE"""),"Action-Adventure")</f>
        <v>Action-Adventure</v>
      </c>
      <c r="N1229" s="26"/>
      <c r="O1229" s="26" t="str">
        <f>IFERROR(__xludf.DUMMYFUNCTION("""COMPUTED_VALUE"""),"No")</f>
        <v>No</v>
      </c>
      <c r="P1229" s="26"/>
    </row>
    <row r="1230">
      <c r="A1230" s="81" t="str">
        <f>IFERROR(__xludf.DUMMYFUNCTION("""COMPUTED_VALUE"""),"Book of Unwritten Tales 2")</f>
        <v>Book of Unwritten Tales 2</v>
      </c>
      <c r="B1230" s="82" t="str">
        <f>IFERROR(__xludf.DUMMYFUNCTION("""COMPUTED_VALUE"""),"PS3")</f>
        <v>PS3</v>
      </c>
      <c r="C1230" s="83" t="str">
        <f>IFERROR(__xludf.DUMMYFUNCTION("""COMPUTED_VALUE"""),"Playstation Plus (Discontinued)")</f>
        <v>Playstation Plus (Discontinued)</v>
      </c>
      <c r="D1230" s="82" t="str">
        <f>IFERROR(__xludf.DUMMYFUNCTION("""COMPUTED_VALUE"""),"Removed")</f>
        <v>Removed</v>
      </c>
      <c r="E1230" s="84">
        <f>IFERROR(__xludf.DUMMYFUNCTION("""COMPUTED_VALUE"""),43102.0)</f>
        <v>43102</v>
      </c>
      <c r="F1230" s="85">
        <f>IFERROR(__xludf.DUMMYFUNCTION("""COMPUTED_VALUE"""),43136.0)</f>
        <v>43136</v>
      </c>
      <c r="G1230" s="86">
        <f>IFERROR(__xludf.DUMMYFUNCTION("""COMPUTED_VALUE"""),1.0999999999999999)</f>
        <v>1.1</v>
      </c>
      <c r="H1230" s="84">
        <f>IFERROR(__xludf.DUMMYFUNCTION("""COMPUTED_VALUE"""),42054.0)</f>
        <v>42054</v>
      </c>
      <c r="I1230" s="86">
        <f>IFERROR(__xludf.DUMMYFUNCTION("""COMPUTED_VALUE"""),2.8694444444444445)</f>
        <v>2.869444444</v>
      </c>
      <c r="J1230" s="87">
        <f>IFERROR(__xludf.DUMMYFUNCTION("""COMPUTED_VALUE"""),75.0)</f>
        <v>75</v>
      </c>
      <c r="K1230" s="88">
        <f>IFERROR(__xludf.DUMMYFUNCTION("""COMPUTED_VALUE"""),7.6)</f>
        <v>7.6</v>
      </c>
      <c r="L1230" s="89">
        <f>IFERROR(__xludf.DUMMYFUNCTION("""COMPUTED_VALUE"""),13.0)</f>
        <v>13</v>
      </c>
      <c r="M1230" s="26" t="str">
        <f>IFERROR(__xludf.DUMMYFUNCTION("""COMPUTED_VALUE"""),"Adventure")</f>
        <v>Adventure</v>
      </c>
      <c r="N1230" s="26"/>
      <c r="O1230" s="26" t="str">
        <f>IFERROR(__xludf.DUMMYFUNCTION("""COMPUTED_VALUE"""),"No")</f>
        <v>No</v>
      </c>
      <c r="P1230" s="26"/>
    </row>
    <row r="1231">
      <c r="A1231" s="81" t="str">
        <f>IFERROR(__xludf.DUMMYFUNCTION("""COMPUTED_VALUE"""),"Psycho-Pass: Mandatory Happiness")</f>
        <v>Psycho-Pass: Mandatory Happiness</v>
      </c>
      <c r="B1231" s="82" t="str">
        <f>IFERROR(__xludf.DUMMYFUNCTION("""COMPUTED_VALUE"""),"PS4/Vita")</f>
        <v>PS4/Vita</v>
      </c>
      <c r="C1231" s="83" t="str">
        <f>IFERROR(__xludf.DUMMYFUNCTION("""COMPUTED_VALUE"""),"Playstation Plus (Discontinued)")</f>
        <v>Playstation Plus (Discontinued)</v>
      </c>
      <c r="D1231" s="82" t="str">
        <f>IFERROR(__xludf.DUMMYFUNCTION("""COMPUTED_VALUE"""),"Removed")</f>
        <v>Removed</v>
      </c>
      <c r="E1231" s="84">
        <f>IFERROR(__xludf.DUMMYFUNCTION("""COMPUTED_VALUE"""),43102.0)</f>
        <v>43102</v>
      </c>
      <c r="F1231" s="85">
        <f>IFERROR(__xludf.DUMMYFUNCTION("""COMPUTED_VALUE"""),43136.0)</f>
        <v>43136</v>
      </c>
      <c r="G1231" s="86">
        <f>IFERROR(__xludf.DUMMYFUNCTION("""COMPUTED_VALUE"""),1.0999999999999999)</f>
        <v>1.1</v>
      </c>
      <c r="H1231" s="84">
        <f>IFERROR(__xludf.DUMMYFUNCTION("""COMPUTED_VALUE"""),42626.0)</f>
        <v>42626</v>
      </c>
      <c r="I1231" s="86">
        <f>IFERROR(__xludf.DUMMYFUNCTION("""COMPUTED_VALUE"""),1.3027777777777778)</f>
        <v>1.302777778</v>
      </c>
      <c r="J1231" s="87">
        <f>IFERROR(__xludf.DUMMYFUNCTION("""COMPUTED_VALUE"""),64.0)</f>
        <v>64</v>
      </c>
      <c r="K1231" s="88">
        <f>IFERROR(__xludf.DUMMYFUNCTION("""COMPUTED_VALUE"""),7.0)</f>
        <v>7</v>
      </c>
      <c r="L1231" s="89">
        <f>IFERROR(__xludf.DUMMYFUNCTION("""COMPUTED_VALUE"""),12.0)</f>
        <v>12</v>
      </c>
      <c r="M1231" s="26" t="str">
        <f>IFERROR(__xludf.DUMMYFUNCTION("""COMPUTED_VALUE"""),"Adventure")</f>
        <v>Adventure</v>
      </c>
      <c r="N1231" s="26"/>
      <c r="O1231" s="26" t="str">
        <f>IFERROR(__xludf.DUMMYFUNCTION("""COMPUTED_VALUE"""),"No")</f>
        <v>No</v>
      </c>
      <c r="P1231" s="26"/>
    </row>
    <row r="1232">
      <c r="A1232" s="81" t="str">
        <f>IFERROR(__xludf.DUMMYFUNCTION("""COMPUTED_VALUE"""),"Uncanny Valley")</f>
        <v>Uncanny Valley</v>
      </c>
      <c r="B1232" s="82" t="str">
        <f>IFERROR(__xludf.DUMMYFUNCTION("""COMPUTED_VALUE"""),"PS4/Vita")</f>
        <v>PS4/Vita</v>
      </c>
      <c r="C1232" s="83" t="str">
        <f>IFERROR(__xludf.DUMMYFUNCTION("""COMPUTED_VALUE"""),"Playstation Plus (Discontinued)")</f>
        <v>Playstation Plus (Discontinued)</v>
      </c>
      <c r="D1232" s="82" t="str">
        <f>IFERROR(__xludf.DUMMYFUNCTION("""COMPUTED_VALUE"""),"Removed")</f>
        <v>Removed</v>
      </c>
      <c r="E1232" s="84">
        <f>IFERROR(__xludf.DUMMYFUNCTION("""COMPUTED_VALUE"""),43102.0)</f>
        <v>43102</v>
      </c>
      <c r="F1232" s="85">
        <f>IFERROR(__xludf.DUMMYFUNCTION("""COMPUTED_VALUE"""),43136.0)</f>
        <v>43136</v>
      </c>
      <c r="G1232" s="86">
        <f>IFERROR(__xludf.DUMMYFUNCTION("""COMPUTED_VALUE"""),1.0999999999999999)</f>
        <v>1.1</v>
      </c>
      <c r="H1232" s="84">
        <f>IFERROR(__xludf.DUMMYFUNCTION("""COMPUTED_VALUE"""),42781.0)</f>
        <v>42781</v>
      </c>
      <c r="I1232" s="86">
        <f>IFERROR(__xludf.DUMMYFUNCTION("""COMPUTED_VALUE"""),0.8805555555555555)</f>
        <v>0.8805555556</v>
      </c>
      <c r="J1232" s="87">
        <f>IFERROR(__xludf.DUMMYFUNCTION("""COMPUTED_VALUE"""),52.0)</f>
        <v>52</v>
      </c>
      <c r="K1232" s="88">
        <f>IFERROR(__xludf.DUMMYFUNCTION("""COMPUTED_VALUE"""),6.1)</f>
        <v>6.1</v>
      </c>
      <c r="L1232" s="89">
        <f>IFERROR(__xludf.DUMMYFUNCTION("""COMPUTED_VALUE"""),5.0)</f>
        <v>5</v>
      </c>
      <c r="M1232" s="26" t="str">
        <f>IFERROR(__xludf.DUMMYFUNCTION("""COMPUTED_VALUE"""),"Horror")</f>
        <v>Horror</v>
      </c>
      <c r="N1232" s="26"/>
      <c r="O1232" s="26" t="str">
        <f>IFERROR(__xludf.DUMMYFUNCTION("""COMPUTED_VALUE"""),"No")</f>
        <v>No</v>
      </c>
      <c r="P1232" s="26"/>
    </row>
    <row r="1233">
      <c r="A1233" s="81" t="str">
        <f>IFERROR(__xludf.DUMMYFUNCTION("""COMPUTED_VALUE"""),"Darksiders II Deathinitive Edition")</f>
        <v>Darksiders II Deathinitive Edition</v>
      </c>
      <c r="B1233" s="82" t="str">
        <f>IFERROR(__xludf.DUMMYFUNCTION("""COMPUTED_VALUE"""),"PS4")</f>
        <v>PS4</v>
      </c>
      <c r="C1233" s="83" t="str">
        <f>IFERROR(__xludf.DUMMYFUNCTION("""COMPUTED_VALUE"""),"Playstation Plus (Discontinued)")</f>
        <v>Playstation Plus (Discontinued)</v>
      </c>
      <c r="D1233" s="82" t="str">
        <f>IFERROR(__xludf.DUMMYFUNCTION("""COMPUTED_VALUE"""),"Removed")</f>
        <v>Removed</v>
      </c>
      <c r="E1233" s="84">
        <f>IFERROR(__xludf.DUMMYFUNCTION("""COMPUTED_VALUE"""),43074.0)</f>
        <v>43074</v>
      </c>
      <c r="F1233" s="85">
        <f>IFERROR(__xludf.DUMMYFUNCTION("""COMPUTED_VALUE"""),43101.0)</f>
        <v>43101</v>
      </c>
      <c r="G1233" s="86">
        <f>IFERROR(__xludf.DUMMYFUNCTION("""COMPUTED_VALUE"""),0.8666666666666666)</f>
        <v>0.8666666667</v>
      </c>
      <c r="H1233" s="84">
        <f>IFERROR(__xludf.DUMMYFUNCTION("""COMPUTED_VALUE"""),42304.0)</f>
        <v>42304</v>
      </c>
      <c r="I1233" s="86">
        <f>IFERROR(__xludf.DUMMYFUNCTION("""COMPUTED_VALUE"""),2.1055555555555556)</f>
        <v>2.105555556</v>
      </c>
      <c r="J1233" s="87">
        <f>IFERROR(__xludf.DUMMYFUNCTION("""COMPUTED_VALUE"""),72.0)</f>
        <v>72</v>
      </c>
      <c r="K1233" s="88">
        <f>IFERROR(__xludf.DUMMYFUNCTION("""COMPUTED_VALUE"""),7.4)</f>
        <v>7.4</v>
      </c>
      <c r="L1233" s="89">
        <f>IFERROR(__xludf.DUMMYFUNCTION("""COMPUTED_VALUE"""),25.0)</f>
        <v>25</v>
      </c>
      <c r="M1233" s="26" t="str">
        <f>IFERROR(__xludf.DUMMYFUNCTION("""COMPUTED_VALUE"""),"Action-Adventure")</f>
        <v>Action-Adventure</v>
      </c>
      <c r="N1233" s="26"/>
      <c r="O1233" s="26" t="str">
        <f>IFERROR(__xludf.DUMMYFUNCTION("""COMPUTED_VALUE"""),"No")</f>
        <v>No</v>
      </c>
      <c r="P1233" s="26"/>
    </row>
    <row r="1234">
      <c r="A1234" s="81" t="str">
        <f>IFERROR(__xludf.DUMMYFUNCTION("""COMPUTED_VALUE"""),"Kung Fu Panda: Showdown of Legendary Legends")</f>
        <v>Kung Fu Panda: Showdown of Legendary Legends</v>
      </c>
      <c r="B1234" s="82" t="str">
        <f>IFERROR(__xludf.DUMMYFUNCTION("""COMPUTED_VALUE"""),"PS4")</f>
        <v>PS4</v>
      </c>
      <c r="C1234" s="83" t="str">
        <f>IFERROR(__xludf.DUMMYFUNCTION("""COMPUTED_VALUE"""),"Playstation Plus (Discontinued)")</f>
        <v>Playstation Plus (Discontinued)</v>
      </c>
      <c r="D1234" s="82" t="str">
        <f>IFERROR(__xludf.DUMMYFUNCTION("""COMPUTED_VALUE"""),"Removed")</f>
        <v>Removed</v>
      </c>
      <c r="E1234" s="84">
        <f>IFERROR(__xludf.DUMMYFUNCTION("""COMPUTED_VALUE"""),43074.0)</f>
        <v>43074</v>
      </c>
      <c r="F1234" s="85">
        <f>IFERROR(__xludf.DUMMYFUNCTION("""COMPUTED_VALUE"""),43101.0)</f>
        <v>43101</v>
      </c>
      <c r="G1234" s="86">
        <f>IFERROR(__xludf.DUMMYFUNCTION("""COMPUTED_VALUE"""),0.8666666666666666)</f>
        <v>0.8666666667</v>
      </c>
      <c r="H1234" s="84">
        <f>IFERROR(__xludf.DUMMYFUNCTION("""COMPUTED_VALUE"""),42325.0)</f>
        <v>42325</v>
      </c>
      <c r="I1234" s="86">
        <f>IFERROR(__xludf.DUMMYFUNCTION("""COMPUTED_VALUE"""),2.05)</f>
        <v>2.05</v>
      </c>
      <c r="J1234" s="87">
        <f>IFERROR(__xludf.DUMMYFUNCTION("""COMPUTED_VALUE"""),63.0)</f>
        <v>63</v>
      </c>
      <c r="K1234" s="88">
        <f>IFERROR(__xludf.DUMMYFUNCTION("""COMPUTED_VALUE"""),6.5)</f>
        <v>6.5</v>
      </c>
      <c r="L1234" s="89">
        <f>IFERROR(__xludf.DUMMYFUNCTION("""COMPUTED_VALUE"""),3.0)</f>
        <v>3</v>
      </c>
      <c r="M1234" s="26" t="str">
        <f>IFERROR(__xludf.DUMMYFUNCTION("""COMPUTED_VALUE"""),"Fighting")</f>
        <v>Fighting</v>
      </c>
      <c r="N1234" s="26"/>
      <c r="O1234" s="26" t="str">
        <f>IFERROR(__xludf.DUMMYFUNCTION("""COMPUTED_VALUE"""),"No")</f>
        <v>No</v>
      </c>
      <c r="P1234" s="26"/>
    </row>
    <row r="1235">
      <c r="A1235" s="81" t="str">
        <f>IFERROR(__xludf.DUMMYFUNCTION("""COMPUTED_VALUE"""),"Syberia Collection")</f>
        <v>Syberia Collection</v>
      </c>
      <c r="B1235" s="82" t="str">
        <f>IFERROR(__xludf.DUMMYFUNCTION("""COMPUTED_VALUE"""),"PS3")</f>
        <v>PS3</v>
      </c>
      <c r="C1235" s="83" t="str">
        <f>IFERROR(__xludf.DUMMYFUNCTION("""COMPUTED_VALUE"""),"Playstation Plus (Discontinued)")</f>
        <v>Playstation Plus (Discontinued)</v>
      </c>
      <c r="D1235" s="82" t="str">
        <f>IFERROR(__xludf.DUMMYFUNCTION("""COMPUTED_VALUE"""),"Removed")</f>
        <v>Removed</v>
      </c>
      <c r="E1235" s="84">
        <f>IFERROR(__xludf.DUMMYFUNCTION("""COMPUTED_VALUE"""),43074.0)</f>
        <v>43074</v>
      </c>
      <c r="F1235" s="85">
        <f>IFERROR(__xludf.DUMMYFUNCTION("""COMPUTED_VALUE"""),43101.0)</f>
        <v>43101</v>
      </c>
      <c r="G1235" s="86">
        <f>IFERROR(__xludf.DUMMYFUNCTION("""COMPUTED_VALUE"""),0.8666666666666666)</f>
        <v>0.8666666667</v>
      </c>
      <c r="H1235" s="84">
        <f>IFERROR(__xludf.DUMMYFUNCTION("""COMPUTED_VALUE"""),42675.0)</f>
        <v>42675</v>
      </c>
      <c r="I1235" s="86">
        <f>IFERROR(__xludf.DUMMYFUNCTION("""COMPUTED_VALUE"""),1.0944444444444446)</f>
        <v>1.094444444</v>
      </c>
      <c r="J1235" s="87"/>
      <c r="K1235" s="88"/>
      <c r="L1235" s="89"/>
      <c r="M1235" s="26" t="str">
        <f>IFERROR(__xludf.DUMMYFUNCTION("""COMPUTED_VALUE"""),"Adventure")</f>
        <v>Adventure</v>
      </c>
      <c r="N1235" s="26"/>
      <c r="O1235" s="26" t="str">
        <f>IFERROR(__xludf.DUMMYFUNCTION("""COMPUTED_VALUE"""),"No")</f>
        <v>No</v>
      </c>
      <c r="P1235" s="26"/>
    </row>
    <row r="1236">
      <c r="A1236" s="81" t="str">
        <f>IFERROR(__xludf.DUMMYFUNCTION("""COMPUTED_VALUE"""),"Xblaze Lost: Memories")</f>
        <v>Xblaze Lost: Memories</v>
      </c>
      <c r="B1236" s="82" t="str">
        <f>IFERROR(__xludf.DUMMYFUNCTION("""COMPUTED_VALUE"""),"PS3")</f>
        <v>PS3</v>
      </c>
      <c r="C1236" s="83" t="str">
        <f>IFERROR(__xludf.DUMMYFUNCTION("""COMPUTED_VALUE"""),"Playstation Plus (Discontinued)")</f>
        <v>Playstation Plus (Discontinued)</v>
      </c>
      <c r="D1236" s="82" t="str">
        <f>IFERROR(__xludf.DUMMYFUNCTION("""COMPUTED_VALUE"""),"Removed")</f>
        <v>Removed</v>
      </c>
      <c r="E1236" s="84">
        <f>IFERROR(__xludf.DUMMYFUNCTION("""COMPUTED_VALUE"""),43074.0)</f>
        <v>43074</v>
      </c>
      <c r="F1236" s="85">
        <f>IFERROR(__xludf.DUMMYFUNCTION("""COMPUTED_VALUE"""),43101.0)</f>
        <v>43101</v>
      </c>
      <c r="G1236" s="86">
        <f>IFERROR(__xludf.DUMMYFUNCTION("""COMPUTED_VALUE"""),0.8666666666666666)</f>
        <v>0.8666666667</v>
      </c>
      <c r="H1236" s="84">
        <f>IFERROR(__xludf.DUMMYFUNCTION("""COMPUTED_VALUE"""),42115.0)</f>
        <v>42115</v>
      </c>
      <c r="I1236" s="86">
        <f>IFERROR(__xludf.DUMMYFUNCTION("""COMPUTED_VALUE"""),2.6222222222222222)</f>
        <v>2.622222222</v>
      </c>
      <c r="J1236" s="87">
        <f>IFERROR(__xludf.DUMMYFUNCTION("""COMPUTED_VALUE"""),63.0)</f>
        <v>63</v>
      </c>
      <c r="K1236" s="88">
        <f>IFERROR(__xludf.DUMMYFUNCTION("""COMPUTED_VALUE"""),7.0)</f>
        <v>7</v>
      </c>
      <c r="L1236" s="89">
        <f>IFERROR(__xludf.DUMMYFUNCTION("""COMPUTED_VALUE"""),10.0)</f>
        <v>10</v>
      </c>
      <c r="M1236" s="26" t="str">
        <f>IFERROR(__xludf.DUMMYFUNCTION("""COMPUTED_VALUE"""),"Visual Novel")</f>
        <v>Visual Novel</v>
      </c>
      <c r="N1236" s="26"/>
      <c r="O1236" s="26" t="str">
        <f>IFERROR(__xludf.DUMMYFUNCTION("""COMPUTED_VALUE"""),"No")</f>
        <v>No</v>
      </c>
      <c r="P1236" s="26"/>
    </row>
    <row r="1237">
      <c r="A1237" s="81" t="str">
        <f>IFERROR(__xludf.DUMMYFUNCTION("""COMPUTED_VALUE"""),"Forma.8")</f>
        <v>Forma.8</v>
      </c>
      <c r="B1237" s="82" t="str">
        <f>IFERROR(__xludf.DUMMYFUNCTION("""COMPUTED_VALUE"""),"PS4/Vita")</f>
        <v>PS4/Vita</v>
      </c>
      <c r="C1237" s="83" t="str">
        <f>IFERROR(__xludf.DUMMYFUNCTION("""COMPUTED_VALUE"""),"Playstation Plus (Discontinued)")</f>
        <v>Playstation Plus (Discontinued)</v>
      </c>
      <c r="D1237" s="82" t="str">
        <f>IFERROR(__xludf.DUMMYFUNCTION("""COMPUTED_VALUE"""),"Removed")</f>
        <v>Removed</v>
      </c>
      <c r="E1237" s="84">
        <f>IFERROR(__xludf.DUMMYFUNCTION("""COMPUTED_VALUE"""),43074.0)</f>
        <v>43074</v>
      </c>
      <c r="F1237" s="85">
        <f>IFERROR(__xludf.DUMMYFUNCTION("""COMPUTED_VALUE"""),43101.0)</f>
        <v>43101</v>
      </c>
      <c r="G1237" s="86">
        <f>IFERROR(__xludf.DUMMYFUNCTION("""COMPUTED_VALUE"""),0.8666666666666666)</f>
        <v>0.8666666667</v>
      </c>
      <c r="H1237" s="84">
        <f>IFERROR(__xludf.DUMMYFUNCTION("""COMPUTED_VALUE"""),42789.0)</f>
        <v>42789</v>
      </c>
      <c r="I1237" s="86">
        <f>IFERROR(__xludf.DUMMYFUNCTION("""COMPUTED_VALUE"""),0.7833333333333333)</f>
        <v>0.7833333333</v>
      </c>
      <c r="J1237" s="87">
        <f>IFERROR(__xludf.DUMMYFUNCTION("""COMPUTED_VALUE"""),78.0)</f>
        <v>78</v>
      </c>
      <c r="K1237" s="88">
        <f>IFERROR(__xludf.DUMMYFUNCTION("""COMPUTED_VALUE"""),6.7)</f>
        <v>6.7</v>
      </c>
      <c r="L1237" s="89">
        <f>IFERROR(__xludf.DUMMYFUNCTION("""COMPUTED_VALUE"""),7.0)</f>
        <v>7</v>
      </c>
      <c r="M1237" s="26" t="str">
        <f>IFERROR(__xludf.DUMMYFUNCTION("""COMPUTED_VALUE"""),"Action-Adventure")</f>
        <v>Action-Adventure</v>
      </c>
      <c r="N1237" s="26"/>
      <c r="O1237" s="26" t="str">
        <f>IFERROR(__xludf.DUMMYFUNCTION("""COMPUTED_VALUE"""),"No")</f>
        <v>No</v>
      </c>
      <c r="P1237" s="26"/>
    </row>
    <row r="1238">
      <c r="A1238" s="81" t="str">
        <f>IFERROR(__xludf.DUMMYFUNCTION("""COMPUTED_VALUE"""),"Wanted Corp")</f>
        <v>Wanted Corp</v>
      </c>
      <c r="B1238" s="82" t="str">
        <f>IFERROR(__xludf.DUMMYFUNCTION("""COMPUTED_VALUE"""),"Vita")</f>
        <v>Vita</v>
      </c>
      <c r="C1238" s="83" t="str">
        <f>IFERROR(__xludf.DUMMYFUNCTION("""COMPUTED_VALUE"""),"Playstation Plus (Discontinued)")</f>
        <v>Playstation Plus (Discontinued)</v>
      </c>
      <c r="D1238" s="82" t="str">
        <f>IFERROR(__xludf.DUMMYFUNCTION("""COMPUTED_VALUE"""),"Removed")</f>
        <v>Removed</v>
      </c>
      <c r="E1238" s="84">
        <f>IFERROR(__xludf.DUMMYFUNCTION("""COMPUTED_VALUE"""),43074.0)</f>
        <v>43074</v>
      </c>
      <c r="F1238" s="85">
        <f>IFERROR(__xludf.DUMMYFUNCTION("""COMPUTED_VALUE"""),43101.0)</f>
        <v>43101</v>
      </c>
      <c r="G1238" s="86">
        <f>IFERROR(__xludf.DUMMYFUNCTION("""COMPUTED_VALUE"""),0.8666666666666666)</f>
        <v>0.8666666667</v>
      </c>
      <c r="H1238" s="84">
        <f>IFERROR(__xludf.DUMMYFUNCTION("""COMPUTED_VALUE"""),42416.0)</f>
        <v>42416</v>
      </c>
      <c r="I1238" s="86">
        <f>IFERROR(__xludf.DUMMYFUNCTION("""COMPUTED_VALUE"""),1.8027777777777778)</f>
        <v>1.802777778</v>
      </c>
      <c r="J1238" s="87">
        <f>IFERROR(__xludf.DUMMYFUNCTION("""COMPUTED_VALUE"""),59.0)</f>
        <v>59</v>
      </c>
      <c r="K1238" s="88">
        <f>IFERROR(__xludf.DUMMYFUNCTION("""COMPUTED_VALUE"""),5.8)</f>
        <v>5.8</v>
      </c>
      <c r="L1238" s="89">
        <f>IFERROR(__xludf.DUMMYFUNCTION("""COMPUTED_VALUE"""),4.0)</f>
        <v>4</v>
      </c>
      <c r="M1238" s="26" t="str">
        <f>IFERROR(__xludf.DUMMYFUNCTION("""COMPUTED_VALUE"""),"Shooter")</f>
        <v>Shooter</v>
      </c>
      <c r="N1238" s="26"/>
      <c r="O1238" s="26" t="str">
        <f>IFERROR(__xludf.DUMMYFUNCTION("""COMPUTED_VALUE"""),"No")</f>
        <v>No</v>
      </c>
      <c r="P1238" s="26"/>
    </row>
    <row r="1239">
      <c r="A1239" s="81" t="str">
        <f>IFERROR(__xludf.DUMMYFUNCTION("""COMPUTED_VALUE"""),"Worms Battlegrounds")</f>
        <v>Worms Battlegrounds</v>
      </c>
      <c r="B1239" s="82" t="str">
        <f>IFERROR(__xludf.DUMMYFUNCTION("""COMPUTED_VALUE"""),"PS4")</f>
        <v>PS4</v>
      </c>
      <c r="C1239" s="83" t="str">
        <f>IFERROR(__xludf.DUMMYFUNCTION("""COMPUTED_VALUE"""),"Playstation Plus (Discontinued)")</f>
        <v>Playstation Plus (Discontinued)</v>
      </c>
      <c r="D1239" s="82" t="str">
        <f>IFERROR(__xludf.DUMMYFUNCTION("""COMPUTED_VALUE"""),"Removed")</f>
        <v>Removed</v>
      </c>
      <c r="E1239" s="84">
        <f>IFERROR(__xludf.DUMMYFUNCTION("""COMPUTED_VALUE"""),43046.0)</f>
        <v>43046</v>
      </c>
      <c r="F1239" s="85">
        <f>IFERROR(__xludf.DUMMYFUNCTION("""COMPUTED_VALUE"""),43073.0)</f>
        <v>43073</v>
      </c>
      <c r="G1239" s="86">
        <f>IFERROR(__xludf.DUMMYFUNCTION("""COMPUTED_VALUE"""),0.8999999999999999)</f>
        <v>0.9</v>
      </c>
      <c r="H1239" s="84">
        <f>IFERROR(__xludf.DUMMYFUNCTION("""COMPUTED_VALUE"""),41789.0)</f>
        <v>41789</v>
      </c>
      <c r="I1239" s="86">
        <f>IFERROR(__xludf.DUMMYFUNCTION("""COMPUTED_VALUE"""),3.436111111111111)</f>
        <v>3.436111111</v>
      </c>
      <c r="J1239" s="87">
        <f>IFERROR(__xludf.DUMMYFUNCTION("""COMPUTED_VALUE"""),62.0)</f>
        <v>62</v>
      </c>
      <c r="K1239" s="88">
        <f>IFERROR(__xludf.DUMMYFUNCTION("""COMPUTED_VALUE"""),7.1)</f>
        <v>7.1</v>
      </c>
      <c r="L1239" s="89">
        <f>IFERROR(__xludf.DUMMYFUNCTION("""COMPUTED_VALUE"""),8.0)</f>
        <v>8</v>
      </c>
      <c r="M1239" s="26" t="str">
        <f>IFERROR(__xludf.DUMMYFUNCTION("""COMPUTED_VALUE"""),"Strategy")</f>
        <v>Strategy</v>
      </c>
      <c r="N1239" s="26"/>
      <c r="O1239" s="26" t="str">
        <f>IFERROR(__xludf.DUMMYFUNCTION("""COMPUTED_VALUE"""),"No")</f>
        <v>No</v>
      </c>
      <c r="P1239" s="26"/>
    </row>
    <row r="1240">
      <c r="A1240" s="81" t="str">
        <f>IFERROR(__xludf.DUMMYFUNCTION("""COMPUTED_VALUE"""),"Bound")</f>
        <v>Bound</v>
      </c>
      <c r="B1240" s="82" t="str">
        <f>IFERROR(__xludf.DUMMYFUNCTION("""COMPUTED_VALUE"""),"PS4/PSVR")</f>
        <v>PS4/PSVR</v>
      </c>
      <c r="C1240" s="83" t="str">
        <f>IFERROR(__xludf.DUMMYFUNCTION("""COMPUTED_VALUE"""),"Playstation Plus (Discontinued)")</f>
        <v>Playstation Plus (Discontinued)</v>
      </c>
      <c r="D1240" s="82" t="str">
        <f>IFERROR(__xludf.DUMMYFUNCTION("""COMPUTED_VALUE"""),"Removed")</f>
        <v>Removed</v>
      </c>
      <c r="E1240" s="84">
        <f>IFERROR(__xludf.DUMMYFUNCTION("""COMPUTED_VALUE"""),43046.0)</f>
        <v>43046</v>
      </c>
      <c r="F1240" s="85">
        <f>IFERROR(__xludf.DUMMYFUNCTION("""COMPUTED_VALUE"""),43073.0)</f>
        <v>43073</v>
      </c>
      <c r="G1240" s="86">
        <f>IFERROR(__xludf.DUMMYFUNCTION("""COMPUTED_VALUE"""),0.8999999999999999)</f>
        <v>0.9</v>
      </c>
      <c r="H1240" s="84">
        <f>IFERROR(__xludf.DUMMYFUNCTION("""COMPUTED_VALUE"""),42598.0)</f>
        <v>42598</v>
      </c>
      <c r="I1240" s="86">
        <f>IFERROR(__xludf.DUMMYFUNCTION("""COMPUTED_VALUE"""),1.225)</f>
        <v>1.225</v>
      </c>
      <c r="J1240" s="87">
        <f>IFERROR(__xludf.DUMMYFUNCTION("""COMPUTED_VALUE"""),71.0)</f>
        <v>71</v>
      </c>
      <c r="K1240" s="88">
        <f>IFERROR(__xludf.DUMMYFUNCTION("""COMPUTED_VALUE"""),6.8)</f>
        <v>6.8</v>
      </c>
      <c r="L1240" s="89">
        <f>IFERROR(__xludf.DUMMYFUNCTION("""COMPUTED_VALUE"""),2.0)</f>
        <v>2</v>
      </c>
      <c r="M1240" s="26" t="str">
        <f>IFERROR(__xludf.DUMMYFUNCTION("""COMPUTED_VALUE"""),"Action-Adventure")</f>
        <v>Action-Adventure</v>
      </c>
      <c r="N1240" s="26"/>
      <c r="O1240" s="26" t="str">
        <f>IFERROR(__xludf.DUMMYFUNCTION("""COMPUTED_VALUE"""),"No")</f>
        <v>No</v>
      </c>
      <c r="P1240" s="26"/>
    </row>
    <row r="1241">
      <c r="A1241" s="81" t="str">
        <f>IFERROR(__xludf.DUMMYFUNCTION("""COMPUTED_VALUE"""),"Until Dawn: Rush of Blood")</f>
        <v>Until Dawn: Rush of Blood</v>
      </c>
      <c r="B1241" s="82" t="str">
        <f>IFERROR(__xludf.DUMMYFUNCTION("""COMPUTED_VALUE"""),"PS4/PSVR")</f>
        <v>PS4/PSVR</v>
      </c>
      <c r="C1241" s="83" t="str">
        <f>IFERROR(__xludf.DUMMYFUNCTION("""COMPUTED_VALUE"""),"Playstation Plus (Discontinued)")</f>
        <v>Playstation Plus (Discontinued)</v>
      </c>
      <c r="D1241" s="82" t="str">
        <f>IFERROR(__xludf.DUMMYFUNCTION("""COMPUTED_VALUE"""),"Removed")</f>
        <v>Removed</v>
      </c>
      <c r="E1241" s="84">
        <f>IFERROR(__xludf.DUMMYFUNCTION("""COMPUTED_VALUE"""),43046.0)</f>
        <v>43046</v>
      </c>
      <c r="F1241" s="85">
        <f>IFERROR(__xludf.DUMMYFUNCTION("""COMPUTED_VALUE"""),43073.0)</f>
        <v>43073</v>
      </c>
      <c r="G1241" s="86">
        <f>IFERROR(__xludf.DUMMYFUNCTION("""COMPUTED_VALUE"""),0.8999999999999999)</f>
        <v>0.9</v>
      </c>
      <c r="H1241" s="84">
        <f>IFERROR(__xludf.DUMMYFUNCTION("""COMPUTED_VALUE"""),42656.0)</f>
        <v>42656</v>
      </c>
      <c r="I1241" s="86">
        <f>IFERROR(__xludf.DUMMYFUNCTION("""COMPUTED_VALUE"""),1.0666666666666667)</f>
        <v>1.066666667</v>
      </c>
      <c r="J1241" s="87">
        <f>IFERROR(__xludf.DUMMYFUNCTION("""COMPUTED_VALUE"""),72.0)</f>
        <v>72</v>
      </c>
      <c r="K1241" s="88">
        <f>IFERROR(__xludf.DUMMYFUNCTION("""COMPUTED_VALUE"""),7.7)</f>
        <v>7.7</v>
      </c>
      <c r="L1241" s="89">
        <f>IFERROR(__xludf.DUMMYFUNCTION("""COMPUTED_VALUE"""),2.0)</f>
        <v>2</v>
      </c>
      <c r="M1241" s="26" t="str">
        <f>IFERROR(__xludf.DUMMYFUNCTION("""COMPUTED_VALUE"""),"Shooter")</f>
        <v>Shooter</v>
      </c>
      <c r="N1241" s="26"/>
      <c r="O1241" s="26" t="str">
        <f>IFERROR(__xludf.DUMMYFUNCTION("""COMPUTED_VALUE"""),"No")</f>
        <v>No</v>
      </c>
      <c r="P1241" s="26"/>
    </row>
    <row r="1242">
      <c r="A1242" s="81" t="str">
        <f>IFERROR(__xludf.DUMMYFUNCTION("""COMPUTED_VALUE"""),"R-Type Dimensions")</f>
        <v>R-Type Dimensions</v>
      </c>
      <c r="B1242" s="82" t="str">
        <f>IFERROR(__xludf.DUMMYFUNCTION("""COMPUTED_VALUE"""),"PS3")</f>
        <v>PS3</v>
      </c>
      <c r="C1242" s="83" t="str">
        <f>IFERROR(__xludf.DUMMYFUNCTION("""COMPUTED_VALUE"""),"Playstation Plus (Discontinued)")</f>
        <v>Playstation Plus (Discontinued)</v>
      </c>
      <c r="D1242" s="82" t="str">
        <f>IFERROR(__xludf.DUMMYFUNCTION("""COMPUTED_VALUE"""),"Removed")</f>
        <v>Removed</v>
      </c>
      <c r="E1242" s="84">
        <f>IFERROR(__xludf.DUMMYFUNCTION("""COMPUTED_VALUE"""),43046.0)</f>
        <v>43046</v>
      </c>
      <c r="F1242" s="85">
        <f>IFERROR(__xludf.DUMMYFUNCTION("""COMPUTED_VALUE"""),43073.0)</f>
        <v>43073</v>
      </c>
      <c r="G1242" s="86">
        <f>IFERROR(__xludf.DUMMYFUNCTION("""COMPUTED_VALUE"""),0.8999999999999999)</f>
        <v>0.9</v>
      </c>
      <c r="H1242" s="84">
        <f>IFERROR(__xludf.DUMMYFUNCTION("""COMPUTED_VALUE"""),39848.0)</f>
        <v>39848</v>
      </c>
      <c r="I1242" s="86">
        <f>IFERROR(__xludf.DUMMYFUNCTION("""COMPUTED_VALUE"""),8.758333333333333)</f>
        <v>8.758333333</v>
      </c>
      <c r="J1242" s="87">
        <f>IFERROR(__xludf.DUMMYFUNCTION("""COMPUTED_VALUE"""),82.0)</f>
        <v>82</v>
      </c>
      <c r="K1242" s="88">
        <f>IFERROR(__xludf.DUMMYFUNCTION("""COMPUTED_VALUE"""),6.4)</f>
        <v>6.4</v>
      </c>
      <c r="L1242" s="89">
        <f>IFERROR(__xludf.DUMMYFUNCTION("""COMPUTED_VALUE"""),2.0)</f>
        <v>2</v>
      </c>
      <c r="M1242" s="26" t="str">
        <f>IFERROR(__xludf.DUMMYFUNCTION("""COMPUTED_VALUE"""),"Shooter")</f>
        <v>Shooter</v>
      </c>
      <c r="N1242" s="26"/>
      <c r="O1242" s="26" t="str">
        <f>IFERROR(__xludf.DUMMYFUNCTION("""COMPUTED_VALUE"""),"No")</f>
        <v>No</v>
      </c>
      <c r="P1242" s="26"/>
    </row>
    <row r="1243">
      <c r="A1243" s="81" t="str">
        <f>IFERROR(__xludf.DUMMYFUNCTION("""COMPUTED_VALUE"""),"Rag Doll Kung Fu: Fists of Plastic")</f>
        <v>Rag Doll Kung Fu: Fists of Plastic</v>
      </c>
      <c r="B1243" s="82" t="str">
        <f>IFERROR(__xludf.DUMMYFUNCTION("""COMPUTED_VALUE"""),"PS3")</f>
        <v>PS3</v>
      </c>
      <c r="C1243" s="83" t="str">
        <f>IFERROR(__xludf.DUMMYFUNCTION("""COMPUTED_VALUE"""),"Playstation Plus (Discontinued)")</f>
        <v>Playstation Plus (Discontinued)</v>
      </c>
      <c r="D1243" s="82" t="str">
        <f>IFERROR(__xludf.DUMMYFUNCTION("""COMPUTED_VALUE"""),"Removed")</f>
        <v>Removed</v>
      </c>
      <c r="E1243" s="84">
        <f>IFERROR(__xludf.DUMMYFUNCTION("""COMPUTED_VALUE"""),43046.0)</f>
        <v>43046</v>
      </c>
      <c r="F1243" s="85">
        <f>IFERROR(__xludf.DUMMYFUNCTION("""COMPUTED_VALUE"""),43073.0)</f>
        <v>43073</v>
      </c>
      <c r="G1243" s="86">
        <f>IFERROR(__xludf.DUMMYFUNCTION("""COMPUTED_VALUE"""),0.8999999999999999)</f>
        <v>0.9</v>
      </c>
      <c r="H1243" s="84">
        <f>IFERROR(__xludf.DUMMYFUNCTION("""COMPUTED_VALUE"""),39912.0)</f>
        <v>39912</v>
      </c>
      <c r="I1243" s="86">
        <f>IFERROR(__xludf.DUMMYFUNCTION("""COMPUTED_VALUE"""),8.577777777777778)</f>
        <v>8.577777778</v>
      </c>
      <c r="J1243" s="87">
        <f>IFERROR(__xludf.DUMMYFUNCTION("""COMPUTED_VALUE"""),68.0)</f>
        <v>68</v>
      </c>
      <c r="K1243" s="88">
        <f>IFERROR(__xludf.DUMMYFUNCTION("""COMPUTED_VALUE"""),6.6)</f>
        <v>6.6</v>
      </c>
      <c r="L1243" s="89">
        <f>IFERROR(__xludf.DUMMYFUNCTION("""COMPUTED_VALUE"""),3.0)</f>
        <v>3</v>
      </c>
      <c r="M1243" s="26" t="str">
        <f>IFERROR(__xludf.DUMMYFUNCTION("""COMPUTED_VALUE"""),"Fighting")</f>
        <v>Fighting</v>
      </c>
      <c r="N1243" s="26"/>
      <c r="O1243" s="26" t="str">
        <f>IFERROR(__xludf.DUMMYFUNCTION("""COMPUTED_VALUE"""),"No")</f>
        <v>No</v>
      </c>
      <c r="P1243" s="26"/>
    </row>
    <row r="1244">
      <c r="A1244" s="81" t="str">
        <f>IFERROR(__xludf.DUMMYFUNCTION("""COMPUTED_VALUE"""),"Dungeon Punks")</f>
        <v>Dungeon Punks</v>
      </c>
      <c r="B1244" s="82" t="str">
        <f>IFERROR(__xludf.DUMMYFUNCTION("""COMPUTED_VALUE"""),"PS4/Vita")</f>
        <v>PS4/Vita</v>
      </c>
      <c r="C1244" s="83" t="str">
        <f>IFERROR(__xludf.DUMMYFUNCTION("""COMPUTED_VALUE"""),"Playstation Plus (Discontinued)")</f>
        <v>Playstation Plus (Discontinued)</v>
      </c>
      <c r="D1244" s="82" t="str">
        <f>IFERROR(__xludf.DUMMYFUNCTION("""COMPUTED_VALUE"""),"Removed")</f>
        <v>Removed</v>
      </c>
      <c r="E1244" s="84">
        <f>IFERROR(__xludf.DUMMYFUNCTION("""COMPUTED_VALUE"""),43046.0)</f>
        <v>43046</v>
      </c>
      <c r="F1244" s="85">
        <f>IFERROR(__xludf.DUMMYFUNCTION("""COMPUTED_VALUE"""),43073.0)</f>
        <v>43073</v>
      </c>
      <c r="G1244" s="86">
        <f>IFERROR(__xludf.DUMMYFUNCTION("""COMPUTED_VALUE"""),0.8999999999999999)</f>
        <v>0.9</v>
      </c>
      <c r="H1244" s="84">
        <f>IFERROR(__xludf.DUMMYFUNCTION("""COMPUTED_VALUE"""),42577.0)</f>
        <v>42577</v>
      </c>
      <c r="I1244" s="86">
        <f>IFERROR(__xludf.DUMMYFUNCTION("""COMPUTED_VALUE"""),1.2805555555555554)</f>
        <v>1.280555556</v>
      </c>
      <c r="J1244" s="87">
        <f>IFERROR(__xludf.DUMMYFUNCTION("""COMPUTED_VALUE"""),63.0)</f>
        <v>63</v>
      </c>
      <c r="K1244" s="88">
        <f>IFERROR(__xludf.DUMMYFUNCTION("""COMPUTED_VALUE"""),6.9)</f>
        <v>6.9</v>
      </c>
      <c r="L1244" s="89">
        <f>IFERROR(__xludf.DUMMYFUNCTION("""COMPUTED_VALUE"""),10.0)</f>
        <v>10</v>
      </c>
      <c r="M1244" s="26" t="str">
        <f>IFERROR(__xludf.DUMMYFUNCTION("""COMPUTED_VALUE"""),"RPG")</f>
        <v>RPG</v>
      </c>
      <c r="N1244" s="26"/>
      <c r="O1244" s="26" t="str">
        <f>IFERROR(__xludf.DUMMYFUNCTION("""COMPUTED_VALUE"""),"No")</f>
        <v>No</v>
      </c>
      <c r="P1244" s="26"/>
    </row>
    <row r="1245">
      <c r="A1245" s="81" t="str">
        <f>IFERROR(__xludf.DUMMYFUNCTION("""COMPUTED_VALUE"""),"Broken Sword 5: The Serpent’s Curse (Episodes 1 &amp; 2)")</f>
        <v>Broken Sword 5: The Serpent’s Curse (Episodes 1 &amp; 2)</v>
      </c>
      <c r="B1245" s="82" t="str">
        <f>IFERROR(__xludf.DUMMYFUNCTION("""COMPUTED_VALUE"""),"Vita")</f>
        <v>Vita</v>
      </c>
      <c r="C1245" s="83" t="str">
        <f>IFERROR(__xludf.DUMMYFUNCTION("""COMPUTED_VALUE"""),"Playstation Plus (Discontinued)")</f>
        <v>Playstation Plus (Discontinued)</v>
      </c>
      <c r="D1245" s="82" t="str">
        <f>IFERROR(__xludf.DUMMYFUNCTION("""COMPUTED_VALUE"""),"Removed")</f>
        <v>Removed</v>
      </c>
      <c r="E1245" s="84">
        <f>IFERROR(__xludf.DUMMYFUNCTION("""COMPUTED_VALUE"""),43046.0)</f>
        <v>43046</v>
      </c>
      <c r="F1245" s="85">
        <f>IFERROR(__xludf.DUMMYFUNCTION("""COMPUTED_VALUE"""),43073.0)</f>
        <v>43073</v>
      </c>
      <c r="G1245" s="86">
        <f>IFERROR(__xludf.DUMMYFUNCTION("""COMPUTED_VALUE"""),0.8999999999999999)</f>
        <v>0.9</v>
      </c>
      <c r="H1245" s="84">
        <f>IFERROR(__xludf.DUMMYFUNCTION("""COMPUTED_VALUE"""),42251.0)</f>
        <v>42251</v>
      </c>
      <c r="I1245" s="86">
        <f>IFERROR(__xludf.DUMMYFUNCTION("""COMPUTED_VALUE"""),2.175)</f>
        <v>2.175</v>
      </c>
      <c r="J1245" s="87">
        <f>IFERROR(__xludf.DUMMYFUNCTION("""COMPUTED_VALUE"""),67.0)</f>
        <v>67</v>
      </c>
      <c r="K1245" s="88">
        <f>IFERROR(__xludf.DUMMYFUNCTION("""COMPUTED_VALUE"""),7.5)</f>
        <v>7.5</v>
      </c>
      <c r="L1245" s="89">
        <f>IFERROR(__xludf.DUMMYFUNCTION("""COMPUTED_VALUE"""),11.0)</f>
        <v>11</v>
      </c>
      <c r="M1245" s="26" t="str">
        <f>IFERROR(__xludf.DUMMYFUNCTION("""COMPUTED_VALUE"""),"Adventure")</f>
        <v>Adventure</v>
      </c>
      <c r="N1245" s="26"/>
      <c r="O1245" s="26" t="str">
        <f>IFERROR(__xludf.DUMMYFUNCTION("""COMPUTED_VALUE"""),"No")</f>
        <v>No</v>
      </c>
      <c r="P1245" s="26"/>
    </row>
    <row r="1246">
      <c r="A1246" s="81" t="str">
        <f>IFERROR(__xludf.DUMMYFUNCTION("""COMPUTED_VALUE"""),"Metal Gear Solid V: The Phantom Pain")</f>
        <v>Metal Gear Solid V: The Phantom Pain</v>
      </c>
      <c r="B1246" s="82" t="str">
        <f>IFERROR(__xludf.DUMMYFUNCTION("""COMPUTED_VALUE"""),"PS4")</f>
        <v>PS4</v>
      </c>
      <c r="C1246" s="83" t="str">
        <f>IFERROR(__xludf.DUMMYFUNCTION("""COMPUTED_VALUE"""),"Playstation Plus (Discontinued)")</f>
        <v>Playstation Plus (Discontinued)</v>
      </c>
      <c r="D1246" s="82" t="str">
        <f>IFERROR(__xludf.DUMMYFUNCTION("""COMPUTED_VALUE"""),"Removed")</f>
        <v>Removed</v>
      </c>
      <c r="E1246" s="84">
        <f>IFERROR(__xludf.DUMMYFUNCTION("""COMPUTED_VALUE"""),43011.0)</f>
        <v>43011</v>
      </c>
      <c r="F1246" s="85">
        <f>IFERROR(__xludf.DUMMYFUNCTION("""COMPUTED_VALUE"""),43045.0)</f>
        <v>43045</v>
      </c>
      <c r="G1246" s="86">
        <f>IFERROR(__xludf.DUMMYFUNCTION("""COMPUTED_VALUE"""),1.0999999999999999)</f>
        <v>1.1</v>
      </c>
      <c r="H1246" s="84">
        <f>IFERROR(__xludf.DUMMYFUNCTION("""COMPUTED_VALUE"""),42248.0)</f>
        <v>42248</v>
      </c>
      <c r="I1246" s="86">
        <f>IFERROR(__xludf.DUMMYFUNCTION("""COMPUTED_VALUE"""),2.088888888888889)</f>
        <v>2.088888889</v>
      </c>
      <c r="J1246" s="87">
        <f>IFERROR(__xludf.DUMMYFUNCTION("""COMPUTED_VALUE"""),93.0)</f>
        <v>93</v>
      </c>
      <c r="K1246" s="88">
        <f>IFERROR(__xludf.DUMMYFUNCTION("""COMPUTED_VALUE"""),8.2)</f>
        <v>8.2</v>
      </c>
      <c r="L1246" s="89">
        <f>IFERROR(__xludf.DUMMYFUNCTION("""COMPUTED_VALUE"""),45.0)</f>
        <v>45</v>
      </c>
      <c r="M1246" s="26" t="str">
        <f>IFERROR(__xludf.DUMMYFUNCTION("""COMPUTED_VALUE"""),"Action-Adventure")</f>
        <v>Action-Adventure</v>
      </c>
      <c r="N1246" s="26"/>
      <c r="O1246" s="26" t="str">
        <f>IFERROR(__xludf.DUMMYFUNCTION("""COMPUTED_VALUE"""),"No")</f>
        <v>No</v>
      </c>
      <c r="P1246" s="26"/>
    </row>
    <row r="1247">
      <c r="A1247" s="81" t="str">
        <f>IFERROR(__xludf.DUMMYFUNCTION("""COMPUTED_VALUE"""),"Amnesia: Collection")</f>
        <v>Amnesia: Collection</v>
      </c>
      <c r="B1247" s="82" t="str">
        <f>IFERROR(__xludf.DUMMYFUNCTION("""COMPUTED_VALUE"""),"PS4")</f>
        <v>PS4</v>
      </c>
      <c r="C1247" s="83" t="str">
        <f>IFERROR(__xludf.DUMMYFUNCTION("""COMPUTED_VALUE"""),"Playstation Plus (Discontinued)")</f>
        <v>Playstation Plus (Discontinued)</v>
      </c>
      <c r="D1247" s="82" t="str">
        <f>IFERROR(__xludf.DUMMYFUNCTION("""COMPUTED_VALUE"""),"Removed")</f>
        <v>Removed</v>
      </c>
      <c r="E1247" s="84">
        <f>IFERROR(__xludf.DUMMYFUNCTION("""COMPUTED_VALUE"""),43011.0)</f>
        <v>43011</v>
      </c>
      <c r="F1247" s="85">
        <f>IFERROR(__xludf.DUMMYFUNCTION("""COMPUTED_VALUE"""),43045.0)</f>
        <v>43045</v>
      </c>
      <c r="G1247" s="86">
        <f>IFERROR(__xludf.DUMMYFUNCTION("""COMPUTED_VALUE"""),1.0999999999999999)</f>
        <v>1.1</v>
      </c>
      <c r="H1247" s="84">
        <f>IFERROR(__xludf.DUMMYFUNCTION("""COMPUTED_VALUE"""),42696.0)</f>
        <v>42696</v>
      </c>
      <c r="I1247" s="86">
        <f>IFERROR(__xludf.DUMMYFUNCTION("""COMPUTED_VALUE"""),0.8638888888888889)</f>
        <v>0.8638888889</v>
      </c>
      <c r="J1247" s="87">
        <f>IFERROR(__xludf.DUMMYFUNCTION("""COMPUTED_VALUE"""),78.0)</f>
        <v>78</v>
      </c>
      <c r="K1247" s="88">
        <f>IFERROR(__xludf.DUMMYFUNCTION("""COMPUTED_VALUE"""),8.1)</f>
        <v>8.1</v>
      </c>
      <c r="L1247" s="89">
        <f>IFERROR(__xludf.DUMMYFUNCTION("""COMPUTED_VALUE"""),17.0)</f>
        <v>17</v>
      </c>
      <c r="M1247" s="26" t="str">
        <f>IFERROR(__xludf.DUMMYFUNCTION("""COMPUTED_VALUE"""),"Horror")</f>
        <v>Horror</v>
      </c>
      <c r="N1247" s="26"/>
      <c r="O1247" s="26" t="str">
        <f>IFERROR(__xludf.DUMMYFUNCTION("""COMPUTED_VALUE"""),"No")</f>
        <v>No</v>
      </c>
      <c r="P1247" s="26"/>
    </row>
    <row r="1248">
      <c r="A1248" s="81" t="str">
        <f>IFERROR(__xludf.DUMMYFUNCTION("""COMPUTED_VALUE"""),"That’s You!")</f>
        <v>That’s You!</v>
      </c>
      <c r="B1248" s="82" t="str">
        <f>IFERROR(__xludf.DUMMYFUNCTION("""COMPUTED_VALUE"""),"PS4")</f>
        <v>PS4</v>
      </c>
      <c r="C1248" s="83" t="str">
        <f>IFERROR(__xludf.DUMMYFUNCTION("""COMPUTED_VALUE"""),"Playstation Plus (Discontinued)")</f>
        <v>Playstation Plus (Discontinued)</v>
      </c>
      <c r="D1248" s="82" t="str">
        <f>IFERROR(__xludf.DUMMYFUNCTION("""COMPUTED_VALUE"""),"Removed")</f>
        <v>Removed</v>
      </c>
      <c r="E1248" s="84">
        <f>IFERROR(__xludf.DUMMYFUNCTION("""COMPUTED_VALUE"""),43011.0)</f>
        <v>43011</v>
      </c>
      <c r="F1248" s="85">
        <f>IFERROR(__xludf.DUMMYFUNCTION("""COMPUTED_VALUE"""),43045.0)</f>
        <v>43045</v>
      </c>
      <c r="G1248" s="86">
        <f>IFERROR(__xludf.DUMMYFUNCTION("""COMPUTED_VALUE"""),1.0999999999999999)</f>
        <v>1.1</v>
      </c>
      <c r="H1248" s="84">
        <f>IFERROR(__xludf.DUMMYFUNCTION("""COMPUTED_VALUE"""),42920.0)</f>
        <v>42920</v>
      </c>
      <c r="I1248" s="86">
        <f>IFERROR(__xludf.DUMMYFUNCTION("""COMPUTED_VALUE"""),0.24722222222222223)</f>
        <v>0.2472222222</v>
      </c>
      <c r="J1248" s="87">
        <f>IFERROR(__xludf.DUMMYFUNCTION("""COMPUTED_VALUE"""),69.0)</f>
        <v>69</v>
      </c>
      <c r="K1248" s="88">
        <f>IFERROR(__xludf.DUMMYFUNCTION("""COMPUTED_VALUE"""),7.4)</f>
        <v>7.4</v>
      </c>
      <c r="L1248" s="89"/>
      <c r="M1248" s="26" t="str">
        <f>IFERROR(__xludf.DUMMYFUNCTION("""COMPUTED_VALUE"""),"Party")</f>
        <v>Party</v>
      </c>
      <c r="N1248" s="26"/>
      <c r="O1248" s="26" t="str">
        <f>IFERROR(__xludf.DUMMYFUNCTION("""COMPUTED_VALUE"""),"No")</f>
        <v>No</v>
      </c>
      <c r="P1248" s="26"/>
    </row>
    <row r="1249">
      <c r="A1249" s="81" t="str">
        <f>IFERROR(__xludf.DUMMYFUNCTION("""COMPUTED_VALUE"""),"RIGS: Mechanised Combat League")</f>
        <v>RIGS: Mechanised Combat League</v>
      </c>
      <c r="B1249" s="82" t="str">
        <f>IFERROR(__xludf.DUMMYFUNCTION("""COMPUTED_VALUE"""),"PS4/PSVR")</f>
        <v>PS4/PSVR</v>
      </c>
      <c r="C1249" s="83" t="str">
        <f>IFERROR(__xludf.DUMMYFUNCTION("""COMPUTED_VALUE"""),"Playstation Plus (Discontinued)")</f>
        <v>Playstation Plus (Discontinued)</v>
      </c>
      <c r="D1249" s="82" t="str">
        <f>IFERROR(__xludf.DUMMYFUNCTION("""COMPUTED_VALUE"""),"Removed")</f>
        <v>Removed</v>
      </c>
      <c r="E1249" s="84">
        <f>IFERROR(__xludf.DUMMYFUNCTION("""COMPUTED_VALUE"""),43011.0)</f>
        <v>43011</v>
      </c>
      <c r="F1249" s="85">
        <f>IFERROR(__xludf.DUMMYFUNCTION("""COMPUTED_VALUE"""),43045.0)</f>
        <v>43045</v>
      </c>
      <c r="G1249" s="86">
        <f>IFERROR(__xludf.DUMMYFUNCTION("""COMPUTED_VALUE"""),1.0999999999999999)</f>
        <v>1.1</v>
      </c>
      <c r="H1249" s="84">
        <f>IFERROR(__xludf.DUMMYFUNCTION("""COMPUTED_VALUE"""),42654.0)</f>
        <v>42654</v>
      </c>
      <c r="I1249" s="86">
        <f>IFERROR(__xludf.DUMMYFUNCTION("""COMPUTED_VALUE"""),0.9777777777777777)</f>
        <v>0.9777777778</v>
      </c>
      <c r="J1249" s="87">
        <f>IFERROR(__xludf.DUMMYFUNCTION("""COMPUTED_VALUE"""),78.0)</f>
        <v>78</v>
      </c>
      <c r="K1249" s="88">
        <f>IFERROR(__xludf.DUMMYFUNCTION("""COMPUTED_VALUE"""),7.5)</f>
        <v>7.5</v>
      </c>
      <c r="L1249" s="89"/>
      <c r="M1249" s="26" t="str">
        <f>IFERROR(__xludf.DUMMYFUNCTION("""COMPUTED_VALUE"""),"Shooter")</f>
        <v>Shooter</v>
      </c>
      <c r="N1249" s="26"/>
      <c r="O1249" s="26" t="str">
        <f>IFERROR(__xludf.DUMMYFUNCTION("""COMPUTED_VALUE"""),"No")</f>
        <v>No</v>
      </c>
      <c r="P1249" s="26"/>
    </row>
    <row r="1250">
      <c r="A1250" s="81" t="str">
        <f>IFERROR(__xludf.DUMMYFUNCTION("""COMPUTED_VALUE"""),"Monster Jam Battlegrounds")</f>
        <v>Monster Jam Battlegrounds</v>
      </c>
      <c r="B1250" s="82" t="str">
        <f>IFERROR(__xludf.DUMMYFUNCTION("""COMPUTED_VALUE"""),"PS3")</f>
        <v>PS3</v>
      </c>
      <c r="C1250" s="83" t="str">
        <f>IFERROR(__xludf.DUMMYFUNCTION("""COMPUTED_VALUE"""),"Playstation Plus (Discontinued)")</f>
        <v>Playstation Plus (Discontinued)</v>
      </c>
      <c r="D1250" s="82" t="str">
        <f>IFERROR(__xludf.DUMMYFUNCTION("""COMPUTED_VALUE"""),"Removed")</f>
        <v>Removed</v>
      </c>
      <c r="E1250" s="84">
        <f>IFERROR(__xludf.DUMMYFUNCTION("""COMPUTED_VALUE"""),43011.0)</f>
        <v>43011</v>
      </c>
      <c r="F1250" s="85">
        <f>IFERROR(__xludf.DUMMYFUNCTION("""COMPUTED_VALUE"""),43045.0)</f>
        <v>43045</v>
      </c>
      <c r="G1250" s="86">
        <f>IFERROR(__xludf.DUMMYFUNCTION("""COMPUTED_VALUE"""),1.0999999999999999)</f>
        <v>1.1</v>
      </c>
      <c r="H1250" s="84">
        <f>IFERROR(__xludf.DUMMYFUNCTION("""COMPUTED_VALUE"""),42264.0)</f>
        <v>42264</v>
      </c>
      <c r="I1250" s="86">
        <f>IFERROR(__xludf.DUMMYFUNCTION("""COMPUTED_VALUE"""),2.0444444444444443)</f>
        <v>2.044444444</v>
      </c>
      <c r="J1250" s="87">
        <f>IFERROR(__xludf.DUMMYFUNCTION("""COMPUTED_VALUE"""),50.0)</f>
        <v>50</v>
      </c>
      <c r="K1250" s="88">
        <f>IFERROR(__xludf.DUMMYFUNCTION("""COMPUTED_VALUE"""),5.4)</f>
        <v>5.4</v>
      </c>
      <c r="L1250" s="89"/>
      <c r="M1250" s="26" t="str">
        <f>IFERROR(__xludf.DUMMYFUNCTION("""COMPUTED_VALUE"""),"Racing")</f>
        <v>Racing</v>
      </c>
      <c r="N1250" s="26"/>
      <c r="O1250" s="26" t="str">
        <f>IFERROR(__xludf.DUMMYFUNCTION("""COMPUTED_VALUE"""),"No")</f>
        <v>No</v>
      </c>
      <c r="P1250" s="26"/>
    </row>
    <row r="1251">
      <c r="A1251" s="81" t="str">
        <f>IFERROR(__xludf.DUMMYFUNCTION("""COMPUTED_VALUE"""),"Hustle Kings")</f>
        <v>Hustle Kings</v>
      </c>
      <c r="B1251" s="82" t="str">
        <f>IFERROR(__xludf.DUMMYFUNCTION("""COMPUTED_VALUE"""),"PS3/Vita")</f>
        <v>PS3/Vita</v>
      </c>
      <c r="C1251" s="83" t="str">
        <f>IFERROR(__xludf.DUMMYFUNCTION("""COMPUTED_VALUE"""),"Playstation Plus (Discontinued)")</f>
        <v>Playstation Plus (Discontinued)</v>
      </c>
      <c r="D1251" s="82" t="str">
        <f>IFERROR(__xludf.DUMMYFUNCTION("""COMPUTED_VALUE"""),"Removed")</f>
        <v>Removed</v>
      </c>
      <c r="E1251" s="84">
        <f>IFERROR(__xludf.DUMMYFUNCTION("""COMPUTED_VALUE"""),43011.0)</f>
        <v>43011</v>
      </c>
      <c r="F1251" s="85">
        <f>IFERROR(__xludf.DUMMYFUNCTION("""COMPUTED_VALUE"""),43045.0)</f>
        <v>43045</v>
      </c>
      <c r="G1251" s="86">
        <f>IFERROR(__xludf.DUMMYFUNCTION("""COMPUTED_VALUE"""),1.0999999999999999)</f>
        <v>1.1</v>
      </c>
      <c r="H1251" s="84">
        <f>IFERROR(__xludf.DUMMYFUNCTION("""COMPUTED_VALUE"""),40213.0)</f>
        <v>40213</v>
      </c>
      <c r="I1251" s="86">
        <f>IFERROR(__xludf.DUMMYFUNCTION("""COMPUTED_VALUE"""),7.663888888888889)</f>
        <v>7.663888889</v>
      </c>
      <c r="J1251" s="87">
        <f>IFERROR(__xludf.DUMMYFUNCTION("""COMPUTED_VALUE"""),81.0)</f>
        <v>81</v>
      </c>
      <c r="K1251" s="88">
        <f>IFERROR(__xludf.DUMMYFUNCTION("""COMPUTED_VALUE"""),7.8)</f>
        <v>7.8</v>
      </c>
      <c r="L1251" s="89"/>
      <c r="M1251" s="26" t="str">
        <f>IFERROR(__xludf.DUMMYFUNCTION("""COMPUTED_VALUE"""),"Billiards")</f>
        <v>Billiards</v>
      </c>
      <c r="N1251" s="26"/>
      <c r="O1251" s="26" t="str">
        <f>IFERROR(__xludf.DUMMYFUNCTION("""COMPUTED_VALUE"""),"No")</f>
        <v>No</v>
      </c>
      <c r="P1251" s="26"/>
    </row>
    <row r="1252">
      <c r="A1252" s="81" t="str">
        <f>IFERROR(__xludf.DUMMYFUNCTION("""COMPUTED_VALUE"""),"Hue")</f>
        <v>Hue</v>
      </c>
      <c r="B1252" s="82" t="str">
        <f>IFERROR(__xludf.DUMMYFUNCTION("""COMPUTED_VALUE"""),"PS4/Vita")</f>
        <v>PS4/Vita</v>
      </c>
      <c r="C1252" s="83" t="str">
        <f>IFERROR(__xludf.DUMMYFUNCTION("""COMPUTED_VALUE"""),"Playstation Plus (Discontinued)")</f>
        <v>Playstation Plus (Discontinued)</v>
      </c>
      <c r="D1252" s="82" t="str">
        <f>IFERROR(__xludf.DUMMYFUNCTION("""COMPUTED_VALUE"""),"Removed")</f>
        <v>Removed</v>
      </c>
      <c r="E1252" s="84">
        <f>IFERROR(__xludf.DUMMYFUNCTION("""COMPUTED_VALUE"""),43011.0)</f>
        <v>43011</v>
      </c>
      <c r="F1252" s="85">
        <f>IFERROR(__xludf.DUMMYFUNCTION("""COMPUTED_VALUE"""),43045.0)</f>
        <v>43045</v>
      </c>
      <c r="G1252" s="86">
        <f>IFERROR(__xludf.DUMMYFUNCTION("""COMPUTED_VALUE"""),1.0999999999999999)</f>
        <v>1.1</v>
      </c>
      <c r="H1252" s="84">
        <f>IFERROR(__xludf.DUMMYFUNCTION("""COMPUTED_VALUE"""),42612.0)</f>
        <v>42612</v>
      </c>
      <c r="I1252" s="86">
        <f>IFERROR(__xludf.DUMMYFUNCTION("""COMPUTED_VALUE"""),1.0916666666666666)</f>
        <v>1.091666667</v>
      </c>
      <c r="J1252" s="87">
        <f>IFERROR(__xludf.DUMMYFUNCTION("""COMPUTED_VALUE"""),77.0)</f>
        <v>77</v>
      </c>
      <c r="K1252" s="88">
        <f>IFERROR(__xludf.DUMMYFUNCTION("""COMPUTED_VALUE"""),7.3)</f>
        <v>7.3</v>
      </c>
      <c r="L1252" s="89">
        <f>IFERROR(__xludf.DUMMYFUNCTION("""COMPUTED_VALUE"""),5.0)</f>
        <v>5</v>
      </c>
      <c r="M1252" s="26" t="str">
        <f>IFERROR(__xludf.DUMMYFUNCTION("""COMPUTED_VALUE"""),"Puzzle")</f>
        <v>Puzzle</v>
      </c>
      <c r="N1252" s="26"/>
      <c r="O1252" s="26" t="str">
        <f>IFERROR(__xludf.DUMMYFUNCTION("""COMPUTED_VALUE"""),"No")</f>
        <v>No</v>
      </c>
      <c r="P1252" s="26"/>
    </row>
    <row r="1253">
      <c r="A1253" s="81" t="str">
        <f>IFERROR(__xludf.DUMMYFUNCTION("""COMPUTED_VALUE"""),"Sky Force Anniversary")</f>
        <v>Sky Force Anniversary</v>
      </c>
      <c r="B1253" s="82" t="str">
        <f>IFERROR(__xludf.DUMMYFUNCTION("""COMPUTED_VALUE"""),"PS4/Vita")</f>
        <v>PS4/Vita</v>
      </c>
      <c r="C1253" s="83" t="str">
        <f>IFERROR(__xludf.DUMMYFUNCTION("""COMPUTED_VALUE"""),"Playstation Plus (Discontinued)")</f>
        <v>Playstation Plus (Discontinued)</v>
      </c>
      <c r="D1253" s="82" t="str">
        <f>IFERROR(__xludf.DUMMYFUNCTION("""COMPUTED_VALUE"""),"Removed")</f>
        <v>Removed</v>
      </c>
      <c r="E1253" s="84">
        <f>IFERROR(__xludf.DUMMYFUNCTION("""COMPUTED_VALUE"""),43011.0)</f>
        <v>43011</v>
      </c>
      <c r="F1253" s="85">
        <f>IFERROR(__xludf.DUMMYFUNCTION("""COMPUTED_VALUE"""),43045.0)</f>
        <v>43045</v>
      </c>
      <c r="G1253" s="86">
        <f>IFERROR(__xludf.DUMMYFUNCTION("""COMPUTED_VALUE"""),1.0999999999999999)</f>
        <v>1.1</v>
      </c>
      <c r="H1253" s="84">
        <f>IFERROR(__xludf.DUMMYFUNCTION("""COMPUTED_VALUE"""),42346.0)</f>
        <v>42346</v>
      </c>
      <c r="I1253" s="86">
        <f>IFERROR(__xludf.DUMMYFUNCTION("""COMPUTED_VALUE"""),1.8194444444444444)</f>
        <v>1.819444444</v>
      </c>
      <c r="J1253" s="87">
        <f>IFERROR(__xludf.DUMMYFUNCTION("""COMPUTED_VALUE"""),72.0)</f>
        <v>72</v>
      </c>
      <c r="K1253" s="88">
        <f>IFERROR(__xludf.DUMMYFUNCTION("""COMPUTED_VALUE"""),7.1)</f>
        <v>7.1</v>
      </c>
      <c r="L1253" s="89">
        <f>IFERROR(__xludf.DUMMYFUNCTION("""COMPUTED_VALUE"""),5.0)</f>
        <v>5</v>
      </c>
      <c r="M1253" s="26" t="str">
        <f>IFERROR(__xludf.DUMMYFUNCTION("""COMPUTED_VALUE"""),"Shooter")</f>
        <v>Shooter</v>
      </c>
      <c r="N1253" s="26"/>
      <c r="O1253" s="26" t="str">
        <f>IFERROR(__xludf.DUMMYFUNCTION("""COMPUTED_VALUE"""),"No")</f>
        <v>No</v>
      </c>
      <c r="P1253" s="26"/>
    </row>
    <row r="1254">
      <c r="A1254" s="81" t="str">
        <f>IFERROR(__xludf.DUMMYFUNCTION("""COMPUTED_VALUE"""),"inFAMOUS: Second Son")</f>
        <v>inFAMOUS: Second Son</v>
      </c>
      <c r="B1254" s="82" t="str">
        <f>IFERROR(__xludf.DUMMYFUNCTION("""COMPUTED_VALUE"""),"PS4")</f>
        <v>PS4</v>
      </c>
      <c r="C1254" s="83" t="str">
        <f>IFERROR(__xludf.DUMMYFUNCTION("""COMPUTED_VALUE"""),"Playstation Plus (Discontinued)")</f>
        <v>Playstation Plus (Discontinued)</v>
      </c>
      <c r="D1254" s="82" t="str">
        <f>IFERROR(__xludf.DUMMYFUNCTION("""COMPUTED_VALUE"""),"Removed")</f>
        <v>Removed</v>
      </c>
      <c r="E1254" s="84">
        <f>IFERROR(__xludf.DUMMYFUNCTION("""COMPUTED_VALUE"""),42983.0)</f>
        <v>42983</v>
      </c>
      <c r="F1254" s="85">
        <f>IFERROR(__xludf.DUMMYFUNCTION("""COMPUTED_VALUE"""),43010.0)</f>
        <v>43010</v>
      </c>
      <c r="G1254" s="86">
        <f>IFERROR(__xludf.DUMMYFUNCTION("""COMPUTED_VALUE"""),0.8999999999999999)</f>
        <v>0.9</v>
      </c>
      <c r="H1254" s="84">
        <f>IFERROR(__xludf.DUMMYFUNCTION("""COMPUTED_VALUE"""),41719.0)</f>
        <v>41719</v>
      </c>
      <c r="I1254" s="86">
        <f>IFERROR(__xludf.DUMMYFUNCTION("""COMPUTED_VALUE"""),3.4555555555555557)</f>
        <v>3.455555556</v>
      </c>
      <c r="J1254" s="87">
        <f>IFERROR(__xludf.DUMMYFUNCTION("""COMPUTED_VALUE"""),80.0)</f>
        <v>80</v>
      </c>
      <c r="K1254" s="88">
        <f>IFERROR(__xludf.DUMMYFUNCTION("""COMPUTED_VALUE"""),8.0)</f>
        <v>8</v>
      </c>
      <c r="L1254" s="89">
        <f>IFERROR(__xludf.DUMMYFUNCTION("""COMPUTED_VALUE"""),10.0)</f>
        <v>10</v>
      </c>
      <c r="M1254" s="26" t="str">
        <f>IFERROR(__xludf.DUMMYFUNCTION("""COMPUTED_VALUE"""),"Action-Adventure")</f>
        <v>Action-Adventure</v>
      </c>
      <c r="N1254" s="26"/>
      <c r="O1254" s="26" t="str">
        <f>IFERROR(__xludf.DUMMYFUNCTION("""COMPUTED_VALUE"""),"No")</f>
        <v>No</v>
      </c>
      <c r="P1254" s="26"/>
    </row>
    <row r="1255">
      <c r="A1255" s="81" t="str">
        <f>IFERROR(__xludf.DUMMYFUNCTION("""COMPUTED_VALUE"""),"Strike Vector Ex")</f>
        <v>Strike Vector Ex</v>
      </c>
      <c r="B1255" s="82" t="str">
        <f>IFERROR(__xludf.DUMMYFUNCTION("""COMPUTED_VALUE"""),"PS4")</f>
        <v>PS4</v>
      </c>
      <c r="C1255" s="83" t="str">
        <f>IFERROR(__xludf.DUMMYFUNCTION("""COMPUTED_VALUE"""),"Playstation Plus (Discontinued)")</f>
        <v>Playstation Plus (Discontinued)</v>
      </c>
      <c r="D1255" s="82" t="str">
        <f>IFERROR(__xludf.DUMMYFUNCTION("""COMPUTED_VALUE"""),"Removed")</f>
        <v>Removed</v>
      </c>
      <c r="E1255" s="84">
        <f>IFERROR(__xludf.DUMMYFUNCTION("""COMPUTED_VALUE"""),42983.0)</f>
        <v>42983</v>
      </c>
      <c r="F1255" s="85">
        <f>IFERROR(__xludf.DUMMYFUNCTION("""COMPUTED_VALUE"""),43010.0)</f>
        <v>43010</v>
      </c>
      <c r="G1255" s="86">
        <f>IFERROR(__xludf.DUMMYFUNCTION("""COMPUTED_VALUE"""),0.8999999999999999)</f>
        <v>0.9</v>
      </c>
      <c r="H1255" s="84">
        <f>IFERROR(__xludf.DUMMYFUNCTION("""COMPUTED_VALUE"""),42983.0)</f>
        <v>42983</v>
      </c>
      <c r="I1255" s="86">
        <f>IFERROR(__xludf.DUMMYFUNCTION("""COMPUTED_VALUE"""),0.0)</f>
        <v>0</v>
      </c>
      <c r="J1255" s="87">
        <f>IFERROR(__xludf.DUMMYFUNCTION("""COMPUTED_VALUE"""),75.0)</f>
        <v>75</v>
      </c>
      <c r="K1255" s="88">
        <f>IFERROR(__xludf.DUMMYFUNCTION("""COMPUTED_VALUE"""),6.7)</f>
        <v>6.7</v>
      </c>
      <c r="L1255" s="89"/>
      <c r="M1255" s="26" t="str">
        <f>IFERROR(__xludf.DUMMYFUNCTION("""COMPUTED_VALUE"""),"Shooter")</f>
        <v>Shooter</v>
      </c>
      <c r="N1255" s="26"/>
      <c r="O1255" s="26" t="str">
        <f>IFERROR(__xludf.DUMMYFUNCTION("""COMPUTED_VALUE"""),"No")</f>
        <v>No</v>
      </c>
      <c r="P1255" s="26"/>
    </row>
    <row r="1256">
      <c r="A1256" s="81" t="str">
        <f>IFERROR(__xludf.DUMMYFUNCTION("""COMPUTED_VALUE"""),"That’s You!")</f>
        <v>That’s You!</v>
      </c>
      <c r="B1256" s="82" t="str">
        <f>IFERROR(__xludf.DUMMYFUNCTION("""COMPUTED_VALUE"""),"PS4")</f>
        <v>PS4</v>
      </c>
      <c r="C1256" s="83" t="str">
        <f>IFERROR(__xludf.DUMMYFUNCTION("""COMPUTED_VALUE"""),"Playstation Plus (Discontinued)")</f>
        <v>Playstation Plus (Discontinued)</v>
      </c>
      <c r="D1256" s="82" t="str">
        <f>IFERROR(__xludf.DUMMYFUNCTION("""COMPUTED_VALUE"""),"Removed")</f>
        <v>Removed</v>
      </c>
      <c r="E1256" s="84">
        <f>IFERROR(__xludf.DUMMYFUNCTION("""COMPUTED_VALUE"""),42983.0)</f>
        <v>42983</v>
      </c>
      <c r="F1256" s="85">
        <f>IFERROR(__xludf.DUMMYFUNCTION("""COMPUTED_VALUE"""),43010.0)</f>
        <v>43010</v>
      </c>
      <c r="G1256" s="86">
        <f>IFERROR(__xludf.DUMMYFUNCTION("""COMPUTED_VALUE"""),0.8999999999999999)</f>
        <v>0.9</v>
      </c>
      <c r="H1256" s="84">
        <f>IFERROR(__xludf.DUMMYFUNCTION("""COMPUTED_VALUE"""),42920.0)</f>
        <v>42920</v>
      </c>
      <c r="I1256" s="86">
        <f>IFERROR(__xludf.DUMMYFUNCTION("""COMPUTED_VALUE"""),0.16944444444444445)</f>
        <v>0.1694444444</v>
      </c>
      <c r="J1256" s="87">
        <f>IFERROR(__xludf.DUMMYFUNCTION("""COMPUTED_VALUE"""),69.0)</f>
        <v>69</v>
      </c>
      <c r="K1256" s="88">
        <f>IFERROR(__xludf.DUMMYFUNCTION("""COMPUTED_VALUE"""),7.4)</f>
        <v>7.4</v>
      </c>
      <c r="L1256" s="89"/>
      <c r="M1256" s="26" t="str">
        <f>IFERROR(__xludf.DUMMYFUNCTION("""COMPUTED_VALUE"""),"Party")</f>
        <v>Party</v>
      </c>
      <c r="N1256" s="26"/>
      <c r="O1256" s="26" t="str">
        <f>IFERROR(__xludf.DUMMYFUNCTION("""COMPUTED_VALUE"""),"No")</f>
        <v>No</v>
      </c>
      <c r="P1256" s="26"/>
    </row>
    <row r="1257">
      <c r="A1257" s="81" t="str">
        <f>IFERROR(__xludf.DUMMYFUNCTION("""COMPUTED_VALUE"""),"RIGS: Mechanised Combat League")</f>
        <v>RIGS: Mechanised Combat League</v>
      </c>
      <c r="B1257" s="82" t="str">
        <f>IFERROR(__xludf.DUMMYFUNCTION("""COMPUTED_VALUE"""),"PS4/PSVR")</f>
        <v>PS4/PSVR</v>
      </c>
      <c r="C1257" s="83" t="str">
        <f>IFERROR(__xludf.DUMMYFUNCTION("""COMPUTED_VALUE"""),"Playstation Plus (Discontinued)")</f>
        <v>Playstation Plus (Discontinued)</v>
      </c>
      <c r="D1257" s="82" t="str">
        <f>IFERROR(__xludf.DUMMYFUNCTION("""COMPUTED_VALUE"""),"Removed")</f>
        <v>Removed</v>
      </c>
      <c r="E1257" s="84">
        <f>IFERROR(__xludf.DUMMYFUNCTION("""COMPUTED_VALUE"""),42983.0)</f>
        <v>42983</v>
      </c>
      <c r="F1257" s="85">
        <f>IFERROR(__xludf.DUMMYFUNCTION("""COMPUTED_VALUE"""),43010.0)</f>
        <v>43010</v>
      </c>
      <c r="G1257" s="86">
        <f>IFERROR(__xludf.DUMMYFUNCTION("""COMPUTED_VALUE"""),0.8999999999999999)</f>
        <v>0.9</v>
      </c>
      <c r="H1257" s="84">
        <f>IFERROR(__xludf.DUMMYFUNCTION("""COMPUTED_VALUE"""),42654.0)</f>
        <v>42654</v>
      </c>
      <c r="I1257" s="86">
        <f>IFERROR(__xludf.DUMMYFUNCTION("""COMPUTED_VALUE"""),0.9)</f>
        <v>0.9</v>
      </c>
      <c r="J1257" s="87">
        <f>IFERROR(__xludf.DUMMYFUNCTION("""COMPUTED_VALUE"""),78.0)</f>
        <v>78</v>
      </c>
      <c r="K1257" s="88">
        <f>IFERROR(__xludf.DUMMYFUNCTION("""COMPUTED_VALUE"""),7.5)</f>
        <v>7.5</v>
      </c>
      <c r="L1257" s="89"/>
      <c r="M1257" s="26" t="str">
        <f>IFERROR(__xludf.DUMMYFUNCTION("""COMPUTED_VALUE"""),"Shooter")</f>
        <v>Shooter</v>
      </c>
      <c r="N1257" s="26"/>
      <c r="O1257" s="26" t="str">
        <f>IFERROR(__xludf.DUMMYFUNCTION("""COMPUTED_VALUE"""),"No")</f>
        <v>No</v>
      </c>
      <c r="P1257" s="26"/>
    </row>
    <row r="1258">
      <c r="A1258" s="81" t="str">
        <f>IFERROR(__xludf.DUMMYFUNCTION("""COMPUTED_VALUE"""),"Truck Racer")</f>
        <v>Truck Racer</v>
      </c>
      <c r="B1258" s="82" t="str">
        <f>IFERROR(__xludf.DUMMYFUNCTION("""COMPUTED_VALUE"""),"PS3")</f>
        <v>PS3</v>
      </c>
      <c r="C1258" s="83" t="str">
        <f>IFERROR(__xludf.DUMMYFUNCTION("""COMPUTED_VALUE"""),"Playstation Plus (Discontinued)")</f>
        <v>Playstation Plus (Discontinued)</v>
      </c>
      <c r="D1258" s="82" t="str">
        <f>IFERROR(__xludf.DUMMYFUNCTION("""COMPUTED_VALUE"""),"Removed")</f>
        <v>Removed</v>
      </c>
      <c r="E1258" s="84">
        <f>IFERROR(__xludf.DUMMYFUNCTION("""COMPUTED_VALUE"""),42983.0)</f>
        <v>42983</v>
      </c>
      <c r="F1258" s="85">
        <f>IFERROR(__xludf.DUMMYFUNCTION("""COMPUTED_VALUE"""),43010.0)</f>
        <v>43010</v>
      </c>
      <c r="G1258" s="86">
        <f>IFERROR(__xludf.DUMMYFUNCTION("""COMPUTED_VALUE"""),0.8999999999999999)</f>
        <v>0.9</v>
      </c>
      <c r="H1258" s="84">
        <f>IFERROR(__xludf.DUMMYFUNCTION("""COMPUTED_VALUE"""),41919.0)</f>
        <v>41919</v>
      </c>
      <c r="I1258" s="86">
        <f>IFERROR(__xludf.DUMMYFUNCTION("""COMPUTED_VALUE"""),2.911111111111111)</f>
        <v>2.911111111</v>
      </c>
      <c r="J1258" s="87">
        <f>IFERROR(__xludf.DUMMYFUNCTION("""COMPUTED_VALUE"""),49.0)</f>
        <v>49</v>
      </c>
      <c r="K1258" s="88">
        <f>IFERROR(__xludf.DUMMYFUNCTION("""COMPUTED_VALUE"""),5.4)</f>
        <v>5.4</v>
      </c>
      <c r="L1258" s="89">
        <f>IFERROR(__xludf.DUMMYFUNCTION("""COMPUTED_VALUE"""),5.0)</f>
        <v>5</v>
      </c>
      <c r="M1258" s="26" t="str">
        <f>IFERROR(__xludf.DUMMYFUNCTION("""COMPUTED_VALUE"""),"Racing")</f>
        <v>Racing</v>
      </c>
      <c r="N1258" s="26"/>
      <c r="O1258" s="26" t="str">
        <f>IFERROR(__xludf.DUMMYFUNCTION("""COMPUTED_VALUE"""),"No")</f>
        <v>No</v>
      </c>
      <c r="P1258" s="26"/>
    </row>
    <row r="1259">
      <c r="A1259" s="81" t="str">
        <f>IFERROR(__xludf.DUMMYFUNCTION("""COMPUTED_VALUE"""),"Handball 2016")</f>
        <v>Handball 2016</v>
      </c>
      <c r="B1259" s="82" t="str">
        <f>IFERROR(__xludf.DUMMYFUNCTION("""COMPUTED_VALUE"""),"PS3")</f>
        <v>PS3</v>
      </c>
      <c r="C1259" s="83" t="str">
        <f>IFERROR(__xludf.DUMMYFUNCTION("""COMPUTED_VALUE"""),"Playstation Plus (Discontinued)")</f>
        <v>Playstation Plus (Discontinued)</v>
      </c>
      <c r="D1259" s="82" t="str">
        <f>IFERROR(__xludf.DUMMYFUNCTION("""COMPUTED_VALUE"""),"Removed")</f>
        <v>Removed</v>
      </c>
      <c r="E1259" s="84">
        <f>IFERROR(__xludf.DUMMYFUNCTION("""COMPUTED_VALUE"""),42983.0)</f>
        <v>42983</v>
      </c>
      <c r="F1259" s="85">
        <f>IFERROR(__xludf.DUMMYFUNCTION("""COMPUTED_VALUE"""),43010.0)</f>
        <v>43010</v>
      </c>
      <c r="G1259" s="86">
        <f>IFERROR(__xludf.DUMMYFUNCTION("""COMPUTED_VALUE"""),0.8999999999999999)</f>
        <v>0.9</v>
      </c>
      <c r="H1259" s="84">
        <f>IFERROR(__xludf.DUMMYFUNCTION("""COMPUTED_VALUE"""),42335.0)</f>
        <v>42335</v>
      </c>
      <c r="I1259" s="86">
        <f>IFERROR(__xludf.DUMMYFUNCTION("""COMPUTED_VALUE"""),1.7722222222222221)</f>
        <v>1.772222222</v>
      </c>
      <c r="J1259" s="87">
        <f>IFERROR(__xludf.DUMMYFUNCTION("""COMPUTED_VALUE"""),49.0)</f>
        <v>49</v>
      </c>
      <c r="K1259" s="88">
        <f>IFERROR(__xludf.DUMMYFUNCTION("""COMPUTED_VALUE"""),5.5)</f>
        <v>5.5</v>
      </c>
      <c r="L1259" s="89"/>
      <c r="M1259" s="26" t="str">
        <f>IFERROR(__xludf.DUMMYFUNCTION("""COMPUTED_VALUE"""),"Sports")</f>
        <v>Sports</v>
      </c>
      <c r="N1259" s="26"/>
      <c r="O1259" s="26" t="str">
        <f>IFERROR(__xludf.DUMMYFUNCTION("""COMPUTED_VALUE"""),"No")</f>
        <v>No</v>
      </c>
      <c r="P1259" s="26"/>
    </row>
    <row r="1260">
      <c r="A1260" s="81" t="str">
        <f>IFERROR(__xludf.DUMMYFUNCTION("""COMPUTED_VALUE"""),"We Are Doomed")</f>
        <v>We Are Doomed</v>
      </c>
      <c r="B1260" s="82" t="str">
        <f>IFERROR(__xludf.DUMMYFUNCTION("""COMPUTED_VALUE"""),"PS4/Vita")</f>
        <v>PS4/Vita</v>
      </c>
      <c r="C1260" s="83" t="str">
        <f>IFERROR(__xludf.DUMMYFUNCTION("""COMPUTED_VALUE"""),"Playstation Plus (Discontinued)")</f>
        <v>Playstation Plus (Discontinued)</v>
      </c>
      <c r="D1260" s="82" t="str">
        <f>IFERROR(__xludf.DUMMYFUNCTION("""COMPUTED_VALUE"""),"Removed")</f>
        <v>Removed</v>
      </c>
      <c r="E1260" s="84">
        <f>IFERROR(__xludf.DUMMYFUNCTION("""COMPUTED_VALUE"""),42983.0)</f>
        <v>42983</v>
      </c>
      <c r="F1260" s="85">
        <f>IFERROR(__xludf.DUMMYFUNCTION("""COMPUTED_VALUE"""),43010.0)</f>
        <v>43010</v>
      </c>
      <c r="G1260" s="86">
        <f>IFERROR(__xludf.DUMMYFUNCTION("""COMPUTED_VALUE"""),0.8999999999999999)</f>
        <v>0.9</v>
      </c>
      <c r="H1260" s="84">
        <f>IFERROR(__xludf.DUMMYFUNCTION("""COMPUTED_VALUE"""),42108.0)</f>
        <v>42108</v>
      </c>
      <c r="I1260" s="86">
        <f>IFERROR(__xludf.DUMMYFUNCTION("""COMPUTED_VALUE"""),2.3916666666666666)</f>
        <v>2.391666667</v>
      </c>
      <c r="J1260" s="87">
        <f>IFERROR(__xludf.DUMMYFUNCTION("""COMPUTED_VALUE"""),61.0)</f>
        <v>61</v>
      </c>
      <c r="K1260" s="88">
        <f>IFERROR(__xludf.DUMMYFUNCTION("""COMPUTED_VALUE"""),6.9)</f>
        <v>6.9</v>
      </c>
      <c r="L1260" s="89">
        <f>IFERROR(__xludf.DUMMYFUNCTION("""COMPUTED_VALUE"""),2.0)</f>
        <v>2</v>
      </c>
      <c r="M1260" s="26" t="str">
        <f>IFERROR(__xludf.DUMMYFUNCTION("""COMPUTED_VALUE"""),"Shooter")</f>
        <v>Shooter</v>
      </c>
      <c r="N1260" s="26"/>
      <c r="O1260" s="26" t="str">
        <f>IFERROR(__xludf.DUMMYFUNCTION("""COMPUTED_VALUE"""),"No")</f>
        <v>No</v>
      </c>
      <c r="P1260" s="26"/>
    </row>
    <row r="1261">
      <c r="A1261" s="81" t="str">
        <f>IFERROR(__xludf.DUMMYFUNCTION("""COMPUTED_VALUE"""),"Hatoful Boyfriend")</f>
        <v>Hatoful Boyfriend</v>
      </c>
      <c r="B1261" s="82" t="str">
        <f>IFERROR(__xludf.DUMMYFUNCTION("""COMPUTED_VALUE"""),"PS4/Vita")</f>
        <v>PS4/Vita</v>
      </c>
      <c r="C1261" s="83" t="str">
        <f>IFERROR(__xludf.DUMMYFUNCTION("""COMPUTED_VALUE"""),"Playstation Plus (Discontinued)")</f>
        <v>Playstation Plus (Discontinued)</v>
      </c>
      <c r="D1261" s="82" t="str">
        <f>IFERROR(__xludf.DUMMYFUNCTION("""COMPUTED_VALUE"""),"Removed")</f>
        <v>Removed</v>
      </c>
      <c r="E1261" s="84">
        <f>IFERROR(__xludf.DUMMYFUNCTION("""COMPUTED_VALUE"""),42983.0)</f>
        <v>42983</v>
      </c>
      <c r="F1261" s="85">
        <f>IFERROR(__xludf.DUMMYFUNCTION("""COMPUTED_VALUE"""),43010.0)</f>
        <v>43010</v>
      </c>
      <c r="G1261" s="86">
        <f>IFERROR(__xludf.DUMMYFUNCTION("""COMPUTED_VALUE"""),0.8999999999999999)</f>
        <v>0.9</v>
      </c>
      <c r="H1261" s="84">
        <f>IFERROR(__xludf.DUMMYFUNCTION("""COMPUTED_VALUE"""),41886.0)</f>
        <v>41886</v>
      </c>
      <c r="I1261" s="86">
        <f>IFERROR(__xludf.DUMMYFUNCTION("""COMPUTED_VALUE"""),3.0027777777777778)</f>
        <v>3.002777778</v>
      </c>
      <c r="J1261" s="87">
        <f>IFERROR(__xludf.DUMMYFUNCTION("""COMPUTED_VALUE"""),72.0)</f>
        <v>72</v>
      </c>
      <c r="K1261" s="88">
        <f>IFERROR(__xludf.DUMMYFUNCTION("""COMPUTED_VALUE"""),7.4)</f>
        <v>7.4</v>
      </c>
      <c r="L1261" s="89">
        <f>IFERROR(__xludf.DUMMYFUNCTION("""COMPUTED_VALUE"""),4.0)</f>
        <v>4</v>
      </c>
      <c r="M1261" s="26" t="str">
        <f>IFERROR(__xludf.DUMMYFUNCTION("""COMPUTED_VALUE"""),"Visual Novel")</f>
        <v>Visual Novel</v>
      </c>
      <c r="N1261" s="26"/>
      <c r="O1261" s="26" t="str">
        <f>IFERROR(__xludf.DUMMYFUNCTION("""COMPUTED_VALUE"""),"No")</f>
        <v>No</v>
      </c>
      <c r="P1261" s="26"/>
    </row>
    <row r="1262">
      <c r="A1262" s="81" t="str">
        <f>IFERROR(__xludf.DUMMYFUNCTION("""COMPUTED_VALUE"""),"Just Cause 3")</f>
        <v>Just Cause 3</v>
      </c>
      <c r="B1262" s="82" t="str">
        <f>IFERROR(__xludf.DUMMYFUNCTION("""COMPUTED_VALUE"""),"PS4")</f>
        <v>PS4</v>
      </c>
      <c r="C1262" s="83" t="str">
        <f>IFERROR(__xludf.DUMMYFUNCTION("""COMPUTED_VALUE"""),"Playstation Plus (Discontinued)")</f>
        <v>Playstation Plus (Discontinued)</v>
      </c>
      <c r="D1262" s="82" t="str">
        <f>IFERROR(__xludf.DUMMYFUNCTION("""COMPUTED_VALUE"""),"Removed")</f>
        <v>Removed</v>
      </c>
      <c r="E1262" s="84">
        <f>IFERROR(__xludf.DUMMYFUNCTION("""COMPUTED_VALUE"""),42948.0)</f>
        <v>42948</v>
      </c>
      <c r="F1262" s="85">
        <f>IFERROR(__xludf.DUMMYFUNCTION("""COMPUTED_VALUE"""),42982.0)</f>
        <v>42982</v>
      </c>
      <c r="G1262" s="86">
        <f>IFERROR(__xludf.DUMMYFUNCTION("""COMPUTED_VALUE"""),1.0999999999999999)</f>
        <v>1.1</v>
      </c>
      <c r="H1262" s="84">
        <f>IFERROR(__xludf.DUMMYFUNCTION("""COMPUTED_VALUE"""),42339.0)</f>
        <v>42339</v>
      </c>
      <c r="I1262" s="86">
        <f>IFERROR(__xludf.DUMMYFUNCTION("""COMPUTED_VALUE"""),1.6666666666666667)</f>
        <v>1.666666667</v>
      </c>
      <c r="J1262" s="87">
        <f>IFERROR(__xludf.DUMMYFUNCTION("""COMPUTED_VALUE"""),73.0)</f>
        <v>73</v>
      </c>
      <c r="K1262" s="88">
        <f>IFERROR(__xludf.DUMMYFUNCTION("""COMPUTED_VALUE"""),6.2)</f>
        <v>6.2</v>
      </c>
      <c r="L1262" s="89">
        <f>IFERROR(__xludf.DUMMYFUNCTION("""COMPUTED_VALUE"""),18.0)</f>
        <v>18</v>
      </c>
      <c r="M1262" s="26" t="str">
        <f>IFERROR(__xludf.DUMMYFUNCTION("""COMPUTED_VALUE"""),"Action-Adventure")</f>
        <v>Action-Adventure</v>
      </c>
      <c r="N1262" s="26"/>
      <c r="O1262" s="26" t="str">
        <f>IFERROR(__xludf.DUMMYFUNCTION("""COMPUTED_VALUE"""),"No")</f>
        <v>No</v>
      </c>
      <c r="P1262" s="26"/>
    </row>
    <row r="1263">
      <c r="A1263" s="81" t="str">
        <f>IFERROR(__xludf.DUMMYFUNCTION("""COMPUTED_VALUE"""),"Assassin’s Creed Freedom Cry")</f>
        <v>Assassin’s Creed Freedom Cry</v>
      </c>
      <c r="B1263" s="82" t="str">
        <f>IFERROR(__xludf.DUMMYFUNCTION("""COMPUTED_VALUE"""),"PS4")</f>
        <v>PS4</v>
      </c>
      <c r="C1263" s="83" t="str">
        <f>IFERROR(__xludf.DUMMYFUNCTION("""COMPUTED_VALUE"""),"Playstation Plus (Discontinued)")</f>
        <v>Playstation Plus (Discontinued)</v>
      </c>
      <c r="D1263" s="82" t="str">
        <f>IFERROR(__xludf.DUMMYFUNCTION("""COMPUTED_VALUE"""),"Removed")</f>
        <v>Removed</v>
      </c>
      <c r="E1263" s="84">
        <f>IFERROR(__xludf.DUMMYFUNCTION("""COMPUTED_VALUE"""),42948.0)</f>
        <v>42948</v>
      </c>
      <c r="F1263" s="85">
        <f>IFERROR(__xludf.DUMMYFUNCTION("""COMPUTED_VALUE"""),42982.0)</f>
        <v>42982</v>
      </c>
      <c r="G1263" s="86">
        <f>IFERROR(__xludf.DUMMYFUNCTION("""COMPUTED_VALUE"""),1.0999999999999999)</f>
        <v>1.1</v>
      </c>
      <c r="H1263" s="84">
        <f>IFERROR(__xludf.DUMMYFUNCTION("""COMPUTED_VALUE"""),41688.0)</f>
        <v>41688</v>
      </c>
      <c r="I1263" s="86">
        <f>IFERROR(__xludf.DUMMYFUNCTION("""COMPUTED_VALUE"""),3.452777777777778)</f>
        <v>3.452777778</v>
      </c>
      <c r="J1263" s="87">
        <f>IFERROR(__xludf.DUMMYFUNCTION("""COMPUTED_VALUE"""),71.0)</f>
        <v>71</v>
      </c>
      <c r="K1263" s="88">
        <f>IFERROR(__xludf.DUMMYFUNCTION("""COMPUTED_VALUE"""),6.7)</f>
        <v>6.7</v>
      </c>
      <c r="L1263" s="89">
        <f>IFERROR(__xludf.DUMMYFUNCTION("""COMPUTED_VALUE"""),6.0)</f>
        <v>6</v>
      </c>
      <c r="M1263" s="26" t="str">
        <f>IFERROR(__xludf.DUMMYFUNCTION("""COMPUTED_VALUE"""),"Action-Adventure")</f>
        <v>Action-Adventure</v>
      </c>
      <c r="N1263" s="26"/>
      <c r="O1263" s="26" t="str">
        <f>IFERROR(__xludf.DUMMYFUNCTION("""COMPUTED_VALUE"""),"No")</f>
        <v>No</v>
      </c>
      <c r="P1263" s="26"/>
    </row>
    <row r="1264">
      <c r="A1264" s="81" t="str">
        <f>IFERROR(__xludf.DUMMYFUNCTION("""COMPUTED_VALUE"""),"That’s You!")</f>
        <v>That’s You!</v>
      </c>
      <c r="B1264" s="82" t="str">
        <f>IFERROR(__xludf.DUMMYFUNCTION("""COMPUTED_VALUE"""),"PS4")</f>
        <v>PS4</v>
      </c>
      <c r="C1264" s="83" t="str">
        <f>IFERROR(__xludf.DUMMYFUNCTION("""COMPUTED_VALUE"""),"Playstation Plus (Discontinued)")</f>
        <v>Playstation Plus (Discontinued)</v>
      </c>
      <c r="D1264" s="82" t="str">
        <f>IFERROR(__xludf.DUMMYFUNCTION("""COMPUTED_VALUE"""),"Removed")</f>
        <v>Removed</v>
      </c>
      <c r="E1264" s="84">
        <f>IFERROR(__xludf.DUMMYFUNCTION("""COMPUTED_VALUE"""),42948.0)</f>
        <v>42948</v>
      </c>
      <c r="F1264" s="85">
        <f>IFERROR(__xludf.DUMMYFUNCTION("""COMPUTED_VALUE"""),42982.0)</f>
        <v>42982</v>
      </c>
      <c r="G1264" s="86">
        <f>IFERROR(__xludf.DUMMYFUNCTION("""COMPUTED_VALUE"""),1.0999999999999999)</f>
        <v>1.1</v>
      </c>
      <c r="H1264" s="84">
        <f>IFERROR(__xludf.DUMMYFUNCTION("""COMPUTED_VALUE"""),42920.0)</f>
        <v>42920</v>
      </c>
      <c r="I1264" s="86">
        <f>IFERROR(__xludf.DUMMYFUNCTION("""COMPUTED_VALUE"""),0.075)</f>
        <v>0.075</v>
      </c>
      <c r="J1264" s="87">
        <f>IFERROR(__xludf.DUMMYFUNCTION("""COMPUTED_VALUE"""),69.0)</f>
        <v>69</v>
      </c>
      <c r="K1264" s="88">
        <f>IFERROR(__xludf.DUMMYFUNCTION("""COMPUTED_VALUE"""),7.4)</f>
        <v>7.4</v>
      </c>
      <c r="L1264" s="89"/>
      <c r="M1264" s="26" t="str">
        <f>IFERROR(__xludf.DUMMYFUNCTION("""COMPUTED_VALUE"""),"Party")</f>
        <v>Party</v>
      </c>
      <c r="N1264" s="26"/>
      <c r="O1264" s="26" t="str">
        <f>IFERROR(__xludf.DUMMYFUNCTION("""COMPUTED_VALUE"""),"No")</f>
        <v>No</v>
      </c>
      <c r="P1264" s="26"/>
    </row>
    <row r="1265">
      <c r="A1265" s="81" t="str">
        <f>IFERROR(__xludf.DUMMYFUNCTION("""COMPUTED_VALUE"""),"Super Motherload")</f>
        <v>Super Motherload</v>
      </c>
      <c r="B1265" s="82" t="str">
        <f>IFERROR(__xludf.DUMMYFUNCTION("""COMPUTED_VALUE"""),"PS4/PS3")</f>
        <v>PS4/PS3</v>
      </c>
      <c r="C1265" s="83" t="str">
        <f>IFERROR(__xludf.DUMMYFUNCTION("""COMPUTED_VALUE"""),"Playstation Plus (Discontinued)")</f>
        <v>Playstation Plus (Discontinued)</v>
      </c>
      <c r="D1265" s="82" t="str">
        <f>IFERROR(__xludf.DUMMYFUNCTION("""COMPUTED_VALUE"""),"Removed")</f>
        <v>Removed</v>
      </c>
      <c r="E1265" s="84">
        <f>IFERROR(__xludf.DUMMYFUNCTION("""COMPUTED_VALUE"""),42948.0)</f>
        <v>42948</v>
      </c>
      <c r="F1265" s="85">
        <f>IFERROR(__xludf.DUMMYFUNCTION("""COMPUTED_VALUE"""),42982.0)</f>
        <v>42982</v>
      </c>
      <c r="G1265" s="86">
        <f>IFERROR(__xludf.DUMMYFUNCTION("""COMPUTED_VALUE"""),1.0999999999999999)</f>
        <v>1.1</v>
      </c>
      <c r="H1265" s="84">
        <f>IFERROR(__xludf.DUMMYFUNCTION("""COMPUTED_VALUE"""),41582.0)</f>
        <v>41582</v>
      </c>
      <c r="I1265" s="86">
        <f>IFERROR(__xludf.DUMMYFUNCTION("""COMPUTED_VALUE"""),3.7416666666666667)</f>
        <v>3.741666667</v>
      </c>
      <c r="J1265" s="87">
        <f>IFERROR(__xludf.DUMMYFUNCTION("""COMPUTED_VALUE"""),65.0)</f>
        <v>65</v>
      </c>
      <c r="K1265" s="88">
        <f>IFERROR(__xludf.DUMMYFUNCTION("""COMPUTED_VALUE"""),7.1)</f>
        <v>7.1</v>
      </c>
      <c r="L1265" s="89">
        <f>IFERROR(__xludf.DUMMYFUNCTION("""COMPUTED_VALUE"""),6.0)</f>
        <v>6</v>
      </c>
      <c r="M1265" s="26" t="str">
        <f>IFERROR(__xludf.DUMMYFUNCTION("""COMPUTED_VALUE"""),"Action-Adventure")</f>
        <v>Action-Adventure</v>
      </c>
      <c r="N1265" s="26"/>
      <c r="O1265" s="26" t="str">
        <f>IFERROR(__xludf.DUMMYFUNCTION("""COMPUTED_VALUE"""),"No")</f>
        <v>No</v>
      </c>
      <c r="P1265" s="26"/>
    </row>
    <row r="1266">
      <c r="A1266" s="81" t="str">
        <f>IFERROR(__xludf.DUMMYFUNCTION("""COMPUTED_VALUE"""),"Snake Ball")</f>
        <v>Snake Ball</v>
      </c>
      <c r="B1266" s="82" t="str">
        <f>IFERROR(__xludf.DUMMYFUNCTION("""COMPUTED_VALUE"""),"PS3")</f>
        <v>PS3</v>
      </c>
      <c r="C1266" s="83" t="str">
        <f>IFERROR(__xludf.DUMMYFUNCTION("""COMPUTED_VALUE"""),"Playstation Plus (Discontinued)")</f>
        <v>Playstation Plus (Discontinued)</v>
      </c>
      <c r="D1266" s="82" t="str">
        <f>IFERROR(__xludf.DUMMYFUNCTION("""COMPUTED_VALUE"""),"Removed")</f>
        <v>Removed</v>
      </c>
      <c r="E1266" s="84">
        <f>IFERROR(__xludf.DUMMYFUNCTION("""COMPUTED_VALUE"""),42948.0)</f>
        <v>42948</v>
      </c>
      <c r="F1266" s="85">
        <f>IFERROR(__xludf.DUMMYFUNCTION("""COMPUTED_VALUE"""),42982.0)</f>
        <v>42982</v>
      </c>
      <c r="G1266" s="86">
        <f>IFERROR(__xludf.DUMMYFUNCTION("""COMPUTED_VALUE"""),1.0999999999999999)</f>
        <v>1.1</v>
      </c>
      <c r="H1266" s="84">
        <f>IFERROR(__xludf.DUMMYFUNCTION("""COMPUTED_VALUE"""),39408.0)</f>
        <v>39408</v>
      </c>
      <c r="I1266" s="86">
        <f>IFERROR(__xludf.DUMMYFUNCTION("""COMPUTED_VALUE"""),9.691666666666666)</f>
        <v>9.691666667</v>
      </c>
      <c r="J1266" s="87">
        <f>IFERROR(__xludf.DUMMYFUNCTION("""COMPUTED_VALUE"""),65.0)</f>
        <v>65</v>
      </c>
      <c r="K1266" s="88">
        <f>IFERROR(__xludf.DUMMYFUNCTION("""COMPUTED_VALUE"""),6.8)</f>
        <v>6.8</v>
      </c>
      <c r="L1266" s="89">
        <f>IFERROR(__xludf.DUMMYFUNCTION("""COMPUTED_VALUE"""),3.0)</f>
        <v>3</v>
      </c>
      <c r="M1266" s="26" t="str">
        <f>IFERROR(__xludf.DUMMYFUNCTION("""COMPUTED_VALUE"""),"Arcade")</f>
        <v>Arcade</v>
      </c>
      <c r="N1266" s="26"/>
      <c r="O1266" s="26" t="str">
        <f>IFERROR(__xludf.DUMMYFUNCTION("""COMPUTED_VALUE"""),"No")</f>
        <v>No</v>
      </c>
      <c r="P1266" s="26"/>
    </row>
    <row r="1267">
      <c r="A1267" s="81" t="str">
        <f>IFERROR(__xludf.DUMMYFUNCTION("""COMPUTED_VALUE"""),"Downwell")</f>
        <v>Downwell</v>
      </c>
      <c r="B1267" s="82" t="str">
        <f>IFERROR(__xludf.DUMMYFUNCTION("""COMPUTED_VALUE"""),"PS4/Vita")</f>
        <v>PS4/Vita</v>
      </c>
      <c r="C1267" s="83" t="str">
        <f>IFERROR(__xludf.DUMMYFUNCTION("""COMPUTED_VALUE"""),"Playstation Plus (Discontinued)")</f>
        <v>Playstation Plus (Discontinued)</v>
      </c>
      <c r="D1267" s="82" t="str">
        <f>IFERROR(__xludf.DUMMYFUNCTION("""COMPUTED_VALUE"""),"Removed")</f>
        <v>Removed</v>
      </c>
      <c r="E1267" s="84">
        <f>IFERROR(__xludf.DUMMYFUNCTION("""COMPUTED_VALUE"""),42948.0)</f>
        <v>42948</v>
      </c>
      <c r="F1267" s="85">
        <f>IFERROR(__xludf.DUMMYFUNCTION("""COMPUTED_VALUE"""),42982.0)</f>
        <v>42982</v>
      </c>
      <c r="G1267" s="86">
        <f>IFERROR(__xludf.DUMMYFUNCTION("""COMPUTED_VALUE"""),1.0999999999999999)</f>
        <v>1.1</v>
      </c>
      <c r="H1267" s="84">
        <f>IFERROR(__xludf.DUMMYFUNCTION("""COMPUTED_VALUE"""),42514.0)</f>
        <v>42514</v>
      </c>
      <c r="I1267" s="86">
        <f>IFERROR(__xludf.DUMMYFUNCTION("""COMPUTED_VALUE"""),1.1861111111111111)</f>
        <v>1.186111111</v>
      </c>
      <c r="J1267" s="87">
        <f>IFERROR(__xludf.DUMMYFUNCTION("""COMPUTED_VALUE"""),85.0)</f>
        <v>85</v>
      </c>
      <c r="K1267" s="88">
        <f>IFERROR(__xludf.DUMMYFUNCTION("""COMPUTED_VALUE"""),7.8)</f>
        <v>7.8</v>
      </c>
      <c r="L1267" s="89">
        <f>IFERROR(__xludf.DUMMYFUNCTION("""COMPUTED_VALUE"""),3.0)</f>
        <v>3</v>
      </c>
      <c r="M1267" s="26" t="str">
        <f>IFERROR(__xludf.DUMMYFUNCTION("""COMPUTED_VALUE"""),"Platformer")</f>
        <v>Platformer</v>
      </c>
      <c r="N1267" s="26"/>
      <c r="O1267" s="26" t="str">
        <f>IFERROR(__xludf.DUMMYFUNCTION("""COMPUTED_VALUE"""),"No")</f>
        <v>No</v>
      </c>
      <c r="P1267" s="26"/>
    </row>
    <row r="1268">
      <c r="A1268" s="81" t="str">
        <f>IFERROR(__xludf.DUMMYFUNCTION("""COMPUTED_VALUE"""),"Level 22")</f>
        <v>Level 22</v>
      </c>
      <c r="B1268" s="82" t="str">
        <f>IFERROR(__xludf.DUMMYFUNCTION("""COMPUTED_VALUE"""),"Vita")</f>
        <v>Vita</v>
      </c>
      <c r="C1268" s="83" t="str">
        <f>IFERROR(__xludf.DUMMYFUNCTION("""COMPUTED_VALUE"""),"Playstation Plus (Discontinued)")</f>
        <v>Playstation Plus (Discontinued)</v>
      </c>
      <c r="D1268" s="82" t="str">
        <f>IFERROR(__xludf.DUMMYFUNCTION("""COMPUTED_VALUE"""),"Removed")</f>
        <v>Removed</v>
      </c>
      <c r="E1268" s="84">
        <f>IFERROR(__xludf.DUMMYFUNCTION("""COMPUTED_VALUE"""),42948.0)</f>
        <v>42948</v>
      </c>
      <c r="F1268" s="85">
        <f>IFERROR(__xludf.DUMMYFUNCTION("""COMPUTED_VALUE"""),42982.0)</f>
        <v>42982</v>
      </c>
      <c r="G1268" s="86">
        <f>IFERROR(__xludf.DUMMYFUNCTION("""COMPUTED_VALUE"""),1.0999999999999999)</f>
        <v>1.1</v>
      </c>
      <c r="H1268" s="84">
        <f>IFERROR(__xludf.DUMMYFUNCTION("""COMPUTED_VALUE"""),42276.0)</f>
        <v>42276</v>
      </c>
      <c r="I1268" s="86">
        <f>IFERROR(__xludf.DUMMYFUNCTION("""COMPUTED_VALUE"""),1.8388888888888888)</f>
        <v>1.838888889</v>
      </c>
      <c r="J1268" s="87">
        <f>IFERROR(__xludf.DUMMYFUNCTION("""COMPUTED_VALUE"""),60.0)</f>
        <v>60</v>
      </c>
      <c r="K1268" s="88">
        <f>IFERROR(__xludf.DUMMYFUNCTION("""COMPUTED_VALUE"""),6.7)</f>
        <v>6.7</v>
      </c>
      <c r="L1268" s="89">
        <f>IFERROR(__xludf.DUMMYFUNCTION("""COMPUTED_VALUE"""),2.0)</f>
        <v>2</v>
      </c>
      <c r="M1268" s="26" t="str">
        <f>IFERROR(__xludf.DUMMYFUNCTION("""COMPUTED_VALUE"""),"Strategy")</f>
        <v>Strategy</v>
      </c>
      <c r="N1268" s="26"/>
      <c r="O1268" s="26" t="str">
        <f>IFERROR(__xludf.DUMMYFUNCTION("""COMPUTED_VALUE"""),"No")</f>
        <v>No</v>
      </c>
      <c r="P1268" s="26"/>
    </row>
    <row r="1269">
      <c r="A1269" s="81" t="str">
        <f>IFERROR(__xludf.DUMMYFUNCTION("""COMPUTED_VALUE"""),"Until Dawn")</f>
        <v>Until Dawn</v>
      </c>
      <c r="B1269" s="82" t="str">
        <f>IFERROR(__xludf.DUMMYFUNCTION("""COMPUTED_VALUE"""),"PS4")</f>
        <v>PS4</v>
      </c>
      <c r="C1269" s="83" t="str">
        <f>IFERROR(__xludf.DUMMYFUNCTION("""COMPUTED_VALUE"""),"Playstation Plus (Discontinued)")</f>
        <v>Playstation Plus (Discontinued)</v>
      </c>
      <c r="D1269" s="82" t="str">
        <f>IFERROR(__xludf.DUMMYFUNCTION("""COMPUTED_VALUE"""),"Removed")</f>
        <v>Removed</v>
      </c>
      <c r="E1269" s="84">
        <f>IFERROR(__xludf.DUMMYFUNCTION("""COMPUTED_VALUE"""),42920.0)</f>
        <v>42920</v>
      </c>
      <c r="F1269" s="85">
        <f>IFERROR(__xludf.DUMMYFUNCTION("""COMPUTED_VALUE"""),42947.0)</f>
        <v>42947</v>
      </c>
      <c r="G1269" s="86">
        <f>IFERROR(__xludf.DUMMYFUNCTION("""COMPUTED_VALUE"""),0.8666666666666666)</f>
        <v>0.8666666667</v>
      </c>
      <c r="H1269" s="84">
        <f>IFERROR(__xludf.DUMMYFUNCTION("""COMPUTED_VALUE"""),42241.0)</f>
        <v>42241</v>
      </c>
      <c r="I1269" s="86">
        <f>IFERROR(__xludf.DUMMYFUNCTION("""COMPUTED_VALUE"""),1.8583333333333334)</f>
        <v>1.858333333</v>
      </c>
      <c r="J1269" s="87">
        <f>IFERROR(__xludf.DUMMYFUNCTION("""COMPUTED_VALUE"""),79.0)</f>
        <v>79</v>
      </c>
      <c r="K1269" s="88">
        <f>IFERROR(__xludf.DUMMYFUNCTION("""COMPUTED_VALUE"""),8.3)</f>
        <v>8.3</v>
      </c>
      <c r="L1269" s="89">
        <f>IFERROR(__xludf.DUMMYFUNCTION("""COMPUTED_VALUE"""),9.0)</f>
        <v>9</v>
      </c>
      <c r="M1269" s="26" t="str">
        <f>IFERROR(__xludf.DUMMYFUNCTION("""COMPUTED_VALUE"""),"Horror")</f>
        <v>Horror</v>
      </c>
      <c r="N1269" s="26"/>
      <c r="O1269" s="26" t="str">
        <f>IFERROR(__xludf.DUMMYFUNCTION("""COMPUTED_VALUE"""),"No")</f>
        <v>No</v>
      </c>
      <c r="P1269" s="26"/>
    </row>
    <row r="1270">
      <c r="A1270" s="81" t="str">
        <f>IFERROR(__xludf.DUMMYFUNCTION("""COMPUTED_VALUE"""),"Game of Thrones: A Telltale Games Series")</f>
        <v>Game of Thrones: A Telltale Games Series</v>
      </c>
      <c r="B1270" s="82" t="str">
        <f>IFERROR(__xludf.DUMMYFUNCTION("""COMPUTED_VALUE"""),"PS4")</f>
        <v>PS4</v>
      </c>
      <c r="C1270" s="83" t="str">
        <f>IFERROR(__xludf.DUMMYFUNCTION("""COMPUTED_VALUE"""),"Playstation Plus (Discontinued)")</f>
        <v>Playstation Plus (Discontinued)</v>
      </c>
      <c r="D1270" s="82" t="str">
        <f>IFERROR(__xludf.DUMMYFUNCTION("""COMPUTED_VALUE"""),"Removed")</f>
        <v>Removed</v>
      </c>
      <c r="E1270" s="84">
        <f>IFERROR(__xludf.DUMMYFUNCTION("""COMPUTED_VALUE"""),42920.0)</f>
        <v>42920</v>
      </c>
      <c r="F1270" s="85">
        <f>IFERROR(__xludf.DUMMYFUNCTION("""COMPUTED_VALUE"""),42947.0)</f>
        <v>42947</v>
      </c>
      <c r="G1270" s="86">
        <f>IFERROR(__xludf.DUMMYFUNCTION("""COMPUTED_VALUE"""),0.8666666666666666)</f>
        <v>0.8666666667</v>
      </c>
      <c r="H1270" s="84">
        <f>IFERROR(__xludf.DUMMYFUNCTION("""COMPUTED_VALUE"""),41975.0)</f>
        <v>41975</v>
      </c>
      <c r="I1270" s="86">
        <f>IFERROR(__xludf.DUMMYFUNCTION("""COMPUTED_VALUE"""),2.588888888888889)</f>
        <v>2.588888889</v>
      </c>
      <c r="J1270" s="87">
        <f>IFERROR(__xludf.DUMMYFUNCTION("""COMPUTED_VALUE"""),69.0)</f>
        <v>69</v>
      </c>
      <c r="K1270" s="88">
        <f>IFERROR(__xludf.DUMMYFUNCTION("""COMPUTED_VALUE"""),7.0)</f>
        <v>7</v>
      </c>
      <c r="L1270" s="89">
        <f>IFERROR(__xludf.DUMMYFUNCTION("""COMPUTED_VALUE"""),11.0)</f>
        <v>11</v>
      </c>
      <c r="M1270" s="26" t="str">
        <f>IFERROR(__xludf.DUMMYFUNCTION("""COMPUTED_VALUE"""),"Adventure")</f>
        <v>Adventure</v>
      </c>
      <c r="N1270" s="26"/>
      <c r="O1270" s="26" t="str">
        <f>IFERROR(__xludf.DUMMYFUNCTION("""COMPUTED_VALUE"""),"No")</f>
        <v>No</v>
      </c>
      <c r="P1270" s="26"/>
    </row>
    <row r="1271">
      <c r="A1271" s="81" t="str">
        <f>IFERROR(__xludf.DUMMYFUNCTION("""COMPUTED_VALUE"""),"That’s You!")</f>
        <v>That’s You!</v>
      </c>
      <c r="B1271" s="82" t="str">
        <f>IFERROR(__xludf.DUMMYFUNCTION("""COMPUTED_VALUE"""),"PS4")</f>
        <v>PS4</v>
      </c>
      <c r="C1271" s="83" t="str">
        <f>IFERROR(__xludf.DUMMYFUNCTION("""COMPUTED_VALUE"""),"Playstation Plus (Discontinued)")</f>
        <v>Playstation Plus (Discontinued)</v>
      </c>
      <c r="D1271" s="82" t="str">
        <f>IFERROR(__xludf.DUMMYFUNCTION("""COMPUTED_VALUE"""),"Removed")</f>
        <v>Removed</v>
      </c>
      <c r="E1271" s="84">
        <f>IFERROR(__xludf.DUMMYFUNCTION("""COMPUTED_VALUE"""),42920.0)</f>
        <v>42920</v>
      </c>
      <c r="F1271" s="85">
        <f>IFERROR(__xludf.DUMMYFUNCTION("""COMPUTED_VALUE"""),42947.0)</f>
        <v>42947</v>
      </c>
      <c r="G1271" s="86">
        <f>IFERROR(__xludf.DUMMYFUNCTION("""COMPUTED_VALUE"""),0.8666666666666666)</f>
        <v>0.8666666667</v>
      </c>
      <c r="H1271" s="84">
        <f>IFERROR(__xludf.DUMMYFUNCTION("""COMPUTED_VALUE"""),42920.0)</f>
        <v>42920</v>
      </c>
      <c r="I1271" s="86">
        <f>IFERROR(__xludf.DUMMYFUNCTION("""COMPUTED_VALUE"""),0.0)</f>
        <v>0</v>
      </c>
      <c r="J1271" s="87">
        <f>IFERROR(__xludf.DUMMYFUNCTION("""COMPUTED_VALUE"""),69.0)</f>
        <v>69</v>
      </c>
      <c r="K1271" s="88">
        <f>IFERROR(__xludf.DUMMYFUNCTION("""COMPUTED_VALUE"""),7.4)</f>
        <v>7.4</v>
      </c>
      <c r="L1271" s="89"/>
      <c r="M1271" s="26" t="str">
        <f>IFERROR(__xludf.DUMMYFUNCTION("""COMPUTED_VALUE"""),"Party")</f>
        <v>Party</v>
      </c>
      <c r="N1271" s="26"/>
      <c r="O1271" s="26" t="str">
        <f>IFERROR(__xludf.DUMMYFUNCTION("""COMPUTED_VALUE"""),"No")</f>
        <v>No</v>
      </c>
      <c r="P1271" s="26"/>
    </row>
    <row r="1272">
      <c r="A1272" s="81" t="str">
        <f>IFERROR(__xludf.DUMMYFUNCTION("""COMPUTED_VALUE"""),"Tokyo Jungle")</f>
        <v>Tokyo Jungle</v>
      </c>
      <c r="B1272" s="82" t="str">
        <f>IFERROR(__xludf.DUMMYFUNCTION("""COMPUTED_VALUE"""),"PS3")</f>
        <v>PS3</v>
      </c>
      <c r="C1272" s="83" t="str">
        <f>IFERROR(__xludf.DUMMYFUNCTION("""COMPUTED_VALUE"""),"Playstation Plus (Discontinued)")</f>
        <v>Playstation Plus (Discontinued)</v>
      </c>
      <c r="D1272" s="82" t="str">
        <f>IFERROR(__xludf.DUMMYFUNCTION("""COMPUTED_VALUE"""),"Removed")</f>
        <v>Removed</v>
      </c>
      <c r="E1272" s="84">
        <f>IFERROR(__xludf.DUMMYFUNCTION("""COMPUTED_VALUE"""),42920.0)</f>
        <v>42920</v>
      </c>
      <c r="F1272" s="85">
        <f>IFERROR(__xludf.DUMMYFUNCTION("""COMPUTED_VALUE"""),42947.0)</f>
        <v>42947</v>
      </c>
      <c r="G1272" s="86">
        <f>IFERROR(__xludf.DUMMYFUNCTION("""COMPUTED_VALUE"""),0.8666666666666666)</f>
        <v>0.8666666667</v>
      </c>
      <c r="H1272" s="84">
        <f>IFERROR(__xludf.DUMMYFUNCTION("""COMPUTED_VALUE"""),41177.0)</f>
        <v>41177</v>
      </c>
      <c r="I1272" s="86">
        <f>IFERROR(__xludf.DUMMYFUNCTION("""COMPUTED_VALUE"""),4.775)</f>
        <v>4.775</v>
      </c>
      <c r="J1272" s="87">
        <f>IFERROR(__xludf.DUMMYFUNCTION("""COMPUTED_VALUE"""),74.0)</f>
        <v>74</v>
      </c>
      <c r="K1272" s="88">
        <f>IFERROR(__xludf.DUMMYFUNCTION("""COMPUTED_VALUE"""),7.7)</f>
        <v>7.7</v>
      </c>
      <c r="L1272" s="89">
        <f>IFERROR(__xludf.DUMMYFUNCTION("""COMPUTED_VALUE"""),10.0)</f>
        <v>10</v>
      </c>
      <c r="M1272" s="26" t="str">
        <f>IFERROR(__xludf.DUMMYFUNCTION("""COMPUTED_VALUE"""),"Action-Adventure")</f>
        <v>Action-Adventure</v>
      </c>
      <c r="N1272" s="26"/>
      <c r="O1272" s="26" t="str">
        <f>IFERROR(__xludf.DUMMYFUNCTION("""COMPUTED_VALUE"""),"No")</f>
        <v>No</v>
      </c>
      <c r="P1272" s="26"/>
    </row>
    <row r="1273">
      <c r="A1273" s="81" t="str">
        <f>IFERROR(__xludf.DUMMYFUNCTION("""COMPUTED_VALUE"""),"Darkstalkers Resurrection")</f>
        <v>Darkstalkers Resurrection</v>
      </c>
      <c r="B1273" s="82" t="str">
        <f>IFERROR(__xludf.DUMMYFUNCTION("""COMPUTED_VALUE"""),"PS3")</f>
        <v>PS3</v>
      </c>
      <c r="C1273" s="83" t="str">
        <f>IFERROR(__xludf.DUMMYFUNCTION("""COMPUTED_VALUE"""),"Playstation Plus (Discontinued)")</f>
        <v>Playstation Plus (Discontinued)</v>
      </c>
      <c r="D1273" s="82" t="str">
        <f>IFERROR(__xludf.DUMMYFUNCTION("""COMPUTED_VALUE"""),"Removed")</f>
        <v>Removed</v>
      </c>
      <c r="E1273" s="84">
        <f>IFERROR(__xludf.DUMMYFUNCTION("""COMPUTED_VALUE"""),42920.0)</f>
        <v>42920</v>
      </c>
      <c r="F1273" s="85">
        <f>IFERROR(__xludf.DUMMYFUNCTION("""COMPUTED_VALUE"""),42947.0)</f>
        <v>42947</v>
      </c>
      <c r="G1273" s="86">
        <f>IFERROR(__xludf.DUMMYFUNCTION("""COMPUTED_VALUE"""),0.8666666666666666)</f>
        <v>0.8666666667</v>
      </c>
      <c r="H1273" s="84">
        <f>IFERROR(__xludf.DUMMYFUNCTION("""COMPUTED_VALUE"""),41345.0)</f>
        <v>41345</v>
      </c>
      <c r="I1273" s="86">
        <f>IFERROR(__xludf.DUMMYFUNCTION("""COMPUTED_VALUE"""),4.311111111111111)</f>
        <v>4.311111111</v>
      </c>
      <c r="J1273" s="87">
        <f>IFERROR(__xludf.DUMMYFUNCTION("""COMPUTED_VALUE"""),80.0)</f>
        <v>80</v>
      </c>
      <c r="K1273" s="88">
        <f>IFERROR(__xludf.DUMMYFUNCTION("""COMPUTED_VALUE"""),7.6)</f>
        <v>7.6</v>
      </c>
      <c r="L1273" s="89"/>
      <c r="M1273" s="26" t="str">
        <f>IFERROR(__xludf.DUMMYFUNCTION("""COMPUTED_VALUE"""),"Fighting")</f>
        <v>Fighting</v>
      </c>
      <c r="N1273" s="26"/>
      <c r="O1273" s="26" t="str">
        <f>IFERROR(__xludf.DUMMYFUNCTION("""COMPUTED_VALUE"""),"No")</f>
        <v>No</v>
      </c>
      <c r="P1273" s="26"/>
    </row>
    <row r="1274">
      <c r="A1274" s="81" t="str">
        <f>IFERROR(__xludf.DUMMYFUNCTION("""COMPUTED_VALUE"""),"Don’t Die, Mr. Robot")</f>
        <v>Don’t Die, Mr. Robot</v>
      </c>
      <c r="B1274" s="82" t="str">
        <f>IFERROR(__xludf.DUMMYFUNCTION("""COMPUTED_VALUE"""),"PS4/Vita")</f>
        <v>PS4/Vita</v>
      </c>
      <c r="C1274" s="83" t="str">
        <f>IFERROR(__xludf.DUMMYFUNCTION("""COMPUTED_VALUE"""),"Playstation Plus (Discontinued)")</f>
        <v>Playstation Plus (Discontinued)</v>
      </c>
      <c r="D1274" s="82" t="str">
        <f>IFERROR(__xludf.DUMMYFUNCTION("""COMPUTED_VALUE"""),"Removed")</f>
        <v>Removed</v>
      </c>
      <c r="E1274" s="84">
        <f>IFERROR(__xludf.DUMMYFUNCTION("""COMPUTED_VALUE"""),42920.0)</f>
        <v>42920</v>
      </c>
      <c r="F1274" s="85">
        <f>IFERROR(__xludf.DUMMYFUNCTION("""COMPUTED_VALUE"""),42947.0)</f>
        <v>42947</v>
      </c>
      <c r="G1274" s="86">
        <f>IFERROR(__xludf.DUMMYFUNCTION("""COMPUTED_VALUE"""),0.8666666666666666)</f>
        <v>0.8666666667</v>
      </c>
      <c r="H1274" s="84">
        <f>IFERROR(__xludf.DUMMYFUNCTION("""COMPUTED_VALUE"""),42178.0)</f>
        <v>42178</v>
      </c>
      <c r="I1274" s="86">
        <f>IFERROR(__xludf.DUMMYFUNCTION("""COMPUTED_VALUE"""),2.0305555555555554)</f>
        <v>2.030555556</v>
      </c>
      <c r="J1274" s="87">
        <f>IFERROR(__xludf.DUMMYFUNCTION("""COMPUTED_VALUE"""),76.0)</f>
        <v>76</v>
      </c>
      <c r="K1274" s="88">
        <f>IFERROR(__xludf.DUMMYFUNCTION("""COMPUTED_VALUE"""),6.8)</f>
        <v>6.8</v>
      </c>
      <c r="L1274" s="89">
        <f>IFERROR(__xludf.DUMMYFUNCTION("""COMPUTED_VALUE"""),2.0)</f>
        <v>2</v>
      </c>
      <c r="M1274" s="26" t="str">
        <f>IFERROR(__xludf.DUMMYFUNCTION("""COMPUTED_VALUE"""),"Arcade")</f>
        <v>Arcade</v>
      </c>
      <c r="N1274" s="26"/>
      <c r="O1274" s="26" t="str">
        <f>IFERROR(__xludf.DUMMYFUNCTION("""COMPUTED_VALUE"""),"No")</f>
        <v>No</v>
      </c>
      <c r="P1274" s="26"/>
    </row>
    <row r="1275">
      <c r="A1275" s="81" t="str">
        <f>IFERROR(__xludf.DUMMYFUNCTION("""COMPUTED_VALUE"""),"Element4l")</f>
        <v>Element4l</v>
      </c>
      <c r="B1275" s="82" t="str">
        <f>IFERROR(__xludf.DUMMYFUNCTION("""COMPUTED_VALUE"""),"Vita")</f>
        <v>Vita</v>
      </c>
      <c r="C1275" s="83" t="str">
        <f>IFERROR(__xludf.DUMMYFUNCTION("""COMPUTED_VALUE"""),"Playstation Plus (Discontinued)")</f>
        <v>Playstation Plus (Discontinued)</v>
      </c>
      <c r="D1275" s="82" t="str">
        <f>IFERROR(__xludf.DUMMYFUNCTION("""COMPUTED_VALUE"""),"Removed")</f>
        <v>Removed</v>
      </c>
      <c r="E1275" s="84">
        <f>IFERROR(__xludf.DUMMYFUNCTION("""COMPUTED_VALUE"""),42920.0)</f>
        <v>42920</v>
      </c>
      <c r="F1275" s="85">
        <f>IFERROR(__xludf.DUMMYFUNCTION("""COMPUTED_VALUE"""),42947.0)</f>
        <v>42947</v>
      </c>
      <c r="G1275" s="86">
        <f>IFERROR(__xludf.DUMMYFUNCTION("""COMPUTED_VALUE"""),0.8666666666666666)</f>
        <v>0.8666666667</v>
      </c>
      <c r="H1275" s="84">
        <f>IFERROR(__xludf.DUMMYFUNCTION("""COMPUTED_VALUE"""),42180.0)</f>
        <v>42180</v>
      </c>
      <c r="I1275" s="86">
        <f>IFERROR(__xludf.DUMMYFUNCTION("""COMPUTED_VALUE"""),2.025)</f>
        <v>2.025</v>
      </c>
      <c r="J1275" s="87">
        <f>IFERROR(__xludf.DUMMYFUNCTION("""COMPUTED_VALUE"""),62.0)</f>
        <v>62</v>
      </c>
      <c r="K1275" s="88">
        <f>IFERROR(__xludf.DUMMYFUNCTION("""COMPUTED_VALUE"""),6.2)</f>
        <v>6.2</v>
      </c>
      <c r="L1275" s="89">
        <f>IFERROR(__xludf.DUMMYFUNCTION("""COMPUTED_VALUE"""),3.0)</f>
        <v>3</v>
      </c>
      <c r="M1275" s="26" t="str">
        <f>IFERROR(__xludf.DUMMYFUNCTION("""COMPUTED_VALUE"""),"Platformer")</f>
        <v>Platformer</v>
      </c>
      <c r="N1275" s="26"/>
      <c r="O1275" s="26" t="str">
        <f>IFERROR(__xludf.DUMMYFUNCTION("""COMPUTED_VALUE"""),"No")</f>
        <v>No</v>
      </c>
      <c r="P1275" s="26"/>
    </row>
    <row r="1276">
      <c r="A1276" s="81" t="str">
        <f>IFERROR(__xludf.DUMMYFUNCTION("""COMPUTED_VALUE"""),"Killing Floor 2")</f>
        <v>Killing Floor 2</v>
      </c>
      <c r="B1276" s="82" t="str">
        <f>IFERROR(__xludf.DUMMYFUNCTION("""COMPUTED_VALUE"""),"PS4")</f>
        <v>PS4</v>
      </c>
      <c r="C1276" s="83" t="str">
        <f>IFERROR(__xludf.DUMMYFUNCTION("""COMPUTED_VALUE"""),"Playstation Plus (Discontinued)")</f>
        <v>Playstation Plus (Discontinued)</v>
      </c>
      <c r="D1276" s="82" t="str">
        <f>IFERROR(__xludf.DUMMYFUNCTION("""COMPUTED_VALUE"""),"Removed")</f>
        <v>Removed</v>
      </c>
      <c r="E1276" s="84">
        <f>IFERROR(__xludf.DUMMYFUNCTION("""COMPUTED_VALUE"""),42892.0)</f>
        <v>42892</v>
      </c>
      <c r="F1276" s="85">
        <f>IFERROR(__xludf.DUMMYFUNCTION("""COMPUTED_VALUE"""),42919.0)</f>
        <v>42919</v>
      </c>
      <c r="G1276" s="86">
        <f>IFERROR(__xludf.DUMMYFUNCTION("""COMPUTED_VALUE"""),0.8999999999999999)</f>
        <v>0.9</v>
      </c>
      <c r="H1276" s="84">
        <f>IFERROR(__xludf.DUMMYFUNCTION("""COMPUTED_VALUE"""),42692.0)</f>
        <v>42692</v>
      </c>
      <c r="I1276" s="86">
        <f>IFERROR(__xludf.DUMMYFUNCTION("""COMPUTED_VALUE"""),0.55)</f>
        <v>0.55</v>
      </c>
      <c r="J1276" s="87">
        <f>IFERROR(__xludf.DUMMYFUNCTION("""COMPUTED_VALUE"""),75.0)</f>
        <v>75</v>
      </c>
      <c r="K1276" s="88">
        <f>IFERROR(__xludf.DUMMYFUNCTION("""COMPUTED_VALUE"""),7.5)</f>
        <v>7.5</v>
      </c>
      <c r="L1276" s="89">
        <f>IFERROR(__xludf.DUMMYFUNCTION("""COMPUTED_VALUE"""),16.0)</f>
        <v>16</v>
      </c>
      <c r="M1276" s="26" t="str">
        <f>IFERROR(__xludf.DUMMYFUNCTION("""COMPUTED_VALUE"""),"Shooter")</f>
        <v>Shooter</v>
      </c>
      <c r="N1276" s="26"/>
      <c r="O1276" s="26" t="str">
        <f>IFERROR(__xludf.DUMMYFUNCTION("""COMPUTED_VALUE"""),"No")</f>
        <v>No</v>
      </c>
      <c r="P1276" s="26"/>
    </row>
    <row r="1277">
      <c r="A1277" s="81" t="str">
        <f>IFERROR(__xludf.DUMMYFUNCTION("""COMPUTED_VALUE"""),"Life is Strange")</f>
        <v>Life is Strange</v>
      </c>
      <c r="B1277" s="82" t="str">
        <f>IFERROR(__xludf.DUMMYFUNCTION("""COMPUTED_VALUE"""),"PS4")</f>
        <v>PS4</v>
      </c>
      <c r="C1277" s="83" t="str">
        <f>IFERROR(__xludf.DUMMYFUNCTION("""COMPUTED_VALUE"""),"Playstation Plus (Discontinued)")</f>
        <v>Playstation Plus (Discontinued)</v>
      </c>
      <c r="D1277" s="82" t="str">
        <f>IFERROR(__xludf.DUMMYFUNCTION("""COMPUTED_VALUE"""),"Removed")</f>
        <v>Removed</v>
      </c>
      <c r="E1277" s="84">
        <f>IFERROR(__xludf.DUMMYFUNCTION("""COMPUTED_VALUE"""),42892.0)</f>
        <v>42892</v>
      </c>
      <c r="F1277" s="85">
        <f>IFERROR(__xludf.DUMMYFUNCTION("""COMPUTED_VALUE"""),42919.0)</f>
        <v>42919</v>
      </c>
      <c r="G1277" s="86">
        <f>IFERROR(__xludf.DUMMYFUNCTION("""COMPUTED_VALUE"""),0.8999999999999999)</f>
        <v>0.9</v>
      </c>
      <c r="H1277" s="84">
        <f>IFERROR(__xludf.DUMMYFUNCTION("""COMPUTED_VALUE"""),42034.0)</f>
        <v>42034</v>
      </c>
      <c r="I1277" s="86">
        <f>IFERROR(__xludf.DUMMYFUNCTION("""COMPUTED_VALUE"""),2.35)</f>
        <v>2.35</v>
      </c>
      <c r="J1277" s="87">
        <f>IFERROR(__xludf.DUMMYFUNCTION("""COMPUTED_VALUE"""),85.0)</f>
        <v>85</v>
      </c>
      <c r="K1277" s="88">
        <f>IFERROR(__xludf.DUMMYFUNCTION("""COMPUTED_VALUE"""),8.4)</f>
        <v>8.4</v>
      </c>
      <c r="L1277" s="89">
        <f>IFERROR(__xludf.DUMMYFUNCTION("""COMPUTED_VALUE"""),14.0)</f>
        <v>14</v>
      </c>
      <c r="M1277" s="26" t="str">
        <f>IFERROR(__xludf.DUMMYFUNCTION("""COMPUTED_VALUE"""),"Adventure")</f>
        <v>Adventure</v>
      </c>
      <c r="N1277" s="26"/>
      <c r="O1277" s="26" t="str">
        <f>IFERROR(__xludf.DUMMYFUNCTION("""COMPUTED_VALUE"""),"No")</f>
        <v>No</v>
      </c>
      <c r="P1277" s="26"/>
    </row>
    <row r="1278">
      <c r="A1278" s="81" t="str">
        <f>IFERROR(__xludf.DUMMYFUNCTION("""COMPUTED_VALUE"""),"Abyss Odyssey")</f>
        <v>Abyss Odyssey</v>
      </c>
      <c r="B1278" s="82" t="str">
        <f>IFERROR(__xludf.DUMMYFUNCTION("""COMPUTED_VALUE"""),"PS3")</f>
        <v>PS3</v>
      </c>
      <c r="C1278" s="83" t="str">
        <f>IFERROR(__xludf.DUMMYFUNCTION("""COMPUTED_VALUE"""),"Playstation Plus (Discontinued)")</f>
        <v>Playstation Plus (Discontinued)</v>
      </c>
      <c r="D1278" s="82" t="str">
        <f>IFERROR(__xludf.DUMMYFUNCTION("""COMPUTED_VALUE"""),"Removed")</f>
        <v>Removed</v>
      </c>
      <c r="E1278" s="84">
        <f>IFERROR(__xludf.DUMMYFUNCTION("""COMPUTED_VALUE"""),42892.0)</f>
        <v>42892</v>
      </c>
      <c r="F1278" s="85">
        <f>IFERROR(__xludf.DUMMYFUNCTION("""COMPUTED_VALUE"""),42919.0)</f>
        <v>42919</v>
      </c>
      <c r="G1278" s="86">
        <f>IFERROR(__xludf.DUMMYFUNCTION("""COMPUTED_VALUE"""),0.8999999999999999)</f>
        <v>0.9</v>
      </c>
      <c r="H1278" s="84">
        <f>IFERROR(__xludf.DUMMYFUNCTION("""COMPUTED_VALUE"""),41835.0)</f>
        <v>41835</v>
      </c>
      <c r="I1278" s="86">
        <f>IFERROR(__xludf.DUMMYFUNCTION("""COMPUTED_VALUE"""),2.8916666666666666)</f>
        <v>2.891666667</v>
      </c>
      <c r="J1278" s="87">
        <f>IFERROR(__xludf.DUMMYFUNCTION("""COMPUTED_VALUE"""),70.0)</f>
        <v>70</v>
      </c>
      <c r="K1278" s="88">
        <f>IFERROR(__xludf.DUMMYFUNCTION("""COMPUTED_VALUE"""),6.5)</f>
        <v>6.5</v>
      </c>
      <c r="L1278" s="89">
        <f>IFERROR(__xludf.DUMMYFUNCTION("""COMPUTED_VALUE"""),7.0)</f>
        <v>7</v>
      </c>
      <c r="M1278" s="26" t="str">
        <f>IFERROR(__xludf.DUMMYFUNCTION("""COMPUTED_VALUE"""),"Action-Adventure")</f>
        <v>Action-Adventure</v>
      </c>
      <c r="N1278" s="26"/>
      <c r="O1278" s="26" t="str">
        <f>IFERROR(__xludf.DUMMYFUNCTION("""COMPUTED_VALUE"""),"No")</f>
        <v>No</v>
      </c>
      <c r="P1278" s="26"/>
    </row>
    <row r="1279">
      <c r="A1279" s="81" t="str">
        <f>IFERROR(__xludf.DUMMYFUNCTION("""COMPUTED_VALUE"""),"WRC 5: World Rally Championship")</f>
        <v>WRC 5: World Rally Championship</v>
      </c>
      <c r="B1279" s="82" t="str">
        <f>IFERROR(__xludf.DUMMYFUNCTION("""COMPUTED_VALUE"""),"PS3")</f>
        <v>PS3</v>
      </c>
      <c r="C1279" s="83" t="str">
        <f>IFERROR(__xludf.DUMMYFUNCTION("""COMPUTED_VALUE"""),"Playstation Plus (Discontinued)")</f>
        <v>Playstation Plus (Discontinued)</v>
      </c>
      <c r="D1279" s="82" t="str">
        <f>IFERROR(__xludf.DUMMYFUNCTION("""COMPUTED_VALUE"""),"Removed")</f>
        <v>Removed</v>
      </c>
      <c r="E1279" s="84">
        <f>IFERROR(__xludf.DUMMYFUNCTION("""COMPUTED_VALUE"""),42892.0)</f>
        <v>42892</v>
      </c>
      <c r="F1279" s="85">
        <f>IFERROR(__xludf.DUMMYFUNCTION("""COMPUTED_VALUE"""),42919.0)</f>
        <v>42919</v>
      </c>
      <c r="G1279" s="86">
        <f>IFERROR(__xludf.DUMMYFUNCTION("""COMPUTED_VALUE"""),0.8999999999999999)</f>
        <v>0.9</v>
      </c>
      <c r="H1279" s="84">
        <f>IFERROR(__xludf.DUMMYFUNCTION("""COMPUTED_VALUE"""),42290.0)</f>
        <v>42290</v>
      </c>
      <c r="I1279" s="86">
        <f>IFERROR(__xludf.DUMMYFUNCTION("""COMPUTED_VALUE"""),1.6472222222222221)</f>
        <v>1.647222222</v>
      </c>
      <c r="J1279" s="87">
        <f>IFERROR(__xludf.DUMMYFUNCTION("""COMPUTED_VALUE"""),62.0)</f>
        <v>62</v>
      </c>
      <c r="K1279" s="88">
        <f>IFERROR(__xludf.DUMMYFUNCTION("""COMPUTED_VALUE"""),6.7)</f>
        <v>6.7</v>
      </c>
      <c r="L1279" s="89"/>
      <c r="M1279" s="26" t="str">
        <f>IFERROR(__xludf.DUMMYFUNCTION("""COMPUTED_VALUE"""),"Racing")</f>
        <v>Racing</v>
      </c>
      <c r="N1279" s="26"/>
      <c r="O1279" s="26" t="str">
        <f>IFERROR(__xludf.DUMMYFUNCTION("""COMPUTED_VALUE"""),"No")</f>
        <v>No</v>
      </c>
      <c r="P1279" s="26"/>
    </row>
    <row r="1280">
      <c r="A1280" s="81" t="str">
        <f>IFERROR(__xludf.DUMMYFUNCTION("""COMPUTED_VALUE"""),"Neon Chrome")</f>
        <v>Neon Chrome</v>
      </c>
      <c r="B1280" s="82" t="str">
        <f>IFERROR(__xludf.DUMMYFUNCTION("""COMPUTED_VALUE"""),"PS4/Vita")</f>
        <v>PS4/Vita</v>
      </c>
      <c r="C1280" s="83" t="str">
        <f>IFERROR(__xludf.DUMMYFUNCTION("""COMPUTED_VALUE"""),"Playstation Plus (Discontinued)")</f>
        <v>Playstation Plus (Discontinued)</v>
      </c>
      <c r="D1280" s="82" t="str">
        <f>IFERROR(__xludf.DUMMYFUNCTION("""COMPUTED_VALUE"""),"Removed")</f>
        <v>Removed</v>
      </c>
      <c r="E1280" s="84">
        <f>IFERROR(__xludf.DUMMYFUNCTION("""COMPUTED_VALUE"""),42892.0)</f>
        <v>42892</v>
      </c>
      <c r="F1280" s="85">
        <f>IFERROR(__xludf.DUMMYFUNCTION("""COMPUTED_VALUE"""),42919.0)</f>
        <v>42919</v>
      </c>
      <c r="G1280" s="86">
        <f>IFERROR(__xludf.DUMMYFUNCTION("""COMPUTED_VALUE"""),0.8999999999999999)</f>
        <v>0.9</v>
      </c>
      <c r="H1280" s="84">
        <f>IFERROR(__xludf.DUMMYFUNCTION("""COMPUTED_VALUE"""),42514.0)</f>
        <v>42514</v>
      </c>
      <c r="I1280" s="86">
        <f>IFERROR(__xludf.DUMMYFUNCTION("""COMPUTED_VALUE"""),1.0333333333333334)</f>
        <v>1.033333333</v>
      </c>
      <c r="J1280" s="87">
        <f>IFERROR(__xludf.DUMMYFUNCTION("""COMPUTED_VALUE"""),63.0)</f>
        <v>63</v>
      </c>
      <c r="K1280" s="88">
        <f>IFERROR(__xludf.DUMMYFUNCTION("""COMPUTED_VALUE"""),6.9)</f>
        <v>6.9</v>
      </c>
      <c r="L1280" s="89">
        <f>IFERROR(__xludf.DUMMYFUNCTION("""COMPUTED_VALUE"""),5.0)</f>
        <v>5</v>
      </c>
      <c r="M1280" s="26" t="str">
        <f>IFERROR(__xludf.DUMMYFUNCTION("""COMPUTED_VALUE"""),"Shooter")</f>
        <v>Shooter</v>
      </c>
      <c r="N1280" s="26"/>
      <c r="O1280" s="26" t="str">
        <f>IFERROR(__xludf.DUMMYFUNCTION("""COMPUTED_VALUE"""),"No")</f>
        <v>No</v>
      </c>
      <c r="P1280" s="26"/>
    </row>
    <row r="1281">
      <c r="A1281" s="81" t="str">
        <f>IFERROR(__xludf.DUMMYFUNCTION("""COMPUTED_VALUE"""),"Spy Chameleon")</f>
        <v>Spy Chameleon</v>
      </c>
      <c r="B1281" s="82" t="str">
        <f>IFERROR(__xludf.DUMMYFUNCTION("""COMPUTED_VALUE"""),"PS4/Vita")</f>
        <v>PS4/Vita</v>
      </c>
      <c r="C1281" s="83" t="str">
        <f>IFERROR(__xludf.DUMMYFUNCTION("""COMPUTED_VALUE"""),"Playstation Plus (Discontinued)")</f>
        <v>Playstation Plus (Discontinued)</v>
      </c>
      <c r="D1281" s="82" t="str">
        <f>IFERROR(__xludf.DUMMYFUNCTION("""COMPUTED_VALUE"""),"Removed")</f>
        <v>Removed</v>
      </c>
      <c r="E1281" s="84">
        <f>IFERROR(__xludf.DUMMYFUNCTION("""COMPUTED_VALUE"""),42892.0)</f>
        <v>42892</v>
      </c>
      <c r="F1281" s="85">
        <f>IFERROR(__xludf.DUMMYFUNCTION("""COMPUTED_VALUE"""),42919.0)</f>
        <v>42919</v>
      </c>
      <c r="G1281" s="86">
        <f>IFERROR(__xludf.DUMMYFUNCTION("""COMPUTED_VALUE"""),0.8999999999999999)</f>
        <v>0.9</v>
      </c>
      <c r="H1281" s="84">
        <f>IFERROR(__xludf.DUMMYFUNCTION("""COMPUTED_VALUE"""),42166.0)</f>
        <v>42166</v>
      </c>
      <c r="I1281" s="86">
        <f>IFERROR(__xludf.DUMMYFUNCTION("""COMPUTED_VALUE"""),1.9861111111111112)</f>
        <v>1.986111111</v>
      </c>
      <c r="J1281" s="87">
        <f>IFERROR(__xludf.DUMMYFUNCTION("""COMPUTED_VALUE"""),65.0)</f>
        <v>65</v>
      </c>
      <c r="K1281" s="88">
        <f>IFERROR(__xludf.DUMMYFUNCTION("""COMPUTED_VALUE"""),6.8)</f>
        <v>6.8</v>
      </c>
      <c r="L1281" s="89">
        <f>IFERROR(__xludf.DUMMYFUNCTION("""COMPUTED_VALUE"""),3.0)</f>
        <v>3</v>
      </c>
      <c r="M1281" s="26" t="str">
        <f>IFERROR(__xludf.DUMMYFUNCTION("""COMPUTED_VALUE"""),"Puzzle")</f>
        <v>Puzzle</v>
      </c>
      <c r="N1281" s="26"/>
      <c r="O1281" s="26" t="str">
        <f>IFERROR(__xludf.DUMMYFUNCTION("""COMPUTED_VALUE"""),"No")</f>
        <v>No</v>
      </c>
      <c r="P1281" s="26"/>
    </row>
    <row r="1282">
      <c r="A1282" s="81" t="str">
        <f>IFERROR(__xludf.DUMMYFUNCTION("""COMPUTED_VALUE"""),"ABZU")</f>
        <v>ABZU</v>
      </c>
      <c r="B1282" s="82" t="str">
        <f>IFERROR(__xludf.DUMMYFUNCTION("""COMPUTED_VALUE"""),"PS4")</f>
        <v>PS4</v>
      </c>
      <c r="C1282" s="83" t="str">
        <f>IFERROR(__xludf.DUMMYFUNCTION("""COMPUTED_VALUE"""),"Playstation Plus (Discontinued)")</f>
        <v>Playstation Plus (Discontinued)</v>
      </c>
      <c r="D1282" s="82" t="str">
        <f>IFERROR(__xludf.DUMMYFUNCTION("""COMPUTED_VALUE"""),"Removed")</f>
        <v>Removed</v>
      </c>
      <c r="E1282" s="84">
        <f>IFERROR(__xludf.DUMMYFUNCTION("""COMPUTED_VALUE"""),42857.0)</f>
        <v>42857</v>
      </c>
      <c r="F1282" s="85">
        <f>IFERROR(__xludf.DUMMYFUNCTION("""COMPUTED_VALUE"""),42891.0)</f>
        <v>42891</v>
      </c>
      <c r="G1282" s="86">
        <f>IFERROR(__xludf.DUMMYFUNCTION("""COMPUTED_VALUE"""),1.0999999999999999)</f>
        <v>1.1</v>
      </c>
      <c r="H1282" s="84">
        <f>IFERROR(__xludf.DUMMYFUNCTION("""COMPUTED_VALUE"""),42584.0)</f>
        <v>42584</v>
      </c>
      <c r="I1282" s="86">
        <f>IFERROR(__xludf.DUMMYFUNCTION("""COMPUTED_VALUE"""),0.75)</f>
        <v>0.75</v>
      </c>
      <c r="J1282" s="87">
        <f>IFERROR(__xludf.DUMMYFUNCTION("""COMPUTED_VALUE"""),78.0)</f>
        <v>78</v>
      </c>
      <c r="K1282" s="88">
        <f>IFERROR(__xludf.DUMMYFUNCTION("""COMPUTED_VALUE"""),7.7)</f>
        <v>7.7</v>
      </c>
      <c r="L1282" s="89">
        <f>IFERROR(__xludf.DUMMYFUNCTION("""COMPUTED_VALUE"""),2.0)</f>
        <v>2</v>
      </c>
      <c r="M1282" s="26" t="str">
        <f>IFERROR(__xludf.DUMMYFUNCTION("""COMPUTED_VALUE"""),"Adventure")</f>
        <v>Adventure</v>
      </c>
      <c r="N1282" s="26"/>
      <c r="O1282" s="26" t="str">
        <f>IFERROR(__xludf.DUMMYFUNCTION("""COMPUTED_VALUE"""),"No")</f>
        <v>No</v>
      </c>
      <c r="P1282" s="26"/>
    </row>
    <row r="1283">
      <c r="A1283" s="81" t="str">
        <f>IFERROR(__xludf.DUMMYFUNCTION("""COMPUTED_VALUE"""),"Tales from the Borderlands")</f>
        <v>Tales from the Borderlands</v>
      </c>
      <c r="B1283" s="82" t="str">
        <f>IFERROR(__xludf.DUMMYFUNCTION("""COMPUTED_VALUE"""),"PS4")</f>
        <v>PS4</v>
      </c>
      <c r="C1283" s="83" t="str">
        <f>IFERROR(__xludf.DUMMYFUNCTION("""COMPUTED_VALUE"""),"Playstation Plus (Discontinued)")</f>
        <v>Playstation Plus (Discontinued)</v>
      </c>
      <c r="D1283" s="82" t="str">
        <f>IFERROR(__xludf.DUMMYFUNCTION("""COMPUTED_VALUE"""),"Removed")</f>
        <v>Removed</v>
      </c>
      <c r="E1283" s="84">
        <f>IFERROR(__xludf.DUMMYFUNCTION("""COMPUTED_VALUE"""),42857.0)</f>
        <v>42857</v>
      </c>
      <c r="F1283" s="85">
        <f>IFERROR(__xludf.DUMMYFUNCTION("""COMPUTED_VALUE"""),42891.0)</f>
        <v>42891</v>
      </c>
      <c r="G1283" s="86">
        <f>IFERROR(__xludf.DUMMYFUNCTION("""COMPUTED_VALUE"""),1.0999999999999999)</f>
        <v>1.1</v>
      </c>
      <c r="H1283" s="84">
        <f>IFERROR(__xludf.DUMMYFUNCTION("""COMPUTED_VALUE"""),41968.0)</f>
        <v>41968</v>
      </c>
      <c r="I1283" s="86">
        <f>IFERROR(__xludf.DUMMYFUNCTION("""COMPUTED_VALUE"""),2.436111111111111)</f>
        <v>2.436111111</v>
      </c>
      <c r="J1283" s="87">
        <f>IFERROR(__xludf.DUMMYFUNCTION("""COMPUTED_VALUE"""),86.0)</f>
        <v>86</v>
      </c>
      <c r="K1283" s="88">
        <f>IFERROR(__xludf.DUMMYFUNCTION("""COMPUTED_VALUE"""),8.4)</f>
        <v>8.4</v>
      </c>
      <c r="L1283" s="89">
        <f>IFERROR(__xludf.DUMMYFUNCTION("""COMPUTED_VALUE"""),12.0)</f>
        <v>12</v>
      </c>
      <c r="M1283" s="26" t="str">
        <f>IFERROR(__xludf.DUMMYFUNCTION("""COMPUTED_VALUE"""),"Adventure")</f>
        <v>Adventure</v>
      </c>
      <c r="N1283" s="26"/>
      <c r="O1283" s="26" t="str">
        <f>IFERROR(__xludf.DUMMYFUNCTION("""COMPUTED_VALUE"""),"No")</f>
        <v>No</v>
      </c>
      <c r="P1283" s="26"/>
    </row>
    <row r="1284">
      <c r="A1284" s="81" t="str">
        <f>IFERROR(__xludf.DUMMYFUNCTION("""COMPUTED_VALUE"""),"Blood Knights")</f>
        <v>Blood Knights</v>
      </c>
      <c r="B1284" s="82" t="str">
        <f>IFERROR(__xludf.DUMMYFUNCTION("""COMPUTED_VALUE"""),"PS3")</f>
        <v>PS3</v>
      </c>
      <c r="C1284" s="83" t="str">
        <f>IFERROR(__xludf.DUMMYFUNCTION("""COMPUTED_VALUE"""),"Playstation Plus (Discontinued)")</f>
        <v>Playstation Plus (Discontinued)</v>
      </c>
      <c r="D1284" s="82" t="str">
        <f>IFERROR(__xludf.DUMMYFUNCTION("""COMPUTED_VALUE"""),"Removed")</f>
        <v>Removed</v>
      </c>
      <c r="E1284" s="84">
        <f>IFERROR(__xludf.DUMMYFUNCTION("""COMPUTED_VALUE"""),42857.0)</f>
        <v>42857</v>
      </c>
      <c r="F1284" s="85">
        <f>IFERROR(__xludf.DUMMYFUNCTION("""COMPUTED_VALUE"""),42891.0)</f>
        <v>42891</v>
      </c>
      <c r="G1284" s="86">
        <f>IFERROR(__xludf.DUMMYFUNCTION("""COMPUTED_VALUE"""),1.0999999999999999)</f>
        <v>1.1</v>
      </c>
      <c r="H1284" s="84">
        <f>IFERROR(__xludf.DUMMYFUNCTION("""COMPUTED_VALUE"""),41579.0)</f>
        <v>41579</v>
      </c>
      <c r="I1284" s="86">
        <f>IFERROR(__xludf.DUMMYFUNCTION("""COMPUTED_VALUE"""),3.5027777777777778)</f>
        <v>3.502777778</v>
      </c>
      <c r="J1284" s="87">
        <f>IFERROR(__xludf.DUMMYFUNCTION("""COMPUTED_VALUE"""),39.0)</f>
        <v>39</v>
      </c>
      <c r="K1284" s="88">
        <f>IFERROR(__xludf.DUMMYFUNCTION("""COMPUTED_VALUE"""),4.8)</f>
        <v>4.8</v>
      </c>
      <c r="L1284" s="89">
        <f>IFERROR(__xludf.DUMMYFUNCTION("""COMPUTED_VALUE"""),7.0)</f>
        <v>7</v>
      </c>
      <c r="M1284" s="26" t="str">
        <f>IFERROR(__xludf.DUMMYFUNCTION("""COMPUTED_VALUE"""),"Action-Adventure")</f>
        <v>Action-Adventure</v>
      </c>
      <c r="N1284" s="26"/>
      <c r="O1284" s="26" t="str">
        <f>IFERROR(__xludf.DUMMYFUNCTION("""COMPUTED_VALUE"""),"No")</f>
        <v>No</v>
      </c>
      <c r="P1284" s="26"/>
    </row>
    <row r="1285">
      <c r="A1285" s="81" t="str">
        <f>IFERROR(__xludf.DUMMYFUNCTION("""COMPUTED_VALUE"""),"Port Royale 3: Pirates and Merchants")</f>
        <v>Port Royale 3: Pirates and Merchants</v>
      </c>
      <c r="B1285" s="82" t="str">
        <f>IFERROR(__xludf.DUMMYFUNCTION("""COMPUTED_VALUE"""),"PS3")</f>
        <v>PS3</v>
      </c>
      <c r="C1285" s="83" t="str">
        <f>IFERROR(__xludf.DUMMYFUNCTION("""COMPUTED_VALUE"""),"Playstation Plus (Discontinued)")</f>
        <v>Playstation Plus (Discontinued)</v>
      </c>
      <c r="D1285" s="82" t="str">
        <f>IFERROR(__xludf.DUMMYFUNCTION("""COMPUTED_VALUE"""),"Removed")</f>
        <v>Removed</v>
      </c>
      <c r="E1285" s="84">
        <f>IFERROR(__xludf.DUMMYFUNCTION("""COMPUTED_VALUE"""),42857.0)</f>
        <v>42857</v>
      </c>
      <c r="F1285" s="85">
        <f>IFERROR(__xludf.DUMMYFUNCTION("""COMPUTED_VALUE"""),42891.0)</f>
        <v>42891</v>
      </c>
      <c r="G1285" s="86">
        <f>IFERROR(__xludf.DUMMYFUNCTION("""COMPUTED_VALUE"""),1.0999999999999999)</f>
        <v>1.1</v>
      </c>
      <c r="H1285" s="84">
        <f>IFERROR(__xludf.DUMMYFUNCTION("""COMPUTED_VALUE"""),41157.0)</f>
        <v>41157</v>
      </c>
      <c r="I1285" s="86">
        <f>IFERROR(__xludf.DUMMYFUNCTION("""COMPUTED_VALUE"""),4.658333333333333)</f>
        <v>4.658333333</v>
      </c>
      <c r="J1285" s="87">
        <f>IFERROR(__xludf.DUMMYFUNCTION("""COMPUTED_VALUE"""),56.0)</f>
        <v>56</v>
      </c>
      <c r="K1285" s="88">
        <f>IFERROR(__xludf.DUMMYFUNCTION("""COMPUTED_VALUE"""),6.6)</f>
        <v>6.6</v>
      </c>
      <c r="L1285" s="89">
        <f>IFERROR(__xludf.DUMMYFUNCTION("""COMPUTED_VALUE"""),30.0)</f>
        <v>30</v>
      </c>
      <c r="M1285" s="26" t="str">
        <f>IFERROR(__xludf.DUMMYFUNCTION("""COMPUTED_VALUE"""),"RPG")</f>
        <v>RPG</v>
      </c>
      <c r="N1285" s="26"/>
      <c r="O1285" s="26" t="str">
        <f>IFERROR(__xludf.DUMMYFUNCTION("""COMPUTED_VALUE"""),"No")</f>
        <v>No</v>
      </c>
      <c r="P1285" s="26"/>
    </row>
    <row r="1286">
      <c r="A1286" s="81" t="str">
        <f>IFERROR(__xludf.DUMMYFUNCTION("""COMPUTED_VALUE"""),"Laser Disco Defenders")</f>
        <v>Laser Disco Defenders</v>
      </c>
      <c r="B1286" s="82" t="str">
        <f>IFERROR(__xludf.DUMMYFUNCTION("""COMPUTED_VALUE"""),"PS4/Vita")</f>
        <v>PS4/Vita</v>
      </c>
      <c r="C1286" s="83" t="str">
        <f>IFERROR(__xludf.DUMMYFUNCTION("""COMPUTED_VALUE"""),"Playstation Plus (Discontinued)")</f>
        <v>Playstation Plus (Discontinued)</v>
      </c>
      <c r="D1286" s="82" t="str">
        <f>IFERROR(__xludf.DUMMYFUNCTION("""COMPUTED_VALUE"""),"Removed")</f>
        <v>Removed</v>
      </c>
      <c r="E1286" s="84">
        <f>IFERROR(__xludf.DUMMYFUNCTION("""COMPUTED_VALUE"""),42857.0)</f>
        <v>42857</v>
      </c>
      <c r="F1286" s="85">
        <f>IFERROR(__xludf.DUMMYFUNCTION("""COMPUTED_VALUE"""),42891.0)</f>
        <v>42891</v>
      </c>
      <c r="G1286" s="86">
        <f>IFERROR(__xludf.DUMMYFUNCTION("""COMPUTED_VALUE"""),1.0999999999999999)</f>
        <v>1.1</v>
      </c>
      <c r="H1286" s="84">
        <f>IFERROR(__xludf.DUMMYFUNCTION("""COMPUTED_VALUE"""),42502.0)</f>
        <v>42502</v>
      </c>
      <c r="I1286" s="86">
        <f>IFERROR(__xludf.DUMMYFUNCTION("""COMPUTED_VALUE"""),0.9722222222222222)</f>
        <v>0.9722222222</v>
      </c>
      <c r="J1286" s="87">
        <f>IFERROR(__xludf.DUMMYFUNCTION("""COMPUTED_VALUE"""),80.0)</f>
        <v>80</v>
      </c>
      <c r="K1286" s="88">
        <f>IFERROR(__xludf.DUMMYFUNCTION("""COMPUTED_VALUE"""),6.2)</f>
        <v>6.2</v>
      </c>
      <c r="L1286" s="89">
        <f>IFERROR(__xludf.DUMMYFUNCTION("""COMPUTED_VALUE"""),3.0)</f>
        <v>3</v>
      </c>
      <c r="M1286" s="26" t="str">
        <f>IFERROR(__xludf.DUMMYFUNCTION("""COMPUTED_VALUE"""),"Shooter")</f>
        <v>Shooter</v>
      </c>
      <c r="N1286" s="26"/>
      <c r="O1286" s="26" t="str">
        <f>IFERROR(__xludf.DUMMYFUNCTION("""COMPUTED_VALUE"""),"No")</f>
        <v>No</v>
      </c>
      <c r="P1286" s="26"/>
    </row>
    <row r="1287">
      <c r="A1287" s="81" t="str">
        <f>IFERROR(__xludf.DUMMYFUNCTION("""COMPUTED_VALUE"""),"Type:Rider")</f>
        <v>Type:Rider</v>
      </c>
      <c r="B1287" s="82" t="str">
        <f>IFERROR(__xludf.DUMMYFUNCTION("""COMPUTED_VALUE"""),"PS4/Vita")</f>
        <v>PS4/Vita</v>
      </c>
      <c r="C1287" s="83" t="str">
        <f>IFERROR(__xludf.DUMMYFUNCTION("""COMPUTED_VALUE"""),"Playstation Plus (Discontinued)")</f>
        <v>Playstation Plus (Discontinued)</v>
      </c>
      <c r="D1287" s="82" t="str">
        <f>IFERROR(__xludf.DUMMYFUNCTION("""COMPUTED_VALUE"""),"Removed")</f>
        <v>Removed</v>
      </c>
      <c r="E1287" s="84">
        <f>IFERROR(__xludf.DUMMYFUNCTION("""COMPUTED_VALUE"""),42857.0)</f>
        <v>42857</v>
      </c>
      <c r="F1287" s="85">
        <f>IFERROR(__xludf.DUMMYFUNCTION("""COMPUTED_VALUE"""),42891.0)</f>
        <v>42891</v>
      </c>
      <c r="G1287" s="86">
        <f>IFERROR(__xludf.DUMMYFUNCTION("""COMPUTED_VALUE"""),1.0999999999999999)</f>
        <v>1.1</v>
      </c>
      <c r="H1287" s="84">
        <f>IFERROR(__xludf.DUMMYFUNCTION("""COMPUTED_VALUE"""),42283.0)</f>
        <v>42283</v>
      </c>
      <c r="I1287" s="86">
        <f>IFERROR(__xludf.DUMMYFUNCTION("""COMPUTED_VALUE"""),1.5722222222222222)</f>
        <v>1.572222222</v>
      </c>
      <c r="J1287" s="87">
        <f>IFERROR(__xludf.DUMMYFUNCTION("""COMPUTED_VALUE"""),68.0)</f>
        <v>68</v>
      </c>
      <c r="K1287" s="88">
        <f>IFERROR(__xludf.DUMMYFUNCTION("""COMPUTED_VALUE"""),7.2)</f>
        <v>7.2</v>
      </c>
      <c r="L1287" s="89">
        <f>IFERROR(__xludf.DUMMYFUNCTION("""COMPUTED_VALUE"""),2.0)</f>
        <v>2</v>
      </c>
      <c r="M1287" s="26" t="str">
        <f>IFERROR(__xludf.DUMMYFUNCTION("""COMPUTED_VALUE"""),"Platformer")</f>
        <v>Platformer</v>
      </c>
      <c r="N1287" s="26"/>
      <c r="O1287" s="26" t="str">
        <f>IFERROR(__xludf.DUMMYFUNCTION("""COMPUTED_VALUE"""),"No")</f>
        <v>No</v>
      </c>
      <c r="P1287" s="26"/>
    </row>
    <row r="1288">
      <c r="A1288" s="81" t="str">
        <f>IFERROR(__xludf.DUMMYFUNCTION("""COMPUTED_VALUE"""),"Drawn To Death")</f>
        <v>Drawn To Death</v>
      </c>
      <c r="B1288" s="82" t="str">
        <f>IFERROR(__xludf.DUMMYFUNCTION("""COMPUTED_VALUE"""),"PS4")</f>
        <v>PS4</v>
      </c>
      <c r="C1288" s="83" t="str">
        <f>IFERROR(__xludf.DUMMYFUNCTION("""COMPUTED_VALUE"""),"Playstation Plus (Discontinued)")</f>
        <v>Playstation Plus (Discontinued)</v>
      </c>
      <c r="D1288" s="82" t="str">
        <f>IFERROR(__xludf.DUMMYFUNCTION("""COMPUTED_VALUE"""),"Removed")</f>
        <v>Removed</v>
      </c>
      <c r="E1288" s="84">
        <f>IFERROR(__xludf.DUMMYFUNCTION("""COMPUTED_VALUE"""),42829.0)</f>
        <v>42829</v>
      </c>
      <c r="F1288" s="85">
        <f>IFERROR(__xludf.DUMMYFUNCTION("""COMPUTED_VALUE"""),42856.0)</f>
        <v>42856</v>
      </c>
      <c r="G1288" s="86">
        <f>IFERROR(__xludf.DUMMYFUNCTION("""COMPUTED_VALUE"""),0.8999999999999999)</f>
        <v>0.9</v>
      </c>
      <c r="H1288" s="84">
        <f>IFERROR(__xludf.DUMMYFUNCTION("""COMPUTED_VALUE"""),42829.0)</f>
        <v>42829</v>
      </c>
      <c r="I1288" s="86">
        <f>IFERROR(__xludf.DUMMYFUNCTION("""COMPUTED_VALUE"""),0.0)</f>
        <v>0</v>
      </c>
      <c r="J1288" s="87">
        <f>IFERROR(__xludf.DUMMYFUNCTION("""COMPUTED_VALUE"""),54.0)</f>
        <v>54</v>
      </c>
      <c r="K1288" s="88">
        <f>IFERROR(__xludf.DUMMYFUNCTION("""COMPUTED_VALUE"""),6.1)</f>
        <v>6.1</v>
      </c>
      <c r="L1288" s="89"/>
      <c r="M1288" s="26" t="str">
        <f>IFERROR(__xludf.DUMMYFUNCTION("""COMPUTED_VALUE"""),"Shooter")</f>
        <v>Shooter</v>
      </c>
      <c r="N1288" s="26"/>
      <c r="O1288" s="26" t="str">
        <f>IFERROR(__xludf.DUMMYFUNCTION("""COMPUTED_VALUE"""),"No")</f>
        <v>No</v>
      </c>
      <c r="P1288" s="26"/>
    </row>
    <row r="1289">
      <c r="A1289" s="81" t="str">
        <f>IFERROR(__xludf.DUMMYFUNCTION("""COMPUTED_VALUE"""),"Lovers in a Dangerous Spacetime")</f>
        <v>Lovers in a Dangerous Spacetime</v>
      </c>
      <c r="B1289" s="82" t="str">
        <f>IFERROR(__xludf.DUMMYFUNCTION("""COMPUTED_VALUE"""),"PS4")</f>
        <v>PS4</v>
      </c>
      <c r="C1289" s="83" t="str">
        <f>IFERROR(__xludf.DUMMYFUNCTION("""COMPUTED_VALUE"""),"Playstation Plus (Discontinued)")</f>
        <v>Playstation Plus (Discontinued)</v>
      </c>
      <c r="D1289" s="82" t="str">
        <f>IFERROR(__xludf.DUMMYFUNCTION("""COMPUTED_VALUE"""),"Removed")</f>
        <v>Removed</v>
      </c>
      <c r="E1289" s="84">
        <f>IFERROR(__xludf.DUMMYFUNCTION("""COMPUTED_VALUE"""),42829.0)</f>
        <v>42829</v>
      </c>
      <c r="F1289" s="85">
        <f>IFERROR(__xludf.DUMMYFUNCTION("""COMPUTED_VALUE"""),42856.0)</f>
        <v>42856</v>
      </c>
      <c r="G1289" s="86">
        <f>IFERROR(__xludf.DUMMYFUNCTION("""COMPUTED_VALUE"""),0.8999999999999999)</f>
        <v>0.9</v>
      </c>
      <c r="H1289" s="84">
        <f>IFERROR(__xludf.DUMMYFUNCTION("""COMPUTED_VALUE"""),42256.0)</f>
        <v>42256</v>
      </c>
      <c r="I1289" s="86">
        <f>IFERROR(__xludf.DUMMYFUNCTION("""COMPUTED_VALUE"""),1.5694444444444444)</f>
        <v>1.569444444</v>
      </c>
      <c r="J1289" s="87">
        <f>IFERROR(__xludf.DUMMYFUNCTION("""COMPUTED_VALUE"""),82.0)</f>
        <v>82</v>
      </c>
      <c r="K1289" s="88">
        <f>IFERROR(__xludf.DUMMYFUNCTION("""COMPUTED_VALUE"""),7.7)</f>
        <v>7.7</v>
      </c>
      <c r="L1289" s="89">
        <f>IFERROR(__xludf.DUMMYFUNCTION("""COMPUTED_VALUE"""),7.0)</f>
        <v>7</v>
      </c>
      <c r="M1289" s="26" t="str">
        <f>IFERROR(__xludf.DUMMYFUNCTION("""COMPUTED_VALUE"""),"Action-Adventure")</f>
        <v>Action-Adventure</v>
      </c>
      <c r="N1289" s="26"/>
      <c r="O1289" s="26" t="str">
        <f>IFERROR(__xludf.DUMMYFUNCTION("""COMPUTED_VALUE"""),"No")</f>
        <v>No</v>
      </c>
      <c r="P1289" s="26"/>
    </row>
    <row r="1290">
      <c r="A1290" s="81" t="str">
        <f>IFERROR(__xludf.DUMMYFUNCTION("""COMPUTED_VALUE"""),"Invizimals: The Lost Kingdom")</f>
        <v>Invizimals: The Lost Kingdom</v>
      </c>
      <c r="B1290" s="82" t="str">
        <f>IFERROR(__xludf.DUMMYFUNCTION("""COMPUTED_VALUE"""),"PS3")</f>
        <v>PS3</v>
      </c>
      <c r="C1290" s="83" t="str">
        <f>IFERROR(__xludf.DUMMYFUNCTION("""COMPUTED_VALUE"""),"Playstation Plus (Discontinued)")</f>
        <v>Playstation Plus (Discontinued)</v>
      </c>
      <c r="D1290" s="82" t="str">
        <f>IFERROR(__xludf.DUMMYFUNCTION("""COMPUTED_VALUE"""),"Removed")</f>
        <v>Removed</v>
      </c>
      <c r="E1290" s="84">
        <f>IFERROR(__xludf.DUMMYFUNCTION("""COMPUTED_VALUE"""),42829.0)</f>
        <v>42829</v>
      </c>
      <c r="F1290" s="85">
        <f>IFERROR(__xludf.DUMMYFUNCTION("""COMPUTED_VALUE"""),42856.0)</f>
        <v>42856</v>
      </c>
      <c r="G1290" s="86">
        <f>IFERROR(__xludf.DUMMYFUNCTION("""COMPUTED_VALUE"""),0.8999999999999999)</f>
        <v>0.9</v>
      </c>
      <c r="H1290" s="84">
        <f>IFERROR(__xludf.DUMMYFUNCTION("""COMPUTED_VALUE"""),41901.0)</f>
        <v>41901</v>
      </c>
      <c r="I1290" s="86">
        <f>IFERROR(__xludf.DUMMYFUNCTION("""COMPUTED_VALUE"""),2.5416666666666665)</f>
        <v>2.541666667</v>
      </c>
      <c r="J1290" s="87">
        <f>IFERROR(__xludf.DUMMYFUNCTION("""COMPUTED_VALUE"""),50.0)</f>
        <v>50</v>
      </c>
      <c r="K1290" s="88">
        <f>IFERROR(__xludf.DUMMYFUNCTION("""COMPUTED_VALUE"""),6.2)</f>
        <v>6.2</v>
      </c>
      <c r="L1290" s="89">
        <f>IFERROR(__xludf.DUMMYFUNCTION("""COMPUTED_VALUE"""),8.0)</f>
        <v>8</v>
      </c>
      <c r="M1290" s="26" t="str">
        <f>IFERROR(__xludf.DUMMYFUNCTION("""COMPUTED_VALUE"""),"Action-Adventure")</f>
        <v>Action-Adventure</v>
      </c>
      <c r="N1290" s="26"/>
      <c r="O1290" s="26" t="str">
        <f>IFERROR(__xludf.DUMMYFUNCTION("""COMPUTED_VALUE"""),"No")</f>
        <v>No</v>
      </c>
      <c r="P1290" s="26"/>
    </row>
    <row r="1291">
      <c r="A1291" s="81" t="str">
        <f>IFERROR(__xludf.DUMMYFUNCTION("""COMPUTED_VALUE"""),"Alien Rage - Extended Edition")</f>
        <v>Alien Rage - Extended Edition</v>
      </c>
      <c r="B1291" s="82" t="str">
        <f>IFERROR(__xludf.DUMMYFUNCTION("""COMPUTED_VALUE"""),"PS3")</f>
        <v>PS3</v>
      </c>
      <c r="C1291" s="83" t="str">
        <f>IFERROR(__xludf.DUMMYFUNCTION("""COMPUTED_VALUE"""),"Playstation Plus (Discontinued)")</f>
        <v>Playstation Plus (Discontinued)</v>
      </c>
      <c r="D1291" s="82" t="str">
        <f>IFERROR(__xludf.DUMMYFUNCTION("""COMPUTED_VALUE"""),"Removed")</f>
        <v>Removed</v>
      </c>
      <c r="E1291" s="84">
        <f>IFERROR(__xludf.DUMMYFUNCTION("""COMPUTED_VALUE"""),42829.0)</f>
        <v>42829</v>
      </c>
      <c r="F1291" s="85">
        <f>IFERROR(__xludf.DUMMYFUNCTION("""COMPUTED_VALUE"""),42856.0)</f>
        <v>42856</v>
      </c>
      <c r="G1291" s="86">
        <f>IFERROR(__xludf.DUMMYFUNCTION("""COMPUTED_VALUE"""),0.8999999999999999)</f>
        <v>0.9</v>
      </c>
      <c r="H1291" s="84">
        <f>IFERROR(__xludf.DUMMYFUNCTION("""COMPUTED_VALUE"""),41555.0)</f>
        <v>41555</v>
      </c>
      <c r="I1291" s="86">
        <f>IFERROR(__xludf.DUMMYFUNCTION("""COMPUTED_VALUE"""),3.488888888888889)</f>
        <v>3.488888889</v>
      </c>
      <c r="J1291" s="87">
        <f>IFERROR(__xludf.DUMMYFUNCTION("""COMPUTED_VALUE"""),45.0)</f>
        <v>45</v>
      </c>
      <c r="K1291" s="88">
        <f>IFERROR(__xludf.DUMMYFUNCTION("""COMPUTED_VALUE"""),5.6)</f>
        <v>5.6</v>
      </c>
      <c r="L1291" s="89">
        <f>IFERROR(__xludf.DUMMYFUNCTION("""COMPUTED_VALUE"""),5.0)</f>
        <v>5</v>
      </c>
      <c r="M1291" s="26" t="str">
        <f>IFERROR(__xludf.DUMMYFUNCTION("""COMPUTED_VALUE"""),"Shooter")</f>
        <v>Shooter</v>
      </c>
      <c r="N1291" s="26"/>
      <c r="O1291" s="26" t="str">
        <f>IFERROR(__xludf.DUMMYFUNCTION("""COMPUTED_VALUE"""),"No")</f>
        <v>No</v>
      </c>
      <c r="P1291" s="26"/>
    </row>
    <row r="1292">
      <c r="A1292" s="81" t="str">
        <f>IFERROR(__xludf.DUMMYFUNCTION("""COMPUTED_VALUE"""),"10 Second Ninja X")</f>
        <v>10 Second Ninja X</v>
      </c>
      <c r="B1292" s="82" t="str">
        <f>IFERROR(__xludf.DUMMYFUNCTION("""COMPUTED_VALUE"""),"PS4/Vita")</f>
        <v>PS4/Vita</v>
      </c>
      <c r="C1292" s="83" t="str">
        <f>IFERROR(__xludf.DUMMYFUNCTION("""COMPUTED_VALUE"""),"Playstation Plus (Discontinued)")</f>
        <v>Playstation Plus (Discontinued)</v>
      </c>
      <c r="D1292" s="82" t="str">
        <f>IFERROR(__xludf.DUMMYFUNCTION("""COMPUTED_VALUE"""),"Removed")</f>
        <v>Removed</v>
      </c>
      <c r="E1292" s="84">
        <f>IFERROR(__xludf.DUMMYFUNCTION("""COMPUTED_VALUE"""),42829.0)</f>
        <v>42829</v>
      </c>
      <c r="F1292" s="85">
        <f>IFERROR(__xludf.DUMMYFUNCTION("""COMPUTED_VALUE"""),42856.0)</f>
        <v>42856</v>
      </c>
      <c r="G1292" s="86">
        <f>IFERROR(__xludf.DUMMYFUNCTION("""COMPUTED_VALUE"""),0.8999999999999999)</f>
        <v>0.9</v>
      </c>
      <c r="H1292" s="84">
        <f>IFERROR(__xludf.DUMMYFUNCTION("""COMPUTED_VALUE"""),42570.0)</f>
        <v>42570</v>
      </c>
      <c r="I1292" s="86">
        <f>IFERROR(__xludf.DUMMYFUNCTION("""COMPUTED_VALUE"""),0.7083333333333334)</f>
        <v>0.7083333333</v>
      </c>
      <c r="J1292" s="87">
        <f>IFERROR(__xludf.DUMMYFUNCTION("""COMPUTED_VALUE"""),76.0)</f>
        <v>76</v>
      </c>
      <c r="K1292" s="88">
        <f>IFERROR(__xludf.DUMMYFUNCTION("""COMPUTED_VALUE"""),7.3)</f>
        <v>7.3</v>
      </c>
      <c r="L1292" s="89">
        <f>IFERROR(__xludf.DUMMYFUNCTION("""COMPUTED_VALUE"""),2.0)</f>
        <v>2</v>
      </c>
      <c r="M1292" s="26" t="str">
        <f>IFERROR(__xludf.DUMMYFUNCTION("""COMPUTED_VALUE"""),"Platformer")</f>
        <v>Platformer</v>
      </c>
      <c r="N1292" s="26"/>
      <c r="O1292" s="26" t="str">
        <f>IFERROR(__xludf.DUMMYFUNCTION("""COMPUTED_VALUE"""),"No")</f>
        <v>No</v>
      </c>
      <c r="P1292" s="26"/>
    </row>
    <row r="1293">
      <c r="A1293" s="81" t="str">
        <f>IFERROR(__xludf.DUMMYFUNCTION("""COMPUTED_VALUE"""),"Curses ‘N Chaos")</f>
        <v>Curses ‘N Chaos</v>
      </c>
      <c r="B1293" s="82" t="str">
        <f>IFERROR(__xludf.DUMMYFUNCTION("""COMPUTED_VALUE"""),"PS4/Vita")</f>
        <v>PS4/Vita</v>
      </c>
      <c r="C1293" s="83" t="str">
        <f>IFERROR(__xludf.DUMMYFUNCTION("""COMPUTED_VALUE"""),"Playstation Plus (Discontinued)")</f>
        <v>Playstation Plus (Discontinued)</v>
      </c>
      <c r="D1293" s="82" t="str">
        <f>IFERROR(__xludf.DUMMYFUNCTION("""COMPUTED_VALUE"""),"Removed")</f>
        <v>Removed</v>
      </c>
      <c r="E1293" s="84">
        <f>IFERROR(__xludf.DUMMYFUNCTION("""COMPUTED_VALUE"""),42829.0)</f>
        <v>42829</v>
      </c>
      <c r="F1293" s="85">
        <f>IFERROR(__xludf.DUMMYFUNCTION("""COMPUTED_VALUE"""),42856.0)</f>
        <v>42856</v>
      </c>
      <c r="G1293" s="86">
        <f>IFERROR(__xludf.DUMMYFUNCTION("""COMPUTED_VALUE"""),0.8999999999999999)</f>
        <v>0.9</v>
      </c>
      <c r="H1293" s="84">
        <f>IFERROR(__xludf.DUMMYFUNCTION("""COMPUTED_VALUE"""),42234.0)</f>
        <v>42234</v>
      </c>
      <c r="I1293" s="86">
        <f>IFERROR(__xludf.DUMMYFUNCTION("""COMPUTED_VALUE"""),1.6277777777777778)</f>
        <v>1.627777778</v>
      </c>
      <c r="J1293" s="87">
        <f>IFERROR(__xludf.DUMMYFUNCTION("""COMPUTED_VALUE"""),70.0)</f>
        <v>70</v>
      </c>
      <c r="K1293" s="88">
        <f>IFERROR(__xludf.DUMMYFUNCTION("""COMPUTED_VALUE"""),7.0)</f>
        <v>7</v>
      </c>
      <c r="L1293" s="89">
        <f>IFERROR(__xludf.DUMMYFUNCTION("""COMPUTED_VALUE"""),4.0)</f>
        <v>4</v>
      </c>
      <c r="M1293" s="26" t="str">
        <f>IFERROR(__xludf.DUMMYFUNCTION("""COMPUTED_VALUE"""),"Platformer")</f>
        <v>Platformer</v>
      </c>
      <c r="N1293" s="26"/>
      <c r="O1293" s="26" t="str">
        <f>IFERROR(__xludf.DUMMYFUNCTION("""COMPUTED_VALUE"""),"No")</f>
        <v>No</v>
      </c>
      <c r="P1293" s="26"/>
    </row>
    <row r="1294">
      <c r="A1294" s="81" t="str">
        <f>IFERROR(__xludf.DUMMYFUNCTION("""COMPUTED_VALUE"""),"Tearaway Unfolded")</f>
        <v>Tearaway Unfolded</v>
      </c>
      <c r="B1294" s="82" t="str">
        <f>IFERROR(__xludf.DUMMYFUNCTION("""COMPUTED_VALUE"""),"PS4")</f>
        <v>PS4</v>
      </c>
      <c r="C1294" s="83" t="str">
        <f>IFERROR(__xludf.DUMMYFUNCTION("""COMPUTED_VALUE"""),"Playstation Plus (Discontinued)")</f>
        <v>Playstation Plus (Discontinued)</v>
      </c>
      <c r="D1294" s="82" t="str">
        <f>IFERROR(__xludf.DUMMYFUNCTION("""COMPUTED_VALUE"""),"Removed")</f>
        <v>Removed</v>
      </c>
      <c r="E1294" s="84">
        <f>IFERROR(__xludf.DUMMYFUNCTION("""COMPUTED_VALUE"""),42801.0)</f>
        <v>42801</v>
      </c>
      <c r="F1294" s="85">
        <f>IFERROR(__xludf.DUMMYFUNCTION("""COMPUTED_VALUE"""),42828.0)</f>
        <v>42828</v>
      </c>
      <c r="G1294" s="86">
        <f>IFERROR(__xludf.DUMMYFUNCTION("""COMPUTED_VALUE"""),0.8666666666666666)</f>
        <v>0.8666666667</v>
      </c>
      <c r="H1294" s="84">
        <f>IFERROR(__xludf.DUMMYFUNCTION("""COMPUTED_VALUE"""),42255.0)</f>
        <v>42255</v>
      </c>
      <c r="I1294" s="86">
        <f>IFERROR(__xludf.DUMMYFUNCTION("""COMPUTED_VALUE"""),1.4972222222222222)</f>
        <v>1.497222222</v>
      </c>
      <c r="J1294" s="87">
        <f>IFERROR(__xludf.DUMMYFUNCTION("""COMPUTED_VALUE"""),81.0)</f>
        <v>81</v>
      </c>
      <c r="K1294" s="88">
        <f>IFERROR(__xludf.DUMMYFUNCTION("""COMPUTED_VALUE"""),7.8)</f>
        <v>7.8</v>
      </c>
      <c r="L1294" s="89">
        <f>IFERROR(__xludf.DUMMYFUNCTION("""COMPUTED_VALUE"""),8.0)</f>
        <v>8</v>
      </c>
      <c r="M1294" s="26" t="str">
        <f>IFERROR(__xludf.DUMMYFUNCTION("""COMPUTED_VALUE"""),"Platformer")</f>
        <v>Platformer</v>
      </c>
      <c r="N1294" s="26"/>
      <c r="O1294" s="26" t="str">
        <f>IFERROR(__xludf.DUMMYFUNCTION("""COMPUTED_VALUE"""),"No")</f>
        <v>No</v>
      </c>
      <c r="P1294" s="26"/>
    </row>
    <row r="1295">
      <c r="A1295" s="81" t="str">
        <f>IFERROR(__xludf.DUMMYFUNCTION("""COMPUTED_VALUE"""),"Disc Jam")</f>
        <v>Disc Jam</v>
      </c>
      <c r="B1295" s="82" t="str">
        <f>IFERROR(__xludf.DUMMYFUNCTION("""COMPUTED_VALUE"""),"PS4")</f>
        <v>PS4</v>
      </c>
      <c r="C1295" s="83" t="str">
        <f>IFERROR(__xludf.DUMMYFUNCTION("""COMPUTED_VALUE"""),"Playstation Plus (Discontinued)")</f>
        <v>Playstation Plus (Discontinued)</v>
      </c>
      <c r="D1295" s="82" t="str">
        <f>IFERROR(__xludf.DUMMYFUNCTION("""COMPUTED_VALUE"""),"Removed")</f>
        <v>Removed</v>
      </c>
      <c r="E1295" s="84">
        <f>IFERROR(__xludf.DUMMYFUNCTION("""COMPUTED_VALUE"""),42801.0)</f>
        <v>42801</v>
      </c>
      <c r="F1295" s="85">
        <f>IFERROR(__xludf.DUMMYFUNCTION("""COMPUTED_VALUE"""),42828.0)</f>
        <v>42828</v>
      </c>
      <c r="G1295" s="86">
        <f>IFERROR(__xludf.DUMMYFUNCTION("""COMPUTED_VALUE"""),0.8666666666666666)</f>
        <v>0.8666666667</v>
      </c>
      <c r="H1295" s="84">
        <f>IFERROR(__xludf.DUMMYFUNCTION("""COMPUTED_VALUE"""),42801.0)</f>
        <v>42801</v>
      </c>
      <c r="I1295" s="86">
        <f>IFERROR(__xludf.DUMMYFUNCTION("""COMPUTED_VALUE"""),0.0)</f>
        <v>0</v>
      </c>
      <c r="J1295" s="87">
        <f>IFERROR(__xludf.DUMMYFUNCTION("""COMPUTED_VALUE"""),71.0)</f>
        <v>71</v>
      </c>
      <c r="K1295" s="88">
        <f>IFERROR(__xludf.DUMMYFUNCTION("""COMPUTED_VALUE"""),6.8)</f>
        <v>6.8</v>
      </c>
      <c r="L1295" s="89"/>
      <c r="M1295" s="26" t="str">
        <f>IFERROR(__xludf.DUMMYFUNCTION("""COMPUTED_VALUE"""),"Sports")</f>
        <v>Sports</v>
      </c>
      <c r="N1295" s="26"/>
      <c r="O1295" s="26" t="str">
        <f>IFERROR(__xludf.DUMMYFUNCTION("""COMPUTED_VALUE"""),"No")</f>
        <v>No</v>
      </c>
      <c r="P1295" s="26"/>
    </row>
    <row r="1296">
      <c r="A1296" s="81" t="str">
        <f>IFERROR(__xludf.DUMMYFUNCTION("""COMPUTED_VALUE"""),"Lumo")</f>
        <v>Lumo</v>
      </c>
      <c r="B1296" s="82" t="str">
        <f>IFERROR(__xludf.DUMMYFUNCTION("""COMPUTED_VALUE"""),"PS4/Vita")</f>
        <v>PS4/Vita</v>
      </c>
      <c r="C1296" s="83" t="str">
        <f>IFERROR(__xludf.DUMMYFUNCTION("""COMPUTED_VALUE"""),"Playstation Plus (Discontinued)")</f>
        <v>Playstation Plus (Discontinued)</v>
      </c>
      <c r="D1296" s="82" t="str">
        <f>IFERROR(__xludf.DUMMYFUNCTION("""COMPUTED_VALUE"""),"Removed")</f>
        <v>Removed</v>
      </c>
      <c r="E1296" s="84">
        <f>IFERROR(__xludf.DUMMYFUNCTION("""COMPUTED_VALUE"""),42801.0)</f>
        <v>42801</v>
      </c>
      <c r="F1296" s="85">
        <f>IFERROR(__xludf.DUMMYFUNCTION("""COMPUTED_VALUE"""),42828.0)</f>
        <v>42828</v>
      </c>
      <c r="G1296" s="86">
        <f>IFERROR(__xludf.DUMMYFUNCTION("""COMPUTED_VALUE"""),0.8666666666666666)</f>
        <v>0.8666666667</v>
      </c>
      <c r="H1296" s="84">
        <f>IFERROR(__xludf.DUMMYFUNCTION("""COMPUTED_VALUE"""),42514.0)</f>
        <v>42514</v>
      </c>
      <c r="I1296" s="86">
        <f>IFERROR(__xludf.DUMMYFUNCTION("""COMPUTED_VALUE"""),0.7861111111111111)</f>
        <v>0.7861111111</v>
      </c>
      <c r="J1296" s="87">
        <f>IFERROR(__xludf.DUMMYFUNCTION("""COMPUTED_VALUE"""),73.0)</f>
        <v>73</v>
      </c>
      <c r="K1296" s="88">
        <f>IFERROR(__xludf.DUMMYFUNCTION("""COMPUTED_VALUE"""),7.0)</f>
        <v>7</v>
      </c>
      <c r="L1296" s="89">
        <f>IFERROR(__xludf.DUMMYFUNCTION("""COMPUTED_VALUE"""),8.0)</f>
        <v>8</v>
      </c>
      <c r="M1296" s="26" t="str">
        <f>IFERROR(__xludf.DUMMYFUNCTION("""COMPUTED_VALUE"""),"Action-Adventure")</f>
        <v>Action-Adventure</v>
      </c>
      <c r="N1296" s="26"/>
      <c r="O1296" s="26" t="str">
        <f>IFERROR(__xludf.DUMMYFUNCTION("""COMPUTED_VALUE"""),"No")</f>
        <v>No</v>
      </c>
      <c r="P1296" s="26"/>
    </row>
    <row r="1297">
      <c r="A1297" s="81" t="str">
        <f>IFERROR(__xludf.DUMMYFUNCTION("""COMPUTED_VALUE"""),"Under Night In-Birth Exe:Late")</f>
        <v>Under Night In-Birth Exe:Late</v>
      </c>
      <c r="B1297" s="82" t="str">
        <f>IFERROR(__xludf.DUMMYFUNCTION("""COMPUTED_VALUE"""),"PS3")</f>
        <v>PS3</v>
      </c>
      <c r="C1297" s="83" t="str">
        <f>IFERROR(__xludf.DUMMYFUNCTION("""COMPUTED_VALUE"""),"Playstation Plus (Discontinued)")</f>
        <v>Playstation Plus (Discontinued)</v>
      </c>
      <c r="D1297" s="82" t="str">
        <f>IFERROR(__xludf.DUMMYFUNCTION("""COMPUTED_VALUE"""),"Removed")</f>
        <v>Removed</v>
      </c>
      <c r="E1297" s="84">
        <f>IFERROR(__xludf.DUMMYFUNCTION("""COMPUTED_VALUE"""),42801.0)</f>
        <v>42801</v>
      </c>
      <c r="F1297" s="85">
        <f>IFERROR(__xludf.DUMMYFUNCTION("""COMPUTED_VALUE"""),42828.0)</f>
        <v>42828</v>
      </c>
      <c r="G1297" s="86">
        <f>IFERROR(__xludf.DUMMYFUNCTION("""COMPUTED_VALUE"""),0.8666666666666666)</f>
        <v>0.8666666667</v>
      </c>
      <c r="H1297" s="84">
        <f>IFERROR(__xludf.DUMMYFUNCTION("""COMPUTED_VALUE"""),42059.0)</f>
        <v>42059</v>
      </c>
      <c r="I1297" s="86">
        <f>IFERROR(__xludf.DUMMYFUNCTION("""COMPUTED_VALUE"""),2.036111111111111)</f>
        <v>2.036111111</v>
      </c>
      <c r="J1297" s="87">
        <f>IFERROR(__xludf.DUMMYFUNCTION("""COMPUTED_VALUE"""),80.0)</f>
        <v>80</v>
      </c>
      <c r="K1297" s="88">
        <f>IFERROR(__xludf.DUMMYFUNCTION("""COMPUTED_VALUE"""),7.7)</f>
        <v>7.7</v>
      </c>
      <c r="L1297" s="89"/>
      <c r="M1297" s="26" t="str">
        <f>IFERROR(__xludf.DUMMYFUNCTION("""COMPUTED_VALUE"""),"Fighting")</f>
        <v>Fighting</v>
      </c>
      <c r="N1297" s="26"/>
      <c r="O1297" s="26" t="str">
        <f>IFERROR(__xludf.DUMMYFUNCTION("""COMPUTED_VALUE"""),"No")</f>
        <v>No</v>
      </c>
      <c r="P1297" s="26"/>
    </row>
    <row r="1298">
      <c r="A1298" s="81" t="str">
        <f>IFERROR(__xludf.DUMMYFUNCTION("""COMPUTED_VALUE"""),"Earth Defense Force 2025")</f>
        <v>Earth Defense Force 2025</v>
      </c>
      <c r="B1298" s="82" t="str">
        <f>IFERROR(__xludf.DUMMYFUNCTION("""COMPUTED_VALUE"""),"PS3")</f>
        <v>PS3</v>
      </c>
      <c r="C1298" s="83" t="str">
        <f>IFERROR(__xludf.DUMMYFUNCTION("""COMPUTED_VALUE"""),"Playstation Plus (Discontinued)")</f>
        <v>Playstation Plus (Discontinued)</v>
      </c>
      <c r="D1298" s="82" t="str">
        <f>IFERROR(__xludf.DUMMYFUNCTION("""COMPUTED_VALUE"""),"Removed")</f>
        <v>Removed</v>
      </c>
      <c r="E1298" s="84">
        <f>IFERROR(__xludf.DUMMYFUNCTION("""COMPUTED_VALUE"""),42801.0)</f>
        <v>42801</v>
      </c>
      <c r="F1298" s="85">
        <f>IFERROR(__xludf.DUMMYFUNCTION("""COMPUTED_VALUE"""),42828.0)</f>
        <v>42828</v>
      </c>
      <c r="G1298" s="86">
        <f>IFERROR(__xludf.DUMMYFUNCTION("""COMPUTED_VALUE"""),0.8666666666666666)</f>
        <v>0.8666666667</v>
      </c>
      <c r="H1298" s="84">
        <f>IFERROR(__xludf.DUMMYFUNCTION("""COMPUTED_VALUE"""),41688.0)</f>
        <v>41688</v>
      </c>
      <c r="I1298" s="86">
        <f>IFERROR(__xludf.DUMMYFUNCTION("""COMPUTED_VALUE"""),3.0527777777777776)</f>
        <v>3.052777778</v>
      </c>
      <c r="J1298" s="87">
        <f>IFERROR(__xludf.DUMMYFUNCTION("""COMPUTED_VALUE"""),69.0)</f>
        <v>69</v>
      </c>
      <c r="K1298" s="88">
        <f>IFERROR(__xludf.DUMMYFUNCTION("""COMPUTED_VALUE"""),7.8)</f>
        <v>7.8</v>
      </c>
      <c r="L1298" s="89">
        <f>IFERROR(__xludf.DUMMYFUNCTION("""COMPUTED_VALUE"""),15.0)</f>
        <v>15</v>
      </c>
      <c r="M1298" s="26" t="str">
        <f>IFERROR(__xludf.DUMMYFUNCTION("""COMPUTED_VALUE"""),"Shooter")</f>
        <v>Shooter</v>
      </c>
      <c r="N1298" s="26"/>
      <c r="O1298" s="26" t="str">
        <f>IFERROR(__xludf.DUMMYFUNCTION("""COMPUTED_VALUE"""),"No")</f>
        <v>No</v>
      </c>
      <c r="P1298" s="26"/>
    </row>
    <row r="1299">
      <c r="A1299" s="81" t="str">
        <f>IFERROR(__xludf.DUMMYFUNCTION("""COMPUTED_VALUE"""),"Severed")</f>
        <v>Severed</v>
      </c>
      <c r="B1299" s="82" t="str">
        <f>IFERROR(__xludf.DUMMYFUNCTION("""COMPUTED_VALUE"""),"Vita")</f>
        <v>Vita</v>
      </c>
      <c r="C1299" s="83" t="str">
        <f>IFERROR(__xludf.DUMMYFUNCTION("""COMPUTED_VALUE"""),"Playstation Plus (Discontinued)")</f>
        <v>Playstation Plus (Discontinued)</v>
      </c>
      <c r="D1299" s="82" t="str">
        <f>IFERROR(__xludf.DUMMYFUNCTION("""COMPUTED_VALUE"""),"Removed")</f>
        <v>Removed</v>
      </c>
      <c r="E1299" s="84">
        <f>IFERROR(__xludf.DUMMYFUNCTION("""COMPUTED_VALUE"""),42801.0)</f>
        <v>42801</v>
      </c>
      <c r="F1299" s="85">
        <f>IFERROR(__xludf.DUMMYFUNCTION("""COMPUTED_VALUE"""),42828.0)</f>
        <v>42828</v>
      </c>
      <c r="G1299" s="86">
        <f>IFERROR(__xludf.DUMMYFUNCTION("""COMPUTED_VALUE"""),0.8666666666666666)</f>
        <v>0.8666666667</v>
      </c>
      <c r="H1299" s="84">
        <f>IFERROR(__xludf.DUMMYFUNCTION("""COMPUTED_VALUE"""),42486.0)</f>
        <v>42486</v>
      </c>
      <c r="I1299" s="86">
        <f>IFERROR(__xludf.DUMMYFUNCTION("""COMPUTED_VALUE"""),0.8638888888888889)</f>
        <v>0.8638888889</v>
      </c>
      <c r="J1299" s="87">
        <f>IFERROR(__xludf.DUMMYFUNCTION("""COMPUTED_VALUE"""),82.0)</f>
        <v>82</v>
      </c>
      <c r="K1299" s="88">
        <f>IFERROR(__xludf.DUMMYFUNCTION("""COMPUTED_VALUE"""),7.7)</f>
        <v>7.7</v>
      </c>
      <c r="L1299" s="89">
        <f>IFERROR(__xludf.DUMMYFUNCTION("""COMPUTED_VALUE"""),5.0)</f>
        <v>5</v>
      </c>
      <c r="M1299" s="26" t="str">
        <f>IFERROR(__xludf.DUMMYFUNCTION("""COMPUTED_VALUE"""),"Action-Adventure")</f>
        <v>Action-Adventure</v>
      </c>
      <c r="N1299" s="26"/>
      <c r="O1299" s="26" t="str">
        <f>IFERROR(__xludf.DUMMYFUNCTION("""COMPUTED_VALUE"""),"No")</f>
        <v>No</v>
      </c>
      <c r="P1299" s="26"/>
    </row>
    <row r="1300">
      <c r="A1300" s="81" t="str">
        <f>IFERROR(__xludf.DUMMYFUNCTION("""COMPUTED_VALUE"""),"LittleBigPlanet 3")</f>
        <v>LittleBigPlanet 3</v>
      </c>
      <c r="B1300" s="82" t="str">
        <f>IFERROR(__xludf.DUMMYFUNCTION("""COMPUTED_VALUE"""),"PS4")</f>
        <v>PS4</v>
      </c>
      <c r="C1300" s="83" t="str">
        <f>IFERROR(__xludf.DUMMYFUNCTION("""COMPUTED_VALUE"""),"Playstation Plus (Discontinued)")</f>
        <v>Playstation Plus (Discontinued)</v>
      </c>
      <c r="D1300" s="82" t="str">
        <f>IFERROR(__xludf.DUMMYFUNCTION("""COMPUTED_VALUE"""),"Removed")</f>
        <v>Removed</v>
      </c>
      <c r="E1300" s="84">
        <f>IFERROR(__xludf.DUMMYFUNCTION("""COMPUTED_VALUE"""),42773.0)</f>
        <v>42773</v>
      </c>
      <c r="F1300" s="85">
        <f>IFERROR(__xludf.DUMMYFUNCTION("""COMPUTED_VALUE"""),42800.0)</f>
        <v>42800</v>
      </c>
      <c r="G1300" s="86">
        <f>IFERROR(__xludf.DUMMYFUNCTION("""COMPUTED_VALUE"""),0.9666666666666668)</f>
        <v>0.9666666667</v>
      </c>
      <c r="H1300" s="84">
        <f>IFERROR(__xludf.DUMMYFUNCTION("""COMPUTED_VALUE"""),41961.0)</f>
        <v>41961</v>
      </c>
      <c r="I1300" s="86">
        <f>IFERROR(__xludf.DUMMYFUNCTION("""COMPUTED_VALUE"""),2.2194444444444446)</f>
        <v>2.219444444</v>
      </c>
      <c r="J1300" s="87">
        <f>IFERROR(__xludf.DUMMYFUNCTION("""COMPUTED_VALUE"""),79.0)</f>
        <v>79</v>
      </c>
      <c r="K1300" s="88">
        <f>IFERROR(__xludf.DUMMYFUNCTION("""COMPUTED_VALUE"""),7.5)</f>
        <v>7.5</v>
      </c>
      <c r="L1300" s="89">
        <f>IFERROR(__xludf.DUMMYFUNCTION("""COMPUTED_VALUE"""),9.0)</f>
        <v>9</v>
      </c>
      <c r="M1300" s="26" t="str">
        <f>IFERROR(__xludf.DUMMYFUNCTION("""COMPUTED_VALUE"""),"Platformer")</f>
        <v>Platformer</v>
      </c>
      <c r="N1300" s="26"/>
      <c r="O1300" s="26" t="str">
        <f>IFERROR(__xludf.DUMMYFUNCTION("""COMPUTED_VALUE"""),"No")</f>
        <v>No</v>
      </c>
      <c r="P1300" s="26"/>
    </row>
    <row r="1301">
      <c r="A1301" s="81" t="str">
        <f>IFERROR(__xludf.DUMMYFUNCTION("""COMPUTED_VALUE"""),"Not a Hero")</f>
        <v>Not a Hero</v>
      </c>
      <c r="B1301" s="82" t="str">
        <f>IFERROR(__xludf.DUMMYFUNCTION("""COMPUTED_VALUE"""),"PS4")</f>
        <v>PS4</v>
      </c>
      <c r="C1301" s="83" t="str">
        <f>IFERROR(__xludf.DUMMYFUNCTION("""COMPUTED_VALUE"""),"Playstation Plus (Discontinued)")</f>
        <v>Playstation Plus (Discontinued)</v>
      </c>
      <c r="D1301" s="82" t="str">
        <f>IFERROR(__xludf.DUMMYFUNCTION("""COMPUTED_VALUE"""),"Removed")</f>
        <v>Removed</v>
      </c>
      <c r="E1301" s="84">
        <f>IFERROR(__xludf.DUMMYFUNCTION("""COMPUTED_VALUE"""),42773.0)</f>
        <v>42773</v>
      </c>
      <c r="F1301" s="85">
        <f>IFERROR(__xludf.DUMMYFUNCTION("""COMPUTED_VALUE"""),42800.0)</f>
        <v>42800</v>
      </c>
      <c r="G1301" s="86">
        <f>IFERROR(__xludf.DUMMYFUNCTION("""COMPUTED_VALUE"""),0.9666666666666668)</f>
        <v>0.9666666667</v>
      </c>
      <c r="H1301" s="84">
        <f>IFERROR(__xludf.DUMMYFUNCTION("""COMPUTED_VALUE"""),42131.0)</f>
        <v>42131</v>
      </c>
      <c r="I1301" s="86">
        <f>IFERROR(__xludf.DUMMYFUNCTION("""COMPUTED_VALUE"""),1.75)</f>
        <v>1.75</v>
      </c>
      <c r="J1301" s="87">
        <f>IFERROR(__xludf.DUMMYFUNCTION("""COMPUTED_VALUE"""),74.0)</f>
        <v>74</v>
      </c>
      <c r="K1301" s="88">
        <f>IFERROR(__xludf.DUMMYFUNCTION("""COMPUTED_VALUE"""),7.4)</f>
        <v>7.4</v>
      </c>
      <c r="L1301" s="89">
        <f>IFERROR(__xludf.DUMMYFUNCTION("""COMPUTED_VALUE"""),4.0)</f>
        <v>4</v>
      </c>
      <c r="M1301" s="26" t="str">
        <f>IFERROR(__xludf.DUMMYFUNCTION("""COMPUTED_VALUE"""),"Shooter")</f>
        <v>Shooter</v>
      </c>
      <c r="N1301" s="26"/>
      <c r="O1301" s="26" t="str">
        <f>IFERROR(__xludf.DUMMYFUNCTION("""COMPUTED_VALUE"""),"No")</f>
        <v>No</v>
      </c>
      <c r="P1301" s="26"/>
    </row>
    <row r="1302">
      <c r="A1302" s="81" t="str">
        <f>IFERROR(__xludf.DUMMYFUNCTION("""COMPUTED_VALUE"""),"Starwhal")</f>
        <v>Starwhal</v>
      </c>
      <c r="B1302" s="82" t="str">
        <f>IFERROR(__xludf.DUMMYFUNCTION("""COMPUTED_VALUE"""),"PS4/PS3")</f>
        <v>PS4/PS3</v>
      </c>
      <c r="C1302" s="83" t="str">
        <f>IFERROR(__xludf.DUMMYFUNCTION("""COMPUTED_VALUE"""),"Playstation Plus (Discontinued)")</f>
        <v>Playstation Plus (Discontinued)</v>
      </c>
      <c r="D1302" s="82" t="str">
        <f>IFERROR(__xludf.DUMMYFUNCTION("""COMPUTED_VALUE"""),"Removed")</f>
        <v>Removed</v>
      </c>
      <c r="E1302" s="84">
        <f>IFERROR(__xludf.DUMMYFUNCTION("""COMPUTED_VALUE"""),42773.0)</f>
        <v>42773</v>
      </c>
      <c r="F1302" s="85">
        <f>IFERROR(__xludf.DUMMYFUNCTION("""COMPUTED_VALUE"""),42800.0)</f>
        <v>42800</v>
      </c>
      <c r="G1302" s="86">
        <f>IFERROR(__xludf.DUMMYFUNCTION("""COMPUTED_VALUE"""),0.9666666666666668)</f>
        <v>0.9666666667</v>
      </c>
      <c r="H1302" s="84">
        <f>IFERROR(__xludf.DUMMYFUNCTION("""COMPUTED_VALUE"""),41906.0)</f>
        <v>41906</v>
      </c>
      <c r="I1302" s="86">
        <f>IFERROR(__xludf.DUMMYFUNCTION("""COMPUTED_VALUE"""),2.3694444444444445)</f>
        <v>2.369444444</v>
      </c>
      <c r="J1302" s="87">
        <f>IFERROR(__xludf.DUMMYFUNCTION("""COMPUTED_VALUE"""),78.0)</f>
        <v>78</v>
      </c>
      <c r="K1302" s="88">
        <f>IFERROR(__xludf.DUMMYFUNCTION("""COMPUTED_VALUE"""),7.3)</f>
        <v>7.3</v>
      </c>
      <c r="L1302" s="89"/>
      <c r="M1302" s="26" t="str">
        <f>IFERROR(__xludf.DUMMYFUNCTION("""COMPUTED_VALUE"""),"Party")</f>
        <v>Party</v>
      </c>
      <c r="N1302" s="26"/>
      <c r="O1302" s="26" t="str">
        <f>IFERROR(__xludf.DUMMYFUNCTION("""COMPUTED_VALUE"""),"No")</f>
        <v>No</v>
      </c>
      <c r="P1302" s="26"/>
    </row>
    <row r="1303">
      <c r="A1303" s="81" t="str">
        <f>IFERROR(__xludf.DUMMYFUNCTION("""COMPUTED_VALUE"""),"Anna: Extended Edition")</f>
        <v>Anna: Extended Edition</v>
      </c>
      <c r="B1303" s="82" t="str">
        <f>IFERROR(__xludf.DUMMYFUNCTION("""COMPUTED_VALUE"""),"PS3")</f>
        <v>PS3</v>
      </c>
      <c r="C1303" s="83" t="str">
        <f>IFERROR(__xludf.DUMMYFUNCTION("""COMPUTED_VALUE"""),"Playstation Plus (Discontinued)")</f>
        <v>Playstation Plus (Discontinued)</v>
      </c>
      <c r="D1303" s="82" t="str">
        <f>IFERROR(__xludf.DUMMYFUNCTION("""COMPUTED_VALUE"""),"Removed")</f>
        <v>Removed</v>
      </c>
      <c r="E1303" s="84">
        <f>IFERROR(__xludf.DUMMYFUNCTION("""COMPUTED_VALUE"""),42773.0)</f>
        <v>42773</v>
      </c>
      <c r="F1303" s="85">
        <f>IFERROR(__xludf.DUMMYFUNCTION("""COMPUTED_VALUE"""),42800.0)</f>
        <v>42800</v>
      </c>
      <c r="G1303" s="86">
        <f>IFERROR(__xludf.DUMMYFUNCTION("""COMPUTED_VALUE"""),0.9666666666666668)</f>
        <v>0.9666666667</v>
      </c>
      <c r="H1303" s="84">
        <f>IFERROR(__xludf.DUMMYFUNCTION("""COMPUTED_VALUE"""),41548.0)</f>
        <v>41548</v>
      </c>
      <c r="I1303" s="86">
        <f>IFERROR(__xludf.DUMMYFUNCTION("""COMPUTED_VALUE"""),3.35)</f>
        <v>3.35</v>
      </c>
      <c r="J1303" s="87">
        <f>IFERROR(__xludf.DUMMYFUNCTION("""COMPUTED_VALUE"""),56.0)</f>
        <v>56</v>
      </c>
      <c r="K1303" s="88">
        <f>IFERROR(__xludf.DUMMYFUNCTION("""COMPUTED_VALUE"""),6.0)</f>
        <v>6</v>
      </c>
      <c r="L1303" s="89">
        <f>IFERROR(__xludf.DUMMYFUNCTION("""COMPUTED_VALUE"""),3.0)</f>
        <v>3</v>
      </c>
      <c r="M1303" s="26" t="str">
        <f>IFERROR(__xludf.DUMMYFUNCTION("""COMPUTED_VALUE"""),"Horror")</f>
        <v>Horror</v>
      </c>
      <c r="N1303" s="26"/>
      <c r="O1303" s="26" t="str">
        <f>IFERROR(__xludf.DUMMYFUNCTION("""COMPUTED_VALUE"""),"No")</f>
        <v>No</v>
      </c>
      <c r="P1303" s="26"/>
    </row>
    <row r="1304">
      <c r="A1304" s="81" t="str">
        <f>IFERROR(__xludf.DUMMYFUNCTION("""COMPUTED_VALUE"""),"Ninja Senki DX")</f>
        <v>Ninja Senki DX</v>
      </c>
      <c r="B1304" s="82" t="str">
        <f>IFERROR(__xludf.DUMMYFUNCTION("""COMPUTED_VALUE"""),"PS4/Vita")</f>
        <v>PS4/Vita</v>
      </c>
      <c r="C1304" s="83" t="str">
        <f>IFERROR(__xludf.DUMMYFUNCTION("""COMPUTED_VALUE"""),"Playstation Plus (Discontinued)")</f>
        <v>Playstation Plus (Discontinued)</v>
      </c>
      <c r="D1304" s="82" t="str">
        <f>IFERROR(__xludf.DUMMYFUNCTION("""COMPUTED_VALUE"""),"Removed")</f>
        <v>Removed</v>
      </c>
      <c r="E1304" s="84">
        <f>IFERROR(__xludf.DUMMYFUNCTION("""COMPUTED_VALUE"""),42773.0)</f>
        <v>42773</v>
      </c>
      <c r="F1304" s="85">
        <f>IFERROR(__xludf.DUMMYFUNCTION("""COMPUTED_VALUE"""),42800.0)</f>
        <v>42800</v>
      </c>
      <c r="G1304" s="86">
        <f>IFERROR(__xludf.DUMMYFUNCTION("""COMPUTED_VALUE"""),0.9666666666666668)</f>
        <v>0.9666666667</v>
      </c>
      <c r="H1304" s="84">
        <f>IFERROR(__xludf.DUMMYFUNCTION("""COMPUTED_VALUE"""),42423.0)</f>
        <v>42423</v>
      </c>
      <c r="I1304" s="86">
        <f>IFERROR(__xludf.DUMMYFUNCTION("""COMPUTED_VALUE"""),0.9555555555555556)</f>
        <v>0.9555555556</v>
      </c>
      <c r="J1304" s="87">
        <f>IFERROR(__xludf.DUMMYFUNCTION("""COMPUTED_VALUE"""),64.0)</f>
        <v>64</v>
      </c>
      <c r="K1304" s="88">
        <f>IFERROR(__xludf.DUMMYFUNCTION("""COMPUTED_VALUE"""),7.0)</f>
        <v>7</v>
      </c>
      <c r="L1304" s="89">
        <f>IFERROR(__xludf.DUMMYFUNCTION("""COMPUTED_VALUE"""),3.0)</f>
        <v>3</v>
      </c>
      <c r="M1304" s="26" t="str">
        <f>IFERROR(__xludf.DUMMYFUNCTION("""COMPUTED_VALUE"""),"Platformer")</f>
        <v>Platformer</v>
      </c>
      <c r="N1304" s="26"/>
      <c r="O1304" s="26" t="str">
        <f>IFERROR(__xludf.DUMMYFUNCTION("""COMPUTED_VALUE"""),"No")</f>
        <v>No</v>
      </c>
      <c r="P1304" s="26"/>
    </row>
    <row r="1305">
      <c r="A1305" s="81" t="str">
        <f>IFERROR(__xludf.DUMMYFUNCTION("""COMPUTED_VALUE"""),"TorqueL")</f>
        <v>TorqueL</v>
      </c>
      <c r="B1305" s="82" t="str">
        <f>IFERROR(__xludf.DUMMYFUNCTION("""COMPUTED_VALUE"""),"PS4/Vita")</f>
        <v>PS4/Vita</v>
      </c>
      <c r="C1305" s="83" t="str">
        <f>IFERROR(__xludf.DUMMYFUNCTION("""COMPUTED_VALUE"""),"Playstation Plus (Discontinued)")</f>
        <v>Playstation Plus (Discontinued)</v>
      </c>
      <c r="D1305" s="82" t="str">
        <f>IFERROR(__xludf.DUMMYFUNCTION("""COMPUTED_VALUE"""),"Removed")</f>
        <v>Removed</v>
      </c>
      <c r="E1305" s="84">
        <f>IFERROR(__xludf.DUMMYFUNCTION("""COMPUTED_VALUE"""),42773.0)</f>
        <v>42773</v>
      </c>
      <c r="F1305" s="85">
        <f>IFERROR(__xludf.DUMMYFUNCTION("""COMPUTED_VALUE"""),42800.0)</f>
        <v>42800</v>
      </c>
      <c r="G1305" s="86">
        <f>IFERROR(__xludf.DUMMYFUNCTION("""COMPUTED_VALUE"""),0.9666666666666668)</f>
        <v>0.9666666667</v>
      </c>
      <c r="H1305" s="84">
        <f>IFERROR(__xludf.DUMMYFUNCTION("""COMPUTED_VALUE"""),42018.0)</f>
        <v>42018</v>
      </c>
      <c r="I1305" s="86">
        <f>IFERROR(__xludf.DUMMYFUNCTION("""COMPUTED_VALUE"""),2.063888888888889)</f>
        <v>2.063888889</v>
      </c>
      <c r="J1305" s="87">
        <f>IFERROR(__xludf.DUMMYFUNCTION("""COMPUTED_VALUE"""),58.0)</f>
        <v>58</v>
      </c>
      <c r="K1305" s="88">
        <f>IFERROR(__xludf.DUMMYFUNCTION("""COMPUTED_VALUE"""),6.5)</f>
        <v>6.5</v>
      </c>
      <c r="L1305" s="89">
        <f>IFERROR(__xludf.DUMMYFUNCTION("""COMPUTED_VALUE"""),2.0)</f>
        <v>2</v>
      </c>
      <c r="M1305" s="26" t="str">
        <f>IFERROR(__xludf.DUMMYFUNCTION("""COMPUTED_VALUE"""),"Puzzle")</f>
        <v>Puzzle</v>
      </c>
      <c r="N1305" s="26"/>
      <c r="O1305" s="26" t="str">
        <f>IFERROR(__xludf.DUMMYFUNCTION("""COMPUTED_VALUE"""),"No")</f>
        <v>No</v>
      </c>
      <c r="P1305" s="26"/>
    </row>
    <row r="1306">
      <c r="A1306" s="81" t="str">
        <f>IFERROR(__xludf.DUMMYFUNCTION("""COMPUTED_VALUE"""),"Day of the Tentacle Remastered")</f>
        <v>Day of the Tentacle Remastered</v>
      </c>
      <c r="B1306" s="82" t="str">
        <f>IFERROR(__xludf.DUMMYFUNCTION("""COMPUTED_VALUE"""),"PS4/Vita")</f>
        <v>PS4/Vita</v>
      </c>
      <c r="C1306" s="83" t="str">
        <f>IFERROR(__xludf.DUMMYFUNCTION("""COMPUTED_VALUE"""),"Playstation Plus (Discontinued)")</f>
        <v>Playstation Plus (Discontinued)</v>
      </c>
      <c r="D1306" s="82" t="str">
        <f>IFERROR(__xludf.DUMMYFUNCTION("""COMPUTED_VALUE"""),"Removed")</f>
        <v>Removed</v>
      </c>
      <c r="E1306" s="84">
        <f>IFERROR(__xludf.DUMMYFUNCTION("""COMPUTED_VALUE"""),42738.0)</f>
        <v>42738</v>
      </c>
      <c r="F1306" s="85">
        <f>IFERROR(__xludf.DUMMYFUNCTION("""COMPUTED_VALUE"""),42772.0)</f>
        <v>42772</v>
      </c>
      <c r="G1306" s="86">
        <f>IFERROR(__xludf.DUMMYFUNCTION("""COMPUTED_VALUE"""),1.0999999999999999)</f>
        <v>1.1</v>
      </c>
      <c r="H1306" s="84">
        <f>IFERROR(__xludf.DUMMYFUNCTION("""COMPUTED_VALUE"""),42450.0)</f>
        <v>42450</v>
      </c>
      <c r="I1306" s="86">
        <f>IFERROR(__xludf.DUMMYFUNCTION("""COMPUTED_VALUE"""),0.7833333333333333)</f>
        <v>0.7833333333</v>
      </c>
      <c r="J1306" s="87">
        <f>IFERROR(__xludf.DUMMYFUNCTION("""COMPUTED_VALUE"""),86.0)</f>
        <v>86</v>
      </c>
      <c r="K1306" s="88">
        <f>IFERROR(__xludf.DUMMYFUNCTION("""COMPUTED_VALUE"""),8.0)</f>
        <v>8</v>
      </c>
      <c r="L1306" s="89">
        <f>IFERROR(__xludf.DUMMYFUNCTION("""COMPUTED_VALUE"""),5.0)</f>
        <v>5</v>
      </c>
      <c r="M1306" s="26" t="str">
        <f>IFERROR(__xludf.DUMMYFUNCTION("""COMPUTED_VALUE"""),"Adventure")</f>
        <v>Adventure</v>
      </c>
      <c r="N1306" s="26"/>
      <c r="O1306" s="26" t="str">
        <f>IFERROR(__xludf.DUMMYFUNCTION("""COMPUTED_VALUE"""),"No")</f>
        <v>No</v>
      </c>
      <c r="P1306" s="26"/>
    </row>
    <row r="1307">
      <c r="A1307" s="81" t="str">
        <f>IFERROR(__xludf.DUMMYFUNCTION("""COMPUTED_VALUE"""),"This War of Mine: The Little Ones")</f>
        <v>This War of Mine: The Little Ones</v>
      </c>
      <c r="B1307" s="82" t="str">
        <f>IFERROR(__xludf.DUMMYFUNCTION("""COMPUTED_VALUE"""),"PS4")</f>
        <v>PS4</v>
      </c>
      <c r="C1307" s="83" t="str">
        <f>IFERROR(__xludf.DUMMYFUNCTION("""COMPUTED_VALUE"""),"Playstation Plus (Discontinued)")</f>
        <v>Playstation Plus (Discontinued)</v>
      </c>
      <c r="D1307" s="82" t="str">
        <f>IFERROR(__xludf.DUMMYFUNCTION("""COMPUTED_VALUE"""),"Removed")</f>
        <v>Removed</v>
      </c>
      <c r="E1307" s="84">
        <f>IFERROR(__xludf.DUMMYFUNCTION("""COMPUTED_VALUE"""),42738.0)</f>
        <v>42738</v>
      </c>
      <c r="F1307" s="85">
        <f>IFERROR(__xludf.DUMMYFUNCTION("""COMPUTED_VALUE"""),42772.0)</f>
        <v>42772</v>
      </c>
      <c r="G1307" s="86">
        <f>IFERROR(__xludf.DUMMYFUNCTION("""COMPUTED_VALUE"""),1.0999999999999999)</f>
        <v>1.1</v>
      </c>
      <c r="H1307" s="84">
        <f>IFERROR(__xludf.DUMMYFUNCTION("""COMPUTED_VALUE"""),42522.0)</f>
        <v>42522</v>
      </c>
      <c r="I1307" s="86">
        <f>IFERROR(__xludf.DUMMYFUNCTION("""COMPUTED_VALUE"""),0.5888888888888889)</f>
        <v>0.5888888889</v>
      </c>
      <c r="J1307" s="87">
        <f>IFERROR(__xludf.DUMMYFUNCTION("""COMPUTED_VALUE"""),76.0)</f>
        <v>76</v>
      </c>
      <c r="K1307" s="88">
        <f>IFERROR(__xludf.DUMMYFUNCTION("""COMPUTED_VALUE"""),6.9)</f>
        <v>6.9</v>
      </c>
      <c r="L1307" s="89">
        <f>IFERROR(__xludf.DUMMYFUNCTION("""COMPUTED_VALUE"""),10.0)</f>
        <v>10</v>
      </c>
      <c r="M1307" s="26" t="str">
        <f>IFERROR(__xludf.DUMMYFUNCTION("""COMPUTED_VALUE"""),"Survival")</f>
        <v>Survival</v>
      </c>
      <c r="N1307" s="26"/>
      <c r="O1307" s="26" t="str">
        <f>IFERROR(__xludf.DUMMYFUNCTION("""COMPUTED_VALUE"""),"No")</f>
        <v>No</v>
      </c>
      <c r="P1307" s="26"/>
    </row>
    <row r="1308">
      <c r="A1308" s="81" t="str">
        <f>IFERROR(__xludf.DUMMYFUNCTION("""COMPUTED_VALUE"""),"Blazerush")</f>
        <v>Blazerush</v>
      </c>
      <c r="B1308" s="82" t="str">
        <f>IFERROR(__xludf.DUMMYFUNCTION("""COMPUTED_VALUE"""),"PS3")</f>
        <v>PS3</v>
      </c>
      <c r="C1308" s="83" t="str">
        <f>IFERROR(__xludf.DUMMYFUNCTION("""COMPUTED_VALUE"""),"Playstation Plus (Discontinued)")</f>
        <v>Playstation Plus (Discontinued)</v>
      </c>
      <c r="D1308" s="82" t="str">
        <f>IFERROR(__xludf.DUMMYFUNCTION("""COMPUTED_VALUE"""),"Removed")</f>
        <v>Removed</v>
      </c>
      <c r="E1308" s="84">
        <f>IFERROR(__xludf.DUMMYFUNCTION("""COMPUTED_VALUE"""),42738.0)</f>
        <v>42738</v>
      </c>
      <c r="F1308" s="85">
        <f>IFERROR(__xludf.DUMMYFUNCTION("""COMPUTED_VALUE"""),42772.0)</f>
        <v>42772</v>
      </c>
      <c r="G1308" s="86">
        <f>IFERROR(__xludf.DUMMYFUNCTION("""COMPUTED_VALUE"""),1.0999999999999999)</f>
        <v>1.1</v>
      </c>
      <c r="H1308" s="84">
        <f>IFERROR(__xludf.DUMMYFUNCTION("""COMPUTED_VALUE"""),41940.0)</f>
        <v>41940</v>
      </c>
      <c r="I1308" s="86">
        <f>IFERROR(__xludf.DUMMYFUNCTION("""COMPUTED_VALUE"""),2.1805555555555554)</f>
        <v>2.180555556</v>
      </c>
      <c r="J1308" s="87">
        <f>IFERROR(__xludf.DUMMYFUNCTION("""COMPUTED_VALUE"""),66.0)</f>
        <v>66</v>
      </c>
      <c r="K1308" s="88">
        <f>IFERROR(__xludf.DUMMYFUNCTION("""COMPUTED_VALUE"""),8.5)</f>
        <v>8.5</v>
      </c>
      <c r="L1308" s="89"/>
      <c r="M1308" s="26" t="str">
        <f>IFERROR(__xludf.DUMMYFUNCTION("""COMPUTED_VALUE"""),"Racing")</f>
        <v>Racing</v>
      </c>
      <c r="N1308" s="26"/>
      <c r="O1308" s="26" t="str">
        <f>IFERROR(__xludf.DUMMYFUNCTION("""COMPUTED_VALUE"""),"No")</f>
        <v>No</v>
      </c>
      <c r="P1308" s="26"/>
    </row>
    <row r="1309">
      <c r="A1309" s="81" t="str">
        <f>IFERROR(__xludf.DUMMYFUNCTION("""COMPUTED_VALUE"""),"The Swindle")</f>
        <v>The Swindle</v>
      </c>
      <c r="B1309" s="82" t="str">
        <f>IFERROR(__xludf.DUMMYFUNCTION("""COMPUTED_VALUE"""),"PS4/PS3/Vita")</f>
        <v>PS4/PS3/Vita</v>
      </c>
      <c r="C1309" s="83" t="str">
        <f>IFERROR(__xludf.DUMMYFUNCTION("""COMPUTED_VALUE"""),"Playstation Plus (Discontinued)")</f>
        <v>Playstation Plus (Discontinued)</v>
      </c>
      <c r="D1309" s="82" t="str">
        <f>IFERROR(__xludf.DUMMYFUNCTION("""COMPUTED_VALUE"""),"Removed")</f>
        <v>Removed</v>
      </c>
      <c r="E1309" s="84">
        <f>IFERROR(__xludf.DUMMYFUNCTION("""COMPUTED_VALUE"""),42738.0)</f>
        <v>42738</v>
      </c>
      <c r="F1309" s="85">
        <f>IFERROR(__xludf.DUMMYFUNCTION("""COMPUTED_VALUE"""),42772.0)</f>
        <v>42772</v>
      </c>
      <c r="G1309" s="86">
        <f>IFERROR(__xludf.DUMMYFUNCTION("""COMPUTED_VALUE"""),1.0999999999999999)</f>
        <v>1.1</v>
      </c>
      <c r="H1309" s="84">
        <f>IFERROR(__xludf.DUMMYFUNCTION("""COMPUTED_VALUE"""),42213.0)</f>
        <v>42213</v>
      </c>
      <c r="I1309" s="86">
        <f>IFERROR(__xludf.DUMMYFUNCTION("""COMPUTED_VALUE"""),1.4305555555555556)</f>
        <v>1.430555556</v>
      </c>
      <c r="J1309" s="87">
        <f>IFERROR(__xludf.DUMMYFUNCTION("""COMPUTED_VALUE"""),70.0)</f>
        <v>70</v>
      </c>
      <c r="K1309" s="88">
        <f>IFERROR(__xludf.DUMMYFUNCTION("""COMPUTED_VALUE"""),7.0)</f>
        <v>7</v>
      </c>
      <c r="L1309" s="89">
        <f>IFERROR(__xludf.DUMMYFUNCTION("""COMPUTED_VALUE"""),5.0)</f>
        <v>5</v>
      </c>
      <c r="M1309" s="26" t="str">
        <f>IFERROR(__xludf.DUMMYFUNCTION("""COMPUTED_VALUE"""),"Platformer")</f>
        <v>Platformer</v>
      </c>
      <c r="N1309" s="26"/>
      <c r="O1309" s="26" t="str">
        <f>IFERROR(__xludf.DUMMYFUNCTION("""COMPUTED_VALUE"""),"No")</f>
        <v>No</v>
      </c>
      <c r="P1309" s="26"/>
    </row>
    <row r="1310">
      <c r="A1310" s="81" t="str">
        <f>IFERROR(__xludf.DUMMYFUNCTION("""COMPUTED_VALUE"""),"Azkend 2")</f>
        <v>Azkend 2</v>
      </c>
      <c r="B1310" s="82" t="str">
        <f>IFERROR(__xludf.DUMMYFUNCTION("""COMPUTED_VALUE"""),"PS4/Vita")</f>
        <v>PS4/Vita</v>
      </c>
      <c r="C1310" s="83" t="str">
        <f>IFERROR(__xludf.DUMMYFUNCTION("""COMPUTED_VALUE"""),"Playstation Plus (Discontinued)")</f>
        <v>Playstation Plus (Discontinued)</v>
      </c>
      <c r="D1310" s="82" t="str">
        <f>IFERROR(__xludf.DUMMYFUNCTION("""COMPUTED_VALUE"""),"Removed")</f>
        <v>Removed</v>
      </c>
      <c r="E1310" s="84">
        <f>IFERROR(__xludf.DUMMYFUNCTION("""COMPUTED_VALUE"""),42738.0)</f>
        <v>42738</v>
      </c>
      <c r="F1310" s="85">
        <f>IFERROR(__xludf.DUMMYFUNCTION("""COMPUTED_VALUE"""),42772.0)</f>
        <v>42772</v>
      </c>
      <c r="G1310" s="86">
        <f>IFERROR(__xludf.DUMMYFUNCTION("""COMPUTED_VALUE"""),1.0999999999999999)</f>
        <v>1.1</v>
      </c>
      <c r="H1310" s="84">
        <f>IFERROR(__xludf.DUMMYFUNCTION("""COMPUTED_VALUE"""),40982.0)</f>
        <v>40982</v>
      </c>
      <c r="I1310" s="86">
        <f>IFERROR(__xludf.DUMMYFUNCTION("""COMPUTED_VALUE"""),4.802777777777778)</f>
        <v>4.802777778</v>
      </c>
      <c r="J1310" s="87">
        <f>IFERROR(__xludf.DUMMYFUNCTION("""COMPUTED_VALUE"""),68.0)</f>
        <v>68</v>
      </c>
      <c r="K1310" s="88"/>
      <c r="L1310" s="89">
        <f>IFERROR(__xludf.DUMMYFUNCTION("""COMPUTED_VALUE"""),3.0)</f>
        <v>3</v>
      </c>
      <c r="M1310" s="26" t="str">
        <f>IFERROR(__xludf.DUMMYFUNCTION("""COMPUTED_VALUE"""),"Matching Puzzle")</f>
        <v>Matching Puzzle</v>
      </c>
      <c r="N1310" s="26"/>
      <c r="O1310" s="26" t="str">
        <f>IFERROR(__xludf.DUMMYFUNCTION("""COMPUTED_VALUE"""),"No")</f>
        <v>No</v>
      </c>
      <c r="P1310" s="26"/>
    </row>
    <row r="1311">
      <c r="A1311" s="81" t="str">
        <f>IFERROR(__xludf.DUMMYFUNCTION("""COMPUTED_VALUE"""),"Titan Souls")</f>
        <v>Titan Souls</v>
      </c>
      <c r="B1311" s="82" t="str">
        <f>IFERROR(__xludf.DUMMYFUNCTION("""COMPUTED_VALUE"""),"PS4/Vita")</f>
        <v>PS4/Vita</v>
      </c>
      <c r="C1311" s="83" t="str">
        <f>IFERROR(__xludf.DUMMYFUNCTION("""COMPUTED_VALUE"""),"Playstation Plus (Discontinued)")</f>
        <v>Playstation Plus (Discontinued)</v>
      </c>
      <c r="D1311" s="82" t="str">
        <f>IFERROR(__xludf.DUMMYFUNCTION("""COMPUTED_VALUE"""),"Removed")</f>
        <v>Removed</v>
      </c>
      <c r="E1311" s="84">
        <f>IFERROR(__xludf.DUMMYFUNCTION("""COMPUTED_VALUE"""),42738.0)</f>
        <v>42738</v>
      </c>
      <c r="F1311" s="85">
        <f>IFERROR(__xludf.DUMMYFUNCTION("""COMPUTED_VALUE"""),42772.0)</f>
        <v>42772</v>
      </c>
      <c r="G1311" s="86">
        <f>IFERROR(__xludf.DUMMYFUNCTION("""COMPUTED_VALUE"""),1.0999999999999999)</f>
        <v>1.1</v>
      </c>
      <c r="H1311" s="84">
        <f>IFERROR(__xludf.DUMMYFUNCTION("""COMPUTED_VALUE"""),42108.0)</f>
        <v>42108</v>
      </c>
      <c r="I1311" s="86">
        <f>IFERROR(__xludf.DUMMYFUNCTION("""COMPUTED_VALUE"""),1.7194444444444446)</f>
        <v>1.719444444</v>
      </c>
      <c r="J1311" s="87">
        <f>IFERROR(__xludf.DUMMYFUNCTION("""COMPUTED_VALUE"""),74.0)</f>
        <v>74</v>
      </c>
      <c r="K1311" s="88">
        <f>IFERROR(__xludf.DUMMYFUNCTION("""COMPUTED_VALUE"""),6.2)</f>
        <v>6.2</v>
      </c>
      <c r="L1311" s="89">
        <f>IFERROR(__xludf.DUMMYFUNCTION("""COMPUTED_VALUE"""),3.0)</f>
        <v>3</v>
      </c>
      <c r="M1311" s="26" t="str">
        <f>IFERROR(__xludf.DUMMYFUNCTION("""COMPUTED_VALUE"""),"Action-Adventure")</f>
        <v>Action-Adventure</v>
      </c>
      <c r="N1311" s="26"/>
      <c r="O1311" s="26" t="str">
        <f>IFERROR(__xludf.DUMMYFUNCTION("""COMPUTED_VALUE"""),"No")</f>
        <v>No</v>
      </c>
      <c r="P1311" s="26"/>
    </row>
    <row r="1312">
      <c r="A1312" s="81" t="str">
        <f>IFERROR(__xludf.DUMMYFUNCTION("""COMPUTED_VALUE"""),"Stories: The Path of Destinies")</f>
        <v>Stories: The Path of Destinies</v>
      </c>
      <c r="B1312" s="82" t="str">
        <f>IFERROR(__xludf.DUMMYFUNCTION("""COMPUTED_VALUE"""),"PS4")</f>
        <v>PS4</v>
      </c>
      <c r="C1312" s="83" t="str">
        <f>IFERROR(__xludf.DUMMYFUNCTION("""COMPUTED_VALUE"""),"Playstation Plus (Discontinued)")</f>
        <v>Playstation Plus (Discontinued)</v>
      </c>
      <c r="D1312" s="82" t="str">
        <f>IFERROR(__xludf.DUMMYFUNCTION("""COMPUTED_VALUE"""),"Removed")</f>
        <v>Removed</v>
      </c>
      <c r="E1312" s="84">
        <f>IFERROR(__xludf.DUMMYFUNCTION("""COMPUTED_VALUE"""),42710.0)</f>
        <v>42710</v>
      </c>
      <c r="F1312" s="85">
        <f>IFERROR(__xludf.DUMMYFUNCTION("""COMPUTED_VALUE"""),42737.0)</f>
        <v>42737</v>
      </c>
      <c r="G1312" s="86">
        <f>IFERROR(__xludf.DUMMYFUNCTION("""COMPUTED_VALUE"""),0.8666666666666666)</f>
        <v>0.8666666667</v>
      </c>
      <c r="H1312" s="84">
        <f>IFERROR(__xludf.DUMMYFUNCTION("""COMPUTED_VALUE"""),42472.0)</f>
        <v>42472</v>
      </c>
      <c r="I1312" s="86">
        <f>IFERROR(__xludf.DUMMYFUNCTION("""COMPUTED_VALUE"""),0.65)</f>
        <v>0.65</v>
      </c>
      <c r="J1312" s="87">
        <f>IFERROR(__xludf.DUMMYFUNCTION("""COMPUTED_VALUE"""),73.0)</f>
        <v>73</v>
      </c>
      <c r="K1312" s="88">
        <f>IFERROR(__xludf.DUMMYFUNCTION("""COMPUTED_VALUE"""),7.3)</f>
        <v>7.3</v>
      </c>
      <c r="L1312" s="89">
        <f>IFERROR(__xludf.DUMMYFUNCTION("""COMPUTED_VALUE"""),5.0)</f>
        <v>5</v>
      </c>
      <c r="M1312" s="26" t="str">
        <f>IFERROR(__xludf.DUMMYFUNCTION("""COMPUTED_VALUE"""),"RPG")</f>
        <v>RPG</v>
      </c>
      <c r="N1312" s="26"/>
      <c r="O1312" s="26" t="str">
        <f>IFERROR(__xludf.DUMMYFUNCTION("""COMPUTED_VALUE"""),"No")</f>
        <v>No</v>
      </c>
      <c r="P1312" s="26"/>
    </row>
    <row r="1313">
      <c r="A1313" s="81" t="str">
        <f>IFERROR(__xludf.DUMMYFUNCTION("""COMPUTED_VALUE"""),"Invisible, Inc.")</f>
        <v>Invisible, Inc.</v>
      </c>
      <c r="B1313" s="82" t="str">
        <f>IFERROR(__xludf.DUMMYFUNCTION("""COMPUTED_VALUE"""),"PS4")</f>
        <v>PS4</v>
      </c>
      <c r="C1313" s="83" t="str">
        <f>IFERROR(__xludf.DUMMYFUNCTION("""COMPUTED_VALUE"""),"Playstation Plus (Discontinued)")</f>
        <v>Playstation Plus (Discontinued)</v>
      </c>
      <c r="D1313" s="82" t="str">
        <f>IFERROR(__xludf.DUMMYFUNCTION("""COMPUTED_VALUE"""),"Removed")</f>
        <v>Removed</v>
      </c>
      <c r="E1313" s="84">
        <f>IFERROR(__xludf.DUMMYFUNCTION("""COMPUTED_VALUE"""),42710.0)</f>
        <v>42710</v>
      </c>
      <c r="F1313" s="85">
        <f>IFERROR(__xludf.DUMMYFUNCTION("""COMPUTED_VALUE"""),42737.0)</f>
        <v>42737</v>
      </c>
      <c r="G1313" s="86">
        <f>IFERROR(__xludf.DUMMYFUNCTION("""COMPUTED_VALUE"""),0.8666666666666666)</f>
        <v>0.8666666667</v>
      </c>
      <c r="H1313" s="84">
        <f>IFERROR(__xludf.DUMMYFUNCTION("""COMPUTED_VALUE"""),42136.0)</f>
        <v>42136</v>
      </c>
      <c r="I1313" s="86">
        <f>IFERROR(__xludf.DUMMYFUNCTION("""COMPUTED_VALUE"""),1.5666666666666667)</f>
        <v>1.566666667</v>
      </c>
      <c r="J1313" s="87">
        <f>IFERROR(__xludf.DUMMYFUNCTION("""COMPUTED_VALUE"""),77.0)</f>
        <v>77</v>
      </c>
      <c r="K1313" s="88">
        <f>IFERROR(__xludf.DUMMYFUNCTION("""COMPUTED_VALUE"""),7.6)</f>
        <v>7.6</v>
      </c>
      <c r="L1313" s="89">
        <f>IFERROR(__xludf.DUMMYFUNCTION("""COMPUTED_VALUE"""),7.0)</f>
        <v>7</v>
      </c>
      <c r="M1313" s="26" t="str">
        <f>IFERROR(__xludf.DUMMYFUNCTION("""COMPUTED_VALUE"""),"Strategy")</f>
        <v>Strategy</v>
      </c>
      <c r="N1313" s="26"/>
      <c r="O1313" s="26" t="str">
        <f>IFERROR(__xludf.DUMMYFUNCTION("""COMPUTED_VALUE"""),"No")</f>
        <v>No</v>
      </c>
      <c r="P1313" s="26"/>
    </row>
    <row r="1314">
      <c r="A1314" s="81" t="str">
        <f>IFERROR(__xludf.DUMMYFUNCTION("""COMPUTED_VALUE"""),"Hyper Void")</f>
        <v>Hyper Void</v>
      </c>
      <c r="B1314" s="82" t="str">
        <f>IFERROR(__xludf.DUMMYFUNCTION("""COMPUTED_VALUE"""),"PS4/PS3")</f>
        <v>PS4/PS3</v>
      </c>
      <c r="C1314" s="83" t="str">
        <f>IFERROR(__xludf.DUMMYFUNCTION("""COMPUTED_VALUE"""),"Playstation Plus (Discontinued)")</f>
        <v>Playstation Plus (Discontinued)</v>
      </c>
      <c r="D1314" s="82" t="str">
        <f>IFERROR(__xludf.DUMMYFUNCTION("""COMPUTED_VALUE"""),"Removed")</f>
        <v>Removed</v>
      </c>
      <c r="E1314" s="84">
        <f>IFERROR(__xludf.DUMMYFUNCTION("""COMPUTED_VALUE"""),42710.0)</f>
        <v>42710</v>
      </c>
      <c r="F1314" s="85">
        <f>IFERROR(__xludf.DUMMYFUNCTION("""COMPUTED_VALUE"""),42737.0)</f>
        <v>42737</v>
      </c>
      <c r="G1314" s="86">
        <f>IFERROR(__xludf.DUMMYFUNCTION("""COMPUTED_VALUE"""),0.8666666666666666)</f>
        <v>0.8666666667</v>
      </c>
      <c r="H1314" s="84">
        <f>IFERROR(__xludf.DUMMYFUNCTION("""COMPUTED_VALUE"""),42255.0)</f>
        <v>42255</v>
      </c>
      <c r="I1314" s="86">
        <f>IFERROR(__xludf.DUMMYFUNCTION("""COMPUTED_VALUE"""),1.2444444444444445)</f>
        <v>1.244444444</v>
      </c>
      <c r="J1314" s="87">
        <f>IFERROR(__xludf.DUMMYFUNCTION("""COMPUTED_VALUE"""),70.0)</f>
        <v>70</v>
      </c>
      <c r="K1314" s="88">
        <f>IFERROR(__xludf.DUMMYFUNCTION("""COMPUTED_VALUE"""),6.8)</f>
        <v>6.8</v>
      </c>
      <c r="L1314" s="89">
        <f>IFERROR(__xludf.DUMMYFUNCTION("""COMPUTED_VALUE"""),2.0)</f>
        <v>2</v>
      </c>
      <c r="M1314" s="26" t="str">
        <f>IFERROR(__xludf.DUMMYFUNCTION("""COMPUTED_VALUE"""),"Shooter")</f>
        <v>Shooter</v>
      </c>
      <c r="N1314" s="26"/>
      <c r="O1314" s="26" t="str">
        <f>IFERROR(__xludf.DUMMYFUNCTION("""COMPUTED_VALUE"""),"No")</f>
        <v>No</v>
      </c>
      <c r="P1314" s="26"/>
    </row>
    <row r="1315">
      <c r="A1315" s="81" t="str">
        <f>IFERROR(__xludf.DUMMYFUNCTION("""COMPUTED_VALUE"""),"Tiny Troopers Joint Ops")</f>
        <v>Tiny Troopers Joint Ops</v>
      </c>
      <c r="B1315" s="82" t="str">
        <f>IFERROR(__xludf.DUMMYFUNCTION("""COMPUTED_VALUE"""),"PS4/PS3/Vita")</f>
        <v>PS4/PS3/Vita</v>
      </c>
      <c r="C1315" s="83" t="str">
        <f>IFERROR(__xludf.DUMMYFUNCTION("""COMPUTED_VALUE"""),"Playstation Plus (Discontinued)")</f>
        <v>Playstation Plus (Discontinued)</v>
      </c>
      <c r="D1315" s="82" t="str">
        <f>IFERROR(__xludf.DUMMYFUNCTION("""COMPUTED_VALUE"""),"Removed")</f>
        <v>Removed</v>
      </c>
      <c r="E1315" s="84">
        <f>IFERROR(__xludf.DUMMYFUNCTION("""COMPUTED_VALUE"""),42710.0)</f>
        <v>42710</v>
      </c>
      <c r="F1315" s="85">
        <f>IFERROR(__xludf.DUMMYFUNCTION("""COMPUTED_VALUE"""),42737.0)</f>
        <v>42737</v>
      </c>
      <c r="G1315" s="86">
        <f>IFERROR(__xludf.DUMMYFUNCTION("""COMPUTED_VALUE"""),0.8666666666666666)</f>
        <v>0.8666666667</v>
      </c>
      <c r="H1315" s="84">
        <f>IFERROR(__xludf.DUMMYFUNCTION("""COMPUTED_VALUE"""),42426.0)</f>
        <v>42426</v>
      </c>
      <c r="I1315" s="86">
        <f>IFERROR(__xludf.DUMMYFUNCTION("""COMPUTED_VALUE"""),0.7777777777777778)</f>
        <v>0.7777777778</v>
      </c>
      <c r="J1315" s="87">
        <f>IFERROR(__xludf.DUMMYFUNCTION("""COMPUTED_VALUE"""),62.0)</f>
        <v>62</v>
      </c>
      <c r="K1315" s="88">
        <f>IFERROR(__xludf.DUMMYFUNCTION("""COMPUTED_VALUE"""),5.3)</f>
        <v>5.3</v>
      </c>
      <c r="L1315" s="89">
        <f>IFERROR(__xludf.DUMMYFUNCTION("""COMPUTED_VALUE"""),3.0)</f>
        <v>3</v>
      </c>
      <c r="M1315" s="26" t="str">
        <f>IFERROR(__xludf.DUMMYFUNCTION("""COMPUTED_VALUE"""),"Shooter")</f>
        <v>Shooter</v>
      </c>
      <c r="N1315" s="26"/>
      <c r="O1315" s="26" t="str">
        <f>IFERROR(__xludf.DUMMYFUNCTION("""COMPUTED_VALUE"""),"No")</f>
        <v>No</v>
      </c>
      <c r="P1315" s="26"/>
    </row>
    <row r="1316">
      <c r="A1316" s="81" t="str">
        <f>IFERROR(__xludf.DUMMYFUNCTION("""COMPUTED_VALUE"""),"Color Guardians")</f>
        <v>Color Guardians</v>
      </c>
      <c r="B1316" s="82" t="str">
        <f>IFERROR(__xludf.DUMMYFUNCTION("""COMPUTED_VALUE"""),"PS4/Vita")</f>
        <v>PS4/Vita</v>
      </c>
      <c r="C1316" s="83" t="str">
        <f>IFERROR(__xludf.DUMMYFUNCTION("""COMPUTED_VALUE"""),"Playstation Plus (Discontinued)")</f>
        <v>Playstation Plus (Discontinued)</v>
      </c>
      <c r="D1316" s="82" t="str">
        <f>IFERROR(__xludf.DUMMYFUNCTION("""COMPUTED_VALUE"""),"Removed")</f>
        <v>Removed</v>
      </c>
      <c r="E1316" s="84">
        <f>IFERROR(__xludf.DUMMYFUNCTION("""COMPUTED_VALUE"""),42710.0)</f>
        <v>42710</v>
      </c>
      <c r="F1316" s="85">
        <f>IFERROR(__xludf.DUMMYFUNCTION("""COMPUTED_VALUE"""),42737.0)</f>
        <v>42737</v>
      </c>
      <c r="G1316" s="86">
        <f>IFERROR(__xludf.DUMMYFUNCTION("""COMPUTED_VALUE"""),0.8666666666666666)</f>
        <v>0.8666666667</v>
      </c>
      <c r="H1316" s="84">
        <f>IFERROR(__xludf.DUMMYFUNCTION("""COMPUTED_VALUE"""),42136.0)</f>
        <v>42136</v>
      </c>
      <c r="I1316" s="86">
        <f>IFERROR(__xludf.DUMMYFUNCTION("""COMPUTED_VALUE"""),1.5666666666666667)</f>
        <v>1.566666667</v>
      </c>
      <c r="J1316" s="87">
        <f>IFERROR(__xludf.DUMMYFUNCTION("""COMPUTED_VALUE"""),59.0)</f>
        <v>59</v>
      </c>
      <c r="K1316" s="88">
        <f>IFERROR(__xludf.DUMMYFUNCTION("""COMPUTED_VALUE"""),6.7)</f>
        <v>6.7</v>
      </c>
      <c r="L1316" s="89">
        <f>IFERROR(__xludf.DUMMYFUNCTION("""COMPUTED_VALUE"""),3.0)</f>
        <v>3</v>
      </c>
      <c r="M1316" s="26" t="str">
        <f>IFERROR(__xludf.DUMMYFUNCTION("""COMPUTED_VALUE"""),"Platformer")</f>
        <v>Platformer</v>
      </c>
      <c r="N1316" s="26"/>
      <c r="O1316" s="26" t="str">
        <f>IFERROR(__xludf.DUMMYFUNCTION("""COMPUTED_VALUE"""),"No")</f>
        <v>No</v>
      </c>
      <c r="P1316" s="26"/>
    </row>
    <row r="1317">
      <c r="A1317" s="81" t="str">
        <f>IFERROR(__xludf.DUMMYFUNCTION("""COMPUTED_VALUE"""),"VVVVVV")</f>
        <v>VVVVVV</v>
      </c>
      <c r="B1317" s="82" t="str">
        <f>IFERROR(__xludf.DUMMYFUNCTION("""COMPUTED_VALUE"""),"Vita")</f>
        <v>Vita</v>
      </c>
      <c r="C1317" s="83" t="str">
        <f>IFERROR(__xludf.DUMMYFUNCTION("""COMPUTED_VALUE"""),"Playstation Plus (Discontinued)")</f>
        <v>Playstation Plus (Discontinued)</v>
      </c>
      <c r="D1317" s="82" t="str">
        <f>IFERROR(__xludf.DUMMYFUNCTION("""COMPUTED_VALUE"""),"Removed")</f>
        <v>Removed</v>
      </c>
      <c r="E1317" s="84">
        <f>IFERROR(__xludf.DUMMYFUNCTION("""COMPUTED_VALUE"""),42710.0)</f>
        <v>42710</v>
      </c>
      <c r="F1317" s="85">
        <f>IFERROR(__xludf.DUMMYFUNCTION("""COMPUTED_VALUE"""),42737.0)</f>
        <v>42737</v>
      </c>
      <c r="G1317" s="86">
        <f>IFERROR(__xludf.DUMMYFUNCTION("""COMPUTED_VALUE"""),0.8666666666666666)</f>
        <v>0.8666666667</v>
      </c>
      <c r="H1317" s="84">
        <f>IFERROR(__xludf.DUMMYFUNCTION("""COMPUTED_VALUE"""),40188.0)</f>
        <v>40188</v>
      </c>
      <c r="I1317" s="86">
        <f>IFERROR(__xludf.DUMMYFUNCTION("""COMPUTED_VALUE"""),6.905555555555556)</f>
        <v>6.905555556</v>
      </c>
      <c r="J1317" s="87">
        <f>IFERROR(__xludf.DUMMYFUNCTION("""COMPUTED_VALUE"""),81.0)</f>
        <v>81</v>
      </c>
      <c r="K1317" s="88">
        <f>IFERROR(__xludf.DUMMYFUNCTION("""COMPUTED_VALUE"""),7.9)</f>
        <v>7.9</v>
      </c>
      <c r="L1317" s="89">
        <f>IFERROR(__xludf.DUMMYFUNCTION("""COMPUTED_VALUE"""),4.0)</f>
        <v>4</v>
      </c>
      <c r="M1317" s="26" t="str">
        <f>IFERROR(__xludf.DUMMYFUNCTION("""COMPUTED_VALUE"""),"Platformer")</f>
        <v>Platformer</v>
      </c>
      <c r="N1317" s="26"/>
      <c r="O1317" s="26" t="str">
        <f>IFERROR(__xludf.DUMMYFUNCTION("""COMPUTED_VALUE"""),"No")</f>
        <v>No</v>
      </c>
      <c r="P1317" s="26"/>
    </row>
    <row r="1318">
      <c r="A1318" s="81" t="str">
        <f>IFERROR(__xludf.DUMMYFUNCTION("""COMPUTED_VALUE"""),"Everybody’s Gone to the Rapture")</f>
        <v>Everybody’s Gone to the Rapture</v>
      </c>
      <c r="B1318" s="82" t="str">
        <f>IFERROR(__xludf.DUMMYFUNCTION("""COMPUTED_VALUE"""),"PS4")</f>
        <v>PS4</v>
      </c>
      <c r="C1318" s="83" t="str">
        <f>IFERROR(__xludf.DUMMYFUNCTION("""COMPUTED_VALUE"""),"Playstation Plus (Discontinued)")</f>
        <v>Playstation Plus (Discontinued)</v>
      </c>
      <c r="D1318" s="82" t="str">
        <f>IFERROR(__xludf.DUMMYFUNCTION("""COMPUTED_VALUE"""),"Removed")</f>
        <v>Removed</v>
      </c>
      <c r="E1318" s="84">
        <f>IFERROR(__xludf.DUMMYFUNCTION("""COMPUTED_VALUE"""),42675.0)</f>
        <v>42675</v>
      </c>
      <c r="F1318" s="85">
        <f>IFERROR(__xludf.DUMMYFUNCTION("""COMPUTED_VALUE"""),42709.0)</f>
        <v>42709</v>
      </c>
      <c r="G1318" s="86">
        <f>IFERROR(__xludf.DUMMYFUNCTION("""COMPUTED_VALUE"""),1.1333333333333333)</f>
        <v>1.133333333</v>
      </c>
      <c r="H1318" s="84">
        <f>IFERROR(__xludf.DUMMYFUNCTION("""COMPUTED_VALUE"""),42227.0)</f>
        <v>42227</v>
      </c>
      <c r="I1318" s="86">
        <f>IFERROR(__xludf.DUMMYFUNCTION("""COMPUTED_VALUE"""),1.2222222222222223)</f>
        <v>1.222222222</v>
      </c>
      <c r="J1318" s="87">
        <f>IFERROR(__xludf.DUMMYFUNCTION("""COMPUTED_VALUE"""),76.0)</f>
        <v>76</v>
      </c>
      <c r="K1318" s="88">
        <f>IFERROR(__xludf.DUMMYFUNCTION("""COMPUTED_VALUE"""),6.5)</f>
        <v>6.5</v>
      </c>
      <c r="L1318" s="89">
        <f>IFERROR(__xludf.DUMMYFUNCTION("""COMPUTED_VALUE"""),5.0)</f>
        <v>5</v>
      </c>
      <c r="M1318" s="26" t="str">
        <f>IFERROR(__xludf.DUMMYFUNCTION("""COMPUTED_VALUE"""),"Adventure")</f>
        <v>Adventure</v>
      </c>
      <c r="N1318" s="26"/>
      <c r="O1318" s="26" t="str">
        <f>IFERROR(__xludf.DUMMYFUNCTION("""COMPUTED_VALUE"""),"No")</f>
        <v>No</v>
      </c>
      <c r="P1318" s="26"/>
    </row>
    <row r="1319">
      <c r="A1319" s="81" t="str">
        <f>IFERROR(__xludf.DUMMYFUNCTION("""COMPUTED_VALUE"""),"The Deadly Tower of Monsters")</f>
        <v>The Deadly Tower of Monsters</v>
      </c>
      <c r="B1319" s="82" t="str">
        <f>IFERROR(__xludf.DUMMYFUNCTION("""COMPUTED_VALUE"""),"PS4")</f>
        <v>PS4</v>
      </c>
      <c r="C1319" s="83" t="str">
        <f>IFERROR(__xludf.DUMMYFUNCTION("""COMPUTED_VALUE"""),"Playstation Plus (Discontinued)")</f>
        <v>Playstation Plus (Discontinued)</v>
      </c>
      <c r="D1319" s="82" t="str">
        <f>IFERROR(__xludf.DUMMYFUNCTION("""COMPUTED_VALUE"""),"Removed")</f>
        <v>Removed</v>
      </c>
      <c r="E1319" s="84">
        <f>IFERROR(__xludf.DUMMYFUNCTION("""COMPUTED_VALUE"""),42675.0)</f>
        <v>42675</v>
      </c>
      <c r="F1319" s="85">
        <f>IFERROR(__xludf.DUMMYFUNCTION("""COMPUTED_VALUE"""),42709.0)</f>
        <v>42709</v>
      </c>
      <c r="G1319" s="86">
        <f>IFERROR(__xludf.DUMMYFUNCTION("""COMPUTED_VALUE"""),1.1333333333333333)</f>
        <v>1.133333333</v>
      </c>
      <c r="H1319" s="84">
        <f>IFERROR(__xludf.DUMMYFUNCTION("""COMPUTED_VALUE"""),42388.0)</f>
        <v>42388</v>
      </c>
      <c r="I1319" s="86">
        <f>IFERROR(__xludf.DUMMYFUNCTION("""COMPUTED_VALUE"""),0.7833333333333333)</f>
        <v>0.7833333333</v>
      </c>
      <c r="J1319" s="87">
        <f>IFERROR(__xludf.DUMMYFUNCTION("""COMPUTED_VALUE"""),76.0)</f>
        <v>76</v>
      </c>
      <c r="K1319" s="88">
        <f>IFERROR(__xludf.DUMMYFUNCTION("""COMPUTED_VALUE"""),7.4)</f>
        <v>7.4</v>
      </c>
      <c r="L1319" s="89">
        <f>IFERROR(__xludf.DUMMYFUNCTION("""COMPUTED_VALUE"""),5.0)</f>
        <v>5</v>
      </c>
      <c r="M1319" s="26" t="str">
        <f>IFERROR(__xludf.DUMMYFUNCTION("""COMPUTED_VALUE"""),"Action-Adventure")</f>
        <v>Action-Adventure</v>
      </c>
      <c r="N1319" s="26"/>
      <c r="O1319" s="26" t="str">
        <f>IFERROR(__xludf.DUMMYFUNCTION("""COMPUTED_VALUE"""),"No")</f>
        <v>No</v>
      </c>
      <c r="P1319" s="26"/>
    </row>
    <row r="1320">
      <c r="A1320" s="81" t="str">
        <f>IFERROR(__xludf.DUMMYFUNCTION("""COMPUTED_VALUE"""),"DiRT 3")</f>
        <v>DiRT 3</v>
      </c>
      <c r="B1320" s="82" t="str">
        <f>IFERROR(__xludf.DUMMYFUNCTION("""COMPUTED_VALUE"""),"PS3")</f>
        <v>PS3</v>
      </c>
      <c r="C1320" s="83" t="str">
        <f>IFERROR(__xludf.DUMMYFUNCTION("""COMPUTED_VALUE"""),"Playstation Plus (Discontinued)")</f>
        <v>Playstation Plus (Discontinued)</v>
      </c>
      <c r="D1320" s="82" t="str">
        <f>IFERROR(__xludf.DUMMYFUNCTION("""COMPUTED_VALUE"""),"Removed")</f>
        <v>Removed</v>
      </c>
      <c r="E1320" s="84">
        <f>IFERROR(__xludf.DUMMYFUNCTION("""COMPUTED_VALUE"""),42675.0)</f>
        <v>42675</v>
      </c>
      <c r="F1320" s="85">
        <f>IFERROR(__xludf.DUMMYFUNCTION("""COMPUTED_VALUE"""),42709.0)</f>
        <v>42709</v>
      </c>
      <c r="G1320" s="86">
        <f>IFERROR(__xludf.DUMMYFUNCTION("""COMPUTED_VALUE"""),1.1333333333333333)</f>
        <v>1.133333333</v>
      </c>
      <c r="H1320" s="84">
        <f>IFERROR(__xludf.DUMMYFUNCTION("""COMPUTED_VALUE"""),40687.0)</f>
        <v>40687</v>
      </c>
      <c r="I1320" s="86">
        <f>IFERROR(__xludf.DUMMYFUNCTION("""COMPUTED_VALUE"""),5.436111111111111)</f>
        <v>5.436111111</v>
      </c>
      <c r="J1320" s="87">
        <f>IFERROR(__xludf.DUMMYFUNCTION("""COMPUTED_VALUE"""),87.0)</f>
        <v>87</v>
      </c>
      <c r="K1320" s="88">
        <f>IFERROR(__xludf.DUMMYFUNCTION("""COMPUTED_VALUE"""),8.0)</f>
        <v>8</v>
      </c>
      <c r="L1320" s="89">
        <f>IFERROR(__xludf.DUMMYFUNCTION("""COMPUTED_VALUE"""),8.0)</f>
        <v>8</v>
      </c>
      <c r="M1320" s="26" t="str">
        <f>IFERROR(__xludf.DUMMYFUNCTION("""COMPUTED_VALUE"""),"Racing")</f>
        <v>Racing</v>
      </c>
      <c r="N1320" s="26"/>
      <c r="O1320" s="26" t="str">
        <f>IFERROR(__xludf.DUMMYFUNCTION("""COMPUTED_VALUE"""),"No")</f>
        <v>No</v>
      </c>
      <c r="P1320" s="26"/>
    </row>
    <row r="1321">
      <c r="A1321" s="81" t="str">
        <f>IFERROR(__xludf.DUMMYFUNCTION("""COMPUTED_VALUE"""),"Costume Quest 2")</f>
        <v>Costume Quest 2</v>
      </c>
      <c r="B1321" s="82" t="str">
        <f>IFERROR(__xludf.DUMMYFUNCTION("""COMPUTED_VALUE"""),"PS3")</f>
        <v>PS3</v>
      </c>
      <c r="C1321" s="83" t="str">
        <f>IFERROR(__xludf.DUMMYFUNCTION("""COMPUTED_VALUE"""),"Playstation Plus (Discontinued)")</f>
        <v>Playstation Plus (Discontinued)</v>
      </c>
      <c r="D1321" s="82" t="str">
        <f>IFERROR(__xludf.DUMMYFUNCTION("""COMPUTED_VALUE"""),"Removed")</f>
        <v>Removed</v>
      </c>
      <c r="E1321" s="84">
        <f>IFERROR(__xludf.DUMMYFUNCTION("""COMPUTED_VALUE"""),42675.0)</f>
        <v>42675</v>
      </c>
      <c r="F1321" s="85">
        <f>IFERROR(__xludf.DUMMYFUNCTION("""COMPUTED_VALUE"""),42709.0)</f>
        <v>42709</v>
      </c>
      <c r="G1321" s="86">
        <f>IFERROR(__xludf.DUMMYFUNCTION("""COMPUTED_VALUE"""),1.1333333333333333)</f>
        <v>1.133333333</v>
      </c>
      <c r="H1321" s="84">
        <f>IFERROR(__xludf.DUMMYFUNCTION("""COMPUTED_VALUE"""),41919.0)</f>
        <v>41919</v>
      </c>
      <c r="I1321" s="86">
        <f>IFERROR(__xludf.DUMMYFUNCTION("""COMPUTED_VALUE"""),2.066666666666667)</f>
        <v>2.066666667</v>
      </c>
      <c r="J1321" s="87">
        <f>IFERROR(__xludf.DUMMYFUNCTION("""COMPUTED_VALUE"""),72.0)</f>
        <v>72</v>
      </c>
      <c r="K1321" s="88">
        <f>IFERROR(__xludf.DUMMYFUNCTION("""COMPUTED_VALUE"""),7.0)</f>
        <v>7</v>
      </c>
      <c r="L1321" s="89">
        <f>IFERROR(__xludf.DUMMYFUNCTION("""COMPUTED_VALUE"""),7.0)</f>
        <v>7</v>
      </c>
      <c r="M1321" s="26" t="str">
        <f>IFERROR(__xludf.DUMMYFUNCTION("""COMPUTED_VALUE"""),"RPG")</f>
        <v>RPG</v>
      </c>
      <c r="N1321" s="26"/>
      <c r="O1321" s="26" t="str">
        <f>IFERROR(__xludf.DUMMYFUNCTION("""COMPUTED_VALUE"""),"No")</f>
        <v>No</v>
      </c>
      <c r="P1321" s="26"/>
    </row>
    <row r="1322">
      <c r="A1322" s="81" t="str">
        <f>IFERROR(__xludf.DUMMYFUNCTION("""COMPUTED_VALUE"""),"Letter Quest Remastered")</f>
        <v>Letter Quest Remastered</v>
      </c>
      <c r="B1322" s="82" t="str">
        <f>IFERROR(__xludf.DUMMYFUNCTION("""COMPUTED_VALUE"""),"PS4/Vita")</f>
        <v>PS4/Vita</v>
      </c>
      <c r="C1322" s="83" t="str">
        <f>IFERROR(__xludf.DUMMYFUNCTION("""COMPUTED_VALUE"""),"Playstation Plus (Discontinued)")</f>
        <v>Playstation Plus (Discontinued)</v>
      </c>
      <c r="D1322" s="82" t="str">
        <f>IFERROR(__xludf.DUMMYFUNCTION("""COMPUTED_VALUE"""),"Removed")</f>
        <v>Removed</v>
      </c>
      <c r="E1322" s="84">
        <f>IFERROR(__xludf.DUMMYFUNCTION("""COMPUTED_VALUE"""),42675.0)</f>
        <v>42675</v>
      </c>
      <c r="F1322" s="85">
        <f>IFERROR(__xludf.DUMMYFUNCTION("""COMPUTED_VALUE"""),42709.0)</f>
        <v>42709</v>
      </c>
      <c r="G1322" s="86">
        <f>IFERROR(__xludf.DUMMYFUNCTION("""COMPUTED_VALUE"""),1.1333333333333333)</f>
        <v>1.133333333</v>
      </c>
      <c r="H1322" s="84">
        <f>IFERROR(__xludf.DUMMYFUNCTION("""COMPUTED_VALUE"""),42129.0)</f>
        <v>42129</v>
      </c>
      <c r="I1322" s="86">
        <f>IFERROR(__xludf.DUMMYFUNCTION("""COMPUTED_VALUE"""),1.488888888888889)</f>
        <v>1.488888889</v>
      </c>
      <c r="J1322" s="87">
        <f>IFERROR(__xludf.DUMMYFUNCTION("""COMPUTED_VALUE"""),70.0)</f>
        <v>70</v>
      </c>
      <c r="K1322" s="88">
        <f>IFERROR(__xludf.DUMMYFUNCTION("""COMPUTED_VALUE"""),7.2)</f>
        <v>7.2</v>
      </c>
      <c r="L1322" s="89">
        <f>IFERROR(__xludf.DUMMYFUNCTION("""COMPUTED_VALUE"""),4.0)</f>
        <v>4</v>
      </c>
      <c r="M1322" s="26" t="str">
        <f>IFERROR(__xludf.DUMMYFUNCTION("""COMPUTED_VALUE"""),"Puzzle")</f>
        <v>Puzzle</v>
      </c>
      <c r="N1322" s="26"/>
      <c r="O1322" s="26" t="str">
        <f>IFERROR(__xludf.DUMMYFUNCTION("""COMPUTED_VALUE"""),"No")</f>
        <v>No</v>
      </c>
      <c r="P1322" s="26"/>
    </row>
    <row r="1323">
      <c r="A1323" s="81" t="str">
        <f>IFERROR(__xludf.DUMMYFUNCTION("""COMPUTED_VALUE"""),"Pumped BMX+")</f>
        <v>Pumped BMX+</v>
      </c>
      <c r="B1323" s="82" t="str">
        <f>IFERROR(__xludf.DUMMYFUNCTION("""COMPUTED_VALUE"""),"PS4/PS3/Vita")</f>
        <v>PS4/PS3/Vita</v>
      </c>
      <c r="C1323" s="83" t="str">
        <f>IFERROR(__xludf.DUMMYFUNCTION("""COMPUTED_VALUE"""),"Playstation Plus (Discontinued)")</f>
        <v>Playstation Plus (Discontinued)</v>
      </c>
      <c r="D1323" s="82" t="str">
        <f>IFERROR(__xludf.DUMMYFUNCTION("""COMPUTED_VALUE"""),"Removed")</f>
        <v>Removed</v>
      </c>
      <c r="E1323" s="84">
        <f>IFERROR(__xludf.DUMMYFUNCTION("""COMPUTED_VALUE"""),42675.0)</f>
        <v>42675</v>
      </c>
      <c r="F1323" s="85">
        <f>IFERROR(__xludf.DUMMYFUNCTION("""COMPUTED_VALUE"""),42709.0)</f>
        <v>42709</v>
      </c>
      <c r="G1323" s="86">
        <f>IFERROR(__xludf.DUMMYFUNCTION("""COMPUTED_VALUE"""),1.1333333333333333)</f>
        <v>1.133333333</v>
      </c>
      <c r="H1323" s="84">
        <f>IFERROR(__xludf.DUMMYFUNCTION("""COMPUTED_VALUE"""),42265.0)</f>
        <v>42265</v>
      </c>
      <c r="I1323" s="86">
        <f>IFERROR(__xludf.DUMMYFUNCTION("""COMPUTED_VALUE"""),1.1194444444444445)</f>
        <v>1.119444444</v>
      </c>
      <c r="J1323" s="87">
        <f>IFERROR(__xludf.DUMMYFUNCTION("""COMPUTED_VALUE"""),69.0)</f>
        <v>69</v>
      </c>
      <c r="K1323" s="88">
        <f>IFERROR(__xludf.DUMMYFUNCTION("""COMPUTED_VALUE"""),7.0)</f>
        <v>7</v>
      </c>
      <c r="L1323" s="89">
        <f>IFERROR(__xludf.DUMMYFUNCTION("""COMPUTED_VALUE"""),6.0)</f>
        <v>6</v>
      </c>
      <c r="M1323" s="26" t="str">
        <f>IFERROR(__xludf.DUMMYFUNCTION("""COMPUTED_VALUE"""),"Sports")</f>
        <v>Sports</v>
      </c>
      <c r="N1323" s="26"/>
      <c r="O1323" s="26" t="str">
        <f>IFERROR(__xludf.DUMMYFUNCTION("""COMPUTED_VALUE"""),"No")</f>
        <v>No</v>
      </c>
      <c r="P1323" s="26"/>
    </row>
    <row r="1324">
      <c r="A1324" s="81" t="str">
        <f>IFERROR(__xludf.DUMMYFUNCTION("""COMPUTED_VALUE"""),"Resident Evil")</f>
        <v>Resident Evil</v>
      </c>
      <c r="B1324" s="82" t="str">
        <f>IFERROR(__xludf.DUMMYFUNCTION("""COMPUTED_VALUE"""),"PS4")</f>
        <v>PS4</v>
      </c>
      <c r="C1324" s="83" t="str">
        <f>IFERROR(__xludf.DUMMYFUNCTION("""COMPUTED_VALUE"""),"Playstation Plus (Discontinued)")</f>
        <v>Playstation Plus (Discontinued)</v>
      </c>
      <c r="D1324" s="82" t="str">
        <f>IFERROR(__xludf.DUMMYFUNCTION("""COMPUTED_VALUE"""),"Removed")</f>
        <v>Removed</v>
      </c>
      <c r="E1324" s="84">
        <f>IFERROR(__xludf.DUMMYFUNCTION("""COMPUTED_VALUE"""),42647.0)</f>
        <v>42647</v>
      </c>
      <c r="F1324" s="85">
        <f>IFERROR(__xludf.DUMMYFUNCTION("""COMPUTED_VALUE"""),42674.0)</f>
        <v>42674</v>
      </c>
      <c r="G1324" s="86">
        <f>IFERROR(__xludf.DUMMYFUNCTION("""COMPUTED_VALUE"""),0.8666666666666666)</f>
        <v>0.8666666667</v>
      </c>
      <c r="H1324" s="84">
        <f>IFERROR(__xludf.DUMMYFUNCTION("""COMPUTED_VALUE"""),38798.0)</f>
        <v>38798</v>
      </c>
      <c r="I1324" s="86">
        <f>IFERROR(__xludf.DUMMYFUNCTION("""COMPUTED_VALUE"""),10.533333333333333)</f>
        <v>10.53333333</v>
      </c>
      <c r="J1324" s="87">
        <f>IFERROR(__xludf.DUMMYFUNCTION("""COMPUTED_VALUE"""),91.0)</f>
        <v>91</v>
      </c>
      <c r="K1324" s="88">
        <f>IFERROR(__xludf.DUMMYFUNCTION("""COMPUTED_VALUE"""),8.7)</f>
        <v>8.7</v>
      </c>
      <c r="L1324" s="89">
        <f>IFERROR(__xludf.DUMMYFUNCTION("""COMPUTED_VALUE"""),13.0)</f>
        <v>13</v>
      </c>
      <c r="M1324" s="26" t="str">
        <f>IFERROR(__xludf.DUMMYFUNCTION("""COMPUTED_VALUE"""),"Horror")</f>
        <v>Horror</v>
      </c>
      <c r="N1324" s="26"/>
      <c r="O1324" s="26" t="str">
        <f>IFERROR(__xludf.DUMMYFUNCTION("""COMPUTED_VALUE"""),"No")</f>
        <v>No</v>
      </c>
      <c r="P1324" s="26"/>
    </row>
    <row r="1325">
      <c r="A1325" s="81" t="str">
        <f>IFERROR(__xludf.DUMMYFUNCTION("""COMPUTED_VALUE"""),"Transformers: Devastation")</f>
        <v>Transformers: Devastation</v>
      </c>
      <c r="B1325" s="82" t="str">
        <f>IFERROR(__xludf.DUMMYFUNCTION("""COMPUTED_VALUE"""),"PS4/PS3")</f>
        <v>PS4/PS3</v>
      </c>
      <c r="C1325" s="83" t="str">
        <f>IFERROR(__xludf.DUMMYFUNCTION("""COMPUTED_VALUE"""),"Playstation Plus (Discontinued)")</f>
        <v>Playstation Plus (Discontinued)</v>
      </c>
      <c r="D1325" s="82" t="str">
        <f>IFERROR(__xludf.DUMMYFUNCTION("""COMPUTED_VALUE"""),"Removed")</f>
        <v>Removed</v>
      </c>
      <c r="E1325" s="84">
        <f>IFERROR(__xludf.DUMMYFUNCTION("""COMPUTED_VALUE"""),42647.0)</f>
        <v>42647</v>
      </c>
      <c r="F1325" s="85">
        <f>IFERROR(__xludf.DUMMYFUNCTION("""COMPUTED_VALUE"""),42674.0)</f>
        <v>42674</v>
      </c>
      <c r="G1325" s="86">
        <f>IFERROR(__xludf.DUMMYFUNCTION("""COMPUTED_VALUE"""),0.8666666666666666)</f>
        <v>0.8666666667</v>
      </c>
      <c r="H1325" s="84">
        <f>IFERROR(__xludf.DUMMYFUNCTION("""COMPUTED_VALUE"""),42283.0)</f>
        <v>42283</v>
      </c>
      <c r="I1325" s="86">
        <f>IFERROR(__xludf.DUMMYFUNCTION("""COMPUTED_VALUE"""),0.9944444444444445)</f>
        <v>0.9944444444</v>
      </c>
      <c r="J1325" s="87">
        <f>IFERROR(__xludf.DUMMYFUNCTION("""COMPUTED_VALUE"""),77.0)</f>
        <v>77</v>
      </c>
      <c r="K1325" s="88">
        <f>IFERROR(__xludf.DUMMYFUNCTION("""COMPUTED_VALUE"""),8.0)</f>
        <v>8</v>
      </c>
      <c r="L1325" s="89">
        <f>IFERROR(__xludf.DUMMYFUNCTION("""COMPUTED_VALUE"""),6.0)</f>
        <v>6</v>
      </c>
      <c r="M1325" s="26" t="str">
        <f>IFERROR(__xludf.DUMMYFUNCTION("""COMPUTED_VALUE"""),"Action-Adventure")</f>
        <v>Action-Adventure</v>
      </c>
      <c r="N1325" s="26"/>
      <c r="O1325" s="26" t="str">
        <f>IFERROR(__xludf.DUMMYFUNCTION("""COMPUTED_VALUE"""),"No")</f>
        <v>No</v>
      </c>
      <c r="P1325" s="26"/>
    </row>
    <row r="1326">
      <c r="A1326" s="81" t="str">
        <f>IFERROR(__xludf.DUMMYFUNCTION("""COMPUTED_VALUE"""),"Mad Riders")</f>
        <v>Mad Riders</v>
      </c>
      <c r="B1326" s="82" t="str">
        <f>IFERROR(__xludf.DUMMYFUNCTION("""COMPUTED_VALUE"""),"PS3")</f>
        <v>PS3</v>
      </c>
      <c r="C1326" s="83" t="str">
        <f>IFERROR(__xludf.DUMMYFUNCTION("""COMPUTED_VALUE"""),"Playstation Plus (Discontinued)")</f>
        <v>Playstation Plus (Discontinued)</v>
      </c>
      <c r="D1326" s="82" t="str">
        <f>IFERROR(__xludf.DUMMYFUNCTION("""COMPUTED_VALUE"""),"Removed")</f>
        <v>Removed</v>
      </c>
      <c r="E1326" s="84">
        <f>IFERROR(__xludf.DUMMYFUNCTION("""COMPUTED_VALUE"""),42647.0)</f>
        <v>42647</v>
      </c>
      <c r="F1326" s="85">
        <f>IFERROR(__xludf.DUMMYFUNCTION("""COMPUTED_VALUE"""),42674.0)</f>
        <v>42674</v>
      </c>
      <c r="G1326" s="86">
        <f>IFERROR(__xludf.DUMMYFUNCTION("""COMPUTED_VALUE"""),0.8666666666666666)</f>
        <v>0.8666666667</v>
      </c>
      <c r="H1326" s="84">
        <f>IFERROR(__xludf.DUMMYFUNCTION("""COMPUTED_VALUE"""),41058.0)</f>
        <v>41058</v>
      </c>
      <c r="I1326" s="86">
        <f>IFERROR(__xludf.DUMMYFUNCTION("""COMPUTED_VALUE"""),4.347222222222222)</f>
        <v>4.347222222</v>
      </c>
      <c r="J1326" s="87">
        <f>IFERROR(__xludf.DUMMYFUNCTION("""COMPUTED_VALUE"""),62.0)</f>
        <v>62</v>
      </c>
      <c r="K1326" s="88">
        <f>IFERROR(__xludf.DUMMYFUNCTION("""COMPUTED_VALUE"""),6.2)</f>
        <v>6.2</v>
      </c>
      <c r="L1326" s="89">
        <f>IFERROR(__xludf.DUMMYFUNCTION("""COMPUTED_VALUE"""),4.0)</f>
        <v>4</v>
      </c>
      <c r="M1326" s="26" t="str">
        <f>IFERROR(__xludf.DUMMYFUNCTION("""COMPUTED_VALUE"""),"Racing")</f>
        <v>Racing</v>
      </c>
      <c r="N1326" s="26"/>
      <c r="O1326" s="26" t="str">
        <f>IFERROR(__xludf.DUMMYFUNCTION("""COMPUTED_VALUE"""),"No")</f>
        <v>No</v>
      </c>
      <c r="P1326" s="26"/>
    </row>
    <row r="1327">
      <c r="A1327" s="81" t="str">
        <f>IFERROR(__xludf.DUMMYFUNCTION("""COMPUTED_VALUE"""),"From Dust")</f>
        <v>From Dust</v>
      </c>
      <c r="B1327" s="82" t="str">
        <f>IFERROR(__xludf.DUMMYFUNCTION("""COMPUTED_VALUE"""),"PS3")</f>
        <v>PS3</v>
      </c>
      <c r="C1327" s="83" t="str">
        <f>IFERROR(__xludf.DUMMYFUNCTION("""COMPUTED_VALUE"""),"Playstation Plus (Discontinued)")</f>
        <v>Playstation Plus (Discontinued)</v>
      </c>
      <c r="D1327" s="82" t="str">
        <f>IFERROR(__xludf.DUMMYFUNCTION("""COMPUTED_VALUE"""),"Removed")</f>
        <v>Removed</v>
      </c>
      <c r="E1327" s="84">
        <f>IFERROR(__xludf.DUMMYFUNCTION("""COMPUTED_VALUE"""),42647.0)</f>
        <v>42647</v>
      </c>
      <c r="F1327" s="85">
        <f>IFERROR(__xludf.DUMMYFUNCTION("""COMPUTED_VALUE"""),42674.0)</f>
        <v>42674</v>
      </c>
      <c r="G1327" s="86">
        <f>IFERROR(__xludf.DUMMYFUNCTION("""COMPUTED_VALUE"""),0.8666666666666666)</f>
        <v>0.8666666667</v>
      </c>
      <c r="H1327" s="84">
        <f>IFERROR(__xludf.DUMMYFUNCTION("""COMPUTED_VALUE"""),40751.0)</f>
        <v>40751</v>
      </c>
      <c r="I1327" s="86">
        <f>IFERROR(__xludf.DUMMYFUNCTION("""COMPUTED_VALUE"""),5.186111111111111)</f>
        <v>5.186111111</v>
      </c>
      <c r="J1327" s="87">
        <f>IFERROR(__xludf.DUMMYFUNCTION("""COMPUTED_VALUE"""),79.0)</f>
        <v>79</v>
      </c>
      <c r="K1327" s="88">
        <f>IFERROR(__xludf.DUMMYFUNCTION("""COMPUTED_VALUE"""),7.2)</f>
        <v>7.2</v>
      </c>
      <c r="L1327" s="89">
        <f>IFERROR(__xludf.DUMMYFUNCTION("""COMPUTED_VALUE"""),6.0)</f>
        <v>6</v>
      </c>
      <c r="M1327" s="26" t="str">
        <f>IFERROR(__xludf.DUMMYFUNCTION("""COMPUTED_VALUE"""),"Strategy")</f>
        <v>Strategy</v>
      </c>
      <c r="N1327" s="26"/>
      <c r="O1327" s="26" t="str">
        <f>IFERROR(__xludf.DUMMYFUNCTION("""COMPUTED_VALUE"""),"No")</f>
        <v>No</v>
      </c>
      <c r="P1327" s="26"/>
    </row>
    <row r="1328">
      <c r="A1328" s="81" t="str">
        <f>IFERROR(__xludf.DUMMYFUNCTION("""COMPUTED_VALUE"""),"Code:Realize - Guardian of Rebirth")</f>
        <v>Code:Realize - Guardian of Rebirth</v>
      </c>
      <c r="B1328" s="82" t="str">
        <f>IFERROR(__xludf.DUMMYFUNCTION("""COMPUTED_VALUE"""),"Vita")</f>
        <v>Vita</v>
      </c>
      <c r="C1328" s="83" t="str">
        <f>IFERROR(__xludf.DUMMYFUNCTION("""COMPUTED_VALUE"""),"Playstation Plus (Discontinued)")</f>
        <v>Playstation Plus (Discontinued)</v>
      </c>
      <c r="D1328" s="82" t="str">
        <f>IFERROR(__xludf.DUMMYFUNCTION("""COMPUTED_VALUE"""),"Removed")</f>
        <v>Removed</v>
      </c>
      <c r="E1328" s="84">
        <f>IFERROR(__xludf.DUMMYFUNCTION("""COMPUTED_VALUE"""),42647.0)</f>
        <v>42647</v>
      </c>
      <c r="F1328" s="85">
        <f>IFERROR(__xludf.DUMMYFUNCTION("""COMPUTED_VALUE"""),42674.0)</f>
        <v>42674</v>
      </c>
      <c r="G1328" s="86">
        <f>IFERROR(__xludf.DUMMYFUNCTION("""COMPUTED_VALUE"""),0.8666666666666666)</f>
        <v>0.8666666667</v>
      </c>
      <c r="H1328" s="84">
        <f>IFERROR(__xludf.DUMMYFUNCTION("""COMPUTED_VALUE"""),42300.0)</f>
        <v>42300</v>
      </c>
      <c r="I1328" s="86">
        <f>IFERROR(__xludf.DUMMYFUNCTION("""COMPUTED_VALUE"""),0.9472222222222222)</f>
        <v>0.9472222222</v>
      </c>
      <c r="J1328" s="87">
        <f>IFERROR(__xludf.DUMMYFUNCTION("""COMPUTED_VALUE"""),81.0)</f>
        <v>81</v>
      </c>
      <c r="K1328" s="88">
        <f>IFERROR(__xludf.DUMMYFUNCTION("""COMPUTED_VALUE"""),8.1)</f>
        <v>8.1</v>
      </c>
      <c r="L1328" s="89">
        <f>IFERROR(__xludf.DUMMYFUNCTION("""COMPUTED_VALUE"""),18.0)</f>
        <v>18</v>
      </c>
      <c r="M1328" s="26" t="str">
        <f>IFERROR(__xludf.DUMMYFUNCTION("""COMPUTED_VALUE"""),"Visual Novel")</f>
        <v>Visual Novel</v>
      </c>
      <c r="N1328" s="26"/>
      <c r="O1328" s="26" t="str">
        <f>IFERROR(__xludf.DUMMYFUNCTION("""COMPUTED_VALUE"""),"No")</f>
        <v>No</v>
      </c>
      <c r="P1328" s="26"/>
    </row>
    <row r="1329">
      <c r="A1329" s="81" t="str">
        <f>IFERROR(__xludf.DUMMYFUNCTION("""COMPUTED_VALUE"""),"Actual Sunlight")</f>
        <v>Actual Sunlight</v>
      </c>
      <c r="B1329" s="82" t="str">
        <f>IFERROR(__xludf.DUMMYFUNCTION("""COMPUTED_VALUE"""),"Vita")</f>
        <v>Vita</v>
      </c>
      <c r="C1329" s="83" t="str">
        <f>IFERROR(__xludf.DUMMYFUNCTION("""COMPUTED_VALUE"""),"Playstation Plus (Discontinued)")</f>
        <v>Playstation Plus (Discontinued)</v>
      </c>
      <c r="D1329" s="82" t="str">
        <f>IFERROR(__xludf.DUMMYFUNCTION("""COMPUTED_VALUE"""),"Removed")</f>
        <v>Removed</v>
      </c>
      <c r="E1329" s="84">
        <f>IFERROR(__xludf.DUMMYFUNCTION("""COMPUTED_VALUE"""),42647.0)</f>
        <v>42647</v>
      </c>
      <c r="F1329" s="85">
        <f>IFERROR(__xludf.DUMMYFUNCTION("""COMPUTED_VALUE"""),42674.0)</f>
        <v>42674</v>
      </c>
      <c r="G1329" s="86">
        <f>IFERROR(__xludf.DUMMYFUNCTION("""COMPUTED_VALUE"""),0.8666666666666666)</f>
        <v>0.8666666667</v>
      </c>
      <c r="H1329" s="84">
        <f>IFERROR(__xludf.DUMMYFUNCTION("""COMPUTED_VALUE"""),42097.0)</f>
        <v>42097</v>
      </c>
      <c r="I1329" s="86">
        <f>IFERROR(__xludf.DUMMYFUNCTION("""COMPUTED_VALUE"""),1.5027777777777778)</f>
        <v>1.502777778</v>
      </c>
      <c r="J1329" s="87">
        <f>IFERROR(__xludf.DUMMYFUNCTION("""COMPUTED_VALUE"""),63.0)</f>
        <v>63</v>
      </c>
      <c r="K1329" s="88">
        <f>IFERROR(__xludf.DUMMYFUNCTION("""COMPUTED_VALUE"""),7.1)</f>
        <v>7.1</v>
      </c>
      <c r="L1329" s="89">
        <f>IFERROR(__xludf.DUMMYFUNCTION("""COMPUTED_VALUE"""),2.0)</f>
        <v>2</v>
      </c>
      <c r="M1329" s="26" t="str">
        <f>IFERROR(__xludf.DUMMYFUNCTION("""COMPUTED_VALUE"""),"Adventure")</f>
        <v>Adventure</v>
      </c>
      <c r="N1329" s="26"/>
      <c r="O1329" s="26" t="str">
        <f>IFERROR(__xludf.DUMMYFUNCTION("""COMPUTED_VALUE"""),"No")</f>
        <v>No</v>
      </c>
      <c r="P1329" s="26"/>
    </row>
    <row r="1330">
      <c r="A1330" s="81" t="str">
        <f>IFERROR(__xludf.DUMMYFUNCTION("""COMPUTED_VALUE"""),"Lords of the Fallen")</f>
        <v>Lords of the Fallen</v>
      </c>
      <c r="B1330" s="82" t="str">
        <f>IFERROR(__xludf.DUMMYFUNCTION("""COMPUTED_VALUE"""),"PS4")</f>
        <v>PS4</v>
      </c>
      <c r="C1330" s="83" t="str">
        <f>IFERROR(__xludf.DUMMYFUNCTION("""COMPUTED_VALUE"""),"Playstation Plus (Discontinued)")</f>
        <v>Playstation Plus (Discontinued)</v>
      </c>
      <c r="D1330" s="82" t="str">
        <f>IFERROR(__xludf.DUMMYFUNCTION("""COMPUTED_VALUE"""),"Removed")</f>
        <v>Removed</v>
      </c>
      <c r="E1330" s="84">
        <f>IFERROR(__xludf.DUMMYFUNCTION("""COMPUTED_VALUE"""),42619.0)</f>
        <v>42619</v>
      </c>
      <c r="F1330" s="85">
        <f>IFERROR(__xludf.DUMMYFUNCTION("""COMPUTED_VALUE"""),42646.0)</f>
        <v>42646</v>
      </c>
      <c r="G1330" s="86">
        <f>IFERROR(__xludf.DUMMYFUNCTION("""COMPUTED_VALUE"""),0.8999999999999999)</f>
        <v>0.9</v>
      </c>
      <c r="H1330" s="84">
        <f>IFERROR(__xludf.DUMMYFUNCTION("""COMPUTED_VALUE"""),41940.0)</f>
        <v>41940</v>
      </c>
      <c r="I1330" s="86">
        <f>IFERROR(__xludf.DUMMYFUNCTION("""COMPUTED_VALUE"""),1.8555555555555556)</f>
        <v>1.855555556</v>
      </c>
      <c r="J1330" s="87">
        <f>IFERROR(__xludf.DUMMYFUNCTION("""COMPUTED_VALUE"""),73.0)</f>
        <v>73</v>
      </c>
      <c r="K1330" s="88">
        <f>IFERROR(__xludf.DUMMYFUNCTION("""COMPUTED_VALUE"""),6.6)</f>
        <v>6.6</v>
      </c>
      <c r="L1330" s="89">
        <f>IFERROR(__xludf.DUMMYFUNCTION("""COMPUTED_VALUE"""),17.0)</f>
        <v>17</v>
      </c>
      <c r="M1330" s="26" t="str">
        <f>IFERROR(__xludf.DUMMYFUNCTION("""COMPUTED_VALUE"""),"RPG")</f>
        <v>RPG</v>
      </c>
      <c r="N1330" s="26"/>
      <c r="O1330" s="26" t="str">
        <f>IFERROR(__xludf.DUMMYFUNCTION("""COMPUTED_VALUE"""),"No")</f>
        <v>No</v>
      </c>
      <c r="P1330" s="26"/>
    </row>
    <row r="1331">
      <c r="A1331" s="81" t="str">
        <f>IFERROR(__xludf.DUMMYFUNCTION("""COMPUTED_VALUE"""),"Journey")</f>
        <v>Journey</v>
      </c>
      <c r="B1331" s="82" t="str">
        <f>IFERROR(__xludf.DUMMYFUNCTION("""COMPUTED_VALUE"""),"PS4/PS3")</f>
        <v>PS4/PS3</v>
      </c>
      <c r="C1331" s="83" t="str">
        <f>IFERROR(__xludf.DUMMYFUNCTION("""COMPUTED_VALUE"""),"Playstation Plus (Discontinued)")</f>
        <v>Playstation Plus (Discontinued)</v>
      </c>
      <c r="D1331" s="82" t="str">
        <f>IFERROR(__xludf.DUMMYFUNCTION("""COMPUTED_VALUE"""),"Removed")</f>
        <v>Removed</v>
      </c>
      <c r="E1331" s="84">
        <f>IFERROR(__xludf.DUMMYFUNCTION("""COMPUTED_VALUE"""),42619.0)</f>
        <v>42619</v>
      </c>
      <c r="F1331" s="85">
        <f>IFERROR(__xludf.DUMMYFUNCTION("""COMPUTED_VALUE"""),42646.0)</f>
        <v>42646</v>
      </c>
      <c r="G1331" s="86">
        <f>IFERROR(__xludf.DUMMYFUNCTION("""COMPUTED_VALUE"""),0.8999999999999999)</f>
        <v>0.9</v>
      </c>
      <c r="H1331" s="84">
        <f>IFERROR(__xludf.DUMMYFUNCTION("""COMPUTED_VALUE"""),40981.0)</f>
        <v>40981</v>
      </c>
      <c r="I1331" s="86">
        <f>IFERROR(__xludf.DUMMYFUNCTION("""COMPUTED_VALUE"""),4.480555555555555)</f>
        <v>4.480555556</v>
      </c>
      <c r="J1331" s="87">
        <f>IFERROR(__xludf.DUMMYFUNCTION("""COMPUTED_VALUE"""),92.0)</f>
        <v>92</v>
      </c>
      <c r="K1331" s="88">
        <f>IFERROR(__xludf.DUMMYFUNCTION("""COMPUTED_VALUE"""),8.5)</f>
        <v>8.5</v>
      </c>
      <c r="L1331" s="89">
        <f>IFERROR(__xludf.DUMMYFUNCTION("""COMPUTED_VALUE"""),2.0)</f>
        <v>2</v>
      </c>
      <c r="M1331" s="26" t="str">
        <f>IFERROR(__xludf.DUMMYFUNCTION("""COMPUTED_VALUE"""),"Adventure")</f>
        <v>Adventure</v>
      </c>
      <c r="N1331" s="26"/>
      <c r="O1331" s="26" t="str">
        <f>IFERROR(__xludf.DUMMYFUNCTION("""COMPUTED_VALUE"""),"No")</f>
        <v>No</v>
      </c>
      <c r="P1331" s="26"/>
    </row>
    <row r="1332">
      <c r="A1332" s="81" t="str">
        <f>IFERROR(__xludf.DUMMYFUNCTION("""COMPUTED_VALUE"""),"Badland")</f>
        <v>Badland</v>
      </c>
      <c r="B1332" s="82" t="str">
        <f>IFERROR(__xludf.DUMMYFUNCTION("""COMPUTED_VALUE"""),"PS4/PS3/Vita")</f>
        <v>PS4/PS3/Vita</v>
      </c>
      <c r="C1332" s="83" t="str">
        <f>IFERROR(__xludf.DUMMYFUNCTION("""COMPUTED_VALUE"""),"Playstation Plus (Discontinued)")</f>
        <v>Playstation Plus (Discontinued)</v>
      </c>
      <c r="D1332" s="82" t="str">
        <f>IFERROR(__xludf.DUMMYFUNCTION("""COMPUTED_VALUE"""),"Removed")</f>
        <v>Removed</v>
      </c>
      <c r="E1332" s="84">
        <f>IFERROR(__xludf.DUMMYFUNCTION("""COMPUTED_VALUE"""),42619.0)</f>
        <v>42619</v>
      </c>
      <c r="F1332" s="85">
        <f>IFERROR(__xludf.DUMMYFUNCTION("""COMPUTED_VALUE"""),42646.0)</f>
        <v>42646</v>
      </c>
      <c r="G1332" s="86">
        <f>IFERROR(__xludf.DUMMYFUNCTION("""COMPUTED_VALUE"""),0.8999999999999999)</f>
        <v>0.9</v>
      </c>
      <c r="H1332" s="84">
        <f>IFERROR(__xludf.DUMMYFUNCTION("""COMPUTED_VALUE"""),42130.0)</f>
        <v>42130</v>
      </c>
      <c r="I1332" s="86">
        <f>IFERROR(__xludf.DUMMYFUNCTION("""COMPUTED_VALUE"""),1.3333333333333333)</f>
        <v>1.333333333</v>
      </c>
      <c r="J1332" s="87">
        <f>IFERROR(__xludf.DUMMYFUNCTION("""COMPUTED_VALUE"""),79.0)</f>
        <v>79</v>
      </c>
      <c r="K1332" s="88">
        <f>IFERROR(__xludf.DUMMYFUNCTION("""COMPUTED_VALUE"""),7.1)</f>
        <v>7.1</v>
      </c>
      <c r="L1332" s="89">
        <f>IFERROR(__xludf.DUMMYFUNCTION("""COMPUTED_VALUE"""),3.0)</f>
        <v>3</v>
      </c>
      <c r="M1332" s="26" t="str">
        <f>IFERROR(__xludf.DUMMYFUNCTION("""COMPUTED_VALUE"""),"Platformer")</f>
        <v>Platformer</v>
      </c>
      <c r="N1332" s="26"/>
      <c r="O1332" s="26" t="str">
        <f>IFERROR(__xludf.DUMMYFUNCTION("""COMPUTED_VALUE"""),"No")</f>
        <v>No</v>
      </c>
      <c r="P1332" s="26"/>
    </row>
    <row r="1333">
      <c r="A1333" s="81" t="str">
        <f>IFERROR(__xludf.DUMMYFUNCTION("""COMPUTED_VALUE"""),"Prince of Persia: The Forgotten Sands")</f>
        <v>Prince of Persia: The Forgotten Sands</v>
      </c>
      <c r="B1333" s="82" t="str">
        <f>IFERROR(__xludf.DUMMYFUNCTION("""COMPUTED_VALUE"""),"PS3")</f>
        <v>PS3</v>
      </c>
      <c r="C1333" s="83" t="str">
        <f>IFERROR(__xludf.DUMMYFUNCTION("""COMPUTED_VALUE"""),"Playstation Plus (Discontinued)")</f>
        <v>Playstation Plus (Discontinued)</v>
      </c>
      <c r="D1333" s="82" t="str">
        <f>IFERROR(__xludf.DUMMYFUNCTION("""COMPUTED_VALUE"""),"Removed")</f>
        <v>Removed</v>
      </c>
      <c r="E1333" s="84">
        <f>IFERROR(__xludf.DUMMYFUNCTION("""COMPUTED_VALUE"""),42619.0)</f>
        <v>42619</v>
      </c>
      <c r="F1333" s="85">
        <f>IFERROR(__xludf.DUMMYFUNCTION("""COMPUTED_VALUE"""),42646.0)</f>
        <v>42646</v>
      </c>
      <c r="G1333" s="86">
        <f>IFERROR(__xludf.DUMMYFUNCTION("""COMPUTED_VALUE"""),0.8999999999999999)</f>
        <v>0.9</v>
      </c>
      <c r="H1333" s="84">
        <f>IFERROR(__xludf.DUMMYFUNCTION("""COMPUTED_VALUE"""),40316.0)</f>
        <v>40316</v>
      </c>
      <c r="I1333" s="86">
        <f>IFERROR(__xludf.DUMMYFUNCTION("""COMPUTED_VALUE"""),6.3)</f>
        <v>6.3</v>
      </c>
      <c r="J1333" s="87">
        <f>IFERROR(__xludf.DUMMYFUNCTION("""COMPUTED_VALUE"""),75.0)</f>
        <v>75</v>
      </c>
      <c r="K1333" s="88">
        <f>IFERROR(__xludf.DUMMYFUNCTION("""COMPUTED_VALUE"""),7.2)</f>
        <v>7.2</v>
      </c>
      <c r="L1333" s="89">
        <f>IFERROR(__xludf.DUMMYFUNCTION("""COMPUTED_VALUE"""),7.0)</f>
        <v>7</v>
      </c>
      <c r="M1333" s="26" t="str">
        <f>IFERROR(__xludf.DUMMYFUNCTION("""COMPUTED_VALUE"""),"Action-Adventure")</f>
        <v>Action-Adventure</v>
      </c>
      <c r="N1333" s="26"/>
      <c r="O1333" s="26" t="str">
        <f>IFERROR(__xludf.DUMMYFUNCTION("""COMPUTED_VALUE"""),"No")</f>
        <v>No</v>
      </c>
      <c r="P1333" s="26"/>
    </row>
    <row r="1334">
      <c r="A1334" s="81" t="str">
        <f>IFERROR(__xludf.DUMMYFUNCTION("""COMPUTED_VALUE"""),"Datura")</f>
        <v>Datura</v>
      </c>
      <c r="B1334" s="82" t="str">
        <f>IFERROR(__xludf.DUMMYFUNCTION("""COMPUTED_VALUE"""),"PS3")</f>
        <v>PS3</v>
      </c>
      <c r="C1334" s="83" t="str">
        <f>IFERROR(__xludf.DUMMYFUNCTION("""COMPUTED_VALUE"""),"Playstation Plus (Discontinued)")</f>
        <v>Playstation Plus (Discontinued)</v>
      </c>
      <c r="D1334" s="82" t="str">
        <f>IFERROR(__xludf.DUMMYFUNCTION("""COMPUTED_VALUE"""),"Removed")</f>
        <v>Removed</v>
      </c>
      <c r="E1334" s="84">
        <f>IFERROR(__xludf.DUMMYFUNCTION("""COMPUTED_VALUE"""),42619.0)</f>
        <v>42619</v>
      </c>
      <c r="F1334" s="85">
        <f>IFERROR(__xludf.DUMMYFUNCTION("""COMPUTED_VALUE"""),42646.0)</f>
        <v>42646</v>
      </c>
      <c r="G1334" s="86">
        <f>IFERROR(__xludf.DUMMYFUNCTION("""COMPUTED_VALUE"""),0.8999999999999999)</f>
        <v>0.9</v>
      </c>
      <c r="H1334" s="84">
        <f>IFERROR(__xludf.DUMMYFUNCTION("""COMPUTED_VALUE"""),41044.0)</f>
        <v>41044</v>
      </c>
      <c r="I1334" s="86">
        <f>IFERROR(__xludf.DUMMYFUNCTION("""COMPUTED_VALUE"""),4.308333333333334)</f>
        <v>4.308333333</v>
      </c>
      <c r="J1334" s="87">
        <f>IFERROR(__xludf.DUMMYFUNCTION("""COMPUTED_VALUE"""),59.0)</f>
        <v>59</v>
      </c>
      <c r="K1334" s="88">
        <f>IFERROR(__xludf.DUMMYFUNCTION("""COMPUTED_VALUE"""),5.6)</f>
        <v>5.6</v>
      </c>
      <c r="L1334" s="89">
        <f>IFERROR(__xludf.DUMMYFUNCTION("""COMPUTED_VALUE"""),2.0)</f>
        <v>2</v>
      </c>
      <c r="M1334" s="26" t="str">
        <f>IFERROR(__xludf.DUMMYFUNCTION("""COMPUTED_VALUE"""),"Adventure")</f>
        <v>Adventure</v>
      </c>
      <c r="N1334" s="26"/>
      <c r="O1334" s="26" t="str">
        <f>IFERROR(__xludf.DUMMYFUNCTION("""COMPUTED_VALUE"""),"No")</f>
        <v>No</v>
      </c>
      <c r="P1334" s="26"/>
    </row>
    <row r="1335">
      <c r="A1335" s="81" t="str">
        <f>IFERROR(__xludf.DUMMYFUNCTION("""COMPUTED_VALUE"""),"Amnesia: Memories")</f>
        <v>Amnesia: Memories</v>
      </c>
      <c r="B1335" s="82" t="str">
        <f>IFERROR(__xludf.DUMMYFUNCTION("""COMPUTED_VALUE"""),"Vita")</f>
        <v>Vita</v>
      </c>
      <c r="C1335" s="83" t="str">
        <f>IFERROR(__xludf.DUMMYFUNCTION("""COMPUTED_VALUE"""),"Playstation Plus (Discontinued)")</f>
        <v>Playstation Plus (Discontinued)</v>
      </c>
      <c r="D1335" s="82" t="str">
        <f>IFERROR(__xludf.DUMMYFUNCTION("""COMPUTED_VALUE"""),"Removed")</f>
        <v>Removed</v>
      </c>
      <c r="E1335" s="84">
        <f>IFERROR(__xludf.DUMMYFUNCTION("""COMPUTED_VALUE"""),42619.0)</f>
        <v>42619</v>
      </c>
      <c r="F1335" s="85">
        <f>IFERROR(__xludf.DUMMYFUNCTION("""COMPUTED_VALUE"""),42646.0)</f>
        <v>42646</v>
      </c>
      <c r="G1335" s="86">
        <f>IFERROR(__xludf.DUMMYFUNCTION("""COMPUTED_VALUE"""),0.8999999999999999)</f>
        <v>0.9</v>
      </c>
      <c r="H1335" s="84">
        <f>IFERROR(__xludf.DUMMYFUNCTION("""COMPUTED_VALUE"""),42241.0)</f>
        <v>42241</v>
      </c>
      <c r="I1335" s="86">
        <f>IFERROR(__xludf.DUMMYFUNCTION("""COMPUTED_VALUE"""),1.0305555555555554)</f>
        <v>1.030555556</v>
      </c>
      <c r="J1335" s="87">
        <f>IFERROR(__xludf.DUMMYFUNCTION("""COMPUTED_VALUE"""),66.0)</f>
        <v>66</v>
      </c>
      <c r="K1335" s="88">
        <f>IFERROR(__xludf.DUMMYFUNCTION("""COMPUTED_VALUE"""),7.3)</f>
        <v>7.3</v>
      </c>
      <c r="L1335" s="89">
        <f>IFERROR(__xludf.DUMMYFUNCTION("""COMPUTED_VALUE"""),18.0)</f>
        <v>18</v>
      </c>
      <c r="M1335" s="26" t="str">
        <f>IFERROR(__xludf.DUMMYFUNCTION("""COMPUTED_VALUE"""),"Visual Novel")</f>
        <v>Visual Novel</v>
      </c>
      <c r="N1335" s="26"/>
      <c r="O1335" s="26" t="str">
        <f>IFERROR(__xludf.DUMMYFUNCTION("""COMPUTED_VALUE"""),"No")</f>
        <v>No</v>
      </c>
      <c r="P1335" s="26"/>
    </row>
    <row r="1336">
      <c r="A1336" s="81" t="str">
        <f>IFERROR(__xludf.DUMMYFUNCTION("""COMPUTED_VALUE"""),"Tricky Towers")</f>
        <v>Tricky Towers</v>
      </c>
      <c r="B1336" s="82" t="str">
        <f>IFERROR(__xludf.DUMMYFUNCTION("""COMPUTED_VALUE"""),"PS4")</f>
        <v>PS4</v>
      </c>
      <c r="C1336" s="83" t="str">
        <f>IFERROR(__xludf.DUMMYFUNCTION("""COMPUTED_VALUE"""),"Playstation Plus (Discontinued)")</f>
        <v>Playstation Plus (Discontinued)</v>
      </c>
      <c r="D1336" s="82" t="str">
        <f>IFERROR(__xludf.DUMMYFUNCTION("""COMPUTED_VALUE"""),"Removed")</f>
        <v>Removed</v>
      </c>
      <c r="E1336" s="84">
        <f>IFERROR(__xludf.DUMMYFUNCTION("""COMPUTED_VALUE"""),42584.0)</f>
        <v>42584</v>
      </c>
      <c r="F1336" s="85">
        <f>IFERROR(__xludf.DUMMYFUNCTION("""COMPUTED_VALUE"""),42618.0)</f>
        <v>42618</v>
      </c>
      <c r="G1336" s="86">
        <f>IFERROR(__xludf.DUMMYFUNCTION("""COMPUTED_VALUE"""),1.0999999999999999)</f>
        <v>1.1</v>
      </c>
      <c r="H1336" s="84">
        <f>IFERROR(__xludf.DUMMYFUNCTION("""COMPUTED_VALUE"""),42584.0)</f>
        <v>42584</v>
      </c>
      <c r="I1336" s="86">
        <f>IFERROR(__xludf.DUMMYFUNCTION("""COMPUTED_VALUE"""),0.0)</f>
        <v>0</v>
      </c>
      <c r="J1336" s="87">
        <f>IFERROR(__xludf.DUMMYFUNCTION("""COMPUTED_VALUE"""),80.0)</f>
        <v>80</v>
      </c>
      <c r="K1336" s="88">
        <f>IFERROR(__xludf.DUMMYFUNCTION("""COMPUTED_VALUE"""),7.2)</f>
        <v>7.2</v>
      </c>
      <c r="L1336" s="89">
        <f>IFERROR(__xludf.DUMMYFUNCTION("""COMPUTED_VALUE"""),10.0)</f>
        <v>10</v>
      </c>
      <c r="M1336" s="26" t="str">
        <f>IFERROR(__xludf.DUMMYFUNCTION("""COMPUTED_VALUE"""),"Puzzle")</f>
        <v>Puzzle</v>
      </c>
      <c r="N1336" s="26"/>
      <c r="O1336" s="26" t="str">
        <f>IFERROR(__xludf.DUMMYFUNCTION("""COMPUTED_VALUE"""),"No")</f>
        <v>No</v>
      </c>
      <c r="P1336" s="26"/>
    </row>
    <row r="1337">
      <c r="A1337" s="81" t="str">
        <f>IFERROR(__xludf.DUMMYFUNCTION("""COMPUTED_VALUE"""),"Rebel Galaxy")</f>
        <v>Rebel Galaxy</v>
      </c>
      <c r="B1337" s="82" t="str">
        <f>IFERROR(__xludf.DUMMYFUNCTION("""COMPUTED_VALUE"""),"PS4")</f>
        <v>PS4</v>
      </c>
      <c r="C1337" s="83" t="str">
        <f>IFERROR(__xludf.DUMMYFUNCTION("""COMPUTED_VALUE"""),"Playstation Plus (Discontinued)")</f>
        <v>Playstation Plus (Discontinued)</v>
      </c>
      <c r="D1337" s="82" t="str">
        <f>IFERROR(__xludf.DUMMYFUNCTION("""COMPUTED_VALUE"""),"Removed")</f>
        <v>Removed</v>
      </c>
      <c r="E1337" s="84">
        <f>IFERROR(__xludf.DUMMYFUNCTION("""COMPUTED_VALUE"""),42584.0)</f>
        <v>42584</v>
      </c>
      <c r="F1337" s="85">
        <f>IFERROR(__xludf.DUMMYFUNCTION("""COMPUTED_VALUE"""),42618.0)</f>
        <v>42618</v>
      </c>
      <c r="G1337" s="86">
        <f>IFERROR(__xludf.DUMMYFUNCTION("""COMPUTED_VALUE"""),1.0999999999999999)</f>
        <v>1.1</v>
      </c>
      <c r="H1337" s="84">
        <f>IFERROR(__xludf.DUMMYFUNCTION("""COMPUTED_VALUE"""),42290.0)</f>
        <v>42290</v>
      </c>
      <c r="I1337" s="86">
        <f>IFERROR(__xludf.DUMMYFUNCTION("""COMPUTED_VALUE"""),0.8027777777777778)</f>
        <v>0.8027777778</v>
      </c>
      <c r="J1337" s="87">
        <f>IFERROR(__xludf.DUMMYFUNCTION("""COMPUTED_VALUE"""),76.0)</f>
        <v>76</v>
      </c>
      <c r="K1337" s="88">
        <f>IFERROR(__xludf.DUMMYFUNCTION("""COMPUTED_VALUE"""),7.4)</f>
        <v>7.4</v>
      </c>
      <c r="L1337" s="89">
        <f>IFERROR(__xludf.DUMMYFUNCTION("""COMPUTED_VALUE"""),20.0)</f>
        <v>20</v>
      </c>
      <c r="M1337" s="26" t="str">
        <f>IFERROR(__xludf.DUMMYFUNCTION("""COMPUTED_VALUE"""),"RPG")</f>
        <v>RPG</v>
      </c>
      <c r="N1337" s="26"/>
      <c r="O1337" s="26" t="str">
        <f>IFERROR(__xludf.DUMMYFUNCTION("""COMPUTED_VALUE"""),"No")</f>
        <v>No</v>
      </c>
      <c r="P1337" s="26"/>
    </row>
    <row r="1338">
      <c r="A1338" s="81" t="str">
        <f>IFERROR(__xludf.DUMMYFUNCTION("""COMPUTED_VALUE"""),"Yakuza 5")</f>
        <v>Yakuza 5</v>
      </c>
      <c r="B1338" s="82" t="str">
        <f>IFERROR(__xludf.DUMMYFUNCTION("""COMPUTED_VALUE"""),"PS3")</f>
        <v>PS3</v>
      </c>
      <c r="C1338" s="83" t="str">
        <f>IFERROR(__xludf.DUMMYFUNCTION("""COMPUTED_VALUE"""),"Playstation Plus (Discontinued)")</f>
        <v>Playstation Plus (Discontinued)</v>
      </c>
      <c r="D1338" s="82" t="str">
        <f>IFERROR(__xludf.DUMMYFUNCTION("""COMPUTED_VALUE"""),"Removed")</f>
        <v>Removed</v>
      </c>
      <c r="E1338" s="84">
        <f>IFERROR(__xludf.DUMMYFUNCTION("""COMPUTED_VALUE"""),42584.0)</f>
        <v>42584</v>
      </c>
      <c r="F1338" s="85">
        <f>IFERROR(__xludf.DUMMYFUNCTION("""COMPUTED_VALUE"""),42618.0)</f>
        <v>42618</v>
      </c>
      <c r="G1338" s="86">
        <f>IFERROR(__xludf.DUMMYFUNCTION("""COMPUTED_VALUE"""),1.0999999999999999)</f>
        <v>1.1</v>
      </c>
      <c r="H1338" s="84">
        <f>IFERROR(__xludf.DUMMYFUNCTION("""COMPUTED_VALUE"""),41249.0)</f>
        <v>41249</v>
      </c>
      <c r="I1338" s="86">
        <f>IFERROR(__xludf.DUMMYFUNCTION("""COMPUTED_VALUE"""),3.6555555555555554)</f>
        <v>3.655555556</v>
      </c>
      <c r="J1338" s="87">
        <f>IFERROR(__xludf.DUMMYFUNCTION("""COMPUTED_VALUE"""),83.0)</f>
        <v>83</v>
      </c>
      <c r="K1338" s="88">
        <f>IFERROR(__xludf.DUMMYFUNCTION("""COMPUTED_VALUE"""),8.5)</f>
        <v>8.5</v>
      </c>
      <c r="L1338" s="89">
        <f>IFERROR(__xludf.DUMMYFUNCTION("""COMPUTED_VALUE"""),37.0)</f>
        <v>37</v>
      </c>
      <c r="M1338" s="26" t="str">
        <f>IFERROR(__xludf.DUMMYFUNCTION("""COMPUTED_VALUE"""),"Action-Adventure")</f>
        <v>Action-Adventure</v>
      </c>
      <c r="N1338" s="26"/>
      <c r="O1338" s="26" t="str">
        <f>IFERROR(__xludf.DUMMYFUNCTION("""COMPUTED_VALUE"""),"No")</f>
        <v>No</v>
      </c>
      <c r="P1338" s="26"/>
    </row>
    <row r="1339">
      <c r="A1339" s="81" t="str">
        <f>IFERROR(__xludf.DUMMYFUNCTION("""COMPUTED_VALUE"""),"Retro/Grade")</f>
        <v>Retro/Grade</v>
      </c>
      <c r="B1339" s="82" t="str">
        <f>IFERROR(__xludf.DUMMYFUNCTION("""COMPUTED_VALUE"""),"PS3")</f>
        <v>PS3</v>
      </c>
      <c r="C1339" s="83" t="str">
        <f>IFERROR(__xludf.DUMMYFUNCTION("""COMPUTED_VALUE"""),"Playstation Plus (Discontinued)")</f>
        <v>Playstation Plus (Discontinued)</v>
      </c>
      <c r="D1339" s="82" t="str">
        <f>IFERROR(__xludf.DUMMYFUNCTION("""COMPUTED_VALUE"""),"Removed")</f>
        <v>Removed</v>
      </c>
      <c r="E1339" s="84">
        <f>IFERROR(__xludf.DUMMYFUNCTION("""COMPUTED_VALUE"""),42584.0)</f>
        <v>42584</v>
      </c>
      <c r="F1339" s="85">
        <f>IFERROR(__xludf.DUMMYFUNCTION("""COMPUTED_VALUE"""),42618.0)</f>
        <v>42618</v>
      </c>
      <c r="G1339" s="86">
        <f>IFERROR(__xludf.DUMMYFUNCTION("""COMPUTED_VALUE"""),1.0999999999999999)</f>
        <v>1.1</v>
      </c>
      <c r="H1339" s="84">
        <f>IFERROR(__xludf.DUMMYFUNCTION("""COMPUTED_VALUE"""),41142.0)</f>
        <v>41142</v>
      </c>
      <c r="I1339" s="86">
        <f>IFERROR(__xludf.DUMMYFUNCTION("""COMPUTED_VALUE"""),3.9472222222222224)</f>
        <v>3.947222222</v>
      </c>
      <c r="J1339" s="87">
        <f>IFERROR(__xludf.DUMMYFUNCTION("""COMPUTED_VALUE"""),70.0)</f>
        <v>70</v>
      </c>
      <c r="K1339" s="88">
        <f>IFERROR(__xludf.DUMMYFUNCTION("""COMPUTED_VALUE"""),6.8)</f>
        <v>6.8</v>
      </c>
      <c r="L1339" s="89">
        <f>IFERROR(__xludf.DUMMYFUNCTION("""COMPUTED_VALUE"""),4.0)</f>
        <v>4</v>
      </c>
      <c r="M1339" s="26" t="str">
        <f>IFERROR(__xludf.DUMMYFUNCTION("""COMPUTED_VALUE"""),"Shooter")</f>
        <v>Shooter</v>
      </c>
      <c r="N1339" s="26"/>
      <c r="O1339" s="26" t="str">
        <f>IFERROR(__xludf.DUMMYFUNCTION("""COMPUTED_VALUE"""),"No")</f>
        <v>No</v>
      </c>
      <c r="P1339" s="26"/>
    </row>
    <row r="1340">
      <c r="A1340" s="81" t="str">
        <f>IFERROR(__xludf.DUMMYFUNCTION("""COMPUTED_VALUE"""),"Patapon 3")</f>
        <v>Patapon 3</v>
      </c>
      <c r="B1340" s="82" t="str">
        <f>IFERROR(__xludf.DUMMYFUNCTION("""COMPUTED_VALUE"""),"Vita/PSP")</f>
        <v>Vita/PSP</v>
      </c>
      <c r="C1340" s="83" t="str">
        <f>IFERROR(__xludf.DUMMYFUNCTION("""COMPUTED_VALUE"""),"Playstation Plus (Discontinued)")</f>
        <v>Playstation Plus (Discontinued)</v>
      </c>
      <c r="D1340" s="82" t="str">
        <f>IFERROR(__xludf.DUMMYFUNCTION("""COMPUTED_VALUE"""),"Removed")</f>
        <v>Removed</v>
      </c>
      <c r="E1340" s="84">
        <f>IFERROR(__xludf.DUMMYFUNCTION("""COMPUTED_VALUE"""),42584.0)</f>
        <v>42584</v>
      </c>
      <c r="F1340" s="85">
        <f>IFERROR(__xludf.DUMMYFUNCTION("""COMPUTED_VALUE"""),42618.0)</f>
        <v>42618</v>
      </c>
      <c r="G1340" s="86">
        <f>IFERROR(__xludf.DUMMYFUNCTION("""COMPUTED_VALUE"""),1.0999999999999999)</f>
        <v>1.1</v>
      </c>
      <c r="H1340" s="84">
        <f>IFERROR(__xludf.DUMMYFUNCTION("""COMPUTED_VALUE"""),40645.0)</f>
        <v>40645</v>
      </c>
      <c r="I1340" s="86">
        <f>IFERROR(__xludf.DUMMYFUNCTION("""COMPUTED_VALUE"""),5.305555555555555)</f>
        <v>5.305555556</v>
      </c>
      <c r="J1340" s="87">
        <f>IFERROR(__xludf.DUMMYFUNCTION("""COMPUTED_VALUE"""),86.0)</f>
        <v>86</v>
      </c>
      <c r="K1340" s="88">
        <f>IFERROR(__xludf.DUMMYFUNCTION("""COMPUTED_VALUE"""),8.1)</f>
        <v>8.1</v>
      </c>
      <c r="L1340" s="89">
        <f>IFERROR(__xludf.DUMMYFUNCTION("""COMPUTED_VALUE"""),18.0)</f>
        <v>18</v>
      </c>
      <c r="M1340" s="26" t="str">
        <f>IFERROR(__xludf.DUMMYFUNCTION("""COMPUTED_VALUE"""),"Strategy")</f>
        <v>Strategy</v>
      </c>
      <c r="N1340" s="26"/>
      <c r="O1340" s="26" t="str">
        <f>IFERROR(__xludf.DUMMYFUNCTION("""COMPUTED_VALUE"""),"No")</f>
        <v>No</v>
      </c>
      <c r="P1340" s="26"/>
    </row>
    <row r="1341">
      <c r="A1341" s="81" t="str">
        <f>IFERROR(__xludf.DUMMYFUNCTION("""COMPUTED_VALUE"""),"Ultratron")</f>
        <v>Ultratron</v>
      </c>
      <c r="B1341" s="82" t="str">
        <f>IFERROR(__xludf.DUMMYFUNCTION("""COMPUTED_VALUE"""),"PS4/PS3/Vita")</f>
        <v>PS4/PS3/Vita</v>
      </c>
      <c r="C1341" s="83" t="str">
        <f>IFERROR(__xludf.DUMMYFUNCTION("""COMPUTED_VALUE"""),"Playstation Plus (Discontinued)")</f>
        <v>Playstation Plus (Discontinued)</v>
      </c>
      <c r="D1341" s="82" t="str">
        <f>IFERROR(__xludf.DUMMYFUNCTION("""COMPUTED_VALUE"""),"Removed")</f>
        <v>Removed</v>
      </c>
      <c r="E1341" s="84">
        <f>IFERROR(__xludf.DUMMYFUNCTION("""COMPUTED_VALUE"""),42584.0)</f>
        <v>42584</v>
      </c>
      <c r="F1341" s="85">
        <f>IFERROR(__xludf.DUMMYFUNCTION("""COMPUTED_VALUE"""),42618.0)</f>
        <v>42618</v>
      </c>
      <c r="G1341" s="86">
        <f>IFERROR(__xludf.DUMMYFUNCTION("""COMPUTED_VALUE"""),1.0999999999999999)</f>
        <v>1.1</v>
      </c>
      <c r="H1341" s="84">
        <f>IFERROR(__xludf.DUMMYFUNCTION("""COMPUTED_VALUE"""),42136.0)</f>
        <v>42136</v>
      </c>
      <c r="I1341" s="86">
        <f>IFERROR(__xludf.DUMMYFUNCTION("""COMPUTED_VALUE"""),1.2222222222222223)</f>
        <v>1.222222222</v>
      </c>
      <c r="J1341" s="87">
        <f>IFERROR(__xludf.DUMMYFUNCTION("""COMPUTED_VALUE"""),72.0)</f>
        <v>72</v>
      </c>
      <c r="K1341" s="88">
        <f>IFERROR(__xludf.DUMMYFUNCTION("""COMPUTED_VALUE"""),7.1)</f>
        <v>7.1</v>
      </c>
      <c r="L1341" s="89">
        <f>IFERROR(__xludf.DUMMYFUNCTION("""COMPUTED_VALUE"""),5.0)</f>
        <v>5</v>
      </c>
      <c r="M1341" s="26" t="str">
        <f>IFERROR(__xludf.DUMMYFUNCTION("""COMPUTED_VALUE"""),"Shooter")</f>
        <v>Shooter</v>
      </c>
      <c r="N1341" s="26"/>
      <c r="O1341" s="26" t="str">
        <f>IFERROR(__xludf.DUMMYFUNCTION("""COMPUTED_VALUE"""),"No")</f>
        <v>No</v>
      </c>
      <c r="P1341" s="26"/>
    </row>
    <row r="1342">
      <c r="A1342" s="81" t="str">
        <f>IFERROR(__xludf.DUMMYFUNCTION("""COMPUTED_VALUE"""),"Furi")</f>
        <v>Furi</v>
      </c>
      <c r="B1342" s="82" t="str">
        <f>IFERROR(__xludf.DUMMYFUNCTION("""COMPUTED_VALUE"""),"PS4")</f>
        <v>PS4</v>
      </c>
      <c r="C1342" s="83" t="str">
        <f>IFERROR(__xludf.DUMMYFUNCTION("""COMPUTED_VALUE"""),"Playstation Plus (Discontinued)")</f>
        <v>Playstation Plus (Discontinued)</v>
      </c>
      <c r="D1342" s="82" t="str">
        <f>IFERROR(__xludf.DUMMYFUNCTION("""COMPUTED_VALUE"""),"Removed")</f>
        <v>Removed</v>
      </c>
      <c r="E1342" s="84">
        <f>IFERROR(__xludf.DUMMYFUNCTION("""COMPUTED_VALUE"""),42556.0)</f>
        <v>42556</v>
      </c>
      <c r="F1342" s="85">
        <f>IFERROR(__xludf.DUMMYFUNCTION("""COMPUTED_VALUE"""),42583.0)</f>
        <v>42583</v>
      </c>
      <c r="G1342" s="86">
        <f>IFERROR(__xludf.DUMMYFUNCTION("""COMPUTED_VALUE"""),0.8666666666666666)</f>
        <v>0.8666666667</v>
      </c>
      <c r="H1342" s="84">
        <f>IFERROR(__xludf.DUMMYFUNCTION("""COMPUTED_VALUE"""),42555.0)</f>
        <v>42555</v>
      </c>
      <c r="I1342" s="86">
        <f>IFERROR(__xludf.DUMMYFUNCTION("""COMPUTED_VALUE"""),0.002777777777777778)</f>
        <v>0.002777777778</v>
      </c>
      <c r="J1342" s="87">
        <f>IFERROR(__xludf.DUMMYFUNCTION("""COMPUTED_VALUE"""),74.0)</f>
        <v>74</v>
      </c>
      <c r="K1342" s="88">
        <f>IFERROR(__xludf.DUMMYFUNCTION("""COMPUTED_VALUE"""),7.8)</f>
        <v>7.8</v>
      </c>
      <c r="L1342" s="89">
        <f>IFERROR(__xludf.DUMMYFUNCTION("""COMPUTED_VALUE"""),6.0)</f>
        <v>6</v>
      </c>
      <c r="M1342" s="26" t="str">
        <f>IFERROR(__xludf.DUMMYFUNCTION("""COMPUTED_VALUE"""),"Action-Adventure")</f>
        <v>Action-Adventure</v>
      </c>
      <c r="N1342" s="26"/>
      <c r="O1342" s="26" t="str">
        <f>IFERROR(__xludf.DUMMYFUNCTION("""COMPUTED_VALUE"""),"No")</f>
        <v>No</v>
      </c>
      <c r="P1342" s="26"/>
    </row>
    <row r="1343">
      <c r="A1343" s="81" t="str">
        <f>IFERROR(__xludf.DUMMYFUNCTION("""COMPUTED_VALUE"""),"Saint's Row: Gat Out of Hell")</f>
        <v>Saint's Row: Gat Out of Hell</v>
      </c>
      <c r="B1343" s="82" t="str">
        <f>IFERROR(__xludf.DUMMYFUNCTION("""COMPUTED_VALUE"""),"PS4")</f>
        <v>PS4</v>
      </c>
      <c r="C1343" s="83" t="str">
        <f>IFERROR(__xludf.DUMMYFUNCTION("""COMPUTED_VALUE"""),"Playstation Plus (Discontinued)")</f>
        <v>Playstation Plus (Discontinued)</v>
      </c>
      <c r="D1343" s="82" t="str">
        <f>IFERROR(__xludf.DUMMYFUNCTION("""COMPUTED_VALUE"""),"Removed")</f>
        <v>Removed</v>
      </c>
      <c r="E1343" s="84">
        <f>IFERROR(__xludf.DUMMYFUNCTION("""COMPUTED_VALUE"""),42556.0)</f>
        <v>42556</v>
      </c>
      <c r="F1343" s="85">
        <f>IFERROR(__xludf.DUMMYFUNCTION("""COMPUTED_VALUE"""),42583.0)</f>
        <v>42583</v>
      </c>
      <c r="G1343" s="86">
        <f>IFERROR(__xludf.DUMMYFUNCTION("""COMPUTED_VALUE"""),0.8666666666666666)</f>
        <v>0.8666666667</v>
      </c>
      <c r="H1343" s="84">
        <f>IFERROR(__xludf.DUMMYFUNCTION("""COMPUTED_VALUE"""),42024.0)</f>
        <v>42024</v>
      </c>
      <c r="I1343" s="86">
        <f>IFERROR(__xludf.DUMMYFUNCTION("""COMPUTED_VALUE"""),1.4583333333333333)</f>
        <v>1.458333333</v>
      </c>
      <c r="J1343" s="87">
        <f>IFERROR(__xludf.DUMMYFUNCTION("""COMPUTED_VALUE"""),65.0)</f>
        <v>65</v>
      </c>
      <c r="K1343" s="88">
        <f>IFERROR(__xludf.DUMMYFUNCTION("""COMPUTED_VALUE"""),7.1)</f>
        <v>7.1</v>
      </c>
      <c r="L1343" s="89">
        <f>IFERROR(__xludf.DUMMYFUNCTION("""COMPUTED_VALUE"""),6.0)</f>
        <v>6</v>
      </c>
      <c r="M1343" s="26" t="str">
        <f>IFERROR(__xludf.DUMMYFUNCTION("""COMPUTED_VALUE"""),"Action-Adventure")</f>
        <v>Action-Adventure</v>
      </c>
      <c r="N1343" s="26"/>
      <c r="O1343" s="26" t="str">
        <f>IFERROR(__xludf.DUMMYFUNCTION("""COMPUTED_VALUE"""),"No")</f>
        <v>No</v>
      </c>
      <c r="P1343" s="26"/>
    </row>
    <row r="1344">
      <c r="A1344" s="81" t="str">
        <f>IFERROR(__xludf.DUMMYFUNCTION("""COMPUTED_VALUE"""),"Oreshika: Tainted Bloodlines")</f>
        <v>Oreshika: Tainted Bloodlines</v>
      </c>
      <c r="B1344" s="82" t="str">
        <f>IFERROR(__xludf.DUMMYFUNCTION("""COMPUTED_VALUE"""),"Vita")</f>
        <v>Vita</v>
      </c>
      <c r="C1344" s="83" t="str">
        <f>IFERROR(__xludf.DUMMYFUNCTION("""COMPUTED_VALUE"""),"Playstation Plus (Discontinued)")</f>
        <v>Playstation Plus (Discontinued)</v>
      </c>
      <c r="D1344" s="82" t="str">
        <f>IFERROR(__xludf.DUMMYFUNCTION("""COMPUTED_VALUE"""),"Removed")</f>
        <v>Removed</v>
      </c>
      <c r="E1344" s="84">
        <f>IFERROR(__xludf.DUMMYFUNCTION("""COMPUTED_VALUE"""),42556.0)</f>
        <v>42556</v>
      </c>
      <c r="F1344" s="85">
        <f>IFERROR(__xludf.DUMMYFUNCTION("""COMPUTED_VALUE"""),42583.0)</f>
        <v>42583</v>
      </c>
      <c r="G1344" s="86">
        <f>IFERROR(__xludf.DUMMYFUNCTION("""COMPUTED_VALUE"""),0.8666666666666666)</f>
        <v>0.8666666667</v>
      </c>
      <c r="H1344" s="84">
        <f>IFERROR(__xludf.DUMMYFUNCTION("""COMPUTED_VALUE"""),42066.0)</f>
        <v>42066</v>
      </c>
      <c r="I1344" s="86">
        <f>IFERROR(__xludf.DUMMYFUNCTION("""COMPUTED_VALUE"""),1.3388888888888888)</f>
        <v>1.338888889</v>
      </c>
      <c r="J1344" s="87">
        <f>IFERROR(__xludf.DUMMYFUNCTION("""COMPUTED_VALUE"""),76.0)</f>
        <v>76</v>
      </c>
      <c r="K1344" s="88">
        <f>IFERROR(__xludf.DUMMYFUNCTION("""COMPUTED_VALUE"""),7.8)</f>
        <v>7.8</v>
      </c>
      <c r="L1344" s="89">
        <f>IFERROR(__xludf.DUMMYFUNCTION("""COMPUTED_VALUE"""),40.0)</f>
        <v>40</v>
      </c>
      <c r="M1344" s="26" t="str">
        <f>IFERROR(__xludf.DUMMYFUNCTION("""COMPUTED_VALUE"""),"RPG")</f>
        <v>RPG</v>
      </c>
      <c r="N1344" s="26"/>
      <c r="O1344" s="26" t="str">
        <f>IFERROR(__xludf.DUMMYFUNCTION("""COMPUTED_VALUE"""),"No")</f>
        <v>No</v>
      </c>
      <c r="P1344" s="26"/>
    </row>
    <row r="1345">
      <c r="A1345" s="81" t="str">
        <f>IFERROR(__xludf.DUMMYFUNCTION("""COMPUTED_VALUE"""),"Prince of Persia: Revelation")</f>
        <v>Prince of Persia: Revelation</v>
      </c>
      <c r="B1345" s="82" t="str">
        <f>IFERROR(__xludf.DUMMYFUNCTION("""COMPUTED_VALUE"""),"Vita/PSP")</f>
        <v>Vita/PSP</v>
      </c>
      <c r="C1345" s="83" t="str">
        <f>IFERROR(__xludf.DUMMYFUNCTION("""COMPUTED_VALUE"""),"Playstation Plus (Discontinued)")</f>
        <v>Playstation Plus (Discontinued)</v>
      </c>
      <c r="D1345" s="82" t="str">
        <f>IFERROR(__xludf.DUMMYFUNCTION("""COMPUTED_VALUE"""),"Removed")</f>
        <v>Removed</v>
      </c>
      <c r="E1345" s="84">
        <f>IFERROR(__xludf.DUMMYFUNCTION("""COMPUTED_VALUE"""),42556.0)</f>
        <v>42556</v>
      </c>
      <c r="F1345" s="85">
        <f>IFERROR(__xludf.DUMMYFUNCTION("""COMPUTED_VALUE"""),42583.0)</f>
        <v>42583</v>
      </c>
      <c r="G1345" s="86">
        <f>IFERROR(__xludf.DUMMYFUNCTION("""COMPUTED_VALUE"""),0.8666666666666666)</f>
        <v>0.8666666667</v>
      </c>
      <c r="H1345" s="84">
        <f>IFERROR(__xludf.DUMMYFUNCTION("""COMPUTED_VALUE"""),38691.0)</f>
        <v>38691</v>
      </c>
      <c r="I1345" s="86">
        <f>IFERROR(__xludf.DUMMYFUNCTION("""COMPUTED_VALUE"""),10.583333333333334)</f>
        <v>10.58333333</v>
      </c>
      <c r="J1345" s="87">
        <f>IFERROR(__xludf.DUMMYFUNCTION("""COMPUTED_VALUE"""),82.0)</f>
        <v>82</v>
      </c>
      <c r="K1345" s="88">
        <f>IFERROR(__xludf.DUMMYFUNCTION("""COMPUTED_VALUE"""),8.3)</f>
        <v>8.3</v>
      </c>
      <c r="L1345" s="89">
        <f>IFERROR(__xludf.DUMMYFUNCTION("""COMPUTED_VALUE"""),10.0)</f>
        <v>10</v>
      </c>
      <c r="M1345" s="26" t="str">
        <f>IFERROR(__xludf.DUMMYFUNCTION("""COMPUTED_VALUE"""),"Action-Adventure")</f>
        <v>Action-Adventure</v>
      </c>
      <c r="N1345" s="26"/>
      <c r="O1345" s="26" t="str">
        <f>IFERROR(__xludf.DUMMYFUNCTION("""COMPUTED_VALUE"""),"No")</f>
        <v>No</v>
      </c>
      <c r="P1345" s="26"/>
    </row>
    <row r="1346">
      <c r="A1346" s="81" t="str">
        <f>IFERROR(__xludf.DUMMYFUNCTION("""COMPUTED_VALUE"""),"Fat Princess")</f>
        <v>Fat Princess</v>
      </c>
      <c r="B1346" s="82" t="str">
        <f>IFERROR(__xludf.DUMMYFUNCTION("""COMPUTED_VALUE"""),"PS3")</f>
        <v>PS3</v>
      </c>
      <c r="C1346" s="83" t="str">
        <f>IFERROR(__xludf.DUMMYFUNCTION("""COMPUTED_VALUE"""),"Playstation Plus (Discontinued)")</f>
        <v>Playstation Plus (Discontinued)</v>
      </c>
      <c r="D1346" s="82" t="str">
        <f>IFERROR(__xludf.DUMMYFUNCTION("""COMPUTED_VALUE"""),"Removed")</f>
        <v>Removed</v>
      </c>
      <c r="E1346" s="84">
        <f>IFERROR(__xludf.DUMMYFUNCTION("""COMPUTED_VALUE"""),42556.0)</f>
        <v>42556</v>
      </c>
      <c r="F1346" s="85">
        <f>IFERROR(__xludf.DUMMYFUNCTION("""COMPUTED_VALUE"""),42583.0)</f>
        <v>42583</v>
      </c>
      <c r="G1346" s="86">
        <f>IFERROR(__xludf.DUMMYFUNCTION("""COMPUTED_VALUE"""),0.8666666666666666)</f>
        <v>0.8666666667</v>
      </c>
      <c r="H1346" s="84">
        <f>IFERROR(__xludf.DUMMYFUNCTION("""COMPUTED_VALUE"""),40024.0)</f>
        <v>40024</v>
      </c>
      <c r="I1346" s="86">
        <f>IFERROR(__xludf.DUMMYFUNCTION("""COMPUTED_VALUE"""),6.930555555555555)</f>
        <v>6.930555556</v>
      </c>
      <c r="J1346" s="87">
        <f>IFERROR(__xludf.DUMMYFUNCTION("""COMPUTED_VALUE"""),79.0)</f>
        <v>79</v>
      </c>
      <c r="K1346" s="88">
        <f>IFERROR(__xludf.DUMMYFUNCTION("""COMPUTED_VALUE"""),7.7)</f>
        <v>7.7</v>
      </c>
      <c r="L1346" s="89"/>
      <c r="M1346" s="26" t="str">
        <f>IFERROR(__xludf.DUMMYFUNCTION("""COMPUTED_VALUE"""),"Strategy")</f>
        <v>Strategy</v>
      </c>
      <c r="N1346" s="26"/>
      <c r="O1346" s="26" t="str">
        <f>IFERROR(__xludf.DUMMYFUNCTION("""COMPUTED_VALUE"""),"No")</f>
        <v>No</v>
      </c>
      <c r="P1346" s="26"/>
    </row>
    <row r="1347">
      <c r="A1347" s="81" t="str">
        <f>IFERROR(__xludf.DUMMYFUNCTION("""COMPUTED_VALUE"""),"Call of Juarez: Bound in Blood")</f>
        <v>Call of Juarez: Bound in Blood</v>
      </c>
      <c r="B1347" s="82" t="str">
        <f>IFERROR(__xludf.DUMMYFUNCTION("""COMPUTED_VALUE"""),"PS3")</f>
        <v>PS3</v>
      </c>
      <c r="C1347" s="83" t="str">
        <f>IFERROR(__xludf.DUMMYFUNCTION("""COMPUTED_VALUE"""),"Playstation Plus (Discontinued)")</f>
        <v>Playstation Plus (Discontinued)</v>
      </c>
      <c r="D1347" s="82" t="str">
        <f>IFERROR(__xludf.DUMMYFUNCTION("""COMPUTED_VALUE"""),"Removed")</f>
        <v>Removed</v>
      </c>
      <c r="E1347" s="84">
        <f>IFERROR(__xludf.DUMMYFUNCTION("""COMPUTED_VALUE"""),42556.0)</f>
        <v>42556</v>
      </c>
      <c r="F1347" s="85">
        <f>IFERROR(__xludf.DUMMYFUNCTION("""COMPUTED_VALUE"""),42583.0)</f>
        <v>42583</v>
      </c>
      <c r="G1347" s="86">
        <f>IFERROR(__xludf.DUMMYFUNCTION("""COMPUTED_VALUE"""),0.8666666666666666)</f>
        <v>0.8666666667</v>
      </c>
      <c r="H1347" s="84">
        <f>IFERROR(__xludf.DUMMYFUNCTION("""COMPUTED_VALUE"""),39994.0)</f>
        <v>39994</v>
      </c>
      <c r="I1347" s="86">
        <f>IFERROR(__xludf.DUMMYFUNCTION("""COMPUTED_VALUE"""),7.013888888888889)</f>
        <v>7.013888889</v>
      </c>
      <c r="J1347" s="87">
        <f>IFERROR(__xludf.DUMMYFUNCTION("""COMPUTED_VALUE"""),78.0)</f>
        <v>78</v>
      </c>
      <c r="K1347" s="88">
        <f>IFERROR(__xludf.DUMMYFUNCTION("""COMPUTED_VALUE"""),8.0)</f>
        <v>8</v>
      </c>
      <c r="L1347" s="89">
        <f>IFERROR(__xludf.DUMMYFUNCTION("""COMPUTED_VALUE"""),7.0)</f>
        <v>7</v>
      </c>
      <c r="M1347" s="26" t="str">
        <f>IFERROR(__xludf.DUMMYFUNCTION("""COMPUTED_VALUE"""),"Shooter")</f>
        <v>Shooter</v>
      </c>
      <c r="N1347" s="26"/>
      <c r="O1347" s="26" t="str">
        <f>IFERROR(__xludf.DUMMYFUNCTION("""COMPUTED_VALUE"""),"No")</f>
        <v>No</v>
      </c>
      <c r="P1347" s="26"/>
    </row>
    <row r="1348">
      <c r="A1348" s="81" t="str">
        <f>IFERROR(__xludf.DUMMYFUNCTION("""COMPUTED_VALUE"""),"NBA 2K16")</f>
        <v>NBA 2K16</v>
      </c>
      <c r="B1348" s="82" t="str">
        <f>IFERROR(__xludf.DUMMYFUNCTION("""COMPUTED_VALUE"""),"PS4")</f>
        <v>PS4</v>
      </c>
      <c r="C1348" s="83" t="str">
        <f>IFERROR(__xludf.DUMMYFUNCTION("""COMPUTED_VALUE"""),"Playstation Plus (Discontinued)")</f>
        <v>Playstation Plus (Discontinued)</v>
      </c>
      <c r="D1348" s="82" t="str">
        <f>IFERROR(__xludf.DUMMYFUNCTION("""COMPUTED_VALUE"""),"Removed")</f>
        <v>Removed</v>
      </c>
      <c r="E1348" s="84">
        <f>IFERROR(__xludf.DUMMYFUNCTION("""COMPUTED_VALUE"""),42528.0)</f>
        <v>42528</v>
      </c>
      <c r="F1348" s="85">
        <f>IFERROR(__xludf.DUMMYFUNCTION("""COMPUTED_VALUE"""),42555.0)</f>
        <v>42555</v>
      </c>
      <c r="G1348" s="86">
        <f>IFERROR(__xludf.DUMMYFUNCTION("""COMPUTED_VALUE"""),0.8999999999999999)</f>
        <v>0.9</v>
      </c>
      <c r="H1348" s="84">
        <f>IFERROR(__xludf.DUMMYFUNCTION("""COMPUTED_VALUE"""),42276.0)</f>
        <v>42276</v>
      </c>
      <c r="I1348" s="86">
        <f>IFERROR(__xludf.DUMMYFUNCTION("""COMPUTED_VALUE"""),0.6888888888888889)</f>
        <v>0.6888888889</v>
      </c>
      <c r="J1348" s="87">
        <f>IFERROR(__xludf.DUMMYFUNCTION("""COMPUTED_VALUE"""),87.0)</f>
        <v>87</v>
      </c>
      <c r="K1348" s="88">
        <f>IFERROR(__xludf.DUMMYFUNCTION("""COMPUTED_VALUE"""),7.1)</f>
        <v>7.1</v>
      </c>
      <c r="L1348" s="89"/>
      <c r="M1348" s="26" t="str">
        <f>IFERROR(__xludf.DUMMYFUNCTION("""COMPUTED_VALUE"""),"Sports")</f>
        <v>Sports</v>
      </c>
      <c r="N1348" s="26"/>
      <c r="O1348" s="26" t="str">
        <f>IFERROR(__xludf.DUMMYFUNCTION("""COMPUTED_VALUE"""),"No")</f>
        <v>No</v>
      </c>
      <c r="P1348" s="26"/>
    </row>
    <row r="1349">
      <c r="A1349" s="81" t="str">
        <f>IFERROR(__xludf.DUMMYFUNCTION("""COMPUTED_VALUE"""),"Gone Home")</f>
        <v>Gone Home</v>
      </c>
      <c r="B1349" s="82" t="str">
        <f>IFERROR(__xludf.DUMMYFUNCTION("""COMPUTED_VALUE"""),"PS4")</f>
        <v>PS4</v>
      </c>
      <c r="C1349" s="83" t="str">
        <f>IFERROR(__xludf.DUMMYFUNCTION("""COMPUTED_VALUE"""),"Playstation Plus (Discontinued)")</f>
        <v>Playstation Plus (Discontinued)</v>
      </c>
      <c r="D1349" s="82" t="str">
        <f>IFERROR(__xludf.DUMMYFUNCTION("""COMPUTED_VALUE"""),"Removed")</f>
        <v>Removed</v>
      </c>
      <c r="E1349" s="84">
        <f>IFERROR(__xludf.DUMMYFUNCTION("""COMPUTED_VALUE"""),42528.0)</f>
        <v>42528</v>
      </c>
      <c r="F1349" s="85">
        <f>IFERROR(__xludf.DUMMYFUNCTION("""COMPUTED_VALUE"""),42555.0)</f>
        <v>42555</v>
      </c>
      <c r="G1349" s="86">
        <f>IFERROR(__xludf.DUMMYFUNCTION("""COMPUTED_VALUE"""),0.8999999999999999)</f>
        <v>0.9</v>
      </c>
      <c r="H1349" s="84">
        <f>IFERROR(__xludf.DUMMYFUNCTION("""COMPUTED_VALUE"""),41501.0)</f>
        <v>41501</v>
      </c>
      <c r="I1349" s="86">
        <f>IFERROR(__xludf.DUMMYFUNCTION("""COMPUTED_VALUE"""),2.811111111111111)</f>
        <v>2.811111111</v>
      </c>
      <c r="J1349" s="87">
        <f>IFERROR(__xludf.DUMMYFUNCTION("""COMPUTED_VALUE"""),86.0)</f>
        <v>86</v>
      </c>
      <c r="K1349" s="88">
        <f>IFERROR(__xludf.DUMMYFUNCTION("""COMPUTED_VALUE"""),7.7)</f>
        <v>7.7</v>
      </c>
      <c r="L1349" s="89">
        <f>IFERROR(__xludf.DUMMYFUNCTION("""COMPUTED_VALUE"""),2.0)</f>
        <v>2</v>
      </c>
      <c r="M1349" s="26" t="str">
        <f>IFERROR(__xludf.DUMMYFUNCTION("""COMPUTED_VALUE"""),"Adventure")</f>
        <v>Adventure</v>
      </c>
      <c r="N1349" s="26"/>
      <c r="O1349" s="26" t="str">
        <f>IFERROR(__xludf.DUMMYFUNCTION("""COMPUTED_VALUE"""),"No")</f>
        <v>No</v>
      </c>
      <c r="P1349" s="26"/>
    </row>
    <row r="1350">
      <c r="A1350" s="81" t="str">
        <f>IFERROR(__xludf.DUMMYFUNCTION("""COMPUTED_VALUE"""),"Little Deviants")</f>
        <v>Little Deviants</v>
      </c>
      <c r="B1350" s="82" t="str">
        <f>IFERROR(__xludf.DUMMYFUNCTION("""COMPUTED_VALUE"""),"Vita")</f>
        <v>Vita</v>
      </c>
      <c r="C1350" s="83" t="str">
        <f>IFERROR(__xludf.DUMMYFUNCTION("""COMPUTED_VALUE"""),"Playstation Plus (Discontinued)")</f>
        <v>Playstation Plus (Discontinued)</v>
      </c>
      <c r="D1350" s="82" t="str">
        <f>IFERROR(__xludf.DUMMYFUNCTION("""COMPUTED_VALUE"""),"Removed")</f>
        <v>Removed</v>
      </c>
      <c r="E1350" s="84">
        <f>IFERROR(__xludf.DUMMYFUNCTION("""COMPUTED_VALUE"""),42528.0)</f>
        <v>42528</v>
      </c>
      <c r="F1350" s="85">
        <f>IFERROR(__xludf.DUMMYFUNCTION("""COMPUTED_VALUE"""),42555.0)</f>
        <v>42555</v>
      </c>
      <c r="G1350" s="86">
        <f>IFERROR(__xludf.DUMMYFUNCTION("""COMPUTED_VALUE"""),0.8999999999999999)</f>
        <v>0.9</v>
      </c>
      <c r="H1350" s="84">
        <f>IFERROR(__xludf.DUMMYFUNCTION("""COMPUTED_VALUE"""),40904.0)</f>
        <v>40904</v>
      </c>
      <c r="I1350" s="86">
        <f>IFERROR(__xludf.DUMMYFUNCTION("""COMPUTED_VALUE"""),4.444444444444445)</f>
        <v>4.444444444</v>
      </c>
      <c r="J1350" s="87">
        <f>IFERROR(__xludf.DUMMYFUNCTION("""COMPUTED_VALUE"""),64.0)</f>
        <v>64</v>
      </c>
      <c r="K1350" s="88">
        <f>IFERROR(__xludf.DUMMYFUNCTION("""COMPUTED_VALUE"""),6.4)</f>
        <v>6.4</v>
      </c>
      <c r="L1350" s="89">
        <f>IFERROR(__xludf.DUMMYFUNCTION("""COMPUTED_VALUE"""),4.0)</f>
        <v>4</v>
      </c>
      <c r="M1350" s="26" t="str">
        <f>IFERROR(__xludf.DUMMYFUNCTION("""COMPUTED_VALUE"""),"Puzzle")</f>
        <v>Puzzle</v>
      </c>
      <c r="N1350" s="26"/>
      <c r="O1350" s="26" t="str">
        <f>IFERROR(__xludf.DUMMYFUNCTION("""COMPUTED_VALUE"""),"No")</f>
        <v>No</v>
      </c>
      <c r="P1350" s="26"/>
    </row>
    <row r="1351">
      <c r="A1351" s="81" t="str">
        <f>IFERROR(__xludf.DUMMYFUNCTION("""COMPUTED_VALUE"""),"God of War: Chains of Olympus")</f>
        <v>God of War: Chains of Olympus</v>
      </c>
      <c r="B1351" s="82" t="str">
        <f>IFERROR(__xludf.DUMMYFUNCTION("""COMPUTED_VALUE"""),"Vita/PSP")</f>
        <v>Vita/PSP</v>
      </c>
      <c r="C1351" s="83" t="str">
        <f>IFERROR(__xludf.DUMMYFUNCTION("""COMPUTED_VALUE"""),"Playstation Plus (Discontinued)")</f>
        <v>Playstation Plus (Discontinued)</v>
      </c>
      <c r="D1351" s="82" t="str">
        <f>IFERROR(__xludf.DUMMYFUNCTION("""COMPUTED_VALUE"""),"Removed")</f>
        <v>Removed</v>
      </c>
      <c r="E1351" s="84">
        <f>IFERROR(__xludf.DUMMYFUNCTION("""COMPUTED_VALUE"""),42528.0)</f>
        <v>42528</v>
      </c>
      <c r="F1351" s="85">
        <f>IFERROR(__xludf.DUMMYFUNCTION("""COMPUTED_VALUE"""),42555.0)</f>
        <v>42555</v>
      </c>
      <c r="G1351" s="86">
        <f>IFERROR(__xludf.DUMMYFUNCTION("""COMPUTED_VALUE"""),0.8999999999999999)</f>
        <v>0.9</v>
      </c>
      <c r="H1351" s="84">
        <f>IFERROR(__xludf.DUMMYFUNCTION("""COMPUTED_VALUE"""),39511.0)</f>
        <v>39511</v>
      </c>
      <c r="I1351" s="86">
        <f>IFERROR(__xludf.DUMMYFUNCTION("""COMPUTED_VALUE"""),8.258333333333333)</f>
        <v>8.258333333</v>
      </c>
      <c r="J1351" s="87">
        <f>IFERROR(__xludf.DUMMYFUNCTION("""COMPUTED_VALUE"""),91.0)</f>
        <v>91</v>
      </c>
      <c r="K1351" s="88">
        <f>IFERROR(__xludf.DUMMYFUNCTION("""COMPUTED_VALUE"""),8.7)</f>
        <v>8.7</v>
      </c>
      <c r="L1351" s="89">
        <f>IFERROR(__xludf.DUMMYFUNCTION("""COMPUTED_VALUE"""),5.0)</f>
        <v>5</v>
      </c>
      <c r="M1351" s="26" t="str">
        <f>IFERROR(__xludf.DUMMYFUNCTION("""COMPUTED_VALUE"""),"Action-Adventure")</f>
        <v>Action-Adventure</v>
      </c>
      <c r="N1351" s="26"/>
      <c r="O1351" s="26" t="str">
        <f>IFERROR(__xludf.DUMMYFUNCTION("""COMPUTED_VALUE"""),"No")</f>
        <v>No</v>
      </c>
      <c r="P1351" s="26"/>
    </row>
    <row r="1352">
      <c r="A1352" s="81" t="str">
        <f>IFERROR(__xludf.DUMMYFUNCTION("""COMPUTED_VALUE"""),"Siren: Blood Curse")</f>
        <v>Siren: Blood Curse</v>
      </c>
      <c r="B1352" s="82" t="str">
        <f>IFERROR(__xludf.DUMMYFUNCTION("""COMPUTED_VALUE"""),"PS3")</f>
        <v>PS3</v>
      </c>
      <c r="C1352" s="83" t="str">
        <f>IFERROR(__xludf.DUMMYFUNCTION("""COMPUTED_VALUE"""),"Playstation Plus (Discontinued)")</f>
        <v>Playstation Plus (Discontinued)</v>
      </c>
      <c r="D1352" s="82" t="str">
        <f>IFERROR(__xludf.DUMMYFUNCTION("""COMPUTED_VALUE"""),"Removed")</f>
        <v>Removed</v>
      </c>
      <c r="E1352" s="84">
        <f>IFERROR(__xludf.DUMMYFUNCTION("""COMPUTED_VALUE"""),42528.0)</f>
        <v>42528</v>
      </c>
      <c r="F1352" s="85">
        <f>IFERROR(__xludf.DUMMYFUNCTION("""COMPUTED_VALUE"""),42555.0)</f>
        <v>42555</v>
      </c>
      <c r="G1352" s="86">
        <f>IFERROR(__xludf.DUMMYFUNCTION("""COMPUTED_VALUE"""),0.8999999999999999)</f>
        <v>0.9</v>
      </c>
      <c r="H1352" s="84">
        <f>IFERROR(__xludf.DUMMYFUNCTION("""COMPUTED_VALUE"""),39653.0)</f>
        <v>39653</v>
      </c>
      <c r="I1352" s="86">
        <f>IFERROR(__xludf.DUMMYFUNCTION("""COMPUTED_VALUE"""),7.8694444444444445)</f>
        <v>7.869444444</v>
      </c>
      <c r="J1352" s="87">
        <f>IFERROR(__xludf.DUMMYFUNCTION("""COMPUTED_VALUE"""),78.0)</f>
        <v>78</v>
      </c>
      <c r="K1352" s="88">
        <f>IFERROR(__xludf.DUMMYFUNCTION("""COMPUTED_VALUE"""),8.0)</f>
        <v>8</v>
      </c>
      <c r="L1352" s="89">
        <f>IFERROR(__xludf.DUMMYFUNCTION("""COMPUTED_VALUE"""),12.0)</f>
        <v>12</v>
      </c>
      <c r="M1352" s="26" t="str">
        <f>IFERROR(__xludf.DUMMYFUNCTION("""COMPUTED_VALUE"""),"Horror")</f>
        <v>Horror</v>
      </c>
      <c r="N1352" s="26"/>
      <c r="O1352" s="26" t="str">
        <f>IFERROR(__xludf.DUMMYFUNCTION("""COMPUTED_VALUE"""),"No")</f>
        <v>No</v>
      </c>
      <c r="P1352" s="26"/>
    </row>
    <row r="1353">
      <c r="A1353" s="81" t="str">
        <f>IFERROR(__xludf.DUMMYFUNCTION("""COMPUTED_VALUE"""),"Echochrome")</f>
        <v>Echochrome</v>
      </c>
      <c r="B1353" s="82" t="str">
        <f>IFERROR(__xludf.DUMMYFUNCTION("""COMPUTED_VALUE"""),"PS3")</f>
        <v>PS3</v>
      </c>
      <c r="C1353" s="83" t="str">
        <f>IFERROR(__xludf.DUMMYFUNCTION("""COMPUTED_VALUE"""),"Playstation Plus (Discontinued)")</f>
        <v>Playstation Plus (Discontinued)</v>
      </c>
      <c r="D1353" s="82" t="str">
        <f>IFERROR(__xludf.DUMMYFUNCTION("""COMPUTED_VALUE"""),"Removed")</f>
        <v>Removed</v>
      </c>
      <c r="E1353" s="84">
        <f>IFERROR(__xludf.DUMMYFUNCTION("""COMPUTED_VALUE"""),42528.0)</f>
        <v>42528</v>
      </c>
      <c r="F1353" s="85">
        <f>IFERROR(__xludf.DUMMYFUNCTION("""COMPUTED_VALUE"""),42555.0)</f>
        <v>42555</v>
      </c>
      <c r="G1353" s="86">
        <f>IFERROR(__xludf.DUMMYFUNCTION("""COMPUTED_VALUE"""),0.8999999999999999)</f>
        <v>0.9</v>
      </c>
      <c r="H1353" s="84">
        <f>IFERROR(__xludf.DUMMYFUNCTION("""COMPUTED_VALUE"""),39569.0)</f>
        <v>39569</v>
      </c>
      <c r="I1353" s="86">
        <f>IFERROR(__xludf.DUMMYFUNCTION("""COMPUTED_VALUE"""),8.1)</f>
        <v>8.1</v>
      </c>
      <c r="J1353" s="87">
        <f>IFERROR(__xludf.DUMMYFUNCTION("""COMPUTED_VALUE"""),79.0)</f>
        <v>79</v>
      </c>
      <c r="K1353" s="88">
        <f>IFERROR(__xludf.DUMMYFUNCTION("""COMPUTED_VALUE"""),7.6)</f>
        <v>7.6</v>
      </c>
      <c r="L1353" s="89">
        <f>IFERROR(__xludf.DUMMYFUNCTION("""COMPUTED_VALUE"""),5.0)</f>
        <v>5</v>
      </c>
      <c r="M1353" s="26" t="str">
        <f>IFERROR(__xludf.DUMMYFUNCTION("""COMPUTED_VALUE"""),"Puzzle")</f>
        <v>Puzzle</v>
      </c>
      <c r="N1353" s="26"/>
      <c r="O1353" s="26" t="str">
        <f>IFERROR(__xludf.DUMMYFUNCTION("""COMPUTED_VALUE"""),"No")</f>
        <v>No</v>
      </c>
      <c r="P1353" s="26"/>
    </row>
    <row r="1354">
      <c r="A1354" s="81" t="str">
        <f>IFERROR(__xludf.DUMMYFUNCTION("""COMPUTED_VALUE"""),"Tropico 5")</f>
        <v>Tropico 5</v>
      </c>
      <c r="B1354" s="82" t="str">
        <f>IFERROR(__xludf.DUMMYFUNCTION("""COMPUTED_VALUE"""),"PS4")</f>
        <v>PS4</v>
      </c>
      <c r="C1354" s="83" t="str">
        <f>IFERROR(__xludf.DUMMYFUNCTION("""COMPUTED_VALUE"""),"Playstation Plus (Discontinued)")</f>
        <v>Playstation Plus (Discontinued)</v>
      </c>
      <c r="D1354" s="82" t="str">
        <f>IFERROR(__xludf.DUMMYFUNCTION("""COMPUTED_VALUE"""),"Removed")</f>
        <v>Removed</v>
      </c>
      <c r="E1354" s="84">
        <f>IFERROR(__xludf.DUMMYFUNCTION("""COMPUTED_VALUE"""),42493.0)</f>
        <v>42493</v>
      </c>
      <c r="F1354" s="85">
        <f>IFERROR(__xludf.DUMMYFUNCTION("""COMPUTED_VALUE"""),42527.0)</f>
        <v>42527</v>
      </c>
      <c r="G1354" s="86">
        <f>IFERROR(__xludf.DUMMYFUNCTION("""COMPUTED_VALUE"""),1.0999999999999999)</f>
        <v>1.1</v>
      </c>
      <c r="H1354" s="84">
        <f>IFERROR(__xludf.DUMMYFUNCTION("""COMPUTED_VALUE"""),41782.0)</f>
        <v>41782</v>
      </c>
      <c r="I1354" s="86">
        <f>IFERROR(__xludf.DUMMYFUNCTION("""COMPUTED_VALUE"""),1.9444444444444444)</f>
        <v>1.944444444</v>
      </c>
      <c r="J1354" s="87">
        <f>IFERROR(__xludf.DUMMYFUNCTION("""COMPUTED_VALUE"""),75.0)</f>
        <v>75</v>
      </c>
      <c r="K1354" s="88">
        <f>IFERROR(__xludf.DUMMYFUNCTION("""COMPUTED_VALUE"""),7.3)</f>
        <v>7.3</v>
      </c>
      <c r="L1354" s="89">
        <f>IFERROR(__xludf.DUMMYFUNCTION("""COMPUTED_VALUE"""),20.0)</f>
        <v>20</v>
      </c>
      <c r="M1354" s="26" t="str">
        <f>IFERROR(__xludf.DUMMYFUNCTION("""COMPUTED_VALUE"""),"Strategy")</f>
        <v>Strategy</v>
      </c>
      <c r="N1354" s="26"/>
      <c r="O1354" s="26" t="str">
        <f>IFERROR(__xludf.DUMMYFUNCTION("""COMPUTED_VALUE"""),"No")</f>
        <v>No</v>
      </c>
      <c r="P1354" s="26"/>
    </row>
    <row r="1355">
      <c r="A1355" s="81" t="str">
        <f>IFERROR(__xludf.DUMMYFUNCTION("""COMPUTED_VALUE"""),"Table Top Racing: World Tour")</f>
        <v>Table Top Racing: World Tour</v>
      </c>
      <c r="B1355" s="82" t="str">
        <f>IFERROR(__xludf.DUMMYFUNCTION("""COMPUTED_VALUE"""),"PS4")</f>
        <v>PS4</v>
      </c>
      <c r="C1355" s="83" t="str">
        <f>IFERROR(__xludf.DUMMYFUNCTION("""COMPUTED_VALUE"""),"Playstation Plus (Discontinued)")</f>
        <v>Playstation Plus (Discontinued)</v>
      </c>
      <c r="D1355" s="82" t="str">
        <f>IFERROR(__xludf.DUMMYFUNCTION("""COMPUTED_VALUE"""),"Removed")</f>
        <v>Removed</v>
      </c>
      <c r="E1355" s="84">
        <f>IFERROR(__xludf.DUMMYFUNCTION("""COMPUTED_VALUE"""),42493.0)</f>
        <v>42493</v>
      </c>
      <c r="F1355" s="85">
        <f>IFERROR(__xludf.DUMMYFUNCTION("""COMPUTED_VALUE"""),42527.0)</f>
        <v>42527</v>
      </c>
      <c r="G1355" s="86">
        <f>IFERROR(__xludf.DUMMYFUNCTION("""COMPUTED_VALUE"""),1.0999999999999999)</f>
        <v>1.1</v>
      </c>
      <c r="H1355" s="84">
        <f>IFERROR(__xludf.DUMMYFUNCTION("""COMPUTED_VALUE"""),42493.0)</f>
        <v>42493</v>
      </c>
      <c r="I1355" s="86">
        <f>IFERROR(__xludf.DUMMYFUNCTION("""COMPUTED_VALUE"""),0.0)</f>
        <v>0</v>
      </c>
      <c r="J1355" s="87">
        <f>IFERROR(__xludf.DUMMYFUNCTION("""COMPUTED_VALUE"""),56.0)</f>
        <v>56</v>
      </c>
      <c r="K1355" s="88">
        <f>IFERROR(__xludf.DUMMYFUNCTION("""COMPUTED_VALUE"""),5.7)</f>
        <v>5.7</v>
      </c>
      <c r="L1355" s="89"/>
      <c r="M1355" s="26" t="str">
        <f>IFERROR(__xludf.DUMMYFUNCTION("""COMPUTED_VALUE"""),"Racing")</f>
        <v>Racing</v>
      </c>
      <c r="N1355" s="26"/>
      <c r="O1355" s="26" t="str">
        <f>IFERROR(__xludf.DUMMYFUNCTION("""COMPUTED_VALUE"""),"No")</f>
        <v>No</v>
      </c>
      <c r="P1355" s="26"/>
    </row>
    <row r="1356">
      <c r="A1356" s="81" t="str">
        <f>IFERROR(__xludf.DUMMYFUNCTION("""COMPUTED_VALUE"""),"Switch Galaxy Ultra")</f>
        <v>Switch Galaxy Ultra</v>
      </c>
      <c r="B1356" s="82" t="str">
        <f>IFERROR(__xludf.DUMMYFUNCTION("""COMPUTED_VALUE"""),"PS4/Vita")</f>
        <v>PS4/Vita</v>
      </c>
      <c r="C1356" s="83" t="str">
        <f>IFERROR(__xludf.DUMMYFUNCTION("""COMPUTED_VALUE"""),"Playstation Plus (Discontinued)")</f>
        <v>Playstation Plus (Discontinued)</v>
      </c>
      <c r="D1356" s="82" t="str">
        <f>IFERROR(__xludf.DUMMYFUNCTION("""COMPUTED_VALUE"""),"Removed")</f>
        <v>Removed</v>
      </c>
      <c r="E1356" s="84">
        <f>IFERROR(__xludf.DUMMYFUNCTION("""COMPUTED_VALUE"""),42493.0)</f>
        <v>42493</v>
      </c>
      <c r="F1356" s="85">
        <f>IFERROR(__xludf.DUMMYFUNCTION("""COMPUTED_VALUE"""),42527.0)</f>
        <v>42527</v>
      </c>
      <c r="G1356" s="86">
        <f>IFERROR(__xludf.DUMMYFUNCTION("""COMPUTED_VALUE"""),1.0999999999999999)</f>
        <v>1.1</v>
      </c>
      <c r="H1356" s="84">
        <f>IFERROR(__xludf.DUMMYFUNCTION("""COMPUTED_VALUE"""),42249.0)</f>
        <v>42249</v>
      </c>
      <c r="I1356" s="86">
        <f>IFERROR(__xludf.DUMMYFUNCTION("""COMPUTED_VALUE"""),0.6694444444444444)</f>
        <v>0.6694444444</v>
      </c>
      <c r="J1356" s="87">
        <f>IFERROR(__xludf.DUMMYFUNCTION("""COMPUTED_VALUE"""),72.0)</f>
        <v>72</v>
      </c>
      <c r="K1356" s="88">
        <f>IFERROR(__xludf.DUMMYFUNCTION("""COMPUTED_VALUE"""),6.8)</f>
        <v>6.8</v>
      </c>
      <c r="L1356" s="89">
        <f>IFERROR(__xludf.DUMMYFUNCTION("""COMPUTED_VALUE"""),4.0)</f>
        <v>4</v>
      </c>
      <c r="M1356" s="26" t="str">
        <f>IFERROR(__xludf.DUMMYFUNCTION("""COMPUTED_VALUE"""),"Shooter")</f>
        <v>Shooter</v>
      </c>
      <c r="N1356" s="26"/>
      <c r="O1356" s="26" t="str">
        <f>IFERROR(__xludf.DUMMYFUNCTION("""COMPUTED_VALUE"""),"No")</f>
        <v>No</v>
      </c>
      <c r="P1356" s="26"/>
    </row>
    <row r="1357">
      <c r="A1357" s="81" t="str">
        <f>IFERROR(__xludf.DUMMYFUNCTION("""COMPUTED_VALUE"""),"God of War: Ghost of Sparta")</f>
        <v>God of War: Ghost of Sparta</v>
      </c>
      <c r="B1357" s="82" t="str">
        <f>IFERROR(__xludf.DUMMYFUNCTION("""COMPUTED_VALUE"""),"Vita/PSP")</f>
        <v>Vita/PSP</v>
      </c>
      <c r="C1357" s="83" t="str">
        <f>IFERROR(__xludf.DUMMYFUNCTION("""COMPUTED_VALUE"""),"Playstation Plus (Discontinued)")</f>
        <v>Playstation Plus (Discontinued)</v>
      </c>
      <c r="D1357" s="82" t="str">
        <f>IFERROR(__xludf.DUMMYFUNCTION("""COMPUTED_VALUE"""),"Removed")</f>
        <v>Removed</v>
      </c>
      <c r="E1357" s="84">
        <f>IFERROR(__xludf.DUMMYFUNCTION("""COMPUTED_VALUE"""),42493.0)</f>
        <v>42493</v>
      </c>
      <c r="F1357" s="85">
        <f>IFERROR(__xludf.DUMMYFUNCTION("""COMPUTED_VALUE"""),42527.0)</f>
        <v>42527</v>
      </c>
      <c r="G1357" s="86">
        <f>IFERROR(__xludf.DUMMYFUNCTION("""COMPUTED_VALUE"""),1.0999999999999999)</f>
        <v>1.1</v>
      </c>
      <c r="H1357" s="84">
        <f>IFERROR(__xludf.DUMMYFUNCTION("""COMPUTED_VALUE"""),40484.0)</f>
        <v>40484</v>
      </c>
      <c r="I1357" s="86">
        <f>IFERROR(__xludf.DUMMYFUNCTION("""COMPUTED_VALUE"""),5.502777777777778)</f>
        <v>5.502777778</v>
      </c>
      <c r="J1357" s="87">
        <f>IFERROR(__xludf.DUMMYFUNCTION("""COMPUTED_VALUE"""),86.0)</f>
        <v>86</v>
      </c>
      <c r="K1357" s="88">
        <f>IFERROR(__xludf.DUMMYFUNCTION("""COMPUTED_VALUE"""),8.5)</f>
        <v>8.5</v>
      </c>
      <c r="L1357" s="89">
        <f>IFERROR(__xludf.DUMMYFUNCTION("""COMPUTED_VALUE"""),5.0)</f>
        <v>5</v>
      </c>
      <c r="M1357" s="26" t="str">
        <f>IFERROR(__xludf.DUMMYFUNCTION("""COMPUTED_VALUE"""),"Action-Adventure")</f>
        <v>Action-Adventure</v>
      </c>
      <c r="N1357" s="26"/>
      <c r="O1357" s="26" t="str">
        <f>IFERROR(__xludf.DUMMYFUNCTION("""COMPUTED_VALUE"""),"No")</f>
        <v>No</v>
      </c>
      <c r="P1357" s="26"/>
    </row>
    <row r="1358">
      <c r="A1358" s="81" t="str">
        <f>IFERROR(__xludf.DUMMYFUNCTION("""COMPUTED_VALUE"""),"LocoRoco Cocoreccho!")</f>
        <v>LocoRoco Cocoreccho!</v>
      </c>
      <c r="B1358" s="82" t="str">
        <f>IFERROR(__xludf.DUMMYFUNCTION("""COMPUTED_VALUE"""),"PS3")</f>
        <v>PS3</v>
      </c>
      <c r="C1358" s="83" t="str">
        <f>IFERROR(__xludf.DUMMYFUNCTION("""COMPUTED_VALUE"""),"Playstation Plus (Discontinued)")</f>
        <v>Playstation Plus (Discontinued)</v>
      </c>
      <c r="D1358" s="82" t="str">
        <f>IFERROR(__xludf.DUMMYFUNCTION("""COMPUTED_VALUE"""),"Removed")</f>
        <v>Removed</v>
      </c>
      <c r="E1358" s="84">
        <f>IFERROR(__xludf.DUMMYFUNCTION("""COMPUTED_VALUE"""),42493.0)</f>
        <v>42493</v>
      </c>
      <c r="F1358" s="85">
        <f>IFERROR(__xludf.DUMMYFUNCTION("""COMPUTED_VALUE"""),42527.0)</f>
        <v>42527</v>
      </c>
      <c r="G1358" s="86">
        <f>IFERROR(__xludf.DUMMYFUNCTION("""COMPUTED_VALUE"""),1.0999999999999999)</f>
        <v>1.1</v>
      </c>
      <c r="H1358" s="84">
        <f>IFERROR(__xludf.DUMMYFUNCTION("""COMPUTED_VALUE"""),39346.0)</f>
        <v>39346</v>
      </c>
      <c r="I1358" s="86">
        <f>IFERROR(__xludf.DUMMYFUNCTION("""COMPUTED_VALUE"""),8.616666666666667)</f>
        <v>8.616666667</v>
      </c>
      <c r="J1358" s="87">
        <f>IFERROR(__xludf.DUMMYFUNCTION("""COMPUTED_VALUE"""),76.0)</f>
        <v>76</v>
      </c>
      <c r="K1358" s="88">
        <f>IFERROR(__xludf.DUMMYFUNCTION("""COMPUTED_VALUE"""),7.8)</f>
        <v>7.8</v>
      </c>
      <c r="L1358" s="89">
        <f>IFERROR(__xludf.DUMMYFUNCTION("""COMPUTED_VALUE"""),2.0)</f>
        <v>2</v>
      </c>
      <c r="M1358" s="26" t="str">
        <f>IFERROR(__xludf.DUMMYFUNCTION("""COMPUTED_VALUE"""),"Platformer")</f>
        <v>Platformer</v>
      </c>
      <c r="N1358" s="26"/>
      <c r="O1358" s="26" t="str">
        <f>IFERROR(__xludf.DUMMYFUNCTION("""COMPUTED_VALUE"""),"No")</f>
        <v>No</v>
      </c>
      <c r="P1358" s="26"/>
    </row>
    <row r="1359">
      <c r="A1359" s="81" t="str">
        <f>IFERROR(__xludf.DUMMYFUNCTION("""COMPUTED_VALUE"""),"Bionic Commando Rearmed")</f>
        <v>Bionic Commando Rearmed</v>
      </c>
      <c r="B1359" s="82" t="str">
        <f>IFERROR(__xludf.DUMMYFUNCTION("""COMPUTED_VALUE"""),"PS3")</f>
        <v>PS3</v>
      </c>
      <c r="C1359" s="83" t="str">
        <f>IFERROR(__xludf.DUMMYFUNCTION("""COMPUTED_VALUE"""),"Playstation Plus (Discontinued)")</f>
        <v>Playstation Plus (Discontinued)</v>
      </c>
      <c r="D1359" s="82" t="str">
        <f>IFERROR(__xludf.DUMMYFUNCTION("""COMPUTED_VALUE"""),"Removed")</f>
        <v>Removed</v>
      </c>
      <c r="E1359" s="84">
        <f>IFERROR(__xludf.DUMMYFUNCTION("""COMPUTED_VALUE"""),42493.0)</f>
        <v>42493</v>
      </c>
      <c r="F1359" s="85">
        <f>IFERROR(__xludf.DUMMYFUNCTION("""COMPUTED_VALUE"""),42527.0)</f>
        <v>42527</v>
      </c>
      <c r="G1359" s="86">
        <f>IFERROR(__xludf.DUMMYFUNCTION("""COMPUTED_VALUE"""),1.0999999999999999)</f>
        <v>1.1</v>
      </c>
      <c r="H1359" s="84">
        <f>IFERROR(__xludf.DUMMYFUNCTION("""COMPUTED_VALUE"""),39673.0)</f>
        <v>39673</v>
      </c>
      <c r="I1359" s="86">
        <f>IFERROR(__xludf.DUMMYFUNCTION("""COMPUTED_VALUE"""),7.722222222222222)</f>
        <v>7.722222222</v>
      </c>
      <c r="J1359" s="87">
        <f>IFERROR(__xludf.DUMMYFUNCTION("""COMPUTED_VALUE"""),85.0)</f>
        <v>85</v>
      </c>
      <c r="K1359" s="88">
        <f>IFERROR(__xludf.DUMMYFUNCTION("""COMPUTED_VALUE"""),8.2)</f>
        <v>8.2</v>
      </c>
      <c r="L1359" s="89">
        <f>IFERROR(__xludf.DUMMYFUNCTION("""COMPUTED_VALUE"""),5.0)</f>
        <v>5</v>
      </c>
      <c r="M1359" s="26" t="str">
        <f>IFERROR(__xludf.DUMMYFUNCTION("""COMPUTED_VALUE"""),"Platformer")</f>
        <v>Platformer</v>
      </c>
      <c r="N1359" s="26"/>
      <c r="O1359" s="26" t="str">
        <f>IFERROR(__xludf.DUMMYFUNCTION("""COMPUTED_VALUE"""),"No")</f>
        <v>No</v>
      </c>
      <c r="P1359" s="26"/>
    </row>
    <row r="1360">
      <c r="A1360" s="81" t="str">
        <f>IFERROR(__xludf.DUMMYFUNCTION("""COMPUTED_VALUE"""),"Dead Star")</f>
        <v>Dead Star</v>
      </c>
      <c r="B1360" s="82" t="str">
        <f>IFERROR(__xludf.DUMMYFUNCTION("""COMPUTED_VALUE"""),"PS4")</f>
        <v>PS4</v>
      </c>
      <c r="C1360" s="83" t="str">
        <f>IFERROR(__xludf.DUMMYFUNCTION("""COMPUTED_VALUE"""),"Playstation Plus (Discontinued)")</f>
        <v>Playstation Plus (Discontinued)</v>
      </c>
      <c r="D1360" s="82" t="str">
        <f>IFERROR(__xludf.DUMMYFUNCTION("""COMPUTED_VALUE"""),"Removed")</f>
        <v>Removed</v>
      </c>
      <c r="E1360" s="84">
        <f>IFERROR(__xludf.DUMMYFUNCTION("""COMPUTED_VALUE"""),42465.0)</f>
        <v>42465</v>
      </c>
      <c r="F1360" s="85">
        <f>IFERROR(__xludf.DUMMYFUNCTION("""COMPUTED_VALUE"""),42492.0)</f>
        <v>42492</v>
      </c>
      <c r="G1360" s="86">
        <f>IFERROR(__xludf.DUMMYFUNCTION("""COMPUTED_VALUE"""),0.8999999999999999)</f>
        <v>0.9</v>
      </c>
      <c r="H1360" s="84">
        <f>IFERROR(__xludf.DUMMYFUNCTION("""COMPUTED_VALUE"""),42465.0)</f>
        <v>42465</v>
      </c>
      <c r="I1360" s="86">
        <f>IFERROR(__xludf.DUMMYFUNCTION("""COMPUTED_VALUE"""),0.0)</f>
        <v>0</v>
      </c>
      <c r="J1360" s="87">
        <f>IFERROR(__xludf.DUMMYFUNCTION("""COMPUTED_VALUE"""),61.0)</f>
        <v>61</v>
      </c>
      <c r="K1360" s="88">
        <f>IFERROR(__xludf.DUMMYFUNCTION("""COMPUTED_VALUE"""),5.8)</f>
        <v>5.8</v>
      </c>
      <c r="L1360" s="89"/>
      <c r="M1360" s="26" t="str">
        <f>IFERROR(__xludf.DUMMYFUNCTION("""COMPUTED_VALUE"""),"Shooter")</f>
        <v>Shooter</v>
      </c>
      <c r="N1360" s="26"/>
      <c r="O1360" s="26" t="str">
        <f>IFERROR(__xludf.DUMMYFUNCTION("""COMPUTED_VALUE"""),"No")</f>
        <v>No</v>
      </c>
      <c r="P1360" s="26"/>
    </row>
    <row r="1361">
      <c r="A1361" s="81" t="str">
        <f>IFERROR(__xludf.DUMMYFUNCTION("""COMPUTED_VALUE"""),"Zombi")</f>
        <v>Zombi</v>
      </c>
      <c r="B1361" s="82" t="str">
        <f>IFERROR(__xludf.DUMMYFUNCTION("""COMPUTED_VALUE"""),"PS4")</f>
        <v>PS4</v>
      </c>
      <c r="C1361" s="83" t="str">
        <f>IFERROR(__xludf.DUMMYFUNCTION("""COMPUTED_VALUE"""),"Playstation Plus (Discontinued)")</f>
        <v>Playstation Plus (Discontinued)</v>
      </c>
      <c r="D1361" s="82" t="str">
        <f>IFERROR(__xludf.DUMMYFUNCTION("""COMPUTED_VALUE"""),"Removed")</f>
        <v>Removed</v>
      </c>
      <c r="E1361" s="84">
        <f>IFERROR(__xludf.DUMMYFUNCTION("""COMPUTED_VALUE"""),42465.0)</f>
        <v>42465</v>
      </c>
      <c r="F1361" s="85">
        <f>IFERROR(__xludf.DUMMYFUNCTION("""COMPUTED_VALUE"""),42492.0)</f>
        <v>42492</v>
      </c>
      <c r="G1361" s="86">
        <f>IFERROR(__xludf.DUMMYFUNCTION("""COMPUTED_VALUE"""),0.8999999999999999)</f>
        <v>0.9</v>
      </c>
      <c r="H1361" s="84">
        <f>IFERROR(__xludf.DUMMYFUNCTION("""COMPUTED_VALUE"""),42234.0)</f>
        <v>42234</v>
      </c>
      <c r="I1361" s="86">
        <f>IFERROR(__xludf.DUMMYFUNCTION("""COMPUTED_VALUE"""),0.6305555555555555)</f>
        <v>0.6305555556</v>
      </c>
      <c r="J1361" s="87">
        <f>IFERROR(__xludf.DUMMYFUNCTION("""COMPUTED_VALUE"""),77.0)</f>
        <v>77</v>
      </c>
      <c r="K1361" s="88">
        <f>IFERROR(__xludf.DUMMYFUNCTION("""COMPUTED_VALUE"""),6.4)</f>
        <v>6.4</v>
      </c>
      <c r="L1361" s="89">
        <f>IFERROR(__xludf.DUMMYFUNCTION("""COMPUTED_VALUE"""),9.0)</f>
        <v>9</v>
      </c>
      <c r="M1361" s="26" t="str">
        <f>IFERROR(__xludf.DUMMYFUNCTION("""COMPUTED_VALUE"""),"Horror")</f>
        <v>Horror</v>
      </c>
      <c r="N1361" s="26"/>
      <c r="O1361" s="26" t="str">
        <f>IFERROR(__xludf.DUMMYFUNCTION("""COMPUTED_VALUE"""),"No")</f>
        <v>No</v>
      </c>
      <c r="P1361" s="26"/>
    </row>
    <row r="1362">
      <c r="A1362" s="81" t="str">
        <f>IFERROR(__xludf.DUMMYFUNCTION("""COMPUTED_VALUE"""),"Shutshimi")</f>
        <v>Shutshimi</v>
      </c>
      <c r="B1362" s="82" t="str">
        <f>IFERROR(__xludf.DUMMYFUNCTION("""COMPUTED_VALUE"""),"Vita")</f>
        <v>Vita</v>
      </c>
      <c r="C1362" s="83" t="str">
        <f>IFERROR(__xludf.DUMMYFUNCTION("""COMPUTED_VALUE"""),"Playstation Plus (Discontinued)")</f>
        <v>Playstation Plus (Discontinued)</v>
      </c>
      <c r="D1362" s="82" t="str">
        <f>IFERROR(__xludf.DUMMYFUNCTION("""COMPUTED_VALUE"""),"Removed")</f>
        <v>Removed</v>
      </c>
      <c r="E1362" s="84">
        <f>IFERROR(__xludf.DUMMYFUNCTION("""COMPUTED_VALUE"""),42465.0)</f>
        <v>42465</v>
      </c>
      <c r="F1362" s="85">
        <f>IFERROR(__xludf.DUMMYFUNCTION("""COMPUTED_VALUE"""),42492.0)</f>
        <v>42492</v>
      </c>
      <c r="G1362" s="86">
        <f>IFERROR(__xludf.DUMMYFUNCTION("""COMPUTED_VALUE"""),0.8999999999999999)</f>
        <v>0.9</v>
      </c>
      <c r="H1362" s="84">
        <f>IFERROR(__xludf.DUMMYFUNCTION("""COMPUTED_VALUE"""),42221.0)</f>
        <v>42221</v>
      </c>
      <c r="I1362" s="86">
        <f>IFERROR(__xludf.DUMMYFUNCTION("""COMPUTED_VALUE"""),0.6666666666666666)</f>
        <v>0.6666666667</v>
      </c>
      <c r="J1362" s="87">
        <f>IFERROR(__xludf.DUMMYFUNCTION("""COMPUTED_VALUE"""),62.0)</f>
        <v>62</v>
      </c>
      <c r="K1362" s="88">
        <f>IFERROR(__xludf.DUMMYFUNCTION("""COMPUTED_VALUE"""),6.8)</f>
        <v>6.8</v>
      </c>
      <c r="L1362" s="89">
        <f>IFERROR(__xludf.DUMMYFUNCTION("""COMPUTED_VALUE"""),1.0)</f>
        <v>1</v>
      </c>
      <c r="M1362" s="26" t="str">
        <f>IFERROR(__xludf.DUMMYFUNCTION("""COMPUTED_VALUE"""),"Shooter")</f>
        <v>Shooter</v>
      </c>
      <c r="N1362" s="26"/>
      <c r="O1362" s="26" t="str">
        <f>IFERROR(__xludf.DUMMYFUNCTION("""COMPUTED_VALUE"""),"No")</f>
        <v>No</v>
      </c>
      <c r="P1362" s="26"/>
    </row>
    <row r="1363">
      <c r="A1363" s="81" t="str">
        <f>IFERROR(__xludf.DUMMYFUNCTION("""COMPUTED_VALUE"""),"A Virus named Tom")</f>
        <v>A Virus named Tom</v>
      </c>
      <c r="B1363" s="82" t="str">
        <f>IFERROR(__xludf.DUMMYFUNCTION("""COMPUTED_VALUE"""),"Vita")</f>
        <v>Vita</v>
      </c>
      <c r="C1363" s="83" t="str">
        <f>IFERROR(__xludf.DUMMYFUNCTION("""COMPUTED_VALUE"""),"Playstation Plus (Discontinued)")</f>
        <v>Playstation Plus (Discontinued)</v>
      </c>
      <c r="D1363" s="82" t="str">
        <f>IFERROR(__xludf.DUMMYFUNCTION("""COMPUTED_VALUE"""),"Removed")</f>
        <v>Removed</v>
      </c>
      <c r="E1363" s="84">
        <f>IFERROR(__xludf.DUMMYFUNCTION("""COMPUTED_VALUE"""),42465.0)</f>
        <v>42465</v>
      </c>
      <c r="F1363" s="85">
        <f>IFERROR(__xludf.DUMMYFUNCTION("""COMPUTED_VALUE"""),42492.0)</f>
        <v>42492</v>
      </c>
      <c r="G1363" s="86">
        <f>IFERROR(__xludf.DUMMYFUNCTION("""COMPUTED_VALUE"""),0.8999999999999999)</f>
        <v>0.9</v>
      </c>
      <c r="H1363" s="84">
        <f>IFERROR(__xludf.DUMMYFUNCTION("""COMPUTED_VALUE"""),41337.0)</f>
        <v>41337</v>
      </c>
      <c r="I1363" s="86">
        <f>IFERROR(__xludf.DUMMYFUNCTION("""COMPUTED_VALUE"""),3.0861111111111112)</f>
        <v>3.086111111</v>
      </c>
      <c r="J1363" s="87">
        <f>IFERROR(__xludf.DUMMYFUNCTION("""COMPUTED_VALUE"""),69.0)</f>
        <v>69</v>
      </c>
      <c r="K1363" s="88">
        <f>IFERROR(__xludf.DUMMYFUNCTION("""COMPUTED_VALUE"""),6.9)</f>
        <v>6.9</v>
      </c>
      <c r="L1363" s="89">
        <f>IFERROR(__xludf.DUMMYFUNCTION("""COMPUTED_VALUE"""),4.0)</f>
        <v>4</v>
      </c>
      <c r="M1363" s="26" t="str">
        <f>IFERROR(__xludf.DUMMYFUNCTION("""COMPUTED_VALUE"""),"Puzzle")</f>
        <v>Puzzle</v>
      </c>
      <c r="N1363" s="26"/>
      <c r="O1363" s="26" t="str">
        <f>IFERROR(__xludf.DUMMYFUNCTION("""COMPUTED_VALUE"""),"No")</f>
        <v>No</v>
      </c>
      <c r="P1363" s="26"/>
    </row>
    <row r="1364">
      <c r="A1364" s="81" t="str">
        <f>IFERROR(__xludf.DUMMYFUNCTION("""COMPUTED_VALUE"""),"I am Alive")</f>
        <v>I am Alive</v>
      </c>
      <c r="B1364" s="82" t="str">
        <f>IFERROR(__xludf.DUMMYFUNCTION("""COMPUTED_VALUE"""),"PS3")</f>
        <v>PS3</v>
      </c>
      <c r="C1364" s="83" t="str">
        <f>IFERROR(__xludf.DUMMYFUNCTION("""COMPUTED_VALUE"""),"Playstation Plus (Discontinued)")</f>
        <v>Playstation Plus (Discontinued)</v>
      </c>
      <c r="D1364" s="82" t="str">
        <f>IFERROR(__xludf.DUMMYFUNCTION("""COMPUTED_VALUE"""),"Removed")</f>
        <v>Removed</v>
      </c>
      <c r="E1364" s="84">
        <f>IFERROR(__xludf.DUMMYFUNCTION("""COMPUTED_VALUE"""),42465.0)</f>
        <v>42465</v>
      </c>
      <c r="F1364" s="85">
        <f>IFERROR(__xludf.DUMMYFUNCTION("""COMPUTED_VALUE"""),42492.0)</f>
        <v>42492</v>
      </c>
      <c r="G1364" s="86">
        <f>IFERROR(__xludf.DUMMYFUNCTION("""COMPUTED_VALUE"""),0.8999999999999999)</f>
        <v>0.9</v>
      </c>
      <c r="H1364" s="84">
        <f>IFERROR(__xludf.DUMMYFUNCTION("""COMPUTED_VALUE"""),40974.0)</f>
        <v>40974</v>
      </c>
      <c r="I1364" s="86">
        <f>IFERROR(__xludf.DUMMYFUNCTION("""COMPUTED_VALUE"""),4.080555555555556)</f>
        <v>4.080555556</v>
      </c>
      <c r="J1364" s="87">
        <f>IFERROR(__xludf.DUMMYFUNCTION("""COMPUTED_VALUE"""),75.0)</f>
        <v>75</v>
      </c>
      <c r="K1364" s="88">
        <f>IFERROR(__xludf.DUMMYFUNCTION("""COMPUTED_VALUE"""),6.8)</f>
        <v>6.8</v>
      </c>
      <c r="L1364" s="89">
        <f>IFERROR(__xludf.DUMMYFUNCTION("""COMPUTED_VALUE"""),6.0)</f>
        <v>6</v>
      </c>
      <c r="M1364" s="26" t="str">
        <f>IFERROR(__xludf.DUMMYFUNCTION("""COMPUTED_VALUE"""),"Action-Adventure")</f>
        <v>Action-Adventure</v>
      </c>
      <c r="N1364" s="26"/>
      <c r="O1364" s="26" t="str">
        <f>IFERROR(__xludf.DUMMYFUNCTION("""COMPUTED_VALUE"""),"No")</f>
        <v>No</v>
      </c>
      <c r="P1364" s="26"/>
    </row>
    <row r="1365">
      <c r="A1365" s="81" t="str">
        <f>IFERROR(__xludf.DUMMYFUNCTION("""COMPUTED_VALUE"""),"Savage Moon")</f>
        <v>Savage Moon</v>
      </c>
      <c r="B1365" s="82" t="str">
        <f>IFERROR(__xludf.DUMMYFUNCTION("""COMPUTED_VALUE"""),"PS3")</f>
        <v>PS3</v>
      </c>
      <c r="C1365" s="83" t="str">
        <f>IFERROR(__xludf.DUMMYFUNCTION("""COMPUTED_VALUE"""),"Playstation Plus (Discontinued)")</f>
        <v>Playstation Plus (Discontinued)</v>
      </c>
      <c r="D1365" s="82" t="str">
        <f>IFERROR(__xludf.DUMMYFUNCTION("""COMPUTED_VALUE"""),"Removed")</f>
        <v>Removed</v>
      </c>
      <c r="E1365" s="84">
        <f>IFERROR(__xludf.DUMMYFUNCTION("""COMPUTED_VALUE"""),42465.0)</f>
        <v>42465</v>
      </c>
      <c r="F1365" s="85">
        <f>IFERROR(__xludf.DUMMYFUNCTION("""COMPUTED_VALUE"""),42492.0)</f>
        <v>42492</v>
      </c>
      <c r="G1365" s="86">
        <f>IFERROR(__xludf.DUMMYFUNCTION("""COMPUTED_VALUE"""),0.8999999999999999)</f>
        <v>0.9</v>
      </c>
      <c r="H1365" s="84">
        <f>IFERROR(__xludf.DUMMYFUNCTION("""COMPUTED_VALUE"""),39870.0)</f>
        <v>39870</v>
      </c>
      <c r="I1365" s="86">
        <f>IFERROR(__xludf.DUMMYFUNCTION("""COMPUTED_VALUE"""),7.108333333333333)</f>
        <v>7.108333333</v>
      </c>
      <c r="J1365" s="87">
        <f>IFERROR(__xludf.DUMMYFUNCTION("""COMPUTED_VALUE"""),72.0)</f>
        <v>72</v>
      </c>
      <c r="K1365" s="88">
        <f>IFERROR(__xludf.DUMMYFUNCTION("""COMPUTED_VALUE"""),7.7)</f>
        <v>7.7</v>
      </c>
      <c r="L1365" s="89">
        <f>IFERROR(__xludf.DUMMYFUNCTION("""COMPUTED_VALUE"""),6.0)</f>
        <v>6</v>
      </c>
      <c r="M1365" s="26" t="str">
        <f>IFERROR(__xludf.DUMMYFUNCTION("""COMPUTED_VALUE"""),"Strategy")</f>
        <v>Strategy</v>
      </c>
      <c r="N1365" s="26"/>
      <c r="O1365" s="26" t="str">
        <f>IFERROR(__xludf.DUMMYFUNCTION("""COMPUTED_VALUE"""),"No")</f>
        <v>No</v>
      </c>
      <c r="P1365" s="26"/>
    </row>
    <row r="1366">
      <c r="A1366" s="81" t="str">
        <f>IFERROR(__xludf.DUMMYFUNCTION("""COMPUTED_VALUE"""),"Broforce")</f>
        <v>Broforce</v>
      </c>
      <c r="B1366" s="82" t="str">
        <f>IFERROR(__xludf.DUMMYFUNCTION("""COMPUTED_VALUE"""),"PS4")</f>
        <v>PS4</v>
      </c>
      <c r="C1366" s="83" t="str">
        <f>IFERROR(__xludf.DUMMYFUNCTION("""COMPUTED_VALUE"""),"Playstation Plus (Discontinued)")</f>
        <v>Playstation Plus (Discontinued)</v>
      </c>
      <c r="D1366" s="82" t="str">
        <f>IFERROR(__xludf.DUMMYFUNCTION("""COMPUTED_VALUE"""),"Removed")</f>
        <v>Removed</v>
      </c>
      <c r="E1366" s="84">
        <f>IFERROR(__xludf.DUMMYFUNCTION("""COMPUTED_VALUE"""),42430.0)</f>
        <v>42430</v>
      </c>
      <c r="F1366" s="85">
        <f>IFERROR(__xludf.DUMMYFUNCTION("""COMPUTED_VALUE"""),42464.0)</f>
        <v>42464</v>
      </c>
      <c r="G1366" s="86">
        <f>IFERROR(__xludf.DUMMYFUNCTION("""COMPUTED_VALUE"""),1.0999999999999999)</f>
        <v>1.1</v>
      </c>
      <c r="H1366" s="84">
        <f>IFERROR(__xludf.DUMMYFUNCTION("""COMPUTED_VALUE"""),42292.0)</f>
        <v>42292</v>
      </c>
      <c r="I1366" s="86">
        <f>IFERROR(__xludf.DUMMYFUNCTION("""COMPUTED_VALUE"""),0.37777777777777777)</f>
        <v>0.3777777778</v>
      </c>
      <c r="J1366" s="87">
        <f>IFERROR(__xludf.DUMMYFUNCTION("""COMPUTED_VALUE"""),83.0)</f>
        <v>83</v>
      </c>
      <c r="K1366" s="88">
        <f>IFERROR(__xludf.DUMMYFUNCTION("""COMPUTED_VALUE"""),8.2)</f>
        <v>8.2</v>
      </c>
      <c r="L1366" s="89">
        <f>IFERROR(__xludf.DUMMYFUNCTION("""COMPUTED_VALUE"""),5.0)</f>
        <v>5</v>
      </c>
      <c r="M1366" s="26" t="str">
        <f>IFERROR(__xludf.DUMMYFUNCTION("""COMPUTED_VALUE"""),"Platformer")</f>
        <v>Platformer</v>
      </c>
      <c r="N1366" s="26"/>
      <c r="O1366" s="26" t="str">
        <f>IFERROR(__xludf.DUMMYFUNCTION("""COMPUTED_VALUE"""),"No")</f>
        <v>No</v>
      </c>
      <c r="P1366" s="26"/>
    </row>
    <row r="1367">
      <c r="A1367" s="81" t="str">
        <f>IFERROR(__xludf.DUMMYFUNCTION("""COMPUTED_VALUE"""),"Galak-Z")</f>
        <v>Galak-Z</v>
      </c>
      <c r="B1367" s="82" t="str">
        <f>IFERROR(__xludf.DUMMYFUNCTION("""COMPUTED_VALUE"""),"PS4")</f>
        <v>PS4</v>
      </c>
      <c r="C1367" s="83" t="str">
        <f>IFERROR(__xludf.DUMMYFUNCTION("""COMPUTED_VALUE"""),"Playstation Plus (Discontinued)")</f>
        <v>Playstation Plus (Discontinued)</v>
      </c>
      <c r="D1367" s="82" t="str">
        <f>IFERROR(__xludf.DUMMYFUNCTION("""COMPUTED_VALUE"""),"Removed")</f>
        <v>Removed</v>
      </c>
      <c r="E1367" s="84">
        <f>IFERROR(__xludf.DUMMYFUNCTION("""COMPUTED_VALUE"""),42430.0)</f>
        <v>42430</v>
      </c>
      <c r="F1367" s="85">
        <f>IFERROR(__xludf.DUMMYFUNCTION("""COMPUTED_VALUE"""),42464.0)</f>
        <v>42464</v>
      </c>
      <c r="G1367" s="86">
        <f>IFERROR(__xludf.DUMMYFUNCTION("""COMPUTED_VALUE"""),1.0999999999999999)</f>
        <v>1.1</v>
      </c>
      <c r="H1367" s="84">
        <f>IFERROR(__xludf.DUMMYFUNCTION("""COMPUTED_VALUE"""),42220.0)</f>
        <v>42220</v>
      </c>
      <c r="I1367" s="86">
        <f>IFERROR(__xludf.DUMMYFUNCTION("""COMPUTED_VALUE"""),0.575)</f>
        <v>0.575</v>
      </c>
      <c r="J1367" s="87">
        <f>IFERROR(__xludf.DUMMYFUNCTION("""COMPUTED_VALUE"""),76.0)</f>
        <v>76</v>
      </c>
      <c r="K1367" s="88">
        <f>IFERROR(__xludf.DUMMYFUNCTION("""COMPUTED_VALUE"""),7.5)</f>
        <v>7.5</v>
      </c>
      <c r="L1367" s="89">
        <f>IFERROR(__xludf.DUMMYFUNCTION("""COMPUTED_VALUE"""),10.0)</f>
        <v>10</v>
      </c>
      <c r="M1367" s="26" t="str">
        <f>IFERROR(__xludf.DUMMYFUNCTION("""COMPUTED_VALUE"""),"Shooter")</f>
        <v>Shooter</v>
      </c>
      <c r="N1367" s="26"/>
      <c r="O1367" s="26" t="str">
        <f>IFERROR(__xludf.DUMMYFUNCTION("""COMPUTED_VALUE"""),"No")</f>
        <v>No</v>
      </c>
      <c r="P1367" s="26"/>
    </row>
    <row r="1368">
      <c r="A1368" s="81" t="str">
        <f>IFERROR(__xludf.DUMMYFUNCTION("""COMPUTED_VALUE"""),"Flame Over")</f>
        <v>Flame Over</v>
      </c>
      <c r="B1368" s="82" t="str">
        <f>IFERROR(__xludf.DUMMYFUNCTION("""COMPUTED_VALUE"""),"Vita")</f>
        <v>Vita</v>
      </c>
      <c r="C1368" s="83" t="str">
        <f>IFERROR(__xludf.DUMMYFUNCTION("""COMPUTED_VALUE"""),"Playstation Plus (Discontinued)")</f>
        <v>Playstation Plus (Discontinued)</v>
      </c>
      <c r="D1368" s="82" t="str">
        <f>IFERROR(__xludf.DUMMYFUNCTION("""COMPUTED_VALUE"""),"Removed")</f>
        <v>Removed</v>
      </c>
      <c r="E1368" s="84">
        <f>IFERROR(__xludf.DUMMYFUNCTION("""COMPUTED_VALUE"""),42430.0)</f>
        <v>42430</v>
      </c>
      <c r="F1368" s="85">
        <f>IFERROR(__xludf.DUMMYFUNCTION("""COMPUTED_VALUE"""),42464.0)</f>
        <v>42464</v>
      </c>
      <c r="G1368" s="86">
        <f>IFERROR(__xludf.DUMMYFUNCTION("""COMPUTED_VALUE"""),1.0999999999999999)</f>
        <v>1.1</v>
      </c>
      <c r="H1368" s="84">
        <f>IFERROR(__xludf.DUMMYFUNCTION("""COMPUTED_VALUE"""),42052.0)</f>
        <v>42052</v>
      </c>
      <c r="I1368" s="86">
        <f>IFERROR(__xludf.DUMMYFUNCTION("""COMPUTED_VALUE"""),1.038888888888889)</f>
        <v>1.038888889</v>
      </c>
      <c r="J1368" s="87">
        <f>IFERROR(__xludf.DUMMYFUNCTION("""COMPUTED_VALUE"""),65.0)</f>
        <v>65</v>
      </c>
      <c r="K1368" s="88">
        <f>IFERROR(__xludf.DUMMYFUNCTION("""COMPUTED_VALUE"""),6.9)</f>
        <v>6.9</v>
      </c>
      <c r="L1368" s="89">
        <f>IFERROR(__xludf.DUMMYFUNCTION("""COMPUTED_VALUE"""),6.0)</f>
        <v>6</v>
      </c>
      <c r="M1368" s="26" t="str">
        <f>IFERROR(__xludf.DUMMYFUNCTION("""COMPUTED_VALUE"""),"Action-Adventure")</f>
        <v>Action-Adventure</v>
      </c>
      <c r="N1368" s="26"/>
      <c r="O1368" s="26" t="str">
        <f>IFERROR(__xludf.DUMMYFUNCTION("""COMPUTED_VALUE"""),"No")</f>
        <v>No</v>
      </c>
      <c r="P1368" s="26"/>
    </row>
    <row r="1369">
      <c r="A1369" s="81" t="str">
        <f>IFERROR(__xludf.DUMMYFUNCTION("""COMPUTED_VALUE"""),"Reality Fighters")</f>
        <v>Reality Fighters</v>
      </c>
      <c r="B1369" s="82" t="str">
        <f>IFERROR(__xludf.DUMMYFUNCTION("""COMPUTED_VALUE"""),"Vita")</f>
        <v>Vita</v>
      </c>
      <c r="C1369" s="83" t="str">
        <f>IFERROR(__xludf.DUMMYFUNCTION("""COMPUTED_VALUE"""),"Playstation Plus (Discontinued)")</f>
        <v>Playstation Plus (Discontinued)</v>
      </c>
      <c r="D1369" s="82" t="str">
        <f>IFERROR(__xludf.DUMMYFUNCTION("""COMPUTED_VALUE"""),"Removed")</f>
        <v>Removed</v>
      </c>
      <c r="E1369" s="84">
        <f>IFERROR(__xludf.DUMMYFUNCTION("""COMPUTED_VALUE"""),42430.0)</f>
        <v>42430</v>
      </c>
      <c r="F1369" s="85">
        <f>IFERROR(__xludf.DUMMYFUNCTION("""COMPUTED_VALUE"""),42464.0)</f>
        <v>42464</v>
      </c>
      <c r="G1369" s="86">
        <f>IFERROR(__xludf.DUMMYFUNCTION("""COMPUTED_VALUE"""),1.0999999999999999)</f>
        <v>1.1</v>
      </c>
      <c r="H1369" s="84">
        <f>IFERROR(__xludf.DUMMYFUNCTION("""COMPUTED_VALUE"""),40960.0)</f>
        <v>40960</v>
      </c>
      <c r="I1369" s="86">
        <f>IFERROR(__xludf.DUMMYFUNCTION("""COMPUTED_VALUE"""),4.027777777777778)</f>
        <v>4.027777778</v>
      </c>
      <c r="J1369" s="87">
        <f>IFERROR(__xludf.DUMMYFUNCTION("""COMPUTED_VALUE"""),54.0)</f>
        <v>54</v>
      </c>
      <c r="K1369" s="88">
        <f>IFERROR(__xludf.DUMMYFUNCTION("""COMPUTED_VALUE"""),6.6)</f>
        <v>6.6</v>
      </c>
      <c r="L1369" s="89"/>
      <c r="M1369" s="26" t="str">
        <f>IFERROR(__xludf.DUMMYFUNCTION("""COMPUTED_VALUE"""),"Fighting")</f>
        <v>Fighting</v>
      </c>
      <c r="N1369" s="26"/>
      <c r="O1369" s="26" t="str">
        <f>IFERROR(__xludf.DUMMYFUNCTION("""COMPUTED_VALUE"""),"No")</f>
        <v>No</v>
      </c>
      <c r="P1369" s="26"/>
    </row>
    <row r="1370">
      <c r="A1370" s="81" t="str">
        <f>IFERROR(__xludf.DUMMYFUNCTION("""COMPUTED_VALUE"""),"Super Stardust HD")</f>
        <v>Super Stardust HD</v>
      </c>
      <c r="B1370" s="82" t="str">
        <f>IFERROR(__xludf.DUMMYFUNCTION("""COMPUTED_VALUE"""),"PS3")</f>
        <v>PS3</v>
      </c>
      <c r="C1370" s="83" t="str">
        <f>IFERROR(__xludf.DUMMYFUNCTION("""COMPUTED_VALUE"""),"Playstation Plus (Discontinued)")</f>
        <v>Playstation Plus (Discontinued)</v>
      </c>
      <c r="D1370" s="82" t="str">
        <f>IFERROR(__xludf.DUMMYFUNCTION("""COMPUTED_VALUE"""),"Removed")</f>
        <v>Removed</v>
      </c>
      <c r="E1370" s="84">
        <f>IFERROR(__xludf.DUMMYFUNCTION("""COMPUTED_VALUE"""),42430.0)</f>
        <v>42430</v>
      </c>
      <c r="F1370" s="85">
        <f>IFERROR(__xludf.DUMMYFUNCTION("""COMPUTED_VALUE"""),42464.0)</f>
        <v>42464</v>
      </c>
      <c r="G1370" s="86">
        <f>IFERROR(__xludf.DUMMYFUNCTION("""COMPUTED_VALUE"""),1.0999999999999999)</f>
        <v>1.1</v>
      </c>
      <c r="H1370" s="84">
        <f>IFERROR(__xludf.DUMMYFUNCTION("""COMPUTED_VALUE"""),39261.0)</f>
        <v>39261</v>
      </c>
      <c r="I1370" s="86">
        <f>IFERROR(__xludf.DUMMYFUNCTION("""COMPUTED_VALUE"""),8.675)</f>
        <v>8.675</v>
      </c>
      <c r="J1370" s="87">
        <f>IFERROR(__xludf.DUMMYFUNCTION("""COMPUTED_VALUE"""),86.0)</f>
        <v>86</v>
      </c>
      <c r="K1370" s="88">
        <f>IFERROR(__xludf.DUMMYFUNCTION("""COMPUTED_VALUE"""),8.2)</f>
        <v>8.2</v>
      </c>
      <c r="L1370" s="89"/>
      <c r="M1370" s="26" t="str">
        <f>IFERROR(__xludf.DUMMYFUNCTION("""COMPUTED_VALUE"""),"Shooter")</f>
        <v>Shooter</v>
      </c>
      <c r="N1370" s="26"/>
      <c r="O1370" s="26" t="str">
        <f>IFERROR(__xludf.DUMMYFUNCTION("""COMPUTED_VALUE"""),"No")</f>
        <v>No</v>
      </c>
      <c r="P1370" s="26"/>
    </row>
    <row r="1371">
      <c r="A1371" s="81" t="str">
        <f>IFERROR(__xludf.DUMMYFUNCTION("""COMPUTED_VALUE"""),"The Last Guy")</f>
        <v>The Last Guy</v>
      </c>
      <c r="B1371" s="82" t="str">
        <f>IFERROR(__xludf.DUMMYFUNCTION("""COMPUTED_VALUE"""),"PS3")</f>
        <v>PS3</v>
      </c>
      <c r="C1371" s="83" t="str">
        <f>IFERROR(__xludf.DUMMYFUNCTION("""COMPUTED_VALUE"""),"Playstation Plus (Discontinued)")</f>
        <v>Playstation Plus (Discontinued)</v>
      </c>
      <c r="D1371" s="82" t="str">
        <f>IFERROR(__xludf.DUMMYFUNCTION("""COMPUTED_VALUE"""),"Removed")</f>
        <v>Removed</v>
      </c>
      <c r="E1371" s="84">
        <f>IFERROR(__xludf.DUMMYFUNCTION("""COMPUTED_VALUE"""),42430.0)</f>
        <v>42430</v>
      </c>
      <c r="F1371" s="85">
        <f>IFERROR(__xludf.DUMMYFUNCTION("""COMPUTED_VALUE"""),42464.0)</f>
        <v>42464</v>
      </c>
      <c r="G1371" s="86">
        <f>IFERROR(__xludf.DUMMYFUNCTION("""COMPUTED_VALUE"""),1.0999999999999999)</f>
        <v>1.1</v>
      </c>
      <c r="H1371" s="84">
        <f>IFERROR(__xludf.DUMMYFUNCTION("""COMPUTED_VALUE"""),39688.0)</f>
        <v>39688</v>
      </c>
      <c r="I1371" s="86">
        <f>IFERROR(__xludf.DUMMYFUNCTION("""COMPUTED_VALUE"""),7.508333333333334)</f>
        <v>7.508333333</v>
      </c>
      <c r="J1371" s="87">
        <f>IFERROR(__xludf.DUMMYFUNCTION("""COMPUTED_VALUE"""),81.0)</f>
        <v>81</v>
      </c>
      <c r="K1371" s="88">
        <f>IFERROR(__xludf.DUMMYFUNCTION("""COMPUTED_VALUE"""),7.5)</f>
        <v>7.5</v>
      </c>
      <c r="L1371" s="89">
        <f>IFERROR(__xludf.DUMMYFUNCTION("""COMPUTED_VALUE"""),8.0)</f>
        <v>8</v>
      </c>
      <c r="M1371" s="26" t="str">
        <f>IFERROR(__xludf.DUMMYFUNCTION("""COMPUTED_VALUE"""),"Strategy")</f>
        <v>Strategy</v>
      </c>
      <c r="N1371" s="26"/>
      <c r="O1371" s="26" t="str">
        <f>IFERROR(__xludf.DUMMYFUNCTION("""COMPUTED_VALUE"""),"No")</f>
        <v>No</v>
      </c>
      <c r="P1371" s="26"/>
    </row>
    <row r="1372">
      <c r="A1372" s="81" t="str">
        <f>IFERROR(__xludf.DUMMYFUNCTION("""COMPUTED_VALUE"""),"Helldivers")</f>
        <v>Helldivers</v>
      </c>
      <c r="B1372" s="82" t="str">
        <f>IFERROR(__xludf.DUMMYFUNCTION("""COMPUTED_VALUE"""),"PS4/PS3/Vita")</f>
        <v>PS4/PS3/Vita</v>
      </c>
      <c r="C1372" s="83" t="str">
        <f>IFERROR(__xludf.DUMMYFUNCTION("""COMPUTED_VALUE"""),"Playstation Plus (Discontinued)")</f>
        <v>Playstation Plus (Discontinued)</v>
      </c>
      <c r="D1372" s="82" t="str">
        <f>IFERROR(__xludf.DUMMYFUNCTION("""COMPUTED_VALUE"""),"Removed")</f>
        <v>Removed</v>
      </c>
      <c r="E1372" s="84">
        <f>IFERROR(__xludf.DUMMYFUNCTION("""COMPUTED_VALUE"""),42402.0)</f>
        <v>42402</v>
      </c>
      <c r="F1372" s="85">
        <f>IFERROR(__xludf.DUMMYFUNCTION("""COMPUTED_VALUE"""),42429.0)</f>
        <v>42429</v>
      </c>
      <c r="G1372" s="86">
        <f>IFERROR(__xludf.DUMMYFUNCTION("""COMPUTED_VALUE"""),0.8999999999999999)</f>
        <v>0.9</v>
      </c>
      <c r="H1372" s="84">
        <f>IFERROR(__xludf.DUMMYFUNCTION("""COMPUTED_VALUE"""),42066.0)</f>
        <v>42066</v>
      </c>
      <c r="I1372" s="86">
        <f>IFERROR(__xludf.DUMMYFUNCTION("""COMPUTED_VALUE"""),0.9138888888888889)</f>
        <v>0.9138888889</v>
      </c>
      <c r="J1372" s="87">
        <f>IFERROR(__xludf.DUMMYFUNCTION("""COMPUTED_VALUE"""),83.0)</f>
        <v>83</v>
      </c>
      <c r="K1372" s="88">
        <f>IFERROR(__xludf.DUMMYFUNCTION("""COMPUTED_VALUE"""),7.8)</f>
        <v>7.8</v>
      </c>
      <c r="L1372" s="89">
        <f>IFERROR(__xludf.DUMMYFUNCTION("""COMPUTED_VALUE"""),6.0)</f>
        <v>6</v>
      </c>
      <c r="M1372" s="26" t="str">
        <f>IFERROR(__xludf.DUMMYFUNCTION("""COMPUTED_VALUE"""),"Shooter")</f>
        <v>Shooter</v>
      </c>
      <c r="N1372" s="26"/>
      <c r="O1372" s="26" t="str">
        <f>IFERROR(__xludf.DUMMYFUNCTION("""COMPUTED_VALUE"""),"No")</f>
        <v>No</v>
      </c>
      <c r="P1372" s="26"/>
    </row>
    <row r="1373">
      <c r="A1373" s="81" t="str">
        <f>IFERROR(__xludf.DUMMYFUNCTION("""COMPUTED_VALUE"""),"Nom Nom Galaxy")</f>
        <v>Nom Nom Galaxy</v>
      </c>
      <c r="B1373" s="82" t="str">
        <f>IFERROR(__xludf.DUMMYFUNCTION("""COMPUTED_VALUE"""),"PS4")</f>
        <v>PS4</v>
      </c>
      <c r="C1373" s="83" t="str">
        <f>IFERROR(__xludf.DUMMYFUNCTION("""COMPUTED_VALUE"""),"Playstation Plus (Discontinued)")</f>
        <v>Playstation Plus (Discontinued)</v>
      </c>
      <c r="D1373" s="82" t="str">
        <f>IFERROR(__xludf.DUMMYFUNCTION("""COMPUTED_VALUE"""),"Removed")</f>
        <v>Removed</v>
      </c>
      <c r="E1373" s="84">
        <f>IFERROR(__xludf.DUMMYFUNCTION("""COMPUTED_VALUE"""),42402.0)</f>
        <v>42402</v>
      </c>
      <c r="F1373" s="85">
        <f>IFERROR(__xludf.DUMMYFUNCTION("""COMPUTED_VALUE"""),42429.0)</f>
        <v>42429</v>
      </c>
      <c r="G1373" s="86">
        <f>IFERROR(__xludf.DUMMYFUNCTION("""COMPUTED_VALUE"""),0.8999999999999999)</f>
        <v>0.9</v>
      </c>
      <c r="H1373" s="84">
        <f>IFERROR(__xludf.DUMMYFUNCTION("""COMPUTED_VALUE"""),42136.0)</f>
        <v>42136</v>
      </c>
      <c r="I1373" s="86">
        <f>IFERROR(__xludf.DUMMYFUNCTION("""COMPUTED_VALUE"""),0.7222222222222222)</f>
        <v>0.7222222222</v>
      </c>
      <c r="J1373" s="87">
        <f>IFERROR(__xludf.DUMMYFUNCTION("""COMPUTED_VALUE"""),70.0)</f>
        <v>70</v>
      </c>
      <c r="K1373" s="88">
        <f>IFERROR(__xludf.DUMMYFUNCTION("""COMPUTED_VALUE"""),6.7)</f>
        <v>6.7</v>
      </c>
      <c r="L1373" s="89">
        <f>IFERROR(__xludf.DUMMYFUNCTION("""COMPUTED_VALUE"""),9.0)</f>
        <v>9</v>
      </c>
      <c r="M1373" s="26" t="str">
        <f>IFERROR(__xludf.DUMMYFUNCTION("""COMPUTED_VALUE"""),"Action-Adventure")</f>
        <v>Action-Adventure</v>
      </c>
      <c r="N1373" s="26"/>
      <c r="O1373" s="26" t="str">
        <f>IFERROR(__xludf.DUMMYFUNCTION("""COMPUTED_VALUE"""),"No")</f>
        <v>No</v>
      </c>
      <c r="P1373" s="26"/>
    </row>
    <row r="1374">
      <c r="A1374" s="81" t="str">
        <f>IFERROR(__xludf.DUMMYFUNCTION("""COMPUTED_VALUE"""),"Nova-111")</f>
        <v>Nova-111</v>
      </c>
      <c r="B1374" s="82" t="str">
        <f>IFERROR(__xludf.DUMMYFUNCTION("""COMPUTED_VALUE"""),"Vita")</f>
        <v>Vita</v>
      </c>
      <c r="C1374" s="83" t="str">
        <f>IFERROR(__xludf.DUMMYFUNCTION("""COMPUTED_VALUE"""),"Playstation Plus (Discontinued)")</f>
        <v>Playstation Plus (Discontinued)</v>
      </c>
      <c r="D1374" s="82" t="str">
        <f>IFERROR(__xludf.DUMMYFUNCTION("""COMPUTED_VALUE"""),"Removed")</f>
        <v>Removed</v>
      </c>
      <c r="E1374" s="84">
        <f>IFERROR(__xludf.DUMMYFUNCTION("""COMPUTED_VALUE"""),42402.0)</f>
        <v>42402</v>
      </c>
      <c r="F1374" s="85">
        <f>IFERROR(__xludf.DUMMYFUNCTION("""COMPUTED_VALUE"""),42429.0)</f>
        <v>42429</v>
      </c>
      <c r="G1374" s="86">
        <f>IFERROR(__xludf.DUMMYFUNCTION("""COMPUTED_VALUE"""),0.8999999999999999)</f>
        <v>0.9</v>
      </c>
      <c r="H1374" s="84">
        <f>IFERROR(__xludf.DUMMYFUNCTION("""COMPUTED_VALUE"""),42241.0)</f>
        <v>42241</v>
      </c>
      <c r="I1374" s="86">
        <f>IFERROR(__xludf.DUMMYFUNCTION("""COMPUTED_VALUE"""),0.4361111111111111)</f>
        <v>0.4361111111</v>
      </c>
      <c r="J1374" s="87">
        <f>IFERROR(__xludf.DUMMYFUNCTION("""COMPUTED_VALUE"""),75.0)</f>
        <v>75</v>
      </c>
      <c r="K1374" s="88">
        <f>IFERROR(__xludf.DUMMYFUNCTION("""COMPUTED_VALUE"""),7.1)</f>
        <v>7.1</v>
      </c>
      <c r="L1374" s="89">
        <f>IFERROR(__xludf.DUMMYFUNCTION("""COMPUTED_VALUE"""),5.0)</f>
        <v>5</v>
      </c>
      <c r="M1374" s="26" t="str">
        <f>IFERROR(__xludf.DUMMYFUNCTION("""COMPUTED_VALUE"""),"Strategy")</f>
        <v>Strategy</v>
      </c>
      <c r="N1374" s="26"/>
      <c r="O1374" s="26" t="str">
        <f>IFERROR(__xludf.DUMMYFUNCTION("""COMPUTED_VALUE"""),"No")</f>
        <v>No</v>
      </c>
      <c r="P1374" s="26"/>
    </row>
    <row r="1375">
      <c r="A1375" s="81" t="str">
        <f>IFERROR(__xludf.DUMMYFUNCTION("""COMPUTED_VALUE"""),"Lemmings Touch")</f>
        <v>Lemmings Touch</v>
      </c>
      <c r="B1375" s="82" t="str">
        <f>IFERROR(__xludf.DUMMYFUNCTION("""COMPUTED_VALUE"""),"Vita")</f>
        <v>Vita</v>
      </c>
      <c r="C1375" s="83" t="str">
        <f>IFERROR(__xludf.DUMMYFUNCTION("""COMPUTED_VALUE"""),"Playstation Plus (Discontinued)")</f>
        <v>Playstation Plus (Discontinued)</v>
      </c>
      <c r="D1375" s="82" t="str">
        <f>IFERROR(__xludf.DUMMYFUNCTION("""COMPUTED_VALUE"""),"Removed")</f>
        <v>Removed</v>
      </c>
      <c r="E1375" s="84">
        <f>IFERROR(__xludf.DUMMYFUNCTION("""COMPUTED_VALUE"""),42402.0)</f>
        <v>42402</v>
      </c>
      <c r="F1375" s="85">
        <f>IFERROR(__xludf.DUMMYFUNCTION("""COMPUTED_VALUE"""),42429.0)</f>
        <v>42429</v>
      </c>
      <c r="G1375" s="86">
        <f>IFERROR(__xludf.DUMMYFUNCTION("""COMPUTED_VALUE"""),0.8999999999999999)</f>
        <v>0.9</v>
      </c>
      <c r="H1375" s="84">
        <f>IFERROR(__xludf.DUMMYFUNCTION("""COMPUTED_VALUE"""),41976.0)</f>
        <v>41976</v>
      </c>
      <c r="I1375" s="86">
        <f>IFERROR(__xludf.DUMMYFUNCTION("""COMPUTED_VALUE"""),1.163888888888889)</f>
        <v>1.163888889</v>
      </c>
      <c r="J1375" s="87">
        <f>IFERROR(__xludf.DUMMYFUNCTION("""COMPUTED_VALUE"""),68.0)</f>
        <v>68</v>
      </c>
      <c r="K1375" s="88">
        <f>IFERROR(__xludf.DUMMYFUNCTION("""COMPUTED_VALUE"""),6.8)</f>
        <v>6.8</v>
      </c>
      <c r="L1375" s="89">
        <f>IFERROR(__xludf.DUMMYFUNCTION("""COMPUTED_VALUE"""),5.0)</f>
        <v>5</v>
      </c>
      <c r="M1375" s="26" t="str">
        <f>IFERROR(__xludf.DUMMYFUNCTION("""COMPUTED_VALUE"""),"Puzzle")</f>
        <v>Puzzle</v>
      </c>
      <c r="N1375" s="26"/>
      <c r="O1375" s="26" t="str">
        <f>IFERROR(__xludf.DUMMYFUNCTION("""COMPUTED_VALUE"""),"No")</f>
        <v>No</v>
      </c>
      <c r="P1375" s="26"/>
    </row>
    <row r="1376">
      <c r="A1376" s="81" t="str">
        <f>IFERROR(__xludf.DUMMYFUNCTION("""COMPUTED_VALUE"""),"Persona 4 Arena Ultimax")</f>
        <v>Persona 4 Arena Ultimax</v>
      </c>
      <c r="B1376" s="82" t="str">
        <f>IFERROR(__xludf.DUMMYFUNCTION("""COMPUTED_VALUE"""),"PS3")</f>
        <v>PS3</v>
      </c>
      <c r="C1376" s="83" t="str">
        <f>IFERROR(__xludf.DUMMYFUNCTION("""COMPUTED_VALUE"""),"Playstation Plus (Discontinued)")</f>
        <v>Playstation Plus (Discontinued)</v>
      </c>
      <c r="D1376" s="82" t="str">
        <f>IFERROR(__xludf.DUMMYFUNCTION("""COMPUTED_VALUE"""),"Removed")</f>
        <v>Removed</v>
      </c>
      <c r="E1376" s="84">
        <f>IFERROR(__xludf.DUMMYFUNCTION("""COMPUTED_VALUE"""),42402.0)</f>
        <v>42402</v>
      </c>
      <c r="F1376" s="85">
        <f>IFERROR(__xludf.DUMMYFUNCTION("""COMPUTED_VALUE"""),42429.0)</f>
        <v>42429</v>
      </c>
      <c r="G1376" s="86">
        <f>IFERROR(__xludf.DUMMYFUNCTION("""COMPUTED_VALUE"""),0.8999999999999999)</f>
        <v>0.9</v>
      </c>
      <c r="H1376" s="84">
        <f>IFERROR(__xludf.DUMMYFUNCTION("""COMPUTED_VALUE"""),41912.0)</f>
        <v>41912</v>
      </c>
      <c r="I1376" s="86">
        <f>IFERROR(__xludf.DUMMYFUNCTION("""COMPUTED_VALUE"""),1.3388888888888888)</f>
        <v>1.338888889</v>
      </c>
      <c r="J1376" s="87">
        <f>IFERROR(__xludf.DUMMYFUNCTION("""COMPUTED_VALUE"""),84.0)</f>
        <v>84</v>
      </c>
      <c r="K1376" s="88">
        <f>IFERROR(__xludf.DUMMYFUNCTION("""COMPUTED_VALUE"""),8.0)</f>
        <v>8</v>
      </c>
      <c r="L1376" s="89"/>
      <c r="M1376" s="26" t="str">
        <f>IFERROR(__xludf.DUMMYFUNCTION("""COMPUTED_VALUE"""),"Fighting")</f>
        <v>Fighting</v>
      </c>
      <c r="N1376" s="26"/>
      <c r="O1376" s="26" t="str">
        <f>IFERROR(__xludf.DUMMYFUNCTION("""COMPUTED_VALUE"""),"No")</f>
        <v>No</v>
      </c>
      <c r="P1376" s="26"/>
    </row>
    <row r="1377">
      <c r="A1377" s="81" t="str">
        <f>IFERROR(__xludf.DUMMYFUNCTION("""COMPUTED_VALUE"""),"Grid Autosport")</f>
        <v>Grid Autosport</v>
      </c>
      <c r="B1377" s="82" t="str">
        <f>IFERROR(__xludf.DUMMYFUNCTION("""COMPUTED_VALUE"""),"PS3")</f>
        <v>PS3</v>
      </c>
      <c r="C1377" s="83" t="str">
        <f>IFERROR(__xludf.DUMMYFUNCTION("""COMPUTED_VALUE"""),"Playstation Plus (Discontinued)")</f>
        <v>Playstation Plus (Discontinued)</v>
      </c>
      <c r="D1377" s="82" t="str">
        <f>IFERROR(__xludf.DUMMYFUNCTION("""COMPUTED_VALUE"""),"Removed")</f>
        <v>Removed</v>
      </c>
      <c r="E1377" s="84">
        <f>IFERROR(__xludf.DUMMYFUNCTION("""COMPUTED_VALUE"""),42402.0)</f>
        <v>42402</v>
      </c>
      <c r="F1377" s="85">
        <f>IFERROR(__xludf.DUMMYFUNCTION("""COMPUTED_VALUE"""),42429.0)</f>
        <v>42429</v>
      </c>
      <c r="G1377" s="86">
        <f>IFERROR(__xludf.DUMMYFUNCTION("""COMPUTED_VALUE"""),0.8999999999999999)</f>
        <v>0.9</v>
      </c>
      <c r="H1377" s="84">
        <f>IFERROR(__xludf.DUMMYFUNCTION("""COMPUTED_VALUE"""),41814.0)</f>
        <v>41814</v>
      </c>
      <c r="I1377" s="86">
        <f>IFERROR(__xludf.DUMMYFUNCTION("""COMPUTED_VALUE"""),1.6055555555555556)</f>
        <v>1.605555556</v>
      </c>
      <c r="J1377" s="87">
        <f>IFERROR(__xludf.DUMMYFUNCTION("""COMPUTED_VALUE"""),78.0)</f>
        <v>78</v>
      </c>
      <c r="K1377" s="88">
        <f>IFERROR(__xludf.DUMMYFUNCTION("""COMPUTED_VALUE"""),7.6)</f>
        <v>7.6</v>
      </c>
      <c r="L1377" s="89">
        <f>IFERROR(__xludf.DUMMYFUNCTION("""COMPUTED_VALUE"""),32.0)</f>
        <v>32</v>
      </c>
      <c r="M1377" s="26" t="str">
        <f>IFERROR(__xludf.DUMMYFUNCTION("""COMPUTED_VALUE"""),"Racing")</f>
        <v>Racing</v>
      </c>
      <c r="N1377" s="26"/>
      <c r="O1377" s="26" t="str">
        <f>IFERROR(__xludf.DUMMYFUNCTION("""COMPUTED_VALUE"""),"No")</f>
        <v>No</v>
      </c>
      <c r="P1377" s="26"/>
    </row>
    <row r="1378">
      <c r="A1378" s="81" t="str">
        <f>IFERROR(__xludf.DUMMYFUNCTION("""COMPUTED_VALUE"""),"Hardware: Rivals")</f>
        <v>Hardware: Rivals</v>
      </c>
      <c r="B1378" s="82" t="str">
        <f>IFERROR(__xludf.DUMMYFUNCTION("""COMPUTED_VALUE"""),"PS4")</f>
        <v>PS4</v>
      </c>
      <c r="C1378" s="83" t="str">
        <f>IFERROR(__xludf.DUMMYFUNCTION("""COMPUTED_VALUE"""),"Playstation Plus (Discontinued)")</f>
        <v>Playstation Plus (Discontinued)</v>
      </c>
      <c r="D1378" s="82" t="str">
        <f>IFERROR(__xludf.DUMMYFUNCTION("""COMPUTED_VALUE"""),"Removed")</f>
        <v>Removed</v>
      </c>
      <c r="E1378" s="84">
        <f>IFERROR(__xludf.DUMMYFUNCTION("""COMPUTED_VALUE"""),42374.0)</f>
        <v>42374</v>
      </c>
      <c r="F1378" s="85">
        <f>IFERROR(__xludf.DUMMYFUNCTION("""COMPUTED_VALUE"""),42401.0)</f>
        <v>42401</v>
      </c>
      <c r="G1378" s="86">
        <f>IFERROR(__xludf.DUMMYFUNCTION("""COMPUTED_VALUE"""),0.8666666666666666)</f>
        <v>0.8666666667</v>
      </c>
      <c r="H1378" s="84">
        <f>IFERROR(__xludf.DUMMYFUNCTION("""COMPUTED_VALUE"""),42374.0)</f>
        <v>42374</v>
      </c>
      <c r="I1378" s="86">
        <f>IFERROR(__xludf.DUMMYFUNCTION("""COMPUTED_VALUE"""),0.0)</f>
        <v>0</v>
      </c>
      <c r="J1378" s="87">
        <f>IFERROR(__xludf.DUMMYFUNCTION("""COMPUTED_VALUE"""),56.0)</f>
        <v>56</v>
      </c>
      <c r="K1378" s="88">
        <f>IFERROR(__xludf.DUMMYFUNCTION("""COMPUTED_VALUE"""),5.9)</f>
        <v>5.9</v>
      </c>
      <c r="L1378" s="89"/>
      <c r="M1378" s="26" t="str">
        <f>IFERROR(__xludf.DUMMYFUNCTION("""COMPUTED_VALUE"""),"Shooter")</f>
        <v>Shooter</v>
      </c>
      <c r="N1378" s="26"/>
      <c r="O1378" s="26" t="str">
        <f>IFERROR(__xludf.DUMMYFUNCTION("""COMPUTED_VALUE"""),"No")</f>
        <v>No</v>
      </c>
      <c r="P1378" s="26"/>
    </row>
    <row r="1379">
      <c r="A1379" s="81" t="str">
        <f>IFERROR(__xludf.DUMMYFUNCTION("""COMPUTED_VALUE"""),"Grim Fandango Remastered")</f>
        <v>Grim Fandango Remastered</v>
      </c>
      <c r="B1379" s="82" t="str">
        <f>IFERROR(__xludf.DUMMYFUNCTION("""COMPUTED_VALUE"""),"PS4/Vita")</f>
        <v>PS4/Vita</v>
      </c>
      <c r="C1379" s="83" t="str">
        <f>IFERROR(__xludf.DUMMYFUNCTION("""COMPUTED_VALUE"""),"Playstation Plus (Discontinued)")</f>
        <v>Playstation Plus (Discontinued)</v>
      </c>
      <c r="D1379" s="82" t="str">
        <f>IFERROR(__xludf.DUMMYFUNCTION("""COMPUTED_VALUE"""),"Removed")</f>
        <v>Removed</v>
      </c>
      <c r="E1379" s="84">
        <f>IFERROR(__xludf.DUMMYFUNCTION("""COMPUTED_VALUE"""),42374.0)</f>
        <v>42374</v>
      </c>
      <c r="F1379" s="85">
        <f>IFERROR(__xludf.DUMMYFUNCTION("""COMPUTED_VALUE"""),42401.0)</f>
        <v>42401</v>
      </c>
      <c r="G1379" s="86">
        <f>IFERROR(__xludf.DUMMYFUNCTION("""COMPUTED_VALUE"""),0.8666666666666666)</f>
        <v>0.8666666667</v>
      </c>
      <c r="H1379" s="84">
        <f>IFERROR(__xludf.DUMMYFUNCTION("""COMPUTED_VALUE"""),42031.0)</f>
        <v>42031</v>
      </c>
      <c r="I1379" s="86">
        <f>IFERROR(__xludf.DUMMYFUNCTION("""COMPUTED_VALUE"""),0.9388888888888889)</f>
        <v>0.9388888889</v>
      </c>
      <c r="J1379" s="87">
        <f>IFERROR(__xludf.DUMMYFUNCTION("""COMPUTED_VALUE"""),80.0)</f>
        <v>80</v>
      </c>
      <c r="K1379" s="88">
        <f>IFERROR(__xludf.DUMMYFUNCTION("""COMPUTED_VALUE"""),8.2)</f>
        <v>8.2</v>
      </c>
      <c r="L1379" s="89">
        <f>IFERROR(__xludf.DUMMYFUNCTION("""COMPUTED_VALUE"""),11.0)</f>
        <v>11</v>
      </c>
      <c r="M1379" s="26" t="str">
        <f>IFERROR(__xludf.DUMMYFUNCTION("""COMPUTED_VALUE"""),"Adventure")</f>
        <v>Adventure</v>
      </c>
      <c r="N1379" s="26"/>
      <c r="O1379" s="26" t="str">
        <f>IFERROR(__xludf.DUMMYFUNCTION("""COMPUTED_VALUE"""),"No")</f>
        <v>No</v>
      </c>
      <c r="P1379" s="26"/>
    </row>
    <row r="1380">
      <c r="A1380" s="81" t="str">
        <f>IFERROR(__xludf.DUMMYFUNCTION("""COMPUTED_VALUE"""),"Nihilumbra")</f>
        <v>Nihilumbra</v>
      </c>
      <c r="B1380" s="82" t="str">
        <f>IFERROR(__xludf.DUMMYFUNCTION("""COMPUTED_VALUE"""),"Vita")</f>
        <v>Vita</v>
      </c>
      <c r="C1380" s="83" t="str">
        <f>IFERROR(__xludf.DUMMYFUNCTION("""COMPUTED_VALUE"""),"Playstation Plus (Discontinued)")</f>
        <v>Playstation Plus (Discontinued)</v>
      </c>
      <c r="D1380" s="82" t="str">
        <f>IFERROR(__xludf.DUMMYFUNCTION("""COMPUTED_VALUE"""),"Removed")</f>
        <v>Removed</v>
      </c>
      <c r="E1380" s="84">
        <f>IFERROR(__xludf.DUMMYFUNCTION("""COMPUTED_VALUE"""),42374.0)</f>
        <v>42374</v>
      </c>
      <c r="F1380" s="85">
        <f>IFERROR(__xludf.DUMMYFUNCTION("""COMPUTED_VALUE"""),42401.0)</f>
        <v>42401</v>
      </c>
      <c r="G1380" s="86">
        <f>IFERROR(__xludf.DUMMYFUNCTION("""COMPUTED_VALUE"""),0.8666666666666666)</f>
        <v>0.8666666667</v>
      </c>
      <c r="H1380" s="84">
        <f>IFERROR(__xludf.DUMMYFUNCTION("""COMPUTED_VALUE"""),41817.0)</f>
        <v>41817</v>
      </c>
      <c r="I1380" s="86">
        <f>IFERROR(__xludf.DUMMYFUNCTION("""COMPUTED_VALUE"""),1.5222222222222221)</f>
        <v>1.522222222</v>
      </c>
      <c r="J1380" s="87">
        <f>IFERROR(__xludf.DUMMYFUNCTION("""COMPUTED_VALUE"""),75.0)</f>
        <v>75</v>
      </c>
      <c r="K1380" s="88">
        <f>IFERROR(__xludf.DUMMYFUNCTION("""COMPUTED_VALUE"""),7.2)</f>
        <v>7.2</v>
      </c>
      <c r="L1380" s="89">
        <f>IFERROR(__xludf.DUMMYFUNCTION("""COMPUTED_VALUE"""),5.0)</f>
        <v>5</v>
      </c>
      <c r="M1380" s="26" t="str">
        <f>IFERROR(__xludf.DUMMYFUNCTION("""COMPUTED_VALUE"""),"Platformer")</f>
        <v>Platformer</v>
      </c>
      <c r="N1380" s="26"/>
      <c r="O1380" s="26" t="str">
        <f>IFERROR(__xludf.DUMMYFUNCTION("""COMPUTED_VALUE"""),"No")</f>
        <v>No</v>
      </c>
      <c r="P1380" s="26"/>
    </row>
    <row r="1381">
      <c r="A1381" s="81" t="str">
        <f>IFERROR(__xludf.DUMMYFUNCTION("""COMPUTED_VALUE"""),"History Legends of War: Patton")</f>
        <v>History Legends of War: Patton</v>
      </c>
      <c r="B1381" s="82" t="str">
        <f>IFERROR(__xludf.DUMMYFUNCTION("""COMPUTED_VALUE"""),"Vita")</f>
        <v>Vita</v>
      </c>
      <c r="C1381" s="83" t="str">
        <f>IFERROR(__xludf.DUMMYFUNCTION("""COMPUTED_VALUE"""),"Playstation Plus (Discontinued)")</f>
        <v>Playstation Plus (Discontinued)</v>
      </c>
      <c r="D1381" s="82" t="str">
        <f>IFERROR(__xludf.DUMMYFUNCTION("""COMPUTED_VALUE"""),"Removed")</f>
        <v>Removed</v>
      </c>
      <c r="E1381" s="84">
        <f>IFERROR(__xludf.DUMMYFUNCTION("""COMPUTED_VALUE"""),42374.0)</f>
        <v>42374</v>
      </c>
      <c r="F1381" s="85">
        <f>IFERROR(__xludf.DUMMYFUNCTION("""COMPUTED_VALUE"""),42401.0)</f>
        <v>42401</v>
      </c>
      <c r="G1381" s="86">
        <f>IFERROR(__xludf.DUMMYFUNCTION("""COMPUTED_VALUE"""),0.8666666666666666)</f>
        <v>0.8666666667</v>
      </c>
      <c r="H1381" s="84">
        <f>IFERROR(__xludf.DUMMYFUNCTION("""COMPUTED_VALUE"""),41801.0)</f>
        <v>41801</v>
      </c>
      <c r="I1381" s="86">
        <f>IFERROR(__xludf.DUMMYFUNCTION("""COMPUTED_VALUE"""),1.5666666666666667)</f>
        <v>1.566666667</v>
      </c>
      <c r="J1381" s="87">
        <f>IFERROR(__xludf.DUMMYFUNCTION("""COMPUTED_VALUE"""),58.0)</f>
        <v>58</v>
      </c>
      <c r="K1381" s="88">
        <f>IFERROR(__xludf.DUMMYFUNCTION("""COMPUTED_VALUE"""),6.8)</f>
        <v>6.8</v>
      </c>
      <c r="L1381" s="89">
        <f>IFERROR(__xludf.DUMMYFUNCTION("""COMPUTED_VALUE"""),15.0)</f>
        <v>15</v>
      </c>
      <c r="M1381" s="26" t="str">
        <f>IFERROR(__xludf.DUMMYFUNCTION("""COMPUTED_VALUE"""),"Strategy")</f>
        <v>Strategy</v>
      </c>
      <c r="N1381" s="26"/>
      <c r="O1381" s="26" t="str">
        <f>IFERROR(__xludf.DUMMYFUNCTION("""COMPUTED_VALUE"""),"No")</f>
        <v>No</v>
      </c>
      <c r="P1381" s="26"/>
    </row>
    <row r="1382">
      <c r="A1382" s="81" t="str">
        <f>IFERROR(__xludf.DUMMYFUNCTION("""COMPUTED_VALUE"""),"Dragon Age: Origins")</f>
        <v>Dragon Age: Origins</v>
      </c>
      <c r="B1382" s="82" t="str">
        <f>IFERROR(__xludf.DUMMYFUNCTION("""COMPUTED_VALUE"""),"PS3")</f>
        <v>PS3</v>
      </c>
      <c r="C1382" s="83" t="str">
        <f>IFERROR(__xludf.DUMMYFUNCTION("""COMPUTED_VALUE"""),"Playstation Plus (Discontinued)")</f>
        <v>Playstation Plus (Discontinued)</v>
      </c>
      <c r="D1382" s="82" t="str">
        <f>IFERROR(__xludf.DUMMYFUNCTION("""COMPUTED_VALUE"""),"Removed")</f>
        <v>Removed</v>
      </c>
      <c r="E1382" s="84">
        <f>IFERROR(__xludf.DUMMYFUNCTION("""COMPUTED_VALUE"""),42374.0)</f>
        <v>42374</v>
      </c>
      <c r="F1382" s="85">
        <f>IFERROR(__xludf.DUMMYFUNCTION("""COMPUTED_VALUE"""),42401.0)</f>
        <v>42401</v>
      </c>
      <c r="G1382" s="86">
        <f>IFERROR(__xludf.DUMMYFUNCTION("""COMPUTED_VALUE"""),0.8666666666666666)</f>
        <v>0.8666666667</v>
      </c>
      <c r="H1382" s="84">
        <f>IFERROR(__xludf.DUMMYFUNCTION("""COMPUTED_VALUE"""),40120.0)</f>
        <v>40120</v>
      </c>
      <c r="I1382" s="86">
        <f>IFERROR(__xludf.DUMMYFUNCTION("""COMPUTED_VALUE"""),6.1722222222222225)</f>
        <v>6.172222222</v>
      </c>
      <c r="J1382" s="87">
        <f>IFERROR(__xludf.DUMMYFUNCTION("""COMPUTED_VALUE"""),91.0)</f>
        <v>91</v>
      </c>
      <c r="K1382" s="88">
        <f>IFERROR(__xludf.DUMMYFUNCTION("""COMPUTED_VALUE"""),8.9)</f>
        <v>8.9</v>
      </c>
      <c r="L1382" s="89">
        <f>IFERROR(__xludf.DUMMYFUNCTION("""COMPUTED_VALUE"""),40.0)</f>
        <v>40</v>
      </c>
      <c r="M1382" s="26" t="str">
        <f>IFERROR(__xludf.DUMMYFUNCTION("""COMPUTED_VALUE"""),"RPG")</f>
        <v>RPG</v>
      </c>
      <c r="N1382" s="26"/>
      <c r="O1382" s="26" t="str">
        <f>IFERROR(__xludf.DUMMYFUNCTION("""COMPUTED_VALUE"""),"No")</f>
        <v>No</v>
      </c>
      <c r="P1382" s="26"/>
    </row>
    <row r="1383">
      <c r="A1383" s="81" t="str">
        <f>IFERROR(__xludf.DUMMYFUNCTION("""COMPUTED_VALUE"""),"Medal of Honor: Warfighter")</f>
        <v>Medal of Honor: Warfighter</v>
      </c>
      <c r="B1383" s="82" t="str">
        <f>IFERROR(__xludf.DUMMYFUNCTION("""COMPUTED_VALUE"""),"PS3")</f>
        <v>PS3</v>
      </c>
      <c r="C1383" s="83" t="str">
        <f>IFERROR(__xludf.DUMMYFUNCTION("""COMPUTED_VALUE"""),"Playstation Plus (Discontinued)")</f>
        <v>Playstation Plus (Discontinued)</v>
      </c>
      <c r="D1383" s="82" t="str">
        <f>IFERROR(__xludf.DUMMYFUNCTION("""COMPUTED_VALUE"""),"Removed")</f>
        <v>Removed</v>
      </c>
      <c r="E1383" s="84">
        <f>IFERROR(__xludf.DUMMYFUNCTION("""COMPUTED_VALUE"""),42374.0)</f>
        <v>42374</v>
      </c>
      <c r="F1383" s="85">
        <f>IFERROR(__xludf.DUMMYFUNCTION("""COMPUTED_VALUE"""),42401.0)</f>
        <v>42401</v>
      </c>
      <c r="G1383" s="86">
        <f>IFERROR(__xludf.DUMMYFUNCTION("""COMPUTED_VALUE"""),0.8666666666666666)</f>
        <v>0.8666666667</v>
      </c>
      <c r="H1383" s="84">
        <f>IFERROR(__xludf.DUMMYFUNCTION("""COMPUTED_VALUE"""),41205.0)</f>
        <v>41205</v>
      </c>
      <c r="I1383" s="86">
        <f>IFERROR(__xludf.DUMMYFUNCTION("""COMPUTED_VALUE"""),3.2)</f>
        <v>3.2</v>
      </c>
      <c r="J1383" s="87">
        <f>IFERROR(__xludf.DUMMYFUNCTION("""COMPUTED_VALUE"""),53.0)</f>
        <v>53</v>
      </c>
      <c r="K1383" s="88">
        <f>IFERROR(__xludf.DUMMYFUNCTION("""COMPUTED_VALUE"""),5.9)</f>
        <v>5.9</v>
      </c>
      <c r="L1383" s="89">
        <f>IFERROR(__xludf.DUMMYFUNCTION("""COMPUTED_VALUE"""),6.0)</f>
        <v>6</v>
      </c>
      <c r="M1383" s="26" t="str">
        <f>IFERROR(__xludf.DUMMYFUNCTION("""COMPUTED_VALUE"""),"Shooter")</f>
        <v>Shooter</v>
      </c>
      <c r="N1383" s="26"/>
      <c r="O1383" s="26" t="str">
        <f>IFERROR(__xludf.DUMMYFUNCTION("""COMPUTED_VALUE"""),"No")</f>
        <v>No</v>
      </c>
      <c r="P1383" s="26"/>
    </row>
    <row r="1384">
      <c r="A1384" s="81" t="str">
        <f>IFERROR(__xludf.DUMMYFUNCTION("""COMPUTED_VALUE"""),"Gauntlet: Slayer Edition")</f>
        <v>Gauntlet: Slayer Edition</v>
      </c>
      <c r="B1384" s="82" t="str">
        <f>IFERROR(__xludf.DUMMYFUNCTION("""COMPUTED_VALUE"""),"PS4")</f>
        <v>PS4</v>
      </c>
      <c r="C1384" s="83" t="str">
        <f>IFERROR(__xludf.DUMMYFUNCTION("""COMPUTED_VALUE"""),"Playstation Plus (Discontinued)")</f>
        <v>Playstation Plus (Discontinued)</v>
      </c>
      <c r="D1384" s="82" t="str">
        <f>IFERROR(__xludf.DUMMYFUNCTION("""COMPUTED_VALUE"""),"Removed")</f>
        <v>Removed</v>
      </c>
      <c r="E1384" s="84">
        <f>IFERROR(__xludf.DUMMYFUNCTION("""COMPUTED_VALUE"""),42339.0)</f>
        <v>42339</v>
      </c>
      <c r="F1384" s="85">
        <f>IFERROR(__xludf.DUMMYFUNCTION("""COMPUTED_VALUE"""),42373.0)</f>
        <v>42373</v>
      </c>
      <c r="G1384" s="86">
        <f>IFERROR(__xludf.DUMMYFUNCTION("""COMPUTED_VALUE"""),1.0999999999999999)</f>
        <v>1.1</v>
      </c>
      <c r="H1384" s="84">
        <f>IFERROR(__xludf.DUMMYFUNCTION("""COMPUTED_VALUE"""),42250.0)</f>
        <v>42250</v>
      </c>
      <c r="I1384" s="86">
        <f>IFERROR(__xludf.DUMMYFUNCTION("""COMPUTED_VALUE"""),0.24444444444444444)</f>
        <v>0.2444444444</v>
      </c>
      <c r="J1384" s="87">
        <f>IFERROR(__xludf.DUMMYFUNCTION("""COMPUTED_VALUE"""),65.0)</f>
        <v>65</v>
      </c>
      <c r="K1384" s="88">
        <f>IFERROR(__xludf.DUMMYFUNCTION("""COMPUTED_VALUE"""),6.8)</f>
        <v>6.8</v>
      </c>
      <c r="L1384" s="89">
        <f>IFERROR(__xludf.DUMMYFUNCTION("""COMPUTED_VALUE"""),9.0)</f>
        <v>9</v>
      </c>
      <c r="M1384" s="26" t="str">
        <f>IFERROR(__xludf.DUMMYFUNCTION("""COMPUTED_VALUE"""),"Action-Adventure")</f>
        <v>Action-Adventure</v>
      </c>
      <c r="N1384" s="26"/>
      <c r="O1384" s="26" t="str">
        <f>IFERROR(__xludf.DUMMYFUNCTION("""COMPUTED_VALUE"""),"No")</f>
        <v>No</v>
      </c>
      <c r="P1384" s="26"/>
    </row>
    <row r="1385">
      <c r="A1385" s="81" t="str">
        <f>IFERROR(__xludf.DUMMYFUNCTION("""COMPUTED_VALUE"""),"King's Quest - Chapter 1: A Knight to Remember")</f>
        <v>King's Quest - Chapter 1: A Knight to Remember</v>
      </c>
      <c r="B1385" s="82" t="str">
        <f>IFERROR(__xludf.DUMMYFUNCTION("""COMPUTED_VALUE"""),"PS4")</f>
        <v>PS4</v>
      </c>
      <c r="C1385" s="83" t="str">
        <f>IFERROR(__xludf.DUMMYFUNCTION("""COMPUTED_VALUE"""),"Playstation Plus (Discontinued)")</f>
        <v>Playstation Plus (Discontinued)</v>
      </c>
      <c r="D1385" s="82" t="str">
        <f>IFERROR(__xludf.DUMMYFUNCTION("""COMPUTED_VALUE"""),"Removed")</f>
        <v>Removed</v>
      </c>
      <c r="E1385" s="84">
        <f>IFERROR(__xludf.DUMMYFUNCTION("""COMPUTED_VALUE"""),42339.0)</f>
        <v>42339</v>
      </c>
      <c r="F1385" s="85">
        <f>IFERROR(__xludf.DUMMYFUNCTION("""COMPUTED_VALUE"""),42373.0)</f>
        <v>42373</v>
      </c>
      <c r="G1385" s="86">
        <f>IFERROR(__xludf.DUMMYFUNCTION("""COMPUTED_VALUE"""),1.0999999999999999)</f>
        <v>1.1</v>
      </c>
      <c r="H1385" s="84">
        <f>IFERROR(__xludf.DUMMYFUNCTION("""COMPUTED_VALUE"""),42213.0)</f>
        <v>42213</v>
      </c>
      <c r="I1385" s="86">
        <f>IFERROR(__xludf.DUMMYFUNCTION("""COMPUTED_VALUE"""),0.3416666666666667)</f>
        <v>0.3416666667</v>
      </c>
      <c r="J1385" s="87">
        <f>IFERROR(__xludf.DUMMYFUNCTION("""COMPUTED_VALUE"""),82.0)</f>
        <v>82</v>
      </c>
      <c r="K1385" s="88">
        <f>IFERROR(__xludf.DUMMYFUNCTION("""COMPUTED_VALUE"""),7.6)</f>
        <v>7.6</v>
      </c>
      <c r="L1385" s="89">
        <f>IFERROR(__xludf.DUMMYFUNCTION("""COMPUTED_VALUE"""),3.0)</f>
        <v>3</v>
      </c>
      <c r="M1385" s="26" t="str">
        <f>IFERROR(__xludf.DUMMYFUNCTION("""COMPUTED_VALUE"""),"Adventure")</f>
        <v>Adventure</v>
      </c>
      <c r="N1385" s="26"/>
      <c r="O1385" s="26" t="str">
        <f>IFERROR(__xludf.DUMMYFUNCTION("""COMPUTED_VALUE"""),"No")</f>
        <v>No</v>
      </c>
      <c r="P1385" s="26"/>
    </row>
    <row r="1386">
      <c r="A1386" s="81" t="str">
        <f>IFERROR(__xludf.DUMMYFUNCTION("""COMPUTED_VALUE"""),"Freedom Wars")</f>
        <v>Freedom Wars</v>
      </c>
      <c r="B1386" s="82" t="str">
        <f>IFERROR(__xludf.DUMMYFUNCTION("""COMPUTED_VALUE"""),"Vita")</f>
        <v>Vita</v>
      </c>
      <c r="C1386" s="83" t="str">
        <f>IFERROR(__xludf.DUMMYFUNCTION("""COMPUTED_VALUE"""),"Playstation Plus (Discontinued)")</f>
        <v>Playstation Plus (Discontinued)</v>
      </c>
      <c r="D1386" s="82" t="str">
        <f>IFERROR(__xludf.DUMMYFUNCTION("""COMPUTED_VALUE"""),"Removed")</f>
        <v>Removed</v>
      </c>
      <c r="E1386" s="84">
        <f>IFERROR(__xludf.DUMMYFUNCTION("""COMPUTED_VALUE"""),42339.0)</f>
        <v>42339</v>
      </c>
      <c r="F1386" s="85">
        <f>IFERROR(__xludf.DUMMYFUNCTION("""COMPUTED_VALUE"""),42373.0)</f>
        <v>42373</v>
      </c>
      <c r="G1386" s="86">
        <f>IFERROR(__xludf.DUMMYFUNCTION("""COMPUTED_VALUE"""),1.0999999999999999)</f>
        <v>1.1</v>
      </c>
      <c r="H1386" s="84">
        <f>IFERROR(__xludf.DUMMYFUNCTION("""COMPUTED_VALUE"""),41940.0)</f>
        <v>41940</v>
      </c>
      <c r="I1386" s="86">
        <f>IFERROR(__xludf.DUMMYFUNCTION("""COMPUTED_VALUE"""),1.0916666666666666)</f>
        <v>1.091666667</v>
      </c>
      <c r="J1386" s="87">
        <f>IFERROR(__xludf.DUMMYFUNCTION("""COMPUTED_VALUE"""),73.0)</f>
        <v>73</v>
      </c>
      <c r="K1386" s="88">
        <f>IFERROR(__xludf.DUMMYFUNCTION("""COMPUTED_VALUE"""),7.8)</f>
        <v>7.8</v>
      </c>
      <c r="L1386" s="89">
        <f>IFERROR(__xludf.DUMMYFUNCTION("""COMPUTED_VALUE"""),22.0)</f>
        <v>22</v>
      </c>
      <c r="M1386" s="26" t="str">
        <f>IFERROR(__xludf.DUMMYFUNCTION("""COMPUTED_VALUE"""),"Action-Adventure")</f>
        <v>Action-Adventure</v>
      </c>
      <c r="N1386" s="26"/>
      <c r="O1386" s="26" t="str">
        <f>IFERROR(__xludf.DUMMYFUNCTION("""COMPUTED_VALUE"""),"No")</f>
        <v>No</v>
      </c>
      <c r="P1386" s="26"/>
    </row>
    <row r="1387">
      <c r="A1387" s="81" t="str">
        <f>IFERROR(__xludf.DUMMYFUNCTION("""COMPUTED_VALUE"""),"Rocketbirds: Hardboiled Chicken")</f>
        <v>Rocketbirds: Hardboiled Chicken</v>
      </c>
      <c r="B1387" s="82" t="str">
        <f>IFERROR(__xludf.DUMMYFUNCTION("""COMPUTED_VALUE"""),"Vita")</f>
        <v>Vita</v>
      </c>
      <c r="C1387" s="83" t="str">
        <f>IFERROR(__xludf.DUMMYFUNCTION("""COMPUTED_VALUE"""),"Playstation Plus (Discontinued)")</f>
        <v>Playstation Plus (Discontinued)</v>
      </c>
      <c r="D1387" s="82" t="str">
        <f>IFERROR(__xludf.DUMMYFUNCTION("""COMPUTED_VALUE"""),"Removed")</f>
        <v>Removed</v>
      </c>
      <c r="E1387" s="84">
        <f>IFERROR(__xludf.DUMMYFUNCTION("""COMPUTED_VALUE"""),42339.0)</f>
        <v>42339</v>
      </c>
      <c r="F1387" s="85">
        <f>IFERROR(__xludf.DUMMYFUNCTION("""COMPUTED_VALUE"""),42373.0)</f>
        <v>42373</v>
      </c>
      <c r="G1387" s="86">
        <f>IFERROR(__xludf.DUMMYFUNCTION("""COMPUTED_VALUE"""),1.0999999999999999)</f>
        <v>1.1</v>
      </c>
      <c r="H1387" s="84">
        <f>IFERROR(__xludf.DUMMYFUNCTION("""COMPUTED_VALUE"""),40834.0)</f>
        <v>40834</v>
      </c>
      <c r="I1387" s="86">
        <f>IFERROR(__xludf.DUMMYFUNCTION("""COMPUTED_VALUE"""),4.1194444444444445)</f>
        <v>4.119444444</v>
      </c>
      <c r="J1387" s="87">
        <f>IFERROR(__xludf.DUMMYFUNCTION("""COMPUTED_VALUE"""),70.0)</f>
        <v>70</v>
      </c>
      <c r="K1387" s="88">
        <f>IFERROR(__xludf.DUMMYFUNCTION("""COMPUTED_VALUE"""),7.2)</f>
        <v>7.2</v>
      </c>
      <c r="L1387" s="89">
        <f>IFERROR(__xludf.DUMMYFUNCTION("""COMPUTED_VALUE"""),5.0)</f>
        <v>5</v>
      </c>
      <c r="M1387" s="26" t="str">
        <f>IFERROR(__xludf.DUMMYFUNCTION("""COMPUTED_VALUE"""),"Shooter")</f>
        <v>Shooter</v>
      </c>
      <c r="N1387" s="26"/>
      <c r="O1387" s="26" t="str">
        <f>IFERROR(__xludf.DUMMYFUNCTION("""COMPUTED_VALUE"""),"No")</f>
        <v>No</v>
      </c>
      <c r="P1387" s="26"/>
    </row>
    <row r="1388">
      <c r="A1388" s="81" t="str">
        <f>IFERROR(__xludf.DUMMYFUNCTION("""COMPUTED_VALUE"""),"Far Cry 3: Blood Dragon")</f>
        <v>Far Cry 3: Blood Dragon</v>
      </c>
      <c r="B1388" s="82" t="str">
        <f>IFERROR(__xludf.DUMMYFUNCTION("""COMPUTED_VALUE"""),"PS3")</f>
        <v>PS3</v>
      </c>
      <c r="C1388" s="83" t="str">
        <f>IFERROR(__xludf.DUMMYFUNCTION("""COMPUTED_VALUE"""),"Playstation Plus (Discontinued)")</f>
        <v>Playstation Plus (Discontinued)</v>
      </c>
      <c r="D1388" s="82" t="str">
        <f>IFERROR(__xludf.DUMMYFUNCTION("""COMPUTED_VALUE"""),"Removed")</f>
        <v>Removed</v>
      </c>
      <c r="E1388" s="84">
        <f>IFERROR(__xludf.DUMMYFUNCTION("""COMPUTED_VALUE"""),42339.0)</f>
        <v>42339</v>
      </c>
      <c r="F1388" s="85">
        <f>IFERROR(__xludf.DUMMYFUNCTION("""COMPUTED_VALUE"""),42373.0)</f>
        <v>42373</v>
      </c>
      <c r="G1388" s="86">
        <f>IFERROR(__xludf.DUMMYFUNCTION("""COMPUTED_VALUE"""),1.0999999999999999)</f>
        <v>1.1</v>
      </c>
      <c r="H1388" s="84">
        <f>IFERROR(__xludf.DUMMYFUNCTION("""COMPUTED_VALUE"""),41394.0)</f>
        <v>41394</v>
      </c>
      <c r="I1388" s="86">
        <f>IFERROR(__xludf.DUMMYFUNCTION("""COMPUTED_VALUE"""),2.5861111111111112)</f>
        <v>2.586111111</v>
      </c>
      <c r="J1388" s="87">
        <f>IFERROR(__xludf.DUMMYFUNCTION("""COMPUTED_VALUE"""),82.0)</f>
        <v>82</v>
      </c>
      <c r="K1388" s="88">
        <f>IFERROR(__xludf.DUMMYFUNCTION("""COMPUTED_VALUE"""),8.2)</f>
        <v>8.2</v>
      </c>
      <c r="L1388" s="89">
        <f>IFERROR(__xludf.DUMMYFUNCTION("""COMPUTED_VALUE"""),6.0)</f>
        <v>6</v>
      </c>
      <c r="M1388" s="26" t="str">
        <f>IFERROR(__xludf.DUMMYFUNCTION("""COMPUTED_VALUE"""),"Shooter")</f>
        <v>Shooter</v>
      </c>
      <c r="N1388" s="26"/>
      <c r="O1388" s="26" t="str">
        <f>IFERROR(__xludf.DUMMYFUNCTION("""COMPUTED_VALUE"""),"No")</f>
        <v>No</v>
      </c>
      <c r="P1388" s="26"/>
    </row>
    <row r="1389">
      <c r="A1389" s="81" t="str">
        <f>IFERROR(__xludf.DUMMYFUNCTION("""COMPUTED_VALUE"""),"SSX")</f>
        <v>SSX</v>
      </c>
      <c r="B1389" s="82" t="str">
        <f>IFERROR(__xludf.DUMMYFUNCTION("""COMPUTED_VALUE"""),"PS3")</f>
        <v>PS3</v>
      </c>
      <c r="C1389" s="83" t="str">
        <f>IFERROR(__xludf.DUMMYFUNCTION("""COMPUTED_VALUE"""),"Playstation Plus (Discontinued)")</f>
        <v>Playstation Plus (Discontinued)</v>
      </c>
      <c r="D1389" s="82" t="str">
        <f>IFERROR(__xludf.DUMMYFUNCTION("""COMPUTED_VALUE"""),"Removed")</f>
        <v>Removed</v>
      </c>
      <c r="E1389" s="84">
        <f>IFERROR(__xludf.DUMMYFUNCTION("""COMPUTED_VALUE"""),42339.0)</f>
        <v>42339</v>
      </c>
      <c r="F1389" s="85">
        <f>IFERROR(__xludf.DUMMYFUNCTION("""COMPUTED_VALUE"""),42373.0)</f>
        <v>42373</v>
      </c>
      <c r="G1389" s="86">
        <f>IFERROR(__xludf.DUMMYFUNCTION("""COMPUTED_VALUE"""),1.0999999999999999)</f>
        <v>1.1</v>
      </c>
      <c r="H1389" s="84">
        <f>IFERROR(__xludf.DUMMYFUNCTION("""COMPUTED_VALUE"""),40967.0)</f>
        <v>40967</v>
      </c>
      <c r="I1389" s="86">
        <f>IFERROR(__xludf.DUMMYFUNCTION("""COMPUTED_VALUE"""),3.7583333333333333)</f>
        <v>3.758333333</v>
      </c>
      <c r="J1389" s="87">
        <f>IFERROR(__xludf.DUMMYFUNCTION("""COMPUTED_VALUE"""),81.0)</f>
        <v>81</v>
      </c>
      <c r="K1389" s="88">
        <f>IFERROR(__xludf.DUMMYFUNCTION("""COMPUTED_VALUE"""),7.7)</f>
        <v>7.7</v>
      </c>
      <c r="L1389" s="89"/>
      <c r="M1389" s="26" t="str">
        <f>IFERROR(__xludf.DUMMYFUNCTION("""COMPUTED_VALUE"""),"Sports")</f>
        <v>Sports</v>
      </c>
      <c r="N1389" s="26"/>
      <c r="O1389" s="26" t="str">
        <f>IFERROR(__xludf.DUMMYFUNCTION("""COMPUTED_VALUE"""),"No")</f>
        <v>No</v>
      </c>
      <c r="P1389" s="26"/>
    </row>
    <row r="1390">
      <c r="A1390" s="81" t="str">
        <f>IFERROR(__xludf.DUMMYFUNCTION("""COMPUTED_VALUE"""),"The Walking Dead: Season 2")</f>
        <v>The Walking Dead: Season 2</v>
      </c>
      <c r="B1390" s="82" t="str">
        <f>IFERROR(__xludf.DUMMYFUNCTION("""COMPUTED_VALUE"""),"PS4")</f>
        <v>PS4</v>
      </c>
      <c r="C1390" s="83" t="str">
        <f>IFERROR(__xludf.DUMMYFUNCTION("""COMPUTED_VALUE"""),"Playstation Plus (Discontinued)")</f>
        <v>Playstation Plus (Discontinued)</v>
      </c>
      <c r="D1390" s="82" t="str">
        <f>IFERROR(__xludf.DUMMYFUNCTION("""COMPUTED_VALUE"""),"Removed")</f>
        <v>Removed</v>
      </c>
      <c r="E1390" s="84">
        <f>IFERROR(__xludf.DUMMYFUNCTION("""COMPUTED_VALUE"""),42311.0)</f>
        <v>42311</v>
      </c>
      <c r="F1390" s="85">
        <f>IFERROR(__xludf.DUMMYFUNCTION("""COMPUTED_VALUE"""),42338.0)</f>
        <v>42338</v>
      </c>
      <c r="G1390" s="86">
        <f>IFERROR(__xludf.DUMMYFUNCTION("""COMPUTED_VALUE"""),0.8999999999999999)</f>
        <v>0.9</v>
      </c>
      <c r="H1390" s="84">
        <f>IFERROR(__xludf.DUMMYFUNCTION("""COMPUTED_VALUE"""),41625.0)</f>
        <v>41625</v>
      </c>
      <c r="I1390" s="86">
        <f>IFERROR(__xludf.DUMMYFUNCTION("""COMPUTED_VALUE"""),1.8777777777777778)</f>
        <v>1.877777778</v>
      </c>
      <c r="J1390" s="87">
        <f>IFERROR(__xludf.DUMMYFUNCTION("""COMPUTED_VALUE"""),80.0)</f>
        <v>80</v>
      </c>
      <c r="K1390" s="88">
        <f>IFERROR(__xludf.DUMMYFUNCTION("""COMPUTED_VALUE"""),7.9)</f>
        <v>7.9</v>
      </c>
      <c r="L1390" s="89">
        <f>IFERROR(__xludf.DUMMYFUNCTION("""COMPUTED_VALUE"""),10.0)</f>
        <v>10</v>
      </c>
      <c r="M1390" s="26" t="str">
        <f>IFERROR(__xludf.DUMMYFUNCTION("""COMPUTED_VALUE"""),"Adventure")</f>
        <v>Adventure</v>
      </c>
      <c r="N1390" s="26"/>
      <c r="O1390" s="26" t="str">
        <f>IFERROR(__xludf.DUMMYFUNCTION("""COMPUTED_VALUE"""),"No")</f>
        <v>No</v>
      </c>
      <c r="P1390" s="26"/>
    </row>
    <row r="1391">
      <c r="A1391" s="81" t="str">
        <f>IFERROR(__xludf.DUMMYFUNCTION("""COMPUTED_VALUE"""),"Magicka 2")</f>
        <v>Magicka 2</v>
      </c>
      <c r="B1391" s="82" t="str">
        <f>IFERROR(__xludf.DUMMYFUNCTION("""COMPUTED_VALUE"""),"PS4")</f>
        <v>PS4</v>
      </c>
      <c r="C1391" s="83" t="str">
        <f>IFERROR(__xludf.DUMMYFUNCTION("""COMPUTED_VALUE"""),"Playstation Plus (Discontinued)")</f>
        <v>Playstation Plus (Discontinued)</v>
      </c>
      <c r="D1391" s="82" t="str">
        <f>IFERROR(__xludf.DUMMYFUNCTION("""COMPUTED_VALUE"""),"Removed")</f>
        <v>Removed</v>
      </c>
      <c r="E1391" s="84">
        <f>IFERROR(__xludf.DUMMYFUNCTION("""COMPUTED_VALUE"""),42311.0)</f>
        <v>42311</v>
      </c>
      <c r="F1391" s="85">
        <f>IFERROR(__xludf.DUMMYFUNCTION("""COMPUTED_VALUE"""),42338.0)</f>
        <v>42338</v>
      </c>
      <c r="G1391" s="86">
        <f>IFERROR(__xludf.DUMMYFUNCTION("""COMPUTED_VALUE"""),0.8999999999999999)</f>
        <v>0.9</v>
      </c>
      <c r="H1391" s="84">
        <f>IFERROR(__xludf.DUMMYFUNCTION("""COMPUTED_VALUE"""),42150.0)</f>
        <v>42150</v>
      </c>
      <c r="I1391" s="86">
        <f>IFERROR(__xludf.DUMMYFUNCTION("""COMPUTED_VALUE"""),0.4361111111111111)</f>
        <v>0.4361111111</v>
      </c>
      <c r="J1391" s="87">
        <f>IFERROR(__xludf.DUMMYFUNCTION("""COMPUTED_VALUE"""),74.0)</f>
        <v>74</v>
      </c>
      <c r="K1391" s="88">
        <f>IFERROR(__xludf.DUMMYFUNCTION("""COMPUTED_VALUE"""),7.1)</f>
        <v>7.1</v>
      </c>
      <c r="L1391" s="89">
        <f>IFERROR(__xludf.DUMMYFUNCTION("""COMPUTED_VALUE"""),10.0)</f>
        <v>10</v>
      </c>
      <c r="M1391" s="26" t="str">
        <f>IFERROR(__xludf.DUMMYFUNCTION("""COMPUTED_VALUE"""),"Action-Adventure")</f>
        <v>Action-Adventure</v>
      </c>
      <c r="N1391" s="26"/>
      <c r="O1391" s="26" t="str">
        <f>IFERROR(__xludf.DUMMYFUNCTION("""COMPUTED_VALUE"""),"No")</f>
        <v>No</v>
      </c>
      <c r="P1391" s="26"/>
    </row>
    <row r="1392">
      <c r="A1392" s="81" t="str">
        <f>IFERROR(__xludf.DUMMYFUNCTION("""COMPUTED_VALUE"""),"Mass Effect 2")</f>
        <v>Mass Effect 2</v>
      </c>
      <c r="B1392" s="82" t="str">
        <f>IFERROR(__xludf.DUMMYFUNCTION("""COMPUTED_VALUE"""),"PS3")</f>
        <v>PS3</v>
      </c>
      <c r="C1392" s="83" t="str">
        <f>IFERROR(__xludf.DUMMYFUNCTION("""COMPUTED_VALUE"""),"Playstation Plus (Discontinued)")</f>
        <v>Playstation Plus (Discontinued)</v>
      </c>
      <c r="D1392" s="82" t="str">
        <f>IFERROR(__xludf.DUMMYFUNCTION("""COMPUTED_VALUE"""),"Removed")</f>
        <v>Removed</v>
      </c>
      <c r="E1392" s="84">
        <f>IFERROR(__xludf.DUMMYFUNCTION("""COMPUTED_VALUE"""),42311.0)</f>
        <v>42311</v>
      </c>
      <c r="F1392" s="85">
        <f>IFERROR(__xludf.DUMMYFUNCTION("""COMPUTED_VALUE"""),42338.0)</f>
        <v>42338</v>
      </c>
      <c r="G1392" s="86">
        <f>IFERROR(__xludf.DUMMYFUNCTION("""COMPUTED_VALUE"""),0.8999999999999999)</f>
        <v>0.9</v>
      </c>
      <c r="H1392" s="84">
        <f>IFERROR(__xludf.DUMMYFUNCTION("""COMPUTED_VALUE"""),40204.0)</f>
        <v>40204</v>
      </c>
      <c r="I1392" s="86">
        <f>IFERROR(__xludf.DUMMYFUNCTION("""COMPUTED_VALUE"""),5.769444444444445)</f>
        <v>5.769444444</v>
      </c>
      <c r="J1392" s="87">
        <f>IFERROR(__xludf.DUMMYFUNCTION("""COMPUTED_VALUE"""),96.0)</f>
        <v>96</v>
      </c>
      <c r="K1392" s="88">
        <f>IFERROR(__xludf.DUMMYFUNCTION("""COMPUTED_VALUE"""),9.0)</f>
        <v>9</v>
      </c>
      <c r="L1392" s="89">
        <f>IFERROR(__xludf.DUMMYFUNCTION("""COMPUTED_VALUE"""),30.0)</f>
        <v>30</v>
      </c>
      <c r="M1392" s="26" t="str">
        <f>IFERROR(__xludf.DUMMYFUNCTION("""COMPUTED_VALUE"""),"RPG")</f>
        <v>RPG</v>
      </c>
      <c r="N1392" s="26"/>
      <c r="O1392" s="26" t="str">
        <f>IFERROR(__xludf.DUMMYFUNCTION("""COMPUTED_VALUE"""),"No")</f>
        <v>No</v>
      </c>
      <c r="P1392" s="26"/>
    </row>
    <row r="1393">
      <c r="A1393" s="81" t="str">
        <f>IFERROR(__xludf.DUMMYFUNCTION("""COMPUTED_VALUE"""),"Beyond Good &amp; Evil HD")</f>
        <v>Beyond Good &amp; Evil HD</v>
      </c>
      <c r="B1393" s="82" t="str">
        <f>IFERROR(__xludf.DUMMYFUNCTION("""COMPUTED_VALUE"""),"PS3")</f>
        <v>PS3</v>
      </c>
      <c r="C1393" s="83" t="str">
        <f>IFERROR(__xludf.DUMMYFUNCTION("""COMPUTED_VALUE"""),"Playstation Plus (Discontinued)")</f>
        <v>Playstation Plus (Discontinued)</v>
      </c>
      <c r="D1393" s="82" t="str">
        <f>IFERROR(__xludf.DUMMYFUNCTION("""COMPUTED_VALUE"""),"Removed")</f>
        <v>Removed</v>
      </c>
      <c r="E1393" s="84">
        <f>IFERROR(__xludf.DUMMYFUNCTION("""COMPUTED_VALUE"""),42311.0)</f>
        <v>42311</v>
      </c>
      <c r="F1393" s="85">
        <f>IFERROR(__xludf.DUMMYFUNCTION("""COMPUTED_VALUE"""),42338.0)</f>
        <v>42338</v>
      </c>
      <c r="G1393" s="86">
        <f>IFERROR(__xludf.DUMMYFUNCTION("""COMPUTED_VALUE"""),0.8999999999999999)</f>
        <v>0.9</v>
      </c>
      <c r="H1393" s="84">
        <f>IFERROR(__xludf.DUMMYFUNCTION("""COMPUTED_VALUE"""),40604.0)</f>
        <v>40604</v>
      </c>
      <c r="I1393" s="86">
        <f>IFERROR(__xludf.DUMMYFUNCTION("""COMPUTED_VALUE"""),4.669444444444444)</f>
        <v>4.669444444</v>
      </c>
      <c r="J1393" s="87">
        <f>IFERROR(__xludf.DUMMYFUNCTION("""COMPUTED_VALUE"""),85.0)</f>
        <v>85</v>
      </c>
      <c r="K1393" s="88">
        <f>IFERROR(__xludf.DUMMYFUNCTION("""COMPUTED_VALUE"""),8.4)</f>
        <v>8.4</v>
      </c>
      <c r="L1393" s="89">
        <f>IFERROR(__xludf.DUMMYFUNCTION("""COMPUTED_VALUE"""),12.0)</f>
        <v>12</v>
      </c>
      <c r="M1393" s="26" t="str">
        <f>IFERROR(__xludf.DUMMYFUNCTION("""COMPUTED_VALUE"""),"Action-Adventure")</f>
        <v>Action-Adventure</v>
      </c>
      <c r="N1393" s="26"/>
      <c r="O1393" s="26" t="str">
        <f>IFERROR(__xludf.DUMMYFUNCTION("""COMPUTED_VALUE"""),"No")</f>
        <v>No</v>
      </c>
      <c r="P1393" s="26"/>
    </row>
    <row r="1394">
      <c r="A1394" s="81" t="str">
        <f>IFERROR(__xludf.DUMMYFUNCTION("""COMPUTED_VALUE"""),"Dragon Fin Soup")</f>
        <v>Dragon Fin Soup</v>
      </c>
      <c r="B1394" s="82" t="str">
        <f>IFERROR(__xludf.DUMMYFUNCTION("""COMPUTED_VALUE"""),"PS4/PS3/Vita")</f>
        <v>PS4/PS3/Vita</v>
      </c>
      <c r="C1394" s="83" t="str">
        <f>IFERROR(__xludf.DUMMYFUNCTION("""COMPUTED_VALUE"""),"Playstation Plus (Discontinued)")</f>
        <v>Playstation Plus (Discontinued)</v>
      </c>
      <c r="D1394" s="82" t="str">
        <f>IFERROR(__xludf.DUMMYFUNCTION("""COMPUTED_VALUE"""),"Removed")</f>
        <v>Removed</v>
      </c>
      <c r="E1394" s="84">
        <f>IFERROR(__xludf.DUMMYFUNCTION("""COMPUTED_VALUE"""),42311.0)</f>
        <v>42311</v>
      </c>
      <c r="F1394" s="85">
        <f>IFERROR(__xludf.DUMMYFUNCTION("""COMPUTED_VALUE"""),42338.0)</f>
        <v>42338</v>
      </c>
      <c r="G1394" s="86">
        <f>IFERROR(__xludf.DUMMYFUNCTION("""COMPUTED_VALUE"""),0.8999999999999999)</f>
        <v>0.9</v>
      </c>
      <c r="H1394" s="84">
        <f>IFERROR(__xludf.DUMMYFUNCTION("""COMPUTED_VALUE"""),42311.0)</f>
        <v>42311</v>
      </c>
      <c r="I1394" s="86">
        <f>IFERROR(__xludf.DUMMYFUNCTION("""COMPUTED_VALUE"""),0.0)</f>
        <v>0</v>
      </c>
      <c r="J1394" s="87">
        <f>IFERROR(__xludf.DUMMYFUNCTION("""COMPUTED_VALUE"""),59.0)</f>
        <v>59</v>
      </c>
      <c r="K1394" s="88">
        <f>IFERROR(__xludf.DUMMYFUNCTION("""COMPUTED_VALUE"""),5.8)</f>
        <v>5.8</v>
      </c>
      <c r="L1394" s="89">
        <f>IFERROR(__xludf.DUMMYFUNCTION("""COMPUTED_VALUE"""),15.0)</f>
        <v>15</v>
      </c>
      <c r="M1394" s="26" t="str">
        <f>IFERROR(__xludf.DUMMYFUNCTION("""COMPUTED_VALUE"""),"RPG")</f>
        <v>RPG</v>
      </c>
      <c r="N1394" s="26"/>
      <c r="O1394" s="26" t="str">
        <f>IFERROR(__xludf.DUMMYFUNCTION("""COMPUTED_VALUE"""),"No")</f>
        <v>No</v>
      </c>
      <c r="P1394" s="26"/>
    </row>
    <row r="1395">
      <c r="A1395" s="81" t="str">
        <f>IFERROR(__xludf.DUMMYFUNCTION("""COMPUTED_VALUE"""),"Invizimals")</f>
        <v>Invizimals</v>
      </c>
      <c r="B1395" s="82" t="str">
        <f>IFERROR(__xludf.DUMMYFUNCTION("""COMPUTED_VALUE"""),"PSP")</f>
        <v>PSP</v>
      </c>
      <c r="C1395" s="83" t="str">
        <f>IFERROR(__xludf.DUMMYFUNCTION("""COMPUTED_VALUE"""),"Playstation Plus (Discontinued)")</f>
        <v>Playstation Plus (Discontinued)</v>
      </c>
      <c r="D1395" s="82" t="str">
        <f>IFERROR(__xludf.DUMMYFUNCTION("""COMPUTED_VALUE"""),"Removed")</f>
        <v>Removed</v>
      </c>
      <c r="E1395" s="84">
        <f>IFERROR(__xludf.DUMMYFUNCTION("""COMPUTED_VALUE"""),42311.0)</f>
        <v>42311</v>
      </c>
      <c r="F1395" s="85">
        <f>IFERROR(__xludf.DUMMYFUNCTION("""COMPUTED_VALUE"""),42338.0)</f>
        <v>42338</v>
      </c>
      <c r="G1395" s="86">
        <f>IFERROR(__xludf.DUMMYFUNCTION("""COMPUTED_VALUE"""),0.8999999999999999)</f>
        <v>0.9</v>
      </c>
      <c r="H1395" s="84">
        <f>IFERROR(__xludf.DUMMYFUNCTION("""COMPUTED_VALUE"""),40120.0)</f>
        <v>40120</v>
      </c>
      <c r="I1395" s="86">
        <f>IFERROR(__xludf.DUMMYFUNCTION("""COMPUTED_VALUE"""),6.0)</f>
        <v>6</v>
      </c>
      <c r="J1395" s="87">
        <f>IFERROR(__xludf.DUMMYFUNCTION("""COMPUTED_VALUE"""),74.0)</f>
        <v>74</v>
      </c>
      <c r="K1395" s="88">
        <f>IFERROR(__xludf.DUMMYFUNCTION("""COMPUTED_VALUE"""),7.6)</f>
        <v>7.6</v>
      </c>
      <c r="L1395" s="89">
        <f>IFERROR(__xludf.DUMMYFUNCTION("""COMPUTED_VALUE"""),10.0)</f>
        <v>10</v>
      </c>
      <c r="M1395" s="26" t="str">
        <f>IFERROR(__xludf.DUMMYFUNCTION("""COMPUTED_VALUE"""),"Action-Adventure")</f>
        <v>Action-Adventure</v>
      </c>
      <c r="N1395" s="26"/>
      <c r="O1395" s="26" t="str">
        <f>IFERROR(__xludf.DUMMYFUNCTION("""COMPUTED_VALUE"""),"No")</f>
        <v>No</v>
      </c>
      <c r="P1395" s="26"/>
    </row>
    <row r="1396">
      <c r="A1396" s="81" t="str">
        <f>IFERROR(__xludf.DUMMYFUNCTION("""COMPUTED_VALUE"""),"Broken Age")</f>
        <v>Broken Age</v>
      </c>
      <c r="B1396" s="82" t="str">
        <f>IFERROR(__xludf.DUMMYFUNCTION("""COMPUTED_VALUE"""),"PS4/Vita")</f>
        <v>PS4/Vita</v>
      </c>
      <c r="C1396" s="83" t="str">
        <f>IFERROR(__xludf.DUMMYFUNCTION("""COMPUTED_VALUE"""),"Playstation Plus (Discontinued)")</f>
        <v>Playstation Plus (Discontinued)</v>
      </c>
      <c r="D1396" s="82" t="str">
        <f>IFERROR(__xludf.DUMMYFUNCTION("""COMPUTED_VALUE"""),"Removed")</f>
        <v>Removed</v>
      </c>
      <c r="E1396" s="84">
        <f>IFERROR(__xludf.DUMMYFUNCTION("""COMPUTED_VALUE"""),42283.0)</f>
        <v>42283</v>
      </c>
      <c r="F1396" s="85">
        <f>IFERROR(__xludf.DUMMYFUNCTION("""COMPUTED_VALUE"""),42310.0)</f>
        <v>42310</v>
      </c>
      <c r="G1396" s="86">
        <f>IFERROR(__xludf.DUMMYFUNCTION("""COMPUTED_VALUE"""),0.8666666666666666)</f>
        <v>0.8666666667</v>
      </c>
      <c r="H1396" s="84">
        <f>IFERROR(__xludf.DUMMYFUNCTION("""COMPUTED_VALUE"""),41667.0)</f>
        <v>41667</v>
      </c>
      <c r="I1396" s="86">
        <f>IFERROR(__xludf.DUMMYFUNCTION("""COMPUTED_VALUE"""),1.6888888888888889)</f>
        <v>1.688888889</v>
      </c>
      <c r="J1396" s="87">
        <f>IFERROR(__xludf.DUMMYFUNCTION("""COMPUTED_VALUE"""),81.0)</f>
        <v>81</v>
      </c>
      <c r="K1396" s="88">
        <f>IFERROR(__xludf.DUMMYFUNCTION("""COMPUTED_VALUE"""),7.7)</f>
        <v>7.7</v>
      </c>
      <c r="L1396" s="89">
        <f>IFERROR(__xludf.DUMMYFUNCTION("""COMPUTED_VALUE"""),12.0)</f>
        <v>12</v>
      </c>
      <c r="M1396" s="26" t="str">
        <f>IFERROR(__xludf.DUMMYFUNCTION("""COMPUTED_VALUE"""),"Adventure")</f>
        <v>Adventure</v>
      </c>
      <c r="N1396" s="26"/>
      <c r="O1396" s="26" t="str">
        <f>IFERROR(__xludf.DUMMYFUNCTION("""COMPUTED_VALUE"""),"No")</f>
        <v>No</v>
      </c>
      <c r="P1396" s="26"/>
    </row>
    <row r="1397">
      <c r="A1397" s="81" t="str">
        <f>IFERROR(__xludf.DUMMYFUNCTION("""COMPUTED_VALUE"""),"Super Meat Boy")</f>
        <v>Super Meat Boy</v>
      </c>
      <c r="B1397" s="82" t="str">
        <f>IFERROR(__xludf.DUMMYFUNCTION("""COMPUTED_VALUE"""),"PS4/Vita")</f>
        <v>PS4/Vita</v>
      </c>
      <c r="C1397" s="83" t="str">
        <f>IFERROR(__xludf.DUMMYFUNCTION("""COMPUTED_VALUE"""),"Playstation Plus (Discontinued)")</f>
        <v>Playstation Plus (Discontinued)</v>
      </c>
      <c r="D1397" s="82" t="str">
        <f>IFERROR(__xludf.DUMMYFUNCTION("""COMPUTED_VALUE"""),"Removed")</f>
        <v>Removed</v>
      </c>
      <c r="E1397" s="84">
        <f>IFERROR(__xludf.DUMMYFUNCTION("""COMPUTED_VALUE"""),42283.0)</f>
        <v>42283</v>
      </c>
      <c r="F1397" s="85">
        <f>IFERROR(__xludf.DUMMYFUNCTION("""COMPUTED_VALUE"""),42310.0)</f>
        <v>42310</v>
      </c>
      <c r="G1397" s="86">
        <f>IFERROR(__xludf.DUMMYFUNCTION("""COMPUTED_VALUE"""),0.8666666666666666)</f>
        <v>0.8666666667</v>
      </c>
      <c r="H1397" s="84">
        <f>IFERROR(__xludf.DUMMYFUNCTION("""COMPUTED_VALUE"""),40471.0)</f>
        <v>40471</v>
      </c>
      <c r="I1397" s="86">
        <f>IFERROR(__xludf.DUMMYFUNCTION("""COMPUTED_VALUE"""),4.961111111111111)</f>
        <v>4.961111111</v>
      </c>
      <c r="J1397" s="87">
        <f>IFERROR(__xludf.DUMMYFUNCTION("""COMPUTED_VALUE"""),90.0)</f>
        <v>90</v>
      </c>
      <c r="K1397" s="88">
        <f>IFERROR(__xludf.DUMMYFUNCTION("""COMPUTED_VALUE"""),8.3)</f>
        <v>8.3</v>
      </c>
      <c r="L1397" s="89">
        <f>IFERROR(__xludf.DUMMYFUNCTION("""COMPUTED_VALUE"""),8.0)</f>
        <v>8</v>
      </c>
      <c r="M1397" s="26" t="str">
        <f>IFERROR(__xludf.DUMMYFUNCTION("""COMPUTED_VALUE"""),"Platformer")</f>
        <v>Platformer</v>
      </c>
      <c r="N1397" s="26"/>
      <c r="O1397" s="26" t="str">
        <f>IFERROR(__xludf.DUMMYFUNCTION("""COMPUTED_VALUE"""),"No")</f>
        <v>No</v>
      </c>
      <c r="P1397" s="26"/>
    </row>
    <row r="1398">
      <c r="A1398" s="81" t="str">
        <f>IFERROR(__xludf.DUMMYFUNCTION("""COMPUTED_VALUE"""),"Unmechanical Extended")</f>
        <v>Unmechanical Extended</v>
      </c>
      <c r="B1398" s="82" t="str">
        <f>IFERROR(__xludf.DUMMYFUNCTION("""COMPUTED_VALUE"""),"PS4/PS3")</f>
        <v>PS4/PS3</v>
      </c>
      <c r="C1398" s="83" t="str">
        <f>IFERROR(__xludf.DUMMYFUNCTION("""COMPUTED_VALUE"""),"Playstation Plus (Discontinued)")</f>
        <v>Playstation Plus (Discontinued)</v>
      </c>
      <c r="D1398" s="82" t="str">
        <f>IFERROR(__xludf.DUMMYFUNCTION("""COMPUTED_VALUE"""),"Removed")</f>
        <v>Removed</v>
      </c>
      <c r="E1398" s="84">
        <f>IFERROR(__xludf.DUMMYFUNCTION("""COMPUTED_VALUE"""),42283.0)</f>
        <v>42283</v>
      </c>
      <c r="F1398" s="85">
        <f>IFERROR(__xludf.DUMMYFUNCTION("""COMPUTED_VALUE"""),42310.0)</f>
        <v>42310</v>
      </c>
      <c r="G1398" s="86">
        <f>IFERROR(__xludf.DUMMYFUNCTION("""COMPUTED_VALUE"""),0.8666666666666666)</f>
        <v>0.8666666667</v>
      </c>
      <c r="H1398" s="84">
        <f>IFERROR(__xludf.DUMMYFUNCTION("""COMPUTED_VALUE"""),41234.0)</f>
        <v>41234</v>
      </c>
      <c r="I1398" s="86">
        <f>IFERROR(__xludf.DUMMYFUNCTION("""COMPUTED_VALUE"""),2.875)</f>
        <v>2.875</v>
      </c>
      <c r="J1398" s="87">
        <f>IFERROR(__xludf.DUMMYFUNCTION("""COMPUTED_VALUE"""),68.0)</f>
        <v>68</v>
      </c>
      <c r="K1398" s="88">
        <f>IFERROR(__xludf.DUMMYFUNCTION("""COMPUTED_VALUE"""),6.7)</f>
        <v>6.7</v>
      </c>
      <c r="L1398" s="89">
        <f>IFERROR(__xludf.DUMMYFUNCTION("""COMPUTED_VALUE"""),4.0)</f>
        <v>4</v>
      </c>
      <c r="M1398" s="26" t="str">
        <f>IFERROR(__xludf.DUMMYFUNCTION("""COMPUTED_VALUE"""),"Puzzle")</f>
        <v>Puzzle</v>
      </c>
      <c r="N1398" s="26"/>
      <c r="O1398" s="26" t="str">
        <f>IFERROR(__xludf.DUMMYFUNCTION("""COMPUTED_VALUE"""),"No")</f>
        <v>No</v>
      </c>
      <c r="P1398" s="26"/>
    </row>
    <row r="1399">
      <c r="A1399" s="81" t="str">
        <f>IFERROR(__xludf.DUMMYFUNCTION("""COMPUTED_VALUE"""),"Kickbeat")</f>
        <v>Kickbeat</v>
      </c>
      <c r="B1399" s="82" t="str">
        <f>IFERROR(__xludf.DUMMYFUNCTION("""COMPUTED_VALUE"""),"PS3/Vita")</f>
        <v>PS3/Vita</v>
      </c>
      <c r="C1399" s="83" t="str">
        <f>IFERROR(__xludf.DUMMYFUNCTION("""COMPUTED_VALUE"""),"Playstation Plus (Discontinued)")</f>
        <v>Playstation Plus (Discontinued)</v>
      </c>
      <c r="D1399" s="82" t="str">
        <f>IFERROR(__xludf.DUMMYFUNCTION("""COMPUTED_VALUE"""),"Removed")</f>
        <v>Removed</v>
      </c>
      <c r="E1399" s="84">
        <f>IFERROR(__xludf.DUMMYFUNCTION("""COMPUTED_VALUE"""),42283.0)</f>
        <v>42283</v>
      </c>
      <c r="F1399" s="85">
        <f>IFERROR(__xludf.DUMMYFUNCTION("""COMPUTED_VALUE"""),42310.0)</f>
        <v>42310</v>
      </c>
      <c r="G1399" s="86">
        <f>IFERROR(__xludf.DUMMYFUNCTION("""COMPUTED_VALUE"""),0.8666666666666666)</f>
        <v>0.8666666667</v>
      </c>
      <c r="H1399" s="84">
        <f>IFERROR(__xludf.DUMMYFUNCTION("""COMPUTED_VALUE"""),41520.0)</f>
        <v>41520</v>
      </c>
      <c r="I1399" s="86">
        <f>IFERROR(__xludf.DUMMYFUNCTION("""COMPUTED_VALUE"""),2.091666666666667)</f>
        <v>2.091666667</v>
      </c>
      <c r="J1399" s="87">
        <f>IFERROR(__xludf.DUMMYFUNCTION("""COMPUTED_VALUE"""),71.0)</f>
        <v>71</v>
      </c>
      <c r="K1399" s="88">
        <f>IFERROR(__xludf.DUMMYFUNCTION("""COMPUTED_VALUE"""),7.2)</f>
        <v>7.2</v>
      </c>
      <c r="L1399" s="89">
        <f>IFERROR(__xludf.DUMMYFUNCTION("""COMPUTED_VALUE"""),5.0)</f>
        <v>5</v>
      </c>
      <c r="M1399" s="26" t="str">
        <f>IFERROR(__xludf.DUMMYFUNCTION("""COMPUTED_VALUE"""),"Rhythm")</f>
        <v>Rhythm</v>
      </c>
      <c r="N1399" s="26"/>
      <c r="O1399" s="26" t="str">
        <f>IFERROR(__xludf.DUMMYFUNCTION("""COMPUTED_VALUE"""),"No")</f>
        <v>No</v>
      </c>
      <c r="P1399" s="26"/>
    </row>
    <row r="1400">
      <c r="A1400" s="81" t="str">
        <f>IFERROR(__xludf.DUMMYFUNCTION("""COMPUTED_VALUE"""),"Kung Fu Rabbit")</f>
        <v>Kung Fu Rabbit</v>
      </c>
      <c r="B1400" s="82" t="str">
        <f>IFERROR(__xludf.DUMMYFUNCTION("""COMPUTED_VALUE"""),"PS3/Vita")</f>
        <v>PS3/Vita</v>
      </c>
      <c r="C1400" s="83" t="str">
        <f>IFERROR(__xludf.DUMMYFUNCTION("""COMPUTED_VALUE"""),"Playstation Plus (Discontinued)")</f>
        <v>Playstation Plus (Discontinued)</v>
      </c>
      <c r="D1400" s="82" t="str">
        <f>IFERROR(__xludf.DUMMYFUNCTION("""COMPUTED_VALUE"""),"Removed")</f>
        <v>Removed</v>
      </c>
      <c r="E1400" s="84">
        <f>IFERROR(__xludf.DUMMYFUNCTION("""COMPUTED_VALUE"""),42283.0)</f>
        <v>42283</v>
      </c>
      <c r="F1400" s="85">
        <f>IFERROR(__xludf.DUMMYFUNCTION("""COMPUTED_VALUE"""),42310.0)</f>
        <v>42310</v>
      </c>
      <c r="G1400" s="86">
        <f>IFERROR(__xludf.DUMMYFUNCTION("""COMPUTED_VALUE"""),0.8666666666666666)</f>
        <v>0.8666666667</v>
      </c>
      <c r="H1400" s="84">
        <f>IFERROR(__xludf.DUMMYFUNCTION("""COMPUTED_VALUE"""),41394.0)</f>
        <v>41394</v>
      </c>
      <c r="I1400" s="86">
        <f>IFERROR(__xludf.DUMMYFUNCTION("""COMPUTED_VALUE"""),2.433333333333333)</f>
        <v>2.433333333</v>
      </c>
      <c r="J1400" s="87">
        <f>IFERROR(__xludf.DUMMYFUNCTION("""COMPUTED_VALUE"""),61.0)</f>
        <v>61</v>
      </c>
      <c r="K1400" s="88">
        <f>IFERROR(__xludf.DUMMYFUNCTION("""COMPUTED_VALUE"""),6.3)</f>
        <v>6.3</v>
      </c>
      <c r="L1400" s="89">
        <f>IFERROR(__xludf.DUMMYFUNCTION("""COMPUTED_VALUE"""),4.0)</f>
        <v>4</v>
      </c>
      <c r="M1400" s="26" t="str">
        <f>IFERROR(__xludf.DUMMYFUNCTION("""COMPUTED_VALUE"""),"Platformer")</f>
        <v>Platformer</v>
      </c>
      <c r="N1400" s="26"/>
      <c r="O1400" s="26" t="str">
        <f>IFERROR(__xludf.DUMMYFUNCTION("""COMPUTED_VALUE"""),"No")</f>
        <v>No</v>
      </c>
      <c r="P1400" s="26"/>
    </row>
    <row r="1401">
      <c r="A1401" s="81" t="str">
        <f>IFERROR(__xludf.DUMMYFUNCTION("""COMPUTED_VALUE"""),"Chariot")</f>
        <v>Chariot</v>
      </c>
      <c r="B1401" s="82" t="str">
        <f>IFERROR(__xludf.DUMMYFUNCTION("""COMPUTED_VALUE"""),"PS3")</f>
        <v>PS3</v>
      </c>
      <c r="C1401" s="83" t="str">
        <f>IFERROR(__xludf.DUMMYFUNCTION("""COMPUTED_VALUE"""),"Playstation Plus (Discontinued)")</f>
        <v>Playstation Plus (Discontinued)</v>
      </c>
      <c r="D1401" s="82" t="str">
        <f>IFERROR(__xludf.DUMMYFUNCTION("""COMPUTED_VALUE"""),"Removed")</f>
        <v>Removed</v>
      </c>
      <c r="E1401" s="84">
        <f>IFERROR(__xludf.DUMMYFUNCTION("""COMPUTED_VALUE"""),42283.0)</f>
        <v>42283</v>
      </c>
      <c r="F1401" s="85">
        <f>IFERROR(__xludf.DUMMYFUNCTION("""COMPUTED_VALUE"""),42310.0)</f>
        <v>42310</v>
      </c>
      <c r="G1401" s="86">
        <f>IFERROR(__xludf.DUMMYFUNCTION("""COMPUTED_VALUE"""),0.8666666666666666)</f>
        <v>0.8666666667</v>
      </c>
      <c r="H1401" s="84">
        <f>IFERROR(__xludf.DUMMYFUNCTION("""COMPUTED_VALUE"""),41913.0)</f>
        <v>41913</v>
      </c>
      <c r="I1401" s="86">
        <f>IFERROR(__xludf.DUMMYFUNCTION("""COMPUTED_VALUE"""),1.0138888888888888)</f>
        <v>1.013888889</v>
      </c>
      <c r="J1401" s="87">
        <f>IFERROR(__xludf.DUMMYFUNCTION("""COMPUTED_VALUE"""),70.0)</f>
        <v>70</v>
      </c>
      <c r="K1401" s="88">
        <f>IFERROR(__xludf.DUMMYFUNCTION("""COMPUTED_VALUE"""),6.9)</f>
        <v>6.9</v>
      </c>
      <c r="L1401" s="89">
        <f>IFERROR(__xludf.DUMMYFUNCTION("""COMPUTED_VALUE"""),5.0)</f>
        <v>5</v>
      </c>
      <c r="M1401" s="26" t="str">
        <f>IFERROR(__xludf.DUMMYFUNCTION("""COMPUTED_VALUE"""),"Platformer")</f>
        <v>Platformer</v>
      </c>
      <c r="N1401" s="26"/>
      <c r="O1401" s="26" t="str">
        <f>IFERROR(__xludf.DUMMYFUNCTION("""COMPUTED_VALUE"""),"No")</f>
        <v>No</v>
      </c>
      <c r="P1401" s="26"/>
    </row>
    <row r="1402">
      <c r="A1402" s="81" t="str">
        <f>IFERROR(__xludf.DUMMYFUNCTION("""COMPUTED_VALUE"""),"Super Time Force Ultra")</f>
        <v>Super Time Force Ultra</v>
      </c>
      <c r="B1402" s="82" t="str">
        <f>IFERROR(__xludf.DUMMYFUNCTION("""COMPUTED_VALUE"""),"PS4/Vita")</f>
        <v>PS4/Vita</v>
      </c>
      <c r="C1402" s="83" t="str">
        <f>IFERROR(__xludf.DUMMYFUNCTION("""COMPUTED_VALUE"""),"Playstation Plus (Discontinued)")</f>
        <v>Playstation Plus (Discontinued)</v>
      </c>
      <c r="D1402" s="82" t="str">
        <f>IFERROR(__xludf.DUMMYFUNCTION("""COMPUTED_VALUE"""),"Removed")</f>
        <v>Removed</v>
      </c>
      <c r="E1402" s="84">
        <f>IFERROR(__xludf.DUMMYFUNCTION("""COMPUTED_VALUE"""),42248.0)</f>
        <v>42248</v>
      </c>
      <c r="F1402" s="85">
        <f>IFERROR(__xludf.DUMMYFUNCTION("""COMPUTED_VALUE"""),42282.0)</f>
        <v>42282</v>
      </c>
      <c r="G1402" s="86">
        <f>IFERROR(__xludf.DUMMYFUNCTION("""COMPUTED_VALUE"""),1.1333333333333333)</f>
        <v>1.133333333</v>
      </c>
      <c r="H1402" s="84">
        <f>IFERROR(__xludf.DUMMYFUNCTION("""COMPUTED_VALUE"""),42241.0)</f>
        <v>42241</v>
      </c>
      <c r="I1402" s="86">
        <f>IFERROR(__xludf.DUMMYFUNCTION("""COMPUTED_VALUE"""),0.016666666666666666)</f>
        <v>0.01666666667</v>
      </c>
      <c r="J1402" s="87">
        <f>IFERROR(__xludf.DUMMYFUNCTION("""COMPUTED_VALUE"""),80.0)</f>
        <v>80</v>
      </c>
      <c r="K1402" s="88">
        <f>IFERROR(__xludf.DUMMYFUNCTION("""COMPUTED_VALUE"""),7.8)</f>
        <v>7.8</v>
      </c>
      <c r="L1402" s="89">
        <f>IFERROR(__xludf.DUMMYFUNCTION("""COMPUTED_VALUE"""),6.0)</f>
        <v>6</v>
      </c>
      <c r="M1402" s="26" t="str">
        <f>IFERROR(__xludf.DUMMYFUNCTION("""COMPUTED_VALUE"""),"Platformer")</f>
        <v>Platformer</v>
      </c>
      <c r="N1402" s="26"/>
      <c r="O1402" s="26" t="str">
        <f>IFERROR(__xludf.DUMMYFUNCTION("""COMPUTED_VALUE"""),"No")</f>
        <v>No</v>
      </c>
      <c r="P1402" s="26"/>
    </row>
    <row r="1403">
      <c r="A1403" s="81" t="str">
        <f>IFERROR(__xludf.DUMMYFUNCTION("""COMPUTED_VALUE"""),"Xeodrifter")</f>
        <v>Xeodrifter</v>
      </c>
      <c r="B1403" s="82" t="str">
        <f>IFERROR(__xludf.DUMMYFUNCTION("""COMPUTED_VALUE"""),"PS4/Vita")</f>
        <v>PS4/Vita</v>
      </c>
      <c r="C1403" s="83" t="str">
        <f>IFERROR(__xludf.DUMMYFUNCTION("""COMPUTED_VALUE"""),"Playstation Plus (Discontinued)")</f>
        <v>Playstation Plus (Discontinued)</v>
      </c>
      <c r="D1403" s="82" t="str">
        <f>IFERROR(__xludf.DUMMYFUNCTION("""COMPUTED_VALUE"""),"Removed")</f>
        <v>Removed</v>
      </c>
      <c r="E1403" s="84">
        <f>IFERROR(__xludf.DUMMYFUNCTION("""COMPUTED_VALUE"""),42248.0)</f>
        <v>42248</v>
      </c>
      <c r="F1403" s="85">
        <f>IFERROR(__xludf.DUMMYFUNCTION("""COMPUTED_VALUE"""),42282.0)</f>
        <v>42282</v>
      </c>
      <c r="G1403" s="86">
        <f>IFERROR(__xludf.DUMMYFUNCTION("""COMPUTED_VALUE"""),1.1333333333333333)</f>
        <v>1.133333333</v>
      </c>
      <c r="H1403" s="84">
        <f>IFERROR(__xludf.DUMMYFUNCTION("""COMPUTED_VALUE"""),41984.0)</f>
        <v>41984</v>
      </c>
      <c r="I1403" s="86">
        <f>IFERROR(__xludf.DUMMYFUNCTION("""COMPUTED_VALUE"""),0.7222222222222222)</f>
        <v>0.7222222222</v>
      </c>
      <c r="J1403" s="87">
        <f>IFERROR(__xludf.DUMMYFUNCTION("""COMPUTED_VALUE"""),76.0)</f>
        <v>76</v>
      </c>
      <c r="K1403" s="88">
        <f>IFERROR(__xludf.DUMMYFUNCTION("""COMPUTED_VALUE"""),7.3)</f>
        <v>7.3</v>
      </c>
      <c r="L1403" s="89">
        <f>IFERROR(__xludf.DUMMYFUNCTION("""COMPUTED_VALUE"""),3.0)</f>
        <v>3</v>
      </c>
      <c r="M1403" s="26" t="str">
        <f>IFERROR(__xludf.DUMMYFUNCTION("""COMPUTED_VALUE"""),"Platformer")</f>
        <v>Platformer</v>
      </c>
      <c r="N1403" s="26"/>
      <c r="O1403" s="26" t="str">
        <f>IFERROR(__xludf.DUMMYFUNCTION("""COMPUTED_VALUE"""),"No")</f>
        <v>No</v>
      </c>
      <c r="P1403" s="26"/>
    </row>
    <row r="1404">
      <c r="A1404" s="81" t="str">
        <f>IFERROR(__xludf.DUMMYFUNCTION("""COMPUTED_VALUE"""),"Teslagrad")</f>
        <v>Teslagrad</v>
      </c>
      <c r="B1404" s="82" t="str">
        <f>IFERROR(__xludf.DUMMYFUNCTION("""COMPUTED_VALUE"""),"PS4/PS3")</f>
        <v>PS4/PS3</v>
      </c>
      <c r="C1404" s="83" t="str">
        <f>IFERROR(__xludf.DUMMYFUNCTION("""COMPUTED_VALUE"""),"Playstation Plus (Discontinued)")</f>
        <v>Playstation Plus (Discontinued)</v>
      </c>
      <c r="D1404" s="82" t="str">
        <f>IFERROR(__xludf.DUMMYFUNCTION("""COMPUTED_VALUE"""),"Removed")</f>
        <v>Removed</v>
      </c>
      <c r="E1404" s="84">
        <f>IFERROR(__xludf.DUMMYFUNCTION("""COMPUTED_VALUE"""),42248.0)</f>
        <v>42248</v>
      </c>
      <c r="F1404" s="85">
        <f>IFERROR(__xludf.DUMMYFUNCTION("""COMPUTED_VALUE"""),42282.0)</f>
        <v>42282</v>
      </c>
      <c r="G1404" s="86">
        <f>IFERROR(__xludf.DUMMYFUNCTION("""COMPUTED_VALUE"""),1.1333333333333333)</f>
        <v>1.133333333</v>
      </c>
      <c r="H1404" s="84">
        <f>IFERROR(__xludf.DUMMYFUNCTION("""COMPUTED_VALUE"""),41621.0)</f>
        <v>41621</v>
      </c>
      <c r="I1404" s="86">
        <f>IFERROR(__xludf.DUMMYFUNCTION("""COMPUTED_VALUE"""),1.7166666666666666)</f>
        <v>1.716666667</v>
      </c>
      <c r="J1404" s="87">
        <f>IFERROR(__xludf.DUMMYFUNCTION("""COMPUTED_VALUE"""),78.0)</f>
        <v>78</v>
      </c>
      <c r="K1404" s="88">
        <f>IFERROR(__xludf.DUMMYFUNCTION("""COMPUTED_VALUE"""),7.3)</f>
        <v>7.3</v>
      </c>
      <c r="L1404" s="89">
        <f>IFERROR(__xludf.DUMMYFUNCTION("""COMPUTED_VALUE"""),5.0)</f>
        <v>5</v>
      </c>
      <c r="M1404" s="26" t="str">
        <f>IFERROR(__xludf.DUMMYFUNCTION("""COMPUTED_VALUE"""),"Platformer")</f>
        <v>Platformer</v>
      </c>
      <c r="N1404" s="26"/>
      <c r="O1404" s="26" t="str">
        <f>IFERROR(__xludf.DUMMYFUNCTION("""COMPUTED_VALUE"""),"No")</f>
        <v>No</v>
      </c>
      <c r="P1404" s="26"/>
    </row>
    <row r="1405">
      <c r="A1405" s="81" t="str">
        <f>IFERROR(__xludf.DUMMYFUNCTION("""COMPUTED_VALUE"""),"Grow Home")</f>
        <v>Grow Home</v>
      </c>
      <c r="B1405" s="82" t="str">
        <f>IFERROR(__xludf.DUMMYFUNCTION("""COMPUTED_VALUE"""),"PS4")</f>
        <v>PS4</v>
      </c>
      <c r="C1405" s="83" t="str">
        <f>IFERROR(__xludf.DUMMYFUNCTION("""COMPUTED_VALUE"""),"Playstation Plus (Discontinued)")</f>
        <v>Playstation Plus (Discontinued)</v>
      </c>
      <c r="D1405" s="82" t="str">
        <f>IFERROR(__xludf.DUMMYFUNCTION("""COMPUTED_VALUE"""),"Removed")</f>
        <v>Removed</v>
      </c>
      <c r="E1405" s="84">
        <f>IFERROR(__xludf.DUMMYFUNCTION("""COMPUTED_VALUE"""),42248.0)</f>
        <v>42248</v>
      </c>
      <c r="F1405" s="85">
        <f>IFERROR(__xludf.DUMMYFUNCTION("""COMPUTED_VALUE"""),42282.0)</f>
        <v>42282</v>
      </c>
      <c r="G1405" s="86">
        <f>IFERROR(__xludf.DUMMYFUNCTION("""COMPUTED_VALUE"""),1.1333333333333333)</f>
        <v>1.133333333</v>
      </c>
      <c r="H1405" s="84">
        <f>IFERROR(__xludf.DUMMYFUNCTION("""COMPUTED_VALUE"""),42039.0)</f>
        <v>42039</v>
      </c>
      <c r="I1405" s="86">
        <f>IFERROR(__xludf.DUMMYFUNCTION("""COMPUTED_VALUE"""),0.575)</f>
        <v>0.575</v>
      </c>
      <c r="J1405" s="87">
        <f>IFERROR(__xludf.DUMMYFUNCTION("""COMPUTED_VALUE"""),75.0)</f>
        <v>75</v>
      </c>
      <c r="K1405" s="88">
        <f>IFERROR(__xludf.DUMMYFUNCTION("""COMPUTED_VALUE"""),7.4)</f>
        <v>7.4</v>
      </c>
      <c r="L1405" s="89">
        <f>IFERROR(__xludf.DUMMYFUNCTION("""COMPUTED_VALUE"""),3.0)</f>
        <v>3</v>
      </c>
      <c r="M1405" s="26" t="str">
        <f>IFERROR(__xludf.DUMMYFUNCTION("""COMPUTED_VALUE"""),"Platformer")</f>
        <v>Platformer</v>
      </c>
      <c r="N1405" s="26"/>
      <c r="O1405" s="26" t="str">
        <f>IFERROR(__xludf.DUMMYFUNCTION("""COMPUTED_VALUE"""),"No")</f>
        <v>No</v>
      </c>
      <c r="P1405" s="26"/>
    </row>
    <row r="1406">
      <c r="A1406" s="81" t="str">
        <f>IFERROR(__xludf.DUMMYFUNCTION("""COMPUTED_VALUE"""),"La-Mulana EX")</f>
        <v>La-Mulana EX</v>
      </c>
      <c r="B1406" s="82" t="str">
        <f>IFERROR(__xludf.DUMMYFUNCTION("""COMPUTED_VALUE"""),"Vita")</f>
        <v>Vita</v>
      </c>
      <c r="C1406" s="83" t="str">
        <f>IFERROR(__xludf.DUMMYFUNCTION("""COMPUTED_VALUE"""),"Playstation Plus (Discontinued)")</f>
        <v>Playstation Plus (Discontinued)</v>
      </c>
      <c r="D1406" s="82" t="str">
        <f>IFERROR(__xludf.DUMMYFUNCTION("""COMPUTED_VALUE"""),"Removed")</f>
        <v>Removed</v>
      </c>
      <c r="E1406" s="84">
        <f>IFERROR(__xludf.DUMMYFUNCTION("""COMPUTED_VALUE"""),42248.0)</f>
        <v>42248</v>
      </c>
      <c r="F1406" s="85">
        <f>IFERROR(__xludf.DUMMYFUNCTION("""COMPUTED_VALUE"""),42282.0)</f>
        <v>42282</v>
      </c>
      <c r="G1406" s="86">
        <f>IFERROR(__xludf.DUMMYFUNCTION("""COMPUTED_VALUE"""),1.1333333333333333)</f>
        <v>1.133333333</v>
      </c>
      <c r="H1406" s="84">
        <f>IFERROR(__xludf.DUMMYFUNCTION("""COMPUTED_VALUE"""),42158.0)</f>
        <v>42158</v>
      </c>
      <c r="I1406" s="86">
        <f>IFERROR(__xludf.DUMMYFUNCTION("""COMPUTED_VALUE"""),0.24444444444444444)</f>
        <v>0.2444444444</v>
      </c>
      <c r="J1406" s="87">
        <f>IFERROR(__xludf.DUMMYFUNCTION("""COMPUTED_VALUE"""),72.0)</f>
        <v>72</v>
      </c>
      <c r="K1406" s="88">
        <f>IFERROR(__xludf.DUMMYFUNCTION("""COMPUTED_VALUE"""),7.2)</f>
        <v>7.2</v>
      </c>
      <c r="L1406" s="89">
        <f>IFERROR(__xludf.DUMMYFUNCTION("""COMPUTED_VALUE"""),15.0)</f>
        <v>15</v>
      </c>
      <c r="M1406" s="26" t="str">
        <f>IFERROR(__xludf.DUMMYFUNCTION("""COMPUTED_VALUE"""),"Action-Adventure")</f>
        <v>Action-Adventure</v>
      </c>
      <c r="N1406" s="26"/>
      <c r="O1406" s="26" t="str">
        <f>IFERROR(__xludf.DUMMYFUNCTION("""COMPUTED_VALUE"""),"No")</f>
        <v>No</v>
      </c>
      <c r="P1406" s="26"/>
    </row>
    <row r="1407">
      <c r="A1407" s="81" t="str">
        <f>IFERROR(__xludf.DUMMYFUNCTION("""COMPUTED_VALUE"""),"Twisted Metal")</f>
        <v>Twisted Metal</v>
      </c>
      <c r="B1407" s="82" t="str">
        <f>IFERROR(__xludf.DUMMYFUNCTION("""COMPUTED_VALUE"""),"PS3")</f>
        <v>PS3</v>
      </c>
      <c r="C1407" s="83" t="str">
        <f>IFERROR(__xludf.DUMMYFUNCTION("""COMPUTED_VALUE"""),"Playstation Plus (Discontinued)")</f>
        <v>Playstation Plus (Discontinued)</v>
      </c>
      <c r="D1407" s="82" t="str">
        <f>IFERROR(__xludf.DUMMYFUNCTION("""COMPUTED_VALUE"""),"Removed")</f>
        <v>Removed</v>
      </c>
      <c r="E1407" s="84">
        <f>IFERROR(__xludf.DUMMYFUNCTION("""COMPUTED_VALUE"""),42248.0)</f>
        <v>42248</v>
      </c>
      <c r="F1407" s="85">
        <f>IFERROR(__xludf.DUMMYFUNCTION("""COMPUTED_VALUE"""),42282.0)</f>
        <v>42282</v>
      </c>
      <c r="G1407" s="86">
        <f>IFERROR(__xludf.DUMMYFUNCTION("""COMPUTED_VALUE"""),1.1333333333333333)</f>
        <v>1.133333333</v>
      </c>
      <c r="H1407" s="84">
        <f>IFERROR(__xludf.DUMMYFUNCTION("""COMPUTED_VALUE"""),40820.0)</f>
        <v>40820</v>
      </c>
      <c r="I1407" s="86">
        <f>IFERROR(__xludf.DUMMYFUNCTION("""COMPUTED_VALUE"""),3.908333333333333)</f>
        <v>3.908333333</v>
      </c>
      <c r="J1407" s="87">
        <f>IFERROR(__xludf.DUMMYFUNCTION("""COMPUTED_VALUE"""),76.0)</f>
        <v>76</v>
      </c>
      <c r="K1407" s="88">
        <f>IFERROR(__xludf.DUMMYFUNCTION("""COMPUTED_VALUE"""),7.5)</f>
        <v>7.5</v>
      </c>
      <c r="L1407" s="89"/>
      <c r="M1407" s="26" t="str">
        <f>IFERROR(__xludf.DUMMYFUNCTION("""COMPUTED_VALUE"""),"Shooter")</f>
        <v>Shooter</v>
      </c>
      <c r="N1407" s="26"/>
      <c r="O1407" s="26" t="str">
        <f>IFERROR(__xludf.DUMMYFUNCTION("""COMPUTED_VALUE"""),"No")</f>
        <v>No</v>
      </c>
      <c r="P1407" s="26"/>
    </row>
    <row r="1408">
      <c r="A1408" s="81" t="str">
        <f>IFERROR(__xludf.DUMMYFUNCTION("""COMPUTED_VALUE"""),"Lara Croft and the Temple of Osiris")</f>
        <v>Lara Croft and the Temple of Osiris</v>
      </c>
      <c r="B1408" s="82" t="str">
        <f>IFERROR(__xludf.DUMMYFUNCTION("""COMPUTED_VALUE"""),"PS4")</f>
        <v>PS4</v>
      </c>
      <c r="C1408" s="83" t="str">
        <f>IFERROR(__xludf.DUMMYFUNCTION("""COMPUTED_VALUE"""),"Playstation Plus (Discontinued)")</f>
        <v>Playstation Plus (Discontinued)</v>
      </c>
      <c r="D1408" s="82" t="str">
        <f>IFERROR(__xludf.DUMMYFUNCTION("""COMPUTED_VALUE"""),"Removed")</f>
        <v>Removed</v>
      </c>
      <c r="E1408" s="84">
        <f>IFERROR(__xludf.DUMMYFUNCTION("""COMPUTED_VALUE"""),42220.0)</f>
        <v>42220</v>
      </c>
      <c r="F1408" s="85">
        <f>IFERROR(__xludf.DUMMYFUNCTION("""COMPUTED_VALUE"""),42247.0)</f>
        <v>42247</v>
      </c>
      <c r="G1408" s="86">
        <f>IFERROR(__xludf.DUMMYFUNCTION("""COMPUTED_VALUE"""),0.8666666666666666)</f>
        <v>0.8666666667</v>
      </c>
      <c r="H1408" s="84">
        <f>IFERROR(__xludf.DUMMYFUNCTION("""COMPUTED_VALUE"""),41982.0)</f>
        <v>41982</v>
      </c>
      <c r="I1408" s="86">
        <f>IFERROR(__xludf.DUMMYFUNCTION("""COMPUTED_VALUE"""),0.6527777777777778)</f>
        <v>0.6527777778</v>
      </c>
      <c r="J1408" s="87">
        <f>IFERROR(__xludf.DUMMYFUNCTION("""COMPUTED_VALUE"""),74.0)</f>
        <v>74</v>
      </c>
      <c r="K1408" s="88">
        <f>IFERROR(__xludf.DUMMYFUNCTION("""COMPUTED_VALUE"""),7.1)</f>
        <v>7.1</v>
      </c>
      <c r="L1408" s="89">
        <f>IFERROR(__xludf.DUMMYFUNCTION("""COMPUTED_VALUE"""),7.0)</f>
        <v>7</v>
      </c>
      <c r="M1408" s="26" t="str">
        <f>IFERROR(__xludf.DUMMYFUNCTION("""COMPUTED_VALUE"""),"Action-Adventure")</f>
        <v>Action-Adventure</v>
      </c>
      <c r="N1408" s="26"/>
      <c r="O1408" s="26" t="str">
        <f>IFERROR(__xludf.DUMMYFUNCTION("""COMPUTED_VALUE"""),"No")</f>
        <v>No</v>
      </c>
      <c r="P1408" s="26"/>
    </row>
    <row r="1409">
      <c r="A1409" s="81" t="str">
        <f>IFERROR(__xludf.DUMMYFUNCTION("""COMPUTED_VALUE"""),"Limbo")</f>
        <v>Limbo</v>
      </c>
      <c r="B1409" s="82" t="str">
        <f>IFERROR(__xludf.DUMMYFUNCTION("""COMPUTED_VALUE"""),"PS4")</f>
        <v>PS4</v>
      </c>
      <c r="C1409" s="83" t="str">
        <f>IFERROR(__xludf.DUMMYFUNCTION("""COMPUTED_VALUE"""),"Playstation Plus (Discontinued)")</f>
        <v>Playstation Plus (Discontinued)</v>
      </c>
      <c r="D1409" s="82" t="str">
        <f>IFERROR(__xludf.DUMMYFUNCTION("""COMPUTED_VALUE"""),"Removed")</f>
        <v>Removed</v>
      </c>
      <c r="E1409" s="84">
        <f>IFERROR(__xludf.DUMMYFUNCTION("""COMPUTED_VALUE"""),42220.0)</f>
        <v>42220</v>
      </c>
      <c r="F1409" s="85">
        <f>IFERROR(__xludf.DUMMYFUNCTION("""COMPUTED_VALUE"""),42247.0)</f>
        <v>42247</v>
      </c>
      <c r="G1409" s="86">
        <f>IFERROR(__xludf.DUMMYFUNCTION("""COMPUTED_VALUE"""),0.8666666666666666)</f>
        <v>0.8666666667</v>
      </c>
      <c r="H1409" s="84">
        <f>IFERROR(__xludf.DUMMYFUNCTION("""COMPUTED_VALUE"""),40378.0)</f>
        <v>40378</v>
      </c>
      <c r="I1409" s="86">
        <f>IFERROR(__xludf.DUMMYFUNCTION("""COMPUTED_VALUE"""),5.041666666666667)</f>
        <v>5.041666667</v>
      </c>
      <c r="J1409" s="87">
        <f>IFERROR(__xludf.DUMMYFUNCTION("""COMPUTED_VALUE"""),90.0)</f>
        <v>90</v>
      </c>
      <c r="K1409" s="88">
        <f>IFERROR(__xludf.DUMMYFUNCTION("""COMPUTED_VALUE"""),8.2)</f>
        <v>8.2</v>
      </c>
      <c r="L1409" s="89">
        <f>IFERROR(__xludf.DUMMYFUNCTION("""COMPUTED_VALUE"""),4.0)</f>
        <v>4</v>
      </c>
      <c r="M1409" s="26" t="str">
        <f>IFERROR(__xludf.DUMMYFUNCTION("""COMPUTED_VALUE"""),"Platformer")</f>
        <v>Platformer</v>
      </c>
      <c r="N1409" s="26"/>
      <c r="O1409" s="26" t="str">
        <f>IFERROR(__xludf.DUMMYFUNCTION("""COMPUTED_VALUE"""),"No")</f>
        <v>No</v>
      </c>
      <c r="P1409" s="26"/>
    </row>
    <row r="1410">
      <c r="A1410" s="81" t="str">
        <f>IFERROR(__xludf.DUMMYFUNCTION("""COMPUTED_VALUE"""),"Sound Shapes")</f>
        <v>Sound Shapes</v>
      </c>
      <c r="B1410" s="82" t="str">
        <f>IFERROR(__xludf.DUMMYFUNCTION("""COMPUTED_VALUE"""),"PS4/PS3/Vita")</f>
        <v>PS4/PS3/Vita</v>
      </c>
      <c r="C1410" s="83" t="str">
        <f>IFERROR(__xludf.DUMMYFUNCTION("""COMPUTED_VALUE"""),"Playstation Plus (Discontinued)")</f>
        <v>Playstation Plus (Discontinued)</v>
      </c>
      <c r="D1410" s="82" t="str">
        <f>IFERROR(__xludf.DUMMYFUNCTION("""COMPUTED_VALUE"""),"Removed")</f>
        <v>Removed</v>
      </c>
      <c r="E1410" s="84">
        <f>IFERROR(__xludf.DUMMYFUNCTION("""COMPUTED_VALUE"""),42220.0)</f>
        <v>42220</v>
      </c>
      <c r="F1410" s="85">
        <f>IFERROR(__xludf.DUMMYFUNCTION("""COMPUTED_VALUE"""),42247.0)</f>
        <v>42247</v>
      </c>
      <c r="G1410" s="86">
        <f>IFERROR(__xludf.DUMMYFUNCTION("""COMPUTED_VALUE"""),0.8666666666666666)</f>
        <v>0.8666666667</v>
      </c>
      <c r="H1410" s="84">
        <f>IFERROR(__xludf.DUMMYFUNCTION("""COMPUTED_VALUE"""),41128.0)</f>
        <v>41128</v>
      </c>
      <c r="I1410" s="86">
        <f>IFERROR(__xludf.DUMMYFUNCTION("""COMPUTED_VALUE"""),2.9916666666666667)</f>
        <v>2.991666667</v>
      </c>
      <c r="J1410" s="87">
        <f>IFERROR(__xludf.DUMMYFUNCTION("""COMPUTED_VALUE"""),86.0)</f>
        <v>86</v>
      </c>
      <c r="K1410" s="88">
        <f>IFERROR(__xludf.DUMMYFUNCTION("""COMPUTED_VALUE"""),7.9)</f>
        <v>7.9</v>
      </c>
      <c r="L1410" s="89">
        <f>IFERROR(__xludf.DUMMYFUNCTION("""COMPUTED_VALUE"""),6.0)</f>
        <v>6</v>
      </c>
      <c r="M1410" s="26" t="str">
        <f>IFERROR(__xludf.DUMMYFUNCTION("""COMPUTED_VALUE"""),"Platformer")</f>
        <v>Platformer</v>
      </c>
      <c r="N1410" s="26"/>
      <c r="O1410" s="26" t="str">
        <f>IFERROR(__xludf.DUMMYFUNCTION("""COMPUTED_VALUE"""),"No")</f>
        <v>No</v>
      </c>
      <c r="P1410" s="26"/>
    </row>
    <row r="1411">
      <c r="A1411" s="81" t="str">
        <f>IFERROR(__xludf.DUMMYFUNCTION("""COMPUTED_VALUE"""),"Stealth Inc 2: A Game of Clones")</f>
        <v>Stealth Inc 2: A Game of Clones</v>
      </c>
      <c r="B1411" s="82" t="str">
        <f>IFERROR(__xludf.DUMMYFUNCTION("""COMPUTED_VALUE"""),"PS4/PS3/Vita")</f>
        <v>PS4/PS3/Vita</v>
      </c>
      <c r="C1411" s="83" t="str">
        <f>IFERROR(__xludf.DUMMYFUNCTION("""COMPUTED_VALUE"""),"Playstation Plus (Discontinued)")</f>
        <v>Playstation Plus (Discontinued)</v>
      </c>
      <c r="D1411" s="82" t="str">
        <f>IFERROR(__xludf.DUMMYFUNCTION("""COMPUTED_VALUE"""),"Removed")</f>
        <v>Removed</v>
      </c>
      <c r="E1411" s="84">
        <f>IFERROR(__xludf.DUMMYFUNCTION("""COMPUTED_VALUE"""),42220.0)</f>
        <v>42220</v>
      </c>
      <c r="F1411" s="85">
        <f>IFERROR(__xludf.DUMMYFUNCTION("""COMPUTED_VALUE"""),42247.0)</f>
        <v>42247</v>
      </c>
      <c r="G1411" s="86">
        <f>IFERROR(__xludf.DUMMYFUNCTION("""COMPUTED_VALUE"""),0.8666666666666666)</f>
        <v>0.8666666667</v>
      </c>
      <c r="H1411" s="84">
        <f>IFERROR(__xludf.DUMMYFUNCTION("""COMPUTED_VALUE"""),41919.0)</f>
        <v>41919</v>
      </c>
      <c r="I1411" s="86">
        <f>IFERROR(__xludf.DUMMYFUNCTION("""COMPUTED_VALUE"""),0.825)</f>
        <v>0.825</v>
      </c>
      <c r="J1411" s="87">
        <f>IFERROR(__xludf.DUMMYFUNCTION("""COMPUTED_VALUE"""),80.0)</f>
        <v>80</v>
      </c>
      <c r="K1411" s="88">
        <f>IFERROR(__xludf.DUMMYFUNCTION("""COMPUTED_VALUE"""),7.4)</f>
        <v>7.4</v>
      </c>
      <c r="L1411" s="89">
        <f>IFERROR(__xludf.DUMMYFUNCTION("""COMPUTED_VALUE"""),6.0)</f>
        <v>6</v>
      </c>
      <c r="M1411" s="26" t="str">
        <f>IFERROR(__xludf.DUMMYFUNCTION("""COMPUTED_VALUE"""),"Platformer")</f>
        <v>Platformer</v>
      </c>
      <c r="N1411" s="26"/>
      <c r="O1411" s="26" t="str">
        <f>IFERROR(__xludf.DUMMYFUNCTION("""COMPUTED_VALUE"""),"No")</f>
        <v>No</v>
      </c>
      <c r="P1411" s="26"/>
    </row>
    <row r="1412">
      <c r="A1412" s="81" t="str">
        <f>IFERROR(__xludf.DUMMYFUNCTION("""COMPUTED_VALUE"""),"God of War: Ascension")</f>
        <v>God of War: Ascension</v>
      </c>
      <c r="B1412" s="82" t="str">
        <f>IFERROR(__xludf.DUMMYFUNCTION("""COMPUTED_VALUE"""),"PS3")</f>
        <v>PS3</v>
      </c>
      <c r="C1412" s="83" t="str">
        <f>IFERROR(__xludf.DUMMYFUNCTION("""COMPUTED_VALUE"""),"Playstation Plus (Discontinued)")</f>
        <v>Playstation Plus (Discontinued)</v>
      </c>
      <c r="D1412" s="82" t="str">
        <f>IFERROR(__xludf.DUMMYFUNCTION("""COMPUTED_VALUE"""),"Removed")</f>
        <v>Removed</v>
      </c>
      <c r="E1412" s="84">
        <f>IFERROR(__xludf.DUMMYFUNCTION("""COMPUTED_VALUE"""),42220.0)</f>
        <v>42220</v>
      </c>
      <c r="F1412" s="85">
        <f>IFERROR(__xludf.DUMMYFUNCTION("""COMPUTED_VALUE"""),42247.0)</f>
        <v>42247</v>
      </c>
      <c r="G1412" s="86">
        <f>IFERROR(__xludf.DUMMYFUNCTION("""COMPUTED_VALUE"""),0.8666666666666666)</f>
        <v>0.8666666667</v>
      </c>
      <c r="H1412" s="84">
        <f>IFERROR(__xludf.DUMMYFUNCTION("""COMPUTED_VALUE"""),41345.0)</f>
        <v>41345</v>
      </c>
      <c r="I1412" s="86">
        <f>IFERROR(__xludf.DUMMYFUNCTION("""COMPUTED_VALUE"""),2.3944444444444444)</f>
        <v>2.394444444</v>
      </c>
      <c r="J1412" s="87">
        <f>IFERROR(__xludf.DUMMYFUNCTION("""COMPUTED_VALUE"""),80.0)</f>
        <v>80</v>
      </c>
      <c r="K1412" s="88">
        <f>IFERROR(__xludf.DUMMYFUNCTION("""COMPUTED_VALUE"""),7.8)</f>
        <v>7.8</v>
      </c>
      <c r="L1412" s="89">
        <f>IFERROR(__xludf.DUMMYFUNCTION("""COMPUTED_VALUE"""),8.0)</f>
        <v>8</v>
      </c>
      <c r="M1412" s="26" t="str">
        <f>IFERROR(__xludf.DUMMYFUNCTION("""COMPUTED_VALUE"""),"Action-Adventure")</f>
        <v>Action-Adventure</v>
      </c>
      <c r="N1412" s="26"/>
      <c r="O1412" s="26" t="str">
        <f>IFERROR(__xludf.DUMMYFUNCTION("""COMPUTED_VALUE"""),"No")</f>
        <v>No</v>
      </c>
      <c r="P1412" s="26"/>
    </row>
    <row r="1413">
      <c r="A1413" s="81" t="str">
        <f>IFERROR(__xludf.DUMMYFUNCTION("""COMPUTED_VALUE"""),"CastleStorm")</f>
        <v>CastleStorm</v>
      </c>
      <c r="B1413" s="82" t="str">
        <f>IFERROR(__xludf.DUMMYFUNCTION("""COMPUTED_VALUE"""),"PS3/Vita")</f>
        <v>PS3/Vita</v>
      </c>
      <c r="C1413" s="83" t="str">
        <f>IFERROR(__xludf.DUMMYFUNCTION("""COMPUTED_VALUE"""),"Playstation Plus (Discontinued)")</f>
        <v>Playstation Plus (Discontinued)</v>
      </c>
      <c r="D1413" s="82" t="str">
        <f>IFERROR(__xludf.DUMMYFUNCTION("""COMPUTED_VALUE"""),"Removed")</f>
        <v>Removed</v>
      </c>
      <c r="E1413" s="84">
        <f>IFERROR(__xludf.DUMMYFUNCTION("""COMPUTED_VALUE"""),42220.0)</f>
        <v>42220</v>
      </c>
      <c r="F1413" s="85">
        <f>IFERROR(__xludf.DUMMYFUNCTION("""COMPUTED_VALUE"""),42247.0)</f>
        <v>42247</v>
      </c>
      <c r="G1413" s="86">
        <f>IFERROR(__xludf.DUMMYFUNCTION("""COMPUTED_VALUE"""),0.8666666666666666)</f>
        <v>0.8666666667</v>
      </c>
      <c r="H1413" s="84">
        <f>IFERROR(__xludf.DUMMYFUNCTION("""COMPUTED_VALUE"""),41423.0)</f>
        <v>41423</v>
      </c>
      <c r="I1413" s="86">
        <f>IFERROR(__xludf.DUMMYFUNCTION("""COMPUTED_VALUE"""),2.1805555555555554)</f>
        <v>2.180555556</v>
      </c>
      <c r="J1413" s="87">
        <f>IFERROR(__xludf.DUMMYFUNCTION("""COMPUTED_VALUE"""),73.0)</f>
        <v>73</v>
      </c>
      <c r="K1413" s="88">
        <f>IFERROR(__xludf.DUMMYFUNCTION("""COMPUTED_VALUE"""),7.3)</f>
        <v>7.3</v>
      </c>
      <c r="L1413" s="89">
        <f>IFERROR(__xludf.DUMMYFUNCTION("""COMPUTED_VALUE"""),7.0)</f>
        <v>7</v>
      </c>
      <c r="M1413" s="26" t="str">
        <f>IFERROR(__xludf.DUMMYFUNCTION("""COMPUTED_VALUE"""),"Strategy")</f>
        <v>Strategy</v>
      </c>
      <c r="N1413" s="26"/>
      <c r="O1413" s="26" t="str">
        <f>IFERROR(__xludf.DUMMYFUNCTION("""COMPUTED_VALUE"""),"No")</f>
        <v>No</v>
      </c>
      <c r="P1413" s="26"/>
    </row>
    <row r="1414">
      <c r="A1414" s="81" t="str">
        <f>IFERROR(__xludf.DUMMYFUNCTION("""COMPUTED_VALUE"""),"Mousecraft")</f>
        <v>Mousecraft</v>
      </c>
      <c r="B1414" s="82" t="str">
        <f>IFERROR(__xludf.DUMMYFUNCTION("""COMPUTED_VALUE"""),"PS4/PS3/Vita")</f>
        <v>PS4/PS3/Vita</v>
      </c>
      <c r="C1414" s="83" t="str">
        <f>IFERROR(__xludf.DUMMYFUNCTION("""COMPUTED_VALUE"""),"Playstation Plus (Discontinued)")</f>
        <v>Playstation Plus (Discontinued)</v>
      </c>
      <c r="D1414" s="82" t="str">
        <f>IFERROR(__xludf.DUMMYFUNCTION("""COMPUTED_VALUE"""),"Removed")</f>
        <v>Removed</v>
      </c>
      <c r="E1414" s="84">
        <f>IFERROR(__xludf.DUMMYFUNCTION("""COMPUTED_VALUE"""),42192.0)</f>
        <v>42192</v>
      </c>
      <c r="F1414" s="85">
        <f>IFERROR(__xludf.DUMMYFUNCTION("""COMPUTED_VALUE"""),42219.0)</f>
        <v>42219</v>
      </c>
      <c r="G1414" s="86">
        <f>IFERROR(__xludf.DUMMYFUNCTION("""COMPUTED_VALUE"""),0.8666666666666666)</f>
        <v>0.8666666667</v>
      </c>
      <c r="H1414" s="84">
        <f>IFERROR(__xludf.DUMMYFUNCTION("""COMPUTED_VALUE"""),41828.0)</f>
        <v>41828</v>
      </c>
      <c r="I1414" s="86">
        <f>IFERROR(__xludf.DUMMYFUNCTION("""COMPUTED_VALUE"""),0.9972222222222222)</f>
        <v>0.9972222222</v>
      </c>
      <c r="J1414" s="87">
        <f>IFERROR(__xludf.DUMMYFUNCTION("""COMPUTED_VALUE"""),72.0)</f>
        <v>72</v>
      </c>
      <c r="K1414" s="88">
        <f>IFERROR(__xludf.DUMMYFUNCTION("""COMPUTED_VALUE"""),6.8)</f>
        <v>6.8</v>
      </c>
      <c r="L1414" s="89">
        <f>IFERROR(__xludf.DUMMYFUNCTION("""COMPUTED_VALUE"""),6.0)</f>
        <v>6</v>
      </c>
      <c r="M1414" s="26" t="str">
        <f>IFERROR(__xludf.DUMMYFUNCTION("""COMPUTED_VALUE"""),"Puzzle")</f>
        <v>Puzzle</v>
      </c>
      <c r="N1414" s="26"/>
      <c r="O1414" s="26" t="str">
        <f>IFERROR(__xludf.DUMMYFUNCTION("""COMPUTED_VALUE"""),"No")</f>
        <v>No</v>
      </c>
      <c r="P1414" s="26"/>
    </row>
    <row r="1415">
      <c r="A1415" s="81" t="str">
        <f>IFERROR(__xludf.DUMMYFUNCTION("""COMPUTED_VALUE"""),"Entwined")</f>
        <v>Entwined</v>
      </c>
      <c r="B1415" s="82" t="str">
        <f>IFERROR(__xludf.DUMMYFUNCTION("""COMPUTED_VALUE"""),"PS4/PS3/Vita")</f>
        <v>PS4/PS3/Vita</v>
      </c>
      <c r="C1415" s="83" t="str">
        <f>IFERROR(__xludf.DUMMYFUNCTION("""COMPUTED_VALUE"""),"Playstation Plus (Discontinued)")</f>
        <v>Playstation Plus (Discontinued)</v>
      </c>
      <c r="D1415" s="82" t="str">
        <f>IFERROR(__xludf.DUMMYFUNCTION("""COMPUTED_VALUE"""),"Removed")</f>
        <v>Removed</v>
      </c>
      <c r="E1415" s="84">
        <f>IFERROR(__xludf.DUMMYFUNCTION("""COMPUTED_VALUE"""),42192.0)</f>
        <v>42192</v>
      </c>
      <c r="F1415" s="85">
        <f>IFERROR(__xludf.DUMMYFUNCTION("""COMPUTED_VALUE"""),42219.0)</f>
        <v>42219</v>
      </c>
      <c r="G1415" s="86">
        <f>IFERROR(__xludf.DUMMYFUNCTION("""COMPUTED_VALUE"""),0.8666666666666666)</f>
        <v>0.8666666667</v>
      </c>
      <c r="H1415" s="84">
        <f>IFERROR(__xludf.DUMMYFUNCTION("""COMPUTED_VALUE"""),41807.0)</f>
        <v>41807</v>
      </c>
      <c r="I1415" s="86">
        <f>IFERROR(__xludf.DUMMYFUNCTION("""COMPUTED_VALUE"""),1.0555555555555556)</f>
        <v>1.055555556</v>
      </c>
      <c r="J1415" s="87">
        <f>IFERROR(__xludf.DUMMYFUNCTION("""COMPUTED_VALUE"""),61.0)</f>
        <v>61</v>
      </c>
      <c r="K1415" s="88">
        <f>IFERROR(__xludf.DUMMYFUNCTION("""COMPUTED_VALUE"""),6.2)</f>
        <v>6.2</v>
      </c>
      <c r="L1415" s="89">
        <f>IFERROR(__xludf.DUMMYFUNCTION("""COMPUTED_VALUE"""),2.0)</f>
        <v>2</v>
      </c>
      <c r="M1415" s="26" t="str">
        <f>IFERROR(__xludf.DUMMYFUNCTION("""COMPUTED_VALUE"""),"Adventure")</f>
        <v>Adventure</v>
      </c>
      <c r="N1415" s="26"/>
      <c r="O1415" s="26" t="str">
        <f>IFERROR(__xludf.DUMMYFUNCTION("""COMPUTED_VALUE"""),"No")</f>
        <v>No</v>
      </c>
      <c r="P1415" s="26"/>
    </row>
    <row r="1416">
      <c r="A1416" s="81" t="str">
        <f>IFERROR(__xludf.DUMMYFUNCTION("""COMPUTED_VALUE"""),"Rocket League")</f>
        <v>Rocket League</v>
      </c>
      <c r="B1416" s="82" t="str">
        <f>IFERROR(__xludf.DUMMYFUNCTION("""COMPUTED_VALUE"""),"PS4")</f>
        <v>PS4</v>
      </c>
      <c r="C1416" s="83" t="str">
        <f>IFERROR(__xludf.DUMMYFUNCTION("""COMPUTED_VALUE"""),"Playstation Plus (Discontinued)")</f>
        <v>Playstation Plus (Discontinued)</v>
      </c>
      <c r="D1416" s="82" t="str">
        <f>IFERROR(__xludf.DUMMYFUNCTION("""COMPUTED_VALUE"""),"Removed")</f>
        <v>Removed</v>
      </c>
      <c r="E1416" s="84">
        <f>IFERROR(__xludf.DUMMYFUNCTION("""COMPUTED_VALUE"""),42192.0)</f>
        <v>42192</v>
      </c>
      <c r="F1416" s="85">
        <f>IFERROR(__xludf.DUMMYFUNCTION("""COMPUTED_VALUE"""),42219.0)</f>
        <v>42219</v>
      </c>
      <c r="G1416" s="86">
        <f>IFERROR(__xludf.DUMMYFUNCTION("""COMPUTED_VALUE"""),0.8666666666666666)</f>
        <v>0.8666666667</v>
      </c>
      <c r="H1416" s="84">
        <f>IFERROR(__xludf.DUMMYFUNCTION("""COMPUTED_VALUE"""),42192.0)</f>
        <v>42192</v>
      </c>
      <c r="I1416" s="86">
        <f>IFERROR(__xludf.DUMMYFUNCTION("""COMPUTED_VALUE"""),0.0)</f>
        <v>0</v>
      </c>
      <c r="J1416" s="87">
        <f>IFERROR(__xludf.DUMMYFUNCTION("""COMPUTED_VALUE"""),86.0)</f>
        <v>86</v>
      </c>
      <c r="K1416" s="88">
        <f>IFERROR(__xludf.DUMMYFUNCTION("""COMPUTED_VALUE"""),8.4)</f>
        <v>8.4</v>
      </c>
      <c r="L1416" s="89"/>
      <c r="M1416" s="26" t="str">
        <f>IFERROR(__xludf.DUMMYFUNCTION("""COMPUTED_VALUE"""),"Racing")</f>
        <v>Racing</v>
      </c>
      <c r="N1416" s="26"/>
      <c r="O1416" s="26" t="str">
        <f>IFERROR(__xludf.DUMMYFUNCTION("""COMPUTED_VALUE"""),"No")</f>
        <v>No</v>
      </c>
      <c r="P1416" s="26"/>
    </row>
    <row r="1417">
      <c r="A1417" s="81" t="str">
        <f>IFERROR(__xludf.DUMMYFUNCTION("""COMPUTED_VALUE"""),"Styx: Master of Shadows")</f>
        <v>Styx: Master of Shadows</v>
      </c>
      <c r="B1417" s="82" t="str">
        <f>IFERROR(__xludf.DUMMYFUNCTION("""COMPUTED_VALUE"""),"PS4")</f>
        <v>PS4</v>
      </c>
      <c r="C1417" s="83" t="str">
        <f>IFERROR(__xludf.DUMMYFUNCTION("""COMPUTED_VALUE"""),"Playstation Plus (Discontinued)")</f>
        <v>Playstation Plus (Discontinued)</v>
      </c>
      <c r="D1417" s="82" t="str">
        <f>IFERROR(__xludf.DUMMYFUNCTION("""COMPUTED_VALUE"""),"Removed")</f>
        <v>Removed</v>
      </c>
      <c r="E1417" s="84">
        <f>IFERROR(__xludf.DUMMYFUNCTION("""COMPUTED_VALUE"""),42192.0)</f>
        <v>42192</v>
      </c>
      <c r="F1417" s="85">
        <f>IFERROR(__xludf.DUMMYFUNCTION("""COMPUTED_VALUE"""),42219.0)</f>
        <v>42219</v>
      </c>
      <c r="G1417" s="86">
        <f>IFERROR(__xludf.DUMMYFUNCTION("""COMPUTED_VALUE"""),0.8666666666666666)</f>
        <v>0.8666666667</v>
      </c>
      <c r="H1417" s="84">
        <f>IFERROR(__xludf.DUMMYFUNCTION("""COMPUTED_VALUE"""),41919.0)</f>
        <v>41919</v>
      </c>
      <c r="I1417" s="86">
        <f>IFERROR(__xludf.DUMMYFUNCTION("""COMPUTED_VALUE"""),0.75)</f>
        <v>0.75</v>
      </c>
      <c r="J1417" s="87">
        <f>IFERROR(__xludf.DUMMYFUNCTION("""COMPUTED_VALUE"""),71.0)</f>
        <v>71</v>
      </c>
      <c r="K1417" s="88">
        <f>IFERROR(__xludf.DUMMYFUNCTION("""COMPUTED_VALUE"""),7.3)</f>
        <v>7.3</v>
      </c>
      <c r="L1417" s="89">
        <f>IFERROR(__xludf.DUMMYFUNCTION("""COMPUTED_VALUE"""),14.0)</f>
        <v>14</v>
      </c>
      <c r="M1417" s="26" t="str">
        <f>IFERROR(__xludf.DUMMYFUNCTION("""COMPUTED_VALUE"""),"Action-Adventure")</f>
        <v>Action-Adventure</v>
      </c>
      <c r="N1417" s="26"/>
      <c r="O1417" s="26" t="str">
        <f>IFERROR(__xludf.DUMMYFUNCTION("""COMPUTED_VALUE"""),"No")</f>
        <v>No</v>
      </c>
      <c r="P1417" s="26"/>
    </row>
    <row r="1418">
      <c r="A1418" s="81" t="str">
        <f>IFERROR(__xludf.DUMMYFUNCTION("""COMPUTED_VALUE"""),"Geometry Wars 3: Dimensions")</f>
        <v>Geometry Wars 3: Dimensions</v>
      </c>
      <c r="B1418" s="82" t="str">
        <f>IFERROR(__xludf.DUMMYFUNCTION("""COMPUTED_VALUE"""),"Vita")</f>
        <v>Vita</v>
      </c>
      <c r="C1418" s="83" t="str">
        <f>IFERROR(__xludf.DUMMYFUNCTION("""COMPUTED_VALUE"""),"Playstation Plus (Discontinued)")</f>
        <v>Playstation Plus (Discontinued)</v>
      </c>
      <c r="D1418" s="82" t="str">
        <f>IFERROR(__xludf.DUMMYFUNCTION("""COMPUTED_VALUE"""),"Removed")</f>
        <v>Removed</v>
      </c>
      <c r="E1418" s="84">
        <f>IFERROR(__xludf.DUMMYFUNCTION("""COMPUTED_VALUE"""),42192.0)</f>
        <v>42192</v>
      </c>
      <c r="F1418" s="85">
        <f>IFERROR(__xludf.DUMMYFUNCTION("""COMPUTED_VALUE"""),42219.0)</f>
        <v>42219</v>
      </c>
      <c r="G1418" s="86">
        <f>IFERROR(__xludf.DUMMYFUNCTION("""COMPUTED_VALUE"""),0.8666666666666666)</f>
        <v>0.8666666667</v>
      </c>
      <c r="H1418" s="84">
        <f>IFERROR(__xludf.DUMMYFUNCTION("""COMPUTED_VALUE"""),41968.0)</f>
        <v>41968</v>
      </c>
      <c r="I1418" s="86">
        <f>IFERROR(__xludf.DUMMYFUNCTION("""COMPUTED_VALUE"""),0.6166666666666667)</f>
        <v>0.6166666667</v>
      </c>
      <c r="J1418" s="87">
        <f>IFERROR(__xludf.DUMMYFUNCTION("""COMPUTED_VALUE"""),82.0)</f>
        <v>82</v>
      </c>
      <c r="K1418" s="88">
        <f>IFERROR(__xludf.DUMMYFUNCTION("""COMPUTED_VALUE"""),7.7)</f>
        <v>7.7</v>
      </c>
      <c r="L1418" s="89"/>
      <c r="M1418" s="26" t="str">
        <f>IFERROR(__xludf.DUMMYFUNCTION("""COMPUTED_VALUE"""),"Shooter")</f>
        <v>Shooter</v>
      </c>
      <c r="N1418" s="26"/>
      <c r="O1418" s="26" t="str">
        <f>IFERROR(__xludf.DUMMYFUNCTION("""COMPUTED_VALUE"""),"No")</f>
        <v>No</v>
      </c>
      <c r="P1418" s="26"/>
    </row>
    <row r="1419">
      <c r="A1419" s="81" t="str">
        <f>IFERROR(__xludf.DUMMYFUNCTION("""COMPUTED_VALUE"""),"Rain")</f>
        <v>Rain</v>
      </c>
      <c r="B1419" s="82" t="str">
        <f>IFERROR(__xludf.DUMMYFUNCTION("""COMPUTED_VALUE"""),"PS3")</f>
        <v>PS3</v>
      </c>
      <c r="C1419" s="83" t="str">
        <f>IFERROR(__xludf.DUMMYFUNCTION("""COMPUTED_VALUE"""),"Playstation Plus (Discontinued)")</f>
        <v>Playstation Plus (Discontinued)</v>
      </c>
      <c r="D1419" s="82" t="str">
        <f>IFERROR(__xludf.DUMMYFUNCTION("""COMPUTED_VALUE"""),"Removed")</f>
        <v>Removed</v>
      </c>
      <c r="E1419" s="84">
        <f>IFERROR(__xludf.DUMMYFUNCTION("""COMPUTED_VALUE"""),42192.0)</f>
        <v>42192</v>
      </c>
      <c r="F1419" s="85">
        <f>IFERROR(__xludf.DUMMYFUNCTION("""COMPUTED_VALUE"""),42219.0)</f>
        <v>42219</v>
      </c>
      <c r="G1419" s="86">
        <f>IFERROR(__xludf.DUMMYFUNCTION("""COMPUTED_VALUE"""),0.8666666666666666)</f>
        <v>0.8666666667</v>
      </c>
      <c r="H1419" s="84">
        <f>IFERROR(__xludf.DUMMYFUNCTION("""COMPUTED_VALUE"""),41548.0)</f>
        <v>41548</v>
      </c>
      <c r="I1419" s="86">
        <f>IFERROR(__xludf.DUMMYFUNCTION("""COMPUTED_VALUE"""),1.7666666666666666)</f>
        <v>1.766666667</v>
      </c>
      <c r="J1419" s="87">
        <f>IFERROR(__xludf.DUMMYFUNCTION("""COMPUTED_VALUE"""),72.0)</f>
        <v>72</v>
      </c>
      <c r="K1419" s="88">
        <f>IFERROR(__xludf.DUMMYFUNCTION("""COMPUTED_VALUE"""),6.9)</f>
        <v>6.9</v>
      </c>
      <c r="L1419" s="89">
        <f>IFERROR(__xludf.DUMMYFUNCTION("""COMPUTED_VALUE"""),3.0)</f>
        <v>3</v>
      </c>
      <c r="M1419" s="26" t="str">
        <f>IFERROR(__xludf.DUMMYFUNCTION("""COMPUTED_VALUE"""),"Adventure")</f>
        <v>Adventure</v>
      </c>
      <c r="N1419" s="26"/>
      <c r="O1419" s="26" t="str">
        <f>IFERROR(__xludf.DUMMYFUNCTION("""COMPUTED_VALUE"""),"No")</f>
        <v>No</v>
      </c>
      <c r="P1419" s="26"/>
    </row>
    <row r="1420">
      <c r="A1420" s="81" t="str">
        <f>IFERROR(__xludf.DUMMYFUNCTION("""COMPUTED_VALUE"""),"Super Exploding Zoo")</f>
        <v>Super Exploding Zoo</v>
      </c>
      <c r="B1420" s="82" t="str">
        <f>IFERROR(__xludf.DUMMYFUNCTION("""COMPUTED_VALUE"""),"PS4/Vita")</f>
        <v>PS4/Vita</v>
      </c>
      <c r="C1420" s="83" t="str">
        <f>IFERROR(__xludf.DUMMYFUNCTION("""COMPUTED_VALUE"""),"Playstation Plus (Discontinued)")</f>
        <v>Playstation Plus (Discontinued)</v>
      </c>
      <c r="D1420" s="82" t="str">
        <f>IFERROR(__xludf.DUMMYFUNCTION("""COMPUTED_VALUE"""),"Removed")</f>
        <v>Removed</v>
      </c>
      <c r="E1420" s="84">
        <f>IFERROR(__xludf.DUMMYFUNCTION("""COMPUTED_VALUE"""),42157.0)</f>
        <v>42157</v>
      </c>
      <c r="F1420" s="85">
        <f>IFERROR(__xludf.DUMMYFUNCTION("""COMPUTED_VALUE"""),42191.0)</f>
        <v>42191</v>
      </c>
      <c r="G1420" s="86">
        <f>IFERROR(__xludf.DUMMYFUNCTION("""COMPUTED_VALUE"""),1.1333333333333333)</f>
        <v>1.133333333</v>
      </c>
      <c r="H1420" s="84">
        <f>IFERROR(__xludf.DUMMYFUNCTION("""COMPUTED_VALUE"""),42157.0)</f>
        <v>42157</v>
      </c>
      <c r="I1420" s="86">
        <f>IFERROR(__xludf.DUMMYFUNCTION("""COMPUTED_VALUE"""),0.0)</f>
        <v>0</v>
      </c>
      <c r="J1420" s="87">
        <f>IFERROR(__xludf.DUMMYFUNCTION("""COMPUTED_VALUE"""),64.0)</f>
        <v>64</v>
      </c>
      <c r="K1420" s="88">
        <f>IFERROR(__xludf.DUMMYFUNCTION("""COMPUTED_VALUE"""),6.9)</f>
        <v>6.9</v>
      </c>
      <c r="L1420" s="89">
        <f>IFERROR(__xludf.DUMMYFUNCTION("""COMPUTED_VALUE"""),5.0)</f>
        <v>5</v>
      </c>
      <c r="M1420" s="26" t="str">
        <f>IFERROR(__xludf.DUMMYFUNCTION("""COMPUTED_VALUE"""),"Strategy")</f>
        <v>Strategy</v>
      </c>
      <c r="N1420" s="26"/>
      <c r="O1420" s="26" t="str">
        <f>IFERROR(__xludf.DUMMYFUNCTION("""COMPUTED_VALUE"""),"No")</f>
        <v>No</v>
      </c>
      <c r="P1420" s="26"/>
    </row>
    <row r="1421">
      <c r="A1421" s="81" t="str">
        <f>IFERROR(__xludf.DUMMYFUNCTION("""COMPUTED_VALUE"""),"Futuridum")</f>
        <v>Futuridum</v>
      </c>
      <c r="B1421" s="82" t="str">
        <f>IFERROR(__xludf.DUMMYFUNCTION("""COMPUTED_VALUE"""),"PS4/Vita")</f>
        <v>PS4/Vita</v>
      </c>
      <c r="C1421" s="83" t="str">
        <f>IFERROR(__xludf.DUMMYFUNCTION("""COMPUTED_VALUE"""),"Playstation Plus (Discontinued)")</f>
        <v>Playstation Plus (Discontinued)</v>
      </c>
      <c r="D1421" s="82" t="str">
        <f>IFERROR(__xludf.DUMMYFUNCTION("""COMPUTED_VALUE"""),"Removed")</f>
        <v>Removed</v>
      </c>
      <c r="E1421" s="84">
        <f>IFERROR(__xludf.DUMMYFUNCTION("""COMPUTED_VALUE"""),42157.0)</f>
        <v>42157</v>
      </c>
      <c r="F1421" s="85">
        <f>IFERROR(__xludf.DUMMYFUNCTION("""COMPUTED_VALUE"""),42191.0)</f>
        <v>42191</v>
      </c>
      <c r="G1421" s="86">
        <f>IFERROR(__xludf.DUMMYFUNCTION("""COMPUTED_VALUE"""),1.1333333333333333)</f>
        <v>1.133333333</v>
      </c>
      <c r="H1421" s="84">
        <f>IFERROR(__xludf.DUMMYFUNCTION("""COMPUTED_VALUE"""),41913.0)</f>
        <v>41913</v>
      </c>
      <c r="I1421" s="86">
        <f>IFERROR(__xludf.DUMMYFUNCTION("""COMPUTED_VALUE"""),0.6694444444444444)</f>
        <v>0.6694444444</v>
      </c>
      <c r="J1421" s="87">
        <f>IFERROR(__xludf.DUMMYFUNCTION("""COMPUTED_VALUE"""),68.0)</f>
        <v>68</v>
      </c>
      <c r="K1421" s="88">
        <f>IFERROR(__xludf.DUMMYFUNCTION("""COMPUTED_VALUE"""),6.8)</f>
        <v>6.8</v>
      </c>
      <c r="L1421" s="89"/>
      <c r="M1421" s="26" t="str">
        <f>IFERROR(__xludf.DUMMYFUNCTION("""COMPUTED_VALUE"""),"Shooter")</f>
        <v>Shooter</v>
      </c>
      <c r="N1421" s="26"/>
      <c r="O1421" s="26" t="str">
        <f>IFERROR(__xludf.DUMMYFUNCTION("""COMPUTED_VALUE"""),"No")</f>
        <v>No</v>
      </c>
      <c r="P1421" s="26"/>
    </row>
    <row r="1422">
      <c r="A1422" s="81" t="str">
        <f>IFERROR(__xludf.DUMMYFUNCTION("""COMPUTED_VALUE"""),"Skulls of the Shogun: Bone-A-Fide Edition")</f>
        <v>Skulls of the Shogun: Bone-A-Fide Edition</v>
      </c>
      <c r="B1422" s="82" t="str">
        <f>IFERROR(__xludf.DUMMYFUNCTION("""COMPUTED_VALUE"""),"PS4")</f>
        <v>PS4</v>
      </c>
      <c r="C1422" s="83" t="str">
        <f>IFERROR(__xludf.DUMMYFUNCTION("""COMPUTED_VALUE"""),"Playstation Plus (Discontinued)")</f>
        <v>Playstation Plus (Discontinued)</v>
      </c>
      <c r="D1422" s="82" t="str">
        <f>IFERROR(__xludf.DUMMYFUNCTION("""COMPUTED_VALUE"""),"Removed")</f>
        <v>Removed</v>
      </c>
      <c r="E1422" s="84">
        <f>IFERROR(__xludf.DUMMYFUNCTION("""COMPUTED_VALUE"""),42157.0)</f>
        <v>42157</v>
      </c>
      <c r="F1422" s="85">
        <f>IFERROR(__xludf.DUMMYFUNCTION("""COMPUTED_VALUE"""),42191.0)</f>
        <v>42191</v>
      </c>
      <c r="G1422" s="86">
        <f>IFERROR(__xludf.DUMMYFUNCTION("""COMPUTED_VALUE"""),1.1333333333333333)</f>
        <v>1.133333333</v>
      </c>
      <c r="H1422" s="84">
        <f>IFERROR(__xludf.DUMMYFUNCTION("""COMPUTED_VALUE"""),41954.0)</f>
        <v>41954</v>
      </c>
      <c r="I1422" s="86">
        <f>IFERROR(__xludf.DUMMYFUNCTION("""COMPUTED_VALUE"""),0.5583333333333333)</f>
        <v>0.5583333333</v>
      </c>
      <c r="J1422" s="87">
        <f>IFERROR(__xludf.DUMMYFUNCTION("""COMPUTED_VALUE"""),77.0)</f>
        <v>77</v>
      </c>
      <c r="K1422" s="88">
        <f>IFERROR(__xludf.DUMMYFUNCTION("""COMPUTED_VALUE"""),7.7)</f>
        <v>7.7</v>
      </c>
      <c r="L1422" s="89">
        <f>IFERROR(__xludf.DUMMYFUNCTION("""COMPUTED_VALUE"""),11.0)</f>
        <v>11</v>
      </c>
      <c r="M1422" s="26" t="str">
        <f>IFERROR(__xludf.DUMMYFUNCTION("""COMPUTED_VALUE"""),"Strategy")</f>
        <v>Strategy</v>
      </c>
      <c r="N1422" s="26"/>
      <c r="O1422" s="26" t="str">
        <f>IFERROR(__xludf.DUMMYFUNCTION("""COMPUTED_VALUE"""),"No")</f>
        <v>No</v>
      </c>
      <c r="P1422" s="26"/>
    </row>
    <row r="1423">
      <c r="A1423" s="81" t="str">
        <f>IFERROR(__xludf.DUMMYFUNCTION("""COMPUTED_VALUE"""),"Metal Gear Solid V: Ground Zeroes")</f>
        <v>Metal Gear Solid V: Ground Zeroes</v>
      </c>
      <c r="B1423" s="82" t="str">
        <f>IFERROR(__xludf.DUMMYFUNCTION("""COMPUTED_VALUE"""),"PS4")</f>
        <v>PS4</v>
      </c>
      <c r="C1423" s="83" t="str">
        <f>IFERROR(__xludf.DUMMYFUNCTION("""COMPUTED_VALUE"""),"Playstation Plus (Discontinued)")</f>
        <v>Playstation Plus (Discontinued)</v>
      </c>
      <c r="D1423" s="82" t="str">
        <f>IFERROR(__xludf.DUMMYFUNCTION("""COMPUTED_VALUE"""),"Removed")</f>
        <v>Removed</v>
      </c>
      <c r="E1423" s="84">
        <f>IFERROR(__xludf.DUMMYFUNCTION("""COMPUTED_VALUE"""),42157.0)</f>
        <v>42157</v>
      </c>
      <c r="F1423" s="85">
        <f>IFERROR(__xludf.DUMMYFUNCTION("""COMPUTED_VALUE"""),42191.0)</f>
        <v>42191</v>
      </c>
      <c r="G1423" s="86">
        <f>IFERROR(__xludf.DUMMYFUNCTION("""COMPUTED_VALUE"""),1.1333333333333333)</f>
        <v>1.133333333</v>
      </c>
      <c r="H1423" s="84">
        <f>IFERROR(__xludf.DUMMYFUNCTION("""COMPUTED_VALUE"""),41716.0)</f>
        <v>41716</v>
      </c>
      <c r="I1423" s="86">
        <f>IFERROR(__xludf.DUMMYFUNCTION("""COMPUTED_VALUE"""),1.2055555555555555)</f>
        <v>1.205555556</v>
      </c>
      <c r="J1423" s="87">
        <f>IFERROR(__xludf.DUMMYFUNCTION("""COMPUTED_VALUE"""),80.0)</f>
        <v>80</v>
      </c>
      <c r="K1423" s="88">
        <f>IFERROR(__xludf.DUMMYFUNCTION("""COMPUTED_VALUE"""),7.6)</f>
        <v>7.6</v>
      </c>
      <c r="L1423" s="89">
        <f>IFERROR(__xludf.DUMMYFUNCTION("""COMPUTED_VALUE"""),2.0)</f>
        <v>2</v>
      </c>
      <c r="M1423" s="26" t="str">
        <f>IFERROR(__xludf.DUMMYFUNCTION("""COMPUTED_VALUE"""),"Action-Adventure")</f>
        <v>Action-Adventure</v>
      </c>
      <c r="N1423" s="26"/>
      <c r="O1423" s="26" t="str">
        <f>IFERROR(__xludf.DUMMYFUNCTION("""COMPUTED_VALUE"""),"No")</f>
        <v>No</v>
      </c>
      <c r="P1423" s="26"/>
    </row>
    <row r="1424">
      <c r="A1424" s="81" t="str">
        <f>IFERROR(__xludf.DUMMYFUNCTION("""COMPUTED_VALUE"""),"Call of Juarez: Gunslinger")</f>
        <v>Call of Juarez: Gunslinger</v>
      </c>
      <c r="B1424" s="82" t="str">
        <f>IFERROR(__xludf.DUMMYFUNCTION("""COMPUTED_VALUE"""),"PS3")</f>
        <v>PS3</v>
      </c>
      <c r="C1424" s="83" t="str">
        <f>IFERROR(__xludf.DUMMYFUNCTION("""COMPUTED_VALUE"""),"Playstation Plus (Discontinued)")</f>
        <v>Playstation Plus (Discontinued)</v>
      </c>
      <c r="D1424" s="82" t="str">
        <f>IFERROR(__xludf.DUMMYFUNCTION("""COMPUTED_VALUE"""),"Removed")</f>
        <v>Removed</v>
      </c>
      <c r="E1424" s="84">
        <f>IFERROR(__xludf.DUMMYFUNCTION("""COMPUTED_VALUE"""),42157.0)</f>
        <v>42157</v>
      </c>
      <c r="F1424" s="85">
        <f>IFERROR(__xludf.DUMMYFUNCTION("""COMPUTED_VALUE"""),42191.0)</f>
        <v>42191</v>
      </c>
      <c r="G1424" s="86">
        <f>IFERROR(__xludf.DUMMYFUNCTION("""COMPUTED_VALUE"""),1.1333333333333333)</f>
        <v>1.133333333</v>
      </c>
      <c r="H1424" s="84">
        <f>IFERROR(__xludf.DUMMYFUNCTION("""COMPUTED_VALUE"""),41416.0)</f>
        <v>41416</v>
      </c>
      <c r="I1424" s="86">
        <f>IFERROR(__xludf.DUMMYFUNCTION("""COMPUTED_VALUE"""),2.0277777777777777)</f>
        <v>2.027777778</v>
      </c>
      <c r="J1424" s="87">
        <f>IFERROR(__xludf.DUMMYFUNCTION("""COMPUTED_VALUE"""),79.0)</f>
        <v>79</v>
      </c>
      <c r="K1424" s="88">
        <f>IFERROR(__xludf.DUMMYFUNCTION("""COMPUTED_VALUE"""),8.1)</f>
        <v>8.1</v>
      </c>
      <c r="L1424" s="89">
        <f>IFERROR(__xludf.DUMMYFUNCTION("""COMPUTED_VALUE"""),5.0)</f>
        <v>5</v>
      </c>
      <c r="M1424" s="26" t="str">
        <f>IFERROR(__xludf.DUMMYFUNCTION("""COMPUTED_VALUE"""),"Shooter")</f>
        <v>Shooter</v>
      </c>
      <c r="N1424" s="26"/>
      <c r="O1424" s="26" t="str">
        <f>IFERROR(__xludf.DUMMYFUNCTION("""COMPUTED_VALUE"""),"No")</f>
        <v>No</v>
      </c>
      <c r="P1424" s="26"/>
    </row>
    <row r="1425">
      <c r="A1425" s="81" t="str">
        <f>IFERROR(__xludf.DUMMYFUNCTION("""COMPUTED_VALUE"""),"Cloudberry Kingdom")</f>
        <v>Cloudberry Kingdom</v>
      </c>
      <c r="B1425" s="82" t="str">
        <f>IFERROR(__xludf.DUMMYFUNCTION("""COMPUTED_VALUE"""),"PS3")</f>
        <v>PS3</v>
      </c>
      <c r="C1425" s="83" t="str">
        <f>IFERROR(__xludf.DUMMYFUNCTION("""COMPUTED_VALUE"""),"Playstation Plus (Discontinued)")</f>
        <v>Playstation Plus (Discontinued)</v>
      </c>
      <c r="D1425" s="82" t="str">
        <f>IFERROR(__xludf.DUMMYFUNCTION("""COMPUTED_VALUE"""),"Removed")</f>
        <v>Removed</v>
      </c>
      <c r="E1425" s="84">
        <f>IFERROR(__xludf.DUMMYFUNCTION("""COMPUTED_VALUE"""),42157.0)</f>
        <v>42157</v>
      </c>
      <c r="F1425" s="85">
        <f>IFERROR(__xludf.DUMMYFUNCTION("""COMPUTED_VALUE"""),42191.0)</f>
        <v>42191</v>
      </c>
      <c r="G1425" s="86">
        <f>IFERROR(__xludf.DUMMYFUNCTION("""COMPUTED_VALUE"""),1.1333333333333333)</f>
        <v>1.133333333</v>
      </c>
      <c r="H1425" s="84">
        <f>IFERROR(__xludf.DUMMYFUNCTION("""COMPUTED_VALUE"""),41485.0)</f>
        <v>41485</v>
      </c>
      <c r="I1425" s="86">
        <f>IFERROR(__xludf.DUMMYFUNCTION("""COMPUTED_VALUE"""),1.8388888888888888)</f>
        <v>1.838888889</v>
      </c>
      <c r="J1425" s="87">
        <f>IFERROR(__xludf.DUMMYFUNCTION("""COMPUTED_VALUE"""),71.0)</f>
        <v>71</v>
      </c>
      <c r="K1425" s="88">
        <f>IFERROR(__xludf.DUMMYFUNCTION("""COMPUTED_VALUE"""),7.4)</f>
        <v>7.4</v>
      </c>
      <c r="L1425" s="89">
        <f>IFERROR(__xludf.DUMMYFUNCTION("""COMPUTED_VALUE"""),6.0)</f>
        <v>6</v>
      </c>
      <c r="M1425" s="26" t="str">
        <f>IFERROR(__xludf.DUMMYFUNCTION("""COMPUTED_VALUE"""),"Platformer")</f>
        <v>Platformer</v>
      </c>
      <c r="N1425" s="26"/>
      <c r="O1425" s="26" t="str">
        <f>IFERROR(__xludf.DUMMYFUNCTION("""COMPUTED_VALUE"""),"No")</f>
        <v>No</v>
      </c>
      <c r="P1425" s="26"/>
    </row>
    <row r="1426">
      <c r="A1426" s="81" t="str">
        <f>IFERROR(__xludf.DUMMYFUNCTION("""COMPUTED_VALUE"""),"Ether One")</f>
        <v>Ether One</v>
      </c>
      <c r="B1426" s="82" t="str">
        <f>IFERROR(__xludf.DUMMYFUNCTION("""COMPUTED_VALUE"""),"PS4")</f>
        <v>PS4</v>
      </c>
      <c r="C1426" s="83" t="str">
        <f>IFERROR(__xludf.DUMMYFUNCTION("""COMPUTED_VALUE"""),"Playstation Plus (Discontinued)")</f>
        <v>Playstation Plus (Discontinued)</v>
      </c>
      <c r="D1426" s="82" t="str">
        <f>IFERROR(__xludf.DUMMYFUNCTION("""COMPUTED_VALUE"""),"Removed")</f>
        <v>Removed</v>
      </c>
      <c r="E1426" s="84">
        <f>IFERROR(__xludf.DUMMYFUNCTION("""COMPUTED_VALUE"""),42129.0)</f>
        <v>42129</v>
      </c>
      <c r="F1426" s="85">
        <f>IFERROR(__xludf.DUMMYFUNCTION("""COMPUTED_VALUE"""),42156.0)</f>
        <v>42156</v>
      </c>
      <c r="G1426" s="86">
        <f>IFERROR(__xludf.DUMMYFUNCTION("""COMPUTED_VALUE"""),0.8666666666666666)</f>
        <v>0.8666666667</v>
      </c>
      <c r="H1426" s="84">
        <f>IFERROR(__xludf.DUMMYFUNCTION("""COMPUTED_VALUE"""),42094.0)</f>
        <v>42094</v>
      </c>
      <c r="I1426" s="86">
        <f>IFERROR(__xludf.DUMMYFUNCTION("""COMPUTED_VALUE"""),0.09722222222222222)</f>
        <v>0.09722222222</v>
      </c>
      <c r="J1426" s="87">
        <f>IFERROR(__xludf.DUMMYFUNCTION("""COMPUTED_VALUE"""),74.0)</f>
        <v>74</v>
      </c>
      <c r="K1426" s="88">
        <f>IFERROR(__xludf.DUMMYFUNCTION("""COMPUTED_VALUE"""),6.8)</f>
        <v>6.8</v>
      </c>
      <c r="L1426" s="89">
        <f>IFERROR(__xludf.DUMMYFUNCTION("""COMPUTED_VALUE"""),5.0)</f>
        <v>5</v>
      </c>
      <c r="M1426" s="26" t="str">
        <f>IFERROR(__xludf.DUMMYFUNCTION("""COMPUTED_VALUE"""),"Adventure")</f>
        <v>Adventure</v>
      </c>
      <c r="N1426" s="26"/>
      <c r="O1426" s="26" t="str">
        <f>IFERROR(__xludf.DUMMYFUNCTION("""COMPUTED_VALUE"""),"No")</f>
        <v>No</v>
      </c>
      <c r="P1426" s="26"/>
    </row>
    <row r="1427">
      <c r="A1427" s="81" t="str">
        <f>IFERROR(__xludf.DUMMYFUNCTION("""COMPUTED_VALUE"""),"Hohokum")</f>
        <v>Hohokum</v>
      </c>
      <c r="B1427" s="82" t="str">
        <f>IFERROR(__xludf.DUMMYFUNCTION("""COMPUTED_VALUE"""),"PS4/PS3/Vita")</f>
        <v>PS4/PS3/Vita</v>
      </c>
      <c r="C1427" s="83" t="str">
        <f>IFERROR(__xludf.DUMMYFUNCTION("""COMPUTED_VALUE"""),"Playstation Plus (Discontinued)")</f>
        <v>Playstation Plus (Discontinued)</v>
      </c>
      <c r="D1427" s="82" t="str">
        <f>IFERROR(__xludf.DUMMYFUNCTION("""COMPUTED_VALUE"""),"Removed")</f>
        <v>Removed</v>
      </c>
      <c r="E1427" s="84">
        <f>IFERROR(__xludf.DUMMYFUNCTION("""COMPUTED_VALUE"""),42129.0)</f>
        <v>42129</v>
      </c>
      <c r="F1427" s="85">
        <f>IFERROR(__xludf.DUMMYFUNCTION("""COMPUTED_VALUE"""),42156.0)</f>
        <v>42156</v>
      </c>
      <c r="G1427" s="86">
        <f>IFERROR(__xludf.DUMMYFUNCTION("""COMPUTED_VALUE"""),0.8666666666666666)</f>
        <v>0.8666666667</v>
      </c>
      <c r="H1427" s="84">
        <f>IFERROR(__xludf.DUMMYFUNCTION("""COMPUTED_VALUE"""),41863.0)</f>
        <v>41863</v>
      </c>
      <c r="I1427" s="86">
        <f>IFERROR(__xludf.DUMMYFUNCTION("""COMPUTED_VALUE"""),0.7305555555555555)</f>
        <v>0.7305555556</v>
      </c>
      <c r="J1427" s="87">
        <f>IFERROR(__xludf.DUMMYFUNCTION("""COMPUTED_VALUE"""),70.0)</f>
        <v>70</v>
      </c>
      <c r="K1427" s="88">
        <f>IFERROR(__xludf.DUMMYFUNCTION("""COMPUTED_VALUE"""),6.7)</f>
        <v>6.7</v>
      </c>
      <c r="L1427" s="89">
        <f>IFERROR(__xludf.DUMMYFUNCTION("""COMPUTED_VALUE"""),4.0)</f>
        <v>4</v>
      </c>
      <c r="M1427" s="26" t="str">
        <f>IFERROR(__xludf.DUMMYFUNCTION("""COMPUTED_VALUE"""),"Adventure")</f>
        <v>Adventure</v>
      </c>
      <c r="N1427" s="26"/>
      <c r="O1427" s="26" t="str">
        <f>IFERROR(__xludf.DUMMYFUNCTION("""COMPUTED_VALUE"""),"No")</f>
        <v>No</v>
      </c>
      <c r="P1427" s="26"/>
    </row>
    <row r="1428">
      <c r="A1428" s="81" t="str">
        <f>IFERROR(__xludf.DUMMYFUNCTION("""COMPUTED_VALUE"""),"Guacamelee! Super Turbo Championship Edition")</f>
        <v>Guacamelee! Super Turbo Championship Edition</v>
      </c>
      <c r="B1428" s="82" t="str">
        <f>IFERROR(__xludf.DUMMYFUNCTION("""COMPUTED_VALUE"""),"PS4")</f>
        <v>PS4</v>
      </c>
      <c r="C1428" s="83" t="str">
        <f>IFERROR(__xludf.DUMMYFUNCTION("""COMPUTED_VALUE"""),"Playstation Plus (Discontinued)")</f>
        <v>Playstation Plus (Discontinued)</v>
      </c>
      <c r="D1428" s="82" t="str">
        <f>IFERROR(__xludf.DUMMYFUNCTION("""COMPUTED_VALUE"""),"Removed")</f>
        <v>Removed</v>
      </c>
      <c r="E1428" s="84">
        <f>IFERROR(__xludf.DUMMYFUNCTION("""COMPUTED_VALUE"""),42129.0)</f>
        <v>42129</v>
      </c>
      <c r="F1428" s="85">
        <f>IFERROR(__xludf.DUMMYFUNCTION("""COMPUTED_VALUE"""),42156.0)</f>
        <v>42156</v>
      </c>
      <c r="G1428" s="86">
        <f>IFERROR(__xludf.DUMMYFUNCTION("""COMPUTED_VALUE"""),0.8666666666666666)</f>
        <v>0.8666666667</v>
      </c>
      <c r="H1428" s="84">
        <f>IFERROR(__xludf.DUMMYFUNCTION("""COMPUTED_VALUE"""),41821.0)</f>
        <v>41821</v>
      </c>
      <c r="I1428" s="86">
        <f>IFERROR(__xludf.DUMMYFUNCTION("""COMPUTED_VALUE"""),0.8444444444444444)</f>
        <v>0.8444444444</v>
      </c>
      <c r="J1428" s="87">
        <f>IFERROR(__xludf.DUMMYFUNCTION("""COMPUTED_VALUE"""),86.0)</f>
        <v>86</v>
      </c>
      <c r="K1428" s="88">
        <f>IFERROR(__xludf.DUMMYFUNCTION("""COMPUTED_VALUE"""),8.0)</f>
        <v>8</v>
      </c>
      <c r="L1428" s="89">
        <f>IFERROR(__xludf.DUMMYFUNCTION("""COMPUTED_VALUE"""),7.0)</f>
        <v>7</v>
      </c>
      <c r="M1428" s="26" t="str">
        <f>IFERROR(__xludf.DUMMYFUNCTION("""COMPUTED_VALUE"""),"Platformer")</f>
        <v>Platformer</v>
      </c>
      <c r="N1428" s="26"/>
      <c r="O1428" s="26" t="str">
        <f>IFERROR(__xludf.DUMMYFUNCTION("""COMPUTED_VALUE"""),"No")</f>
        <v>No</v>
      </c>
      <c r="P1428" s="26"/>
    </row>
    <row r="1429">
      <c r="A1429" s="81" t="str">
        <f>IFERROR(__xludf.DUMMYFUNCTION("""COMPUTED_VALUE"""),"The Unfinished Swan")</f>
        <v>The Unfinished Swan</v>
      </c>
      <c r="B1429" s="82" t="str">
        <f>IFERROR(__xludf.DUMMYFUNCTION("""COMPUTED_VALUE"""),"PS4/PS3/Vita")</f>
        <v>PS4/PS3/Vita</v>
      </c>
      <c r="C1429" s="83" t="str">
        <f>IFERROR(__xludf.DUMMYFUNCTION("""COMPUTED_VALUE"""),"Playstation Plus (Discontinued)")</f>
        <v>Playstation Plus (Discontinued)</v>
      </c>
      <c r="D1429" s="82" t="str">
        <f>IFERROR(__xludf.DUMMYFUNCTION("""COMPUTED_VALUE"""),"Removed")</f>
        <v>Removed</v>
      </c>
      <c r="E1429" s="84">
        <f>IFERROR(__xludf.DUMMYFUNCTION("""COMPUTED_VALUE"""),42129.0)</f>
        <v>42129</v>
      </c>
      <c r="F1429" s="85">
        <f>IFERROR(__xludf.DUMMYFUNCTION("""COMPUTED_VALUE"""),42156.0)</f>
        <v>42156</v>
      </c>
      <c r="G1429" s="86">
        <f>IFERROR(__xludf.DUMMYFUNCTION("""COMPUTED_VALUE"""),0.8666666666666666)</f>
        <v>0.8666666667</v>
      </c>
      <c r="H1429" s="84">
        <f>IFERROR(__xludf.DUMMYFUNCTION("""COMPUTED_VALUE"""),41205.0)</f>
        <v>41205</v>
      </c>
      <c r="I1429" s="86">
        <f>IFERROR(__xludf.DUMMYFUNCTION("""COMPUTED_VALUE"""),2.533333333333333)</f>
        <v>2.533333333</v>
      </c>
      <c r="J1429" s="87">
        <f>IFERROR(__xludf.DUMMYFUNCTION("""COMPUTED_VALUE"""),79.0)</f>
        <v>79</v>
      </c>
      <c r="K1429" s="88">
        <f>IFERROR(__xludf.DUMMYFUNCTION("""COMPUTED_VALUE"""),7.6)</f>
        <v>7.6</v>
      </c>
      <c r="L1429" s="89">
        <f>IFERROR(__xludf.DUMMYFUNCTION("""COMPUTED_VALUE"""),3.0)</f>
        <v>3</v>
      </c>
      <c r="M1429" s="26" t="str">
        <f>IFERROR(__xludf.DUMMYFUNCTION("""COMPUTED_VALUE"""),"Adventure")</f>
        <v>Adventure</v>
      </c>
      <c r="N1429" s="26"/>
      <c r="O1429" s="26" t="str">
        <f>IFERROR(__xludf.DUMMYFUNCTION("""COMPUTED_VALUE"""),"No")</f>
        <v>No</v>
      </c>
      <c r="P1429" s="26"/>
    </row>
    <row r="1430">
      <c r="A1430" s="81" t="str">
        <f>IFERROR(__xludf.DUMMYFUNCTION("""COMPUTED_VALUE"""),"Race the Sun")</f>
        <v>Race the Sun</v>
      </c>
      <c r="B1430" s="82" t="str">
        <f>IFERROR(__xludf.DUMMYFUNCTION("""COMPUTED_VALUE"""),"PS4/PS3/Vita")</f>
        <v>PS4/PS3/Vita</v>
      </c>
      <c r="C1430" s="83" t="str">
        <f>IFERROR(__xludf.DUMMYFUNCTION("""COMPUTED_VALUE"""),"Playstation Plus (Discontinued)")</f>
        <v>Playstation Plus (Discontinued)</v>
      </c>
      <c r="D1430" s="82" t="str">
        <f>IFERROR(__xludf.DUMMYFUNCTION("""COMPUTED_VALUE"""),"Removed")</f>
        <v>Removed</v>
      </c>
      <c r="E1430" s="84">
        <f>IFERROR(__xludf.DUMMYFUNCTION("""COMPUTED_VALUE"""),42129.0)</f>
        <v>42129</v>
      </c>
      <c r="F1430" s="85">
        <f>IFERROR(__xludf.DUMMYFUNCTION("""COMPUTED_VALUE"""),42156.0)</f>
        <v>42156</v>
      </c>
      <c r="G1430" s="86">
        <f>IFERROR(__xludf.DUMMYFUNCTION("""COMPUTED_VALUE"""),0.8666666666666666)</f>
        <v>0.8666666667</v>
      </c>
      <c r="H1430" s="84">
        <f>IFERROR(__xludf.DUMMYFUNCTION("""COMPUTED_VALUE"""),41982.0)</f>
        <v>41982</v>
      </c>
      <c r="I1430" s="86">
        <f>IFERROR(__xludf.DUMMYFUNCTION("""COMPUTED_VALUE"""),0.40555555555555556)</f>
        <v>0.4055555556</v>
      </c>
      <c r="J1430" s="87">
        <f>IFERROR(__xludf.DUMMYFUNCTION("""COMPUTED_VALUE"""),88.0)</f>
        <v>88</v>
      </c>
      <c r="K1430" s="88">
        <f>IFERROR(__xludf.DUMMYFUNCTION("""COMPUTED_VALUE"""),7.5)</f>
        <v>7.5</v>
      </c>
      <c r="L1430" s="89"/>
      <c r="M1430" s="26" t="str">
        <f>IFERROR(__xludf.DUMMYFUNCTION("""COMPUTED_VALUE"""),"Racing")</f>
        <v>Racing</v>
      </c>
      <c r="N1430" s="26"/>
      <c r="O1430" s="26" t="str">
        <f>IFERROR(__xludf.DUMMYFUNCTION("""COMPUTED_VALUE"""),"No")</f>
        <v>No</v>
      </c>
      <c r="P1430" s="26"/>
    </row>
    <row r="1431">
      <c r="A1431" s="81" t="str">
        <f>IFERROR(__xludf.DUMMYFUNCTION("""COMPUTED_VALUE"""),"Murasaki Baby")</f>
        <v>Murasaki Baby</v>
      </c>
      <c r="B1431" s="82" t="str">
        <f>IFERROR(__xludf.DUMMYFUNCTION("""COMPUTED_VALUE"""),"Vita")</f>
        <v>Vita</v>
      </c>
      <c r="C1431" s="83" t="str">
        <f>IFERROR(__xludf.DUMMYFUNCTION("""COMPUTED_VALUE"""),"Playstation Plus (Discontinued)")</f>
        <v>Playstation Plus (Discontinued)</v>
      </c>
      <c r="D1431" s="82" t="str">
        <f>IFERROR(__xludf.DUMMYFUNCTION("""COMPUTED_VALUE"""),"Removed")</f>
        <v>Removed</v>
      </c>
      <c r="E1431" s="84">
        <f>IFERROR(__xludf.DUMMYFUNCTION("""COMPUTED_VALUE"""),42129.0)</f>
        <v>42129</v>
      </c>
      <c r="F1431" s="85">
        <f>IFERROR(__xludf.DUMMYFUNCTION("""COMPUTED_VALUE"""),42156.0)</f>
        <v>42156</v>
      </c>
      <c r="G1431" s="86">
        <f>IFERROR(__xludf.DUMMYFUNCTION("""COMPUTED_VALUE"""),0.8666666666666666)</f>
        <v>0.8666666667</v>
      </c>
      <c r="H1431" s="84">
        <f>IFERROR(__xludf.DUMMYFUNCTION("""COMPUTED_VALUE"""),41898.0)</f>
        <v>41898</v>
      </c>
      <c r="I1431" s="86">
        <f>IFERROR(__xludf.DUMMYFUNCTION("""COMPUTED_VALUE"""),0.6361111111111111)</f>
        <v>0.6361111111</v>
      </c>
      <c r="J1431" s="87">
        <f>IFERROR(__xludf.DUMMYFUNCTION("""COMPUTED_VALUE"""),62.0)</f>
        <v>62</v>
      </c>
      <c r="K1431" s="88">
        <f>IFERROR(__xludf.DUMMYFUNCTION("""COMPUTED_VALUE"""),6.4)</f>
        <v>6.4</v>
      </c>
      <c r="L1431" s="89">
        <f>IFERROR(__xludf.DUMMYFUNCTION("""COMPUTED_VALUE"""),2.0)</f>
        <v>2</v>
      </c>
      <c r="M1431" s="26" t="str">
        <f>IFERROR(__xludf.DUMMYFUNCTION("""COMPUTED_VALUE"""),"Adventure")</f>
        <v>Adventure</v>
      </c>
      <c r="N1431" s="26"/>
      <c r="O1431" s="26" t="str">
        <f>IFERROR(__xludf.DUMMYFUNCTION("""COMPUTED_VALUE"""),"No")</f>
        <v>No</v>
      </c>
      <c r="P1431" s="26"/>
    </row>
    <row r="1432">
      <c r="A1432" s="81" t="str">
        <f>IFERROR(__xludf.DUMMYFUNCTION("""COMPUTED_VALUE"""),"MonsterBag")</f>
        <v>MonsterBag</v>
      </c>
      <c r="B1432" s="82" t="str">
        <f>IFERROR(__xludf.DUMMYFUNCTION("""COMPUTED_VALUE"""),"Vita")</f>
        <v>Vita</v>
      </c>
      <c r="C1432" s="83" t="str">
        <f>IFERROR(__xludf.DUMMYFUNCTION("""COMPUTED_VALUE"""),"Playstation Plus (Discontinued)")</f>
        <v>Playstation Plus (Discontinued)</v>
      </c>
      <c r="D1432" s="82" t="str">
        <f>IFERROR(__xludf.DUMMYFUNCTION("""COMPUTED_VALUE"""),"Removed")</f>
        <v>Removed</v>
      </c>
      <c r="E1432" s="84">
        <f>IFERROR(__xludf.DUMMYFUNCTION("""COMPUTED_VALUE"""),42101.0)</f>
        <v>42101</v>
      </c>
      <c r="F1432" s="85">
        <f>IFERROR(__xludf.DUMMYFUNCTION("""COMPUTED_VALUE"""),42128.0)</f>
        <v>42128</v>
      </c>
      <c r="G1432" s="86">
        <f>IFERROR(__xludf.DUMMYFUNCTION("""COMPUTED_VALUE"""),0.8999999999999999)</f>
        <v>0.9</v>
      </c>
      <c r="H1432" s="84">
        <f>IFERROR(__xludf.DUMMYFUNCTION("""COMPUTED_VALUE"""),42101.0)</f>
        <v>42101</v>
      </c>
      <c r="I1432" s="86">
        <f>IFERROR(__xludf.DUMMYFUNCTION("""COMPUTED_VALUE"""),0.0)</f>
        <v>0</v>
      </c>
      <c r="J1432" s="87">
        <f>IFERROR(__xludf.DUMMYFUNCTION("""COMPUTED_VALUE"""),61.0)</f>
        <v>61</v>
      </c>
      <c r="K1432" s="88">
        <f>IFERROR(__xludf.DUMMYFUNCTION("""COMPUTED_VALUE"""),6.3)</f>
        <v>6.3</v>
      </c>
      <c r="L1432" s="89">
        <f>IFERROR(__xludf.DUMMYFUNCTION("""COMPUTED_VALUE"""),4.0)</f>
        <v>4</v>
      </c>
      <c r="M1432" s="26" t="str">
        <f>IFERROR(__xludf.DUMMYFUNCTION("""COMPUTED_VALUE"""),"Platformer")</f>
        <v>Platformer</v>
      </c>
      <c r="N1432" s="26"/>
      <c r="O1432" s="26" t="str">
        <f>IFERROR(__xludf.DUMMYFUNCTION("""COMPUTED_VALUE"""),"No")</f>
        <v>No</v>
      </c>
      <c r="P1432" s="26"/>
    </row>
    <row r="1433">
      <c r="A1433" s="81" t="str">
        <f>IFERROR(__xludf.DUMMYFUNCTION("""COMPUTED_VALUE"""),"Killzone Mercenary")</f>
        <v>Killzone Mercenary</v>
      </c>
      <c r="B1433" s="82" t="str">
        <f>IFERROR(__xludf.DUMMYFUNCTION("""COMPUTED_VALUE"""),"Vita")</f>
        <v>Vita</v>
      </c>
      <c r="C1433" s="83" t="str">
        <f>IFERROR(__xludf.DUMMYFUNCTION("""COMPUTED_VALUE"""),"Playstation Plus (Discontinued)")</f>
        <v>Playstation Plus (Discontinued)</v>
      </c>
      <c r="D1433" s="82" t="str">
        <f>IFERROR(__xludf.DUMMYFUNCTION("""COMPUTED_VALUE"""),"Removed")</f>
        <v>Removed</v>
      </c>
      <c r="E1433" s="84">
        <f>IFERROR(__xludf.DUMMYFUNCTION("""COMPUTED_VALUE"""),42101.0)</f>
        <v>42101</v>
      </c>
      <c r="F1433" s="85">
        <f>IFERROR(__xludf.DUMMYFUNCTION("""COMPUTED_VALUE"""),42128.0)</f>
        <v>42128</v>
      </c>
      <c r="G1433" s="86">
        <f>IFERROR(__xludf.DUMMYFUNCTION("""COMPUTED_VALUE"""),0.8999999999999999)</f>
        <v>0.9</v>
      </c>
      <c r="H1433" s="84">
        <f>IFERROR(__xludf.DUMMYFUNCTION("""COMPUTED_VALUE"""),41527.0)</f>
        <v>41527</v>
      </c>
      <c r="I1433" s="86">
        <f>IFERROR(__xludf.DUMMYFUNCTION("""COMPUTED_VALUE"""),1.575)</f>
        <v>1.575</v>
      </c>
      <c r="J1433" s="87">
        <f>IFERROR(__xludf.DUMMYFUNCTION("""COMPUTED_VALUE"""),78.0)</f>
        <v>78</v>
      </c>
      <c r="K1433" s="88">
        <f>IFERROR(__xludf.DUMMYFUNCTION("""COMPUTED_VALUE"""),8.0)</f>
        <v>8</v>
      </c>
      <c r="L1433" s="89">
        <f>IFERROR(__xludf.DUMMYFUNCTION("""COMPUTED_VALUE"""),5.0)</f>
        <v>5</v>
      </c>
      <c r="M1433" s="26" t="str">
        <f>IFERROR(__xludf.DUMMYFUNCTION("""COMPUTED_VALUE"""),"Shooter")</f>
        <v>Shooter</v>
      </c>
      <c r="N1433" s="26"/>
      <c r="O1433" s="26" t="str">
        <f>IFERROR(__xludf.DUMMYFUNCTION("""COMPUTED_VALUE"""),"No")</f>
        <v>No</v>
      </c>
      <c r="P1433" s="26"/>
    </row>
    <row r="1434">
      <c r="A1434" s="81" t="str">
        <f>IFERROR(__xludf.DUMMYFUNCTION("""COMPUTED_VALUE"""),"Dishonored")</f>
        <v>Dishonored</v>
      </c>
      <c r="B1434" s="82" t="str">
        <f>IFERROR(__xludf.DUMMYFUNCTION("""COMPUTED_VALUE"""),"PS3")</f>
        <v>PS3</v>
      </c>
      <c r="C1434" s="83" t="str">
        <f>IFERROR(__xludf.DUMMYFUNCTION("""COMPUTED_VALUE"""),"Playstation Plus (Discontinued)")</f>
        <v>Playstation Plus (Discontinued)</v>
      </c>
      <c r="D1434" s="82" t="str">
        <f>IFERROR(__xludf.DUMMYFUNCTION("""COMPUTED_VALUE"""),"Removed")</f>
        <v>Removed</v>
      </c>
      <c r="E1434" s="84">
        <f>IFERROR(__xludf.DUMMYFUNCTION("""COMPUTED_VALUE"""),42101.0)</f>
        <v>42101</v>
      </c>
      <c r="F1434" s="85">
        <f>IFERROR(__xludf.DUMMYFUNCTION("""COMPUTED_VALUE"""),42128.0)</f>
        <v>42128</v>
      </c>
      <c r="G1434" s="86">
        <f>IFERROR(__xludf.DUMMYFUNCTION("""COMPUTED_VALUE"""),0.8999999999999999)</f>
        <v>0.9</v>
      </c>
      <c r="H1434" s="84">
        <f>IFERROR(__xludf.DUMMYFUNCTION("""COMPUTED_VALUE"""),41191.0)</f>
        <v>41191</v>
      </c>
      <c r="I1434" s="86">
        <f>IFERROR(__xludf.DUMMYFUNCTION("""COMPUTED_VALUE"""),2.4944444444444445)</f>
        <v>2.494444444</v>
      </c>
      <c r="J1434" s="87">
        <f>IFERROR(__xludf.DUMMYFUNCTION("""COMPUTED_VALUE"""),88.0)</f>
        <v>88</v>
      </c>
      <c r="K1434" s="88">
        <f>IFERROR(__xludf.DUMMYFUNCTION("""COMPUTED_VALUE"""),8.6)</f>
        <v>8.6</v>
      </c>
      <c r="L1434" s="89">
        <f>IFERROR(__xludf.DUMMYFUNCTION("""COMPUTED_VALUE"""),12.0)</f>
        <v>12</v>
      </c>
      <c r="M1434" s="26" t="str">
        <f>IFERROR(__xludf.DUMMYFUNCTION("""COMPUTED_VALUE"""),"Action-Adventure")</f>
        <v>Action-Adventure</v>
      </c>
      <c r="N1434" s="26"/>
      <c r="O1434" s="26" t="str">
        <f>IFERROR(__xludf.DUMMYFUNCTION("""COMPUTED_VALUE"""),"No")</f>
        <v>No</v>
      </c>
      <c r="P1434" s="26"/>
    </row>
    <row r="1435">
      <c r="A1435" s="81" t="str">
        <f>IFERROR(__xludf.DUMMYFUNCTION("""COMPUTED_VALUE"""),"Never Alone")</f>
        <v>Never Alone</v>
      </c>
      <c r="B1435" s="82" t="str">
        <f>IFERROR(__xludf.DUMMYFUNCTION("""COMPUTED_VALUE"""),"PS4")</f>
        <v>PS4</v>
      </c>
      <c r="C1435" s="83" t="str">
        <f>IFERROR(__xludf.DUMMYFUNCTION("""COMPUTED_VALUE"""),"Playstation Plus (Discontinued)")</f>
        <v>Playstation Plus (Discontinued)</v>
      </c>
      <c r="D1435" s="82" t="str">
        <f>IFERROR(__xludf.DUMMYFUNCTION("""COMPUTED_VALUE"""),"Removed")</f>
        <v>Removed</v>
      </c>
      <c r="E1435" s="84">
        <f>IFERROR(__xludf.DUMMYFUNCTION("""COMPUTED_VALUE"""),42101.0)</f>
        <v>42101</v>
      </c>
      <c r="F1435" s="85">
        <f>IFERROR(__xludf.DUMMYFUNCTION("""COMPUTED_VALUE"""),42128.0)</f>
        <v>42128</v>
      </c>
      <c r="G1435" s="86">
        <f>IFERROR(__xludf.DUMMYFUNCTION("""COMPUTED_VALUE"""),0.8999999999999999)</f>
        <v>0.9</v>
      </c>
      <c r="H1435" s="84">
        <f>IFERROR(__xludf.DUMMYFUNCTION("""COMPUTED_VALUE"""),41961.0)</f>
        <v>41961</v>
      </c>
      <c r="I1435" s="86">
        <f>IFERROR(__xludf.DUMMYFUNCTION("""COMPUTED_VALUE"""),0.3861111111111111)</f>
        <v>0.3861111111</v>
      </c>
      <c r="J1435" s="87">
        <f>IFERROR(__xludf.DUMMYFUNCTION("""COMPUTED_VALUE"""),69.0)</f>
        <v>69</v>
      </c>
      <c r="K1435" s="88">
        <f>IFERROR(__xludf.DUMMYFUNCTION("""COMPUTED_VALUE"""),6.6)</f>
        <v>6.6</v>
      </c>
      <c r="L1435" s="89">
        <f>IFERROR(__xludf.DUMMYFUNCTION("""COMPUTED_VALUE"""),4.0)</f>
        <v>4</v>
      </c>
      <c r="M1435" s="26" t="str">
        <f>IFERROR(__xludf.DUMMYFUNCTION("""COMPUTED_VALUE"""),"Platformer")</f>
        <v>Platformer</v>
      </c>
      <c r="N1435" s="26"/>
      <c r="O1435" s="26" t="str">
        <f>IFERROR(__xludf.DUMMYFUNCTION("""COMPUTED_VALUE"""),"No")</f>
        <v>No</v>
      </c>
      <c r="P1435" s="26"/>
    </row>
    <row r="1436">
      <c r="A1436" s="81" t="str">
        <f>IFERROR(__xludf.DUMMYFUNCTION("""COMPUTED_VALUE"""),"Aaru's Awakening")</f>
        <v>Aaru's Awakening</v>
      </c>
      <c r="B1436" s="82" t="str">
        <f>IFERROR(__xludf.DUMMYFUNCTION("""COMPUTED_VALUE"""),"PS4/PS3")</f>
        <v>PS4/PS3</v>
      </c>
      <c r="C1436" s="83" t="str">
        <f>IFERROR(__xludf.DUMMYFUNCTION("""COMPUTED_VALUE"""),"Playstation Plus (Discontinued)")</f>
        <v>Playstation Plus (Discontinued)</v>
      </c>
      <c r="D1436" s="82" t="str">
        <f>IFERROR(__xludf.DUMMYFUNCTION("""COMPUTED_VALUE"""),"Removed")</f>
        <v>Removed</v>
      </c>
      <c r="E1436" s="84">
        <f>IFERROR(__xludf.DUMMYFUNCTION("""COMPUTED_VALUE"""),42101.0)</f>
        <v>42101</v>
      </c>
      <c r="F1436" s="85">
        <f>IFERROR(__xludf.DUMMYFUNCTION("""COMPUTED_VALUE"""),42128.0)</f>
        <v>42128</v>
      </c>
      <c r="G1436" s="86">
        <f>IFERROR(__xludf.DUMMYFUNCTION("""COMPUTED_VALUE"""),0.8999999999999999)</f>
        <v>0.9</v>
      </c>
      <c r="H1436" s="84">
        <f>IFERROR(__xludf.DUMMYFUNCTION("""COMPUTED_VALUE"""),42094.0)</f>
        <v>42094</v>
      </c>
      <c r="I1436" s="86">
        <f>IFERROR(__xludf.DUMMYFUNCTION("""COMPUTED_VALUE"""),0.019444444444444445)</f>
        <v>0.01944444444</v>
      </c>
      <c r="J1436" s="87">
        <f>IFERROR(__xludf.DUMMYFUNCTION("""COMPUTED_VALUE"""),65.0)</f>
        <v>65</v>
      </c>
      <c r="K1436" s="88">
        <f>IFERROR(__xludf.DUMMYFUNCTION("""COMPUTED_VALUE"""),6.6)</f>
        <v>6.6</v>
      </c>
      <c r="L1436" s="89">
        <f>IFERROR(__xludf.DUMMYFUNCTION("""COMPUTED_VALUE"""),4.0)</f>
        <v>4</v>
      </c>
      <c r="M1436" s="26" t="str">
        <f>IFERROR(__xludf.DUMMYFUNCTION("""COMPUTED_VALUE"""),"Platformer")</f>
        <v>Platformer</v>
      </c>
      <c r="N1436" s="26"/>
      <c r="O1436" s="26" t="str">
        <f>IFERROR(__xludf.DUMMYFUNCTION("""COMPUTED_VALUE"""),"No")</f>
        <v>No</v>
      </c>
      <c r="P1436" s="26"/>
    </row>
    <row r="1437">
      <c r="A1437" s="81" t="str">
        <f>IFERROR(__xludf.DUMMYFUNCTION("""COMPUTED_VALUE"""),"Tower of Guns")</f>
        <v>Tower of Guns</v>
      </c>
      <c r="B1437" s="82" t="str">
        <f>IFERROR(__xludf.DUMMYFUNCTION("""COMPUTED_VALUE"""),"PS4/PS3")</f>
        <v>PS4/PS3</v>
      </c>
      <c r="C1437" s="83" t="str">
        <f>IFERROR(__xludf.DUMMYFUNCTION("""COMPUTED_VALUE"""),"Playstation Plus (Discontinued)")</f>
        <v>Playstation Plus (Discontinued)</v>
      </c>
      <c r="D1437" s="82" t="str">
        <f>IFERROR(__xludf.DUMMYFUNCTION("""COMPUTED_VALUE"""),"Removed")</f>
        <v>Removed</v>
      </c>
      <c r="E1437" s="84">
        <f>IFERROR(__xludf.DUMMYFUNCTION("""COMPUTED_VALUE"""),42101.0)</f>
        <v>42101</v>
      </c>
      <c r="F1437" s="85">
        <f>IFERROR(__xludf.DUMMYFUNCTION("""COMPUTED_VALUE"""),42128.0)</f>
        <v>42128</v>
      </c>
      <c r="G1437" s="86">
        <f>IFERROR(__xludf.DUMMYFUNCTION("""COMPUTED_VALUE"""),0.8999999999999999)</f>
        <v>0.9</v>
      </c>
      <c r="H1437" s="84">
        <f>IFERROR(__xludf.DUMMYFUNCTION("""COMPUTED_VALUE"""),42073.0)</f>
        <v>42073</v>
      </c>
      <c r="I1437" s="86">
        <f>IFERROR(__xludf.DUMMYFUNCTION("""COMPUTED_VALUE"""),0.075)</f>
        <v>0.075</v>
      </c>
      <c r="J1437" s="87">
        <f>IFERROR(__xludf.DUMMYFUNCTION("""COMPUTED_VALUE"""),72.0)</f>
        <v>72</v>
      </c>
      <c r="K1437" s="88">
        <f>IFERROR(__xludf.DUMMYFUNCTION("""COMPUTED_VALUE"""),6.9)</f>
        <v>6.9</v>
      </c>
      <c r="L1437" s="89">
        <f>IFERROR(__xludf.DUMMYFUNCTION("""COMPUTED_VALUE"""),4.0)</f>
        <v>4</v>
      </c>
      <c r="M1437" s="26" t="str">
        <f>IFERROR(__xludf.DUMMYFUNCTION("""COMPUTED_VALUE"""),"Shooter")</f>
        <v>Shooter</v>
      </c>
      <c r="N1437" s="26"/>
      <c r="O1437" s="26" t="str">
        <f>IFERROR(__xludf.DUMMYFUNCTION("""COMPUTED_VALUE"""),"No")</f>
        <v>No</v>
      </c>
      <c r="P1437" s="26"/>
    </row>
    <row r="1438">
      <c r="A1438" s="81" t="str">
        <f>IFERROR(__xludf.DUMMYFUNCTION("""COMPUTED_VALUE"""),"Mighty Flip Champs! DX")</f>
        <v>Mighty Flip Champs! DX</v>
      </c>
      <c r="B1438" s="82" t="str">
        <f>IFERROR(__xludf.DUMMYFUNCTION("""COMPUTED_VALUE"""),"PS3/Vita")</f>
        <v>PS3/Vita</v>
      </c>
      <c r="C1438" s="83" t="str">
        <f>IFERROR(__xludf.DUMMYFUNCTION("""COMPUTED_VALUE"""),"Playstation Plus (Discontinued)")</f>
        <v>Playstation Plus (Discontinued)</v>
      </c>
      <c r="D1438" s="82" t="str">
        <f>IFERROR(__xludf.DUMMYFUNCTION("""COMPUTED_VALUE"""),"Removed")</f>
        <v>Removed</v>
      </c>
      <c r="E1438" s="84">
        <f>IFERROR(__xludf.DUMMYFUNCTION("""COMPUTED_VALUE"""),42074.0)</f>
        <v>42074</v>
      </c>
      <c r="F1438" s="85">
        <f>IFERROR(__xludf.DUMMYFUNCTION("""COMPUTED_VALUE"""),42100.0)</f>
        <v>42100</v>
      </c>
      <c r="G1438" s="86">
        <f>IFERROR(__xludf.DUMMYFUNCTION("""COMPUTED_VALUE"""),0.8333333333333334)</f>
        <v>0.8333333333</v>
      </c>
      <c r="H1438" s="84">
        <f>IFERROR(__xludf.DUMMYFUNCTION("""COMPUTED_VALUE"""),41859.0)</f>
        <v>41859</v>
      </c>
      <c r="I1438" s="86">
        <f>IFERROR(__xludf.DUMMYFUNCTION("""COMPUTED_VALUE"""),0.5916666666666667)</f>
        <v>0.5916666667</v>
      </c>
      <c r="J1438" s="87">
        <f>IFERROR(__xludf.DUMMYFUNCTION("""COMPUTED_VALUE"""),76.0)</f>
        <v>76</v>
      </c>
      <c r="K1438" s="88">
        <f>IFERROR(__xludf.DUMMYFUNCTION("""COMPUTED_VALUE"""),7.0)</f>
        <v>7</v>
      </c>
      <c r="L1438" s="89">
        <f>IFERROR(__xludf.DUMMYFUNCTION("""COMPUTED_VALUE"""),2.0)</f>
        <v>2</v>
      </c>
      <c r="M1438" s="26" t="str">
        <f>IFERROR(__xludf.DUMMYFUNCTION("""COMPUTED_VALUE"""),"Platformer")</f>
        <v>Platformer</v>
      </c>
      <c r="N1438" s="26"/>
      <c r="O1438" s="26" t="str">
        <f>IFERROR(__xludf.DUMMYFUNCTION("""COMPUTED_VALUE"""),"No")</f>
        <v>No</v>
      </c>
      <c r="P1438" s="26"/>
    </row>
    <row r="1439">
      <c r="A1439" s="81" t="str">
        <f>IFERROR(__xludf.DUMMYFUNCTION("""COMPUTED_VALUE"""),"OlliOlli2: Welcome to Olliwood")</f>
        <v>OlliOlli2: Welcome to Olliwood</v>
      </c>
      <c r="B1439" s="82" t="str">
        <f>IFERROR(__xludf.DUMMYFUNCTION("""COMPUTED_VALUE"""),"PS4/Vita")</f>
        <v>PS4/Vita</v>
      </c>
      <c r="C1439" s="83" t="str">
        <f>IFERROR(__xludf.DUMMYFUNCTION("""COMPUTED_VALUE"""),"Playstation Plus (Discontinued)")</f>
        <v>Playstation Plus (Discontinued)</v>
      </c>
      <c r="D1439" s="82" t="str">
        <f>IFERROR(__xludf.DUMMYFUNCTION("""COMPUTED_VALUE"""),"Removed")</f>
        <v>Removed</v>
      </c>
      <c r="E1439" s="84">
        <f>IFERROR(__xludf.DUMMYFUNCTION("""COMPUTED_VALUE"""),42066.0)</f>
        <v>42066</v>
      </c>
      <c r="F1439" s="85">
        <f>IFERROR(__xludf.DUMMYFUNCTION("""COMPUTED_VALUE"""),42073.0)</f>
        <v>42073</v>
      </c>
      <c r="G1439" s="86">
        <f>IFERROR(__xludf.DUMMYFUNCTION("""COMPUTED_VALUE"""),0.23333333333333334)</f>
        <v>0.2333333333</v>
      </c>
      <c r="H1439" s="84">
        <f>IFERROR(__xludf.DUMMYFUNCTION("""COMPUTED_VALUE"""),42066.0)</f>
        <v>42066</v>
      </c>
      <c r="I1439" s="86">
        <f>IFERROR(__xludf.DUMMYFUNCTION("""COMPUTED_VALUE"""),0.0)</f>
        <v>0</v>
      </c>
      <c r="J1439" s="87">
        <f>IFERROR(__xludf.DUMMYFUNCTION("""COMPUTED_VALUE"""),79.0)</f>
        <v>79</v>
      </c>
      <c r="K1439" s="88">
        <f>IFERROR(__xludf.DUMMYFUNCTION("""COMPUTED_VALUE"""),7.8)</f>
        <v>7.8</v>
      </c>
      <c r="L1439" s="89">
        <f>IFERROR(__xludf.DUMMYFUNCTION("""COMPUTED_VALUE"""),5.0)</f>
        <v>5</v>
      </c>
      <c r="M1439" s="26" t="str">
        <f>IFERROR(__xludf.DUMMYFUNCTION("""COMPUTED_VALUE"""),"Sports")</f>
        <v>Sports</v>
      </c>
      <c r="N1439" s="26"/>
      <c r="O1439" s="26" t="str">
        <f>IFERROR(__xludf.DUMMYFUNCTION("""COMPUTED_VALUE"""),"No")</f>
        <v>No</v>
      </c>
      <c r="P1439" s="26"/>
    </row>
    <row r="1440">
      <c r="A1440" s="81" t="str">
        <f>IFERROR(__xludf.DUMMYFUNCTION("""COMPUTED_VALUE"""),"CounterSpy")</f>
        <v>CounterSpy</v>
      </c>
      <c r="B1440" s="82" t="str">
        <f>IFERROR(__xludf.DUMMYFUNCTION("""COMPUTED_VALUE"""),"PS4/PS3/Vita")</f>
        <v>PS4/PS3/Vita</v>
      </c>
      <c r="C1440" s="83" t="str">
        <f>IFERROR(__xludf.DUMMYFUNCTION("""COMPUTED_VALUE"""),"Playstation Plus (Discontinued)")</f>
        <v>Playstation Plus (Discontinued)</v>
      </c>
      <c r="D1440" s="82" t="str">
        <f>IFERROR(__xludf.DUMMYFUNCTION("""COMPUTED_VALUE"""),"Removed")</f>
        <v>Removed</v>
      </c>
      <c r="E1440" s="84">
        <f>IFERROR(__xludf.DUMMYFUNCTION("""COMPUTED_VALUE"""),42066.0)</f>
        <v>42066</v>
      </c>
      <c r="F1440" s="85">
        <f>IFERROR(__xludf.DUMMYFUNCTION("""COMPUTED_VALUE"""),42073.0)</f>
        <v>42073</v>
      </c>
      <c r="G1440" s="86">
        <f>IFERROR(__xludf.DUMMYFUNCTION("""COMPUTED_VALUE"""),0.23333333333333334)</f>
        <v>0.2333333333</v>
      </c>
      <c r="H1440" s="84">
        <f>IFERROR(__xludf.DUMMYFUNCTION("""COMPUTED_VALUE"""),41870.0)</f>
        <v>41870</v>
      </c>
      <c r="I1440" s="86">
        <f>IFERROR(__xludf.DUMMYFUNCTION("""COMPUTED_VALUE"""),0.5388888888888889)</f>
        <v>0.5388888889</v>
      </c>
      <c r="J1440" s="87">
        <f>IFERROR(__xludf.DUMMYFUNCTION("""COMPUTED_VALUE"""),71.0)</f>
        <v>71</v>
      </c>
      <c r="K1440" s="88">
        <f>IFERROR(__xludf.DUMMYFUNCTION("""COMPUTED_VALUE"""),7.0)</f>
        <v>7</v>
      </c>
      <c r="L1440" s="89">
        <f>IFERROR(__xludf.DUMMYFUNCTION("""COMPUTED_VALUE"""),5.0)</f>
        <v>5</v>
      </c>
      <c r="M1440" s="26" t="str">
        <f>IFERROR(__xludf.DUMMYFUNCTION("""COMPUTED_VALUE"""),"Shooter")</f>
        <v>Shooter</v>
      </c>
      <c r="N1440" s="26"/>
      <c r="O1440" s="26" t="str">
        <f>IFERROR(__xludf.DUMMYFUNCTION("""COMPUTED_VALUE"""),"No")</f>
        <v>No</v>
      </c>
      <c r="P1440" s="26"/>
    </row>
    <row r="1441">
      <c r="A1441" s="81" t="str">
        <f>IFERROR(__xludf.DUMMYFUNCTION("""COMPUTED_VALUE"""),"Sherlock Holmes: Crimes and Punishments")</f>
        <v>Sherlock Holmes: Crimes and Punishments</v>
      </c>
      <c r="B1441" s="82" t="str">
        <f>IFERROR(__xludf.DUMMYFUNCTION("""COMPUTED_VALUE"""),"PS3")</f>
        <v>PS3</v>
      </c>
      <c r="C1441" s="83" t="str">
        <f>IFERROR(__xludf.DUMMYFUNCTION("""COMPUTED_VALUE"""),"Playstation Plus (Discontinued)")</f>
        <v>Playstation Plus (Discontinued)</v>
      </c>
      <c r="D1441" s="82" t="str">
        <f>IFERROR(__xludf.DUMMYFUNCTION("""COMPUTED_VALUE"""),"Removed")</f>
        <v>Removed</v>
      </c>
      <c r="E1441" s="84">
        <f>IFERROR(__xludf.DUMMYFUNCTION("""COMPUTED_VALUE"""),42066.0)</f>
        <v>42066</v>
      </c>
      <c r="F1441" s="85">
        <f>IFERROR(__xludf.DUMMYFUNCTION("""COMPUTED_VALUE"""),42073.0)</f>
        <v>42073</v>
      </c>
      <c r="G1441" s="86">
        <f>IFERROR(__xludf.DUMMYFUNCTION("""COMPUTED_VALUE"""),0.23333333333333334)</f>
        <v>0.2333333333</v>
      </c>
      <c r="H1441" s="84">
        <f>IFERROR(__xludf.DUMMYFUNCTION("""COMPUTED_VALUE"""),41912.0)</f>
        <v>41912</v>
      </c>
      <c r="I1441" s="86">
        <f>IFERROR(__xludf.DUMMYFUNCTION("""COMPUTED_VALUE"""),0.425)</f>
        <v>0.425</v>
      </c>
      <c r="J1441" s="87">
        <f>IFERROR(__xludf.DUMMYFUNCTION("""COMPUTED_VALUE"""),77.0)</f>
        <v>77</v>
      </c>
      <c r="K1441" s="88">
        <f>IFERROR(__xludf.DUMMYFUNCTION("""COMPUTED_VALUE"""),7.7)</f>
        <v>7.7</v>
      </c>
      <c r="L1441" s="89">
        <f>IFERROR(__xludf.DUMMYFUNCTION("""COMPUTED_VALUE"""),15.0)</f>
        <v>15</v>
      </c>
      <c r="M1441" s="26" t="str">
        <f>IFERROR(__xludf.DUMMYFUNCTION("""COMPUTED_VALUE"""),"Adventure")</f>
        <v>Adventure</v>
      </c>
      <c r="N1441" s="26"/>
      <c r="O1441" s="26" t="str">
        <f>IFERROR(__xludf.DUMMYFUNCTION("""COMPUTED_VALUE"""),"No")</f>
        <v>No</v>
      </c>
      <c r="P1441" s="26"/>
    </row>
    <row r="1442">
      <c r="A1442" s="81" t="str">
        <f>IFERROR(__xludf.DUMMYFUNCTION("""COMPUTED_VALUE"""),"Papo &amp; Yo")</f>
        <v>Papo &amp; Yo</v>
      </c>
      <c r="B1442" s="82" t="str">
        <f>IFERROR(__xludf.DUMMYFUNCTION("""COMPUTED_VALUE"""),"PS3")</f>
        <v>PS3</v>
      </c>
      <c r="C1442" s="83" t="str">
        <f>IFERROR(__xludf.DUMMYFUNCTION("""COMPUTED_VALUE"""),"Playstation Plus (Discontinued)")</f>
        <v>Playstation Plus (Discontinued)</v>
      </c>
      <c r="D1442" s="82" t="str">
        <f>IFERROR(__xludf.DUMMYFUNCTION("""COMPUTED_VALUE"""),"Removed")</f>
        <v>Removed</v>
      </c>
      <c r="E1442" s="84">
        <f>IFERROR(__xludf.DUMMYFUNCTION("""COMPUTED_VALUE"""),42066.0)</f>
        <v>42066</v>
      </c>
      <c r="F1442" s="85">
        <f>IFERROR(__xludf.DUMMYFUNCTION("""COMPUTED_VALUE"""),42073.0)</f>
        <v>42073</v>
      </c>
      <c r="G1442" s="86">
        <f>IFERROR(__xludf.DUMMYFUNCTION("""COMPUTED_VALUE"""),0.23333333333333334)</f>
        <v>0.2333333333</v>
      </c>
      <c r="H1442" s="84">
        <f>IFERROR(__xludf.DUMMYFUNCTION("""COMPUTED_VALUE"""),41135.0)</f>
        <v>41135</v>
      </c>
      <c r="I1442" s="86">
        <f>IFERROR(__xludf.DUMMYFUNCTION("""COMPUTED_VALUE"""),2.5527777777777776)</f>
        <v>2.552777778</v>
      </c>
      <c r="J1442" s="87">
        <f>IFERROR(__xludf.DUMMYFUNCTION("""COMPUTED_VALUE"""),72.0)</f>
        <v>72</v>
      </c>
      <c r="K1442" s="88">
        <f>IFERROR(__xludf.DUMMYFUNCTION("""COMPUTED_VALUE"""),7.4)</f>
        <v>7.4</v>
      </c>
      <c r="L1442" s="89">
        <f>IFERROR(__xludf.DUMMYFUNCTION("""COMPUTED_VALUE"""),3.0)</f>
        <v>3</v>
      </c>
      <c r="M1442" s="26" t="str">
        <f>IFERROR(__xludf.DUMMYFUNCTION("""COMPUTED_VALUE"""),"Adventure")</f>
        <v>Adventure</v>
      </c>
      <c r="N1442" s="26"/>
      <c r="O1442" s="26" t="str">
        <f>IFERROR(__xludf.DUMMYFUNCTION("""COMPUTED_VALUE"""),"No")</f>
        <v>No</v>
      </c>
      <c r="P1442" s="26"/>
    </row>
    <row r="1443">
      <c r="A1443" s="81" t="str">
        <f>IFERROR(__xludf.DUMMYFUNCTION("""COMPUTED_VALUE"""),"Oddworld: New 'n' Tasty")</f>
        <v>Oddworld: New 'n' Tasty</v>
      </c>
      <c r="B1443" s="82" t="str">
        <f>IFERROR(__xludf.DUMMYFUNCTION("""COMPUTED_VALUE"""),"PS4")</f>
        <v>PS4</v>
      </c>
      <c r="C1443" s="83" t="str">
        <f>IFERROR(__xludf.DUMMYFUNCTION("""COMPUTED_VALUE"""),"Playstation Plus (Discontinued)")</f>
        <v>Playstation Plus (Discontinued)</v>
      </c>
      <c r="D1443" s="82" t="str">
        <f>IFERROR(__xludf.DUMMYFUNCTION("""COMPUTED_VALUE"""),"Removed")</f>
        <v>Removed</v>
      </c>
      <c r="E1443" s="84">
        <f>IFERROR(__xludf.DUMMYFUNCTION("""COMPUTED_VALUE"""),42066.0)</f>
        <v>42066</v>
      </c>
      <c r="F1443" s="85">
        <f>IFERROR(__xludf.DUMMYFUNCTION("""COMPUTED_VALUE"""),42073.0)</f>
        <v>42073</v>
      </c>
      <c r="G1443" s="86">
        <f>IFERROR(__xludf.DUMMYFUNCTION("""COMPUTED_VALUE"""),0.23333333333333334)</f>
        <v>0.2333333333</v>
      </c>
      <c r="H1443" s="84">
        <f>IFERROR(__xludf.DUMMYFUNCTION("""COMPUTED_VALUE"""),41842.0)</f>
        <v>41842</v>
      </c>
      <c r="I1443" s="86">
        <f>IFERROR(__xludf.DUMMYFUNCTION("""COMPUTED_VALUE"""),0.6138888888888889)</f>
        <v>0.6138888889</v>
      </c>
      <c r="J1443" s="87">
        <f>IFERROR(__xludf.DUMMYFUNCTION("""COMPUTED_VALUE"""),84.0)</f>
        <v>84</v>
      </c>
      <c r="K1443" s="88">
        <f>IFERROR(__xludf.DUMMYFUNCTION("""COMPUTED_VALUE"""),7.7)</f>
        <v>7.7</v>
      </c>
      <c r="L1443" s="89">
        <f>IFERROR(__xludf.DUMMYFUNCTION("""COMPUTED_VALUE"""),9.0)</f>
        <v>9</v>
      </c>
      <c r="M1443" s="26" t="str">
        <f>IFERROR(__xludf.DUMMYFUNCTION("""COMPUTED_VALUE"""),"Platformer")</f>
        <v>Platformer</v>
      </c>
      <c r="N1443" s="26"/>
      <c r="O1443" s="26" t="str">
        <f>IFERROR(__xludf.DUMMYFUNCTION("""COMPUTED_VALUE"""),"No")</f>
        <v>No</v>
      </c>
      <c r="P1443" s="26"/>
    </row>
    <row r="1444">
      <c r="A1444" s="81" t="str">
        <f>IFERROR(__xludf.DUMMYFUNCTION("""COMPUTED_VALUE"""),"Valiant Hearts")</f>
        <v>Valiant Hearts</v>
      </c>
      <c r="B1444" s="82" t="str">
        <f>IFERROR(__xludf.DUMMYFUNCTION("""COMPUTED_VALUE"""),"PS4")</f>
        <v>PS4</v>
      </c>
      <c r="C1444" s="83" t="str">
        <f>IFERROR(__xludf.DUMMYFUNCTION("""COMPUTED_VALUE"""),"Playstation Plus (Discontinued)")</f>
        <v>Playstation Plus (Discontinued)</v>
      </c>
      <c r="D1444" s="82" t="str">
        <f>IFERROR(__xludf.DUMMYFUNCTION("""COMPUTED_VALUE"""),"Removed")</f>
        <v>Removed</v>
      </c>
      <c r="E1444" s="84">
        <f>IFERROR(__xludf.DUMMYFUNCTION("""COMPUTED_VALUE"""),42066.0)</f>
        <v>42066</v>
      </c>
      <c r="F1444" s="85">
        <f>IFERROR(__xludf.DUMMYFUNCTION("""COMPUTED_VALUE"""),42073.0)</f>
        <v>42073</v>
      </c>
      <c r="G1444" s="86">
        <f>IFERROR(__xludf.DUMMYFUNCTION("""COMPUTED_VALUE"""),0.23333333333333334)</f>
        <v>0.2333333333</v>
      </c>
      <c r="H1444" s="84">
        <f>IFERROR(__xludf.DUMMYFUNCTION("""COMPUTED_VALUE"""),41815.0)</f>
        <v>41815</v>
      </c>
      <c r="I1444" s="86">
        <f>IFERROR(__xludf.DUMMYFUNCTION("""COMPUTED_VALUE"""),0.6888888888888889)</f>
        <v>0.6888888889</v>
      </c>
      <c r="J1444" s="87">
        <f>IFERROR(__xludf.DUMMYFUNCTION("""COMPUTED_VALUE"""),77.0)</f>
        <v>77</v>
      </c>
      <c r="K1444" s="88">
        <f>IFERROR(__xludf.DUMMYFUNCTION("""COMPUTED_VALUE"""),8.0)</f>
        <v>8</v>
      </c>
      <c r="L1444" s="89">
        <f>IFERROR(__xludf.DUMMYFUNCTION("""COMPUTED_VALUE"""),7.0)</f>
        <v>7</v>
      </c>
      <c r="M1444" s="26" t="str">
        <f>IFERROR(__xludf.DUMMYFUNCTION("""COMPUTED_VALUE"""),"Adventure")</f>
        <v>Adventure</v>
      </c>
      <c r="N1444" s="26"/>
      <c r="O1444" s="26" t="str">
        <f>IFERROR(__xludf.DUMMYFUNCTION("""COMPUTED_VALUE"""),"No")</f>
        <v>No</v>
      </c>
      <c r="P1444" s="26"/>
    </row>
    <row r="1445">
      <c r="A1445" s="81" t="str">
        <f>IFERROR(__xludf.DUMMYFUNCTION("""COMPUTED_VALUE"""),"Rogue Legacy")</f>
        <v>Rogue Legacy</v>
      </c>
      <c r="B1445" s="82" t="str">
        <f>IFERROR(__xludf.DUMMYFUNCTION("""COMPUTED_VALUE"""),"PS4/PS3/Vita")</f>
        <v>PS4/PS3/Vita</v>
      </c>
      <c r="C1445" s="83" t="str">
        <f>IFERROR(__xludf.DUMMYFUNCTION("""COMPUTED_VALUE"""),"Playstation Plus (Discontinued)")</f>
        <v>Playstation Plus (Discontinued)</v>
      </c>
      <c r="D1445" s="82" t="str">
        <f>IFERROR(__xludf.DUMMYFUNCTION("""COMPUTED_VALUE"""),"Removed")</f>
        <v>Removed</v>
      </c>
      <c r="E1445" s="84">
        <f>IFERROR(__xludf.DUMMYFUNCTION("""COMPUTED_VALUE"""),42038.0)</f>
        <v>42038</v>
      </c>
      <c r="F1445" s="85">
        <f>IFERROR(__xludf.DUMMYFUNCTION("""COMPUTED_VALUE"""),42065.0)</f>
        <v>42065</v>
      </c>
      <c r="G1445" s="86">
        <f>IFERROR(__xludf.DUMMYFUNCTION("""COMPUTED_VALUE"""),0.9666666666666668)</f>
        <v>0.9666666667</v>
      </c>
      <c r="H1445" s="84">
        <f>IFERROR(__xludf.DUMMYFUNCTION("""COMPUTED_VALUE"""),41452.0)</f>
        <v>41452</v>
      </c>
      <c r="I1445" s="86">
        <f>IFERROR(__xludf.DUMMYFUNCTION("""COMPUTED_VALUE"""),1.6)</f>
        <v>1.6</v>
      </c>
      <c r="J1445" s="87">
        <f>IFERROR(__xludf.DUMMYFUNCTION("""COMPUTED_VALUE"""),85.0)</f>
        <v>85</v>
      </c>
      <c r="K1445" s="88">
        <f>IFERROR(__xludf.DUMMYFUNCTION("""COMPUTED_VALUE"""),8.4)</f>
        <v>8.4</v>
      </c>
      <c r="L1445" s="89">
        <f>IFERROR(__xludf.DUMMYFUNCTION("""COMPUTED_VALUE"""),13.0)</f>
        <v>13</v>
      </c>
      <c r="M1445" s="26" t="str">
        <f>IFERROR(__xludf.DUMMYFUNCTION("""COMPUTED_VALUE"""),"Platformer")</f>
        <v>Platformer</v>
      </c>
      <c r="N1445" s="26"/>
      <c r="O1445" s="26" t="str">
        <f>IFERROR(__xludf.DUMMYFUNCTION("""COMPUTED_VALUE"""),"No")</f>
        <v>No</v>
      </c>
      <c r="P1445" s="26"/>
    </row>
    <row r="1446">
      <c r="A1446" s="81" t="str">
        <f>IFERROR(__xludf.DUMMYFUNCTION("""COMPUTED_VALUE"""),"Transistor")</f>
        <v>Transistor</v>
      </c>
      <c r="B1446" s="82" t="str">
        <f>IFERROR(__xludf.DUMMYFUNCTION("""COMPUTED_VALUE"""),"PS4")</f>
        <v>PS4</v>
      </c>
      <c r="C1446" s="83" t="str">
        <f>IFERROR(__xludf.DUMMYFUNCTION("""COMPUTED_VALUE"""),"Playstation Plus (Discontinued)")</f>
        <v>Playstation Plus (Discontinued)</v>
      </c>
      <c r="D1446" s="82" t="str">
        <f>IFERROR(__xludf.DUMMYFUNCTION("""COMPUTED_VALUE"""),"Removed")</f>
        <v>Removed</v>
      </c>
      <c r="E1446" s="84">
        <f>IFERROR(__xludf.DUMMYFUNCTION("""COMPUTED_VALUE"""),42038.0)</f>
        <v>42038</v>
      </c>
      <c r="F1446" s="85">
        <f>IFERROR(__xludf.DUMMYFUNCTION("""COMPUTED_VALUE"""),42065.0)</f>
        <v>42065</v>
      </c>
      <c r="G1446" s="86">
        <f>IFERROR(__xludf.DUMMYFUNCTION("""COMPUTED_VALUE"""),0.9666666666666668)</f>
        <v>0.9666666667</v>
      </c>
      <c r="H1446" s="84">
        <f>IFERROR(__xludf.DUMMYFUNCTION("""COMPUTED_VALUE"""),41779.0)</f>
        <v>41779</v>
      </c>
      <c r="I1446" s="86">
        <f>IFERROR(__xludf.DUMMYFUNCTION("""COMPUTED_VALUE"""),0.7027777777777777)</f>
        <v>0.7027777778</v>
      </c>
      <c r="J1446" s="87">
        <f>IFERROR(__xludf.DUMMYFUNCTION("""COMPUTED_VALUE"""),83.0)</f>
        <v>83</v>
      </c>
      <c r="K1446" s="88">
        <f>IFERROR(__xludf.DUMMYFUNCTION("""COMPUTED_VALUE"""),8.3)</f>
        <v>8.3</v>
      </c>
      <c r="L1446" s="89">
        <f>IFERROR(__xludf.DUMMYFUNCTION("""COMPUTED_VALUE"""),5.0)</f>
        <v>5</v>
      </c>
      <c r="M1446" s="26" t="str">
        <f>IFERROR(__xludf.DUMMYFUNCTION("""COMPUTED_VALUE"""),"RPG")</f>
        <v>RPG</v>
      </c>
      <c r="N1446" s="26"/>
      <c r="O1446" s="26" t="str">
        <f>IFERROR(__xludf.DUMMYFUNCTION("""COMPUTED_VALUE"""),"No")</f>
        <v>No</v>
      </c>
      <c r="P1446" s="26"/>
    </row>
    <row r="1447">
      <c r="A1447" s="81" t="str">
        <f>IFERROR(__xludf.DUMMYFUNCTION("""COMPUTED_VALUE"""),"Apotheon")</f>
        <v>Apotheon</v>
      </c>
      <c r="B1447" s="82" t="str">
        <f>IFERROR(__xludf.DUMMYFUNCTION("""COMPUTED_VALUE"""),"PS4")</f>
        <v>PS4</v>
      </c>
      <c r="C1447" s="83" t="str">
        <f>IFERROR(__xludf.DUMMYFUNCTION("""COMPUTED_VALUE"""),"Playstation Plus (Discontinued)")</f>
        <v>Playstation Plus (Discontinued)</v>
      </c>
      <c r="D1447" s="82" t="str">
        <f>IFERROR(__xludf.DUMMYFUNCTION("""COMPUTED_VALUE"""),"Removed")</f>
        <v>Removed</v>
      </c>
      <c r="E1447" s="84">
        <f>IFERROR(__xludf.DUMMYFUNCTION("""COMPUTED_VALUE"""),42038.0)</f>
        <v>42038</v>
      </c>
      <c r="F1447" s="85">
        <f>IFERROR(__xludf.DUMMYFUNCTION("""COMPUTED_VALUE"""),42065.0)</f>
        <v>42065</v>
      </c>
      <c r="G1447" s="86">
        <f>IFERROR(__xludf.DUMMYFUNCTION("""COMPUTED_VALUE"""),0.9666666666666668)</f>
        <v>0.9666666667</v>
      </c>
      <c r="H1447" s="84">
        <f>IFERROR(__xludf.DUMMYFUNCTION("""COMPUTED_VALUE"""),42038.0)</f>
        <v>42038</v>
      </c>
      <c r="I1447" s="86">
        <f>IFERROR(__xludf.DUMMYFUNCTION("""COMPUTED_VALUE"""),0.0)</f>
        <v>0</v>
      </c>
      <c r="J1447" s="87">
        <f>IFERROR(__xludf.DUMMYFUNCTION("""COMPUTED_VALUE"""),77.0)</f>
        <v>77</v>
      </c>
      <c r="K1447" s="88">
        <f>IFERROR(__xludf.DUMMYFUNCTION("""COMPUTED_VALUE"""),7.6)</f>
        <v>7.6</v>
      </c>
      <c r="L1447" s="89">
        <f>IFERROR(__xludf.DUMMYFUNCTION("""COMPUTED_VALUE"""),8.0)</f>
        <v>8</v>
      </c>
      <c r="M1447" s="26" t="str">
        <f>IFERROR(__xludf.DUMMYFUNCTION("""COMPUTED_VALUE"""),"Platformer")</f>
        <v>Platformer</v>
      </c>
      <c r="N1447" s="26"/>
      <c r="O1447" s="26" t="str">
        <f>IFERROR(__xludf.DUMMYFUNCTION("""COMPUTED_VALUE"""),"No")</f>
        <v>No</v>
      </c>
      <c r="P1447" s="26"/>
    </row>
    <row r="1448">
      <c r="A1448" s="81" t="str">
        <f>IFERROR(__xludf.DUMMYFUNCTION("""COMPUTED_VALUE"""),"Yakuza 4")</f>
        <v>Yakuza 4</v>
      </c>
      <c r="B1448" s="82" t="str">
        <f>IFERROR(__xludf.DUMMYFUNCTION("""COMPUTED_VALUE"""),"PS3")</f>
        <v>PS3</v>
      </c>
      <c r="C1448" s="83" t="str">
        <f>IFERROR(__xludf.DUMMYFUNCTION("""COMPUTED_VALUE"""),"Playstation Plus (Discontinued)")</f>
        <v>Playstation Plus (Discontinued)</v>
      </c>
      <c r="D1448" s="82" t="str">
        <f>IFERROR(__xludf.DUMMYFUNCTION("""COMPUTED_VALUE"""),"Removed")</f>
        <v>Removed</v>
      </c>
      <c r="E1448" s="84">
        <f>IFERROR(__xludf.DUMMYFUNCTION("""COMPUTED_VALUE"""),42038.0)</f>
        <v>42038</v>
      </c>
      <c r="F1448" s="85">
        <f>IFERROR(__xludf.DUMMYFUNCTION("""COMPUTED_VALUE"""),42065.0)</f>
        <v>42065</v>
      </c>
      <c r="G1448" s="86">
        <f>IFERROR(__xludf.DUMMYFUNCTION("""COMPUTED_VALUE"""),0.9666666666666668)</f>
        <v>0.9666666667</v>
      </c>
      <c r="H1448" s="84">
        <f>IFERROR(__xludf.DUMMYFUNCTION("""COMPUTED_VALUE"""),40617.0)</f>
        <v>40617</v>
      </c>
      <c r="I1448" s="86">
        <f>IFERROR(__xludf.DUMMYFUNCTION("""COMPUTED_VALUE"""),3.8833333333333333)</f>
        <v>3.883333333</v>
      </c>
      <c r="J1448" s="87">
        <f>IFERROR(__xludf.DUMMYFUNCTION("""COMPUTED_VALUE"""),78.0)</f>
        <v>78</v>
      </c>
      <c r="K1448" s="88">
        <f>IFERROR(__xludf.DUMMYFUNCTION("""COMPUTED_VALUE"""),8.4)</f>
        <v>8.4</v>
      </c>
      <c r="L1448" s="89">
        <f>IFERROR(__xludf.DUMMYFUNCTION("""COMPUTED_VALUE"""),28.0)</f>
        <v>28</v>
      </c>
      <c r="M1448" s="26" t="str">
        <f>IFERROR(__xludf.DUMMYFUNCTION("""COMPUTED_VALUE"""),"Action-Adventure")</f>
        <v>Action-Adventure</v>
      </c>
      <c r="N1448" s="26"/>
      <c r="O1448" s="26" t="str">
        <f>IFERROR(__xludf.DUMMYFUNCTION("""COMPUTED_VALUE"""),"No")</f>
        <v>No</v>
      </c>
      <c r="P1448" s="26"/>
    </row>
    <row r="1449">
      <c r="A1449" s="81" t="str">
        <f>IFERROR(__xludf.DUMMYFUNCTION("""COMPUTED_VALUE"""),"Thief")</f>
        <v>Thief</v>
      </c>
      <c r="B1449" s="82" t="str">
        <f>IFERROR(__xludf.DUMMYFUNCTION("""COMPUTED_VALUE"""),"PS3")</f>
        <v>PS3</v>
      </c>
      <c r="C1449" s="83" t="str">
        <f>IFERROR(__xludf.DUMMYFUNCTION("""COMPUTED_VALUE"""),"Playstation Plus (Discontinued)")</f>
        <v>Playstation Plus (Discontinued)</v>
      </c>
      <c r="D1449" s="82" t="str">
        <f>IFERROR(__xludf.DUMMYFUNCTION("""COMPUTED_VALUE"""),"Removed")</f>
        <v>Removed</v>
      </c>
      <c r="E1449" s="84">
        <f>IFERROR(__xludf.DUMMYFUNCTION("""COMPUTED_VALUE"""),42038.0)</f>
        <v>42038</v>
      </c>
      <c r="F1449" s="85">
        <f>IFERROR(__xludf.DUMMYFUNCTION("""COMPUTED_VALUE"""),42065.0)</f>
        <v>42065</v>
      </c>
      <c r="G1449" s="86">
        <f>IFERROR(__xludf.DUMMYFUNCTION("""COMPUTED_VALUE"""),0.9666666666666668)</f>
        <v>0.9666666667</v>
      </c>
      <c r="H1449" s="84">
        <f>IFERROR(__xludf.DUMMYFUNCTION("""COMPUTED_VALUE"""),41695.0)</f>
        <v>41695</v>
      </c>
      <c r="I1449" s="86">
        <f>IFERROR(__xludf.DUMMYFUNCTION("""COMPUTED_VALUE"""),0.9388888888888889)</f>
        <v>0.9388888889</v>
      </c>
      <c r="J1449" s="87">
        <f>IFERROR(__xludf.DUMMYFUNCTION("""COMPUTED_VALUE"""),70.0)</f>
        <v>70</v>
      </c>
      <c r="K1449" s="88">
        <f>IFERROR(__xludf.DUMMYFUNCTION("""COMPUTED_VALUE"""),7.1)</f>
        <v>7.1</v>
      </c>
      <c r="L1449" s="89">
        <f>IFERROR(__xludf.DUMMYFUNCTION("""COMPUTED_VALUE"""),15.0)</f>
        <v>15</v>
      </c>
      <c r="M1449" s="26" t="str">
        <f>IFERROR(__xludf.DUMMYFUNCTION("""COMPUTED_VALUE"""),"Action-Adventure")</f>
        <v>Action-Adventure</v>
      </c>
      <c r="N1449" s="26"/>
      <c r="O1449" s="26" t="str">
        <f>IFERROR(__xludf.DUMMYFUNCTION("""COMPUTED_VALUE"""),"No")</f>
        <v>No</v>
      </c>
      <c r="P1449" s="26"/>
    </row>
    <row r="1450">
      <c r="A1450" s="81" t="str">
        <f>IFERROR(__xludf.DUMMYFUNCTION("""COMPUTED_VALUE"""),"Kick &amp; Fennick")</f>
        <v>Kick &amp; Fennick</v>
      </c>
      <c r="B1450" s="82" t="str">
        <f>IFERROR(__xludf.DUMMYFUNCTION("""COMPUTED_VALUE"""),"Vita")</f>
        <v>Vita</v>
      </c>
      <c r="C1450" s="83" t="str">
        <f>IFERROR(__xludf.DUMMYFUNCTION("""COMPUTED_VALUE"""),"Playstation Plus (Discontinued)")</f>
        <v>Playstation Plus (Discontinued)</v>
      </c>
      <c r="D1450" s="82" t="str">
        <f>IFERROR(__xludf.DUMMYFUNCTION("""COMPUTED_VALUE"""),"Removed")</f>
        <v>Removed</v>
      </c>
      <c r="E1450" s="84">
        <f>IFERROR(__xludf.DUMMYFUNCTION("""COMPUTED_VALUE"""),42038.0)</f>
        <v>42038</v>
      </c>
      <c r="F1450" s="85">
        <f>IFERROR(__xludf.DUMMYFUNCTION("""COMPUTED_VALUE"""),42065.0)</f>
        <v>42065</v>
      </c>
      <c r="G1450" s="86">
        <f>IFERROR(__xludf.DUMMYFUNCTION("""COMPUTED_VALUE"""),0.9666666666666668)</f>
        <v>0.9666666667</v>
      </c>
      <c r="H1450" s="84">
        <f>IFERROR(__xludf.DUMMYFUNCTION("""COMPUTED_VALUE"""),42038.0)</f>
        <v>42038</v>
      </c>
      <c r="I1450" s="86">
        <f>IFERROR(__xludf.DUMMYFUNCTION("""COMPUTED_VALUE"""),0.0)</f>
        <v>0</v>
      </c>
      <c r="J1450" s="87">
        <f>IFERROR(__xludf.DUMMYFUNCTION("""COMPUTED_VALUE"""),52.0)</f>
        <v>52</v>
      </c>
      <c r="K1450" s="88">
        <f>IFERROR(__xludf.DUMMYFUNCTION("""COMPUTED_VALUE"""),6.1)</f>
        <v>6.1</v>
      </c>
      <c r="L1450" s="89">
        <f>IFERROR(__xludf.DUMMYFUNCTION("""COMPUTED_VALUE"""),4.0)</f>
        <v>4</v>
      </c>
      <c r="M1450" s="26" t="str">
        <f>IFERROR(__xludf.DUMMYFUNCTION("""COMPUTED_VALUE"""),"Platformer")</f>
        <v>Platformer</v>
      </c>
      <c r="N1450" s="26"/>
      <c r="O1450" s="26" t="str">
        <f>IFERROR(__xludf.DUMMYFUNCTION("""COMPUTED_VALUE"""),"No")</f>
        <v>No</v>
      </c>
      <c r="P1450" s="26"/>
    </row>
    <row r="1451">
      <c r="A1451" s="81" t="str">
        <f>IFERROR(__xludf.DUMMYFUNCTION("""COMPUTED_VALUE"""),"The Swapper")</f>
        <v>The Swapper</v>
      </c>
      <c r="B1451" s="82" t="str">
        <f>IFERROR(__xludf.DUMMYFUNCTION("""COMPUTED_VALUE"""),"PS4/PS3/Vita")</f>
        <v>PS4/PS3/Vita</v>
      </c>
      <c r="C1451" s="83" t="str">
        <f>IFERROR(__xludf.DUMMYFUNCTION("""COMPUTED_VALUE"""),"Playstation Plus (Discontinued)")</f>
        <v>Playstation Plus (Discontinued)</v>
      </c>
      <c r="D1451" s="82" t="str">
        <f>IFERROR(__xludf.DUMMYFUNCTION("""COMPUTED_VALUE"""),"Removed")</f>
        <v>Removed</v>
      </c>
      <c r="E1451" s="84">
        <f>IFERROR(__xludf.DUMMYFUNCTION("""COMPUTED_VALUE"""),42010.0)</f>
        <v>42010</v>
      </c>
      <c r="F1451" s="85">
        <f>IFERROR(__xludf.DUMMYFUNCTION("""COMPUTED_VALUE"""),42037.0)</f>
        <v>42037</v>
      </c>
      <c r="G1451" s="86">
        <f>IFERROR(__xludf.DUMMYFUNCTION("""COMPUTED_VALUE"""),0.8666666666666666)</f>
        <v>0.8666666667</v>
      </c>
      <c r="H1451" s="84">
        <f>IFERROR(__xludf.DUMMYFUNCTION("""COMPUTED_VALUE"""),41807.0)</f>
        <v>41807</v>
      </c>
      <c r="I1451" s="86">
        <f>IFERROR(__xludf.DUMMYFUNCTION("""COMPUTED_VALUE"""),0.5527777777777778)</f>
        <v>0.5527777778</v>
      </c>
      <c r="J1451" s="87">
        <f>IFERROR(__xludf.DUMMYFUNCTION("""COMPUTED_VALUE"""),87.0)</f>
        <v>87</v>
      </c>
      <c r="K1451" s="88">
        <f>IFERROR(__xludf.DUMMYFUNCTION("""COMPUTED_VALUE"""),7.8)</f>
        <v>7.8</v>
      </c>
      <c r="L1451" s="89">
        <f>IFERROR(__xludf.DUMMYFUNCTION("""COMPUTED_VALUE"""),5.0)</f>
        <v>5</v>
      </c>
      <c r="M1451" s="26" t="str">
        <f>IFERROR(__xludf.DUMMYFUNCTION("""COMPUTED_VALUE"""),"Puzzle")</f>
        <v>Puzzle</v>
      </c>
      <c r="N1451" s="26"/>
      <c r="O1451" s="26" t="str">
        <f>IFERROR(__xludf.DUMMYFUNCTION("""COMPUTED_VALUE"""),"No")</f>
        <v>No</v>
      </c>
      <c r="P1451" s="26"/>
    </row>
    <row r="1452">
      <c r="A1452" s="81" t="str">
        <f>IFERROR(__xludf.DUMMYFUNCTION("""COMPUTED_VALUE"""),"Whoa Dave!")</f>
        <v>Whoa Dave!</v>
      </c>
      <c r="B1452" s="82" t="str">
        <f>IFERROR(__xludf.DUMMYFUNCTION("""COMPUTED_VALUE"""),"PS4/Vita")</f>
        <v>PS4/Vita</v>
      </c>
      <c r="C1452" s="83" t="str">
        <f>IFERROR(__xludf.DUMMYFUNCTION("""COMPUTED_VALUE"""),"Playstation Plus (Discontinued)")</f>
        <v>Playstation Plus (Discontinued)</v>
      </c>
      <c r="D1452" s="82" t="str">
        <f>IFERROR(__xludf.DUMMYFUNCTION("""COMPUTED_VALUE"""),"Removed")</f>
        <v>Removed</v>
      </c>
      <c r="E1452" s="84">
        <f>IFERROR(__xludf.DUMMYFUNCTION("""COMPUTED_VALUE"""),42010.0)</f>
        <v>42010</v>
      </c>
      <c r="F1452" s="85">
        <f>IFERROR(__xludf.DUMMYFUNCTION("""COMPUTED_VALUE"""),42037.0)</f>
        <v>42037</v>
      </c>
      <c r="G1452" s="86">
        <f>IFERROR(__xludf.DUMMYFUNCTION("""COMPUTED_VALUE"""),0.8666666666666666)</f>
        <v>0.8666666667</v>
      </c>
      <c r="H1452" s="84">
        <f>IFERROR(__xludf.DUMMYFUNCTION("""COMPUTED_VALUE"""),42010.0)</f>
        <v>42010</v>
      </c>
      <c r="I1452" s="86">
        <f>IFERROR(__xludf.DUMMYFUNCTION("""COMPUTED_VALUE"""),0.0)</f>
        <v>0</v>
      </c>
      <c r="J1452" s="87">
        <f>IFERROR(__xludf.DUMMYFUNCTION("""COMPUTED_VALUE"""),66.0)</f>
        <v>66</v>
      </c>
      <c r="K1452" s="88">
        <f>IFERROR(__xludf.DUMMYFUNCTION("""COMPUTED_VALUE"""),6.8)</f>
        <v>6.8</v>
      </c>
      <c r="L1452" s="89">
        <f>IFERROR(__xludf.DUMMYFUNCTION("""COMPUTED_VALUE"""),1.0)</f>
        <v>1</v>
      </c>
      <c r="M1452" s="26" t="str">
        <f>IFERROR(__xludf.DUMMYFUNCTION("""COMPUTED_VALUE"""),"Arcade")</f>
        <v>Arcade</v>
      </c>
      <c r="N1452" s="26"/>
      <c r="O1452" s="26" t="str">
        <f>IFERROR(__xludf.DUMMYFUNCTION("""COMPUTED_VALUE"""),"No")</f>
        <v>No</v>
      </c>
      <c r="P1452" s="26"/>
    </row>
    <row r="1453">
      <c r="A1453" s="81" t="str">
        <f>IFERROR(__xludf.DUMMYFUNCTION("""COMPUTED_VALUE"""),"InFamous: First Light")</f>
        <v>InFamous: First Light</v>
      </c>
      <c r="B1453" s="82" t="str">
        <f>IFERROR(__xludf.DUMMYFUNCTION("""COMPUTED_VALUE"""),"PS4")</f>
        <v>PS4</v>
      </c>
      <c r="C1453" s="83" t="str">
        <f>IFERROR(__xludf.DUMMYFUNCTION("""COMPUTED_VALUE"""),"Playstation Plus (Discontinued)")</f>
        <v>Playstation Plus (Discontinued)</v>
      </c>
      <c r="D1453" s="82" t="str">
        <f>IFERROR(__xludf.DUMMYFUNCTION("""COMPUTED_VALUE"""),"Removed")</f>
        <v>Removed</v>
      </c>
      <c r="E1453" s="84">
        <f>IFERROR(__xludf.DUMMYFUNCTION("""COMPUTED_VALUE"""),42010.0)</f>
        <v>42010</v>
      </c>
      <c r="F1453" s="85">
        <f>IFERROR(__xludf.DUMMYFUNCTION("""COMPUTED_VALUE"""),42037.0)</f>
        <v>42037</v>
      </c>
      <c r="G1453" s="86">
        <f>IFERROR(__xludf.DUMMYFUNCTION("""COMPUTED_VALUE"""),0.8666666666666666)</f>
        <v>0.8666666667</v>
      </c>
      <c r="H1453" s="84">
        <f>IFERROR(__xludf.DUMMYFUNCTION("""COMPUTED_VALUE"""),41877.0)</f>
        <v>41877</v>
      </c>
      <c r="I1453" s="86">
        <f>IFERROR(__xludf.DUMMYFUNCTION("""COMPUTED_VALUE"""),0.3611111111111111)</f>
        <v>0.3611111111</v>
      </c>
      <c r="J1453" s="87">
        <f>IFERROR(__xludf.DUMMYFUNCTION("""COMPUTED_VALUE"""),73.0)</f>
        <v>73</v>
      </c>
      <c r="K1453" s="88">
        <f>IFERROR(__xludf.DUMMYFUNCTION("""COMPUTED_VALUE"""),7.3)</f>
        <v>7.3</v>
      </c>
      <c r="L1453" s="89">
        <f>IFERROR(__xludf.DUMMYFUNCTION("""COMPUTED_VALUE"""),4.0)</f>
        <v>4</v>
      </c>
      <c r="M1453" s="26" t="str">
        <f>IFERROR(__xludf.DUMMYFUNCTION("""COMPUTED_VALUE"""),"Action-Adventure")</f>
        <v>Action-Adventure</v>
      </c>
      <c r="N1453" s="26"/>
      <c r="O1453" s="26" t="str">
        <f>IFERROR(__xludf.DUMMYFUNCTION("""COMPUTED_VALUE"""),"No")</f>
        <v>No</v>
      </c>
      <c r="P1453" s="26"/>
    </row>
    <row r="1454">
      <c r="A1454" s="81" t="str">
        <f>IFERROR(__xludf.DUMMYFUNCTION("""COMPUTED_VALUE"""),"Prototype 2")</f>
        <v>Prototype 2</v>
      </c>
      <c r="B1454" s="82" t="str">
        <f>IFERROR(__xludf.DUMMYFUNCTION("""COMPUTED_VALUE"""),"PS3")</f>
        <v>PS3</v>
      </c>
      <c r="C1454" s="83" t="str">
        <f>IFERROR(__xludf.DUMMYFUNCTION("""COMPUTED_VALUE"""),"Playstation Plus (Discontinued)")</f>
        <v>Playstation Plus (Discontinued)</v>
      </c>
      <c r="D1454" s="82" t="str">
        <f>IFERROR(__xludf.DUMMYFUNCTION("""COMPUTED_VALUE"""),"Removed")</f>
        <v>Removed</v>
      </c>
      <c r="E1454" s="84">
        <f>IFERROR(__xludf.DUMMYFUNCTION("""COMPUTED_VALUE"""),42010.0)</f>
        <v>42010</v>
      </c>
      <c r="F1454" s="85">
        <f>IFERROR(__xludf.DUMMYFUNCTION("""COMPUTED_VALUE"""),42037.0)</f>
        <v>42037</v>
      </c>
      <c r="G1454" s="86">
        <f>IFERROR(__xludf.DUMMYFUNCTION("""COMPUTED_VALUE"""),0.8666666666666666)</f>
        <v>0.8666666667</v>
      </c>
      <c r="H1454" s="84">
        <f>IFERROR(__xludf.DUMMYFUNCTION("""COMPUTED_VALUE"""),41023.0)</f>
        <v>41023</v>
      </c>
      <c r="I1454" s="86">
        <f>IFERROR(__xludf.DUMMYFUNCTION("""COMPUTED_VALUE"""),2.7)</f>
        <v>2.7</v>
      </c>
      <c r="J1454" s="87">
        <f>IFERROR(__xludf.DUMMYFUNCTION("""COMPUTED_VALUE"""),79.0)</f>
        <v>79</v>
      </c>
      <c r="K1454" s="88">
        <f>IFERROR(__xludf.DUMMYFUNCTION("""COMPUTED_VALUE"""),7.8)</f>
        <v>7.8</v>
      </c>
      <c r="L1454" s="89">
        <f>IFERROR(__xludf.DUMMYFUNCTION("""COMPUTED_VALUE"""),13.0)</f>
        <v>13</v>
      </c>
      <c r="M1454" s="26" t="str">
        <f>IFERROR(__xludf.DUMMYFUNCTION("""COMPUTED_VALUE"""),"Action-Adventure")</f>
        <v>Action-Adventure</v>
      </c>
      <c r="N1454" s="26"/>
      <c r="O1454" s="26" t="str">
        <f>IFERROR(__xludf.DUMMYFUNCTION("""COMPUTED_VALUE"""),"No")</f>
        <v>No</v>
      </c>
      <c r="P1454" s="26"/>
    </row>
    <row r="1455">
      <c r="A1455" s="81" t="str">
        <f>IFERROR(__xludf.DUMMYFUNCTION("""COMPUTED_VALUE"""),"DuckTales Remastered")</f>
        <v>DuckTales Remastered</v>
      </c>
      <c r="B1455" s="82" t="str">
        <f>IFERROR(__xludf.DUMMYFUNCTION("""COMPUTED_VALUE"""),"PS3")</f>
        <v>PS3</v>
      </c>
      <c r="C1455" s="83" t="str">
        <f>IFERROR(__xludf.DUMMYFUNCTION("""COMPUTED_VALUE"""),"Playstation Plus (Discontinued)")</f>
        <v>Playstation Plus (Discontinued)</v>
      </c>
      <c r="D1455" s="82" t="str">
        <f>IFERROR(__xludf.DUMMYFUNCTION("""COMPUTED_VALUE"""),"Removed")</f>
        <v>Removed</v>
      </c>
      <c r="E1455" s="84">
        <f>IFERROR(__xludf.DUMMYFUNCTION("""COMPUTED_VALUE"""),42010.0)</f>
        <v>42010</v>
      </c>
      <c r="F1455" s="85">
        <f>IFERROR(__xludf.DUMMYFUNCTION("""COMPUTED_VALUE"""),42037.0)</f>
        <v>42037</v>
      </c>
      <c r="G1455" s="86">
        <f>IFERROR(__xludf.DUMMYFUNCTION("""COMPUTED_VALUE"""),0.8666666666666666)</f>
        <v>0.8666666667</v>
      </c>
      <c r="H1455" s="84">
        <f>IFERROR(__xludf.DUMMYFUNCTION("""COMPUTED_VALUE"""),41499.0)</f>
        <v>41499</v>
      </c>
      <c r="I1455" s="86">
        <f>IFERROR(__xludf.DUMMYFUNCTION("""COMPUTED_VALUE"""),1.3972222222222221)</f>
        <v>1.397222222</v>
      </c>
      <c r="J1455" s="87">
        <f>IFERROR(__xludf.DUMMYFUNCTION("""COMPUTED_VALUE"""),74.0)</f>
        <v>74</v>
      </c>
      <c r="K1455" s="88">
        <f>IFERROR(__xludf.DUMMYFUNCTION("""COMPUTED_VALUE"""),7.8)</f>
        <v>7.8</v>
      </c>
      <c r="L1455" s="89">
        <f>IFERROR(__xludf.DUMMYFUNCTION("""COMPUTED_VALUE"""),5.0)</f>
        <v>5</v>
      </c>
      <c r="M1455" s="26" t="str">
        <f>IFERROR(__xludf.DUMMYFUNCTION("""COMPUTED_VALUE"""),"Platformer")</f>
        <v>Platformer</v>
      </c>
      <c r="N1455" s="26"/>
      <c r="O1455" s="26" t="str">
        <f>IFERROR(__xludf.DUMMYFUNCTION("""COMPUTED_VALUE"""),"No")</f>
        <v>No</v>
      </c>
      <c r="P1455" s="26"/>
    </row>
    <row r="1456">
      <c r="A1456" s="81" t="str">
        <f>IFERROR(__xludf.DUMMYFUNCTION("""COMPUTED_VALUE"""),"Duke Nukem 3D: Megaton Edition")</f>
        <v>Duke Nukem 3D: Megaton Edition</v>
      </c>
      <c r="B1456" s="82" t="str">
        <f>IFERROR(__xludf.DUMMYFUNCTION("""COMPUTED_VALUE"""),"PS3/Vita")</f>
        <v>PS3/Vita</v>
      </c>
      <c r="C1456" s="83" t="str">
        <f>IFERROR(__xludf.DUMMYFUNCTION("""COMPUTED_VALUE"""),"Playstation Plus (Discontinued)")</f>
        <v>Playstation Plus (Discontinued)</v>
      </c>
      <c r="D1456" s="82" t="str">
        <f>IFERROR(__xludf.DUMMYFUNCTION("""COMPUTED_VALUE"""),"Removed")</f>
        <v>Removed</v>
      </c>
      <c r="E1456" s="84">
        <f>IFERROR(__xludf.DUMMYFUNCTION("""COMPUTED_VALUE"""),42010.0)</f>
        <v>42010</v>
      </c>
      <c r="F1456" s="85">
        <f>IFERROR(__xludf.DUMMYFUNCTION("""COMPUTED_VALUE"""),42037.0)</f>
        <v>42037</v>
      </c>
      <c r="G1456" s="86">
        <f>IFERROR(__xludf.DUMMYFUNCTION("""COMPUTED_VALUE"""),0.8666666666666666)</f>
        <v>0.8666666667</v>
      </c>
      <c r="H1456" s="84">
        <f>IFERROR(__xludf.DUMMYFUNCTION("""COMPUTED_VALUE"""),41294.0)</f>
        <v>41294</v>
      </c>
      <c r="I1456" s="86">
        <f>IFERROR(__xludf.DUMMYFUNCTION("""COMPUTED_VALUE"""),1.961111111111111)</f>
        <v>1.961111111</v>
      </c>
      <c r="J1456" s="87">
        <f>IFERROR(__xludf.DUMMYFUNCTION("""COMPUTED_VALUE"""),79.0)</f>
        <v>79</v>
      </c>
      <c r="K1456" s="88">
        <f>IFERROR(__xludf.DUMMYFUNCTION("""COMPUTED_VALUE"""),8.3)</f>
        <v>8.3</v>
      </c>
      <c r="L1456" s="89">
        <f>IFERROR(__xludf.DUMMYFUNCTION("""COMPUTED_VALUE"""),4.0)</f>
        <v>4</v>
      </c>
      <c r="M1456" s="26" t="str">
        <f>IFERROR(__xludf.DUMMYFUNCTION("""COMPUTED_VALUE"""),"Shooter")</f>
        <v>Shooter</v>
      </c>
      <c r="N1456" s="26"/>
      <c r="O1456" s="26" t="str">
        <f>IFERROR(__xludf.DUMMYFUNCTION("""COMPUTED_VALUE"""),"No")</f>
        <v>No</v>
      </c>
      <c r="P1456" s="26"/>
    </row>
    <row r="1457">
      <c r="A1457" s="81" t="str">
        <f>IFERROR(__xludf.DUMMYFUNCTION("""COMPUTED_VALUE"""),"Final Horizon")</f>
        <v>Final Horizon</v>
      </c>
      <c r="B1457" s="82" t="str">
        <f>IFERROR(__xludf.DUMMYFUNCTION("""COMPUTED_VALUE"""),"Vita")</f>
        <v>Vita</v>
      </c>
      <c r="C1457" s="83" t="str">
        <f>IFERROR(__xludf.DUMMYFUNCTION("""COMPUTED_VALUE"""),"Playstation Plus (Discontinued)")</f>
        <v>Playstation Plus (Discontinued)</v>
      </c>
      <c r="D1457" s="82" t="str">
        <f>IFERROR(__xludf.DUMMYFUNCTION("""COMPUTED_VALUE"""),"Removed")</f>
        <v>Removed</v>
      </c>
      <c r="E1457" s="84">
        <f>IFERROR(__xludf.DUMMYFUNCTION("""COMPUTED_VALUE"""),41975.0)</f>
        <v>41975</v>
      </c>
      <c r="F1457" s="85">
        <f>IFERROR(__xludf.DUMMYFUNCTION("""COMPUTED_VALUE"""),42009.0)</f>
        <v>42009</v>
      </c>
      <c r="G1457" s="86">
        <f>IFERROR(__xludf.DUMMYFUNCTION("""COMPUTED_VALUE"""),1.0999999999999999)</f>
        <v>1.1</v>
      </c>
      <c r="H1457" s="84">
        <f>IFERROR(__xludf.DUMMYFUNCTION("""COMPUTED_VALUE"""),41947.0)</f>
        <v>41947</v>
      </c>
      <c r="I1457" s="86">
        <f>IFERROR(__xludf.DUMMYFUNCTION("""COMPUTED_VALUE"""),0.07777777777777778)</f>
        <v>0.07777777778</v>
      </c>
      <c r="J1457" s="87">
        <f>IFERROR(__xludf.DUMMYFUNCTION("""COMPUTED_VALUE"""),68.0)</f>
        <v>68</v>
      </c>
      <c r="K1457" s="88">
        <f>IFERROR(__xludf.DUMMYFUNCTION("""COMPUTED_VALUE"""),6.9)</f>
        <v>6.9</v>
      </c>
      <c r="L1457" s="89">
        <f>IFERROR(__xludf.DUMMYFUNCTION("""COMPUTED_VALUE"""),6.0)</f>
        <v>6</v>
      </c>
      <c r="M1457" s="26" t="str">
        <f>IFERROR(__xludf.DUMMYFUNCTION("""COMPUTED_VALUE"""),"Strategy")</f>
        <v>Strategy</v>
      </c>
      <c r="N1457" s="26"/>
      <c r="O1457" s="26" t="str">
        <f>IFERROR(__xludf.DUMMYFUNCTION("""COMPUTED_VALUE"""),"No")</f>
        <v>No</v>
      </c>
      <c r="P1457" s="26"/>
    </row>
    <row r="1458">
      <c r="A1458" s="81" t="str">
        <f>IFERROR(__xludf.DUMMYFUNCTION("""COMPUTED_VALUE"""),"Titan Attacks!")</f>
        <v>Titan Attacks!</v>
      </c>
      <c r="B1458" s="82" t="str">
        <f>IFERROR(__xludf.DUMMYFUNCTION("""COMPUTED_VALUE"""),"PS4/PS3/Vita")</f>
        <v>PS4/PS3/Vita</v>
      </c>
      <c r="C1458" s="83" t="str">
        <f>IFERROR(__xludf.DUMMYFUNCTION("""COMPUTED_VALUE"""),"Playstation Plus (Discontinued)")</f>
        <v>Playstation Plus (Discontinued)</v>
      </c>
      <c r="D1458" s="82" t="str">
        <f>IFERROR(__xludf.DUMMYFUNCTION("""COMPUTED_VALUE"""),"Removed")</f>
        <v>Removed</v>
      </c>
      <c r="E1458" s="84">
        <f>IFERROR(__xludf.DUMMYFUNCTION("""COMPUTED_VALUE"""),41975.0)</f>
        <v>41975</v>
      </c>
      <c r="F1458" s="85">
        <f>IFERROR(__xludf.DUMMYFUNCTION("""COMPUTED_VALUE"""),42009.0)</f>
        <v>42009</v>
      </c>
      <c r="G1458" s="86">
        <f>IFERROR(__xludf.DUMMYFUNCTION("""COMPUTED_VALUE"""),1.0999999999999999)</f>
        <v>1.1</v>
      </c>
      <c r="H1458" s="84">
        <f>IFERROR(__xludf.DUMMYFUNCTION("""COMPUTED_VALUE"""),38789.0)</f>
        <v>38789</v>
      </c>
      <c r="I1458" s="86">
        <f>IFERROR(__xludf.DUMMYFUNCTION("""COMPUTED_VALUE"""),8.719444444444445)</f>
        <v>8.719444444</v>
      </c>
      <c r="J1458" s="87">
        <f>IFERROR(__xludf.DUMMYFUNCTION("""COMPUTED_VALUE"""),77.0)</f>
        <v>77</v>
      </c>
      <c r="K1458" s="88">
        <f>IFERROR(__xludf.DUMMYFUNCTION("""COMPUTED_VALUE"""),7.0)</f>
        <v>7</v>
      </c>
      <c r="L1458" s="89">
        <f>IFERROR(__xludf.DUMMYFUNCTION("""COMPUTED_VALUE"""),5.0)</f>
        <v>5</v>
      </c>
      <c r="M1458" s="26" t="str">
        <f>IFERROR(__xludf.DUMMYFUNCTION("""COMPUTED_VALUE"""),"Shooter")</f>
        <v>Shooter</v>
      </c>
      <c r="N1458" s="26"/>
      <c r="O1458" s="26" t="str">
        <f>IFERROR(__xludf.DUMMYFUNCTION("""COMPUTED_VALUE"""),"No")</f>
        <v>No</v>
      </c>
      <c r="P1458" s="26"/>
    </row>
    <row r="1459">
      <c r="A1459" s="81" t="str">
        <f>IFERROR(__xludf.DUMMYFUNCTION("""COMPUTED_VALUE"""),"Secret Ponchos")</f>
        <v>Secret Ponchos</v>
      </c>
      <c r="B1459" s="82" t="str">
        <f>IFERROR(__xludf.DUMMYFUNCTION("""COMPUTED_VALUE"""),"PS4")</f>
        <v>PS4</v>
      </c>
      <c r="C1459" s="83" t="str">
        <f>IFERROR(__xludf.DUMMYFUNCTION("""COMPUTED_VALUE"""),"Playstation Plus (Discontinued)")</f>
        <v>Playstation Plus (Discontinued)</v>
      </c>
      <c r="D1459" s="82" t="str">
        <f>IFERROR(__xludf.DUMMYFUNCTION("""COMPUTED_VALUE"""),"Removed")</f>
        <v>Removed</v>
      </c>
      <c r="E1459" s="84">
        <f>IFERROR(__xludf.DUMMYFUNCTION("""COMPUTED_VALUE"""),41975.0)</f>
        <v>41975</v>
      </c>
      <c r="F1459" s="85">
        <f>IFERROR(__xludf.DUMMYFUNCTION("""COMPUTED_VALUE"""),42009.0)</f>
        <v>42009</v>
      </c>
      <c r="G1459" s="86">
        <f>IFERROR(__xludf.DUMMYFUNCTION("""COMPUTED_VALUE"""),1.0999999999999999)</f>
        <v>1.1</v>
      </c>
      <c r="H1459" s="84">
        <f>IFERROR(__xludf.DUMMYFUNCTION("""COMPUTED_VALUE"""),41975.0)</f>
        <v>41975</v>
      </c>
      <c r="I1459" s="86">
        <f>IFERROR(__xludf.DUMMYFUNCTION("""COMPUTED_VALUE"""),0.0)</f>
        <v>0</v>
      </c>
      <c r="J1459" s="87">
        <f>IFERROR(__xludf.DUMMYFUNCTION("""COMPUTED_VALUE"""),71.0)</f>
        <v>71</v>
      </c>
      <c r="K1459" s="88">
        <f>IFERROR(__xludf.DUMMYFUNCTION("""COMPUTED_VALUE"""),7.0)</f>
        <v>7</v>
      </c>
      <c r="L1459" s="89"/>
      <c r="M1459" s="26" t="str">
        <f>IFERROR(__xludf.DUMMYFUNCTION("""COMPUTED_VALUE"""),"Shooter")</f>
        <v>Shooter</v>
      </c>
      <c r="N1459" s="26"/>
      <c r="O1459" s="26" t="str">
        <f>IFERROR(__xludf.DUMMYFUNCTION("""COMPUTED_VALUE"""),"No")</f>
        <v>No</v>
      </c>
      <c r="P1459" s="26"/>
    </row>
    <row r="1460">
      <c r="A1460" s="81" t="str">
        <f>IFERROR(__xludf.DUMMYFUNCTION("""COMPUTED_VALUE"""),"Deadly Premonition: The Director’s Cut")</f>
        <v>Deadly Premonition: The Director’s Cut</v>
      </c>
      <c r="B1460" s="82" t="str">
        <f>IFERROR(__xludf.DUMMYFUNCTION("""COMPUTED_VALUE"""),"PS3")</f>
        <v>PS3</v>
      </c>
      <c r="C1460" s="83" t="str">
        <f>IFERROR(__xludf.DUMMYFUNCTION("""COMPUTED_VALUE"""),"Playstation Plus (Discontinued)")</f>
        <v>Playstation Plus (Discontinued)</v>
      </c>
      <c r="D1460" s="82" t="str">
        <f>IFERROR(__xludf.DUMMYFUNCTION("""COMPUTED_VALUE"""),"Removed")</f>
        <v>Removed</v>
      </c>
      <c r="E1460" s="84">
        <f>IFERROR(__xludf.DUMMYFUNCTION("""COMPUTED_VALUE"""),41975.0)</f>
        <v>41975</v>
      </c>
      <c r="F1460" s="85">
        <f>IFERROR(__xludf.DUMMYFUNCTION("""COMPUTED_VALUE"""),42009.0)</f>
        <v>42009</v>
      </c>
      <c r="G1460" s="86">
        <f>IFERROR(__xludf.DUMMYFUNCTION("""COMPUTED_VALUE"""),1.0999999999999999)</f>
        <v>1.1</v>
      </c>
      <c r="H1460" s="84">
        <f>IFERROR(__xludf.DUMMYFUNCTION("""COMPUTED_VALUE"""),41394.0)</f>
        <v>41394</v>
      </c>
      <c r="I1460" s="86">
        <f>IFERROR(__xludf.DUMMYFUNCTION("""COMPUTED_VALUE"""),1.5888888888888888)</f>
        <v>1.588888889</v>
      </c>
      <c r="J1460" s="87">
        <f>IFERROR(__xludf.DUMMYFUNCTION("""COMPUTED_VALUE"""),70.0)</f>
        <v>70</v>
      </c>
      <c r="K1460" s="88">
        <f>IFERROR(__xludf.DUMMYFUNCTION("""COMPUTED_VALUE"""),8.1)</f>
        <v>8.1</v>
      </c>
      <c r="L1460" s="89">
        <f>IFERROR(__xludf.DUMMYFUNCTION("""COMPUTED_VALUE"""),19.0)</f>
        <v>19</v>
      </c>
      <c r="M1460" s="26" t="str">
        <f>IFERROR(__xludf.DUMMYFUNCTION("""COMPUTED_VALUE"""),"Horror")</f>
        <v>Horror</v>
      </c>
      <c r="N1460" s="26"/>
      <c r="O1460" s="26" t="str">
        <f>IFERROR(__xludf.DUMMYFUNCTION("""COMPUTED_VALUE"""),"No")</f>
        <v>No</v>
      </c>
      <c r="P1460" s="26"/>
    </row>
    <row r="1461">
      <c r="A1461" s="81" t="str">
        <f>IFERROR(__xludf.DUMMYFUNCTION("""COMPUTED_VALUE"""),"Hitman HD Trilogy")</f>
        <v>Hitman HD Trilogy</v>
      </c>
      <c r="B1461" s="82" t="str">
        <f>IFERROR(__xludf.DUMMYFUNCTION("""COMPUTED_VALUE"""),"PS3")</f>
        <v>PS3</v>
      </c>
      <c r="C1461" s="83" t="str">
        <f>IFERROR(__xludf.DUMMYFUNCTION("""COMPUTED_VALUE"""),"Playstation Plus (Discontinued)")</f>
        <v>Playstation Plus (Discontinued)</v>
      </c>
      <c r="D1461" s="82" t="str">
        <f>IFERROR(__xludf.DUMMYFUNCTION("""COMPUTED_VALUE"""),"Removed")</f>
        <v>Removed</v>
      </c>
      <c r="E1461" s="84">
        <f>IFERROR(__xludf.DUMMYFUNCTION("""COMPUTED_VALUE"""),41975.0)</f>
        <v>41975</v>
      </c>
      <c r="F1461" s="85">
        <f>IFERROR(__xludf.DUMMYFUNCTION("""COMPUTED_VALUE"""),42009.0)</f>
        <v>42009</v>
      </c>
      <c r="G1461" s="86">
        <f>IFERROR(__xludf.DUMMYFUNCTION("""COMPUTED_VALUE"""),1.0999999999999999)</f>
        <v>1.1</v>
      </c>
      <c r="H1461" s="84">
        <f>IFERROR(__xludf.DUMMYFUNCTION("""COMPUTED_VALUE"""),41303.0)</f>
        <v>41303</v>
      </c>
      <c r="I1461" s="86">
        <f>IFERROR(__xludf.DUMMYFUNCTION("""COMPUTED_VALUE"""),1.8416666666666666)</f>
        <v>1.841666667</v>
      </c>
      <c r="J1461" s="87">
        <f>IFERROR(__xludf.DUMMYFUNCTION("""COMPUTED_VALUE"""),67.0)</f>
        <v>67</v>
      </c>
      <c r="K1461" s="88">
        <f>IFERROR(__xludf.DUMMYFUNCTION("""COMPUTED_VALUE"""),7.9)</f>
        <v>7.9</v>
      </c>
      <c r="L1461" s="89">
        <f>IFERROR(__xludf.DUMMYFUNCTION("""COMPUTED_VALUE"""),30.0)</f>
        <v>30</v>
      </c>
      <c r="M1461" s="26" t="str">
        <f>IFERROR(__xludf.DUMMYFUNCTION("""COMPUTED_VALUE"""),"Action-Adventure")</f>
        <v>Action-Adventure</v>
      </c>
      <c r="N1461" s="26"/>
      <c r="O1461" s="26" t="str">
        <f>IFERROR(__xludf.DUMMYFUNCTION("""COMPUTED_VALUE"""),"No")</f>
        <v>No</v>
      </c>
      <c r="P1461" s="26"/>
    </row>
    <row r="1462">
      <c r="A1462" s="81" t="str">
        <f>IFERROR(__xludf.DUMMYFUNCTION("""COMPUTED_VALUE"""),"Injustice: Gods Among Us")</f>
        <v>Injustice: Gods Among Us</v>
      </c>
      <c r="B1462" s="82" t="str">
        <f>IFERROR(__xludf.DUMMYFUNCTION("""COMPUTED_VALUE"""),"PS4")</f>
        <v>PS4</v>
      </c>
      <c r="C1462" s="83" t="str">
        <f>IFERROR(__xludf.DUMMYFUNCTION("""COMPUTED_VALUE"""),"Playstation Plus (Discontinued)")</f>
        <v>Playstation Plus (Discontinued)</v>
      </c>
      <c r="D1462" s="82" t="str">
        <f>IFERROR(__xludf.DUMMYFUNCTION("""COMPUTED_VALUE"""),"Removed")</f>
        <v>Removed</v>
      </c>
      <c r="E1462" s="84">
        <f>IFERROR(__xludf.DUMMYFUNCTION("""COMPUTED_VALUE"""),41975.0)</f>
        <v>41975</v>
      </c>
      <c r="F1462" s="85">
        <f>IFERROR(__xludf.DUMMYFUNCTION("""COMPUTED_VALUE"""),42009.0)</f>
        <v>42009</v>
      </c>
      <c r="G1462" s="86">
        <f>IFERROR(__xludf.DUMMYFUNCTION("""COMPUTED_VALUE"""),1.0999999999999999)</f>
        <v>1.1</v>
      </c>
      <c r="H1462" s="84">
        <f>IFERROR(__xludf.DUMMYFUNCTION("""COMPUTED_VALUE"""),41380.0)</f>
        <v>41380</v>
      </c>
      <c r="I1462" s="86">
        <f>IFERROR(__xludf.DUMMYFUNCTION("""COMPUTED_VALUE"""),1.6277777777777778)</f>
        <v>1.627777778</v>
      </c>
      <c r="J1462" s="87">
        <f>IFERROR(__xludf.DUMMYFUNCTION("""COMPUTED_VALUE"""),81.0)</f>
        <v>81</v>
      </c>
      <c r="K1462" s="88">
        <f>IFERROR(__xludf.DUMMYFUNCTION("""COMPUTED_VALUE"""),7.9)</f>
        <v>7.9</v>
      </c>
      <c r="L1462" s="89">
        <f>IFERROR(__xludf.DUMMYFUNCTION("""COMPUTED_VALUE"""),8.0)</f>
        <v>8</v>
      </c>
      <c r="M1462" s="26" t="str">
        <f>IFERROR(__xludf.DUMMYFUNCTION("""COMPUTED_VALUE"""),"Fighting")</f>
        <v>Fighting</v>
      </c>
      <c r="N1462" s="26"/>
      <c r="O1462" s="26" t="str">
        <f>IFERROR(__xludf.DUMMYFUNCTION("""COMPUTED_VALUE"""),"No")</f>
        <v>No</v>
      </c>
      <c r="P1462" s="26"/>
    </row>
    <row r="1463">
      <c r="A1463" s="81" t="str">
        <f>IFERROR(__xludf.DUMMYFUNCTION("""COMPUTED_VALUE"""),"The Binding of Isaac Rebirth")</f>
        <v>The Binding of Isaac Rebirth</v>
      </c>
      <c r="B1463" s="82" t="str">
        <f>IFERROR(__xludf.DUMMYFUNCTION("""COMPUTED_VALUE"""),"PS4/Vita")</f>
        <v>PS4/Vita</v>
      </c>
      <c r="C1463" s="83" t="str">
        <f>IFERROR(__xludf.DUMMYFUNCTION("""COMPUTED_VALUE"""),"Playstation Plus (Discontinued)")</f>
        <v>Playstation Plus (Discontinued)</v>
      </c>
      <c r="D1463" s="82" t="str">
        <f>IFERROR(__xludf.DUMMYFUNCTION("""COMPUTED_VALUE"""),"Removed")</f>
        <v>Removed</v>
      </c>
      <c r="E1463" s="84">
        <f>IFERROR(__xludf.DUMMYFUNCTION("""COMPUTED_VALUE"""),41947.0)</f>
        <v>41947</v>
      </c>
      <c r="F1463" s="85">
        <f>IFERROR(__xludf.DUMMYFUNCTION("""COMPUTED_VALUE"""),41974.0)</f>
        <v>41974</v>
      </c>
      <c r="G1463" s="86">
        <f>IFERROR(__xludf.DUMMYFUNCTION("""COMPUTED_VALUE"""),0.8999999999999999)</f>
        <v>0.9</v>
      </c>
      <c r="H1463" s="84">
        <f>IFERROR(__xludf.DUMMYFUNCTION("""COMPUTED_VALUE"""),41947.0)</f>
        <v>41947</v>
      </c>
      <c r="I1463" s="86">
        <f>IFERROR(__xludf.DUMMYFUNCTION("""COMPUTED_VALUE"""),0.0)</f>
        <v>0</v>
      </c>
      <c r="J1463" s="87">
        <f>IFERROR(__xludf.DUMMYFUNCTION("""COMPUTED_VALUE"""),86.0)</f>
        <v>86</v>
      </c>
      <c r="K1463" s="88">
        <f>IFERROR(__xludf.DUMMYFUNCTION("""COMPUTED_VALUE"""),8.5)</f>
        <v>8.5</v>
      </c>
      <c r="L1463" s="89">
        <f>IFERROR(__xludf.DUMMYFUNCTION("""COMPUTED_VALUE"""),7.0)</f>
        <v>7</v>
      </c>
      <c r="M1463" s="26" t="str">
        <f>IFERROR(__xludf.DUMMYFUNCTION("""COMPUTED_VALUE"""),"Action-Adventure")</f>
        <v>Action-Adventure</v>
      </c>
      <c r="N1463" s="26"/>
      <c r="O1463" s="26" t="str">
        <f>IFERROR(__xludf.DUMMYFUNCTION("""COMPUTED_VALUE"""),"No")</f>
        <v>No</v>
      </c>
      <c r="P1463" s="26"/>
    </row>
    <row r="1464">
      <c r="A1464" s="81" t="str">
        <f>IFERROR(__xludf.DUMMYFUNCTION("""COMPUTED_VALUE"""),"SteamWorld Dig: A Fistful of Dirt")</f>
        <v>SteamWorld Dig: A Fistful of Dirt</v>
      </c>
      <c r="B1464" s="82" t="str">
        <f>IFERROR(__xludf.DUMMYFUNCTION("""COMPUTED_VALUE"""),"PS4/Vita")</f>
        <v>PS4/Vita</v>
      </c>
      <c r="C1464" s="83" t="str">
        <f>IFERROR(__xludf.DUMMYFUNCTION("""COMPUTED_VALUE"""),"Playstation Plus (Discontinued)")</f>
        <v>Playstation Plus (Discontinued)</v>
      </c>
      <c r="D1464" s="82" t="str">
        <f>IFERROR(__xludf.DUMMYFUNCTION("""COMPUTED_VALUE"""),"Removed")</f>
        <v>Removed</v>
      </c>
      <c r="E1464" s="84">
        <f>IFERROR(__xludf.DUMMYFUNCTION("""COMPUTED_VALUE"""),41947.0)</f>
        <v>41947</v>
      </c>
      <c r="F1464" s="85">
        <f>IFERROR(__xludf.DUMMYFUNCTION("""COMPUTED_VALUE"""),41974.0)</f>
        <v>41974</v>
      </c>
      <c r="G1464" s="86">
        <f>IFERROR(__xludf.DUMMYFUNCTION("""COMPUTED_VALUE"""),0.8999999999999999)</f>
        <v>0.9</v>
      </c>
      <c r="H1464" s="84">
        <f>IFERROR(__xludf.DUMMYFUNCTION("""COMPUTED_VALUE"""),41869.0)</f>
        <v>41869</v>
      </c>
      <c r="I1464" s="86">
        <f>IFERROR(__xludf.DUMMYFUNCTION("""COMPUTED_VALUE"""),0.2111111111111111)</f>
        <v>0.2111111111</v>
      </c>
      <c r="J1464" s="87">
        <f>IFERROR(__xludf.DUMMYFUNCTION("""COMPUTED_VALUE"""),76.0)</f>
        <v>76</v>
      </c>
      <c r="K1464" s="88">
        <f>IFERROR(__xludf.DUMMYFUNCTION("""COMPUTED_VALUE"""),7.9)</f>
        <v>7.9</v>
      </c>
      <c r="L1464" s="89">
        <f>IFERROR(__xludf.DUMMYFUNCTION("""COMPUTED_VALUE"""),5.0)</f>
        <v>5</v>
      </c>
      <c r="M1464" s="26" t="str">
        <f>IFERROR(__xludf.DUMMYFUNCTION("""COMPUTED_VALUE"""),"Platformer")</f>
        <v>Platformer</v>
      </c>
      <c r="N1464" s="26"/>
      <c r="O1464" s="26" t="str">
        <f>IFERROR(__xludf.DUMMYFUNCTION("""COMPUTED_VALUE"""),"No")</f>
        <v>No</v>
      </c>
      <c r="P1464" s="26"/>
    </row>
    <row r="1465">
      <c r="A1465" s="81" t="str">
        <f>IFERROR(__xludf.DUMMYFUNCTION("""COMPUTED_VALUE"""),"Escape Plan")</f>
        <v>Escape Plan</v>
      </c>
      <c r="B1465" s="82" t="str">
        <f>IFERROR(__xludf.DUMMYFUNCTION("""COMPUTED_VALUE"""),"PS4/Vita")</f>
        <v>PS4/Vita</v>
      </c>
      <c r="C1465" s="83" t="str">
        <f>IFERROR(__xludf.DUMMYFUNCTION("""COMPUTED_VALUE"""),"Playstation Plus (Discontinued)")</f>
        <v>Playstation Plus (Discontinued)</v>
      </c>
      <c r="D1465" s="82" t="str">
        <f>IFERROR(__xludf.DUMMYFUNCTION("""COMPUTED_VALUE"""),"Removed")</f>
        <v>Removed</v>
      </c>
      <c r="E1465" s="84">
        <f>IFERROR(__xludf.DUMMYFUNCTION("""COMPUTED_VALUE"""),41947.0)</f>
        <v>41947</v>
      </c>
      <c r="F1465" s="85">
        <f>IFERROR(__xludf.DUMMYFUNCTION("""COMPUTED_VALUE"""),41974.0)</f>
        <v>41974</v>
      </c>
      <c r="G1465" s="86">
        <f>IFERROR(__xludf.DUMMYFUNCTION("""COMPUTED_VALUE"""),0.8999999999999999)</f>
        <v>0.9</v>
      </c>
      <c r="H1465" s="84">
        <f>IFERROR(__xludf.DUMMYFUNCTION("""COMPUTED_VALUE"""),40961.0)</f>
        <v>40961</v>
      </c>
      <c r="I1465" s="86">
        <f>IFERROR(__xludf.DUMMYFUNCTION("""COMPUTED_VALUE"""),2.7)</f>
        <v>2.7</v>
      </c>
      <c r="J1465" s="87">
        <f>IFERROR(__xludf.DUMMYFUNCTION("""COMPUTED_VALUE"""),62.0)</f>
        <v>62</v>
      </c>
      <c r="K1465" s="88">
        <f>IFERROR(__xludf.DUMMYFUNCTION("""COMPUTED_VALUE"""),6.7)</f>
        <v>6.7</v>
      </c>
      <c r="L1465" s="89">
        <f>IFERROR(__xludf.DUMMYFUNCTION("""COMPUTED_VALUE"""),3.0)</f>
        <v>3</v>
      </c>
      <c r="M1465" s="26" t="str">
        <f>IFERROR(__xludf.DUMMYFUNCTION("""COMPUTED_VALUE"""),"Puzzle")</f>
        <v>Puzzle</v>
      </c>
      <c r="N1465" s="26"/>
      <c r="O1465" s="26" t="str">
        <f>IFERROR(__xludf.DUMMYFUNCTION("""COMPUTED_VALUE"""),"No")</f>
        <v>No</v>
      </c>
      <c r="P1465" s="26"/>
    </row>
    <row r="1466">
      <c r="A1466" s="81" t="str">
        <f>IFERROR(__xludf.DUMMYFUNCTION("""COMPUTED_VALUE"""),"Luftrausers")</f>
        <v>Luftrausers</v>
      </c>
      <c r="B1466" s="82" t="str">
        <f>IFERROR(__xludf.DUMMYFUNCTION("""COMPUTED_VALUE"""),"PS3/Vita")</f>
        <v>PS3/Vita</v>
      </c>
      <c r="C1466" s="83" t="str">
        <f>IFERROR(__xludf.DUMMYFUNCTION("""COMPUTED_VALUE"""),"Playstation Plus (Discontinued)")</f>
        <v>Playstation Plus (Discontinued)</v>
      </c>
      <c r="D1466" s="82" t="str">
        <f>IFERROR(__xludf.DUMMYFUNCTION("""COMPUTED_VALUE"""),"Removed")</f>
        <v>Removed</v>
      </c>
      <c r="E1466" s="84">
        <f>IFERROR(__xludf.DUMMYFUNCTION("""COMPUTED_VALUE"""),41947.0)</f>
        <v>41947</v>
      </c>
      <c r="F1466" s="85">
        <f>IFERROR(__xludf.DUMMYFUNCTION("""COMPUTED_VALUE"""),41974.0)</f>
        <v>41974</v>
      </c>
      <c r="G1466" s="86">
        <f>IFERROR(__xludf.DUMMYFUNCTION("""COMPUTED_VALUE"""),0.8999999999999999)</f>
        <v>0.9</v>
      </c>
      <c r="H1466" s="84">
        <f>IFERROR(__xludf.DUMMYFUNCTION("""COMPUTED_VALUE"""),41716.0)</f>
        <v>41716</v>
      </c>
      <c r="I1466" s="86">
        <f>IFERROR(__xludf.DUMMYFUNCTION("""COMPUTED_VALUE"""),0.6277777777777778)</f>
        <v>0.6277777778</v>
      </c>
      <c r="J1466" s="87">
        <f>IFERROR(__xludf.DUMMYFUNCTION("""COMPUTED_VALUE"""),80.0)</f>
        <v>80</v>
      </c>
      <c r="K1466" s="88">
        <f>IFERROR(__xludf.DUMMYFUNCTION("""COMPUTED_VALUE"""),7.7)</f>
        <v>7.7</v>
      </c>
      <c r="L1466" s="89">
        <f>IFERROR(__xludf.DUMMYFUNCTION("""COMPUTED_VALUE"""),3.0)</f>
        <v>3</v>
      </c>
      <c r="M1466" s="26" t="str">
        <f>IFERROR(__xludf.DUMMYFUNCTION("""COMPUTED_VALUE"""),"Shooter")</f>
        <v>Shooter</v>
      </c>
      <c r="N1466" s="26"/>
      <c r="O1466" s="26" t="str">
        <f>IFERROR(__xludf.DUMMYFUNCTION("""COMPUTED_VALUE"""),"No")</f>
        <v>No</v>
      </c>
      <c r="P1466" s="26"/>
    </row>
    <row r="1467">
      <c r="A1467" s="81" t="str">
        <f>IFERROR(__xludf.DUMMYFUNCTION("""COMPUTED_VALUE"""),"Frozen Synapse Prime")</f>
        <v>Frozen Synapse Prime</v>
      </c>
      <c r="B1467" s="82" t="str">
        <f>IFERROR(__xludf.DUMMYFUNCTION("""COMPUTED_VALUE"""),"PS3")</f>
        <v>PS3</v>
      </c>
      <c r="C1467" s="83" t="str">
        <f>IFERROR(__xludf.DUMMYFUNCTION("""COMPUTED_VALUE"""),"Playstation Plus (Discontinued)")</f>
        <v>Playstation Plus (Discontinued)</v>
      </c>
      <c r="D1467" s="82" t="str">
        <f>IFERROR(__xludf.DUMMYFUNCTION("""COMPUTED_VALUE"""),"Removed")</f>
        <v>Removed</v>
      </c>
      <c r="E1467" s="84">
        <f>IFERROR(__xludf.DUMMYFUNCTION("""COMPUTED_VALUE"""),41947.0)</f>
        <v>41947</v>
      </c>
      <c r="F1467" s="85">
        <f>IFERROR(__xludf.DUMMYFUNCTION("""COMPUTED_VALUE"""),41974.0)</f>
        <v>41974</v>
      </c>
      <c r="G1467" s="86">
        <f>IFERROR(__xludf.DUMMYFUNCTION("""COMPUTED_VALUE"""),0.8999999999999999)</f>
        <v>0.9</v>
      </c>
      <c r="H1467" s="84">
        <f>IFERROR(__xludf.DUMMYFUNCTION("""COMPUTED_VALUE"""),41541.0)</f>
        <v>41541</v>
      </c>
      <c r="I1467" s="86">
        <f>IFERROR(__xludf.DUMMYFUNCTION("""COMPUTED_VALUE"""),1.1111111111111112)</f>
        <v>1.111111111</v>
      </c>
      <c r="J1467" s="87">
        <f>IFERROR(__xludf.DUMMYFUNCTION("""COMPUTED_VALUE"""),69.0)</f>
        <v>69</v>
      </c>
      <c r="K1467" s="88">
        <f>IFERROR(__xludf.DUMMYFUNCTION("""COMPUTED_VALUE"""),6.6)</f>
        <v>6.6</v>
      </c>
      <c r="L1467" s="89">
        <f>IFERROR(__xludf.DUMMYFUNCTION("""COMPUTED_VALUE"""),8.0)</f>
        <v>8</v>
      </c>
      <c r="M1467" s="26" t="str">
        <f>IFERROR(__xludf.DUMMYFUNCTION("""COMPUTED_VALUE"""),"Strategy")</f>
        <v>Strategy</v>
      </c>
      <c r="N1467" s="26"/>
      <c r="O1467" s="26" t="str">
        <f>IFERROR(__xludf.DUMMYFUNCTION("""COMPUTED_VALUE"""),"No")</f>
        <v>No</v>
      </c>
      <c r="P1467" s="26"/>
    </row>
    <row r="1468">
      <c r="A1468" s="81" t="str">
        <f>IFERROR(__xludf.DUMMYFUNCTION("""COMPUTED_VALUE"""),"The Hungry Horde")</f>
        <v>The Hungry Horde</v>
      </c>
      <c r="B1468" s="82" t="str">
        <f>IFERROR(__xludf.DUMMYFUNCTION("""COMPUTED_VALUE"""),"Vita")</f>
        <v>Vita</v>
      </c>
      <c r="C1468" s="83" t="str">
        <f>IFERROR(__xludf.DUMMYFUNCTION("""COMPUTED_VALUE"""),"Playstation Plus (Discontinued)")</f>
        <v>Playstation Plus (Discontinued)</v>
      </c>
      <c r="D1468" s="82" t="str">
        <f>IFERROR(__xludf.DUMMYFUNCTION("""COMPUTED_VALUE"""),"Removed")</f>
        <v>Removed</v>
      </c>
      <c r="E1468" s="84">
        <f>IFERROR(__xludf.DUMMYFUNCTION("""COMPUTED_VALUE"""),41947.0)</f>
        <v>41947</v>
      </c>
      <c r="F1468" s="85">
        <f>IFERROR(__xludf.DUMMYFUNCTION("""COMPUTED_VALUE"""),41974.0)</f>
        <v>41974</v>
      </c>
      <c r="G1468" s="86">
        <f>IFERROR(__xludf.DUMMYFUNCTION("""COMPUTED_VALUE"""),0.8999999999999999)</f>
        <v>0.9</v>
      </c>
      <c r="H1468" s="84">
        <f>IFERROR(__xludf.DUMMYFUNCTION("""COMPUTED_VALUE"""),41947.0)</f>
        <v>41947</v>
      </c>
      <c r="I1468" s="86">
        <f>IFERROR(__xludf.DUMMYFUNCTION("""COMPUTED_VALUE"""),0.0)</f>
        <v>0</v>
      </c>
      <c r="J1468" s="87">
        <f>IFERROR(__xludf.DUMMYFUNCTION("""COMPUTED_VALUE"""),68.0)</f>
        <v>68</v>
      </c>
      <c r="K1468" s="88">
        <f>IFERROR(__xludf.DUMMYFUNCTION("""COMPUTED_VALUE"""),6.6)</f>
        <v>6.6</v>
      </c>
      <c r="L1468" s="89">
        <f>IFERROR(__xludf.DUMMYFUNCTION("""COMPUTED_VALUE"""),3.0)</f>
        <v>3</v>
      </c>
      <c r="M1468" s="26" t="str">
        <f>IFERROR(__xludf.DUMMYFUNCTION("""COMPUTED_VALUE"""),"Strategy")</f>
        <v>Strategy</v>
      </c>
      <c r="N1468" s="26"/>
      <c r="O1468" s="26" t="str">
        <f>IFERROR(__xludf.DUMMYFUNCTION("""COMPUTED_VALUE"""),"No")</f>
        <v>No</v>
      </c>
      <c r="P1468" s="26"/>
    </row>
    <row r="1469">
      <c r="A1469" s="81" t="str">
        <f>IFERROR(__xludf.DUMMYFUNCTION("""COMPUTED_VALUE"""),"Spelunky")</f>
        <v>Spelunky</v>
      </c>
      <c r="B1469" s="82" t="str">
        <f>IFERROR(__xludf.DUMMYFUNCTION("""COMPUTED_VALUE"""),"PS4/PS3/Vita")</f>
        <v>PS4/PS3/Vita</v>
      </c>
      <c r="C1469" s="83" t="str">
        <f>IFERROR(__xludf.DUMMYFUNCTION("""COMPUTED_VALUE"""),"Playstation Plus (Discontinued)")</f>
        <v>Playstation Plus (Discontinued)</v>
      </c>
      <c r="D1469" s="82" t="str">
        <f>IFERROR(__xludf.DUMMYFUNCTION("""COMPUTED_VALUE"""),"Removed")</f>
        <v>Removed</v>
      </c>
      <c r="E1469" s="84">
        <f>IFERROR(__xludf.DUMMYFUNCTION("""COMPUTED_VALUE"""),41919.0)</f>
        <v>41919</v>
      </c>
      <c r="F1469" s="85">
        <f>IFERROR(__xludf.DUMMYFUNCTION("""COMPUTED_VALUE"""),41946.0)</f>
        <v>41946</v>
      </c>
      <c r="G1469" s="86">
        <f>IFERROR(__xludf.DUMMYFUNCTION("""COMPUTED_VALUE"""),0.8666666666666666)</f>
        <v>0.8666666667</v>
      </c>
      <c r="H1469" s="84">
        <f>IFERROR(__xludf.DUMMYFUNCTION("""COMPUTED_VALUE"""),41094.0)</f>
        <v>41094</v>
      </c>
      <c r="I1469" s="86">
        <f>IFERROR(__xludf.DUMMYFUNCTION("""COMPUTED_VALUE"""),2.2583333333333333)</f>
        <v>2.258333333</v>
      </c>
      <c r="J1469" s="87">
        <f>IFERROR(__xludf.DUMMYFUNCTION("""COMPUTED_VALUE"""),90.0)</f>
        <v>90</v>
      </c>
      <c r="K1469" s="88">
        <f>IFERROR(__xludf.DUMMYFUNCTION("""COMPUTED_VALUE"""),8.5)</f>
        <v>8.5</v>
      </c>
      <c r="L1469" s="89">
        <f>IFERROR(__xludf.DUMMYFUNCTION("""COMPUTED_VALUE"""),5.0)</f>
        <v>5</v>
      </c>
      <c r="M1469" s="26" t="str">
        <f>IFERROR(__xludf.DUMMYFUNCTION("""COMPUTED_VALUE"""),"Platformer")</f>
        <v>Platformer</v>
      </c>
      <c r="N1469" s="26"/>
      <c r="O1469" s="26" t="str">
        <f>IFERROR(__xludf.DUMMYFUNCTION("""COMPUTED_VALUE"""),"No")</f>
        <v>No</v>
      </c>
      <c r="P1469" s="26"/>
    </row>
    <row r="1470">
      <c r="A1470" s="81" t="str">
        <f>IFERROR(__xludf.DUMMYFUNCTION("""COMPUTED_VALUE"""),"Pix the Cat")</f>
        <v>Pix the Cat</v>
      </c>
      <c r="B1470" s="82" t="str">
        <f>IFERROR(__xludf.DUMMYFUNCTION("""COMPUTED_VALUE"""),"PS4/Vita")</f>
        <v>PS4/Vita</v>
      </c>
      <c r="C1470" s="83" t="str">
        <f>IFERROR(__xludf.DUMMYFUNCTION("""COMPUTED_VALUE"""),"Playstation Plus (Discontinued)")</f>
        <v>Playstation Plus (Discontinued)</v>
      </c>
      <c r="D1470" s="82" t="str">
        <f>IFERROR(__xludf.DUMMYFUNCTION("""COMPUTED_VALUE"""),"Removed")</f>
        <v>Removed</v>
      </c>
      <c r="E1470" s="84">
        <f>IFERROR(__xludf.DUMMYFUNCTION("""COMPUTED_VALUE"""),41919.0)</f>
        <v>41919</v>
      </c>
      <c r="F1470" s="85">
        <f>IFERROR(__xludf.DUMMYFUNCTION("""COMPUTED_VALUE"""),41946.0)</f>
        <v>41946</v>
      </c>
      <c r="G1470" s="86">
        <f>IFERROR(__xludf.DUMMYFUNCTION("""COMPUTED_VALUE"""),0.8666666666666666)</f>
        <v>0.8666666667</v>
      </c>
      <c r="H1470" s="84">
        <f>IFERROR(__xludf.DUMMYFUNCTION("""COMPUTED_VALUE"""),41919.0)</f>
        <v>41919</v>
      </c>
      <c r="I1470" s="86">
        <f>IFERROR(__xludf.DUMMYFUNCTION("""COMPUTED_VALUE"""),0.0)</f>
        <v>0</v>
      </c>
      <c r="J1470" s="87">
        <f>IFERROR(__xludf.DUMMYFUNCTION("""COMPUTED_VALUE"""),73.0)</f>
        <v>73</v>
      </c>
      <c r="K1470" s="88">
        <f>IFERROR(__xludf.DUMMYFUNCTION("""COMPUTED_VALUE"""),7.1)</f>
        <v>7.1</v>
      </c>
      <c r="L1470" s="89">
        <f>IFERROR(__xludf.DUMMYFUNCTION("""COMPUTED_VALUE"""),4.0)</f>
        <v>4</v>
      </c>
      <c r="M1470" s="26" t="str">
        <f>IFERROR(__xludf.DUMMYFUNCTION("""COMPUTED_VALUE"""),"Arcade")</f>
        <v>Arcade</v>
      </c>
      <c r="N1470" s="26"/>
      <c r="O1470" s="26" t="str">
        <f>IFERROR(__xludf.DUMMYFUNCTION("""COMPUTED_VALUE"""),"No")</f>
        <v>No</v>
      </c>
      <c r="P1470" s="26"/>
    </row>
    <row r="1471">
      <c r="A1471" s="81" t="str">
        <f>IFERROR(__xludf.DUMMYFUNCTION("""COMPUTED_VALUE"""),"Dust: An Elysian Tail")</f>
        <v>Dust: An Elysian Tail</v>
      </c>
      <c r="B1471" s="82" t="str">
        <f>IFERROR(__xludf.DUMMYFUNCTION("""COMPUTED_VALUE"""),"PS4")</f>
        <v>PS4</v>
      </c>
      <c r="C1471" s="83" t="str">
        <f>IFERROR(__xludf.DUMMYFUNCTION("""COMPUTED_VALUE"""),"Playstation Plus (Discontinued)")</f>
        <v>Playstation Plus (Discontinued)</v>
      </c>
      <c r="D1471" s="82" t="str">
        <f>IFERROR(__xludf.DUMMYFUNCTION("""COMPUTED_VALUE"""),"Removed")</f>
        <v>Removed</v>
      </c>
      <c r="E1471" s="84">
        <f>IFERROR(__xludf.DUMMYFUNCTION("""COMPUTED_VALUE"""),41919.0)</f>
        <v>41919</v>
      </c>
      <c r="F1471" s="85">
        <f>IFERROR(__xludf.DUMMYFUNCTION("""COMPUTED_VALUE"""),41946.0)</f>
        <v>41946</v>
      </c>
      <c r="G1471" s="86">
        <f>IFERROR(__xludf.DUMMYFUNCTION("""COMPUTED_VALUE"""),0.8666666666666666)</f>
        <v>0.8666666667</v>
      </c>
      <c r="H1471" s="84">
        <f>IFERROR(__xludf.DUMMYFUNCTION("""COMPUTED_VALUE"""),41410.0)</f>
        <v>41410</v>
      </c>
      <c r="I1471" s="86">
        <f>IFERROR(__xludf.DUMMYFUNCTION("""COMPUTED_VALUE"""),1.3916666666666666)</f>
        <v>1.391666667</v>
      </c>
      <c r="J1471" s="87">
        <f>IFERROR(__xludf.DUMMYFUNCTION("""COMPUTED_VALUE"""),77.0)</f>
        <v>77</v>
      </c>
      <c r="K1471" s="88">
        <f>IFERROR(__xludf.DUMMYFUNCTION("""COMPUTED_VALUE"""),8.0)</f>
        <v>8</v>
      </c>
      <c r="L1471" s="89">
        <f>IFERROR(__xludf.DUMMYFUNCTION("""COMPUTED_VALUE"""),12.0)</f>
        <v>12</v>
      </c>
      <c r="M1471" s="26" t="str">
        <f>IFERROR(__xludf.DUMMYFUNCTION("""COMPUTED_VALUE"""),"Platformer")</f>
        <v>Platformer</v>
      </c>
      <c r="N1471" s="26"/>
      <c r="O1471" s="26" t="str">
        <f>IFERROR(__xludf.DUMMYFUNCTION("""COMPUTED_VALUE"""),"No")</f>
        <v>No</v>
      </c>
      <c r="P1471" s="26"/>
    </row>
    <row r="1472">
      <c r="A1472" s="81" t="str">
        <f>IFERROR(__xludf.DUMMYFUNCTION("""COMPUTED_VALUE"""),"Rainbow Moon")</f>
        <v>Rainbow Moon</v>
      </c>
      <c r="B1472" s="82" t="str">
        <f>IFERROR(__xludf.DUMMYFUNCTION("""COMPUTED_VALUE"""),"PS3/Vita")</f>
        <v>PS3/Vita</v>
      </c>
      <c r="C1472" s="83" t="str">
        <f>IFERROR(__xludf.DUMMYFUNCTION("""COMPUTED_VALUE"""),"Playstation Plus (Discontinued)")</f>
        <v>Playstation Plus (Discontinued)</v>
      </c>
      <c r="D1472" s="82" t="str">
        <f>IFERROR(__xludf.DUMMYFUNCTION("""COMPUTED_VALUE"""),"Removed")</f>
        <v>Removed</v>
      </c>
      <c r="E1472" s="84">
        <f>IFERROR(__xludf.DUMMYFUNCTION("""COMPUTED_VALUE"""),41919.0)</f>
        <v>41919</v>
      </c>
      <c r="F1472" s="85">
        <f>IFERROR(__xludf.DUMMYFUNCTION("""COMPUTED_VALUE"""),41946.0)</f>
        <v>41946</v>
      </c>
      <c r="G1472" s="86">
        <f>IFERROR(__xludf.DUMMYFUNCTION("""COMPUTED_VALUE"""),0.8666666666666666)</f>
        <v>0.8666666667</v>
      </c>
      <c r="H1472" s="84">
        <f>IFERROR(__xludf.DUMMYFUNCTION("""COMPUTED_VALUE"""),41226.0)</f>
        <v>41226</v>
      </c>
      <c r="I1472" s="86">
        <f>IFERROR(__xludf.DUMMYFUNCTION("""COMPUTED_VALUE"""),1.9)</f>
        <v>1.9</v>
      </c>
      <c r="J1472" s="87">
        <f>IFERROR(__xludf.DUMMYFUNCTION("""COMPUTED_VALUE"""),81.0)</f>
        <v>81</v>
      </c>
      <c r="K1472" s="88">
        <f>IFERROR(__xludf.DUMMYFUNCTION("""COMPUTED_VALUE"""),7.9)</f>
        <v>7.9</v>
      </c>
      <c r="L1472" s="89">
        <f>IFERROR(__xludf.DUMMYFUNCTION("""COMPUTED_VALUE"""),35.0)</f>
        <v>35</v>
      </c>
      <c r="M1472" s="26" t="str">
        <f>IFERROR(__xludf.DUMMYFUNCTION("""COMPUTED_VALUE"""),"RPG")</f>
        <v>RPG</v>
      </c>
      <c r="N1472" s="26"/>
      <c r="O1472" s="26" t="str">
        <f>IFERROR(__xludf.DUMMYFUNCTION("""COMPUTED_VALUE"""),"No")</f>
        <v>No</v>
      </c>
      <c r="P1472" s="26"/>
    </row>
    <row r="1473">
      <c r="A1473" s="81" t="str">
        <f>IFERROR(__xludf.DUMMYFUNCTION("""COMPUTED_VALUE"""),"Batman: Arkham Asylum")</f>
        <v>Batman: Arkham Asylum</v>
      </c>
      <c r="B1473" s="82" t="str">
        <f>IFERROR(__xludf.DUMMYFUNCTION("""COMPUTED_VALUE"""),"PS3")</f>
        <v>PS3</v>
      </c>
      <c r="C1473" s="83" t="str">
        <f>IFERROR(__xludf.DUMMYFUNCTION("""COMPUTED_VALUE"""),"Playstation Plus (Discontinued)")</f>
        <v>Playstation Plus (Discontinued)</v>
      </c>
      <c r="D1473" s="82" t="str">
        <f>IFERROR(__xludf.DUMMYFUNCTION("""COMPUTED_VALUE"""),"Removed")</f>
        <v>Removed</v>
      </c>
      <c r="E1473" s="84">
        <f>IFERROR(__xludf.DUMMYFUNCTION("""COMPUTED_VALUE"""),41919.0)</f>
        <v>41919</v>
      </c>
      <c r="F1473" s="85">
        <f>IFERROR(__xludf.DUMMYFUNCTION("""COMPUTED_VALUE"""),41946.0)</f>
        <v>41946</v>
      </c>
      <c r="G1473" s="86">
        <f>IFERROR(__xludf.DUMMYFUNCTION("""COMPUTED_VALUE"""),0.8666666666666666)</f>
        <v>0.8666666667</v>
      </c>
      <c r="H1473" s="84">
        <f>IFERROR(__xludf.DUMMYFUNCTION("""COMPUTED_VALUE"""),40050.0)</f>
        <v>40050</v>
      </c>
      <c r="I1473" s="86">
        <f>IFERROR(__xludf.DUMMYFUNCTION("""COMPUTED_VALUE"""),5.116666666666666)</f>
        <v>5.116666667</v>
      </c>
      <c r="J1473" s="87">
        <f>IFERROR(__xludf.DUMMYFUNCTION("""COMPUTED_VALUE"""),92.0)</f>
        <v>92</v>
      </c>
      <c r="K1473" s="88">
        <f>IFERROR(__xludf.DUMMYFUNCTION("""COMPUTED_VALUE"""),8.8)</f>
        <v>8.8</v>
      </c>
      <c r="L1473" s="89">
        <f>IFERROR(__xludf.DUMMYFUNCTION("""COMPUTED_VALUE"""),12.0)</f>
        <v>12</v>
      </c>
      <c r="M1473" s="26" t="str">
        <f>IFERROR(__xludf.DUMMYFUNCTION("""COMPUTED_VALUE"""),"Action-Adventure")</f>
        <v>Action-Adventure</v>
      </c>
      <c r="N1473" s="26"/>
      <c r="O1473" s="26" t="str">
        <f>IFERROR(__xludf.DUMMYFUNCTION("""COMPUTED_VALUE"""),"No")</f>
        <v>No</v>
      </c>
      <c r="P1473" s="26"/>
    </row>
    <row r="1474">
      <c r="A1474" s="81" t="str">
        <f>IFERROR(__xludf.DUMMYFUNCTION("""COMPUTED_VALUE"""),"Dungeons &amp; Dragons: Chronicles of Mystara")</f>
        <v>Dungeons &amp; Dragons: Chronicles of Mystara</v>
      </c>
      <c r="B1474" s="82" t="str">
        <f>IFERROR(__xludf.DUMMYFUNCTION("""COMPUTED_VALUE"""),"PS3")</f>
        <v>PS3</v>
      </c>
      <c r="C1474" s="83" t="str">
        <f>IFERROR(__xludf.DUMMYFUNCTION("""COMPUTED_VALUE"""),"Playstation Plus (Discontinued)")</f>
        <v>Playstation Plus (Discontinued)</v>
      </c>
      <c r="D1474" s="82" t="str">
        <f>IFERROR(__xludf.DUMMYFUNCTION("""COMPUTED_VALUE"""),"Removed")</f>
        <v>Removed</v>
      </c>
      <c r="E1474" s="84">
        <f>IFERROR(__xludf.DUMMYFUNCTION("""COMPUTED_VALUE"""),41919.0)</f>
        <v>41919</v>
      </c>
      <c r="F1474" s="85">
        <f>IFERROR(__xludf.DUMMYFUNCTION("""COMPUTED_VALUE"""),41946.0)</f>
        <v>41946</v>
      </c>
      <c r="G1474" s="86">
        <f>IFERROR(__xludf.DUMMYFUNCTION("""COMPUTED_VALUE"""),0.8666666666666666)</f>
        <v>0.8666666667</v>
      </c>
      <c r="H1474" s="84">
        <f>IFERROR(__xludf.DUMMYFUNCTION("""COMPUTED_VALUE"""),41443.0)</f>
        <v>41443</v>
      </c>
      <c r="I1474" s="86">
        <f>IFERROR(__xludf.DUMMYFUNCTION("""COMPUTED_VALUE"""),1.3027777777777778)</f>
        <v>1.302777778</v>
      </c>
      <c r="J1474" s="87">
        <f>IFERROR(__xludf.DUMMYFUNCTION("""COMPUTED_VALUE"""),77.0)</f>
        <v>77</v>
      </c>
      <c r="K1474" s="88">
        <f>IFERROR(__xludf.DUMMYFUNCTION("""COMPUTED_VALUE"""),7.6)</f>
        <v>7.6</v>
      </c>
      <c r="L1474" s="89">
        <f>IFERROR(__xludf.DUMMYFUNCTION("""COMPUTED_VALUE"""),5.0)</f>
        <v>5</v>
      </c>
      <c r="M1474" s="26" t="str">
        <f>IFERROR(__xludf.DUMMYFUNCTION("""COMPUTED_VALUE"""),"Action-Adventure")</f>
        <v>Action-Adventure</v>
      </c>
      <c r="N1474" s="26"/>
      <c r="O1474" s="26" t="str">
        <f>IFERROR(__xludf.DUMMYFUNCTION("""COMPUTED_VALUE"""),"No")</f>
        <v>No</v>
      </c>
      <c r="P1474" s="26"/>
    </row>
    <row r="1475">
      <c r="A1475" s="81" t="str">
        <f>IFERROR(__xludf.DUMMYFUNCTION("""COMPUTED_VALUE"""),"Velocity 2X")</f>
        <v>Velocity 2X</v>
      </c>
      <c r="B1475" s="82" t="str">
        <f>IFERROR(__xludf.DUMMYFUNCTION("""COMPUTED_VALUE"""),"PS4/Vita")</f>
        <v>PS4/Vita</v>
      </c>
      <c r="C1475" s="83" t="str">
        <f>IFERROR(__xludf.DUMMYFUNCTION("""COMPUTED_VALUE"""),"Playstation Plus (Discontinued)")</f>
        <v>Playstation Plus (Discontinued)</v>
      </c>
      <c r="D1475" s="82" t="str">
        <f>IFERROR(__xludf.DUMMYFUNCTION("""COMPUTED_VALUE"""),"Removed")</f>
        <v>Removed</v>
      </c>
      <c r="E1475" s="84">
        <f>IFERROR(__xludf.DUMMYFUNCTION("""COMPUTED_VALUE"""),41884.0)</f>
        <v>41884</v>
      </c>
      <c r="F1475" s="85">
        <f>IFERROR(__xludf.DUMMYFUNCTION("""COMPUTED_VALUE"""),41918.0)</f>
        <v>41918</v>
      </c>
      <c r="G1475" s="86">
        <f>IFERROR(__xludf.DUMMYFUNCTION("""COMPUTED_VALUE"""),1.1333333333333333)</f>
        <v>1.133333333</v>
      </c>
      <c r="H1475" s="84">
        <f>IFERROR(__xludf.DUMMYFUNCTION("""COMPUTED_VALUE"""),41884.0)</f>
        <v>41884</v>
      </c>
      <c r="I1475" s="86">
        <f>IFERROR(__xludf.DUMMYFUNCTION("""COMPUTED_VALUE"""),0.0)</f>
        <v>0</v>
      </c>
      <c r="J1475" s="87">
        <f>IFERROR(__xludf.DUMMYFUNCTION("""COMPUTED_VALUE"""),86.0)</f>
        <v>86</v>
      </c>
      <c r="K1475" s="88">
        <f>IFERROR(__xludf.DUMMYFUNCTION("""COMPUTED_VALUE"""),8.0)</f>
        <v>8</v>
      </c>
      <c r="L1475" s="89">
        <f>IFERROR(__xludf.DUMMYFUNCTION("""COMPUTED_VALUE"""),6.0)</f>
        <v>6</v>
      </c>
      <c r="M1475" s="26" t="str">
        <f>IFERROR(__xludf.DUMMYFUNCTION("""COMPUTED_VALUE"""),"Shooter")</f>
        <v>Shooter</v>
      </c>
      <c r="N1475" s="26"/>
      <c r="O1475" s="26" t="str">
        <f>IFERROR(__xludf.DUMMYFUNCTION("""COMPUTED_VALUE"""),"No")</f>
        <v>No</v>
      </c>
      <c r="P1475" s="26"/>
    </row>
    <row r="1476">
      <c r="A1476" s="81" t="str">
        <f>IFERROR(__xludf.DUMMYFUNCTION("""COMPUTED_VALUE"""),"Sportsfriends")</f>
        <v>Sportsfriends</v>
      </c>
      <c r="B1476" s="82" t="str">
        <f>IFERROR(__xludf.DUMMYFUNCTION("""COMPUTED_VALUE"""),"PS4/PS3")</f>
        <v>PS4/PS3</v>
      </c>
      <c r="C1476" s="83" t="str">
        <f>IFERROR(__xludf.DUMMYFUNCTION("""COMPUTED_VALUE"""),"Playstation Plus (Discontinued)")</f>
        <v>Playstation Plus (Discontinued)</v>
      </c>
      <c r="D1476" s="82" t="str">
        <f>IFERROR(__xludf.DUMMYFUNCTION("""COMPUTED_VALUE"""),"Removed")</f>
        <v>Removed</v>
      </c>
      <c r="E1476" s="84">
        <f>IFERROR(__xludf.DUMMYFUNCTION("""COMPUTED_VALUE"""),41884.0)</f>
        <v>41884</v>
      </c>
      <c r="F1476" s="85">
        <f>IFERROR(__xludf.DUMMYFUNCTION("""COMPUTED_VALUE"""),41918.0)</f>
        <v>41918</v>
      </c>
      <c r="G1476" s="86">
        <f>IFERROR(__xludf.DUMMYFUNCTION("""COMPUTED_VALUE"""),1.1333333333333333)</f>
        <v>1.133333333</v>
      </c>
      <c r="H1476" s="84">
        <f>IFERROR(__xludf.DUMMYFUNCTION("""COMPUTED_VALUE"""),41765.0)</f>
        <v>41765</v>
      </c>
      <c r="I1476" s="86">
        <f>IFERROR(__xludf.DUMMYFUNCTION("""COMPUTED_VALUE"""),0.32222222222222224)</f>
        <v>0.3222222222</v>
      </c>
      <c r="J1476" s="87">
        <f>IFERROR(__xludf.DUMMYFUNCTION("""COMPUTED_VALUE"""),69.0)</f>
        <v>69</v>
      </c>
      <c r="K1476" s="88">
        <f>IFERROR(__xludf.DUMMYFUNCTION("""COMPUTED_VALUE"""),6.7)</f>
        <v>6.7</v>
      </c>
      <c r="L1476" s="89"/>
      <c r="M1476" s="26" t="str">
        <f>IFERROR(__xludf.DUMMYFUNCTION("""COMPUTED_VALUE"""),"Sports")</f>
        <v>Sports</v>
      </c>
      <c r="N1476" s="26"/>
      <c r="O1476" s="26" t="str">
        <f>IFERROR(__xludf.DUMMYFUNCTION("""COMPUTED_VALUE"""),"No")</f>
        <v>No</v>
      </c>
      <c r="P1476" s="26"/>
    </row>
    <row r="1477">
      <c r="A1477" s="81" t="str">
        <f>IFERROR(__xludf.DUMMYFUNCTION("""COMPUTED_VALUE"""),"Playstation All-Stars Battle Royale")</f>
        <v>Playstation All-Stars Battle Royale</v>
      </c>
      <c r="B1477" s="82" t="str">
        <f>IFERROR(__xludf.DUMMYFUNCTION("""COMPUTED_VALUE"""),"PS3/Vita")</f>
        <v>PS3/Vita</v>
      </c>
      <c r="C1477" s="83" t="str">
        <f>IFERROR(__xludf.DUMMYFUNCTION("""COMPUTED_VALUE"""),"Playstation Plus (Discontinued)")</f>
        <v>Playstation Plus (Discontinued)</v>
      </c>
      <c r="D1477" s="82" t="str">
        <f>IFERROR(__xludf.DUMMYFUNCTION("""COMPUTED_VALUE"""),"Removed")</f>
        <v>Removed</v>
      </c>
      <c r="E1477" s="84">
        <f>IFERROR(__xludf.DUMMYFUNCTION("""COMPUTED_VALUE"""),41884.0)</f>
        <v>41884</v>
      </c>
      <c r="F1477" s="85">
        <f>IFERROR(__xludf.DUMMYFUNCTION("""COMPUTED_VALUE"""),41918.0)</f>
        <v>41918</v>
      </c>
      <c r="G1477" s="86">
        <f>IFERROR(__xludf.DUMMYFUNCTION("""COMPUTED_VALUE"""),1.1333333333333333)</f>
        <v>1.133333333</v>
      </c>
      <c r="H1477" s="84">
        <f>IFERROR(__xludf.DUMMYFUNCTION("""COMPUTED_VALUE"""),41233.0)</f>
        <v>41233</v>
      </c>
      <c r="I1477" s="86">
        <f>IFERROR(__xludf.DUMMYFUNCTION("""COMPUTED_VALUE"""),1.7833333333333334)</f>
        <v>1.783333333</v>
      </c>
      <c r="J1477" s="87">
        <f>IFERROR(__xludf.DUMMYFUNCTION("""COMPUTED_VALUE"""),74.0)</f>
        <v>74</v>
      </c>
      <c r="K1477" s="88">
        <f>IFERROR(__xludf.DUMMYFUNCTION("""COMPUTED_VALUE"""),7.4)</f>
        <v>7.4</v>
      </c>
      <c r="L1477" s="89">
        <f>IFERROR(__xludf.DUMMYFUNCTION("""COMPUTED_VALUE"""),12.0)</f>
        <v>12</v>
      </c>
      <c r="M1477" s="26" t="str">
        <f>IFERROR(__xludf.DUMMYFUNCTION("""COMPUTED_VALUE"""),"Fighting")</f>
        <v>Fighting</v>
      </c>
      <c r="N1477" s="26"/>
      <c r="O1477" s="26" t="str">
        <f>IFERROR(__xludf.DUMMYFUNCTION("""COMPUTED_VALUE"""),"No")</f>
        <v>No</v>
      </c>
      <c r="P1477" s="26"/>
    </row>
    <row r="1478">
      <c r="A1478" s="81" t="str">
        <f>IFERROR(__xludf.DUMMYFUNCTION("""COMPUTED_VALUE"""),"Hoard")</f>
        <v>Hoard</v>
      </c>
      <c r="B1478" s="82" t="str">
        <f>IFERROR(__xludf.DUMMYFUNCTION("""COMPUTED_VALUE"""),"PS3")</f>
        <v>PS3</v>
      </c>
      <c r="C1478" s="83" t="str">
        <f>IFERROR(__xludf.DUMMYFUNCTION("""COMPUTED_VALUE"""),"Playstation Plus (Discontinued)")</f>
        <v>Playstation Plus (Discontinued)</v>
      </c>
      <c r="D1478" s="82" t="str">
        <f>IFERROR(__xludf.DUMMYFUNCTION("""COMPUTED_VALUE"""),"Removed")</f>
        <v>Removed</v>
      </c>
      <c r="E1478" s="84">
        <f>IFERROR(__xludf.DUMMYFUNCTION("""COMPUTED_VALUE"""),41884.0)</f>
        <v>41884</v>
      </c>
      <c r="F1478" s="85">
        <f>IFERROR(__xludf.DUMMYFUNCTION("""COMPUTED_VALUE"""),41918.0)</f>
        <v>41918</v>
      </c>
      <c r="G1478" s="86">
        <f>IFERROR(__xludf.DUMMYFUNCTION("""COMPUTED_VALUE"""),1.1333333333333333)</f>
        <v>1.133333333</v>
      </c>
      <c r="H1478" s="84">
        <f>IFERROR(__xludf.DUMMYFUNCTION("""COMPUTED_VALUE"""),40122.0)</f>
        <v>40122</v>
      </c>
      <c r="I1478" s="86">
        <f>IFERROR(__xludf.DUMMYFUNCTION("""COMPUTED_VALUE"""),4.825)</f>
        <v>4.825</v>
      </c>
      <c r="J1478" s="87">
        <f>IFERROR(__xludf.DUMMYFUNCTION("""COMPUTED_VALUE"""),71.0)</f>
        <v>71</v>
      </c>
      <c r="K1478" s="88">
        <f>IFERROR(__xludf.DUMMYFUNCTION("""COMPUTED_VALUE"""),6.8)</f>
        <v>6.8</v>
      </c>
      <c r="L1478" s="89"/>
      <c r="M1478" s="26" t="str">
        <f>IFERROR(__xludf.DUMMYFUNCTION("""COMPUTED_VALUE"""),"Strategy")</f>
        <v>Strategy</v>
      </c>
      <c r="N1478" s="26"/>
      <c r="O1478" s="26" t="str">
        <f>IFERROR(__xludf.DUMMYFUNCTION("""COMPUTED_VALUE"""),"No")</f>
        <v>No</v>
      </c>
      <c r="P1478" s="26"/>
    </row>
    <row r="1479">
      <c r="A1479" s="81" t="str">
        <f>IFERROR(__xludf.DUMMYFUNCTION("""COMPUTED_VALUE"""),"Joe Danger")</f>
        <v>Joe Danger</v>
      </c>
      <c r="B1479" s="82" t="str">
        <f>IFERROR(__xludf.DUMMYFUNCTION("""COMPUTED_VALUE"""),"Vita")</f>
        <v>Vita</v>
      </c>
      <c r="C1479" s="83" t="str">
        <f>IFERROR(__xludf.DUMMYFUNCTION("""COMPUTED_VALUE"""),"Playstation Plus (Discontinued)")</f>
        <v>Playstation Plus (Discontinued)</v>
      </c>
      <c r="D1479" s="82" t="str">
        <f>IFERROR(__xludf.DUMMYFUNCTION("""COMPUTED_VALUE"""),"Removed")</f>
        <v>Removed</v>
      </c>
      <c r="E1479" s="84">
        <f>IFERROR(__xludf.DUMMYFUNCTION("""COMPUTED_VALUE"""),41884.0)</f>
        <v>41884</v>
      </c>
      <c r="F1479" s="85">
        <f>IFERROR(__xludf.DUMMYFUNCTION("""COMPUTED_VALUE"""),41918.0)</f>
        <v>41918</v>
      </c>
      <c r="G1479" s="86">
        <f>IFERROR(__xludf.DUMMYFUNCTION("""COMPUTED_VALUE"""),1.1333333333333333)</f>
        <v>1.133333333</v>
      </c>
      <c r="H1479" s="84">
        <f>IFERROR(__xludf.DUMMYFUNCTION("""COMPUTED_VALUE"""),40703.0)</f>
        <v>40703</v>
      </c>
      <c r="I1479" s="86">
        <f>IFERROR(__xludf.DUMMYFUNCTION("""COMPUTED_VALUE"""),3.2305555555555556)</f>
        <v>3.230555556</v>
      </c>
      <c r="J1479" s="87">
        <f>IFERROR(__xludf.DUMMYFUNCTION("""COMPUTED_VALUE"""),74.0)</f>
        <v>74</v>
      </c>
      <c r="K1479" s="88">
        <f>IFERROR(__xludf.DUMMYFUNCTION("""COMPUTED_VALUE"""),7.7)</f>
        <v>7.7</v>
      </c>
      <c r="L1479" s="89">
        <f>IFERROR(__xludf.DUMMYFUNCTION("""COMPUTED_VALUE"""),7.0)</f>
        <v>7</v>
      </c>
      <c r="M1479" s="26" t="str">
        <f>IFERROR(__xludf.DUMMYFUNCTION("""COMPUTED_VALUE"""),"Racing")</f>
        <v>Racing</v>
      </c>
      <c r="N1479" s="26"/>
      <c r="O1479" s="26" t="str">
        <f>IFERROR(__xludf.DUMMYFUNCTION("""COMPUTED_VALUE"""),"No")</f>
        <v>No</v>
      </c>
      <c r="P1479" s="26"/>
    </row>
    <row r="1480">
      <c r="A1480" s="81" t="str">
        <f>IFERROR(__xludf.DUMMYFUNCTION("""COMPUTED_VALUE"""),"TxK")</f>
        <v>TxK</v>
      </c>
      <c r="B1480" s="82" t="str">
        <f>IFERROR(__xludf.DUMMYFUNCTION("""COMPUTED_VALUE"""),"Vita")</f>
        <v>Vita</v>
      </c>
      <c r="C1480" s="83" t="str">
        <f>IFERROR(__xludf.DUMMYFUNCTION("""COMPUTED_VALUE"""),"Playstation Plus (Discontinued)")</f>
        <v>Playstation Plus (Discontinued)</v>
      </c>
      <c r="D1480" s="82" t="str">
        <f>IFERROR(__xludf.DUMMYFUNCTION("""COMPUTED_VALUE"""),"Removed")</f>
        <v>Removed</v>
      </c>
      <c r="E1480" s="84">
        <f>IFERROR(__xludf.DUMMYFUNCTION("""COMPUTED_VALUE"""),41884.0)</f>
        <v>41884</v>
      </c>
      <c r="F1480" s="85">
        <f>IFERROR(__xludf.DUMMYFUNCTION("""COMPUTED_VALUE"""),41918.0)</f>
        <v>41918</v>
      </c>
      <c r="G1480" s="86">
        <f>IFERROR(__xludf.DUMMYFUNCTION("""COMPUTED_VALUE"""),1.1333333333333333)</f>
        <v>1.133333333</v>
      </c>
      <c r="H1480" s="84">
        <f>IFERROR(__xludf.DUMMYFUNCTION("""COMPUTED_VALUE"""),41681.0)</f>
        <v>41681</v>
      </c>
      <c r="I1480" s="86">
        <f>IFERROR(__xludf.DUMMYFUNCTION("""COMPUTED_VALUE"""),0.5583333333333333)</f>
        <v>0.5583333333</v>
      </c>
      <c r="J1480" s="87">
        <f>IFERROR(__xludf.DUMMYFUNCTION("""COMPUTED_VALUE"""),80.0)</f>
        <v>80</v>
      </c>
      <c r="K1480" s="88">
        <f>IFERROR(__xludf.DUMMYFUNCTION("""COMPUTED_VALUE"""),7.8)</f>
        <v>7.8</v>
      </c>
      <c r="L1480" s="89"/>
      <c r="M1480" s="26" t="str">
        <f>IFERROR(__xludf.DUMMYFUNCTION("""COMPUTED_VALUE"""),"Shooter")</f>
        <v>Shooter</v>
      </c>
      <c r="N1480" s="26"/>
      <c r="O1480" s="26" t="str">
        <f>IFERROR(__xludf.DUMMYFUNCTION("""COMPUTED_VALUE"""),"No")</f>
        <v>No</v>
      </c>
      <c r="P1480" s="26"/>
    </row>
    <row r="1481">
      <c r="A1481" s="81" t="str">
        <f>IFERROR(__xludf.DUMMYFUNCTION("""COMPUTED_VALUE"""),"Fez")</f>
        <v>Fez</v>
      </c>
      <c r="B1481" s="82" t="str">
        <f>IFERROR(__xludf.DUMMYFUNCTION("""COMPUTED_VALUE"""),"PS4/PS3/Vita")</f>
        <v>PS4/PS3/Vita</v>
      </c>
      <c r="C1481" s="83" t="str">
        <f>IFERROR(__xludf.DUMMYFUNCTION("""COMPUTED_VALUE"""),"Playstation Plus (Discontinued)")</f>
        <v>Playstation Plus (Discontinued)</v>
      </c>
      <c r="D1481" s="82" t="str">
        <f>IFERROR(__xludf.DUMMYFUNCTION("""COMPUTED_VALUE"""),"Removed")</f>
        <v>Removed</v>
      </c>
      <c r="E1481" s="84">
        <f>IFERROR(__xludf.DUMMYFUNCTION("""COMPUTED_VALUE"""),41856.0)</f>
        <v>41856</v>
      </c>
      <c r="F1481" s="85">
        <f>IFERROR(__xludf.DUMMYFUNCTION("""COMPUTED_VALUE"""),41883.0)</f>
        <v>41883</v>
      </c>
      <c r="G1481" s="86">
        <f>IFERROR(__xludf.DUMMYFUNCTION("""COMPUTED_VALUE"""),0.8666666666666666)</f>
        <v>0.8666666667</v>
      </c>
      <c r="H1481" s="84">
        <f>IFERROR(__xludf.DUMMYFUNCTION("""COMPUTED_VALUE"""),41012.0)</f>
        <v>41012</v>
      </c>
      <c r="I1481" s="86">
        <f>IFERROR(__xludf.DUMMYFUNCTION("""COMPUTED_VALUE"""),2.311111111111111)</f>
        <v>2.311111111</v>
      </c>
      <c r="J1481" s="87">
        <f>IFERROR(__xludf.DUMMYFUNCTION("""COMPUTED_VALUE"""),91.0)</f>
        <v>91</v>
      </c>
      <c r="K1481" s="88">
        <f>IFERROR(__xludf.DUMMYFUNCTION("""COMPUTED_VALUE"""),8.4)</f>
        <v>8.4</v>
      </c>
      <c r="L1481" s="89">
        <f>IFERROR(__xludf.DUMMYFUNCTION("""COMPUTED_VALUE"""),5.0)</f>
        <v>5</v>
      </c>
      <c r="M1481" s="26" t="str">
        <f>IFERROR(__xludf.DUMMYFUNCTION("""COMPUTED_VALUE"""),"Platformer")</f>
        <v>Platformer</v>
      </c>
      <c r="N1481" s="26"/>
      <c r="O1481" s="26" t="str">
        <f>IFERROR(__xludf.DUMMYFUNCTION("""COMPUTED_VALUE"""),"No")</f>
        <v>No</v>
      </c>
      <c r="P1481" s="26"/>
    </row>
    <row r="1482">
      <c r="A1482" s="81" t="str">
        <f>IFERROR(__xludf.DUMMYFUNCTION("""COMPUTED_VALUE"""),"Road Not Taken")</f>
        <v>Road Not Taken</v>
      </c>
      <c r="B1482" s="82" t="str">
        <f>IFERROR(__xludf.DUMMYFUNCTION("""COMPUTED_VALUE"""),"PS4")</f>
        <v>PS4</v>
      </c>
      <c r="C1482" s="83" t="str">
        <f>IFERROR(__xludf.DUMMYFUNCTION("""COMPUTED_VALUE"""),"Playstation Plus (Discontinued)")</f>
        <v>Playstation Plus (Discontinued)</v>
      </c>
      <c r="D1482" s="82" t="str">
        <f>IFERROR(__xludf.DUMMYFUNCTION("""COMPUTED_VALUE"""),"Removed")</f>
        <v>Removed</v>
      </c>
      <c r="E1482" s="84">
        <f>IFERROR(__xludf.DUMMYFUNCTION("""COMPUTED_VALUE"""),41856.0)</f>
        <v>41856</v>
      </c>
      <c r="F1482" s="85">
        <f>IFERROR(__xludf.DUMMYFUNCTION("""COMPUTED_VALUE"""),41883.0)</f>
        <v>41883</v>
      </c>
      <c r="G1482" s="86">
        <f>IFERROR(__xludf.DUMMYFUNCTION("""COMPUTED_VALUE"""),0.8666666666666666)</f>
        <v>0.8666666667</v>
      </c>
      <c r="H1482" s="84">
        <f>IFERROR(__xludf.DUMMYFUNCTION("""COMPUTED_VALUE"""),41856.0)</f>
        <v>41856</v>
      </c>
      <c r="I1482" s="86">
        <f>IFERROR(__xludf.DUMMYFUNCTION("""COMPUTED_VALUE"""),0.0)</f>
        <v>0</v>
      </c>
      <c r="J1482" s="87">
        <f>IFERROR(__xludf.DUMMYFUNCTION("""COMPUTED_VALUE"""),68.0)</f>
        <v>68</v>
      </c>
      <c r="K1482" s="88">
        <f>IFERROR(__xludf.DUMMYFUNCTION("""COMPUTED_VALUE"""),6.6)</f>
        <v>6.6</v>
      </c>
      <c r="L1482" s="89">
        <f>IFERROR(__xludf.DUMMYFUNCTION("""COMPUTED_VALUE"""),6.0)</f>
        <v>6</v>
      </c>
      <c r="M1482" s="26" t="str">
        <f>IFERROR(__xludf.DUMMYFUNCTION("""COMPUTED_VALUE"""),"Puzzle")</f>
        <v>Puzzle</v>
      </c>
      <c r="N1482" s="26"/>
      <c r="O1482" s="26" t="str">
        <f>IFERROR(__xludf.DUMMYFUNCTION("""COMPUTED_VALUE"""),"No")</f>
        <v>No</v>
      </c>
      <c r="P1482" s="26"/>
    </row>
    <row r="1483">
      <c r="A1483" s="81" t="str">
        <f>IFERROR(__xludf.DUMMYFUNCTION("""COMPUTED_VALUE"""),"Dragon's Crown")</f>
        <v>Dragon's Crown</v>
      </c>
      <c r="B1483" s="82" t="str">
        <f>IFERROR(__xludf.DUMMYFUNCTION("""COMPUTED_VALUE"""),"PS3/Vita")</f>
        <v>PS3/Vita</v>
      </c>
      <c r="C1483" s="83" t="str">
        <f>IFERROR(__xludf.DUMMYFUNCTION("""COMPUTED_VALUE"""),"Playstation Plus (Discontinued)")</f>
        <v>Playstation Plus (Discontinued)</v>
      </c>
      <c r="D1483" s="82" t="str">
        <f>IFERROR(__xludf.DUMMYFUNCTION("""COMPUTED_VALUE"""),"Removed")</f>
        <v>Removed</v>
      </c>
      <c r="E1483" s="84">
        <f>IFERROR(__xludf.DUMMYFUNCTION("""COMPUTED_VALUE"""),41856.0)</f>
        <v>41856</v>
      </c>
      <c r="F1483" s="85">
        <f>IFERROR(__xludf.DUMMYFUNCTION("""COMPUTED_VALUE"""),41883.0)</f>
        <v>41883</v>
      </c>
      <c r="G1483" s="86">
        <f>IFERROR(__xludf.DUMMYFUNCTION("""COMPUTED_VALUE"""),0.8666666666666666)</f>
        <v>0.8666666667</v>
      </c>
      <c r="H1483" s="84">
        <f>IFERROR(__xludf.DUMMYFUNCTION("""COMPUTED_VALUE"""),41492.0)</f>
        <v>41492</v>
      </c>
      <c r="I1483" s="86">
        <f>IFERROR(__xludf.DUMMYFUNCTION("""COMPUTED_VALUE"""),0.9972222222222222)</f>
        <v>0.9972222222</v>
      </c>
      <c r="J1483" s="87">
        <f>IFERROR(__xludf.DUMMYFUNCTION("""COMPUTED_VALUE"""),87.0)</f>
        <v>87</v>
      </c>
      <c r="K1483" s="88">
        <f>IFERROR(__xludf.DUMMYFUNCTION("""COMPUTED_VALUE"""),8.3)</f>
        <v>8.3</v>
      </c>
      <c r="L1483" s="89">
        <f>IFERROR(__xludf.DUMMYFUNCTION("""COMPUTED_VALUE"""),20.0)</f>
        <v>20</v>
      </c>
      <c r="M1483" s="26" t="str">
        <f>IFERROR(__xludf.DUMMYFUNCTION("""COMPUTED_VALUE"""),"RPG")</f>
        <v>RPG</v>
      </c>
      <c r="N1483" s="26"/>
      <c r="O1483" s="26" t="str">
        <f>IFERROR(__xludf.DUMMYFUNCTION("""COMPUTED_VALUE"""),"No")</f>
        <v>No</v>
      </c>
      <c r="P1483" s="26"/>
    </row>
    <row r="1484">
      <c r="A1484" s="81" t="str">
        <f>IFERROR(__xludf.DUMMYFUNCTION("""COMPUTED_VALUE"""),"Proteus")</f>
        <v>Proteus</v>
      </c>
      <c r="B1484" s="82" t="str">
        <f>IFERROR(__xludf.DUMMYFUNCTION("""COMPUTED_VALUE"""),"PS3/Vita")</f>
        <v>PS3/Vita</v>
      </c>
      <c r="C1484" s="83" t="str">
        <f>IFERROR(__xludf.DUMMYFUNCTION("""COMPUTED_VALUE"""),"Playstation Plus (Discontinued)")</f>
        <v>Playstation Plus (Discontinued)</v>
      </c>
      <c r="D1484" s="82" t="str">
        <f>IFERROR(__xludf.DUMMYFUNCTION("""COMPUTED_VALUE"""),"Removed")</f>
        <v>Removed</v>
      </c>
      <c r="E1484" s="84">
        <f>IFERROR(__xludf.DUMMYFUNCTION("""COMPUTED_VALUE"""),41856.0)</f>
        <v>41856</v>
      </c>
      <c r="F1484" s="85">
        <f>IFERROR(__xludf.DUMMYFUNCTION("""COMPUTED_VALUE"""),41883.0)</f>
        <v>41883</v>
      </c>
      <c r="G1484" s="86">
        <f>IFERROR(__xludf.DUMMYFUNCTION("""COMPUTED_VALUE"""),0.8666666666666666)</f>
        <v>0.8666666667</v>
      </c>
      <c r="H1484" s="84">
        <f>IFERROR(__xludf.DUMMYFUNCTION("""COMPUTED_VALUE"""),41306.0)</f>
        <v>41306</v>
      </c>
      <c r="I1484" s="86">
        <f>IFERROR(__xludf.DUMMYFUNCTION("""COMPUTED_VALUE"""),1.511111111111111)</f>
        <v>1.511111111</v>
      </c>
      <c r="J1484" s="87">
        <f>IFERROR(__xludf.DUMMYFUNCTION("""COMPUTED_VALUE"""),80.0)</f>
        <v>80</v>
      </c>
      <c r="K1484" s="88">
        <f>IFERROR(__xludf.DUMMYFUNCTION("""COMPUTED_VALUE"""),7.1)</f>
        <v>7.1</v>
      </c>
      <c r="L1484" s="89">
        <f>IFERROR(__xludf.DUMMYFUNCTION("""COMPUTED_VALUE"""),1.0)</f>
        <v>1</v>
      </c>
      <c r="M1484" s="26" t="str">
        <f>IFERROR(__xludf.DUMMYFUNCTION("""COMPUTED_VALUE"""),"Adventure")</f>
        <v>Adventure</v>
      </c>
      <c r="N1484" s="26"/>
      <c r="O1484" s="26" t="str">
        <f>IFERROR(__xludf.DUMMYFUNCTION("""COMPUTED_VALUE"""),"No")</f>
        <v>No</v>
      </c>
      <c r="P1484" s="26"/>
    </row>
    <row r="1485">
      <c r="A1485" s="81" t="str">
        <f>IFERROR(__xludf.DUMMYFUNCTION("""COMPUTED_VALUE"""),"Crysis 3")</f>
        <v>Crysis 3</v>
      </c>
      <c r="B1485" s="82" t="str">
        <f>IFERROR(__xludf.DUMMYFUNCTION("""COMPUTED_VALUE"""),"PS3")</f>
        <v>PS3</v>
      </c>
      <c r="C1485" s="83" t="str">
        <f>IFERROR(__xludf.DUMMYFUNCTION("""COMPUTED_VALUE"""),"Playstation Plus (Discontinued)")</f>
        <v>Playstation Plus (Discontinued)</v>
      </c>
      <c r="D1485" s="82" t="str">
        <f>IFERROR(__xludf.DUMMYFUNCTION("""COMPUTED_VALUE"""),"Removed")</f>
        <v>Removed</v>
      </c>
      <c r="E1485" s="84">
        <f>IFERROR(__xludf.DUMMYFUNCTION("""COMPUTED_VALUE"""),41856.0)</f>
        <v>41856</v>
      </c>
      <c r="F1485" s="85">
        <f>IFERROR(__xludf.DUMMYFUNCTION("""COMPUTED_VALUE"""),41883.0)</f>
        <v>41883</v>
      </c>
      <c r="G1485" s="86">
        <f>IFERROR(__xludf.DUMMYFUNCTION("""COMPUTED_VALUE"""),0.8666666666666666)</f>
        <v>0.8666666667</v>
      </c>
      <c r="H1485" s="84">
        <f>IFERROR(__xludf.DUMMYFUNCTION("""COMPUTED_VALUE"""),41324.0)</f>
        <v>41324</v>
      </c>
      <c r="I1485" s="86">
        <f>IFERROR(__xludf.DUMMYFUNCTION("""COMPUTED_VALUE"""),1.461111111111111)</f>
        <v>1.461111111</v>
      </c>
      <c r="J1485" s="87">
        <f>IFERROR(__xludf.DUMMYFUNCTION("""COMPUTED_VALUE"""),76.0)</f>
        <v>76</v>
      </c>
      <c r="K1485" s="88">
        <f>IFERROR(__xludf.DUMMYFUNCTION("""COMPUTED_VALUE"""),7.2)</f>
        <v>7.2</v>
      </c>
      <c r="L1485" s="89">
        <f>IFERROR(__xludf.DUMMYFUNCTION("""COMPUTED_VALUE"""),7.0)</f>
        <v>7</v>
      </c>
      <c r="M1485" s="26" t="str">
        <f>IFERROR(__xludf.DUMMYFUNCTION("""COMPUTED_VALUE"""),"Shooter")</f>
        <v>Shooter</v>
      </c>
      <c r="N1485" s="26"/>
      <c r="O1485" s="26" t="str">
        <f>IFERROR(__xludf.DUMMYFUNCTION("""COMPUTED_VALUE"""),"No")</f>
        <v>No</v>
      </c>
      <c r="P1485" s="26"/>
    </row>
    <row r="1486">
      <c r="A1486" s="81" t="str">
        <f>IFERROR(__xludf.DUMMYFUNCTION("""COMPUTED_VALUE"""),"Metrico")</f>
        <v>Metrico</v>
      </c>
      <c r="B1486" s="82" t="str">
        <f>IFERROR(__xludf.DUMMYFUNCTION("""COMPUTED_VALUE"""),"Vita")</f>
        <v>Vita</v>
      </c>
      <c r="C1486" s="83" t="str">
        <f>IFERROR(__xludf.DUMMYFUNCTION("""COMPUTED_VALUE"""),"Playstation Plus (Discontinued)")</f>
        <v>Playstation Plus (Discontinued)</v>
      </c>
      <c r="D1486" s="82" t="str">
        <f>IFERROR(__xludf.DUMMYFUNCTION("""COMPUTED_VALUE"""),"Removed")</f>
        <v>Removed</v>
      </c>
      <c r="E1486" s="84">
        <f>IFERROR(__xludf.DUMMYFUNCTION("""COMPUTED_VALUE"""),41856.0)</f>
        <v>41856</v>
      </c>
      <c r="F1486" s="85">
        <f>IFERROR(__xludf.DUMMYFUNCTION("""COMPUTED_VALUE"""),41883.0)</f>
        <v>41883</v>
      </c>
      <c r="G1486" s="86">
        <f>IFERROR(__xludf.DUMMYFUNCTION("""COMPUTED_VALUE"""),0.8666666666666666)</f>
        <v>0.8666666667</v>
      </c>
      <c r="H1486" s="84">
        <f>IFERROR(__xludf.DUMMYFUNCTION("""COMPUTED_VALUE"""),41856.0)</f>
        <v>41856</v>
      </c>
      <c r="I1486" s="86">
        <f>IFERROR(__xludf.DUMMYFUNCTION("""COMPUTED_VALUE"""),0.0)</f>
        <v>0</v>
      </c>
      <c r="J1486" s="87">
        <f>IFERROR(__xludf.DUMMYFUNCTION("""COMPUTED_VALUE"""),68.0)</f>
        <v>68</v>
      </c>
      <c r="K1486" s="88">
        <f>IFERROR(__xludf.DUMMYFUNCTION("""COMPUTED_VALUE"""),6.8)</f>
        <v>6.8</v>
      </c>
      <c r="L1486" s="89">
        <f>IFERROR(__xludf.DUMMYFUNCTION("""COMPUTED_VALUE"""),3.0)</f>
        <v>3</v>
      </c>
      <c r="M1486" s="26" t="str">
        <f>IFERROR(__xludf.DUMMYFUNCTION("""COMPUTED_VALUE"""),"Puzzle")</f>
        <v>Puzzle</v>
      </c>
      <c r="N1486" s="26"/>
      <c r="O1486" s="26" t="str">
        <f>IFERROR(__xludf.DUMMYFUNCTION("""COMPUTED_VALUE"""),"No")</f>
        <v>No</v>
      </c>
      <c r="P1486" s="26"/>
    </row>
    <row r="1487">
      <c r="A1487" s="81" t="str">
        <f>IFERROR(__xludf.DUMMYFUNCTION("""COMPUTED_VALUE"""),"Doki-Doki Universe")</f>
        <v>Doki-Doki Universe</v>
      </c>
      <c r="B1487" s="82" t="str">
        <f>IFERROR(__xludf.DUMMYFUNCTION("""COMPUTED_VALUE"""),"PS4/PS3/Vita")</f>
        <v>PS4/PS3/Vita</v>
      </c>
      <c r="C1487" s="83" t="str">
        <f>IFERROR(__xludf.DUMMYFUNCTION("""COMPUTED_VALUE"""),"Playstation Plus (Discontinued)")</f>
        <v>Playstation Plus (Discontinued)</v>
      </c>
      <c r="D1487" s="82" t="str">
        <f>IFERROR(__xludf.DUMMYFUNCTION("""COMPUTED_VALUE"""),"Removed")</f>
        <v>Removed</v>
      </c>
      <c r="E1487" s="84">
        <f>IFERROR(__xludf.DUMMYFUNCTION("""COMPUTED_VALUE"""),41821.0)</f>
        <v>41821</v>
      </c>
      <c r="F1487" s="85">
        <f>IFERROR(__xludf.DUMMYFUNCTION("""COMPUTED_VALUE"""),41855.0)</f>
        <v>41855</v>
      </c>
      <c r="G1487" s="86">
        <f>IFERROR(__xludf.DUMMYFUNCTION("""COMPUTED_VALUE"""),1.0999999999999999)</f>
        <v>1.1</v>
      </c>
      <c r="H1487" s="84">
        <f>IFERROR(__xludf.DUMMYFUNCTION("""COMPUTED_VALUE"""),41618.0)</f>
        <v>41618</v>
      </c>
      <c r="I1487" s="86">
        <f>IFERROR(__xludf.DUMMYFUNCTION("""COMPUTED_VALUE"""),0.5583333333333333)</f>
        <v>0.5583333333</v>
      </c>
      <c r="J1487" s="87">
        <f>IFERROR(__xludf.DUMMYFUNCTION("""COMPUTED_VALUE"""),70.0)</f>
        <v>70</v>
      </c>
      <c r="K1487" s="88">
        <f>IFERROR(__xludf.DUMMYFUNCTION("""COMPUTED_VALUE"""),7.1)</f>
        <v>7.1</v>
      </c>
      <c r="L1487" s="89"/>
      <c r="M1487" s="26" t="str">
        <f>IFERROR(__xludf.DUMMYFUNCTION("""COMPUTED_VALUE"""),"Adventure")</f>
        <v>Adventure</v>
      </c>
      <c r="N1487" s="26"/>
      <c r="O1487" s="26" t="str">
        <f>IFERROR(__xludf.DUMMYFUNCTION("""COMPUTED_VALUE"""),"No")</f>
        <v>No</v>
      </c>
      <c r="P1487" s="26"/>
    </row>
    <row r="1488">
      <c r="A1488" s="81" t="str">
        <f>IFERROR(__xludf.DUMMYFUNCTION("""COMPUTED_VALUE"""),"Towerfall Ascension")</f>
        <v>Towerfall Ascension</v>
      </c>
      <c r="B1488" s="82" t="str">
        <f>IFERROR(__xludf.DUMMYFUNCTION("""COMPUTED_VALUE"""),"PS4")</f>
        <v>PS4</v>
      </c>
      <c r="C1488" s="83" t="str">
        <f>IFERROR(__xludf.DUMMYFUNCTION("""COMPUTED_VALUE"""),"Playstation Plus (Discontinued)")</f>
        <v>Playstation Plus (Discontinued)</v>
      </c>
      <c r="D1488" s="82" t="str">
        <f>IFERROR(__xludf.DUMMYFUNCTION("""COMPUTED_VALUE"""),"Removed")</f>
        <v>Removed</v>
      </c>
      <c r="E1488" s="84">
        <f>IFERROR(__xludf.DUMMYFUNCTION("""COMPUTED_VALUE"""),41821.0)</f>
        <v>41821</v>
      </c>
      <c r="F1488" s="85">
        <f>IFERROR(__xludf.DUMMYFUNCTION("""COMPUTED_VALUE"""),41855.0)</f>
        <v>41855</v>
      </c>
      <c r="G1488" s="86">
        <f>IFERROR(__xludf.DUMMYFUNCTION("""COMPUTED_VALUE"""),1.0999999999999999)</f>
        <v>1.1</v>
      </c>
      <c r="H1488" s="84">
        <f>IFERROR(__xludf.DUMMYFUNCTION("""COMPUTED_VALUE"""),41709.0)</f>
        <v>41709</v>
      </c>
      <c r="I1488" s="86">
        <f>IFERROR(__xludf.DUMMYFUNCTION("""COMPUTED_VALUE"""),0.3055555555555556)</f>
        <v>0.3055555556</v>
      </c>
      <c r="J1488" s="87">
        <f>IFERROR(__xludf.DUMMYFUNCTION("""COMPUTED_VALUE"""),87.0)</f>
        <v>87</v>
      </c>
      <c r="K1488" s="88">
        <f>IFERROR(__xludf.DUMMYFUNCTION("""COMPUTED_VALUE"""),8.4)</f>
        <v>8.4</v>
      </c>
      <c r="L1488" s="89">
        <f>IFERROR(__xludf.DUMMYFUNCTION("""COMPUTED_VALUE"""),4.0)</f>
        <v>4</v>
      </c>
      <c r="M1488" s="26" t="str">
        <f>IFERROR(__xludf.DUMMYFUNCTION("""COMPUTED_VALUE"""),"Platformer")</f>
        <v>Platformer</v>
      </c>
      <c r="N1488" s="26"/>
      <c r="O1488" s="26" t="str">
        <f>IFERROR(__xludf.DUMMYFUNCTION("""COMPUTED_VALUE"""),"No")</f>
        <v>No</v>
      </c>
      <c r="P1488" s="26"/>
    </row>
    <row r="1489">
      <c r="A1489" s="81" t="str">
        <f>IFERROR(__xludf.DUMMYFUNCTION("""COMPUTED_VALUE"""),"Strider")</f>
        <v>Strider</v>
      </c>
      <c r="B1489" s="82" t="str">
        <f>IFERROR(__xludf.DUMMYFUNCTION("""COMPUTED_VALUE"""),"PS4")</f>
        <v>PS4</v>
      </c>
      <c r="C1489" s="83" t="str">
        <f>IFERROR(__xludf.DUMMYFUNCTION("""COMPUTED_VALUE"""),"Playstation Plus (Discontinued)")</f>
        <v>Playstation Plus (Discontinued)</v>
      </c>
      <c r="D1489" s="82" t="str">
        <f>IFERROR(__xludf.DUMMYFUNCTION("""COMPUTED_VALUE"""),"Removed")</f>
        <v>Removed</v>
      </c>
      <c r="E1489" s="84">
        <f>IFERROR(__xludf.DUMMYFUNCTION("""COMPUTED_VALUE"""),41821.0)</f>
        <v>41821</v>
      </c>
      <c r="F1489" s="85">
        <f>IFERROR(__xludf.DUMMYFUNCTION("""COMPUTED_VALUE"""),41855.0)</f>
        <v>41855</v>
      </c>
      <c r="G1489" s="86">
        <f>IFERROR(__xludf.DUMMYFUNCTION("""COMPUTED_VALUE"""),1.0999999999999999)</f>
        <v>1.1</v>
      </c>
      <c r="H1489" s="84">
        <f>IFERROR(__xludf.DUMMYFUNCTION("""COMPUTED_VALUE"""),41688.0)</f>
        <v>41688</v>
      </c>
      <c r="I1489" s="86">
        <f>IFERROR(__xludf.DUMMYFUNCTION("""COMPUTED_VALUE"""),0.36944444444444446)</f>
        <v>0.3694444444</v>
      </c>
      <c r="J1489" s="87">
        <f>IFERROR(__xludf.DUMMYFUNCTION("""COMPUTED_VALUE"""),78.0)</f>
        <v>78</v>
      </c>
      <c r="K1489" s="88">
        <f>IFERROR(__xludf.DUMMYFUNCTION("""COMPUTED_VALUE"""),7.6)</f>
        <v>7.6</v>
      </c>
      <c r="L1489" s="89">
        <f>IFERROR(__xludf.DUMMYFUNCTION("""COMPUTED_VALUE"""),5.0)</f>
        <v>5</v>
      </c>
      <c r="M1489" s="26" t="str">
        <f>IFERROR(__xludf.DUMMYFUNCTION("""COMPUTED_VALUE"""),"Platformer")</f>
        <v>Platformer</v>
      </c>
      <c r="N1489" s="26"/>
      <c r="O1489" s="26" t="str">
        <f>IFERROR(__xludf.DUMMYFUNCTION("""COMPUTED_VALUE"""),"No")</f>
        <v>No</v>
      </c>
      <c r="P1489" s="26"/>
    </row>
    <row r="1490">
      <c r="A1490" s="81" t="str">
        <f>IFERROR(__xludf.DUMMYFUNCTION("""COMPUTED_VALUE"""),"Dead Space 3")</f>
        <v>Dead Space 3</v>
      </c>
      <c r="B1490" s="82" t="str">
        <f>IFERROR(__xludf.DUMMYFUNCTION("""COMPUTED_VALUE"""),"PS3")</f>
        <v>PS3</v>
      </c>
      <c r="C1490" s="83" t="str">
        <f>IFERROR(__xludf.DUMMYFUNCTION("""COMPUTED_VALUE"""),"Playstation Plus (Discontinued)")</f>
        <v>Playstation Plus (Discontinued)</v>
      </c>
      <c r="D1490" s="82" t="str">
        <f>IFERROR(__xludf.DUMMYFUNCTION("""COMPUTED_VALUE"""),"Removed")</f>
        <v>Removed</v>
      </c>
      <c r="E1490" s="84">
        <f>IFERROR(__xludf.DUMMYFUNCTION("""COMPUTED_VALUE"""),41821.0)</f>
        <v>41821</v>
      </c>
      <c r="F1490" s="85">
        <f>IFERROR(__xludf.DUMMYFUNCTION("""COMPUTED_VALUE"""),41855.0)</f>
        <v>41855</v>
      </c>
      <c r="G1490" s="86">
        <f>IFERROR(__xludf.DUMMYFUNCTION("""COMPUTED_VALUE"""),1.0999999999999999)</f>
        <v>1.1</v>
      </c>
      <c r="H1490" s="84">
        <f>IFERROR(__xludf.DUMMYFUNCTION("""COMPUTED_VALUE"""),41310.0)</f>
        <v>41310</v>
      </c>
      <c r="I1490" s="86">
        <f>IFERROR(__xludf.DUMMYFUNCTION("""COMPUTED_VALUE"""),1.4055555555555554)</f>
        <v>1.405555556</v>
      </c>
      <c r="J1490" s="87">
        <f>IFERROR(__xludf.DUMMYFUNCTION("""COMPUTED_VALUE"""),78.0)</f>
        <v>78</v>
      </c>
      <c r="K1490" s="88">
        <f>IFERROR(__xludf.DUMMYFUNCTION("""COMPUTED_VALUE"""),6.6)</f>
        <v>6.6</v>
      </c>
      <c r="L1490" s="89">
        <f>IFERROR(__xludf.DUMMYFUNCTION("""COMPUTED_VALUE"""),13.0)</f>
        <v>13</v>
      </c>
      <c r="M1490" s="26" t="str">
        <f>IFERROR(__xludf.DUMMYFUNCTION("""COMPUTED_VALUE"""),"Horror")</f>
        <v>Horror</v>
      </c>
      <c r="N1490" s="26"/>
      <c r="O1490" s="26" t="str">
        <f>IFERROR(__xludf.DUMMYFUNCTION("""COMPUTED_VALUE"""),"No")</f>
        <v>No</v>
      </c>
      <c r="P1490" s="26"/>
    </row>
    <row r="1491">
      <c r="A1491" s="81" t="str">
        <f>IFERROR(__xludf.DUMMYFUNCTION("""COMPUTED_VALUE"""),"Vessel")</f>
        <v>Vessel</v>
      </c>
      <c r="B1491" s="82" t="str">
        <f>IFERROR(__xludf.DUMMYFUNCTION("""COMPUTED_VALUE"""),"PS3")</f>
        <v>PS3</v>
      </c>
      <c r="C1491" s="83" t="str">
        <f>IFERROR(__xludf.DUMMYFUNCTION("""COMPUTED_VALUE"""),"Playstation Plus (Discontinued)")</f>
        <v>Playstation Plus (Discontinued)</v>
      </c>
      <c r="D1491" s="82" t="str">
        <f>IFERROR(__xludf.DUMMYFUNCTION("""COMPUTED_VALUE"""),"Removed")</f>
        <v>Removed</v>
      </c>
      <c r="E1491" s="84">
        <f>IFERROR(__xludf.DUMMYFUNCTION("""COMPUTED_VALUE"""),41821.0)</f>
        <v>41821</v>
      </c>
      <c r="F1491" s="85">
        <f>IFERROR(__xludf.DUMMYFUNCTION("""COMPUTED_VALUE"""),41855.0)</f>
        <v>41855</v>
      </c>
      <c r="G1491" s="86">
        <f>IFERROR(__xludf.DUMMYFUNCTION("""COMPUTED_VALUE"""),1.0999999999999999)</f>
        <v>1.1</v>
      </c>
      <c r="H1491" s="84">
        <f>IFERROR(__xludf.DUMMYFUNCTION("""COMPUTED_VALUE"""),40969.0)</f>
        <v>40969</v>
      </c>
      <c r="I1491" s="86">
        <f>IFERROR(__xludf.DUMMYFUNCTION("""COMPUTED_VALUE"""),2.3333333333333335)</f>
        <v>2.333333333</v>
      </c>
      <c r="J1491" s="87">
        <f>IFERROR(__xludf.DUMMYFUNCTION("""COMPUTED_VALUE"""),79.0)</f>
        <v>79</v>
      </c>
      <c r="K1491" s="88">
        <f>IFERROR(__xludf.DUMMYFUNCTION("""COMPUTED_VALUE"""),7.4)</f>
        <v>7.4</v>
      </c>
      <c r="L1491" s="89">
        <f>IFERROR(__xludf.DUMMYFUNCTION("""COMPUTED_VALUE"""),6.0)</f>
        <v>6</v>
      </c>
      <c r="M1491" s="26" t="str">
        <f>IFERROR(__xludf.DUMMYFUNCTION("""COMPUTED_VALUE"""),"Platformer")</f>
        <v>Platformer</v>
      </c>
      <c r="N1491" s="26"/>
      <c r="O1491" s="26" t="str">
        <f>IFERROR(__xludf.DUMMYFUNCTION("""COMPUTED_VALUE"""),"No")</f>
        <v>No</v>
      </c>
      <c r="P1491" s="26"/>
    </row>
    <row r="1492">
      <c r="A1492" s="81" t="str">
        <f>IFERROR(__xludf.DUMMYFUNCTION("""COMPUTED_VALUE"""),"Muramasa Rebirth")</f>
        <v>Muramasa Rebirth</v>
      </c>
      <c r="B1492" s="82" t="str">
        <f>IFERROR(__xludf.DUMMYFUNCTION("""COMPUTED_VALUE"""),"Vita")</f>
        <v>Vita</v>
      </c>
      <c r="C1492" s="83" t="str">
        <f>IFERROR(__xludf.DUMMYFUNCTION("""COMPUTED_VALUE"""),"Playstation Plus (Discontinued)")</f>
        <v>Playstation Plus (Discontinued)</v>
      </c>
      <c r="D1492" s="82" t="str">
        <f>IFERROR(__xludf.DUMMYFUNCTION("""COMPUTED_VALUE"""),"Removed")</f>
        <v>Removed</v>
      </c>
      <c r="E1492" s="84">
        <f>IFERROR(__xludf.DUMMYFUNCTION("""COMPUTED_VALUE"""),41821.0)</f>
        <v>41821</v>
      </c>
      <c r="F1492" s="85">
        <f>IFERROR(__xludf.DUMMYFUNCTION("""COMPUTED_VALUE"""),41855.0)</f>
        <v>41855</v>
      </c>
      <c r="G1492" s="86">
        <f>IFERROR(__xludf.DUMMYFUNCTION("""COMPUTED_VALUE"""),1.0999999999999999)</f>
        <v>1.1</v>
      </c>
      <c r="H1492" s="84">
        <f>IFERROR(__xludf.DUMMYFUNCTION("""COMPUTED_VALUE"""),41450.0)</f>
        <v>41450</v>
      </c>
      <c r="I1492" s="86">
        <f>IFERROR(__xludf.DUMMYFUNCTION("""COMPUTED_VALUE"""),1.0166666666666666)</f>
        <v>1.016666667</v>
      </c>
      <c r="J1492" s="87">
        <f>IFERROR(__xludf.DUMMYFUNCTION("""COMPUTED_VALUE"""),81.0)</f>
        <v>81</v>
      </c>
      <c r="K1492" s="88">
        <f>IFERROR(__xludf.DUMMYFUNCTION("""COMPUTED_VALUE"""),8.3)</f>
        <v>8.3</v>
      </c>
      <c r="L1492" s="89">
        <f>IFERROR(__xludf.DUMMYFUNCTION("""COMPUTED_VALUE"""),15.0)</f>
        <v>15</v>
      </c>
      <c r="M1492" s="26" t="str">
        <f>IFERROR(__xludf.DUMMYFUNCTION("""COMPUTED_VALUE"""),"Platformer")</f>
        <v>Platformer</v>
      </c>
      <c r="N1492" s="26"/>
      <c r="O1492" s="26" t="str">
        <f>IFERROR(__xludf.DUMMYFUNCTION("""COMPUTED_VALUE"""),"No")</f>
        <v>No</v>
      </c>
      <c r="P1492" s="26"/>
    </row>
    <row r="1493">
      <c r="A1493" s="81" t="str">
        <f>IFERROR(__xludf.DUMMYFUNCTION("""COMPUTED_VALUE"""),"Mutant Mudds Deluxe")</f>
        <v>Mutant Mudds Deluxe</v>
      </c>
      <c r="B1493" s="82" t="str">
        <f>IFERROR(__xludf.DUMMYFUNCTION("""COMPUTED_VALUE"""),"PS3/Vita")</f>
        <v>PS3/Vita</v>
      </c>
      <c r="C1493" s="83" t="str">
        <f>IFERROR(__xludf.DUMMYFUNCTION("""COMPUTED_VALUE"""),"Playstation Plus (Discontinued)")</f>
        <v>Playstation Plus (Discontinued)</v>
      </c>
      <c r="D1493" s="82" t="str">
        <f>IFERROR(__xludf.DUMMYFUNCTION("""COMPUTED_VALUE"""),"Removed")</f>
        <v>Removed</v>
      </c>
      <c r="E1493" s="84">
        <f>IFERROR(__xludf.DUMMYFUNCTION("""COMPUTED_VALUE"""),41814.0)</f>
        <v>41814</v>
      </c>
      <c r="F1493" s="85">
        <f>IFERROR(__xludf.DUMMYFUNCTION("""COMPUTED_VALUE"""),41820.0)</f>
        <v>41820</v>
      </c>
      <c r="G1493" s="86">
        <f>IFERROR(__xludf.DUMMYFUNCTION("""COMPUTED_VALUE"""),0.2)</f>
        <v>0.2</v>
      </c>
      <c r="H1493" s="84">
        <f>IFERROR(__xludf.DUMMYFUNCTION("""COMPUTED_VALUE"""),41499.0)</f>
        <v>41499</v>
      </c>
      <c r="I1493" s="86">
        <f>IFERROR(__xludf.DUMMYFUNCTION("""COMPUTED_VALUE"""),0.8638888888888889)</f>
        <v>0.8638888889</v>
      </c>
      <c r="J1493" s="87">
        <f>IFERROR(__xludf.DUMMYFUNCTION("""COMPUTED_VALUE"""),79.0)</f>
        <v>79</v>
      </c>
      <c r="K1493" s="88">
        <f>IFERROR(__xludf.DUMMYFUNCTION("""COMPUTED_VALUE"""),7.6)</f>
        <v>7.6</v>
      </c>
      <c r="L1493" s="89">
        <f>IFERROR(__xludf.DUMMYFUNCTION("""COMPUTED_VALUE"""),5.0)</f>
        <v>5</v>
      </c>
      <c r="M1493" s="26" t="str">
        <f>IFERROR(__xludf.DUMMYFUNCTION("""COMPUTED_VALUE"""),"Platformer")</f>
        <v>Platformer</v>
      </c>
      <c r="N1493" s="26"/>
      <c r="O1493" s="26" t="str">
        <f>IFERROR(__xludf.DUMMYFUNCTION("""COMPUTED_VALUE"""),"No")</f>
        <v>No</v>
      </c>
      <c r="P1493" s="26"/>
    </row>
    <row r="1494">
      <c r="A1494" s="81" t="str">
        <f>IFERROR(__xludf.DUMMYFUNCTION("""COMPUTED_VALUE"""),"Terraria")</f>
        <v>Terraria</v>
      </c>
      <c r="B1494" s="82" t="str">
        <f>IFERROR(__xludf.DUMMYFUNCTION("""COMPUTED_VALUE"""),"Vita")</f>
        <v>Vita</v>
      </c>
      <c r="C1494" s="83" t="str">
        <f>IFERROR(__xludf.DUMMYFUNCTION("""COMPUTED_VALUE"""),"Playstation Plus (Discontinued)")</f>
        <v>Playstation Plus (Discontinued)</v>
      </c>
      <c r="D1494" s="82" t="str">
        <f>IFERROR(__xludf.DUMMYFUNCTION("""COMPUTED_VALUE"""),"Removed")</f>
        <v>Removed</v>
      </c>
      <c r="E1494" s="84">
        <f>IFERROR(__xludf.DUMMYFUNCTION("""COMPUTED_VALUE"""),41807.0)</f>
        <v>41807</v>
      </c>
      <c r="F1494" s="85">
        <f>IFERROR(__xludf.DUMMYFUNCTION("""COMPUTED_VALUE"""),41813.0)</f>
        <v>41813</v>
      </c>
      <c r="G1494" s="86">
        <f>IFERROR(__xludf.DUMMYFUNCTION("""COMPUTED_VALUE"""),0.2)</f>
        <v>0.2</v>
      </c>
      <c r="H1494" s="84">
        <f>IFERROR(__xludf.DUMMYFUNCTION("""COMPUTED_VALUE"""),41359.0)</f>
        <v>41359</v>
      </c>
      <c r="I1494" s="86">
        <f>IFERROR(__xludf.DUMMYFUNCTION("""COMPUTED_VALUE"""),1.225)</f>
        <v>1.225</v>
      </c>
      <c r="J1494" s="87">
        <f>IFERROR(__xludf.DUMMYFUNCTION("""COMPUTED_VALUE"""),83.0)</f>
        <v>83</v>
      </c>
      <c r="K1494" s="88">
        <f>IFERROR(__xludf.DUMMYFUNCTION("""COMPUTED_VALUE"""),8.2)</f>
        <v>8.2</v>
      </c>
      <c r="L1494" s="89">
        <f>IFERROR(__xludf.DUMMYFUNCTION("""COMPUTED_VALUE"""),50.0)</f>
        <v>50</v>
      </c>
      <c r="M1494" s="26" t="str">
        <f>IFERROR(__xludf.DUMMYFUNCTION("""COMPUTED_VALUE"""),"Action-Adventure")</f>
        <v>Action-Adventure</v>
      </c>
      <c r="N1494" s="26"/>
      <c r="O1494" s="26" t="str">
        <f>IFERROR(__xludf.DUMMYFUNCTION("""COMPUTED_VALUE"""),"No")</f>
        <v>No</v>
      </c>
      <c r="P1494" s="26"/>
    </row>
    <row r="1495">
      <c r="A1495" s="81" t="str">
        <f>IFERROR(__xludf.DUMMYFUNCTION("""COMPUTED_VALUE"""),"Sly Cooper: Thieves in Time")</f>
        <v>Sly Cooper: Thieves in Time</v>
      </c>
      <c r="B1495" s="82" t="str">
        <f>IFERROR(__xludf.DUMMYFUNCTION("""COMPUTED_VALUE"""),"PS3/Vita")</f>
        <v>PS3/Vita</v>
      </c>
      <c r="C1495" s="83" t="str">
        <f>IFERROR(__xludf.DUMMYFUNCTION("""COMPUTED_VALUE"""),"Playstation Plus (Discontinued)")</f>
        <v>Playstation Plus (Discontinued)</v>
      </c>
      <c r="D1495" s="82" t="str">
        <f>IFERROR(__xludf.DUMMYFUNCTION("""COMPUTED_VALUE"""),"Removed")</f>
        <v>Removed</v>
      </c>
      <c r="E1495" s="84">
        <f>IFERROR(__xludf.DUMMYFUNCTION("""COMPUTED_VALUE"""),41799.0)</f>
        <v>41799</v>
      </c>
      <c r="F1495" s="85">
        <f>IFERROR(__xludf.DUMMYFUNCTION("""COMPUTED_VALUE"""),41806.0)</f>
        <v>41806</v>
      </c>
      <c r="G1495" s="86">
        <f>IFERROR(__xludf.DUMMYFUNCTION("""COMPUTED_VALUE"""),0.23333333333333334)</f>
        <v>0.2333333333</v>
      </c>
      <c r="H1495" s="84">
        <f>IFERROR(__xludf.DUMMYFUNCTION("""COMPUTED_VALUE"""),41310.0)</f>
        <v>41310</v>
      </c>
      <c r="I1495" s="86">
        <f>IFERROR(__xludf.DUMMYFUNCTION("""COMPUTED_VALUE"""),1.3444444444444446)</f>
        <v>1.344444444</v>
      </c>
      <c r="J1495" s="87">
        <f>IFERROR(__xludf.DUMMYFUNCTION("""COMPUTED_VALUE"""),75.0)</f>
        <v>75</v>
      </c>
      <c r="K1495" s="88">
        <f>IFERROR(__xludf.DUMMYFUNCTION("""COMPUTED_VALUE"""),8.0)</f>
        <v>8</v>
      </c>
      <c r="L1495" s="89">
        <f>IFERROR(__xludf.DUMMYFUNCTION("""COMPUTED_VALUE"""),13.0)</f>
        <v>13</v>
      </c>
      <c r="M1495" s="26" t="str">
        <f>IFERROR(__xludf.DUMMYFUNCTION("""COMPUTED_VALUE"""),"Platformer")</f>
        <v>Platformer</v>
      </c>
      <c r="N1495" s="26"/>
      <c r="O1495" s="26" t="str">
        <f>IFERROR(__xludf.DUMMYFUNCTION("""COMPUTED_VALUE"""),"No")</f>
        <v>No</v>
      </c>
      <c r="P1495" s="26"/>
    </row>
    <row r="1496">
      <c r="A1496" s="81" t="str">
        <f>IFERROR(__xludf.DUMMYFUNCTION("""COMPUTED_VALUE"""),"PixelJunk Shooter Ultimate")</f>
        <v>PixelJunk Shooter Ultimate</v>
      </c>
      <c r="B1496" s="82" t="str">
        <f>IFERROR(__xludf.DUMMYFUNCTION("""COMPUTED_VALUE"""),"PS4/Vita")</f>
        <v>PS4/Vita</v>
      </c>
      <c r="C1496" s="83" t="str">
        <f>IFERROR(__xludf.DUMMYFUNCTION("""COMPUTED_VALUE"""),"Playstation Plus (Discontinued)")</f>
        <v>Playstation Plus (Discontinued)</v>
      </c>
      <c r="D1496" s="82" t="str">
        <f>IFERROR(__xludf.DUMMYFUNCTION("""COMPUTED_VALUE"""),"Removed")</f>
        <v>Removed</v>
      </c>
      <c r="E1496" s="84">
        <f>IFERROR(__xludf.DUMMYFUNCTION("""COMPUTED_VALUE"""),41793.0)</f>
        <v>41793</v>
      </c>
      <c r="F1496" s="85">
        <f>IFERROR(__xludf.DUMMYFUNCTION("""COMPUTED_VALUE"""),41798.0)</f>
        <v>41798</v>
      </c>
      <c r="G1496" s="86">
        <f>IFERROR(__xludf.DUMMYFUNCTION("""COMPUTED_VALUE"""),0.16666666666666666)</f>
        <v>0.1666666667</v>
      </c>
      <c r="H1496" s="84">
        <f>IFERROR(__xludf.DUMMYFUNCTION("""COMPUTED_VALUE"""),41793.0)</f>
        <v>41793</v>
      </c>
      <c r="I1496" s="86">
        <f>IFERROR(__xludf.DUMMYFUNCTION("""COMPUTED_VALUE"""),0.0)</f>
        <v>0</v>
      </c>
      <c r="J1496" s="87">
        <f>IFERROR(__xludf.DUMMYFUNCTION("""COMPUTED_VALUE"""),84.0)</f>
        <v>84</v>
      </c>
      <c r="K1496" s="88">
        <f>IFERROR(__xludf.DUMMYFUNCTION("""COMPUTED_VALUE"""),7.5)</f>
        <v>7.5</v>
      </c>
      <c r="L1496" s="89">
        <f>IFERROR(__xludf.DUMMYFUNCTION("""COMPUTED_VALUE"""),7.0)</f>
        <v>7</v>
      </c>
      <c r="M1496" s="26" t="str">
        <f>IFERROR(__xludf.DUMMYFUNCTION("""COMPUTED_VALUE"""),"Shooter")</f>
        <v>Shooter</v>
      </c>
      <c r="N1496" s="26"/>
      <c r="O1496" s="26" t="str">
        <f>IFERROR(__xludf.DUMMYFUNCTION("""COMPUTED_VALUE"""),"No")</f>
        <v>No</v>
      </c>
      <c r="P1496" s="26"/>
    </row>
    <row r="1497">
      <c r="A1497" s="81" t="str">
        <f>IFERROR(__xludf.DUMMYFUNCTION("""COMPUTED_VALUE"""),"Trine 2: Complete Story")</f>
        <v>Trine 2: Complete Story</v>
      </c>
      <c r="B1497" s="82" t="str">
        <f>IFERROR(__xludf.DUMMYFUNCTION("""COMPUTED_VALUE"""),"PS4")</f>
        <v>PS4</v>
      </c>
      <c r="C1497" s="83" t="str">
        <f>IFERROR(__xludf.DUMMYFUNCTION("""COMPUTED_VALUE"""),"Playstation Plus (Discontinued)")</f>
        <v>Playstation Plus (Discontinued)</v>
      </c>
      <c r="D1497" s="82" t="str">
        <f>IFERROR(__xludf.DUMMYFUNCTION("""COMPUTED_VALUE"""),"Removed")</f>
        <v>Removed</v>
      </c>
      <c r="E1497" s="84">
        <f>IFERROR(__xludf.DUMMYFUNCTION("""COMPUTED_VALUE"""),41793.0)</f>
        <v>41793</v>
      </c>
      <c r="F1497" s="85">
        <f>IFERROR(__xludf.DUMMYFUNCTION("""COMPUTED_VALUE"""),41798.0)</f>
        <v>41798</v>
      </c>
      <c r="G1497" s="86">
        <f>IFERROR(__xludf.DUMMYFUNCTION("""COMPUTED_VALUE"""),0.16666666666666666)</f>
        <v>0.1666666667</v>
      </c>
      <c r="H1497" s="84">
        <f>IFERROR(__xludf.DUMMYFUNCTION("""COMPUTED_VALUE"""),41625.0)</f>
        <v>41625</v>
      </c>
      <c r="I1497" s="86">
        <f>IFERROR(__xludf.DUMMYFUNCTION("""COMPUTED_VALUE"""),0.46111111111111114)</f>
        <v>0.4611111111</v>
      </c>
      <c r="J1497" s="87">
        <f>IFERROR(__xludf.DUMMYFUNCTION("""COMPUTED_VALUE"""),85.0)</f>
        <v>85</v>
      </c>
      <c r="K1497" s="88">
        <f>IFERROR(__xludf.DUMMYFUNCTION("""COMPUTED_VALUE"""),8.2)</f>
        <v>8.2</v>
      </c>
      <c r="L1497" s="89">
        <f>IFERROR(__xludf.DUMMYFUNCTION("""COMPUTED_VALUE"""),10.0)</f>
        <v>10</v>
      </c>
      <c r="M1497" s="26" t="str">
        <f>IFERROR(__xludf.DUMMYFUNCTION("""COMPUTED_VALUE"""),"Platformer")</f>
        <v>Platformer</v>
      </c>
      <c r="N1497" s="26"/>
      <c r="O1497" s="26" t="str">
        <f>IFERROR(__xludf.DUMMYFUNCTION("""COMPUTED_VALUE"""),"No")</f>
        <v>No</v>
      </c>
      <c r="P1497" s="26"/>
    </row>
    <row r="1498">
      <c r="A1498" s="81" t="str">
        <f>IFERROR(__xludf.DUMMYFUNCTION("""COMPUTED_VALUE"""),"NBA 2K14")</f>
        <v>NBA 2K14</v>
      </c>
      <c r="B1498" s="82" t="str">
        <f>IFERROR(__xludf.DUMMYFUNCTION("""COMPUTED_VALUE"""),"PS3")</f>
        <v>PS3</v>
      </c>
      <c r="C1498" s="83" t="str">
        <f>IFERROR(__xludf.DUMMYFUNCTION("""COMPUTED_VALUE"""),"Playstation Plus (Discontinued)")</f>
        <v>Playstation Plus (Discontinued)</v>
      </c>
      <c r="D1498" s="82" t="str">
        <f>IFERROR(__xludf.DUMMYFUNCTION("""COMPUTED_VALUE"""),"Removed")</f>
        <v>Removed</v>
      </c>
      <c r="E1498" s="84">
        <f>IFERROR(__xludf.DUMMYFUNCTION("""COMPUTED_VALUE"""),41793.0)</f>
        <v>41793</v>
      </c>
      <c r="F1498" s="85">
        <f>IFERROR(__xludf.DUMMYFUNCTION("""COMPUTED_VALUE"""),41798.0)</f>
        <v>41798</v>
      </c>
      <c r="G1498" s="86">
        <f>IFERROR(__xludf.DUMMYFUNCTION("""COMPUTED_VALUE"""),0.16666666666666666)</f>
        <v>0.1666666667</v>
      </c>
      <c r="H1498" s="84">
        <f>IFERROR(__xludf.DUMMYFUNCTION("""COMPUTED_VALUE"""),41548.0)</f>
        <v>41548</v>
      </c>
      <c r="I1498" s="86">
        <f>IFERROR(__xludf.DUMMYFUNCTION("""COMPUTED_VALUE"""),0.6722222222222223)</f>
        <v>0.6722222222</v>
      </c>
      <c r="J1498" s="87">
        <f>IFERROR(__xludf.DUMMYFUNCTION("""COMPUTED_VALUE"""),85.0)</f>
        <v>85</v>
      </c>
      <c r="K1498" s="88">
        <f>IFERROR(__xludf.DUMMYFUNCTION("""COMPUTED_VALUE"""),7.1)</f>
        <v>7.1</v>
      </c>
      <c r="L1498" s="89"/>
      <c r="M1498" s="26" t="str">
        <f>IFERROR(__xludf.DUMMYFUNCTION("""COMPUTED_VALUE"""),"Sports")</f>
        <v>Sports</v>
      </c>
      <c r="N1498" s="26"/>
      <c r="O1498" s="26" t="str">
        <f>IFERROR(__xludf.DUMMYFUNCTION("""COMPUTED_VALUE"""),"No")</f>
        <v>No</v>
      </c>
      <c r="P1498" s="26"/>
    </row>
    <row r="1499">
      <c r="A1499" s="81" t="str">
        <f>IFERROR(__xludf.DUMMYFUNCTION("""COMPUTED_VALUE"""),"Limbo")</f>
        <v>Limbo</v>
      </c>
      <c r="B1499" s="82" t="str">
        <f>IFERROR(__xludf.DUMMYFUNCTION("""COMPUTED_VALUE"""),"Vita")</f>
        <v>Vita</v>
      </c>
      <c r="C1499" s="83" t="str">
        <f>IFERROR(__xludf.DUMMYFUNCTION("""COMPUTED_VALUE"""),"Playstation Plus (Discontinued)")</f>
        <v>Playstation Plus (Discontinued)</v>
      </c>
      <c r="D1499" s="82" t="str">
        <f>IFERROR(__xludf.DUMMYFUNCTION("""COMPUTED_VALUE"""),"Removed")</f>
        <v>Removed</v>
      </c>
      <c r="E1499" s="84">
        <f>IFERROR(__xludf.DUMMYFUNCTION("""COMPUTED_VALUE"""),41786.0)</f>
        <v>41786</v>
      </c>
      <c r="F1499" s="85">
        <f>IFERROR(__xludf.DUMMYFUNCTION("""COMPUTED_VALUE"""),41792.0)</f>
        <v>41792</v>
      </c>
      <c r="G1499" s="86">
        <f>IFERROR(__xludf.DUMMYFUNCTION("""COMPUTED_VALUE"""),0.16666666666666666)</f>
        <v>0.1666666667</v>
      </c>
      <c r="H1499" s="84">
        <f>IFERROR(__xludf.DUMMYFUNCTION("""COMPUTED_VALUE"""),40378.0)</f>
        <v>40378</v>
      </c>
      <c r="I1499" s="86">
        <f>IFERROR(__xludf.DUMMYFUNCTION("""COMPUTED_VALUE"""),3.8555555555555556)</f>
        <v>3.855555556</v>
      </c>
      <c r="J1499" s="87">
        <f>IFERROR(__xludf.DUMMYFUNCTION("""COMPUTED_VALUE"""),90.0)</f>
        <v>90</v>
      </c>
      <c r="K1499" s="88">
        <f>IFERROR(__xludf.DUMMYFUNCTION("""COMPUTED_VALUE"""),8.2)</f>
        <v>8.2</v>
      </c>
      <c r="L1499" s="89">
        <f>IFERROR(__xludf.DUMMYFUNCTION("""COMPUTED_VALUE"""),4.0)</f>
        <v>4</v>
      </c>
      <c r="M1499" s="26" t="str">
        <f>IFERROR(__xludf.DUMMYFUNCTION("""COMPUTED_VALUE"""),"Platformer")</f>
        <v>Platformer</v>
      </c>
      <c r="N1499" s="26"/>
      <c r="O1499" s="26" t="str">
        <f>IFERROR(__xludf.DUMMYFUNCTION("""COMPUTED_VALUE"""),"No")</f>
        <v>No</v>
      </c>
      <c r="P1499" s="26"/>
    </row>
    <row r="1500">
      <c r="A1500" s="81" t="str">
        <f>IFERROR(__xludf.DUMMYFUNCTION("""COMPUTED_VALUE"""),"Puppeteer")</f>
        <v>Puppeteer</v>
      </c>
      <c r="B1500" s="82" t="str">
        <f>IFERROR(__xludf.DUMMYFUNCTION("""COMPUTED_VALUE"""),"PS3")</f>
        <v>PS3</v>
      </c>
      <c r="C1500" s="83" t="str">
        <f>IFERROR(__xludf.DUMMYFUNCTION("""COMPUTED_VALUE"""),"Playstation Plus (Discontinued)")</f>
        <v>Playstation Plus (Discontinued)</v>
      </c>
      <c r="D1500" s="82" t="str">
        <f>IFERROR(__xludf.DUMMYFUNCTION("""COMPUTED_VALUE"""),"Removed")</f>
        <v>Removed</v>
      </c>
      <c r="E1500" s="84">
        <f>IFERROR(__xludf.DUMMYFUNCTION("""COMPUTED_VALUE"""),41779.0)</f>
        <v>41779</v>
      </c>
      <c r="F1500" s="85">
        <f>IFERROR(__xludf.DUMMYFUNCTION("""COMPUTED_VALUE"""),41785.0)</f>
        <v>41785</v>
      </c>
      <c r="G1500" s="86">
        <f>IFERROR(__xludf.DUMMYFUNCTION("""COMPUTED_VALUE"""),0.2)</f>
        <v>0.2</v>
      </c>
      <c r="H1500" s="84">
        <f>IFERROR(__xludf.DUMMYFUNCTION("""COMPUTED_VALUE"""),41527.0)</f>
        <v>41527</v>
      </c>
      <c r="I1500" s="86">
        <f>IFERROR(__xludf.DUMMYFUNCTION("""COMPUTED_VALUE"""),0.6944444444444444)</f>
        <v>0.6944444444</v>
      </c>
      <c r="J1500" s="87">
        <f>IFERROR(__xludf.DUMMYFUNCTION("""COMPUTED_VALUE"""),80.0)</f>
        <v>80</v>
      </c>
      <c r="K1500" s="88">
        <f>IFERROR(__xludf.DUMMYFUNCTION("""COMPUTED_VALUE"""),8.2)</f>
        <v>8.2</v>
      </c>
      <c r="L1500" s="89">
        <f>IFERROR(__xludf.DUMMYFUNCTION("""COMPUTED_VALUE"""),8.0)</f>
        <v>8</v>
      </c>
      <c r="M1500" s="26" t="str">
        <f>IFERROR(__xludf.DUMMYFUNCTION("""COMPUTED_VALUE"""),"Platformer")</f>
        <v>Platformer</v>
      </c>
      <c r="N1500" s="26"/>
      <c r="O1500" s="26" t="str">
        <f>IFERROR(__xludf.DUMMYFUNCTION("""COMPUTED_VALUE"""),"No")</f>
        <v>No</v>
      </c>
      <c r="P1500" s="26"/>
    </row>
    <row r="1501">
      <c r="A1501" s="81" t="str">
        <f>IFERROR(__xludf.DUMMYFUNCTION("""COMPUTED_VALUE"""),"Surge Deluxe")</f>
        <v>Surge Deluxe</v>
      </c>
      <c r="B1501" s="82" t="str">
        <f>IFERROR(__xludf.DUMMYFUNCTION("""COMPUTED_VALUE"""),"Vita")</f>
        <v>Vita</v>
      </c>
      <c r="C1501" s="83" t="str">
        <f>IFERROR(__xludf.DUMMYFUNCTION("""COMPUTED_VALUE"""),"Playstation Plus (Discontinued)")</f>
        <v>Playstation Plus (Discontinued)</v>
      </c>
      <c r="D1501" s="82" t="str">
        <f>IFERROR(__xludf.DUMMYFUNCTION("""COMPUTED_VALUE"""),"Removed")</f>
        <v>Removed</v>
      </c>
      <c r="E1501" s="84">
        <f>IFERROR(__xludf.DUMMYFUNCTION("""COMPUTED_VALUE"""),41779.0)</f>
        <v>41779</v>
      </c>
      <c r="F1501" s="85">
        <f>IFERROR(__xludf.DUMMYFUNCTION("""COMPUTED_VALUE"""),41785.0)</f>
        <v>41785</v>
      </c>
      <c r="G1501" s="86">
        <f>IFERROR(__xludf.DUMMYFUNCTION("""COMPUTED_VALUE"""),0.2)</f>
        <v>0.2</v>
      </c>
      <c r="H1501" s="84">
        <f>IFERROR(__xludf.DUMMYFUNCTION("""COMPUTED_VALUE"""),41674.0)</f>
        <v>41674</v>
      </c>
      <c r="I1501" s="86">
        <f>IFERROR(__xludf.DUMMYFUNCTION("""COMPUTED_VALUE"""),0.29444444444444445)</f>
        <v>0.2944444444</v>
      </c>
      <c r="J1501" s="87">
        <f>IFERROR(__xludf.DUMMYFUNCTION("""COMPUTED_VALUE"""),64.0)</f>
        <v>64</v>
      </c>
      <c r="K1501" s="88">
        <f>IFERROR(__xludf.DUMMYFUNCTION("""COMPUTED_VALUE"""),6.8)</f>
        <v>6.8</v>
      </c>
      <c r="L1501" s="89">
        <f>IFERROR(__xludf.DUMMYFUNCTION("""COMPUTED_VALUE"""),4.0)</f>
        <v>4</v>
      </c>
      <c r="M1501" s="26" t="str">
        <f>IFERROR(__xludf.DUMMYFUNCTION("""COMPUTED_VALUE"""),"Puzzle")</f>
        <v>Puzzle</v>
      </c>
      <c r="N1501" s="26"/>
      <c r="O1501" s="26" t="str">
        <f>IFERROR(__xludf.DUMMYFUNCTION("""COMPUTED_VALUE"""),"No")</f>
        <v>No</v>
      </c>
      <c r="P1501" s="26"/>
    </row>
    <row r="1502">
      <c r="A1502" s="81" t="str">
        <f>IFERROR(__xludf.DUMMYFUNCTION("""COMPUTED_VALUE"""),"Skullgirls Encore")</f>
        <v>Skullgirls Encore</v>
      </c>
      <c r="B1502" s="82" t="str">
        <f>IFERROR(__xludf.DUMMYFUNCTION("""COMPUTED_VALUE"""),"PS3")</f>
        <v>PS3</v>
      </c>
      <c r="C1502" s="83" t="str">
        <f>IFERROR(__xludf.DUMMYFUNCTION("""COMPUTED_VALUE"""),"Playstation Plus (Discontinued)")</f>
        <v>Playstation Plus (Discontinued)</v>
      </c>
      <c r="D1502" s="82" t="str">
        <f>IFERROR(__xludf.DUMMYFUNCTION("""COMPUTED_VALUE"""),"Removed")</f>
        <v>Removed</v>
      </c>
      <c r="E1502" s="84">
        <f>IFERROR(__xludf.DUMMYFUNCTION("""COMPUTED_VALUE"""),41772.0)</f>
        <v>41772</v>
      </c>
      <c r="F1502" s="85">
        <f>IFERROR(__xludf.DUMMYFUNCTION("""COMPUTED_VALUE"""),41778.0)</f>
        <v>41778</v>
      </c>
      <c r="G1502" s="86">
        <f>IFERROR(__xludf.DUMMYFUNCTION("""COMPUTED_VALUE"""),0.2)</f>
        <v>0.2</v>
      </c>
      <c r="H1502" s="84">
        <f>IFERROR(__xludf.DUMMYFUNCTION("""COMPUTED_VALUE"""),41681.0)</f>
        <v>41681</v>
      </c>
      <c r="I1502" s="86">
        <f>IFERROR(__xludf.DUMMYFUNCTION("""COMPUTED_VALUE"""),0.25555555555555554)</f>
        <v>0.2555555556</v>
      </c>
      <c r="J1502" s="87">
        <f>IFERROR(__xludf.DUMMYFUNCTION("""COMPUTED_VALUE"""),80.0)</f>
        <v>80</v>
      </c>
      <c r="K1502" s="88">
        <f>IFERROR(__xludf.DUMMYFUNCTION("""COMPUTED_VALUE"""),7.7)</f>
        <v>7.7</v>
      </c>
      <c r="L1502" s="89"/>
      <c r="M1502" s="26" t="str">
        <f>IFERROR(__xludf.DUMMYFUNCTION("""COMPUTED_VALUE"""),"Fighting")</f>
        <v>Fighting</v>
      </c>
      <c r="N1502" s="26"/>
      <c r="O1502" s="26" t="str">
        <f>IFERROR(__xludf.DUMMYFUNCTION("""COMPUTED_VALUE"""),"No")</f>
        <v>No</v>
      </c>
      <c r="P1502" s="26"/>
    </row>
    <row r="1503">
      <c r="A1503" s="81" t="str">
        <f>IFERROR(__xludf.DUMMYFUNCTION("""COMPUTED_VALUE"""),"Stick It to the Man")</f>
        <v>Stick It to the Man</v>
      </c>
      <c r="B1503" s="82" t="str">
        <f>IFERROR(__xludf.DUMMYFUNCTION("""COMPUTED_VALUE"""),"PS4")</f>
        <v>PS4</v>
      </c>
      <c r="C1503" s="83" t="str">
        <f>IFERROR(__xludf.DUMMYFUNCTION("""COMPUTED_VALUE"""),"Playstation Plus (Discontinued)")</f>
        <v>Playstation Plus (Discontinued)</v>
      </c>
      <c r="D1503" s="82" t="str">
        <f>IFERROR(__xludf.DUMMYFUNCTION("""COMPUTED_VALUE"""),"Removed")</f>
        <v>Removed</v>
      </c>
      <c r="E1503" s="84">
        <f>IFERROR(__xludf.DUMMYFUNCTION("""COMPUTED_VALUE"""),41765.0)</f>
        <v>41765</v>
      </c>
      <c r="F1503" s="85">
        <f>IFERROR(__xludf.DUMMYFUNCTION("""COMPUTED_VALUE"""),41771.0)</f>
        <v>41771</v>
      </c>
      <c r="G1503" s="86">
        <f>IFERROR(__xludf.DUMMYFUNCTION("""COMPUTED_VALUE"""),0.2)</f>
        <v>0.2</v>
      </c>
      <c r="H1503" s="84">
        <f>IFERROR(__xludf.DUMMYFUNCTION("""COMPUTED_VALUE"""),41597.0)</f>
        <v>41597</v>
      </c>
      <c r="I1503" s="86">
        <f>IFERROR(__xludf.DUMMYFUNCTION("""COMPUTED_VALUE"""),0.4638888888888889)</f>
        <v>0.4638888889</v>
      </c>
      <c r="J1503" s="87">
        <f>IFERROR(__xludf.DUMMYFUNCTION("""COMPUTED_VALUE"""),82.0)</f>
        <v>82</v>
      </c>
      <c r="K1503" s="88">
        <f>IFERROR(__xludf.DUMMYFUNCTION("""COMPUTED_VALUE"""),7.8)</f>
        <v>7.8</v>
      </c>
      <c r="L1503" s="89">
        <f>IFERROR(__xludf.DUMMYFUNCTION("""COMPUTED_VALUE"""),5.0)</f>
        <v>5</v>
      </c>
      <c r="M1503" s="26" t="str">
        <f>IFERROR(__xludf.DUMMYFUNCTION("""COMPUTED_VALUE"""),"Platformer")</f>
        <v>Platformer</v>
      </c>
      <c r="N1503" s="26"/>
      <c r="O1503" s="26" t="str">
        <f>IFERROR(__xludf.DUMMYFUNCTION("""COMPUTED_VALUE"""),"No")</f>
        <v>No</v>
      </c>
      <c r="P1503" s="26"/>
    </row>
    <row r="1504">
      <c r="A1504" s="81" t="str">
        <f>IFERROR(__xludf.DUMMYFUNCTION("""COMPUTED_VALUE"""),"Pro Evolution Soccer 2014")</f>
        <v>Pro Evolution Soccer 2014</v>
      </c>
      <c r="B1504" s="82" t="str">
        <f>IFERROR(__xludf.DUMMYFUNCTION("""COMPUTED_VALUE"""),"PS3")</f>
        <v>PS3</v>
      </c>
      <c r="C1504" s="83" t="str">
        <f>IFERROR(__xludf.DUMMYFUNCTION("""COMPUTED_VALUE"""),"Playstation Plus (Discontinued)")</f>
        <v>Playstation Plus (Discontinued)</v>
      </c>
      <c r="D1504" s="82" t="str">
        <f>IFERROR(__xludf.DUMMYFUNCTION("""COMPUTED_VALUE"""),"Removed")</f>
        <v>Removed</v>
      </c>
      <c r="E1504" s="84">
        <f>IFERROR(__xludf.DUMMYFUNCTION("""COMPUTED_VALUE"""),41765.0)</f>
        <v>41765</v>
      </c>
      <c r="F1504" s="85">
        <f>IFERROR(__xludf.DUMMYFUNCTION("""COMPUTED_VALUE"""),41771.0)</f>
        <v>41771</v>
      </c>
      <c r="G1504" s="86">
        <f>IFERROR(__xludf.DUMMYFUNCTION("""COMPUTED_VALUE"""),0.2)</f>
        <v>0.2</v>
      </c>
      <c r="H1504" s="84">
        <f>IFERROR(__xludf.DUMMYFUNCTION("""COMPUTED_VALUE"""),41541.0)</f>
        <v>41541</v>
      </c>
      <c r="I1504" s="86">
        <f>IFERROR(__xludf.DUMMYFUNCTION("""COMPUTED_VALUE"""),0.6166666666666667)</f>
        <v>0.6166666667</v>
      </c>
      <c r="J1504" s="87">
        <f>IFERROR(__xludf.DUMMYFUNCTION("""COMPUTED_VALUE"""),82.0)</f>
        <v>82</v>
      </c>
      <c r="K1504" s="88">
        <f>IFERROR(__xludf.DUMMYFUNCTION("""COMPUTED_VALUE"""),7.1)</f>
        <v>7.1</v>
      </c>
      <c r="L1504" s="89"/>
      <c r="M1504" s="26" t="str">
        <f>IFERROR(__xludf.DUMMYFUNCTION("""COMPUTED_VALUE"""),"Sports")</f>
        <v>Sports</v>
      </c>
      <c r="N1504" s="26"/>
      <c r="O1504" s="26" t="str">
        <f>IFERROR(__xludf.DUMMYFUNCTION("""COMPUTED_VALUE"""),"No")</f>
        <v>No</v>
      </c>
      <c r="P1504" s="26"/>
    </row>
    <row r="1505">
      <c r="A1505" s="81" t="str">
        <f>IFERROR(__xludf.DUMMYFUNCTION("""COMPUTED_VALUE"""),"Velocity Ultra")</f>
        <v>Velocity Ultra</v>
      </c>
      <c r="B1505" s="82" t="str">
        <f>IFERROR(__xludf.DUMMYFUNCTION("""COMPUTED_VALUE"""),"Vita")</f>
        <v>Vita</v>
      </c>
      <c r="C1505" s="83" t="str">
        <f>IFERROR(__xludf.DUMMYFUNCTION("""COMPUTED_VALUE"""),"Playstation Plus (Discontinued)")</f>
        <v>Playstation Plus (Discontinued)</v>
      </c>
      <c r="D1505" s="82" t="str">
        <f>IFERROR(__xludf.DUMMYFUNCTION("""COMPUTED_VALUE"""),"Removed")</f>
        <v>Removed</v>
      </c>
      <c r="E1505" s="84">
        <f>IFERROR(__xludf.DUMMYFUNCTION("""COMPUTED_VALUE"""),41758.0)</f>
        <v>41758</v>
      </c>
      <c r="F1505" s="85">
        <f>IFERROR(__xludf.DUMMYFUNCTION("""COMPUTED_VALUE"""),41764.0)</f>
        <v>41764</v>
      </c>
      <c r="G1505" s="86">
        <f>IFERROR(__xludf.DUMMYFUNCTION("""COMPUTED_VALUE"""),0.2)</f>
        <v>0.2</v>
      </c>
      <c r="H1505" s="84">
        <f>IFERROR(__xludf.DUMMYFUNCTION("""COMPUTED_VALUE"""),41485.0)</f>
        <v>41485</v>
      </c>
      <c r="I1505" s="86">
        <f>IFERROR(__xludf.DUMMYFUNCTION("""COMPUTED_VALUE"""),0.7472222222222222)</f>
        <v>0.7472222222</v>
      </c>
      <c r="J1505" s="87">
        <f>IFERROR(__xludf.DUMMYFUNCTION("""COMPUTED_VALUE"""),87.0)</f>
        <v>87</v>
      </c>
      <c r="K1505" s="88">
        <f>IFERROR(__xludf.DUMMYFUNCTION("""COMPUTED_VALUE"""),8.1)</f>
        <v>8.1</v>
      </c>
      <c r="L1505" s="89">
        <f>IFERROR(__xludf.DUMMYFUNCTION("""COMPUTED_VALUE"""),5.0)</f>
        <v>5</v>
      </c>
      <c r="M1505" s="26" t="str">
        <f>IFERROR(__xludf.DUMMYFUNCTION("""COMPUTED_VALUE"""),"Shooter")</f>
        <v>Shooter</v>
      </c>
      <c r="N1505" s="26"/>
      <c r="O1505" s="26" t="str">
        <f>IFERROR(__xludf.DUMMYFUNCTION("""COMPUTED_VALUE"""),"No")</f>
        <v>No</v>
      </c>
      <c r="P1505" s="26"/>
    </row>
    <row r="1506">
      <c r="A1506" s="81" t="str">
        <f>IFERROR(__xludf.DUMMYFUNCTION("""COMPUTED_VALUE"""),"PixelJunk Monsters Ultimate HD")</f>
        <v>PixelJunk Monsters Ultimate HD</v>
      </c>
      <c r="B1506" s="82" t="str">
        <f>IFERROR(__xludf.DUMMYFUNCTION("""COMPUTED_VALUE"""),"Vita")</f>
        <v>Vita</v>
      </c>
      <c r="C1506" s="83" t="str">
        <f>IFERROR(__xludf.DUMMYFUNCTION("""COMPUTED_VALUE"""),"Playstation Plus (Discontinued)")</f>
        <v>Playstation Plus (Discontinued)</v>
      </c>
      <c r="D1506" s="82" t="str">
        <f>IFERROR(__xludf.DUMMYFUNCTION("""COMPUTED_VALUE"""),"Removed")</f>
        <v>Removed</v>
      </c>
      <c r="E1506" s="84">
        <f>IFERROR(__xludf.DUMMYFUNCTION("""COMPUTED_VALUE"""),41751.0)</f>
        <v>41751</v>
      </c>
      <c r="F1506" s="85">
        <f>IFERROR(__xludf.DUMMYFUNCTION("""COMPUTED_VALUE"""),41757.0)</f>
        <v>41757</v>
      </c>
      <c r="G1506" s="86">
        <f>IFERROR(__xludf.DUMMYFUNCTION("""COMPUTED_VALUE"""),0.2)</f>
        <v>0.2</v>
      </c>
      <c r="H1506" s="84">
        <f>IFERROR(__xludf.DUMMYFUNCTION("""COMPUTED_VALUE"""),41485.0)</f>
        <v>41485</v>
      </c>
      <c r="I1506" s="86">
        <f>IFERROR(__xludf.DUMMYFUNCTION("""COMPUTED_VALUE"""),0.7277777777777777)</f>
        <v>0.7277777778</v>
      </c>
      <c r="J1506" s="87">
        <f>IFERROR(__xludf.DUMMYFUNCTION("""COMPUTED_VALUE"""),84.0)</f>
        <v>84</v>
      </c>
      <c r="K1506" s="88">
        <f>IFERROR(__xludf.DUMMYFUNCTION("""COMPUTED_VALUE"""),7.7)</f>
        <v>7.7</v>
      </c>
      <c r="L1506" s="89">
        <f>IFERROR(__xludf.DUMMYFUNCTION("""COMPUTED_VALUE"""),15.0)</f>
        <v>15</v>
      </c>
      <c r="M1506" s="26" t="str">
        <f>IFERROR(__xludf.DUMMYFUNCTION("""COMPUTED_VALUE"""),"Tower Defense")</f>
        <v>Tower Defense</v>
      </c>
      <c r="N1506" s="26"/>
      <c r="O1506" s="26" t="str">
        <f>IFERROR(__xludf.DUMMYFUNCTION("""COMPUTED_VALUE"""),"No")</f>
        <v>No</v>
      </c>
      <c r="P1506" s="26"/>
    </row>
    <row r="1507">
      <c r="A1507" s="81" t="str">
        <f>IFERROR(__xludf.DUMMYFUNCTION("""COMPUTED_VALUE"""),"Castle of Illusion Starring Mickey Mouse")</f>
        <v>Castle of Illusion Starring Mickey Mouse</v>
      </c>
      <c r="B1507" s="82" t="str">
        <f>IFERROR(__xludf.DUMMYFUNCTION("""COMPUTED_VALUE"""),"PS3")</f>
        <v>PS3</v>
      </c>
      <c r="C1507" s="83" t="str">
        <f>IFERROR(__xludf.DUMMYFUNCTION("""COMPUTED_VALUE"""),"Playstation Plus (Discontinued)")</f>
        <v>Playstation Plus (Discontinued)</v>
      </c>
      <c r="D1507" s="82" t="str">
        <f>IFERROR(__xludf.DUMMYFUNCTION("""COMPUTED_VALUE"""),"Removed")</f>
        <v>Removed</v>
      </c>
      <c r="E1507" s="84">
        <f>IFERROR(__xludf.DUMMYFUNCTION("""COMPUTED_VALUE"""),41744.0)</f>
        <v>41744</v>
      </c>
      <c r="F1507" s="85">
        <f>IFERROR(__xludf.DUMMYFUNCTION("""COMPUTED_VALUE"""),41750.0)</f>
        <v>41750</v>
      </c>
      <c r="G1507" s="86">
        <f>IFERROR(__xludf.DUMMYFUNCTION("""COMPUTED_VALUE"""),0.2)</f>
        <v>0.2</v>
      </c>
      <c r="H1507" s="84">
        <f>IFERROR(__xludf.DUMMYFUNCTION("""COMPUTED_VALUE"""),41506.0)</f>
        <v>41506</v>
      </c>
      <c r="I1507" s="86">
        <f>IFERROR(__xludf.DUMMYFUNCTION("""COMPUTED_VALUE"""),0.6527777777777778)</f>
        <v>0.6527777778</v>
      </c>
      <c r="J1507" s="87">
        <f>IFERROR(__xludf.DUMMYFUNCTION("""COMPUTED_VALUE"""),67.0)</f>
        <v>67</v>
      </c>
      <c r="K1507" s="88">
        <f>IFERROR(__xludf.DUMMYFUNCTION("""COMPUTED_VALUE"""),7.5)</f>
        <v>7.5</v>
      </c>
      <c r="L1507" s="89">
        <f>IFERROR(__xludf.DUMMYFUNCTION("""COMPUTED_VALUE"""),3.0)</f>
        <v>3</v>
      </c>
      <c r="M1507" s="26" t="str">
        <f>IFERROR(__xludf.DUMMYFUNCTION("""COMPUTED_VALUE"""),"Platformer")</f>
        <v>Platformer</v>
      </c>
      <c r="N1507" s="26"/>
      <c r="O1507" s="26" t="str">
        <f>IFERROR(__xludf.DUMMYFUNCTION("""COMPUTED_VALUE"""),"No")</f>
        <v>No</v>
      </c>
      <c r="P1507" s="26"/>
    </row>
    <row r="1508">
      <c r="A1508" s="81" t="str">
        <f>IFERROR(__xludf.DUMMYFUNCTION("""COMPUTED_VALUE"""),"Stealth Inc. A Clone in the Dark")</f>
        <v>Stealth Inc. A Clone in the Dark</v>
      </c>
      <c r="B1508" s="82" t="str">
        <f>IFERROR(__xludf.DUMMYFUNCTION("""COMPUTED_VALUE"""),"PS3/Vita")</f>
        <v>PS3/Vita</v>
      </c>
      <c r="C1508" s="83" t="str">
        <f>IFERROR(__xludf.DUMMYFUNCTION("""COMPUTED_VALUE"""),"Playstation Plus (Discontinued)")</f>
        <v>Playstation Plus (Discontinued)</v>
      </c>
      <c r="D1508" s="82" t="str">
        <f>IFERROR(__xludf.DUMMYFUNCTION("""COMPUTED_VALUE"""),"Removed")</f>
        <v>Removed</v>
      </c>
      <c r="E1508" s="84">
        <f>IFERROR(__xludf.DUMMYFUNCTION("""COMPUTED_VALUE"""),41737.0)</f>
        <v>41737</v>
      </c>
      <c r="F1508" s="85">
        <f>IFERROR(__xludf.DUMMYFUNCTION("""COMPUTED_VALUE"""),41743.0)</f>
        <v>41743</v>
      </c>
      <c r="G1508" s="86">
        <f>IFERROR(__xludf.DUMMYFUNCTION("""COMPUTED_VALUE"""),0.2)</f>
        <v>0.2</v>
      </c>
      <c r="H1508" s="84">
        <f>IFERROR(__xludf.DUMMYFUNCTION("""COMPUTED_VALUE"""),41478.0)</f>
        <v>41478</v>
      </c>
      <c r="I1508" s="86">
        <f>IFERROR(__xludf.DUMMYFUNCTION("""COMPUTED_VALUE"""),0.7083333333333334)</f>
        <v>0.7083333333</v>
      </c>
      <c r="J1508" s="87">
        <f>IFERROR(__xludf.DUMMYFUNCTION("""COMPUTED_VALUE"""),78.0)</f>
        <v>78</v>
      </c>
      <c r="K1508" s="88">
        <f>IFERROR(__xludf.DUMMYFUNCTION("""COMPUTED_VALUE"""),7.3)</f>
        <v>7.3</v>
      </c>
      <c r="L1508" s="89">
        <f>IFERROR(__xludf.DUMMYFUNCTION("""COMPUTED_VALUE"""),5.0)</f>
        <v>5</v>
      </c>
      <c r="M1508" s="26" t="str">
        <f>IFERROR(__xludf.DUMMYFUNCTION("""COMPUTED_VALUE"""),"Platformer")</f>
        <v>Platformer</v>
      </c>
      <c r="N1508" s="26"/>
      <c r="O1508" s="26" t="str">
        <f>IFERROR(__xludf.DUMMYFUNCTION("""COMPUTED_VALUE"""),"No")</f>
        <v>No</v>
      </c>
      <c r="P1508" s="26"/>
    </row>
    <row r="1509">
      <c r="A1509" s="81" t="str">
        <f>IFERROR(__xludf.DUMMYFUNCTION("""COMPUTED_VALUE"""),"Mercenary Kings")</f>
        <v>Mercenary Kings</v>
      </c>
      <c r="B1509" s="82" t="str">
        <f>IFERROR(__xludf.DUMMYFUNCTION("""COMPUTED_VALUE"""),"PS4")</f>
        <v>PS4</v>
      </c>
      <c r="C1509" s="83" t="str">
        <f>IFERROR(__xludf.DUMMYFUNCTION("""COMPUTED_VALUE"""),"Playstation Plus (Discontinued)")</f>
        <v>Playstation Plus (Discontinued)</v>
      </c>
      <c r="D1509" s="82" t="str">
        <f>IFERROR(__xludf.DUMMYFUNCTION("""COMPUTED_VALUE"""),"Removed")</f>
        <v>Removed</v>
      </c>
      <c r="E1509" s="84">
        <f>IFERROR(__xludf.DUMMYFUNCTION("""COMPUTED_VALUE"""),41730.0)</f>
        <v>41730</v>
      </c>
      <c r="F1509" s="85">
        <f>IFERROR(__xludf.DUMMYFUNCTION("""COMPUTED_VALUE"""),41736.0)</f>
        <v>41736</v>
      </c>
      <c r="G1509" s="86">
        <f>IFERROR(__xludf.DUMMYFUNCTION("""COMPUTED_VALUE"""),0.2)</f>
        <v>0.2</v>
      </c>
      <c r="H1509" s="84">
        <f>IFERROR(__xludf.DUMMYFUNCTION("""COMPUTED_VALUE"""),41730.0)</f>
        <v>41730</v>
      </c>
      <c r="I1509" s="86">
        <f>IFERROR(__xludf.DUMMYFUNCTION("""COMPUTED_VALUE"""),0.0)</f>
        <v>0</v>
      </c>
      <c r="J1509" s="87">
        <f>IFERROR(__xludf.DUMMYFUNCTION("""COMPUTED_VALUE"""),68.0)</f>
        <v>68</v>
      </c>
      <c r="K1509" s="88">
        <f>IFERROR(__xludf.DUMMYFUNCTION("""COMPUTED_VALUE"""),7.1)</f>
        <v>7.1</v>
      </c>
      <c r="L1509" s="89">
        <f>IFERROR(__xludf.DUMMYFUNCTION("""COMPUTED_VALUE"""),8.0)</f>
        <v>8</v>
      </c>
      <c r="M1509" s="26" t="str">
        <f>IFERROR(__xludf.DUMMYFUNCTION("""COMPUTED_VALUE"""),"Shooter")</f>
        <v>Shooter</v>
      </c>
      <c r="N1509" s="26"/>
      <c r="O1509" s="26" t="str">
        <f>IFERROR(__xludf.DUMMYFUNCTION("""COMPUTED_VALUE"""),"No")</f>
        <v>No</v>
      </c>
      <c r="P1509" s="26"/>
    </row>
    <row r="1510">
      <c r="A1510" s="81" t="str">
        <f>IFERROR(__xludf.DUMMYFUNCTION("""COMPUTED_VALUE"""),"Batman: Arkham City")</f>
        <v>Batman: Arkham City</v>
      </c>
      <c r="B1510" s="82" t="str">
        <f>IFERROR(__xludf.DUMMYFUNCTION("""COMPUTED_VALUE"""),"PS3")</f>
        <v>PS3</v>
      </c>
      <c r="C1510" s="83" t="str">
        <f>IFERROR(__xludf.DUMMYFUNCTION("""COMPUTED_VALUE"""),"Playstation Plus (Discontinued)")</f>
        <v>Playstation Plus (Discontinued)</v>
      </c>
      <c r="D1510" s="82" t="str">
        <f>IFERROR(__xludf.DUMMYFUNCTION("""COMPUTED_VALUE"""),"Removed")</f>
        <v>Removed</v>
      </c>
      <c r="E1510" s="84">
        <f>IFERROR(__xludf.DUMMYFUNCTION("""COMPUTED_VALUE"""),41730.0)</f>
        <v>41730</v>
      </c>
      <c r="F1510" s="85">
        <f>IFERROR(__xludf.DUMMYFUNCTION("""COMPUTED_VALUE"""),41736.0)</f>
        <v>41736</v>
      </c>
      <c r="G1510" s="86">
        <f>IFERROR(__xludf.DUMMYFUNCTION("""COMPUTED_VALUE"""),0.2)</f>
        <v>0.2</v>
      </c>
      <c r="H1510" s="84">
        <f>IFERROR(__xludf.DUMMYFUNCTION("""COMPUTED_VALUE"""),40834.0)</f>
        <v>40834</v>
      </c>
      <c r="I1510" s="86">
        <f>IFERROR(__xludf.DUMMYFUNCTION("""COMPUTED_VALUE"""),2.452777777777778)</f>
        <v>2.452777778</v>
      </c>
      <c r="J1510" s="87">
        <f>IFERROR(__xludf.DUMMYFUNCTION("""COMPUTED_VALUE"""),94.0)</f>
        <v>94</v>
      </c>
      <c r="K1510" s="88">
        <f>IFERROR(__xludf.DUMMYFUNCTION("""COMPUTED_VALUE"""),8.8)</f>
        <v>8.8</v>
      </c>
      <c r="L1510" s="89">
        <f>IFERROR(__xludf.DUMMYFUNCTION("""COMPUTED_VALUE"""),12.0)</f>
        <v>12</v>
      </c>
      <c r="M1510" s="26" t="str">
        <f>IFERROR(__xludf.DUMMYFUNCTION("""COMPUTED_VALUE"""),"Action-Adventure")</f>
        <v>Action-Adventure</v>
      </c>
      <c r="N1510" s="26"/>
      <c r="O1510" s="26" t="str">
        <f>IFERROR(__xludf.DUMMYFUNCTION("""COMPUTED_VALUE"""),"No")</f>
        <v>No</v>
      </c>
      <c r="P1510" s="26"/>
    </row>
    <row r="1511">
      <c r="A1511" s="81" t="str">
        <f>IFERROR(__xludf.DUMMYFUNCTION("""COMPUTED_VALUE"""),"Monster Hunter: Freedom Unite")</f>
        <v>Monster Hunter: Freedom Unite</v>
      </c>
      <c r="B1511" s="82" t="str">
        <f>IFERROR(__xludf.DUMMYFUNCTION("""COMPUTED_VALUE"""),"PSP")</f>
        <v>PSP</v>
      </c>
      <c r="C1511" s="83" t="str">
        <f>IFERROR(__xludf.DUMMYFUNCTION("""COMPUTED_VALUE"""),"Playstation Plus (Discontinued)")</f>
        <v>Playstation Plus (Discontinued)</v>
      </c>
      <c r="D1511" s="82" t="str">
        <f>IFERROR(__xludf.DUMMYFUNCTION("""COMPUTED_VALUE"""),"Removed")</f>
        <v>Removed</v>
      </c>
      <c r="E1511" s="84">
        <f>IFERROR(__xludf.DUMMYFUNCTION("""COMPUTED_VALUE"""),41723.0)</f>
        <v>41723</v>
      </c>
      <c r="F1511" s="85">
        <f>IFERROR(__xludf.DUMMYFUNCTION("""COMPUTED_VALUE"""),41729.0)</f>
        <v>41729</v>
      </c>
      <c r="G1511" s="86">
        <f>IFERROR(__xludf.DUMMYFUNCTION("""COMPUTED_VALUE"""),0.16666666666666666)</f>
        <v>0.1666666667</v>
      </c>
      <c r="H1511" s="84">
        <f>IFERROR(__xludf.DUMMYFUNCTION("""COMPUTED_VALUE"""),39986.0)</f>
        <v>39986</v>
      </c>
      <c r="I1511" s="86">
        <f>IFERROR(__xludf.DUMMYFUNCTION("""COMPUTED_VALUE"""),4.758333333333334)</f>
        <v>4.758333333</v>
      </c>
      <c r="J1511" s="87">
        <f>IFERROR(__xludf.DUMMYFUNCTION("""COMPUTED_VALUE"""),81.0)</f>
        <v>81</v>
      </c>
      <c r="K1511" s="88">
        <f>IFERROR(__xludf.DUMMYFUNCTION("""COMPUTED_VALUE"""),8.5)</f>
        <v>8.5</v>
      </c>
      <c r="L1511" s="89">
        <f>IFERROR(__xludf.DUMMYFUNCTION("""COMPUTED_VALUE"""),45.0)</f>
        <v>45</v>
      </c>
      <c r="M1511" s="26" t="str">
        <f>IFERROR(__xludf.DUMMYFUNCTION("""COMPUTED_VALUE"""),"RPG")</f>
        <v>RPG</v>
      </c>
      <c r="N1511" s="26"/>
      <c r="O1511" s="26" t="str">
        <f>IFERROR(__xludf.DUMMYFUNCTION("""COMPUTED_VALUE"""),"No")</f>
        <v>No</v>
      </c>
      <c r="P1511" s="26"/>
    </row>
    <row r="1512">
      <c r="A1512" s="81" t="str">
        <f>IFERROR(__xludf.DUMMYFUNCTION("""COMPUTED_VALUE"""),"Thomas Was Alone")</f>
        <v>Thomas Was Alone</v>
      </c>
      <c r="B1512" s="82" t="str">
        <f>IFERROR(__xludf.DUMMYFUNCTION("""COMPUTED_VALUE"""),"PS4/PS3/Vita")</f>
        <v>PS4/PS3/Vita</v>
      </c>
      <c r="C1512" s="83" t="str">
        <f>IFERROR(__xludf.DUMMYFUNCTION("""COMPUTED_VALUE"""),"Playstation Plus (Discontinued)")</f>
        <v>Playstation Plus (Discontinued)</v>
      </c>
      <c r="D1512" s="82" t="str">
        <f>IFERROR(__xludf.DUMMYFUNCTION("""COMPUTED_VALUE"""),"Removed")</f>
        <v>Removed</v>
      </c>
      <c r="E1512" s="84">
        <f>IFERROR(__xludf.DUMMYFUNCTION("""COMPUTED_VALUE"""),41716.0)</f>
        <v>41716</v>
      </c>
      <c r="F1512" s="85">
        <f>IFERROR(__xludf.DUMMYFUNCTION("""COMPUTED_VALUE"""),41722.0)</f>
        <v>41722</v>
      </c>
      <c r="G1512" s="86">
        <f>IFERROR(__xludf.DUMMYFUNCTION("""COMPUTED_VALUE"""),0.2)</f>
        <v>0.2</v>
      </c>
      <c r="H1512" s="84">
        <f>IFERROR(__xludf.DUMMYFUNCTION("""COMPUTED_VALUE"""),41387.0)</f>
        <v>41387</v>
      </c>
      <c r="I1512" s="86">
        <f>IFERROR(__xludf.DUMMYFUNCTION("""COMPUTED_VALUE"""),0.9027777777777778)</f>
        <v>0.9027777778</v>
      </c>
      <c r="J1512" s="87">
        <f>IFERROR(__xludf.DUMMYFUNCTION("""COMPUTED_VALUE"""),75.0)</f>
        <v>75</v>
      </c>
      <c r="K1512" s="88">
        <f>IFERROR(__xludf.DUMMYFUNCTION("""COMPUTED_VALUE"""),7.7)</f>
        <v>7.7</v>
      </c>
      <c r="L1512" s="89">
        <f>IFERROR(__xludf.DUMMYFUNCTION("""COMPUTED_VALUE"""),3.0)</f>
        <v>3</v>
      </c>
      <c r="M1512" s="26" t="str">
        <f>IFERROR(__xludf.DUMMYFUNCTION("""COMPUTED_VALUE"""),"Platformer")</f>
        <v>Platformer</v>
      </c>
      <c r="N1512" s="26"/>
      <c r="O1512" s="26" t="str">
        <f>IFERROR(__xludf.DUMMYFUNCTION("""COMPUTED_VALUE"""),"No")</f>
        <v>No</v>
      </c>
      <c r="P1512" s="26"/>
    </row>
    <row r="1513">
      <c r="A1513" s="81" t="str">
        <f>IFERROR(__xludf.DUMMYFUNCTION("""COMPUTED_VALUE"""),"Unit 13")</f>
        <v>Unit 13</v>
      </c>
      <c r="B1513" s="82" t="str">
        <f>IFERROR(__xludf.DUMMYFUNCTION("""COMPUTED_VALUE"""),"Vita")</f>
        <v>Vita</v>
      </c>
      <c r="C1513" s="83" t="str">
        <f>IFERROR(__xludf.DUMMYFUNCTION("""COMPUTED_VALUE"""),"Playstation Plus (Discontinued)")</f>
        <v>Playstation Plus (Discontinued)</v>
      </c>
      <c r="D1513" s="82" t="str">
        <f>IFERROR(__xludf.DUMMYFUNCTION("""COMPUTED_VALUE"""),"Removed")</f>
        <v>Removed</v>
      </c>
      <c r="E1513" s="84">
        <f>IFERROR(__xludf.DUMMYFUNCTION("""COMPUTED_VALUE"""),41716.0)</f>
        <v>41716</v>
      </c>
      <c r="F1513" s="85">
        <f>IFERROR(__xludf.DUMMYFUNCTION("""COMPUTED_VALUE"""),41722.0)</f>
        <v>41722</v>
      </c>
      <c r="G1513" s="86">
        <f>IFERROR(__xludf.DUMMYFUNCTION("""COMPUTED_VALUE"""),0.2)</f>
        <v>0.2</v>
      </c>
      <c r="H1513" s="84">
        <f>IFERROR(__xludf.DUMMYFUNCTION("""COMPUTED_VALUE"""),40974.0)</f>
        <v>40974</v>
      </c>
      <c r="I1513" s="86">
        <f>IFERROR(__xludf.DUMMYFUNCTION("""COMPUTED_VALUE"""),2.033333333333333)</f>
        <v>2.033333333</v>
      </c>
      <c r="J1513" s="87">
        <f>IFERROR(__xludf.DUMMYFUNCTION("""COMPUTED_VALUE"""),80.0)</f>
        <v>80</v>
      </c>
      <c r="K1513" s="88">
        <f>IFERROR(__xludf.DUMMYFUNCTION("""COMPUTED_VALUE"""),7.7)</f>
        <v>7.7</v>
      </c>
      <c r="L1513" s="89">
        <f>IFERROR(__xludf.DUMMYFUNCTION("""COMPUTED_VALUE"""),7.0)</f>
        <v>7</v>
      </c>
      <c r="M1513" s="26" t="str">
        <f>IFERROR(__xludf.DUMMYFUNCTION("""COMPUTED_VALUE"""),"Shooter")</f>
        <v>Shooter</v>
      </c>
      <c r="N1513" s="26"/>
      <c r="O1513" s="26" t="str">
        <f>IFERROR(__xludf.DUMMYFUNCTION("""COMPUTED_VALUE"""),"No")</f>
        <v>No</v>
      </c>
      <c r="P1513" s="26"/>
    </row>
    <row r="1514">
      <c r="A1514" s="81" t="str">
        <f>IFERROR(__xludf.DUMMYFUNCTION("""COMPUTED_VALUE"""),"Lone Survivor: The Director’s Cut")</f>
        <v>Lone Survivor: The Director’s Cut</v>
      </c>
      <c r="B1514" s="82" t="str">
        <f>IFERROR(__xludf.DUMMYFUNCTION("""COMPUTED_VALUE"""),"PS3/Vita")</f>
        <v>PS3/Vita</v>
      </c>
      <c r="C1514" s="83" t="str">
        <f>IFERROR(__xludf.DUMMYFUNCTION("""COMPUTED_VALUE"""),"Playstation Plus (Discontinued)")</f>
        <v>Playstation Plus (Discontinued)</v>
      </c>
      <c r="D1514" s="82" t="str">
        <f>IFERROR(__xludf.DUMMYFUNCTION("""COMPUTED_VALUE"""),"Removed")</f>
        <v>Removed</v>
      </c>
      <c r="E1514" s="84">
        <f>IFERROR(__xludf.DUMMYFUNCTION("""COMPUTED_VALUE"""),41709.0)</f>
        <v>41709</v>
      </c>
      <c r="F1514" s="85">
        <f>IFERROR(__xludf.DUMMYFUNCTION("""COMPUTED_VALUE"""),41715.0)</f>
        <v>41715</v>
      </c>
      <c r="G1514" s="86">
        <f>IFERROR(__xludf.DUMMYFUNCTION("""COMPUTED_VALUE"""),0.2)</f>
        <v>0.2</v>
      </c>
      <c r="H1514" s="84">
        <f>IFERROR(__xludf.DUMMYFUNCTION("""COMPUTED_VALUE"""),41534.0)</f>
        <v>41534</v>
      </c>
      <c r="I1514" s="86">
        <f>IFERROR(__xludf.DUMMYFUNCTION("""COMPUTED_VALUE"""),0.48333333333333334)</f>
        <v>0.4833333333</v>
      </c>
      <c r="J1514" s="87">
        <f>IFERROR(__xludf.DUMMYFUNCTION("""COMPUTED_VALUE"""),76.0)</f>
        <v>76</v>
      </c>
      <c r="K1514" s="88">
        <f>IFERROR(__xludf.DUMMYFUNCTION("""COMPUTED_VALUE"""),7.4)</f>
        <v>7.4</v>
      </c>
      <c r="L1514" s="89">
        <f>IFERROR(__xludf.DUMMYFUNCTION("""COMPUTED_VALUE"""),5.0)</f>
        <v>5</v>
      </c>
      <c r="M1514" s="26" t="str">
        <f>IFERROR(__xludf.DUMMYFUNCTION("""COMPUTED_VALUE"""),"Horror")</f>
        <v>Horror</v>
      </c>
      <c r="N1514" s="26"/>
      <c r="O1514" s="26" t="str">
        <f>IFERROR(__xludf.DUMMYFUNCTION("""COMPUTED_VALUE"""),"No")</f>
        <v>No</v>
      </c>
      <c r="P1514" s="26"/>
    </row>
    <row r="1515">
      <c r="A1515" s="81" t="str">
        <f>IFERROR(__xludf.DUMMYFUNCTION("""COMPUTED_VALUE"""),"Dead Nation: Apocalypse Edition")</f>
        <v>Dead Nation: Apocalypse Edition</v>
      </c>
      <c r="B1515" s="82" t="str">
        <f>IFERROR(__xludf.DUMMYFUNCTION("""COMPUTED_VALUE"""),"PS4")</f>
        <v>PS4</v>
      </c>
      <c r="C1515" s="83" t="str">
        <f>IFERROR(__xludf.DUMMYFUNCTION("""COMPUTED_VALUE"""),"Playstation Plus (Discontinued)")</f>
        <v>Playstation Plus (Discontinued)</v>
      </c>
      <c r="D1515" s="82" t="str">
        <f>IFERROR(__xludf.DUMMYFUNCTION("""COMPUTED_VALUE"""),"Removed")</f>
        <v>Removed</v>
      </c>
      <c r="E1515" s="84">
        <f>IFERROR(__xludf.DUMMYFUNCTION("""COMPUTED_VALUE"""),41702.0)</f>
        <v>41702</v>
      </c>
      <c r="F1515" s="85">
        <f>IFERROR(__xludf.DUMMYFUNCTION("""COMPUTED_VALUE"""),41708.0)</f>
        <v>41708</v>
      </c>
      <c r="G1515" s="86">
        <f>IFERROR(__xludf.DUMMYFUNCTION("""COMPUTED_VALUE"""),0.2)</f>
        <v>0.2</v>
      </c>
      <c r="H1515" s="84">
        <f>IFERROR(__xludf.DUMMYFUNCTION("""COMPUTED_VALUE"""),41702.0)</f>
        <v>41702</v>
      </c>
      <c r="I1515" s="86">
        <f>IFERROR(__xludf.DUMMYFUNCTION("""COMPUTED_VALUE"""),0.0)</f>
        <v>0</v>
      </c>
      <c r="J1515" s="87">
        <f>IFERROR(__xludf.DUMMYFUNCTION("""COMPUTED_VALUE"""),74.0)</f>
        <v>74</v>
      </c>
      <c r="K1515" s="88">
        <f>IFERROR(__xludf.DUMMYFUNCTION("""COMPUTED_VALUE"""),7.2)</f>
        <v>7.2</v>
      </c>
      <c r="L1515" s="89">
        <f>IFERROR(__xludf.DUMMYFUNCTION("""COMPUTED_VALUE"""),7.0)</f>
        <v>7</v>
      </c>
      <c r="M1515" s="26" t="str">
        <f>IFERROR(__xludf.DUMMYFUNCTION("""COMPUTED_VALUE"""),"Shooter")</f>
        <v>Shooter</v>
      </c>
      <c r="N1515" s="26"/>
      <c r="O1515" s="26" t="str">
        <f>IFERROR(__xludf.DUMMYFUNCTION("""COMPUTED_VALUE"""),"No")</f>
        <v>No</v>
      </c>
      <c r="P1515" s="26"/>
    </row>
    <row r="1516">
      <c r="A1516" s="81" t="str">
        <f>IFERROR(__xludf.DUMMYFUNCTION("""COMPUTED_VALUE"""),"Tomb Raider")</f>
        <v>Tomb Raider</v>
      </c>
      <c r="B1516" s="82" t="str">
        <f>IFERROR(__xludf.DUMMYFUNCTION("""COMPUTED_VALUE"""),"PS3")</f>
        <v>PS3</v>
      </c>
      <c r="C1516" s="83" t="str">
        <f>IFERROR(__xludf.DUMMYFUNCTION("""COMPUTED_VALUE"""),"Playstation Plus (Discontinued)")</f>
        <v>Playstation Plus (Discontinued)</v>
      </c>
      <c r="D1516" s="82" t="str">
        <f>IFERROR(__xludf.DUMMYFUNCTION("""COMPUTED_VALUE"""),"Removed")</f>
        <v>Removed</v>
      </c>
      <c r="E1516" s="84">
        <f>IFERROR(__xludf.DUMMYFUNCTION("""COMPUTED_VALUE"""),41702.0)</f>
        <v>41702</v>
      </c>
      <c r="F1516" s="85">
        <f>IFERROR(__xludf.DUMMYFUNCTION("""COMPUTED_VALUE"""),41708.0)</f>
        <v>41708</v>
      </c>
      <c r="G1516" s="86">
        <f>IFERROR(__xludf.DUMMYFUNCTION("""COMPUTED_VALUE"""),0.2)</f>
        <v>0.2</v>
      </c>
      <c r="H1516" s="84">
        <f>IFERROR(__xludf.DUMMYFUNCTION("""COMPUTED_VALUE"""),41338.0)</f>
        <v>41338</v>
      </c>
      <c r="I1516" s="86">
        <f>IFERROR(__xludf.DUMMYFUNCTION("""COMPUTED_VALUE"""),0.9972222222222222)</f>
        <v>0.9972222222</v>
      </c>
      <c r="J1516" s="87">
        <f>IFERROR(__xludf.DUMMYFUNCTION("""COMPUTED_VALUE"""),86.0)</f>
        <v>86</v>
      </c>
      <c r="K1516" s="88">
        <f>IFERROR(__xludf.DUMMYFUNCTION("""COMPUTED_VALUE"""),8.2)</f>
        <v>8.2</v>
      </c>
      <c r="L1516" s="89">
        <f>IFERROR(__xludf.DUMMYFUNCTION("""COMPUTED_VALUE"""),12.0)</f>
        <v>12</v>
      </c>
      <c r="M1516" s="26" t="str">
        <f>IFERROR(__xludf.DUMMYFUNCTION("""COMPUTED_VALUE"""),"Action-Adventure")</f>
        <v>Action-Adventure</v>
      </c>
      <c r="N1516" s="26"/>
      <c r="O1516" s="26" t="str">
        <f>IFERROR(__xludf.DUMMYFUNCTION("""COMPUTED_VALUE"""),"No")</f>
        <v>No</v>
      </c>
      <c r="P1516" s="26"/>
    </row>
    <row r="1517">
      <c r="A1517" s="81" t="str">
        <f>IFERROR(__xludf.DUMMYFUNCTION("""COMPUTED_VALUE"""),"ModNation Racers: Road Trip")</f>
        <v>ModNation Racers: Road Trip</v>
      </c>
      <c r="B1517" s="82" t="str">
        <f>IFERROR(__xludf.DUMMYFUNCTION("""COMPUTED_VALUE"""),"Vita")</f>
        <v>Vita</v>
      </c>
      <c r="C1517" s="83" t="str">
        <f>IFERROR(__xludf.DUMMYFUNCTION("""COMPUTED_VALUE"""),"Playstation Plus (Discontinued)")</f>
        <v>Playstation Plus (Discontinued)</v>
      </c>
      <c r="D1517" s="82" t="str">
        <f>IFERROR(__xludf.DUMMYFUNCTION("""COMPUTED_VALUE"""),"Removed")</f>
        <v>Removed</v>
      </c>
      <c r="E1517" s="84">
        <f>IFERROR(__xludf.DUMMYFUNCTION("""COMPUTED_VALUE"""),41695.0)</f>
        <v>41695</v>
      </c>
      <c r="F1517" s="85">
        <f>IFERROR(__xludf.DUMMYFUNCTION("""COMPUTED_VALUE"""),41701.0)</f>
        <v>41701</v>
      </c>
      <c r="G1517" s="86">
        <f>IFERROR(__xludf.DUMMYFUNCTION("""COMPUTED_VALUE"""),0.26666666666666666)</f>
        <v>0.2666666667</v>
      </c>
      <c r="H1517" s="84">
        <f>IFERROR(__xludf.DUMMYFUNCTION("""COMPUTED_VALUE"""),40946.0)</f>
        <v>40946</v>
      </c>
      <c r="I1517" s="86">
        <f>IFERROR(__xludf.DUMMYFUNCTION("""COMPUTED_VALUE"""),2.05)</f>
        <v>2.05</v>
      </c>
      <c r="J1517" s="87">
        <f>IFERROR(__xludf.DUMMYFUNCTION("""COMPUTED_VALUE"""),62.0)</f>
        <v>62</v>
      </c>
      <c r="K1517" s="88">
        <f>IFERROR(__xludf.DUMMYFUNCTION("""COMPUTED_VALUE"""),6.2)</f>
        <v>6.2</v>
      </c>
      <c r="L1517" s="89">
        <f>IFERROR(__xludf.DUMMYFUNCTION("""COMPUTED_VALUE"""),12.0)</f>
        <v>12</v>
      </c>
      <c r="M1517" s="26" t="str">
        <f>IFERROR(__xludf.DUMMYFUNCTION("""COMPUTED_VALUE"""),"Racing")</f>
        <v>Racing</v>
      </c>
      <c r="N1517" s="26"/>
      <c r="O1517" s="26" t="str">
        <f>IFERROR(__xludf.DUMMYFUNCTION("""COMPUTED_VALUE"""),"No")</f>
        <v>No</v>
      </c>
      <c r="P1517" s="26"/>
    </row>
    <row r="1518">
      <c r="A1518" s="81" t="str">
        <f>IFERROR(__xludf.DUMMYFUNCTION("""COMPUTED_VALUE"""),"Remember Me")</f>
        <v>Remember Me</v>
      </c>
      <c r="B1518" s="82" t="str">
        <f>IFERROR(__xludf.DUMMYFUNCTION("""COMPUTED_VALUE"""),"PS3")</f>
        <v>PS3</v>
      </c>
      <c r="C1518" s="83" t="str">
        <f>IFERROR(__xludf.DUMMYFUNCTION("""COMPUTED_VALUE"""),"Playstation Plus (Discontinued)")</f>
        <v>Playstation Plus (Discontinued)</v>
      </c>
      <c r="D1518" s="82" t="str">
        <f>IFERROR(__xludf.DUMMYFUNCTION("""COMPUTED_VALUE"""),"Removed")</f>
        <v>Removed</v>
      </c>
      <c r="E1518" s="84">
        <f>IFERROR(__xludf.DUMMYFUNCTION("""COMPUTED_VALUE"""),41688.0)</f>
        <v>41688</v>
      </c>
      <c r="F1518" s="85">
        <f>IFERROR(__xludf.DUMMYFUNCTION("""COMPUTED_VALUE"""),41694.0)</f>
        <v>41694</v>
      </c>
      <c r="G1518" s="86">
        <f>IFERROR(__xludf.DUMMYFUNCTION("""COMPUTED_VALUE"""),0.2)</f>
        <v>0.2</v>
      </c>
      <c r="H1518" s="84">
        <f>IFERROR(__xludf.DUMMYFUNCTION("""COMPUTED_VALUE"""),41429.0)</f>
        <v>41429</v>
      </c>
      <c r="I1518" s="86">
        <f>IFERROR(__xludf.DUMMYFUNCTION("""COMPUTED_VALUE"""),0.7055555555555556)</f>
        <v>0.7055555556</v>
      </c>
      <c r="J1518" s="87">
        <f>IFERROR(__xludf.DUMMYFUNCTION("""COMPUTED_VALUE"""),70.0)</f>
        <v>70</v>
      </c>
      <c r="K1518" s="88">
        <f>IFERROR(__xludf.DUMMYFUNCTION("""COMPUTED_VALUE"""),7.5)</f>
        <v>7.5</v>
      </c>
      <c r="L1518" s="89">
        <f>IFERROR(__xludf.DUMMYFUNCTION("""COMPUTED_VALUE"""),12.0)</f>
        <v>12</v>
      </c>
      <c r="M1518" s="26" t="str">
        <f>IFERROR(__xludf.DUMMYFUNCTION("""COMPUTED_VALUE"""),"Action-Adventure")</f>
        <v>Action-Adventure</v>
      </c>
      <c r="N1518" s="26"/>
      <c r="O1518" s="26" t="str">
        <f>IFERROR(__xludf.DUMMYFUNCTION("""COMPUTED_VALUE"""),"No")</f>
        <v>No</v>
      </c>
      <c r="P1518" s="26"/>
    </row>
    <row r="1519">
      <c r="A1519" s="81" t="str">
        <f>IFERROR(__xludf.DUMMYFUNCTION("""COMPUTED_VALUE"""),"Street Fighter X Tekken")</f>
        <v>Street Fighter X Tekken</v>
      </c>
      <c r="B1519" s="82" t="str">
        <f>IFERROR(__xludf.DUMMYFUNCTION("""COMPUTED_VALUE"""),"Vita")</f>
        <v>Vita</v>
      </c>
      <c r="C1519" s="83" t="str">
        <f>IFERROR(__xludf.DUMMYFUNCTION("""COMPUTED_VALUE"""),"Playstation Plus (Discontinued)")</f>
        <v>Playstation Plus (Discontinued)</v>
      </c>
      <c r="D1519" s="82" t="str">
        <f>IFERROR(__xludf.DUMMYFUNCTION("""COMPUTED_VALUE"""),"Removed")</f>
        <v>Removed</v>
      </c>
      <c r="E1519" s="84">
        <f>IFERROR(__xludf.DUMMYFUNCTION("""COMPUTED_VALUE"""),41688.0)</f>
        <v>41688</v>
      </c>
      <c r="F1519" s="85">
        <f>IFERROR(__xludf.DUMMYFUNCTION("""COMPUTED_VALUE"""),41694.0)</f>
        <v>41694</v>
      </c>
      <c r="G1519" s="86">
        <f>IFERROR(__xludf.DUMMYFUNCTION("""COMPUTED_VALUE"""),0.2)</f>
        <v>0.2</v>
      </c>
      <c r="H1519" s="84">
        <f>IFERROR(__xludf.DUMMYFUNCTION("""COMPUTED_VALUE"""),40974.0)</f>
        <v>40974</v>
      </c>
      <c r="I1519" s="86">
        <f>IFERROR(__xludf.DUMMYFUNCTION("""COMPUTED_VALUE"""),1.95)</f>
        <v>1.95</v>
      </c>
      <c r="J1519" s="87">
        <f>IFERROR(__xludf.DUMMYFUNCTION("""COMPUTED_VALUE"""),84.0)</f>
        <v>84</v>
      </c>
      <c r="K1519" s="88">
        <f>IFERROR(__xludf.DUMMYFUNCTION("""COMPUTED_VALUE"""),5.8)</f>
        <v>5.8</v>
      </c>
      <c r="L1519" s="89"/>
      <c r="M1519" s="26" t="str">
        <f>IFERROR(__xludf.DUMMYFUNCTION("""COMPUTED_VALUE"""),"Fighting")</f>
        <v>Fighting</v>
      </c>
      <c r="N1519" s="26"/>
      <c r="O1519" s="26" t="str">
        <f>IFERROR(__xludf.DUMMYFUNCTION("""COMPUTED_VALUE"""),"No")</f>
        <v>No</v>
      </c>
      <c r="P1519" s="26"/>
    </row>
    <row r="1520">
      <c r="A1520" s="81" t="str">
        <f>IFERROR(__xludf.DUMMYFUNCTION("""COMPUTED_VALUE"""),"Payday 2")</f>
        <v>Payday 2</v>
      </c>
      <c r="B1520" s="82" t="str">
        <f>IFERROR(__xludf.DUMMYFUNCTION("""COMPUTED_VALUE"""),"PS3")</f>
        <v>PS3</v>
      </c>
      <c r="C1520" s="83" t="str">
        <f>IFERROR(__xludf.DUMMYFUNCTION("""COMPUTED_VALUE"""),"Playstation Plus (Discontinued)")</f>
        <v>Playstation Plus (Discontinued)</v>
      </c>
      <c r="D1520" s="82" t="str">
        <f>IFERROR(__xludf.DUMMYFUNCTION("""COMPUTED_VALUE"""),"Removed")</f>
        <v>Removed</v>
      </c>
      <c r="E1520" s="84">
        <f>IFERROR(__xludf.DUMMYFUNCTION("""COMPUTED_VALUE"""),41681.0)</f>
        <v>41681</v>
      </c>
      <c r="F1520" s="85">
        <f>IFERROR(__xludf.DUMMYFUNCTION("""COMPUTED_VALUE"""),41687.0)</f>
        <v>41687</v>
      </c>
      <c r="G1520" s="86">
        <f>IFERROR(__xludf.DUMMYFUNCTION("""COMPUTED_VALUE"""),0.2)</f>
        <v>0.2</v>
      </c>
      <c r="H1520" s="84">
        <f>IFERROR(__xludf.DUMMYFUNCTION("""COMPUTED_VALUE"""),41499.0)</f>
        <v>41499</v>
      </c>
      <c r="I1520" s="86">
        <f>IFERROR(__xludf.DUMMYFUNCTION("""COMPUTED_VALUE"""),0.49444444444444446)</f>
        <v>0.4944444444</v>
      </c>
      <c r="J1520" s="87">
        <f>IFERROR(__xludf.DUMMYFUNCTION("""COMPUTED_VALUE"""),79.0)</f>
        <v>79</v>
      </c>
      <c r="K1520" s="88">
        <f>IFERROR(__xludf.DUMMYFUNCTION("""COMPUTED_VALUE"""),7.6)</f>
        <v>7.6</v>
      </c>
      <c r="L1520" s="89">
        <f>IFERROR(__xludf.DUMMYFUNCTION("""COMPUTED_VALUE"""),17.0)</f>
        <v>17</v>
      </c>
      <c r="M1520" s="26" t="str">
        <f>IFERROR(__xludf.DUMMYFUNCTION("""COMPUTED_VALUE"""),"Shooter")</f>
        <v>Shooter</v>
      </c>
      <c r="N1520" s="26"/>
      <c r="O1520" s="26" t="str">
        <f>IFERROR(__xludf.DUMMYFUNCTION("""COMPUTED_VALUE"""),"No")</f>
        <v>No</v>
      </c>
      <c r="P1520" s="26"/>
    </row>
    <row r="1521">
      <c r="A1521" s="81" t="str">
        <f>IFERROR(__xludf.DUMMYFUNCTION("""COMPUTED_VALUE"""),"Outlast")</f>
        <v>Outlast</v>
      </c>
      <c r="B1521" s="82" t="str">
        <f>IFERROR(__xludf.DUMMYFUNCTION("""COMPUTED_VALUE"""),"PS4")</f>
        <v>PS4</v>
      </c>
      <c r="C1521" s="83" t="str">
        <f>IFERROR(__xludf.DUMMYFUNCTION("""COMPUTED_VALUE"""),"Playstation Plus (Discontinued)")</f>
        <v>Playstation Plus (Discontinued)</v>
      </c>
      <c r="D1521" s="82" t="str">
        <f>IFERROR(__xludf.DUMMYFUNCTION("""COMPUTED_VALUE"""),"Removed")</f>
        <v>Removed</v>
      </c>
      <c r="E1521" s="84">
        <f>IFERROR(__xludf.DUMMYFUNCTION("""COMPUTED_VALUE"""),41674.0)</f>
        <v>41674</v>
      </c>
      <c r="F1521" s="85">
        <f>IFERROR(__xludf.DUMMYFUNCTION("""COMPUTED_VALUE"""),41680.0)</f>
        <v>41680</v>
      </c>
      <c r="G1521" s="86">
        <f>IFERROR(__xludf.DUMMYFUNCTION("""COMPUTED_VALUE"""),0.2)</f>
        <v>0.2</v>
      </c>
      <c r="H1521" s="84">
        <f>IFERROR(__xludf.DUMMYFUNCTION("""COMPUTED_VALUE"""),41674.0)</f>
        <v>41674</v>
      </c>
      <c r="I1521" s="86">
        <f>IFERROR(__xludf.DUMMYFUNCTION("""COMPUTED_VALUE"""),0.0)</f>
        <v>0</v>
      </c>
      <c r="J1521" s="87">
        <f>IFERROR(__xludf.DUMMYFUNCTION("""COMPUTED_VALUE"""),78.0)</f>
        <v>78</v>
      </c>
      <c r="K1521" s="88">
        <f>IFERROR(__xludf.DUMMYFUNCTION("""COMPUTED_VALUE"""),7.7)</f>
        <v>7.7</v>
      </c>
      <c r="L1521" s="89">
        <f>IFERROR(__xludf.DUMMYFUNCTION("""COMPUTED_VALUE"""),5.0)</f>
        <v>5</v>
      </c>
      <c r="M1521" s="26" t="str">
        <f>IFERROR(__xludf.DUMMYFUNCTION("""COMPUTED_VALUE"""),"Horror")</f>
        <v>Horror</v>
      </c>
      <c r="N1521" s="26"/>
      <c r="O1521" s="26" t="str">
        <f>IFERROR(__xludf.DUMMYFUNCTION("""COMPUTED_VALUE"""),"No")</f>
        <v>No</v>
      </c>
      <c r="P1521" s="26"/>
    </row>
    <row r="1522">
      <c r="A1522" s="81" t="str">
        <f>IFERROR(__xludf.DUMMYFUNCTION("""COMPUTED_VALUE"""),"Metro: Last Light")</f>
        <v>Metro: Last Light</v>
      </c>
      <c r="B1522" s="82" t="str">
        <f>IFERROR(__xludf.DUMMYFUNCTION("""COMPUTED_VALUE"""),"PS3")</f>
        <v>PS3</v>
      </c>
      <c r="C1522" s="83" t="str">
        <f>IFERROR(__xludf.DUMMYFUNCTION("""COMPUTED_VALUE"""),"Playstation Plus (Discontinued)")</f>
        <v>Playstation Plus (Discontinued)</v>
      </c>
      <c r="D1522" s="82" t="str">
        <f>IFERROR(__xludf.DUMMYFUNCTION("""COMPUTED_VALUE"""),"Removed")</f>
        <v>Removed</v>
      </c>
      <c r="E1522" s="84">
        <f>IFERROR(__xludf.DUMMYFUNCTION("""COMPUTED_VALUE"""),41674.0)</f>
        <v>41674</v>
      </c>
      <c r="F1522" s="85">
        <f>IFERROR(__xludf.DUMMYFUNCTION("""COMPUTED_VALUE"""),41680.0)</f>
        <v>41680</v>
      </c>
      <c r="G1522" s="86">
        <f>IFERROR(__xludf.DUMMYFUNCTION("""COMPUTED_VALUE"""),0.2)</f>
        <v>0.2</v>
      </c>
      <c r="H1522" s="84">
        <f>IFERROR(__xludf.DUMMYFUNCTION("""COMPUTED_VALUE"""),41408.0)</f>
        <v>41408</v>
      </c>
      <c r="I1522" s="86">
        <f>IFERROR(__xludf.DUMMYFUNCTION("""COMPUTED_VALUE"""),0.7222222222222222)</f>
        <v>0.7222222222</v>
      </c>
      <c r="J1522" s="87">
        <f>IFERROR(__xludf.DUMMYFUNCTION("""COMPUTED_VALUE"""),81.0)</f>
        <v>81</v>
      </c>
      <c r="K1522" s="88">
        <f>IFERROR(__xludf.DUMMYFUNCTION("""COMPUTED_VALUE"""),8.1)</f>
        <v>8.1</v>
      </c>
      <c r="L1522" s="89">
        <f>IFERROR(__xludf.DUMMYFUNCTION("""COMPUTED_VALUE"""),10.0)</f>
        <v>10</v>
      </c>
      <c r="M1522" s="26" t="str">
        <f>IFERROR(__xludf.DUMMYFUNCTION("""COMPUTED_VALUE"""),"Shooter")</f>
        <v>Shooter</v>
      </c>
      <c r="N1522" s="26"/>
      <c r="O1522" s="26" t="str">
        <f>IFERROR(__xludf.DUMMYFUNCTION("""COMPUTED_VALUE"""),"No")</f>
        <v>No</v>
      </c>
      <c r="P1522" s="26"/>
    </row>
    <row r="1523">
      <c r="A1523" s="81" t="str">
        <f>IFERROR(__xludf.DUMMYFUNCTION("""COMPUTED_VALUE"""),"Smart As")</f>
        <v>Smart As</v>
      </c>
      <c r="B1523" s="82" t="str">
        <f>IFERROR(__xludf.DUMMYFUNCTION("""COMPUTED_VALUE"""),"Vita")</f>
        <v>Vita</v>
      </c>
      <c r="C1523" s="83" t="str">
        <f>IFERROR(__xludf.DUMMYFUNCTION("""COMPUTED_VALUE"""),"Playstation Plus (Discontinued)")</f>
        <v>Playstation Plus (Discontinued)</v>
      </c>
      <c r="D1523" s="82" t="str">
        <f>IFERROR(__xludf.DUMMYFUNCTION("""COMPUTED_VALUE"""),"Removed")</f>
        <v>Removed</v>
      </c>
      <c r="E1523" s="84">
        <f>IFERROR(__xludf.DUMMYFUNCTION("""COMPUTED_VALUE"""),41667.0)</f>
        <v>41667</v>
      </c>
      <c r="F1523" s="85">
        <f>IFERROR(__xludf.DUMMYFUNCTION("""COMPUTED_VALUE"""),41673.0)</f>
        <v>41673</v>
      </c>
      <c r="G1523" s="86">
        <f>IFERROR(__xludf.DUMMYFUNCTION("""COMPUTED_VALUE"""),0.16666666666666666)</f>
        <v>0.1666666667</v>
      </c>
      <c r="H1523" s="84">
        <f>IFERROR(__xludf.DUMMYFUNCTION("""COMPUTED_VALUE"""),41233.0)</f>
        <v>41233</v>
      </c>
      <c r="I1523" s="86">
        <f>IFERROR(__xludf.DUMMYFUNCTION("""COMPUTED_VALUE"""),1.1888888888888889)</f>
        <v>1.188888889</v>
      </c>
      <c r="J1523" s="87">
        <f>IFERROR(__xludf.DUMMYFUNCTION("""COMPUTED_VALUE"""),69.0)</f>
        <v>69</v>
      </c>
      <c r="K1523" s="88">
        <f>IFERROR(__xludf.DUMMYFUNCTION("""COMPUTED_VALUE"""),6.8)</f>
        <v>6.8</v>
      </c>
      <c r="L1523" s="89">
        <f>IFERROR(__xludf.DUMMYFUNCTION("""COMPUTED_VALUE"""),5.0)</f>
        <v>5</v>
      </c>
      <c r="M1523" s="26" t="str">
        <f>IFERROR(__xludf.DUMMYFUNCTION("""COMPUTED_VALUE"""),"Puzzle")</f>
        <v>Puzzle</v>
      </c>
      <c r="N1523" s="26"/>
      <c r="O1523" s="26" t="str">
        <f>IFERROR(__xludf.DUMMYFUNCTION("""COMPUTED_VALUE"""),"No")</f>
        <v>No</v>
      </c>
      <c r="P1523" s="26"/>
    </row>
    <row r="1524">
      <c r="A1524" s="81" t="str">
        <f>IFERROR(__xludf.DUMMYFUNCTION("""COMPUTED_VALUE"""),"Worms Battle Islands")</f>
        <v>Worms Battle Islands</v>
      </c>
      <c r="B1524" s="82" t="str">
        <f>IFERROR(__xludf.DUMMYFUNCTION("""COMPUTED_VALUE"""),"PSP")</f>
        <v>PSP</v>
      </c>
      <c r="C1524" s="83" t="str">
        <f>IFERROR(__xludf.DUMMYFUNCTION("""COMPUTED_VALUE"""),"Playstation Plus (Discontinued)")</f>
        <v>Playstation Plus (Discontinued)</v>
      </c>
      <c r="D1524" s="82" t="str">
        <f>IFERROR(__xludf.DUMMYFUNCTION("""COMPUTED_VALUE"""),"Removed")</f>
        <v>Removed</v>
      </c>
      <c r="E1524" s="84">
        <f>IFERROR(__xludf.DUMMYFUNCTION("""COMPUTED_VALUE"""),41660.0)</f>
        <v>41660</v>
      </c>
      <c r="F1524" s="85">
        <f>IFERROR(__xludf.DUMMYFUNCTION("""COMPUTED_VALUE"""),41666.0)</f>
        <v>41666</v>
      </c>
      <c r="G1524" s="86">
        <f>IFERROR(__xludf.DUMMYFUNCTION("""COMPUTED_VALUE"""),0.2)</f>
        <v>0.2</v>
      </c>
      <c r="H1524" s="84">
        <f>IFERROR(__xludf.DUMMYFUNCTION("""COMPUTED_VALUE"""),40512.0)</f>
        <v>40512</v>
      </c>
      <c r="I1524" s="86">
        <f>IFERROR(__xludf.DUMMYFUNCTION("""COMPUTED_VALUE"""),3.1416666666666666)</f>
        <v>3.141666667</v>
      </c>
      <c r="J1524" s="87">
        <f>IFERROR(__xludf.DUMMYFUNCTION("""COMPUTED_VALUE"""),62.0)</f>
        <v>62</v>
      </c>
      <c r="K1524" s="88">
        <f>IFERROR(__xludf.DUMMYFUNCTION("""COMPUTED_VALUE"""),6.4)</f>
        <v>6.4</v>
      </c>
      <c r="L1524" s="89"/>
      <c r="M1524" s="26" t="str">
        <f>IFERROR(__xludf.DUMMYFUNCTION("""COMPUTED_VALUE"""),"Strategy")</f>
        <v>Strategy</v>
      </c>
      <c r="N1524" s="26"/>
      <c r="O1524" s="26" t="str">
        <f>IFERROR(__xludf.DUMMYFUNCTION("""COMPUTED_VALUE"""),"No")</f>
        <v>No</v>
      </c>
      <c r="P1524" s="26"/>
    </row>
    <row r="1525">
      <c r="A1525" s="81" t="str">
        <f>IFERROR(__xludf.DUMMYFUNCTION("""COMPUTED_VALUE"""),"Brothers: A Tale of Two Sons")</f>
        <v>Brothers: A Tale of Two Sons</v>
      </c>
      <c r="B1525" s="82" t="str">
        <f>IFERROR(__xludf.DUMMYFUNCTION("""COMPUTED_VALUE"""),"PS3")</f>
        <v>PS3</v>
      </c>
      <c r="C1525" s="83" t="str">
        <f>IFERROR(__xludf.DUMMYFUNCTION("""COMPUTED_VALUE"""),"Playstation Plus (Discontinued)")</f>
        <v>Playstation Plus (Discontinued)</v>
      </c>
      <c r="D1525" s="82" t="str">
        <f>IFERROR(__xludf.DUMMYFUNCTION("""COMPUTED_VALUE"""),"Removed")</f>
        <v>Removed</v>
      </c>
      <c r="E1525" s="84">
        <f>IFERROR(__xludf.DUMMYFUNCTION("""COMPUTED_VALUE"""),41660.0)</f>
        <v>41660</v>
      </c>
      <c r="F1525" s="85">
        <f>IFERROR(__xludf.DUMMYFUNCTION("""COMPUTED_VALUE"""),41666.0)</f>
        <v>41666</v>
      </c>
      <c r="G1525" s="86">
        <f>IFERROR(__xludf.DUMMYFUNCTION("""COMPUTED_VALUE"""),0.2)</f>
        <v>0.2</v>
      </c>
      <c r="H1525" s="84">
        <f>IFERROR(__xludf.DUMMYFUNCTION("""COMPUTED_VALUE"""),41493.0)</f>
        <v>41493</v>
      </c>
      <c r="I1525" s="86">
        <f>IFERROR(__xludf.DUMMYFUNCTION("""COMPUTED_VALUE"""),0.45555555555555555)</f>
        <v>0.4555555556</v>
      </c>
      <c r="J1525" s="87">
        <f>IFERROR(__xludf.DUMMYFUNCTION("""COMPUTED_VALUE"""),90.0)</f>
        <v>90</v>
      </c>
      <c r="K1525" s="88">
        <f>IFERROR(__xludf.DUMMYFUNCTION("""COMPUTED_VALUE"""),8.5)</f>
        <v>8.5</v>
      </c>
      <c r="L1525" s="89">
        <f>IFERROR(__xludf.DUMMYFUNCTION("""COMPUTED_VALUE"""),3.0)</f>
        <v>3</v>
      </c>
      <c r="M1525" s="26" t="str">
        <f>IFERROR(__xludf.DUMMYFUNCTION("""COMPUTED_VALUE"""),"Adventure")</f>
        <v>Adventure</v>
      </c>
      <c r="N1525" s="26"/>
      <c r="O1525" s="26" t="str">
        <f>IFERROR(__xludf.DUMMYFUNCTION("""COMPUTED_VALUE"""),"No")</f>
        <v>No</v>
      </c>
      <c r="P1525" s="26"/>
    </row>
    <row r="1526">
      <c r="A1526" s="81" t="str">
        <f>IFERROR(__xludf.DUMMYFUNCTION("""COMPUTED_VALUE"""),"BioShock Infinite")</f>
        <v>BioShock Infinite</v>
      </c>
      <c r="B1526" s="82" t="str">
        <f>IFERROR(__xludf.DUMMYFUNCTION("""COMPUTED_VALUE"""),"PS3")</f>
        <v>PS3</v>
      </c>
      <c r="C1526" s="83" t="str">
        <f>IFERROR(__xludf.DUMMYFUNCTION("""COMPUTED_VALUE"""),"Playstation Plus (Discontinued)")</f>
        <v>Playstation Plus (Discontinued)</v>
      </c>
      <c r="D1526" s="82" t="str">
        <f>IFERROR(__xludf.DUMMYFUNCTION("""COMPUTED_VALUE"""),"Removed")</f>
        <v>Removed</v>
      </c>
      <c r="E1526" s="84">
        <f>IFERROR(__xludf.DUMMYFUNCTION("""COMPUTED_VALUE"""),41653.0)</f>
        <v>41653</v>
      </c>
      <c r="F1526" s="85">
        <f>IFERROR(__xludf.DUMMYFUNCTION("""COMPUTED_VALUE"""),41659.0)</f>
        <v>41659</v>
      </c>
      <c r="G1526" s="86">
        <f>IFERROR(__xludf.DUMMYFUNCTION("""COMPUTED_VALUE"""),0.2)</f>
        <v>0.2</v>
      </c>
      <c r="H1526" s="84">
        <f>IFERROR(__xludf.DUMMYFUNCTION("""COMPUTED_VALUE"""),41359.0)</f>
        <v>41359</v>
      </c>
      <c r="I1526" s="86">
        <f>IFERROR(__xludf.DUMMYFUNCTION("""COMPUTED_VALUE"""),0.8)</f>
        <v>0.8</v>
      </c>
      <c r="J1526" s="87">
        <f>IFERROR(__xludf.DUMMYFUNCTION("""COMPUTED_VALUE"""),94.0)</f>
        <v>94</v>
      </c>
      <c r="K1526" s="88">
        <f>IFERROR(__xludf.DUMMYFUNCTION("""COMPUTED_VALUE"""),8.5)</f>
        <v>8.5</v>
      </c>
      <c r="L1526" s="89">
        <f>IFERROR(__xludf.DUMMYFUNCTION("""COMPUTED_VALUE"""),11.0)</f>
        <v>11</v>
      </c>
      <c r="M1526" s="26" t="str">
        <f>IFERROR(__xludf.DUMMYFUNCTION("""COMPUTED_VALUE"""),"Shooter")</f>
        <v>Shooter</v>
      </c>
      <c r="N1526" s="26"/>
      <c r="O1526" s="26" t="str">
        <f>IFERROR(__xludf.DUMMYFUNCTION("""COMPUTED_VALUE"""),"No")</f>
        <v>No</v>
      </c>
      <c r="P1526" s="26"/>
    </row>
    <row r="1527">
      <c r="A1527" s="81" t="str">
        <f>IFERROR(__xludf.DUMMYFUNCTION("""COMPUTED_VALUE"""),"DmC: Devil May Cry")</f>
        <v>DmC: Devil May Cry</v>
      </c>
      <c r="B1527" s="82" t="str">
        <f>IFERROR(__xludf.DUMMYFUNCTION("""COMPUTED_VALUE"""),"PS3")</f>
        <v>PS3</v>
      </c>
      <c r="C1527" s="83" t="str">
        <f>IFERROR(__xludf.DUMMYFUNCTION("""COMPUTED_VALUE"""),"Playstation Plus (Discontinued)")</f>
        <v>Playstation Plus (Discontinued)</v>
      </c>
      <c r="D1527" s="82" t="str">
        <f>IFERROR(__xludf.DUMMYFUNCTION("""COMPUTED_VALUE"""),"Removed")</f>
        <v>Removed</v>
      </c>
      <c r="E1527" s="84">
        <f>IFERROR(__xludf.DUMMYFUNCTION("""COMPUTED_VALUE"""),41646.0)</f>
        <v>41646</v>
      </c>
      <c r="F1527" s="85">
        <f>IFERROR(__xludf.DUMMYFUNCTION("""COMPUTED_VALUE"""),41652.0)</f>
        <v>41652</v>
      </c>
      <c r="G1527" s="86">
        <f>IFERROR(__xludf.DUMMYFUNCTION("""COMPUTED_VALUE"""),0.2)</f>
        <v>0.2</v>
      </c>
      <c r="H1527" s="84">
        <f>IFERROR(__xludf.DUMMYFUNCTION("""COMPUTED_VALUE"""),41289.0)</f>
        <v>41289</v>
      </c>
      <c r="I1527" s="86">
        <f>IFERROR(__xludf.DUMMYFUNCTION("""COMPUTED_VALUE"""),0.9777777777777777)</f>
        <v>0.9777777778</v>
      </c>
      <c r="J1527" s="87">
        <f>IFERROR(__xludf.DUMMYFUNCTION("""COMPUTED_VALUE"""),85.0)</f>
        <v>85</v>
      </c>
      <c r="K1527" s="88">
        <f>IFERROR(__xludf.DUMMYFUNCTION("""COMPUTED_VALUE"""),8.1)</f>
        <v>8.1</v>
      </c>
      <c r="L1527" s="89">
        <f>IFERROR(__xludf.DUMMYFUNCTION("""COMPUTED_VALUE"""),9.0)</f>
        <v>9</v>
      </c>
      <c r="M1527" s="26" t="str">
        <f>IFERROR(__xludf.DUMMYFUNCTION("""COMPUTED_VALUE"""),"Action-Adventure")</f>
        <v>Action-Adventure</v>
      </c>
      <c r="N1527" s="26"/>
      <c r="O1527" s="26" t="str">
        <f>IFERROR(__xludf.DUMMYFUNCTION("""COMPUTED_VALUE"""),"No")</f>
        <v>No</v>
      </c>
      <c r="P1527" s="26"/>
    </row>
    <row r="1528">
      <c r="A1528" s="81" t="str">
        <f>IFERROR(__xludf.DUMMYFUNCTION("""COMPUTED_VALUE"""),"Don’t Starve")</f>
        <v>Don’t Starve</v>
      </c>
      <c r="B1528" s="82" t="str">
        <f>IFERROR(__xludf.DUMMYFUNCTION("""COMPUTED_VALUE"""),"PS4")</f>
        <v>PS4</v>
      </c>
      <c r="C1528" s="83" t="str">
        <f>IFERROR(__xludf.DUMMYFUNCTION("""COMPUTED_VALUE"""),"Playstation Plus (Discontinued)")</f>
        <v>Playstation Plus (Discontinued)</v>
      </c>
      <c r="D1528" s="82" t="str">
        <f>IFERROR(__xludf.DUMMYFUNCTION("""COMPUTED_VALUE"""),"Removed")</f>
        <v>Removed</v>
      </c>
      <c r="E1528" s="84">
        <f>IFERROR(__xludf.DUMMYFUNCTION("""COMPUTED_VALUE"""),41646.0)</f>
        <v>41646</v>
      </c>
      <c r="F1528" s="85">
        <f>IFERROR(__xludf.DUMMYFUNCTION("""COMPUTED_VALUE"""),41652.0)</f>
        <v>41652</v>
      </c>
      <c r="G1528" s="86">
        <f>IFERROR(__xludf.DUMMYFUNCTION("""COMPUTED_VALUE"""),0.2)</f>
        <v>0.2</v>
      </c>
      <c r="H1528" s="84">
        <f>IFERROR(__xludf.DUMMYFUNCTION("""COMPUTED_VALUE"""),41646.0)</f>
        <v>41646</v>
      </c>
      <c r="I1528" s="86">
        <f>IFERROR(__xludf.DUMMYFUNCTION("""COMPUTED_VALUE"""),0.0)</f>
        <v>0</v>
      </c>
      <c r="J1528" s="87">
        <f>IFERROR(__xludf.DUMMYFUNCTION("""COMPUTED_VALUE"""),79.0)</f>
        <v>79</v>
      </c>
      <c r="K1528" s="88">
        <f>IFERROR(__xludf.DUMMYFUNCTION("""COMPUTED_VALUE"""),8.2)</f>
        <v>8.2</v>
      </c>
      <c r="L1528" s="89">
        <f>IFERROR(__xludf.DUMMYFUNCTION("""COMPUTED_VALUE"""),16.0)</f>
        <v>16</v>
      </c>
      <c r="M1528" s="26" t="str">
        <f>IFERROR(__xludf.DUMMYFUNCTION("""COMPUTED_VALUE"""),"Survival")</f>
        <v>Survival</v>
      </c>
      <c r="N1528" s="26"/>
      <c r="O1528" s="26" t="str">
        <f>IFERROR(__xludf.DUMMYFUNCTION("""COMPUTED_VALUE"""),"No")</f>
        <v>No</v>
      </c>
      <c r="P1528" s="26"/>
    </row>
    <row r="1529">
      <c r="A1529" s="81" t="str">
        <f>IFERROR(__xludf.DUMMYFUNCTION("""COMPUTED_VALUE"""),"Urban Trial Freestyle")</f>
        <v>Urban Trial Freestyle</v>
      </c>
      <c r="B1529" s="82" t="str">
        <f>IFERROR(__xludf.DUMMYFUNCTION("""COMPUTED_VALUE"""),"Vita")</f>
        <v>Vita</v>
      </c>
      <c r="C1529" s="83" t="str">
        <f>IFERROR(__xludf.DUMMYFUNCTION("""COMPUTED_VALUE"""),"Playstation Plus (Discontinued)")</f>
        <v>Playstation Plus (Discontinued)</v>
      </c>
      <c r="D1529" s="82" t="str">
        <f>IFERROR(__xludf.DUMMYFUNCTION("""COMPUTED_VALUE"""),"Removed")</f>
        <v>Removed</v>
      </c>
      <c r="E1529" s="84">
        <f>IFERROR(__xludf.DUMMYFUNCTION("""COMPUTED_VALUE"""),41611.0)</f>
        <v>41611</v>
      </c>
      <c r="F1529" s="85">
        <f>IFERROR(__xludf.DUMMYFUNCTION("""COMPUTED_VALUE"""),41645.0)</f>
        <v>41645</v>
      </c>
      <c r="G1529" s="86">
        <f>IFERROR(__xludf.DUMMYFUNCTION("""COMPUTED_VALUE"""),1.0999999999999999)</f>
        <v>1.1</v>
      </c>
      <c r="H1529" s="84">
        <f>IFERROR(__xludf.DUMMYFUNCTION("""COMPUTED_VALUE"""),41324.0)</f>
        <v>41324</v>
      </c>
      <c r="I1529" s="86">
        <f>IFERROR(__xludf.DUMMYFUNCTION("""COMPUTED_VALUE"""),0.7888888888888889)</f>
        <v>0.7888888889</v>
      </c>
      <c r="J1529" s="87">
        <f>IFERROR(__xludf.DUMMYFUNCTION("""COMPUTED_VALUE"""),60.0)</f>
        <v>60</v>
      </c>
      <c r="K1529" s="88">
        <f>IFERROR(__xludf.DUMMYFUNCTION("""COMPUTED_VALUE"""),6.7)</f>
        <v>6.7</v>
      </c>
      <c r="L1529" s="89">
        <f>IFERROR(__xludf.DUMMYFUNCTION("""COMPUTED_VALUE"""),4.0)</f>
        <v>4</v>
      </c>
      <c r="M1529" s="26" t="str">
        <f>IFERROR(__xludf.DUMMYFUNCTION("""COMPUTED_VALUE"""),"Racing")</f>
        <v>Racing</v>
      </c>
      <c r="N1529" s="26"/>
      <c r="O1529" s="26" t="str">
        <f>IFERROR(__xludf.DUMMYFUNCTION("""COMPUTED_VALUE"""),"No")</f>
        <v>No</v>
      </c>
      <c r="P1529" s="26"/>
    </row>
    <row r="1530">
      <c r="A1530" s="81" t="str">
        <f>IFERROR(__xludf.DUMMYFUNCTION("""COMPUTED_VALUE"""),"Sonic &amp; All-Stars Racing Transformed")</f>
        <v>Sonic &amp; All-Stars Racing Transformed</v>
      </c>
      <c r="B1530" s="82" t="str">
        <f>IFERROR(__xludf.DUMMYFUNCTION("""COMPUTED_VALUE"""),"Vita")</f>
        <v>Vita</v>
      </c>
      <c r="C1530" s="83" t="str">
        <f>IFERROR(__xludf.DUMMYFUNCTION("""COMPUTED_VALUE"""),"Playstation Plus (Discontinued)")</f>
        <v>Playstation Plus (Discontinued)</v>
      </c>
      <c r="D1530" s="82" t="str">
        <f>IFERROR(__xludf.DUMMYFUNCTION("""COMPUTED_VALUE"""),"Removed")</f>
        <v>Removed</v>
      </c>
      <c r="E1530" s="84">
        <f>IFERROR(__xludf.DUMMYFUNCTION("""COMPUTED_VALUE"""),41611.0)</f>
        <v>41611</v>
      </c>
      <c r="F1530" s="85">
        <f>IFERROR(__xludf.DUMMYFUNCTION("""COMPUTED_VALUE"""),41645.0)</f>
        <v>41645</v>
      </c>
      <c r="G1530" s="86">
        <f>IFERROR(__xludf.DUMMYFUNCTION("""COMPUTED_VALUE"""),1.0999999999999999)</f>
        <v>1.1</v>
      </c>
      <c r="H1530" s="84">
        <f>IFERROR(__xludf.DUMMYFUNCTION("""COMPUTED_VALUE"""),41233.0)</f>
        <v>41233</v>
      </c>
      <c r="I1530" s="86">
        <f>IFERROR(__xludf.DUMMYFUNCTION("""COMPUTED_VALUE"""),1.0361111111111112)</f>
        <v>1.036111111</v>
      </c>
      <c r="J1530" s="87">
        <f>IFERROR(__xludf.DUMMYFUNCTION("""COMPUTED_VALUE"""),82.0)</f>
        <v>82</v>
      </c>
      <c r="K1530" s="88">
        <f>IFERROR(__xludf.DUMMYFUNCTION("""COMPUTED_VALUE"""),8.1)</f>
        <v>8.1</v>
      </c>
      <c r="L1530" s="89"/>
      <c r="M1530" s="26" t="str">
        <f>IFERROR(__xludf.DUMMYFUNCTION("""COMPUTED_VALUE"""),"Racing")</f>
        <v>Racing</v>
      </c>
      <c r="N1530" s="26"/>
      <c r="O1530" s="26" t="str">
        <f>IFERROR(__xludf.DUMMYFUNCTION("""COMPUTED_VALUE"""),"No")</f>
        <v>No</v>
      </c>
      <c r="P1530" s="26"/>
    </row>
    <row r="1531">
      <c r="A1531" s="81" t="str">
        <f>IFERROR(__xludf.DUMMYFUNCTION("""COMPUTED_VALUE"""),"Dyad")</f>
        <v>Dyad</v>
      </c>
      <c r="B1531" s="82" t="str">
        <f>IFERROR(__xludf.DUMMYFUNCTION("""COMPUTED_VALUE"""),"PS3")</f>
        <v>PS3</v>
      </c>
      <c r="C1531" s="83" t="str">
        <f>IFERROR(__xludf.DUMMYFUNCTION("""COMPUTED_VALUE"""),"Playstation Plus (Discontinued)")</f>
        <v>Playstation Plus (Discontinued)</v>
      </c>
      <c r="D1531" s="82" t="str">
        <f>IFERROR(__xludf.DUMMYFUNCTION("""COMPUTED_VALUE"""),"Removed")</f>
        <v>Removed</v>
      </c>
      <c r="E1531" s="84">
        <f>IFERROR(__xludf.DUMMYFUNCTION("""COMPUTED_VALUE"""),41611.0)</f>
        <v>41611</v>
      </c>
      <c r="F1531" s="85">
        <f>IFERROR(__xludf.DUMMYFUNCTION("""COMPUTED_VALUE"""),41645.0)</f>
        <v>41645</v>
      </c>
      <c r="G1531" s="86">
        <f>IFERROR(__xludf.DUMMYFUNCTION("""COMPUTED_VALUE"""),1.0999999999999999)</f>
        <v>1.1</v>
      </c>
      <c r="H1531" s="84">
        <f>IFERROR(__xludf.DUMMYFUNCTION("""COMPUTED_VALUE"""),41107.0)</f>
        <v>41107</v>
      </c>
      <c r="I1531" s="86">
        <f>IFERROR(__xludf.DUMMYFUNCTION("""COMPUTED_VALUE"""),1.3777777777777778)</f>
        <v>1.377777778</v>
      </c>
      <c r="J1531" s="87">
        <f>IFERROR(__xludf.DUMMYFUNCTION("""COMPUTED_VALUE"""),79.0)</f>
        <v>79</v>
      </c>
      <c r="K1531" s="88">
        <f>IFERROR(__xludf.DUMMYFUNCTION("""COMPUTED_VALUE"""),7.5)</f>
        <v>7.5</v>
      </c>
      <c r="L1531" s="89">
        <f>IFERROR(__xludf.DUMMYFUNCTION("""COMPUTED_VALUE"""),3.0)</f>
        <v>3</v>
      </c>
      <c r="M1531" s="26" t="str">
        <f>IFERROR(__xludf.DUMMYFUNCTION("""COMPUTED_VALUE"""),"Racing")</f>
        <v>Racing</v>
      </c>
      <c r="N1531" s="26"/>
      <c r="O1531" s="26" t="str">
        <f>IFERROR(__xludf.DUMMYFUNCTION("""COMPUTED_VALUE"""),"No")</f>
        <v>No</v>
      </c>
      <c r="P1531" s="26"/>
    </row>
    <row r="1532">
      <c r="A1532" s="81" t="str">
        <f>IFERROR(__xludf.DUMMYFUNCTION("""COMPUTED_VALUE"""),"GRID 2")</f>
        <v>GRID 2</v>
      </c>
      <c r="B1532" s="82" t="str">
        <f>IFERROR(__xludf.DUMMYFUNCTION("""COMPUTED_VALUE"""),"PS3")</f>
        <v>PS3</v>
      </c>
      <c r="C1532" s="83" t="str">
        <f>IFERROR(__xludf.DUMMYFUNCTION("""COMPUTED_VALUE"""),"Playstation Plus (Discontinued)")</f>
        <v>Playstation Plus (Discontinued)</v>
      </c>
      <c r="D1532" s="82" t="str">
        <f>IFERROR(__xludf.DUMMYFUNCTION("""COMPUTED_VALUE"""),"Removed")</f>
        <v>Removed</v>
      </c>
      <c r="E1532" s="84">
        <f>IFERROR(__xludf.DUMMYFUNCTION("""COMPUTED_VALUE"""),41611.0)</f>
        <v>41611</v>
      </c>
      <c r="F1532" s="85">
        <f>IFERROR(__xludf.DUMMYFUNCTION("""COMPUTED_VALUE"""),41645.0)</f>
        <v>41645</v>
      </c>
      <c r="G1532" s="86">
        <f>IFERROR(__xludf.DUMMYFUNCTION("""COMPUTED_VALUE"""),1.0999999999999999)</f>
        <v>1.1</v>
      </c>
      <c r="H1532" s="84">
        <f>IFERROR(__xludf.DUMMYFUNCTION("""COMPUTED_VALUE"""),41422.0)</f>
        <v>41422</v>
      </c>
      <c r="I1532" s="86">
        <f>IFERROR(__xludf.DUMMYFUNCTION("""COMPUTED_VALUE"""),0.5138888888888888)</f>
        <v>0.5138888889</v>
      </c>
      <c r="J1532" s="87">
        <f>IFERROR(__xludf.DUMMYFUNCTION("""COMPUTED_VALUE"""),80.0)</f>
        <v>80</v>
      </c>
      <c r="K1532" s="88">
        <f>IFERROR(__xludf.DUMMYFUNCTION("""COMPUTED_VALUE"""),7.4)</f>
        <v>7.4</v>
      </c>
      <c r="L1532" s="89"/>
      <c r="M1532" s="26" t="str">
        <f>IFERROR(__xludf.DUMMYFUNCTION("""COMPUTED_VALUE"""),"Racing")</f>
        <v>Racing</v>
      </c>
      <c r="N1532" s="26"/>
      <c r="O1532" s="26" t="str">
        <f>IFERROR(__xludf.DUMMYFUNCTION("""COMPUTED_VALUE"""),"No")</f>
        <v>No</v>
      </c>
      <c r="P1532" s="26"/>
    </row>
    <row r="1533">
      <c r="A1533" s="81" t="str">
        <f>IFERROR(__xludf.DUMMYFUNCTION("""COMPUTED_VALUE"""),"Borderlands 2")</f>
        <v>Borderlands 2</v>
      </c>
      <c r="B1533" s="82" t="str">
        <f>IFERROR(__xludf.DUMMYFUNCTION("""COMPUTED_VALUE"""),"PS3")</f>
        <v>PS3</v>
      </c>
      <c r="C1533" s="83" t="str">
        <f>IFERROR(__xludf.DUMMYFUNCTION("""COMPUTED_VALUE"""),"Playstation Plus (Discontinued)")</f>
        <v>Playstation Plus (Discontinued)</v>
      </c>
      <c r="D1533" s="82" t="str">
        <f>IFERROR(__xludf.DUMMYFUNCTION("""COMPUTED_VALUE"""),"Removed")</f>
        <v>Removed</v>
      </c>
      <c r="E1533" s="84">
        <f>IFERROR(__xludf.DUMMYFUNCTION("""COMPUTED_VALUE"""),41611.0)</f>
        <v>41611</v>
      </c>
      <c r="F1533" s="85">
        <f>IFERROR(__xludf.DUMMYFUNCTION("""COMPUTED_VALUE"""),41645.0)</f>
        <v>41645</v>
      </c>
      <c r="G1533" s="86">
        <f>IFERROR(__xludf.DUMMYFUNCTION("""COMPUTED_VALUE"""),1.0999999999999999)</f>
        <v>1.1</v>
      </c>
      <c r="H1533" s="84">
        <f>IFERROR(__xludf.DUMMYFUNCTION("""COMPUTED_VALUE"""),41170.0)</f>
        <v>41170</v>
      </c>
      <c r="I1533" s="86">
        <f>IFERROR(__xludf.DUMMYFUNCTION("""COMPUTED_VALUE"""),1.2083333333333333)</f>
        <v>1.208333333</v>
      </c>
      <c r="J1533" s="87">
        <f>IFERROR(__xludf.DUMMYFUNCTION("""COMPUTED_VALUE"""),89.0)</f>
        <v>89</v>
      </c>
      <c r="K1533" s="88">
        <f>IFERROR(__xludf.DUMMYFUNCTION("""COMPUTED_VALUE"""),8.3)</f>
        <v>8.3</v>
      </c>
      <c r="L1533" s="89">
        <f>IFERROR(__xludf.DUMMYFUNCTION("""COMPUTED_VALUE"""),22.0)</f>
        <v>22</v>
      </c>
      <c r="M1533" s="26" t="str">
        <f>IFERROR(__xludf.DUMMYFUNCTION("""COMPUTED_VALUE"""),"Shooter")</f>
        <v>Shooter</v>
      </c>
      <c r="N1533" s="26"/>
      <c r="O1533" s="26" t="str">
        <f>IFERROR(__xludf.DUMMYFUNCTION("""COMPUTED_VALUE"""),"No")</f>
        <v>No</v>
      </c>
      <c r="P1533" s="26"/>
    </row>
    <row r="1534">
      <c r="A1534" s="81" t="str">
        <f>IFERROR(__xludf.DUMMYFUNCTION("""COMPUTED_VALUE"""),"Resogun")</f>
        <v>Resogun</v>
      </c>
      <c r="B1534" s="82" t="str">
        <f>IFERROR(__xludf.DUMMYFUNCTION("""COMPUTED_VALUE"""),"PS4")</f>
        <v>PS4</v>
      </c>
      <c r="C1534" s="83" t="str">
        <f>IFERROR(__xludf.DUMMYFUNCTION("""COMPUTED_VALUE"""),"Playstation Plus (Discontinued)")</f>
        <v>Playstation Plus (Discontinued)</v>
      </c>
      <c r="D1534" s="82" t="str">
        <f>IFERROR(__xludf.DUMMYFUNCTION("""COMPUTED_VALUE"""),"Removed")</f>
        <v>Removed</v>
      </c>
      <c r="E1534" s="84">
        <f>IFERROR(__xludf.DUMMYFUNCTION("""COMPUTED_VALUE"""),41593.0)</f>
        <v>41593</v>
      </c>
      <c r="F1534" s="85">
        <f>IFERROR(__xludf.DUMMYFUNCTION("""COMPUTED_VALUE"""),41610.0)</f>
        <v>41610</v>
      </c>
      <c r="G1534" s="86">
        <f>IFERROR(__xludf.DUMMYFUNCTION("""COMPUTED_VALUE"""),0.5666666666666667)</f>
        <v>0.5666666667</v>
      </c>
      <c r="H1534" s="84">
        <f>IFERROR(__xludf.DUMMYFUNCTION("""COMPUTED_VALUE"""),41593.0)</f>
        <v>41593</v>
      </c>
      <c r="I1534" s="86">
        <f>IFERROR(__xludf.DUMMYFUNCTION("""COMPUTED_VALUE"""),0.0)</f>
        <v>0</v>
      </c>
      <c r="J1534" s="87">
        <f>IFERROR(__xludf.DUMMYFUNCTION("""COMPUTED_VALUE"""),84.0)</f>
        <v>84</v>
      </c>
      <c r="K1534" s="88">
        <f>IFERROR(__xludf.DUMMYFUNCTION("""COMPUTED_VALUE"""),8.1)</f>
        <v>8.1</v>
      </c>
      <c r="L1534" s="89">
        <f>IFERROR(__xludf.DUMMYFUNCTION("""COMPUTED_VALUE"""),4.0)</f>
        <v>4</v>
      </c>
      <c r="M1534" s="26" t="str">
        <f>IFERROR(__xludf.DUMMYFUNCTION("""COMPUTED_VALUE"""),"Shooter")</f>
        <v>Shooter</v>
      </c>
      <c r="N1534" s="26"/>
      <c r="O1534" s="26" t="str">
        <f>IFERROR(__xludf.DUMMYFUNCTION("""COMPUTED_VALUE"""),"No")</f>
        <v>No</v>
      </c>
      <c r="P1534" s="26"/>
    </row>
    <row r="1535">
      <c r="A1535" s="81" t="str">
        <f>IFERROR(__xludf.DUMMYFUNCTION("""COMPUTED_VALUE"""),"Contrast")</f>
        <v>Contrast</v>
      </c>
      <c r="B1535" s="82" t="str">
        <f>IFERROR(__xludf.DUMMYFUNCTION("""COMPUTED_VALUE"""),"PS4")</f>
        <v>PS4</v>
      </c>
      <c r="C1535" s="83" t="str">
        <f>IFERROR(__xludf.DUMMYFUNCTION("""COMPUTED_VALUE"""),"Playstation Plus (Discontinued)")</f>
        <v>Playstation Plus (Discontinued)</v>
      </c>
      <c r="D1535" s="82" t="str">
        <f>IFERROR(__xludf.DUMMYFUNCTION("""COMPUTED_VALUE"""),"Removed")</f>
        <v>Removed</v>
      </c>
      <c r="E1535" s="84">
        <f>IFERROR(__xludf.DUMMYFUNCTION("""COMPUTED_VALUE"""),41593.0)</f>
        <v>41593</v>
      </c>
      <c r="F1535" s="85">
        <f>IFERROR(__xludf.DUMMYFUNCTION("""COMPUTED_VALUE"""),41610.0)</f>
        <v>41610</v>
      </c>
      <c r="G1535" s="86">
        <f>IFERROR(__xludf.DUMMYFUNCTION("""COMPUTED_VALUE"""),0.5666666666666667)</f>
        <v>0.5666666667</v>
      </c>
      <c r="H1535" s="84">
        <f>IFERROR(__xludf.DUMMYFUNCTION("""COMPUTED_VALUE"""),41593.0)</f>
        <v>41593</v>
      </c>
      <c r="I1535" s="86">
        <f>IFERROR(__xludf.DUMMYFUNCTION("""COMPUTED_VALUE"""),0.0)</f>
        <v>0</v>
      </c>
      <c r="J1535" s="87">
        <f>IFERROR(__xludf.DUMMYFUNCTION("""COMPUTED_VALUE"""),62.0)</f>
        <v>62</v>
      </c>
      <c r="K1535" s="88">
        <f>IFERROR(__xludf.DUMMYFUNCTION("""COMPUTED_VALUE"""),6.9)</f>
        <v>6.9</v>
      </c>
      <c r="L1535" s="89">
        <f>IFERROR(__xludf.DUMMYFUNCTION("""COMPUTED_VALUE"""),3.0)</f>
        <v>3</v>
      </c>
      <c r="M1535" s="26" t="str">
        <f>IFERROR(__xludf.DUMMYFUNCTION("""COMPUTED_VALUE"""),"Platformer")</f>
        <v>Platformer</v>
      </c>
      <c r="N1535" s="26"/>
      <c r="O1535" s="26" t="str">
        <f>IFERROR(__xludf.DUMMYFUNCTION("""COMPUTED_VALUE"""),"No")</f>
        <v>No</v>
      </c>
      <c r="P1535" s="26"/>
    </row>
    <row r="1536">
      <c r="A1536" s="81" t="str">
        <f>IFERROR(__xludf.DUMMYFUNCTION("""COMPUTED_VALUE"""),"Soul Sacrifice")</f>
        <v>Soul Sacrifice</v>
      </c>
      <c r="B1536" s="82" t="str">
        <f>IFERROR(__xludf.DUMMYFUNCTION("""COMPUTED_VALUE"""),"Vita")</f>
        <v>Vita</v>
      </c>
      <c r="C1536" s="83" t="str">
        <f>IFERROR(__xludf.DUMMYFUNCTION("""COMPUTED_VALUE"""),"Playstation Plus (Discontinued)")</f>
        <v>Playstation Plus (Discontinued)</v>
      </c>
      <c r="D1536" s="82" t="str">
        <f>IFERROR(__xludf.DUMMYFUNCTION("""COMPUTED_VALUE"""),"Removed")</f>
        <v>Removed</v>
      </c>
      <c r="E1536" s="84">
        <f>IFERROR(__xludf.DUMMYFUNCTION("""COMPUTED_VALUE"""),41583.0)</f>
        <v>41583</v>
      </c>
      <c r="F1536" s="85">
        <f>IFERROR(__xludf.DUMMYFUNCTION("""COMPUTED_VALUE"""),41610.0)</f>
        <v>41610</v>
      </c>
      <c r="G1536" s="86">
        <f>IFERROR(__xludf.DUMMYFUNCTION("""COMPUTED_VALUE"""),0.8999999999999999)</f>
        <v>0.9</v>
      </c>
      <c r="H1536" s="84">
        <f>IFERROR(__xludf.DUMMYFUNCTION("""COMPUTED_VALUE"""),41394.0)</f>
        <v>41394</v>
      </c>
      <c r="I1536" s="86">
        <f>IFERROR(__xludf.DUMMYFUNCTION("""COMPUTED_VALUE"""),0.5138888888888888)</f>
        <v>0.5138888889</v>
      </c>
      <c r="J1536" s="87">
        <f>IFERROR(__xludf.DUMMYFUNCTION("""COMPUTED_VALUE"""),76.0)</f>
        <v>76</v>
      </c>
      <c r="K1536" s="88">
        <f>IFERROR(__xludf.DUMMYFUNCTION("""COMPUTED_VALUE"""),7.8)</f>
        <v>7.8</v>
      </c>
      <c r="L1536" s="89">
        <f>IFERROR(__xludf.DUMMYFUNCTION("""COMPUTED_VALUE"""),21.0)</f>
        <v>21</v>
      </c>
      <c r="M1536" s="26" t="str">
        <f>IFERROR(__xludf.DUMMYFUNCTION("""COMPUTED_VALUE"""),"RPG")</f>
        <v>RPG</v>
      </c>
      <c r="N1536" s="26"/>
      <c r="O1536" s="26" t="str">
        <f>IFERROR(__xludf.DUMMYFUNCTION("""COMPUTED_VALUE"""),"No")</f>
        <v>No</v>
      </c>
      <c r="P1536" s="26"/>
    </row>
    <row r="1537">
      <c r="A1537" s="81" t="str">
        <f>IFERROR(__xludf.DUMMYFUNCTION("""COMPUTED_VALUE"""),"Oddworld: Stranger's Wrath")</f>
        <v>Oddworld: Stranger's Wrath</v>
      </c>
      <c r="B1537" s="82" t="str">
        <f>IFERROR(__xludf.DUMMYFUNCTION("""COMPUTED_VALUE"""),"Vita")</f>
        <v>Vita</v>
      </c>
      <c r="C1537" s="83" t="str">
        <f>IFERROR(__xludf.DUMMYFUNCTION("""COMPUTED_VALUE"""),"Playstation Plus (Discontinued)")</f>
        <v>Playstation Plus (Discontinued)</v>
      </c>
      <c r="D1537" s="82" t="str">
        <f>IFERROR(__xludf.DUMMYFUNCTION("""COMPUTED_VALUE"""),"Removed")</f>
        <v>Removed</v>
      </c>
      <c r="E1537" s="84">
        <f>IFERROR(__xludf.DUMMYFUNCTION("""COMPUTED_VALUE"""),41583.0)</f>
        <v>41583</v>
      </c>
      <c r="F1537" s="85">
        <f>IFERROR(__xludf.DUMMYFUNCTION("""COMPUTED_VALUE"""),41610.0)</f>
        <v>41610</v>
      </c>
      <c r="G1537" s="86">
        <f>IFERROR(__xludf.DUMMYFUNCTION("""COMPUTED_VALUE"""),0.8999999999999999)</f>
        <v>0.9</v>
      </c>
      <c r="H1537" s="84">
        <f>IFERROR(__xludf.DUMMYFUNCTION("""COMPUTED_VALUE"""),38713.0)</f>
        <v>38713</v>
      </c>
      <c r="I1537" s="86">
        <f>IFERROR(__xludf.DUMMYFUNCTION("""COMPUTED_VALUE"""),7.855555555555555)</f>
        <v>7.855555556</v>
      </c>
      <c r="J1537" s="87">
        <f>IFERROR(__xludf.DUMMYFUNCTION("""COMPUTED_VALUE"""),88.0)</f>
        <v>88</v>
      </c>
      <c r="K1537" s="88">
        <f>IFERROR(__xludf.DUMMYFUNCTION("""COMPUTED_VALUE"""),8.6)</f>
        <v>8.6</v>
      </c>
      <c r="L1537" s="89">
        <f>IFERROR(__xludf.DUMMYFUNCTION("""COMPUTED_VALUE"""),11.0)</f>
        <v>11</v>
      </c>
      <c r="M1537" s="26" t="str">
        <f>IFERROR(__xludf.DUMMYFUNCTION("""COMPUTED_VALUE"""),"Shooter")</f>
        <v>Shooter</v>
      </c>
      <c r="N1537" s="26"/>
      <c r="O1537" s="26" t="str">
        <f>IFERROR(__xludf.DUMMYFUNCTION("""COMPUTED_VALUE"""),"No")</f>
        <v>No</v>
      </c>
      <c r="P1537" s="26"/>
    </row>
    <row r="1538">
      <c r="A1538" s="81" t="str">
        <f>IFERROR(__xludf.DUMMYFUNCTION("""COMPUTED_VALUE"""),"Binary Domain")</f>
        <v>Binary Domain</v>
      </c>
      <c r="B1538" s="82" t="str">
        <f>IFERROR(__xludf.DUMMYFUNCTION("""COMPUTED_VALUE"""),"PS3")</f>
        <v>PS3</v>
      </c>
      <c r="C1538" s="83" t="str">
        <f>IFERROR(__xludf.DUMMYFUNCTION("""COMPUTED_VALUE"""),"Playstation Plus (Discontinued)")</f>
        <v>Playstation Plus (Discontinued)</v>
      </c>
      <c r="D1538" s="82" t="str">
        <f>IFERROR(__xludf.DUMMYFUNCTION("""COMPUTED_VALUE"""),"Removed")</f>
        <v>Removed</v>
      </c>
      <c r="E1538" s="84">
        <f>IFERROR(__xludf.DUMMYFUNCTION("""COMPUTED_VALUE"""),41583.0)</f>
        <v>41583</v>
      </c>
      <c r="F1538" s="85">
        <f>IFERROR(__xludf.DUMMYFUNCTION("""COMPUTED_VALUE"""),41610.0)</f>
        <v>41610</v>
      </c>
      <c r="G1538" s="86">
        <f>IFERROR(__xludf.DUMMYFUNCTION("""COMPUTED_VALUE"""),0.8999999999999999)</f>
        <v>0.9</v>
      </c>
      <c r="H1538" s="84">
        <f>IFERROR(__xludf.DUMMYFUNCTION("""COMPUTED_VALUE"""),40967.0)</f>
        <v>40967</v>
      </c>
      <c r="I1538" s="86">
        <f>IFERROR(__xludf.DUMMYFUNCTION("""COMPUTED_VALUE"""),1.6861111111111111)</f>
        <v>1.686111111</v>
      </c>
      <c r="J1538" s="87">
        <f>IFERROR(__xludf.DUMMYFUNCTION("""COMPUTED_VALUE"""),74.0)</f>
        <v>74</v>
      </c>
      <c r="K1538" s="88">
        <f>IFERROR(__xludf.DUMMYFUNCTION("""COMPUTED_VALUE"""),7.5)</f>
        <v>7.5</v>
      </c>
      <c r="L1538" s="89">
        <f>IFERROR(__xludf.DUMMYFUNCTION("""COMPUTED_VALUE"""),10.0)</f>
        <v>10</v>
      </c>
      <c r="M1538" s="26" t="str">
        <f>IFERROR(__xludf.DUMMYFUNCTION("""COMPUTED_VALUE"""),"Shooter")</f>
        <v>Shooter</v>
      </c>
      <c r="N1538" s="26"/>
      <c r="O1538" s="26" t="str">
        <f>IFERROR(__xludf.DUMMYFUNCTION("""COMPUTED_VALUE"""),"No")</f>
        <v>No</v>
      </c>
      <c r="P1538" s="26"/>
    </row>
    <row r="1539">
      <c r="A1539" s="81" t="str">
        <f>IFERROR(__xludf.DUMMYFUNCTION("""COMPUTED_VALUE"""),"Dragon’s Dogma: Dark Arisen")</f>
        <v>Dragon’s Dogma: Dark Arisen</v>
      </c>
      <c r="B1539" s="82" t="str">
        <f>IFERROR(__xludf.DUMMYFUNCTION("""COMPUTED_VALUE"""),"PS3")</f>
        <v>PS3</v>
      </c>
      <c r="C1539" s="83" t="str">
        <f>IFERROR(__xludf.DUMMYFUNCTION("""COMPUTED_VALUE"""),"Playstation Plus (Discontinued)")</f>
        <v>Playstation Plus (Discontinued)</v>
      </c>
      <c r="D1539" s="82" t="str">
        <f>IFERROR(__xludf.DUMMYFUNCTION("""COMPUTED_VALUE"""),"Removed")</f>
        <v>Removed</v>
      </c>
      <c r="E1539" s="84">
        <f>IFERROR(__xludf.DUMMYFUNCTION("""COMPUTED_VALUE"""),41583.0)</f>
        <v>41583</v>
      </c>
      <c r="F1539" s="85">
        <f>IFERROR(__xludf.DUMMYFUNCTION("""COMPUTED_VALUE"""),41610.0)</f>
        <v>41610</v>
      </c>
      <c r="G1539" s="86">
        <f>IFERROR(__xludf.DUMMYFUNCTION("""COMPUTED_VALUE"""),0.8999999999999999)</f>
        <v>0.9</v>
      </c>
      <c r="H1539" s="84">
        <f>IFERROR(__xludf.DUMMYFUNCTION("""COMPUTED_VALUE"""),41387.0)</f>
        <v>41387</v>
      </c>
      <c r="I1539" s="86">
        <f>IFERROR(__xludf.DUMMYFUNCTION("""COMPUTED_VALUE"""),0.5333333333333333)</f>
        <v>0.5333333333</v>
      </c>
      <c r="J1539" s="87">
        <f>IFERROR(__xludf.DUMMYFUNCTION("""COMPUTED_VALUE"""),78.0)</f>
        <v>78</v>
      </c>
      <c r="K1539" s="88">
        <f>IFERROR(__xludf.DUMMYFUNCTION("""COMPUTED_VALUE"""),8.2)</f>
        <v>8.2</v>
      </c>
      <c r="L1539" s="89">
        <f>IFERROR(__xludf.DUMMYFUNCTION("""COMPUTED_VALUE"""),35.0)</f>
        <v>35</v>
      </c>
      <c r="M1539" s="26" t="str">
        <f>IFERROR(__xludf.DUMMYFUNCTION("""COMPUTED_VALUE"""),"RPG")</f>
        <v>RPG</v>
      </c>
      <c r="N1539" s="26"/>
      <c r="O1539" s="26" t="str">
        <f>IFERROR(__xludf.DUMMYFUNCTION("""COMPUTED_VALUE"""),"No")</f>
        <v>No</v>
      </c>
      <c r="P1539" s="26"/>
    </row>
    <row r="1540">
      <c r="A1540" s="81" t="str">
        <f>IFERROR(__xludf.DUMMYFUNCTION("""COMPUTED_VALUE"""),"Ibb &amp; obb")</f>
        <v>Ibb &amp; obb</v>
      </c>
      <c r="B1540" s="82" t="str">
        <f>IFERROR(__xludf.DUMMYFUNCTION("""COMPUTED_VALUE"""),"PS3")</f>
        <v>PS3</v>
      </c>
      <c r="C1540" s="83" t="str">
        <f>IFERROR(__xludf.DUMMYFUNCTION("""COMPUTED_VALUE"""),"Playstation Plus (Discontinued)")</f>
        <v>Playstation Plus (Discontinued)</v>
      </c>
      <c r="D1540" s="82" t="str">
        <f>IFERROR(__xludf.DUMMYFUNCTION("""COMPUTED_VALUE"""),"Removed")</f>
        <v>Removed</v>
      </c>
      <c r="E1540" s="84">
        <f>IFERROR(__xludf.DUMMYFUNCTION("""COMPUTED_VALUE"""),41583.0)</f>
        <v>41583</v>
      </c>
      <c r="F1540" s="85">
        <f>IFERROR(__xludf.DUMMYFUNCTION("""COMPUTED_VALUE"""),41610.0)</f>
        <v>41610</v>
      </c>
      <c r="G1540" s="86">
        <f>IFERROR(__xludf.DUMMYFUNCTION("""COMPUTED_VALUE"""),0.8999999999999999)</f>
        <v>0.9</v>
      </c>
      <c r="H1540" s="84">
        <f>IFERROR(__xludf.DUMMYFUNCTION("""COMPUTED_VALUE"""),41492.0)</f>
        <v>41492</v>
      </c>
      <c r="I1540" s="86">
        <f>IFERROR(__xludf.DUMMYFUNCTION("""COMPUTED_VALUE"""),0.24722222222222223)</f>
        <v>0.2472222222</v>
      </c>
      <c r="J1540" s="87">
        <f>IFERROR(__xludf.DUMMYFUNCTION("""COMPUTED_VALUE"""),77.0)</f>
        <v>77</v>
      </c>
      <c r="K1540" s="88">
        <f>IFERROR(__xludf.DUMMYFUNCTION("""COMPUTED_VALUE"""),7.4)</f>
        <v>7.4</v>
      </c>
      <c r="L1540" s="89">
        <f>IFERROR(__xludf.DUMMYFUNCTION("""COMPUTED_VALUE"""),3.0)</f>
        <v>3</v>
      </c>
      <c r="M1540" s="26" t="str">
        <f>IFERROR(__xludf.DUMMYFUNCTION("""COMPUTED_VALUE"""),"Puzzle")</f>
        <v>Puzzle</v>
      </c>
      <c r="N1540" s="26"/>
      <c r="O1540" s="26" t="str">
        <f>IFERROR(__xludf.DUMMYFUNCTION("""COMPUTED_VALUE"""),"No")</f>
        <v>No</v>
      </c>
      <c r="P1540" s="26"/>
    </row>
    <row r="1541">
      <c r="A1541" s="81" t="str">
        <f>IFERROR(__xludf.DUMMYFUNCTION("""COMPUTED_VALUE"""),"Sine Mora")</f>
        <v>Sine Mora</v>
      </c>
      <c r="B1541" s="82" t="str">
        <f>IFERROR(__xludf.DUMMYFUNCTION("""COMPUTED_VALUE"""),"Vita")</f>
        <v>Vita</v>
      </c>
      <c r="C1541" s="83" t="str">
        <f>IFERROR(__xludf.DUMMYFUNCTION("""COMPUTED_VALUE"""),"Playstation Plus (Discontinued)")</f>
        <v>Playstation Plus (Discontinued)</v>
      </c>
      <c r="D1541" s="82" t="str">
        <f>IFERROR(__xludf.DUMMYFUNCTION("""COMPUTED_VALUE"""),"Removed")</f>
        <v>Removed</v>
      </c>
      <c r="E1541" s="84">
        <f>IFERROR(__xludf.DUMMYFUNCTION("""COMPUTED_VALUE"""),41548.0)</f>
        <v>41548</v>
      </c>
      <c r="F1541" s="85">
        <f>IFERROR(__xludf.DUMMYFUNCTION("""COMPUTED_VALUE"""),41582.0)</f>
        <v>41582</v>
      </c>
      <c r="G1541" s="86">
        <f>IFERROR(__xludf.DUMMYFUNCTION("""COMPUTED_VALUE"""),1.0999999999999999)</f>
        <v>1.1</v>
      </c>
      <c r="H1541" s="84">
        <f>IFERROR(__xludf.DUMMYFUNCTION("""COMPUTED_VALUE"""),41177.0)</f>
        <v>41177</v>
      </c>
      <c r="I1541" s="86">
        <f>IFERROR(__xludf.DUMMYFUNCTION("""COMPUTED_VALUE"""),1.0166666666666666)</f>
        <v>1.016666667</v>
      </c>
      <c r="J1541" s="87">
        <f>IFERROR(__xludf.DUMMYFUNCTION("""COMPUTED_VALUE"""),77.0)</f>
        <v>77</v>
      </c>
      <c r="K1541" s="88">
        <f>IFERROR(__xludf.DUMMYFUNCTION("""COMPUTED_VALUE"""),7.8)</f>
        <v>7.8</v>
      </c>
      <c r="L1541" s="89">
        <f>IFERROR(__xludf.DUMMYFUNCTION("""COMPUTED_VALUE"""),4.0)</f>
        <v>4</v>
      </c>
      <c r="M1541" s="26" t="str">
        <f>IFERROR(__xludf.DUMMYFUNCTION("""COMPUTED_VALUE"""),"Shooter")</f>
        <v>Shooter</v>
      </c>
      <c r="N1541" s="26"/>
      <c r="O1541" s="26" t="str">
        <f>IFERROR(__xludf.DUMMYFUNCTION("""COMPUTED_VALUE"""),"No")</f>
        <v>No</v>
      </c>
      <c r="P1541" s="26"/>
    </row>
    <row r="1542">
      <c r="A1542" s="81" t="str">
        <f>IFERROR(__xludf.DUMMYFUNCTION("""COMPUTED_VALUE"""),"Hotline Miami")</f>
        <v>Hotline Miami</v>
      </c>
      <c r="B1542" s="82" t="str">
        <f>IFERROR(__xludf.DUMMYFUNCTION("""COMPUTED_VALUE"""),"PS3/Vita")</f>
        <v>PS3/Vita</v>
      </c>
      <c r="C1542" s="83" t="str">
        <f>IFERROR(__xludf.DUMMYFUNCTION("""COMPUTED_VALUE"""),"Playstation Plus (Discontinued)")</f>
        <v>Playstation Plus (Discontinued)</v>
      </c>
      <c r="D1542" s="82" t="str">
        <f>IFERROR(__xludf.DUMMYFUNCTION("""COMPUTED_VALUE"""),"Removed")</f>
        <v>Removed</v>
      </c>
      <c r="E1542" s="84">
        <f>IFERROR(__xludf.DUMMYFUNCTION("""COMPUTED_VALUE"""),41548.0)</f>
        <v>41548</v>
      </c>
      <c r="F1542" s="85">
        <f>IFERROR(__xludf.DUMMYFUNCTION("""COMPUTED_VALUE"""),41582.0)</f>
        <v>41582</v>
      </c>
      <c r="G1542" s="86">
        <f>IFERROR(__xludf.DUMMYFUNCTION("""COMPUTED_VALUE"""),1.0999999999999999)</f>
        <v>1.1</v>
      </c>
      <c r="H1542" s="84">
        <f>IFERROR(__xludf.DUMMYFUNCTION("""COMPUTED_VALUE"""),41205.0)</f>
        <v>41205</v>
      </c>
      <c r="I1542" s="86">
        <f>IFERROR(__xludf.DUMMYFUNCTION("""COMPUTED_VALUE"""),0.9388888888888889)</f>
        <v>0.9388888889</v>
      </c>
      <c r="J1542" s="87">
        <f>IFERROR(__xludf.DUMMYFUNCTION("""COMPUTED_VALUE"""),85.0)</f>
        <v>85</v>
      </c>
      <c r="K1542" s="88">
        <f>IFERROR(__xludf.DUMMYFUNCTION("""COMPUTED_VALUE"""),8.4)</f>
        <v>8.4</v>
      </c>
      <c r="L1542" s="89">
        <f>IFERROR(__xludf.DUMMYFUNCTION("""COMPUTED_VALUE"""),4.0)</f>
        <v>4</v>
      </c>
      <c r="M1542" s="26" t="str">
        <f>IFERROR(__xludf.DUMMYFUNCTION("""COMPUTED_VALUE"""),"Action-Adventure")</f>
        <v>Action-Adventure</v>
      </c>
      <c r="N1542" s="26"/>
      <c r="O1542" s="26" t="str">
        <f>IFERROR(__xludf.DUMMYFUNCTION("""COMPUTED_VALUE"""),"No")</f>
        <v>No</v>
      </c>
      <c r="P1542" s="26"/>
    </row>
    <row r="1543">
      <c r="A1543" s="81" t="str">
        <f>IFERROR(__xludf.DUMMYFUNCTION("""COMPUTED_VALUE"""),"Poker Night 2")</f>
        <v>Poker Night 2</v>
      </c>
      <c r="B1543" s="82" t="str">
        <f>IFERROR(__xludf.DUMMYFUNCTION("""COMPUTED_VALUE"""),"PS3")</f>
        <v>PS3</v>
      </c>
      <c r="C1543" s="83" t="str">
        <f>IFERROR(__xludf.DUMMYFUNCTION("""COMPUTED_VALUE"""),"Playstation Plus (Discontinued)")</f>
        <v>Playstation Plus (Discontinued)</v>
      </c>
      <c r="D1543" s="82" t="str">
        <f>IFERROR(__xludf.DUMMYFUNCTION("""COMPUTED_VALUE"""),"Removed")</f>
        <v>Removed</v>
      </c>
      <c r="E1543" s="84">
        <f>IFERROR(__xludf.DUMMYFUNCTION("""COMPUTED_VALUE"""),41548.0)</f>
        <v>41548</v>
      </c>
      <c r="F1543" s="85">
        <f>IFERROR(__xludf.DUMMYFUNCTION("""COMPUTED_VALUE"""),41582.0)</f>
        <v>41582</v>
      </c>
      <c r="G1543" s="86">
        <f>IFERROR(__xludf.DUMMYFUNCTION("""COMPUTED_VALUE"""),1.0999999999999999)</f>
        <v>1.1</v>
      </c>
      <c r="H1543" s="84">
        <f>IFERROR(__xludf.DUMMYFUNCTION("""COMPUTED_VALUE"""),41390.0)</f>
        <v>41390</v>
      </c>
      <c r="I1543" s="86">
        <f>IFERROR(__xludf.DUMMYFUNCTION("""COMPUTED_VALUE"""),0.4305555555555556)</f>
        <v>0.4305555556</v>
      </c>
      <c r="J1543" s="87">
        <f>IFERROR(__xludf.DUMMYFUNCTION("""COMPUTED_VALUE"""),66.0)</f>
        <v>66</v>
      </c>
      <c r="K1543" s="88">
        <f>IFERROR(__xludf.DUMMYFUNCTION("""COMPUTED_VALUE"""),7.5)</f>
        <v>7.5</v>
      </c>
      <c r="L1543" s="89">
        <f>IFERROR(__xludf.DUMMYFUNCTION("""COMPUTED_VALUE"""),3.0)</f>
        <v>3</v>
      </c>
      <c r="M1543" s="26" t="str">
        <f>IFERROR(__xludf.DUMMYFUNCTION("""COMPUTED_VALUE"""),"Card &amp; Board")</f>
        <v>Card &amp; Board</v>
      </c>
      <c r="N1543" s="26"/>
      <c r="O1543" s="26" t="str">
        <f>IFERROR(__xludf.DUMMYFUNCTION("""COMPUTED_VALUE"""),"No")</f>
        <v>No</v>
      </c>
      <c r="P1543" s="26"/>
    </row>
    <row r="1544">
      <c r="A1544" s="81" t="str">
        <f>IFERROR(__xludf.DUMMYFUNCTION("""COMPUTED_VALUE"""),"Shadow of the Colossus")</f>
        <v>Shadow of the Colossus</v>
      </c>
      <c r="B1544" s="82" t="str">
        <f>IFERROR(__xludf.DUMMYFUNCTION("""COMPUTED_VALUE"""),"PS3")</f>
        <v>PS3</v>
      </c>
      <c r="C1544" s="83" t="str">
        <f>IFERROR(__xludf.DUMMYFUNCTION("""COMPUTED_VALUE"""),"Playstation Plus (Discontinued)")</f>
        <v>Playstation Plus (Discontinued)</v>
      </c>
      <c r="D1544" s="82" t="str">
        <f>IFERROR(__xludf.DUMMYFUNCTION("""COMPUTED_VALUE"""),"Removed")</f>
        <v>Removed</v>
      </c>
      <c r="E1544" s="84">
        <f>IFERROR(__xludf.DUMMYFUNCTION("""COMPUTED_VALUE"""),41548.0)</f>
        <v>41548</v>
      </c>
      <c r="F1544" s="85">
        <f>IFERROR(__xludf.DUMMYFUNCTION("""COMPUTED_VALUE"""),41582.0)</f>
        <v>41582</v>
      </c>
      <c r="G1544" s="86">
        <f>IFERROR(__xludf.DUMMYFUNCTION("""COMPUTED_VALUE"""),1.0999999999999999)</f>
        <v>1.1</v>
      </c>
      <c r="H1544" s="84">
        <f>IFERROR(__xludf.DUMMYFUNCTION("""COMPUTED_VALUE"""),38643.0)</f>
        <v>38643</v>
      </c>
      <c r="I1544" s="86">
        <f>IFERROR(__xludf.DUMMYFUNCTION("""COMPUTED_VALUE"""),7.9527777777777775)</f>
        <v>7.952777778</v>
      </c>
      <c r="J1544" s="87">
        <f>IFERROR(__xludf.DUMMYFUNCTION("""COMPUTED_VALUE"""),91.0)</f>
        <v>91</v>
      </c>
      <c r="K1544" s="88">
        <f>IFERROR(__xludf.DUMMYFUNCTION("""COMPUTED_VALUE"""),8.8)</f>
        <v>8.8</v>
      </c>
      <c r="L1544" s="89">
        <f>IFERROR(__xludf.DUMMYFUNCTION("""COMPUTED_VALUE"""),8.0)</f>
        <v>8</v>
      </c>
      <c r="M1544" s="26" t="str">
        <f>IFERROR(__xludf.DUMMYFUNCTION("""COMPUTED_VALUE"""),"Action-Adventure")</f>
        <v>Action-Adventure</v>
      </c>
      <c r="N1544" s="26"/>
      <c r="O1544" s="26" t="str">
        <f>IFERROR(__xludf.DUMMYFUNCTION("""COMPUTED_VALUE"""),"No")</f>
        <v>No</v>
      </c>
      <c r="P1544" s="26"/>
    </row>
    <row r="1545">
      <c r="A1545" s="81" t="str">
        <f>IFERROR(__xludf.DUMMYFUNCTION("""COMPUTED_VALUE"""),"Kingdoms of Amalur: Reckoning")</f>
        <v>Kingdoms of Amalur: Reckoning</v>
      </c>
      <c r="B1545" s="82" t="str">
        <f>IFERROR(__xludf.DUMMYFUNCTION("""COMPUTED_VALUE"""),"PS3")</f>
        <v>PS3</v>
      </c>
      <c r="C1545" s="83" t="str">
        <f>IFERROR(__xludf.DUMMYFUNCTION("""COMPUTED_VALUE"""),"Playstation Plus (Discontinued)")</f>
        <v>Playstation Plus (Discontinued)</v>
      </c>
      <c r="D1545" s="82" t="str">
        <f>IFERROR(__xludf.DUMMYFUNCTION("""COMPUTED_VALUE"""),"Removed")</f>
        <v>Removed</v>
      </c>
      <c r="E1545" s="84">
        <f>IFERROR(__xludf.DUMMYFUNCTION("""COMPUTED_VALUE"""),41548.0)</f>
        <v>41548</v>
      </c>
      <c r="F1545" s="85">
        <f>IFERROR(__xludf.DUMMYFUNCTION("""COMPUTED_VALUE"""),41582.0)</f>
        <v>41582</v>
      </c>
      <c r="G1545" s="86">
        <f>IFERROR(__xludf.DUMMYFUNCTION("""COMPUTED_VALUE"""),1.0999999999999999)</f>
        <v>1.1</v>
      </c>
      <c r="H1545" s="84">
        <f>IFERROR(__xludf.DUMMYFUNCTION("""COMPUTED_VALUE"""),40946.0)</f>
        <v>40946</v>
      </c>
      <c r="I1545" s="86">
        <f>IFERROR(__xludf.DUMMYFUNCTION("""COMPUTED_VALUE"""),1.65)</f>
        <v>1.65</v>
      </c>
      <c r="J1545" s="87">
        <f>IFERROR(__xludf.DUMMYFUNCTION("""COMPUTED_VALUE"""),81.0)</f>
        <v>81</v>
      </c>
      <c r="K1545" s="88">
        <f>IFERROR(__xludf.DUMMYFUNCTION("""COMPUTED_VALUE"""),8.2)</f>
        <v>8.2</v>
      </c>
      <c r="L1545" s="89">
        <f>IFERROR(__xludf.DUMMYFUNCTION("""COMPUTED_VALUE"""),31.0)</f>
        <v>31</v>
      </c>
      <c r="M1545" s="26" t="str">
        <f>IFERROR(__xludf.DUMMYFUNCTION("""COMPUTED_VALUE"""),"RPG")</f>
        <v>RPG</v>
      </c>
      <c r="N1545" s="26"/>
      <c r="O1545" s="26" t="str">
        <f>IFERROR(__xludf.DUMMYFUNCTION("""COMPUTED_VALUE"""),"No")</f>
        <v>No</v>
      </c>
      <c r="P1545" s="26"/>
    </row>
    <row r="1546">
      <c r="A1546" s="81" t="str">
        <f>IFERROR(__xludf.DUMMYFUNCTION("""COMPUTED_VALUE"""),"Rayman Origins")</f>
        <v>Rayman Origins</v>
      </c>
      <c r="B1546" s="82" t="str">
        <f>IFERROR(__xludf.DUMMYFUNCTION("""COMPUTED_VALUE"""),"Vita")</f>
        <v>Vita</v>
      </c>
      <c r="C1546" s="83" t="str">
        <f>IFERROR(__xludf.DUMMYFUNCTION("""COMPUTED_VALUE"""),"Playstation Plus (Discontinued)")</f>
        <v>Playstation Plus (Discontinued)</v>
      </c>
      <c r="D1546" s="82" t="str">
        <f>IFERROR(__xludf.DUMMYFUNCTION("""COMPUTED_VALUE"""),"Removed")</f>
        <v>Removed</v>
      </c>
      <c r="E1546" s="84">
        <f>IFERROR(__xludf.DUMMYFUNCTION("""COMPUTED_VALUE"""),41520.0)</f>
        <v>41520</v>
      </c>
      <c r="F1546" s="85">
        <f>IFERROR(__xludf.DUMMYFUNCTION("""COMPUTED_VALUE"""),41547.0)</f>
        <v>41547</v>
      </c>
      <c r="G1546" s="86">
        <f>IFERROR(__xludf.DUMMYFUNCTION("""COMPUTED_VALUE"""),0.8999999999999999)</f>
        <v>0.9</v>
      </c>
      <c r="H1546" s="84">
        <f>IFERROR(__xludf.DUMMYFUNCTION("""COMPUTED_VALUE"""),40862.0)</f>
        <v>40862</v>
      </c>
      <c r="I1546" s="86">
        <f>IFERROR(__xludf.DUMMYFUNCTION("""COMPUTED_VALUE"""),1.8)</f>
        <v>1.8</v>
      </c>
      <c r="J1546" s="87">
        <f>IFERROR(__xludf.DUMMYFUNCTION("""COMPUTED_VALUE"""),87.0)</f>
        <v>87</v>
      </c>
      <c r="K1546" s="88">
        <f>IFERROR(__xludf.DUMMYFUNCTION("""COMPUTED_VALUE"""),8.6)</f>
        <v>8.6</v>
      </c>
      <c r="L1546" s="89">
        <f>IFERROR(__xludf.DUMMYFUNCTION("""COMPUTED_VALUE"""),9.0)</f>
        <v>9</v>
      </c>
      <c r="M1546" s="26" t="str">
        <f>IFERROR(__xludf.DUMMYFUNCTION("""COMPUTED_VALUE"""),"Platformer")</f>
        <v>Platformer</v>
      </c>
      <c r="N1546" s="26"/>
      <c r="O1546" s="26" t="str">
        <f>IFERROR(__xludf.DUMMYFUNCTION("""COMPUTED_VALUE"""),"No")</f>
        <v>No</v>
      </c>
      <c r="P1546" s="26"/>
    </row>
    <row r="1547">
      <c r="A1547" s="81" t="str">
        <f>IFERROR(__xludf.DUMMYFUNCTION("""COMPUTED_VALUE"""),"Grand Theft Auto: Liberty City Stories")</f>
        <v>Grand Theft Auto: Liberty City Stories</v>
      </c>
      <c r="B1547" s="82" t="str">
        <f>IFERROR(__xludf.DUMMYFUNCTION("""COMPUTED_VALUE"""),"PSP")</f>
        <v>PSP</v>
      </c>
      <c r="C1547" s="83" t="str">
        <f>IFERROR(__xludf.DUMMYFUNCTION("""COMPUTED_VALUE"""),"Playstation Plus (Discontinued)")</f>
        <v>Playstation Plus (Discontinued)</v>
      </c>
      <c r="D1547" s="82" t="str">
        <f>IFERROR(__xludf.DUMMYFUNCTION("""COMPUTED_VALUE"""),"Removed")</f>
        <v>Removed</v>
      </c>
      <c r="E1547" s="84">
        <f>IFERROR(__xludf.DUMMYFUNCTION("""COMPUTED_VALUE"""),41520.0)</f>
        <v>41520</v>
      </c>
      <c r="F1547" s="85">
        <f>IFERROR(__xludf.DUMMYFUNCTION("""COMPUTED_VALUE"""),41547.0)</f>
        <v>41547</v>
      </c>
      <c r="G1547" s="86">
        <f>IFERROR(__xludf.DUMMYFUNCTION("""COMPUTED_VALUE"""),0.8999999999999999)</f>
        <v>0.9</v>
      </c>
      <c r="H1547" s="84">
        <f>IFERROR(__xludf.DUMMYFUNCTION("""COMPUTED_VALUE"""),38650.0)</f>
        <v>38650</v>
      </c>
      <c r="I1547" s="86">
        <f>IFERROR(__xludf.DUMMYFUNCTION("""COMPUTED_VALUE"""),7.855555555555555)</f>
        <v>7.855555556</v>
      </c>
      <c r="J1547" s="87">
        <f>IFERROR(__xludf.DUMMYFUNCTION("""COMPUTED_VALUE"""),88.0)</f>
        <v>88</v>
      </c>
      <c r="K1547" s="88">
        <f>IFERROR(__xludf.DUMMYFUNCTION("""COMPUTED_VALUE"""),8.7)</f>
        <v>8.7</v>
      </c>
      <c r="L1547" s="89">
        <f>IFERROR(__xludf.DUMMYFUNCTION("""COMPUTED_VALUE"""),22.0)</f>
        <v>22</v>
      </c>
      <c r="M1547" s="26" t="str">
        <f>IFERROR(__xludf.DUMMYFUNCTION("""COMPUTED_VALUE"""),"Action-Adventure")</f>
        <v>Action-Adventure</v>
      </c>
      <c r="N1547" s="26"/>
      <c r="O1547" s="26" t="str">
        <f>IFERROR(__xludf.DUMMYFUNCTION("""COMPUTED_VALUE"""),"No")</f>
        <v>No</v>
      </c>
      <c r="P1547" s="26"/>
    </row>
    <row r="1548">
      <c r="A1548" s="81" t="str">
        <f>IFERROR(__xludf.DUMMYFUNCTION("""COMPUTED_VALUE"""),"Galaga Legions DX")</f>
        <v>Galaga Legions DX</v>
      </c>
      <c r="B1548" s="82" t="str">
        <f>IFERROR(__xludf.DUMMYFUNCTION("""COMPUTED_VALUE"""),"PS3")</f>
        <v>PS3</v>
      </c>
      <c r="C1548" s="83" t="str">
        <f>IFERROR(__xludf.DUMMYFUNCTION("""COMPUTED_VALUE"""),"Playstation Plus (Discontinued)")</f>
        <v>Playstation Plus (Discontinued)</v>
      </c>
      <c r="D1548" s="82" t="str">
        <f>IFERROR(__xludf.DUMMYFUNCTION("""COMPUTED_VALUE"""),"Removed")</f>
        <v>Removed</v>
      </c>
      <c r="E1548" s="84">
        <f>IFERROR(__xludf.DUMMYFUNCTION("""COMPUTED_VALUE"""),41520.0)</f>
        <v>41520</v>
      </c>
      <c r="F1548" s="85">
        <f>IFERROR(__xludf.DUMMYFUNCTION("""COMPUTED_VALUE"""),41547.0)</f>
        <v>41547</v>
      </c>
      <c r="G1548" s="86">
        <f>IFERROR(__xludf.DUMMYFUNCTION("""COMPUTED_VALUE"""),0.8999999999999999)</f>
        <v>0.9</v>
      </c>
      <c r="H1548" s="84">
        <f>IFERROR(__xludf.DUMMYFUNCTION("""COMPUTED_VALUE"""),40729.0)</f>
        <v>40729</v>
      </c>
      <c r="I1548" s="86">
        <f>IFERROR(__xludf.DUMMYFUNCTION("""COMPUTED_VALUE"""),2.161111111111111)</f>
        <v>2.161111111</v>
      </c>
      <c r="J1548" s="87">
        <f>IFERROR(__xludf.DUMMYFUNCTION("""COMPUTED_VALUE"""),75.0)</f>
        <v>75</v>
      </c>
      <c r="K1548" s="88">
        <f>IFERROR(__xludf.DUMMYFUNCTION("""COMPUTED_VALUE"""),7.8)</f>
        <v>7.8</v>
      </c>
      <c r="L1548" s="89"/>
      <c r="M1548" s="26" t="str">
        <f>IFERROR(__xludf.DUMMYFUNCTION("""COMPUTED_VALUE"""),"Shooter")</f>
        <v>Shooter</v>
      </c>
      <c r="N1548" s="26"/>
      <c r="O1548" s="26" t="str">
        <f>IFERROR(__xludf.DUMMYFUNCTION("""COMPUTED_VALUE"""),"No")</f>
        <v>No</v>
      </c>
      <c r="P1548" s="26"/>
    </row>
    <row r="1549">
      <c r="A1549" s="81" t="str">
        <f>IFERROR(__xludf.DUMMYFUNCTION("""COMPUTED_VALUE"""),"Resident Evil Chronicles HD Collection")</f>
        <v>Resident Evil Chronicles HD Collection</v>
      </c>
      <c r="B1549" s="82" t="str">
        <f>IFERROR(__xludf.DUMMYFUNCTION("""COMPUTED_VALUE"""),"PS3")</f>
        <v>PS3</v>
      </c>
      <c r="C1549" s="83" t="str">
        <f>IFERROR(__xludf.DUMMYFUNCTION("""COMPUTED_VALUE"""),"Playstation Plus (Discontinued)")</f>
        <v>Playstation Plus (Discontinued)</v>
      </c>
      <c r="D1549" s="82" t="str">
        <f>IFERROR(__xludf.DUMMYFUNCTION("""COMPUTED_VALUE"""),"Removed")</f>
        <v>Removed</v>
      </c>
      <c r="E1549" s="84">
        <f>IFERROR(__xludf.DUMMYFUNCTION("""COMPUTED_VALUE"""),41520.0)</f>
        <v>41520</v>
      </c>
      <c r="F1549" s="85">
        <f>IFERROR(__xludf.DUMMYFUNCTION("""COMPUTED_VALUE"""),41547.0)</f>
        <v>41547</v>
      </c>
      <c r="G1549" s="86">
        <f>IFERROR(__xludf.DUMMYFUNCTION("""COMPUTED_VALUE"""),0.8999999999999999)</f>
        <v>0.9</v>
      </c>
      <c r="H1549" s="84">
        <f>IFERROR(__xludf.DUMMYFUNCTION("""COMPUTED_VALUE"""),41086.0)</f>
        <v>41086</v>
      </c>
      <c r="I1549" s="86">
        <f>IFERROR(__xludf.DUMMYFUNCTION("""COMPUTED_VALUE"""),1.1861111111111111)</f>
        <v>1.186111111</v>
      </c>
      <c r="J1549" s="87">
        <f>IFERROR(__xludf.DUMMYFUNCTION("""COMPUTED_VALUE"""),65.0)</f>
        <v>65</v>
      </c>
      <c r="K1549" s="88">
        <f>IFERROR(__xludf.DUMMYFUNCTION("""COMPUTED_VALUE"""),7.5)</f>
        <v>7.5</v>
      </c>
      <c r="L1549" s="89">
        <f>IFERROR(__xludf.DUMMYFUNCTION("""COMPUTED_VALUE"""),13.0)</f>
        <v>13</v>
      </c>
      <c r="M1549" s="26" t="str">
        <f>IFERROR(__xludf.DUMMYFUNCTION("""COMPUTED_VALUE"""),"Shooter")</f>
        <v>Shooter</v>
      </c>
      <c r="N1549" s="26"/>
      <c r="O1549" s="26" t="str">
        <f>IFERROR(__xludf.DUMMYFUNCTION("""COMPUTED_VALUE"""),"No")</f>
        <v>No</v>
      </c>
      <c r="P1549" s="26"/>
    </row>
    <row r="1550">
      <c r="A1550" s="81" t="str">
        <f>IFERROR(__xludf.DUMMYFUNCTION("""COMPUTED_VALUE"""),"ICO HD")</f>
        <v>ICO HD</v>
      </c>
      <c r="B1550" s="82" t="str">
        <f>IFERROR(__xludf.DUMMYFUNCTION("""COMPUTED_VALUE"""),"PS3")</f>
        <v>PS3</v>
      </c>
      <c r="C1550" s="83" t="str">
        <f>IFERROR(__xludf.DUMMYFUNCTION("""COMPUTED_VALUE"""),"Playstation Plus (Discontinued)")</f>
        <v>Playstation Plus (Discontinued)</v>
      </c>
      <c r="D1550" s="82" t="str">
        <f>IFERROR(__xludf.DUMMYFUNCTION("""COMPUTED_VALUE"""),"Removed")</f>
        <v>Removed</v>
      </c>
      <c r="E1550" s="84">
        <f>IFERROR(__xludf.DUMMYFUNCTION("""COMPUTED_VALUE"""),41520.0)</f>
        <v>41520</v>
      </c>
      <c r="F1550" s="85">
        <f>IFERROR(__xludf.DUMMYFUNCTION("""COMPUTED_VALUE"""),41547.0)</f>
        <v>41547</v>
      </c>
      <c r="G1550" s="86">
        <f>IFERROR(__xludf.DUMMYFUNCTION("""COMPUTED_VALUE"""),0.8999999999999999)</f>
        <v>0.9</v>
      </c>
      <c r="H1550" s="84">
        <f>IFERROR(__xludf.DUMMYFUNCTION("""COMPUTED_VALUE"""),40813.0)</f>
        <v>40813</v>
      </c>
      <c r="I1550" s="86">
        <f>IFERROR(__xludf.DUMMYFUNCTION("""COMPUTED_VALUE"""),1.9333333333333333)</f>
        <v>1.933333333</v>
      </c>
      <c r="J1550" s="87">
        <f>IFERROR(__xludf.DUMMYFUNCTION("""COMPUTED_VALUE"""),90.0)</f>
        <v>90</v>
      </c>
      <c r="K1550" s="88">
        <f>IFERROR(__xludf.DUMMYFUNCTION("""COMPUTED_VALUE"""),8.8)</f>
        <v>8.8</v>
      </c>
      <c r="L1550" s="89">
        <f>IFERROR(__xludf.DUMMYFUNCTION("""COMPUTED_VALUE"""),7.0)</f>
        <v>7</v>
      </c>
      <c r="M1550" s="26" t="str">
        <f>IFERROR(__xludf.DUMMYFUNCTION("""COMPUTED_VALUE"""),"Action-Adventure")</f>
        <v>Action-Adventure</v>
      </c>
      <c r="N1550" s="26"/>
      <c r="O1550" s="26" t="str">
        <f>IFERROR(__xludf.DUMMYFUNCTION("""COMPUTED_VALUE"""),"No")</f>
        <v>No</v>
      </c>
      <c r="P1550" s="26"/>
    </row>
    <row r="1551">
      <c r="A1551" s="81" t="str">
        <f>IFERROR(__xludf.DUMMYFUNCTION("""COMPUTED_VALUE"""),"Machinarium")</f>
        <v>Machinarium</v>
      </c>
      <c r="B1551" s="82" t="str">
        <f>IFERROR(__xludf.DUMMYFUNCTION("""COMPUTED_VALUE"""),"Vita")</f>
        <v>Vita</v>
      </c>
      <c r="C1551" s="83" t="str">
        <f>IFERROR(__xludf.DUMMYFUNCTION("""COMPUTED_VALUE"""),"Playstation Plus (Discontinued)")</f>
        <v>Playstation Plus (Discontinued)</v>
      </c>
      <c r="D1551" s="82" t="str">
        <f>IFERROR(__xludf.DUMMYFUNCTION("""COMPUTED_VALUE"""),"Removed")</f>
        <v>Removed</v>
      </c>
      <c r="E1551" s="84">
        <f>IFERROR(__xludf.DUMMYFUNCTION("""COMPUTED_VALUE"""),41492.0)</f>
        <v>41492</v>
      </c>
      <c r="F1551" s="85">
        <f>IFERROR(__xludf.DUMMYFUNCTION("""COMPUTED_VALUE"""),41519.0)</f>
        <v>41519</v>
      </c>
      <c r="G1551" s="86">
        <f>IFERROR(__xludf.DUMMYFUNCTION("""COMPUTED_VALUE"""),0.8666666666666666)</f>
        <v>0.8666666667</v>
      </c>
      <c r="H1551" s="84">
        <f>IFERROR(__xludf.DUMMYFUNCTION("""COMPUTED_VALUE"""),40102.0)</f>
        <v>40102</v>
      </c>
      <c r="I1551" s="86">
        <f>IFERROR(__xludf.DUMMYFUNCTION("""COMPUTED_VALUE"""),3.8055555555555554)</f>
        <v>3.805555556</v>
      </c>
      <c r="J1551" s="87">
        <f>IFERROR(__xludf.DUMMYFUNCTION("""COMPUTED_VALUE"""),85.0)</f>
        <v>85</v>
      </c>
      <c r="K1551" s="88">
        <f>IFERROR(__xludf.DUMMYFUNCTION("""COMPUTED_VALUE"""),8.4)</f>
        <v>8.4</v>
      </c>
      <c r="L1551" s="89">
        <f>IFERROR(__xludf.DUMMYFUNCTION("""COMPUTED_VALUE"""),6.0)</f>
        <v>6</v>
      </c>
      <c r="M1551" s="26" t="str">
        <f>IFERROR(__xludf.DUMMYFUNCTION("""COMPUTED_VALUE"""),"Adventure")</f>
        <v>Adventure</v>
      </c>
      <c r="N1551" s="26"/>
      <c r="O1551" s="26" t="str">
        <f>IFERROR(__xludf.DUMMYFUNCTION("""COMPUTED_VALUE"""),"No")</f>
        <v>No</v>
      </c>
      <c r="P1551" s="26"/>
    </row>
    <row r="1552">
      <c r="A1552" s="81" t="str">
        <f>IFERROR(__xludf.DUMMYFUNCTION("""COMPUTED_VALUE"""),"Darkstalkers Chronicle: The Chaos Tower")</f>
        <v>Darkstalkers Chronicle: The Chaos Tower</v>
      </c>
      <c r="B1552" s="82" t="str">
        <f>IFERROR(__xludf.DUMMYFUNCTION("""COMPUTED_VALUE"""),"PSP")</f>
        <v>PSP</v>
      </c>
      <c r="C1552" s="83" t="str">
        <f>IFERROR(__xludf.DUMMYFUNCTION("""COMPUTED_VALUE"""),"Playstation Plus (Discontinued)")</f>
        <v>Playstation Plus (Discontinued)</v>
      </c>
      <c r="D1552" s="82" t="str">
        <f>IFERROR(__xludf.DUMMYFUNCTION("""COMPUTED_VALUE"""),"Removed")</f>
        <v>Removed</v>
      </c>
      <c r="E1552" s="84">
        <f>IFERROR(__xludf.DUMMYFUNCTION("""COMPUTED_VALUE"""),41492.0)</f>
        <v>41492</v>
      </c>
      <c r="F1552" s="85">
        <f>IFERROR(__xludf.DUMMYFUNCTION("""COMPUTED_VALUE"""),41519.0)</f>
        <v>41519</v>
      </c>
      <c r="G1552" s="86">
        <f>IFERROR(__xludf.DUMMYFUNCTION("""COMPUTED_VALUE"""),0.8666666666666666)</f>
        <v>0.8666666667</v>
      </c>
      <c r="H1552" s="84">
        <f>IFERROR(__xludf.DUMMYFUNCTION("""COMPUTED_VALUE"""),38407.0)</f>
        <v>38407</v>
      </c>
      <c r="I1552" s="86">
        <f>IFERROR(__xludf.DUMMYFUNCTION("""COMPUTED_VALUE"""),8.45)</f>
        <v>8.45</v>
      </c>
      <c r="J1552" s="87">
        <f>IFERROR(__xludf.DUMMYFUNCTION("""COMPUTED_VALUE"""),76.0)</f>
        <v>76</v>
      </c>
      <c r="K1552" s="88">
        <f>IFERROR(__xludf.DUMMYFUNCTION("""COMPUTED_VALUE"""),8.0)</f>
        <v>8</v>
      </c>
      <c r="L1552" s="89"/>
      <c r="M1552" s="26" t="str">
        <f>IFERROR(__xludf.DUMMYFUNCTION("""COMPUTED_VALUE"""),"Fighting")</f>
        <v>Fighting</v>
      </c>
      <c r="N1552" s="26"/>
      <c r="O1552" s="26" t="str">
        <f>IFERROR(__xludf.DUMMYFUNCTION("""COMPUTED_VALUE"""),"No")</f>
        <v>No</v>
      </c>
      <c r="P1552" s="26"/>
    </row>
    <row r="1553">
      <c r="A1553" s="81" t="str">
        <f>IFERROR(__xludf.DUMMYFUNCTION("""COMPUTED_VALUE"""),"Zen Pinball 2: Star Wars Pinball")</f>
        <v>Zen Pinball 2: Star Wars Pinball</v>
      </c>
      <c r="B1553" s="82" t="str">
        <f>IFERROR(__xludf.DUMMYFUNCTION("""COMPUTED_VALUE"""),"PS3/Vita")</f>
        <v>PS3/Vita</v>
      </c>
      <c r="C1553" s="83" t="str">
        <f>IFERROR(__xludf.DUMMYFUNCTION("""COMPUTED_VALUE"""),"Playstation Plus (Discontinued)")</f>
        <v>Playstation Plus (Discontinued)</v>
      </c>
      <c r="D1553" s="82" t="str">
        <f>IFERROR(__xludf.DUMMYFUNCTION("""COMPUTED_VALUE"""),"Removed")</f>
        <v>Removed</v>
      </c>
      <c r="E1553" s="84">
        <f>IFERROR(__xludf.DUMMYFUNCTION("""COMPUTED_VALUE"""),41492.0)</f>
        <v>41492</v>
      </c>
      <c r="F1553" s="85">
        <f>IFERROR(__xludf.DUMMYFUNCTION("""COMPUTED_VALUE"""),41519.0)</f>
        <v>41519</v>
      </c>
      <c r="G1553" s="86">
        <f>IFERROR(__xludf.DUMMYFUNCTION("""COMPUTED_VALUE"""),0.8666666666666666)</f>
        <v>0.8666666667</v>
      </c>
      <c r="H1553" s="84">
        <f>IFERROR(__xludf.DUMMYFUNCTION("""COMPUTED_VALUE"""),41331.0)</f>
        <v>41331</v>
      </c>
      <c r="I1553" s="86">
        <f>IFERROR(__xludf.DUMMYFUNCTION("""COMPUTED_VALUE"""),0.4444444444444444)</f>
        <v>0.4444444444</v>
      </c>
      <c r="J1553" s="87">
        <f>IFERROR(__xludf.DUMMYFUNCTION("""COMPUTED_VALUE"""),73.0)</f>
        <v>73</v>
      </c>
      <c r="K1553" s="88">
        <f>IFERROR(__xludf.DUMMYFUNCTION("""COMPUTED_VALUE"""),7.7)</f>
        <v>7.7</v>
      </c>
      <c r="L1553" s="89"/>
      <c r="M1553" s="26" t="str">
        <f>IFERROR(__xludf.DUMMYFUNCTION("""COMPUTED_VALUE"""),"Pinball")</f>
        <v>Pinball</v>
      </c>
      <c r="N1553" s="26"/>
      <c r="O1553" s="26" t="str">
        <f>IFERROR(__xludf.DUMMYFUNCTION("""COMPUTED_VALUE"""),"No")</f>
        <v>No</v>
      </c>
      <c r="P1553" s="26"/>
    </row>
    <row r="1554">
      <c r="A1554" s="81" t="str">
        <f>IFERROR(__xludf.DUMMYFUNCTION("""COMPUTED_VALUE"""),"Bit.Trip Presents...Runner2: Future Legend of Rhythm Alien")</f>
        <v>Bit.Trip Presents...Runner2: Future Legend of Rhythm Alien</v>
      </c>
      <c r="B1554" s="82" t="str">
        <f>IFERROR(__xludf.DUMMYFUNCTION("""COMPUTED_VALUE"""),"PS3")</f>
        <v>PS3</v>
      </c>
      <c r="C1554" s="83" t="str">
        <f>IFERROR(__xludf.DUMMYFUNCTION("""COMPUTED_VALUE"""),"Playstation Plus (Discontinued)")</f>
        <v>Playstation Plus (Discontinued)</v>
      </c>
      <c r="D1554" s="82" t="str">
        <f>IFERROR(__xludf.DUMMYFUNCTION("""COMPUTED_VALUE"""),"Removed")</f>
        <v>Removed</v>
      </c>
      <c r="E1554" s="84">
        <f>IFERROR(__xludf.DUMMYFUNCTION("""COMPUTED_VALUE"""),41492.0)</f>
        <v>41492</v>
      </c>
      <c r="F1554" s="85">
        <f>IFERROR(__xludf.DUMMYFUNCTION("""COMPUTED_VALUE"""),41519.0)</f>
        <v>41519</v>
      </c>
      <c r="G1554" s="86">
        <f>IFERROR(__xludf.DUMMYFUNCTION("""COMPUTED_VALUE"""),0.8666666666666666)</f>
        <v>0.8666666667</v>
      </c>
      <c r="H1554" s="84">
        <f>IFERROR(__xludf.DUMMYFUNCTION("""COMPUTED_VALUE"""),41331.0)</f>
        <v>41331</v>
      </c>
      <c r="I1554" s="86">
        <f>IFERROR(__xludf.DUMMYFUNCTION("""COMPUTED_VALUE"""),0.4444444444444444)</f>
        <v>0.4444444444</v>
      </c>
      <c r="J1554" s="87">
        <f>IFERROR(__xludf.DUMMYFUNCTION("""COMPUTED_VALUE"""),85.0)</f>
        <v>85</v>
      </c>
      <c r="K1554" s="88">
        <f>IFERROR(__xludf.DUMMYFUNCTION("""COMPUTED_VALUE"""),8.0)</f>
        <v>8</v>
      </c>
      <c r="L1554" s="89">
        <f>IFERROR(__xludf.DUMMYFUNCTION("""COMPUTED_VALUE"""),6.0)</f>
        <v>6</v>
      </c>
      <c r="M1554" s="26" t="str">
        <f>IFERROR(__xludf.DUMMYFUNCTION("""COMPUTED_VALUE"""),"Platformer")</f>
        <v>Platformer</v>
      </c>
      <c r="N1554" s="26"/>
      <c r="O1554" s="26" t="str">
        <f>IFERROR(__xludf.DUMMYFUNCTION("""COMPUTED_VALUE"""),"No")</f>
        <v>No</v>
      </c>
      <c r="P1554" s="26"/>
    </row>
    <row r="1555">
      <c r="A1555" s="81" t="str">
        <f>IFERROR(__xludf.DUMMYFUNCTION("""COMPUTED_VALUE"""),"Hitman: Absolution")</f>
        <v>Hitman: Absolution</v>
      </c>
      <c r="B1555" s="82" t="str">
        <f>IFERROR(__xludf.DUMMYFUNCTION("""COMPUTED_VALUE"""),"PS3")</f>
        <v>PS3</v>
      </c>
      <c r="C1555" s="83" t="str">
        <f>IFERROR(__xludf.DUMMYFUNCTION("""COMPUTED_VALUE"""),"Playstation Plus (Discontinued)")</f>
        <v>Playstation Plus (Discontinued)</v>
      </c>
      <c r="D1555" s="82" t="str">
        <f>IFERROR(__xludf.DUMMYFUNCTION("""COMPUTED_VALUE"""),"Removed")</f>
        <v>Removed</v>
      </c>
      <c r="E1555" s="84">
        <f>IFERROR(__xludf.DUMMYFUNCTION("""COMPUTED_VALUE"""),41492.0)</f>
        <v>41492</v>
      </c>
      <c r="F1555" s="85">
        <f>IFERROR(__xludf.DUMMYFUNCTION("""COMPUTED_VALUE"""),41519.0)</f>
        <v>41519</v>
      </c>
      <c r="G1555" s="86">
        <f>IFERROR(__xludf.DUMMYFUNCTION("""COMPUTED_VALUE"""),0.8666666666666666)</f>
        <v>0.8666666667</v>
      </c>
      <c r="H1555" s="84">
        <f>IFERROR(__xludf.DUMMYFUNCTION("""COMPUTED_VALUE"""),41233.0)</f>
        <v>41233</v>
      </c>
      <c r="I1555" s="86">
        <f>IFERROR(__xludf.DUMMYFUNCTION("""COMPUTED_VALUE"""),0.7111111111111111)</f>
        <v>0.7111111111</v>
      </c>
      <c r="J1555" s="87">
        <f>IFERROR(__xludf.DUMMYFUNCTION("""COMPUTED_VALUE"""),79.0)</f>
        <v>79</v>
      </c>
      <c r="K1555" s="88">
        <f>IFERROR(__xludf.DUMMYFUNCTION("""COMPUTED_VALUE"""),7.6)</f>
        <v>7.6</v>
      </c>
      <c r="L1555" s="89">
        <f>IFERROR(__xludf.DUMMYFUNCTION("""COMPUTED_VALUE"""),11.0)</f>
        <v>11</v>
      </c>
      <c r="M1555" s="26" t="str">
        <f>IFERROR(__xludf.DUMMYFUNCTION("""COMPUTED_VALUE"""),"Action-Adventure")</f>
        <v>Action-Adventure</v>
      </c>
      <c r="N1555" s="26"/>
      <c r="O1555" s="26" t="str">
        <f>IFERROR(__xludf.DUMMYFUNCTION("""COMPUTED_VALUE"""),"No")</f>
        <v>No</v>
      </c>
      <c r="P1555" s="26"/>
    </row>
    <row r="1556">
      <c r="A1556" s="81" t="str">
        <f>IFERROR(__xludf.DUMMYFUNCTION("""COMPUTED_VALUE"""),"Oddworld: Munch's Oddysey HD")</f>
        <v>Oddworld: Munch's Oddysey HD</v>
      </c>
      <c r="B1556" s="82" t="str">
        <f>IFERROR(__xludf.DUMMYFUNCTION("""COMPUTED_VALUE"""),"PS3")</f>
        <v>PS3</v>
      </c>
      <c r="C1556" s="83" t="str">
        <f>IFERROR(__xludf.DUMMYFUNCTION("""COMPUTED_VALUE"""),"Playstation Plus (Discontinued)")</f>
        <v>Playstation Plus (Discontinued)</v>
      </c>
      <c r="D1556" s="82" t="str">
        <f>IFERROR(__xludf.DUMMYFUNCTION("""COMPUTED_VALUE"""),"Removed")</f>
        <v>Removed</v>
      </c>
      <c r="E1556" s="84">
        <f>IFERROR(__xludf.DUMMYFUNCTION("""COMPUTED_VALUE"""),41457.0)</f>
        <v>41457</v>
      </c>
      <c r="F1556" s="85">
        <f>IFERROR(__xludf.DUMMYFUNCTION("""COMPUTED_VALUE"""),41491.0)</f>
        <v>41491</v>
      </c>
      <c r="G1556" s="86">
        <f>IFERROR(__xludf.DUMMYFUNCTION("""COMPUTED_VALUE"""),1.0999999999999999)</f>
        <v>1.1</v>
      </c>
      <c r="H1556" s="84">
        <f>IFERROR(__xludf.DUMMYFUNCTION("""COMPUTED_VALUE"""),40896.0)</f>
        <v>40896</v>
      </c>
      <c r="I1556" s="86">
        <f>IFERROR(__xludf.DUMMYFUNCTION("""COMPUTED_VALUE"""),1.5361111111111112)</f>
        <v>1.536111111</v>
      </c>
      <c r="J1556" s="87">
        <f>IFERROR(__xludf.DUMMYFUNCTION("""COMPUTED_VALUE"""),66.0)</f>
        <v>66</v>
      </c>
      <c r="K1556" s="88">
        <f>IFERROR(__xludf.DUMMYFUNCTION("""COMPUTED_VALUE"""),7.5)</f>
        <v>7.5</v>
      </c>
      <c r="L1556" s="89">
        <f>IFERROR(__xludf.DUMMYFUNCTION("""COMPUTED_VALUE"""),11.0)</f>
        <v>11</v>
      </c>
      <c r="M1556" s="26" t="str">
        <f>IFERROR(__xludf.DUMMYFUNCTION("""COMPUTED_VALUE"""),"Action-Adventure")</f>
        <v>Action-Adventure</v>
      </c>
      <c r="N1556" s="26"/>
      <c r="O1556" s="26" t="str">
        <f>IFERROR(__xludf.DUMMYFUNCTION("""COMPUTED_VALUE"""),"No")</f>
        <v>No</v>
      </c>
      <c r="P1556" s="26"/>
    </row>
    <row r="1557">
      <c r="A1557" s="81" t="str">
        <f>IFERROR(__xludf.DUMMYFUNCTION("""COMPUTED_VALUE"""),"Dokuro")</f>
        <v>Dokuro</v>
      </c>
      <c r="B1557" s="82" t="str">
        <f>IFERROR(__xludf.DUMMYFUNCTION("""COMPUTED_VALUE"""),"Vita")</f>
        <v>Vita</v>
      </c>
      <c r="C1557" s="83" t="str">
        <f>IFERROR(__xludf.DUMMYFUNCTION("""COMPUTED_VALUE"""),"Playstation Plus (Discontinued)")</f>
        <v>Playstation Plus (Discontinued)</v>
      </c>
      <c r="D1557" s="82" t="str">
        <f>IFERROR(__xludf.DUMMYFUNCTION("""COMPUTED_VALUE"""),"Removed")</f>
        <v>Removed</v>
      </c>
      <c r="E1557" s="84">
        <f>IFERROR(__xludf.DUMMYFUNCTION("""COMPUTED_VALUE"""),41457.0)</f>
        <v>41457</v>
      </c>
      <c r="F1557" s="85">
        <f>IFERROR(__xludf.DUMMYFUNCTION("""COMPUTED_VALUE"""),41491.0)</f>
        <v>41491</v>
      </c>
      <c r="G1557" s="86">
        <f>IFERROR(__xludf.DUMMYFUNCTION("""COMPUTED_VALUE"""),1.0999999999999999)</f>
        <v>1.1</v>
      </c>
      <c r="H1557" s="84">
        <f>IFERROR(__xludf.DUMMYFUNCTION("""COMPUTED_VALUE"""),41219.0)</f>
        <v>41219</v>
      </c>
      <c r="I1557" s="86">
        <f>IFERROR(__xludf.DUMMYFUNCTION("""COMPUTED_VALUE"""),0.6555555555555556)</f>
        <v>0.6555555556</v>
      </c>
      <c r="J1557" s="87">
        <f>IFERROR(__xludf.DUMMYFUNCTION("""COMPUTED_VALUE"""),76.0)</f>
        <v>76</v>
      </c>
      <c r="K1557" s="88">
        <f>IFERROR(__xludf.DUMMYFUNCTION("""COMPUTED_VALUE"""),7.6)</f>
        <v>7.6</v>
      </c>
      <c r="L1557" s="89">
        <f>IFERROR(__xludf.DUMMYFUNCTION("""COMPUTED_VALUE"""),6.0)</f>
        <v>6</v>
      </c>
      <c r="M1557" s="26" t="str">
        <f>IFERROR(__xludf.DUMMYFUNCTION("""COMPUTED_VALUE"""),"Platformer")</f>
        <v>Platformer</v>
      </c>
      <c r="N1557" s="26"/>
      <c r="O1557" s="26" t="str">
        <f>IFERROR(__xludf.DUMMYFUNCTION("""COMPUTED_VALUE"""),"No")</f>
        <v>No</v>
      </c>
      <c r="P1557" s="26"/>
    </row>
    <row r="1558">
      <c r="A1558" s="81" t="str">
        <f>IFERROR(__xludf.DUMMYFUNCTION("""COMPUTED_VALUE"""),"Jet Set Radio")</f>
        <v>Jet Set Radio</v>
      </c>
      <c r="B1558" s="82" t="str">
        <f>IFERROR(__xludf.DUMMYFUNCTION("""COMPUTED_VALUE"""),"PS3")</f>
        <v>PS3</v>
      </c>
      <c r="C1558" s="83" t="str">
        <f>IFERROR(__xludf.DUMMYFUNCTION("""COMPUTED_VALUE"""),"Playstation Plus (Discontinued)")</f>
        <v>Playstation Plus (Discontinued)</v>
      </c>
      <c r="D1558" s="82" t="str">
        <f>IFERROR(__xludf.DUMMYFUNCTION("""COMPUTED_VALUE"""),"Removed")</f>
        <v>Removed</v>
      </c>
      <c r="E1558" s="84">
        <f>IFERROR(__xludf.DUMMYFUNCTION("""COMPUTED_VALUE"""),41457.0)</f>
        <v>41457</v>
      </c>
      <c r="F1558" s="85">
        <f>IFERROR(__xludf.DUMMYFUNCTION("""COMPUTED_VALUE"""),41491.0)</f>
        <v>41491</v>
      </c>
      <c r="G1558" s="86">
        <f>IFERROR(__xludf.DUMMYFUNCTION("""COMPUTED_VALUE"""),1.0999999999999999)</f>
        <v>1.1</v>
      </c>
      <c r="H1558" s="84">
        <f>IFERROR(__xludf.DUMMYFUNCTION("""COMPUTED_VALUE"""),41170.0)</f>
        <v>41170</v>
      </c>
      <c r="I1558" s="86">
        <f>IFERROR(__xludf.DUMMYFUNCTION("""COMPUTED_VALUE"""),0.7888888888888889)</f>
        <v>0.7888888889</v>
      </c>
      <c r="J1558" s="87">
        <f>IFERROR(__xludf.DUMMYFUNCTION("""COMPUTED_VALUE"""),78.0)</f>
        <v>78</v>
      </c>
      <c r="K1558" s="88">
        <f>IFERROR(__xludf.DUMMYFUNCTION("""COMPUTED_VALUE"""),7.7)</f>
        <v>7.7</v>
      </c>
      <c r="L1558" s="89">
        <f>IFERROR(__xludf.DUMMYFUNCTION("""COMPUTED_VALUE"""),9.0)</f>
        <v>9</v>
      </c>
      <c r="M1558" s="26" t="str">
        <f>IFERROR(__xludf.DUMMYFUNCTION("""COMPUTED_VALUE"""),"Action-Adventure")</f>
        <v>Action-Adventure</v>
      </c>
      <c r="N1558" s="26"/>
      <c r="O1558" s="26" t="str">
        <f>IFERROR(__xludf.DUMMYFUNCTION("""COMPUTED_VALUE"""),"No")</f>
        <v>No</v>
      </c>
      <c r="P1558" s="26"/>
    </row>
    <row r="1559">
      <c r="A1559" s="81" t="str">
        <f>IFERROR(__xludf.DUMMYFUNCTION("""COMPUTED_VALUE"""),"Metal Slug XX")</f>
        <v>Metal Slug XX</v>
      </c>
      <c r="B1559" s="82" t="str">
        <f>IFERROR(__xludf.DUMMYFUNCTION("""COMPUTED_VALUE"""),"PSP")</f>
        <v>PSP</v>
      </c>
      <c r="C1559" s="83" t="str">
        <f>IFERROR(__xludf.DUMMYFUNCTION("""COMPUTED_VALUE"""),"Playstation Plus (Discontinued)")</f>
        <v>Playstation Plus (Discontinued)</v>
      </c>
      <c r="D1559" s="82" t="str">
        <f>IFERROR(__xludf.DUMMYFUNCTION("""COMPUTED_VALUE"""),"Removed")</f>
        <v>Removed</v>
      </c>
      <c r="E1559" s="84">
        <f>IFERROR(__xludf.DUMMYFUNCTION("""COMPUTED_VALUE"""),41457.0)</f>
        <v>41457</v>
      </c>
      <c r="F1559" s="85">
        <f>IFERROR(__xludf.DUMMYFUNCTION("""COMPUTED_VALUE"""),41491.0)</f>
        <v>41491</v>
      </c>
      <c r="G1559" s="86">
        <f>IFERROR(__xludf.DUMMYFUNCTION("""COMPUTED_VALUE"""),1.0999999999999999)</f>
        <v>1.1</v>
      </c>
      <c r="H1559" s="84">
        <f>IFERROR(__xludf.DUMMYFUNCTION("""COMPUTED_VALUE"""),40109.0)</f>
        <v>40109</v>
      </c>
      <c r="I1559" s="86">
        <f>IFERROR(__xludf.DUMMYFUNCTION("""COMPUTED_VALUE"""),3.691666666666667)</f>
        <v>3.691666667</v>
      </c>
      <c r="J1559" s="87">
        <f>IFERROR(__xludf.DUMMYFUNCTION("""COMPUTED_VALUE"""),79.0)</f>
        <v>79</v>
      </c>
      <c r="K1559" s="88">
        <f>IFERROR(__xludf.DUMMYFUNCTION("""COMPUTED_VALUE"""),7.9)</f>
        <v>7.9</v>
      </c>
      <c r="L1559" s="89">
        <f>IFERROR(__xludf.DUMMYFUNCTION("""COMPUTED_VALUE"""),3.0)</f>
        <v>3</v>
      </c>
      <c r="M1559" s="26" t="str">
        <f>IFERROR(__xludf.DUMMYFUNCTION("""COMPUTED_VALUE"""),"Shooter")</f>
        <v>Shooter</v>
      </c>
      <c r="N1559" s="26"/>
      <c r="O1559" s="26" t="str">
        <f>IFERROR(__xludf.DUMMYFUNCTION("""COMPUTED_VALUE"""),"No")</f>
        <v>No</v>
      </c>
      <c r="P1559" s="26"/>
    </row>
    <row r="1560">
      <c r="A1560" s="81" t="str">
        <f>IFERROR(__xludf.DUMMYFUNCTION("""COMPUTED_VALUE"""),"Battlefield 3")</f>
        <v>Battlefield 3</v>
      </c>
      <c r="B1560" s="82" t="str">
        <f>IFERROR(__xludf.DUMMYFUNCTION("""COMPUTED_VALUE"""),"PS3")</f>
        <v>PS3</v>
      </c>
      <c r="C1560" s="83" t="str">
        <f>IFERROR(__xludf.DUMMYFUNCTION("""COMPUTED_VALUE"""),"Playstation Plus (Discontinued)")</f>
        <v>Playstation Plus (Discontinued)</v>
      </c>
      <c r="D1560" s="82" t="str">
        <f>IFERROR(__xludf.DUMMYFUNCTION("""COMPUTED_VALUE"""),"Removed")</f>
        <v>Removed</v>
      </c>
      <c r="E1560" s="84">
        <f>IFERROR(__xludf.DUMMYFUNCTION("""COMPUTED_VALUE"""),41457.0)</f>
        <v>41457</v>
      </c>
      <c r="F1560" s="85">
        <f>IFERROR(__xludf.DUMMYFUNCTION("""COMPUTED_VALUE"""),41491.0)</f>
        <v>41491</v>
      </c>
      <c r="G1560" s="86">
        <f>IFERROR(__xludf.DUMMYFUNCTION("""COMPUTED_VALUE"""),1.0999999999999999)</f>
        <v>1.1</v>
      </c>
      <c r="H1560" s="84">
        <f>IFERROR(__xludf.DUMMYFUNCTION("""COMPUTED_VALUE"""),40841.0)</f>
        <v>40841</v>
      </c>
      <c r="I1560" s="86">
        <f>IFERROR(__xludf.DUMMYFUNCTION("""COMPUTED_VALUE"""),1.6861111111111111)</f>
        <v>1.686111111</v>
      </c>
      <c r="J1560" s="87">
        <f>IFERROR(__xludf.DUMMYFUNCTION("""COMPUTED_VALUE"""),85.0)</f>
        <v>85</v>
      </c>
      <c r="K1560" s="88">
        <f>IFERROR(__xludf.DUMMYFUNCTION("""COMPUTED_VALUE"""),7.4)</f>
        <v>7.4</v>
      </c>
      <c r="L1560" s="89">
        <f>IFERROR(__xludf.DUMMYFUNCTION("""COMPUTED_VALUE"""),6.0)</f>
        <v>6</v>
      </c>
      <c r="M1560" s="26" t="str">
        <f>IFERROR(__xludf.DUMMYFUNCTION("""COMPUTED_VALUE"""),"Shooter")</f>
        <v>Shooter</v>
      </c>
      <c r="N1560" s="26"/>
      <c r="O1560" s="26" t="str">
        <f>IFERROR(__xludf.DUMMYFUNCTION("""COMPUTED_VALUE"""),"No")</f>
        <v>No</v>
      </c>
      <c r="P1560" s="26"/>
    </row>
    <row r="1561">
      <c r="A1561" s="81" t="str">
        <f>IFERROR(__xludf.DUMMYFUNCTION("""COMPUTED_VALUE"""),"LittleBigPlanet Karting")</f>
        <v>LittleBigPlanet Karting</v>
      </c>
      <c r="B1561" s="82" t="str">
        <f>IFERROR(__xludf.DUMMYFUNCTION("""COMPUTED_VALUE"""),"PS3")</f>
        <v>PS3</v>
      </c>
      <c r="C1561" s="83" t="str">
        <f>IFERROR(__xludf.DUMMYFUNCTION("""COMPUTED_VALUE"""),"Playstation Plus (Discontinued)")</f>
        <v>Playstation Plus (Discontinued)</v>
      </c>
      <c r="D1561" s="82" t="str">
        <f>IFERROR(__xludf.DUMMYFUNCTION("""COMPUTED_VALUE"""),"Removed")</f>
        <v>Removed</v>
      </c>
      <c r="E1561" s="84">
        <f>IFERROR(__xludf.DUMMYFUNCTION("""COMPUTED_VALUE"""),41429.0)</f>
        <v>41429</v>
      </c>
      <c r="F1561" s="85">
        <f>IFERROR(__xludf.DUMMYFUNCTION("""COMPUTED_VALUE"""),41456.0)</f>
        <v>41456</v>
      </c>
      <c r="G1561" s="86">
        <f>IFERROR(__xludf.DUMMYFUNCTION("""COMPUTED_VALUE"""),0.8999999999999999)</f>
        <v>0.9</v>
      </c>
      <c r="H1561" s="84">
        <f>IFERROR(__xludf.DUMMYFUNCTION("""COMPUTED_VALUE"""),41219.0)</f>
        <v>41219</v>
      </c>
      <c r="I1561" s="86">
        <f>IFERROR(__xludf.DUMMYFUNCTION("""COMPUTED_VALUE"""),0.5777777777777777)</f>
        <v>0.5777777778</v>
      </c>
      <c r="J1561" s="87">
        <f>IFERROR(__xludf.DUMMYFUNCTION("""COMPUTED_VALUE"""),68.0)</f>
        <v>68</v>
      </c>
      <c r="K1561" s="88">
        <f>IFERROR(__xludf.DUMMYFUNCTION("""COMPUTED_VALUE"""),6.8)</f>
        <v>6.8</v>
      </c>
      <c r="L1561" s="89">
        <f>IFERROR(__xludf.DUMMYFUNCTION("""COMPUTED_VALUE"""),10.0)</f>
        <v>10</v>
      </c>
      <c r="M1561" s="26" t="str">
        <f>IFERROR(__xludf.DUMMYFUNCTION("""COMPUTED_VALUE"""),"Racing")</f>
        <v>Racing</v>
      </c>
      <c r="N1561" s="26"/>
      <c r="O1561" s="26" t="str">
        <f>IFERROR(__xludf.DUMMYFUNCTION("""COMPUTED_VALUE"""),"No")</f>
        <v>No</v>
      </c>
      <c r="P1561" s="26"/>
    </row>
    <row r="1562">
      <c r="A1562" s="81" t="str">
        <f>IFERROR(__xludf.DUMMYFUNCTION("""COMPUTED_VALUE"""),"XCOM: Enemy Unknown")</f>
        <v>XCOM: Enemy Unknown</v>
      </c>
      <c r="B1562" s="82" t="str">
        <f>IFERROR(__xludf.DUMMYFUNCTION("""COMPUTED_VALUE"""),"PS3")</f>
        <v>PS3</v>
      </c>
      <c r="C1562" s="83" t="str">
        <f>IFERROR(__xludf.DUMMYFUNCTION("""COMPUTED_VALUE"""),"Playstation Plus (Discontinued)")</f>
        <v>Playstation Plus (Discontinued)</v>
      </c>
      <c r="D1562" s="82" t="str">
        <f>IFERROR(__xludf.DUMMYFUNCTION("""COMPUTED_VALUE"""),"Removed")</f>
        <v>Removed</v>
      </c>
      <c r="E1562" s="84">
        <f>IFERROR(__xludf.DUMMYFUNCTION("""COMPUTED_VALUE"""),41429.0)</f>
        <v>41429</v>
      </c>
      <c r="F1562" s="85">
        <f>IFERROR(__xludf.DUMMYFUNCTION("""COMPUTED_VALUE"""),41456.0)</f>
        <v>41456</v>
      </c>
      <c r="G1562" s="86">
        <f>IFERROR(__xludf.DUMMYFUNCTION("""COMPUTED_VALUE"""),0.8999999999999999)</f>
        <v>0.9</v>
      </c>
      <c r="H1562" s="84">
        <f>IFERROR(__xludf.DUMMYFUNCTION("""COMPUTED_VALUE"""),41191.0)</f>
        <v>41191</v>
      </c>
      <c r="I1562" s="86">
        <f>IFERROR(__xludf.DUMMYFUNCTION("""COMPUTED_VALUE"""),0.6527777777777778)</f>
        <v>0.6527777778</v>
      </c>
      <c r="J1562" s="87">
        <f>IFERROR(__xludf.DUMMYFUNCTION("""COMPUTED_VALUE"""),89.0)</f>
        <v>89</v>
      </c>
      <c r="K1562" s="88">
        <f>IFERROR(__xludf.DUMMYFUNCTION("""COMPUTED_VALUE"""),8.7)</f>
        <v>8.7</v>
      </c>
      <c r="L1562" s="89">
        <f>IFERROR(__xludf.DUMMYFUNCTION("""COMPUTED_VALUE"""),26.0)</f>
        <v>26</v>
      </c>
      <c r="M1562" s="26" t="str">
        <f>IFERROR(__xludf.DUMMYFUNCTION("""COMPUTED_VALUE"""),"Strategy")</f>
        <v>Strategy</v>
      </c>
      <c r="N1562" s="26"/>
      <c r="O1562" s="26" t="str">
        <f>IFERROR(__xludf.DUMMYFUNCTION("""COMPUTED_VALUE"""),"No")</f>
        <v>No</v>
      </c>
      <c r="P1562" s="26"/>
    </row>
    <row r="1563">
      <c r="A1563" s="81" t="str">
        <f>IFERROR(__xludf.DUMMYFUNCTION("""COMPUTED_VALUE"""),"Uncharted 3: Drake's Deception (single-player)")</f>
        <v>Uncharted 3: Drake's Deception (single-player)</v>
      </c>
      <c r="B1563" s="82" t="str">
        <f>IFERROR(__xludf.DUMMYFUNCTION("""COMPUTED_VALUE"""),"PS3")</f>
        <v>PS3</v>
      </c>
      <c r="C1563" s="83" t="str">
        <f>IFERROR(__xludf.DUMMYFUNCTION("""COMPUTED_VALUE"""),"Playstation Plus (Discontinued)")</f>
        <v>Playstation Plus (Discontinued)</v>
      </c>
      <c r="D1563" s="82" t="str">
        <f>IFERROR(__xludf.DUMMYFUNCTION("""COMPUTED_VALUE"""),"Removed")</f>
        <v>Removed</v>
      </c>
      <c r="E1563" s="84">
        <f>IFERROR(__xludf.DUMMYFUNCTION("""COMPUTED_VALUE"""),41429.0)</f>
        <v>41429</v>
      </c>
      <c r="F1563" s="85">
        <f>IFERROR(__xludf.DUMMYFUNCTION("""COMPUTED_VALUE"""),41456.0)</f>
        <v>41456</v>
      </c>
      <c r="G1563" s="86">
        <f>IFERROR(__xludf.DUMMYFUNCTION("""COMPUTED_VALUE"""),0.8999999999999999)</f>
        <v>0.9</v>
      </c>
      <c r="H1563" s="84">
        <f>IFERROR(__xludf.DUMMYFUNCTION("""COMPUTED_VALUE"""),40848.0)</f>
        <v>40848</v>
      </c>
      <c r="I1563" s="86">
        <f>IFERROR(__xludf.DUMMYFUNCTION("""COMPUTED_VALUE"""),1.5916666666666666)</f>
        <v>1.591666667</v>
      </c>
      <c r="J1563" s="87">
        <f>IFERROR(__xludf.DUMMYFUNCTION("""COMPUTED_VALUE"""),92.0)</f>
        <v>92</v>
      </c>
      <c r="K1563" s="88">
        <f>IFERROR(__xludf.DUMMYFUNCTION("""COMPUTED_VALUE"""),8.3)</f>
        <v>8.3</v>
      </c>
      <c r="L1563" s="89">
        <f>IFERROR(__xludf.DUMMYFUNCTION("""COMPUTED_VALUE"""),9.0)</f>
        <v>9</v>
      </c>
      <c r="M1563" s="26" t="str">
        <f>IFERROR(__xludf.DUMMYFUNCTION("""COMPUTED_VALUE"""),"Action-Adventure")</f>
        <v>Action-Adventure</v>
      </c>
      <c r="N1563" s="26"/>
      <c r="O1563" s="26" t="str">
        <f>IFERROR(__xludf.DUMMYFUNCTION("""COMPUTED_VALUE"""),"No")</f>
        <v>No</v>
      </c>
      <c r="P1563" s="26"/>
    </row>
    <row r="1564">
      <c r="A1564" s="81" t="str">
        <f>IFERROR(__xludf.DUMMYFUNCTION("""COMPUTED_VALUE"""),"Zero Escape: Virtue's Last Reward")</f>
        <v>Zero Escape: Virtue's Last Reward</v>
      </c>
      <c r="B1564" s="82" t="str">
        <f>IFERROR(__xludf.DUMMYFUNCTION("""COMPUTED_VALUE"""),"Vita")</f>
        <v>Vita</v>
      </c>
      <c r="C1564" s="83" t="str">
        <f>IFERROR(__xludf.DUMMYFUNCTION("""COMPUTED_VALUE"""),"Playstation Plus (Discontinued)")</f>
        <v>Playstation Plus (Discontinued)</v>
      </c>
      <c r="D1564" s="82" t="str">
        <f>IFERROR(__xludf.DUMMYFUNCTION("""COMPUTED_VALUE"""),"Removed")</f>
        <v>Removed</v>
      </c>
      <c r="E1564" s="84">
        <f>IFERROR(__xludf.DUMMYFUNCTION("""COMPUTED_VALUE"""),41429.0)</f>
        <v>41429</v>
      </c>
      <c r="F1564" s="85">
        <f>IFERROR(__xludf.DUMMYFUNCTION("""COMPUTED_VALUE"""),41456.0)</f>
        <v>41456</v>
      </c>
      <c r="G1564" s="86">
        <f>IFERROR(__xludf.DUMMYFUNCTION("""COMPUTED_VALUE"""),0.8999999999999999)</f>
        <v>0.9</v>
      </c>
      <c r="H1564" s="84">
        <f>IFERROR(__xludf.DUMMYFUNCTION("""COMPUTED_VALUE"""),41205.0)</f>
        <v>41205</v>
      </c>
      <c r="I1564" s="86">
        <f>IFERROR(__xludf.DUMMYFUNCTION("""COMPUTED_VALUE"""),0.6138888888888889)</f>
        <v>0.6138888889</v>
      </c>
      <c r="J1564" s="87">
        <f>IFERROR(__xludf.DUMMYFUNCTION("""COMPUTED_VALUE"""),84.0)</f>
        <v>84</v>
      </c>
      <c r="K1564" s="88">
        <f>IFERROR(__xludf.DUMMYFUNCTION("""COMPUTED_VALUE"""),8.8)</f>
        <v>8.8</v>
      </c>
      <c r="L1564" s="89">
        <f>IFERROR(__xludf.DUMMYFUNCTION("""COMPUTED_VALUE"""),36.0)</f>
        <v>36</v>
      </c>
      <c r="M1564" s="26" t="str">
        <f>IFERROR(__xludf.DUMMYFUNCTION("""COMPUTED_VALUE"""),"Adventure")</f>
        <v>Adventure</v>
      </c>
      <c r="N1564" s="26"/>
      <c r="O1564" s="26" t="str">
        <f>IFERROR(__xludf.DUMMYFUNCTION("""COMPUTED_VALUE"""),"No")</f>
        <v>No</v>
      </c>
      <c r="P1564" s="26"/>
    </row>
    <row r="1565">
      <c r="A1565" s="81" t="str">
        <f>IFERROR(__xludf.DUMMYFUNCTION("""COMPUTED_VALUE"""),"Gods Eater Burst")</f>
        <v>Gods Eater Burst</v>
      </c>
      <c r="B1565" s="82" t="str">
        <f>IFERROR(__xludf.DUMMYFUNCTION("""COMPUTED_VALUE"""),"PSP")</f>
        <v>PSP</v>
      </c>
      <c r="C1565" s="83" t="str">
        <f>IFERROR(__xludf.DUMMYFUNCTION("""COMPUTED_VALUE"""),"Playstation Plus (Discontinued)")</f>
        <v>Playstation Plus (Discontinued)</v>
      </c>
      <c r="D1565" s="82" t="str">
        <f>IFERROR(__xludf.DUMMYFUNCTION("""COMPUTED_VALUE"""),"Removed")</f>
        <v>Removed</v>
      </c>
      <c r="E1565" s="84">
        <f>IFERROR(__xludf.DUMMYFUNCTION("""COMPUTED_VALUE"""),41429.0)</f>
        <v>41429</v>
      </c>
      <c r="F1565" s="85">
        <f>IFERROR(__xludf.DUMMYFUNCTION("""COMPUTED_VALUE"""),41456.0)</f>
        <v>41456</v>
      </c>
      <c r="G1565" s="86">
        <f>IFERROR(__xludf.DUMMYFUNCTION("""COMPUTED_VALUE"""),0.8999999999999999)</f>
        <v>0.9</v>
      </c>
      <c r="H1565" s="84">
        <f>IFERROR(__xludf.DUMMYFUNCTION("""COMPUTED_VALUE"""),40620.0)</f>
        <v>40620</v>
      </c>
      <c r="I1565" s="86">
        <f>IFERROR(__xludf.DUMMYFUNCTION("""COMPUTED_VALUE"""),2.2111111111111112)</f>
        <v>2.211111111</v>
      </c>
      <c r="J1565" s="87">
        <f>IFERROR(__xludf.DUMMYFUNCTION("""COMPUTED_VALUE"""),71.0)</f>
        <v>71</v>
      </c>
      <c r="K1565" s="88">
        <f>IFERROR(__xludf.DUMMYFUNCTION("""COMPUTED_VALUE"""),7.7)</f>
        <v>7.7</v>
      </c>
      <c r="L1565" s="89">
        <f>IFERROR(__xludf.DUMMYFUNCTION("""COMPUTED_VALUE"""),47.0)</f>
        <v>47</v>
      </c>
      <c r="M1565" s="26" t="str">
        <f>IFERROR(__xludf.DUMMYFUNCTION("""COMPUTED_VALUE"""),"RPG")</f>
        <v>RPG</v>
      </c>
      <c r="N1565" s="26"/>
      <c r="O1565" s="26" t="str">
        <f>IFERROR(__xludf.DUMMYFUNCTION("""COMPUTED_VALUE"""),"No")</f>
        <v>No</v>
      </c>
      <c r="P1565" s="26"/>
    </row>
    <row r="1566">
      <c r="A1566" s="81" t="str">
        <f>IFERROR(__xludf.DUMMYFUNCTION("""COMPUTED_VALUE"""),"Saints Row: The Third")</f>
        <v>Saints Row: The Third</v>
      </c>
      <c r="B1566" s="82" t="str">
        <f>IFERROR(__xludf.DUMMYFUNCTION("""COMPUTED_VALUE"""),"PS3")</f>
        <v>PS3</v>
      </c>
      <c r="C1566" s="83" t="str">
        <f>IFERROR(__xludf.DUMMYFUNCTION("""COMPUTED_VALUE"""),"Playstation Plus (Discontinued)")</f>
        <v>Playstation Plus (Discontinued)</v>
      </c>
      <c r="D1566" s="82" t="str">
        <f>IFERROR(__xludf.DUMMYFUNCTION("""COMPUTED_VALUE"""),"Removed")</f>
        <v>Removed</v>
      </c>
      <c r="E1566" s="84">
        <f>IFERROR(__xludf.DUMMYFUNCTION("""COMPUTED_VALUE"""),41429.0)</f>
        <v>41429</v>
      </c>
      <c r="F1566" s="85">
        <f>IFERROR(__xludf.DUMMYFUNCTION("""COMPUTED_VALUE"""),41456.0)</f>
        <v>41456</v>
      </c>
      <c r="G1566" s="86">
        <f>IFERROR(__xludf.DUMMYFUNCTION("""COMPUTED_VALUE"""),0.8999999999999999)</f>
        <v>0.9</v>
      </c>
      <c r="H1566" s="84">
        <f>IFERROR(__xludf.DUMMYFUNCTION("""COMPUTED_VALUE"""),40862.0)</f>
        <v>40862</v>
      </c>
      <c r="I1566" s="86">
        <f>IFERROR(__xludf.DUMMYFUNCTION("""COMPUTED_VALUE"""),1.5527777777777778)</f>
        <v>1.552777778</v>
      </c>
      <c r="J1566" s="87">
        <f>IFERROR(__xludf.DUMMYFUNCTION("""COMPUTED_VALUE"""),84.0)</f>
        <v>84</v>
      </c>
      <c r="K1566" s="88">
        <f>IFERROR(__xludf.DUMMYFUNCTION("""COMPUTED_VALUE"""),8.3)</f>
        <v>8.3</v>
      </c>
      <c r="L1566" s="89">
        <f>IFERROR(__xludf.DUMMYFUNCTION("""COMPUTED_VALUE"""),16.0)</f>
        <v>16</v>
      </c>
      <c r="M1566" s="26" t="str">
        <f>IFERROR(__xludf.DUMMYFUNCTION("""COMPUTED_VALUE"""),"Action-Adventure")</f>
        <v>Action-Adventure</v>
      </c>
      <c r="N1566" s="26"/>
      <c r="O1566" s="26" t="str">
        <f>IFERROR(__xludf.DUMMYFUNCTION("""COMPUTED_VALUE"""),"No")</f>
        <v>No</v>
      </c>
      <c r="P1566" s="26"/>
    </row>
    <row r="1567">
      <c r="A1567" s="81" t="str">
        <f>IFERROR(__xludf.DUMMYFUNCTION("""COMPUTED_VALUE"""),"Machinarium")</f>
        <v>Machinarium</v>
      </c>
      <c r="B1567" s="82" t="str">
        <f>IFERROR(__xludf.DUMMYFUNCTION("""COMPUTED_VALUE"""),"PS3/Vita")</f>
        <v>PS3/Vita</v>
      </c>
      <c r="C1567" s="83" t="str">
        <f>IFERROR(__xludf.DUMMYFUNCTION("""COMPUTED_VALUE"""),"Playstation Plus (Discontinued)")</f>
        <v>Playstation Plus (Discontinued)</v>
      </c>
      <c r="D1567" s="82" t="str">
        <f>IFERROR(__xludf.DUMMYFUNCTION("""COMPUTED_VALUE"""),"Removed")</f>
        <v>Removed</v>
      </c>
      <c r="E1567" s="84">
        <f>IFERROR(__xludf.DUMMYFUNCTION("""COMPUTED_VALUE"""),41429.0)</f>
        <v>41429</v>
      </c>
      <c r="F1567" s="85">
        <f>IFERROR(__xludf.DUMMYFUNCTION("""COMPUTED_VALUE"""),41456.0)</f>
        <v>41456</v>
      </c>
      <c r="G1567" s="86">
        <f>IFERROR(__xludf.DUMMYFUNCTION("""COMPUTED_VALUE"""),0.8999999999999999)</f>
        <v>0.9</v>
      </c>
      <c r="H1567" s="84">
        <f>IFERROR(__xludf.DUMMYFUNCTION("""COMPUTED_VALUE"""),40102.0)</f>
        <v>40102</v>
      </c>
      <c r="I1567" s="86">
        <f>IFERROR(__xludf.DUMMYFUNCTION("""COMPUTED_VALUE"""),3.6333333333333333)</f>
        <v>3.633333333</v>
      </c>
      <c r="J1567" s="87">
        <f>IFERROR(__xludf.DUMMYFUNCTION("""COMPUTED_VALUE"""),85.0)</f>
        <v>85</v>
      </c>
      <c r="K1567" s="88">
        <f>IFERROR(__xludf.DUMMYFUNCTION("""COMPUTED_VALUE"""),8.4)</f>
        <v>8.4</v>
      </c>
      <c r="L1567" s="89">
        <f>IFERROR(__xludf.DUMMYFUNCTION("""COMPUTED_VALUE"""),6.0)</f>
        <v>6</v>
      </c>
      <c r="M1567" s="26" t="str">
        <f>IFERROR(__xludf.DUMMYFUNCTION("""COMPUTED_VALUE"""),"Adventure")</f>
        <v>Adventure</v>
      </c>
      <c r="N1567" s="26"/>
      <c r="O1567" s="26" t="str">
        <f>IFERROR(__xludf.DUMMYFUNCTION("""COMPUTED_VALUE"""),"No")</f>
        <v>No</v>
      </c>
      <c r="P1567" s="26"/>
    </row>
    <row r="1568">
      <c r="A1568" s="81" t="str">
        <f>IFERROR(__xludf.DUMMYFUNCTION("""COMPUTED_VALUE"""),"Deus Ex: Human Revolution")</f>
        <v>Deus Ex: Human Revolution</v>
      </c>
      <c r="B1568" s="82" t="str">
        <f>IFERROR(__xludf.DUMMYFUNCTION("""COMPUTED_VALUE"""),"PS3")</f>
        <v>PS3</v>
      </c>
      <c r="C1568" s="83" t="str">
        <f>IFERROR(__xludf.DUMMYFUNCTION("""COMPUTED_VALUE"""),"Playstation Plus (Discontinued)")</f>
        <v>Playstation Plus (Discontinued)</v>
      </c>
      <c r="D1568" s="82" t="str">
        <f>IFERROR(__xludf.DUMMYFUNCTION("""COMPUTED_VALUE"""),"Removed")</f>
        <v>Removed</v>
      </c>
      <c r="E1568" s="84">
        <f>IFERROR(__xludf.DUMMYFUNCTION("""COMPUTED_VALUE"""),41429.0)</f>
        <v>41429</v>
      </c>
      <c r="F1568" s="85">
        <f>IFERROR(__xludf.DUMMYFUNCTION("""COMPUTED_VALUE"""),41456.0)</f>
        <v>41456</v>
      </c>
      <c r="G1568" s="86">
        <f>IFERROR(__xludf.DUMMYFUNCTION("""COMPUTED_VALUE"""),0.8999999999999999)</f>
        <v>0.9</v>
      </c>
      <c r="H1568" s="84">
        <f>IFERROR(__xludf.DUMMYFUNCTION("""COMPUTED_VALUE"""),40778.0)</f>
        <v>40778</v>
      </c>
      <c r="I1568" s="86">
        <f>IFERROR(__xludf.DUMMYFUNCTION("""COMPUTED_VALUE"""),1.7805555555555554)</f>
        <v>1.780555556</v>
      </c>
      <c r="J1568" s="87">
        <f>IFERROR(__xludf.DUMMYFUNCTION("""COMPUTED_VALUE"""),89.0)</f>
        <v>89</v>
      </c>
      <c r="K1568" s="88">
        <f>IFERROR(__xludf.DUMMYFUNCTION("""COMPUTED_VALUE"""),8.7)</f>
        <v>8.7</v>
      </c>
      <c r="L1568" s="89">
        <f>IFERROR(__xludf.DUMMYFUNCTION("""COMPUTED_VALUE"""),22.0)</f>
        <v>22</v>
      </c>
      <c r="M1568" s="26" t="str">
        <f>IFERROR(__xludf.DUMMYFUNCTION("""COMPUTED_VALUE"""),"Action-Adventure")</f>
        <v>Action-Adventure</v>
      </c>
      <c r="N1568" s="26"/>
      <c r="O1568" s="26" t="str">
        <f>IFERROR(__xludf.DUMMYFUNCTION("""COMPUTED_VALUE"""),"No")</f>
        <v>No</v>
      </c>
      <c r="P1568" s="26"/>
    </row>
    <row r="1569">
      <c r="A1569" s="81" t="str">
        <f>IFERROR(__xludf.DUMMYFUNCTION("""COMPUTED_VALUE"""),"Germinator")</f>
        <v>Germinator</v>
      </c>
      <c r="B1569" s="82" t="str">
        <f>IFERROR(__xludf.DUMMYFUNCTION("""COMPUTED_VALUE"""),"Vita")</f>
        <v>Vita</v>
      </c>
      <c r="C1569" s="83" t="str">
        <f>IFERROR(__xludf.DUMMYFUNCTION("""COMPUTED_VALUE"""),"Playstation Plus (Discontinued)")</f>
        <v>Playstation Plus (Discontinued)</v>
      </c>
      <c r="D1569" s="82" t="str">
        <f>IFERROR(__xludf.DUMMYFUNCTION("""COMPUTED_VALUE"""),"Removed")</f>
        <v>Removed</v>
      </c>
      <c r="E1569" s="84">
        <f>IFERROR(__xludf.DUMMYFUNCTION("""COMPUTED_VALUE"""),41401.0)</f>
        <v>41401</v>
      </c>
      <c r="F1569" s="85">
        <f>IFERROR(__xludf.DUMMYFUNCTION("""COMPUTED_VALUE"""),41428.0)</f>
        <v>41428</v>
      </c>
      <c r="G1569" s="86">
        <f>IFERROR(__xludf.DUMMYFUNCTION("""COMPUTED_VALUE"""),0.8666666666666666)</f>
        <v>0.8666666667</v>
      </c>
      <c r="H1569" s="84">
        <f>IFERROR(__xludf.DUMMYFUNCTION("""COMPUTED_VALUE"""),41303.0)</f>
        <v>41303</v>
      </c>
      <c r="I1569" s="86">
        <f>IFERROR(__xludf.DUMMYFUNCTION("""COMPUTED_VALUE"""),0.2722222222222222)</f>
        <v>0.2722222222</v>
      </c>
      <c r="J1569" s="87">
        <f>IFERROR(__xludf.DUMMYFUNCTION("""COMPUTED_VALUE"""),59.0)</f>
        <v>59</v>
      </c>
      <c r="K1569" s="88">
        <f>IFERROR(__xludf.DUMMYFUNCTION("""COMPUTED_VALUE"""),6.7)</f>
        <v>6.7</v>
      </c>
      <c r="L1569" s="89"/>
      <c r="M1569" s="26" t="str">
        <f>IFERROR(__xludf.DUMMYFUNCTION("""COMPUTED_VALUE"""),"Shooter")</f>
        <v>Shooter</v>
      </c>
      <c r="N1569" s="26"/>
      <c r="O1569" s="26" t="str">
        <f>IFERROR(__xludf.DUMMYFUNCTION("""COMPUTED_VALUE"""),"No")</f>
        <v>No</v>
      </c>
      <c r="P1569" s="26"/>
    </row>
    <row r="1570">
      <c r="A1570" s="81" t="str">
        <f>IFERROR(__xludf.DUMMYFUNCTION("""COMPUTED_VALUE"""),"Pinball Arcade")</f>
        <v>Pinball Arcade</v>
      </c>
      <c r="B1570" s="82" t="str">
        <f>IFERROR(__xludf.DUMMYFUNCTION("""COMPUTED_VALUE"""),"PS3/Vita")</f>
        <v>PS3/Vita</v>
      </c>
      <c r="C1570" s="83" t="str">
        <f>IFERROR(__xludf.DUMMYFUNCTION("""COMPUTED_VALUE"""),"Playstation Plus (Discontinued)")</f>
        <v>Playstation Plus (Discontinued)</v>
      </c>
      <c r="D1570" s="82" t="str">
        <f>IFERROR(__xludf.DUMMYFUNCTION("""COMPUTED_VALUE"""),"Removed")</f>
        <v>Removed</v>
      </c>
      <c r="E1570" s="84">
        <f>IFERROR(__xludf.DUMMYFUNCTION("""COMPUTED_VALUE"""),41401.0)</f>
        <v>41401</v>
      </c>
      <c r="F1570" s="85">
        <f>IFERROR(__xludf.DUMMYFUNCTION("""COMPUTED_VALUE"""),41428.0)</f>
        <v>41428</v>
      </c>
      <c r="G1570" s="86">
        <f>IFERROR(__xludf.DUMMYFUNCTION("""COMPUTED_VALUE"""),0.8666666666666666)</f>
        <v>0.8666666667</v>
      </c>
      <c r="H1570" s="84">
        <f>IFERROR(__xludf.DUMMYFUNCTION("""COMPUTED_VALUE"""),41262.0)</f>
        <v>41262</v>
      </c>
      <c r="I1570" s="86">
        <f>IFERROR(__xludf.DUMMYFUNCTION("""COMPUTED_VALUE"""),0.38333333333333336)</f>
        <v>0.3833333333</v>
      </c>
      <c r="J1570" s="87">
        <f>IFERROR(__xludf.DUMMYFUNCTION("""COMPUTED_VALUE"""),73.0)</f>
        <v>73</v>
      </c>
      <c r="K1570" s="88">
        <f>IFERROR(__xludf.DUMMYFUNCTION("""COMPUTED_VALUE"""),7.8)</f>
        <v>7.8</v>
      </c>
      <c r="L1570" s="89"/>
      <c r="M1570" s="26" t="str">
        <f>IFERROR(__xludf.DUMMYFUNCTION("""COMPUTED_VALUE"""),"Pinball")</f>
        <v>Pinball</v>
      </c>
      <c r="N1570" s="26"/>
      <c r="O1570" s="26" t="str">
        <f>IFERROR(__xludf.DUMMYFUNCTION("""COMPUTED_VALUE"""),"No")</f>
        <v>No</v>
      </c>
      <c r="P1570" s="26"/>
    </row>
    <row r="1571">
      <c r="A1571" s="81" t="str">
        <f>IFERROR(__xludf.DUMMYFUNCTION("""COMPUTED_VALUE"""),"BlazBlue: Continuum Shift Extend")</f>
        <v>BlazBlue: Continuum Shift Extend</v>
      </c>
      <c r="B1571" s="82" t="str">
        <f>IFERROR(__xludf.DUMMYFUNCTION("""COMPUTED_VALUE"""),"Vita")</f>
        <v>Vita</v>
      </c>
      <c r="C1571" s="83" t="str">
        <f>IFERROR(__xludf.DUMMYFUNCTION("""COMPUTED_VALUE"""),"Playstation Plus (Discontinued)")</f>
        <v>Playstation Plus (Discontinued)</v>
      </c>
      <c r="D1571" s="82" t="str">
        <f>IFERROR(__xludf.DUMMYFUNCTION("""COMPUTED_VALUE"""),"Removed")</f>
        <v>Removed</v>
      </c>
      <c r="E1571" s="84">
        <f>IFERROR(__xludf.DUMMYFUNCTION("""COMPUTED_VALUE"""),41401.0)</f>
        <v>41401</v>
      </c>
      <c r="F1571" s="85">
        <f>IFERROR(__xludf.DUMMYFUNCTION("""COMPUTED_VALUE"""),41428.0)</f>
        <v>41428</v>
      </c>
      <c r="G1571" s="86">
        <f>IFERROR(__xludf.DUMMYFUNCTION("""COMPUTED_VALUE"""),0.8666666666666666)</f>
        <v>0.8666666667</v>
      </c>
      <c r="H1571" s="84">
        <f>IFERROR(__xludf.DUMMYFUNCTION("""COMPUTED_VALUE"""),40908.0)</f>
        <v>40908</v>
      </c>
      <c r="I1571" s="86">
        <f>IFERROR(__xludf.DUMMYFUNCTION("""COMPUTED_VALUE"""),1.3527777777777779)</f>
        <v>1.352777778</v>
      </c>
      <c r="J1571" s="87">
        <f>IFERROR(__xludf.DUMMYFUNCTION("""COMPUTED_VALUE"""),83.0)</f>
        <v>83</v>
      </c>
      <c r="K1571" s="88">
        <f>IFERROR(__xludf.DUMMYFUNCTION("""COMPUTED_VALUE"""),7.9)</f>
        <v>7.9</v>
      </c>
      <c r="L1571" s="89"/>
      <c r="M1571" s="26" t="str">
        <f>IFERROR(__xludf.DUMMYFUNCTION("""COMPUTED_VALUE"""),"Fighting")</f>
        <v>Fighting</v>
      </c>
      <c r="N1571" s="26"/>
      <c r="O1571" s="26" t="str">
        <f>IFERROR(__xludf.DUMMYFUNCTION("""COMPUTED_VALUE"""),"No")</f>
        <v>No</v>
      </c>
      <c r="P1571" s="26"/>
    </row>
    <row r="1572">
      <c r="A1572" s="81" t="str">
        <f>IFERROR(__xludf.DUMMYFUNCTION("""COMPUTED_VALUE"""),"Knytt Underground")</f>
        <v>Knytt Underground</v>
      </c>
      <c r="B1572" s="82" t="str">
        <f>IFERROR(__xludf.DUMMYFUNCTION("""COMPUTED_VALUE"""),"PS3/Vita")</f>
        <v>PS3/Vita</v>
      </c>
      <c r="C1572" s="83" t="str">
        <f>IFERROR(__xludf.DUMMYFUNCTION("""COMPUTED_VALUE"""),"Playstation Plus (Discontinued)")</f>
        <v>Playstation Plus (Discontinued)</v>
      </c>
      <c r="D1572" s="82" t="str">
        <f>IFERROR(__xludf.DUMMYFUNCTION("""COMPUTED_VALUE"""),"Removed")</f>
        <v>Removed</v>
      </c>
      <c r="E1572" s="84">
        <f>IFERROR(__xludf.DUMMYFUNCTION("""COMPUTED_VALUE"""),41401.0)</f>
        <v>41401</v>
      </c>
      <c r="F1572" s="85">
        <f>IFERROR(__xludf.DUMMYFUNCTION("""COMPUTED_VALUE"""),41428.0)</f>
        <v>41428</v>
      </c>
      <c r="G1572" s="86">
        <f>IFERROR(__xludf.DUMMYFUNCTION("""COMPUTED_VALUE"""),0.8666666666666666)</f>
        <v>0.8666666667</v>
      </c>
      <c r="H1572" s="84">
        <f>IFERROR(__xludf.DUMMYFUNCTION("""COMPUTED_VALUE"""),41264.0)</f>
        <v>41264</v>
      </c>
      <c r="I1572" s="86">
        <f>IFERROR(__xludf.DUMMYFUNCTION("""COMPUTED_VALUE"""),0.37777777777777777)</f>
        <v>0.3777777778</v>
      </c>
      <c r="J1572" s="87">
        <f>IFERROR(__xludf.DUMMYFUNCTION("""COMPUTED_VALUE"""),68.0)</f>
        <v>68</v>
      </c>
      <c r="K1572" s="88">
        <f>IFERROR(__xludf.DUMMYFUNCTION("""COMPUTED_VALUE"""),7.2)</f>
        <v>7.2</v>
      </c>
      <c r="L1572" s="89">
        <f>IFERROR(__xludf.DUMMYFUNCTION("""COMPUTED_VALUE"""),20.0)</f>
        <v>20</v>
      </c>
      <c r="M1572" s="26" t="str">
        <f>IFERROR(__xludf.DUMMYFUNCTION("""COMPUTED_VALUE"""),"Platformer")</f>
        <v>Platformer</v>
      </c>
      <c r="N1572" s="26"/>
      <c r="O1572" s="26" t="str">
        <f>IFERROR(__xludf.DUMMYFUNCTION("""COMPUTED_VALUE"""),"No")</f>
        <v>No</v>
      </c>
      <c r="P1572" s="26"/>
    </row>
    <row r="1573">
      <c r="A1573" s="81" t="str">
        <f>IFERROR(__xludf.DUMMYFUNCTION("""COMPUTED_VALUE"""),"Sleeping Dogs")</f>
        <v>Sleeping Dogs</v>
      </c>
      <c r="B1573" s="82" t="str">
        <f>IFERROR(__xludf.DUMMYFUNCTION("""COMPUTED_VALUE"""),"PS3")</f>
        <v>PS3</v>
      </c>
      <c r="C1573" s="83" t="str">
        <f>IFERROR(__xludf.DUMMYFUNCTION("""COMPUTED_VALUE"""),"Playstation Plus (Discontinued)")</f>
        <v>Playstation Plus (Discontinued)</v>
      </c>
      <c r="D1573" s="82" t="str">
        <f>IFERROR(__xludf.DUMMYFUNCTION("""COMPUTED_VALUE"""),"Removed")</f>
        <v>Removed</v>
      </c>
      <c r="E1573" s="84">
        <f>IFERROR(__xludf.DUMMYFUNCTION("""COMPUTED_VALUE"""),41401.0)</f>
        <v>41401</v>
      </c>
      <c r="F1573" s="85">
        <f>IFERROR(__xludf.DUMMYFUNCTION("""COMPUTED_VALUE"""),41428.0)</f>
        <v>41428</v>
      </c>
      <c r="G1573" s="86">
        <f>IFERROR(__xludf.DUMMYFUNCTION("""COMPUTED_VALUE"""),0.8666666666666666)</f>
        <v>0.8666666667</v>
      </c>
      <c r="H1573" s="84">
        <f>IFERROR(__xludf.DUMMYFUNCTION("""COMPUTED_VALUE"""),41135.0)</f>
        <v>41135</v>
      </c>
      <c r="I1573" s="86">
        <f>IFERROR(__xludf.DUMMYFUNCTION("""COMPUTED_VALUE"""),0.7305555555555555)</f>
        <v>0.7305555556</v>
      </c>
      <c r="J1573" s="87">
        <f>IFERROR(__xludf.DUMMYFUNCTION("""COMPUTED_VALUE"""),80.0)</f>
        <v>80</v>
      </c>
      <c r="K1573" s="88">
        <f>IFERROR(__xludf.DUMMYFUNCTION("""COMPUTED_VALUE"""),8.1)</f>
        <v>8.1</v>
      </c>
      <c r="L1573" s="89">
        <f>IFERROR(__xludf.DUMMYFUNCTION("""COMPUTED_VALUE"""),15.0)</f>
        <v>15</v>
      </c>
      <c r="M1573" s="26" t="str">
        <f>IFERROR(__xludf.DUMMYFUNCTION("""COMPUTED_VALUE"""),"Action-Adventure")</f>
        <v>Action-Adventure</v>
      </c>
      <c r="N1573" s="26"/>
      <c r="O1573" s="26" t="str">
        <f>IFERROR(__xludf.DUMMYFUNCTION("""COMPUTED_VALUE"""),"No")</f>
        <v>No</v>
      </c>
      <c r="P1573" s="26"/>
    </row>
    <row r="1574">
      <c r="A1574" s="81" t="str">
        <f>IFERROR(__xludf.DUMMYFUNCTION("""COMPUTED_VALUE"""),"Zombie Tycoon 2")</f>
        <v>Zombie Tycoon 2</v>
      </c>
      <c r="B1574" s="82" t="str">
        <f>IFERROR(__xludf.DUMMYFUNCTION("""COMPUTED_VALUE"""),"PS3/Vita")</f>
        <v>PS3/Vita</v>
      </c>
      <c r="C1574" s="83" t="str">
        <f>IFERROR(__xludf.DUMMYFUNCTION("""COMPUTED_VALUE"""),"Playstation Plus (Discontinued)")</f>
        <v>Playstation Plus (Discontinued)</v>
      </c>
      <c r="D1574" s="82" t="str">
        <f>IFERROR(__xludf.DUMMYFUNCTION("""COMPUTED_VALUE"""),"Removed")</f>
        <v>Removed</v>
      </c>
      <c r="E1574" s="84">
        <f>IFERROR(__xludf.DUMMYFUNCTION("""COMPUTED_VALUE"""),41394.0)</f>
        <v>41394</v>
      </c>
      <c r="F1574" s="85">
        <f>IFERROR(__xludf.DUMMYFUNCTION("""COMPUTED_VALUE"""),41400.0)</f>
        <v>41400</v>
      </c>
      <c r="G1574" s="86">
        <f>IFERROR(__xludf.DUMMYFUNCTION("""COMPUTED_VALUE"""),0.2)</f>
        <v>0.2</v>
      </c>
      <c r="H1574" s="84">
        <f>IFERROR(__xludf.DUMMYFUNCTION("""COMPUTED_VALUE"""),41394.0)</f>
        <v>41394</v>
      </c>
      <c r="I1574" s="86">
        <f>IFERROR(__xludf.DUMMYFUNCTION("""COMPUTED_VALUE"""),0.0)</f>
        <v>0</v>
      </c>
      <c r="J1574" s="87">
        <f>IFERROR(__xludf.DUMMYFUNCTION("""COMPUTED_VALUE"""),59.0)</f>
        <v>59</v>
      </c>
      <c r="K1574" s="88">
        <f>IFERROR(__xludf.DUMMYFUNCTION("""COMPUTED_VALUE"""),6.5)</f>
        <v>6.5</v>
      </c>
      <c r="L1574" s="89">
        <f>IFERROR(__xludf.DUMMYFUNCTION("""COMPUTED_VALUE"""),6.0)</f>
        <v>6</v>
      </c>
      <c r="M1574" s="26" t="str">
        <f>IFERROR(__xludf.DUMMYFUNCTION("""COMPUTED_VALUE"""),"Strategy")</f>
        <v>Strategy</v>
      </c>
      <c r="N1574" s="26"/>
      <c r="O1574" s="26" t="str">
        <f>IFERROR(__xludf.DUMMYFUNCTION("""COMPUTED_VALUE"""),"No")</f>
        <v>No</v>
      </c>
      <c r="P1574" s="26"/>
    </row>
    <row r="1575">
      <c r="A1575" s="81" t="str">
        <f>IFERROR(__xludf.DUMMYFUNCTION("""COMPUTED_VALUE"""),"SoulCalibur: Broken Destiny")</f>
        <v>SoulCalibur: Broken Destiny</v>
      </c>
      <c r="B1575" s="82" t="str">
        <f>IFERROR(__xludf.DUMMYFUNCTION("""COMPUTED_VALUE"""),"PSP")</f>
        <v>PSP</v>
      </c>
      <c r="C1575" s="83" t="str">
        <f>IFERROR(__xludf.DUMMYFUNCTION("""COMPUTED_VALUE"""),"Playstation Plus (Discontinued)")</f>
        <v>Playstation Plus (Discontinued)</v>
      </c>
      <c r="D1575" s="82" t="str">
        <f>IFERROR(__xludf.DUMMYFUNCTION("""COMPUTED_VALUE"""),"Removed")</f>
        <v>Removed</v>
      </c>
      <c r="E1575" s="84">
        <f>IFERROR(__xludf.DUMMYFUNCTION("""COMPUTED_VALUE"""),41366.0)</f>
        <v>41366</v>
      </c>
      <c r="F1575" s="85">
        <f>IFERROR(__xludf.DUMMYFUNCTION("""COMPUTED_VALUE"""),41400.0)</f>
        <v>41400</v>
      </c>
      <c r="G1575" s="86">
        <f>IFERROR(__xludf.DUMMYFUNCTION("""COMPUTED_VALUE"""),1.1333333333333333)</f>
        <v>1.133333333</v>
      </c>
      <c r="H1575" s="84">
        <f>IFERROR(__xludf.DUMMYFUNCTION("""COMPUTED_VALUE"""),40052.0)</f>
        <v>40052</v>
      </c>
      <c r="I1575" s="86">
        <f>IFERROR(__xludf.DUMMYFUNCTION("""COMPUTED_VALUE"""),3.5972222222222223)</f>
        <v>3.597222222</v>
      </c>
      <c r="J1575" s="87">
        <f>IFERROR(__xludf.DUMMYFUNCTION("""COMPUTED_VALUE"""),79.0)</f>
        <v>79</v>
      </c>
      <c r="K1575" s="88">
        <f>IFERROR(__xludf.DUMMYFUNCTION("""COMPUTED_VALUE"""),7.9)</f>
        <v>7.9</v>
      </c>
      <c r="L1575" s="89"/>
      <c r="M1575" s="26" t="str">
        <f>IFERROR(__xludf.DUMMYFUNCTION("""COMPUTED_VALUE"""),"Fighting")</f>
        <v>Fighting</v>
      </c>
      <c r="N1575" s="26"/>
      <c r="O1575" s="26" t="str">
        <f>IFERROR(__xludf.DUMMYFUNCTION("""COMPUTED_VALUE"""),"No")</f>
        <v>No</v>
      </c>
      <c r="P1575" s="26"/>
    </row>
    <row r="1576">
      <c r="A1576" s="81" t="str">
        <f>IFERROR(__xludf.DUMMYFUNCTION("""COMPUTED_VALUE"""),"Labyrinth Legends")</f>
        <v>Labyrinth Legends</v>
      </c>
      <c r="B1576" s="82" t="str">
        <f>IFERROR(__xludf.DUMMYFUNCTION("""COMPUTED_VALUE"""),"PS3")</f>
        <v>PS3</v>
      </c>
      <c r="C1576" s="83" t="str">
        <f>IFERROR(__xludf.DUMMYFUNCTION("""COMPUTED_VALUE"""),"Playstation Plus (Discontinued)")</f>
        <v>Playstation Plus (Discontinued)</v>
      </c>
      <c r="D1576" s="82" t="str">
        <f>IFERROR(__xludf.DUMMYFUNCTION("""COMPUTED_VALUE"""),"Removed")</f>
        <v>Removed</v>
      </c>
      <c r="E1576" s="84">
        <f>IFERROR(__xludf.DUMMYFUNCTION("""COMPUTED_VALUE"""),41366.0)</f>
        <v>41366</v>
      </c>
      <c r="F1576" s="85">
        <f>IFERROR(__xludf.DUMMYFUNCTION("""COMPUTED_VALUE"""),41400.0)</f>
        <v>41400</v>
      </c>
      <c r="G1576" s="86">
        <f>IFERROR(__xludf.DUMMYFUNCTION("""COMPUTED_VALUE"""),1.1333333333333333)</f>
        <v>1.133333333</v>
      </c>
      <c r="H1576" s="84">
        <f>IFERROR(__xludf.DUMMYFUNCTION("""COMPUTED_VALUE"""),41261.0)</f>
        <v>41261</v>
      </c>
      <c r="I1576" s="86">
        <f>IFERROR(__xludf.DUMMYFUNCTION("""COMPUTED_VALUE"""),0.28888888888888886)</f>
        <v>0.2888888889</v>
      </c>
      <c r="J1576" s="87">
        <f>IFERROR(__xludf.DUMMYFUNCTION("""COMPUTED_VALUE"""),64.0)</f>
        <v>64</v>
      </c>
      <c r="K1576" s="88">
        <f>IFERROR(__xludf.DUMMYFUNCTION("""COMPUTED_VALUE"""),6.8)</f>
        <v>6.8</v>
      </c>
      <c r="L1576" s="89">
        <f>IFERROR(__xludf.DUMMYFUNCTION("""COMPUTED_VALUE"""),6.0)</f>
        <v>6</v>
      </c>
      <c r="M1576" s="26" t="str">
        <f>IFERROR(__xludf.DUMMYFUNCTION("""COMPUTED_VALUE"""),"Action-Adventure")</f>
        <v>Action-Adventure</v>
      </c>
      <c r="N1576" s="26"/>
      <c r="O1576" s="26" t="str">
        <f>IFERROR(__xludf.DUMMYFUNCTION("""COMPUTED_VALUE"""),"No")</f>
        <v>No</v>
      </c>
      <c r="P1576" s="26"/>
    </row>
    <row r="1577">
      <c r="A1577" s="81" t="str">
        <f>IFERROR(__xludf.DUMMYFUNCTION("""COMPUTED_VALUE"""),"Malicious")</f>
        <v>Malicious</v>
      </c>
      <c r="B1577" s="82" t="str">
        <f>IFERROR(__xludf.DUMMYFUNCTION("""COMPUTED_VALUE"""),"PS3")</f>
        <v>PS3</v>
      </c>
      <c r="C1577" s="83" t="str">
        <f>IFERROR(__xludf.DUMMYFUNCTION("""COMPUTED_VALUE"""),"Playstation Plus (Discontinued)")</f>
        <v>Playstation Plus (Discontinued)</v>
      </c>
      <c r="D1577" s="82" t="str">
        <f>IFERROR(__xludf.DUMMYFUNCTION("""COMPUTED_VALUE"""),"Removed")</f>
        <v>Removed</v>
      </c>
      <c r="E1577" s="84">
        <f>IFERROR(__xludf.DUMMYFUNCTION("""COMPUTED_VALUE"""),41366.0)</f>
        <v>41366</v>
      </c>
      <c r="F1577" s="85">
        <f>IFERROR(__xludf.DUMMYFUNCTION("""COMPUTED_VALUE"""),41400.0)</f>
        <v>41400</v>
      </c>
      <c r="G1577" s="86">
        <f>IFERROR(__xludf.DUMMYFUNCTION("""COMPUTED_VALUE"""),1.1333333333333333)</f>
        <v>1.133333333</v>
      </c>
      <c r="H1577" s="84">
        <f>IFERROR(__xludf.DUMMYFUNCTION("""COMPUTED_VALUE"""),40478.0)</f>
        <v>40478</v>
      </c>
      <c r="I1577" s="86">
        <f>IFERROR(__xludf.DUMMYFUNCTION("""COMPUTED_VALUE"""),2.4305555555555554)</f>
        <v>2.430555556</v>
      </c>
      <c r="J1577" s="87">
        <f>IFERROR(__xludf.DUMMYFUNCTION("""COMPUTED_VALUE"""),68.0)</f>
        <v>68</v>
      </c>
      <c r="K1577" s="88">
        <f>IFERROR(__xludf.DUMMYFUNCTION("""COMPUTED_VALUE"""),7.2)</f>
        <v>7.2</v>
      </c>
      <c r="L1577" s="89">
        <f>IFERROR(__xludf.DUMMYFUNCTION("""COMPUTED_VALUE"""),5.0)</f>
        <v>5</v>
      </c>
      <c r="M1577" s="26" t="str">
        <f>IFERROR(__xludf.DUMMYFUNCTION("""COMPUTED_VALUE"""),"Action-Adventure")</f>
        <v>Action-Adventure</v>
      </c>
      <c r="N1577" s="26"/>
      <c r="O1577" s="26" t="str">
        <f>IFERROR(__xludf.DUMMYFUNCTION("""COMPUTED_VALUE"""),"No")</f>
        <v>No</v>
      </c>
      <c r="P1577" s="26"/>
    </row>
    <row r="1578">
      <c r="A1578" s="81" t="str">
        <f>IFERROR(__xludf.DUMMYFUNCTION("""COMPUTED_VALUE"""),"Demon’s Souls")</f>
        <v>Demon’s Souls</v>
      </c>
      <c r="B1578" s="82" t="str">
        <f>IFERROR(__xludf.DUMMYFUNCTION("""COMPUTED_VALUE"""),"PS3")</f>
        <v>PS3</v>
      </c>
      <c r="C1578" s="83" t="str">
        <f>IFERROR(__xludf.DUMMYFUNCTION("""COMPUTED_VALUE"""),"Playstation Plus (Discontinued)")</f>
        <v>Playstation Plus (Discontinued)</v>
      </c>
      <c r="D1578" s="82" t="str">
        <f>IFERROR(__xludf.DUMMYFUNCTION("""COMPUTED_VALUE"""),"Removed")</f>
        <v>Removed</v>
      </c>
      <c r="E1578" s="84">
        <f>IFERROR(__xludf.DUMMYFUNCTION("""COMPUTED_VALUE"""),41366.0)</f>
        <v>41366</v>
      </c>
      <c r="F1578" s="85">
        <f>IFERROR(__xludf.DUMMYFUNCTION("""COMPUTED_VALUE"""),41400.0)</f>
        <v>41400</v>
      </c>
      <c r="G1578" s="86">
        <f>IFERROR(__xludf.DUMMYFUNCTION("""COMPUTED_VALUE"""),1.1333333333333333)</f>
        <v>1.133333333</v>
      </c>
      <c r="H1578" s="84">
        <f>IFERROR(__xludf.DUMMYFUNCTION("""COMPUTED_VALUE"""),40092.0)</f>
        <v>40092</v>
      </c>
      <c r="I1578" s="86">
        <f>IFERROR(__xludf.DUMMYFUNCTION("""COMPUTED_VALUE"""),3.488888888888889)</f>
        <v>3.488888889</v>
      </c>
      <c r="J1578" s="87">
        <f>IFERROR(__xludf.DUMMYFUNCTION("""COMPUTED_VALUE"""),92.0)</f>
        <v>92</v>
      </c>
      <c r="K1578" s="88">
        <f>IFERROR(__xludf.DUMMYFUNCTION("""COMPUTED_VALUE"""),8.9)</f>
        <v>8.9</v>
      </c>
      <c r="L1578" s="89">
        <f>IFERROR(__xludf.DUMMYFUNCTION("""COMPUTED_VALUE"""),25.0)</f>
        <v>25</v>
      </c>
      <c r="M1578" s="26" t="str">
        <f>IFERROR(__xludf.DUMMYFUNCTION("""COMPUTED_VALUE"""),"RPG")</f>
        <v>RPG</v>
      </c>
      <c r="N1578" s="26"/>
      <c r="O1578" s="26" t="str">
        <f>IFERROR(__xludf.DUMMYFUNCTION("""COMPUTED_VALUE"""),"No")</f>
        <v>No</v>
      </c>
      <c r="P1578" s="26"/>
    </row>
    <row r="1579">
      <c r="A1579" s="81" t="str">
        <f>IFERROR(__xludf.DUMMYFUNCTION("""COMPUTED_VALUE"""),"The Cave")</f>
        <v>The Cave</v>
      </c>
      <c r="B1579" s="82" t="str">
        <f>IFERROR(__xludf.DUMMYFUNCTION("""COMPUTED_VALUE"""),"PS3")</f>
        <v>PS3</v>
      </c>
      <c r="C1579" s="83" t="str">
        <f>IFERROR(__xludf.DUMMYFUNCTION("""COMPUTED_VALUE"""),"Playstation Plus (Discontinued)")</f>
        <v>Playstation Plus (Discontinued)</v>
      </c>
      <c r="D1579" s="82" t="str">
        <f>IFERROR(__xludf.DUMMYFUNCTION("""COMPUTED_VALUE"""),"Removed")</f>
        <v>Removed</v>
      </c>
      <c r="E1579" s="84">
        <f>IFERROR(__xludf.DUMMYFUNCTION("""COMPUTED_VALUE"""),41338.0)</f>
        <v>41338</v>
      </c>
      <c r="F1579" s="85">
        <f>IFERROR(__xludf.DUMMYFUNCTION("""COMPUTED_VALUE"""),41365.0)</f>
        <v>41365</v>
      </c>
      <c r="G1579" s="86">
        <f>IFERROR(__xludf.DUMMYFUNCTION("""COMPUTED_VALUE"""),0.8666666666666666)</f>
        <v>0.8666666667</v>
      </c>
      <c r="H1579" s="84">
        <f>IFERROR(__xludf.DUMMYFUNCTION("""COMPUTED_VALUE"""),41296.0)</f>
        <v>41296</v>
      </c>
      <c r="I1579" s="86">
        <f>IFERROR(__xludf.DUMMYFUNCTION("""COMPUTED_VALUE"""),0.11944444444444445)</f>
        <v>0.1194444444</v>
      </c>
      <c r="J1579" s="87">
        <f>IFERROR(__xludf.DUMMYFUNCTION("""COMPUTED_VALUE"""),72.0)</f>
        <v>72</v>
      </c>
      <c r="K1579" s="88">
        <f>IFERROR(__xludf.DUMMYFUNCTION("""COMPUTED_VALUE"""),7.0)</f>
        <v>7</v>
      </c>
      <c r="L1579" s="89">
        <f>IFERROR(__xludf.DUMMYFUNCTION("""COMPUTED_VALUE"""),6.0)</f>
        <v>6</v>
      </c>
      <c r="M1579" s="26" t="str">
        <f>IFERROR(__xludf.DUMMYFUNCTION("""COMPUTED_VALUE"""),"Adventure")</f>
        <v>Adventure</v>
      </c>
      <c r="N1579" s="26"/>
      <c r="O1579" s="26" t="str">
        <f>IFERROR(__xludf.DUMMYFUNCTION("""COMPUTED_VALUE"""),"No")</f>
        <v>No</v>
      </c>
      <c r="P1579" s="26"/>
    </row>
    <row r="1580">
      <c r="A1580" s="81" t="str">
        <f>IFERROR(__xludf.DUMMYFUNCTION("""COMPUTED_VALUE"""),"Tekken VI")</f>
        <v>Tekken VI</v>
      </c>
      <c r="B1580" s="82" t="str">
        <f>IFERROR(__xludf.DUMMYFUNCTION("""COMPUTED_VALUE"""),"PSP")</f>
        <v>PSP</v>
      </c>
      <c r="C1580" s="83" t="str">
        <f>IFERROR(__xludf.DUMMYFUNCTION("""COMPUTED_VALUE"""),"Playstation Plus (Discontinued)")</f>
        <v>Playstation Plus (Discontinued)</v>
      </c>
      <c r="D1580" s="82" t="str">
        <f>IFERROR(__xludf.DUMMYFUNCTION("""COMPUTED_VALUE"""),"Removed")</f>
        <v>Removed</v>
      </c>
      <c r="E1580" s="84">
        <f>IFERROR(__xludf.DUMMYFUNCTION("""COMPUTED_VALUE"""),41338.0)</f>
        <v>41338</v>
      </c>
      <c r="F1580" s="85">
        <f>IFERROR(__xludf.DUMMYFUNCTION("""COMPUTED_VALUE"""),41365.0)</f>
        <v>41365</v>
      </c>
      <c r="G1580" s="86">
        <f>IFERROR(__xludf.DUMMYFUNCTION("""COMPUTED_VALUE"""),0.8666666666666666)</f>
        <v>0.8666666667</v>
      </c>
      <c r="H1580" s="84">
        <f>IFERROR(__xludf.DUMMYFUNCTION("""COMPUTED_VALUE"""),40113.0)</f>
        <v>40113</v>
      </c>
      <c r="I1580" s="86">
        <f>IFERROR(__xludf.DUMMYFUNCTION("""COMPUTED_VALUE"""),3.3555555555555556)</f>
        <v>3.355555556</v>
      </c>
      <c r="J1580" s="87">
        <f>IFERROR(__xludf.DUMMYFUNCTION("""COMPUTED_VALUE"""),82.0)</f>
        <v>82</v>
      </c>
      <c r="K1580" s="88">
        <f>IFERROR(__xludf.DUMMYFUNCTION("""COMPUTED_VALUE"""),8.2)</f>
        <v>8.2</v>
      </c>
      <c r="L1580" s="89"/>
      <c r="M1580" s="26" t="str">
        <f>IFERROR(__xludf.DUMMYFUNCTION("""COMPUTED_VALUE"""),"Fighting")</f>
        <v>Fighting</v>
      </c>
      <c r="N1580" s="26"/>
      <c r="O1580" s="26" t="str">
        <f>IFERROR(__xludf.DUMMYFUNCTION("""COMPUTED_VALUE"""),"No")</f>
        <v>No</v>
      </c>
      <c r="P1580" s="26"/>
    </row>
    <row r="1581">
      <c r="A1581" s="81" t="str">
        <f>IFERROR(__xludf.DUMMYFUNCTION("""COMPUTED_VALUE"""),"Disgaea 3: Absence of Detention")</f>
        <v>Disgaea 3: Absence of Detention</v>
      </c>
      <c r="B1581" s="82" t="str">
        <f>IFERROR(__xludf.DUMMYFUNCTION("""COMPUTED_VALUE"""),"Vita")</f>
        <v>Vita</v>
      </c>
      <c r="C1581" s="83" t="str">
        <f>IFERROR(__xludf.DUMMYFUNCTION("""COMPUTED_VALUE"""),"Playstation Plus (Discontinued)")</f>
        <v>Playstation Plus (Discontinued)</v>
      </c>
      <c r="D1581" s="82" t="str">
        <f>IFERROR(__xludf.DUMMYFUNCTION("""COMPUTED_VALUE"""),"Removed")</f>
        <v>Removed</v>
      </c>
      <c r="E1581" s="84">
        <f>IFERROR(__xludf.DUMMYFUNCTION("""COMPUTED_VALUE"""),41338.0)</f>
        <v>41338</v>
      </c>
      <c r="F1581" s="85">
        <f>IFERROR(__xludf.DUMMYFUNCTION("""COMPUTED_VALUE"""),41365.0)</f>
        <v>41365</v>
      </c>
      <c r="G1581" s="86">
        <f>IFERROR(__xludf.DUMMYFUNCTION("""COMPUTED_VALUE"""),0.8666666666666666)</f>
        <v>0.8666666667</v>
      </c>
      <c r="H1581" s="84">
        <f>IFERROR(__xludf.DUMMYFUNCTION("""COMPUTED_VALUE"""),41142.0)</f>
        <v>41142</v>
      </c>
      <c r="I1581" s="86">
        <f>IFERROR(__xludf.DUMMYFUNCTION("""COMPUTED_VALUE"""),0.5388888888888889)</f>
        <v>0.5388888889</v>
      </c>
      <c r="J1581" s="87">
        <f>IFERROR(__xludf.DUMMYFUNCTION("""COMPUTED_VALUE"""),78.0)</f>
        <v>78</v>
      </c>
      <c r="K1581" s="88">
        <f>IFERROR(__xludf.DUMMYFUNCTION("""COMPUTED_VALUE"""),8.1)</f>
        <v>8.1</v>
      </c>
      <c r="L1581" s="89">
        <f>IFERROR(__xludf.DUMMYFUNCTION("""COMPUTED_VALUE"""),40.0)</f>
        <v>40</v>
      </c>
      <c r="M1581" s="26" t="str">
        <f>IFERROR(__xludf.DUMMYFUNCTION("""COMPUTED_VALUE"""),"RPG")</f>
        <v>RPG</v>
      </c>
      <c r="N1581" s="26"/>
      <c r="O1581" s="26" t="str">
        <f>IFERROR(__xludf.DUMMYFUNCTION("""COMPUTED_VALUE"""),"No")</f>
        <v>No</v>
      </c>
      <c r="P1581" s="26"/>
    </row>
    <row r="1582">
      <c r="A1582" s="81" t="str">
        <f>IFERROR(__xludf.DUMMYFUNCTION("""COMPUTED_VALUE"""),"Joe Danger 2: The Movie")</f>
        <v>Joe Danger 2: The Movie</v>
      </c>
      <c r="B1582" s="82" t="str">
        <f>IFERROR(__xludf.DUMMYFUNCTION("""COMPUTED_VALUE"""),"PS3")</f>
        <v>PS3</v>
      </c>
      <c r="C1582" s="83" t="str">
        <f>IFERROR(__xludf.DUMMYFUNCTION("""COMPUTED_VALUE"""),"Playstation Plus (Discontinued)")</f>
        <v>Playstation Plus (Discontinued)</v>
      </c>
      <c r="D1582" s="82" t="str">
        <f>IFERROR(__xludf.DUMMYFUNCTION("""COMPUTED_VALUE"""),"Removed")</f>
        <v>Removed</v>
      </c>
      <c r="E1582" s="84">
        <f>IFERROR(__xludf.DUMMYFUNCTION("""COMPUTED_VALUE"""),41338.0)</f>
        <v>41338</v>
      </c>
      <c r="F1582" s="85">
        <f>IFERROR(__xludf.DUMMYFUNCTION("""COMPUTED_VALUE"""),41365.0)</f>
        <v>41365</v>
      </c>
      <c r="G1582" s="86">
        <f>IFERROR(__xludf.DUMMYFUNCTION("""COMPUTED_VALUE"""),0.8666666666666666)</f>
        <v>0.8666666667</v>
      </c>
      <c r="H1582" s="84">
        <f>IFERROR(__xludf.DUMMYFUNCTION("""COMPUTED_VALUE"""),41165.0)</f>
        <v>41165</v>
      </c>
      <c r="I1582" s="86">
        <f>IFERROR(__xludf.DUMMYFUNCTION("""COMPUTED_VALUE"""),0.4777777777777778)</f>
        <v>0.4777777778</v>
      </c>
      <c r="J1582" s="87">
        <f>IFERROR(__xludf.DUMMYFUNCTION("""COMPUTED_VALUE"""),82.0)</f>
        <v>82</v>
      </c>
      <c r="K1582" s="88">
        <f>IFERROR(__xludf.DUMMYFUNCTION("""COMPUTED_VALUE"""),7.7)</f>
        <v>7.7</v>
      </c>
      <c r="L1582" s="89">
        <f>IFERROR(__xludf.DUMMYFUNCTION("""COMPUTED_VALUE"""),7.0)</f>
        <v>7</v>
      </c>
      <c r="M1582" s="26" t="str">
        <f>IFERROR(__xludf.DUMMYFUNCTION("""COMPUTED_VALUE"""),"Racing")</f>
        <v>Racing</v>
      </c>
      <c r="N1582" s="26"/>
      <c r="O1582" s="26" t="str">
        <f>IFERROR(__xludf.DUMMYFUNCTION("""COMPUTED_VALUE"""),"No")</f>
        <v>No</v>
      </c>
      <c r="P1582" s="26"/>
    </row>
    <row r="1583">
      <c r="A1583" s="81" t="str">
        <f>IFERROR(__xludf.DUMMYFUNCTION("""COMPUTED_VALUE"""),"Spec Ops: The Line")</f>
        <v>Spec Ops: The Line</v>
      </c>
      <c r="B1583" s="82" t="str">
        <f>IFERROR(__xludf.DUMMYFUNCTION("""COMPUTED_VALUE"""),"PS3")</f>
        <v>PS3</v>
      </c>
      <c r="C1583" s="83" t="str">
        <f>IFERROR(__xludf.DUMMYFUNCTION("""COMPUTED_VALUE"""),"Playstation Plus (Discontinued)")</f>
        <v>Playstation Plus (Discontinued)</v>
      </c>
      <c r="D1583" s="82" t="str">
        <f>IFERROR(__xludf.DUMMYFUNCTION("""COMPUTED_VALUE"""),"Removed")</f>
        <v>Removed</v>
      </c>
      <c r="E1583" s="84">
        <f>IFERROR(__xludf.DUMMYFUNCTION("""COMPUTED_VALUE"""),41338.0)</f>
        <v>41338</v>
      </c>
      <c r="F1583" s="85">
        <f>IFERROR(__xludf.DUMMYFUNCTION("""COMPUTED_VALUE"""),41365.0)</f>
        <v>41365</v>
      </c>
      <c r="G1583" s="86">
        <f>IFERROR(__xludf.DUMMYFUNCTION("""COMPUTED_VALUE"""),0.8666666666666666)</f>
        <v>0.8666666667</v>
      </c>
      <c r="H1583" s="84">
        <f>IFERROR(__xludf.DUMMYFUNCTION("""COMPUTED_VALUE"""),41086.0)</f>
        <v>41086</v>
      </c>
      <c r="I1583" s="86">
        <f>IFERROR(__xludf.DUMMYFUNCTION("""COMPUTED_VALUE"""),0.6916666666666667)</f>
        <v>0.6916666667</v>
      </c>
      <c r="J1583" s="87">
        <f>IFERROR(__xludf.DUMMYFUNCTION("""COMPUTED_VALUE"""),76.0)</f>
        <v>76</v>
      </c>
      <c r="K1583" s="88">
        <f>IFERROR(__xludf.DUMMYFUNCTION("""COMPUTED_VALUE"""),8.2)</f>
        <v>8.2</v>
      </c>
      <c r="L1583" s="89">
        <f>IFERROR(__xludf.DUMMYFUNCTION("""COMPUTED_VALUE"""),7.0)</f>
        <v>7</v>
      </c>
      <c r="M1583" s="26" t="str">
        <f>IFERROR(__xludf.DUMMYFUNCTION("""COMPUTED_VALUE"""),"Shooter")</f>
        <v>Shooter</v>
      </c>
      <c r="N1583" s="26"/>
      <c r="O1583" s="26" t="str">
        <f>IFERROR(__xludf.DUMMYFUNCTION("""COMPUTED_VALUE"""),"No")</f>
        <v>No</v>
      </c>
      <c r="P1583" s="26"/>
    </row>
    <row r="1584">
      <c r="A1584" s="81" t="str">
        <f>IFERROR(__xludf.DUMMYFUNCTION("""COMPUTED_VALUE"""),"Plants vs. Zombies")</f>
        <v>Plants vs. Zombies</v>
      </c>
      <c r="B1584" s="82" t="str">
        <f>IFERROR(__xludf.DUMMYFUNCTION("""COMPUTED_VALUE"""),"Vita")</f>
        <v>Vita</v>
      </c>
      <c r="C1584" s="83" t="str">
        <f>IFERROR(__xludf.DUMMYFUNCTION("""COMPUTED_VALUE"""),"Playstation Plus (Discontinued)")</f>
        <v>Playstation Plus (Discontinued)</v>
      </c>
      <c r="D1584" s="82" t="str">
        <f>IFERROR(__xludf.DUMMYFUNCTION("""COMPUTED_VALUE"""),"Removed")</f>
        <v>Removed</v>
      </c>
      <c r="E1584" s="84">
        <f>IFERROR(__xludf.DUMMYFUNCTION("""COMPUTED_VALUE"""),41310.0)</f>
        <v>41310</v>
      </c>
      <c r="F1584" s="85">
        <f>IFERROR(__xludf.DUMMYFUNCTION("""COMPUTED_VALUE"""),41337.0)</f>
        <v>41337</v>
      </c>
      <c r="G1584" s="86">
        <f>IFERROR(__xludf.DUMMYFUNCTION("""COMPUTED_VALUE"""),0.9666666666666668)</f>
        <v>0.9666666667</v>
      </c>
      <c r="H1584" s="84">
        <f>IFERROR(__xludf.DUMMYFUNCTION("""COMPUTED_VALUE"""),39938.0)</f>
        <v>39938</v>
      </c>
      <c r="I1584" s="86">
        <f>IFERROR(__xludf.DUMMYFUNCTION("""COMPUTED_VALUE"""),3.75)</f>
        <v>3.75</v>
      </c>
      <c r="J1584" s="87">
        <f>IFERROR(__xludf.DUMMYFUNCTION("""COMPUTED_VALUE"""),87.0)</f>
        <v>87</v>
      </c>
      <c r="K1584" s="88">
        <f>IFERROR(__xludf.DUMMYFUNCTION("""COMPUTED_VALUE"""),8.7)</f>
        <v>8.7</v>
      </c>
      <c r="L1584" s="89">
        <f>IFERROR(__xludf.DUMMYFUNCTION("""COMPUTED_VALUE"""),6.0)</f>
        <v>6</v>
      </c>
      <c r="M1584" s="26" t="str">
        <f>IFERROR(__xludf.DUMMYFUNCTION("""COMPUTED_VALUE"""),"Strategy")</f>
        <v>Strategy</v>
      </c>
      <c r="N1584" s="26"/>
      <c r="O1584" s="26" t="str">
        <f>IFERROR(__xludf.DUMMYFUNCTION("""COMPUTED_VALUE"""),"No")</f>
        <v>No</v>
      </c>
      <c r="P1584" s="26"/>
    </row>
    <row r="1585">
      <c r="A1585" s="81" t="str">
        <f>IFERROR(__xludf.DUMMYFUNCTION("""COMPUTED_VALUE"""),"Vanquish")</f>
        <v>Vanquish</v>
      </c>
      <c r="B1585" s="82" t="str">
        <f>IFERROR(__xludf.DUMMYFUNCTION("""COMPUTED_VALUE"""),"PS3")</f>
        <v>PS3</v>
      </c>
      <c r="C1585" s="83" t="str">
        <f>IFERROR(__xludf.DUMMYFUNCTION("""COMPUTED_VALUE"""),"Playstation Plus (Discontinued)")</f>
        <v>Playstation Plus (Discontinued)</v>
      </c>
      <c r="D1585" s="82" t="str">
        <f>IFERROR(__xludf.DUMMYFUNCTION("""COMPUTED_VALUE"""),"Removed")</f>
        <v>Removed</v>
      </c>
      <c r="E1585" s="84">
        <f>IFERROR(__xludf.DUMMYFUNCTION("""COMPUTED_VALUE"""),41310.0)</f>
        <v>41310</v>
      </c>
      <c r="F1585" s="85">
        <f>IFERROR(__xludf.DUMMYFUNCTION("""COMPUTED_VALUE"""),41337.0)</f>
        <v>41337</v>
      </c>
      <c r="G1585" s="86">
        <f>IFERROR(__xludf.DUMMYFUNCTION("""COMPUTED_VALUE"""),0.9666666666666668)</f>
        <v>0.9666666667</v>
      </c>
      <c r="H1585" s="84">
        <f>IFERROR(__xludf.DUMMYFUNCTION("""COMPUTED_VALUE"""),40470.0)</f>
        <v>40470</v>
      </c>
      <c r="I1585" s="86">
        <f>IFERROR(__xludf.DUMMYFUNCTION("""COMPUTED_VALUE"""),2.2944444444444443)</f>
        <v>2.294444444</v>
      </c>
      <c r="J1585" s="87">
        <f>IFERROR(__xludf.DUMMYFUNCTION("""COMPUTED_VALUE"""),78.0)</f>
        <v>78</v>
      </c>
      <c r="K1585" s="88">
        <f>IFERROR(__xludf.DUMMYFUNCTION("""COMPUTED_VALUE"""),8.5)</f>
        <v>8.5</v>
      </c>
      <c r="L1585" s="89">
        <f>IFERROR(__xludf.DUMMYFUNCTION("""COMPUTED_VALUE"""),6.0)</f>
        <v>6</v>
      </c>
      <c r="M1585" s="26" t="str">
        <f>IFERROR(__xludf.DUMMYFUNCTION("""COMPUTED_VALUE"""),"Shooter")</f>
        <v>Shooter</v>
      </c>
      <c r="N1585" s="26"/>
      <c r="O1585" s="26" t="str">
        <f>IFERROR(__xludf.DUMMYFUNCTION("""COMPUTED_VALUE"""),"No")</f>
        <v>No</v>
      </c>
      <c r="P1585" s="26"/>
    </row>
    <row r="1586">
      <c r="A1586" s="81" t="str">
        <f>IFERROR(__xludf.DUMMYFUNCTION("""COMPUTED_VALUE"""),"Mega Man Maverick Hunter X")</f>
        <v>Mega Man Maverick Hunter X</v>
      </c>
      <c r="B1586" s="82" t="str">
        <f>IFERROR(__xludf.DUMMYFUNCTION("""COMPUTED_VALUE"""),"PSP")</f>
        <v>PSP</v>
      </c>
      <c r="C1586" s="83" t="str">
        <f>IFERROR(__xludf.DUMMYFUNCTION("""COMPUTED_VALUE"""),"Playstation Plus (Discontinued)")</f>
        <v>Playstation Plus (Discontinued)</v>
      </c>
      <c r="D1586" s="82" t="str">
        <f>IFERROR(__xludf.DUMMYFUNCTION("""COMPUTED_VALUE"""),"Removed")</f>
        <v>Removed</v>
      </c>
      <c r="E1586" s="84">
        <f>IFERROR(__xludf.DUMMYFUNCTION("""COMPUTED_VALUE"""),41310.0)</f>
        <v>41310</v>
      </c>
      <c r="F1586" s="85">
        <f>IFERROR(__xludf.DUMMYFUNCTION("""COMPUTED_VALUE"""),41337.0)</f>
        <v>41337</v>
      </c>
      <c r="G1586" s="86">
        <f>IFERROR(__xludf.DUMMYFUNCTION("""COMPUTED_VALUE"""),0.9666666666666668)</f>
        <v>0.9666666667</v>
      </c>
      <c r="H1586" s="84">
        <f>IFERROR(__xludf.DUMMYFUNCTION("""COMPUTED_VALUE"""),38705.0)</f>
        <v>38705</v>
      </c>
      <c r="I1586" s="86">
        <f>IFERROR(__xludf.DUMMYFUNCTION("""COMPUTED_VALUE"""),7.127777777777778)</f>
        <v>7.127777778</v>
      </c>
      <c r="J1586" s="87">
        <f>IFERROR(__xludf.DUMMYFUNCTION("""COMPUTED_VALUE"""),79.0)</f>
        <v>79</v>
      </c>
      <c r="K1586" s="88">
        <f>IFERROR(__xludf.DUMMYFUNCTION("""COMPUTED_VALUE"""),8.0)</f>
        <v>8</v>
      </c>
      <c r="L1586" s="89">
        <f>IFERROR(__xludf.DUMMYFUNCTION("""COMPUTED_VALUE"""),4.0)</f>
        <v>4</v>
      </c>
      <c r="M1586" s="26" t="str">
        <f>IFERROR(__xludf.DUMMYFUNCTION("""COMPUTED_VALUE"""),"Platformer")</f>
        <v>Platformer</v>
      </c>
      <c r="N1586" s="26"/>
      <c r="O1586" s="26" t="str">
        <f>IFERROR(__xludf.DUMMYFUNCTION("""COMPUTED_VALUE"""),"No")</f>
        <v>No</v>
      </c>
      <c r="P1586" s="26"/>
    </row>
    <row r="1587">
      <c r="A1587" s="81" t="str">
        <f>IFERROR(__xludf.DUMMYFUNCTION("""COMPUTED_VALUE"""),"Closure")</f>
        <v>Closure</v>
      </c>
      <c r="B1587" s="82" t="str">
        <f>IFERROR(__xludf.DUMMYFUNCTION("""COMPUTED_VALUE"""),"PS3")</f>
        <v>PS3</v>
      </c>
      <c r="C1587" s="83" t="str">
        <f>IFERROR(__xludf.DUMMYFUNCTION("""COMPUTED_VALUE"""),"Playstation Plus (Discontinued)")</f>
        <v>Playstation Plus (Discontinued)</v>
      </c>
      <c r="D1587" s="82" t="str">
        <f>IFERROR(__xludf.DUMMYFUNCTION("""COMPUTED_VALUE"""),"Removed")</f>
        <v>Removed</v>
      </c>
      <c r="E1587" s="84">
        <f>IFERROR(__xludf.DUMMYFUNCTION("""COMPUTED_VALUE"""),41310.0)</f>
        <v>41310</v>
      </c>
      <c r="F1587" s="85">
        <f>IFERROR(__xludf.DUMMYFUNCTION("""COMPUTED_VALUE"""),41337.0)</f>
        <v>41337</v>
      </c>
      <c r="G1587" s="86">
        <f>IFERROR(__xludf.DUMMYFUNCTION("""COMPUTED_VALUE"""),0.9666666666666668)</f>
        <v>0.9666666667</v>
      </c>
      <c r="H1587" s="84">
        <f>IFERROR(__xludf.DUMMYFUNCTION("""COMPUTED_VALUE"""),40995.0)</f>
        <v>40995</v>
      </c>
      <c r="I1587" s="86">
        <f>IFERROR(__xludf.DUMMYFUNCTION("""COMPUTED_VALUE"""),0.8555555555555555)</f>
        <v>0.8555555556</v>
      </c>
      <c r="J1587" s="87">
        <f>IFERROR(__xludf.DUMMYFUNCTION("""COMPUTED_VALUE"""),79.0)</f>
        <v>79</v>
      </c>
      <c r="K1587" s="88">
        <f>IFERROR(__xludf.DUMMYFUNCTION("""COMPUTED_VALUE"""),7.4)</f>
        <v>7.4</v>
      </c>
      <c r="L1587" s="89">
        <f>IFERROR(__xludf.DUMMYFUNCTION("""COMPUTED_VALUE"""),5.0)</f>
        <v>5</v>
      </c>
      <c r="M1587" s="26" t="str">
        <f>IFERROR(__xludf.DUMMYFUNCTION("""COMPUTED_VALUE"""),"Puzzle")</f>
        <v>Puzzle</v>
      </c>
      <c r="N1587" s="26"/>
      <c r="O1587" s="26" t="str">
        <f>IFERROR(__xludf.DUMMYFUNCTION("""COMPUTED_VALUE"""),"No")</f>
        <v>No</v>
      </c>
      <c r="P1587" s="26"/>
    </row>
    <row r="1588">
      <c r="A1588" s="81" t="str">
        <f>IFERROR(__xludf.DUMMYFUNCTION("""COMPUTED_VALUE"""),"Guardians of Middle Earth")</f>
        <v>Guardians of Middle Earth</v>
      </c>
      <c r="B1588" s="82" t="str">
        <f>IFERROR(__xludf.DUMMYFUNCTION("""COMPUTED_VALUE"""),"PS3")</f>
        <v>PS3</v>
      </c>
      <c r="C1588" s="83" t="str">
        <f>IFERROR(__xludf.DUMMYFUNCTION("""COMPUTED_VALUE"""),"Playstation Plus (Discontinued)")</f>
        <v>Playstation Plus (Discontinued)</v>
      </c>
      <c r="D1588" s="82" t="str">
        <f>IFERROR(__xludf.DUMMYFUNCTION("""COMPUTED_VALUE"""),"Removed")</f>
        <v>Removed</v>
      </c>
      <c r="E1588" s="84">
        <f>IFERROR(__xludf.DUMMYFUNCTION("""COMPUTED_VALUE"""),41310.0)</f>
        <v>41310</v>
      </c>
      <c r="F1588" s="85">
        <f>IFERROR(__xludf.DUMMYFUNCTION("""COMPUTED_VALUE"""),41337.0)</f>
        <v>41337</v>
      </c>
      <c r="G1588" s="86">
        <f>IFERROR(__xludf.DUMMYFUNCTION("""COMPUTED_VALUE"""),0.9666666666666668)</f>
        <v>0.9666666667</v>
      </c>
      <c r="H1588" s="84">
        <f>IFERROR(__xludf.DUMMYFUNCTION("""COMPUTED_VALUE"""),41247.0)</f>
        <v>41247</v>
      </c>
      <c r="I1588" s="86">
        <f>IFERROR(__xludf.DUMMYFUNCTION("""COMPUTED_VALUE"""),0.16944444444444445)</f>
        <v>0.1694444444</v>
      </c>
      <c r="J1588" s="87">
        <f>IFERROR(__xludf.DUMMYFUNCTION("""COMPUTED_VALUE"""),56.0)</f>
        <v>56</v>
      </c>
      <c r="K1588" s="88">
        <f>IFERROR(__xludf.DUMMYFUNCTION("""COMPUTED_VALUE"""),5.8)</f>
        <v>5.8</v>
      </c>
      <c r="L1588" s="89"/>
      <c r="M1588" s="26" t="str">
        <f>IFERROR(__xludf.DUMMYFUNCTION("""COMPUTED_VALUE"""),"Strategy")</f>
        <v>Strategy</v>
      </c>
      <c r="N1588" s="26"/>
      <c r="O1588" s="26" t="str">
        <f>IFERROR(__xludf.DUMMYFUNCTION("""COMPUTED_VALUE"""),"No")</f>
        <v>No</v>
      </c>
      <c r="P1588" s="26"/>
    </row>
    <row r="1589">
      <c r="A1589" s="81" t="str">
        <f>IFERROR(__xludf.DUMMYFUNCTION("""COMPUTED_VALUE"""),"Ninja Gaiden Sigma Plus")</f>
        <v>Ninja Gaiden Sigma Plus</v>
      </c>
      <c r="B1589" s="82" t="str">
        <f>IFERROR(__xludf.DUMMYFUNCTION("""COMPUTED_VALUE"""),"Vita")</f>
        <v>Vita</v>
      </c>
      <c r="C1589" s="83" t="str">
        <f>IFERROR(__xludf.DUMMYFUNCTION("""COMPUTED_VALUE"""),"Playstation Plus (Discontinued)")</f>
        <v>Playstation Plus (Discontinued)</v>
      </c>
      <c r="D1589" s="82" t="str">
        <f>IFERROR(__xludf.DUMMYFUNCTION("""COMPUTED_VALUE"""),"Removed")</f>
        <v>Removed</v>
      </c>
      <c r="E1589" s="84">
        <f>IFERROR(__xludf.DUMMYFUNCTION("""COMPUTED_VALUE"""),41275.0)</f>
        <v>41275</v>
      </c>
      <c r="F1589" s="85">
        <f>IFERROR(__xludf.DUMMYFUNCTION("""COMPUTED_VALUE"""),41309.0)</f>
        <v>41309</v>
      </c>
      <c r="G1589" s="86">
        <f>IFERROR(__xludf.DUMMYFUNCTION("""COMPUTED_VALUE"""),1.0999999999999999)</f>
        <v>1.1</v>
      </c>
      <c r="H1589" s="84">
        <f>IFERROR(__xludf.DUMMYFUNCTION("""COMPUTED_VALUE"""),40960.0)</f>
        <v>40960</v>
      </c>
      <c r="I1589" s="86">
        <f>IFERROR(__xludf.DUMMYFUNCTION("""COMPUTED_VALUE"""),0.8611111111111112)</f>
        <v>0.8611111111</v>
      </c>
      <c r="J1589" s="87">
        <f>IFERROR(__xludf.DUMMYFUNCTION("""COMPUTED_VALUE"""),72.0)</f>
        <v>72</v>
      </c>
      <c r="K1589" s="88">
        <f>IFERROR(__xludf.DUMMYFUNCTION("""COMPUTED_VALUE"""),7.7)</f>
        <v>7.7</v>
      </c>
      <c r="L1589" s="89">
        <f>IFERROR(__xludf.DUMMYFUNCTION("""COMPUTED_VALUE"""),16.0)</f>
        <v>16</v>
      </c>
      <c r="M1589" s="26" t="str">
        <f>IFERROR(__xludf.DUMMYFUNCTION("""COMPUTED_VALUE"""),"Action-Adventure")</f>
        <v>Action-Adventure</v>
      </c>
      <c r="N1589" s="26"/>
      <c r="O1589" s="26" t="str">
        <f>IFERROR(__xludf.DUMMYFUNCTION("""COMPUTED_VALUE"""),"No")</f>
        <v>No</v>
      </c>
      <c r="P1589" s="26"/>
    </row>
    <row r="1590">
      <c r="A1590" s="81" t="str">
        <f>IFERROR(__xludf.DUMMYFUNCTION("""COMPUTED_VALUE"""),"Foosball 2012")</f>
        <v>Foosball 2012</v>
      </c>
      <c r="B1590" s="82" t="str">
        <f>IFERROR(__xludf.DUMMYFUNCTION("""COMPUTED_VALUE"""),"PS3/Vita")</f>
        <v>PS3/Vita</v>
      </c>
      <c r="C1590" s="83" t="str">
        <f>IFERROR(__xludf.DUMMYFUNCTION("""COMPUTED_VALUE"""),"Playstation Plus (Discontinued)")</f>
        <v>Playstation Plus (Discontinued)</v>
      </c>
      <c r="D1590" s="82" t="str">
        <f>IFERROR(__xludf.DUMMYFUNCTION("""COMPUTED_VALUE"""),"Removed")</f>
        <v>Removed</v>
      </c>
      <c r="E1590" s="84">
        <f>IFERROR(__xludf.DUMMYFUNCTION("""COMPUTED_VALUE"""),41275.0)</f>
        <v>41275</v>
      </c>
      <c r="F1590" s="85">
        <f>IFERROR(__xludf.DUMMYFUNCTION("""COMPUTED_VALUE"""),41309.0)</f>
        <v>41309</v>
      </c>
      <c r="G1590" s="86">
        <f>IFERROR(__xludf.DUMMYFUNCTION("""COMPUTED_VALUE"""),1.0999999999999999)</f>
        <v>1.1</v>
      </c>
      <c r="H1590" s="84">
        <f>IFERROR(__xludf.DUMMYFUNCTION("""COMPUTED_VALUE"""),41170.0)</f>
        <v>41170</v>
      </c>
      <c r="I1590" s="86">
        <f>IFERROR(__xludf.DUMMYFUNCTION("""COMPUTED_VALUE"""),0.2861111111111111)</f>
        <v>0.2861111111</v>
      </c>
      <c r="J1590" s="87">
        <f>IFERROR(__xludf.DUMMYFUNCTION("""COMPUTED_VALUE"""),65.0)</f>
        <v>65</v>
      </c>
      <c r="K1590" s="88">
        <f>IFERROR(__xludf.DUMMYFUNCTION("""COMPUTED_VALUE"""),6.7)</f>
        <v>6.7</v>
      </c>
      <c r="L1590" s="89"/>
      <c r="M1590" s="26" t="str">
        <f>IFERROR(__xludf.DUMMYFUNCTION("""COMPUTED_VALUE"""),"Sports")</f>
        <v>Sports</v>
      </c>
      <c r="N1590" s="26"/>
      <c r="O1590" s="26" t="str">
        <f>IFERROR(__xludf.DUMMYFUNCTION("""COMPUTED_VALUE"""),"No")</f>
        <v>No</v>
      </c>
      <c r="P1590" s="26"/>
    </row>
    <row r="1591">
      <c r="A1591" s="81" t="str">
        <f>IFERROR(__xludf.DUMMYFUNCTION("""COMPUTED_VALUE"""),"Darksiders")</f>
        <v>Darksiders</v>
      </c>
      <c r="B1591" s="82" t="str">
        <f>IFERROR(__xludf.DUMMYFUNCTION("""COMPUTED_VALUE"""),"PS3")</f>
        <v>PS3</v>
      </c>
      <c r="C1591" s="83" t="str">
        <f>IFERROR(__xludf.DUMMYFUNCTION("""COMPUTED_VALUE"""),"Playstation Plus (Discontinued)")</f>
        <v>Playstation Plus (Discontinued)</v>
      </c>
      <c r="D1591" s="82" t="str">
        <f>IFERROR(__xludf.DUMMYFUNCTION("""COMPUTED_VALUE"""),"Removed")</f>
        <v>Removed</v>
      </c>
      <c r="E1591" s="84">
        <f>IFERROR(__xludf.DUMMYFUNCTION("""COMPUTED_VALUE"""),41275.0)</f>
        <v>41275</v>
      </c>
      <c r="F1591" s="85">
        <f>IFERROR(__xludf.DUMMYFUNCTION("""COMPUTED_VALUE"""),41309.0)</f>
        <v>41309</v>
      </c>
      <c r="G1591" s="86">
        <f>IFERROR(__xludf.DUMMYFUNCTION("""COMPUTED_VALUE"""),1.0999999999999999)</f>
        <v>1.1</v>
      </c>
      <c r="H1591" s="84">
        <f>IFERROR(__xludf.DUMMYFUNCTION("""COMPUTED_VALUE"""),40183.0)</f>
        <v>40183</v>
      </c>
      <c r="I1591" s="86">
        <f>IFERROR(__xludf.DUMMYFUNCTION("""COMPUTED_VALUE"""),2.988888888888889)</f>
        <v>2.988888889</v>
      </c>
      <c r="J1591" s="87">
        <f>IFERROR(__xludf.DUMMYFUNCTION("""COMPUTED_VALUE"""),83.0)</f>
        <v>83</v>
      </c>
      <c r="K1591" s="88">
        <f>IFERROR(__xludf.DUMMYFUNCTION("""COMPUTED_VALUE"""),8.1)</f>
        <v>8.1</v>
      </c>
      <c r="L1591" s="89">
        <f>IFERROR(__xludf.DUMMYFUNCTION("""COMPUTED_VALUE"""),17.0)</f>
        <v>17</v>
      </c>
      <c r="M1591" s="26" t="str">
        <f>IFERROR(__xludf.DUMMYFUNCTION("""COMPUTED_VALUE"""),"Action-Adventure")</f>
        <v>Action-Adventure</v>
      </c>
      <c r="N1591" s="26"/>
      <c r="O1591" s="26" t="str">
        <f>IFERROR(__xludf.DUMMYFUNCTION("""COMPUTED_VALUE"""),"No")</f>
        <v>No</v>
      </c>
      <c r="P1591" s="26"/>
    </row>
    <row r="1592">
      <c r="A1592" s="81" t="str">
        <f>IFERROR(__xludf.DUMMYFUNCTION("""COMPUTED_VALUE"""),"Mega Man 10")</f>
        <v>Mega Man 10</v>
      </c>
      <c r="B1592" s="82" t="str">
        <f>IFERROR(__xludf.DUMMYFUNCTION("""COMPUTED_VALUE"""),"PS3")</f>
        <v>PS3</v>
      </c>
      <c r="C1592" s="83" t="str">
        <f>IFERROR(__xludf.DUMMYFUNCTION("""COMPUTED_VALUE"""),"Playstation Plus (Discontinued)")</f>
        <v>Playstation Plus (Discontinued)</v>
      </c>
      <c r="D1592" s="82" t="str">
        <f>IFERROR(__xludf.DUMMYFUNCTION("""COMPUTED_VALUE"""),"Removed")</f>
        <v>Removed</v>
      </c>
      <c r="E1592" s="84">
        <f>IFERROR(__xludf.DUMMYFUNCTION("""COMPUTED_VALUE"""),41275.0)</f>
        <v>41275</v>
      </c>
      <c r="F1592" s="85">
        <f>IFERROR(__xludf.DUMMYFUNCTION("""COMPUTED_VALUE"""),41309.0)</f>
        <v>41309</v>
      </c>
      <c r="G1592" s="86">
        <f>IFERROR(__xludf.DUMMYFUNCTION("""COMPUTED_VALUE"""),1.0999999999999999)</f>
        <v>1.1</v>
      </c>
      <c r="H1592" s="84">
        <f>IFERROR(__xludf.DUMMYFUNCTION("""COMPUTED_VALUE"""),40242.0)</f>
        <v>40242</v>
      </c>
      <c r="I1592" s="86">
        <f>IFERROR(__xludf.DUMMYFUNCTION("""COMPUTED_VALUE"""),2.8222222222222224)</f>
        <v>2.822222222</v>
      </c>
      <c r="J1592" s="87">
        <f>IFERROR(__xludf.DUMMYFUNCTION("""COMPUTED_VALUE"""),82.0)</f>
        <v>82</v>
      </c>
      <c r="K1592" s="88">
        <f>IFERROR(__xludf.DUMMYFUNCTION("""COMPUTED_VALUE"""),7.8)</f>
        <v>7.8</v>
      </c>
      <c r="L1592" s="89">
        <f>IFERROR(__xludf.DUMMYFUNCTION("""COMPUTED_VALUE"""),5.0)</f>
        <v>5</v>
      </c>
      <c r="M1592" s="26" t="str">
        <f>IFERROR(__xludf.DUMMYFUNCTION("""COMPUTED_VALUE"""),"Platformer")</f>
        <v>Platformer</v>
      </c>
      <c r="N1592" s="26"/>
      <c r="O1592" s="26" t="str">
        <f>IFERROR(__xludf.DUMMYFUNCTION("""COMPUTED_VALUE"""),"No")</f>
        <v>No</v>
      </c>
      <c r="P1592" s="26"/>
    </row>
    <row r="1593">
      <c r="A1593" s="81" t="str">
        <f>IFERROR(__xludf.DUMMYFUNCTION("""COMPUTED_VALUE"""),"Mega Man 9")</f>
        <v>Mega Man 9</v>
      </c>
      <c r="B1593" s="82" t="str">
        <f>IFERROR(__xludf.DUMMYFUNCTION("""COMPUTED_VALUE"""),"PS3")</f>
        <v>PS3</v>
      </c>
      <c r="C1593" s="83" t="str">
        <f>IFERROR(__xludf.DUMMYFUNCTION("""COMPUTED_VALUE"""),"Playstation Plus (Discontinued)")</f>
        <v>Playstation Plus (Discontinued)</v>
      </c>
      <c r="D1593" s="82" t="str">
        <f>IFERROR(__xludf.DUMMYFUNCTION("""COMPUTED_VALUE"""),"Removed")</f>
        <v>Removed</v>
      </c>
      <c r="E1593" s="84">
        <f>IFERROR(__xludf.DUMMYFUNCTION("""COMPUTED_VALUE"""),41275.0)</f>
        <v>41275</v>
      </c>
      <c r="F1593" s="85">
        <f>IFERROR(__xludf.DUMMYFUNCTION("""COMPUTED_VALUE"""),41309.0)</f>
        <v>41309</v>
      </c>
      <c r="G1593" s="86">
        <f>IFERROR(__xludf.DUMMYFUNCTION("""COMPUTED_VALUE"""),1.0999999999999999)</f>
        <v>1.1</v>
      </c>
      <c r="H1593" s="84">
        <f>IFERROR(__xludf.DUMMYFUNCTION("""COMPUTED_VALUE"""),39713.0)</f>
        <v>39713</v>
      </c>
      <c r="I1593" s="86">
        <f>IFERROR(__xludf.DUMMYFUNCTION("""COMPUTED_VALUE"""),4.275)</f>
        <v>4.275</v>
      </c>
      <c r="J1593" s="87">
        <f>IFERROR(__xludf.DUMMYFUNCTION("""COMPUTED_VALUE"""),82.0)</f>
        <v>82</v>
      </c>
      <c r="K1593" s="88">
        <f>IFERROR(__xludf.DUMMYFUNCTION("""COMPUTED_VALUE"""),7.8)</f>
        <v>7.8</v>
      </c>
      <c r="L1593" s="89">
        <f>IFERROR(__xludf.DUMMYFUNCTION("""COMPUTED_VALUE"""),5.0)</f>
        <v>5</v>
      </c>
      <c r="M1593" s="26" t="str">
        <f>IFERROR(__xludf.DUMMYFUNCTION("""COMPUTED_VALUE"""),"Platformer")</f>
        <v>Platformer</v>
      </c>
      <c r="N1593" s="26"/>
      <c r="O1593" s="26" t="str">
        <f>IFERROR(__xludf.DUMMYFUNCTION("""COMPUTED_VALUE"""),"No")</f>
        <v>No</v>
      </c>
      <c r="P1593" s="26"/>
    </row>
    <row r="1594">
      <c r="A1594" s="81" t="str">
        <f>IFERROR(__xludf.DUMMYFUNCTION("""COMPUTED_VALUE"""),"Chronovolt")</f>
        <v>Chronovolt</v>
      </c>
      <c r="B1594" s="82" t="str">
        <f>IFERROR(__xludf.DUMMYFUNCTION("""COMPUTED_VALUE"""),"Vita")</f>
        <v>Vita</v>
      </c>
      <c r="C1594" s="83" t="str">
        <f>IFERROR(__xludf.DUMMYFUNCTION("""COMPUTED_VALUE"""),"Playstation Plus (Discontinued)")</f>
        <v>Playstation Plus (Discontinued)</v>
      </c>
      <c r="D1594" s="82" t="str">
        <f>IFERROR(__xludf.DUMMYFUNCTION("""COMPUTED_VALUE"""),"Removed")</f>
        <v>Removed</v>
      </c>
      <c r="E1594" s="84">
        <f>IFERROR(__xludf.DUMMYFUNCTION("""COMPUTED_VALUE"""),41247.0)</f>
        <v>41247</v>
      </c>
      <c r="F1594" s="85">
        <f>IFERROR(__xludf.DUMMYFUNCTION("""COMPUTED_VALUE"""),41274.0)</f>
        <v>41274</v>
      </c>
      <c r="G1594" s="86">
        <f>IFERROR(__xludf.DUMMYFUNCTION("""COMPUTED_VALUE"""),0.8666666666666666)</f>
        <v>0.8666666667</v>
      </c>
      <c r="H1594" s="84">
        <f>IFERROR(__xludf.DUMMYFUNCTION("""COMPUTED_VALUE"""),41226.0)</f>
        <v>41226</v>
      </c>
      <c r="I1594" s="86">
        <f>IFERROR(__xludf.DUMMYFUNCTION("""COMPUTED_VALUE"""),0.058333333333333334)</f>
        <v>0.05833333333</v>
      </c>
      <c r="J1594" s="87">
        <f>IFERROR(__xludf.DUMMYFUNCTION("""COMPUTED_VALUE"""),51.0)</f>
        <v>51</v>
      </c>
      <c r="K1594" s="88">
        <f>IFERROR(__xludf.DUMMYFUNCTION("""COMPUTED_VALUE"""),5.8)</f>
        <v>5.8</v>
      </c>
      <c r="L1594" s="89">
        <f>IFERROR(__xludf.DUMMYFUNCTION("""COMPUTED_VALUE"""),4.0)</f>
        <v>4</v>
      </c>
      <c r="M1594" s="26" t="str">
        <f>IFERROR(__xludf.DUMMYFUNCTION("""COMPUTED_VALUE"""),"Puzzle")</f>
        <v>Puzzle</v>
      </c>
      <c r="N1594" s="26"/>
      <c r="O1594" s="26" t="str">
        <f>IFERROR(__xludf.DUMMYFUNCTION("""COMPUTED_VALUE"""),"No")</f>
        <v>No</v>
      </c>
      <c r="P1594" s="26"/>
    </row>
    <row r="1595">
      <c r="A1595" s="81" t="str">
        <f>IFERROR(__xludf.DUMMYFUNCTION("""COMPUTED_VALUE"""),"NBA Jam: On Fire")</f>
        <v>NBA Jam: On Fire</v>
      </c>
      <c r="B1595" s="82" t="str">
        <f>IFERROR(__xludf.DUMMYFUNCTION("""COMPUTED_VALUE"""),"PS3")</f>
        <v>PS3</v>
      </c>
      <c r="C1595" s="83" t="str">
        <f>IFERROR(__xludf.DUMMYFUNCTION("""COMPUTED_VALUE"""),"Playstation Plus (Discontinued)")</f>
        <v>Playstation Plus (Discontinued)</v>
      </c>
      <c r="D1595" s="82" t="str">
        <f>IFERROR(__xludf.DUMMYFUNCTION("""COMPUTED_VALUE"""),"Removed")</f>
        <v>Removed</v>
      </c>
      <c r="E1595" s="84">
        <f>IFERROR(__xludf.DUMMYFUNCTION("""COMPUTED_VALUE"""),41247.0)</f>
        <v>41247</v>
      </c>
      <c r="F1595" s="85">
        <f>IFERROR(__xludf.DUMMYFUNCTION("""COMPUTED_VALUE"""),41274.0)</f>
        <v>41274</v>
      </c>
      <c r="G1595" s="86">
        <f>IFERROR(__xludf.DUMMYFUNCTION("""COMPUTED_VALUE"""),0.8666666666666666)</f>
        <v>0.8666666667</v>
      </c>
      <c r="H1595" s="84">
        <f>IFERROR(__xludf.DUMMYFUNCTION("""COMPUTED_VALUE"""),40820.0)</f>
        <v>40820</v>
      </c>
      <c r="I1595" s="86">
        <f>IFERROR(__xludf.DUMMYFUNCTION("""COMPUTED_VALUE"""),1.1666666666666667)</f>
        <v>1.166666667</v>
      </c>
      <c r="J1595" s="87">
        <f>IFERROR(__xludf.DUMMYFUNCTION("""COMPUTED_VALUE"""),82.0)</f>
        <v>82</v>
      </c>
      <c r="K1595" s="88">
        <f>IFERROR(__xludf.DUMMYFUNCTION("""COMPUTED_VALUE"""),8.3)</f>
        <v>8.3</v>
      </c>
      <c r="L1595" s="89"/>
      <c r="M1595" s="26" t="str">
        <f>IFERROR(__xludf.DUMMYFUNCTION("""COMPUTED_VALUE"""),"Sports")</f>
        <v>Sports</v>
      </c>
      <c r="N1595" s="26"/>
      <c r="O1595" s="26" t="str">
        <f>IFERROR(__xludf.DUMMYFUNCTION("""COMPUTED_VALUE"""),"No")</f>
        <v>No</v>
      </c>
      <c r="P1595" s="26"/>
    </row>
    <row r="1596">
      <c r="A1596" s="81" t="str">
        <f>IFERROR(__xludf.DUMMYFUNCTION("""COMPUTED_VALUE"""),"Retro City Rampage")</f>
        <v>Retro City Rampage</v>
      </c>
      <c r="B1596" s="82" t="str">
        <f>IFERROR(__xludf.DUMMYFUNCTION("""COMPUTED_VALUE"""),"PS3/Vita")</f>
        <v>PS3/Vita</v>
      </c>
      <c r="C1596" s="83" t="str">
        <f>IFERROR(__xludf.DUMMYFUNCTION("""COMPUTED_VALUE"""),"Playstation Plus (Discontinued)")</f>
        <v>Playstation Plus (Discontinued)</v>
      </c>
      <c r="D1596" s="82" t="str">
        <f>IFERROR(__xludf.DUMMYFUNCTION("""COMPUTED_VALUE"""),"Removed")</f>
        <v>Removed</v>
      </c>
      <c r="E1596" s="84">
        <f>IFERROR(__xludf.DUMMYFUNCTION("""COMPUTED_VALUE"""),41247.0)</f>
        <v>41247</v>
      </c>
      <c r="F1596" s="85">
        <f>IFERROR(__xludf.DUMMYFUNCTION("""COMPUTED_VALUE"""),41274.0)</f>
        <v>41274</v>
      </c>
      <c r="G1596" s="86">
        <f>IFERROR(__xludf.DUMMYFUNCTION("""COMPUTED_VALUE"""),0.8666666666666666)</f>
        <v>0.8666666667</v>
      </c>
      <c r="H1596" s="84">
        <f>IFERROR(__xludf.DUMMYFUNCTION("""COMPUTED_VALUE"""),41191.0)</f>
        <v>41191</v>
      </c>
      <c r="I1596" s="86">
        <f>IFERROR(__xludf.DUMMYFUNCTION("""COMPUTED_VALUE"""),0.1527777777777778)</f>
        <v>0.1527777778</v>
      </c>
      <c r="J1596" s="87">
        <f>IFERROR(__xludf.DUMMYFUNCTION("""COMPUTED_VALUE"""),79.0)</f>
        <v>79</v>
      </c>
      <c r="K1596" s="88">
        <f>IFERROR(__xludf.DUMMYFUNCTION("""COMPUTED_VALUE"""),7.7)</f>
        <v>7.7</v>
      </c>
      <c r="L1596" s="89">
        <f>IFERROR(__xludf.DUMMYFUNCTION("""COMPUTED_VALUE"""),5.0)</f>
        <v>5</v>
      </c>
      <c r="M1596" s="26" t="str">
        <f>IFERROR(__xludf.DUMMYFUNCTION("""COMPUTED_VALUE"""),"Action-Adventure")</f>
        <v>Action-Adventure</v>
      </c>
      <c r="N1596" s="26"/>
      <c r="O1596" s="26" t="str">
        <f>IFERROR(__xludf.DUMMYFUNCTION("""COMPUTED_VALUE"""),"No")</f>
        <v>No</v>
      </c>
      <c r="P1596" s="26"/>
    </row>
    <row r="1597">
      <c r="A1597" s="81" t="str">
        <f>IFERROR(__xludf.DUMMYFUNCTION("""COMPUTED_VALUE"""),"Anomaly: Warzone Earth")</f>
        <v>Anomaly: Warzone Earth</v>
      </c>
      <c r="B1597" s="82" t="str">
        <f>IFERROR(__xludf.DUMMYFUNCTION("""COMPUTED_VALUE"""),"PS3")</f>
        <v>PS3</v>
      </c>
      <c r="C1597" s="83" t="str">
        <f>IFERROR(__xludf.DUMMYFUNCTION("""COMPUTED_VALUE"""),"Playstation Plus (Discontinued)")</f>
        <v>Playstation Plus (Discontinued)</v>
      </c>
      <c r="D1597" s="82" t="str">
        <f>IFERROR(__xludf.DUMMYFUNCTION("""COMPUTED_VALUE"""),"Removed")</f>
        <v>Removed</v>
      </c>
      <c r="E1597" s="84">
        <f>IFERROR(__xludf.DUMMYFUNCTION("""COMPUTED_VALUE"""),41247.0)</f>
        <v>41247</v>
      </c>
      <c r="F1597" s="85">
        <f>IFERROR(__xludf.DUMMYFUNCTION("""COMPUTED_VALUE"""),41274.0)</f>
        <v>41274</v>
      </c>
      <c r="G1597" s="86">
        <f>IFERROR(__xludf.DUMMYFUNCTION("""COMPUTED_VALUE"""),0.8666666666666666)</f>
        <v>0.8666666667</v>
      </c>
      <c r="H1597" s="84">
        <f>IFERROR(__xludf.DUMMYFUNCTION("""COMPUTED_VALUE"""),40641.0)</f>
        <v>40641</v>
      </c>
      <c r="I1597" s="86">
        <f>IFERROR(__xludf.DUMMYFUNCTION("""COMPUTED_VALUE"""),1.6555555555555554)</f>
        <v>1.655555556</v>
      </c>
      <c r="J1597" s="87">
        <f>IFERROR(__xludf.DUMMYFUNCTION("""COMPUTED_VALUE"""),80.0)</f>
        <v>80</v>
      </c>
      <c r="K1597" s="88">
        <f>IFERROR(__xludf.DUMMYFUNCTION("""COMPUTED_VALUE"""),7.7)</f>
        <v>7.7</v>
      </c>
      <c r="L1597" s="89">
        <f>IFERROR(__xludf.DUMMYFUNCTION("""COMPUTED_VALUE"""),7.0)</f>
        <v>7</v>
      </c>
      <c r="M1597" s="26" t="str">
        <f>IFERROR(__xludf.DUMMYFUNCTION("""COMPUTED_VALUE"""),"Strategy")</f>
        <v>Strategy</v>
      </c>
      <c r="N1597" s="26"/>
      <c r="O1597" s="26" t="str">
        <f>IFERROR(__xludf.DUMMYFUNCTION("""COMPUTED_VALUE"""),"No")</f>
        <v>No</v>
      </c>
      <c r="P1597" s="26"/>
    </row>
    <row r="1598">
      <c r="A1598" s="81" t="str">
        <f>IFERROR(__xludf.DUMMYFUNCTION("""COMPUTED_VALUE"""),"Rochard")</f>
        <v>Rochard</v>
      </c>
      <c r="B1598" s="82" t="str">
        <f>IFERROR(__xludf.DUMMYFUNCTION("""COMPUTED_VALUE"""),"PS3")</f>
        <v>PS3</v>
      </c>
      <c r="C1598" s="83" t="str">
        <f>IFERROR(__xludf.DUMMYFUNCTION("""COMPUTED_VALUE"""),"Playstation Plus (Discontinued)")</f>
        <v>Playstation Plus (Discontinued)</v>
      </c>
      <c r="D1598" s="82" t="str">
        <f>IFERROR(__xludf.DUMMYFUNCTION("""COMPUTED_VALUE"""),"Removed")</f>
        <v>Removed</v>
      </c>
      <c r="E1598" s="84">
        <f>IFERROR(__xludf.DUMMYFUNCTION("""COMPUTED_VALUE"""),41247.0)</f>
        <v>41247</v>
      </c>
      <c r="F1598" s="85">
        <f>IFERROR(__xludf.DUMMYFUNCTION("""COMPUTED_VALUE"""),41274.0)</f>
        <v>41274</v>
      </c>
      <c r="G1598" s="86">
        <f>IFERROR(__xludf.DUMMYFUNCTION("""COMPUTED_VALUE"""),0.8666666666666666)</f>
        <v>0.8666666667</v>
      </c>
      <c r="H1598" s="84">
        <f>IFERROR(__xludf.DUMMYFUNCTION("""COMPUTED_VALUE"""),40862.0)</f>
        <v>40862</v>
      </c>
      <c r="I1598" s="86">
        <f>IFERROR(__xludf.DUMMYFUNCTION("""COMPUTED_VALUE"""),1.0527777777777778)</f>
        <v>1.052777778</v>
      </c>
      <c r="J1598" s="87">
        <f>IFERROR(__xludf.DUMMYFUNCTION("""COMPUTED_VALUE"""),75.0)</f>
        <v>75</v>
      </c>
      <c r="K1598" s="88">
        <f>IFERROR(__xludf.DUMMYFUNCTION("""COMPUTED_VALUE"""),7.3)</f>
        <v>7.3</v>
      </c>
      <c r="L1598" s="89">
        <f>IFERROR(__xludf.DUMMYFUNCTION("""COMPUTED_VALUE"""),5.0)</f>
        <v>5</v>
      </c>
      <c r="M1598" s="26" t="str">
        <f>IFERROR(__xludf.DUMMYFUNCTION("""COMPUTED_VALUE"""),"Platformer")</f>
        <v>Platformer</v>
      </c>
      <c r="N1598" s="26"/>
      <c r="O1598" s="26" t="str">
        <f>IFERROR(__xludf.DUMMYFUNCTION("""COMPUTED_VALUE"""),"No")</f>
        <v>No</v>
      </c>
      <c r="P1598" s="26"/>
    </row>
    <row r="1599">
      <c r="A1599" s="81" t="str">
        <f>IFERROR(__xludf.DUMMYFUNCTION("""COMPUTED_VALUE"""),"Street Fighter IV: Arcade Edition")</f>
        <v>Street Fighter IV: Arcade Edition</v>
      </c>
      <c r="B1599" s="82" t="str">
        <f>IFERROR(__xludf.DUMMYFUNCTION("""COMPUTED_VALUE"""),"PS3")</f>
        <v>PS3</v>
      </c>
      <c r="C1599" s="83" t="str">
        <f>IFERROR(__xludf.DUMMYFUNCTION("""COMPUTED_VALUE"""),"Playstation Plus (Discontinued)")</f>
        <v>Playstation Plus (Discontinued)</v>
      </c>
      <c r="D1599" s="82" t="str">
        <f>IFERROR(__xludf.DUMMYFUNCTION("""COMPUTED_VALUE"""),"Removed")</f>
        <v>Removed</v>
      </c>
      <c r="E1599" s="84">
        <f>IFERROR(__xludf.DUMMYFUNCTION("""COMPUTED_VALUE"""),41247.0)</f>
        <v>41247</v>
      </c>
      <c r="F1599" s="85">
        <f>IFERROR(__xludf.DUMMYFUNCTION("""COMPUTED_VALUE"""),41274.0)</f>
        <v>41274</v>
      </c>
      <c r="G1599" s="86">
        <f>IFERROR(__xludf.DUMMYFUNCTION("""COMPUTED_VALUE"""),0.8666666666666666)</f>
        <v>0.8666666667</v>
      </c>
      <c r="H1599" s="84">
        <f>IFERROR(__xludf.DUMMYFUNCTION("""COMPUTED_VALUE"""),40701.0)</f>
        <v>40701</v>
      </c>
      <c r="I1599" s="86">
        <f>IFERROR(__xludf.DUMMYFUNCTION("""COMPUTED_VALUE"""),1.4916666666666667)</f>
        <v>1.491666667</v>
      </c>
      <c r="J1599" s="87">
        <f>IFERROR(__xludf.DUMMYFUNCTION("""COMPUTED_VALUE"""),84.0)</f>
        <v>84</v>
      </c>
      <c r="K1599" s="88">
        <f>IFERROR(__xludf.DUMMYFUNCTION("""COMPUTED_VALUE"""),7.9)</f>
        <v>7.9</v>
      </c>
      <c r="L1599" s="89"/>
      <c r="M1599" s="26" t="str">
        <f>IFERROR(__xludf.DUMMYFUNCTION("""COMPUTED_VALUE"""),"Fighting")</f>
        <v>Fighting</v>
      </c>
      <c r="N1599" s="26"/>
      <c r="O1599" s="26" t="str">
        <f>IFERROR(__xludf.DUMMYFUNCTION("""COMPUTED_VALUE"""),"No")</f>
        <v>No</v>
      </c>
      <c r="P1599" s="26"/>
    </row>
    <row r="1600">
      <c r="A1600" s="81" t="str">
        <f>IFERROR(__xludf.DUMMYFUNCTION("""COMPUTED_VALUE"""),"Bioshock 2")</f>
        <v>Bioshock 2</v>
      </c>
      <c r="B1600" s="82" t="str">
        <f>IFERROR(__xludf.DUMMYFUNCTION("""COMPUTED_VALUE"""),"PS3")</f>
        <v>PS3</v>
      </c>
      <c r="C1600" s="83" t="str">
        <f>IFERROR(__xludf.DUMMYFUNCTION("""COMPUTED_VALUE"""),"Playstation Plus (Discontinued)")</f>
        <v>Playstation Plus (Discontinued)</v>
      </c>
      <c r="D1600" s="82" t="str">
        <f>IFERROR(__xludf.DUMMYFUNCTION("""COMPUTED_VALUE"""),"Removed")</f>
        <v>Removed</v>
      </c>
      <c r="E1600" s="84">
        <f>IFERROR(__xludf.DUMMYFUNCTION("""COMPUTED_VALUE"""),41247.0)</f>
        <v>41247</v>
      </c>
      <c r="F1600" s="85">
        <f>IFERROR(__xludf.DUMMYFUNCTION("""COMPUTED_VALUE"""),41274.0)</f>
        <v>41274</v>
      </c>
      <c r="G1600" s="86">
        <f>IFERROR(__xludf.DUMMYFUNCTION("""COMPUTED_VALUE"""),0.8666666666666666)</f>
        <v>0.8666666667</v>
      </c>
      <c r="H1600" s="84">
        <f>IFERROR(__xludf.DUMMYFUNCTION("""COMPUTED_VALUE"""),40218.0)</f>
        <v>40218</v>
      </c>
      <c r="I1600" s="86">
        <f>IFERROR(__xludf.DUMMYFUNCTION("""COMPUTED_VALUE"""),2.8194444444444446)</f>
        <v>2.819444444</v>
      </c>
      <c r="J1600" s="87">
        <f>IFERROR(__xludf.DUMMYFUNCTION("""COMPUTED_VALUE"""),88.0)</f>
        <v>88</v>
      </c>
      <c r="K1600" s="88">
        <f>IFERROR(__xludf.DUMMYFUNCTION("""COMPUTED_VALUE"""),8.0)</f>
        <v>8</v>
      </c>
      <c r="L1600" s="89">
        <f>IFERROR(__xludf.DUMMYFUNCTION("""COMPUTED_VALUE"""),11.0)</f>
        <v>11</v>
      </c>
      <c r="M1600" s="26" t="str">
        <f>IFERROR(__xludf.DUMMYFUNCTION("""COMPUTED_VALUE"""),"Shooter")</f>
        <v>Shooter</v>
      </c>
      <c r="N1600" s="26"/>
      <c r="O1600" s="26" t="str">
        <f>IFERROR(__xludf.DUMMYFUNCTION("""COMPUTED_VALUE"""),"No")</f>
        <v>No</v>
      </c>
      <c r="P1600" s="26"/>
    </row>
    <row r="1601">
      <c r="A1601" s="81" t="str">
        <f>IFERROR(__xludf.DUMMYFUNCTION("""COMPUTED_VALUE"""),"Sonic the Hedgehog 2")</f>
        <v>Sonic the Hedgehog 2</v>
      </c>
      <c r="B1601" s="82" t="str">
        <f>IFERROR(__xludf.DUMMYFUNCTION("""COMPUTED_VALUE"""),"PS3")</f>
        <v>PS3</v>
      </c>
      <c r="C1601" s="83" t="str">
        <f>IFERROR(__xludf.DUMMYFUNCTION("""COMPUTED_VALUE"""),"Playstation Plus (Discontinued)")</f>
        <v>Playstation Plus (Discontinued)</v>
      </c>
      <c r="D1601" s="82" t="str">
        <f>IFERROR(__xludf.DUMMYFUNCTION("""COMPUTED_VALUE"""),"Removed")</f>
        <v>Removed</v>
      </c>
      <c r="E1601" s="84">
        <f>IFERROR(__xludf.DUMMYFUNCTION("""COMPUTED_VALUE"""),41219.0)</f>
        <v>41219</v>
      </c>
      <c r="F1601" s="85">
        <f>IFERROR(__xludf.DUMMYFUNCTION("""COMPUTED_VALUE"""),41246.0)</f>
        <v>41246</v>
      </c>
      <c r="G1601" s="86">
        <f>IFERROR(__xludf.DUMMYFUNCTION("""COMPUTED_VALUE"""),0.8999999999999999)</f>
        <v>0.9</v>
      </c>
      <c r="H1601" s="84">
        <f>IFERROR(__xludf.DUMMYFUNCTION("""COMPUTED_VALUE"""),40715.0)</f>
        <v>40715</v>
      </c>
      <c r="I1601" s="86">
        <f>IFERROR(__xludf.DUMMYFUNCTION("""COMPUTED_VALUE"""),1.375)</f>
        <v>1.375</v>
      </c>
      <c r="J1601" s="87">
        <f>IFERROR(__xludf.DUMMYFUNCTION("""COMPUTED_VALUE"""),69.0)</f>
        <v>69</v>
      </c>
      <c r="K1601" s="88">
        <f>IFERROR(__xludf.DUMMYFUNCTION("""COMPUTED_VALUE"""),7.9)</f>
        <v>7.9</v>
      </c>
      <c r="L1601" s="89">
        <f>IFERROR(__xludf.DUMMYFUNCTION("""COMPUTED_VALUE"""),4.0)</f>
        <v>4</v>
      </c>
      <c r="M1601" s="26" t="str">
        <f>IFERROR(__xludf.DUMMYFUNCTION("""COMPUTED_VALUE"""),"Platformer")</f>
        <v>Platformer</v>
      </c>
      <c r="N1601" s="26"/>
      <c r="O1601" s="26" t="str">
        <f>IFERROR(__xludf.DUMMYFUNCTION("""COMPUTED_VALUE"""),"No")</f>
        <v>No</v>
      </c>
      <c r="P1601" s="26"/>
    </row>
    <row r="1602">
      <c r="A1602" s="81" t="str">
        <f>IFERROR(__xludf.DUMMYFUNCTION("""COMPUTED_VALUE"""),"Sonic the Hedgehog")</f>
        <v>Sonic the Hedgehog</v>
      </c>
      <c r="B1602" s="82" t="str">
        <f>IFERROR(__xludf.DUMMYFUNCTION("""COMPUTED_VALUE"""),"PS3")</f>
        <v>PS3</v>
      </c>
      <c r="C1602" s="83" t="str">
        <f>IFERROR(__xludf.DUMMYFUNCTION("""COMPUTED_VALUE"""),"Playstation Plus (Discontinued)")</f>
        <v>Playstation Plus (Discontinued)</v>
      </c>
      <c r="D1602" s="82" t="str">
        <f>IFERROR(__xludf.DUMMYFUNCTION("""COMPUTED_VALUE"""),"Removed")</f>
        <v>Removed</v>
      </c>
      <c r="E1602" s="84">
        <f>IFERROR(__xludf.DUMMYFUNCTION("""COMPUTED_VALUE"""),41219.0)</f>
        <v>41219</v>
      </c>
      <c r="F1602" s="85">
        <f>IFERROR(__xludf.DUMMYFUNCTION("""COMPUTED_VALUE"""),41246.0)</f>
        <v>41246</v>
      </c>
      <c r="G1602" s="86">
        <f>IFERROR(__xludf.DUMMYFUNCTION("""COMPUTED_VALUE"""),0.8999999999999999)</f>
        <v>0.9</v>
      </c>
      <c r="H1602" s="84">
        <f>IFERROR(__xludf.DUMMYFUNCTION("""COMPUTED_VALUE"""),40714.0)</f>
        <v>40714</v>
      </c>
      <c r="I1602" s="86">
        <f>IFERROR(__xludf.DUMMYFUNCTION("""COMPUTED_VALUE"""),1.3777777777777778)</f>
        <v>1.377777778</v>
      </c>
      <c r="J1602" s="87">
        <f>IFERROR(__xludf.DUMMYFUNCTION("""COMPUTED_VALUE"""),50.0)</f>
        <v>50</v>
      </c>
      <c r="K1602" s="88">
        <f>IFERROR(__xludf.DUMMYFUNCTION("""COMPUTED_VALUE"""),7.2)</f>
        <v>7.2</v>
      </c>
      <c r="L1602" s="89">
        <f>IFERROR(__xludf.DUMMYFUNCTION("""COMPUTED_VALUE"""),3.0)</f>
        <v>3</v>
      </c>
      <c r="M1602" s="26" t="str">
        <f>IFERROR(__xludf.DUMMYFUNCTION("""COMPUTED_VALUE"""),"Platformer")</f>
        <v>Platformer</v>
      </c>
      <c r="N1602" s="26"/>
      <c r="O1602" s="26" t="str">
        <f>IFERROR(__xludf.DUMMYFUNCTION("""COMPUTED_VALUE"""),"No")</f>
        <v>No</v>
      </c>
      <c r="P1602" s="26"/>
    </row>
    <row r="1603">
      <c r="A1603" s="81" t="str">
        <f>IFERROR(__xludf.DUMMYFUNCTION("""COMPUTED_VALUE"""),"Final Fantasy Tactics: The War of the Lions")</f>
        <v>Final Fantasy Tactics: The War of the Lions</v>
      </c>
      <c r="B1603" s="82" t="str">
        <f>IFERROR(__xludf.DUMMYFUNCTION("""COMPUTED_VALUE"""),"PSP")</f>
        <v>PSP</v>
      </c>
      <c r="C1603" s="83" t="str">
        <f>IFERROR(__xludf.DUMMYFUNCTION("""COMPUTED_VALUE"""),"Playstation Plus (Discontinued)")</f>
        <v>Playstation Plus (Discontinued)</v>
      </c>
      <c r="D1603" s="82" t="str">
        <f>IFERROR(__xludf.DUMMYFUNCTION("""COMPUTED_VALUE"""),"Removed")</f>
        <v>Removed</v>
      </c>
      <c r="E1603" s="84">
        <f>IFERROR(__xludf.DUMMYFUNCTION("""COMPUTED_VALUE"""),41219.0)</f>
        <v>41219</v>
      </c>
      <c r="F1603" s="85">
        <f>IFERROR(__xludf.DUMMYFUNCTION("""COMPUTED_VALUE"""),41246.0)</f>
        <v>41246</v>
      </c>
      <c r="G1603" s="86">
        <f>IFERROR(__xludf.DUMMYFUNCTION("""COMPUTED_VALUE"""),0.8999999999999999)</f>
        <v>0.9</v>
      </c>
      <c r="H1603" s="84">
        <f>IFERROR(__xludf.DUMMYFUNCTION("""COMPUTED_VALUE"""),39212.0)</f>
        <v>39212</v>
      </c>
      <c r="I1603" s="86">
        <f>IFERROR(__xludf.DUMMYFUNCTION("""COMPUTED_VALUE"""),5.488888888888889)</f>
        <v>5.488888889</v>
      </c>
      <c r="J1603" s="87">
        <f>IFERROR(__xludf.DUMMYFUNCTION("""COMPUTED_VALUE"""),88.0)</f>
        <v>88</v>
      </c>
      <c r="K1603" s="88">
        <f>IFERROR(__xludf.DUMMYFUNCTION("""COMPUTED_VALUE"""),8.8)</f>
        <v>8.8</v>
      </c>
      <c r="L1603" s="89">
        <f>IFERROR(__xludf.DUMMYFUNCTION("""COMPUTED_VALUE"""),40.0)</f>
        <v>40</v>
      </c>
      <c r="M1603" s="26" t="str">
        <f>IFERROR(__xludf.DUMMYFUNCTION("""COMPUTED_VALUE"""),"RPG")</f>
        <v>RPG</v>
      </c>
      <c r="N1603" s="26"/>
      <c r="O1603" s="26" t="str">
        <f>IFERROR(__xludf.DUMMYFUNCTION("""COMPUTED_VALUE"""),"No")</f>
        <v>No</v>
      </c>
      <c r="P1603" s="26"/>
    </row>
    <row r="1604">
      <c r="A1604" s="81" t="str">
        <f>IFERROR(__xludf.DUMMYFUNCTION("""COMPUTED_VALUE"""),"WipEout 2048")</f>
        <v>WipEout 2048</v>
      </c>
      <c r="B1604" s="82" t="str">
        <f>IFERROR(__xludf.DUMMYFUNCTION("""COMPUTED_VALUE"""),"Vita")</f>
        <v>Vita</v>
      </c>
      <c r="C1604" s="83" t="str">
        <f>IFERROR(__xludf.DUMMYFUNCTION("""COMPUTED_VALUE"""),"Playstation Plus (Discontinued)")</f>
        <v>Playstation Plus (Discontinued)</v>
      </c>
      <c r="D1604" s="82" t="str">
        <f>IFERROR(__xludf.DUMMYFUNCTION("""COMPUTED_VALUE"""),"Removed")</f>
        <v>Removed</v>
      </c>
      <c r="E1604" s="84">
        <f>IFERROR(__xludf.DUMMYFUNCTION("""COMPUTED_VALUE"""),41219.0)</f>
        <v>41219</v>
      </c>
      <c r="F1604" s="85">
        <f>IFERROR(__xludf.DUMMYFUNCTION("""COMPUTED_VALUE"""),41246.0)</f>
        <v>41246</v>
      </c>
      <c r="G1604" s="86">
        <f>IFERROR(__xludf.DUMMYFUNCTION("""COMPUTED_VALUE"""),0.8999999999999999)</f>
        <v>0.9</v>
      </c>
      <c r="H1604" s="84">
        <f>IFERROR(__xludf.DUMMYFUNCTION("""COMPUTED_VALUE"""),40953.0)</f>
        <v>40953</v>
      </c>
      <c r="I1604" s="86">
        <f>IFERROR(__xludf.DUMMYFUNCTION("""COMPUTED_VALUE"""),0.7277777777777777)</f>
        <v>0.7277777778</v>
      </c>
      <c r="J1604" s="87">
        <f>IFERROR(__xludf.DUMMYFUNCTION("""COMPUTED_VALUE"""),79.0)</f>
        <v>79</v>
      </c>
      <c r="K1604" s="88">
        <f>IFERROR(__xludf.DUMMYFUNCTION("""COMPUTED_VALUE"""),7.7)</f>
        <v>7.7</v>
      </c>
      <c r="L1604" s="89">
        <f>IFERROR(__xludf.DUMMYFUNCTION("""COMPUTED_VALUE"""),10.0)</f>
        <v>10</v>
      </c>
      <c r="M1604" s="26" t="str">
        <f>IFERROR(__xludf.DUMMYFUNCTION("""COMPUTED_VALUE"""),"Racing")</f>
        <v>Racing</v>
      </c>
      <c r="N1604" s="26"/>
      <c r="O1604" s="26" t="str">
        <f>IFERROR(__xludf.DUMMYFUNCTION("""COMPUTED_VALUE"""),"No")</f>
        <v>No</v>
      </c>
      <c r="P1604" s="26"/>
    </row>
    <row r="1605">
      <c r="A1605" s="81" t="str">
        <f>IFERROR(__xludf.DUMMYFUNCTION("""COMPUTED_VALUE"""),"Uncharted: Golden Abyss")</f>
        <v>Uncharted: Golden Abyss</v>
      </c>
      <c r="B1605" s="82" t="str">
        <f>IFERROR(__xludf.DUMMYFUNCTION("""COMPUTED_VALUE"""),"Vita")</f>
        <v>Vita</v>
      </c>
      <c r="C1605" s="83" t="str">
        <f>IFERROR(__xludf.DUMMYFUNCTION("""COMPUTED_VALUE"""),"Playstation Plus (Discontinued)")</f>
        <v>Playstation Plus (Discontinued)</v>
      </c>
      <c r="D1605" s="82" t="str">
        <f>IFERROR(__xludf.DUMMYFUNCTION("""COMPUTED_VALUE"""),"Removed")</f>
        <v>Removed</v>
      </c>
      <c r="E1605" s="84">
        <f>IFERROR(__xludf.DUMMYFUNCTION("""COMPUTED_VALUE"""),41219.0)</f>
        <v>41219</v>
      </c>
      <c r="F1605" s="85">
        <f>IFERROR(__xludf.DUMMYFUNCTION("""COMPUTED_VALUE"""),41246.0)</f>
        <v>41246</v>
      </c>
      <c r="G1605" s="86">
        <f>IFERROR(__xludf.DUMMYFUNCTION("""COMPUTED_VALUE"""),0.8999999999999999)</f>
        <v>0.9</v>
      </c>
      <c r="H1605" s="84">
        <f>IFERROR(__xludf.DUMMYFUNCTION("""COMPUTED_VALUE"""),40954.0)</f>
        <v>40954</v>
      </c>
      <c r="I1605" s="86">
        <f>IFERROR(__xludf.DUMMYFUNCTION("""COMPUTED_VALUE"""),0.725)</f>
        <v>0.725</v>
      </c>
      <c r="J1605" s="87">
        <f>IFERROR(__xludf.DUMMYFUNCTION("""COMPUTED_VALUE"""),80.0)</f>
        <v>80</v>
      </c>
      <c r="K1605" s="88">
        <f>IFERROR(__xludf.DUMMYFUNCTION("""COMPUTED_VALUE"""),8.0)</f>
        <v>8</v>
      </c>
      <c r="L1605" s="89">
        <f>IFERROR(__xludf.DUMMYFUNCTION("""COMPUTED_VALUE"""),12.0)</f>
        <v>12</v>
      </c>
      <c r="M1605" s="26" t="str">
        <f>IFERROR(__xludf.DUMMYFUNCTION("""COMPUTED_VALUE"""),"Action-Adventure")</f>
        <v>Action-Adventure</v>
      </c>
      <c r="N1605" s="26"/>
      <c r="O1605" s="26" t="str">
        <f>IFERROR(__xludf.DUMMYFUNCTION("""COMPUTED_VALUE"""),"No")</f>
        <v>No</v>
      </c>
      <c r="P1605" s="26"/>
    </row>
    <row r="1606">
      <c r="A1606" s="81" t="str">
        <f>IFERROR(__xludf.DUMMYFUNCTION("""COMPUTED_VALUE"""),"Tales from Space: Mutant Blobs Attack")</f>
        <v>Tales from Space: Mutant Blobs Attack</v>
      </c>
      <c r="B1606" s="82" t="str">
        <f>IFERROR(__xludf.DUMMYFUNCTION("""COMPUTED_VALUE"""),"Vita")</f>
        <v>Vita</v>
      </c>
      <c r="C1606" s="83" t="str">
        <f>IFERROR(__xludf.DUMMYFUNCTION("""COMPUTED_VALUE"""),"Playstation Plus (Discontinued)")</f>
        <v>Playstation Plus (Discontinued)</v>
      </c>
      <c r="D1606" s="82" t="str">
        <f>IFERROR(__xludf.DUMMYFUNCTION("""COMPUTED_VALUE"""),"Removed")</f>
        <v>Removed</v>
      </c>
      <c r="E1606" s="84">
        <f>IFERROR(__xludf.DUMMYFUNCTION("""COMPUTED_VALUE"""),41219.0)</f>
        <v>41219</v>
      </c>
      <c r="F1606" s="85">
        <f>IFERROR(__xludf.DUMMYFUNCTION("""COMPUTED_VALUE"""),41246.0)</f>
        <v>41246</v>
      </c>
      <c r="G1606" s="86">
        <f>IFERROR(__xludf.DUMMYFUNCTION("""COMPUTED_VALUE"""),0.8999999999999999)</f>
        <v>0.9</v>
      </c>
      <c r="H1606" s="84">
        <f>IFERROR(__xludf.DUMMYFUNCTION("""COMPUTED_VALUE"""),40960.0)</f>
        <v>40960</v>
      </c>
      <c r="I1606" s="86">
        <f>IFERROR(__xludf.DUMMYFUNCTION("""COMPUTED_VALUE"""),0.7083333333333334)</f>
        <v>0.7083333333</v>
      </c>
      <c r="J1606" s="87">
        <f>IFERROR(__xludf.DUMMYFUNCTION("""COMPUTED_VALUE"""),83.0)</f>
        <v>83</v>
      </c>
      <c r="K1606" s="88">
        <f>IFERROR(__xludf.DUMMYFUNCTION("""COMPUTED_VALUE"""),7.7)</f>
        <v>7.7</v>
      </c>
      <c r="L1606" s="89">
        <f>IFERROR(__xludf.DUMMYFUNCTION("""COMPUTED_VALUE"""),4.0)</f>
        <v>4</v>
      </c>
      <c r="M1606" s="26" t="str">
        <f>IFERROR(__xludf.DUMMYFUNCTION("""COMPUTED_VALUE"""),"Platformer")</f>
        <v>Platformer</v>
      </c>
      <c r="N1606" s="26"/>
      <c r="O1606" s="26" t="str">
        <f>IFERROR(__xludf.DUMMYFUNCTION("""COMPUTED_VALUE"""),"No")</f>
        <v>No</v>
      </c>
      <c r="P1606" s="26"/>
    </row>
    <row r="1607">
      <c r="A1607" s="81" t="str">
        <f>IFERROR(__xludf.DUMMYFUNCTION("""COMPUTED_VALUE"""),"Jet Set Radio")</f>
        <v>Jet Set Radio</v>
      </c>
      <c r="B1607" s="82" t="str">
        <f>IFERROR(__xludf.DUMMYFUNCTION("""COMPUTED_VALUE"""),"Vita")</f>
        <v>Vita</v>
      </c>
      <c r="C1607" s="83" t="str">
        <f>IFERROR(__xludf.DUMMYFUNCTION("""COMPUTED_VALUE"""),"Playstation Plus (Discontinued)")</f>
        <v>Playstation Plus (Discontinued)</v>
      </c>
      <c r="D1607" s="82" t="str">
        <f>IFERROR(__xludf.DUMMYFUNCTION("""COMPUTED_VALUE"""),"Removed")</f>
        <v>Removed</v>
      </c>
      <c r="E1607" s="84">
        <f>IFERROR(__xludf.DUMMYFUNCTION("""COMPUTED_VALUE"""),41219.0)</f>
        <v>41219</v>
      </c>
      <c r="F1607" s="85">
        <f>IFERROR(__xludf.DUMMYFUNCTION("""COMPUTED_VALUE"""),41246.0)</f>
        <v>41246</v>
      </c>
      <c r="G1607" s="86">
        <f>IFERROR(__xludf.DUMMYFUNCTION("""COMPUTED_VALUE"""),0.8999999999999999)</f>
        <v>0.9</v>
      </c>
      <c r="H1607" s="84">
        <f>IFERROR(__xludf.DUMMYFUNCTION("""COMPUTED_VALUE"""),41170.0)</f>
        <v>41170</v>
      </c>
      <c r="I1607" s="86">
        <f>IFERROR(__xludf.DUMMYFUNCTION("""COMPUTED_VALUE"""),0.13333333333333333)</f>
        <v>0.1333333333</v>
      </c>
      <c r="J1607" s="87">
        <f>IFERROR(__xludf.DUMMYFUNCTION("""COMPUTED_VALUE"""),78.0)</f>
        <v>78</v>
      </c>
      <c r="K1607" s="88">
        <f>IFERROR(__xludf.DUMMYFUNCTION("""COMPUTED_VALUE"""),7.7)</f>
        <v>7.7</v>
      </c>
      <c r="L1607" s="89">
        <f>IFERROR(__xludf.DUMMYFUNCTION("""COMPUTED_VALUE"""),9.0)</f>
        <v>9</v>
      </c>
      <c r="M1607" s="26" t="str">
        <f>IFERROR(__xludf.DUMMYFUNCTION("""COMPUTED_VALUE"""),"Action-Adventure")</f>
        <v>Action-Adventure</v>
      </c>
      <c r="N1607" s="26"/>
      <c r="O1607" s="26" t="str">
        <f>IFERROR(__xludf.DUMMYFUNCTION("""COMPUTED_VALUE"""),"No")</f>
        <v>No</v>
      </c>
      <c r="P1607" s="26"/>
    </row>
    <row r="1608">
      <c r="A1608" s="81" t="str">
        <f>IFERROR(__xludf.DUMMYFUNCTION("""COMPUTED_VALUE"""),"Gravity Rush")</f>
        <v>Gravity Rush</v>
      </c>
      <c r="B1608" s="82" t="str">
        <f>IFERROR(__xludf.DUMMYFUNCTION("""COMPUTED_VALUE"""),"Vita")</f>
        <v>Vita</v>
      </c>
      <c r="C1608" s="83" t="str">
        <f>IFERROR(__xludf.DUMMYFUNCTION("""COMPUTED_VALUE"""),"Playstation Plus (Discontinued)")</f>
        <v>Playstation Plus (Discontinued)</v>
      </c>
      <c r="D1608" s="82" t="str">
        <f>IFERROR(__xludf.DUMMYFUNCTION("""COMPUTED_VALUE"""),"Removed")</f>
        <v>Removed</v>
      </c>
      <c r="E1608" s="84">
        <f>IFERROR(__xludf.DUMMYFUNCTION("""COMPUTED_VALUE"""),41219.0)</f>
        <v>41219</v>
      </c>
      <c r="F1608" s="85">
        <f>IFERROR(__xludf.DUMMYFUNCTION("""COMPUTED_VALUE"""),41246.0)</f>
        <v>41246</v>
      </c>
      <c r="G1608" s="86">
        <f>IFERROR(__xludf.DUMMYFUNCTION("""COMPUTED_VALUE"""),0.8999999999999999)</f>
        <v>0.9</v>
      </c>
      <c r="H1608" s="84">
        <f>IFERROR(__xludf.DUMMYFUNCTION("""COMPUTED_VALUE"""),41072.0)</f>
        <v>41072</v>
      </c>
      <c r="I1608" s="86">
        <f>IFERROR(__xludf.DUMMYFUNCTION("""COMPUTED_VALUE"""),0.4)</f>
        <v>0.4</v>
      </c>
      <c r="J1608" s="87">
        <f>IFERROR(__xludf.DUMMYFUNCTION("""COMPUTED_VALUE"""),83.0)</f>
        <v>83</v>
      </c>
      <c r="K1608" s="88">
        <f>IFERROR(__xludf.DUMMYFUNCTION("""COMPUTED_VALUE"""),8.2)</f>
        <v>8.2</v>
      </c>
      <c r="L1608" s="89">
        <f>IFERROR(__xludf.DUMMYFUNCTION("""COMPUTED_VALUE"""),12.0)</f>
        <v>12</v>
      </c>
      <c r="M1608" s="26" t="str">
        <f>IFERROR(__xludf.DUMMYFUNCTION("""COMPUTED_VALUE"""),"Action-Adventure")</f>
        <v>Action-Adventure</v>
      </c>
      <c r="N1608" s="26"/>
      <c r="O1608" s="26" t="str">
        <f>IFERROR(__xludf.DUMMYFUNCTION("""COMPUTED_VALUE"""),"No")</f>
        <v>No</v>
      </c>
      <c r="P1608" s="26"/>
    </row>
    <row r="1609">
      <c r="A1609" s="81" t="str">
        <f>IFERROR(__xludf.DUMMYFUNCTION("""COMPUTED_VALUE"""),"Resident Evil 5: Gold Edition")</f>
        <v>Resident Evil 5: Gold Edition</v>
      </c>
      <c r="B1609" s="82" t="str">
        <f>IFERROR(__xludf.DUMMYFUNCTION("""COMPUTED_VALUE"""),"PS3")</f>
        <v>PS3</v>
      </c>
      <c r="C1609" s="83" t="str">
        <f>IFERROR(__xludf.DUMMYFUNCTION("""COMPUTED_VALUE"""),"Playstation Plus (Discontinued)")</f>
        <v>Playstation Plus (Discontinued)</v>
      </c>
      <c r="D1609" s="82" t="str">
        <f>IFERROR(__xludf.DUMMYFUNCTION("""COMPUTED_VALUE"""),"Removed")</f>
        <v>Removed</v>
      </c>
      <c r="E1609" s="84">
        <f>IFERROR(__xludf.DUMMYFUNCTION("""COMPUTED_VALUE"""),41219.0)</f>
        <v>41219</v>
      </c>
      <c r="F1609" s="85">
        <f>IFERROR(__xludf.DUMMYFUNCTION("""COMPUTED_VALUE"""),41246.0)</f>
        <v>41246</v>
      </c>
      <c r="G1609" s="86">
        <f>IFERROR(__xludf.DUMMYFUNCTION("""COMPUTED_VALUE"""),0.8999999999999999)</f>
        <v>0.9</v>
      </c>
      <c r="H1609" s="84">
        <f>IFERROR(__xludf.DUMMYFUNCTION("""COMPUTED_VALUE"""),40610.0)</f>
        <v>40610</v>
      </c>
      <c r="I1609" s="86">
        <f>IFERROR(__xludf.DUMMYFUNCTION("""COMPUTED_VALUE"""),1.6611111111111112)</f>
        <v>1.661111111</v>
      </c>
      <c r="J1609" s="87">
        <f>IFERROR(__xludf.DUMMYFUNCTION("""COMPUTED_VALUE"""),84.0)</f>
        <v>84</v>
      </c>
      <c r="K1609" s="88">
        <f>IFERROR(__xludf.DUMMYFUNCTION("""COMPUTED_VALUE"""),7.8)</f>
        <v>7.8</v>
      </c>
      <c r="L1609" s="89">
        <f>IFERROR(__xludf.DUMMYFUNCTION("""COMPUTED_VALUE"""),16.0)</f>
        <v>16</v>
      </c>
      <c r="M1609" s="26" t="str">
        <f>IFERROR(__xludf.DUMMYFUNCTION("""COMPUTED_VALUE"""),"Horror")</f>
        <v>Horror</v>
      </c>
      <c r="N1609" s="26"/>
      <c r="O1609" s="26" t="str">
        <f>IFERROR(__xludf.DUMMYFUNCTION("""COMPUTED_VALUE"""),"No")</f>
        <v>No</v>
      </c>
      <c r="P1609" s="26"/>
    </row>
    <row r="1610">
      <c r="A1610" s="81" t="str">
        <f>IFERROR(__xludf.DUMMYFUNCTION("""COMPUTED_VALUE"""),"Quantum Conundrum")</f>
        <v>Quantum Conundrum</v>
      </c>
      <c r="B1610" s="82" t="str">
        <f>IFERROR(__xludf.DUMMYFUNCTION("""COMPUTED_VALUE"""),"PS3")</f>
        <v>PS3</v>
      </c>
      <c r="C1610" s="83" t="str">
        <f>IFERROR(__xludf.DUMMYFUNCTION("""COMPUTED_VALUE"""),"Playstation Plus (Discontinued)")</f>
        <v>Playstation Plus (Discontinued)</v>
      </c>
      <c r="D1610" s="82" t="str">
        <f>IFERROR(__xludf.DUMMYFUNCTION("""COMPUTED_VALUE"""),"Removed")</f>
        <v>Removed</v>
      </c>
      <c r="E1610" s="84">
        <f>IFERROR(__xludf.DUMMYFUNCTION("""COMPUTED_VALUE"""),41219.0)</f>
        <v>41219</v>
      </c>
      <c r="F1610" s="85">
        <f>IFERROR(__xludf.DUMMYFUNCTION("""COMPUTED_VALUE"""),41246.0)</f>
        <v>41246</v>
      </c>
      <c r="G1610" s="86">
        <f>IFERROR(__xludf.DUMMYFUNCTION("""COMPUTED_VALUE"""),0.8999999999999999)</f>
        <v>0.9</v>
      </c>
      <c r="H1610" s="84">
        <f>IFERROR(__xludf.DUMMYFUNCTION("""COMPUTED_VALUE"""),41081.0)</f>
        <v>41081</v>
      </c>
      <c r="I1610" s="86">
        <f>IFERROR(__xludf.DUMMYFUNCTION("""COMPUTED_VALUE"""),0.375)</f>
        <v>0.375</v>
      </c>
      <c r="J1610" s="87">
        <f>IFERROR(__xludf.DUMMYFUNCTION("""COMPUTED_VALUE"""),77.0)</f>
        <v>77</v>
      </c>
      <c r="K1610" s="88">
        <f>IFERROR(__xludf.DUMMYFUNCTION("""COMPUTED_VALUE"""),7.1)</f>
        <v>7.1</v>
      </c>
      <c r="L1610" s="89">
        <f>IFERROR(__xludf.DUMMYFUNCTION("""COMPUTED_VALUE"""),6.0)</f>
        <v>6</v>
      </c>
      <c r="M1610" s="26" t="str">
        <f>IFERROR(__xludf.DUMMYFUNCTION("""COMPUTED_VALUE"""),"Puzzle")</f>
        <v>Puzzle</v>
      </c>
      <c r="N1610" s="26"/>
      <c r="O1610" s="26" t="str">
        <f>IFERROR(__xludf.DUMMYFUNCTION("""COMPUTED_VALUE"""),"No")</f>
        <v>No</v>
      </c>
      <c r="P1610" s="26"/>
    </row>
    <row r="1611">
      <c r="A1611" s="81" t="str">
        <f>IFERROR(__xludf.DUMMYFUNCTION("""COMPUTED_VALUE"""),"Dungeon Defenders")</f>
        <v>Dungeon Defenders</v>
      </c>
      <c r="B1611" s="82" t="str">
        <f>IFERROR(__xludf.DUMMYFUNCTION("""COMPUTED_VALUE"""),"PS3")</f>
        <v>PS3</v>
      </c>
      <c r="C1611" s="83" t="str">
        <f>IFERROR(__xludf.DUMMYFUNCTION("""COMPUTED_VALUE"""),"Playstation Plus (Discontinued)")</f>
        <v>Playstation Plus (Discontinued)</v>
      </c>
      <c r="D1611" s="82" t="str">
        <f>IFERROR(__xludf.DUMMYFUNCTION("""COMPUTED_VALUE"""),"Removed")</f>
        <v>Removed</v>
      </c>
      <c r="E1611" s="84">
        <f>IFERROR(__xludf.DUMMYFUNCTION("""COMPUTED_VALUE"""),41219.0)</f>
        <v>41219</v>
      </c>
      <c r="F1611" s="85">
        <f>IFERROR(__xludf.DUMMYFUNCTION("""COMPUTED_VALUE"""),41246.0)</f>
        <v>41246</v>
      </c>
      <c r="G1611" s="86">
        <f>IFERROR(__xludf.DUMMYFUNCTION("""COMPUTED_VALUE"""),0.8999999999999999)</f>
        <v>0.9</v>
      </c>
      <c r="H1611" s="84">
        <f>IFERROR(__xludf.DUMMYFUNCTION("""COMPUTED_VALUE"""),40834.0)</f>
        <v>40834</v>
      </c>
      <c r="I1611" s="86">
        <f>IFERROR(__xludf.DUMMYFUNCTION("""COMPUTED_VALUE"""),1.05)</f>
        <v>1.05</v>
      </c>
      <c r="J1611" s="87">
        <f>IFERROR(__xludf.DUMMYFUNCTION("""COMPUTED_VALUE"""),81.0)</f>
        <v>81</v>
      </c>
      <c r="K1611" s="88">
        <f>IFERROR(__xludf.DUMMYFUNCTION("""COMPUTED_VALUE"""),7.6)</f>
        <v>7.6</v>
      </c>
      <c r="L1611" s="89">
        <f>IFERROR(__xludf.DUMMYFUNCTION("""COMPUTED_VALUE"""),20.0)</f>
        <v>20</v>
      </c>
      <c r="M1611" s="26" t="str">
        <f>IFERROR(__xludf.DUMMYFUNCTION("""COMPUTED_VALUE"""),"Strategy")</f>
        <v>Strategy</v>
      </c>
      <c r="N1611" s="26"/>
      <c r="O1611" s="26" t="str">
        <f>IFERROR(__xludf.DUMMYFUNCTION("""COMPUTED_VALUE"""),"No")</f>
        <v>No</v>
      </c>
      <c r="P1611" s="26"/>
    </row>
    <row r="1612">
      <c r="A1612" s="81" t="str">
        <f>IFERROR(__xludf.DUMMYFUNCTION("""COMPUTED_VALUE"""),"King of Fighters XIII")</f>
        <v>King of Fighters XIII</v>
      </c>
      <c r="B1612" s="82" t="str">
        <f>IFERROR(__xludf.DUMMYFUNCTION("""COMPUTED_VALUE"""),"PS3")</f>
        <v>PS3</v>
      </c>
      <c r="C1612" s="83" t="str">
        <f>IFERROR(__xludf.DUMMYFUNCTION("""COMPUTED_VALUE"""),"Playstation Plus (Discontinued)")</f>
        <v>Playstation Plus (Discontinued)</v>
      </c>
      <c r="D1612" s="82" t="str">
        <f>IFERROR(__xludf.DUMMYFUNCTION("""COMPUTED_VALUE"""),"Removed")</f>
        <v>Removed</v>
      </c>
      <c r="E1612" s="84">
        <f>IFERROR(__xludf.DUMMYFUNCTION("""COMPUTED_VALUE"""),41184.0)</f>
        <v>41184</v>
      </c>
      <c r="F1612" s="85">
        <f>IFERROR(__xludf.DUMMYFUNCTION("""COMPUTED_VALUE"""),41218.0)</f>
        <v>41218</v>
      </c>
      <c r="G1612" s="86">
        <f>IFERROR(__xludf.DUMMYFUNCTION("""COMPUTED_VALUE"""),1.0999999999999999)</f>
        <v>1.1</v>
      </c>
      <c r="H1612" s="84">
        <f>IFERROR(__xludf.DUMMYFUNCTION("""COMPUTED_VALUE"""),40869.0)</f>
        <v>40869</v>
      </c>
      <c r="I1612" s="86">
        <f>IFERROR(__xludf.DUMMYFUNCTION("""COMPUTED_VALUE"""),0.8611111111111112)</f>
        <v>0.8611111111</v>
      </c>
      <c r="J1612" s="87">
        <f>IFERROR(__xludf.DUMMYFUNCTION("""COMPUTED_VALUE"""),77.0)</f>
        <v>77</v>
      </c>
      <c r="K1612" s="88">
        <f>IFERROR(__xludf.DUMMYFUNCTION("""COMPUTED_VALUE"""),7.8)</f>
        <v>7.8</v>
      </c>
      <c r="L1612" s="89"/>
      <c r="M1612" s="26" t="str">
        <f>IFERROR(__xludf.DUMMYFUNCTION("""COMPUTED_VALUE"""),"Fighting")</f>
        <v>Fighting</v>
      </c>
      <c r="N1612" s="26"/>
      <c r="O1612" s="26" t="str">
        <f>IFERROR(__xludf.DUMMYFUNCTION("""COMPUTED_VALUE"""),"No")</f>
        <v>No</v>
      </c>
      <c r="P1612" s="26"/>
    </row>
    <row r="1613">
      <c r="A1613" s="81" t="str">
        <f>IFERROR(__xludf.DUMMYFUNCTION("""COMPUTED_VALUE"""),"PAYDAY: The Heist")</f>
        <v>PAYDAY: The Heist</v>
      </c>
      <c r="B1613" s="82" t="str">
        <f>IFERROR(__xludf.DUMMYFUNCTION("""COMPUTED_VALUE"""),"PS3")</f>
        <v>PS3</v>
      </c>
      <c r="C1613" s="83" t="str">
        <f>IFERROR(__xludf.DUMMYFUNCTION("""COMPUTED_VALUE"""),"Playstation Plus (Discontinued)")</f>
        <v>Playstation Plus (Discontinued)</v>
      </c>
      <c r="D1613" s="82" t="str">
        <f>IFERROR(__xludf.DUMMYFUNCTION("""COMPUTED_VALUE"""),"Removed")</f>
        <v>Removed</v>
      </c>
      <c r="E1613" s="84">
        <f>IFERROR(__xludf.DUMMYFUNCTION("""COMPUTED_VALUE"""),41184.0)</f>
        <v>41184</v>
      </c>
      <c r="F1613" s="85">
        <f>IFERROR(__xludf.DUMMYFUNCTION("""COMPUTED_VALUE"""),41218.0)</f>
        <v>41218</v>
      </c>
      <c r="G1613" s="86">
        <f>IFERROR(__xludf.DUMMYFUNCTION("""COMPUTED_VALUE"""),1.0999999999999999)</f>
        <v>1.1</v>
      </c>
      <c r="H1613" s="84">
        <f>IFERROR(__xludf.DUMMYFUNCTION("""COMPUTED_VALUE"""),40834.0)</f>
        <v>40834</v>
      </c>
      <c r="I1613" s="86">
        <f>IFERROR(__xludf.DUMMYFUNCTION("""COMPUTED_VALUE"""),0.9555555555555556)</f>
        <v>0.9555555556</v>
      </c>
      <c r="J1613" s="87">
        <f>IFERROR(__xludf.DUMMYFUNCTION("""COMPUTED_VALUE"""),77.0)</f>
        <v>77</v>
      </c>
      <c r="K1613" s="88">
        <f>IFERROR(__xludf.DUMMYFUNCTION("""COMPUTED_VALUE"""),7.8)</f>
        <v>7.8</v>
      </c>
      <c r="L1613" s="89">
        <f>IFERROR(__xludf.DUMMYFUNCTION("""COMPUTED_VALUE"""),14.0)</f>
        <v>14</v>
      </c>
      <c r="M1613" s="26" t="str">
        <f>IFERROR(__xludf.DUMMYFUNCTION("""COMPUTED_VALUE"""),"Shooter")</f>
        <v>Shooter</v>
      </c>
      <c r="N1613" s="26"/>
      <c r="O1613" s="26" t="str">
        <f>IFERROR(__xludf.DUMMYFUNCTION("""COMPUTED_VALUE"""),"No")</f>
        <v>No</v>
      </c>
      <c r="P1613" s="26"/>
    </row>
    <row r="1614">
      <c r="A1614" s="81" t="str">
        <f>IFERROR(__xludf.DUMMYFUNCTION("""COMPUTED_VALUE"""),"NFL Blitz")</f>
        <v>NFL Blitz</v>
      </c>
      <c r="B1614" s="82" t="str">
        <f>IFERROR(__xludf.DUMMYFUNCTION("""COMPUTED_VALUE"""),"PS3")</f>
        <v>PS3</v>
      </c>
      <c r="C1614" s="83" t="str">
        <f>IFERROR(__xludf.DUMMYFUNCTION("""COMPUTED_VALUE"""),"Playstation Plus (Discontinued)")</f>
        <v>Playstation Plus (Discontinued)</v>
      </c>
      <c r="D1614" s="82" t="str">
        <f>IFERROR(__xludf.DUMMYFUNCTION("""COMPUTED_VALUE"""),"Removed")</f>
        <v>Removed</v>
      </c>
      <c r="E1614" s="84">
        <f>IFERROR(__xludf.DUMMYFUNCTION("""COMPUTED_VALUE"""),41184.0)</f>
        <v>41184</v>
      </c>
      <c r="F1614" s="85">
        <f>IFERROR(__xludf.DUMMYFUNCTION("""COMPUTED_VALUE"""),41218.0)</f>
        <v>41218</v>
      </c>
      <c r="G1614" s="86">
        <f>IFERROR(__xludf.DUMMYFUNCTION("""COMPUTED_VALUE"""),1.0999999999999999)</f>
        <v>1.1</v>
      </c>
      <c r="H1614" s="84">
        <f>IFERROR(__xludf.DUMMYFUNCTION("""COMPUTED_VALUE"""),40911.0)</f>
        <v>40911</v>
      </c>
      <c r="I1614" s="86">
        <f>IFERROR(__xludf.DUMMYFUNCTION("""COMPUTED_VALUE"""),0.7472222222222222)</f>
        <v>0.7472222222</v>
      </c>
      <c r="J1614" s="87">
        <f>IFERROR(__xludf.DUMMYFUNCTION("""COMPUTED_VALUE"""),76.0)</f>
        <v>76</v>
      </c>
      <c r="K1614" s="88">
        <f>IFERROR(__xludf.DUMMYFUNCTION("""COMPUTED_VALUE"""),7.5)</f>
        <v>7.5</v>
      </c>
      <c r="L1614" s="89"/>
      <c r="M1614" s="26" t="str">
        <f>IFERROR(__xludf.DUMMYFUNCTION("""COMPUTED_VALUE"""),"Sports")</f>
        <v>Sports</v>
      </c>
      <c r="N1614" s="26"/>
      <c r="O1614" s="26" t="str">
        <f>IFERROR(__xludf.DUMMYFUNCTION("""COMPUTED_VALUE"""),"No")</f>
        <v>No</v>
      </c>
      <c r="P1614" s="26"/>
    </row>
    <row r="1615">
      <c r="A1615" s="81" t="str">
        <f>IFERROR(__xludf.DUMMYFUNCTION("""COMPUTED_VALUE"""),"Double Dragon Neon")</f>
        <v>Double Dragon Neon</v>
      </c>
      <c r="B1615" s="82" t="str">
        <f>IFERROR(__xludf.DUMMYFUNCTION("""COMPUTED_VALUE"""),"PS3")</f>
        <v>PS3</v>
      </c>
      <c r="C1615" s="83" t="str">
        <f>IFERROR(__xludf.DUMMYFUNCTION("""COMPUTED_VALUE"""),"Playstation Plus (Discontinued)")</f>
        <v>Playstation Plus (Discontinued)</v>
      </c>
      <c r="D1615" s="82" t="str">
        <f>IFERROR(__xludf.DUMMYFUNCTION("""COMPUTED_VALUE"""),"Removed")</f>
        <v>Removed</v>
      </c>
      <c r="E1615" s="84">
        <f>IFERROR(__xludf.DUMMYFUNCTION("""COMPUTED_VALUE"""),41163.0)</f>
        <v>41163</v>
      </c>
      <c r="F1615" s="85">
        <f>IFERROR(__xludf.DUMMYFUNCTION("""COMPUTED_VALUE"""),41183.0)</f>
        <v>41183</v>
      </c>
      <c r="G1615" s="86">
        <f>IFERROR(__xludf.DUMMYFUNCTION("""COMPUTED_VALUE"""),0.6666666666666666)</f>
        <v>0.6666666667</v>
      </c>
      <c r="H1615" s="84">
        <f>IFERROR(__xludf.DUMMYFUNCTION("""COMPUTED_VALUE"""),41163.0)</f>
        <v>41163</v>
      </c>
      <c r="I1615" s="86">
        <f>IFERROR(__xludf.DUMMYFUNCTION("""COMPUTED_VALUE"""),0.0)</f>
        <v>0</v>
      </c>
      <c r="J1615" s="87">
        <f>IFERROR(__xludf.DUMMYFUNCTION("""COMPUTED_VALUE"""),70.0)</f>
        <v>70</v>
      </c>
      <c r="K1615" s="88">
        <f>IFERROR(__xludf.DUMMYFUNCTION("""COMPUTED_VALUE"""),7.5)</f>
        <v>7.5</v>
      </c>
      <c r="L1615" s="89">
        <f>IFERROR(__xludf.DUMMYFUNCTION("""COMPUTED_VALUE"""),4.0)</f>
        <v>4</v>
      </c>
      <c r="M1615" s="26" t="str">
        <f>IFERROR(__xludf.DUMMYFUNCTION("""COMPUTED_VALUE"""),"Platformer")</f>
        <v>Platformer</v>
      </c>
      <c r="N1615" s="26"/>
      <c r="O1615" s="26" t="str">
        <f>IFERROR(__xludf.DUMMYFUNCTION("""COMPUTED_VALUE"""),"No")</f>
        <v>No</v>
      </c>
      <c r="P1615" s="26"/>
    </row>
    <row r="1616">
      <c r="A1616" s="81" t="str">
        <f>IFERROR(__xludf.DUMMYFUNCTION("""COMPUTED_VALUE"""),"Ronnie O'Sullivan's Snooker")</f>
        <v>Ronnie O'Sullivan's Snooker</v>
      </c>
      <c r="B1616" s="82" t="str">
        <f>IFERROR(__xludf.DUMMYFUNCTION("""COMPUTED_VALUE"""),"PS3")</f>
        <v>PS3</v>
      </c>
      <c r="C1616" s="83" t="str">
        <f>IFERROR(__xludf.DUMMYFUNCTION("""COMPUTED_VALUE"""),"Playstation Plus (Discontinued)")</f>
        <v>Playstation Plus (Discontinued)</v>
      </c>
      <c r="D1616" s="82" t="str">
        <f>IFERROR(__xludf.DUMMYFUNCTION("""COMPUTED_VALUE"""),"Removed")</f>
        <v>Removed</v>
      </c>
      <c r="E1616" s="84">
        <f>IFERROR(__xludf.DUMMYFUNCTION("""COMPUTED_VALUE"""),41156.0)</f>
        <v>41156</v>
      </c>
      <c r="F1616" s="85">
        <f>IFERROR(__xludf.DUMMYFUNCTION("""COMPUTED_VALUE"""),41183.0)</f>
        <v>41183</v>
      </c>
      <c r="G1616" s="86">
        <f>IFERROR(__xludf.DUMMYFUNCTION("""COMPUTED_VALUE"""),0.8999999999999999)</f>
        <v>0.9</v>
      </c>
      <c r="H1616" s="84">
        <f>IFERROR(__xludf.DUMMYFUNCTION("""COMPUTED_VALUE"""),41149.0)</f>
        <v>41149</v>
      </c>
      <c r="I1616" s="86">
        <f>IFERROR(__xludf.DUMMYFUNCTION("""COMPUTED_VALUE"""),0.016666666666666666)</f>
        <v>0.01666666667</v>
      </c>
      <c r="J1616" s="87">
        <f>IFERROR(__xludf.DUMMYFUNCTION("""COMPUTED_VALUE"""),68.0)</f>
        <v>68</v>
      </c>
      <c r="K1616" s="88">
        <f>IFERROR(__xludf.DUMMYFUNCTION("""COMPUTED_VALUE"""),7.1)</f>
        <v>7.1</v>
      </c>
      <c r="L1616" s="89"/>
      <c r="M1616" s="26" t="str">
        <f>IFERROR(__xludf.DUMMYFUNCTION("""COMPUTED_VALUE"""),"Sports")</f>
        <v>Sports</v>
      </c>
      <c r="N1616" s="26" t="str">
        <f>IFERROR(__xludf.DUMMYFUNCTION("""COMPUTED_VALUE"""),"PS Minis")</f>
        <v>PS Minis</v>
      </c>
      <c r="O1616" s="26" t="str">
        <f>IFERROR(__xludf.DUMMYFUNCTION("""COMPUTED_VALUE"""),"No")</f>
        <v>No</v>
      </c>
      <c r="P1616" s="26"/>
    </row>
    <row r="1617">
      <c r="A1617" s="81" t="str">
        <f>IFERROR(__xludf.DUMMYFUNCTION("""COMPUTED_VALUE"""),"Starhawk (single-player ONLY)")</f>
        <v>Starhawk (single-player ONLY)</v>
      </c>
      <c r="B1617" s="82" t="str">
        <f>IFERROR(__xludf.DUMMYFUNCTION("""COMPUTED_VALUE"""),"PS3")</f>
        <v>PS3</v>
      </c>
      <c r="C1617" s="83" t="str">
        <f>IFERROR(__xludf.DUMMYFUNCTION("""COMPUTED_VALUE"""),"Playstation Plus (Discontinued)")</f>
        <v>Playstation Plus (Discontinued)</v>
      </c>
      <c r="D1617" s="82" t="str">
        <f>IFERROR(__xludf.DUMMYFUNCTION("""COMPUTED_VALUE"""),"Removed")</f>
        <v>Removed</v>
      </c>
      <c r="E1617" s="84">
        <f>IFERROR(__xludf.DUMMYFUNCTION("""COMPUTED_VALUE"""),41156.0)</f>
        <v>41156</v>
      </c>
      <c r="F1617" s="85">
        <f>IFERROR(__xludf.DUMMYFUNCTION("""COMPUTED_VALUE"""),41183.0)</f>
        <v>41183</v>
      </c>
      <c r="G1617" s="86">
        <f>IFERROR(__xludf.DUMMYFUNCTION("""COMPUTED_VALUE"""),0.8999999999999999)</f>
        <v>0.9</v>
      </c>
      <c r="H1617" s="84">
        <f>IFERROR(__xludf.DUMMYFUNCTION("""COMPUTED_VALUE"""),41037.0)</f>
        <v>41037</v>
      </c>
      <c r="I1617" s="86">
        <f>IFERROR(__xludf.DUMMYFUNCTION("""COMPUTED_VALUE"""),0.32222222222222224)</f>
        <v>0.3222222222</v>
      </c>
      <c r="J1617" s="87">
        <f>IFERROR(__xludf.DUMMYFUNCTION("""COMPUTED_VALUE"""),75.0)</f>
        <v>75</v>
      </c>
      <c r="K1617" s="88">
        <f>IFERROR(__xludf.DUMMYFUNCTION("""COMPUTED_VALUE"""),7.4)</f>
        <v>7.4</v>
      </c>
      <c r="L1617" s="89">
        <f>IFERROR(__xludf.DUMMYFUNCTION("""COMPUTED_VALUE"""),8.0)</f>
        <v>8</v>
      </c>
      <c r="M1617" s="26" t="str">
        <f>IFERROR(__xludf.DUMMYFUNCTION("""COMPUTED_VALUE"""),"Shooter")</f>
        <v>Shooter</v>
      </c>
      <c r="N1617" s="26"/>
      <c r="O1617" s="26" t="str">
        <f>IFERROR(__xludf.DUMMYFUNCTION("""COMPUTED_VALUE"""),"No")</f>
        <v>No</v>
      </c>
      <c r="P1617" s="26"/>
    </row>
    <row r="1618">
      <c r="A1618" s="81" t="str">
        <f>IFERROR(__xludf.DUMMYFUNCTION("""COMPUTED_VALUE"""),"Scott Pilgrim vs. The World")</f>
        <v>Scott Pilgrim vs. The World</v>
      </c>
      <c r="B1618" s="82" t="str">
        <f>IFERROR(__xludf.DUMMYFUNCTION("""COMPUTED_VALUE"""),"PS3")</f>
        <v>PS3</v>
      </c>
      <c r="C1618" s="83" t="str">
        <f>IFERROR(__xludf.DUMMYFUNCTION("""COMPUTED_VALUE"""),"Playstation Plus (Discontinued)")</f>
        <v>Playstation Plus (Discontinued)</v>
      </c>
      <c r="D1618" s="82" t="str">
        <f>IFERROR(__xludf.DUMMYFUNCTION("""COMPUTED_VALUE"""),"Removed")</f>
        <v>Removed</v>
      </c>
      <c r="E1618" s="84">
        <f>IFERROR(__xludf.DUMMYFUNCTION("""COMPUTED_VALUE"""),41156.0)</f>
        <v>41156</v>
      </c>
      <c r="F1618" s="85">
        <f>IFERROR(__xludf.DUMMYFUNCTION("""COMPUTED_VALUE"""),41183.0)</f>
        <v>41183</v>
      </c>
      <c r="G1618" s="86">
        <f>IFERROR(__xludf.DUMMYFUNCTION("""COMPUTED_VALUE"""),0.8999999999999999)</f>
        <v>0.9</v>
      </c>
      <c r="H1618" s="84">
        <f>IFERROR(__xludf.DUMMYFUNCTION("""COMPUTED_VALUE"""),40415.0)</f>
        <v>40415</v>
      </c>
      <c r="I1618" s="86">
        <f>IFERROR(__xludf.DUMMYFUNCTION("""COMPUTED_VALUE"""),2.025)</f>
        <v>2.025</v>
      </c>
      <c r="J1618" s="87">
        <f>IFERROR(__xludf.DUMMYFUNCTION("""COMPUTED_VALUE"""),78.0)</f>
        <v>78</v>
      </c>
      <c r="K1618" s="88">
        <f>IFERROR(__xludf.DUMMYFUNCTION("""COMPUTED_VALUE"""),8.0)</f>
        <v>8</v>
      </c>
      <c r="L1618" s="89">
        <f>IFERROR(__xludf.DUMMYFUNCTION("""COMPUTED_VALUE"""),5.0)</f>
        <v>5</v>
      </c>
      <c r="M1618" s="26" t="str">
        <f>IFERROR(__xludf.DUMMYFUNCTION("""COMPUTED_VALUE"""),"Platformer")</f>
        <v>Platformer</v>
      </c>
      <c r="N1618" s="26"/>
      <c r="O1618" s="26" t="str">
        <f>IFERROR(__xludf.DUMMYFUNCTION("""COMPUTED_VALUE"""),"No")</f>
        <v>No</v>
      </c>
      <c r="P1618" s="26"/>
    </row>
    <row r="1619">
      <c r="A1619" s="81" t="str">
        <f>IFERROR(__xludf.DUMMYFUNCTION("""COMPUTED_VALUE"""),"Borderlands")</f>
        <v>Borderlands</v>
      </c>
      <c r="B1619" s="82" t="str">
        <f>IFERROR(__xludf.DUMMYFUNCTION("""COMPUTED_VALUE"""),"PS3")</f>
        <v>PS3</v>
      </c>
      <c r="C1619" s="83" t="str">
        <f>IFERROR(__xludf.DUMMYFUNCTION("""COMPUTED_VALUE"""),"Playstation Plus (Discontinued)")</f>
        <v>Playstation Plus (Discontinued)</v>
      </c>
      <c r="D1619" s="82" t="str">
        <f>IFERROR(__xludf.DUMMYFUNCTION("""COMPUTED_VALUE"""),"Removed")</f>
        <v>Removed</v>
      </c>
      <c r="E1619" s="84">
        <f>IFERROR(__xludf.DUMMYFUNCTION("""COMPUTED_VALUE"""),41156.0)</f>
        <v>41156</v>
      </c>
      <c r="F1619" s="85">
        <f>IFERROR(__xludf.DUMMYFUNCTION("""COMPUTED_VALUE"""),41183.0)</f>
        <v>41183</v>
      </c>
      <c r="G1619" s="86">
        <f>IFERROR(__xludf.DUMMYFUNCTION("""COMPUTED_VALUE"""),0.8999999999999999)</f>
        <v>0.9</v>
      </c>
      <c r="H1619" s="84">
        <f>IFERROR(__xludf.DUMMYFUNCTION("""COMPUTED_VALUE"""),40106.0)</f>
        <v>40106</v>
      </c>
      <c r="I1619" s="86">
        <f>IFERROR(__xludf.DUMMYFUNCTION("""COMPUTED_VALUE"""),2.8722222222222222)</f>
        <v>2.872222222</v>
      </c>
      <c r="J1619" s="87">
        <f>IFERROR(__xludf.DUMMYFUNCTION("""COMPUTED_VALUE"""),81.0)</f>
        <v>81</v>
      </c>
      <c r="K1619" s="88">
        <f>IFERROR(__xludf.DUMMYFUNCTION("""COMPUTED_VALUE"""),8.1)</f>
        <v>8.1</v>
      </c>
      <c r="L1619" s="89">
        <f>IFERROR(__xludf.DUMMYFUNCTION("""COMPUTED_VALUE"""),23.0)</f>
        <v>23</v>
      </c>
      <c r="M1619" s="26" t="str">
        <f>IFERROR(__xludf.DUMMYFUNCTION("""COMPUTED_VALUE"""),"Shooter")</f>
        <v>Shooter</v>
      </c>
      <c r="N1619" s="26"/>
      <c r="O1619" s="26" t="str">
        <f>IFERROR(__xludf.DUMMYFUNCTION("""COMPUTED_VALUE"""),"No")</f>
        <v>No</v>
      </c>
      <c r="P1619" s="26"/>
    </row>
    <row r="1620">
      <c r="A1620" s="81" t="str">
        <f>IFERROR(__xludf.DUMMYFUNCTION("""COMPUTED_VALUE"""),"Outland")</f>
        <v>Outland</v>
      </c>
      <c r="B1620" s="82" t="str">
        <f>IFERROR(__xludf.DUMMYFUNCTION("""COMPUTED_VALUE"""),"PS3")</f>
        <v>PS3</v>
      </c>
      <c r="C1620" s="83" t="str">
        <f>IFERROR(__xludf.DUMMYFUNCTION("""COMPUTED_VALUE"""),"Playstation Plus (Discontinued)")</f>
        <v>Playstation Plus (Discontinued)</v>
      </c>
      <c r="D1620" s="82" t="str">
        <f>IFERROR(__xludf.DUMMYFUNCTION("""COMPUTED_VALUE"""),"Removed")</f>
        <v>Removed</v>
      </c>
      <c r="E1620" s="84">
        <f>IFERROR(__xludf.DUMMYFUNCTION("""COMPUTED_VALUE"""),41128.0)</f>
        <v>41128</v>
      </c>
      <c r="F1620" s="85">
        <f>IFERROR(__xludf.DUMMYFUNCTION("""COMPUTED_VALUE"""),41155.0)</f>
        <v>41155</v>
      </c>
      <c r="G1620" s="86">
        <f>IFERROR(__xludf.DUMMYFUNCTION("""COMPUTED_VALUE"""),0.8666666666666666)</f>
        <v>0.8666666667</v>
      </c>
      <c r="H1620" s="84">
        <f>IFERROR(__xludf.DUMMYFUNCTION("""COMPUTED_VALUE"""),40659.0)</f>
        <v>40659</v>
      </c>
      <c r="I1620" s="86">
        <f>IFERROR(__xludf.DUMMYFUNCTION("""COMPUTED_VALUE"""),1.2805555555555554)</f>
        <v>1.280555556</v>
      </c>
      <c r="J1620" s="87">
        <f>IFERROR(__xludf.DUMMYFUNCTION("""COMPUTED_VALUE"""),83.0)</f>
        <v>83</v>
      </c>
      <c r="K1620" s="88">
        <f>IFERROR(__xludf.DUMMYFUNCTION("""COMPUTED_VALUE"""),8.0)</f>
        <v>8</v>
      </c>
      <c r="L1620" s="89">
        <f>IFERROR(__xludf.DUMMYFUNCTION("""COMPUTED_VALUE"""),8.0)</f>
        <v>8</v>
      </c>
      <c r="M1620" s="26" t="str">
        <f>IFERROR(__xludf.DUMMYFUNCTION("""COMPUTED_VALUE"""),"Platformer")</f>
        <v>Platformer</v>
      </c>
      <c r="N1620" s="26"/>
      <c r="O1620" s="26" t="str">
        <f>IFERROR(__xludf.DUMMYFUNCTION("""COMPUTED_VALUE"""),"No")</f>
        <v>No</v>
      </c>
      <c r="P1620" s="26"/>
    </row>
    <row r="1621">
      <c r="A1621" s="81" t="str">
        <f>IFERROR(__xludf.DUMMYFUNCTION("""COMPUTED_VALUE"""),"Bloodrayne Betrayal")</f>
        <v>Bloodrayne Betrayal</v>
      </c>
      <c r="B1621" s="82" t="str">
        <f>IFERROR(__xludf.DUMMYFUNCTION("""COMPUTED_VALUE"""),"PS3")</f>
        <v>PS3</v>
      </c>
      <c r="C1621" s="83" t="str">
        <f>IFERROR(__xludf.DUMMYFUNCTION("""COMPUTED_VALUE"""),"Playstation Plus (Discontinued)")</f>
        <v>Playstation Plus (Discontinued)</v>
      </c>
      <c r="D1621" s="82" t="str">
        <f>IFERROR(__xludf.DUMMYFUNCTION("""COMPUTED_VALUE"""),"Removed")</f>
        <v>Removed</v>
      </c>
      <c r="E1621" s="84">
        <f>IFERROR(__xludf.DUMMYFUNCTION("""COMPUTED_VALUE"""),41128.0)</f>
        <v>41128</v>
      </c>
      <c r="F1621" s="85">
        <f>IFERROR(__xludf.DUMMYFUNCTION("""COMPUTED_VALUE"""),41155.0)</f>
        <v>41155</v>
      </c>
      <c r="G1621" s="86">
        <f>IFERROR(__xludf.DUMMYFUNCTION("""COMPUTED_VALUE"""),0.8666666666666666)</f>
        <v>0.8666666667</v>
      </c>
      <c r="H1621" s="84">
        <f>IFERROR(__xludf.DUMMYFUNCTION("""COMPUTED_VALUE"""),40786.0)</f>
        <v>40786</v>
      </c>
      <c r="I1621" s="86">
        <f>IFERROR(__xludf.DUMMYFUNCTION("""COMPUTED_VALUE"""),0.9361111111111111)</f>
        <v>0.9361111111</v>
      </c>
      <c r="J1621" s="87">
        <f>IFERROR(__xludf.DUMMYFUNCTION("""COMPUTED_VALUE"""),52.0)</f>
        <v>52</v>
      </c>
      <c r="K1621" s="88">
        <f>IFERROR(__xludf.DUMMYFUNCTION("""COMPUTED_VALUE"""),6.4)</f>
        <v>6.4</v>
      </c>
      <c r="L1621" s="89">
        <f>IFERROR(__xludf.DUMMYFUNCTION("""COMPUTED_VALUE"""),6.0)</f>
        <v>6</v>
      </c>
      <c r="M1621" s="26" t="str">
        <f>IFERROR(__xludf.DUMMYFUNCTION("""COMPUTED_VALUE"""),"Platformer")</f>
        <v>Platformer</v>
      </c>
      <c r="N1621" s="26"/>
      <c r="O1621" s="26" t="str">
        <f>IFERROR(__xludf.DUMMYFUNCTION("""COMPUTED_VALUE"""),"No")</f>
        <v>No</v>
      </c>
      <c r="P1621" s="26"/>
    </row>
    <row r="1622">
      <c r="A1622" s="81" t="str">
        <f>IFERROR(__xludf.DUMMYFUNCTION("""COMPUTED_VALUE"""),"Farm Frenzy 2")</f>
        <v>Farm Frenzy 2</v>
      </c>
      <c r="B1622" s="82" t="str">
        <f>IFERROR(__xludf.DUMMYFUNCTION("""COMPUTED_VALUE"""),"PS3")</f>
        <v>PS3</v>
      </c>
      <c r="C1622" s="83" t="str">
        <f>IFERROR(__xludf.DUMMYFUNCTION("""COMPUTED_VALUE"""),"Playstation Plus (Discontinued)")</f>
        <v>Playstation Plus (Discontinued)</v>
      </c>
      <c r="D1622" s="82" t="str">
        <f>IFERROR(__xludf.DUMMYFUNCTION("""COMPUTED_VALUE"""),"Removed")</f>
        <v>Removed</v>
      </c>
      <c r="E1622" s="84">
        <f>IFERROR(__xludf.DUMMYFUNCTION("""COMPUTED_VALUE"""),41128.0)</f>
        <v>41128</v>
      </c>
      <c r="F1622" s="85">
        <f>IFERROR(__xludf.DUMMYFUNCTION("""COMPUTED_VALUE"""),41155.0)</f>
        <v>41155</v>
      </c>
      <c r="G1622" s="86">
        <f>IFERROR(__xludf.DUMMYFUNCTION("""COMPUTED_VALUE"""),0.8666666666666666)</f>
        <v>0.8666666667</v>
      </c>
      <c r="H1622" s="84">
        <f>IFERROR(__xludf.DUMMYFUNCTION("""COMPUTED_VALUE"""),40478.0)</f>
        <v>40478</v>
      </c>
      <c r="I1622" s="86">
        <f>IFERROR(__xludf.DUMMYFUNCTION("""COMPUTED_VALUE"""),1.7777777777777777)</f>
        <v>1.777777778</v>
      </c>
      <c r="J1622" s="87">
        <f>IFERROR(__xludf.DUMMYFUNCTION("""COMPUTED_VALUE"""),62.0)</f>
        <v>62</v>
      </c>
      <c r="K1622" s="88">
        <f>IFERROR(__xludf.DUMMYFUNCTION("""COMPUTED_VALUE"""),7.0)</f>
        <v>7</v>
      </c>
      <c r="L1622" s="89">
        <f>IFERROR(__xludf.DUMMYFUNCTION("""COMPUTED_VALUE"""),6.0)</f>
        <v>6</v>
      </c>
      <c r="M1622" s="26" t="str">
        <f>IFERROR(__xludf.DUMMYFUNCTION("""COMPUTED_VALUE"""),"Strategy")</f>
        <v>Strategy</v>
      </c>
      <c r="N1622" s="26" t="str">
        <f>IFERROR(__xludf.DUMMYFUNCTION("""COMPUTED_VALUE"""),"PS Minis")</f>
        <v>PS Minis</v>
      </c>
      <c r="O1622" s="26" t="str">
        <f>IFERROR(__xludf.DUMMYFUNCTION("""COMPUTED_VALUE"""),"No")</f>
        <v>No</v>
      </c>
      <c r="P1622" s="26"/>
    </row>
    <row r="1623">
      <c r="A1623" s="81" t="str">
        <f>IFERROR(__xludf.DUMMYFUNCTION("""COMPUTED_VALUE"""),"The Walking Dead (Ep. 1 &amp; 2)")</f>
        <v>The Walking Dead (Ep. 1 &amp; 2)</v>
      </c>
      <c r="B1623" s="82" t="str">
        <f>IFERROR(__xludf.DUMMYFUNCTION("""COMPUTED_VALUE"""),"PS3")</f>
        <v>PS3</v>
      </c>
      <c r="C1623" s="83" t="str">
        <f>IFERROR(__xludf.DUMMYFUNCTION("""COMPUTED_VALUE"""),"Playstation Plus (Discontinued)")</f>
        <v>Playstation Plus (Discontinued)</v>
      </c>
      <c r="D1623" s="82" t="str">
        <f>IFERROR(__xludf.DUMMYFUNCTION("""COMPUTED_VALUE"""),"Removed")</f>
        <v>Removed</v>
      </c>
      <c r="E1623" s="84">
        <f>IFERROR(__xludf.DUMMYFUNCTION("""COMPUTED_VALUE"""),41128.0)</f>
        <v>41128</v>
      </c>
      <c r="F1623" s="85">
        <f>IFERROR(__xludf.DUMMYFUNCTION("""COMPUTED_VALUE"""),41155.0)</f>
        <v>41155</v>
      </c>
      <c r="G1623" s="86">
        <f>IFERROR(__xludf.DUMMYFUNCTION("""COMPUTED_VALUE"""),0.8666666666666666)</f>
        <v>0.8666666667</v>
      </c>
      <c r="H1623" s="84">
        <f>IFERROR(__xludf.DUMMYFUNCTION("""COMPUTED_VALUE"""),41023.0)</f>
        <v>41023</v>
      </c>
      <c r="I1623" s="86">
        <f>IFERROR(__xludf.DUMMYFUNCTION("""COMPUTED_VALUE"""),0.2861111111111111)</f>
        <v>0.2861111111</v>
      </c>
      <c r="J1623" s="87">
        <f>IFERROR(__xludf.DUMMYFUNCTION("""COMPUTED_VALUE"""),89.0)</f>
        <v>89</v>
      </c>
      <c r="K1623" s="88">
        <f>IFERROR(__xludf.DUMMYFUNCTION("""COMPUTED_VALUE"""),8.8)</f>
        <v>8.8</v>
      </c>
      <c r="L1623" s="89">
        <f>IFERROR(__xludf.DUMMYFUNCTION("""COMPUTED_VALUE"""),5.0)</f>
        <v>5</v>
      </c>
      <c r="M1623" s="26" t="str">
        <f>IFERROR(__xludf.DUMMYFUNCTION("""COMPUTED_VALUE"""),"Adventure")</f>
        <v>Adventure</v>
      </c>
      <c r="N1623" s="26"/>
      <c r="O1623" s="26" t="str">
        <f>IFERROR(__xludf.DUMMYFUNCTION("""COMPUTED_VALUE"""),"No")</f>
        <v>No</v>
      </c>
      <c r="P1623" s="26"/>
    </row>
    <row r="1624">
      <c r="A1624" s="81" t="str">
        <f>IFERROR(__xludf.DUMMYFUNCTION("""COMPUTED_VALUE"""),"Renegade Ops")</f>
        <v>Renegade Ops</v>
      </c>
      <c r="B1624" s="82" t="str">
        <f>IFERROR(__xludf.DUMMYFUNCTION("""COMPUTED_VALUE"""),"PS3")</f>
        <v>PS3</v>
      </c>
      <c r="C1624" s="83" t="str">
        <f>IFERROR(__xludf.DUMMYFUNCTION("""COMPUTED_VALUE"""),"Playstation Plus (Discontinued)")</f>
        <v>Playstation Plus (Discontinued)</v>
      </c>
      <c r="D1624" s="82" t="str">
        <f>IFERROR(__xludf.DUMMYFUNCTION("""COMPUTED_VALUE"""),"Removed")</f>
        <v>Removed</v>
      </c>
      <c r="E1624" s="84">
        <f>IFERROR(__xludf.DUMMYFUNCTION("""COMPUTED_VALUE"""),41093.0)</f>
        <v>41093</v>
      </c>
      <c r="F1624" s="85">
        <f>IFERROR(__xludf.DUMMYFUNCTION("""COMPUTED_VALUE"""),41127.0)</f>
        <v>41127</v>
      </c>
      <c r="G1624" s="86">
        <f>IFERROR(__xludf.DUMMYFUNCTION("""COMPUTED_VALUE"""),1.0999999999999999)</f>
        <v>1.1</v>
      </c>
      <c r="H1624" s="84">
        <f>IFERROR(__xludf.DUMMYFUNCTION("""COMPUTED_VALUE"""),40800.0)</f>
        <v>40800</v>
      </c>
      <c r="I1624" s="86">
        <f>IFERROR(__xludf.DUMMYFUNCTION("""COMPUTED_VALUE"""),0.8027777777777778)</f>
        <v>0.8027777778</v>
      </c>
      <c r="J1624" s="87">
        <f>IFERROR(__xludf.DUMMYFUNCTION("""COMPUTED_VALUE"""),76.0)</f>
        <v>76</v>
      </c>
      <c r="K1624" s="88">
        <f>IFERROR(__xludf.DUMMYFUNCTION("""COMPUTED_VALUE"""),7.6)</f>
        <v>7.6</v>
      </c>
      <c r="L1624" s="89">
        <f>IFERROR(__xludf.DUMMYFUNCTION("""COMPUTED_VALUE"""),6.0)</f>
        <v>6</v>
      </c>
      <c r="M1624" s="26" t="str">
        <f>IFERROR(__xludf.DUMMYFUNCTION("""COMPUTED_VALUE"""),"Shooter")</f>
        <v>Shooter</v>
      </c>
      <c r="N1624" s="26"/>
      <c r="O1624" s="26" t="str">
        <f>IFERROR(__xludf.DUMMYFUNCTION("""COMPUTED_VALUE"""),"No")</f>
        <v>No</v>
      </c>
      <c r="P1624" s="26"/>
    </row>
    <row r="1625">
      <c r="A1625" s="81" t="str">
        <f>IFERROR(__xludf.DUMMYFUNCTION("""COMPUTED_VALUE"""),"Gotham City Imposters")</f>
        <v>Gotham City Imposters</v>
      </c>
      <c r="B1625" s="82" t="str">
        <f>IFERROR(__xludf.DUMMYFUNCTION("""COMPUTED_VALUE"""),"PS3")</f>
        <v>PS3</v>
      </c>
      <c r="C1625" s="83" t="str">
        <f>IFERROR(__xludf.DUMMYFUNCTION("""COMPUTED_VALUE"""),"Playstation Plus (Discontinued)")</f>
        <v>Playstation Plus (Discontinued)</v>
      </c>
      <c r="D1625" s="82" t="str">
        <f>IFERROR(__xludf.DUMMYFUNCTION("""COMPUTED_VALUE"""),"Removed")</f>
        <v>Removed</v>
      </c>
      <c r="E1625" s="84">
        <f>IFERROR(__xludf.DUMMYFUNCTION("""COMPUTED_VALUE"""),41093.0)</f>
        <v>41093</v>
      </c>
      <c r="F1625" s="85">
        <f>IFERROR(__xludf.DUMMYFUNCTION("""COMPUTED_VALUE"""),41127.0)</f>
        <v>41127</v>
      </c>
      <c r="G1625" s="86">
        <f>IFERROR(__xludf.DUMMYFUNCTION("""COMPUTED_VALUE"""),1.0999999999999999)</f>
        <v>1.1</v>
      </c>
      <c r="H1625" s="84">
        <f>IFERROR(__xludf.DUMMYFUNCTION("""COMPUTED_VALUE"""),40946.0)</f>
        <v>40946</v>
      </c>
      <c r="I1625" s="86">
        <f>IFERROR(__xludf.DUMMYFUNCTION("""COMPUTED_VALUE"""),0.40555555555555556)</f>
        <v>0.4055555556</v>
      </c>
      <c r="J1625" s="87">
        <f>IFERROR(__xludf.DUMMYFUNCTION("""COMPUTED_VALUE"""),61.0)</f>
        <v>61</v>
      </c>
      <c r="K1625" s="88">
        <f>IFERROR(__xludf.DUMMYFUNCTION("""COMPUTED_VALUE"""),6.6)</f>
        <v>6.6</v>
      </c>
      <c r="L1625" s="89"/>
      <c r="M1625" s="26" t="str">
        <f>IFERROR(__xludf.DUMMYFUNCTION("""COMPUTED_VALUE"""),"Shooter")</f>
        <v>Shooter</v>
      </c>
      <c r="N1625" s="26"/>
      <c r="O1625" s="26" t="str">
        <f>IFERROR(__xludf.DUMMYFUNCTION("""COMPUTED_VALUE"""),"No")</f>
        <v>No</v>
      </c>
      <c r="P1625" s="26"/>
    </row>
    <row r="1626">
      <c r="A1626" s="81" t="str">
        <f>IFERROR(__xludf.DUMMYFUNCTION("""COMPUTED_VALUE"""),"Pac-Man Championship Edition DX")</f>
        <v>Pac-Man Championship Edition DX</v>
      </c>
      <c r="B1626" s="82" t="str">
        <f>IFERROR(__xludf.DUMMYFUNCTION("""COMPUTED_VALUE"""),"PS3")</f>
        <v>PS3</v>
      </c>
      <c r="C1626" s="83" t="str">
        <f>IFERROR(__xludf.DUMMYFUNCTION("""COMPUTED_VALUE"""),"Playstation Plus (Discontinued)")</f>
        <v>Playstation Plus (Discontinued)</v>
      </c>
      <c r="D1626" s="82" t="str">
        <f>IFERROR(__xludf.DUMMYFUNCTION("""COMPUTED_VALUE"""),"Removed")</f>
        <v>Removed</v>
      </c>
      <c r="E1626" s="84">
        <f>IFERROR(__xludf.DUMMYFUNCTION("""COMPUTED_VALUE"""),41093.0)</f>
        <v>41093</v>
      </c>
      <c r="F1626" s="85">
        <f>IFERROR(__xludf.DUMMYFUNCTION("""COMPUTED_VALUE"""),41127.0)</f>
        <v>41127</v>
      </c>
      <c r="G1626" s="86">
        <f>IFERROR(__xludf.DUMMYFUNCTION("""COMPUTED_VALUE"""),1.0999999999999999)</f>
        <v>1.1</v>
      </c>
      <c r="H1626" s="84">
        <f>IFERROR(__xludf.DUMMYFUNCTION("""COMPUTED_VALUE"""),40499.0)</f>
        <v>40499</v>
      </c>
      <c r="I1626" s="86">
        <f>IFERROR(__xludf.DUMMYFUNCTION("""COMPUTED_VALUE"""),1.6277777777777778)</f>
        <v>1.627777778</v>
      </c>
      <c r="J1626" s="87">
        <f>IFERROR(__xludf.DUMMYFUNCTION("""COMPUTED_VALUE"""),93.0)</f>
        <v>93</v>
      </c>
      <c r="K1626" s="88">
        <f>IFERROR(__xludf.DUMMYFUNCTION("""COMPUTED_VALUE"""),8.6)</f>
        <v>8.6</v>
      </c>
      <c r="L1626" s="89"/>
      <c r="M1626" s="26" t="str">
        <f>IFERROR(__xludf.DUMMYFUNCTION("""COMPUTED_VALUE"""),"Arcade")</f>
        <v>Arcade</v>
      </c>
      <c r="N1626" s="26"/>
      <c r="O1626" s="26" t="str">
        <f>IFERROR(__xludf.DUMMYFUNCTION("""COMPUTED_VALUE"""),"No")</f>
        <v>No</v>
      </c>
      <c r="P1626" s="26"/>
    </row>
    <row r="1627">
      <c r="A1627" s="81" t="str">
        <f>IFERROR(__xludf.DUMMYFUNCTION("""COMPUTED_VALUE"""),"Hot Shots Golf 2")</f>
        <v>Hot Shots Golf 2</v>
      </c>
      <c r="B1627" s="82" t="str">
        <f>IFERROR(__xludf.DUMMYFUNCTION("""COMPUTED_VALUE"""),"PS3")</f>
        <v>PS3</v>
      </c>
      <c r="C1627" s="83" t="str">
        <f>IFERROR(__xludf.DUMMYFUNCTION("""COMPUTED_VALUE"""),"Playstation Plus (Discontinued)")</f>
        <v>Playstation Plus (Discontinued)</v>
      </c>
      <c r="D1627" s="82" t="str">
        <f>IFERROR(__xludf.DUMMYFUNCTION("""COMPUTED_VALUE"""),"Removed")</f>
        <v>Removed</v>
      </c>
      <c r="E1627" s="84">
        <f>IFERROR(__xludf.DUMMYFUNCTION("""COMPUTED_VALUE"""),41093.0)</f>
        <v>41093</v>
      </c>
      <c r="F1627" s="85">
        <f>IFERROR(__xludf.DUMMYFUNCTION("""COMPUTED_VALUE"""),41127.0)</f>
        <v>41127</v>
      </c>
      <c r="G1627" s="86">
        <f>IFERROR(__xludf.DUMMYFUNCTION("""COMPUTED_VALUE"""),1.0999999999999999)</f>
        <v>1.1</v>
      </c>
      <c r="H1627" s="84">
        <f>IFERROR(__xludf.DUMMYFUNCTION("""COMPUTED_VALUE"""),36278.0)</f>
        <v>36278</v>
      </c>
      <c r="I1627" s="86">
        <f>IFERROR(__xludf.DUMMYFUNCTION("""COMPUTED_VALUE"""),13.180555555555555)</f>
        <v>13.18055556</v>
      </c>
      <c r="J1627" s="87">
        <f>IFERROR(__xludf.DUMMYFUNCTION("""COMPUTED_VALUE"""),88.0)</f>
        <v>88</v>
      </c>
      <c r="K1627" s="88">
        <f>IFERROR(__xludf.DUMMYFUNCTION("""COMPUTED_VALUE"""),8.7)</f>
        <v>8.7</v>
      </c>
      <c r="L1627" s="89"/>
      <c r="M1627" s="26" t="str">
        <f>IFERROR(__xludf.DUMMYFUNCTION("""COMPUTED_VALUE"""),"Sports")</f>
        <v>Sports</v>
      </c>
      <c r="N1627" s="26" t="str">
        <f>IFERROR(__xludf.DUMMYFUNCTION("""COMPUTED_VALUE"""),"PS1")</f>
        <v>PS1</v>
      </c>
      <c r="O1627" s="26" t="str">
        <f>IFERROR(__xludf.DUMMYFUNCTION("""COMPUTED_VALUE"""),"No")</f>
        <v>No</v>
      </c>
      <c r="P1627" s="26"/>
    </row>
    <row r="1628">
      <c r="A1628" s="81" t="str">
        <f>IFERROR(__xludf.DUMMYFUNCTION("""COMPUTED_VALUE"""),"International Track and Field")</f>
        <v>International Track and Field</v>
      </c>
      <c r="B1628" s="82" t="str">
        <f>IFERROR(__xludf.DUMMYFUNCTION("""COMPUTED_VALUE"""),"PS3")</f>
        <v>PS3</v>
      </c>
      <c r="C1628" s="83" t="str">
        <f>IFERROR(__xludf.DUMMYFUNCTION("""COMPUTED_VALUE"""),"Playstation Plus (Discontinued)")</f>
        <v>Playstation Plus (Discontinued)</v>
      </c>
      <c r="D1628" s="82" t="str">
        <f>IFERROR(__xludf.DUMMYFUNCTION("""COMPUTED_VALUE"""),"Removed")</f>
        <v>Removed</v>
      </c>
      <c r="E1628" s="84">
        <f>IFERROR(__xludf.DUMMYFUNCTION("""COMPUTED_VALUE"""),41093.0)</f>
        <v>41093</v>
      </c>
      <c r="F1628" s="85">
        <f>IFERROR(__xludf.DUMMYFUNCTION("""COMPUTED_VALUE"""),41127.0)</f>
        <v>41127</v>
      </c>
      <c r="G1628" s="86">
        <f>IFERROR(__xludf.DUMMYFUNCTION("""COMPUTED_VALUE"""),1.0999999999999999)</f>
        <v>1.1</v>
      </c>
      <c r="H1628" s="84">
        <f>IFERROR(__xludf.DUMMYFUNCTION("""COMPUTED_VALUE"""),36796.0)</f>
        <v>36796</v>
      </c>
      <c r="I1628" s="86">
        <f>IFERROR(__xludf.DUMMYFUNCTION("""COMPUTED_VALUE"""),11.766666666666667)</f>
        <v>11.76666667</v>
      </c>
      <c r="J1628" s="87">
        <f>IFERROR(__xludf.DUMMYFUNCTION("""COMPUTED_VALUE"""),78.0)</f>
        <v>78</v>
      </c>
      <c r="K1628" s="88">
        <f>IFERROR(__xludf.DUMMYFUNCTION("""COMPUTED_VALUE"""),8.2)</f>
        <v>8.2</v>
      </c>
      <c r="L1628" s="89"/>
      <c r="M1628" s="26" t="str">
        <f>IFERROR(__xludf.DUMMYFUNCTION("""COMPUTED_VALUE"""),"Sports")</f>
        <v>Sports</v>
      </c>
      <c r="N1628" s="26" t="str">
        <f>IFERROR(__xludf.DUMMYFUNCTION("""COMPUTED_VALUE"""),"PS1")</f>
        <v>PS1</v>
      </c>
      <c r="O1628" s="26" t="str">
        <f>IFERROR(__xludf.DUMMYFUNCTION("""COMPUTED_VALUE"""),"No")</f>
        <v>No</v>
      </c>
      <c r="P1628" s="26"/>
    </row>
    <row r="1629">
      <c r="A1629" s="81" t="str">
        <f>IFERROR(__xludf.DUMMYFUNCTION("""COMPUTED_VALUE"""),"Kaleidoscope")</f>
        <v>Kaleidoscope</v>
      </c>
      <c r="B1629" s="82" t="str">
        <f>IFERROR(__xludf.DUMMYFUNCTION("""COMPUTED_VALUE"""),"PS3")</f>
        <v>PS3</v>
      </c>
      <c r="C1629" s="83" t="str">
        <f>IFERROR(__xludf.DUMMYFUNCTION("""COMPUTED_VALUE"""),"Playstation Plus (Discontinued)")</f>
        <v>Playstation Plus (Discontinued)</v>
      </c>
      <c r="D1629" s="82" t="str">
        <f>IFERROR(__xludf.DUMMYFUNCTION("""COMPUTED_VALUE"""),"Removed")</f>
        <v>Removed</v>
      </c>
      <c r="E1629" s="84">
        <f>IFERROR(__xludf.DUMMYFUNCTION("""COMPUTED_VALUE"""),41065.0)</f>
        <v>41065</v>
      </c>
      <c r="F1629" s="85">
        <f>IFERROR(__xludf.DUMMYFUNCTION("""COMPUTED_VALUE"""),41092.0)</f>
        <v>41092</v>
      </c>
      <c r="G1629" s="86">
        <f>IFERROR(__xludf.DUMMYFUNCTION("""COMPUTED_VALUE"""),0.8999999999999999)</f>
        <v>0.9</v>
      </c>
      <c r="H1629" s="84">
        <f>IFERROR(__xludf.DUMMYFUNCTION("""COMPUTED_VALUE"""),40771.0)</f>
        <v>40771</v>
      </c>
      <c r="I1629" s="86">
        <f>IFERROR(__xludf.DUMMYFUNCTION("""COMPUTED_VALUE"""),0.8027777777777778)</f>
        <v>0.8027777778</v>
      </c>
      <c r="J1629" s="87">
        <f>IFERROR(__xludf.DUMMYFUNCTION("""COMPUTED_VALUE"""),67.0)</f>
        <v>67</v>
      </c>
      <c r="K1629" s="88">
        <f>IFERROR(__xludf.DUMMYFUNCTION("""COMPUTED_VALUE"""),6.9)</f>
        <v>6.9</v>
      </c>
      <c r="L1629" s="89"/>
      <c r="M1629" s="26" t="str">
        <f>IFERROR(__xludf.DUMMYFUNCTION("""COMPUTED_VALUE"""),"Puzzle")</f>
        <v>Puzzle</v>
      </c>
      <c r="N1629" s="26" t="str">
        <f>IFERROR(__xludf.DUMMYFUNCTION("""COMPUTED_VALUE"""),"PS Minis")</f>
        <v>PS Minis</v>
      </c>
      <c r="O1629" s="26" t="str">
        <f>IFERROR(__xludf.DUMMYFUNCTION("""COMPUTED_VALUE"""),"No")</f>
        <v>No</v>
      </c>
      <c r="P1629" s="26"/>
    </row>
    <row r="1630">
      <c r="A1630" s="81" t="str">
        <f>IFERROR(__xludf.DUMMYFUNCTION("""COMPUTED_VALUE"""),"Virtua Fighter 5 Final Showdown")</f>
        <v>Virtua Fighter 5 Final Showdown</v>
      </c>
      <c r="B1630" s="82" t="str">
        <f>IFERROR(__xludf.DUMMYFUNCTION("""COMPUTED_VALUE"""),"PS3")</f>
        <v>PS3</v>
      </c>
      <c r="C1630" s="83" t="str">
        <f>IFERROR(__xludf.DUMMYFUNCTION("""COMPUTED_VALUE"""),"Playstation Plus (Discontinued)")</f>
        <v>Playstation Plus (Discontinued)</v>
      </c>
      <c r="D1630" s="82" t="str">
        <f>IFERROR(__xludf.DUMMYFUNCTION("""COMPUTED_VALUE"""),"Removed")</f>
        <v>Removed</v>
      </c>
      <c r="E1630" s="84">
        <f>IFERROR(__xludf.DUMMYFUNCTION("""COMPUTED_VALUE"""),41065.0)</f>
        <v>41065</v>
      </c>
      <c r="F1630" s="85">
        <f>IFERROR(__xludf.DUMMYFUNCTION("""COMPUTED_VALUE"""),41092.0)</f>
        <v>41092</v>
      </c>
      <c r="G1630" s="86">
        <f>IFERROR(__xludf.DUMMYFUNCTION("""COMPUTED_VALUE"""),0.8999999999999999)</f>
        <v>0.9</v>
      </c>
      <c r="H1630" s="84">
        <f>IFERROR(__xludf.DUMMYFUNCTION("""COMPUTED_VALUE"""),41065.0)</f>
        <v>41065</v>
      </c>
      <c r="I1630" s="86">
        <f>IFERROR(__xludf.DUMMYFUNCTION("""COMPUTED_VALUE"""),0.0)</f>
        <v>0</v>
      </c>
      <c r="J1630" s="87">
        <f>IFERROR(__xludf.DUMMYFUNCTION("""COMPUTED_VALUE"""),84.0)</f>
        <v>84</v>
      </c>
      <c r="K1630" s="88">
        <f>IFERROR(__xludf.DUMMYFUNCTION("""COMPUTED_VALUE"""),8.0)</f>
        <v>8</v>
      </c>
      <c r="L1630" s="89"/>
      <c r="M1630" s="26" t="str">
        <f>IFERROR(__xludf.DUMMYFUNCTION("""COMPUTED_VALUE"""),"Fighting")</f>
        <v>Fighting</v>
      </c>
      <c r="N1630" s="26"/>
      <c r="O1630" s="26" t="str">
        <f>IFERROR(__xludf.DUMMYFUNCTION("""COMPUTED_VALUE"""),"No")</f>
        <v>No</v>
      </c>
      <c r="P1630" s="26"/>
    </row>
    <row r="1631">
      <c r="A1631" s="81" t="str">
        <f>IFERROR(__xludf.DUMMYFUNCTION("""COMPUTED_VALUE"""),"Lara Croft and the Guardian of Light")</f>
        <v>Lara Croft and the Guardian of Light</v>
      </c>
      <c r="B1631" s="82" t="str">
        <f>IFERROR(__xludf.DUMMYFUNCTION("""COMPUTED_VALUE"""),"PS3")</f>
        <v>PS3</v>
      </c>
      <c r="C1631" s="83" t="str">
        <f>IFERROR(__xludf.DUMMYFUNCTION("""COMPUTED_VALUE"""),"Playstation Plus (Discontinued)")</f>
        <v>Playstation Plus (Discontinued)</v>
      </c>
      <c r="D1631" s="82" t="str">
        <f>IFERROR(__xludf.DUMMYFUNCTION("""COMPUTED_VALUE"""),"Removed")</f>
        <v>Removed</v>
      </c>
      <c r="E1631" s="84">
        <f>IFERROR(__xludf.DUMMYFUNCTION("""COMPUTED_VALUE"""),41065.0)</f>
        <v>41065</v>
      </c>
      <c r="F1631" s="85">
        <f>IFERROR(__xludf.DUMMYFUNCTION("""COMPUTED_VALUE"""),41092.0)</f>
        <v>41092</v>
      </c>
      <c r="G1631" s="86">
        <f>IFERROR(__xludf.DUMMYFUNCTION("""COMPUTED_VALUE"""),0.8999999999999999)</f>
        <v>0.9</v>
      </c>
      <c r="H1631" s="84">
        <f>IFERROR(__xludf.DUMMYFUNCTION("""COMPUTED_VALUE"""),40408.0)</f>
        <v>40408</v>
      </c>
      <c r="I1631" s="86">
        <f>IFERROR(__xludf.DUMMYFUNCTION("""COMPUTED_VALUE"""),1.7972222222222223)</f>
        <v>1.797222222</v>
      </c>
      <c r="J1631" s="87">
        <f>IFERROR(__xludf.DUMMYFUNCTION("""COMPUTED_VALUE"""),85.0)</f>
        <v>85</v>
      </c>
      <c r="K1631" s="88">
        <f>IFERROR(__xludf.DUMMYFUNCTION("""COMPUTED_VALUE"""),8.0)</f>
        <v>8</v>
      </c>
      <c r="L1631" s="89">
        <f>IFERROR(__xludf.DUMMYFUNCTION("""COMPUTED_VALUE"""),6.0)</f>
        <v>6</v>
      </c>
      <c r="M1631" s="26" t="str">
        <f>IFERROR(__xludf.DUMMYFUNCTION("""COMPUTED_VALUE"""),"Action-Adventure")</f>
        <v>Action-Adventure</v>
      </c>
      <c r="N1631" s="26"/>
      <c r="O1631" s="26" t="str">
        <f>IFERROR(__xludf.DUMMYFUNCTION("""COMPUTED_VALUE"""),"No")</f>
        <v>No</v>
      </c>
      <c r="P1631" s="26"/>
    </row>
    <row r="1632">
      <c r="A1632" s="81" t="str">
        <f>IFERROR(__xludf.DUMMYFUNCTION("""COMPUTED_VALUE"""),"Warhammer 40,000: Space Marine")</f>
        <v>Warhammer 40,000: Space Marine</v>
      </c>
      <c r="B1632" s="82" t="str">
        <f>IFERROR(__xludf.DUMMYFUNCTION("""COMPUTED_VALUE"""),"PS3")</f>
        <v>PS3</v>
      </c>
      <c r="C1632" s="83" t="str">
        <f>IFERROR(__xludf.DUMMYFUNCTION("""COMPUTED_VALUE"""),"Playstation Plus (Discontinued)")</f>
        <v>Playstation Plus (Discontinued)</v>
      </c>
      <c r="D1632" s="82" t="str">
        <f>IFERROR(__xludf.DUMMYFUNCTION("""COMPUTED_VALUE"""),"Removed")</f>
        <v>Removed</v>
      </c>
      <c r="E1632" s="84">
        <f>IFERROR(__xludf.DUMMYFUNCTION("""COMPUTED_VALUE"""),41065.0)</f>
        <v>41065</v>
      </c>
      <c r="F1632" s="85">
        <f>IFERROR(__xludf.DUMMYFUNCTION("""COMPUTED_VALUE"""),41092.0)</f>
        <v>41092</v>
      </c>
      <c r="G1632" s="86">
        <f>IFERROR(__xludf.DUMMYFUNCTION("""COMPUTED_VALUE"""),0.8999999999999999)</f>
        <v>0.9</v>
      </c>
      <c r="H1632" s="84">
        <f>IFERROR(__xludf.DUMMYFUNCTION("""COMPUTED_VALUE"""),40792.0)</f>
        <v>40792</v>
      </c>
      <c r="I1632" s="86">
        <f>IFERROR(__xludf.DUMMYFUNCTION("""COMPUTED_VALUE"""),0.7472222222222222)</f>
        <v>0.7472222222</v>
      </c>
      <c r="J1632" s="87">
        <f>IFERROR(__xludf.DUMMYFUNCTION("""COMPUTED_VALUE"""),74.0)</f>
        <v>74</v>
      </c>
      <c r="K1632" s="88">
        <f>IFERROR(__xludf.DUMMYFUNCTION("""COMPUTED_VALUE"""),7.7)</f>
        <v>7.7</v>
      </c>
      <c r="L1632" s="89">
        <f>IFERROR(__xludf.DUMMYFUNCTION("""COMPUTED_VALUE"""),10.0)</f>
        <v>10</v>
      </c>
      <c r="M1632" s="26" t="str">
        <f>IFERROR(__xludf.DUMMYFUNCTION("""COMPUTED_VALUE"""),"Shooter")</f>
        <v>Shooter</v>
      </c>
      <c r="N1632" s="26"/>
      <c r="O1632" s="26" t="str">
        <f>IFERROR(__xludf.DUMMYFUNCTION("""COMPUTED_VALUE"""),"No")</f>
        <v>No</v>
      </c>
      <c r="P1632" s="26"/>
    </row>
    <row r="1633">
      <c r="A1633" s="81" t="str">
        <f>IFERROR(__xludf.DUMMYFUNCTION("""COMPUTED_VALUE"""),"Ratchet and Clank: All 4 One")</f>
        <v>Ratchet and Clank: All 4 One</v>
      </c>
      <c r="B1633" s="82" t="str">
        <f>IFERROR(__xludf.DUMMYFUNCTION("""COMPUTED_VALUE"""),"PS3")</f>
        <v>PS3</v>
      </c>
      <c r="C1633" s="83" t="str">
        <f>IFERROR(__xludf.DUMMYFUNCTION("""COMPUTED_VALUE"""),"Playstation Plus (Discontinued)")</f>
        <v>Playstation Plus (Discontinued)</v>
      </c>
      <c r="D1633" s="82" t="str">
        <f>IFERROR(__xludf.DUMMYFUNCTION("""COMPUTED_VALUE"""),"Removed")</f>
        <v>Removed</v>
      </c>
      <c r="E1633" s="84">
        <f>IFERROR(__xludf.DUMMYFUNCTION("""COMPUTED_VALUE"""),41065.0)</f>
        <v>41065</v>
      </c>
      <c r="F1633" s="85">
        <f>IFERROR(__xludf.DUMMYFUNCTION("""COMPUTED_VALUE"""),41092.0)</f>
        <v>41092</v>
      </c>
      <c r="G1633" s="86">
        <f>IFERROR(__xludf.DUMMYFUNCTION("""COMPUTED_VALUE"""),0.8999999999999999)</f>
        <v>0.9</v>
      </c>
      <c r="H1633" s="84">
        <f>IFERROR(__xludf.DUMMYFUNCTION("""COMPUTED_VALUE"""),40834.0)</f>
        <v>40834</v>
      </c>
      <c r="I1633" s="86">
        <f>IFERROR(__xludf.DUMMYFUNCTION("""COMPUTED_VALUE"""),0.6305555555555555)</f>
        <v>0.6305555556</v>
      </c>
      <c r="J1633" s="87">
        <f>IFERROR(__xludf.DUMMYFUNCTION("""COMPUTED_VALUE"""),70.0)</f>
        <v>70</v>
      </c>
      <c r="K1633" s="88">
        <f>IFERROR(__xludf.DUMMYFUNCTION("""COMPUTED_VALUE"""),7.0)</f>
        <v>7</v>
      </c>
      <c r="L1633" s="89">
        <f>IFERROR(__xludf.DUMMYFUNCTION("""COMPUTED_VALUE"""),10.0)</f>
        <v>10</v>
      </c>
      <c r="M1633" s="26" t="str">
        <f>IFERROR(__xludf.DUMMYFUNCTION("""COMPUTED_VALUE"""),"Platformer")</f>
        <v>Platformer</v>
      </c>
      <c r="N1633" s="26"/>
      <c r="O1633" s="26" t="str">
        <f>IFERROR(__xludf.DUMMYFUNCTION("""COMPUTED_VALUE"""),"No")</f>
        <v>No</v>
      </c>
      <c r="P1633" s="26"/>
    </row>
    <row r="1634">
      <c r="A1634" s="81" t="str">
        <f>IFERROR(__xludf.DUMMYFUNCTION("""COMPUTED_VALUE"""),"Saints Row 2")</f>
        <v>Saints Row 2</v>
      </c>
      <c r="B1634" s="82" t="str">
        <f>IFERROR(__xludf.DUMMYFUNCTION("""COMPUTED_VALUE"""),"PS3")</f>
        <v>PS3</v>
      </c>
      <c r="C1634" s="83" t="str">
        <f>IFERROR(__xludf.DUMMYFUNCTION("""COMPUTED_VALUE"""),"Playstation Plus (Discontinued)")</f>
        <v>Playstation Plus (Discontinued)</v>
      </c>
      <c r="D1634" s="82" t="str">
        <f>IFERROR(__xludf.DUMMYFUNCTION("""COMPUTED_VALUE"""),"Removed")</f>
        <v>Removed</v>
      </c>
      <c r="E1634" s="84">
        <f>IFERROR(__xludf.DUMMYFUNCTION("""COMPUTED_VALUE"""),41065.0)</f>
        <v>41065</v>
      </c>
      <c r="F1634" s="85">
        <f>IFERROR(__xludf.DUMMYFUNCTION("""COMPUTED_VALUE"""),41092.0)</f>
        <v>41092</v>
      </c>
      <c r="G1634" s="86">
        <f>IFERROR(__xludf.DUMMYFUNCTION("""COMPUTED_VALUE"""),0.8999999999999999)</f>
        <v>0.9</v>
      </c>
      <c r="H1634" s="84">
        <f>IFERROR(__xludf.DUMMYFUNCTION("""COMPUTED_VALUE"""),39735.0)</f>
        <v>39735</v>
      </c>
      <c r="I1634" s="86">
        <f>IFERROR(__xludf.DUMMYFUNCTION("""COMPUTED_VALUE"""),3.6416666666666666)</f>
        <v>3.641666667</v>
      </c>
      <c r="J1634" s="87">
        <f>IFERROR(__xludf.DUMMYFUNCTION("""COMPUTED_VALUE"""),82.0)</f>
        <v>82</v>
      </c>
      <c r="K1634" s="88">
        <f>IFERROR(__xludf.DUMMYFUNCTION("""COMPUTED_VALUE"""),8.1)</f>
        <v>8.1</v>
      </c>
      <c r="L1634" s="89">
        <f>IFERROR(__xludf.DUMMYFUNCTION("""COMPUTED_VALUE"""),19.0)</f>
        <v>19</v>
      </c>
      <c r="M1634" s="26" t="str">
        <f>IFERROR(__xludf.DUMMYFUNCTION("""COMPUTED_VALUE"""),"Action-Adventure")</f>
        <v>Action-Adventure</v>
      </c>
      <c r="N1634" s="26"/>
      <c r="O1634" s="26" t="str">
        <f>IFERROR(__xludf.DUMMYFUNCTION("""COMPUTED_VALUE"""),"No")</f>
        <v>No</v>
      </c>
      <c r="P1634" s="26"/>
    </row>
    <row r="1635">
      <c r="A1635" s="81" t="str">
        <f>IFERROR(__xludf.DUMMYFUNCTION("""COMPUTED_VALUE"""),"Just Cause 2")</f>
        <v>Just Cause 2</v>
      </c>
      <c r="B1635" s="82" t="str">
        <f>IFERROR(__xludf.DUMMYFUNCTION("""COMPUTED_VALUE"""),"PS3")</f>
        <v>PS3</v>
      </c>
      <c r="C1635" s="83" t="str">
        <f>IFERROR(__xludf.DUMMYFUNCTION("""COMPUTED_VALUE"""),"Playstation Plus (Discontinued)")</f>
        <v>Playstation Plus (Discontinued)</v>
      </c>
      <c r="D1635" s="82" t="str">
        <f>IFERROR(__xludf.DUMMYFUNCTION("""COMPUTED_VALUE"""),"Removed")</f>
        <v>Removed</v>
      </c>
      <c r="E1635" s="84">
        <f>IFERROR(__xludf.DUMMYFUNCTION("""COMPUTED_VALUE"""),41065.0)</f>
        <v>41065</v>
      </c>
      <c r="F1635" s="85">
        <f>IFERROR(__xludf.DUMMYFUNCTION("""COMPUTED_VALUE"""),41092.0)</f>
        <v>41092</v>
      </c>
      <c r="G1635" s="86">
        <f>IFERROR(__xludf.DUMMYFUNCTION("""COMPUTED_VALUE"""),0.8999999999999999)</f>
        <v>0.9</v>
      </c>
      <c r="H1635" s="84">
        <f>IFERROR(__xludf.DUMMYFUNCTION("""COMPUTED_VALUE"""),40260.0)</f>
        <v>40260</v>
      </c>
      <c r="I1635" s="86">
        <f>IFERROR(__xludf.DUMMYFUNCTION("""COMPUTED_VALUE"""),2.2)</f>
        <v>2.2</v>
      </c>
      <c r="J1635" s="87">
        <f>IFERROR(__xludf.DUMMYFUNCTION("""COMPUTED_VALUE"""),84.0)</f>
        <v>84</v>
      </c>
      <c r="K1635" s="88">
        <f>IFERROR(__xludf.DUMMYFUNCTION("""COMPUTED_VALUE"""),8.5)</f>
        <v>8.5</v>
      </c>
      <c r="L1635" s="89">
        <f>IFERROR(__xludf.DUMMYFUNCTION("""COMPUTED_VALUE"""),18.0)</f>
        <v>18</v>
      </c>
      <c r="M1635" s="26" t="str">
        <f>IFERROR(__xludf.DUMMYFUNCTION("""COMPUTED_VALUE"""),"Action-Adventure")</f>
        <v>Action-Adventure</v>
      </c>
      <c r="N1635" s="26"/>
      <c r="O1635" s="26" t="str">
        <f>IFERROR(__xludf.DUMMYFUNCTION("""COMPUTED_VALUE"""),"No")</f>
        <v>No</v>
      </c>
      <c r="P1635" s="26"/>
    </row>
    <row r="1636">
      <c r="A1636" s="81" t="str">
        <f>IFERROR(__xludf.DUMMYFUNCTION("""COMPUTED_VALUE"""),"inFAMOUS 2")</f>
        <v>inFAMOUS 2</v>
      </c>
      <c r="B1636" s="82" t="str">
        <f>IFERROR(__xludf.DUMMYFUNCTION("""COMPUTED_VALUE"""),"PS3")</f>
        <v>PS3</v>
      </c>
      <c r="C1636" s="83" t="str">
        <f>IFERROR(__xludf.DUMMYFUNCTION("""COMPUTED_VALUE"""),"Playstation Plus (Discontinued)")</f>
        <v>Playstation Plus (Discontinued)</v>
      </c>
      <c r="D1636" s="82" t="str">
        <f>IFERROR(__xludf.DUMMYFUNCTION("""COMPUTED_VALUE"""),"Removed")</f>
        <v>Removed</v>
      </c>
      <c r="E1636" s="84">
        <f>IFERROR(__xludf.DUMMYFUNCTION("""COMPUTED_VALUE"""),41065.0)</f>
        <v>41065</v>
      </c>
      <c r="F1636" s="85">
        <f>IFERROR(__xludf.DUMMYFUNCTION("""COMPUTED_VALUE"""),41092.0)</f>
        <v>41092</v>
      </c>
      <c r="G1636" s="86">
        <f>IFERROR(__xludf.DUMMYFUNCTION("""COMPUTED_VALUE"""),0.8999999999999999)</f>
        <v>0.9</v>
      </c>
      <c r="H1636" s="84">
        <f>IFERROR(__xludf.DUMMYFUNCTION("""COMPUTED_VALUE"""),40701.0)</f>
        <v>40701</v>
      </c>
      <c r="I1636" s="86">
        <f>IFERROR(__xludf.DUMMYFUNCTION("""COMPUTED_VALUE"""),0.9944444444444445)</f>
        <v>0.9944444444</v>
      </c>
      <c r="J1636" s="87">
        <f>IFERROR(__xludf.DUMMYFUNCTION("""COMPUTED_VALUE"""),83.0)</f>
        <v>83</v>
      </c>
      <c r="K1636" s="88">
        <f>IFERROR(__xludf.DUMMYFUNCTION("""COMPUTED_VALUE"""),8.1)</f>
        <v>8.1</v>
      </c>
      <c r="L1636" s="89">
        <f>IFERROR(__xludf.DUMMYFUNCTION("""COMPUTED_VALUE"""),13.0)</f>
        <v>13</v>
      </c>
      <c r="M1636" s="26" t="str">
        <f>IFERROR(__xludf.DUMMYFUNCTION("""COMPUTED_VALUE"""),"Action-Adventure")</f>
        <v>Action-Adventure</v>
      </c>
      <c r="N1636" s="26"/>
      <c r="O1636" s="26" t="str">
        <f>IFERROR(__xludf.DUMMYFUNCTION("""COMPUTED_VALUE"""),"No")</f>
        <v>No</v>
      </c>
      <c r="P1636" s="26"/>
    </row>
    <row r="1637">
      <c r="A1637" s="81" t="str">
        <f>IFERROR(__xludf.DUMMYFUNCTION("""COMPUTED_VALUE"""),"Little Big Planet 2")</f>
        <v>Little Big Planet 2</v>
      </c>
      <c r="B1637" s="82" t="str">
        <f>IFERROR(__xludf.DUMMYFUNCTION("""COMPUTED_VALUE"""),"PS3")</f>
        <v>PS3</v>
      </c>
      <c r="C1637" s="83" t="str">
        <f>IFERROR(__xludf.DUMMYFUNCTION("""COMPUTED_VALUE"""),"Playstation Plus (Discontinued)")</f>
        <v>Playstation Plus (Discontinued)</v>
      </c>
      <c r="D1637" s="82" t="str">
        <f>IFERROR(__xludf.DUMMYFUNCTION("""COMPUTED_VALUE"""),"Removed")</f>
        <v>Removed</v>
      </c>
      <c r="E1637" s="84">
        <f>IFERROR(__xludf.DUMMYFUNCTION("""COMPUTED_VALUE"""),41065.0)</f>
        <v>41065</v>
      </c>
      <c r="F1637" s="85">
        <f>IFERROR(__xludf.DUMMYFUNCTION("""COMPUTED_VALUE"""),41092.0)</f>
        <v>41092</v>
      </c>
      <c r="G1637" s="86">
        <f>IFERROR(__xludf.DUMMYFUNCTION("""COMPUTED_VALUE"""),0.8999999999999999)</f>
        <v>0.9</v>
      </c>
      <c r="H1637" s="84">
        <f>IFERROR(__xludf.DUMMYFUNCTION("""COMPUTED_VALUE"""),40561.0)</f>
        <v>40561</v>
      </c>
      <c r="I1637" s="86">
        <f>IFERROR(__xludf.DUMMYFUNCTION("""COMPUTED_VALUE"""),1.3805555555555555)</f>
        <v>1.380555556</v>
      </c>
      <c r="J1637" s="87">
        <f>IFERROR(__xludf.DUMMYFUNCTION("""COMPUTED_VALUE"""),91.0)</f>
        <v>91</v>
      </c>
      <c r="K1637" s="88">
        <f>IFERROR(__xludf.DUMMYFUNCTION("""COMPUTED_VALUE"""),8.4)</f>
        <v>8.4</v>
      </c>
      <c r="L1637" s="89">
        <f>IFERROR(__xludf.DUMMYFUNCTION("""COMPUTED_VALUE"""),9.0)</f>
        <v>9</v>
      </c>
      <c r="M1637" s="26" t="str">
        <f>IFERROR(__xludf.DUMMYFUNCTION("""COMPUTED_VALUE"""),"Platformer")</f>
        <v>Platformer</v>
      </c>
      <c r="N1637" s="26"/>
      <c r="O1637" s="26" t="str">
        <f>IFERROR(__xludf.DUMMYFUNCTION("""COMPUTED_VALUE"""),"No")</f>
        <v>No</v>
      </c>
      <c r="P1637" s="26"/>
    </row>
    <row r="1638">
      <c r="A1638" s="81" t="str">
        <f>IFERROR(__xludf.DUMMYFUNCTION("""COMPUTED_VALUE"""),"Zombie Apocalypse: Never Die Alone")</f>
        <v>Zombie Apocalypse: Never Die Alone</v>
      </c>
      <c r="B1638" s="82" t="str">
        <f>IFERROR(__xludf.DUMMYFUNCTION("""COMPUTED_VALUE"""),"PS3")</f>
        <v>PS3</v>
      </c>
      <c r="C1638" s="83" t="str">
        <f>IFERROR(__xludf.DUMMYFUNCTION("""COMPUTED_VALUE"""),"Playstation Plus (Discontinued)")</f>
        <v>Playstation Plus (Discontinued)</v>
      </c>
      <c r="D1638" s="82" t="str">
        <f>IFERROR(__xludf.DUMMYFUNCTION("""COMPUTED_VALUE"""),"Removed")</f>
        <v>Removed</v>
      </c>
      <c r="E1638" s="84">
        <f>IFERROR(__xludf.DUMMYFUNCTION("""COMPUTED_VALUE"""),41065.0)</f>
        <v>41065</v>
      </c>
      <c r="F1638" s="85">
        <f>IFERROR(__xludf.DUMMYFUNCTION("""COMPUTED_VALUE"""),41092.0)</f>
        <v>41092</v>
      </c>
      <c r="G1638" s="86">
        <f>IFERROR(__xludf.DUMMYFUNCTION("""COMPUTED_VALUE"""),0.8999999999999999)</f>
        <v>0.9</v>
      </c>
      <c r="H1638" s="84">
        <f>IFERROR(__xludf.DUMMYFUNCTION("""COMPUTED_VALUE"""),40820.0)</f>
        <v>40820</v>
      </c>
      <c r="I1638" s="86">
        <f>IFERROR(__xludf.DUMMYFUNCTION("""COMPUTED_VALUE"""),0.6694444444444444)</f>
        <v>0.6694444444</v>
      </c>
      <c r="J1638" s="87">
        <f>IFERROR(__xludf.DUMMYFUNCTION("""COMPUTED_VALUE"""),58.0)</f>
        <v>58</v>
      </c>
      <c r="K1638" s="88">
        <f>IFERROR(__xludf.DUMMYFUNCTION("""COMPUTED_VALUE"""),6.4)</f>
        <v>6.4</v>
      </c>
      <c r="L1638" s="89">
        <f>IFERROR(__xludf.DUMMYFUNCTION("""COMPUTED_VALUE"""),5.0)</f>
        <v>5</v>
      </c>
      <c r="M1638" s="26" t="str">
        <f>IFERROR(__xludf.DUMMYFUNCTION("""COMPUTED_VALUE"""),"Shooter")</f>
        <v>Shooter</v>
      </c>
      <c r="N1638" s="26"/>
      <c r="O1638" s="26" t="str">
        <f>IFERROR(__xludf.DUMMYFUNCTION("""COMPUTED_VALUE"""),"No")</f>
        <v>No</v>
      </c>
      <c r="P1638" s="26"/>
    </row>
    <row r="1639">
      <c r="A1639" s="81" t="str">
        <f>IFERROR(__xludf.DUMMYFUNCTION("""COMPUTED_VALUE"""),"Choplifter HD")</f>
        <v>Choplifter HD</v>
      </c>
      <c r="B1639" s="82" t="str">
        <f>IFERROR(__xludf.DUMMYFUNCTION("""COMPUTED_VALUE"""),"PS3")</f>
        <v>PS3</v>
      </c>
      <c r="C1639" s="83" t="str">
        <f>IFERROR(__xludf.DUMMYFUNCTION("""COMPUTED_VALUE"""),"Playstation Plus (Discontinued)")</f>
        <v>Playstation Plus (Discontinued)</v>
      </c>
      <c r="D1639" s="82" t="str">
        <f>IFERROR(__xludf.DUMMYFUNCTION("""COMPUTED_VALUE"""),"Removed")</f>
        <v>Removed</v>
      </c>
      <c r="E1639" s="84">
        <f>IFERROR(__xludf.DUMMYFUNCTION("""COMPUTED_VALUE"""),41065.0)</f>
        <v>41065</v>
      </c>
      <c r="F1639" s="85">
        <f>IFERROR(__xludf.DUMMYFUNCTION("""COMPUTED_VALUE"""),41092.0)</f>
        <v>41092</v>
      </c>
      <c r="G1639" s="86">
        <f>IFERROR(__xludf.DUMMYFUNCTION("""COMPUTED_VALUE"""),0.8999999999999999)</f>
        <v>0.9</v>
      </c>
      <c r="H1639" s="84">
        <f>IFERROR(__xludf.DUMMYFUNCTION("""COMPUTED_VALUE"""),40919.0)</f>
        <v>40919</v>
      </c>
      <c r="I1639" s="86">
        <f>IFERROR(__xludf.DUMMYFUNCTION("""COMPUTED_VALUE"""),0.4)</f>
        <v>0.4</v>
      </c>
      <c r="J1639" s="87">
        <f>IFERROR(__xludf.DUMMYFUNCTION("""COMPUTED_VALUE"""),62.0)</f>
        <v>62</v>
      </c>
      <c r="K1639" s="88">
        <f>IFERROR(__xludf.DUMMYFUNCTION("""COMPUTED_VALUE"""),6.8)</f>
        <v>6.8</v>
      </c>
      <c r="L1639" s="89">
        <f>IFERROR(__xludf.DUMMYFUNCTION("""COMPUTED_VALUE"""),5.0)</f>
        <v>5</v>
      </c>
      <c r="M1639" s="26" t="str">
        <f>IFERROR(__xludf.DUMMYFUNCTION("""COMPUTED_VALUE"""),"Shooter")</f>
        <v>Shooter</v>
      </c>
      <c r="N1639" s="26"/>
      <c r="O1639" s="26" t="str">
        <f>IFERROR(__xludf.DUMMYFUNCTION("""COMPUTED_VALUE"""),"No")</f>
        <v>No</v>
      </c>
      <c r="P1639" s="26"/>
    </row>
    <row r="1640">
      <c r="A1640" s="81" t="str">
        <f>IFERROR(__xludf.DUMMYFUNCTION("""COMPUTED_VALUE"""),"Sideway: New York")</f>
        <v>Sideway: New York</v>
      </c>
      <c r="B1640" s="82" t="str">
        <f>IFERROR(__xludf.DUMMYFUNCTION("""COMPUTED_VALUE"""),"PS3")</f>
        <v>PS3</v>
      </c>
      <c r="C1640" s="83" t="str">
        <f>IFERROR(__xludf.DUMMYFUNCTION("""COMPUTED_VALUE"""),"Playstation Plus (Discontinued)")</f>
        <v>Playstation Plus (Discontinued)</v>
      </c>
      <c r="D1640" s="82" t="str">
        <f>IFERROR(__xludf.DUMMYFUNCTION("""COMPUTED_VALUE"""),"Removed")</f>
        <v>Removed</v>
      </c>
      <c r="E1640" s="84">
        <f>IFERROR(__xludf.DUMMYFUNCTION("""COMPUTED_VALUE"""),41065.0)</f>
        <v>41065</v>
      </c>
      <c r="F1640" s="85">
        <f>IFERROR(__xludf.DUMMYFUNCTION("""COMPUTED_VALUE"""),41092.0)</f>
        <v>41092</v>
      </c>
      <c r="G1640" s="86">
        <f>IFERROR(__xludf.DUMMYFUNCTION("""COMPUTED_VALUE"""),0.8999999999999999)</f>
        <v>0.9</v>
      </c>
      <c r="H1640" s="84">
        <f>IFERROR(__xludf.DUMMYFUNCTION("""COMPUTED_VALUE"""),40827.0)</f>
        <v>40827</v>
      </c>
      <c r="I1640" s="86">
        <f>IFERROR(__xludf.DUMMYFUNCTION("""COMPUTED_VALUE"""),0.65)</f>
        <v>0.65</v>
      </c>
      <c r="J1640" s="87">
        <f>IFERROR(__xludf.DUMMYFUNCTION("""COMPUTED_VALUE"""),71.0)</f>
        <v>71</v>
      </c>
      <c r="K1640" s="88">
        <f>IFERROR(__xludf.DUMMYFUNCTION("""COMPUTED_VALUE"""),7.1)</f>
        <v>7.1</v>
      </c>
      <c r="L1640" s="89">
        <f>IFERROR(__xludf.DUMMYFUNCTION("""COMPUTED_VALUE"""),4.0)</f>
        <v>4</v>
      </c>
      <c r="M1640" s="26" t="str">
        <f>IFERROR(__xludf.DUMMYFUNCTION("""COMPUTED_VALUE"""),"Platformer")</f>
        <v>Platformer</v>
      </c>
      <c r="N1640" s="26"/>
      <c r="O1640" s="26" t="str">
        <f>IFERROR(__xludf.DUMMYFUNCTION("""COMPUTED_VALUE"""),"No")</f>
        <v>No</v>
      </c>
      <c r="P1640" s="26"/>
    </row>
    <row r="1641">
      <c r="A1641" s="81" t="str">
        <f>IFERROR(__xludf.DUMMYFUNCTION("""COMPUTED_VALUE"""),"Hard Corps: Uprising")</f>
        <v>Hard Corps: Uprising</v>
      </c>
      <c r="B1641" s="82" t="str">
        <f>IFERROR(__xludf.DUMMYFUNCTION("""COMPUTED_VALUE"""),"PS3")</f>
        <v>PS3</v>
      </c>
      <c r="C1641" s="83" t="str">
        <f>IFERROR(__xludf.DUMMYFUNCTION("""COMPUTED_VALUE"""),"Playstation Plus (Discontinued)")</f>
        <v>Playstation Plus (Discontinued)</v>
      </c>
      <c r="D1641" s="82" t="str">
        <f>IFERROR(__xludf.DUMMYFUNCTION("""COMPUTED_VALUE"""),"Removed")</f>
        <v>Removed</v>
      </c>
      <c r="E1641" s="84">
        <f>IFERROR(__xludf.DUMMYFUNCTION("""COMPUTED_VALUE"""),41065.0)</f>
        <v>41065</v>
      </c>
      <c r="F1641" s="85">
        <f>IFERROR(__xludf.DUMMYFUNCTION("""COMPUTED_VALUE"""),41092.0)</f>
        <v>41092</v>
      </c>
      <c r="G1641" s="86">
        <f>IFERROR(__xludf.DUMMYFUNCTION("""COMPUTED_VALUE"""),0.8999999999999999)</f>
        <v>0.9</v>
      </c>
      <c r="H1641" s="84">
        <f>IFERROR(__xludf.DUMMYFUNCTION("""COMPUTED_VALUE"""),40590.0)</f>
        <v>40590</v>
      </c>
      <c r="I1641" s="86">
        <f>IFERROR(__xludf.DUMMYFUNCTION("""COMPUTED_VALUE"""),1.3027777777777778)</f>
        <v>1.302777778</v>
      </c>
      <c r="J1641" s="87">
        <f>IFERROR(__xludf.DUMMYFUNCTION("""COMPUTED_VALUE"""),78.0)</f>
        <v>78</v>
      </c>
      <c r="K1641" s="88">
        <f>IFERROR(__xludf.DUMMYFUNCTION("""COMPUTED_VALUE"""),7.8)</f>
        <v>7.8</v>
      </c>
      <c r="L1641" s="89">
        <f>IFERROR(__xludf.DUMMYFUNCTION("""COMPUTED_VALUE"""),5.0)</f>
        <v>5</v>
      </c>
      <c r="M1641" s="26" t="str">
        <f>IFERROR(__xludf.DUMMYFUNCTION("""COMPUTED_VALUE"""),"Platformer")</f>
        <v>Platformer</v>
      </c>
      <c r="N1641" s="26"/>
      <c r="O1641" s="26" t="str">
        <f>IFERROR(__xludf.DUMMYFUNCTION("""COMPUTED_VALUE"""),"No")</f>
        <v>No</v>
      </c>
      <c r="P1641" s="26"/>
    </row>
    <row r="1642">
      <c r="A1642" s="81" t="str">
        <f>IFERROR(__xludf.DUMMYFUNCTION("""COMPUTED_VALUE"""),"Awesomenauts")</f>
        <v>Awesomenauts</v>
      </c>
      <c r="B1642" s="82" t="str">
        <f>IFERROR(__xludf.DUMMYFUNCTION("""COMPUTED_VALUE"""),"PS3")</f>
        <v>PS3</v>
      </c>
      <c r="C1642" s="83" t="str">
        <f>IFERROR(__xludf.DUMMYFUNCTION("""COMPUTED_VALUE"""),"Playstation Plus (Discontinued)")</f>
        <v>Playstation Plus (Discontinued)</v>
      </c>
      <c r="D1642" s="82" t="str">
        <f>IFERROR(__xludf.DUMMYFUNCTION("""COMPUTED_VALUE"""),"Removed")</f>
        <v>Removed</v>
      </c>
      <c r="E1642" s="84">
        <f>IFERROR(__xludf.DUMMYFUNCTION("""COMPUTED_VALUE"""),41030.0)</f>
        <v>41030</v>
      </c>
      <c r="F1642" s="85">
        <f>IFERROR(__xludf.DUMMYFUNCTION("""COMPUTED_VALUE"""),41064.0)</f>
        <v>41064</v>
      </c>
      <c r="G1642" s="86">
        <f>IFERROR(__xludf.DUMMYFUNCTION("""COMPUTED_VALUE"""),1.0999999999999999)</f>
        <v>1.1</v>
      </c>
      <c r="H1642" s="84">
        <f>IFERROR(__xludf.DUMMYFUNCTION("""COMPUTED_VALUE"""),41030.0)</f>
        <v>41030</v>
      </c>
      <c r="I1642" s="86">
        <f>IFERROR(__xludf.DUMMYFUNCTION("""COMPUTED_VALUE"""),0.0)</f>
        <v>0</v>
      </c>
      <c r="J1642" s="87">
        <f>IFERROR(__xludf.DUMMYFUNCTION("""COMPUTED_VALUE"""),77.0)</f>
        <v>77</v>
      </c>
      <c r="K1642" s="88">
        <f>IFERROR(__xludf.DUMMYFUNCTION("""COMPUTED_VALUE"""),7.8)</f>
        <v>7.8</v>
      </c>
      <c r="L1642" s="89"/>
      <c r="M1642" s="26" t="str">
        <f>IFERROR(__xludf.DUMMYFUNCTION("""COMPUTED_VALUE"""),"Strategy")</f>
        <v>Strategy</v>
      </c>
      <c r="N1642" s="26"/>
      <c r="O1642" s="26" t="str">
        <f>IFERROR(__xludf.DUMMYFUNCTION("""COMPUTED_VALUE"""),"No")</f>
        <v>No</v>
      </c>
      <c r="P1642" s="26"/>
    </row>
    <row r="1643">
      <c r="A1643" s="81" t="str">
        <f>IFERROR(__xludf.DUMMYFUNCTION("""COMPUTED_VALUE"""),"Velocity")</f>
        <v>Velocity</v>
      </c>
      <c r="B1643" s="82" t="str">
        <f>IFERROR(__xludf.DUMMYFUNCTION("""COMPUTED_VALUE"""),"PS3")</f>
        <v>PS3</v>
      </c>
      <c r="C1643" s="83" t="str">
        <f>IFERROR(__xludf.DUMMYFUNCTION("""COMPUTED_VALUE"""),"Playstation Plus (Discontinued)")</f>
        <v>Playstation Plus (Discontinued)</v>
      </c>
      <c r="D1643" s="82" t="str">
        <f>IFERROR(__xludf.DUMMYFUNCTION("""COMPUTED_VALUE"""),"Removed")</f>
        <v>Removed</v>
      </c>
      <c r="E1643" s="84">
        <f>IFERROR(__xludf.DUMMYFUNCTION("""COMPUTED_VALUE"""),41030.0)</f>
        <v>41030</v>
      </c>
      <c r="F1643" s="85">
        <f>IFERROR(__xludf.DUMMYFUNCTION("""COMPUTED_VALUE"""),41064.0)</f>
        <v>41064</v>
      </c>
      <c r="G1643" s="86">
        <f>IFERROR(__xludf.DUMMYFUNCTION("""COMPUTED_VALUE"""),1.0999999999999999)</f>
        <v>1.1</v>
      </c>
      <c r="H1643" s="84">
        <f>IFERROR(__xludf.DUMMYFUNCTION("""COMPUTED_VALUE"""),40933.0)</f>
        <v>40933</v>
      </c>
      <c r="I1643" s="86">
        <f>IFERROR(__xludf.DUMMYFUNCTION("""COMPUTED_VALUE"""),0.26666666666666666)</f>
        <v>0.2666666667</v>
      </c>
      <c r="J1643" s="87">
        <f>IFERROR(__xludf.DUMMYFUNCTION("""COMPUTED_VALUE"""),78.0)</f>
        <v>78</v>
      </c>
      <c r="K1643" s="88">
        <f>IFERROR(__xludf.DUMMYFUNCTION("""COMPUTED_VALUE"""),7.7)</f>
        <v>7.7</v>
      </c>
      <c r="L1643" s="89">
        <f>IFERROR(__xludf.DUMMYFUNCTION("""COMPUTED_VALUE"""),4.0)</f>
        <v>4</v>
      </c>
      <c r="M1643" s="26" t="str">
        <f>IFERROR(__xludf.DUMMYFUNCTION("""COMPUTED_VALUE"""),"Shooter")</f>
        <v>Shooter</v>
      </c>
      <c r="N1643" s="26" t="str">
        <f>IFERROR(__xludf.DUMMYFUNCTION("""COMPUTED_VALUE"""),"PS Minis")</f>
        <v>PS Minis</v>
      </c>
      <c r="O1643" s="26" t="str">
        <f>IFERROR(__xludf.DUMMYFUNCTION("""COMPUTED_VALUE"""),"No")</f>
        <v>No</v>
      </c>
      <c r="P1643" s="26"/>
    </row>
    <row r="1644">
      <c r="A1644" s="81" t="str">
        <f>IFERROR(__xludf.DUMMYFUNCTION("""COMPUTED_VALUE"""),"Floating Cloud God Saves The Pilgrims")</f>
        <v>Floating Cloud God Saves The Pilgrims</v>
      </c>
      <c r="B1644" s="82" t="str">
        <f>IFERROR(__xludf.DUMMYFUNCTION("""COMPUTED_VALUE"""),"PS3")</f>
        <v>PS3</v>
      </c>
      <c r="C1644" s="83" t="str">
        <f>IFERROR(__xludf.DUMMYFUNCTION("""COMPUTED_VALUE"""),"Playstation Plus (Discontinued)")</f>
        <v>Playstation Plus (Discontinued)</v>
      </c>
      <c r="D1644" s="82" t="str">
        <f>IFERROR(__xludf.DUMMYFUNCTION("""COMPUTED_VALUE"""),"Removed")</f>
        <v>Removed</v>
      </c>
      <c r="E1644" s="84">
        <f>IFERROR(__xludf.DUMMYFUNCTION("""COMPUTED_VALUE"""),41030.0)</f>
        <v>41030</v>
      </c>
      <c r="F1644" s="85">
        <f>IFERROR(__xludf.DUMMYFUNCTION("""COMPUTED_VALUE"""),41064.0)</f>
        <v>41064</v>
      </c>
      <c r="G1644" s="86">
        <f>IFERROR(__xludf.DUMMYFUNCTION("""COMPUTED_VALUE"""),1.0999999999999999)</f>
        <v>1.1</v>
      </c>
      <c r="H1644" s="84">
        <f>IFERROR(__xludf.DUMMYFUNCTION("""COMPUTED_VALUE"""),40806.0)</f>
        <v>40806</v>
      </c>
      <c r="I1644" s="86">
        <f>IFERROR(__xludf.DUMMYFUNCTION("""COMPUTED_VALUE"""),0.6138888888888889)</f>
        <v>0.6138888889</v>
      </c>
      <c r="J1644" s="87">
        <f>IFERROR(__xludf.DUMMYFUNCTION("""COMPUTED_VALUE"""),55.0)</f>
        <v>55</v>
      </c>
      <c r="K1644" s="88">
        <f>IFERROR(__xludf.DUMMYFUNCTION("""COMPUTED_VALUE"""),6.2)</f>
        <v>6.2</v>
      </c>
      <c r="L1644" s="89">
        <f>IFERROR(__xludf.DUMMYFUNCTION("""COMPUTED_VALUE"""),3.0)</f>
        <v>3</v>
      </c>
      <c r="M1644" s="26" t="str">
        <f>IFERROR(__xludf.DUMMYFUNCTION("""COMPUTED_VALUE"""),"Shooter")</f>
        <v>Shooter</v>
      </c>
      <c r="N1644" s="26" t="str">
        <f>IFERROR(__xludf.DUMMYFUNCTION("""COMPUTED_VALUE"""),"PS Minis")</f>
        <v>PS Minis</v>
      </c>
      <c r="O1644" s="26" t="str">
        <f>IFERROR(__xludf.DUMMYFUNCTION("""COMPUTED_VALUE"""),"No")</f>
        <v>No</v>
      </c>
      <c r="P1644" s="26"/>
    </row>
    <row r="1645">
      <c r="A1645" s="81" t="str">
        <f>IFERROR(__xludf.DUMMYFUNCTION("""COMPUTED_VALUE"""),"Trine 2")</f>
        <v>Trine 2</v>
      </c>
      <c r="B1645" s="82" t="str">
        <f>IFERROR(__xludf.DUMMYFUNCTION("""COMPUTED_VALUE"""),"PS3")</f>
        <v>PS3</v>
      </c>
      <c r="C1645" s="83" t="str">
        <f>IFERROR(__xludf.DUMMYFUNCTION("""COMPUTED_VALUE"""),"Playstation Plus (Discontinued)")</f>
        <v>Playstation Plus (Discontinued)</v>
      </c>
      <c r="D1645" s="82" t="str">
        <f>IFERROR(__xludf.DUMMYFUNCTION("""COMPUTED_VALUE"""),"Removed")</f>
        <v>Removed</v>
      </c>
      <c r="E1645" s="84">
        <f>IFERROR(__xludf.DUMMYFUNCTION("""COMPUTED_VALUE"""),41030.0)</f>
        <v>41030</v>
      </c>
      <c r="F1645" s="85">
        <f>IFERROR(__xludf.DUMMYFUNCTION("""COMPUTED_VALUE"""),41064.0)</f>
        <v>41064</v>
      </c>
      <c r="G1645" s="86">
        <f>IFERROR(__xludf.DUMMYFUNCTION("""COMPUTED_VALUE"""),1.0999999999999999)</f>
        <v>1.1</v>
      </c>
      <c r="H1645" s="84">
        <f>IFERROR(__xludf.DUMMYFUNCTION("""COMPUTED_VALUE"""),40884.0)</f>
        <v>40884</v>
      </c>
      <c r="I1645" s="86">
        <f>IFERROR(__xludf.DUMMYFUNCTION("""COMPUTED_VALUE"""),0.4)</f>
        <v>0.4</v>
      </c>
      <c r="J1645" s="87">
        <f>IFERROR(__xludf.DUMMYFUNCTION("""COMPUTED_VALUE"""),84.0)</f>
        <v>84</v>
      </c>
      <c r="K1645" s="88">
        <f>IFERROR(__xludf.DUMMYFUNCTION("""COMPUTED_VALUE"""),8.2)</f>
        <v>8.2</v>
      </c>
      <c r="L1645" s="89">
        <f>IFERROR(__xludf.DUMMYFUNCTION("""COMPUTED_VALUE"""),10.0)</f>
        <v>10</v>
      </c>
      <c r="M1645" s="26" t="str">
        <f>IFERROR(__xludf.DUMMYFUNCTION("""COMPUTED_VALUE"""),"Platformer")</f>
        <v>Platformer</v>
      </c>
      <c r="N1645" s="26"/>
      <c r="O1645" s="26" t="str">
        <f>IFERROR(__xludf.DUMMYFUNCTION("""COMPUTED_VALUE"""),"No")</f>
        <v>No</v>
      </c>
      <c r="P1645" s="26"/>
    </row>
    <row r="1646">
      <c r="A1646" s="81" t="str">
        <f>IFERROR(__xludf.DUMMYFUNCTION("""COMPUTED_VALUE"""),"Rock of Ages")</f>
        <v>Rock of Ages</v>
      </c>
      <c r="B1646" s="82" t="str">
        <f>IFERROR(__xludf.DUMMYFUNCTION("""COMPUTED_VALUE"""),"PS3")</f>
        <v>PS3</v>
      </c>
      <c r="C1646" s="83" t="str">
        <f>IFERROR(__xludf.DUMMYFUNCTION("""COMPUTED_VALUE"""),"Playstation Plus (Discontinued)")</f>
        <v>Playstation Plus (Discontinued)</v>
      </c>
      <c r="D1646" s="82" t="str">
        <f>IFERROR(__xludf.DUMMYFUNCTION("""COMPUTED_VALUE"""),"Removed")</f>
        <v>Removed</v>
      </c>
      <c r="E1646" s="84">
        <f>IFERROR(__xludf.DUMMYFUNCTION("""COMPUTED_VALUE"""),41030.0)</f>
        <v>41030</v>
      </c>
      <c r="F1646" s="85">
        <f>IFERROR(__xludf.DUMMYFUNCTION("""COMPUTED_VALUE"""),41064.0)</f>
        <v>41064</v>
      </c>
      <c r="G1646" s="86">
        <f>IFERROR(__xludf.DUMMYFUNCTION("""COMPUTED_VALUE"""),1.0999999999999999)</f>
        <v>1.1</v>
      </c>
      <c r="H1646" s="84">
        <f>IFERROR(__xludf.DUMMYFUNCTION("""COMPUTED_VALUE"""),40786.0)</f>
        <v>40786</v>
      </c>
      <c r="I1646" s="86">
        <f>IFERROR(__xludf.DUMMYFUNCTION("""COMPUTED_VALUE"""),0.6694444444444444)</f>
        <v>0.6694444444</v>
      </c>
      <c r="J1646" s="87">
        <f>IFERROR(__xludf.DUMMYFUNCTION("""COMPUTED_VALUE"""),76.0)</f>
        <v>76</v>
      </c>
      <c r="K1646" s="88">
        <f>IFERROR(__xludf.DUMMYFUNCTION("""COMPUTED_VALUE"""),7.6)</f>
        <v>7.6</v>
      </c>
      <c r="L1646" s="89">
        <f>IFERROR(__xludf.DUMMYFUNCTION("""COMPUTED_VALUE"""),4.0)</f>
        <v>4</v>
      </c>
      <c r="M1646" s="26" t="str">
        <f>IFERROR(__xludf.DUMMYFUNCTION("""COMPUTED_VALUE"""),"Strategy")</f>
        <v>Strategy</v>
      </c>
      <c r="N1646" s="26"/>
      <c r="O1646" s="26" t="str">
        <f>IFERROR(__xludf.DUMMYFUNCTION("""COMPUTED_VALUE"""),"No")</f>
        <v>No</v>
      </c>
      <c r="P1646" s="26"/>
    </row>
    <row r="1647">
      <c r="A1647" s="81" t="str">
        <f>IFERROR(__xludf.DUMMYFUNCTION("""COMPUTED_VALUE"""),"Castlevania: Symphony of the Night")</f>
        <v>Castlevania: Symphony of the Night</v>
      </c>
      <c r="B1647" s="82" t="str">
        <f>IFERROR(__xludf.DUMMYFUNCTION("""COMPUTED_VALUE"""),"PS3")</f>
        <v>PS3</v>
      </c>
      <c r="C1647" s="83" t="str">
        <f>IFERROR(__xludf.DUMMYFUNCTION("""COMPUTED_VALUE"""),"Playstation Plus (Discontinued)")</f>
        <v>Playstation Plus (Discontinued)</v>
      </c>
      <c r="D1647" s="82" t="str">
        <f>IFERROR(__xludf.DUMMYFUNCTION("""COMPUTED_VALUE"""),"Removed")</f>
        <v>Removed</v>
      </c>
      <c r="E1647" s="84">
        <f>IFERROR(__xludf.DUMMYFUNCTION("""COMPUTED_VALUE"""),41030.0)</f>
        <v>41030</v>
      </c>
      <c r="F1647" s="85">
        <f>IFERROR(__xludf.DUMMYFUNCTION("""COMPUTED_VALUE"""),41064.0)</f>
        <v>41064</v>
      </c>
      <c r="G1647" s="86">
        <f>IFERROR(__xludf.DUMMYFUNCTION("""COMPUTED_VALUE"""),1.0999999999999999)</f>
        <v>1.1</v>
      </c>
      <c r="H1647" s="84">
        <f>IFERROR(__xludf.DUMMYFUNCTION("""COMPUTED_VALUE"""),39357.0)</f>
        <v>39357</v>
      </c>
      <c r="I1647" s="86">
        <f>IFERROR(__xludf.DUMMYFUNCTION("""COMPUTED_VALUE"""),4.580555555555556)</f>
        <v>4.580555556</v>
      </c>
      <c r="J1647" s="87">
        <f>IFERROR(__xludf.DUMMYFUNCTION("""COMPUTED_VALUE"""),89.0)</f>
        <v>89</v>
      </c>
      <c r="K1647" s="88">
        <f>IFERROR(__xludf.DUMMYFUNCTION("""COMPUTED_VALUE"""),9.2)</f>
        <v>9.2</v>
      </c>
      <c r="L1647" s="89">
        <f>IFERROR(__xludf.DUMMYFUNCTION("""COMPUTED_VALUE"""),9.0)</f>
        <v>9</v>
      </c>
      <c r="M1647" s="26" t="str">
        <f>IFERROR(__xludf.DUMMYFUNCTION("""COMPUTED_VALUE"""),"Action-Adventure")</f>
        <v>Action-Adventure</v>
      </c>
      <c r="N1647" s="26" t="str">
        <f>IFERROR(__xludf.DUMMYFUNCTION("""COMPUTED_VALUE"""),"PS1")</f>
        <v>PS1</v>
      </c>
      <c r="O1647" s="26" t="str">
        <f>IFERROR(__xludf.DUMMYFUNCTION("""COMPUTED_VALUE"""),"No")</f>
        <v>No</v>
      </c>
      <c r="P1647" s="26"/>
    </row>
    <row r="1648">
      <c r="A1648" s="81" t="str">
        <f>IFERROR(__xludf.DUMMYFUNCTION("""COMPUTED_VALUE"""),"Castlevania: Chronicles")</f>
        <v>Castlevania: Chronicles</v>
      </c>
      <c r="B1648" s="82" t="str">
        <f>IFERROR(__xludf.DUMMYFUNCTION("""COMPUTED_VALUE"""),"PS3")</f>
        <v>PS3</v>
      </c>
      <c r="C1648" s="83" t="str">
        <f>IFERROR(__xludf.DUMMYFUNCTION("""COMPUTED_VALUE"""),"Playstation Plus (Discontinued)")</f>
        <v>Playstation Plus (Discontinued)</v>
      </c>
      <c r="D1648" s="82" t="str">
        <f>IFERROR(__xludf.DUMMYFUNCTION("""COMPUTED_VALUE"""),"Removed")</f>
        <v>Removed</v>
      </c>
      <c r="E1648" s="84">
        <f>IFERROR(__xludf.DUMMYFUNCTION("""COMPUTED_VALUE"""),41030.0)</f>
        <v>41030</v>
      </c>
      <c r="F1648" s="85">
        <f>IFERROR(__xludf.DUMMYFUNCTION("""COMPUTED_VALUE"""),41064.0)</f>
        <v>41064</v>
      </c>
      <c r="G1648" s="86">
        <f>IFERROR(__xludf.DUMMYFUNCTION("""COMPUTED_VALUE"""),1.0999999999999999)</f>
        <v>1.1</v>
      </c>
      <c r="H1648" s="84">
        <f>IFERROR(__xludf.DUMMYFUNCTION("""COMPUTED_VALUE"""),37110.0)</f>
        <v>37110</v>
      </c>
      <c r="I1648" s="86">
        <f>IFERROR(__xludf.DUMMYFUNCTION("""COMPUTED_VALUE"""),10.733333333333333)</f>
        <v>10.73333333</v>
      </c>
      <c r="J1648" s="87">
        <f>IFERROR(__xludf.DUMMYFUNCTION("""COMPUTED_VALUE"""),73.0)</f>
        <v>73</v>
      </c>
      <c r="K1648" s="88">
        <f>IFERROR(__xludf.DUMMYFUNCTION("""COMPUTED_VALUE"""),8.0)</f>
        <v>8</v>
      </c>
      <c r="L1648" s="89">
        <f>IFERROR(__xludf.DUMMYFUNCTION("""COMPUTED_VALUE"""),6.0)</f>
        <v>6</v>
      </c>
      <c r="M1648" s="26" t="str">
        <f>IFERROR(__xludf.DUMMYFUNCTION("""COMPUTED_VALUE"""),"Platformer")</f>
        <v>Platformer</v>
      </c>
      <c r="N1648" s="26" t="str">
        <f>IFERROR(__xludf.DUMMYFUNCTION("""COMPUTED_VALUE"""),"PS1")</f>
        <v>PS1</v>
      </c>
      <c r="O1648" s="26" t="str">
        <f>IFERROR(__xludf.DUMMYFUNCTION("""COMPUTED_VALUE"""),"No")</f>
        <v>No</v>
      </c>
      <c r="P1648" s="26"/>
    </row>
    <row r="1649">
      <c r="A1649" s="81" t="str">
        <f>IFERROR(__xludf.DUMMYFUNCTION("""COMPUTED_VALUE"""),"Defenders of the Mystic Garden")</f>
        <v>Defenders of the Mystic Garden</v>
      </c>
      <c r="B1649" s="82" t="str">
        <f>IFERROR(__xludf.DUMMYFUNCTION("""COMPUTED_VALUE"""),"PS3")</f>
        <v>PS3</v>
      </c>
      <c r="C1649" s="83" t="str">
        <f>IFERROR(__xludf.DUMMYFUNCTION("""COMPUTED_VALUE"""),"Playstation Plus (Discontinued)")</f>
        <v>Playstation Plus (Discontinued)</v>
      </c>
      <c r="D1649" s="82" t="str">
        <f>IFERROR(__xludf.DUMMYFUNCTION("""COMPUTED_VALUE"""),"Removed")</f>
        <v>Removed</v>
      </c>
      <c r="E1649" s="84">
        <f>IFERROR(__xludf.DUMMYFUNCTION("""COMPUTED_VALUE"""),41002.0)</f>
        <v>41002</v>
      </c>
      <c r="F1649" s="85">
        <f>IFERROR(__xludf.DUMMYFUNCTION("""COMPUTED_VALUE"""),41029.0)</f>
        <v>41029</v>
      </c>
      <c r="G1649" s="86">
        <f>IFERROR(__xludf.DUMMYFUNCTION("""COMPUTED_VALUE"""),0.8999999999999999)</f>
        <v>0.9</v>
      </c>
      <c r="H1649" s="84">
        <f>IFERROR(__xludf.DUMMYFUNCTION("""COMPUTED_VALUE"""),40800.0)</f>
        <v>40800</v>
      </c>
      <c r="I1649" s="86">
        <f>IFERROR(__xludf.DUMMYFUNCTION("""COMPUTED_VALUE"""),0.5527777777777778)</f>
        <v>0.5527777778</v>
      </c>
      <c r="J1649" s="87">
        <f>IFERROR(__xludf.DUMMYFUNCTION("""COMPUTED_VALUE"""),52.0)</f>
        <v>52</v>
      </c>
      <c r="K1649" s="88">
        <f>IFERROR(__xludf.DUMMYFUNCTION("""COMPUTED_VALUE"""),6.1)</f>
        <v>6.1</v>
      </c>
      <c r="L1649" s="89"/>
      <c r="M1649" s="26" t="str">
        <f>IFERROR(__xludf.DUMMYFUNCTION("""COMPUTED_VALUE"""),"Strategy")</f>
        <v>Strategy</v>
      </c>
      <c r="N1649" s="26" t="str">
        <f>IFERROR(__xludf.DUMMYFUNCTION("""COMPUTED_VALUE"""),"PS Minis")</f>
        <v>PS Minis</v>
      </c>
      <c r="O1649" s="26" t="str">
        <f>IFERROR(__xludf.DUMMYFUNCTION("""COMPUTED_VALUE"""),"No")</f>
        <v>No</v>
      </c>
      <c r="P1649" s="26"/>
    </row>
    <row r="1650">
      <c r="A1650" s="81" t="str">
        <f>IFERROR(__xludf.DUMMYFUNCTION("""COMPUTED_VALUE"""),"Shank 2")</f>
        <v>Shank 2</v>
      </c>
      <c r="B1650" s="82" t="str">
        <f>IFERROR(__xludf.DUMMYFUNCTION("""COMPUTED_VALUE"""),"PS3")</f>
        <v>PS3</v>
      </c>
      <c r="C1650" s="83" t="str">
        <f>IFERROR(__xludf.DUMMYFUNCTION("""COMPUTED_VALUE"""),"Playstation Plus (Discontinued)")</f>
        <v>Playstation Plus (Discontinued)</v>
      </c>
      <c r="D1650" s="82" t="str">
        <f>IFERROR(__xludf.DUMMYFUNCTION("""COMPUTED_VALUE"""),"Removed")</f>
        <v>Removed</v>
      </c>
      <c r="E1650" s="84">
        <f>IFERROR(__xludf.DUMMYFUNCTION("""COMPUTED_VALUE"""),41002.0)</f>
        <v>41002</v>
      </c>
      <c r="F1650" s="85">
        <f>IFERROR(__xludf.DUMMYFUNCTION("""COMPUTED_VALUE"""),41029.0)</f>
        <v>41029</v>
      </c>
      <c r="G1650" s="86">
        <f>IFERROR(__xludf.DUMMYFUNCTION("""COMPUTED_VALUE"""),0.8999999999999999)</f>
        <v>0.9</v>
      </c>
      <c r="H1650" s="84">
        <f>IFERROR(__xludf.DUMMYFUNCTION("""COMPUTED_VALUE"""),40946.0)</f>
        <v>40946</v>
      </c>
      <c r="I1650" s="86">
        <f>IFERROR(__xludf.DUMMYFUNCTION("""COMPUTED_VALUE"""),0.15555555555555556)</f>
        <v>0.1555555556</v>
      </c>
      <c r="J1650" s="87">
        <f>IFERROR(__xludf.DUMMYFUNCTION("""COMPUTED_VALUE"""),72.0)</f>
        <v>72</v>
      </c>
      <c r="K1650" s="88">
        <f>IFERROR(__xludf.DUMMYFUNCTION("""COMPUTED_VALUE"""),7.1)</f>
        <v>7.1</v>
      </c>
      <c r="L1650" s="89">
        <f>IFERROR(__xludf.DUMMYFUNCTION("""COMPUTED_VALUE"""),5.0)</f>
        <v>5</v>
      </c>
      <c r="M1650" s="26" t="str">
        <f>IFERROR(__xludf.DUMMYFUNCTION("""COMPUTED_VALUE"""),"Platformer")</f>
        <v>Platformer</v>
      </c>
      <c r="N1650" s="26"/>
      <c r="O1650" s="26" t="str">
        <f>IFERROR(__xludf.DUMMYFUNCTION("""COMPUTED_VALUE"""),"No")</f>
        <v>No</v>
      </c>
      <c r="P1650" s="26"/>
    </row>
    <row r="1651">
      <c r="A1651" s="81" t="str">
        <f>IFERROR(__xludf.DUMMYFUNCTION("""COMPUTED_VALUE"""),"Shift 2: Unleashed")</f>
        <v>Shift 2: Unleashed</v>
      </c>
      <c r="B1651" s="82" t="str">
        <f>IFERROR(__xludf.DUMMYFUNCTION("""COMPUTED_VALUE"""),"PS3")</f>
        <v>PS3</v>
      </c>
      <c r="C1651" s="83" t="str">
        <f>IFERROR(__xludf.DUMMYFUNCTION("""COMPUTED_VALUE"""),"Playstation Plus (Discontinued)")</f>
        <v>Playstation Plus (Discontinued)</v>
      </c>
      <c r="D1651" s="82" t="str">
        <f>IFERROR(__xludf.DUMMYFUNCTION("""COMPUTED_VALUE"""),"Removed")</f>
        <v>Removed</v>
      </c>
      <c r="E1651" s="84">
        <f>IFERROR(__xludf.DUMMYFUNCTION("""COMPUTED_VALUE"""),41002.0)</f>
        <v>41002</v>
      </c>
      <c r="F1651" s="85">
        <f>IFERROR(__xludf.DUMMYFUNCTION("""COMPUTED_VALUE"""),41029.0)</f>
        <v>41029</v>
      </c>
      <c r="G1651" s="86">
        <f>IFERROR(__xludf.DUMMYFUNCTION("""COMPUTED_VALUE"""),0.8999999999999999)</f>
        <v>0.9</v>
      </c>
      <c r="H1651" s="84">
        <f>IFERROR(__xludf.DUMMYFUNCTION("""COMPUTED_VALUE"""),40631.0)</f>
        <v>40631</v>
      </c>
      <c r="I1651" s="86">
        <f>IFERROR(__xludf.DUMMYFUNCTION("""COMPUTED_VALUE"""),1.011111111111111)</f>
        <v>1.011111111</v>
      </c>
      <c r="J1651" s="87">
        <f>IFERROR(__xludf.DUMMYFUNCTION("""COMPUTED_VALUE"""),84.0)</f>
        <v>84</v>
      </c>
      <c r="K1651" s="88">
        <f>IFERROR(__xludf.DUMMYFUNCTION("""COMPUTED_VALUE"""),7.5)</f>
        <v>7.5</v>
      </c>
      <c r="L1651" s="89"/>
      <c r="M1651" s="26" t="str">
        <f>IFERROR(__xludf.DUMMYFUNCTION("""COMPUTED_VALUE"""),"Racing")</f>
        <v>Racing</v>
      </c>
      <c r="N1651" s="26"/>
      <c r="O1651" s="26" t="str">
        <f>IFERROR(__xludf.DUMMYFUNCTION("""COMPUTED_VALUE"""),"No")</f>
        <v>No</v>
      </c>
      <c r="P1651" s="26"/>
    </row>
    <row r="1652">
      <c r="A1652" s="81" t="str">
        <f>IFERROR(__xludf.DUMMYFUNCTION("""COMPUTED_VALUE"""),"Silent Hill")</f>
        <v>Silent Hill</v>
      </c>
      <c r="B1652" s="82" t="str">
        <f>IFERROR(__xludf.DUMMYFUNCTION("""COMPUTED_VALUE"""),"PS3")</f>
        <v>PS3</v>
      </c>
      <c r="C1652" s="83" t="str">
        <f>IFERROR(__xludf.DUMMYFUNCTION("""COMPUTED_VALUE"""),"Playstation Plus (Discontinued)")</f>
        <v>Playstation Plus (Discontinued)</v>
      </c>
      <c r="D1652" s="82" t="str">
        <f>IFERROR(__xludf.DUMMYFUNCTION("""COMPUTED_VALUE"""),"Removed")</f>
        <v>Removed</v>
      </c>
      <c r="E1652" s="84">
        <f>IFERROR(__xludf.DUMMYFUNCTION("""COMPUTED_VALUE"""),41002.0)</f>
        <v>41002</v>
      </c>
      <c r="F1652" s="85">
        <f>IFERROR(__xludf.DUMMYFUNCTION("""COMPUTED_VALUE"""),41029.0)</f>
        <v>41029</v>
      </c>
      <c r="G1652" s="86">
        <f>IFERROR(__xludf.DUMMYFUNCTION("""COMPUTED_VALUE"""),0.8999999999999999)</f>
        <v>0.9</v>
      </c>
      <c r="H1652" s="84">
        <f>IFERROR(__xludf.DUMMYFUNCTION("""COMPUTED_VALUE"""),36191.0)</f>
        <v>36191</v>
      </c>
      <c r="I1652" s="86">
        <f>IFERROR(__xludf.DUMMYFUNCTION("""COMPUTED_VALUE"""),13.175)</f>
        <v>13.175</v>
      </c>
      <c r="J1652" s="87">
        <f>IFERROR(__xludf.DUMMYFUNCTION("""COMPUTED_VALUE"""),86.0)</f>
        <v>86</v>
      </c>
      <c r="K1652" s="88">
        <f>IFERROR(__xludf.DUMMYFUNCTION("""COMPUTED_VALUE"""),8.8)</f>
        <v>8.8</v>
      </c>
      <c r="L1652" s="89">
        <f>IFERROR(__xludf.DUMMYFUNCTION("""COMPUTED_VALUE"""),7.0)</f>
        <v>7</v>
      </c>
      <c r="M1652" s="26" t="str">
        <f>IFERROR(__xludf.DUMMYFUNCTION("""COMPUTED_VALUE"""),"Horror")</f>
        <v>Horror</v>
      </c>
      <c r="N1652" s="26" t="str">
        <f>IFERROR(__xludf.DUMMYFUNCTION("""COMPUTED_VALUE"""),"PS1")</f>
        <v>PS1</v>
      </c>
      <c r="O1652" s="26" t="str">
        <f>IFERROR(__xludf.DUMMYFUNCTION("""COMPUTED_VALUE"""),"No")</f>
        <v>No</v>
      </c>
      <c r="P1652" s="26"/>
    </row>
    <row r="1653">
      <c r="A1653" s="81" t="str">
        <f>IFERROR(__xludf.DUMMYFUNCTION("""COMPUTED_VALUE"""),"Frogger Returns")</f>
        <v>Frogger Returns</v>
      </c>
      <c r="B1653" s="82" t="str">
        <f>IFERROR(__xludf.DUMMYFUNCTION("""COMPUTED_VALUE"""),"PS3")</f>
        <v>PS3</v>
      </c>
      <c r="C1653" s="83" t="str">
        <f>IFERROR(__xludf.DUMMYFUNCTION("""COMPUTED_VALUE"""),"Playstation Plus (Discontinued)")</f>
        <v>Playstation Plus (Discontinued)</v>
      </c>
      <c r="D1653" s="82" t="str">
        <f>IFERROR(__xludf.DUMMYFUNCTION("""COMPUTED_VALUE"""),"Removed")</f>
        <v>Removed</v>
      </c>
      <c r="E1653" s="84">
        <f>IFERROR(__xludf.DUMMYFUNCTION("""COMPUTED_VALUE"""),41002.0)</f>
        <v>41002</v>
      </c>
      <c r="F1653" s="85">
        <f>IFERROR(__xludf.DUMMYFUNCTION("""COMPUTED_VALUE"""),41029.0)</f>
        <v>41029</v>
      </c>
      <c r="G1653" s="86">
        <f>IFERROR(__xludf.DUMMYFUNCTION("""COMPUTED_VALUE"""),0.8999999999999999)</f>
        <v>0.9</v>
      </c>
      <c r="H1653" s="84">
        <f>IFERROR(__xludf.DUMMYFUNCTION("""COMPUTED_VALUE"""),40159.0)</f>
        <v>40159</v>
      </c>
      <c r="I1653" s="86">
        <f>IFERROR(__xludf.DUMMYFUNCTION("""COMPUTED_VALUE"""),2.308333333333333)</f>
        <v>2.308333333</v>
      </c>
      <c r="J1653" s="87">
        <f>IFERROR(__xludf.DUMMYFUNCTION("""COMPUTED_VALUE"""),59.0)</f>
        <v>59</v>
      </c>
      <c r="K1653" s="88">
        <f>IFERROR(__xludf.DUMMYFUNCTION("""COMPUTED_VALUE"""),6.3)</f>
        <v>6.3</v>
      </c>
      <c r="L1653" s="89">
        <f>IFERROR(__xludf.DUMMYFUNCTION("""COMPUTED_VALUE"""),3.0)</f>
        <v>3</v>
      </c>
      <c r="M1653" s="26" t="str">
        <f>IFERROR(__xludf.DUMMYFUNCTION("""COMPUTED_VALUE"""),"Platformer")</f>
        <v>Platformer</v>
      </c>
      <c r="N1653" s="26" t="str">
        <f>IFERROR(__xludf.DUMMYFUNCTION("""COMPUTED_VALUE"""),"PS Minis")</f>
        <v>PS Minis</v>
      </c>
      <c r="O1653" s="26" t="str">
        <f>IFERROR(__xludf.DUMMYFUNCTION("""COMPUTED_VALUE"""),"No")</f>
        <v>No</v>
      </c>
      <c r="P1653" s="26"/>
    </row>
    <row r="1654">
      <c r="A1654" s="81" t="str">
        <f>IFERROR(__xludf.DUMMYFUNCTION("""COMPUTED_VALUE"""),"Canabalt")</f>
        <v>Canabalt</v>
      </c>
      <c r="B1654" s="82" t="str">
        <f>IFERROR(__xludf.DUMMYFUNCTION("""COMPUTED_VALUE"""),"PS3")</f>
        <v>PS3</v>
      </c>
      <c r="C1654" s="83" t="str">
        <f>IFERROR(__xludf.DUMMYFUNCTION("""COMPUTED_VALUE"""),"Playstation Plus (Discontinued)")</f>
        <v>Playstation Plus (Discontinued)</v>
      </c>
      <c r="D1654" s="82" t="str">
        <f>IFERROR(__xludf.DUMMYFUNCTION("""COMPUTED_VALUE"""),"Removed")</f>
        <v>Removed</v>
      </c>
      <c r="E1654" s="84">
        <f>IFERROR(__xludf.DUMMYFUNCTION("""COMPUTED_VALUE"""),41002.0)</f>
        <v>41002</v>
      </c>
      <c r="F1654" s="85">
        <f>IFERROR(__xludf.DUMMYFUNCTION("""COMPUTED_VALUE"""),41029.0)</f>
        <v>41029</v>
      </c>
      <c r="G1654" s="86">
        <f>IFERROR(__xludf.DUMMYFUNCTION("""COMPUTED_VALUE"""),0.8999999999999999)</f>
        <v>0.9</v>
      </c>
      <c r="H1654" s="84">
        <f>IFERROR(__xludf.DUMMYFUNCTION("""COMPUTED_VALUE"""),40421.0)</f>
        <v>40421</v>
      </c>
      <c r="I1654" s="86">
        <f>IFERROR(__xludf.DUMMYFUNCTION("""COMPUTED_VALUE"""),1.5916666666666666)</f>
        <v>1.591666667</v>
      </c>
      <c r="J1654" s="87">
        <f>IFERROR(__xludf.DUMMYFUNCTION("""COMPUTED_VALUE"""),69.0)</f>
        <v>69</v>
      </c>
      <c r="K1654" s="88">
        <f>IFERROR(__xludf.DUMMYFUNCTION("""COMPUTED_VALUE"""),7.1)</f>
        <v>7.1</v>
      </c>
      <c r="L1654" s="89"/>
      <c r="M1654" s="26" t="str">
        <f>IFERROR(__xludf.DUMMYFUNCTION("""COMPUTED_VALUE"""),"Platformer")</f>
        <v>Platformer</v>
      </c>
      <c r="N1654" s="26" t="str">
        <f>IFERROR(__xludf.DUMMYFUNCTION("""COMPUTED_VALUE"""),"PS Minis")</f>
        <v>PS Minis</v>
      </c>
      <c r="O1654" s="26" t="str">
        <f>IFERROR(__xludf.DUMMYFUNCTION("""COMPUTED_VALUE"""),"No")</f>
        <v>No</v>
      </c>
      <c r="P1654" s="26"/>
    </row>
    <row r="1655">
      <c r="A1655" s="81" t="str">
        <f>IFERROR(__xludf.DUMMYFUNCTION("""COMPUTED_VALUE"""),"Bermuda Triangle")</f>
        <v>Bermuda Triangle</v>
      </c>
      <c r="B1655" s="82" t="str">
        <f>IFERROR(__xludf.DUMMYFUNCTION("""COMPUTED_VALUE"""),"PS3")</f>
        <v>PS3</v>
      </c>
      <c r="C1655" s="83" t="str">
        <f>IFERROR(__xludf.DUMMYFUNCTION("""COMPUTED_VALUE"""),"Playstation Plus (Discontinued)")</f>
        <v>Playstation Plus (Discontinued)</v>
      </c>
      <c r="D1655" s="82" t="str">
        <f>IFERROR(__xludf.DUMMYFUNCTION("""COMPUTED_VALUE"""),"Removed")</f>
        <v>Removed</v>
      </c>
      <c r="E1655" s="84">
        <f>IFERROR(__xludf.DUMMYFUNCTION("""COMPUTED_VALUE"""),40974.0)</f>
        <v>40974</v>
      </c>
      <c r="F1655" s="85">
        <f>IFERROR(__xludf.DUMMYFUNCTION("""COMPUTED_VALUE"""),41001.0)</f>
        <v>41001</v>
      </c>
      <c r="G1655" s="86">
        <f>IFERROR(__xludf.DUMMYFUNCTION("""COMPUTED_VALUE"""),0.8666666666666666)</f>
        <v>0.8666666667</v>
      </c>
      <c r="H1655" s="84">
        <f>IFERROR(__xludf.DUMMYFUNCTION("""COMPUTED_VALUE"""),40785.0)</f>
        <v>40785</v>
      </c>
      <c r="I1655" s="86">
        <f>IFERROR(__xludf.DUMMYFUNCTION("""COMPUTED_VALUE"""),0.5166666666666667)</f>
        <v>0.5166666667</v>
      </c>
      <c r="J1655" s="87">
        <f>IFERROR(__xludf.DUMMYFUNCTION("""COMPUTED_VALUE"""),55.0)</f>
        <v>55</v>
      </c>
      <c r="K1655" s="88">
        <f>IFERROR(__xludf.DUMMYFUNCTION("""COMPUTED_VALUE"""),6.2)</f>
        <v>6.2</v>
      </c>
      <c r="L1655" s="89"/>
      <c r="M1655" s="26" t="str">
        <f>IFERROR(__xludf.DUMMYFUNCTION("""COMPUTED_VALUE"""),"Arcade")</f>
        <v>Arcade</v>
      </c>
      <c r="N1655" s="26" t="str">
        <f>IFERROR(__xludf.DUMMYFUNCTION("""COMPUTED_VALUE"""),"PS Minis")</f>
        <v>PS Minis</v>
      </c>
      <c r="O1655" s="26" t="str">
        <f>IFERROR(__xludf.DUMMYFUNCTION("""COMPUTED_VALUE"""),"No")</f>
        <v>No</v>
      </c>
      <c r="P1655" s="26"/>
    </row>
    <row r="1656">
      <c r="A1656" s="81" t="str">
        <f>IFERROR(__xludf.DUMMYFUNCTION("""COMPUTED_VALUE"""),"Sly Cooper and the Thievius Raccoonus")</f>
        <v>Sly Cooper and the Thievius Raccoonus</v>
      </c>
      <c r="B1656" s="82" t="str">
        <f>IFERROR(__xludf.DUMMYFUNCTION("""COMPUTED_VALUE"""),"PS3")</f>
        <v>PS3</v>
      </c>
      <c r="C1656" s="83" t="str">
        <f>IFERROR(__xludf.DUMMYFUNCTION("""COMPUTED_VALUE"""),"Playstation Plus (Discontinued)")</f>
        <v>Playstation Plus (Discontinued)</v>
      </c>
      <c r="D1656" s="82" t="str">
        <f>IFERROR(__xludf.DUMMYFUNCTION("""COMPUTED_VALUE"""),"Removed")</f>
        <v>Removed</v>
      </c>
      <c r="E1656" s="84">
        <f>IFERROR(__xludf.DUMMYFUNCTION("""COMPUTED_VALUE"""),40974.0)</f>
        <v>40974</v>
      </c>
      <c r="F1656" s="85">
        <f>IFERROR(__xludf.DUMMYFUNCTION("""COMPUTED_VALUE"""),41001.0)</f>
        <v>41001</v>
      </c>
      <c r="G1656" s="86">
        <f>IFERROR(__xludf.DUMMYFUNCTION("""COMPUTED_VALUE"""),0.8666666666666666)</f>
        <v>0.8666666667</v>
      </c>
      <c r="H1656" s="84">
        <f>IFERROR(__xludf.DUMMYFUNCTION("""COMPUTED_VALUE"""),37583.0)</f>
        <v>37583</v>
      </c>
      <c r="I1656" s="86">
        <f>IFERROR(__xludf.DUMMYFUNCTION("""COMPUTED_VALUE"""),9.286111111111111)</f>
        <v>9.286111111</v>
      </c>
      <c r="J1656" s="87">
        <f>IFERROR(__xludf.DUMMYFUNCTION("""COMPUTED_VALUE"""),86.0)</f>
        <v>86</v>
      </c>
      <c r="K1656" s="88">
        <f>IFERROR(__xludf.DUMMYFUNCTION("""COMPUTED_VALUE"""),8.8)</f>
        <v>8.8</v>
      </c>
      <c r="L1656" s="89">
        <f>IFERROR(__xludf.DUMMYFUNCTION("""COMPUTED_VALUE"""),14.0)</f>
        <v>14</v>
      </c>
      <c r="M1656" s="26" t="str">
        <f>IFERROR(__xludf.DUMMYFUNCTION("""COMPUTED_VALUE"""),"Platformer")</f>
        <v>Platformer</v>
      </c>
      <c r="N1656" s="26"/>
      <c r="O1656" s="26" t="str">
        <f>IFERROR(__xludf.DUMMYFUNCTION("""COMPUTED_VALUE"""),"No")</f>
        <v>No</v>
      </c>
      <c r="P1656" s="26"/>
    </row>
    <row r="1657">
      <c r="A1657" s="81" t="str">
        <f>IFERROR(__xludf.DUMMYFUNCTION("""COMPUTED_VALUE"""),"Super Street Fighter II Turbo HD Remix")</f>
        <v>Super Street Fighter II Turbo HD Remix</v>
      </c>
      <c r="B1657" s="82" t="str">
        <f>IFERROR(__xludf.DUMMYFUNCTION("""COMPUTED_VALUE"""),"PS3")</f>
        <v>PS3</v>
      </c>
      <c r="C1657" s="83" t="str">
        <f>IFERROR(__xludf.DUMMYFUNCTION("""COMPUTED_VALUE"""),"Playstation Plus (Discontinued)")</f>
        <v>Playstation Plus (Discontinued)</v>
      </c>
      <c r="D1657" s="82" t="str">
        <f>IFERROR(__xludf.DUMMYFUNCTION("""COMPUTED_VALUE"""),"Removed")</f>
        <v>Removed</v>
      </c>
      <c r="E1657" s="84">
        <f>IFERROR(__xludf.DUMMYFUNCTION("""COMPUTED_VALUE"""),40974.0)</f>
        <v>40974</v>
      </c>
      <c r="F1657" s="85">
        <f>IFERROR(__xludf.DUMMYFUNCTION("""COMPUTED_VALUE"""),41001.0)</f>
        <v>41001</v>
      </c>
      <c r="G1657" s="86">
        <f>IFERROR(__xludf.DUMMYFUNCTION("""COMPUTED_VALUE"""),0.8666666666666666)</f>
        <v>0.8666666667</v>
      </c>
      <c r="H1657" s="84">
        <f>IFERROR(__xludf.DUMMYFUNCTION("""COMPUTED_VALUE"""),39777.0)</f>
        <v>39777</v>
      </c>
      <c r="I1657" s="86">
        <f>IFERROR(__xludf.DUMMYFUNCTION("""COMPUTED_VALUE"""),3.2805555555555554)</f>
        <v>3.280555556</v>
      </c>
      <c r="J1657" s="87">
        <f>IFERROR(__xludf.DUMMYFUNCTION("""COMPUTED_VALUE"""),85.0)</f>
        <v>85</v>
      </c>
      <c r="K1657" s="88">
        <f>IFERROR(__xludf.DUMMYFUNCTION("""COMPUTED_VALUE"""),8.2)</f>
        <v>8.2</v>
      </c>
      <c r="L1657" s="89"/>
      <c r="M1657" s="26" t="str">
        <f>IFERROR(__xludf.DUMMYFUNCTION("""COMPUTED_VALUE"""),"Fighting")</f>
        <v>Fighting</v>
      </c>
      <c r="N1657" s="26"/>
      <c r="O1657" s="26" t="str">
        <f>IFERROR(__xludf.DUMMYFUNCTION("""COMPUTED_VALUE"""),"No")</f>
        <v>No</v>
      </c>
      <c r="P1657" s="26"/>
    </row>
    <row r="1658">
      <c r="A1658" s="81" t="str">
        <f>IFERROR(__xludf.DUMMYFUNCTION("""COMPUTED_VALUE"""),"Um Jammer Lammy")</f>
        <v>Um Jammer Lammy</v>
      </c>
      <c r="B1658" s="82" t="str">
        <f>IFERROR(__xludf.DUMMYFUNCTION("""COMPUTED_VALUE"""),"PS3")</f>
        <v>PS3</v>
      </c>
      <c r="C1658" s="83" t="str">
        <f>IFERROR(__xludf.DUMMYFUNCTION("""COMPUTED_VALUE"""),"Playstation Plus (Discontinued)")</f>
        <v>Playstation Plus (Discontinued)</v>
      </c>
      <c r="D1658" s="82" t="str">
        <f>IFERROR(__xludf.DUMMYFUNCTION("""COMPUTED_VALUE"""),"Removed")</f>
        <v>Removed</v>
      </c>
      <c r="E1658" s="84">
        <f>IFERROR(__xludf.DUMMYFUNCTION("""COMPUTED_VALUE"""),40974.0)</f>
        <v>40974</v>
      </c>
      <c r="F1658" s="85">
        <f>IFERROR(__xludf.DUMMYFUNCTION("""COMPUTED_VALUE"""),41001.0)</f>
        <v>41001</v>
      </c>
      <c r="G1658" s="86">
        <f>IFERROR(__xludf.DUMMYFUNCTION("""COMPUTED_VALUE"""),0.8666666666666666)</f>
        <v>0.8666666667</v>
      </c>
      <c r="H1658" s="84">
        <f>IFERROR(__xludf.DUMMYFUNCTION("""COMPUTED_VALUE"""),36161.0)</f>
        <v>36161</v>
      </c>
      <c r="I1658" s="86">
        <f>IFERROR(__xludf.DUMMYFUNCTION("""COMPUTED_VALUE"""),13.180555555555555)</f>
        <v>13.18055556</v>
      </c>
      <c r="J1658" s="87">
        <f>IFERROR(__xludf.DUMMYFUNCTION("""COMPUTED_VALUE"""),80.0)</f>
        <v>80</v>
      </c>
      <c r="K1658" s="88">
        <f>IFERROR(__xludf.DUMMYFUNCTION("""COMPUTED_VALUE"""),8.1)</f>
        <v>8.1</v>
      </c>
      <c r="L1658" s="89"/>
      <c r="M1658" s="26" t="str">
        <f>IFERROR(__xludf.DUMMYFUNCTION("""COMPUTED_VALUE"""),"Rhythm")</f>
        <v>Rhythm</v>
      </c>
      <c r="N1658" s="26" t="str">
        <f>IFERROR(__xludf.DUMMYFUNCTION("""COMPUTED_VALUE"""),"PS1")</f>
        <v>PS1</v>
      </c>
      <c r="O1658" s="26" t="str">
        <f>IFERROR(__xludf.DUMMYFUNCTION("""COMPUTED_VALUE"""),"No")</f>
        <v>No</v>
      </c>
      <c r="P1658" s="26"/>
    </row>
    <row r="1659">
      <c r="A1659" s="81" t="str">
        <f>IFERROR(__xludf.DUMMYFUNCTION("""COMPUTED_VALUE"""),"Far Cry 2")</f>
        <v>Far Cry 2</v>
      </c>
      <c r="B1659" s="82" t="str">
        <f>IFERROR(__xludf.DUMMYFUNCTION("""COMPUTED_VALUE"""),"PS3")</f>
        <v>PS3</v>
      </c>
      <c r="C1659" s="83" t="str">
        <f>IFERROR(__xludf.DUMMYFUNCTION("""COMPUTED_VALUE"""),"Playstation Plus (Discontinued)")</f>
        <v>Playstation Plus (Discontinued)</v>
      </c>
      <c r="D1659" s="82" t="str">
        <f>IFERROR(__xludf.DUMMYFUNCTION("""COMPUTED_VALUE"""),"Removed")</f>
        <v>Removed</v>
      </c>
      <c r="E1659" s="84">
        <f>IFERROR(__xludf.DUMMYFUNCTION("""COMPUTED_VALUE"""),40946.0)</f>
        <v>40946</v>
      </c>
      <c r="F1659" s="85">
        <f>IFERROR(__xludf.DUMMYFUNCTION("""COMPUTED_VALUE"""),40973.0)</f>
        <v>40973</v>
      </c>
      <c r="G1659" s="86">
        <f>IFERROR(__xludf.DUMMYFUNCTION("""COMPUTED_VALUE"""),0.9333333333333333)</f>
        <v>0.9333333333</v>
      </c>
      <c r="H1659" s="84">
        <f>IFERROR(__xludf.DUMMYFUNCTION("""COMPUTED_VALUE"""),39742.0)</f>
        <v>39742</v>
      </c>
      <c r="I1659" s="86">
        <f>IFERROR(__xludf.DUMMYFUNCTION("""COMPUTED_VALUE"""),3.2944444444444443)</f>
        <v>3.294444444</v>
      </c>
      <c r="J1659" s="87">
        <f>IFERROR(__xludf.DUMMYFUNCTION("""COMPUTED_VALUE"""),85.0)</f>
        <v>85</v>
      </c>
      <c r="K1659" s="88">
        <f>IFERROR(__xludf.DUMMYFUNCTION("""COMPUTED_VALUE"""),7.6)</f>
        <v>7.6</v>
      </c>
      <c r="L1659" s="89">
        <f>IFERROR(__xludf.DUMMYFUNCTION("""COMPUTED_VALUE"""),15.0)</f>
        <v>15</v>
      </c>
      <c r="M1659" s="26" t="str">
        <f>IFERROR(__xludf.DUMMYFUNCTION("""COMPUTED_VALUE"""),"Shooter")</f>
        <v>Shooter</v>
      </c>
      <c r="N1659" s="26"/>
      <c r="O1659" s="26" t="str">
        <f>IFERROR(__xludf.DUMMYFUNCTION("""COMPUTED_VALUE"""),"No")</f>
        <v>No</v>
      </c>
      <c r="P1659" s="26"/>
    </row>
    <row r="1660">
      <c r="A1660" s="81" t="str">
        <f>IFERROR(__xludf.DUMMYFUNCTION("""COMPUTED_VALUE"""),"The Simpsons Arcade Game")</f>
        <v>The Simpsons Arcade Game</v>
      </c>
      <c r="B1660" s="82" t="str">
        <f>IFERROR(__xludf.DUMMYFUNCTION("""COMPUTED_VALUE"""),"PS3")</f>
        <v>PS3</v>
      </c>
      <c r="C1660" s="83" t="str">
        <f>IFERROR(__xludf.DUMMYFUNCTION("""COMPUTED_VALUE"""),"Playstation Plus (Discontinued)")</f>
        <v>Playstation Plus (Discontinued)</v>
      </c>
      <c r="D1660" s="82" t="str">
        <f>IFERROR(__xludf.DUMMYFUNCTION("""COMPUTED_VALUE"""),"Removed")</f>
        <v>Removed</v>
      </c>
      <c r="E1660" s="84">
        <f>IFERROR(__xludf.DUMMYFUNCTION("""COMPUTED_VALUE"""),40946.0)</f>
        <v>40946</v>
      </c>
      <c r="F1660" s="85">
        <f>IFERROR(__xludf.DUMMYFUNCTION("""COMPUTED_VALUE"""),40973.0)</f>
        <v>40973</v>
      </c>
      <c r="G1660" s="86">
        <f>IFERROR(__xludf.DUMMYFUNCTION("""COMPUTED_VALUE"""),0.9333333333333333)</f>
        <v>0.9333333333</v>
      </c>
      <c r="H1660" s="84">
        <f>IFERROR(__xludf.DUMMYFUNCTION("""COMPUTED_VALUE"""),40946.0)</f>
        <v>40946</v>
      </c>
      <c r="I1660" s="86">
        <f>IFERROR(__xludf.DUMMYFUNCTION("""COMPUTED_VALUE"""),0.0)</f>
        <v>0</v>
      </c>
      <c r="J1660" s="87">
        <f>IFERROR(__xludf.DUMMYFUNCTION("""COMPUTED_VALUE"""),71.0)</f>
        <v>71</v>
      </c>
      <c r="K1660" s="88">
        <f>IFERROR(__xludf.DUMMYFUNCTION("""COMPUTED_VALUE"""),7.5)</f>
        <v>7.5</v>
      </c>
      <c r="L1660" s="89">
        <f>IFERROR(__xludf.DUMMYFUNCTION("""COMPUTED_VALUE"""),2.0)</f>
        <v>2</v>
      </c>
      <c r="M1660" s="26" t="str">
        <f>IFERROR(__xludf.DUMMYFUNCTION("""COMPUTED_VALUE"""),"Platformer")</f>
        <v>Platformer</v>
      </c>
      <c r="N1660" s="26"/>
      <c r="O1660" s="26" t="str">
        <f>IFERROR(__xludf.DUMMYFUNCTION("""COMPUTED_VALUE"""),"No")</f>
        <v>No</v>
      </c>
      <c r="P1660" s="26"/>
    </row>
    <row r="1661">
      <c r="A1661" s="81" t="str">
        <f>IFERROR(__xludf.DUMMYFUNCTION("""COMPUTED_VALUE"""),"Altered Beast")</f>
        <v>Altered Beast</v>
      </c>
      <c r="B1661" s="82" t="str">
        <f>IFERROR(__xludf.DUMMYFUNCTION("""COMPUTED_VALUE"""),"PS3")</f>
        <v>PS3</v>
      </c>
      <c r="C1661" s="83" t="str">
        <f>IFERROR(__xludf.DUMMYFUNCTION("""COMPUTED_VALUE"""),"Playstation Plus (Discontinued)")</f>
        <v>Playstation Plus (Discontinued)</v>
      </c>
      <c r="D1661" s="82" t="str">
        <f>IFERROR(__xludf.DUMMYFUNCTION("""COMPUTED_VALUE"""),"Removed")</f>
        <v>Removed</v>
      </c>
      <c r="E1661" s="84">
        <f>IFERROR(__xludf.DUMMYFUNCTION("""COMPUTED_VALUE"""),40946.0)</f>
        <v>40946</v>
      </c>
      <c r="F1661" s="85">
        <f>IFERROR(__xludf.DUMMYFUNCTION("""COMPUTED_VALUE"""),40973.0)</f>
        <v>40973</v>
      </c>
      <c r="G1661" s="86">
        <f>IFERROR(__xludf.DUMMYFUNCTION("""COMPUTED_VALUE"""),0.9333333333333333)</f>
        <v>0.9333333333</v>
      </c>
      <c r="H1661" s="84">
        <f>IFERROR(__xludf.DUMMYFUNCTION("""COMPUTED_VALUE"""),39434.0)</f>
        <v>39434</v>
      </c>
      <c r="I1661" s="86">
        <f>IFERROR(__xludf.DUMMYFUNCTION("""COMPUTED_VALUE"""),4.136111111111111)</f>
        <v>4.136111111</v>
      </c>
      <c r="J1661" s="87">
        <f>IFERROR(__xludf.DUMMYFUNCTION("""COMPUTED_VALUE"""),60.0)</f>
        <v>60</v>
      </c>
      <c r="K1661" s="88">
        <f>IFERROR(__xludf.DUMMYFUNCTION("""COMPUTED_VALUE"""),6.9)</f>
        <v>6.9</v>
      </c>
      <c r="L1661" s="89"/>
      <c r="M1661" s="26" t="str">
        <f>IFERROR(__xludf.DUMMYFUNCTION("""COMPUTED_VALUE"""),"Platformer")</f>
        <v>Platformer</v>
      </c>
      <c r="N1661" s="26"/>
      <c r="O1661" s="26" t="str">
        <f>IFERROR(__xludf.DUMMYFUNCTION("""COMPUTED_VALUE"""),"No")</f>
        <v>No</v>
      </c>
      <c r="P1661" s="26"/>
    </row>
    <row r="1662">
      <c r="A1662" s="81" t="str">
        <f>IFERROR(__xludf.DUMMYFUNCTION("""COMPUTED_VALUE"""),"Comix Zone")</f>
        <v>Comix Zone</v>
      </c>
      <c r="B1662" s="82" t="str">
        <f>IFERROR(__xludf.DUMMYFUNCTION("""COMPUTED_VALUE"""),"PS3")</f>
        <v>PS3</v>
      </c>
      <c r="C1662" s="83" t="str">
        <f>IFERROR(__xludf.DUMMYFUNCTION("""COMPUTED_VALUE"""),"Playstation Plus (Discontinued)")</f>
        <v>Playstation Plus (Discontinued)</v>
      </c>
      <c r="D1662" s="82" t="str">
        <f>IFERROR(__xludf.DUMMYFUNCTION("""COMPUTED_VALUE"""),"Removed")</f>
        <v>Removed</v>
      </c>
      <c r="E1662" s="84">
        <f>IFERROR(__xludf.DUMMYFUNCTION("""COMPUTED_VALUE"""),40946.0)</f>
        <v>40946</v>
      </c>
      <c r="F1662" s="85">
        <f>IFERROR(__xludf.DUMMYFUNCTION("""COMPUTED_VALUE"""),40973.0)</f>
        <v>40973</v>
      </c>
      <c r="G1662" s="86">
        <f>IFERROR(__xludf.DUMMYFUNCTION("""COMPUTED_VALUE"""),0.9333333333333333)</f>
        <v>0.9333333333</v>
      </c>
      <c r="H1662" s="84">
        <f>IFERROR(__xludf.DUMMYFUNCTION("""COMPUTED_VALUE"""),40856.0)</f>
        <v>40856</v>
      </c>
      <c r="I1662" s="86">
        <f>IFERROR(__xludf.DUMMYFUNCTION("""COMPUTED_VALUE"""),0.24444444444444444)</f>
        <v>0.2444444444</v>
      </c>
      <c r="J1662" s="87">
        <f>IFERROR(__xludf.DUMMYFUNCTION("""COMPUTED_VALUE"""),75.0)</f>
        <v>75</v>
      </c>
      <c r="K1662" s="88">
        <f>IFERROR(__xludf.DUMMYFUNCTION("""COMPUTED_VALUE"""),7.7)</f>
        <v>7.7</v>
      </c>
      <c r="L1662" s="89">
        <f>IFERROR(__xludf.DUMMYFUNCTION("""COMPUTED_VALUE"""),2.0)</f>
        <v>2</v>
      </c>
      <c r="M1662" s="26" t="str">
        <f>IFERROR(__xludf.DUMMYFUNCTION("""COMPUTED_VALUE"""),"Platformer")</f>
        <v>Platformer</v>
      </c>
      <c r="N1662" s="26"/>
      <c r="O1662" s="26" t="str">
        <f>IFERROR(__xludf.DUMMYFUNCTION("""COMPUTED_VALUE"""),"No")</f>
        <v>No</v>
      </c>
      <c r="P1662" s="26"/>
    </row>
    <row r="1663">
      <c r="A1663" s="81" t="str">
        <f>IFERROR(__xludf.DUMMYFUNCTION("""COMPUTED_VALUE"""),"Battle Fantasia")</f>
        <v>Battle Fantasia</v>
      </c>
      <c r="B1663" s="82" t="str">
        <f>IFERROR(__xludf.DUMMYFUNCTION("""COMPUTED_VALUE"""),"PS3")</f>
        <v>PS3</v>
      </c>
      <c r="C1663" s="83" t="str">
        <f>IFERROR(__xludf.DUMMYFUNCTION("""COMPUTED_VALUE"""),"Playstation Plus (Discontinued)")</f>
        <v>Playstation Plus (Discontinued)</v>
      </c>
      <c r="D1663" s="82" t="str">
        <f>IFERROR(__xludf.DUMMYFUNCTION("""COMPUTED_VALUE"""),"Removed")</f>
        <v>Removed</v>
      </c>
      <c r="E1663" s="84">
        <f>IFERROR(__xludf.DUMMYFUNCTION("""COMPUTED_VALUE"""),40946.0)</f>
        <v>40946</v>
      </c>
      <c r="F1663" s="85">
        <f>IFERROR(__xludf.DUMMYFUNCTION("""COMPUTED_VALUE"""),40973.0)</f>
        <v>40973</v>
      </c>
      <c r="G1663" s="86">
        <f>IFERROR(__xludf.DUMMYFUNCTION("""COMPUTED_VALUE"""),0.9333333333333333)</f>
        <v>0.9333333333</v>
      </c>
      <c r="H1663" s="84">
        <f>IFERROR(__xludf.DUMMYFUNCTION("""COMPUTED_VALUE"""),39686.0)</f>
        <v>39686</v>
      </c>
      <c r="I1663" s="86">
        <f>IFERROR(__xludf.DUMMYFUNCTION("""COMPUTED_VALUE"""),3.4472222222222224)</f>
        <v>3.447222222</v>
      </c>
      <c r="J1663" s="87">
        <f>IFERROR(__xludf.DUMMYFUNCTION("""COMPUTED_VALUE"""),70.0)</f>
        <v>70</v>
      </c>
      <c r="K1663" s="88">
        <f>IFERROR(__xludf.DUMMYFUNCTION("""COMPUTED_VALUE"""),7.1)</f>
        <v>7.1</v>
      </c>
      <c r="L1663" s="89"/>
      <c r="M1663" s="26" t="str">
        <f>IFERROR(__xludf.DUMMYFUNCTION("""COMPUTED_VALUE"""),"Fighting")</f>
        <v>Fighting</v>
      </c>
      <c r="N1663" s="26"/>
      <c r="O1663" s="26" t="str">
        <f>IFERROR(__xludf.DUMMYFUNCTION("""COMPUTED_VALUE"""),"No")</f>
        <v>No</v>
      </c>
      <c r="P1663" s="26"/>
    </row>
    <row r="1664">
      <c r="A1664" s="81" t="str">
        <f>IFERROR(__xludf.DUMMYFUNCTION("""COMPUTED_VALUE"""),"Fatal Inertia EX")</f>
        <v>Fatal Inertia EX</v>
      </c>
      <c r="B1664" s="82" t="str">
        <f>IFERROR(__xludf.DUMMYFUNCTION("""COMPUTED_VALUE"""),"PS3")</f>
        <v>PS3</v>
      </c>
      <c r="C1664" s="83" t="str">
        <f>IFERROR(__xludf.DUMMYFUNCTION("""COMPUTED_VALUE"""),"Playstation Plus (Discontinued)")</f>
        <v>Playstation Plus (Discontinued)</v>
      </c>
      <c r="D1664" s="82" t="str">
        <f>IFERROR(__xludf.DUMMYFUNCTION("""COMPUTED_VALUE"""),"Removed")</f>
        <v>Removed</v>
      </c>
      <c r="E1664" s="84">
        <f>IFERROR(__xludf.DUMMYFUNCTION("""COMPUTED_VALUE"""),40946.0)</f>
        <v>40946</v>
      </c>
      <c r="F1664" s="85">
        <f>IFERROR(__xludf.DUMMYFUNCTION("""COMPUTED_VALUE"""),40973.0)</f>
        <v>40973</v>
      </c>
      <c r="G1664" s="86">
        <f>IFERROR(__xludf.DUMMYFUNCTION("""COMPUTED_VALUE"""),0.9333333333333333)</f>
        <v>0.9333333333</v>
      </c>
      <c r="H1664" s="84">
        <f>IFERROR(__xludf.DUMMYFUNCTION("""COMPUTED_VALUE"""),39511.0)</f>
        <v>39511</v>
      </c>
      <c r="I1664" s="86">
        <f>IFERROR(__xludf.DUMMYFUNCTION("""COMPUTED_VALUE"""),3.925)</f>
        <v>3.925</v>
      </c>
      <c r="J1664" s="87">
        <f>IFERROR(__xludf.DUMMYFUNCTION("""COMPUTED_VALUE"""),54.0)</f>
        <v>54</v>
      </c>
      <c r="K1664" s="88">
        <f>IFERROR(__xludf.DUMMYFUNCTION("""COMPUTED_VALUE"""),6.4)</f>
        <v>6.4</v>
      </c>
      <c r="L1664" s="89"/>
      <c r="M1664" s="26" t="str">
        <f>IFERROR(__xludf.DUMMYFUNCTION("""COMPUTED_VALUE"""),"Racing")</f>
        <v>Racing</v>
      </c>
      <c r="N1664" s="26"/>
      <c r="O1664" s="26" t="str">
        <f>IFERROR(__xludf.DUMMYFUNCTION("""COMPUTED_VALUE"""),"No")</f>
        <v>No</v>
      </c>
      <c r="P1664" s="26"/>
    </row>
    <row r="1665">
      <c r="A1665" s="81" t="str">
        <f>IFERROR(__xludf.DUMMYFUNCTION("""COMPUTED_VALUE"""),"Hamsterball")</f>
        <v>Hamsterball</v>
      </c>
      <c r="B1665" s="82" t="str">
        <f>IFERROR(__xludf.DUMMYFUNCTION("""COMPUTED_VALUE"""),"PS3")</f>
        <v>PS3</v>
      </c>
      <c r="C1665" s="83" t="str">
        <f>IFERROR(__xludf.DUMMYFUNCTION("""COMPUTED_VALUE"""),"Playstation Plus (Discontinued)")</f>
        <v>Playstation Plus (Discontinued)</v>
      </c>
      <c r="D1665" s="82" t="str">
        <f>IFERROR(__xludf.DUMMYFUNCTION("""COMPUTED_VALUE"""),"Removed")</f>
        <v>Removed</v>
      </c>
      <c r="E1665" s="84">
        <f>IFERROR(__xludf.DUMMYFUNCTION("""COMPUTED_VALUE"""),40946.0)</f>
        <v>40946</v>
      </c>
      <c r="F1665" s="85">
        <f>IFERROR(__xludf.DUMMYFUNCTION("""COMPUTED_VALUE"""),40973.0)</f>
        <v>40973</v>
      </c>
      <c r="G1665" s="86">
        <f>IFERROR(__xludf.DUMMYFUNCTION("""COMPUTED_VALUE"""),0.9333333333333333)</f>
        <v>0.9333333333</v>
      </c>
      <c r="H1665" s="84">
        <f>IFERROR(__xludf.DUMMYFUNCTION("""COMPUTED_VALUE"""),40479.0)</f>
        <v>40479</v>
      </c>
      <c r="I1665" s="86">
        <f>IFERROR(__xludf.DUMMYFUNCTION("""COMPUTED_VALUE"""),1.275)</f>
        <v>1.275</v>
      </c>
      <c r="J1665" s="87">
        <f>IFERROR(__xludf.DUMMYFUNCTION("""COMPUTED_VALUE"""),59.0)</f>
        <v>59</v>
      </c>
      <c r="K1665" s="88">
        <f>IFERROR(__xludf.DUMMYFUNCTION("""COMPUTED_VALUE"""),6.8)</f>
        <v>6.8</v>
      </c>
      <c r="L1665" s="89">
        <f>IFERROR(__xludf.DUMMYFUNCTION("""COMPUTED_VALUE"""),3.0)</f>
        <v>3</v>
      </c>
      <c r="M1665" s="26" t="str">
        <f>IFERROR(__xludf.DUMMYFUNCTION("""COMPUTED_VALUE"""),"Arcade")</f>
        <v>Arcade</v>
      </c>
      <c r="N1665" s="26"/>
      <c r="O1665" s="26" t="str">
        <f>IFERROR(__xludf.DUMMYFUNCTION("""COMPUTED_VALUE"""),"No")</f>
        <v>No</v>
      </c>
      <c r="P1665" s="26"/>
    </row>
    <row r="1666">
      <c r="A1666" s="81" t="str">
        <f>IFERROR(__xludf.DUMMYFUNCTION("""COMPUTED_VALUE"""),"Inferno Pool")</f>
        <v>Inferno Pool</v>
      </c>
      <c r="B1666" s="82" t="str">
        <f>IFERROR(__xludf.DUMMYFUNCTION("""COMPUTED_VALUE"""),"PS3")</f>
        <v>PS3</v>
      </c>
      <c r="C1666" s="83" t="str">
        <f>IFERROR(__xludf.DUMMYFUNCTION("""COMPUTED_VALUE"""),"Playstation Plus (Discontinued)")</f>
        <v>Playstation Plus (Discontinued)</v>
      </c>
      <c r="D1666" s="82" t="str">
        <f>IFERROR(__xludf.DUMMYFUNCTION("""COMPUTED_VALUE"""),"Removed")</f>
        <v>Removed</v>
      </c>
      <c r="E1666" s="84">
        <f>IFERROR(__xludf.DUMMYFUNCTION("""COMPUTED_VALUE"""),40946.0)</f>
        <v>40946</v>
      </c>
      <c r="F1666" s="85">
        <f>IFERROR(__xludf.DUMMYFUNCTION("""COMPUTED_VALUE"""),40973.0)</f>
        <v>40973</v>
      </c>
      <c r="G1666" s="86">
        <f>IFERROR(__xludf.DUMMYFUNCTION("""COMPUTED_VALUE"""),0.9333333333333333)</f>
        <v>0.9333333333</v>
      </c>
      <c r="H1666" s="84">
        <f>IFERROR(__xludf.DUMMYFUNCTION("""COMPUTED_VALUE"""),40003.0)</f>
        <v>40003</v>
      </c>
      <c r="I1666" s="86">
        <f>IFERROR(__xludf.DUMMYFUNCTION("""COMPUTED_VALUE"""),2.577777777777778)</f>
        <v>2.577777778</v>
      </c>
      <c r="J1666" s="87">
        <f>IFERROR(__xludf.DUMMYFUNCTION("""COMPUTED_VALUE"""),61.0)</f>
        <v>61</v>
      </c>
      <c r="K1666" s="88">
        <f>IFERROR(__xludf.DUMMYFUNCTION("""COMPUTED_VALUE"""),6.4)</f>
        <v>6.4</v>
      </c>
      <c r="L1666" s="89"/>
      <c r="M1666" s="26" t="str">
        <f>IFERROR(__xludf.DUMMYFUNCTION("""COMPUTED_VALUE"""),"Sports")</f>
        <v>Sports</v>
      </c>
      <c r="N1666" s="26"/>
      <c r="O1666" s="26" t="str">
        <f>IFERROR(__xludf.DUMMYFUNCTION("""COMPUTED_VALUE"""),"No")</f>
        <v>No</v>
      </c>
      <c r="P1666" s="26"/>
    </row>
    <row r="1667">
      <c r="A1667" s="81" t="str">
        <f>IFERROR(__xludf.DUMMYFUNCTION("""COMPUTED_VALUE"""),"Mahjong Tales: Ancient Wisdom")</f>
        <v>Mahjong Tales: Ancient Wisdom</v>
      </c>
      <c r="B1667" s="82" t="str">
        <f>IFERROR(__xludf.DUMMYFUNCTION("""COMPUTED_VALUE"""),"PS3")</f>
        <v>PS3</v>
      </c>
      <c r="C1667" s="83" t="str">
        <f>IFERROR(__xludf.DUMMYFUNCTION("""COMPUTED_VALUE"""),"Playstation Plus (Discontinued)")</f>
        <v>Playstation Plus (Discontinued)</v>
      </c>
      <c r="D1667" s="82" t="str">
        <f>IFERROR(__xludf.DUMMYFUNCTION("""COMPUTED_VALUE"""),"Removed")</f>
        <v>Removed</v>
      </c>
      <c r="E1667" s="84">
        <f>IFERROR(__xludf.DUMMYFUNCTION("""COMPUTED_VALUE"""),40946.0)</f>
        <v>40946</v>
      </c>
      <c r="F1667" s="85">
        <f>IFERROR(__xludf.DUMMYFUNCTION("""COMPUTED_VALUE"""),40973.0)</f>
        <v>40973</v>
      </c>
      <c r="G1667" s="86">
        <f>IFERROR(__xludf.DUMMYFUNCTION("""COMPUTED_VALUE"""),0.9333333333333333)</f>
        <v>0.9333333333</v>
      </c>
      <c r="H1667" s="84">
        <f>IFERROR(__xludf.DUMMYFUNCTION("""COMPUTED_VALUE"""),39799.0)</f>
        <v>39799</v>
      </c>
      <c r="I1667" s="86">
        <f>IFERROR(__xludf.DUMMYFUNCTION("""COMPUTED_VALUE"""),3.138888888888889)</f>
        <v>3.138888889</v>
      </c>
      <c r="J1667" s="87">
        <f>IFERROR(__xludf.DUMMYFUNCTION("""COMPUTED_VALUE"""),59.0)</f>
        <v>59</v>
      </c>
      <c r="K1667" s="88">
        <f>IFERROR(__xludf.DUMMYFUNCTION("""COMPUTED_VALUE"""),6.5)</f>
        <v>6.5</v>
      </c>
      <c r="L1667" s="89"/>
      <c r="M1667" s="26" t="str">
        <f>IFERROR(__xludf.DUMMYFUNCTION("""COMPUTED_VALUE"""),"Puzzle")</f>
        <v>Puzzle</v>
      </c>
      <c r="N1667" s="26"/>
      <c r="O1667" s="26" t="str">
        <f>IFERROR(__xludf.DUMMYFUNCTION("""COMPUTED_VALUE"""),"No")</f>
        <v>No</v>
      </c>
      <c r="P1667" s="26"/>
    </row>
    <row r="1668">
      <c r="A1668" s="81" t="str">
        <f>IFERROR(__xludf.DUMMYFUNCTION("""COMPUTED_VALUE"""),"Supersonic Acrobatic Rocket Powered Battle Cars")</f>
        <v>Supersonic Acrobatic Rocket Powered Battle Cars</v>
      </c>
      <c r="B1668" s="82" t="str">
        <f>IFERROR(__xludf.DUMMYFUNCTION("""COMPUTED_VALUE"""),"PS3")</f>
        <v>PS3</v>
      </c>
      <c r="C1668" s="83" t="str">
        <f>IFERROR(__xludf.DUMMYFUNCTION("""COMPUTED_VALUE"""),"Playstation Plus (Discontinued)")</f>
        <v>Playstation Plus (Discontinued)</v>
      </c>
      <c r="D1668" s="82" t="str">
        <f>IFERROR(__xludf.DUMMYFUNCTION("""COMPUTED_VALUE"""),"Removed")</f>
        <v>Removed</v>
      </c>
      <c r="E1668" s="84">
        <f>IFERROR(__xludf.DUMMYFUNCTION("""COMPUTED_VALUE"""),40946.0)</f>
        <v>40946</v>
      </c>
      <c r="F1668" s="85">
        <f>IFERROR(__xludf.DUMMYFUNCTION("""COMPUTED_VALUE"""),40973.0)</f>
        <v>40973</v>
      </c>
      <c r="G1668" s="86">
        <f>IFERROR(__xludf.DUMMYFUNCTION("""COMPUTED_VALUE"""),0.9333333333333333)</f>
        <v>0.9333333333</v>
      </c>
      <c r="H1668" s="84">
        <f>IFERROR(__xludf.DUMMYFUNCTION("""COMPUTED_VALUE"""),39729.0)</f>
        <v>39729</v>
      </c>
      <c r="I1668" s="86">
        <f>IFERROR(__xludf.DUMMYFUNCTION("""COMPUTED_VALUE"""),3.3305555555555557)</f>
        <v>3.330555556</v>
      </c>
      <c r="J1668" s="87">
        <f>IFERROR(__xludf.DUMMYFUNCTION("""COMPUTED_VALUE"""),67.0)</f>
        <v>67</v>
      </c>
      <c r="K1668" s="88">
        <f>IFERROR(__xludf.DUMMYFUNCTION("""COMPUTED_VALUE"""),7.8)</f>
        <v>7.8</v>
      </c>
      <c r="L1668" s="89"/>
      <c r="M1668" s="26" t="str">
        <f>IFERROR(__xludf.DUMMYFUNCTION("""COMPUTED_VALUE"""),"Racing")</f>
        <v>Racing</v>
      </c>
      <c r="N1668" s="26"/>
      <c r="O1668" s="26" t="str">
        <f>IFERROR(__xludf.DUMMYFUNCTION("""COMPUTED_VALUE"""),"No")</f>
        <v>No</v>
      </c>
      <c r="P1668" s="26"/>
    </row>
    <row r="1669">
      <c r="A1669" s="81" t="str">
        <f>IFERROR(__xludf.DUMMYFUNCTION("""COMPUTED_VALUE"""),"Final Fantasy V")</f>
        <v>Final Fantasy V</v>
      </c>
      <c r="B1669" s="82" t="str">
        <f>IFERROR(__xludf.DUMMYFUNCTION("""COMPUTED_VALUE"""),"PS3")</f>
        <v>PS3</v>
      </c>
      <c r="C1669" s="83" t="str">
        <f>IFERROR(__xludf.DUMMYFUNCTION("""COMPUTED_VALUE"""),"Playstation Plus (Discontinued)")</f>
        <v>Playstation Plus (Discontinued)</v>
      </c>
      <c r="D1669" s="82" t="str">
        <f>IFERROR(__xludf.DUMMYFUNCTION("""COMPUTED_VALUE"""),"Removed")</f>
        <v>Removed</v>
      </c>
      <c r="E1669" s="84">
        <f>IFERROR(__xludf.DUMMYFUNCTION("""COMPUTED_VALUE"""),40946.0)</f>
        <v>40946</v>
      </c>
      <c r="F1669" s="85">
        <f>IFERROR(__xludf.DUMMYFUNCTION("""COMPUTED_VALUE"""),40973.0)</f>
        <v>40973</v>
      </c>
      <c r="G1669" s="86">
        <f>IFERROR(__xludf.DUMMYFUNCTION("""COMPUTED_VALUE"""),0.9333333333333333)</f>
        <v>0.9333333333</v>
      </c>
      <c r="H1669" s="84">
        <f>IFERROR(__xludf.DUMMYFUNCTION("""COMPUTED_VALUE"""),33914.0)</f>
        <v>33914</v>
      </c>
      <c r="I1669" s="86">
        <f>IFERROR(__xludf.DUMMYFUNCTION("""COMPUTED_VALUE"""),19.252777777777776)</f>
        <v>19.25277778</v>
      </c>
      <c r="J1669" s="87">
        <f>IFERROR(__xludf.DUMMYFUNCTION("""COMPUTED_VALUE"""),94.0)</f>
        <v>94</v>
      </c>
      <c r="K1669" s="88">
        <f>IFERROR(__xludf.DUMMYFUNCTION("""COMPUTED_VALUE"""),8.8)</f>
        <v>8.8</v>
      </c>
      <c r="L1669" s="89">
        <f>IFERROR(__xludf.DUMMYFUNCTION("""COMPUTED_VALUE"""),32.0)</f>
        <v>32</v>
      </c>
      <c r="M1669" s="26" t="str">
        <f>IFERROR(__xludf.DUMMYFUNCTION("""COMPUTED_VALUE"""),"RPG")</f>
        <v>RPG</v>
      </c>
      <c r="N1669" s="26" t="str">
        <f>IFERROR(__xludf.DUMMYFUNCTION("""COMPUTED_VALUE"""),"PS1")</f>
        <v>PS1</v>
      </c>
      <c r="O1669" s="26" t="str">
        <f>IFERROR(__xludf.DUMMYFUNCTION("""COMPUTED_VALUE"""),"No")</f>
        <v>No</v>
      </c>
      <c r="P1669" s="26"/>
    </row>
    <row r="1670">
      <c r="A1670" s="81" t="str">
        <f>IFERROR(__xludf.DUMMYFUNCTION("""COMPUTED_VALUE"""),"Gold Medalist")</f>
        <v>Gold Medalist</v>
      </c>
      <c r="B1670" s="82" t="str">
        <f>IFERROR(__xludf.DUMMYFUNCTION("""COMPUTED_VALUE"""),"PS3")</f>
        <v>PS3</v>
      </c>
      <c r="C1670" s="83" t="str">
        <f>IFERROR(__xludf.DUMMYFUNCTION("""COMPUTED_VALUE"""),"Playstation Plus (Discontinued)")</f>
        <v>Playstation Plus (Discontinued)</v>
      </c>
      <c r="D1670" s="82" t="str">
        <f>IFERROR(__xludf.DUMMYFUNCTION("""COMPUTED_VALUE"""),"Removed")</f>
        <v>Removed</v>
      </c>
      <c r="E1670" s="84">
        <f>IFERROR(__xludf.DUMMYFUNCTION("""COMPUTED_VALUE"""),40946.0)</f>
        <v>40946</v>
      </c>
      <c r="F1670" s="85">
        <f>IFERROR(__xludf.DUMMYFUNCTION("""COMPUTED_VALUE"""),40973.0)</f>
        <v>40973</v>
      </c>
      <c r="G1670" s="86">
        <f>IFERROR(__xludf.DUMMYFUNCTION("""COMPUTED_VALUE"""),0.9333333333333333)</f>
        <v>0.9333333333</v>
      </c>
      <c r="H1670" s="84">
        <f>IFERROR(__xludf.DUMMYFUNCTION("""COMPUTED_VALUE"""),40414.0)</f>
        <v>40414</v>
      </c>
      <c r="I1670" s="86">
        <f>IFERROR(__xludf.DUMMYFUNCTION("""COMPUTED_VALUE"""),1.4527777777777777)</f>
        <v>1.452777778</v>
      </c>
      <c r="J1670" s="87">
        <f>IFERROR(__xludf.DUMMYFUNCTION("""COMPUTED_VALUE"""),57.0)</f>
        <v>57</v>
      </c>
      <c r="K1670" s="88">
        <f>IFERROR(__xludf.DUMMYFUNCTION("""COMPUTED_VALUE"""),6.5)</f>
        <v>6.5</v>
      </c>
      <c r="L1670" s="89"/>
      <c r="M1670" s="26" t="str">
        <f>IFERROR(__xludf.DUMMYFUNCTION("""COMPUTED_VALUE"""),"Sports")</f>
        <v>Sports</v>
      </c>
      <c r="N1670" s="26" t="str">
        <f>IFERROR(__xludf.DUMMYFUNCTION("""COMPUTED_VALUE"""),"PS Minis")</f>
        <v>PS Minis</v>
      </c>
      <c r="O1670" s="26" t="str">
        <f>IFERROR(__xludf.DUMMYFUNCTION("""COMPUTED_VALUE"""),"No")</f>
        <v>No</v>
      </c>
      <c r="P1670" s="26"/>
    </row>
    <row r="1671">
      <c r="A1671" s="81" t="str">
        <f>IFERROR(__xludf.DUMMYFUNCTION("""COMPUTED_VALUE"""),"Hungry Giraffe")</f>
        <v>Hungry Giraffe</v>
      </c>
      <c r="B1671" s="82" t="str">
        <f>IFERROR(__xludf.DUMMYFUNCTION("""COMPUTED_VALUE"""),"PS3")</f>
        <v>PS3</v>
      </c>
      <c r="C1671" s="83" t="str">
        <f>IFERROR(__xludf.DUMMYFUNCTION("""COMPUTED_VALUE"""),"Playstation Plus (Discontinued)")</f>
        <v>Playstation Plus (Discontinued)</v>
      </c>
      <c r="D1671" s="82" t="str">
        <f>IFERROR(__xludf.DUMMYFUNCTION("""COMPUTED_VALUE"""),"Removed")</f>
        <v>Removed</v>
      </c>
      <c r="E1671" s="84">
        <f>IFERROR(__xludf.DUMMYFUNCTION("""COMPUTED_VALUE"""),40946.0)</f>
        <v>40946</v>
      </c>
      <c r="F1671" s="85">
        <f>IFERROR(__xludf.DUMMYFUNCTION("""COMPUTED_VALUE"""),40973.0)</f>
        <v>40973</v>
      </c>
      <c r="G1671" s="86">
        <f>IFERROR(__xludf.DUMMYFUNCTION("""COMPUTED_VALUE"""),0.9333333333333333)</f>
        <v>0.9333333333</v>
      </c>
      <c r="H1671" s="84">
        <f>IFERROR(__xludf.DUMMYFUNCTION("""COMPUTED_VALUE"""),40940.0)</f>
        <v>40940</v>
      </c>
      <c r="I1671" s="86">
        <f>IFERROR(__xludf.DUMMYFUNCTION("""COMPUTED_VALUE"""),0.016666666666666666)</f>
        <v>0.01666666667</v>
      </c>
      <c r="J1671" s="87">
        <f>IFERROR(__xludf.DUMMYFUNCTION("""COMPUTED_VALUE"""),54.0)</f>
        <v>54</v>
      </c>
      <c r="K1671" s="88">
        <f>IFERROR(__xludf.DUMMYFUNCTION("""COMPUTED_VALUE"""),6.5)</f>
        <v>6.5</v>
      </c>
      <c r="L1671" s="89"/>
      <c r="M1671" s="26" t="str">
        <f>IFERROR(__xludf.DUMMYFUNCTION("""COMPUTED_VALUE"""),"Arcade")</f>
        <v>Arcade</v>
      </c>
      <c r="N1671" s="26" t="str">
        <f>IFERROR(__xludf.DUMMYFUNCTION("""COMPUTED_VALUE"""),"PS Minis")</f>
        <v>PS Minis</v>
      </c>
      <c r="O1671" s="26" t="str">
        <f>IFERROR(__xludf.DUMMYFUNCTION("""COMPUTED_VALUE"""),"No")</f>
        <v>No</v>
      </c>
      <c r="P1671" s="26"/>
    </row>
    <row r="1672">
      <c r="A1672" s="81" t="str">
        <f>IFERROR(__xludf.DUMMYFUNCTION("""COMPUTED_VALUE"""),"Back to the Future The Game")</f>
        <v>Back to the Future The Game</v>
      </c>
      <c r="B1672" s="82" t="str">
        <f>IFERROR(__xludf.DUMMYFUNCTION("""COMPUTED_VALUE"""),"PS3")</f>
        <v>PS3</v>
      </c>
      <c r="C1672" s="83" t="str">
        <f>IFERROR(__xludf.DUMMYFUNCTION("""COMPUTED_VALUE"""),"Playstation Plus (Discontinued)")</f>
        <v>Playstation Plus (Discontinued)</v>
      </c>
      <c r="D1672" s="82" t="str">
        <f>IFERROR(__xludf.DUMMYFUNCTION("""COMPUTED_VALUE"""),"Removed")</f>
        <v>Removed</v>
      </c>
      <c r="E1672" s="84">
        <f>IFERROR(__xludf.DUMMYFUNCTION("""COMPUTED_VALUE"""),40911.0)</f>
        <v>40911</v>
      </c>
      <c r="F1672" s="85">
        <f>IFERROR(__xludf.DUMMYFUNCTION("""COMPUTED_VALUE"""),40945.0)</f>
        <v>40945</v>
      </c>
      <c r="G1672" s="86">
        <f>IFERROR(__xludf.DUMMYFUNCTION("""COMPUTED_VALUE"""),1.0999999999999999)</f>
        <v>1.1</v>
      </c>
      <c r="H1672" s="84">
        <f>IFERROR(__xludf.DUMMYFUNCTION("""COMPUTED_VALUE"""),40534.0)</f>
        <v>40534</v>
      </c>
      <c r="I1672" s="86">
        <f>IFERROR(__xludf.DUMMYFUNCTION("""COMPUTED_VALUE"""),1.0305555555555554)</f>
        <v>1.030555556</v>
      </c>
      <c r="J1672" s="87">
        <f>IFERROR(__xludf.DUMMYFUNCTION("""COMPUTED_VALUE"""),74.0)</f>
        <v>74</v>
      </c>
      <c r="K1672" s="88">
        <f>IFERROR(__xludf.DUMMYFUNCTION("""COMPUTED_VALUE"""),7.5)</f>
        <v>7.5</v>
      </c>
      <c r="L1672" s="89">
        <f>IFERROR(__xludf.DUMMYFUNCTION("""COMPUTED_VALUE"""),10.0)</f>
        <v>10</v>
      </c>
      <c r="M1672" s="26" t="str">
        <f>IFERROR(__xludf.DUMMYFUNCTION("""COMPUTED_VALUE"""),"Adventure")</f>
        <v>Adventure</v>
      </c>
      <c r="N1672" s="26"/>
      <c r="O1672" s="26" t="str">
        <f>IFERROR(__xludf.DUMMYFUNCTION("""COMPUTED_VALUE"""),"No")</f>
        <v>No</v>
      </c>
      <c r="P1672" s="26"/>
    </row>
    <row r="1673">
      <c r="A1673" s="81" t="str">
        <f>IFERROR(__xludf.DUMMYFUNCTION("""COMPUTED_VALUE"""),"Sword &amp; Soldiers")</f>
        <v>Sword &amp; Soldiers</v>
      </c>
      <c r="B1673" s="82" t="str">
        <f>IFERROR(__xludf.DUMMYFUNCTION("""COMPUTED_VALUE"""),"PS3")</f>
        <v>PS3</v>
      </c>
      <c r="C1673" s="83" t="str">
        <f>IFERROR(__xludf.DUMMYFUNCTION("""COMPUTED_VALUE"""),"Playstation Plus (Discontinued)")</f>
        <v>Playstation Plus (Discontinued)</v>
      </c>
      <c r="D1673" s="82" t="str">
        <f>IFERROR(__xludf.DUMMYFUNCTION("""COMPUTED_VALUE"""),"Removed")</f>
        <v>Removed</v>
      </c>
      <c r="E1673" s="84">
        <f>IFERROR(__xludf.DUMMYFUNCTION("""COMPUTED_VALUE"""),40911.0)</f>
        <v>40911</v>
      </c>
      <c r="F1673" s="85">
        <f>IFERROR(__xludf.DUMMYFUNCTION("""COMPUTED_VALUE"""),40945.0)</f>
        <v>40945</v>
      </c>
      <c r="G1673" s="86">
        <f>IFERROR(__xludf.DUMMYFUNCTION("""COMPUTED_VALUE"""),1.0999999999999999)</f>
        <v>1.1</v>
      </c>
      <c r="H1673" s="84">
        <f>IFERROR(__xludf.DUMMYFUNCTION("""COMPUTED_VALUE"""),39959.0)</f>
        <v>39959</v>
      </c>
      <c r="I1673" s="86">
        <f>IFERROR(__xludf.DUMMYFUNCTION("""COMPUTED_VALUE"""),2.602777777777778)</f>
        <v>2.602777778</v>
      </c>
      <c r="J1673" s="87">
        <f>IFERROR(__xludf.DUMMYFUNCTION("""COMPUTED_VALUE"""),78.0)</f>
        <v>78</v>
      </c>
      <c r="K1673" s="88">
        <f>IFERROR(__xludf.DUMMYFUNCTION("""COMPUTED_VALUE"""),7.5)</f>
        <v>7.5</v>
      </c>
      <c r="L1673" s="89">
        <f>IFERROR(__xludf.DUMMYFUNCTION("""COMPUTED_VALUE"""),7.0)</f>
        <v>7</v>
      </c>
      <c r="M1673" s="26" t="str">
        <f>IFERROR(__xludf.DUMMYFUNCTION("""COMPUTED_VALUE"""),"Strategy")</f>
        <v>Strategy</v>
      </c>
      <c r="N1673" s="26"/>
      <c r="O1673" s="26" t="str">
        <f>IFERROR(__xludf.DUMMYFUNCTION("""COMPUTED_VALUE"""),"No")</f>
        <v>No</v>
      </c>
      <c r="P1673" s="26"/>
    </row>
    <row r="1674">
      <c r="A1674" s="81" t="str">
        <f>IFERROR(__xludf.DUMMYFUNCTION("""COMPUTED_VALUE"""),"Stick Man Rescue")</f>
        <v>Stick Man Rescue</v>
      </c>
      <c r="B1674" s="82" t="str">
        <f>IFERROR(__xludf.DUMMYFUNCTION("""COMPUTED_VALUE"""),"PS3")</f>
        <v>PS3</v>
      </c>
      <c r="C1674" s="83" t="str">
        <f>IFERROR(__xludf.DUMMYFUNCTION("""COMPUTED_VALUE"""),"Playstation Plus (Discontinued)")</f>
        <v>Playstation Plus (Discontinued)</v>
      </c>
      <c r="D1674" s="82" t="str">
        <f>IFERROR(__xludf.DUMMYFUNCTION("""COMPUTED_VALUE"""),"Removed")</f>
        <v>Removed</v>
      </c>
      <c r="E1674" s="84">
        <f>IFERROR(__xludf.DUMMYFUNCTION("""COMPUTED_VALUE"""),40911.0)</f>
        <v>40911</v>
      </c>
      <c r="F1674" s="85">
        <f>IFERROR(__xludf.DUMMYFUNCTION("""COMPUTED_VALUE"""),40945.0)</f>
        <v>40945</v>
      </c>
      <c r="G1674" s="86">
        <f>IFERROR(__xludf.DUMMYFUNCTION("""COMPUTED_VALUE"""),1.0999999999999999)</f>
        <v>1.1</v>
      </c>
      <c r="H1674" s="84">
        <f>IFERROR(__xludf.DUMMYFUNCTION("""COMPUTED_VALUE"""),40848.0)</f>
        <v>40848</v>
      </c>
      <c r="I1674" s="86">
        <f>IFERROR(__xludf.DUMMYFUNCTION("""COMPUTED_VALUE"""),0.17222222222222222)</f>
        <v>0.1722222222</v>
      </c>
      <c r="J1674" s="87">
        <f>IFERROR(__xludf.DUMMYFUNCTION("""COMPUTED_VALUE"""),54.0)</f>
        <v>54</v>
      </c>
      <c r="K1674" s="88">
        <f>IFERROR(__xludf.DUMMYFUNCTION("""COMPUTED_VALUE"""),6.4)</f>
        <v>6.4</v>
      </c>
      <c r="L1674" s="89">
        <f>IFERROR(__xludf.DUMMYFUNCTION("""COMPUTED_VALUE"""),2.0)</f>
        <v>2</v>
      </c>
      <c r="M1674" s="26" t="str">
        <f>IFERROR(__xludf.DUMMYFUNCTION("""COMPUTED_VALUE"""),"Puzzle")</f>
        <v>Puzzle</v>
      </c>
      <c r="N1674" s="26" t="str">
        <f>IFERROR(__xludf.DUMMYFUNCTION("""COMPUTED_VALUE"""),"PS Minis")</f>
        <v>PS Minis</v>
      </c>
      <c r="O1674" s="26" t="str">
        <f>IFERROR(__xludf.DUMMYFUNCTION("""COMPUTED_VALUE"""),"No")</f>
        <v>No</v>
      </c>
      <c r="P1674" s="26"/>
    </row>
    <row r="1675">
      <c r="A1675" s="81" t="str">
        <f>IFERROR(__xludf.DUMMYFUNCTION("""COMPUTED_VALUE"""),"Syphon Filter 3")</f>
        <v>Syphon Filter 3</v>
      </c>
      <c r="B1675" s="82" t="str">
        <f>IFERROR(__xludf.DUMMYFUNCTION("""COMPUTED_VALUE"""),"PS3")</f>
        <v>PS3</v>
      </c>
      <c r="C1675" s="83" t="str">
        <f>IFERROR(__xludf.DUMMYFUNCTION("""COMPUTED_VALUE"""),"Playstation Plus (Discontinued)")</f>
        <v>Playstation Plus (Discontinued)</v>
      </c>
      <c r="D1675" s="82" t="str">
        <f>IFERROR(__xludf.DUMMYFUNCTION("""COMPUTED_VALUE"""),"Removed")</f>
        <v>Removed</v>
      </c>
      <c r="E1675" s="84">
        <f>IFERROR(__xludf.DUMMYFUNCTION("""COMPUTED_VALUE"""),40911.0)</f>
        <v>40911</v>
      </c>
      <c r="F1675" s="85">
        <f>IFERROR(__xludf.DUMMYFUNCTION("""COMPUTED_VALUE"""),40945.0)</f>
        <v>40945</v>
      </c>
      <c r="G1675" s="86">
        <f>IFERROR(__xludf.DUMMYFUNCTION("""COMPUTED_VALUE"""),1.0999999999999999)</f>
        <v>1.1</v>
      </c>
      <c r="H1675" s="84">
        <f>IFERROR(__xludf.DUMMYFUNCTION("""COMPUTED_VALUE"""),37201.0)</f>
        <v>37201</v>
      </c>
      <c r="I1675" s="86">
        <f>IFERROR(__xludf.DUMMYFUNCTION("""COMPUTED_VALUE"""),10.158333333333333)</f>
        <v>10.15833333</v>
      </c>
      <c r="J1675" s="87">
        <f>IFERROR(__xludf.DUMMYFUNCTION("""COMPUTED_VALUE"""),81.0)</f>
        <v>81</v>
      </c>
      <c r="K1675" s="88">
        <f>IFERROR(__xludf.DUMMYFUNCTION("""COMPUTED_VALUE"""),8.2)</f>
        <v>8.2</v>
      </c>
      <c r="L1675" s="89">
        <f>IFERROR(__xludf.DUMMYFUNCTION("""COMPUTED_VALUE"""),10.0)</f>
        <v>10</v>
      </c>
      <c r="M1675" s="26" t="str">
        <f>IFERROR(__xludf.DUMMYFUNCTION("""COMPUTED_VALUE"""),"Shooter")</f>
        <v>Shooter</v>
      </c>
      <c r="N1675" s="26" t="str">
        <f>IFERROR(__xludf.DUMMYFUNCTION("""COMPUTED_VALUE"""),"PS1")</f>
        <v>PS1</v>
      </c>
      <c r="O1675" s="26" t="str">
        <f>IFERROR(__xludf.DUMMYFUNCTION("""COMPUTED_VALUE"""),"No")</f>
        <v>No</v>
      </c>
      <c r="P1675" s="26"/>
    </row>
    <row r="1676">
      <c r="A1676" s="81" t="str">
        <f>IFERROR(__xludf.DUMMYFUNCTION("""COMPUTED_VALUE"""),"Syphon Filter 2")</f>
        <v>Syphon Filter 2</v>
      </c>
      <c r="B1676" s="82" t="str">
        <f>IFERROR(__xludf.DUMMYFUNCTION("""COMPUTED_VALUE"""),"PS3")</f>
        <v>PS3</v>
      </c>
      <c r="C1676" s="83" t="str">
        <f>IFERROR(__xludf.DUMMYFUNCTION("""COMPUTED_VALUE"""),"Playstation Plus (Discontinued)")</f>
        <v>Playstation Plus (Discontinued)</v>
      </c>
      <c r="D1676" s="82" t="str">
        <f>IFERROR(__xludf.DUMMYFUNCTION("""COMPUTED_VALUE"""),"Removed")</f>
        <v>Removed</v>
      </c>
      <c r="E1676" s="84">
        <f>IFERROR(__xludf.DUMMYFUNCTION("""COMPUTED_VALUE"""),40911.0)</f>
        <v>40911</v>
      </c>
      <c r="F1676" s="85">
        <f>IFERROR(__xludf.DUMMYFUNCTION("""COMPUTED_VALUE"""),40945.0)</f>
        <v>40945</v>
      </c>
      <c r="G1676" s="86">
        <f>IFERROR(__xludf.DUMMYFUNCTION("""COMPUTED_VALUE"""),1.0999999999999999)</f>
        <v>1.1</v>
      </c>
      <c r="H1676" s="84">
        <f>IFERROR(__xludf.DUMMYFUNCTION("""COMPUTED_VALUE"""),36936.0)</f>
        <v>36936</v>
      </c>
      <c r="I1676" s="86">
        <f>IFERROR(__xludf.DUMMYFUNCTION("""COMPUTED_VALUE"""),10.886111111111111)</f>
        <v>10.88611111</v>
      </c>
      <c r="J1676" s="87">
        <f>IFERROR(__xludf.DUMMYFUNCTION("""COMPUTED_VALUE"""),81.0)</f>
        <v>81</v>
      </c>
      <c r="K1676" s="88">
        <f>IFERROR(__xludf.DUMMYFUNCTION("""COMPUTED_VALUE"""),8.7)</f>
        <v>8.7</v>
      </c>
      <c r="L1676" s="89">
        <f>IFERROR(__xludf.DUMMYFUNCTION("""COMPUTED_VALUE"""),10.0)</f>
        <v>10</v>
      </c>
      <c r="M1676" s="26" t="str">
        <f>IFERROR(__xludf.DUMMYFUNCTION("""COMPUTED_VALUE"""),"Shooter")</f>
        <v>Shooter</v>
      </c>
      <c r="N1676" s="26" t="str">
        <f>IFERROR(__xludf.DUMMYFUNCTION("""COMPUTED_VALUE"""),"PS1")</f>
        <v>PS1</v>
      </c>
      <c r="O1676" s="26" t="str">
        <f>IFERROR(__xludf.DUMMYFUNCTION("""COMPUTED_VALUE"""),"No")</f>
        <v>No</v>
      </c>
      <c r="P1676" s="26"/>
    </row>
    <row r="1677">
      <c r="A1677" s="81" t="str">
        <f>IFERROR(__xludf.DUMMYFUNCTION("""COMPUTED_VALUE"""),"Syphon Filter")</f>
        <v>Syphon Filter</v>
      </c>
      <c r="B1677" s="82" t="str">
        <f>IFERROR(__xludf.DUMMYFUNCTION("""COMPUTED_VALUE"""),"PS3")</f>
        <v>PS3</v>
      </c>
      <c r="C1677" s="83" t="str">
        <f>IFERROR(__xludf.DUMMYFUNCTION("""COMPUTED_VALUE"""),"Playstation Plus (Discontinued)")</f>
        <v>Playstation Plus (Discontinued)</v>
      </c>
      <c r="D1677" s="82" t="str">
        <f>IFERROR(__xludf.DUMMYFUNCTION("""COMPUTED_VALUE"""),"Removed")</f>
        <v>Removed</v>
      </c>
      <c r="E1677" s="84">
        <f>IFERROR(__xludf.DUMMYFUNCTION("""COMPUTED_VALUE"""),40911.0)</f>
        <v>40911</v>
      </c>
      <c r="F1677" s="85">
        <f>IFERROR(__xludf.DUMMYFUNCTION("""COMPUTED_VALUE"""),40945.0)</f>
        <v>40945</v>
      </c>
      <c r="G1677" s="86">
        <f>IFERROR(__xludf.DUMMYFUNCTION("""COMPUTED_VALUE"""),1.0999999999999999)</f>
        <v>1.1</v>
      </c>
      <c r="H1677" s="84">
        <f>IFERROR(__xludf.DUMMYFUNCTION("""COMPUTED_VALUE"""),36556.0)</f>
        <v>36556</v>
      </c>
      <c r="I1677" s="86">
        <f>IFERROR(__xludf.DUMMYFUNCTION("""COMPUTED_VALUE"""),11.925)</f>
        <v>11.925</v>
      </c>
      <c r="J1677" s="87">
        <f>IFERROR(__xludf.DUMMYFUNCTION("""COMPUTED_VALUE"""),90.0)</f>
        <v>90</v>
      </c>
      <c r="K1677" s="88">
        <f>IFERROR(__xludf.DUMMYFUNCTION("""COMPUTED_VALUE"""),8.7)</f>
        <v>8.7</v>
      </c>
      <c r="L1677" s="89">
        <f>IFERROR(__xludf.DUMMYFUNCTION("""COMPUTED_VALUE"""),10.0)</f>
        <v>10</v>
      </c>
      <c r="M1677" s="26" t="str">
        <f>IFERROR(__xludf.DUMMYFUNCTION("""COMPUTED_VALUE"""),"Shooter")</f>
        <v>Shooter</v>
      </c>
      <c r="N1677" s="26" t="str">
        <f>IFERROR(__xludf.DUMMYFUNCTION("""COMPUTED_VALUE"""),"PS1")</f>
        <v>PS1</v>
      </c>
      <c r="O1677" s="26" t="str">
        <f>IFERROR(__xludf.DUMMYFUNCTION("""COMPUTED_VALUE"""),"No")</f>
        <v>No</v>
      </c>
      <c r="P1677" s="26"/>
    </row>
    <row r="1678">
      <c r="A1678" s="81" t="str">
        <f>IFERROR(__xludf.DUMMYFUNCTION("""COMPUTED_VALUE"""),"Tomb Raider: Underworld")</f>
        <v>Tomb Raider: Underworld</v>
      </c>
      <c r="B1678" s="82" t="str">
        <f>IFERROR(__xludf.DUMMYFUNCTION("""COMPUTED_VALUE"""),"PS3")</f>
        <v>PS3</v>
      </c>
      <c r="C1678" s="83" t="str">
        <f>IFERROR(__xludf.DUMMYFUNCTION("""COMPUTED_VALUE"""),"Playstation Plus (Discontinued)")</f>
        <v>Playstation Plus (Discontinued)</v>
      </c>
      <c r="D1678" s="82" t="str">
        <f>IFERROR(__xludf.DUMMYFUNCTION("""COMPUTED_VALUE"""),"Removed")</f>
        <v>Removed</v>
      </c>
      <c r="E1678" s="84">
        <f>IFERROR(__xludf.DUMMYFUNCTION("""COMPUTED_VALUE"""),40883.0)</f>
        <v>40883</v>
      </c>
      <c r="F1678" s="85">
        <f>IFERROR(__xludf.DUMMYFUNCTION("""COMPUTED_VALUE"""),40910.0)</f>
        <v>40910</v>
      </c>
      <c r="G1678" s="86">
        <f>IFERROR(__xludf.DUMMYFUNCTION("""COMPUTED_VALUE"""),0.8666666666666666)</f>
        <v>0.8666666667</v>
      </c>
      <c r="H1678" s="84">
        <f>IFERROR(__xludf.DUMMYFUNCTION("""COMPUTED_VALUE"""),39770.0)</f>
        <v>39770</v>
      </c>
      <c r="I1678" s="86">
        <f>IFERROR(__xludf.DUMMYFUNCTION("""COMPUTED_VALUE"""),3.05)</f>
        <v>3.05</v>
      </c>
      <c r="J1678" s="87">
        <f>IFERROR(__xludf.DUMMYFUNCTION("""COMPUTED_VALUE"""),80.0)</f>
        <v>80</v>
      </c>
      <c r="K1678" s="88">
        <f>IFERROR(__xludf.DUMMYFUNCTION("""COMPUTED_VALUE"""),7.7)</f>
        <v>7.7</v>
      </c>
      <c r="L1678" s="89">
        <f>IFERROR(__xludf.DUMMYFUNCTION("""COMPUTED_VALUE"""),9.0)</f>
        <v>9</v>
      </c>
      <c r="M1678" s="26" t="str">
        <f>IFERROR(__xludf.DUMMYFUNCTION("""COMPUTED_VALUE"""),"Action-Adventure")</f>
        <v>Action-Adventure</v>
      </c>
      <c r="N1678" s="26"/>
      <c r="O1678" s="26" t="str">
        <f>IFERROR(__xludf.DUMMYFUNCTION("""COMPUTED_VALUE"""),"No")</f>
        <v>No</v>
      </c>
      <c r="P1678" s="26"/>
    </row>
    <row r="1679">
      <c r="A1679" s="81" t="str">
        <f>IFERROR(__xludf.DUMMYFUNCTION("""COMPUTED_VALUE"""),"Marvel Pinball")</f>
        <v>Marvel Pinball</v>
      </c>
      <c r="B1679" s="82" t="str">
        <f>IFERROR(__xludf.DUMMYFUNCTION("""COMPUTED_VALUE"""),"PS3")</f>
        <v>PS3</v>
      </c>
      <c r="C1679" s="83" t="str">
        <f>IFERROR(__xludf.DUMMYFUNCTION("""COMPUTED_VALUE"""),"Playstation Plus (Discontinued)")</f>
        <v>Playstation Plus (Discontinued)</v>
      </c>
      <c r="D1679" s="82" t="str">
        <f>IFERROR(__xludf.DUMMYFUNCTION("""COMPUTED_VALUE"""),"Removed")</f>
        <v>Removed</v>
      </c>
      <c r="E1679" s="84">
        <f>IFERROR(__xludf.DUMMYFUNCTION("""COMPUTED_VALUE"""),40883.0)</f>
        <v>40883</v>
      </c>
      <c r="F1679" s="85">
        <f>IFERROR(__xludf.DUMMYFUNCTION("""COMPUTED_VALUE"""),40910.0)</f>
        <v>40910</v>
      </c>
      <c r="G1679" s="86">
        <f>IFERROR(__xludf.DUMMYFUNCTION("""COMPUTED_VALUE"""),0.8666666666666666)</f>
        <v>0.8666666667</v>
      </c>
      <c r="H1679" s="84">
        <f>IFERROR(__xludf.DUMMYFUNCTION("""COMPUTED_VALUE"""),40520.0)</f>
        <v>40520</v>
      </c>
      <c r="I1679" s="86">
        <f>IFERROR(__xludf.DUMMYFUNCTION("""COMPUTED_VALUE"""),0.9944444444444445)</f>
        <v>0.9944444444</v>
      </c>
      <c r="J1679" s="87">
        <f>IFERROR(__xludf.DUMMYFUNCTION("""COMPUTED_VALUE"""),79.0)</f>
        <v>79</v>
      </c>
      <c r="K1679" s="88">
        <f>IFERROR(__xludf.DUMMYFUNCTION("""COMPUTED_VALUE"""),7.7)</f>
        <v>7.7</v>
      </c>
      <c r="L1679" s="89"/>
      <c r="M1679" s="26" t="str">
        <f>IFERROR(__xludf.DUMMYFUNCTION("""COMPUTED_VALUE"""),"Pinball")</f>
        <v>Pinball</v>
      </c>
      <c r="N1679" s="26"/>
      <c r="O1679" s="26" t="str">
        <f>IFERROR(__xludf.DUMMYFUNCTION("""COMPUTED_VALUE"""),"No")</f>
        <v>No</v>
      </c>
      <c r="P1679" s="26"/>
    </row>
    <row r="1680">
      <c r="A1680" s="81" t="str">
        <f>IFERROR(__xludf.DUMMYFUNCTION("""COMPUTED_VALUE"""),"Orbit")</f>
        <v>Orbit</v>
      </c>
      <c r="B1680" s="82" t="str">
        <f>IFERROR(__xludf.DUMMYFUNCTION("""COMPUTED_VALUE"""),"PS3")</f>
        <v>PS3</v>
      </c>
      <c r="C1680" s="83" t="str">
        <f>IFERROR(__xludf.DUMMYFUNCTION("""COMPUTED_VALUE"""),"Playstation Plus (Discontinued)")</f>
        <v>Playstation Plus (Discontinued)</v>
      </c>
      <c r="D1680" s="82" t="str">
        <f>IFERROR(__xludf.DUMMYFUNCTION("""COMPUTED_VALUE"""),"Removed")</f>
        <v>Removed</v>
      </c>
      <c r="E1680" s="84">
        <f>IFERROR(__xludf.DUMMYFUNCTION("""COMPUTED_VALUE"""),40883.0)</f>
        <v>40883</v>
      </c>
      <c r="F1680" s="85">
        <f>IFERROR(__xludf.DUMMYFUNCTION("""COMPUTED_VALUE"""),40910.0)</f>
        <v>40910</v>
      </c>
      <c r="G1680" s="86">
        <f>IFERROR(__xludf.DUMMYFUNCTION("""COMPUTED_VALUE"""),0.8666666666666666)</f>
        <v>0.8666666667</v>
      </c>
      <c r="H1680" s="84">
        <f>IFERROR(__xludf.DUMMYFUNCTION("""COMPUTED_VALUE"""),40834.0)</f>
        <v>40834</v>
      </c>
      <c r="I1680" s="86">
        <f>IFERROR(__xludf.DUMMYFUNCTION("""COMPUTED_VALUE"""),0.13333333333333333)</f>
        <v>0.1333333333</v>
      </c>
      <c r="J1680" s="87">
        <f>IFERROR(__xludf.DUMMYFUNCTION("""COMPUTED_VALUE"""),54.0)</f>
        <v>54</v>
      </c>
      <c r="K1680" s="88">
        <f>IFERROR(__xludf.DUMMYFUNCTION("""COMPUTED_VALUE"""),6.3)</f>
        <v>6.3</v>
      </c>
      <c r="L1680" s="89"/>
      <c r="M1680" s="26" t="str">
        <f>IFERROR(__xludf.DUMMYFUNCTION("""COMPUTED_VALUE"""),"Arcade")</f>
        <v>Arcade</v>
      </c>
      <c r="N1680" s="26" t="str">
        <f>IFERROR(__xludf.DUMMYFUNCTION("""COMPUTED_VALUE"""),"PS Minis")</f>
        <v>PS Minis</v>
      </c>
      <c r="O1680" s="26" t="str">
        <f>IFERROR(__xludf.DUMMYFUNCTION("""COMPUTED_VALUE"""),"No")</f>
        <v>No</v>
      </c>
      <c r="P1680" s="26"/>
    </row>
    <row r="1681">
      <c r="A1681" s="81" t="str">
        <f>IFERROR(__xludf.DUMMYFUNCTION("""COMPUTED_VALUE"""),"Mad Blocker Alpha")</f>
        <v>Mad Blocker Alpha</v>
      </c>
      <c r="B1681" s="82" t="str">
        <f>IFERROR(__xludf.DUMMYFUNCTION("""COMPUTED_VALUE"""),"PS3")</f>
        <v>PS3</v>
      </c>
      <c r="C1681" s="83" t="str">
        <f>IFERROR(__xludf.DUMMYFUNCTION("""COMPUTED_VALUE"""),"Playstation Plus (Discontinued)")</f>
        <v>Playstation Plus (Discontinued)</v>
      </c>
      <c r="D1681" s="82" t="str">
        <f>IFERROR(__xludf.DUMMYFUNCTION("""COMPUTED_VALUE"""),"Removed")</f>
        <v>Removed</v>
      </c>
      <c r="E1681" s="84">
        <f>IFERROR(__xludf.DUMMYFUNCTION("""COMPUTED_VALUE"""),40883.0)</f>
        <v>40883</v>
      </c>
      <c r="F1681" s="85">
        <f>IFERROR(__xludf.DUMMYFUNCTION("""COMPUTED_VALUE"""),40910.0)</f>
        <v>40910</v>
      </c>
      <c r="G1681" s="86">
        <f>IFERROR(__xludf.DUMMYFUNCTION("""COMPUTED_VALUE"""),0.8666666666666666)</f>
        <v>0.8666666667</v>
      </c>
      <c r="H1681" s="84">
        <f>IFERROR(__xludf.DUMMYFUNCTION("""COMPUTED_VALUE"""),40806.0)</f>
        <v>40806</v>
      </c>
      <c r="I1681" s="86">
        <f>IFERROR(__xludf.DUMMYFUNCTION("""COMPUTED_VALUE"""),0.2111111111111111)</f>
        <v>0.2111111111</v>
      </c>
      <c r="J1681" s="87">
        <f>IFERROR(__xludf.DUMMYFUNCTION("""COMPUTED_VALUE"""),62.0)</f>
        <v>62</v>
      </c>
      <c r="K1681" s="88">
        <f>IFERROR(__xludf.DUMMYFUNCTION("""COMPUTED_VALUE"""),6.7)</f>
        <v>6.7</v>
      </c>
      <c r="L1681" s="89"/>
      <c r="M1681" s="26" t="str">
        <f>IFERROR(__xludf.DUMMYFUNCTION("""COMPUTED_VALUE"""),"Puzzle")</f>
        <v>Puzzle</v>
      </c>
      <c r="N1681" s="26" t="str">
        <f>IFERROR(__xludf.DUMMYFUNCTION("""COMPUTED_VALUE"""),"PS Minis")</f>
        <v>PS Minis</v>
      </c>
      <c r="O1681" s="26" t="str">
        <f>IFERROR(__xludf.DUMMYFUNCTION("""COMPUTED_VALUE"""),"No")</f>
        <v>No</v>
      </c>
      <c r="P1681" s="26"/>
    </row>
    <row r="1682">
      <c r="A1682" s="81" t="str">
        <f>IFERROR(__xludf.DUMMYFUNCTION("""COMPUTED_VALUE"""),"A Space Shooter for 2 Bucks!")</f>
        <v>A Space Shooter for 2 Bucks!</v>
      </c>
      <c r="B1682" s="82" t="str">
        <f>IFERROR(__xludf.DUMMYFUNCTION("""COMPUTED_VALUE"""),"PS3")</f>
        <v>PS3</v>
      </c>
      <c r="C1682" s="83" t="str">
        <f>IFERROR(__xludf.DUMMYFUNCTION("""COMPUTED_VALUE"""),"Playstation Plus (Discontinued)")</f>
        <v>Playstation Plus (Discontinued)</v>
      </c>
      <c r="D1682" s="82" t="str">
        <f>IFERROR(__xludf.DUMMYFUNCTION("""COMPUTED_VALUE"""),"Removed")</f>
        <v>Removed</v>
      </c>
      <c r="E1682" s="84">
        <f>IFERROR(__xludf.DUMMYFUNCTION("""COMPUTED_VALUE"""),40883.0)</f>
        <v>40883</v>
      </c>
      <c r="F1682" s="85">
        <f>IFERROR(__xludf.DUMMYFUNCTION("""COMPUTED_VALUE"""),40910.0)</f>
        <v>40910</v>
      </c>
      <c r="G1682" s="86">
        <f>IFERROR(__xludf.DUMMYFUNCTION("""COMPUTED_VALUE"""),0.8666666666666666)</f>
        <v>0.8666666667</v>
      </c>
      <c r="H1682" s="84">
        <f>IFERROR(__xludf.DUMMYFUNCTION("""COMPUTED_VALUE"""),40491.0)</f>
        <v>40491</v>
      </c>
      <c r="I1682" s="86">
        <f>IFERROR(__xludf.DUMMYFUNCTION("""COMPUTED_VALUE"""),1.075)</f>
        <v>1.075</v>
      </c>
      <c r="J1682" s="87">
        <f>IFERROR(__xludf.DUMMYFUNCTION("""COMPUTED_VALUE"""),61.0)</f>
        <v>61</v>
      </c>
      <c r="K1682" s="88">
        <f>IFERROR(__xludf.DUMMYFUNCTION("""COMPUTED_VALUE"""),6.3)</f>
        <v>6.3</v>
      </c>
      <c r="L1682" s="89"/>
      <c r="M1682" s="26" t="str">
        <f>IFERROR(__xludf.DUMMYFUNCTION("""COMPUTED_VALUE"""),"Shooter")</f>
        <v>Shooter</v>
      </c>
      <c r="N1682" s="26" t="str">
        <f>IFERROR(__xludf.DUMMYFUNCTION("""COMPUTED_VALUE"""),"PS Minis")</f>
        <v>PS Minis</v>
      </c>
      <c r="O1682" s="26" t="str">
        <f>IFERROR(__xludf.DUMMYFUNCTION("""COMPUTED_VALUE"""),"No")</f>
        <v>No</v>
      </c>
      <c r="P1682" s="26"/>
    </row>
    <row r="1683">
      <c r="A1683" s="81" t="str">
        <f>IFERROR(__xludf.DUMMYFUNCTION("""COMPUTED_VALUE"""),"Spyro Year of the Dragon")</f>
        <v>Spyro Year of the Dragon</v>
      </c>
      <c r="B1683" s="82" t="str">
        <f>IFERROR(__xludf.DUMMYFUNCTION("""COMPUTED_VALUE"""),"PS3")</f>
        <v>PS3</v>
      </c>
      <c r="C1683" s="83" t="str">
        <f>IFERROR(__xludf.DUMMYFUNCTION("""COMPUTED_VALUE"""),"Playstation Plus (Discontinued)")</f>
        <v>Playstation Plus (Discontinued)</v>
      </c>
      <c r="D1683" s="82" t="str">
        <f>IFERROR(__xludf.DUMMYFUNCTION("""COMPUTED_VALUE"""),"Removed")</f>
        <v>Removed</v>
      </c>
      <c r="E1683" s="84">
        <f>IFERROR(__xludf.DUMMYFUNCTION("""COMPUTED_VALUE"""),40883.0)</f>
        <v>40883</v>
      </c>
      <c r="F1683" s="85">
        <f>IFERROR(__xludf.DUMMYFUNCTION("""COMPUTED_VALUE"""),40910.0)</f>
        <v>40910</v>
      </c>
      <c r="G1683" s="86">
        <f>IFERROR(__xludf.DUMMYFUNCTION("""COMPUTED_VALUE"""),0.8666666666666666)</f>
        <v>0.8666666667</v>
      </c>
      <c r="H1683" s="84">
        <f>IFERROR(__xludf.DUMMYFUNCTION("""COMPUTED_VALUE"""),36854.0)</f>
        <v>36854</v>
      </c>
      <c r="I1683" s="86">
        <f>IFERROR(__xludf.DUMMYFUNCTION("""COMPUTED_VALUE"""),11.033333333333333)</f>
        <v>11.03333333</v>
      </c>
      <c r="J1683" s="87">
        <f>IFERROR(__xludf.DUMMYFUNCTION("""COMPUTED_VALUE"""),91.0)</f>
        <v>91</v>
      </c>
      <c r="K1683" s="88">
        <f>IFERROR(__xludf.DUMMYFUNCTION("""COMPUTED_VALUE"""),9.1)</f>
        <v>9.1</v>
      </c>
      <c r="L1683" s="89">
        <f>IFERROR(__xludf.DUMMYFUNCTION("""COMPUTED_VALUE"""),16.0)</f>
        <v>16</v>
      </c>
      <c r="M1683" s="26" t="str">
        <f>IFERROR(__xludf.DUMMYFUNCTION("""COMPUTED_VALUE"""),"Platformer")</f>
        <v>Platformer</v>
      </c>
      <c r="N1683" s="26" t="str">
        <f>IFERROR(__xludf.DUMMYFUNCTION("""COMPUTED_VALUE"""),"PS1")</f>
        <v>PS1</v>
      </c>
      <c r="O1683" s="26" t="str">
        <f>IFERROR(__xludf.DUMMYFUNCTION("""COMPUTED_VALUE"""),"No")</f>
        <v>No</v>
      </c>
      <c r="P1683" s="26"/>
    </row>
    <row r="1684">
      <c r="A1684" s="81" t="str">
        <f>IFERROR(__xludf.DUMMYFUNCTION("""COMPUTED_VALUE"""),"Spyro 2: Ripto’s Rage")</f>
        <v>Spyro 2: Ripto’s Rage</v>
      </c>
      <c r="B1684" s="82" t="str">
        <f>IFERROR(__xludf.DUMMYFUNCTION("""COMPUTED_VALUE"""),"PS3")</f>
        <v>PS3</v>
      </c>
      <c r="C1684" s="83" t="str">
        <f>IFERROR(__xludf.DUMMYFUNCTION("""COMPUTED_VALUE"""),"Playstation Plus (Discontinued)")</f>
        <v>Playstation Plus (Discontinued)</v>
      </c>
      <c r="D1684" s="82" t="str">
        <f>IFERROR(__xludf.DUMMYFUNCTION("""COMPUTED_VALUE"""),"Removed")</f>
        <v>Removed</v>
      </c>
      <c r="E1684" s="84">
        <f>IFERROR(__xludf.DUMMYFUNCTION("""COMPUTED_VALUE"""),40883.0)</f>
        <v>40883</v>
      </c>
      <c r="F1684" s="85">
        <f>IFERROR(__xludf.DUMMYFUNCTION("""COMPUTED_VALUE"""),40910.0)</f>
        <v>40910</v>
      </c>
      <c r="G1684" s="86">
        <f>IFERROR(__xludf.DUMMYFUNCTION("""COMPUTED_VALUE"""),0.8666666666666666)</f>
        <v>0.8666666667</v>
      </c>
      <c r="H1684" s="84">
        <f>IFERROR(__xludf.DUMMYFUNCTION("""COMPUTED_VALUE"""),36466.0)</f>
        <v>36466</v>
      </c>
      <c r="I1684" s="86">
        <f>IFERROR(__xludf.DUMMYFUNCTION("""COMPUTED_VALUE"""),12.094444444444445)</f>
        <v>12.09444444</v>
      </c>
      <c r="J1684" s="87">
        <f>IFERROR(__xludf.DUMMYFUNCTION("""COMPUTED_VALUE"""),87.0)</f>
        <v>87</v>
      </c>
      <c r="K1684" s="88">
        <f>IFERROR(__xludf.DUMMYFUNCTION("""COMPUTED_VALUE"""),8.9)</f>
        <v>8.9</v>
      </c>
      <c r="L1684" s="89">
        <f>IFERROR(__xludf.DUMMYFUNCTION("""COMPUTED_VALUE"""),13.0)</f>
        <v>13</v>
      </c>
      <c r="M1684" s="26" t="str">
        <f>IFERROR(__xludf.DUMMYFUNCTION("""COMPUTED_VALUE"""),"Platformer")</f>
        <v>Platformer</v>
      </c>
      <c r="N1684" s="26" t="str">
        <f>IFERROR(__xludf.DUMMYFUNCTION("""COMPUTED_VALUE"""),"PS1")</f>
        <v>PS1</v>
      </c>
      <c r="O1684" s="26" t="str">
        <f>IFERROR(__xludf.DUMMYFUNCTION("""COMPUTED_VALUE"""),"No")</f>
        <v>No</v>
      </c>
      <c r="P1684" s="26"/>
    </row>
    <row r="1685">
      <c r="A1685" s="81" t="str">
        <f>IFERROR(__xludf.DUMMYFUNCTION("""COMPUTED_VALUE"""),"Spyro the Dragon")</f>
        <v>Spyro the Dragon</v>
      </c>
      <c r="B1685" s="82" t="str">
        <f>IFERROR(__xludf.DUMMYFUNCTION("""COMPUTED_VALUE"""),"PS3")</f>
        <v>PS3</v>
      </c>
      <c r="C1685" s="83" t="str">
        <f>IFERROR(__xludf.DUMMYFUNCTION("""COMPUTED_VALUE"""),"Playstation Plus (Discontinued)")</f>
        <v>Playstation Plus (Discontinued)</v>
      </c>
      <c r="D1685" s="82" t="str">
        <f>IFERROR(__xludf.DUMMYFUNCTION("""COMPUTED_VALUE"""),"Removed")</f>
        <v>Removed</v>
      </c>
      <c r="E1685" s="84">
        <f>IFERROR(__xludf.DUMMYFUNCTION("""COMPUTED_VALUE"""),40883.0)</f>
        <v>40883</v>
      </c>
      <c r="F1685" s="85">
        <f>IFERROR(__xludf.DUMMYFUNCTION("""COMPUTED_VALUE"""),40910.0)</f>
        <v>40910</v>
      </c>
      <c r="G1685" s="86">
        <f>IFERROR(__xludf.DUMMYFUNCTION("""COMPUTED_VALUE"""),0.8666666666666666)</f>
        <v>0.8666666667</v>
      </c>
      <c r="H1685" s="84">
        <f>IFERROR(__xludf.DUMMYFUNCTION("""COMPUTED_VALUE"""),36047.0)</f>
        <v>36047</v>
      </c>
      <c r="I1685" s="86">
        <f>IFERROR(__xludf.DUMMYFUNCTION("""COMPUTED_VALUE"""),13.241666666666667)</f>
        <v>13.24166667</v>
      </c>
      <c r="J1685" s="87">
        <f>IFERROR(__xludf.DUMMYFUNCTION("""COMPUTED_VALUE"""),91.0)</f>
        <v>91</v>
      </c>
      <c r="K1685" s="88">
        <f>IFERROR(__xludf.DUMMYFUNCTION("""COMPUTED_VALUE"""),9.1)</f>
        <v>9.1</v>
      </c>
      <c r="L1685" s="89">
        <f>IFERROR(__xludf.DUMMYFUNCTION("""COMPUTED_VALUE"""),13.0)</f>
        <v>13</v>
      </c>
      <c r="M1685" s="26" t="str">
        <f>IFERROR(__xludf.DUMMYFUNCTION("""COMPUTED_VALUE"""),"Platformer")</f>
        <v>Platformer</v>
      </c>
      <c r="N1685" s="26" t="str">
        <f>IFERROR(__xludf.DUMMYFUNCTION("""COMPUTED_VALUE"""),"PS1")</f>
        <v>PS1</v>
      </c>
      <c r="O1685" s="26" t="str">
        <f>IFERROR(__xludf.DUMMYFUNCTION("""COMPUTED_VALUE"""),"No")</f>
        <v>No</v>
      </c>
      <c r="P1685" s="26"/>
    </row>
    <row r="1686">
      <c r="A1686" s="81" t="str">
        <f>IFERROR(__xludf.DUMMYFUNCTION("""COMPUTED_VALUE"""),"Hydrophobia: Prophecy")</f>
        <v>Hydrophobia: Prophecy</v>
      </c>
      <c r="B1686" s="82" t="str">
        <f>IFERROR(__xludf.DUMMYFUNCTION("""COMPUTED_VALUE"""),"PS3")</f>
        <v>PS3</v>
      </c>
      <c r="C1686" s="83" t="str">
        <f>IFERROR(__xludf.DUMMYFUNCTION("""COMPUTED_VALUE"""),"Playstation Plus (Discontinued)")</f>
        <v>Playstation Plus (Discontinued)</v>
      </c>
      <c r="D1686" s="82" t="str">
        <f>IFERROR(__xludf.DUMMYFUNCTION("""COMPUTED_VALUE"""),"Removed")</f>
        <v>Removed</v>
      </c>
      <c r="E1686" s="84">
        <f>IFERROR(__xludf.DUMMYFUNCTION("""COMPUTED_VALUE"""),40848.0)</f>
        <v>40848</v>
      </c>
      <c r="F1686" s="85">
        <f>IFERROR(__xludf.DUMMYFUNCTION("""COMPUTED_VALUE"""),40882.0)</f>
        <v>40882</v>
      </c>
      <c r="G1686" s="86">
        <f>IFERROR(__xludf.DUMMYFUNCTION("""COMPUTED_VALUE"""),1.1333333333333333)</f>
        <v>1.133333333</v>
      </c>
      <c r="H1686" s="84">
        <f>IFERROR(__xludf.DUMMYFUNCTION("""COMPUTED_VALUE"""),40672.0)</f>
        <v>40672</v>
      </c>
      <c r="I1686" s="86">
        <f>IFERROR(__xludf.DUMMYFUNCTION("""COMPUTED_VALUE"""),0.4777777777777778)</f>
        <v>0.4777777778</v>
      </c>
      <c r="J1686" s="87">
        <f>IFERROR(__xludf.DUMMYFUNCTION("""COMPUTED_VALUE"""),63.0)</f>
        <v>63</v>
      </c>
      <c r="K1686" s="88">
        <f>IFERROR(__xludf.DUMMYFUNCTION("""COMPUTED_VALUE"""),6.7)</f>
        <v>6.7</v>
      </c>
      <c r="L1686" s="89">
        <f>IFERROR(__xludf.DUMMYFUNCTION("""COMPUTED_VALUE"""),5.0)</f>
        <v>5</v>
      </c>
      <c r="M1686" s="26" t="str">
        <f>IFERROR(__xludf.DUMMYFUNCTION("""COMPUTED_VALUE"""),"Action-Adventure")</f>
        <v>Action-Adventure</v>
      </c>
      <c r="N1686" s="26"/>
      <c r="O1686" s="26" t="str">
        <f>IFERROR(__xludf.DUMMYFUNCTION("""COMPUTED_VALUE"""),"No")</f>
        <v>No</v>
      </c>
      <c r="P1686" s="26"/>
    </row>
    <row r="1687">
      <c r="A1687" s="81" t="str">
        <f>IFERROR(__xludf.DUMMYFUNCTION("""COMPUTED_VALUE"""),"CTR: Crash Team Racing")</f>
        <v>CTR: Crash Team Racing</v>
      </c>
      <c r="B1687" s="82" t="str">
        <f>IFERROR(__xludf.DUMMYFUNCTION("""COMPUTED_VALUE"""),"PS3")</f>
        <v>PS3</v>
      </c>
      <c r="C1687" s="83" t="str">
        <f>IFERROR(__xludf.DUMMYFUNCTION("""COMPUTED_VALUE"""),"Playstation Plus (Discontinued)")</f>
        <v>Playstation Plus (Discontinued)</v>
      </c>
      <c r="D1687" s="82" t="str">
        <f>IFERROR(__xludf.DUMMYFUNCTION("""COMPUTED_VALUE"""),"Removed")</f>
        <v>Removed</v>
      </c>
      <c r="E1687" s="84">
        <f>IFERROR(__xludf.DUMMYFUNCTION("""COMPUTED_VALUE"""),40848.0)</f>
        <v>40848</v>
      </c>
      <c r="F1687" s="85">
        <f>IFERROR(__xludf.DUMMYFUNCTION("""COMPUTED_VALUE"""),40882.0)</f>
        <v>40882</v>
      </c>
      <c r="G1687" s="86">
        <f>IFERROR(__xludf.DUMMYFUNCTION("""COMPUTED_VALUE"""),1.1333333333333333)</f>
        <v>1.133333333</v>
      </c>
      <c r="H1687" s="84">
        <f>IFERROR(__xludf.DUMMYFUNCTION("""COMPUTED_VALUE"""),36453.0)</f>
        <v>36453</v>
      </c>
      <c r="I1687" s="86">
        <f>IFERROR(__xludf.DUMMYFUNCTION("""COMPUTED_VALUE"""),12.030555555555555)</f>
        <v>12.03055556</v>
      </c>
      <c r="J1687" s="87">
        <f>IFERROR(__xludf.DUMMYFUNCTION("""COMPUTED_VALUE"""),88.0)</f>
        <v>88</v>
      </c>
      <c r="K1687" s="88">
        <f>IFERROR(__xludf.DUMMYFUNCTION("""COMPUTED_VALUE"""),8.8)</f>
        <v>8.8</v>
      </c>
      <c r="L1687" s="89">
        <f>IFERROR(__xludf.DUMMYFUNCTION("""COMPUTED_VALUE"""),6.0)</f>
        <v>6</v>
      </c>
      <c r="M1687" s="26" t="str">
        <f>IFERROR(__xludf.DUMMYFUNCTION("""COMPUTED_VALUE"""),"Racing")</f>
        <v>Racing</v>
      </c>
      <c r="N1687" s="26" t="str">
        <f>IFERROR(__xludf.DUMMYFUNCTION("""COMPUTED_VALUE"""),"PS1")</f>
        <v>PS1</v>
      </c>
      <c r="O1687" s="26" t="str">
        <f>IFERROR(__xludf.DUMMYFUNCTION("""COMPUTED_VALUE"""),"No")</f>
        <v>No</v>
      </c>
      <c r="P1687" s="26"/>
    </row>
    <row r="1688">
      <c r="A1688" s="81" t="str">
        <f>IFERROR(__xludf.DUMMYFUNCTION("""COMPUTED_VALUE"""),"Crash Bandicoot3: Warped")</f>
        <v>Crash Bandicoot3: Warped</v>
      </c>
      <c r="B1688" s="82" t="str">
        <f>IFERROR(__xludf.DUMMYFUNCTION("""COMPUTED_VALUE"""),"PS3")</f>
        <v>PS3</v>
      </c>
      <c r="C1688" s="83" t="str">
        <f>IFERROR(__xludf.DUMMYFUNCTION("""COMPUTED_VALUE"""),"Playstation Plus (Discontinued)")</f>
        <v>Playstation Plus (Discontinued)</v>
      </c>
      <c r="D1688" s="82" t="str">
        <f>IFERROR(__xludf.DUMMYFUNCTION("""COMPUTED_VALUE"""),"Removed")</f>
        <v>Removed</v>
      </c>
      <c r="E1688" s="84">
        <f>IFERROR(__xludf.DUMMYFUNCTION("""COMPUTED_VALUE"""),40848.0)</f>
        <v>40848</v>
      </c>
      <c r="F1688" s="85">
        <f>IFERROR(__xludf.DUMMYFUNCTION("""COMPUTED_VALUE"""),40882.0)</f>
        <v>40882</v>
      </c>
      <c r="G1688" s="86">
        <f>IFERROR(__xludf.DUMMYFUNCTION("""COMPUTED_VALUE"""),1.1333333333333333)</f>
        <v>1.133333333</v>
      </c>
      <c r="H1688" s="84">
        <f>IFERROR(__xludf.DUMMYFUNCTION("""COMPUTED_VALUE"""),36099.0)</f>
        <v>36099</v>
      </c>
      <c r="I1688" s="86">
        <f>IFERROR(__xludf.DUMMYFUNCTION("""COMPUTED_VALUE"""),13.002777777777778)</f>
        <v>13.00277778</v>
      </c>
      <c r="J1688" s="87">
        <f>IFERROR(__xludf.DUMMYFUNCTION("""COMPUTED_VALUE"""),91.0)</f>
        <v>91</v>
      </c>
      <c r="K1688" s="88">
        <f>IFERROR(__xludf.DUMMYFUNCTION("""COMPUTED_VALUE"""),9.1)</f>
        <v>9.1</v>
      </c>
      <c r="L1688" s="89">
        <f>IFERROR(__xludf.DUMMYFUNCTION("""COMPUTED_VALUE"""),9.0)</f>
        <v>9</v>
      </c>
      <c r="M1688" s="26" t="str">
        <f>IFERROR(__xludf.DUMMYFUNCTION("""COMPUTED_VALUE"""),"Platformer")</f>
        <v>Platformer</v>
      </c>
      <c r="N1688" s="26" t="str">
        <f>IFERROR(__xludf.DUMMYFUNCTION("""COMPUTED_VALUE"""),"PS1")</f>
        <v>PS1</v>
      </c>
      <c r="O1688" s="26" t="str">
        <f>IFERROR(__xludf.DUMMYFUNCTION("""COMPUTED_VALUE"""),"No")</f>
        <v>No</v>
      </c>
      <c r="P1688" s="26"/>
    </row>
    <row r="1689">
      <c r="A1689" s="81" t="str">
        <f>IFERROR(__xludf.DUMMYFUNCTION("""COMPUTED_VALUE"""),"Crash Bandicoot 2")</f>
        <v>Crash Bandicoot 2</v>
      </c>
      <c r="B1689" s="82" t="str">
        <f>IFERROR(__xludf.DUMMYFUNCTION("""COMPUTED_VALUE"""),"PS3")</f>
        <v>PS3</v>
      </c>
      <c r="C1689" s="83" t="str">
        <f>IFERROR(__xludf.DUMMYFUNCTION("""COMPUTED_VALUE"""),"Playstation Plus (Discontinued)")</f>
        <v>Playstation Plus (Discontinued)</v>
      </c>
      <c r="D1689" s="82" t="str">
        <f>IFERROR(__xludf.DUMMYFUNCTION("""COMPUTED_VALUE"""),"Removed")</f>
        <v>Removed</v>
      </c>
      <c r="E1689" s="84">
        <f>IFERROR(__xludf.DUMMYFUNCTION("""COMPUTED_VALUE"""),40848.0)</f>
        <v>40848</v>
      </c>
      <c r="F1689" s="85">
        <f>IFERROR(__xludf.DUMMYFUNCTION("""COMPUTED_VALUE"""),40882.0)</f>
        <v>40882</v>
      </c>
      <c r="G1689" s="86">
        <f>IFERROR(__xludf.DUMMYFUNCTION("""COMPUTED_VALUE"""),1.1333333333333333)</f>
        <v>1.133333333</v>
      </c>
      <c r="H1689" s="84">
        <f>IFERROR(__xludf.DUMMYFUNCTION("""COMPUTED_VALUE"""),35739.0)</f>
        <v>35739</v>
      </c>
      <c r="I1689" s="86">
        <f>IFERROR(__xludf.DUMMYFUNCTION("""COMPUTED_VALUE"""),13.988888888888889)</f>
        <v>13.98888889</v>
      </c>
      <c r="J1689" s="87">
        <f>IFERROR(__xludf.DUMMYFUNCTION("""COMPUTED_VALUE"""),93.0)</f>
        <v>93</v>
      </c>
      <c r="K1689" s="88">
        <f>IFERROR(__xludf.DUMMYFUNCTION("""COMPUTED_VALUE"""),9.0)</f>
        <v>9</v>
      </c>
      <c r="L1689" s="89">
        <f>IFERROR(__xludf.DUMMYFUNCTION("""COMPUTED_VALUE"""),8.0)</f>
        <v>8</v>
      </c>
      <c r="M1689" s="26" t="str">
        <f>IFERROR(__xludf.DUMMYFUNCTION("""COMPUTED_VALUE"""),"Platformer")</f>
        <v>Platformer</v>
      </c>
      <c r="N1689" s="26" t="str">
        <f>IFERROR(__xludf.DUMMYFUNCTION("""COMPUTED_VALUE"""),"PS1")</f>
        <v>PS1</v>
      </c>
      <c r="O1689" s="26" t="str">
        <f>IFERROR(__xludf.DUMMYFUNCTION("""COMPUTED_VALUE"""),"No")</f>
        <v>No</v>
      </c>
      <c r="P1689" s="26"/>
    </row>
    <row r="1690">
      <c r="A1690" s="81" t="str">
        <f>IFERROR(__xludf.DUMMYFUNCTION("""COMPUTED_VALUE"""),"Crash Bandicoot")</f>
        <v>Crash Bandicoot</v>
      </c>
      <c r="B1690" s="82" t="str">
        <f>IFERROR(__xludf.DUMMYFUNCTION("""COMPUTED_VALUE"""),"PS3")</f>
        <v>PS3</v>
      </c>
      <c r="C1690" s="83" t="str">
        <f>IFERROR(__xludf.DUMMYFUNCTION("""COMPUTED_VALUE"""),"Playstation Plus (Discontinued)")</f>
        <v>Playstation Plus (Discontinued)</v>
      </c>
      <c r="D1690" s="82" t="str">
        <f>IFERROR(__xludf.DUMMYFUNCTION("""COMPUTED_VALUE"""),"Removed")</f>
        <v>Removed</v>
      </c>
      <c r="E1690" s="84">
        <f>IFERROR(__xludf.DUMMYFUNCTION("""COMPUTED_VALUE"""),40848.0)</f>
        <v>40848</v>
      </c>
      <c r="F1690" s="85">
        <f>IFERROR(__xludf.DUMMYFUNCTION("""COMPUTED_VALUE"""),40882.0)</f>
        <v>40882</v>
      </c>
      <c r="G1690" s="86">
        <f>IFERROR(__xludf.DUMMYFUNCTION("""COMPUTED_VALUE"""),1.1333333333333333)</f>
        <v>1.133333333</v>
      </c>
      <c r="H1690" s="84">
        <f>IFERROR(__xludf.DUMMYFUNCTION("""COMPUTED_VALUE"""),35317.0)</f>
        <v>35317</v>
      </c>
      <c r="I1690" s="86">
        <f>IFERROR(__xludf.DUMMYFUNCTION("""COMPUTED_VALUE"""),15.144444444444444)</f>
        <v>15.14444444</v>
      </c>
      <c r="J1690" s="87">
        <f>IFERROR(__xludf.DUMMYFUNCTION("""COMPUTED_VALUE"""),80.0)</f>
        <v>80</v>
      </c>
      <c r="K1690" s="88">
        <f>IFERROR(__xludf.DUMMYFUNCTION("""COMPUTED_VALUE"""),8.5)</f>
        <v>8.5</v>
      </c>
      <c r="L1690" s="89">
        <f>IFERROR(__xludf.DUMMYFUNCTION("""COMPUTED_VALUE"""),7.0)</f>
        <v>7</v>
      </c>
      <c r="M1690" s="26" t="str">
        <f>IFERROR(__xludf.DUMMYFUNCTION("""COMPUTED_VALUE"""),"Platformer")</f>
        <v>Platformer</v>
      </c>
      <c r="N1690" s="26" t="str">
        <f>IFERROR(__xludf.DUMMYFUNCTION("""COMPUTED_VALUE"""),"PS1")</f>
        <v>PS1</v>
      </c>
      <c r="O1690" s="26" t="str">
        <f>IFERROR(__xludf.DUMMYFUNCTION("""COMPUTED_VALUE"""),"No")</f>
        <v>No</v>
      </c>
      <c r="P1690" s="26"/>
    </row>
    <row r="1691">
      <c r="A1691" s="81" t="str">
        <f>IFERROR(__xludf.DUMMYFUNCTION("""COMPUTED_VALUE"""),"Doodle Fit")</f>
        <v>Doodle Fit</v>
      </c>
      <c r="B1691" s="82" t="str">
        <f>IFERROR(__xludf.DUMMYFUNCTION("""COMPUTED_VALUE"""),"PS3")</f>
        <v>PS3</v>
      </c>
      <c r="C1691" s="83" t="str">
        <f>IFERROR(__xludf.DUMMYFUNCTION("""COMPUTED_VALUE"""),"Playstation Plus (Discontinued)")</f>
        <v>Playstation Plus (Discontinued)</v>
      </c>
      <c r="D1691" s="82" t="str">
        <f>IFERROR(__xludf.DUMMYFUNCTION("""COMPUTED_VALUE"""),"Removed")</f>
        <v>Removed</v>
      </c>
      <c r="E1691" s="84">
        <f>IFERROR(__xludf.DUMMYFUNCTION("""COMPUTED_VALUE"""),40848.0)</f>
        <v>40848</v>
      </c>
      <c r="F1691" s="85">
        <f>IFERROR(__xludf.DUMMYFUNCTION("""COMPUTED_VALUE"""),40882.0)</f>
        <v>40882</v>
      </c>
      <c r="G1691" s="86">
        <f>IFERROR(__xludf.DUMMYFUNCTION("""COMPUTED_VALUE"""),1.1333333333333333)</f>
        <v>1.133333333</v>
      </c>
      <c r="H1691" s="84">
        <f>IFERROR(__xludf.DUMMYFUNCTION("""COMPUTED_VALUE"""),40806.0)</f>
        <v>40806</v>
      </c>
      <c r="I1691" s="86">
        <f>IFERROR(__xludf.DUMMYFUNCTION("""COMPUTED_VALUE"""),0.11388888888888889)</f>
        <v>0.1138888889</v>
      </c>
      <c r="J1691" s="87">
        <f>IFERROR(__xludf.DUMMYFUNCTION("""COMPUTED_VALUE"""),69.0)</f>
        <v>69</v>
      </c>
      <c r="K1691" s="88">
        <f>IFERROR(__xludf.DUMMYFUNCTION("""COMPUTED_VALUE"""),7.0)</f>
        <v>7</v>
      </c>
      <c r="L1691" s="89"/>
      <c r="M1691" s="26" t="str">
        <f>IFERROR(__xludf.DUMMYFUNCTION("""COMPUTED_VALUE"""),"Puzzle")</f>
        <v>Puzzle</v>
      </c>
      <c r="N1691" s="26" t="str">
        <f>IFERROR(__xludf.DUMMYFUNCTION("""COMPUTED_VALUE"""),"PS Minis")</f>
        <v>PS Minis</v>
      </c>
      <c r="O1691" s="26" t="str">
        <f>IFERROR(__xludf.DUMMYFUNCTION("""COMPUTED_VALUE"""),"No")</f>
        <v>No</v>
      </c>
      <c r="P1691" s="26"/>
    </row>
    <row r="1692">
      <c r="A1692" s="81" t="str">
        <f>IFERROR(__xludf.DUMMYFUNCTION("""COMPUTED_VALUE"""),"Where is my Heart")</f>
        <v>Where is my Heart</v>
      </c>
      <c r="B1692" s="82" t="str">
        <f>IFERROR(__xludf.DUMMYFUNCTION("""COMPUTED_VALUE"""),"PS3")</f>
        <v>PS3</v>
      </c>
      <c r="C1692" s="83" t="str">
        <f>IFERROR(__xludf.DUMMYFUNCTION("""COMPUTED_VALUE"""),"Playstation Plus (Discontinued)")</f>
        <v>Playstation Plus (Discontinued)</v>
      </c>
      <c r="D1692" s="82" t="str">
        <f>IFERROR(__xludf.DUMMYFUNCTION("""COMPUTED_VALUE"""),"Removed")</f>
        <v>Removed</v>
      </c>
      <c r="E1692" s="84">
        <f>IFERROR(__xludf.DUMMYFUNCTION("""COMPUTED_VALUE"""),40848.0)</f>
        <v>40848</v>
      </c>
      <c r="F1692" s="85">
        <f>IFERROR(__xludf.DUMMYFUNCTION("""COMPUTED_VALUE"""),40882.0)</f>
        <v>40882</v>
      </c>
      <c r="G1692" s="86">
        <f>IFERROR(__xludf.DUMMYFUNCTION("""COMPUTED_VALUE"""),1.1333333333333333)</f>
        <v>1.133333333</v>
      </c>
      <c r="H1692" s="84">
        <f>IFERROR(__xludf.DUMMYFUNCTION("""COMPUTED_VALUE"""),40842.0)</f>
        <v>40842</v>
      </c>
      <c r="I1692" s="86">
        <f>IFERROR(__xludf.DUMMYFUNCTION("""COMPUTED_VALUE"""),0.013888888888888888)</f>
        <v>0.01388888889</v>
      </c>
      <c r="J1692" s="87">
        <f>IFERROR(__xludf.DUMMYFUNCTION("""COMPUTED_VALUE"""),67.0)</f>
        <v>67</v>
      </c>
      <c r="K1692" s="88">
        <f>IFERROR(__xludf.DUMMYFUNCTION("""COMPUTED_VALUE"""),6.9)</f>
        <v>6.9</v>
      </c>
      <c r="L1692" s="89">
        <f>IFERROR(__xludf.DUMMYFUNCTION("""COMPUTED_VALUE"""),3.0)</f>
        <v>3</v>
      </c>
      <c r="M1692" s="26" t="str">
        <f>IFERROR(__xludf.DUMMYFUNCTION("""COMPUTED_VALUE"""),"Platformer")</f>
        <v>Platformer</v>
      </c>
      <c r="N1692" s="26" t="str">
        <f>IFERROR(__xludf.DUMMYFUNCTION("""COMPUTED_VALUE"""),"PS Minis")</f>
        <v>PS Minis</v>
      </c>
      <c r="O1692" s="26" t="str">
        <f>IFERROR(__xludf.DUMMYFUNCTION("""COMPUTED_VALUE"""),"No")</f>
        <v>No</v>
      </c>
      <c r="P1692" s="26"/>
    </row>
    <row r="1693">
      <c r="A1693" s="81" t="str">
        <f>IFERROR(__xludf.DUMMYFUNCTION("""COMPUTED_VALUE"""),"Rumble Trucks")</f>
        <v>Rumble Trucks</v>
      </c>
      <c r="B1693" s="82" t="str">
        <f>IFERROR(__xludf.DUMMYFUNCTION("""COMPUTED_VALUE"""),"PS3")</f>
        <v>PS3</v>
      </c>
      <c r="C1693" s="83" t="str">
        <f>IFERROR(__xludf.DUMMYFUNCTION("""COMPUTED_VALUE"""),"Playstation Plus (Discontinued)")</f>
        <v>Playstation Plus (Discontinued)</v>
      </c>
      <c r="D1693" s="82" t="str">
        <f>IFERROR(__xludf.DUMMYFUNCTION("""COMPUTED_VALUE"""),"Removed")</f>
        <v>Removed</v>
      </c>
      <c r="E1693" s="84">
        <f>IFERROR(__xludf.DUMMYFUNCTION("""COMPUTED_VALUE"""),40848.0)</f>
        <v>40848</v>
      </c>
      <c r="F1693" s="85">
        <f>IFERROR(__xludf.DUMMYFUNCTION("""COMPUTED_VALUE"""),40882.0)</f>
        <v>40882</v>
      </c>
      <c r="G1693" s="86">
        <f>IFERROR(__xludf.DUMMYFUNCTION("""COMPUTED_VALUE"""),1.1333333333333333)</f>
        <v>1.133333333</v>
      </c>
      <c r="H1693" s="84">
        <f>IFERROR(__xludf.DUMMYFUNCTION("""COMPUTED_VALUE"""),40806.0)</f>
        <v>40806</v>
      </c>
      <c r="I1693" s="86">
        <f>IFERROR(__xludf.DUMMYFUNCTION("""COMPUTED_VALUE"""),0.11388888888888889)</f>
        <v>0.1138888889</v>
      </c>
      <c r="J1693" s="87">
        <f>IFERROR(__xludf.DUMMYFUNCTION("""COMPUTED_VALUE"""),52.0)</f>
        <v>52</v>
      </c>
      <c r="K1693" s="88">
        <f>IFERROR(__xludf.DUMMYFUNCTION("""COMPUTED_VALUE"""),6.2)</f>
        <v>6.2</v>
      </c>
      <c r="L1693" s="89"/>
      <c r="M1693" s="26" t="str">
        <f>IFERROR(__xludf.DUMMYFUNCTION("""COMPUTED_VALUE"""),"Racing")</f>
        <v>Racing</v>
      </c>
      <c r="N1693" s="26" t="str">
        <f>IFERROR(__xludf.DUMMYFUNCTION("""COMPUTED_VALUE"""),"PS Minis")</f>
        <v>PS Minis</v>
      </c>
      <c r="O1693" s="26" t="str">
        <f>IFERROR(__xludf.DUMMYFUNCTION("""COMPUTED_VALUE"""),"No")</f>
        <v>No</v>
      </c>
      <c r="P1693" s="26"/>
    </row>
    <row r="1694">
      <c r="A1694" s="81" t="str">
        <f>IFERROR(__xludf.DUMMYFUNCTION("""COMPUTED_VALUE"""),"Costume Quest")</f>
        <v>Costume Quest</v>
      </c>
      <c r="B1694" s="82" t="str">
        <f>IFERROR(__xludf.DUMMYFUNCTION("""COMPUTED_VALUE"""),"PS3")</f>
        <v>PS3</v>
      </c>
      <c r="C1694" s="83" t="str">
        <f>IFERROR(__xludf.DUMMYFUNCTION("""COMPUTED_VALUE"""),"Playstation Plus (Discontinued)")</f>
        <v>Playstation Plus (Discontinued)</v>
      </c>
      <c r="D1694" s="82" t="str">
        <f>IFERROR(__xludf.DUMMYFUNCTION("""COMPUTED_VALUE"""),"Removed")</f>
        <v>Removed</v>
      </c>
      <c r="E1694" s="84">
        <f>IFERROR(__xludf.DUMMYFUNCTION("""COMPUTED_VALUE"""),40820.0)</f>
        <v>40820</v>
      </c>
      <c r="F1694" s="85">
        <f>IFERROR(__xludf.DUMMYFUNCTION("""COMPUTED_VALUE"""),40847.0)</f>
        <v>40847</v>
      </c>
      <c r="G1694" s="86">
        <f>IFERROR(__xludf.DUMMYFUNCTION("""COMPUTED_VALUE"""),0.8666666666666666)</f>
        <v>0.8666666667</v>
      </c>
      <c r="H1694" s="84">
        <f>IFERROR(__xludf.DUMMYFUNCTION("""COMPUTED_VALUE"""),40470.0)</f>
        <v>40470</v>
      </c>
      <c r="I1694" s="86">
        <f>IFERROR(__xludf.DUMMYFUNCTION("""COMPUTED_VALUE"""),0.9583333333333334)</f>
        <v>0.9583333333</v>
      </c>
      <c r="J1694" s="87">
        <f>IFERROR(__xludf.DUMMYFUNCTION("""COMPUTED_VALUE"""),79.0)</f>
        <v>79</v>
      </c>
      <c r="K1694" s="88">
        <f>IFERROR(__xludf.DUMMYFUNCTION("""COMPUTED_VALUE"""),8.0)</f>
        <v>8</v>
      </c>
      <c r="L1694" s="89">
        <f>IFERROR(__xludf.DUMMYFUNCTION("""COMPUTED_VALUE"""),7.0)</f>
        <v>7</v>
      </c>
      <c r="M1694" s="26" t="str">
        <f>IFERROR(__xludf.DUMMYFUNCTION("""COMPUTED_VALUE"""),"RPG")</f>
        <v>RPG</v>
      </c>
      <c r="N1694" s="26"/>
      <c r="O1694" s="26" t="str">
        <f>IFERROR(__xludf.DUMMYFUNCTION("""COMPUTED_VALUE"""),"No")</f>
        <v>No</v>
      </c>
      <c r="P1694" s="26"/>
    </row>
    <row r="1695">
      <c r="A1695" s="81" t="str">
        <f>IFERROR(__xludf.DUMMYFUNCTION("""COMPUTED_VALUE"""),"Elemental Monster")</f>
        <v>Elemental Monster</v>
      </c>
      <c r="B1695" s="82" t="str">
        <f>IFERROR(__xludf.DUMMYFUNCTION("""COMPUTED_VALUE"""),"PS3")</f>
        <v>PS3</v>
      </c>
      <c r="C1695" s="83" t="str">
        <f>IFERROR(__xludf.DUMMYFUNCTION("""COMPUTED_VALUE"""),"Playstation Plus (Discontinued)")</f>
        <v>Playstation Plus (Discontinued)</v>
      </c>
      <c r="D1695" s="82" t="str">
        <f>IFERROR(__xludf.DUMMYFUNCTION("""COMPUTED_VALUE"""),"Removed")</f>
        <v>Removed</v>
      </c>
      <c r="E1695" s="84">
        <f>IFERROR(__xludf.DUMMYFUNCTION("""COMPUTED_VALUE"""),40820.0)</f>
        <v>40820</v>
      </c>
      <c r="F1695" s="85">
        <f>IFERROR(__xludf.DUMMYFUNCTION("""COMPUTED_VALUE"""),40847.0)</f>
        <v>40847</v>
      </c>
      <c r="G1695" s="86">
        <f>IFERROR(__xludf.DUMMYFUNCTION("""COMPUTED_VALUE"""),0.8666666666666666)</f>
        <v>0.8666666667</v>
      </c>
      <c r="H1695" s="84">
        <f>IFERROR(__xludf.DUMMYFUNCTION("""COMPUTED_VALUE"""),40806.0)</f>
        <v>40806</v>
      </c>
      <c r="I1695" s="86">
        <f>IFERROR(__xludf.DUMMYFUNCTION("""COMPUTED_VALUE"""),0.03888888888888889)</f>
        <v>0.03888888889</v>
      </c>
      <c r="J1695" s="87">
        <f>IFERROR(__xludf.DUMMYFUNCTION("""COMPUTED_VALUE"""),56.0)</f>
        <v>56</v>
      </c>
      <c r="K1695" s="88">
        <f>IFERROR(__xludf.DUMMYFUNCTION("""COMPUTED_VALUE"""),6.2)</f>
        <v>6.2</v>
      </c>
      <c r="L1695" s="89"/>
      <c r="M1695" s="26" t="str">
        <f>IFERROR(__xludf.DUMMYFUNCTION("""COMPUTED_VALUE"""),"Card &amp; Board")</f>
        <v>Card &amp; Board</v>
      </c>
      <c r="N1695" s="26"/>
      <c r="O1695" s="26" t="str">
        <f>IFERROR(__xludf.DUMMYFUNCTION("""COMPUTED_VALUE"""),"No")</f>
        <v>No</v>
      </c>
      <c r="P1695" s="26"/>
    </row>
    <row r="1696">
      <c r="A1696" s="81" t="str">
        <f>IFERROR(__xludf.DUMMYFUNCTION("""COMPUTED_VALUE"""),"Dead Nation")</f>
        <v>Dead Nation</v>
      </c>
      <c r="B1696" s="82" t="str">
        <f>IFERROR(__xludf.DUMMYFUNCTION("""COMPUTED_VALUE"""),"PS3")</f>
        <v>PS3</v>
      </c>
      <c r="C1696" s="83" t="str">
        <f>IFERROR(__xludf.DUMMYFUNCTION("""COMPUTED_VALUE"""),"Playstation Plus (Discontinued)")</f>
        <v>Playstation Plus (Discontinued)</v>
      </c>
      <c r="D1696" s="82" t="str">
        <f>IFERROR(__xludf.DUMMYFUNCTION("""COMPUTED_VALUE"""),"Removed")</f>
        <v>Removed</v>
      </c>
      <c r="E1696" s="84">
        <f>IFERROR(__xludf.DUMMYFUNCTION("""COMPUTED_VALUE"""),40820.0)</f>
        <v>40820</v>
      </c>
      <c r="F1696" s="85">
        <f>IFERROR(__xludf.DUMMYFUNCTION("""COMPUTED_VALUE"""),40847.0)</f>
        <v>40847</v>
      </c>
      <c r="G1696" s="86">
        <f>IFERROR(__xludf.DUMMYFUNCTION("""COMPUTED_VALUE"""),0.8666666666666666)</f>
        <v>0.8666666667</v>
      </c>
      <c r="H1696" s="84">
        <f>IFERROR(__xludf.DUMMYFUNCTION("""COMPUTED_VALUE"""),40512.0)</f>
        <v>40512</v>
      </c>
      <c r="I1696" s="86">
        <f>IFERROR(__xludf.DUMMYFUNCTION("""COMPUTED_VALUE"""),0.8444444444444444)</f>
        <v>0.8444444444</v>
      </c>
      <c r="J1696" s="87">
        <f>IFERROR(__xludf.DUMMYFUNCTION("""COMPUTED_VALUE"""),74.0)</f>
        <v>74</v>
      </c>
      <c r="K1696" s="88">
        <f>IFERROR(__xludf.DUMMYFUNCTION("""COMPUTED_VALUE"""),7.7)</f>
        <v>7.7</v>
      </c>
      <c r="L1696" s="89">
        <f>IFERROR(__xludf.DUMMYFUNCTION("""COMPUTED_VALUE"""),7.0)</f>
        <v>7</v>
      </c>
      <c r="M1696" s="26" t="str">
        <f>IFERROR(__xludf.DUMMYFUNCTION("""COMPUTED_VALUE"""),"Shooter")</f>
        <v>Shooter</v>
      </c>
      <c r="N1696" s="26"/>
      <c r="O1696" s="26" t="str">
        <f>IFERROR(__xludf.DUMMYFUNCTION("""COMPUTED_VALUE"""),"No")</f>
        <v>No</v>
      </c>
      <c r="P1696" s="26"/>
    </row>
    <row r="1697">
      <c r="A1697" s="81" t="str">
        <f>IFERROR(__xludf.DUMMYFUNCTION("""COMPUTED_VALUE"""),"Warhawk")</f>
        <v>Warhawk</v>
      </c>
      <c r="B1697" s="82" t="str">
        <f>IFERROR(__xludf.DUMMYFUNCTION("""COMPUTED_VALUE"""),"PS3")</f>
        <v>PS3</v>
      </c>
      <c r="C1697" s="83" t="str">
        <f>IFERROR(__xludf.DUMMYFUNCTION("""COMPUTED_VALUE"""),"Playstation Plus (Discontinued)")</f>
        <v>Playstation Plus (Discontinued)</v>
      </c>
      <c r="D1697" s="82" t="str">
        <f>IFERROR(__xludf.DUMMYFUNCTION("""COMPUTED_VALUE"""),"Removed")</f>
        <v>Removed</v>
      </c>
      <c r="E1697" s="84">
        <f>IFERROR(__xludf.DUMMYFUNCTION("""COMPUTED_VALUE"""),40820.0)</f>
        <v>40820</v>
      </c>
      <c r="F1697" s="85">
        <f>IFERROR(__xludf.DUMMYFUNCTION("""COMPUTED_VALUE"""),40847.0)</f>
        <v>40847</v>
      </c>
      <c r="G1697" s="86">
        <f>IFERROR(__xludf.DUMMYFUNCTION("""COMPUTED_VALUE"""),0.8666666666666666)</f>
        <v>0.8666666667</v>
      </c>
      <c r="H1697" s="84">
        <f>IFERROR(__xludf.DUMMYFUNCTION("""COMPUTED_VALUE"""),39322.0)</f>
        <v>39322</v>
      </c>
      <c r="I1697" s="86">
        <f>IFERROR(__xludf.DUMMYFUNCTION("""COMPUTED_VALUE"""),4.1)</f>
        <v>4.1</v>
      </c>
      <c r="J1697" s="87">
        <f>IFERROR(__xludf.DUMMYFUNCTION("""COMPUTED_VALUE"""),84.0)</f>
        <v>84</v>
      </c>
      <c r="K1697" s="88">
        <f>IFERROR(__xludf.DUMMYFUNCTION("""COMPUTED_VALUE"""),8.5)</f>
        <v>8.5</v>
      </c>
      <c r="L1697" s="89"/>
      <c r="M1697" s="26" t="str">
        <f>IFERROR(__xludf.DUMMYFUNCTION("""COMPUTED_VALUE"""),"Shooter")</f>
        <v>Shooter</v>
      </c>
      <c r="N1697" s="26" t="str">
        <f>IFERROR(__xludf.DUMMYFUNCTION("""COMPUTED_VALUE"""),"PS1")</f>
        <v>PS1</v>
      </c>
      <c r="O1697" s="26" t="str">
        <f>IFERROR(__xludf.DUMMYFUNCTION("""COMPUTED_VALUE"""),"No")</f>
        <v>No</v>
      </c>
      <c r="P1697" s="26"/>
    </row>
    <row r="1698">
      <c r="A1698" s="81" t="str">
        <f>IFERROR(__xludf.DUMMYFUNCTION("""COMPUTED_VALUE"""),"Street Smart")</f>
        <v>Street Smart</v>
      </c>
      <c r="B1698" s="82" t="str">
        <f>IFERROR(__xludf.DUMMYFUNCTION("""COMPUTED_VALUE"""),"PS3")</f>
        <v>PS3</v>
      </c>
      <c r="C1698" s="83" t="str">
        <f>IFERROR(__xludf.DUMMYFUNCTION("""COMPUTED_VALUE"""),"Playstation Plus (Discontinued)")</f>
        <v>Playstation Plus (Discontinued)</v>
      </c>
      <c r="D1698" s="82" t="str">
        <f>IFERROR(__xludf.DUMMYFUNCTION("""COMPUTED_VALUE"""),"Removed")</f>
        <v>Removed</v>
      </c>
      <c r="E1698" s="84">
        <f>IFERROR(__xludf.DUMMYFUNCTION("""COMPUTED_VALUE"""),40820.0)</f>
        <v>40820</v>
      </c>
      <c r="F1698" s="85">
        <f>IFERROR(__xludf.DUMMYFUNCTION("""COMPUTED_VALUE"""),40847.0)</f>
        <v>40847</v>
      </c>
      <c r="G1698" s="86">
        <f>IFERROR(__xludf.DUMMYFUNCTION("""COMPUTED_VALUE"""),0.8666666666666666)</f>
        <v>0.8666666667</v>
      </c>
      <c r="H1698" s="84">
        <f>IFERROR(__xludf.DUMMYFUNCTION("""COMPUTED_VALUE"""),40813.0)</f>
        <v>40813</v>
      </c>
      <c r="I1698" s="86">
        <f>IFERROR(__xludf.DUMMYFUNCTION("""COMPUTED_VALUE"""),0.019444444444444445)</f>
        <v>0.01944444444</v>
      </c>
      <c r="J1698" s="87"/>
      <c r="K1698" s="88"/>
      <c r="L1698" s="89"/>
      <c r="M1698" s="26" t="str">
        <f>IFERROR(__xludf.DUMMYFUNCTION("""COMPUTED_VALUE"""),"Fighting")</f>
        <v>Fighting</v>
      </c>
      <c r="N1698" s="26" t="str">
        <f>IFERROR(__xludf.DUMMYFUNCTION("""COMPUTED_VALUE"""),"PS Minis")</f>
        <v>PS Minis</v>
      </c>
      <c r="O1698" s="26" t="str">
        <f>IFERROR(__xludf.DUMMYFUNCTION("""COMPUTED_VALUE"""),"No")</f>
        <v>No</v>
      </c>
      <c r="P1698" s="26"/>
    </row>
    <row r="1699">
      <c r="A1699" s="81" t="str">
        <f>IFERROR(__xludf.DUMMYFUNCTION("""COMPUTED_VALUE"""),"Speedball 2")</f>
        <v>Speedball 2</v>
      </c>
      <c r="B1699" s="82" t="str">
        <f>IFERROR(__xludf.DUMMYFUNCTION("""COMPUTED_VALUE"""),"PS3")</f>
        <v>PS3</v>
      </c>
      <c r="C1699" s="83" t="str">
        <f>IFERROR(__xludf.DUMMYFUNCTION("""COMPUTED_VALUE"""),"Playstation Plus (Discontinued)")</f>
        <v>Playstation Plus (Discontinued)</v>
      </c>
      <c r="D1699" s="82" t="str">
        <f>IFERROR(__xludf.DUMMYFUNCTION("""COMPUTED_VALUE"""),"Removed")</f>
        <v>Removed</v>
      </c>
      <c r="E1699" s="84">
        <f>IFERROR(__xludf.DUMMYFUNCTION("""COMPUTED_VALUE"""),40820.0)</f>
        <v>40820</v>
      </c>
      <c r="F1699" s="85">
        <f>IFERROR(__xludf.DUMMYFUNCTION("""COMPUTED_VALUE"""),40847.0)</f>
        <v>40847</v>
      </c>
      <c r="G1699" s="86">
        <f>IFERROR(__xludf.DUMMYFUNCTION("""COMPUTED_VALUE"""),0.8666666666666666)</f>
        <v>0.8666666667</v>
      </c>
      <c r="H1699" s="84">
        <f>IFERROR(__xludf.DUMMYFUNCTION("""COMPUTED_VALUE"""),33239.0)</f>
        <v>33239</v>
      </c>
      <c r="I1699" s="86">
        <f>IFERROR(__xludf.DUMMYFUNCTION("""COMPUTED_VALUE"""),20.758333333333333)</f>
        <v>20.75833333</v>
      </c>
      <c r="J1699" s="87">
        <f>IFERROR(__xludf.DUMMYFUNCTION("""COMPUTED_VALUE"""),75.0)</f>
        <v>75</v>
      </c>
      <c r="K1699" s="88">
        <f>IFERROR(__xludf.DUMMYFUNCTION("""COMPUTED_VALUE"""),7.8)</f>
        <v>7.8</v>
      </c>
      <c r="L1699" s="89"/>
      <c r="M1699" s="26" t="str">
        <f>IFERROR(__xludf.DUMMYFUNCTION("""COMPUTED_VALUE"""),"Sports")</f>
        <v>Sports</v>
      </c>
      <c r="N1699" s="26" t="str">
        <f>IFERROR(__xludf.DUMMYFUNCTION("""COMPUTED_VALUE"""),"PS Minis")</f>
        <v>PS Minis</v>
      </c>
      <c r="O1699" s="26" t="str">
        <f>IFERROR(__xludf.DUMMYFUNCTION("""COMPUTED_VALUE"""),"No")</f>
        <v>No</v>
      </c>
      <c r="P1699" s="26"/>
    </row>
    <row r="1700">
      <c r="A1700" s="81" t="str">
        <f>IFERROR(__xludf.DUMMYFUNCTION("""COMPUTED_VALUE"""),"1000 Tiny Claws")</f>
        <v>1000 Tiny Claws</v>
      </c>
      <c r="B1700" s="82" t="str">
        <f>IFERROR(__xludf.DUMMYFUNCTION("""COMPUTED_VALUE"""),"PS3")</f>
        <v>PS3</v>
      </c>
      <c r="C1700" s="83" t="str">
        <f>IFERROR(__xludf.DUMMYFUNCTION("""COMPUTED_VALUE"""),"Playstation Plus (Discontinued)")</f>
        <v>Playstation Plus (Discontinued)</v>
      </c>
      <c r="D1700" s="82" t="str">
        <f>IFERROR(__xludf.DUMMYFUNCTION("""COMPUTED_VALUE"""),"Removed")</f>
        <v>Removed</v>
      </c>
      <c r="E1700" s="84">
        <f>IFERROR(__xludf.DUMMYFUNCTION("""COMPUTED_VALUE"""),40820.0)</f>
        <v>40820</v>
      </c>
      <c r="F1700" s="85">
        <f>IFERROR(__xludf.DUMMYFUNCTION("""COMPUTED_VALUE"""),40847.0)</f>
        <v>40847</v>
      </c>
      <c r="G1700" s="86">
        <f>IFERROR(__xludf.DUMMYFUNCTION("""COMPUTED_VALUE"""),0.8666666666666666)</f>
        <v>0.8666666667</v>
      </c>
      <c r="H1700" s="84">
        <f>IFERROR(__xludf.DUMMYFUNCTION("""COMPUTED_VALUE"""),40806.0)</f>
        <v>40806</v>
      </c>
      <c r="I1700" s="86">
        <f>IFERROR(__xludf.DUMMYFUNCTION("""COMPUTED_VALUE"""),0.03888888888888889)</f>
        <v>0.03888888889</v>
      </c>
      <c r="J1700" s="87">
        <f>IFERROR(__xludf.DUMMYFUNCTION("""COMPUTED_VALUE"""),58.0)</f>
        <v>58</v>
      </c>
      <c r="K1700" s="88">
        <f>IFERROR(__xludf.DUMMYFUNCTION("""COMPUTED_VALUE"""),6.3)</f>
        <v>6.3</v>
      </c>
      <c r="L1700" s="89"/>
      <c r="M1700" s="26" t="str">
        <f>IFERROR(__xludf.DUMMYFUNCTION("""COMPUTED_VALUE"""),"Platformer")</f>
        <v>Platformer</v>
      </c>
      <c r="N1700" s="26" t="str">
        <f>IFERROR(__xludf.DUMMYFUNCTION("""COMPUTED_VALUE"""),"PS Minis")</f>
        <v>PS Minis</v>
      </c>
      <c r="O1700" s="26" t="str">
        <f>IFERROR(__xludf.DUMMYFUNCTION("""COMPUTED_VALUE"""),"No")</f>
        <v>No</v>
      </c>
      <c r="P1700" s="26"/>
    </row>
    <row r="1701">
      <c r="A1701" s="81" t="str">
        <f>IFERROR(__xludf.DUMMYFUNCTION("""COMPUTED_VALUE"""),"Street Smart")</f>
        <v>Street Smart</v>
      </c>
      <c r="B1701" s="82" t="str">
        <f>IFERROR(__xludf.DUMMYFUNCTION("""COMPUTED_VALUE"""),"PS3")</f>
        <v>PS3</v>
      </c>
      <c r="C1701" s="83" t="str">
        <f>IFERROR(__xludf.DUMMYFUNCTION("""COMPUTED_VALUE"""),"Playstation Plus (Discontinued)")</f>
        <v>Playstation Plus (Discontinued)</v>
      </c>
      <c r="D1701" s="82" t="str">
        <f>IFERROR(__xludf.DUMMYFUNCTION("""COMPUTED_VALUE"""),"Removed")</f>
        <v>Removed</v>
      </c>
      <c r="E1701" s="84">
        <f>IFERROR(__xludf.DUMMYFUNCTION("""COMPUTED_VALUE"""),40820.0)</f>
        <v>40820</v>
      </c>
      <c r="F1701" s="85">
        <f>IFERROR(__xludf.DUMMYFUNCTION("""COMPUTED_VALUE"""),40847.0)</f>
        <v>40847</v>
      </c>
      <c r="G1701" s="86">
        <f>IFERROR(__xludf.DUMMYFUNCTION("""COMPUTED_VALUE"""),0.8666666666666666)</f>
        <v>0.8666666667</v>
      </c>
      <c r="H1701" s="84">
        <f>IFERROR(__xludf.DUMMYFUNCTION("""COMPUTED_VALUE"""),40813.0)</f>
        <v>40813</v>
      </c>
      <c r="I1701" s="86">
        <f>IFERROR(__xludf.DUMMYFUNCTION("""COMPUTED_VALUE"""),0.019444444444444445)</f>
        <v>0.01944444444</v>
      </c>
      <c r="J1701" s="87"/>
      <c r="K1701" s="88"/>
      <c r="L1701" s="89"/>
      <c r="M1701" s="26" t="str">
        <f>IFERROR(__xludf.DUMMYFUNCTION("""COMPUTED_VALUE"""),"Fighting")</f>
        <v>Fighting</v>
      </c>
      <c r="N1701" s="26"/>
      <c r="O1701" s="26" t="str">
        <f>IFERROR(__xludf.DUMMYFUNCTION("""COMPUTED_VALUE"""),"No")</f>
        <v>No</v>
      </c>
      <c r="P1701" s="26"/>
    </row>
    <row r="1702">
      <c r="A1702" s="81" t="str">
        <f>IFERROR(__xludf.DUMMYFUNCTION("""COMPUTED_VALUE"""),"Burn Zombie Burn")</f>
        <v>Burn Zombie Burn</v>
      </c>
      <c r="B1702" s="82" t="str">
        <f>IFERROR(__xludf.DUMMYFUNCTION("""COMPUTED_VALUE"""),"PS3")</f>
        <v>PS3</v>
      </c>
      <c r="C1702" s="83" t="str">
        <f>IFERROR(__xludf.DUMMYFUNCTION("""COMPUTED_VALUE"""),"Playstation Plus (Discontinued)")</f>
        <v>Playstation Plus (Discontinued)</v>
      </c>
      <c r="D1702" s="82" t="str">
        <f>IFERROR(__xludf.DUMMYFUNCTION("""COMPUTED_VALUE"""),"Removed")</f>
        <v>Removed</v>
      </c>
      <c r="E1702" s="84">
        <f>IFERROR(__xludf.DUMMYFUNCTION("""COMPUTED_VALUE"""),40820.0)</f>
        <v>40820</v>
      </c>
      <c r="F1702" s="85">
        <f>IFERROR(__xludf.DUMMYFUNCTION("""COMPUTED_VALUE"""),40847.0)</f>
        <v>40847</v>
      </c>
      <c r="G1702" s="86">
        <f>IFERROR(__xludf.DUMMYFUNCTION("""COMPUTED_VALUE"""),0.8666666666666666)</f>
        <v>0.8666666667</v>
      </c>
      <c r="H1702" s="84">
        <f>IFERROR(__xludf.DUMMYFUNCTION("""COMPUTED_VALUE"""),39889.0)</f>
        <v>39889</v>
      </c>
      <c r="I1702" s="86">
        <f>IFERROR(__xludf.DUMMYFUNCTION("""COMPUTED_VALUE"""),2.547222222222222)</f>
        <v>2.547222222</v>
      </c>
      <c r="J1702" s="87">
        <f>IFERROR(__xludf.DUMMYFUNCTION("""COMPUTED_VALUE"""),75.0)</f>
        <v>75</v>
      </c>
      <c r="K1702" s="88">
        <f>IFERROR(__xludf.DUMMYFUNCTION("""COMPUTED_VALUE"""),7.5)</f>
        <v>7.5</v>
      </c>
      <c r="L1702" s="89">
        <f>IFERROR(__xludf.DUMMYFUNCTION("""COMPUTED_VALUE"""),5.0)</f>
        <v>5</v>
      </c>
      <c r="M1702" s="26" t="str">
        <f>IFERROR(__xludf.DUMMYFUNCTION("""COMPUTED_VALUE"""),"Shooter")</f>
        <v>Shooter</v>
      </c>
      <c r="N1702" s="26"/>
      <c r="O1702" s="26" t="str">
        <f>IFERROR(__xludf.DUMMYFUNCTION("""COMPUTED_VALUE"""),"No")</f>
        <v>No</v>
      </c>
      <c r="P1702" s="26"/>
    </row>
    <row r="1703">
      <c r="A1703" s="81" t="str">
        <f>IFERROR(__xludf.DUMMYFUNCTION("""COMPUTED_VALUE"""),"Jelly Pops")</f>
        <v>Jelly Pops</v>
      </c>
      <c r="B1703" s="82" t="str">
        <f>IFERROR(__xludf.DUMMYFUNCTION("""COMPUTED_VALUE"""),"PS3")</f>
        <v>PS3</v>
      </c>
      <c r="C1703" s="83" t="str">
        <f>IFERROR(__xludf.DUMMYFUNCTION("""COMPUTED_VALUE"""),"Playstation Plus (Discontinued)")</f>
        <v>Playstation Plus (Discontinued)</v>
      </c>
      <c r="D1703" s="82" t="str">
        <f>IFERROR(__xludf.DUMMYFUNCTION("""COMPUTED_VALUE"""),"Removed")</f>
        <v>Removed</v>
      </c>
      <c r="E1703" s="84">
        <f>IFERROR(__xludf.DUMMYFUNCTION("""COMPUTED_VALUE"""),40799.0)</f>
        <v>40799</v>
      </c>
      <c r="F1703" s="85">
        <f>IFERROR(__xludf.DUMMYFUNCTION("""COMPUTED_VALUE"""),40819.0)</f>
        <v>40819</v>
      </c>
      <c r="G1703" s="86">
        <f>IFERROR(__xludf.DUMMYFUNCTION("""COMPUTED_VALUE"""),0.6666666666666666)</f>
        <v>0.6666666667</v>
      </c>
      <c r="H1703" s="84">
        <f>IFERROR(__xludf.DUMMYFUNCTION("""COMPUTED_VALUE"""),40799.0)</f>
        <v>40799</v>
      </c>
      <c r="I1703" s="86">
        <f>IFERROR(__xludf.DUMMYFUNCTION("""COMPUTED_VALUE"""),0.0)</f>
        <v>0</v>
      </c>
      <c r="J1703" s="87">
        <f>IFERROR(__xludf.DUMMYFUNCTION("""COMPUTED_VALUE"""),51.0)</f>
        <v>51</v>
      </c>
      <c r="K1703" s="88">
        <f>IFERROR(__xludf.DUMMYFUNCTION("""COMPUTED_VALUE"""),6.1)</f>
        <v>6.1</v>
      </c>
      <c r="L1703" s="89"/>
      <c r="M1703" s="26" t="str">
        <f>IFERROR(__xludf.DUMMYFUNCTION("""COMPUTED_VALUE"""),"Puzzle")</f>
        <v>Puzzle</v>
      </c>
      <c r="N1703" s="26" t="str">
        <f>IFERROR(__xludf.DUMMYFUNCTION("""COMPUTED_VALUE"""),"PS Minis")</f>
        <v>PS Minis</v>
      </c>
      <c r="O1703" s="26" t="str">
        <f>IFERROR(__xludf.DUMMYFUNCTION("""COMPUTED_VALUE"""),"No")</f>
        <v>No</v>
      </c>
      <c r="P1703" s="26"/>
    </row>
    <row r="1704">
      <c r="A1704" s="81" t="str">
        <f>IFERROR(__xludf.DUMMYFUNCTION("""COMPUTED_VALUE"""),"Plants vs. Zombies")</f>
        <v>Plants vs. Zombies</v>
      </c>
      <c r="B1704" s="82" t="str">
        <f>IFERROR(__xludf.DUMMYFUNCTION("""COMPUTED_VALUE"""),"PS3")</f>
        <v>PS3</v>
      </c>
      <c r="C1704" s="83" t="str">
        <f>IFERROR(__xludf.DUMMYFUNCTION("""COMPUTED_VALUE"""),"Playstation Plus (Discontinued)")</f>
        <v>Playstation Plus (Discontinued)</v>
      </c>
      <c r="D1704" s="82" t="str">
        <f>IFERROR(__xludf.DUMMYFUNCTION("""COMPUTED_VALUE"""),"Removed")</f>
        <v>Removed</v>
      </c>
      <c r="E1704" s="84">
        <f>IFERROR(__xludf.DUMMYFUNCTION("""COMPUTED_VALUE"""),40792.0)</f>
        <v>40792</v>
      </c>
      <c r="F1704" s="85">
        <f>IFERROR(__xludf.DUMMYFUNCTION("""COMPUTED_VALUE"""),40819.0)</f>
        <v>40819</v>
      </c>
      <c r="G1704" s="86">
        <f>IFERROR(__xludf.DUMMYFUNCTION("""COMPUTED_VALUE"""),0.8999999999999999)</f>
        <v>0.9</v>
      </c>
      <c r="H1704" s="84">
        <f>IFERROR(__xludf.DUMMYFUNCTION("""COMPUTED_VALUE"""),39938.0)</f>
        <v>39938</v>
      </c>
      <c r="I1704" s="86">
        <f>IFERROR(__xludf.DUMMYFUNCTION("""COMPUTED_VALUE"""),2.3361111111111112)</f>
        <v>2.336111111</v>
      </c>
      <c r="J1704" s="87">
        <f>IFERROR(__xludf.DUMMYFUNCTION("""COMPUTED_VALUE"""),87.0)</f>
        <v>87</v>
      </c>
      <c r="K1704" s="88">
        <f>IFERROR(__xludf.DUMMYFUNCTION("""COMPUTED_VALUE"""),8.7)</f>
        <v>8.7</v>
      </c>
      <c r="L1704" s="89">
        <f>IFERROR(__xludf.DUMMYFUNCTION("""COMPUTED_VALUE"""),6.0)</f>
        <v>6</v>
      </c>
      <c r="M1704" s="26" t="str">
        <f>IFERROR(__xludf.DUMMYFUNCTION("""COMPUTED_VALUE"""),"Strategy")</f>
        <v>Strategy</v>
      </c>
      <c r="N1704" s="26"/>
      <c r="O1704" s="26" t="str">
        <f>IFERROR(__xludf.DUMMYFUNCTION("""COMPUTED_VALUE"""),"No")</f>
        <v>No</v>
      </c>
      <c r="P1704" s="26"/>
    </row>
    <row r="1705">
      <c r="A1705" s="81" t="str">
        <f>IFERROR(__xludf.DUMMYFUNCTION("""COMPUTED_VALUE"""),"Astro Tripper")</f>
        <v>Astro Tripper</v>
      </c>
      <c r="B1705" s="82" t="str">
        <f>IFERROR(__xludf.DUMMYFUNCTION("""COMPUTED_VALUE"""),"PS3")</f>
        <v>PS3</v>
      </c>
      <c r="C1705" s="83" t="str">
        <f>IFERROR(__xludf.DUMMYFUNCTION("""COMPUTED_VALUE"""),"Playstation Plus (Discontinued)")</f>
        <v>Playstation Plus (Discontinued)</v>
      </c>
      <c r="D1705" s="82" t="str">
        <f>IFERROR(__xludf.DUMMYFUNCTION("""COMPUTED_VALUE"""),"Removed")</f>
        <v>Removed</v>
      </c>
      <c r="E1705" s="84">
        <f>IFERROR(__xludf.DUMMYFUNCTION("""COMPUTED_VALUE"""),40792.0)</f>
        <v>40792</v>
      </c>
      <c r="F1705" s="85">
        <f>IFERROR(__xludf.DUMMYFUNCTION("""COMPUTED_VALUE"""),40819.0)</f>
        <v>40819</v>
      </c>
      <c r="G1705" s="86">
        <f>IFERROR(__xludf.DUMMYFUNCTION("""COMPUTED_VALUE"""),0.8999999999999999)</f>
        <v>0.9</v>
      </c>
      <c r="H1705" s="84">
        <f>IFERROR(__xludf.DUMMYFUNCTION("""COMPUTED_VALUE"""),39791.0)</f>
        <v>39791</v>
      </c>
      <c r="I1705" s="86">
        <f>IFERROR(__xludf.DUMMYFUNCTION("""COMPUTED_VALUE"""),2.7416666666666667)</f>
        <v>2.741666667</v>
      </c>
      <c r="J1705" s="87">
        <f>IFERROR(__xludf.DUMMYFUNCTION("""COMPUTED_VALUE"""),66.0)</f>
        <v>66</v>
      </c>
      <c r="K1705" s="88">
        <f>IFERROR(__xludf.DUMMYFUNCTION("""COMPUTED_VALUE"""),6.8)</f>
        <v>6.8</v>
      </c>
      <c r="L1705" s="89"/>
      <c r="M1705" s="26" t="str">
        <f>IFERROR(__xludf.DUMMYFUNCTION("""COMPUTED_VALUE"""),"Shooter")</f>
        <v>Shooter</v>
      </c>
      <c r="N1705" s="26"/>
      <c r="O1705" s="26" t="str">
        <f>IFERROR(__xludf.DUMMYFUNCTION("""COMPUTED_VALUE"""),"No")</f>
        <v>No</v>
      </c>
      <c r="P1705" s="26"/>
    </row>
    <row r="1706">
      <c r="A1706" s="81" t="str">
        <f>IFERROR(__xludf.DUMMYFUNCTION("""COMPUTED_VALUE"""),"Bashi Blocks")</f>
        <v>Bashi Blocks</v>
      </c>
      <c r="B1706" s="82" t="str">
        <f>IFERROR(__xludf.DUMMYFUNCTION("""COMPUTED_VALUE"""),"PS3")</f>
        <v>PS3</v>
      </c>
      <c r="C1706" s="83" t="str">
        <f>IFERROR(__xludf.DUMMYFUNCTION("""COMPUTED_VALUE"""),"Playstation Plus (Discontinued)")</f>
        <v>Playstation Plus (Discontinued)</v>
      </c>
      <c r="D1706" s="82" t="str">
        <f>IFERROR(__xludf.DUMMYFUNCTION("""COMPUTED_VALUE"""),"Removed")</f>
        <v>Removed</v>
      </c>
      <c r="E1706" s="84">
        <f>IFERROR(__xludf.DUMMYFUNCTION("""COMPUTED_VALUE"""),40792.0)</f>
        <v>40792</v>
      </c>
      <c r="F1706" s="85">
        <f>IFERROR(__xludf.DUMMYFUNCTION("""COMPUTED_VALUE"""),40819.0)</f>
        <v>40819</v>
      </c>
      <c r="G1706" s="86">
        <f>IFERROR(__xludf.DUMMYFUNCTION("""COMPUTED_VALUE"""),0.8999999999999999)</f>
        <v>0.9</v>
      </c>
      <c r="H1706" s="84">
        <f>IFERROR(__xludf.DUMMYFUNCTION("""COMPUTED_VALUE"""),40589.0)</f>
        <v>40589</v>
      </c>
      <c r="I1706" s="86">
        <f>IFERROR(__xludf.DUMMYFUNCTION("""COMPUTED_VALUE"""),0.5583333333333333)</f>
        <v>0.5583333333</v>
      </c>
      <c r="J1706" s="87">
        <f>IFERROR(__xludf.DUMMYFUNCTION("""COMPUTED_VALUE"""),60.0)</f>
        <v>60</v>
      </c>
      <c r="K1706" s="88">
        <f>IFERROR(__xludf.DUMMYFUNCTION("""COMPUTED_VALUE"""),7.0)</f>
        <v>7</v>
      </c>
      <c r="L1706" s="89"/>
      <c r="M1706" s="26" t="str">
        <f>IFERROR(__xludf.DUMMYFUNCTION("""COMPUTED_VALUE"""),"Puzzle")</f>
        <v>Puzzle</v>
      </c>
      <c r="N1706" s="26" t="str">
        <f>IFERROR(__xludf.DUMMYFUNCTION("""COMPUTED_VALUE"""),"PS Minis")</f>
        <v>PS Minis</v>
      </c>
      <c r="O1706" s="26" t="str">
        <f>IFERROR(__xludf.DUMMYFUNCTION("""COMPUTED_VALUE"""),"No")</f>
        <v>No</v>
      </c>
      <c r="P1706" s="26"/>
    </row>
    <row r="1707">
      <c r="A1707" s="81" t="str">
        <f>IFERROR(__xludf.DUMMYFUNCTION("""COMPUTED_VALUE"""),"Resident Evil 3")</f>
        <v>Resident Evil 3</v>
      </c>
      <c r="B1707" s="82" t="str">
        <f>IFERROR(__xludf.DUMMYFUNCTION("""COMPUTED_VALUE"""),"PS3")</f>
        <v>PS3</v>
      </c>
      <c r="C1707" s="83" t="str">
        <f>IFERROR(__xludf.DUMMYFUNCTION("""COMPUTED_VALUE"""),"Playstation Plus (Discontinued)")</f>
        <v>Playstation Plus (Discontinued)</v>
      </c>
      <c r="D1707" s="82" t="str">
        <f>IFERROR(__xludf.DUMMYFUNCTION("""COMPUTED_VALUE"""),"Removed")</f>
        <v>Removed</v>
      </c>
      <c r="E1707" s="84">
        <f>IFERROR(__xludf.DUMMYFUNCTION("""COMPUTED_VALUE"""),40792.0)</f>
        <v>40792</v>
      </c>
      <c r="F1707" s="85">
        <f>IFERROR(__xludf.DUMMYFUNCTION("""COMPUTED_VALUE"""),40819.0)</f>
        <v>40819</v>
      </c>
      <c r="G1707" s="86">
        <f>IFERROR(__xludf.DUMMYFUNCTION("""COMPUTED_VALUE"""),0.8999999999999999)</f>
        <v>0.9</v>
      </c>
      <c r="H1707" s="84">
        <f>IFERROR(__xludf.DUMMYFUNCTION("""COMPUTED_VALUE"""),36425.0)</f>
        <v>36425</v>
      </c>
      <c r="I1707" s="86">
        <f>IFERROR(__xludf.DUMMYFUNCTION("""COMPUTED_VALUE"""),11.955555555555556)</f>
        <v>11.95555556</v>
      </c>
      <c r="J1707" s="87">
        <f>IFERROR(__xludf.DUMMYFUNCTION("""COMPUTED_VALUE"""),91.0)</f>
        <v>91</v>
      </c>
      <c r="K1707" s="88">
        <f>IFERROR(__xludf.DUMMYFUNCTION("""COMPUTED_VALUE"""),8.9)</f>
        <v>8.9</v>
      </c>
      <c r="L1707" s="89">
        <f>IFERROR(__xludf.DUMMYFUNCTION("""COMPUTED_VALUE"""),7.0)</f>
        <v>7</v>
      </c>
      <c r="M1707" s="26" t="str">
        <f>IFERROR(__xludf.DUMMYFUNCTION("""COMPUTED_VALUE"""),"Horror")</f>
        <v>Horror</v>
      </c>
      <c r="N1707" s="26" t="str">
        <f>IFERROR(__xludf.DUMMYFUNCTION("""COMPUTED_VALUE"""),"PS1")</f>
        <v>PS1</v>
      </c>
      <c r="O1707" s="26" t="str">
        <f>IFERROR(__xludf.DUMMYFUNCTION("""COMPUTED_VALUE"""),"No")</f>
        <v>No</v>
      </c>
      <c r="P1707" s="26"/>
    </row>
    <row r="1708">
      <c r="A1708" s="81" t="str">
        <f>IFERROR(__xludf.DUMMYFUNCTION("""COMPUTED_VALUE"""),"Resident Evil 2")</f>
        <v>Resident Evil 2</v>
      </c>
      <c r="B1708" s="82" t="str">
        <f>IFERROR(__xludf.DUMMYFUNCTION("""COMPUTED_VALUE"""),"PS3")</f>
        <v>PS3</v>
      </c>
      <c r="C1708" s="83" t="str">
        <f>IFERROR(__xludf.DUMMYFUNCTION("""COMPUTED_VALUE"""),"Playstation Plus (Discontinued)")</f>
        <v>Playstation Plus (Discontinued)</v>
      </c>
      <c r="D1708" s="82" t="str">
        <f>IFERROR(__xludf.DUMMYFUNCTION("""COMPUTED_VALUE"""),"Removed")</f>
        <v>Removed</v>
      </c>
      <c r="E1708" s="84">
        <f>IFERROR(__xludf.DUMMYFUNCTION("""COMPUTED_VALUE"""),40792.0)</f>
        <v>40792</v>
      </c>
      <c r="F1708" s="85">
        <f>IFERROR(__xludf.DUMMYFUNCTION("""COMPUTED_VALUE"""),40819.0)</f>
        <v>40819</v>
      </c>
      <c r="G1708" s="86">
        <f>IFERROR(__xludf.DUMMYFUNCTION("""COMPUTED_VALUE"""),0.8999999999999999)</f>
        <v>0.9</v>
      </c>
      <c r="H1708" s="84">
        <f>IFERROR(__xludf.DUMMYFUNCTION("""COMPUTED_VALUE"""),35816.0)</f>
        <v>35816</v>
      </c>
      <c r="I1708" s="86">
        <f>IFERROR(__xludf.DUMMYFUNCTION("""COMPUTED_VALUE"""),13.625)</f>
        <v>13.625</v>
      </c>
      <c r="J1708" s="87">
        <f>IFERROR(__xludf.DUMMYFUNCTION("""COMPUTED_VALUE"""),89.0)</f>
        <v>89</v>
      </c>
      <c r="K1708" s="88">
        <f>IFERROR(__xludf.DUMMYFUNCTION("""COMPUTED_VALUE"""),8.8)</f>
        <v>8.8</v>
      </c>
      <c r="L1708" s="89">
        <f>IFERROR(__xludf.DUMMYFUNCTION("""COMPUTED_VALUE"""),7.0)</f>
        <v>7</v>
      </c>
      <c r="M1708" s="26" t="str">
        <f>IFERROR(__xludf.DUMMYFUNCTION("""COMPUTED_VALUE"""),"Horror")</f>
        <v>Horror</v>
      </c>
      <c r="N1708" s="26" t="str">
        <f>IFERROR(__xludf.DUMMYFUNCTION("""COMPUTED_VALUE"""),"PS1")</f>
        <v>PS1</v>
      </c>
      <c r="O1708" s="26" t="str">
        <f>IFERROR(__xludf.DUMMYFUNCTION("""COMPUTED_VALUE"""),"No")</f>
        <v>No</v>
      </c>
      <c r="P1708" s="26"/>
    </row>
    <row r="1709">
      <c r="A1709" s="81" t="str">
        <f>IFERROR(__xludf.DUMMYFUNCTION("""COMPUTED_VALUE"""),"Resident Evil Director’s Cut")</f>
        <v>Resident Evil Director’s Cut</v>
      </c>
      <c r="B1709" s="82" t="str">
        <f>IFERROR(__xludf.DUMMYFUNCTION("""COMPUTED_VALUE"""),"PS3")</f>
        <v>PS3</v>
      </c>
      <c r="C1709" s="83" t="str">
        <f>IFERROR(__xludf.DUMMYFUNCTION("""COMPUTED_VALUE"""),"Playstation Plus (Discontinued)")</f>
        <v>Playstation Plus (Discontinued)</v>
      </c>
      <c r="D1709" s="82" t="str">
        <f>IFERROR(__xludf.DUMMYFUNCTION("""COMPUTED_VALUE"""),"Removed")</f>
        <v>Removed</v>
      </c>
      <c r="E1709" s="84">
        <f>IFERROR(__xludf.DUMMYFUNCTION("""COMPUTED_VALUE"""),40792.0)</f>
        <v>40792</v>
      </c>
      <c r="F1709" s="85">
        <f>IFERROR(__xludf.DUMMYFUNCTION("""COMPUTED_VALUE"""),40819.0)</f>
        <v>40819</v>
      </c>
      <c r="G1709" s="86">
        <f>IFERROR(__xludf.DUMMYFUNCTION("""COMPUTED_VALUE"""),0.8999999999999999)</f>
        <v>0.9</v>
      </c>
      <c r="H1709" s="84">
        <f>IFERROR(__xludf.DUMMYFUNCTION("""COMPUTED_VALUE"""),35703.0)</f>
        <v>35703</v>
      </c>
      <c r="I1709" s="86">
        <f>IFERROR(__xludf.DUMMYFUNCTION("""COMPUTED_VALUE"""),13.933333333333334)</f>
        <v>13.93333333</v>
      </c>
      <c r="J1709" s="87">
        <f>IFERROR(__xludf.DUMMYFUNCTION("""COMPUTED_VALUE"""),8.0)</f>
        <v>8</v>
      </c>
      <c r="K1709" s="88">
        <f>IFERROR(__xludf.DUMMYFUNCTION("""COMPUTED_VALUE"""),7.0)</f>
        <v>7</v>
      </c>
      <c r="L1709" s="89">
        <f>IFERROR(__xludf.DUMMYFUNCTION("""COMPUTED_VALUE"""),7.0)</f>
        <v>7</v>
      </c>
      <c r="M1709" s="26" t="str">
        <f>IFERROR(__xludf.DUMMYFUNCTION("""COMPUTED_VALUE"""),"Survival")</f>
        <v>Survival</v>
      </c>
      <c r="N1709" s="26" t="str">
        <f>IFERROR(__xludf.DUMMYFUNCTION("""COMPUTED_VALUE"""),"PS1")</f>
        <v>PS1</v>
      </c>
      <c r="O1709" s="26" t="str">
        <f>IFERROR(__xludf.DUMMYFUNCTION("""COMPUTED_VALUE"""),"No")</f>
        <v>No</v>
      </c>
      <c r="P1709" s="26"/>
    </row>
    <row r="1710">
      <c r="A1710" s="81" t="str">
        <f>IFERROR(__xludf.DUMMYFUNCTION("""COMPUTED_VALUE"""),"Jet Moto")</f>
        <v>Jet Moto</v>
      </c>
      <c r="B1710" s="82" t="str">
        <f>IFERROR(__xludf.DUMMYFUNCTION("""COMPUTED_VALUE"""),"PS3")</f>
        <v>PS3</v>
      </c>
      <c r="C1710" s="83" t="str">
        <f>IFERROR(__xludf.DUMMYFUNCTION("""COMPUTED_VALUE"""),"Playstation Plus (Discontinued)")</f>
        <v>Playstation Plus (Discontinued)</v>
      </c>
      <c r="D1710" s="82" t="str">
        <f>IFERROR(__xludf.DUMMYFUNCTION("""COMPUTED_VALUE"""),"Removed")</f>
        <v>Removed</v>
      </c>
      <c r="E1710" s="84">
        <f>IFERROR(__xludf.DUMMYFUNCTION("""COMPUTED_VALUE"""),40792.0)</f>
        <v>40792</v>
      </c>
      <c r="F1710" s="85">
        <f>IFERROR(__xludf.DUMMYFUNCTION("""COMPUTED_VALUE"""),40819.0)</f>
        <v>40819</v>
      </c>
      <c r="G1710" s="86">
        <f>IFERROR(__xludf.DUMMYFUNCTION("""COMPUTED_VALUE"""),0.8999999999999999)</f>
        <v>0.9</v>
      </c>
      <c r="H1710" s="84">
        <f>IFERROR(__xludf.DUMMYFUNCTION("""COMPUTED_VALUE"""),35764.0)</f>
        <v>35764</v>
      </c>
      <c r="I1710" s="86">
        <f>IFERROR(__xludf.DUMMYFUNCTION("""COMPUTED_VALUE"""),13.766666666666667)</f>
        <v>13.76666667</v>
      </c>
      <c r="J1710" s="87">
        <f>IFERROR(__xludf.DUMMYFUNCTION("""COMPUTED_VALUE"""),7.6)</f>
        <v>7.6</v>
      </c>
      <c r="K1710" s="88">
        <f>IFERROR(__xludf.DUMMYFUNCTION("""COMPUTED_VALUE"""),7.6)</f>
        <v>7.6</v>
      </c>
      <c r="L1710" s="89"/>
      <c r="M1710" s="26" t="str">
        <f>IFERROR(__xludf.DUMMYFUNCTION("""COMPUTED_VALUE"""),"Racing")</f>
        <v>Racing</v>
      </c>
      <c r="N1710" s="26" t="str">
        <f>IFERROR(__xludf.DUMMYFUNCTION("""COMPUTED_VALUE"""),"PS1")</f>
        <v>PS1</v>
      </c>
      <c r="O1710" s="26" t="str">
        <f>IFERROR(__xludf.DUMMYFUNCTION("""COMPUTED_VALUE"""),"No")</f>
        <v>No</v>
      </c>
      <c r="P1710" s="26"/>
    </row>
    <row r="1711">
      <c r="A1711" s="81" t="str">
        <f>IFERROR(__xludf.DUMMYFUNCTION("""COMPUTED_VALUE"""),"Destruction Derby")</f>
        <v>Destruction Derby</v>
      </c>
      <c r="B1711" s="82" t="str">
        <f>IFERROR(__xludf.DUMMYFUNCTION("""COMPUTED_VALUE"""),"PS3")</f>
        <v>PS3</v>
      </c>
      <c r="C1711" s="83" t="str">
        <f>IFERROR(__xludf.DUMMYFUNCTION("""COMPUTED_VALUE"""),"Playstation Plus (Discontinued)")</f>
        <v>Playstation Plus (Discontinued)</v>
      </c>
      <c r="D1711" s="82" t="str">
        <f>IFERROR(__xludf.DUMMYFUNCTION("""COMPUTED_VALUE"""),"Removed")</f>
        <v>Removed</v>
      </c>
      <c r="E1711" s="84">
        <f>IFERROR(__xludf.DUMMYFUNCTION("""COMPUTED_VALUE"""),40757.0)</f>
        <v>40757</v>
      </c>
      <c r="F1711" s="85">
        <f>IFERROR(__xludf.DUMMYFUNCTION("""COMPUTED_VALUE"""),40791.0)</f>
        <v>40791</v>
      </c>
      <c r="G1711" s="86">
        <f>IFERROR(__xludf.DUMMYFUNCTION("""COMPUTED_VALUE"""),1.0999999999999999)</f>
        <v>1.1</v>
      </c>
      <c r="H1711" s="84">
        <f>IFERROR(__xludf.DUMMYFUNCTION("""COMPUTED_VALUE"""),35003.0)</f>
        <v>35003</v>
      </c>
      <c r="I1711" s="86">
        <f>IFERROR(__xludf.DUMMYFUNCTION("""COMPUTED_VALUE"""),15.755555555555556)</f>
        <v>15.75555556</v>
      </c>
      <c r="J1711" s="87">
        <f>IFERROR(__xludf.DUMMYFUNCTION("""COMPUTED_VALUE"""),74.0)</f>
        <v>74</v>
      </c>
      <c r="K1711" s="88">
        <f>IFERROR(__xludf.DUMMYFUNCTION("""COMPUTED_VALUE"""),8.0)</f>
        <v>8</v>
      </c>
      <c r="L1711" s="89">
        <f>IFERROR(__xludf.DUMMYFUNCTION("""COMPUTED_VALUE"""),6.0)</f>
        <v>6</v>
      </c>
      <c r="M1711" s="26" t="str">
        <f>IFERROR(__xludf.DUMMYFUNCTION("""COMPUTED_VALUE"""),"Racing")</f>
        <v>Racing</v>
      </c>
      <c r="N1711" s="26" t="str">
        <f>IFERROR(__xludf.DUMMYFUNCTION("""COMPUTED_VALUE"""),"PS1")</f>
        <v>PS1</v>
      </c>
      <c r="O1711" s="26" t="str">
        <f>IFERROR(__xludf.DUMMYFUNCTION("""COMPUTED_VALUE"""),"No")</f>
        <v>No</v>
      </c>
      <c r="P1711" s="26"/>
    </row>
    <row r="1712">
      <c r="A1712" s="81" t="str">
        <f>IFERROR(__xludf.DUMMYFUNCTION("""COMPUTED_VALUE"""),"OMG-Z!")</f>
        <v>OMG-Z!</v>
      </c>
      <c r="B1712" s="82" t="str">
        <f>IFERROR(__xludf.DUMMYFUNCTION("""COMPUTED_VALUE"""),"PS3")</f>
        <v>PS3</v>
      </c>
      <c r="C1712" s="83" t="str">
        <f>IFERROR(__xludf.DUMMYFUNCTION("""COMPUTED_VALUE"""),"Playstation Plus (Discontinued)")</f>
        <v>Playstation Plus (Discontinued)</v>
      </c>
      <c r="D1712" s="82" t="str">
        <f>IFERROR(__xludf.DUMMYFUNCTION("""COMPUTED_VALUE"""),"Removed")</f>
        <v>Removed</v>
      </c>
      <c r="E1712" s="84">
        <f>IFERROR(__xludf.DUMMYFUNCTION("""COMPUTED_VALUE"""),40757.0)</f>
        <v>40757</v>
      </c>
      <c r="F1712" s="85">
        <f>IFERROR(__xludf.DUMMYFUNCTION("""COMPUTED_VALUE"""),40791.0)</f>
        <v>40791</v>
      </c>
      <c r="G1712" s="86">
        <f>IFERROR(__xludf.DUMMYFUNCTION("""COMPUTED_VALUE"""),1.0999999999999999)</f>
        <v>1.1</v>
      </c>
      <c r="H1712" s="84">
        <f>IFERROR(__xludf.DUMMYFUNCTION("""COMPUTED_VALUE"""),40582.0)</f>
        <v>40582</v>
      </c>
      <c r="I1712" s="86">
        <f>IFERROR(__xludf.DUMMYFUNCTION("""COMPUTED_VALUE"""),0.48333333333333334)</f>
        <v>0.4833333333</v>
      </c>
      <c r="J1712" s="87">
        <f>IFERROR(__xludf.DUMMYFUNCTION("""COMPUTED_VALUE"""),68.0)</f>
        <v>68</v>
      </c>
      <c r="K1712" s="88">
        <f>IFERROR(__xludf.DUMMYFUNCTION("""COMPUTED_VALUE"""),7.1)</f>
        <v>7.1</v>
      </c>
      <c r="L1712" s="89">
        <f>IFERROR(__xludf.DUMMYFUNCTION("""COMPUTED_VALUE"""),2.0)</f>
        <v>2</v>
      </c>
      <c r="M1712" s="26" t="str">
        <f>IFERROR(__xludf.DUMMYFUNCTION("""COMPUTED_VALUE"""),"Puzzle")</f>
        <v>Puzzle</v>
      </c>
      <c r="N1712" s="26" t="str">
        <f>IFERROR(__xludf.DUMMYFUNCTION("""COMPUTED_VALUE"""),"PS Minis")</f>
        <v>PS Minis</v>
      </c>
      <c r="O1712" s="26" t="str">
        <f>IFERROR(__xludf.DUMMYFUNCTION("""COMPUTED_VALUE"""),"No")</f>
        <v>No</v>
      </c>
      <c r="P1712" s="26"/>
    </row>
    <row r="1713">
      <c r="A1713" s="81" t="str">
        <f>IFERROR(__xludf.DUMMYFUNCTION("""COMPUTED_VALUE"""),"Dr. Maybe and the Adventures of Scarygirl")</f>
        <v>Dr. Maybe and the Adventures of Scarygirl</v>
      </c>
      <c r="B1713" s="82" t="str">
        <f>IFERROR(__xludf.DUMMYFUNCTION("""COMPUTED_VALUE"""),"PS3")</f>
        <v>PS3</v>
      </c>
      <c r="C1713" s="83" t="str">
        <f>IFERROR(__xludf.DUMMYFUNCTION("""COMPUTED_VALUE"""),"Playstation Plus (Discontinued)")</f>
        <v>Playstation Plus (Discontinued)</v>
      </c>
      <c r="D1713" s="82" t="str">
        <f>IFERROR(__xludf.DUMMYFUNCTION("""COMPUTED_VALUE"""),"Removed")</f>
        <v>Removed</v>
      </c>
      <c r="E1713" s="84">
        <f>IFERROR(__xludf.DUMMYFUNCTION("""COMPUTED_VALUE"""),40757.0)</f>
        <v>40757</v>
      </c>
      <c r="F1713" s="85">
        <f>IFERROR(__xludf.DUMMYFUNCTION("""COMPUTED_VALUE"""),40791.0)</f>
        <v>40791</v>
      </c>
      <c r="G1713" s="86">
        <f>IFERROR(__xludf.DUMMYFUNCTION("""COMPUTED_VALUE"""),1.0999999999999999)</f>
        <v>1.1</v>
      </c>
      <c r="H1713" s="84">
        <f>IFERROR(__xludf.DUMMYFUNCTION("""COMPUTED_VALUE"""),40757.0)</f>
        <v>40757</v>
      </c>
      <c r="I1713" s="86">
        <f>IFERROR(__xludf.DUMMYFUNCTION("""COMPUTED_VALUE"""),0.0)</f>
        <v>0</v>
      </c>
      <c r="J1713" s="87">
        <f>IFERROR(__xludf.DUMMYFUNCTION("""COMPUTED_VALUE"""),65.0)</f>
        <v>65</v>
      </c>
      <c r="K1713" s="88">
        <f>IFERROR(__xludf.DUMMYFUNCTION("""COMPUTED_VALUE"""),6.8)</f>
        <v>6.8</v>
      </c>
      <c r="L1713" s="89">
        <f>IFERROR(__xludf.DUMMYFUNCTION("""COMPUTED_VALUE"""),3.0)</f>
        <v>3</v>
      </c>
      <c r="M1713" s="26" t="str">
        <f>IFERROR(__xludf.DUMMYFUNCTION("""COMPUTED_VALUE"""),"Platformer")</f>
        <v>Platformer</v>
      </c>
      <c r="N1713" s="26" t="str">
        <f>IFERROR(__xludf.DUMMYFUNCTION("""COMPUTED_VALUE"""),"PS Minis")</f>
        <v>PS Minis</v>
      </c>
      <c r="O1713" s="26" t="str">
        <f>IFERROR(__xludf.DUMMYFUNCTION("""COMPUTED_VALUE"""),"No")</f>
        <v>No</v>
      </c>
      <c r="P1713" s="26"/>
    </row>
    <row r="1714">
      <c r="A1714" s="81" t="str">
        <f>IFERROR(__xludf.DUMMYFUNCTION("""COMPUTED_VALUE"""),"Crash Commando")</f>
        <v>Crash Commando</v>
      </c>
      <c r="B1714" s="82" t="str">
        <f>IFERROR(__xludf.DUMMYFUNCTION("""COMPUTED_VALUE"""),"PS3")</f>
        <v>PS3</v>
      </c>
      <c r="C1714" s="83" t="str">
        <f>IFERROR(__xludf.DUMMYFUNCTION("""COMPUTED_VALUE"""),"Playstation Plus (Discontinued)")</f>
        <v>Playstation Plus (Discontinued)</v>
      </c>
      <c r="D1714" s="82" t="str">
        <f>IFERROR(__xludf.DUMMYFUNCTION("""COMPUTED_VALUE"""),"Removed")</f>
        <v>Removed</v>
      </c>
      <c r="E1714" s="84">
        <f>IFERROR(__xludf.DUMMYFUNCTION("""COMPUTED_VALUE"""),40757.0)</f>
        <v>40757</v>
      </c>
      <c r="F1714" s="85">
        <f>IFERROR(__xludf.DUMMYFUNCTION("""COMPUTED_VALUE"""),40791.0)</f>
        <v>40791</v>
      </c>
      <c r="G1714" s="86">
        <f>IFERROR(__xludf.DUMMYFUNCTION("""COMPUTED_VALUE"""),1.0999999999999999)</f>
        <v>1.1</v>
      </c>
      <c r="H1714" s="84">
        <f>IFERROR(__xludf.DUMMYFUNCTION("""COMPUTED_VALUE"""),39800.0)</f>
        <v>39800</v>
      </c>
      <c r="I1714" s="86">
        <f>IFERROR(__xludf.DUMMYFUNCTION("""COMPUTED_VALUE"""),2.6222222222222222)</f>
        <v>2.622222222</v>
      </c>
      <c r="J1714" s="87">
        <f>IFERROR(__xludf.DUMMYFUNCTION("""COMPUTED_VALUE"""),78.0)</f>
        <v>78</v>
      </c>
      <c r="K1714" s="88">
        <f>IFERROR(__xludf.DUMMYFUNCTION("""COMPUTED_VALUE"""),7.8)</f>
        <v>7.8</v>
      </c>
      <c r="L1714" s="89">
        <f>IFERROR(__xludf.DUMMYFUNCTION("""COMPUTED_VALUE"""),4.0)</f>
        <v>4</v>
      </c>
      <c r="M1714" s="26" t="str">
        <f>IFERROR(__xludf.DUMMYFUNCTION("""COMPUTED_VALUE"""),"Shooter")</f>
        <v>Shooter</v>
      </c>
      <c r="N1714" s="26"/>
      <c r="O1714" s="26" t="str">
        <f>IFERROR(__xludf.DUMMYFUNCTION("""COMPUTED_VALUE"""),"No")</f>
        <v>No</v>
      </c>
      <c r="P1714" s="26"/>
    </row>
    <row r="1715">
      <c r="A1715" s="81" t="str">
        <f>IFERROR(__xludf.DUMMYFUNCTION("""COMPUTED_VALUE"""),"Me Monstar: Hear Me Roar")</f>
        <v>Me Monstar: Hear Me Roar</v>
      </c>
      <c r="B1715" s="82" t="str">
        <f>IFERROR(__xludf.DUMMYFUNCTION("""COMPUTED_VALUE"""),"PS3")</f>
        <v>PS3</v>
      </c>
      <c r="C1715" s="83" t="str">
        <f>IFERROR(__xludf.DUMMYFUNCTION("""COMPUTED_VALUE"""),"Playstation Plus (Discontinued)")</f>
        <v>Playstation Plus (Discontinued)</v>
      </c>
      <c r="D1715" s="82" t="str">
        <f>IFERROR(__xludf.DUMMYFUNCTION("""COMPUTED_VALUE"""),"Removed")</f>
        <v>Removed</v>
      </c>
      <c r="E1715" s="84">
        <f>IFERROR(__xludf.DUMMYFUNCTION("""COMPUTED_VALUE"""),40743.0)</f>
        <v>40743</v>
      </c>
      <c r="F1715" s="85">
        <f>IFERROR(__xludf.DUMMYFUNCTION("""COMPUTED_VALUE"""),40756.0)</f>
        <v>40756</v>
      </c>
      <c r="G1715" s="86">
        <f>IFERROR(__xludf.DUMMYFUNCTION("""COMPUTED_VALUE"""),0.4)</f>
        <v>0.4</v>
      </c>
      <c r="H1715" s="84">
        <f>IFERROR(__xludf.DUMMYFUNCTION("""COMPUTED_VALUE"""),40743.0)</f>
        <v>40743</v>
      </c>
      <c r="I1715" s="86">
        <f>IFERROR(__xludf.DUMMYFUNCTION("""COMPUTED_VALUE"""),0.0)</f>
        <v>0</v>
      </c>
      <c r="J1715" s="87">
        <f>IFERROR(__xludf.DUMMYFUNCTION("""COMPUTED_VALUE"""),76.0)</f>
        <v>76</v>
      </c>
      <c r="K1715" s="88">
        <f>IFERROR(__xludf.DUMMYFUNCTION("""COMPUTED_VALUE"""),7.4)</f>
        <v>7.4</v>
      </c>
      <c r="L1715" s="89">
        <f>IFERROR(__xludf.DUMMYFUNCTION("""COMPUTED_VALUE"""),1.0)</f>
        <v>1</v>
      </c>
      <c r="M1715" s="26" t="str">
        <f>IFERROR(__xludf.DUMMYFUNCTION("""COMPUTED_VALUE"""),"Platformer")</f>
        <v>Platformer</v>
      </c>
      <c r="N1715" s="26" t="str">
        <f>IFERROR(__xludf.DUMMYFUNCTION("""COMPUTED_VALUE"""),"PS Minis")</f>
        <v>PS Minis</v>
      </c>
      <c r="O1715" s="26" t="str">
        <f>IFERROR(__xludf.DUMMYFUNCTION("""COMPUTED_VALUE"""),"No")</f>
        <v>No</v>
      </c>
      <c r="P1715" s="26"/>
    </row>
    <row r="1716">
      <c r="A1716" s="81" t="str">
        <f>IFERROR(__xludf.DUMMYFUNCTION("""COMPUTED_VALUE"""),"Alien Zombie Death")</f>
        <v>Alien Zombie Death</v>
      </c>
      <c r="B1716" s="82" t="str">
        <f>IFERROR(__xludf.DUMMYFUNCTION("""COMPUTED_VALUE"""),"PS3")</f>
        <v>PS3</v>
      </c>
      <c r="C1716" s="83" t="str">
        <f>IFERROR(__xludf.DUMMYFUNCTION("""COMPUTED_VALUE"""),"Playstation Plus (Discontinued)")</f>
        <v>Playstation Plus (Discontinued)</v>
      </c>
      <c r="D1716" s="82" t="str">
        <f>IFERROR(__xludf.DUMMYFUNCTION("""COMPUTED_VALUE"""),"Removed")</f>
        <v>Removed</v>
      </c>
      <c r="E1716" s="84">
        <f>IFERROR(__xludf.DUMMYFUNCTION("""COMPUTED_VALUE"""),40729.0)</f>
        <v>40729</v>
      </c>
      <c r="F1716" s="85">
        <f>IFERROR(__xludf.DUMMYFUNCTION("""COMPUTED_VALUE"""),40756.0)</f>
        <v>40756</v>
      </c>
      <c r="G1716" s="86">
        <f>IFERROR(__xludf.DUMMYFUNCTION("""COMPUTED_VALUE"""),0.8666666666666666)</f>
        <v>0.8666666667</v>
      </c>
      <c r="H1716" s="84">
        <f>IFERROR(__xludf.DUMMYFUNCTION("""COMPUTED_VALUE"""),40262.0)</f>
        <v>40262</v>
      </c>
      <c r="I1716" s="86">
        <f>IFERROR(__xludf.DUMMYFUNCTION("""COMPUTED_VALUE"""),1.2777777777777777)</f>
        <v>1.277777778</v>
      </c>
      <c r="J1716" s="87">
        <f>IFERROR(__xludf.DUMMYFUNCTION("""COMPUTED_VALUE"""),76.0)</f>
        <v>76</v>
      </c>
      <c r="K1716" s="88">
        <f>IFERROR(__xludf.DUMMYFUNCTION("""COMPUTED_VALUE"""),5.2)</f>
        <v>5.2</v>
      </c>
      <c r="L1716" s="89">
        <f>IFERROR(__xludf.DUMMYFUNCTION("""COMPUTED_VALUE"""),2.0)</f>
        <v>2</v>
      </c>
      <c r="M1716" s="26" t="str">
        <f>IFERROR(__xludf.DUMMYFUNCTION("""COMPUTED_VALUE"""),"Platformer")</f>
        <v>Platformer</v>
      </c>
      <c r="N1716" s="26" t="str">
        <f>IFERROR(__xludf.DUMMYFUNCTION("""COMPUTED_VALUE"""),"PS Minis")</f>
        <v>PS Minis</v>
      </c>
      <c r="O1716" s="26" t="str">
        <f>IFERROR(__xludf.DUMMYFUNCTION("""COMPUTED_VALUE"""),"No")</f>
        <v>No</v>
      </c>
      <c r="P1716" s="26"/>
    </row>
    <row r="1717">
      <c r="A1717" s="81" t="str">
        <f>IFERROR(__xludf.DUMMYFUNCTION("""COMPUTED_VALUE"""),"Guerilla War")</f>
        <v>Guerilla War</v>
      </c>
      <c r="B1717" s="82" t="str">
        <f>IFERROR(__xludf.DUMMYFUNCTION("""COMPUTED_VALUE"""),"PS3")</f>
        <v>PS3</v>
      </c>
      <c r="C1717" s="83" t="str">
        <f>IFERROR(__xludf.DUMMYFUNCTION("""COMPUTED_VALUE"""),"Playstation Plus (Discontinued)")</f>
        <v>Playstation Plus (Discontinued)</v>
      </c>
      <c r="D1717" s="82" t="str">
        <f>IFERROR(__xludf.DUMMYFUNCTION("""COMPUTED_VALUE"""),"Removed")</f>
        <v>Removed</v>
      </c>
      <c r="E1717" s="84">
        <f>IFERROR(__xludf.DUMMYFUNCTION("""COMPUTED_VALUE"""),40729.0)</f>
        <v>40729</v>
      </c>
      <c r="F1717" s="85">
        <f>IFERROR(__xludf.DUMMYFUNCTION("""COMPUTED_VALUE"""),40756.0)</f>
        <v>40756</v>
      </c>
      <c r="G1717" s="86">
        <f>IFERROR(__xludf.DUMMYFUNCTION("""COMPUTED_VALUE"""),0.8666666666666666)</f>
        <v>0.8666666667</v>
      </c>
      <c r="H1717" s="84">
        <f>IFERROR(__xludf.DUMMYFUNCTION("""COMPUTED_VALUE"""),32417.0)</f>
        <v>32417</v>
      </c>
      <c r="I1717" s="86">
        <f>IFERROR(__xludf.DUMMYFUNCTION("""COMPUTED_VALUE"""),22.761111111111113)</f>
        <v>22.76111111</v>
      </c>
      <c r="J1717" s="87"/>
      <c r="K1717" s="88"/>
      <c r="L1717" s="89"/>
      <c r="M1717" s="26" t="str">
        <f>IFERROR(__xludf.DUMMYFUNCTION("""COMPUTED_VALUE"""),"Shooter")</f>
        <v>Shooter</v>
      </c>
      <c r="N1717" s="26" t="str">
        <f>IFERROR(__xludf.DUMMYFUNCTION("""COMPUTED_VALUE"""),"PS Minis")</f>
        <v>PS Minis</v>
      </c>
      <c r="O1717" s="26" t="str">
        <f>IFERROR(__xludf.DUMMYFUNCTION("""COMPUTED_VALUE"""),"No")</f>
        <v>No</v>
      </c>
      <c r="P1717" s="26"/>
    </row>
    <row r="1718">
      <c r="A1718" s="81" t="str">
        <f>IFERROR(__xludf.DUMMYFUNCTION("""COMPUTED_VALUE"""),"Golden Axe")</f>
        <v>Golden Axe</v>
      </c>
      <c r="B1718" s="82" t="str">
        <f>IFERROR(__xludf.DUMMYFUNCTION("""COMPUTED_VALUE"""),"PS3")</f>
        <v>PS3</v>
      </c>
      <c r="C1718" s="83" t="str">
        <f>IFERROR(__xludf.DUMMYFUNCTION("""COMPUTED_VALUE"""),"Playstation Plus (Discontinued)")</f>
        <v>Playstation Plus (Discontinued)</v>
      </c>
      <c r="D1718" s="82" t="str">
        <f>IFERROR(__xludf.DUMMYFUNCTION("""COMPUTED_VALUE"""),"Removed")</f>
        <v>Removed</v>
      </c>
      <c r="E1718" s="84">
        <f>IFERROR(__xludf.DUMMYFUNCTION("""COMPUTED_VALUE"""),40729.0)</f>
        <v>40729</v>
      </c>
      <c r="F1718" s="85">
        <f>IFERROR(__xludf.DUMMYFUNCTION("""COMPUTED_VALUE"""),40756.0)</f>
        <v>40756</v>
      </c>
      <c r="G1718" s="86">
        <f>IFERROR(__xludf.DUMMYFUNCTION("""COMPUTED_VALUE"""),0.8666666666666666)</f>
        <v>0.8666666667</v>
      </c>
      <c r="H1718" s="84">
        <f>IFERROR(__xludf.DUMMYFUNCTION("""COMPUTED_VALUE"""),39274.0)</f>
        <v>39274</v>
      </c>
      <c r="I1718" s="86">
        <f>IFERROR(__xludf.DUMMYFUNCTION("""COMPUTED_VALUE"""),3.9833333333333334)</f>
        <v>3.983333333</v>
      </c>
      <c r="J1718" s="87">
        <f>IFERROR(__xludf.DUMMYFUNCTION("""COMPUTED_VALUE"""),68.0)</f>
        <v>68</v>
      </c>
      <c r="K1718" s="88"/>
      <c r="L1718" s="89">
        <f>IFERROR(__xludf.DUMMYFUNCTION("""COMPUTED_VALUE"""),1.5)</f>
        <v>1.5</v>
      </c>
      <c r="M1718" s="26" t="str">
        <f>IFERROR(__xludf.DUMMYFUNCTION("""COMPUTED_VALUE"""),"Action-Adventure")</f>
        <v>Action-Adventure</v>
      </c>
      <c r="N1718" s="26"/>
      <c r="O1718" s="26" t="str">
        <f>IFERROR(__xludf.DUMMYFUNCTION("""COMPUTED_VALUE"""),"No")</f>
        <v>No</v>
      </c>
      <c r="P1718" s="26"/>
    </row>
    <row r="1719">
      <c r="A1719" s="81" t="str">
        <f>IFERROR(__xludf.DUMMYFUNCTION("""COMPUTED_VALUE"""),"Bomberman ULTRA")</f>
        <v>Bomberman ULTRA</v>
      </c>
      <c r="B1719" s="82" t="str">
        <f>IFERROR(__xludf.DUMMYFUNCTION("""COMPUTED_VALUE"""),"PS3")</f>
        <v>PS3</v>
      </c>
      <c r="C1719" s="83" t="str">
        <f>IFERROR(__xludf.DUMMYFUNCTION("""COMPUTED_VALUE"""),"Playstation Plus (Discontinued)")</f>
        <v>Playstation Plus (Discontinued)</v>
      </c>
      <c r="D1719" s="82" t="str">
        <f>IFERROR(__xludf.DUMMYFUNCTION("""COMPUTED_VALUE"""),"Removed")</f>
        <v>Removed</v>
      </c>
      <c r="E1719" s="84">
        <f>IFERROR(__xludf.DUMMYFUNCTION("""COMPUTED_VALUE"""),40729.0)</f>
        <v>40729</v>
      </c>
      <c r="F1719" s="85">
        <f>IFERROR(__xludf.DUMMYFUNCTION("""COMPUTED_VALUE"""),40756.0)</f>
        <v>40756</v>
      </c>
      <c r="G1719" s="86">
        <f>IFERROR(__xludf.DUMMYFUNCTION("""COMPUTED_VALUE"""),0.8666666666666666)</f>
        <v>0.8666666667</v>
      </c>
      <c r="H1719" s="84">
        <f>IFERROR(__xludf.DUMMYFUNCTION("""COMPUTED_VALUE"""),39975.0)</f>
        <v>39975</v>
      </c>
      <c r="I1719" s="86">
        <f>IFERROR(__xludf.DUMMYFUNCTION("""COMPUTED_VALUE"""),2.066666666666667)</f>
        <v>2.066666667</v>
      </c>
      <c r="J1719" s="87">
        <f>IFERROR(__xludf.DUMMYFUNCTION("""COMPUTED_VALUE"""),81.0)</f>
        <v>81</v>
      </c>
      <c r="K1719" s="88">
        <f>IFERROR(__xludf.DUMMYFUNCTION("""COMPUTED_VALUE"""),7.7)</f>
        <v>7.7</v>
      </c>
      <c r="L1719" s="89"/>
      <c r="M1719" s="26" t="str">
        <f>IFERROR(__xludf.DUMMYFUNCTION("""COMPUTED_VALUE"""),"Puzzle")</f>
        <v>Puzzle</v>
      </c>
      <c r="N1719" s="26"/>
      <c r="O1719" s="26" t="str">
        <f>IFERROR(__xludf.DUMMYFUNCTION("""COMPUTED_VALUE"""),"No")</f>
        <v>No</v>
      </c>
      <c r="P1719" s="26"/>
    </row>
    <row r="1720">
      <c r="A1720" s="81" t="str">
        <f>IFERROR(__xludf.DUMMYFUNCTION("""COMPUTED_VALUE"""),"Medievil")</f>
        <v>Medievil</v>
      </c>
      <c r="B1720" s="82" t="str">
        <f>IFERROR(__xludf.DUMMYFUNCTION("""COMPUTED_VALUE"""),"PS3")</f>
        <v>PS3</v>
      </c>
      <c r="C1720" s="83" t="str">
        <f>IFERROR(__xludf.DUMMYFUNCTION("""COMPUTED_VALUE"""),"Playstation Plus (Discontinued)")</f>
        <v>Playstation Plus (Discontinued)</v>
      </c>
      <c r="D1720" s="82" t="str">
        <f>IFERROR(__xludf.DUMMYFUNCTION("""COMPUTED_VALUE"""),"Removed")</f>
        <v>Removed</v>
      </c>
      <c r="E1720" s="84">
        <f>IFERROR(__xludf.DUMMYFUNCTION("""COMPUTED_VALUE"""),40729.0)</f>
        <v>40729</v>
      </c>
      <c r="F1720" s="85">
        <f>IFERROR(__xludf.DUMMYFUNCTION("""COMPUTED_VALUE"""),40756.0)</f>
        <v>40756</v>
      </c>
      <c r="G1720" s="86">
        <f>IFERROR(__xludf.DUMMYFUNCTION("""COMPUTED_VALUE"""),0.8666666666666666)</f>
        <v>0.8666666667</v>
      </c>
      <c r="H1720" s="84">
        <f>IFERROR(__xludf.DUMMYFUNCTION("""COMPUTED_VALUE"""),36069.0)</f>
        <v>36069</v>
      </c>
      <c r="I1720" s="86">
        <f>IFERROR(__xludf.DUMMYFUNCTION("""COMPUTED_VALUE"""),12.761111111111111)</f>
        <v>12.76111111</v>
      </c>
      <c r="J1720" s="87">
        <f>IFERROR(__xludf.DUMMYFUNCTION("""COMPUTED_VALUE"""),67.0)</f>
        <v>67</v>
      </c>
      <c r="K1720" s="88">
        <f>IFERROR(__xludf.DUMMYFUNCTION("""COMPUTED_VALUE"""),8.0)</f>
        <v>8</v>
      </c>
      <c r="L1720" s="89">
        <f>IFERROR(__xludf.DUMMYFUNCTION("""COMPUTED_VALUE"""),7.0)</f>
        <v>7</v>
      </c>
      <c r="M1720" s="26" t="str">
        <f>IFERROR(__xludf.DUMMYFUNCTION("""COMPUTED_VALUE"""),"Action-Adventure")</f>
        <v>Action-Adventure</v>
      </c>
      <c r="N1720" s="26" t="str">
        <f>IFERROR(__xludf.DUMMYFUNCTION("""COMPUTED_VALUE"""),"PS1")</f>
        <v>PS1</v>
      </c>
      <c r="O1720" s="26" t="str">
        <f>IFERROR(__xludf.DUMMYFUNCTION("""COMPUTED_VALUE"""),"No")</f>
        <v>No</v>
      </c>
      <c r="P1720" s="26"/>
    </row>
    <row r="1721">
      <c r="A1721" s="81" t="str">
        <f>IFERROR(__xludf.DUMMYFUNCTION("""COMPUTED_VALUE"""),"Streets of Rage 2")</f>
        <v>Streets of Rage 2</v>
      </c>
      <c r="B1721" s="82" t="str">
        <f>IFERROR(__xludf.DUMMYFUNCTION("""COMPUTED_VALUE"""),"PS3")</f>
        <v>PS3</v>
      </c>
      <c r="C1721" s="83" t="str">
        <f>IFERROR(__xludf.DUMMYFUNCTION("""COMPUTED_VALUE"""),"Playstation Plus (Discontinued)")</f>
        <v>Playstation Plus (Discontinued)</v>
      </c>
      <c r="D1721" s="82" t="str">
        <f>IFERROR(__xludf.DUMMYFUNCTION("""COMPUTED_VALUE"""),"Removed")</f>
        <v>Removed</v>
      </c>
      <c r="E1721" s="84">
        <f>IFERROR(__xludf.DUMMYFUNCTION("""COMPUTED_VALUE"""),40701.0)</f>
        <v>40701</v>
      </c>
      <c r="F1721" s="85">
        <f>IFERROR(__xludf.DUMMYFUNCTION("""COMPUTED_VALUE"""),40728.0)</f>
        <v>40728</v>
      </c>
      <c r="G1721" s="86">
        <f>IFERROR(__xludf.DUMMYFUNCTION("""COMPUTED_VALUE"""),0.8999999999999999)</f>
        <v>0.9</v>
      </c>
      <c r="H1721" s="84">
        <f>IFERROR(__xludf.DUMMYFUNCTION("""COMPUTED_VALUE"""),33958.0)</f>
        <v>33958</v>
      </c>
      <c r="I1721" s="86">
        <f>IFERROR(__xludf.DUMMYFUNCTION("""COMPUTED_VALUE"""),18.46388888888889)</f>
        <v>18.46388889</v>
      </c>
      <c r="J1721" s="87">
        <f>IFERROR(__xludf.DUMMYFUNCTION("""COMPUTED_VALUE"""),85.0)</f>
        <v>85</v>
      </c>
      <c r="K1721" s="88">
        <f>IFERROR(__xludf.DUMMYFUNCTION("""COMPUTED_VALUE"""),8.9)</f>
        <v>8.9</v>
      </c>
      <c r="L1721" s="89">
        <f>IFERROR(__xludf.DUMMYFUNCTION("""COMPUTED_VALUE"""),3.0)</f>
        <v>3</v>
      </c>
      <c r="M1721" s="26" t="str">
        <f>IFERROR(__xludf.DUMMYFUNCTION("""COMPUTED_VALUE"""),"Beat-'Em-Up")</f>
        <v>Beat-'Em-Up</v>
      </c>
      <c r="N1721" s="26"/>
      <c r="O1721" s="26" t="str">
        <f>IFERROR(__xludf.DUMMYFUNCTION("""COMPUTED_VALUE"""),"No")</f>
        <v>No</v>
      </c>
      <c r="P1721" s="26"/>
    </row>
    <row r="1722">
      <c r="A1722" s="81" t="str">
        <f>IFERROR(__xludf.DUMMYFUNCTION("""COMPUTED_VALUE"""),"Magic the Gathering: Duels of the Planeswalkers 2011")</f>
        <v>Magic the Gathering: Duels of the Planeswalkers 2011</v>
      </c>
      <c r="B1722" s="82" t="str">
        <f>IFERROR(__xludf.DUMMYFUNCTION("""COMPUTED_VALUE"""),"PS3")</f>
        <v>PS3</v>
      </c>
      <c r="C1722" s="83" t="str">
        <f>IFERROR(__xludf.DUMMYFUNCTION("""COMPUTED_VALUE"""),"Playstation Plus (Discontinued)")</f>
        <v>Playstation Plus (Discontinued)</v>
      </c>
      <c r="D1722" s="82" t="str">
        <f>IFERROR(__xludf.DUMMYFUNCTION("""COMPUTED_VALUE"""),"Removed")</f>
        <v>Removed</v>
      </c>
      <c r="E1722" s="84">
        <f>IFERROR(__xludf.DUMMYFUNCTION("""COMPUTED_VALUE"""),40701.0)</f>
        <v>40701</v>
      </c>
      <c r="F1722" s="85">
        <f>IFERROR(__xludf.DUMMYFUNCTION("""COMPUTED_VALUE"""),40728.0)</f>
        <v>40728</v>
      </c>
      <c r="G1722" s="86">
        <f>IFERROR(__xludf.DUMMYFUNCTION("""COMPUTED_VALUE"""),0.8999999999999999)</f>
        <v>0.9</v>
      </c>
      <c r="H1722" s="84">
        <f>IFERROR(__xludf.DUMMYFUNCTION("""COMPUTED_VALUE"""),40344.0)</f>
        <v>40344</v>
      </c>
      <c r="I1722" s="86">
        <f>IFERROR(__xludf.DUMMYFUNCTION("""COMPUTED_VALUE"""),0.9777777777777777)</f>
        <v>0.9777777778</v>
      </c>
      <c r="J1722" s="87">
        <f>IFERROR(__xludf.DUMMYFUNCTION("""COMPUTED_VALUE"""),80.0)</f>
        <v>80</v>
      </c>
      <c r="K1722" s="88">
        <f>IFERROR(__xludf.DUMMYFUNCTION("""COMPUTED_VALUE"""),7.6)</f>
        <v>7.6</v>
      </c>
      <c r="L1722" s="89"/>
      <c r="M1722" s="26" t="str">
        <f>IFERROR(__xludf.DUMMYFUNCTION("""COMPUTED_VALUE"""),"Card &amp; Board")</f>
        <v>Card &amp; Board</v>
      </c>
      <c r="N1722" s="26"/>
      <c r="O1722" s="26" t="str">
        <f>IFERROR(__xludf.DUMMYFUNCTION("""COMPUTED_VALUE"""),"No")</f>
        <v>No</v>
      </c>
      <c r="P1722" s="26"/>
    </row>
    <row r="1723">
      <c r="A1723" s="81" t="str">
        <f>IFERROR(__xludf.DUMMYFUNCTION("""COMPUTED_VALUE"""),"Lilo &amp; Stitch")</f>
        <v>Lilo &amp; Stitch</v>
      </c>
      <c r="B1723" s="82" t="str">
        <f>IFERROR(__xludf.DUMMYFUNCTION("""COMPUTED_VALUE"""),"PS3")</f>
        <v>PS3</v>
      </c>
      <c r="C1723" s="83" t="str">
        <f>IFERROR(__xludf.DUMMYFUNCTION("""COMPUTED_VALUE"""),"Playstation Plus (Discontinued)")</f>
        <v>Playstation Plus (Discontinued)</v>
      </c>
      <c r="D1723" s="82" t="str">
        <f>IFERROR(__xludf.DUMMYFUNCTION("""COMPUTED_VALUE"""),"Removed")</f>
        <v>Removed</v>
      </c>
      <c r="E1723" s="84">
        <f>IFERROR(__xludf.DUMMYFUNCTION("""COMPUTED_VALUE"""),40701.0)</f>
        <v>40701</v>
      </c>
      <c r="F1723" s="85">
        <f>IFERROR(__xludf.DUMMYFUNCTION("""COMPUTED_VALUE"""),40728.0)</f>
        <v>40728</v>
      </c>
      <c r="G1723" s="86">
        <f>IFERROR(__xludf.DUMMYFUNCTION("""COMPUTED_VALUE"""),0.8999999999999999)</f>
        <v>0.9</v>
      </c>
      <c r="H1723" s="84">
        <f>IFERROR(__xludf.DUMMYFUNCTION("""COMPUTED_VALUE"""),37566.0)</f>
        <v>37566</v>
      </c>
      <c r="I1723" s="86">
        <f>IFERROR(__xludf.DUMMYFUNCTION("""COMPUTED_VALUE"""),8.58611111111111)</f>
        <v>8.586111111</v>
      </c>
      <c r="J1723" s="87">
        <f>IFERROR(__xludf.DUMMYFUNCTION("""COMPUTED_VALUE"""),54.0)</f>
        <v>54</v>
      </c>
      <c r="K1723" s="88"/>
      <c r="L1723" s="89"/>
      <c r="M1723" s="26" t="str">
        <f>IFERROR(__xludf.DUMMYFUNCTION("""COMPUTED_VALUE"""),"Action-Adventure")</f>
        <v>Action-Adventure</v>
      </c>
      <c r="N1723" s="26" t="str">
        <f>IFERROR(__xludf.DUMMYFUNCTION("""COMPUTED_VALUE"""),"PS1")</f>
        <v>PS1</v>
      </c>
      <c r="O1723" s="26" t="str">
        <f>IFERROR(__xludf.DUMMYFUNCTION("""COMPUTED_VALUE"""),"No")</f>
        <v>No</v>
      </c>
      <c r="P1723" s="26"/>
    </row>
    <row r="1724">
      <c r="A1724" s="81" t="str">
        <f>IFERROR(__xludf.DUMMYFUNCTION("""COMPUTED_VALUE"""),"The 2D Adventures of Rotating Octopus Character")</f>
        <v>The 2D Adventures of Rotating Octopus Character</v>
      </c>
      <c r="B1724" s="82" t="str">
        <f>IFERROR(__xludf.DUMMYFUNCTION("""COMPUTED_VALUE"""),"PS3")</f>
        <v>PS3</v>
      </c>
      <c r="C1724" s="83" t="str">
        <f>IFERROR(__xludf.DUMMYFUNCTION("""COMPUTED_VALUE"""),"Playstation Plus (Discontinued)")</f>
        <v>Playstation Plus (Discontinued)</v>
      </c>
      <c r="D1724" s="82" t="str">
        <f>IFERROR(__xludf.DUMMYFUNCTION("""COMPUTED_VALUE"""),"Removed")</f>
        <v>Removed</v>
      </c>
      <c r="E1724" s="84">
        <f>IFERROR(__xludf.DUMMYFUNCTION("""COMPUTED_VALUE"""),40701.0)</f>
        <v>40701</v>
      </c>
      <c r="F1724" s="85">
        <f>IFERROR(__xludf.DUMMYFUNCTION("""COMPUTED_VALUE"""),40728.0)</f>
        <v>40728</v>
      </c>
      <c r="G1724" s="86">
        <f>IFERROR(__xludf.DUMMYFUNCTION("""COMPUTED_VALUE"""),0.8999999999999999)</f>
        <v>0.9</v>
      </c>
      <c r="H1724" s="84">
        <f>IFERROR(__xludf.DUMMYFUNCTION("""COMPUTED_VALUE"""),40696.0)</f>
        <v>40696</v>
      </c>
      <c r="I1724" s="86">
        <f>IFERROR(__xludf.DUMMYFUNCTION("""COMPUTED_VALUE"""),0.013888888888888888)</f>
        <v>0.01388888889</v>
      </c>
      <c r="J1724" s="87">
        <f>IFERROR(__xludf.DUMMYFUNCTION("""COMPUTED_VALUE"""),65.0)</f>
        <v>65</v>
      </c>
      <c r="K1724" s="88">
        <f>IFERROR(__xludf.DUMMYFUNCTION("""COMPUTED_VALUE"""),6.7)</f>
        <v>6.7</v>
      </c>
      <c r="L1724" s="89">
        <f>IFERROR(__xludf.DUMMYFUNCTION("""COMPUTED_VALUE"""),2.0)</f>
        <v>2</v>
      </c>
      <c r="M1724" s="26" t="str">
        <f>IFERROR(__xludf.DUMMYFUNCTION("""COMPUTED_VALUE"""),"Platformer")</f>
        <v>Platformer</v>
      </c>
      <c r="N1724" s="26" t="str">
        <f>IFERROR(__xludf.DUMMYFUNCTION("""COMPUTED_VALUE"""),"PS Minis")</f>
        <v>PS Minis</v>
      </c>
      <c r="O1724" s="26" t="str">
        <f>IFERROR(__xludf.DUMMYFUNCTION("""COMPUTED_VALUE"""),"No")</f>
        <v>No</v>
      </c>
      <c r="P1724" s="26"/>
    </row>
    <row r="1725">
      <c r="A1725" s="81" t="str">
        <f>IFERROR(__xludf.DUMMYFUNCTION("""COMPUTED_VALUE"""),"Babel the King of Blocks")</f>
        <v>Babel the King of Blocks</v>
      </c>
      <c r="B1725" s="82" t="str">
        <f>IFERROR(__xludf.DUMMYFUNCTION("""COMPUTED_VALUE"""),"PS3")</f>
        <v>PS3</v>
      </c>
      <c r="C1725" s="83" t="str">
        <f>IFERROR(__xludf.DUMMYFUNCTION("""COMPUTED_VALUE"""),"Playstation Plus (Discontinued)")</f>
        <v>Playstation Plus (Discontinued)</v>
      </c>
      <c r="D1725" s="82" t="str">
        <f>IFERROR(__xludf.DUMMYFUNCTION("""COMPUTED_VALUE"""),"Removed")</f>
        <v>Removed</v>
      </c>
      <c r="E1725" s="84">
        <f>IFERROR(__xludf.DUMMYFUNCTION("""COMPUTED_VALUE"""),40701.0)</f>
        <v>40701</v>
      </c>
      <c r="F1725" s="85">
        <f>IFERROR(__xludf.DUMMYFUNCTION("""COMPUTED_VALUE"""),40728.0)</f>
        <v>40728</v>
      </c>
      <c r="G1725" s="86">
        <f>IFERROR(__xludf.DUMMYFUNCTION("""COMPUTED_VALUE"""),0.8999999999999999)</f>
        <v>0.9</v>
      </c>
      <c r="H1725" s="84">
        <f>IFERROR(__xludf.DUMMYFUNCTION("""COMPUTED_VALUE"""),40695.0)</f>
        <v>40695</v>
      </c>
      <c r="I1725" s="86">
        <f>IFERROR(__xludf.DUMMYFUNCTION("""COMPUTED_VALUE"""),0.016666666666666666)</f>
        <v>0.01666666667</v>
      </c>
      <c r="J1725" s="87">
        <f>IFERROR(__xludf.DUMMYFUNCTION("""COMPUTED_VALUE"""),62.0)</f>
        <v>62</v>
      </c>
      <c r="K1725" s="88">
        <f>IFERROR(__xludf.DUMMYFUNCTION("""COMPUTED_VALUE"""),6.3)</f>
        <v>6.3</v>
      </c>
      <c r="L1725" s="89">
        <f>IFERROR(__xludf.DUMMYFUNCTION("""COMPUTED_VALUE"""),2.0)</f>
        <v>2</v>
      </c>
      <c r="M1725" s="26" t="str">
        <f>IFERROR(__xludf.DUMMYFUNCTION("""COMPUTED_VALUE"""),"Puzzle")</f>
        <v>Puzzle</v>
      </c>
      <c r="N1725" s="26" t="str">
        <f>IFERROR(__xludf.DUMMYFUNCTION("""COMPUTED_VALUE"""),"PS Minis")</f>
        <v>PS Minis</v>
      </c>
      <c r="O1725" s="26" t="str">
        <f>IFERROR(__xludf.DUMMYFUNCTION("""COMPUTED_VALUE"""),"No")</f>
        <v>No</v>
      </c>
      <c r="P1725" s="26"/>
    </row>
    <row r="1726">
      <c r="A1726" s="81" t="str">
        <f>IFERROR(__xludf.DUMMYFUNCTION("""COMPUTED_VALUE"""),"Duael Invaders")</f>
        <v>Duael Invaders</v>
      </c>
      <c r="B1726" s="82" t="str">
        <f>IFERROR(__xludf.DUMMYFUNCTION("""COMPUTED_VALUE"""),"PS3")</f>
        <v>PS3</v>
      </c>
      <c r="C1726" s="83" t="str">
        <f>IFERROR(__xludf.DUMMYFUNCTION("""COMPUTED_VALUE"""),"Playstation Plus (Discontinued)")</f>
        <v>Playstation Plus (Discontinued)</v>
      </c>
      <c r="D1726" s="82" t="str">
        <f>IFERROR(__xludf.DUMMYFUNCTION("""COMPUTED_VALUE"""),"Removed")</f>
        <v>Removed</v>
      </c>
      <c r="E1726" s="84">
        <f>IFERROR(__xludf.DUMMYFUNCTION("""COMPUTED_VALUE"""),40638.0)</f>
        <v>40638</v>
      </c>
      <c r="F1726" s="85">
        <f>IFERROR(__xludf.DUMMYFUNCTION("""COMPUTED_VALUE"""),40700.0)</f>
        <v>40700</v>
      </c>
      <c r="G1726" s="86">
        <f>IFERROR(__xludf.DUMMYFUNCTION("""COMPUTED_VALUE"""),2.033333333333333)</f>
        <v>2.033333333</v>
      </c>
      <c r="H1726" s="84">
        <f>IFERROR(__xludf.DUMMYFUNCTION("""COMPUTED_VALUE"""),40638.0)</f>
        <v>40638</v>
      </c>
      <c r="I1726" s="86">
        <f>IFERROR(__xludf.DUMMYFUNCTION("""COMPUTED_VALUE"""),0.0)</f>
        <v>0</v>
      </c>
      <c r="J1726" s="87">
        <f>IFERROR(__xludf.DUMMYFUNCTION("""COMPUTED_VALUE"""),52.0)</f>
        <v>52</v>
      </c>
      <c r="K1726" s="88">
        <f>IFERROR(__xludf.DUMMYFUNCTION("""COMPUTED_VALUE"""),6.1)</f>
        <v>6.1</v>
      </c>
      <c r="L1726" s="89">
        <f>IFERROR(__xludf.DUMMYFUNCTION("""COMPUTED_VALUE"""),1.0)</f>
        <v>1</v>
      </c>
      <c r="M1726" s="26" t="str">
        <f>IFERROR(__xludf.DUMMYFUNCTION("""COMPUTED_VALUE"""),"Shooter")</f>
        <v>Shooter</v>
      </c>
      <c r="N1726" s="26" t="str">
        <f>IFERROR(__xludf.DUMMYFUNCTION("""COMPUTED_VALUE"""),"PS Minis")</f>
        <v>PS Minis</v>
      </c>
      <c r="O1726" s="26" t="str">
        <f>IFERROR(__xludf.DUMMYFUNCTION("""COMPUTED_VALUE"""),"No")</f>
        <v>No</v>
      </c>
      <c r="P1726" s="26"/>
    </row>
    <row r="1727">
      <c r="A1727" s="81" t="str">
        <f>IFERROR(__xludf.DUMMYFUNCTION("""COMPUTED_VALUE"""),"Sonic the Hedgehog 2")</f>
        <v>Sonic the Hedgehog 2</v>
      </c>
      <c r="B1727" s="82" t="str">
        <f>IFERROR(__xludf.DUMMYFUNCTION("""COMPUTED_VALUE"""),"PS3")</f>
        <v>PS3</v>
      </c>
      <c r="C1727" s="83" t="str">
        <f>IFERROR(__xludf.DUMMYFUNCTION("""COMPUTED_VALUE"""),"Playstation Plus (Discontinued)")</f>
        <v>Playstation Plus (Discontinued)</v>
      </c>
      <c r="D1727" s="82" t="str">
        <f>IFERROR(__xludf.DUMMYFUNCTION("""COMPUTED_VALUE"""),"Removed")</f>
        <v>Removed</v>
      </c>
      <c r="E1727" s="84">
        <f>IFERROR(__xludf.DUMMYFUNCTION("""COMPUTED_VALUE"""),40638.0)</f>
        <v>40638</v>
      </c>
      <c r="F1727" s="85">
        <f>IFERROR(__xludf.DUMMYFUNCTION("""COMPUTED_VALUE"""),40700.0)</f>
        <v>40700</v>
      </c>
      <c r="G1727" s="86">
        <f>IFERROR(__xludf.DUMMYFUNCTION("""COMPUTED_VALUE"""),2.033333333333333)</f>
        <v>2.033333333</v>
      </c>
      <c r="H1727" s="84">
        <f>IFERROR(__xludf.DUMMYFUNCTION("""COMPUTED_VALUE"""),33929.0)</f>
        <v>33929</v>
      </c>
      <c r="I1727" s="86">
        <f>IFERROR(__xludf.DUMMYFUNCTION("""COMPUTED_VALUE"""),18.372222222222224)</f>
        <v>18.37222222</v>
      </c>
      <c r="J1727" s="87">
        <f>IFERROR(__xludf.DUMMYFUNCTION("""COMPUTED_VALUE"""),69.0)</f>
        <v>69</v>
      </c>
      <c r="K1727" s="88">
        <f>IFERROR(__xludf.DUMMYFUNCTION("""COMPUTED_VALUE"""),7.9)</f>
        <v>7.9</v>
      </c>
      <c r="L1727" s="89">
        <f>IFERROR(__xludf.DUMMYFUNCTION("""COMPUTED_VALUE"""),4.0)</f>
        <v>4</v>
      </c>
      <c r="M1727" s="26" t="str">
        <f>IFERROR(__xludf.DUMMYFUNCTION("""COMPUTED_VALUE"""),"Platformer")</f>
        <v>Platformer</v>
      </c>
      <c r="N1727" s="26"/>
      <c r="O1727" s="26" t="str">
        <f>IFERROR(__xludf.DUMMYFUNCTION("""COMPUTED_VALUE"""),"No")</f>
        <v>No</v>
      </c>
      <c r="P1727" s="26"/>
    </row>
    <row r="1728">
      <c r="A1728" s="81" t="str">
        <f>IFERROR(__xludf.DUMMYFUNCTION("""COMPUTED_VALUE"""),"Vector TD")</f>
        <v>Vector TD</v>
      </c>
      <c r="B1728" s="82" t="str">
        <f>IFERROR(__xludf.DUMMYFUNCTION("""COMPUTED_VALUE"""),"PS3")</f>
        <v>PS3</v>
      </c>
      <c r="C1728" s="83" t="str">
        <f>IFERROR(__xludf.DUMMYFUNCTION("""COMPUTED_VALUE"""),"Playstation Plus (Discontinued)")</f>
        <v>Playstation Plus (Discontinued)</v>
      </c>
      <c r="D1728" s="82" t="str">
        <f>IFERROR(__xludf.DUMMYFUNCTION("""COMPUTED_VALUE"""),"Removed")</f>
        <v>Removed</v>
      </c>
      <c r="E1728" s="84">
        <f>IFERROR(__xludf.DUMMYFUNCTION("""COMPUTED_VALUE"""),40603.0)</f>
        <v>40603</v>
      </c>
      <c r="F1728" s="85">
        <f>IFERROR(__xludf.DUMMYFUNCTION("""COMPUTED_VALUE"""),40637.0)</f>
        <v>40637</v>
      </c>
      <c r="G1728" s="86">
        <f>IFERROR(__xludf.DUMMYFUNCTION("""COMPUTED_VALUE"""),1.0999999999999999)</f>
        <v>1.1</v>
      </c>
      <c r="H1728" s="84">
        <f>IFERROR(__xludf.DUMMYFUNCTION("""COMPUTED_VALUE"""),40205.0)</f>
        <v>40205</v>
      </c>
      <c r="I1728" s="86">
        <f>IFERROR(__xludf.DUMMYFUNCTION("""COMPUTED_VALUE"""),1.0944444444444446)</f>
        <v>1.094444444</v>
      </c>
      <c r="J1728" s="87">
        <f>IFERROR(__xludf.DUMMYFUNCTION("""COMPUTED_VALUE"""),72.0)</f>
        <v>72</v>
      </c>
      <c r="K1728" s="88">
        <f>IFERROR(__xludf.DUMMYFUNCTION("""COMPUTED_VALUE"""),7.0)</f>
        <v>7</v>
      </c>
      <c r="L1728" s="89"/>
      <c r="M1728" s="26" t="str">
        <f>IFERROR(__xludf.DUMMYFUNCTION("""COMPUTED_VALUE"""),"Strategy")</f>
        <v>Strategy</v>
      </c>
      <c r="N1728" s="26" t="str">
        <f>IFERROR(__xludf.DUMMYFUNCTION("""COMPUTED_VALUE"""),"PS Minis")</f>
        <v>PS Minis</v>
      </c>
      <c r="O1728" s="26" t="str">
        <f>IFERROR(__xludf.DUMMYFUNCTION("""COMPUTED_VALUE"""),"No")</f>
        <v>No</v>
      </c>
      <c r="P1728" s="26"/>
    </row>
    <row r="1729">
      <c r="A1729" s="81" t="str">
        <f>IFERROR(__xludf.DUMMYFUNCTION("""COMPUTED_VALUE"""),"A Space Shooter for 2 Bucks!")</f>
        <v>A Space Shooter for 2 Bucks!</v>
      </c>
      <c r="B1729" s="82" t="str">
        <f>IFERROR(__xludf.DUMMYFUNCTION("""COMPUTED_VALUE"""),"PS3")</f>
        <v>PS3</v>
      </c>
      <c r="C1729" s="83" t="str">
        <f>IFERROR(__xludf.DUMMYFUNCTION("""COMPUTED_VALUE"""),"Playstation Plus (Discontinued)")</f>
        <v>Playstation Plus (Discontinued)</v>
      </c>
      <c r="D1729" s="82" t="str">
        <f>IFERROR(__xludf.DUMMYFUNCTION("""COMPUTED_VALUE"""),"Removed")</f>
        <v>Removed</v>
      </c>
      <c r="E1729" s="84">
        <f>IFERROR(__xludf.DUMMYFUNCTION("""COMPUTED_VALUE"""),40603.0)</f>
        <v>40603</v>
      </c>
      <c r="F1729" s="85">
        <f>IFERROR(__xludf.DUMMYFUNCTION("""COMPUTED_VALUE"""),40637.0)</f>
        <v>40637</v>
      </c>
      <c r="G1729" s="86">
        <f>IFERROR(__xludf.DUMMYFUNCTION("""COMPUTED_VALUE"""),1.0999999999999999)</f>
        <v>1.1</v>
      </c>
      <c r="H1729" s="84">
        <f>IFERROR(__xludf.DUMMYFUNCTION("""COMPUTED_VALUE"""),40491.0)</f>
        <v>40491</v>
      </c>
      <c r="I1729" s="86">
        <f>IFERROR(__xludf.DUMMYFUNCTION("""COMPUTED_VALUE"""),0.3111111111111111)</f>
        <v>0.3111111111</v>
      </c>
      <c r="J1729" s="87">
        <f>IFERROR(__xludf.DUMMYFUNCTION("""COMPUTED_VALUE"""),61.0)</f>
        <v>61</v>
      </c>
      <c r="K1729" s="88">
        <f>IFERROR(__xludf.DUMMYFUNCTION("""COMPUTED_VALUE"""),6.3)</f>
        <v>6.3</v>
      </c>
      <c r="L1729" s="89"/>
      <c r="M1729" s="26" t="str">
        <f>IFERROR(__xludf.DUMMYFUNCTION("""COMPUTED_VALUE"""),"Shooter")</f>
        <v>Shooter</v>
      </c>
      <c r="N1729" s="26" t="str">
        <f>IFERROR(__xludf.DUMMYFUNCTION("""COMPUTED_VALUE"""),"PS Minis")</f>
        <v>PS Minis</v>
      </c>
      <c r="O1729" s="26" t="str">
        <f>IFERROR(__xludf.DUMMYFUNCTION("""COMPUTED_VALUE"""),"No")</f>
        <v>No</v>
      </c>
      <c r="P1729" s="26"/>
    </row>
    <row r="1730">
      <c r="A1730" s="81" t="str">
        <f>IFERROR(__xludf.DUMMYFUNCTION("""COMPUTED_VALUE"""),"Comet Crash")</f>
        <v>Comet Crash</v>
      </c>
      <c r="B1730" s="82" t="str">
        <f>IFERROR(__xludf.DUMMYFUNCTION("""COMPUTED_VALUE"""),"PS3")</f>
        <v>PS3</v>
      </c>
      <c r="C1730" s="83" t="str">
        <f>IFERROR(__xludf.DUMMYFUNCTION("""COMPUTED_VALUE"""),"Playstation Plus (Discontinued)")</f>
        <v>Playstation Plus (Discontinued)</v>
      </c>
      <c r="D1730" s="82" t="str">
        <f>IFERROR(__xludf.DUMMYFUNCTION("""COMPUTED_VALUE"""),"Removed")</f>
        <v>Removed</v>
      </c>
      <c r="E1730" s="84">
        <f>IFERROR(__xludf.DUMMYFUNCTION("""COMPUTED_VALUE"""),40603.0)</f>
        <v>40603</v>
      </c>
      <c r="F1730" s="85">
        <f>IFERROR(__xludf.DUMMYFUNCTION("""COMPUTED_VALUE"""),40637.0)</f>
        <v>40637</v>
      </c>
      <c r="G1730" s="86">
        <f>IFERROR(__xludf.DUMMYFUNCTION("""COMPUTED_VALUE"""),1.0999999999999999)</f>
        <v>1.1</v>
      </c>
      <c r="H1730" s="84">
        <f>IFERROR(__xludf.DUMMYFUNCTION("""COMPUTED_VALUE"""),39849.0)</f>
        <v>39849</v>
      </c>
      <c r="I1730" s="86">
        <f>IFERROR(__xludf.DUMMYFUNCTION("""COMPUTED_VALUE"""),2.0722222222222224)</f>
        <v>2.072222222</v>
      </c>
      <c r="J1730" s="87">
        <f>IFERROR(__xludf.DUMMYFUNCTION("""COMPUTED_VALUE"""),75.0)</f>
        <v>75</v>
      </c>
      <c r="K1730" s="88">
        <f>IFERROR(__xludf.DUMMYFUNCTION("""COMPUTED_VALUE"""),7.6)</f>
        <v>7.6</v>
      </c>
      <c r="L1730" s="89"/>
      <c r="M1730" s="26" t="str">
        <f>IFERROR(__xludf.DUMMYFUNCTION("""COMPUTED_VALUE"""),"Strategy")</f>
        <v>Strategy</v>
      </c>
      <c r="N1730" s="26"/>
      <c r="O1730" s="26" t="str">
        <f>IFERROR(__xludf.DUMMYFUNCTION("""COMPUTED_VALUE"""),"No")</f>
        <v>No</v>
      </c>
      <c r="P1730" s="26"/>
    </row>
    <row r="1731">
      <c r="A1731" s="81" t="str">
        <f>IFERROR(__xludf.DUMMYFUNCTION("""COMPUTED_VALUE"""),"Oddworld: Abe’s Exoddus")</f>
        <v>Oddworld: Abe’s Exoddus</v>
      </c>
      <c r="B1731" s="82" t="str">
        <f>IFERROR(__xludf.DUMMYFUNCTION("""COMPUTED_VALUE"""),"PS3")</f>
        <v>PS3</v>
      </c>
      <c r="C1731" s="83" t="str">
        <f>IFERROR(__xludf.DUMMYFUNCTION("""COMPUTED_VALUE"""),"Playstation Plus (Discontinued)")</f>
        <v>Playstation Plus (Discontinued)</v>
      </c>
      <c r="D1731" s="82" t="str">
        <f>IFERROR(__xludf.DUMMYFUNCTION("""COMPUTED_VALUE"""),"Removed")</f>
        <v>Removed</v>
      </c>
      <c r="E1731" s="84">
        <f>IFERROR(__xludf.DUMMYFUNCTION("""COMPUTED_VALUE"""),40603.0)</f>
        <v>40603</v>
      </c>
      <c r="F1731" s="85">
        <f>IFERROR(__xludf.DUMMYFUNCTION("""COMPUTED_VALUE"""),40637.0)</f>
        <v>40637</v>
      </c>
      <c r="G1731" s="86">
        <f>IFERROR(__xludf.DUMMYFUNCTION("""COMPUTED_VALUE"""),1.0999999999999999)</f>
        <v>1.1</v>
      </c>
      <c r="H1731" s="84">
        <f>IFERROR(__xludf.DUMMYFUNCTION("""COMPUTED_VALUE"""),36116.0)</f>
        <v>36116</v>
      </c>
      <c r="I1731" s="86">
        <f>IFERROR(__xludf.DUMMYFUNCTION("""COMPUTED_VALUE"""),12.28888888888889)</f>
        <v>12.28888889</v>
      </c>
      <c r="J1731" s="87">
        <f>IFERROR(__xludf.DUMMYFUNCTION("""COMPUTED_VALUE"""),88.0)</f>
        <v>88</v>
      </c>
      <c r="K1731" s="88">
        <f>IFERROR(__xludf.DUMMYFUNCTION("""COMPUTED_VALUE"""),8.8)</f>
        <v>8.8</v>
      </c>
      <c r="L1731" s="89">
        <f>IFERROR(__xludf.DUMMYFUNCTION("""COMPUTED_VALUE"""),13.0)</f>
        <v>13</v>
      </c>
      <c r="M1731" s="26" t="str">
        <f>IFERROR(__xludf.DUMMYFUNCTION("""COMPUTED_VALUE"""),"Platformer")</f>
        <v>Platformer</v>
      </c>
      <c r="N1731" s="26" t="str">
        <f>IFERROR(__xludf.DUMMYFUNCTION("""COMPUTED_VALUE"""),"PS1")</f>
        <v>PS1</v>
      </c>
      <c r="O1731" s="26" t="str">
        <f>IFERROR(__xludf.DUMMYFUNCTION("""COMPUTED_VALUE"""),"No")</f>
        <v>No</v>
      </c>
      <c r="P1731" s="26"/>
    </row>
    <row r="1732">
      <c r="A1732" s="81" t="str">
        <f>IFERROR(__xludf.DUMMYFUNCTION("""COMPUTED_VALUE"""),"Pix’n Love Rush")</f>
        <v>Pix’n Love Rush</v>
      </c>
      <c r="B1732" s="82" t="str">
        <f>IFERROR(__xludf.DUMMYFUNCTION("""COMPUTED_VALUE"""),"PS3")</f>
        <v>PS3</v>
      </c>
      <c r="C1732" s="83" t="str">
        <f>IFERROR(__xludf.DUMMYFUNCTION("""COMPUTED_VALUE"""),"Playstation Plus (Discontinued)")</f>
        <v>Playstation Plus (Discontinued)</v>
      </c>
      <c r="D1732" s="82" t="str">
        <f>IFERROR(__xludf.DUMMYFUNCTION("""COMPUTED_VALUE"""),"Removed")</f>
        <v>Removed</v>
      </c>
      <c r="E1732" s="84">
        <f>IFERROR(__xludf.DUMMYFUNCTION("""COMPUTED_VALUE"""),40603.0)</f>
        <v>40603</v>
      </c>
      <c r="F1732" s="85">
        <f>IFERROR(__xludf.DUMMYFUNCTION("""COMPUTED_VALUE"""),40637.0)</f>
        <v>40637</v>
      </c>
      <c r="G1732" s="86">
        <f>IFERROR(__xludf.DUMMYFUNCTION("""COMPUTED_VALUE"""),1.0999999999999999)</f>
        <v>1.1</v>
      </c>
      <c r="H1732" s="84">
        <f>IFERROR(__xludf.DUMMYFUNCTION("""COMPUTED_VALUE"""),40414.0)</f>
        <v>40414</v>
      </c>
      <c r="I1732" s="86">
        <f>IFERROR(__xludf.DUMMYFUNCTION("""COMPUTED_VALUE"""),0.5194444444444445)</f>
        <v>0.5194444444</v>
      </c>
      <c r="J1732" s="87">
        <f>IFERROR(__xludf.DUMMYFUNCTION("""COMPUTED_VALUE"""),74.0)</f>
        <v>74</v>
      </c>
      <c r="K1732" s="88">
        <f>IFERROR(__xludf.DUMMYFUNCTION("""COMPUTED_VALUE"""),7.2)</f>
        <v>7.2</v>
      </c>
      <c r="L1732" s="89">
        <f>IFERROR(__xludf.DUMMYFUNCTION("""COMPUTED_VALUE"""),2.0)</f>
        <v>2</v>
      </c>
      <c r="M1732" s="26" t="str">
        <f>IFERROR(__xludf.DUMMYFUNCTION("""COMPUTED_VALUE"""),"Platformer")</f>
        <v>Platformer</v>
      </c>
      <c r="N1732" s="26" t="str">
        <f>IFERROR(__xludf.DUMMYFUNCTION("""COMPUTED_VALUE"""),"PS Minis")</f>
        <v>PS Minis</v>
      </c>
      <c r="O1732" s="26" t="str">
        <f>IFERROR(__xludf.DUMMYFUNCTION("""COMPUTED_VALUE"""),"No")</f>
        <v>No</v>
      </c>
      <c r="P1732" s="26"/>
    </row>
    <row r="1733">
      <c r="A1733" s="81" t="str">
        <f>IFERROR(__xludf.DUMMYFUNCTION("""COMPUTED_VALUE"""),"Enigmo")</f>
        <v>Enigmo</v>
      </c>
      <c r="B1733" s="82" t="str">
        <f>IFERROR(__xludf.DUMMYFUNCTION("""COMPUTED_VALUE"""),"PS3")</f>
        <v>PS3</v>
      </c>
      <c r="C1733" s="83" t="str">
        <f>IFERROR(__xludf.DUMMYFUNCTION("""COMPUTED_VALUE"""),"Playstation Plus (Discontinued)")</f>
        <v>Playstation Plus (Discontinued)</v>
      </c>
      <c r="D1733" s="82" t="str">
        <f>IFERROR(__xludf.DUMMYFUNCTION("""COMPUTED_VALUE"""),"Removed")</f>
        <v>Removed</v>
      </c>
      <c r="E1733" s="84">
        <f>IFERROR(__xludf.DUMMYFUNCTION("""COMPUTED_VALUE"""),40603.0)</f>
        <v>40603</v>
      </c>
      <c r="F1733" s="85">
        <f>IFERROR(__xludf.DUMMYFUNCTION("""COMPUTED_VALUE"""),40637.0)</f>
        <v>40637</v>
      </c>
      <c r="G1733" s="86">
        <f>IFERROR(__xludf.DUMMYFUNCTION("""COMPUTED_VALUE"""),1.0999999999999999)</f>
        <v>1.1</v>
      </c>
      <c r="H1733" s="84">
        <f>IFERROR(__xludf.DUMMYFUNCTION("""COMPUTED_VALUE"""),39996.0)</f>
        <v>39996</v>
      </c>
      <c r="I1733" s="86">
        <f>IFERROR(__xludf.DUMMYFUNCTION("""COMPUTED_VALUE"""),1.663888888888889)</f>
        <v>1.663888889</v>
      </c>
      <c r="J1733" s="87">
        <f>IFERROR(__xludf.DUMMYFUNCTION("""COMPUTED_VALUE"""),78.0)</f>
        <v>78</v>
      </c>
      <c r="K1733" s="88">
        <f>IFERROR(__xludf.DUMMYFUNCTION("""COMPUTED_VALUE"""),7.1)</f>
        <v>7.1</v>
      </c>
      <c r="L1733" s="89">
        <f>IFERROR(__xludf.DUMMYFUNCTION("""COMPUTED_VALUE"""),4.0)</f>
        <v>4</v>
      </c>
      <c r="M1733" s="26" t="str">
        <f>IFERROR(__xludf.DUMMYFUNCTION("""COMPUTED_VALUE"""),"Puzzle")</f>
        <v>Puzzle</v>
      </c>
      <c r="N1733" s="26" t="str">
        <f>IFERROR(__xludf.DUMMYFUNCTION("""COMPUTED_VALUE"""),"PS Minis")</f>
        <v>PS Minis</v>
      </c>
      <c r="O1733" s="26" t="str">
        <f>IFERROR(__xludf.DUMMYFUNCTION("""COMPUTED_VALUE"""),"No")</f>
        <v>No</v>
      </c>
      <c r="P1733" s="26"/>
    </row>
    <row r="1734">
      <c r="A1734" s="81" t="str">
        <f>IFERROR(__xludf.DUMMYFUNCTION("""COMPUTED_VALUE"""),"Sonic the Hedgehog")</f>
        <v>Sonic the Hedgehog</v>
      </c>
      <c r="B1734" s="82" t="str">
        <f>IFERROR(__xludf.DUMMYFUNCTION("""COMPUTED_VALUE"""),"PS3")</f>
        <v>PS3</v>
      </c>
      <c r="C1734" s="83" t="str">
        <f>IFERROR(__xludf.DUMMYFUNCTION("""COMPUTED_VALUE"""),"Playstation Plus (Discontinued)")</f>
        <v>Playstation Plus (Discontinued)</v>
      </c>
      <c r="D1734" s="82" t="str">
        <f>IFERROR(__xludf.DUMMYFUNCTION("""COMPUTED_VALUE"""),"Removed")</f>
        <v>Removed</v>
      </c>
      <c r="E1734" s="84">
        <f>IFERROR(__xludf.DUMMYFUNCTION("""COMPUTED_VALUE"""),40603.0)</f>
        <v>40603</v>
      </c>
      <c r="F1734" s="85">
        <f>IFERROR(__xludf.DUMMYFUNCTION("""COMPUTED_VALUE"""),40637.0)</f>
        <v>40637</v>
      </c>
      <c r="G1734" s="86">
        <f>IFERROR(__xludf.DUMMYFUNCTION("""COMPUTED_VALUE"""),1.0999999999999999)</f>
        <v>1.1</v>
      </c>
      <c r="H1734" s="84">
        <f>IFERROR(__xludf.DUMMYFUNCTION("""COMPUTED_VALUE"""),33412.0)</f>
        <v>33412</v>
      </c>
      <c r="I1734" s="86">
        <f>IFERROR(__xludf.DUMMYFUNCTION("""COMPUTED_VALUE"""),19.68888888888889)</f>
        <v>19.68888889</v>
      </c>
      <c r="J1734" s="87">
        <f>IFERROR(__xludf.DUMMYFUNCTION("""COMPUTED_VALUE"""),50.0)</f>
        <v>50</v>
      </c>
      <c r="K1734" s="88">
        <f>IFERROR(__xludf.DUMMYFUNCTION("""COMPUTED_VALUE"""),7.2)</f>
        <v>7.2</v>
      </c>
      <c r="L1734" s="89">
        <f>IFERROR(__xludf.DUMMYFUNCTION("""COMPUTED_VALUE"""),3.0)</f>
        <v>3</v>
      </c>
      <c r="M1734" s="26" t="str">
        <f>IFERROR(__xludf.DUMMYFUNCTION("""COMPUTED_VALUE"""),"Platformer")</f>
        <v>Platformer</v>
      </c>
      <c r="N1734" s="26"/>
      <c r="O1734" s="26" t="str">
        <f>IFERROR(__xludf.DUMMYFUNCTION("""COMPUTED_VALUE"""),"No")</f>
        <v>No</v>
      </c>
      <c r="P1734" s="26"/>
    </row>
    <row r="1735">
      <c r="A1735" s="81" t="str">
        <f>IFERROR(__xludf.DUMMYFUNCTION("""COMPUTED_VALUE"""),"Spyro Year of the Dragon")</f>
        <v>Spyro Year of the Dragon</v>
      </c>
      <c r="B1735" s="82" t="str">
        <f>IFERROR(__xludf.DUMMYFUNCTION("""COMPUTED_VALUE"""),"PS3")</f>
        <v>PS3</v>
      </c>
      <c r="C1735" s="83" t="str">
        <f>IFERROR(__xludf.DUMMYFUNCTION("""COMPUTED_VALUE"""),"Playstation Plus (Discontinued)")</f>
        <v>Playstation Plus (Discontinued)</v>
      </c>
      <c r="D1735" s="82" t="str">
        <f>IFERROR(__xludf.DUMMYFUNCTION("""COMPUTED_VALUE"""),"Removed")</f>
        <v>Removed</v>
      </c>
      <c r="E1735" s="84">
        <f>IFERROR(__xludf.DUMMYFUNCTION("""COMPUTED_VALUE"""),40603.0)</f>
        <v>40603</v>
      </c>
      <c r="F1735" s="85">
        <f>IFERROR(__xludf.DUMMYFUNCTION("""COMPUTED_VALUE"""),40637.0)</f>
        <v>40637</v>
      </c>
      <c r="G1735" s="86">
        <f>IFERROR(__xludf.DUMMYFUNCTION("""COMPUTED_VALUE"""),1.0999999999999999)</f>
        <v>1.1</v>
      </c>
      <c r="H1735" s="84">
        <f>IFERROR(__xludf.DUMMYFUNCTION("""COMPUTED_VALUE"""),36854.0)</f>
        <v>36854</v>
      </c>
      <c r="I1735" s="86">
        <f>IFERROR(__xludf.DUMMYFUNCTION("""COMPUTED_VALUE"""),10.269444444444444)</f>
        <v>10.26944444</v>
      </c>
      <c r="J1735" s="87">
        <f>IFERROR(__xludf.DUMMYFUNCTION("""COMPUTED_VALUE"""),91.0)</f>
        <v>91</v>
      </c>
      <c r="K1735" s="88">
        <f>IFERROR(__xludf.DUMMYFUNCTION("""COMPUTED_VALUE"""),9.1)</f>
        <v>9.1</v>
      </c>
      <c r="L1735" s="89">
        <f>IFERROR(__xludf.DUMMYFUNCTION("""COMPUTED_VALUE"""),16.0)</f>
        <v>16</v>
      </c>
      <c r="M1735" s="26" t="str">
        <f>IFERROR(__xludf.DUMMYFUNCTION("""COMPUTED_VALUE"""),"Platformer")</f>
        <v>Platformer</v>
      </c>
      <c r="N1735" s="26" t="str">
        <f>IFERROR(__xludf.DUMMYFUNCTION("""COMPUTED_VALUE"""),"PS1")</f>
        <v>PS1</v>
      </c>
      <c r="O1735" s="26" t="str">
        <f>IFERROR(__xludf.DUMMYFUNCTION("""COMPUTED_VALUE"""),"No")</f>
        <v>No</v>
      </c>
      <c r="P1735" s="26"/>
    </row>
    <row r="1736">
      <c r="A1736" s="81" t="str">
        <f>IFERROR(__xludf.DUMMYFUNCTION("""COMPUTED_VALUE"""),"Stacking")</f>
        <v>Stacking</v>
      </c>
      <c r="B1736" s="82" t="str">
        <f>IFERROR(__xludf.DUMMYFUNCTION("""COMPUTED_VALUE"""),"PS3")</f>
        <v>PS3</v>
      </c>
      <c r="C1736" s="83" t="str">
        <f>IFERROR(__xludf.DUMMYFUNCTION("""COMPUTED_VALUE"""),"Playstation Plus (Discontinued)")</f>
        <v>Playstation Plus (Discontinued)</v>
      </c>
      <c r="D1736" s="82" t="str">
        <f>IFERROR(__xludf.DUMMYFUNCTION("""COMPUTED_VALUE"""),"Removed")</f>
        <v>Removed</v>
      </c>
      <c r="E1736" s="84">
        <f>IFERROR(__xludf.DUMMYFUNCTION("""COMPUTED_VALUE"""),40582.0)</f>
        <v>40582</v>
      </c>
      <c r="F1736" s="85">
        <f>IFERROR(__xludf.DUMMYFUNCTION("""COMPUTED_VALUE"""),40602.0)</f>
        <v>40602</v>
      </c>
      <c r="G1736" s="86">
        <f>IFERROR(__xludf.DUMMYFUNCTION("""COMPUTED_VALUE"""),0.6666666666666666)</f>
        <v>0.6666666667</v>
      </c>
      <c r="H1736" s="84">
        <f>IFERROR(__xludf.DUMMYFUNCTION("""COMPUTED_VALUE"""),40582.0)</f>
        <v>40582</v>
      </c>
      <c r="I1736" s="86">
        <f>IFERROR(__xludf.DUMMYFUNCTION("""COMPUTED_VALUE"""),0.0)</f>
        <v>0</v>
      </c>
      <c r="J1736" s="87">
        <f>IFERROR(__xludf.DUMMYFUNCTION("""COMPUTED_VALUE"""),82.0)</f>
        <v>82</v>
      </c>
      <c r="K1736" s="88">
        <f>IFERROR(__xludf.DUMMYFUNCTION("""COMPUTED_VALUE"""),7.6)</f>
        <v>7.6</v>
      </c>
      <c r="L1736" s="89">
        <f>IFERROR(__xludf.DUMMYFUNCTION("""COMPUTED_VALUE"""),4.0)</f>
        <v>4</v>
      </c>
      <c r="M1736" s="26" t="str">
        <f>IFERROR(__xludf.DUMMYFUNCTION("""COMPUTED_VALUE"""),"Adventure")</f>
        <v>Adventure</v>
      </c>
      <c r="N1736" s="26"/>
      <c r="O1736" s="26" t="str">
        <f>IFERROR(__xludf.DUMMYFUNCTION("""COMPUTED_VALUE"""),"No")</f>
        <v>No</v>
      </c>
      <c r="P1736" s="26"/>
    </row>
    <row r="1737">
      <c r="A1737" s="81" t="str">
        <f>IFERROR(__xludf.DUMMYFUNCTION("""COMPUTED_VALUE"""),"Let’s Golf")</f>
        <v>Let’s Golf</v>
      </c>
      <c r="B1737" s="82" t="str">
        <f>IFERROR(__xludf.DUMMYFUNCTION("""COMPUTED_VALUE"""),"PS3")</f>
        <v>PS3</v>
      </c>
      <c r="C1737" s="83" t="str">
        <f>IFERROR(__xludf.DUMMYFUNCTION("""COMPUTED_VALUE"""),"Playstation Plus (Discontinued)")</f>
        <v>Playstation Plus (Discontinued)</v>
      </c>
      <c r="D1737" s="82" t="str">
        <f>IFERROR(__xludf.DUMMYFUNCTION("""COMPUTED_VALUE"""),"Removed")</f>
        <v>Removed</v>
      </c>
      <c r="E1737" s="84">
        <f>IFERROR(__xludf.DUMMYFUNCTION("""COMPUTED_VALUE"""),40575.0)</f>
        <v>40575</v>
      </c>
      <c r="F1737" s="85">
        <f>IFERROR(__xludf.DUMMYFUNCTION("""COMPUTED_VALUE"""),40602.0)</f>
        <v>40602</v>
      </c>
      <c r="G1737" s="86">
        <f>IFERROR(__xludf.DUMMYFUNCTION("""COMPUTED_VALUE"""),0.8999999999999999)</f>
        <v>0.9</v>
      </c>
      <c r="H1737" s="84">
        <f>IFERROR(__xludf.DUMMYFUNCTION("""COMPUTED_VALUE"""),40414.0)</f>
        <v>40414</v>
      </c>
      <c r="I1737" s="86">
        <f>IFERROR(__xludf.DUMMYFUNCTION("""COMPUTED_VALUE"""),0.4361111111111111)</f>
        <v>0.4361111111</v>
      </c>
      <c r="J1737" s="87">
        <f>IFERROR(__xludf.DUMMYFUNCTION("""COMPUTED_VALUE"""),72.0)</f>
        <v>72</v>
      </c>
      <c r="K1737" s="88">
        <f>IFERROR(__xludf.DUMMYFUNCTION("""COMPUTED_VALUE"""),7.2)</f>
        <v>7.2</v>
      </c>
      <c r="L1737" s="89"/>
      <c r="M1737" s="26" t="str">
        <f>IFERROR(__xludf.DUMMYFUNCTION("""COMPUTED_VALUE"""),"Sports")</f>
        <v>Sports</v>
      </c>
      <c r="N1737" s="26" t="str">
        <f>IFERROR(__xludf.DUMMYFUNCTION("""COMPUTED_VALUE"""),"PS Minis")</f>
        <v>PS Minis</v>
      </c>
      <c r="O1737" s="26" t="str">
        <f>IFERROR(__xludf.DUMMYFUNCTION("""COMPUTED_VALUE"""),"No")</f>
        <v>No</v>
      </c>
      <c r="P1737" s="26"/>
    </row>
    <row r="1738">
      <c r="A1738" s="81" t="str">
        <f>IFERROR(__xludf.DUMMYFUNCTION("""COMPUTED_VALUE"""),"Karimogi")</f>
        <v>Karimogi</v>
      </c>
      <c r="B1738" s="82" t="str">
        <f>IFERROR(__xludf.DUMMYFUNCTION("""COMPUTED_VALUE"""),"PS3")</f>
        <v>PS3</v>
      </c>
      <c r="C1738" s="83" t="str">
        <f>IFERROR(__xludf.DUMMYFUNCTION("""COMPUTED_VALUE"""),"Playstation Plus (Discontinued)")</f>
        <v>Playstation Plus (Discontinued)</v>
      </c>
      <c r="D1738" s="82" t="str">
        <f>IFERROR(__xludf.DUMMYFUNCTION("""COMPUTED_VALUE"""),"Removed")</f>
        <v>Removed</v>
      </c>
      <c r="E1738" s="84">
        <f>IFERROR(__xludf.DUMMYFUNCTION("""COMPUTED_VALUE"""),40575.0)</f>
        <v>40575</v>
      </c>
      <c r="F1738" s="85">
        <f>IFERROR(__xludf.DUMMYFUNCTION("""COMPUTED_VALUE"""),40602.0)</f>
        <v>40602</v>
      </c>
      <c r="G1738" s="86">
        <f>IFERROR(__xludf.DUMMYFUNCTION("""COMPUTED_VALUE"""),0.8999999999999999)</f>
        <v>0.9</v>
      </c>
      <c r="H1738" s="84">
        <f>IFERROR(__xludf.DUMMYFUNCTION("""COMPUTED_VALUE"""),40561.0)</f>
        <v>40561</v>
      </c>
      <c r="I1738" s="86">
        <f>IFERROR(__xludf.DUMMYFUNCTION("""COMPUTED_VALUE"""),0.03611111111111111)</f>
        <v>0.03611111111</v>
      </c>
      <c r="J1738" s="87">
        <f>IFERROR(__xludf.DUMMYFUNCTION("""COMPUTED_VALUE"""),55.0)</f>
        <v>55</v>
      </c>
      <c r="K1738" s="88">
        <f>IFERROR(__xludf.DUMMYFUNCTION("""COMPUTED_VALUE"""),6.2)</f>
        <v>6.2</v>
      </c>
      <c r="L1738" s="89">
        <f>IFERROR(__xludf.DUMMYFUNCTION("""COMPUTED_VALUE"""),1.0)</f>
        <v>1</v>
      </c>
      <c r="M1738" s="26" t="str">
        <f>IFERROR(__xludf.DUMMYFUNCTION("""COMPUTED_VALUE"""),"Puzzle")</f>
        <v>Puzzle</v>
      </c>
      <c r="N1738" s="26" t="str">
        <f>IFERROR(__xludf.DUMMYFUNCTION("""COMPUTED_VALUE"""),"PS Minis")</f>
        <v>PS Minis</v>
      </c>
      <c r="O1738" s="26" t="str">
        <f>IFERROR(__xludf.DUMMYFUNCTION("""COMPUTED_VALUE"""),"No")</f>
        <v>No</v>
      </c>
      <c r="P1738" s="26"/>
    </row>
    <row r="1739">
      <c r="A1739" s="81" t="str">
        <f>IFERROR(__xludf.DUMMYFUNCTION("""COMPUTED_VALUE"""),"Digger HD")</f>
        <v>Digger HD</v>
      </c>
      <c r="B1739" s="82" t="str">
        <f>IFERROR(__xludf.DUMMYFUNCTION("""COMPUTED_VALUE"""),"PS3")</f>
        <v>PS3</v>
      </c>
      <c r="C1739" s="83" t="str">
        <f>IFERROR(__xludf.DUMMYFUNCTION("""COMPUTED_VALUE"""),"Playstation Plus (Discontinued)")</f>
        <v>Playstation Plus (Discontinued)</v>
      </c>
      <c r="D1739" s="82" t="str">
        <f>IFERROR(__xludf.DUMMYFUNCTION("""COMPUTED_VALUE"""),"Removed")</f>
        <v>Removed</v>
      </c>
      <c r="E1739" s="84">
        <f>IFERROR(__xludf.DUMMYFUNCTION("""COMPUTED_VALUE"""),40575.0)</f>
        <v>40575</v>
      </c>
      <c r="F1739" s="85">
        <f>IFERROR(__xludf.DUMMYFUNCTION("""COMPUTED_VALUE"""),40602.0)</f>
        <v>40602</v>
      </c>
      <c r="G1739" s="86">
        <f>IFERROR(__xludf.DUMMYFUNCTION("""COMPUTED_VALUE"""),0.8999999999999999)</f>
        <v>0.9</v>
      </c>
      <c r="H1739" s="84">
        <f>IFERROR(__xludf.DUMMYFUNCTION("""COMPUTED_VALUE"""),40087.0)</f>
        <v>40087</v>
      </c>
      <c r="I1739" s="86">
        <f>IFERROR(__xludf.DUMMYFUNCTION("""COMPUTED_VALUE"""),1.3333333333333333)</f>
        <v>1.333333333</v>
      </c>
      <c r="J1739" s="87">
        <f>IFERROR(__xludf.DUMMYFUNCTION("""COMPUTED_VALUE"""),58.0)</f>
        <v>58</v>
      </c>
      <c r="K1739" s="88">
        <f>IFERROR(__xludf.DUMMYFUNCTION("""COMPUTED_VALUE"""),6.3)</f>
        <v>6.3</v>
      </c>
      <c r="L1739" s="89"/>
      <c r="M1739" s="26" t="str">
        <f>IFERROR(__xludf.DUMMYFUNCTION("""COMPUTED_VALUE"""),"Arcade")</f>
        <v>Arcade</v>
      </c>
      <c r="N1739" s="26"/>
      <c r="O1739" s="26" t="str">
        <f>IFERROR(__xludf.DUMMYFUNCTION("""COMPUTED_VALUE"""),"No")</f>
        <v>No</v>
      </c>
      <c r="P1739" s="26"/>
    </row>
    <row r="1740">
      <c r="A1740" s="81" t="str">
        <f>IFERROR(__xludf.DUMMYFUNCTION("""COMPUTED_VALUE"""),"Spyro 2: Ripto’s Rage")</f>
        <v>Spyro 2: Ripto’s Rage</v>
      </c>
      <c r="B1740" s="82" t="str">
        <f>IFERROR(__xludf.DUMMYFUNCTION("""COMPUTED_VALUE"""),"PS3")</f>
        <v>PS3</v>
      </c>
      <c r="C1740" s="83" t="str">
        <f>IFERROR(__xludf.DUMMYFUNCTION("""COMPUTED_VALUE"""),"Playstation Plus (Discontinued)")</f>
        <v>Playstation Plus (Discontinued)</v>
      </c>
      <c r="D1740" s="82" t="str">
        <f>IFERROR(__xludf.DUMMYFUNCTION("""COMPUTED_VALUE"""),"Removed")</f>
        <v>Removed</v>
      </c>
      <c r="E1740" s="84">
        <f>IFERROR(__xludf.DUMMYFUNCTION("""COMPUTED_VALUE"""),40575.0)</f>
        <v>40575</v>
      </c>
      <c r="F1740" s="85">
        <f>IFERROR(__xludf.DUMMYFUNCTION("""COMPUTED_VALUE"""),40602.0)</f>
        <v>40602</v>
      </c>
      <c r="G1740" s="86">
        <f>IFERROR(__xludf.DUMMYFUNCTION("""COMPUTED_VALUE"""),0.8999999999999999)</f>
        <v>0.9</v>
      </c>
      <c r="H1740" s="84">
        <f>IFERROR(__xludf.DUMMYFUNCTION("""COMPUTED_VALUE"""),36466.0)</f>
        <v>36466</v>
      </c>
      <c r="I1740" s="86">
        <f>IFERROR(__xludf.DUMMYFUNCTION("""COMPUTED_VALUE"""),11.247222222222222)</f>
        <v>11.24722222</v>
      </c>
      <c r="J1740" s="87">
        <f>IFERROR(__xludf.DUMMYFUNCTION("""COMPUTED_VALUE"""),87.0)</f>
        <v>87</v>
      </c>
      <c r="K1740" s="88">
        <f>IFERROR(__xludf.DUMMYFUNCTION("""COMPUTED_VALUE"""),8.9)</f>
        <v>8.9</v>
      </c>
      <c r="L1740" s="89">
        <f>IFERROR(__xludf.DUMMYFUNCTION("""COMPUTED_VALUE"""),13.0)</f>
        <v>13</v>
      </c>
      <c r="M1740" s="26" t="str">
        <f>IFERROR(__xludf.DUMMYFUNCTION("""COMPUTED_VALUE"""),"Platformer")</f>
        <v>Platformer</v>
      </c>
      <c r="N1740" s="26" t="str">
        <f>IFERROR(__xludf.DUMMYFUNCTION("""COMPUTED_VALUE"""),"PS1")</f>
        <v>PS1</v>
      </c>
      <c r="O1740" s="26" t="str">
        <f>IFERROR(__xludf.DUMMYFUNCTION("""COMPUTED_VALUE"""),"No")</f>
        <v>No</v>
      </c>
      <c r="P1740" s="26"/>
    </row>
    <row r="1741">
      <c r="A1741" s="81" t="str">
        <f>IFERROR(__xludf.DUMMYFUNCTION("""COMPUTED_VALUE"""),"Hero of Sparta")</f>
        <v>Hero of Sparta</v>
      </c>
      <c r="B1741" s="82" t="str">
        <f>IFERROR(__xludf.DUMMYFUNCTION("""COMPUTED_VALUE"""),"PS3")</f>
        <v>PS3</v>
      </c>
      <c r="C1741" s="83" t="str">
        <f>IFERROR(__xludf.DUMMYFUNCTION("""COMPUTED_VALUE"""),"Playstation Plus (Discontinued)")</f>
        <v>Playstation Plus (Discontinued)</v>
      </c>
      <c r="D1741" s="82" t="str">
        <f>IFERROR(__xludf.DUMMYFUNCTION("""COMPUTED_VALUE"""),"Removed")</f>
        <v>Removed</v>
      </c>
      <c r="E1741" s="84">
        <f>IFERROR(__xludf.DUMMYFUNCTION("""COMPUTED_VALUE"""),40547.0)</f>
        <v>40547</v>
      </c>
      <c r="F1741" s="85">
        <f>IFERROR(__xludf.DUMMYFUNCTION("""COMPUTED_VALUE"""),40574.0)</f>
        <v>40574</v>
      </c>
      <c r="G1741" s="86">
        <f>IFERROR(__xludf.DUMMYFUNCTION("""COMPUTED_VALUE"""),0.8666666666666666)</f>
        <v>0.8666666667</v>
      </c>
      <c r="H1741" s="84">
        <f>IFERROR(__xludf.DUMMYFUNCTION("""COMPUTED_VALUE"""),40087.0)</f>
        <v>40087</v>
      </c>
      <c r="I1741" s="86">
        <f>IFERROR(__xludf.DUMMYFUNCTION("""COMPUTED_VALUE"""),1.2583333333333333)</f>
        <v>1.258333333</v>
      </c>
      <c r="J1741" s="87">
        <f>IFERROR(__xludf.DUMMYFUNCTION("""COMPUTED_VALUE"""),62.0)</f>
        <v>62</v>
      </c>
      <c r="K1741" s="88">
        <f>IFERROR(__xludf.DUMMYFUNCTION("""COMPUTED_VALUE"""),6.5)</f>
        <v>6.5</v>
      </c>
      <c r="L1741" s="89">
        <f>IFERROR(__xludf.DUMMYFUNCTION("""COMPUTED_VALUE"""),3.0)</f>
        <v>3</v>
      </c>
      <c r="M1741" s="26" t="str">
        <f>IFERROR(__xludf.DUMMYFUNCTION("""COMPUTED_VALUE"""),"Action-Adventure")</f>
        <v>Action-Adventure</v>
      </c>
      <c r="N1741" s="26" t="str">
        <f>IFERROR(__xludf.DUMMYFUNCTION("""COMPUTED_VALUE"""),"PS Minis")</f>
        <v>PS Minis</v>
      </c>
      <c r="O1741" s="26" t="str">
        <f>IFERROR(__xludf.DUMMYFUNCTION("""COMPUTED_VALUE"""),"No")</f>
        <v>No</v>
      </c>
      <c r="P1741" s="26"/>
    </row>
    <row r="1742">
      <c r="A1742" s="81" t="str">
        <f>IFERROR(__xludf.DUMMYFUNCTION("""COMPUTED_VALUE"""),"Pipe Madness")</f>
        <v>Pipe Madness</v>
      </c>
      <c r="B1742" s="82" t="str">
        <f>IFERROR(__xludf.DUMMYFUNCTION("""COMPUTED_VALUE"""),"PS3")</f>
        <v>PS3</v>
      </c>
      <c r="C1742" s="83" t="str">
        <f>IFERROR(__xludf.DUMMYFUNCTION("""COMPUTED_VALUE"""),"Playstation Plus (Discontinued)")</f>
        <v>Playstation Plus (Discontinued)</v>
      </c>
      <c r="D1742" s="82" t="str">
        <f>IFERROR(__xludf.DUMMYFUNCTION("""COMPUTED_VALUE"""),"Removed")</f>
        <v>Removed</v>
      </c>
      <c r="E1742" s="84">
        <f>IFERROR(__xludf.DUMMYFUNCTION("""COMPUTED_VALUE"""),40547.0)</f>
        <v>40547</v>
      </c>
      <c r="F1742" s="85">
        <f>IFERROR(__xludf.DUMMYFUNCTION("""COMPUTED_VALUE"""),40574.0)</f>
        <v>40574</v>
      </c>
      <c r="G1742" s="86">
        <f>IFERROR(__xludf.DUMMYFUNCTION("""COMPUTED_VALUE"""),0.8666666666666666)</f>
        <v>0.8666666667</v>
      </c>
      <c r="H1742" s="84">
        <f>IFERROR(__xludf.DUMMYFUNCTION("""COMPUTED_VALUE"""),40547.0)</f>
        <v>40547</v>
      </c>
      <c r="I1742" s="86">
        <f>IFERROR(__xludf.DUMMYFUNCTION("""COMPUTED_VALUE"""),0.0)</f>
        <v>0</v>
      </c>
      <c r="J1742" s="87">
        <f>IFERROR(__xludf.DUMMYFUNCTION("""COMPUTED_VALUE"""),59.0)</f>
        <v>59</v>
      </c>
      <c r="K1742" s="88">
        <f>IFERROR(__xludf.DUMMYFUNCTION("""COMPUTED_VALUE"""),6.5)</f>
        <v>6.5</v>
      </c>
      <c r="L1742" s="89">
        <f>IFERROR(__xludf.DUMMYFUNCTION("""COMPUTED_VALUE"""),2.0)</f>
        <v>2</v>
      </c>
      <c r="M1742" s="26" t="str">
        <f>IFERROR(__xludf.DUMMYFUNCTION("""COMPUTED_VALUE"""),"Puzzle")</f>
        <v>Puzzle</v>
      </c>
      <c r="N1742" s="26" t="str">
        <f>IFERROR(__xludf.DUMMYFUNCTION("""COMPUTED_VALUE"""),"PS Minis")</f>
        <v>PS Minis</v>
      </c>
      <c r="O1742" s="26" t="str">
        <f>IFERROR(__xludf.DUMMYFUNCTION("""COMPUTED_VALUE"""),"No")</f>
        <v>No</v>
      </c>
      <c r="P1742" s="26"/>
    </row>
    <row r="1743">
      <c r="A1743" s="81" t="str">
        <f>IFERROR(__xludf.DUMMYFUNCTION("""COMPUTED_VALUE"""),"Lead &amp; Gold")</f>
        <v>Lead &amp; Gold</v>
      </c>
      <c r="B1743" s="82" t="str">
        <f>IFERROR(__xludf.DUMMYFUNCTION("""COMPUTED_VALUE"""),"PS3")</f>
        <v>PS3</v>
      </c>
      <c r="C1743" s="83" t="str">
        <f>IFERROR(__xludf.DUMMYFUNCTION("""COMPUTED_VALUE"""),"Playstation Plus (Discontinued)")</f>
        <v>Playstation Plus (Discontinued)</v>
      </c>
      <c r="D1743" s="82" t="str">
        <f>IFERROR(__xludf.DUMMYFUNCTION("""COMPUTED_VALUE"""),"Removed")</f>
        <v>Removed</v>
      </c>
      <c r="E1743" s="84">
        <f>IFERROR(__xludf.DUMMYFUNCTION("""COMPUTED_VALUE"""),40547.0)</f>
        <v>40547</v>
      </c>
      <c r="F1743" s="85">
        <f>IFERROR(__xludf.DUMMYFUNCTION("""COMPUTED_VALUE"""),40574.0)</f>
        <v>40574</v>
      </c>
      <c r="G1743" s="86">
        <f>IFERROR(__xludf.DUMMYFUNCTION("""COMPUTED_VALUE"""),0.8666666666666666)</f>
        <v>0.8666666667</v>
      </c>
      <c r="H1743" s="84">
        <f>IFERROR(__xludf.DUMMYFUNCTION("""COMPUTED_VALUE"""),40276.0)</f>
        <v>40276</v>
      </c>
      <c r="I1743" s="86">
        <f>IFERROR(__xludf.DUMMYFUNCTION("""COMPUTED_VALUE"""),0.7388888888888889)</f>
        <v>0.7388888889</v>
      </c>
      <c r="J1743" s="87">
        <f>IFERROR(__xludf.DUMMYFUNCTION("""COMPUTED_VALUE"""),75.0)</f>
        <v>75</v>
      </c>
      <c r="K1743" s="88">
        <f>IFERROR(__xludf.DUMMYFUNCTION("""COMPUTED_VALUE"""),7.1)</f>
        <v>7.1</v>
      </c>
      <c r="L1743" s="89"/>
      <c r="M1743" s="26" t="str">
        <f>IFERROR(__xludf.DUMMYFUNCTION("""COMPUTED_VALUE"""),"Shooter")</f>
        <v>Shooter</v>
      </c>
      <c r="N1743" s="26"/>
      <c r="O1743" s="26" t="str">
        <f>IFERROR(__xludf.DUMMYFUNCTION("""COMPUTED_VALUE"""),"No")</f>
        <v>No</v>
      </c>
      <c r="P1743" s="26"/>
    </row>
    <row r="1744">
      <c r="A1744" s="81" t="str">
        <f>IFERROR(__xludf.DUMMYFUNCTION("""COMPUTED_VALUE"""),"Spyro the Dragon")</f>
        <v>Spyro the Dragon</v>
      </c>
      <c r="B1744" s="82" t="str">
        <f>IFERROR(__xludf.DUMMYFUNCTION("""COMPUTED_VALUE"""),"PS3")</f>
        <v>PS3</v>
      </c>
      <c r="C1744" s="83" t="str">
        <f>IFERROR(__xludf.DUMMYFUNCTION("""COMPUTED_VALUE"""),"Playstation Plus (Discontinued)")</f>
        <v>Playstation Plus (Discontinued)</v>
      </c>
      <c r="D1744" s="82" t="str">
        <f>IFERROR(__xludf.DUMMYFUNCTION("""COMPUTED_VALUE"""),"Removed")</f>
        <v>Removed</v>
      </c>
      <c r="E1744" s="84">
        <f>IFERROR(__xludf.DUMMYFUNCTION("""COMPUTED_VALUE"""),40547.0)</f>
        <v>40547</v>
      </c>
      <c r="F1744" s="85">
        <f>IFERROR(__xludf.DUMMYFUNCTION("""COMPUTED_VALUE"""),40574.0)</f>
        <v>40574</v>
      </c>
      <c r="G1744" s="86">
        <f>IFERROR(__xludf.DUMMYFUNCTION("""COMPUTED_VALUE"""),0.8666666666666666)</f>
        <v>0.8666666667</v>
      </c>
      <c r="H1744" s="84">
        <f>IFERROR(__xludf.DUMMYFUNCTION("""COMPUTED_VALUE"""),36047.0)</f>
        <v>36047</v>
      </c>
      <c r="I1744" s="86">
        <f>IFERROR(__xludf.DUMMYFUNCTION("""COMPUTED_VALUE"""),12.319444444444445)</f>
        <v>12.31944444</v>
      </c>
      <c r="J1744" s="87">
        <f>IFERROR(__xludf.DUMMYFUNCTION("""COMPUTED_VALUE"""),91.0)</f>
        <v>91</v>
      </c>
      <c r="K1744" s="88">
        <f>IFERROR(__xludf.DUMMYFUNCTION("""COMPUTED_VALUE"""),9.1)</f>
        <v>9.1</v>
      </c>
      <c r="L1744" s="89">
        <f>IFERROR(__xludf.DUMMYFUNCTION("""COMPUTED_VALUE"""),13.0)</f>
        <v>13</v>
      </c>
      <c r="M1744" s="26" t="str">
        <f>IFERROR(__xludf.DUMMYFUNCTION("""COMPUTED_VALUE"""),"Platformer")</f>
        <v>Platformer</v>
      </c>
      <c r="N1744" s="26" t="str">
        <f>IFERROR(__xludf.DUMMYFUNCTION("""COMPUTED_VALUE"""),"PS1")</f>
        <v>PS1</v>
      </c>
      <c r="O1744" s="26" t="str">
        <f>IFERROR(__xludf.DUMMYFUNCTION("""COMPUTED_VALUE"""),"No")</f>
        <v>No</v>
      </c>
      <c r="P1744" s="26"/>
    </row>
    <row r="1745">
      <c r="A1745" s="81" t="str">
        <f>IFERROR(__xludf.DUMMYFUNCTION("""COMPUTED_VALUE"""),"Sackboy's Prehistoric Moves")</f>
        <v>Sackboy's Prehistoric Moves</v>
      </c>
      <c r="B1745" s="82" t="str">
        <f>IFERROR(__xludf.DUMMYFUNCTION("""COMPUTED_VALUE"""),"PS3")</f>
        <v>PS3</v>
      </c>
      <c r="C1745" s="83" t="str">
        <f>IFERROR(__xludf.DUMMYFUNCTION("""COMPUTED_VALUE"""),"Playstation Plus (Discontinued)")</f>
        <v>Playstation Plus (Discontinued)</v>
      </c>
      <c r="D1745" s="82" t="str">
        <f>IFERROR(__xludf.DUMMYFUNCTION("""COMPUTED_VALUE"""),"Removed")</f>
        <v>Removed</v>
      </c>
      <c r="E1745" s="84">
        <f>IFERROR(__xludf.DUMMYFUNCTION("""COMPUTED_VALUE"""),40526.0)</f>
        <v>40526</v>
      </c>
      <c r="F1745" s="85">
        <f>IFERROR(__xludf.DUMMYFUNCTION("""COMPUTED_VALUE"""),40546.0)</f>
        <v>40546</v>
      </c>
      <c r="G1745" s="86">
        <f>IFERROR(__xludf.DUMMYFUNCTION("""COMPUTED_VALUE"""),0.6333333333333333)</f>
        <v>0.6333333333</v>
      </c>
      <c r="H1745" s="84">
        <f>IFERROR(__xludf.DUMMYFUNCTION("""COMPUTED_VALUE"""),40526.0)</f>
        <v>40526</v>
      </c>
      <c r="I1745" s="86">
        <f>IFERROR(__xludf.DUMMYFUNCTION("""COMPUTED_VALUE"""),0.0)</f>
        <v>0</v>
      </c>
      <c r="J1745" s="87">
        <f>IFERROR(__xludf.DUMMYFUNCTION("""COMPUTED_VALUE"""),62.0)</f>
        <v>62</v>
      </c>
      <c r="K1745" s="88">
        <f>IFERROR(__xludf.DUMMYFUNCTION("""COMPUTED_VALUE"""),6.6)</f>
        <v>6.6</v>
      </c>
      <c r="L1745" s="89">
        <f>IFERROR(__xludf.DUMMYFUNCTION("""COMPUTED_VALUE"""),1.0)</f>
        <v>1</v>
      </c>
      <c r="M1745" s="26" t="str">
        <f>IFERROR(__xludf.DUMMYFUNCTION("""COMPUTED_VALUE"""),"Platformer")</f>
        <v>Platformer</v>
      </c>
      <c r="N1745" s="26"/>
      <c r="O1745" s="26" t="str">
        <f>IFERROR(__xludf.DUMMYFUNCTION("""COMPUTED_VALUE"""),"No")</f>
        <v>No</v>
      </c>
      <c r="P1745" s="26"/>
    </row>
    <row r="1746">
      <c r="A1746" s="81" t="str">
        <f>IFERROR(__xludf.DUMMYFUNCTION("""COMPUTED_VALUE"""),"A Space Shooter For 2 Bucks")</f>
        <v>A Space Shooter For 2 Bucks</v>
      </c>
      <c r="B1746" s="82" t="str">
        <f>IFERROR(__xludf.DUMMYFUNCTION("""COMPUTED_VALUE"""),"PS3")</f>
        <v>PS3</v>
      </c>
      <c r="C1746" s="83" t="str">
        <f>IFERROR(__xludf.DUMMYFUNCTION("""COMPUTED_VALUE"""),"Playstation Plus (Discontinued)")</f>
        <v>Playstation Plus (Discontinued)</v>
      </c>
      <c r="D1746" s="82" t="str">
        <f>IFERROR(__xludf.DUMMYFUNCTION("""COMPUTED_VALUE"""),"Removed")</f>
        <v>Removed</v>
      </c>
      <c r="E1746" s="84">
        <f>IFERROR(__xludf.DUMMYFUNCTION("""COMPUTED_VALUE"""),40519.0)</f>
        <v>40519</v>
      </c>
      <c r="F1746" s="85">
        <f>IFERROR(__xludf.DUMMYFUNCTION("""COMPUTED_VALUE"""),40546.0)</f>
        <v>40546</v>
      </c>
      <c r="G1746" s="86">
        <f>IFERROR(__xludf.DUMMYFUNCTION("""COMPUTED_VALUE"""),0.8666666666666666)</f>
        <v>0.8666666667</v>
      </c>
      <c r="H1746" s="84">
        <f>IFERROR(__xludf.DUMMYFUNCTION("""COMPUTED_VALUE"""),40491.0)</f>
        <v>40491</v>
      </c>
      <c r="I1746" s="86">
        <f>IFERROR(__xludf.DUMMYFUNCTION("""COMPUTED_VALUE"""),0.07777777777777778)</f>
        <v>0.07777777778</v>
      </c>
      <c r="J1746" s="87">
        <f>IFERROR(__xludf.DUMMYFUNCTION("""COMPUTED_VALUE"""),61.0)</f>
        <v>61</v>
      </c>
      <c r="K1746" s="88">
        <f>IFERROR(__xludf.DUMMYFUNCTION("""COMPUTED_VALUE"""),6.3)</f>
        <v>6.3</v>
      </c>
      <c r="L1746" s="89"/>
      <c r="M1746" s="26" t="str">
        <f>IFERROR(__xludf.DUMMYFUNCTION("""COMPUTED_VALUE"""),"Shooter")</f>
        <v>Shooter</v>
      </c>
      <c r="N1746" s="26" t="str">
        <f>IFERROR(__xludf.DUMMYFUNCTION("""COMPUTED_VALUE"""),"PS Minis")</f>
        <v>PS Minis</v>
      </c>
      <c r="O1746" s="26" t="str">
        <f>IFERROR(__xludf.DUMMYFUNCTION("""COMPUTED_VALUE"""),"No")</f>
        <v>No</v>
      </c>
      <c r="P1746" s="26"/>
    </row>
    <row r="1747">
      <c r="A1747" s="81" t="str">
        <f>IFERROR(__xludf.DUMMYFUNCTION("""COMPUTED_VALUE"""),"I Must Run!")</f>
        <v>I Must Run!</v>
      </c>
      <c r="B1747" s="82" t="str">
        <f>IFERROR(__xludf.DUMMYFUNCTION("""COMPUTED_VALUE"""),"PS3")</f>
        <v>PS3</v>
      </c>
      <c r="C1747" s="83" t="str">
        <f>IFERROR(__xludf.DUMMYFUNCTION("""COMPUTED_VALUE"""),"Playstation Plus (Discontinued)")</f>
        <v>Playstation Plus (Discontinued)</v>
      </c>
      <c r="D1747" s="82" t="str">
        <f>IFERROR(__xludf.DUMMYFUNCTION("""COMPUTED_VALUE"""),"Removed")</f>
        <v>Removed</v>
      </c>
      <c r="E1747" s="84">
        <f>IFERROR(__xludf.DUMMYFUNCTION("""COMPUTED_VALUE"""),40526.0)</f>
        <v>40526</v>
      </c>
      <c r="F1747" s="85">
        <f>IFERROR(__xludf.DUMMYFUNCTION("""COMPUTED_VALUE"""),40546.0)</f>
        <v>40546</v>
      </c>
      <c r="G1747" s="86">
        <f>IFERROR(__xludf.DUMMYFUNCTION("""COMPUTED_VALUE"""),0.6333333333333333)</f>
        <v>0.6333333333</v>
      </c>
      <c r="H1747" s="84">
        <f>IFERROR(__xludf.DUMMYFUNCTION("""COMPUTED_VALUE"""),40526.0)</f>
        <v>40526</v>
      </c>
      <c r="I1747" s="86">
        <f>IFERROR(__xludf.DUMMYFUNCTION("""COMPUTED_VALUE"""),0.0)</f>
        <v>0</v>
      </c>
      <c r="J1747" s="87">
        <f>IFERROR(__xludf.DUMMYFUNCTION("""COMPUTED_VALUE"""),54.0)</f>
        <v>54</v>
      </c>
      <c r="K1747" s="88">
        <f>IFERROR(__xludf.DUMMYFUNCTION("""COMPUTED_VALUE"""),6.1)</f>
        <v>6.1</v>
      </c>
      <c r="L1747" s="89">
        <f>IFERROR(__xludf.DUMMYFUNCTION("""COMPUTED_VALUE"""),2.0)</f>
        <v>2</v>
      </c>
      <c r="M1747" s="26" t="str">
        <f>IFERROR(__xludf.DUMMYFUNCTION("""COMPUTED_VALUE"""),"Platformer")</f>
        <v>Platformer</v>
      </c>
      <c r="N1747" s="26" t="str">
        <f>IFERROR(__xludf.DUMMYFUNCTION("""COMPUTED_VALUE"""),"PS Minis")</f>
        <v>PS Minis</v>
      </c>
      <c r="O1747" s="26" t="str">
        <f>IFERROR(__xludf.DUMMYFUNCTION("""COMPUTED_VALUE"""),"No")</f>
        <v>No</v>
      </c>
      <c r="P1747" s="26"/>
    </row>
    <row r="1748">
      <c r="A1748" s="81" t="str">
        <f>IFERROR(__xludf.DUMMYFUNCTION("""COMPUTED_VALUE"""),"Crash Team Racing")</f>
        <v>Crash Team Racing</v>
      </c>
      <c r="B1748" s="82" t="str">
        <f>IFERROR(__xludf.DUMMYFUNCTION("""COMPUTED_VALUE"""),"PS3")</f>
        <v>PS3</v>
      </c>
      <c r="C1748" s="83" t="str">
        <f>IFERROR(__xludf.DUMMYFUNCTION("""COMPUTED_VALUE"""),"Playstation Plus (Discontinued)")</f>
        <v>Playstation Plus (Discontinued)</v>
      </c>
      <c r="D1748" s="82" t="str">
        <f>IFERROR(__xludf.DUMMYFUNCTION("""COMPUTED_VALUE"""),"Removed")</f>
        <v>Removed</v>
      </c>
      <c r="E1748" s="84">
        <f>IFERROR(__xludf.DUMMYFUNCTION("""COMPUTED_VALUE"""),40519.0)</f>
        <v>40519</v>
      </c>
      <c r="F1748" s="85">
        <f>IFERROR(__xludf.DUMMYFUNCTION("""COMPUTED_VALUE"""),40546.0)</f>
        <v>40546</v>
      </c>
      <c r="G1748" s="86">
        <f>IFERROR(__xludf.DUMMYFUNCTION("""COMPUTED_VALUE"""),0.8666666666666666)</f>
        <v>0.8666666667</v>
      </c>
      <c r="H1748" s="84">
        <f>IFERROR(__xludf.DUMMYFUNCTION("""COMPUTED_VALUE"""),36453.0)</f>
        <v>36453</v>
      </c>
      <c r="I1748" s="86">
        <f>IFERROR(__xludf.DUMMYFUNCTION("""COMPUTED_VALUE"""),11.130555555555556)</f>
        <v>11.13055556</v>
      </c>
      <c r="J1748" s="87">
        <f>IFERROR(__xludf.DUMMYFUNCTION("""COMPUTED_VALUE"""),88.0)</f>
        <v>88</v>
      </c>
      <c r="K1748" s="88">
        <f>IFERROR(__xludf.DUMMYFUNCTION("""COMPUTED_VALUE"""),8.8)</f>
        <v>8.8</v>
      </c>
      <c r="L1748" s="89">
        <f>IFERROR(__xludf.DUMMYFUNCTION("""COMPUTED_VALUE"""),6.0)</f>
        <v>6</v>
      </c>
      <c r="M1748" s="26" t="str">
        <f>IFERROR(__xludf.DUMMYFUNCTION("""COMPUTED_VALUE"""),"Racing")</f>
        <v>Racing</v>
      </c>
      <c r="N1748" s="26" t="str">
        <f>IFERROR(__xludf.DUMMYFUNCTION("""COMPUTED_VALUE"""),"PS1")</f>
        <v>PS1</v>
      </c>
      <c r="O1748" s="26" t="str">
        <f>IFERROR(__xludf.DUMMYFUNCTION("""COMPUTED_VALUE"""),"No")</f>
        <v>No</v>
      </c>
      <c r="P1748" s="26"/>
    </row>
    <row r="1749">
      <c r="A1749" s="81" t="str">
        <f>IFERROR(__xludf.DUMMYFUNCTION("""COMPUTED_VALUE"""),"Sam &amp; Max: The Devil’s Playhouse (Episodes 1-5)")</f>
        <v>Sam &amp; Max: The Devil’s Playhouse (Episodes 1-5)</v>
      </c>
      <c r="B1749" s="82" t="str">
        <f>IFERROR(__xludf.DUMMYFUNCTION("""COMPUTED_VALUE"""),"PS3")</f>
        <v>PS3</v>
      </c>
      <c r="C1749" s="83" t="str">
        <f>IFERROR(__xludf.DUMMYFUNCTION("""COMPUTED_VALUE"""),"Playstation Plus (Discontinued)")</f>
        <v>Playstation Plus (Discontinued)</v>
      </c>
      <c r="D1749" s="82" t="str">
        <f>IFERROR(__xludf.DUMMYFUNCTION("""COMPUTED_VALUE"""),"Removed")</f>
        <v>Removed</v>
      </c>
      <c r="E1749" s="84">
        <f>IFERROR(__xludf.DUMMYFUNCTION("""COMPUTED_VALUE"""),40519.0)</f>
        <v>40519</v>
      </c>
      <c r="F1749" s="85">
        <f>IFERROR(__xludf.DUMMYFUNCTION("""COMPUTED_VALUE"""),40546.0)</f>
        <v>40546</v>
      </c>
      <c r="G1749" s="86">
        <f>IFERROR(__xludf.DUMMYFUNCTION("""COMPUTED_VALUE"""),0.8666666666666666)</f>
        <v>0.8666666667</v>
      </c>
      <c r="H1749" s="84">
        <f>IFERROR(__xludf.DUMMYFUNCTION("""COMPUTED_VALUE"""),40283.0)</f>
        <v>40283</v>
      </c>
      <c r="I1749" s="86">
        <f>IFERROR(__xludf.DUMMYFUNCTION("""COMPUTED_VALUE"""),0.6444444444444445)</f>
        <v>0.6444444444</v>
      </c>
      <c r="J1749" s="87">
        <f>IFERROR(__xludf.DUMMYFUNCTION("""COMPUTED_VALUE"""),82.0)</f>
        <v>82</v>
      </c>
      <c r="K1749" s="88">
        <f>IFERROR(__xludf.DUMMYFUNCTION("""COMPUTED_VALUE"""),8.1)</f>
        <v>8.1</v>
      </c>
      <c r="L1749" s="89">
        <f>IFERROR(__xludf.DUMMYFUNCTION("""COMPUTED_VALUE"""),11.0)</f>
        <v>11</v>
      </c>
      <c r="M1749" s="26" t="str">
        <f>IFERROR(__xludf.DUMMYFUNCTION("""COMPUTED_VALUE"""),"Adventure")</f>
        <v>Adventure</v>
      </c>
      <c r="N1749" s="26"/>
      <c r="O1749" s="26" t="str">
        <f>IFERROR(__xludf.DUMMYFUNCTION("""COMPUTED_VALUE"""),"No")</f>
        <v>No</v>
      </c>
      <c r="P1749" s="26"/>
    </row>
    <row r="1750">
      <c r="A1750" s="81" t="str">
        <f>IFERROR(__xludf.DUMMYFUNCTION("""COMPUTED_VALUE"""),"Vector TD")</f>
        <v>Vector TD</v>
      </c>
      <c r="B1750" s="82" t="str">
        <f>IFERROR(__xludf.DUMMYFUNCTION("""COMPUTED_VALUE"""),"PS3")</f>
        <v>PS3</v>
      </c>
      <c r="C1750" s="83" t="str">
        <f>IFERROR(__xludf.DUMMYFUNCTION("""COMPUTED_VALUE"""),"Playstation Plus (Discontinued)")</f>
        <v>Playstation Plus (Discontinued)</v>
      </c>
      <c r="D1750" s="82" t="str">
        <f>IFERROR(__xludf.DUMMYFUNCTION("""COMPUTED_VALUE"""),"Removed")</f>
        <v>Removed</v>
      </c>
      <c r="E1750" s="84">
        <f>IFERROR(__xludf.DUMMYFUNCTION("""COMPUTED_VALUE"""),40484.0)</f>
        <v>40484</v>
      </c>
      <c r="F1750" s="85">
        <f>IFERROR(__xludf.DUMMYFUNCTION("""COMPUTED_VALUE"""),40518.0)</f>
        <v>40518</v>
      </c>
      <c r="G1750" s="86">
        <f>IFERROR(__xludf.DUMMYFUNCTION("""COMPUTED_VALUE"""),1.1333333333333333)</f>
        <v>1.133333333</v>
      </c>
      <c r="H1750" s="84">
        <f>IFERROR(__xludf.DUMMYFUNCTION("""COMPUTED_VALUE"""),40205.0)</f>
        <v>40205</v>
      </c>
      <c r="I1750" s="86">
        <f>IFERROR(__xludf.DUMMYFUNCTION("""COMPUTED_VALUE"""),0.7638888888888888)</f>
        <v>0.7638888889</v>
      </c>
      <c r="J1750" s="87">
        <f>IFERROR(__xludf.DUMMYFUNCTION("""COMPUTED_VALUE"""),72.0)</f>
        <v>72</v>
      </c>
      <c r="K1750" s="88">
        <f>IFERROR(__xludf.DUMMYFUNCTION("""COMPUTED_VALUE"""),7.0)</f>
        <v>7</v>
      </c>
      <c r="L1750" s="89"/>
      <c r="M1750" s="26" t="str">
        <f>IFERROR(__xludf.DUMMYFUNCTION("""COMPUTED_VALUE"""),"Strategy")</f>
        <v>Strategy</v>
      </c>
      <c r="N1750" s="26" t="str">
        <f>IFERROR(__xludf.DUMMYFUNCTION("""COMPUTED_VALUE"""),"PS Minis")</f>
        <v>PS Minis</v>
      </c>
      <c r="O1750" s="26" t="str">
        <f>IFERROR(__xludf.DUMMYFUNCTION("""COMPUTED_VALUE"""),"No")</f>
        <v>No</v>
      </c>
      <c r="P1750" s="26"/>
    </row>
    <row r="1751">
      <c r="A1751" s="81" t="str">
        <f>IFERROR(__xludf.DUMMYFUNCTION("""COMPUTED_VALUE"""),"DYNOGEMS")</f>
        <v>DYNOGEMS</v>
      </c>
      <c r="B1751" s="82" t="str">
        <f>IFERROR(__xludf.DUMMYFUNCTION("""COMPUTED_VALUE"""),"PS3")</f>
        <v>PS3</v>
      </c>
      <c r="C1751" s="83" t="str">
        <f>IFERROR(__xludf.DUMMYFUNCTION("""COMPUTED_VALUE"""),"Playstation Plus (Discontinued)")</f>
        <v>Playstation Plus (Discontinued)</v>
      </c>
      <c r="D1751" s="82" t="str">
        <f>IFERROR(__xludf.DUMMYFUNCTION("""COMPUTED_VALUE"""),"Removed")</f>
        <v>Removed</v>
      </c>
      <c r="E1751" s="84">
        <f>IFERROR(__xludf.DUMMYFUNCTION("""COMPUTED_VALUE"""),40484.0)</f>
        <v>40484</v>
      </c>
      <c r="F1751" s="85">
        <f>IFERROR(__xludf.DUMMYFUNCTION("""COMPUTED_VALUE"""),40518.0)</f>
        <v>40518</v>
      </c>
      <c r="G1751" s="86">
        <f>IFERROR(__xludf.DUMMYFUNCTION("""COMPUTED_VALUE"""),1.1333333333333333)</f>
        <v>1.133333333</v>
      </c>
      <c r="H1751" s="84">
        <f>IFERROR(__xludf.DUMMYFUNCTION("""COMPUTED_VALUE"""),40157.0)</f>
        <v>40157</v>
      </c>
      <c r="I1751" s="86">
        <f>IFERROR(__xludf.DUMMYFUNCTION("""COMPUTED_VALUE"""),0.8944444444444445)</f>
        <v>0.8944444444</v>
      </c>
      <c r="J1751" s="87">
        <f>IFERROR(__xludf.DUMMYFUNCTION("""COMPUTED_VALUE"""),58.0)</f>
        <v>58</v>
      </c>
      <c r="K1751" s="88">
        <f>IFERROR(__xludf.DUMMYFUNCTION("""COMPUTED_VALUE"""),6.2)</f>
        <v>6.2</v>
      </c>
      <c r="L1751" s="89"/>
      <c r="M1751" s="26" t="str">
        <f>IFERROR(__xludf.DUMMYFUNCTION("""COMPUTED_VALUE"""),"Puzzle")</f>
        <v>Puzzle</v>
      </c>
      <c r="N1751" s="26" t="str">
        <f>IFERROR(__xludf.DUMMYFUNCTION("""COMPUTED_VALUE"""),"PS Minis")</f>
        <v>PS Minis</v>
      </c>
      <c r="O1751" s="26" t="str">
        <f>IFERROR(__xludf.DUMMYFUNCTION("""COMPUTED_VALUE"""),"No")</f>
        <v>No</v>
      </c>
      <c r="P1751" s="26"/>
    </row>
    <row r="1752">
      <c r="A1752" s="81" t="str">
        <f>IFERROR(__xludf.DUMMYFUNCTION("""COMPUTED_VALUE"""),"Oddworld: Abe’s Exoddus")</f>
        <v>Oddworld: Abe’s Exoddus</v>
      </c>
      <c r="B1752" s="82" t="str">
        <f>IFERROR(__xludf.DUMMYFUNCTION("""COMPUTED_VALUE"""),"PS3")</f>
        <v>PS3</v>
      </c>
      <c r="C1752" s="83" t="str">
        <f>IFERROR(__xludf.DUMMYFUNCTION("""COMPUTED_VALUE"""),"Playstation Plus (Discontinued)")</f>
        <v>Playstation Plus (Discontinued)</v>
      </c>
      <c r="D1752" s="82" t="str">
        <f>IFERROR(__xludf.DUMMYFUNCTION("""COMPUTED_VALUE"""),"Removed")</f>
        <v>Removed</v>
      </c>
      <c r="E1752" s="84">
        <f>IFERROR(__xludf.DUMMYFUNCTION("""COMPUTED_VALUE"""),40484.0)</f>
        <v>40484</v>
      </c>
      <c r="F1752" s="85">
        <f>IFERROR(__xludf.DUMMYFUNCTION("""COMPUTED_VALUE"""),40518.0)</f>
        <v>40518</v>
      </c>
      <c r="G1752" s="86">
        <f>IFERROR(__xludf.DUMMYFUNCTION("""COMPUTED_VALUE"""),1.1333333333333333)</f>
        <v>1.133333333</v>
      </c>
      <c r="H1752" s="84">
        <f>IFERROR(__xludf.DUMMYFUNCTION("""COMPUTED_VALUE"""),36116.0)</f>
        <v>36116</v>
      </c>
      <c r="I1752" s="86">
        <f>IFERROR(__xludf.DUMMYFUNCTION("""COMPUTED_VALUE"""),11.958333333333334)</f>
        <v>11.95833333</v>
      </c>
      <c r="J1752" s="87">
        <f>IFERROR(__xludf.DUMMYFUNCTION("""COMPUTED_VALUE"""),88.0)</f>
        <v>88</v>
      </c>
      <c r="K1752" s="88">
        <f>IFERROR(__xludf.DUMMYFUNCTION("""COMPUTED_VALUE"""),8.8)</f>
        <v>8.8</v>
      </c>
      <c r="L1752" s="89">
        <f>IFERROR(__xludf.DUMMYFUNCTION("""COMPUTED_VALUE"""),13.0)</f>
        <v>13</v>
      </c>
      <c r="M1752" s="26" t="str">
        <f>IFERROR(__xludf.DUMMYFUNCTION("""COMPUTED_VALUE"""),"Platformer")</f>
        <v>Platformer</v>
      </c>
      <c r="N1752" s="26" t="str">
        <f>IFERROR(__xludf.DUMMYFUNCTION("""COMPUTED_VALUE"""),"PS1")</f>
        <v>PS1</v>
      </c>
      <c r="O1752" s="26" t="str">
        <f>IFERROR(__xludf.DUMMYFUNCTION("""COMPUTED_VALUE"""),"No")</f>
        <v>No</v>
      </c>
      <c r="P1752" s="26"/>
    </row>
    <row r="1753">
      <c r="A1753" s="81" t="str">
        <f>IFERROR(__xludf.DUMMYFUNCTION("""COMPUTED_VALUE"""),"Shatter")</f>
        <v>Shatter</v>
      </c>
      <c r="B1753" s="82" t="str">
        <f>IFERROR(__xludf.DUMMYFUNCTION("""COMPUTED_VALUE"""),"PS3")</f>
        <v>PS3</v>
      </c>
      <c r="C1753" s="83" t="str">
        <f>IFERROR(__xludf.DUMMYFUNCTION("""COMPUTED_VALUE"""),"Playstation Plus (Discontinued)")</f>
        <v>Playstation Plus (Discontinued)</v>
      </c>
      <c r="D1753" s="82" t="str">
        <f>IFERROR(__xludf.DUMMYFUNCTION("""COMPUTED_VALUE"""),"Removed")</f>
        <v>Removed</v>
      </c>
      <c r="E1753" s="84">
        <f>IFERROR(__xludf.DUMMYFUNCTION("""COMPUTED_VALUE"""),40484.0)</f>
        <v>40484</v>
      </c>
      <c r="F1753" s="85">
        <f>IFERROR(__xludf.DUMMYFUNCTION("""COMPUTED_VALUE"""),40518.0)</f>
        <v>40518</v>
      </c>
      <c r="G1753" s="86">
        <f>IFERROR(__xludf.DUMMYFUNCTION("""COMPUTED_VALUE"""),1.1333333333333333)</f>
        <v>1.133333333</v>
      </c>
      <c r="H1753" s="84">
        <f>IFERROR(__xludf.DUMMYFUNCTION("""COMPUTED_VALUE"""),40017.0)</f>
        <v>40017</v>
      </c>
      <c r="I1753" s="86">
        <f>IFERROR(__xludf.DUMMYFUNCTION("""COMPUTED_VALUE"""),1.275)</f>
        <v>1.275</v>
      </c>
      <c r="J1753" s="87">
        <f>IFERROR(__xludf.DUMMYFUNCTION("""COMPUTED_VALUE"""),82.0)</f>
        <v>82</v>
      </c>
      <c r="K1753" s="88">
        <f>IFERROR(__xludf.DUMMYFUNCTION("""COMPUTED_VALUE"""),8.1)</f>
        <v>8.1</v>
      </c>
      <c r="L1753" s="89">
        <f>IFERROR(__xludf.DUMMYFUNCTION("""COMPUTED_VALUE"""),4.0)</f>
        <v>4</v>
      </c>
      <c r="M1753" s="26" t="str">
        <f>IFERROR(__xludf.DUMMYFUNCTION("""COMPUTED_VALUE"""),"Arcade")</f>
        <v>Arcade</v>
      </c>
      <c r="N1753" s="26"/>
      <c r="O1753" s="26" t="str">
        <f>IFERROR(__xludf.DUMMYFUNCTION("""COMPUTED_VALUE"""),"No")</f>
        <v>No</v>
      </c>
      <c r="P1753" s="26"/>
    </row>
    <row r="1754">
      <c r="A1754" s="81" t="str">
        <f>IFERROR(__xludf.DUMMYFUNCTION("""COMPUTED_VALUE"""),"BreakQuest")</f>
        <v>BreakQuest</v>
      </c>
      <c r="B1754" s="82" t="str">
        <f>IFERROR(__xludf.DUMMYFUNCTION("""COMPUTED_VALUE"""),"PS3")</f>
        <v>PS3</v>
      </c>
      <c r="C1754" s="83" t="str">
        <f>IFERROR(__xludf.DUMMYFUNCTION("""COMPUTED_VALUE"""),"Playstation Plus (Discontinued)")</f>
        <v>Playstation Plus (Discontinued)</v>
      </c>
      <c r="D1754" s="82" t="str">
        <f>IFERROR(__xludf.DUMMYFUNCTION("""COMPUTED_VALUE"""),"Removed")</f>
        <v>Removed</v>
      </c>
      <c r="E1754" s="84">
        <f>IFERROR(__xludf.DUMMYFUNCTION("""COMPUTED_VALUE"""),40484.0)</f>
        <v>40484</v>
      </c>
      <c r="F1754" s="85">
        <f>IFERROR(__xludf.DUMMYFUNCTION("""COMPUTED_VALUE"""),40518.0)</f>
        <v>40518</v>
      </c>
      <c r="G1754" s="86">
        <f>IFERROR(__xludf.DUMMYFUNCTION("""COMPUTED_VALUE"""),1.1333333333333333)</f>
        <v>1.133333333</v>
      </c>
      <c r="H1754" s="84">
        <f>IFERROR(__xludf.DUMMYFUNCTION("""COMPUTED_VALUE"""),40087.0)</f>
        <v>40087</v>
      </c>
      <c r="I1754" s="86">
        <f>IFERROR(__xludf.DUMMYFUNCTION("""COMPUTED_VALUE"""),1.086111111111111)</f>
        <v>1.086111111</v>
      </c>
      <c r="J1754" s="87">
        <f>IFERROR(__xludf.DUMMYFUNCTION("""COMPUTED_VALUE"""),68.0)</f>
        <v>68</v>
      </c>
      <c r="K1754" s="88">
        <f>IFERROR(__xludf.DUMMYFUNCTION("""COMPUTED_VALUE"""),6.9)</f>
        <v>6.9</v>
      </c>
      <c r="L1754" s="89">
        <f>IFERROR(__xludf.DUMMYFUNCTION("""COMPUTED_VALUE"""),3.0)</f>
        <v>3</v>
      </c>
      <c r="M1754" s="26" t="str">
        <f>IFERROR(__xludf.DUMMYFUNCTION("""COMPUTED_VALUE"""),"Puzzle")</f>
        <v>Puzzle</v>
      </c>
      <c r="N1754" s="26" t="str">
        <f>IFERROR(__xludf.DUMMYFUNCTION("""COMPUTED_VALUE"""),"PS Minis")</f>
        <v>PS Minis</v>
      </c>
      <c r="O1754" s="26" t="str">
        <f>IFERROR(__xludf.DUMMYFUNCTION("""COMPUTED_VALUE"""),"No")</f>
        <v>No</v>
      </c>
      <c r="P1754" s="26"/>
    </row>
    <row r="1755">
      <c r="A1755" s="81" t="str">
        <f>IFERROR(__xludf.DUMMYFUNCTION("""COMPUTED_VALUE"""),"Bubble Trubble")</f>
        <v>Bubble Trubble</v>
      </c>
      <c r="B1755" s="82" t="str">
        <f>IFERROR(__xludf.DUMMYFUNCTION("""COMPUTED_VALUE"""),"PS3")</f>
        <v>PS3</v>
      </c>
      <c r="C1755" s="83" t="str">
        <f>IFERROR(__xludf.DUMMYFUNCTION("""COMPUTED_VALUE"""),"Playstation Plus (Discontinued)")</f>
        <v>Playstation Plus (Discontinued)</v>
      </c>
      <c r="D1755" s="82" t="str">
        <f>IFERROR(__xludf.DUMMYFUNCTION("""COMPUTED_VALUE"""),"Removed")</f>
        <v>Removed</v>
      </c>
      <c r="E1755" s="84">
        <f>IFERROR(__xludf.DUMMYFUNCTION("""COMPUTED_VALUE"""),40456.0)</f>
        <v>40456</v>
      </c>
      <c r="F1755" s="85">
        <f>IFERROR(__xludf.DUMMYFUNCTION("""COMPUTED_VALUE"""),40483.0)</f>
        <v>40483</v>
      </c>
      <c r="G1755" s="86">
        <f>IFERROR(__xludf.DUMMYFUNCTION("""COMPUTED_VALUE"""),0.8666666666666666)</f>
        <v>0.8666666667</v>
      </c>
      <c r="H1755" s="84">
        <f>IFERROR(__xludf.DUMMYFUNCTION("""COMPUTED_VALUE"""),40129.0)</f>
        <v>40129</v>
      </c>
      <c r="I1755" s="86">
        <f>IFERROR(__xludf.DUMMYFUNCTION("""COMPUTED_VALUE"""),0.8972222222222223)</f>
        <v>0.8972222222</v>
      </c>
      <c r="J1755" s="87">
        <f>IFERROR(__xludf.DUMMYFUNCTION("""COMPUTED_VALUE"""),55.0)</f>
        <v>55</v>
      </c>
      <c r="K1755" s="88">
        <f>IFERROR(__xludf.DUMMYFUNCTION("""COMPUTED_VALUE"""),6.3)</f>
        <v>6.3</v>
      </c>
      <c r="L1755" s="89">
        <f>IFERROR(__xludf.DUMMYFUNCTION("""COMPUTED_VALUE"""),1.0)</f>
        <v>1</v>
      </c>
      <c r="M1755" s="26" t="str">
        <f>IFERROR(__xludf.DUMMYFUNCTION("""COMPUTED_VALUE"""),"Puzzle")</f>
        <v>Puzzle</v>
      </c>
      <c r="N1755" s="26" t="str">
        <f>IFERROR(__xludf.DUMMYFUNCTION("""COMPUTED_VALUE"""),"PS Minis")</f>
        <v>PS Minis</v>
      </c>
      <c r="O1755" s="26" t="str">
        <f>IFERROR(__xludf.DUMMYFUNCTION("""COMPUTED_VALUE"""),"No")</f>
        <v>No</v>
      </c>
      <c r="P1755" s="26"/>
    </row>
    <row r="1756">
      <c r="A1756" s="81" t="str">
        <f>IFERROR(__xludf.DUMMYFUNCTION("""COMPUTED_VALUE"""),"Bloons")</f>
        <v>Bloons</v>
      </c>
      <c r="B1756" s="82" t="str">
        <f>IFERROR(__xludf.DUMMYFUNCTION("""COMPUTED_VALUE"""),"PS3")</f>
        <v>PS3</v>
      </c>
      <c r="C1756" s="83" t="str">
        <f>IFERROR(__xludf.DUMMYFUNCTION("""COMPUTED_VALUE"""),"Playstation Plus (Discontinued)")</f>
        <v>Playstation Plus (Discontinued)</v>
      </c>
      <c r="D1756" s="82" t="str">
        <f>IFERROR(__xludf.DUMMYFUNCTION("""COMPUTED_VALUE"""),"Removed")</f>
        <v>Removed</v>
      </c>
      <c r="E1756" s="84">
        <f>IFERROR(__xludf.DUMMYFUNCTION("""COMPUTED_VALUE"""),40456.0)</f>
        <v>40456</v>
      </c>
      <c r="F1756" s="85">
        <f>IFERROR(__xludf.DUMMYFUNCTION("""COMPUTED_VALUE"""),40483.0)</f>
        <v>40483</v>
      </c>
      <c r="G1756" s="86">
        <f>IFERROR(__xludf.DUMMYFUNCTION("""COMPUTED_VALUE"""),0.8666666666666666)</f>
        <v>0.8666666667</v>
      </c>
      <c r="H1756" s="84">
        <f>IFERROR(__xludf.DUMMYFUNCTION("""COMPUTED_VALUE"""),40087.0)</f>
        <v>40087</v>
      </c>
      <c r="I1756" s="86">
        <f>IFERROR(__xludf.DUMMYFUNCTION("""COMPUTED_VALUE"""),1.011111111111111)</f>
        <v>1.011111111</v>
      </c>
      <c r="J1756" s="87">
        <f>IFERROR(__xludf.DUMMYFUNCTION("""COMPUTED_VALUE"""),63.0)</f>
        <v>63</v>
      </c>
      <c r="K1756" s="88">
        <f>IFERROR(__xludf.DUMMYFUNCTION("""COMPUTED_VALUE"""),6.7)</f>
        <v>6.7</v>
      </c>
      <c r="L1756" s="89"/>
      <c r="M1756" s="26" t="str">
        <f>IFERROR(__xludf.DUMMYFUNCTION("""COMPUTED_VALUE"""),"Strategy")</f>
        <v>Strategy</v>
      </c>
      <c r="N1756" s="26" t="str">
        <f>IFERROR(__xludf.DUMMYFUNCTION("""COMPUTED_VALUE"""),"PS Minis")</f>
        <v>PS Minis</v>
      </c>
      <c r="O1756" s="26" t="str">
        <f>IFERROR(__xludf.DUMMYFUNCTION("""COMPUTED_VALUE"""),"No")</f>
        <v>No</v>
      </c>
      <c r="P1756" s="26"/>
    </row>
    <row r="1757">
      <c r="A1757" s="81" t="str">
        <f>IFERROR(__xludf.DUMMYFUNCTION("""COMPUTED_VALUE"""),"Oddworld: Abe’s Oddysee")</f>
        <v>Oddworld: Abe’s Oddysee</v>
      </c>
      <c r="B1757" s="82" t="str">
        <f>IFERROR(__xludf.DUMMYFUNCTION("""COMPUTED_VALUE"""),"PS3")</f>
        <v>PS3</v>
      </c>
      <c r="C1757" s="83" t="str">
        <f>IFERROR(__xludf.DUMMYFUNCTION("""COMPUTED_VALUE"""),"Playstation Plus (Discontinued)")</f>
        <v>Playstation Plus (Discontinued)</v>
      </c>
      <c r="D1757" s="82" t="str">
        <f>IFERROR(__xludf.DUMMYFUNCTION("""COMPUTED_VALUE"""),"Removed")</f>
        <v>Removed</v>
      </c>
      <c r="E1757" s="84">
        <f>IFERROR(__xludf.DUMMYFUNCTION("""COMPUTED_VALUE"""),40456.0)</f>
        <v>40456</v>
      </c>
      <c r="F1757" s="85">
        <f>IFERROR(__xludf.DUMMYFUNCTION("""COMPUTED_VALUE"""),40483.0)</f>
        <v>40483</v>
      </c>
      <c r="G1757" s="86">
        <f>IFERROR(__xludf.DUMMYFUNCTION("""COMPUTED_VALUE"""),0.8666666666666666)</f>
        <v>0.8666666667</v>
      </c>
      <c r="H1757" s="84">
        <f>IFERROR(__xludf.DUMMYFUNCTION("""COMPUTED_VALUE"""),35691.0)</f>
        <v>35691</v>
      </c>
      <c r="I1757" s="86">
        <f>IFERROR(__xludf.DUMMYFUNCTION("""COMPUTED_VALUE"""),13.047222222222222)</f>
        <v>13.04722222</v>
      </c>
      <c r="J1757" s="87">
        <f>IFERROR(__xludf.DUMMYFUNCTION("""COMPUTED_VALUE"""),88.0)</f>
        <v>88</v>
      </c>
      <c r="K1757" s="88">
        <f>IFERROR(__xludf.DUMMYFUNCTION("""COMPUTED_VALUE"""),8.8)</f>
        <v>8.8</v>
      </c>
      <c r="L1757" s="89">
        <f>IFERROR(__xludf.DUMMYFUNCTION("""COMPUTED_VALUE"""),12.0)</f>
        <v>12</v>
      </c>
      <c r="M1757" s="26" t="str">
        <f>IFERROR(__xludf.DUMMYFUNCTION("""COMPUTED_VALUE"""),"Platformer")</f>
        <v>Platformer</v>
      </c>
      <c r="N1757" s="26" t="str">
        <f>IFERROR(__xludf.DUMMYFUNCTION("""COMPUTED_VALUE"""),"PS1")</f>
        <v>PS1</v>
      </c>
      <c r="O1757" s="26" t="str">
        <f>IFERROR(__xludf.DUMMYFUNCTION("""COMPUTED_VALUE"""),"No")</f>
        <v>No</v>
      </c>
      <c r="P1757" s="26"/>
    </row>
    <row r="1758">
      <c r="A1758" s="81" t="str">
        <f>IFERROR(__xludf.DUMMYFUNCTION("""COMPUTED_VALUE"""),"Echoes")</f>
        <v>Echoes</v>
      </c>
      <c r="B1758" s="82" t="str">
        <f>IFERROR(__xludf.DUMMYFUNCTION("""COMPUTED_VALUE"""),"PS3")</f>
        <v>PS3</v>
      </c>
      <c r="C1758" s="83" t="str">
        <f>IFERROR(__xludf.DUMMYFUNCTION("""COMPUTED_VALUE"""),"Playstation Plus (Discontinued)")</f>
        <v>Playstation Plus (Discontinued)</v>
      </c>
      <c r="D1758" s="82" t="str">
        <f>IFERROR(__xludf.DUMMYFUNCTION("""COMPUTED_VALUE"""),"Removed")</f>
        <v>Removed</v>
      </c>
      <c r="E1758" s="84">
        <f>IFERROR(__xludf.DUMMYFUNCTION("""COMPUTED_VALUE"""),40428.0)</f>
        <v>40428</v>
      </c>
      <c r="F1758" s="85">
        <f>IFERROR(__xludf.DUMMYFUNCTION("""COMPUTED_VALUE"""),40455.0)</f>
        <v>40455</v>
      </c>
      <c r="G1758" s="86">
        <f>IFERROR(__xludf.DUMMYFUNCTION("""COMPUTED_VALUE"""),0.8999999999999999)</f>
        <v>0.9</v>
      </c>
      <c r="H1758" s="84">
        <f>IFERROR(__xludf.DUMMYFUNCTION("""COMPUTED_VALUE"""),40136.0)</f>
        <v>40136</v>
      </c>
      <c r="I1758" s="86">
        <f>IFERROR(__xludf.DUMMYFUNCTION("""COMPUTED_VALUE"""),0.8)</f>
        <v>0.8</v>
      </c>
      <c r="J1758" s="87">
        <f>IFERROR(__xludf.DUMMYFUNCTION("""COMPUTED_VALUE"""),59.0)</f>
        <v>59</v>
      </c>
      <c r="K1758" s="88">
        <f>IFERROR(__xludf.DUMMYFUNCTION("""COMPUTED_VALUE"""),6.3)</f>
        <v>6.3</v>
      </c>
      <c r="L1758" s="89">
        <f>IFERROR(__xludf.DUMMYFUNCTION("""COMPUTED_VALUE"""),2.0)</f>
        <v>2</v>
      </c>
      <c r="M1758" s="26" t="str">
        <f>IFERROR(__xludf.DUMMYFUNCTION("""COMPUTED_VALUE"""),"Shooter")</f>
        <v>Shooter</v>
      </c>
      <c r="N1758" s="26" t="str">
        <f>IFERROR(__xludf.DUMMYFUNCTION("""COMPUTED_VALUE"""),"PS Minis")</f>
        <v>PS Minis</v>
      </c>
      <c r="O1758" s="26" t="str">
        <f>IFERROR(__xludf.DUMMYFUNCTION("""COMPUTED_VALUE"""),"No")</f>
        <v>No</v>
      </c>
      <c r="P1758" s="26"/>
    </row>
    <row r="1759">
      <c r="A1759" s="81" t="str">
        <f>IFERROR(__xludf.DUMMYFUNCTION("""COMPUTED_VALUE"""),"Syphon Filter 3")</f>
        <v>Syphon Filter 3</v>
      </c>
      <c r="B1759" s="82" t="str">
        <f>IFERROR(__xludf.DUMMYFUNCTION("""COMPUTED_VALUE"""),"PS3")</f>
        <v>PS3</v>
      </c>
      <c r="C1759" s="83" t="str">
        <f>IFERROR(__xludf.DUMMYFUNCTION("""COMPUTED_VALUE"""),"Playstation Plus (Discontinued)")</f>
        <v>Playstation Plus (Discontinued)</v>
      </c>
      <c r="D1759" s="82" t="str">
        <f>IFERROR(__xludf.DUMMYFUNCTION("""COMPUTED_VALUE"""),"Removed")</f>
        <v>Removed</v>
      </c>
      <c r="E1759" s="84">
        <f>IFERROR(__xludf.DUMMYFUNCTION("""COMPUTED_VALUE"""),40428.0)</f>
        <v>40428</v>
      </c>
      <c r="F1759" s="85">
        <f>IFERROR(__xludf.DUMMYFUNCTION("""COMPUTED_VALUE"""),40455.0)</f>
        <v>40455</v>
      </c>
      <c r="G1759" s="86">
        <f>IFERROR(__xludf.DUMMYFUNCTION("""COMPUTED_VALUE"""),0.8999999999999999)</f>
        <v>0.9</v>
      </c>
      <c r="H1759" s="84">
        <f>IFERROR(__xludf.DUMMYFUNCTION("""COMPUTED_VALUE"""),37201.0)</f>
        <v>37201</v>
      </c>
      <c r="I1759" s="86">
        <f>IFERROR(__xludf.DUMMYFUNCTION("""COMPUTED_VALUE"""),8.83611111111111)</f>
        <v>8.836111111</v>
      </c>
      <c r="J1759" s="87">
        <f>IFERROR(__xludf.DUMMYFUNCTION("""COMPUTED_VALUE"""),81.0)</f>
        <v>81</v>
      </c>
      <c r="K1759" s="88">
        <f>IFERROR(__xludf.DUMMYFUNCTION("""COMPUTED_VALUE"""),8.2)</f>
        <v>8.2</v>
      </c>
      <c r="L1759" s="89">
        <f>IFERROR(__xludf.DUMMYFUNCTION("""COMPUTED_VALUE"""),10.0)</f>
        <v>10</v>
      </c>
      <c r="M1759" s="26" t="str">
        <f>IFERROR(__xludf.DUMMYFUNCTION("""COMPUTED_VALUE"""),"Shooter")</f>
        <v>Shooter</v>
      </c>
      <c r="N1759" s="26" t="str">
        <f>IFERROR(__xludf.DUMMYFUNCTION("""COMPUTED_VALUE"""),"PS1")</f>
        <v>PS1</v>
      </c>
      <c r="O1759" s="26" t="str">
        <f>IFERROR(__xludf.DUMMYFUNCTION("""COMPUTED_VALUE"""),"No")</f>
        <v>No</v>
      </c>
      <c r="P1759" s="26"/>
    </row>
    <row r="1760">
      <c r="A1760" s="81" t="str">
        <f>IFERROR(__xludf.DUMMYFUNCTION("""COMPUTED_VALUE"""),"Zen Pinball")</f>
        <v>Zen Pinball</v>
      </c>
      <c r="B1760" s="82" t="str">
        <f>IFERROR(__xludf.DUMMYFUNCTION("""COMPUTED_VALUE"""),"PS3")</f>
        <v>PS3</v>
      </c>
      <c r="C1760" s="83" t="str">
        <f>IFERROR(__xludf.DUMMYFUNCTION("""COMPUTED_VALUE"""),"Playstation Plus (Discontinued)")</f>
        <v>Playstation Plus (Discontinued)</v>
      </c>
      <c r="D1760" s="82" t="str">
        <f>IFERROR(__xludf.DUMMYFUNCTION("""COMPUTED_VALUE"""),"Removed")</f>
        <v>Removed</v>
      </c>
      <c r="E1760" s="84">
        <f>IFERROR(__xludf.DUMMYFUNCTION("""COMPUTED_VALUE"""),40428.0)</f>
        <v>40428</v>
      </c>
      <c r="F1760" s="85">
        <f>IFERROR(__xludf.DUMMYFUNCTION("""COMPUTED_VALUE"""),40455.0)</f>
        <v>40455</v>
      </c>
      <c r="G1760" s="86">
        <f>IFERROR(__xludf.DUMMYFUNCTION("""COMPUTED_VALUE"""),0.8999999999999999)</f>
        <v>0.9</v>
      </c>
      <c r="H1760" s="84">
        <f>IFERROR(__xludf.DUMMYFUNCTION("""COMPUTED_VALUE"""),39947.0)</f>
        <v>39947</v>
      </c>
      <c r="I1760" s="86">
        <f>IFERROR(__xludf.DUMMYFUNCTION("""COMPUTED_VALUE"""),1.3138888888888889)</f>
        <v>1.313888889</v>
      </c>
      <c r="J1760" s="87">
        <f>IFERROR(__xludf.DUMMYFUNCTION("""COMPUTED_VALUE"""),80.0)</f>
        <v>80</v>
      </c>
      <c r="K1760" s="88">
        <f>IFERROR(__xludf.DUMMYFUNCTION("""COMPUTED_VALUE"""),7.8)</f>
        <v>7.8</v>
      </c>
      <c r="L1760" s="89"/>
      <c r="M1760" s="26" t="str">
        <f>IFERROR(__xludf.DUMMYFUNCTION("""COMPUTED_VALUE"""),"Pinball")</f>
        <v>Pinball</v>
      </c>
      <c r="N1760" s="26"/>
      <c r="O1760" s="26" t="str">
        <f>IFERROR(__xludf.DUMMYFUNCTION("""COMPUTED_VALUE"""),"No")</f>
        <v>No</v>
      </c>
      <c r="P1760" s="26"/>
    </row>
    <row r="1761">
      <c r="A1761" s="81" t="str">
        <f>IFERROR(__xludf.DUMMYFUNCTION("""COMPUTED_VALUE"""),"Blast Off")</f>
        <v>Blast Off</v>
      </c>
      <c r="B1761" s="82" t="str">
        <f>IFERROR(__xludf.DUMMYFUNCTION("""COMPUTED_VALUE"""),"PS3")</f>
        <v>PS3</v>
      </c>
      <c r="C1761" s="83" t="str">
        <f>IFERROR(__xludf.DUMMYFUNCTION("""COMPUTED_VALUE"""),"Playstation Plus (Discontinued)")</f>
        <v>Playstation Plus (Discontinued)</v>
      </c>
      <c r="D1761" s="82" t="str">
        <f>IFERROR(__xludf.DUMMYFUNCTION("""COMPUTED_VALUE"""),"Removed")</f>
        <v>Removed</v>
      </c>
      <c r="E1761" s="84">
        <f>IFERROR(__xludf.DUMMYFUNCTION("""COMPUTED_VALUE"""),40428.0)</f>
        <v>40428</v>
      </c>
      <c r="F1761" s="85">
        <f>IFERROR(__xludf.DUMMYFUNCTION("""COMPUTED_VALUE"""),40455.0)</f>
        <v>40455</v>
      </c>
      <c r="G1761" s="86">
        <f>IFERROR(__xludf.DUMMYFUNCTION("""COMPUTED_VALUE"""),0.8999999999999999)</f>
        <v>0.9</v>
      </c>
      <c r="H1761" s="84">
        <f>IFERROR(__xludf.DUMMYFUNCTION("""COMPUTED_VALUE"""),40108.0)</f>
        <v>40108</v>
      </c>
      <c r="I1761" s="86">
        <f>IFERROR(__xludf.DUMMYFUNCTION("""COMPUTED_VALUE"""),0.875)</f>
        <v>0.875</v>
      </c>
      <c r="J1761" s="87">
        <f>IFERROR(__xludf.DUMMYFUNCTION("""COMPUTED_VALUE"""),69.0)</f>
        <v>69</v>
      </c>
      <c r="K1761" s="88">
        <f>IFERROR(__xludf.DUMMYFUNCTION("""COMPUTED_VALUE"""),6.7)</f>
        <v>6.7</v>
      </c>
      <c r="L1761" s="89">
        <f>IFERROR(__xludf.DUMMYFUNCTION("""COMPUTED_VALUE"""),2.0)</f>
        <v>2</v>
      </c>
      <c r="M1761" s="26" t="str">
        <f>IFERROR(__xludf.DUMMYFUNCTION("""COMPUTED_VALUE"""),"Shooter")</f>
        <v>Shooter</v>
      </c>
      <c r="N1761" s="26" t="str">
        <f>IFERROR(__xludf.DUMMYFUNCTION("""COMPUTED_VALUE"""),"PS Minis")</f>
        <v>PS Minis</v>
      </c>
      <c r="O1761" s="26" t="str">
        <f>IFERROR(__xludf.DUMMYFUNCTION("""COMPUTED_VALUE"""),"No")</f>
        <v>No</v>
      </c>
      <c r="P1761" s="26"/>
    </row>
    <row r="1762">
      <c r="A1762" s="81" t="str">
        <f>IFERROR(__xludf.DUMMYFUNCTION("""COMPUTED_VALUE"""),"Vempires")</f>
        <v>Vempires</v>
      </c>
      <c r="B1762" s="82" t="str">
        <f>IFERROR(__xludf.DUMMYFUNCTION("""COMPUTED_VALUE"""),"PS3")</f>
        <v>PS3</v>
      </c>
      <c r="C1762" s="83" t="str">
        <f>IFERROR(__xludf.DUMMYFUNCTION("""COMPUTED_VALUE"""),"Playstation Plus (Discontinued)")</f>
        <v>Playstation Plus (Discontinued)</v>
      </c>
      <c r="D1762" s="82" t="str">
        <f>IFERROR(__xludf.DUMMYFUNCTION("""COMPUTED_VALUE"""),"Removed")</f>
        <v>Removed</v>
      </c>
      <c r="E1762" s="84">
        <f>IFERROR(__xludf.DUMMYFUNCTION("""COMPUTED_VALUE"""),40393.0)</f>
        <v>40393</v>
      </c>
      <c r="F1762" s="85">
        <f>IFERROR(__xludf.DUMMYFUNCTION("""COMPUTED_VALUE"""),40427.0)</f>
        <v>40427</v>
      </c>
      <c r="G1762" s="86">
        <f>IFERROR(__xludf.DUMMYFUNCTION("""COMPUTED_VALUE"""),1.0999999999999999)</f>
        <v>1.1</v>
      </c>
      <c r="H1762" s="84">
        <f>IFERROR(__xludf.DUMMYFUNCTION("""COMPUTED_VALUE"""),40190.0)</f>
        <v>40190</v>
      </c>
      <c r="I1762" s="86">
        <f>IFERROR(__xludf.DUMMYFUNCTION("""COMPUTED_VALUE"""),0.5583333333333333)</f>
        <v>0.5583333333</v>
      </c>
      <c r="J1762" s="87">
        <f>IFERROR(__xludf.DUMMYFUNCTION("""COMPUTED_VALUE"""),51.0)</f>
        <v>51</v>
      </c>
      <c r="K1762" s="88">
        <f>IFERROR(__xludf.DUMMYFUNCTION("""COMPUTED_VALUE"""),6.2)</f>
        <v>6.2</v>
      </c>
      <c r="L1762" s="89">
        <f>IFERROR(__xludf.DUMMYFUNCTION("""COMPUTED_VALUE"""),2.0)</f>
        <v>2</v>
      </c>
      <c r="M1762" s="26" t="str">
        <f>IFERROR(__xludf.DUMMYFUNCTION("""COMPUTED_VALUE"""),"Platformer")</f>
        <v>Platformer</v>
      </c>
      <c r="N1762" s="26" t="str">
        <f>IFERROR(__xludf.DUMMYFUNCTION("""COMPUTED_VALUE"""),"PS Minis")</f>
        <v>PS Minis</v>
      </c>
      <c r="O1762" s="26" t="str">
        <f>IFERROR(__xludf.DUMMYFUNCTION("""COMPUTED_VALUE"""),"No")</f>
        <v>No</v>
      </c>
      <c r="P1762" s="26"/>
    </row>
    <row r="1763">
      <c r="A1763" s="81" t="str">
        <f>IFERROR(__xludf.DUMMYFUNCTION("""COMPUTED_VALUE"""),"2Xtreme")</f>
        <v>2Xtreme</v>
      </c>
      <c r="B1763" s="82" t="str">
        <f>IFERROR(__xludf.DUMMYFUNCTION("""COMPUTED_VALUE"""),"PS3")</f>
        <v>PS3</v>
      </c>
      <c r="C1763" s="83" t="str">
        <f>IFERROR(__xludf.DUMMYFUNCTION("""COMPUTED_VALUE"""),"Playstation Plus (Discontinued)")</f>
        <v>Playstation Plus (Discontinued)</v>
      </c>
      <c r="D1763" s="82" t="str">
        <f>IFERROR(__xludf.DUMMYFUNCTION("""COMPUTED_VALUE"""),"Removed")</f>
        <v>Removed</v>
      </c>
      <c r="E1763" s="84">
        <f>IFERROR(__xludf.DUMMYFUNCTION("""COMPUTED_VALUE"""),40393.0)</f>
        <v>40393</v>
      </c>
      <c r="F1763" s="85">
        <f>IFERROR(__xludf.DUMMYFUNCTION("""COMPUTED_VALUE"""),40427.0)</f>
        <v>40427</v>
      </c>
      <c r="G1763" s="86">
        <f>IFERROR(__xludf.DUMMYFUNCTION("""COMPUTED_VALUE"""),1.0999999999999999)</f>
        <v>1.1</v>
      </c>
      <c r="H1763" s="84">
        <f>IFERROR(__xludf.DUMMYFUNCTION("""COMPUTED_VALUE"""),35370.0)</f>
        <v>35370</v>
      </c>
      <c r="I1763" s="86">
        <f>IFERROR(__xludf.DUMMYFUNCTION("""COMPUTED_VALUE"""),13.755555555555556)</f>
        <v>13.75555556</v>
      </c>
      <c r="J1763" s="87">
        <f>IFERROR(__xludf.DUMMYFUNCTION("""COMPUTED_VALUE"""),68.0)</f>
        <v>68</v>
      </c>
      <c r="K1763" s="88">
        <f>IFERROR(__xludf.DUMMYFUNCTION("""COMPUTED_VALUE"""),7.5)</f>
        <v>7.5</v>
      </c>
      <c r="L1763" s="89"/>
      <c r="M1763" s="26" t="str">
        <f>IFERROR(__xludf.DUMMYFUNCTION("""COMPUTED_VALUE"""),"Racing")</f>
        <v>Racing</v>
      </c>
      <c r="N1763" s="26" t="str">
        <f>IFERROR(__xludf.DUMMYFUNCTION("""COMPUTED_VALUE"""),"PS1")</f>
        <v>PS1</v>
      </c>
      <c r="O1763" s="26" t="str">
        <f>IFERROR(__xludf.DUMMYFUNCTION("""COMPUTED_VALUE"""),"No")</f>
        <v>No</v>
      </c>
      <c r="P1763" s="26"/>
    </row>
    <row r="1764">
      <c r="A1764" s="81" t="str">
        <f>IFERROR(__xludf.DUMMYFUNCTION("""COMPUTED_VALUE"""),"Mushroom Wars")</f>
        <v>Mushroom Wars</v>
      </c>
      <c r="B1764" s="82" t="str">
        <f>IFERROR(__xludf.DUMMYFUNCTION("""COMPUTED_VALUE"""),"PS3")</f>
        <v>PS3</v>
      </c>
      <c r="C1764" s="83" t="str">
        <f>IFERROR(__xludf.DUMMYFUNCTION("""COMPUTED_VALUE"""),"Playstation Plus (Discontinued)")</f>
        <v>Playstation Plus (Discontinued)</v>
      </c>
      <c r="D1764" s="82" t="str">
        <f>IFERROR(__xludf.DUMMYFUNCTION("""COMPUTED_VALUE"""),"Removed")</f>
        <v>Removed</v>
      </c>
      <c r="E1764" s="84">
        <f>IFERROR(__xludf.DUMMYFUNCTION("""COMPUTED_VALUE"""),40393.0)</f>
        <v>40393</v>
      </c>
      <c r="F1764" s="85">
        <f>IFERROR(__xludf.DUMMYFUNCTION("""COMPUTED_VALUE"""),40427.0)</f>
        <v>40427</v>
      </c>
      <c r="G1764" s="86">
        <f>IFERROR(__xludf.DUMMYFUNCTION("""COMPUTED_VALUE"""),1.0999999999999999)</f>
        <v>1.1</v>
      </c>
      <c r="H1764" s="84">
        <f>IFERROR(__xludf.DUMMYFUNCTION("""COMPUTED_VALUE"""),40101.0)</f>
        <v>40101</v>
      </c>
      <c r="I1764" s="86">
        <f>IFERROR(__xludf.DUMMYFUNCTION("""COMPUTED_VALUE"""),0.8)</f>
        <v>0.8</v>
      </c>
      <c r="J1764" s="87">
        <f>IFERROR(__xludf.DUMMYFUNCTION("""COMPUTED_VALUE"""),79.0)</f>
        <v>79</v>
      </c>
      <c r="K1764" s="88">
        <f>IFERROR(__xludf.DUMMYFUNCTION("""COMPUTED_VALUE"""),7.8)</f>
        <v>7.8</v>
      </c>
      <c r="L1764" s="89"/>
      <c r="M1764" s="26" t="str">
        <f>IFERROR(__xludf.DUMMYFUNCTION("""COMPUTED_VALUE"""),"Strategy")</f>
        <v>Strategy</v>
      </c>
      <c r="N1764" s="26"/>
      <c r="O1764" s="26" t="str">
        <f>IFERROR(__xludf.DUMMYFUNCTION("""COMPUTED_VALUE"""),"No")</f>
        <v>No</v>
      </c>
      <c r="P1764" s="26"/>
    </row>
    <row r="1765">
      <c r="A1765" s="81" t="str">
        <f>IFERROR(__xludf.DUMMYFUNCTION("""COMPUTED_VALUE"""),"Aero Racer")</f>
        <v>Aero Racer</v>
      </c>
      <c r="B1765" s="82" t="str">
        <f>IFERROR(__xludf.DUMMYFUNCTION("""COMPUTED_VALUE"""),"PS3")</f>
        <v>PS3</v>
      </c>
      <c r="C1765" s="83" t="str">
        <f>IFERROR(__xludf.DUMMYFUNCTION("""COMPUTED_VALUE"""),"Playstation Plus (Discontinued)")</f>
        <v>Playstation Plus (Discontinued)</v>
      </c>
      <c r="D1765" s="82" t="str">
        <f>IFERROR(__xludf.DUMMYFUNCTION("""COMPUTED_VALUE"""),"Removed")</f>
        <v>Removed</v>
      </c>
      <c r="E1765" s="84">
        <f>IFERROR(__xludf.DUMMYFUNCTION("""COMPUTED_VALUE"""),40393.0)</f>
        <v>40393</v>
      </c>
      <c r="F1765" s="85">
        <f>IFERROR(__xludf.DUMMYFUNCTION("""COMPUTED_VALUE"""),40427.0)</f>
        <v>40427</v>
      </c>
      <c r="G1765" s="86">
        <f>IFERROR(__xludf.DUMMYFUNCTION("""COMPUTED_VALUE"""),1.0999999999999999)</f>
        <v>1.1</v>
      </c>
      <c r="H1765" s="84">
        <f>IFERROR(__xludf.DUMMYFUNCTION("""COMPUTED_VALUE"""),40248.0)</f>
        <v>40248</v>
      </c>
      <c r="I1765" s="86">
        <f>IFERROR(__xludf.DUMMYFUNCTION("""COMPUTED_VALUE"""),0.39444444444444443)</f>
        <v>0.3944444444</v>
      </c>
      <c r="J1765" s="87">
        <f>IFERROR(__xludf.DUMMYFUNCTION("""COMPUTED_VALUE"""),53.0)</f>
        <v>53</v>
      </c>
      <c r="K1765" s="88">
        <f>IFERROR(__xludf.DUMMYFUNCTION("""COMPUTED_VALUE"""),6.2)</f>
        <v>6.2</v>
      </c>
      <c r="L1765" s="89"/>
      <c r="M1765" s="26" t="str">
        <f>IFERROR(__xludf.DUMMYFUNCTION("""COMPUTED_VALUE"""),"Racing")</f>
        <v>Racing</v>
      </c>
      <c r="N1765" s="26" t="str">
        <f>IFERROR(__xludf.DUMMYFUNCTION("""COMPUTED_VALUE"""),"PS Minis")</f>
        <v>PS Minis</v>
      </c>
      <c r="O1765" s="26" t="str">
        <f>IFERROR(__xludf.DUMMYFUNCTION("""COMPUTED_VALUE"""),"No")</f>
        <v>No</v>
      </c>
      <c r="P1765" s="26"/>
    </row>
    <row r="1766">
      <c r="A1766" s="81" t="str">
        <f>IFERROR(__xludf.DUMMYFUNCTION("""COMPUTED_VALUE"""),"Kahoots")</f>
        <v>Kahoots</v>
      </c>
      <c r="B1766" s="82" t="str">
        <f>IFERROR(__xludf.DUMMYFUNCTION("""COMPUTED_VALUE"""),"PS3")</f>
        <v>PS3</v>
      </c>
      <c r="C1766" s="83" t="str">
        <f>IFERROR(__xludf.DUMMYFUNCTION("""COMPUTED_VALUE"""),"Playstation Plus (Discontinued)")</f>
        <v>Playstation Plus (Discontinued)</v>
      </c>
      <c r="D1766" s="82" t="str">
        <f>IFERROR(__xludf.DUMMYFUNCTION("""COMPUTED_VALUE"""),"Removed")</f>
        <v>Removed</v>
      </c>
      <c r="E1766" s="84">
        <f>IFERROR(__xludf.DUMMYFUNCTION("""COMPUTED_VALUE"""),40365.0)</f>
        <v>40365</v>
      </c>
      <c r="F1766" s="85">
        <f>IFERROR(__xludf.DUMMYFUNCTION("""COMPUTED_VALUE"""),40392.0)</f>
        <v>40392</v>
      </c>
      <c r="G1766" s="86">
        <f>IFERROR(__xludf.DUMMYFUNCTION("""COMPUTED_VALUE"""),0.8666666666666666)</f>
        <v>0.8666666667</v>
      </c>
      <c r="H1766" s="84">
        <f>IFERROR(__xludf.DUMMYFUNCTION("""COMPUTED_VALUE"""),40087.0)</f>
        <v>40087</v>
      </c>
      <c r="I1766" s="86">
        <f>IFERROR(__xludf.DUMMYFUNCTION("""COMPUTED_VALUE"""),0.7638888888888888)</f>
        <v>0.7638888889</v>
      </c>
      <c r="J1766" s="87">
        <f>IFERROR(__xludf.DUMMYFUNCTION("""COMPUTED_VALUE"""),55.0)</f>
        <v>55</v>
      </c>
      <c r="K1766" s="88">
        <f>IFERROR(__xludf.DUMMYFUNCTION("""COMPUTED_VALUE"""),6.4)</f>
        <v>6.4</v>
      </c>
      <c r="L1766" s="89"/>
      <c r="M1766" s="26" t="str">
        <f>IFERROR(__xludf.DUMMYFUNCTION("""COMPUTED_VALUE"""),"Puzzle")</f>
        <v>Puzzle</v>
      </c>
      <c r="N1766" s="26" t="str">
        <f>IFERROR(__xludf.DUMMYFUNCTION("""COMPUTED_VALUE"""),"PS Minis")</f>
        <v>PS Minis</v>
      </c>
      <c r="O1766" s="26" t="str">
        <f>IFERROR(__xludf.DUMMYFUNCTION("""COMPUTED_VALUE"""),"No")</f>
        <v>No</v>
      </c>
      <c r="P1766" s="26"/>
    </row>
    <row r="1767">
      <c r="A1767" s="81" t="str">
        <f>IFERROR(__xludf.DUMMYFUNCTION("""COMPUTED_VALUE"""),"Syphon Filter")</f>
        <v>Syphon Filter</v>
      </c>
      <c r="B1767" s="82" t="str">
        <f>IFERROR(__xludf.DUMMYFUNCTION("""COMPUTED_VALUE"""),"PS3")</f>
        <v>PS3</v>
      </c>
      <c r="C1767" s="83" t="str">
        <f>IFERROR(__xludf.DUMMYFUNCTION("""COMPUTED_VALUE"""),"Playstation Plus (Discontinued)")</f>
        <v>Playstation Plus (Discontinued)</v>
      </c>
      <c r="D1767" s="82" t="str">
        <f>IFERROR(__xludf.DUMMYFUNCTION("""COMPUTED_VALUE"""),"Removed")</f>
        <v>Removed</v>
      </c>
      <c r="E1767" s="84">
        <f>IFERROR(__xludf.DUMMYFUNCTION("""COMPUTED_VALUE"""),40365.0)</f>
        <v>40365</v>
      </c>
      <c r="F1767" s="85">
        <f>IFERROR(__xludf.DUMMYFUNCTION("""COMPUTED_VALUE"""),40392.0)</f>
        <v>40392</v>
      </c>
      <c r="G1767" s="86">
        <f>IFERROR(__xludf.DUMMYFUNCTION("""COMPUTED_VALUE"""),0.8666666666666666)</f>
        <v>0.8666666667</v>
      </c>
      <c r="H1767" s="84">
        <f>IFERROR(__xludf.DUMMYFUNCTION("""COMPUTED_VALUE"""),36192.0)</f>
        <v>36192</v>
      </c>
      <c r="I1767" s="86">
        <f>IFERROR(__xludf.DUMMYFUNCTION("""COMPUTED_VALUE"""),11.430555555555555)</f>
        <v>11.43055556</v>
      </c>
      <c r="J1767" s="87">
        <f>IFERROR(__xludf.DUMMYFUNCTION("""COMPUTED_VALUE"""),90.0)</f>
        <v>90</v>
      </c>
      <c r="K1767" s="88">
        <f>IFERROR(__xludf.DUMMYFUNCTION("""COMPUTED_VALUE"""),8.7)</f>
        <v>8.7</v>
      </c>
      <c r="L1767" s="89">
        <f>IFERROR(__xludf.DUMMYFUNCTION("""COMPUTED_VALUE"""),10.0)</f>
        <v>10</v>
      </c>
      <c r="M1767" s="26" t="str">
        <f>IFERROR(__xludf.DUMMYFUNCTION("""COMPUTED_VALUE"""),"Shooter")</f>
        <v>Shooter</v>
      </c>
      <c r="N1767" s="26" t="str">
        <f>IFERROR(__xludf.DUMMYFUNCTION("""COMPUTED_VALUE"""),"PS1")</f>
        <v>PS1</v>
      </c>
      <c r="O1767" s="26" t="str">
        <f>IFERROR(__xludf.DUMMYFUNCTION("""COMPUTED_VALUE"""),"No")</f>
        <v>No</v>
      </c>
      <c r="P1767" s="26"/>
    </row>
    <row r="1768">
      <c r="A1768" s="81" t="str">
        <f>IFERROR(__xludf.DUMMYFUNCTION("""COMPUTED_VALUE"""),"Critter Crunch")</f>
        <v>Critter Crunch</v>
      </c>
      <c r="B1768" s="82" t="str">
        <f>IFERROR(__xludf.DUMMYFUNCTION("""COMPUTED_VALUE"""),"PS3")</f>
        <v>PS3</v>
      </c>
      <c r="C1768" s="83" t="str">
        <f>IFERROR(__xludf.DUMMYFUNCTION("""COMPUTED_VALUE"""),"Playstation Plus (Discontinued)")</f>
        <v>Playstation Plus (Discontinued)</v>
      </c>
      <c r="D1768" s="82" t="str">
        <f>IFERROR(__xludf.DUMMYFUNCTION("""COMPUTED_VALUE"""),"Removed")</f>
        <v>Removed</v>
      </c>
      <c r="E1768" s="84">
        <f>IFERROR(__xludf.DUMMYFUNCTION("""COMPUTED_VALUE"""),40365.0)</f>
        <v>40365</v>
      </c>
      <c r="F1768" s="85">
        <f>IFERROR(__xludf.DUMMYFUNCTION("""COMPUTED_VALUE"""),40392.0)</f>
        <v>40392</v>
      </c>
      <c r="G1768" s="86">
        <f>IFERROR(__xludf.DUMMYFUNCTION("""COMPUTED_VALUE"""),0.8666666666666666)</f>
        <v>0.8666666667</v>
      </c>
      <c r="H1768" s="84">
        <f>IFERROR(__xludf.DUMMYFUNCTION("""COMPUTED_VALUE"""),40094.0)</f>
        <v>40094</v>
      </c>
      <c r="I1768" s="86">
        <f>IFERROR(__xludf.DUMMYFUNCTION("""COMPUTED_VALUE"""),0.7444444444444445)</f>
        <v>0.7444444444</v>
      </c>
      <c r="J1768" s="87">
        <f>IFERROR(__xludf.DUMMYFUNCTION("""COMPUTED_VALUE"""),82.0)</f>
        <v>82</v>
      </c>
      <c r="K1768" s="88">
        <f>IFERROR(__xludf.DUMMYFUNCTION("""COMPUTED_VALUE"""),7.7)</f>
        <v>7.7</v>
      </c>
      <c r="L1768" s="89">
        <f>IFERROR(__xludf.DUMMYFUNCTION("""COMPUTED_VALUE"""),3.0)</f>
        <v>3</v>
      </c>
      <c r="M1768" s="26" t="str">
        <f>IFERROR(__xludf.DUMMYFUNCTION("""COMPUTED_VALUE"""),"Puzzle")</f>
        <v>Puzzle</v>
      </c>
      <c r="N1768" s="26"/>
      <c r="O1768" s="26" t="str">
        <f>IFERROR(__xludf.DUMMYFUNCTION("""COMPUTED_VALUE"""),"No")</f>
        <v>No</v>
      </c>
      <c r="P1768" s="26"/>
    </row>
    <row r="1769">
      <c r="A1769" s="81" t="str">
        <f>IFERROR(__xludf.DUMMYFUNCTION("""COMPUTED_VALUE"""),"Field Runners")</f>
        <v>Field Runners</v>
      </c>
      <c r="B1769" s="82" t="str">
        <f>IFERROR(__xludf.DUMMYFUNCTION("""COMPUTED_VALUE"""),"PS3")</f>
        <v>PS3</v>
      </c>
      <c r="C1769" s="83" t="str">
        <f>IFERROR(__xludf.DUMMYFUNCTION("""COMPUTED_VALUE"""),"Playstation Plus (Discontinued)")</f>
        <v>Playstation Plus (Discontinued)</v>
      </c>
      <c r="D1769" s="82" t="str">
        <f>IFERROR(__xludf.DUMMYFUNCTION("""COMPUTED_VALUE"""),"Removed")</f>
        <v>Removed</v>
      </c>
      <c r="E1769" s="84">
        <f>IFERROR(__xludf.DUMMYFUNCTION("""COMPUTED_VALUE"""),40365.0)</f>
        <v>40365</v>
      </c>
      <c r="F1769" s="85">
        <f>IFERROR(__xludf.DUMMYFUNCTION("""COMPUTED_VALUE"""),40392.0)</f>
        <v>40392</v>
      </c>
      <c r="G1769" s="86">
        <f>IFERROR(__xludf.DUMMYFUNCTION("""COMPUTED_VALUE"""),0.8666666666666666)</f>
        <v>0.8666666667</v>
      </c>
      <c r="H1769" s="84">
        <f>IFERROR(__xludf.DUMMYFUNCTION("""COMPUTED_VALUE"""),39723.0)</f>
        <v>39723</v>
      </c>
      <c r="I1769" s="86">
        <f>IFERROR(__xludf.DUMMYFUNCTION("""COMPUTED_VALUE"""),1.761111111111111)</f>
        <v>1.761111111</v>
      </c>
      <c r="J1769" s="87">
        <f>IFERROR(__xludf.DUMMYFUNCTION("""COMPUTED_VALUE"""),79.0)</f>
        <v>79</v>
      </c>
      <c r="K1769" s="88">
        <f>IFERROR(__xludf.DUMMYFUNCTION("""COMPUTED_VALUE"""),7.6)</f>
        <v>7.6</v>
      </c>
      <c r="L1769" s="89"/>
      <c r="M1769" s="26" t="str">
        <f>IFERROR(__xludf.DUMMYFUNCTION("""COMPUTED_VALUE"""),"Strategy")</f>
        <v>Strategy</v>
      </c>
      <c r="N1769" s="26" t="str">
        <f>IFERROR(__xludf.DUMMYFUNCTION("""COMPUTED_VALUE"""),"PS Minis")</f>
        <v>PS Minis</v>
      </c>
      <c r="O1769" s="26" t="str">
        <f>IFERROR(__xludf.DUMMYFUNCTION("""COMPUTED_VALUE"""),"No")</f>
        <v>No</v>
      </c>
      <c r="P1769" s="26"/>
    </row>
    <row r="1770">
      <c r="A1770" s="81" t="str">
        <f>IFERROR(__xludf.DUMMYFUNCTION("""COMPUTED_VALUE"""),"Age of Zombies")</f>
        <v>Age of Zombies</v>
      </c>
      <c r="B1770" s="82" t="str">
        <f>IFERROR(__xludf.DUMMYFUNCTION("""COMPUTED_VALUE"""),"PS3")</f>
        <v>PS3</v>
      </c>
      <c r="C1770" s="83" t="str">
        <f>IFERROR(__xludf.DUMMYFUNCTION("""COMPUTED_VALUE"""),"Playstation Plus (Discontinued)")</f>
        <v>Playstation Plus (Discontinued)</v>
      </c>
      <c r="D1770" s="82" t="str">
        <f>IFERROR(__xludf.DUMMYFUNCTION("""COMPUTED_VALUE"""),"Removed")</f>
        <v>Removed</v>
      </c>
      <c r="E1770" s="84">
        <f>IFERROR(__xludf.DUMMYFUNCTION("""COMPUTED_VALUE"""),40330.0)</f>
        <v>40330</v>
      </c>
      <c r="F1770" s="85">
        <f>IFERROR(__xludf.DUMMYFUNCTION("""COMPUTED_VALUE"""),40364.0)</f>
        <v>40364</v>
      </c>
      <c r="G1770" s="86">
        <f>IFERROR(__xludf.DUMMYFUNCTION("""COMPUTED_VALUE"""),1.1333333333333333)</f>
        <v>1.133333333</v>
      </c>
      <c r="H1770" s="84">
        <f>IFERROR(__xludf.DUMMYFUNCTION("""COMPUTED_VALUE"""),40234.0)</f>
        <v>40234</v>
      </c>
      <c r="I1770" s="86">
        <f>IFERROR(__xludf.DUMMYFUNCTION("""COMPUTED_VALUE"""),0.26666666666666666)</f>
        <v>0.2666666667</v>
      </c>
      <c r="J1770" s="87">
        <f>IFERROR(__xludf.DUMMYFUNCTION("""COMPUTED_VALUE"""),77.0)</f>
        <v>77</v>
      </c>
      <c r="K1770" s="88">
        <f>IFERROR(__xludf.DUMMYFUNCTION("""COMPUTED_VALUE"""),7.5)</f>
        <v>7.5</v>
      </c>
      <c r="L1770" s="89">
        <f>IFERROR(__xludf.DUMMYFUNCTION("""COMPUTED_VALUE"""),3.0)</f>
        <v>3</v>
      </c>
      <c r="M1770" s="26" t="str">
        <f>IFERROR(__xludf.DUMMYFUNCTION("""COMPUTED_VALUE"""),"Platformer")</f>
        <v>Platformer</v>
      </c>
      <c r="N1770" s="26" t="str">
        <f>IFERROR(__xludf.DUMMYFUNCTION("""COMPUTED_VALUE"""),"PS Minis")</f>
        <v>PS Minis</v>
      </c>
      <c r="O1770" s="26" t="str">
        <f>IFERROR(__xludf.DUMMYFUNCTION("""COMPUTED_VALUE"""),"No")</f>
        <v>No</v>
      </c>
      <c r="P1770" s="26"/>
    </row>
    <row r="1771">
      <c r="A1771" s="81" t="str">
        <f>IFERROR(__xludf.DUMMYFUNCTION("""COMPUTED_VALUE"""),"Rally Cross")</f>
        <v>Rally Cross</v>
      </c>
      <c r="B1771" s="82" t="str">
        <f>IFERROR(__xludf.DUMMYFUNCTION("""COMPUTED_VALUE"""),"PS3")</f>
        <v>PS3</v>
      </c>
      <c r="C1771" s="83" t="str">
        <f>IFERROR(__xludf.DUMMYFUNCTION("""COMPUTED_VALUE"""),"Playstation Plus (Discontinued)")</f>
        <v>Playstation Plus (Discontinued)</v>
      </c>
      <c r="D1771" s="82" t="str">
        <f>IFERROR(__xludf.DUMMYFUNCTION("""COMPUTED_VALUE"""),"Removed")</f>
        <v>Removed</v>
      </c>
      <c r="E1771" s="84">
        <f>IFERROR(__xludf.DUMMYFUNCTION("""COMPUTED_VALUE"""),40330.0)</f>
        <v>40330</v>
      </c>
      <c r="F1771" s="85">
        <f>IFERROR(__xludf.DUMMYFUNCTION("""COMPUTED_VALUE"""),40364.0)</f>
        <v>40364</v>
      </c>
      <c r="G1771" s="86">
        <f>IFERROR(__xludf.DUMMYFUNCTION("""COMPUTED_VALUE"""),1.1333333333333333)</f>
        <v>1.133333333</v>
      </c>
      <c r="H1771" s="84">
        <f>IFERROR(__xludf.DUMMYFUNCTION("""COMPUTED_VALUE"""),35734.0)</f>
        <v>35734</v>
      </c>
      <c r="I1771" s="86">
        <f>IFERROR(__xludf.DUMMYFUNCTION("""COMPUTED_VALUE"""),12.58611111111111)</f>
        <v>12.58611111</v>
      </c>
      <c r="J1771" s="87">
        <f>IFERROR(__xludf.DUMMYFUNCTION("""COMPUTED_VALUE"""),79.0)</f>
        <v>79</v>
      </c>
      <c r="K1771" s="88">
        <f>IFERROR(__xludf.DUMMYFUNCTION("""COMPUTED_VALUE"""),7.8)</f>
        <v>7.8</v>
      </c>
      <c r="L1771" s="89"/>
      <c r="M1771" s="26" t="str">
        <f>IFERROR(__xludf.DUMMYFUNCTION("""COMPUTED_VALUE"""),"Racing")</f>
        <v>Racing</v>
      </c>
      <c r="N1771" s="26" t="str">
        <f>IFERROR(__xludf.DUMMYFUNCTION("""COMPUTED_VALUE"""),"PS1")</f>
        <v>PS1</v>
      </c>
      <c r="O1771" s="26" t="str">
        <f>IFERROR(__xludf.DUMMYFUNCTION("""COMPUTED_VALUE"""),"No")</f>
        <v>No</v>
      </c>
      <c r="P1771" s="26"/>
    </row>
    <row r="1772">
      <c r="A1772" s="81" t="str">
        <f>IFERROR(__xludf.DUMMYFUNCTION("""COMPUTED_VALUE"""),"WipEout HD")</f>
        <v>WipEout HD</v>
      </c>
      <c r="B1772" s="82" t="str">
        <f>IFERROR(__xludf.DUMMYFUNCTION("""COMPUTED_VALUE"""),"PS3")</f>
        <v>PS3</v>
      </c>
      <c r="C1772" s="83" t="str">
        <f>IFERROR(__xludf.DUMMYFUNCTION("""COMPUTED_VALUE"""),"Playstation Plus (Discontinued)")</f>
        <v>Playstation Plus (Discontinued)</v>
      </c>
      <c r="D1772" s="82" t="str">
        <f>IFERROR(__xludf.DUMMYFUNCTION("""COMPUTED_VALUE"""),"Removed")</f>
        <v>Removed</v>
      </c>
      <c r="E1772" s="84">
        <f>IFERROR(__xludf.DUMMYFUNCTION("""COMPUTED_VALUE"""),40330.0)</f>
        <v>40330</v>
      </c>
      <c r="F1772" s="85">
        <f>IFERROR(__xludf.DUMMYFUNCTION("""COMPUTED_VALUE"""),40364.0)</f>
        <v>40364</v>
      </c>
      <c r="G1772" s="86">
        <f>IFERROR(__xludf.DUMMYFUNCTION("""COMPUTED_VALUE"""),1.1333333333333333)</f>
        <v>1.133333333</v>
      </c>
      <c r="H1772" s="84">
        <f>IFERROR(__xludf.DUMMYFUNCTION("""COMPUTED_VALUE"""),39716.0)</f>
        <v>39716</v>
      </c>
      <c r="I1772" s="86">
        <f>IFERROR(__xludf.DUMMYFUNCTION("""COMPUTED_VALUE"""),1.6833333333333333)</f>
        <v>1.683333333</v>
      </c>
      <c r="J1772" s="87">
        <f>IFERROR(__xludf.DUMMYFUNCTION("""COMPUTED_VALUE"""),88.0)</f>
        <v>88</v>
      </c>
      <c r="K1772" s="88">
        <f>IFERROR(__xludf.DUMMYFUNCTION("""COMPUTED_VALUE"""),8.3)</f>
        <v>8.3</v>
      </c>
      <c r="L1772" s="89">
        <f>IFERROR(__xludf.DUMMYFUNCTION("""COMPUTED_VALUE"""),8.0)</f>
        <v>8</v>
      </c>
      <c r="M1772" s="26" t="str">
        <f>IFERROR(__xludf.DUMMYFUNCTION("""COMPUTED_VALUE"""),"Racing")</f>
        <v>Racing</v>
      </c>
      <c r="N1772" s="26"/>
      <c r="O1772" s="26" t="str">
        <f>IFERROR(__xludf.DUMMYFUNCTION("""COMPUTED_VALUE"""),"No")</f>
        <v>No</v>
      </c>
      <c r="P1772" s="26"/>
    </row>
    <row r="1773">
      <c r="A1773" s="90"/>
      <c r="B1773" s="82"/>
      <c r="C1773" s="83"/>
      <c r="D1773" s="82"/>
      <c r="E1773" s="84"/>
      <c r="F1773" s="85"/>
      <c r="G1773" s="86"/>
      <c r="H1773" s="84"/>
      <c r="I1773" s="86"/>
      <c r="J1773" s="87"/>
      <c r="K1773" s="91"/>
      <c r="L1773" s="89"/>
      <c r="M1773" s="26"/>
      <c r="N1773" s="26"/>
      <c r="O1773" s="26"/>
      <c r="P1773" s="26"/>
    </row>
    <row r="1774">
      <c r="A1774" s="90"/>
      <c r="B1774" s="82"/>
      <c r="C1774" s="83"/>
      <c r="D1774" s="82"/>
      <c r="E1774" s="84"/>
      <c r="F1774" s="85"/>
      <c r="G1774" s="86"/>
      <c r="H1774" s="84"/>
      <c r="I1774" s="86"/>
      <c r="J1774" s="87"/>
      <c r="K1774" s="91"/>
      <c r="L1774" s="89"/>
      <c r="M1774" s="26"/>
      <c r="N1774" s="26"/>
      <c r="O1774" s="26"/>
      <c r="P1774" s="26"/>
    </row>
    <row r="1775">
      <c r="A1775" s="90"/>
      <c r="B1775" s="82"/>
      <c r="C1775" s="83"/>
      <c r="D1775" s="82"/>
      <c r="E1775" s="84"/>
      <c r="F1775" s="85"/>
      <c r="G1775" s="86"/>
      <c r="H1775" s="84"/>
      <c r="I1775" s="86"/>
      <c r="J1775" s="87"/>
      <c r="K1775" s="91"/>
      <c r="L1775" s="89"/>
      <c r="M1775" s="26"/>
      <c r="N1775" s="26"/>
      <c r="O1775" s="26"/>
      <c r="P1775" s="26"/>
    </row>
    <row r="1776">
      <c r="A1776" s="90"/>
      <c r="B1776" s="82"/>
      <c r="C1776" s="83"/>
      <c r="D1776" s="82"/>
      <c r="E1776" s="84"/>
      <c r="F1776" s="85"/>
      <c r="G1776" s="86"/>
      <c r="H1776" s="84"/>
      <c r="I1776" s="86"/>
      <c r="J1776" s="87"/>
      <c r="K1776" s="91"/>
      <c r="L1776" s="89"/>
      <c r="M1776" s="26"/>
      <c r="N1776" s="26"/>
      <c r="O1776" s="26"/>
      <c r="P1776" s="26"/>
    </row>
    <row r="1777">
      <c r="A1777" s="90"/>
      <c r="B1777" s="82"/>
      <c r="C1777" s="83"/>
      <c r="D1777" s="82"/>
      <c r="E1777" s="84"/>
      <c r="F1777" s="85"/>
      <c r="G1777" s="86"/>
      <c r="H1777" s="84"/>
      <c r="I1777" s="86"/>
      <c r="J1777" s="87"/>
      <c r="K1777" s="91"/>
      <c r="L1777" s="89"/>
      <c r="M1777" s="26"/>
      <c r="N1777" s="26"/>
      <c r="O1777" s="26"/>
      <c r="P1777" s="26"/>
    </row>
    <row r="1778">
      <c r="A1778" s="90"/>
      <c r="B1778" s="82"/>
      <c r="C1778" s="83"/>
      <c r="D1778" s="82"/>
      <c r="E1778" s="84"/>
      <c r="F1778" s="85"/>
      <c r="G1778" s="86"/>
      <c r="H1778" s="84"/>
      <c r="I1778" s="86"/>
      <c r="J1778" s="87"/>
      <c r="K1778" s="91"/>
      <c r="L1778" s="89"/>
      <c r="M1778" s="26"/>
      <c r="N1778" s="26"/>
      <c r="O1778" s="26"/>
      <c r="P1778" s="26"/>
    </row>
    <row r="1779">
      <c r="A1779" s="90"/>
      <c r="B1779" s="82"/>
      <c r="C1779" s="83"/>
      <c r="D1779" s="82"/>
      <c r="E1779" s="84"/>
      <c r="F1779" s="85"/>
      <c r="G1779" s="86"/>
      <c r="H1779" s="84"/>
      <c r="I1779" s="86"/>
      <c r="J1779" s="87"/>
      <c r="K1779" s="91"/>
      <c r="L1779" s="89"/>
      <c r="M1779" s="26"/>
      <c r="N1779" s="26"/>
      <c r="O1779" s="26"/>
      <c r="P1779" s="26"/>
    </row>
    <row r="1780">
      <c r="A1780" s="90"/>
      <c r="B1780" s="82"/>
      <c r="C1780" s="83"/>
      <c r="D1780" s="82"/>
      <c r="E1780" s="84"/>
      <c r="F1780" s="85"/>
      <c r="G1780" s="86"/>
      <c r="H1780" s="84"/>
      <c r="I1780" s="86"/>
      <c r="J1780" s="87"/>
      <c r="K1780" s="91"/>
      <c r="L1780" s="89"/>
      <c r="M1780" s="26"/>
      <c r="N1780" s="26"/>
      <c r="O1780" s="26"/>
      <c r="P1780" s="26"/>
    </row>
    <row r="1781">
      <c r="A1781" s="90"/>
      <c r="B1781" s="82"/>
      <c r="C1781" s="83"/>
      <c r="D1781" s="82"/>
      <c r="E1781" s="84"/>
      <c r="F1781" s="85"/>
      <c r="G1781" s="86"/>
      <c r="H1781" s="84"/>
      <c r="I1781" s="86"/>
      <c r="J1781" s="87"/>
      <c r="K1781" s="91"/>
      <c r="L1781" s="89"/>
      <c r="M1781" s="26"/>
      <c r="N1781" s="26"/>
      <c r="O1781" s="26"/>
      <c r="P1781" s="26"/>
    </row>
    <row r="1782">
      <c r="A1782" s="90"/>
      <c r="B1782" s="82"/>
      <c r="C1782" s="83"/>
      <c r="D1782" s="82"/>
      <c r="E1782" s="84"/>
      <c r="F1782" s="85"/>
      <c r="G1782" s="86"/>
      <c r="H1782" s="84"/>
      <c r="I1782" s="86"/>
      <c r="J1782" s="87"/>
      <c r="K1782" s="91"/>
      <c r="L1782" s="89"/>
      <c r="M1782" s="26"/>
      <c r="N1782" s="26"/>
      <c r="O1782" s="26"/>
      <c r="P1782" s="26"/>
    </row>
    <row r="1783">
      <c r="A1783" s="90"/>
      <c r="B1783" s="82"/>
      <c r="C1783" s="83"/>
      <c r="D1783" s="82"/>
      <c r="E1783" s="84"/>
      <c r="F1783" s="85"/>
      <c r="G1783" s="86"/>
      <c r="H1783" s="84"/>
      <c r="I1783" s="86"/>
      <c r="J1783" s="87"/>
      <c r="K1783" s="91"/>
      <c r="L1783" s="89"/>
      <c r="M1783" s="26"/>
      <c r="N1783" s="26"/>
      <c r="O1783" s="26"/>
      <c r="P1783" s="26"/>
    </row>
    <row r="1784">
      <c r="A1784" s="90"/>
      <c r="B1784" s="82"/>
      <c r="C1784" s="83"/>
      <c r="D1784" s="82"/>
      <c r="E1784" s="84"/>
      <c r="F1784" s="85"/>
      <c r="G1784" s="86"/>
      <c r="H1784" s="84"/>
      <c r="I1784" s="86"/>
      <c r="J1784" s="87"/>
      <c r="K1784" s="91"/>
      <c r="L1784" s="89"/>
      <c r="M1784" s="26"/>
      <c r="N1784" s="26"/>
      <c r="O1784" s="26"/>
      <c r="P1784" s="26"/>
    </row>
    <row r="1785">
      <c r="A1785" s="90"/>
      <c r="B1785" s="82"/>
      <c r="C1785" s="83"/>
      <c r="D1785" s="82"/>
      <c r="E1785" s="84"/>
      <c r="F1785" s="85"/>
      <c r="G1785" s="86"/>
      <c r="H1785" s="84"/>
      <c r="I1785" s="86"/>
      <c r="J1785" s="87"/>
      <c r="K1785" s="91"/>
      <c r="L1785" s="89"/>
      <c r="M1785" s="26"/>
      <c r="N1785" s="26"/>
      <c r="O1785" s="26"/>
      <c r="P1785" s="26"/>
    </row>
    <row r="1786">
      <c r="A1786" s="90"/>
      <c r="B1786" s="82"/>
      <c r="C1786" s="83"/>
      <c r="D1786" s="82"/>
      <c r="E1786" s="84"/>
      <c r="F1786" s="85"/>
      <c r="G1786" s="86"/>
      <c r="H1786" s="84"/>
      <c r="I1786" s="86"/>
      <c r="J1786" s="87"/>
      <c r="K1786" s="91"/>
      <c r="L1786" s="89"/>
      <c r="M1786" s="26"/>
      <c r="N1786" s="26"/>
      <c r="O1786" s="26"/>
      <c r="P1786" s="26"/>
    </row>
    <row r="1787">
      <c r="A1787" s="90"/>
      <c r="B1787" s="82"/>
      <c r="C1787" s="83"/>
      <c r="D1787" s="82"/>
      <c r="E1787" s="84"/>
      <c r="F1787" s="85"/>
      <c r="G1787" s="86"/>
      <c r="H1787" s="84"/>
      <c r="I1787" s="86"/>
      <c r="J1787" s="87"/>
      <c r="K1787" s="91"/>
      <c r="L1787" s="89"/>
      <c r="M1787" s="26"/>
      <c r="N1787" s="26"/>
      <c r="O1787" s="26"/>
      <c r="P1787" s="26"/>
    </row>
    <row r="1788">
      <c r="A1788" s="90"/>
      <c r="B1788" s="82"/>
      <c r="C1788" s="83"/>
      <c r="D1788" s="82"/>
      <c r="E1788" s="84"/>
      <c r="F1788" s="85"/>
      <c r="G1788" s="86"/>
      <c r="H1788" s="84"/>
      <c r="I1788" s="86"/>
      <c r="J1788" s="87"/>
      <c r="K1788" s="91"/>
      <c r="L1788" s="89"/>
      <c r="M1788" s="26"/>
      <c r="N1788" s="26"/>
      <c r="O1788" s="26"/>
      <c r="P1788" s="26"/>
    </row>
    <row r="1789">
      <c r="A1789" s="90"/>
      <c r="B1789" s="82"/>
      <c r="C1789" s="83"/>
      <c r="D1789" s="82"/>
      <c r="E1789" s="84"/>
      <c r="F1789" s="85"/>
      <c r="G1789" s="86"/>
      <c r="H1789" s="84"/>
      <c r="I1789" s="86"/>
      <c r="J1789" s="87"/>
      <c r="K1789" s="91"/>
      <c r="L1789" s="89"/>
      <c r="M1789" s="26"/>
      <c r="N1789" s="26"/>
      <c r="O1789" s="26"/>
      <c r="P1789" s="26"/>
    </row>
    <row r="1790">
      <c r="A1790" s="90"/>
      <c r="B1790" s="82"/>
      <c r="C1790" s="83"/>
      <c r="D1790" s="82"/>
      <c r="E1790" s="84"/>
      <c r="F1790" s="85"/>
      <c r="G1790" s="86"/>
      <c r="H1790" s="84"/>
      <c r="I1790" s="86"/>
      <c r="J1790" s="87"/>
      <c r="K1790" s="91"/>
      <c r="L1790" s="89"/>
      <c r="M1790" s="26"/>
      <c r="N1790" s="26"/>
      <c r="O1790" s="26"/>
      <c r="P1790" s="26"/>
    </row>
    <row r="1791">
      <c r="A1791" s="90"/>
      <c r="B1791" s="82"/>
      <c r="C1791" s="83"/>
      <c r="D1791" s="82"/>
      <c r="E1791" s="84"/>
      <c r="F1791" s="85"/>
      <c r="G1791" s="86"/>
      <c r="H1791" s="84"/>
      <c r="I1791" s="86"/>
      <c r="J1791" s="87"/>
      <c r="K1791" s="91"/>
      <c r="L1791" s="89"/>
      <c r="M1791" s="26"/>
      <c r="N1791" s="26"/>
      <c r="O1791" s="26"/>
      <c r="P1791" s="26"/>
    </row>
    <row r="1792">
      <c r="A1792" s="90"/>
      <c r="B1792" s="82"/>
      <c r="C1792" s="83"/>
      <c r="D1792" s="82"/>
      <c r="E1792" s="84"/>
      <c r="F1792" s="85"/>
      <c r="G1792" s="86"/>
      <c r="H1792" s="84"/>
      <c r="I1792" s="86"/>
      <c r="J1792" s="87"/>
      <c r="K1792" s="91"/>
      <c r="L1792" s="89"/>
      <c r="M1792" s="26"/>
      <c r="N1792" s="26"/>
      <c r="O1792" s="26"/>
      <c r="P1792" s="26"/>
    </row>
    <row r="1793">
      <c r="A1793" s="90"/>
      <c r="B1793" s="82"/>
      <c r="C1793" s="83"/>
      <c r="D1793" s="82"/>
      <c r="E1793" s="84"/>
      <c r="F1793" s="85"/>
      <c r="G1793" s="86"/>
      <c r="H1793" s="84"/>
      <c r="I1793" s="86"/>
      <c r="J1793" s="87"/>
      <c r="K1793" s="91"/>
      <c r="L1793" s="89"/>
      <c r="M1793" s="26"/>
      <c r="N1793" s="26"/>
      <c r="O1793" s="26"/>
      <c r="P1793" s="26"/>
    </row>
    <row r="1794">
      <c r="A1794" s="90"/>
      <c r="B1794" s="82"/>
      <c r="C1794" s="83"/>
      <c r="D1794" s="82"/>
      <c r="E1794" s="84"/>
      <c r="F1794" s="85"/>
      <c r="G1794" s="86"/>
      <c r="H1794" s="84"/>
      <c r="I1794" s="86"/>
      <c r="J1794" s="87"/>
      <c r="K1794" s="91"/>
      <c r="L1794" s="89"/>
      <c r="M1794" s="26"/>
      <c r="N1794" s="26"/>
      <c r="O1794" s="26"/>
      <c r="P1794" s="26"/>
    </row>
    <row r="1795">
      <c r="A1795" s="90"/>
      <c r="B1795" s="82"/>
      <c r="C1795" s="83"/>
      <c r="D1795" s="82"/>
      <c r="E1795" s="84"/>
      <c r="F1795" s="85"/>
      <c r="G1795" s="86"/>
      <c r="H1795" s="84"/>
      <c r="I1795" s="86"/>
      <c r="J1795" s="87"/>
      <c r="K1795" s="91"/>
      <c r="L1795" s="89"/>
      <c r="M1795" s="26"/>
      <c r="N1795" s="26"/>
      <c r="O1795" s="26"/>
      <c r="P1795" s="26"/>
    </row>
    <row r="1796">
      <c r="A1796" s="90"/>
      <c r="B1796" s="82"/>
      <c r="C1796" s="83"/>
      <c r="D1796" s="82"/>
      <c r="E1796" s="84"/>
      <c r="F1796" s="85"/>
      <c r="G1796" s="86"/>
      <c r="H1796" s="84"/>
      <c r="I1796" s="86"/>
      <c r="J1796" s="87"/>
      <c r="K1796" s="91"/>
      <c r="L1796" s="89"/>
      <c r="M1796" s="26"/>
      <c r="N1796" s="26"/>
      <c r="O1796" s="26"/>
      <c r="P1796" s="26"/>
    </row>
    <row r="1797">
      <c r="A1797" s="90"/>
      <c r="B1797" s="82"/>
      <c r="C1797" s="83"/>
      <c r="D1797" s="82"/>
      <c r="E1797" s="84"/>
      <c r="F1797" s="85"/>
      <c r="G1797" s="86"/>
      <c r="H1797" s="84"/>
      <c r="I1797" s="86"/>
      <c r="J1797" s="87"/>
      <c r="K1797" s="91"/>
      <c r="L1797" s="89"/>
      <c r="M1797" s="26"/>
      <c r="N1797" s="26"/>
      <c r="O1797" s="26"/>
      <c r="P1797" s="26"/>
    </row>
    <row r="1798">
      <c r="A1798" s="90"/>
      <c r="B1798" s="82"/>
      <c r="C1798" s="83"/>
      <c r="D1798" s="82"/>
      <c r="E1798" s="84"/>
      <c r="F1798" s="85"/>
      <c r="G1798" s="86"/>
      <c r="H1798" s="84"/>
      <c r="I1798" s="86"/>
      <c r="J1798" s="87"/>
      <c r="K1798" s="91"/>
      <c r="L1798" s="89"/>
      <c r="M1798" s="26"/>
      <c r="N1798" s="26"/>
      <c r="O1798" s="26"/>
      <c r="P1798" s="26"/>
    </row>
    <row r="1799">
      <c r="A1799" s="90"/>
      <c r="B1799" s="82"/>
      <c r="C1799" s="83"/>
      <c r="D1799" s="82"/>
      <c r="E1799" s="84"/>
      <c r="F1799" s="85"/>
      <c r="G1799" s="86"/>
      <c r="H1799" s="84"/>
      <c r="I1799" s="86"/>
      <c r="J1799" s="87"/>
      <c r="K1799" s="91"/>
      <c r="L1799" s="89"/>
      <c r="M1799" s="26"/>
      <c r="N1799" s="26"/>
      <c r="O1799" s="26"/>
      <c r="P1799" s="26"/>
    </row>
    <row r="1800">
      <c r="A1800" s="90"/>
      <c r="B1800" s="82"/>
      <c r="C1800" s="83"/>
      <c r="D1800" s="82"/>
      <c r="E1800" s="84"/>
      <c r="F1800" s="85"/>
      <c r="G1800" s="86"/>
      <c r="H1800" s="84"/>
      <c r="I1800" s="86"/>
      <c r="J1800" s="87"/>
      <c r="K1800" s="91"/>
      <c r="L1800" s="89"/>
      <c r="M1800" s="26"/>
      <c r="N1800" s="26"/>
      <c r="O1800" s="26"/>
      <c r="P1800" s="26"/>
    </row>
    <row r="1801">
      <c r="A1801" s="90"/>
      <c r="B1801" s="82"/>
      <c r="C1801" s="83"/>
      <c r="D1801" s="82"/>
      <c r="E1801" s="84"/>
      <c r="F1801" s="85"/>
      <c r="G1801" s="86"/>
      <c r="H1801" s="84"/>
      <c r="I1801" s="86"/>
      <c r="J1801" s="87"/>
      <c r="K1801" s="91"/>
      <c r="L1801" s="89"/>
      <c r="M1801" s="26"/>
      <c r="N1801" s="26"/>
      <c r="O1801" s="26"/>
      <c r="P1801" s="26"/>
    </row>
    <row r="1802">
      <c r="A1802" s="90"/>
      <c r="B1802" s="82"/>
      <c r="C1802" s="83"/>
      <c r="D1802" s="82"/>
      <c r="E1802" s="84"/>
      <c r="F1802" s="85"/>
      <c r="G1802" s="86"/>
      <c r="H1802" s="84"/>
      <c r="I1802" s="86"/>
      <c r="J1802" s="87"/>
      <c r="K1802" s="91"/>
      <c r="L1802" s="89"/>
      <c r="M1802" s="26"/>
      <c r="N1802" s="26"/>
      <c r="O1802" s="26"/>
      <c r="P1802" s="26"/>
    </row>
    <row r="1803">
      <c r="A1803" s="90"/>
      <c r="B1803" s="82"/>
      <c r="C1803" s="83"/>
      <c r="D1803" s="82"/>
      <c r="E1803" s="84"/>
      <c r="F1803" s="85"/>
      <c r="G1803" s="86"/>
      <c r="H1803" s="84"/>
      <c r="I1803" s="86"/>
      <c r="J1803" s="87"/>
      <c r="K1803" s="91"/>
      <c r="L1803" s="89"/>
      <c r="M1803" s="26"/>
      <c r="N1803" s="26"/>
      <c r="O1803" s="26"/>
      <c r="P1803" s="26"/>
    </row>
    <row r="1804">
      <c r="A1804" s="90"/>
      <c r="B1804" s="82"/>
      <c r="C1804" s="83"/>
      <c r="D1804" s="82"/>
      <c r="E1804" s="84"/>
      <c r="F1804" s="85"/>
      <c r="G1804" s="86"/>
      <c r="H1804" s="84"/>
      <c r="I1804" s="86"/>
      <c r="J1804" s="87"/>
      <c r="K1804" s="91"/>
      <c r="L1804" s="89"/>
      <c r="M1804" s="26"/>
      <c r="N1804" s="26"/>
      <c r="O1804" s="26"/>
      <c r="P1804" s="26"/>
    </row>
    <row r="1805">
      <c r="A1805" s="90"/>
      <c r="B1805" s="82"/>
      <c r="C1805" s="83"/>
      <c r="D1805" s="82"/>
      <c r="E1805" s="84"/>
      <c r="F1805" s="85"/>
      <c r="G1805" s="86"/>
      <c r="H1805" s="84"/>
      <c r="I1805" s="86"/>
      <c r="J1805" s="87"/>
      <c r="K1805" s="91"/>
      <c r="L1805" s="89"/>
      <c r="M1805" s="26"/>
      <c r="N1805" s="26"/>
      <c r="O1805" s="26"/>
      <c r="P1805" s="26"/>
    </row>
    <row r="1806">
      <c r="A1806" s="90"/>
      <c r="B1806" s="82"/>
      <c r="C1806" s="83"/>
      <c r="D1806" s="82"/>
      <c r="E1806" s="84"/>
      <c r="F1806" s="85"/>
      <c r="G1806" s="86"/>
      <c r="H1806" s="84"/>
      <c r="I1806" s="86"/>
      <c r="J1806" s="87"/>
      <c r="K1806" s="91"/>
      <c r="L1806" s="89"/>
      <c r="M1806" s="26"/>
      <c r="N1806" s="26"/>
      <c r="O1806" s="26"/>
      <c r="P1806" s="26"/>
    </row>
    <row r="1807">
      <c r="A1807" s="90"/>
      <c r="B1807" s="82"/>
      <c r="C1807" s="83"/>
      <c r="D1807" s="82"/>
      <c r="E1807" s="84"/>
      <c r="F1807" s="85"/>
      <c r="G1807" s="86"/>
      <c r="H1807" s="84"/>
      <c r="I1807" s="86"/>
      <c r="J1807" s="87"/>
      <c r="K1807" s="91"/>
      <c r="L1807" s="89"/>
      <c r="M1807" s="26"/>
      <c r="N1807" s="26"/>
      <c r="O1807" s="26"/>
      <c r="P1807" s="26"/>
    </row>
    <row r="1808">
      <c r="A1808" s="90"/>
      <c r="B1808" s="82"/>
      <c r="C1808" s="83"/>
      <c r="D1808" s="82"/>
      <c r="E1808" s="84"/>
      <c r="F1808" s="85"/>
      <c r="G1808" s="86"/>
      <c r="H1808" s="84"/>
      <c r="I1808" s="86"/>
      <c r="J1808" s="87"/>
      <c r="K1808" s="91"/>
      <c r="L1808" s="89"/>
      <c r="M1808" s="26"/>
      <c r="N1808" s="26"/>
      <c r="O1808" s="26"/>
      <c r="P1808" s="26"/>
    </row>
    <row r="1809">
      <c r="A1809" s="90"/>
      <c r="B1809" s="82"/>
      <c r="C1809" s="83"/>
      <c r="D1809" s="82"/>
      <c r="E1809" s="84"/>
      <c r="F1809" s="85"/>
      <c r="G1809" s="86"/>
      <c r="H1809" s="84"/>
      <c r="I1809" s="86"/>
      <c r="J1809" s="87"/>
      <c r="K1809" s="91"/>
      <c r="L1809" s="89"/>
      <c r="M1809" s="26"/>
      <c r="N1809" s="26"/>
      <c r="O1809" s="26"/>
      <c r="P1809" s="26"/>
    </row>
    <row r="1810">
      <c r="A1810" s="90"/>
      <c r="B1810" s="82"/>
      <c r="C1810" s="83"/>
      <c r="D1810" s="82"/>
      <c r="E1810" s="84"/>
      <c r="F1810" s="85"/>
      <c r="G1810" s="86"/>
      <c r="H1810" s="84"/>
      <c r="I1810" s="86"/>
      <c r="J1810" s="87"/>
      <c r="K1810" s="91"/>
      <c r="L1810" s="89"/>
      <c r="M1810" s="26"/>
      <c r="N1810" s="26"/>
      <c r="O1810" s="26"/>
      <c r="P1810" s="26"/>
    </row>
    <row r="1811">
      <c r="A1811" s="90"/>
      <c r="B1811" s="82"/>
      <c r="C1811" s="83"/>
      <c r="D1811" s="82"/>
      <c r="E1811" s="84"/>
      <c r="F1811" s="85"/>
      <c r="G1811" s="86"/>
      <c r="H1811" s="84"/>
      <c r="I1811" s="86"/>
      <c r="J1811" s="87"/>
      <c r="K1811" s="91"/>
      <c r="L1811" s="89"/>
      <c r="M1811" s="26"/>
      <c r="N1811" s="26"/>
      <c r="O1811" s="26"/>
      <c r="P1811" s="26"/>
    </row>
    <row r="1812">
      <c r="A1812" s="90"/>
      <c r="B1812" s="82"/>
      <c r="C1812" s="83"/>
      <c r="D1812" s="82"/>
      <c r="E1812" s="84"/>
      <c r="F1812" s="85"/>
      <c r="G1812" s="86"/>
      <c r="H1812" s="84"/>
      <c r="I1812" s="86"/>
      <c r="J1812" s="87"/>
      <c r="K1812" s="91"/>
      <c r="L1812" s="89"/>
      <c r="M1812" s="26"/>
      <c r="N1812" s="26"/>
      <c r="O1812" s="26"/>
      <c r="P1812" s="26"/>
    </row>
    <row r="1813">
      <c r="A1813" s="90"/>
      <c r="B1813" s="82"/>
      <c r="C1813" s="83"/>
      <c r="D1813" s="82"/>
      <c r="E1813" s="84"/>
      <c r="F1813" s="85"/>
      <c r="G1813" s="86"/>
      <c r="H1813" s="84"/>
      <c r="I1813" s="86"/>
      <c r="J1813" s="87"/>
      <c r="K1813" s="91"/>
      <c r="L1813" s="89"/>
      <c r="M1813" s="26"/>
      <c r="N1813" s="26"/>
      <c r="O1813" s="26"/>
      <c r="P1813" s="26"/>
    </row>
    <row r="1814">
      <c r="A1814" s="90"/>
      <c r="B1814" s="82"/>
      <c r="C1814" s="83"/>
      <c r="D1814" s="82"/>
      <c r="E1814" s="84"/>
      <c r="F1814" s="85"/>
      <c r="G1814" s="86"/>
      <c r="H1814" s="84"/>
      <c r="I1814" s="86"/>
      <c r="J1814" s="87"/>
      <c r="K1814" s="91"/>
      <c r="L1814" s="89"/>
      <c r="M1814" s="26"/>
      <c r="N1814" s="26"/>
      <c r="O1814" s="26"/>
      <c r="P1814" s="26"/>
    </row>
    <row r="1815">
      <c r="A1815" s="90"/>
      <c r="B1815" s="82"/>
      <c r="C1815" s="83"/>
      <c r="D1815" s="82"/>
      <c r="E1815" s="84"/>
      <c r="F1815" s="85"/>
      <c r="G1815" s="86"/>
      <c r="H1815" s="84"/>
      <c r="I1815" s="86"/>
      <c r="J1815" s="87"/>
      <c r="K1815" s="91"/>
      <c r="L1815" s="89"/>
      <c r="M1815" s="26"/>
      <c r="N1815" s="26"/>
      <c r="O1815" s="26"/>
      <c r="P1815" s="26"/>
    </row>
    <row r="1816">
      <c r="A1816" s="90"/>
      <c r="B1816" s="82"/>
      <c r="C1816" s="83"/>
      <c r="D1816" s="82"/>
      <c r="E1816" s="84"/>
      <c r="F1816" s="85"/>
      <c r="G1816" s="86"/>
      <c r="H1816" s="84"/>
      <c r="I1816" s="86"/>
      <c r="J1816" s="87"/>
      <c r="K1816" s="91"/>
      <c r="L1816" s="89"/>
      <c r="M1816" s="26"/>
      <c r="N1816" s="26"/>
      <c r="O1816" s="26"/>
      <c r="P1816" s="26"/>
    </row>
    <row r="1817">
      <c r="A1817" s="90"/>
      <c r="B1817" s="82"/>
      <c r="C1817" s="83"/>
      <c r="D1817" s="82"/>
      <c r="E1817" s="84"/>
      <c r="F1817" s="85"/>
      <c r="G1817" s="86"/>
      <c r="H1817" s="84"/>
      <c r="I1817" s="86"/>
      <c r="J1817" s="87"/>
      <c r="K1817" s="91"/>
      <c r="L1817" s="89"/>
      <c r="M1817" s="26"/>
      <c r="N1817" s="26"/>
      <c r="O1817" s="26"/>
      <c r="P1817" s="26"/>
    </row>
    <row r="1818">
      <c r="A1818" s="90"/>
      <c r="B1818" s="82"/>
      <c r="C1818" s="83"/>
      <c r="D1818" s="82"/>
      <c r="E1818" s="84"/>
      <c r="F1818" s="85"/>
      <c r="G1818" s="86"/>
      <c r="H1818" s="84"/>
      <c r="I1818" s="86"/>
      <c r="J1818" s="87"/>
      <c r="K1818" s="91"/>
      <c r="L1818" s="89"/>
      <c r="M1818" s="26"/>
      <c r="N1818" s="26"/>
      <c r="O1818" s="26"/>
      <c r="P1818" s="26"/>
    </row>
    <row r="1819">
      <c r="A1819" s="90"/>
      <c r="B1819" s="82"/>
      <c r="C1819" s="83"/>
      <c r="D1819" s="82"/>
      <c r="E1819" s="84"/>
      <c r="F1819" s="85"/>
      <c r="G1819" s="86"/>
      <c r="H1819" s="84"/>
      <c r="I1819" s="86"/>
      <c r="J1819" s="87"/>
      <c r="K1819" s="91"/>
      <c r="L1819" s="89"/>
      <c r="M1819" s="26"/>
      <c r="N1819" s="26"/>
      <c r="O1819" s="26"/>
      <c r="P1819" s="26"/>
    </row>
    <row r="1820">
      <c r="A1820" s="90"/>
      <c r="B1820" s="82"/>
      <c r="C1820" s="83"/>
      <c r="D1820" s="82"/>
      <c r="E1820" s="84"/>
      <c r="F1820" s="85"/>
      <c r="G1820" s="86"/>
      <c r="H1820" s="84"/>
      <c r="I1820" s="86"/>
      <c r="J1820" s="87"/>
      <c r="K1820" s="91"/>
      <c r="L1820" s="89"/>
      <c r="M1820" s="26"/>
      <c r="N1820" s="26"/>
      <c r="O1820" s="26"/>
      <c r="P1820" s="26"/>
    </row>
    <row r="1821">
      <c r="A1821" s="90"/>
      <c r="B1821" s="82"/>
      <c r="C1821" s="83"/>
      <c r="D1821" s="82"/>
      <c r="E1821" s="84"/>
      <c r="F1821" s="85"/>
      <c r="G1821" s="86"/>
      <c r="H1821" s="84"/>
      <c r="I1821" s="86"/>
      <c r="J1821" s="87"/>
      <c r="K1821" s="91"/>
      <c r="L1821" s="89"/>
      <c r="M1821" s="26"/>
      <c r="N1821" s="26"/>
      <c r="O1821" s="26"/>
      <c r="P1821" s="26"/>
    </row>
    <row r="1822">
      <c r="A1822" s="90"/>
      <c r="B1822" s="82"/>
      <c r="C1822" s="83"/>
      <c r="D1822" s="82"/>
      <c r="E1822" s="84"/>
      <c r="F1822" s="85"/>
      <c r="G1822" s="86"/>
      <c r="H1822" s="84"/>
      <c r="I1822" s="86"/>
      <c r="J1822" s="87"/>
      <c r="K1822" s="91"/>
      <c r="L1822" s="89"/>
      <c r="M1822" s="26"/>
      <c r="N1822" s="26"/>
      <c r="O1822" s="26"/>
      <c r="P1822" s="26"/>
    </row>
    <row r="1823">
      <c r="A1823" s="90"/>
      <c r="B1823" s="82"/>
      <c r="C1823" s="83"/>
      <c r="D1823" s="82"/>
      <c r="E1823" s="84"/>
      <c r="F1823" s="85"/>
      <c r="G1823" s="86"/>
      <c r="H1823" s="84"/>
      <c r="I1823" s="86"/>
      <c r="J1823" s="87"/>
      <c r="K1823" s="91"/>
      <c r="L1823" s="89"/>
      <c r="M1823" s="26"/>
      <c r="N1823" s="26"/>
      <c r="O1823" s="26"/>
      <c r="P1823" s="26"/>
    </row>
    <row r="1824">
      <c r="A1824" s="90"/>
      <c r="B1824" s="82"/>
      <c r="C1824" s="83"/>
      <c r="D1824" s="82"/>
      <c r="E1824" s="84"/>
      <c r="F1824" s="85"/>
      <c r="G1824" s="86"/>
      <c r="H1824" s="84"/>
      <c r="I1824" s="86"/>
      <c r="J1824" s="87"/>
      <c r="K1824" s="91"/>
      <c r="L1824" s="89"/>
      <c r="M1824" s="26"/>
      <c r="N1824" s="26"/>
      <c r="O1824" s="26"/>
      <c r="P1824" s="26"/>
    </row>
    <row r="1825">
      <c r="A1825" s="90"/>
      <c r="B1825" s="82"/>
      <c r="C1825" s="83"/>
      <c r="D1825" s="82"/>
      <c r="E1825" s="84"/>
      <c r="F1825" s="85"/>
      <c r="G1825" s="86"/>
      <c r="H1825" s="84"/>
      <c r="I1825" s="86"/>
      <c r="J1825" s="87"/>
      <c r="K1825" s="91"/>
      <c r="L1825" s="89"/>
      <c r="M1825" s="26"/>
      <c r="N1825" s="26"/>
      <c r="O1825" s="26"/>
      <c r="P1825" s="26"/>
    </row>
    <row r="1826">
      <c r="A1826" s="90"/>
      <c r="B1826" s="82"/>
      <c r="C1826" s="83"/>
      <c r="D1826" s="82"/>
      <c r="E1826" s="84"/>
      <c r="F1826" s="85"/>
      <c r="G1826" s="86"/>
      <c r="H1826" s="84"/>
      <c r="I1826" s="86"/>
      <c r="J1826" s="87"/>
      <c r="K1826" s="91"/>
      <c r="L1826" s="89"/>
      <c r="M1826" s="26"/>
      <c r="N1826" s="26"/>
      <c r="O1826" s="26"/>
      <c r="P1826" s="26"/>
    </row>
    <row r="1827">
      <c r="A1827" s="90"/>
      <c r="B1827" s="82"/>
      <c r="C1827" s="83"/>
      <c r="D1827" s="82"/>
      <c r="E1827" s="84"/>
      <c r="F1827" s="85"/>
      <c r="G1827" s="86"/>
      <c r="H1827" s="84"/>
      <c r="I1827" s="86"/>
      <c r="J1827" s="87"/>
      <c r="K1827" s="91"/>
      <c r="L1827" s="89"/>
      <c r="M1827" s="26"/>
      <c r="N1827" s="26"/>
      <c r="O1827" s="26"/>
      <c r="P1827" s="26"/>
    </row>
    <row r="1828">
      <c r="A1828" s="90"/>
      <c r="B1828" s="82"/>
      <c r="C1828" s="83"/>
      <c r="D1828" s="82"/>
      <c r="E1828" s="84"/>
      <c r="F1828" s="85"/>
      <c r="G1828" s="86"/>
      <c r="H1828" s="84"/>
      <c r="I1828" s="86"/>
      <c r="J1828" s="87"/>
      <c r="K1828" s="91"/>
      <c r="L1828" s="89"/>
      <c r="M1828" s="26"/>
      <c r="N1828" s="26"/>
      <c r="O1828" s="26"/>
      <c r="P1828" s="26"/>
    </row>
    <row r="1829">
      <c r="A1829" s="90"/>
      <c r="B1829" s="82"/>
      <c r="C1829" s="83"/>
      <c r="D1829" s="82"/>
      <c r="E1829" s="84"/>
      <c r="F1829" s="85"/>
      <c r="G1829" s="86"/>
      <c r="H1829" s="84"/>
      <c r="I1829" s="86"/>
      <c r="J1829" s="87"/>
      <c r="K1829" s="91"/>
      <c r="L1829" s="89"/>
      <c r="M1829" s="26"/>
      <c r="N1829" s="26"/>
      <c r="O1829" s="26"/>
      <c r="P1829" s="26"/>
    </row>
    <row r="1830">
      <c r="A1830" s="90"/>
      <c r="B1830" s="82"/>
      <c r="C1830" s="83"/>
      <c r="D1830" s="82"/>
      <c r="E1830" s="84"/>
      <c r="F1830" s="85"/>
      <c r="G1830" s="86"/>
      <c r="H1830" s="84"/>
      <c r="I1830" s="86"/>
      <c r="J1830" s="87"/>
      <c r="K1830" s="91"/>
      <c r="L1830" s="89"/>
      <c r="M1830" s="26"/>
      <c r="N1830" s="26"/>
      <c r="O1830" s="26"/>
      <c r="P1830" s="26"/>
    </row>
    <row r="1831">
      <c r="A1831" s="90"/>
      <c r="B1831" s="82"/>
      <c r="C1831" s="83"/>
      <c r="D1831" s="82"/>
      <c r="E1831" s="84"/>
      <c r="F1831" s="85"/>
      <c r="G1831" s="86"/>
      <c r="H1831" s="84"/>
      <c r="I1831" s="86"/>
      <c r="J1831" s="87"/>
      <c r="K1831" s="91"/>
      <c r="L1831" s="89"/>
      <c r="M1831" s="26"/>
      <c r="N1831" s="26"/>
      <c r="O1831" s="26"/>
      <c r="P1831" s="26"/>
    </row>
    <row r="1832">
      <c r="A1832" s="90"/>
      <c r="B1832" s="82"/>
      <c r="C1832" s="83"/>
      <c r="D1832" s="82"/>
      <c r="E1832" s="84"/>
      <c r="F1832" s="85"/>
      <c r="G1832" s="86"/>
      <c r="H1832" s="84"/>
      <c r="I1832" s="86"/>
      <c r="J1832" s="87"/>
      <c r="K1832" s="91"/>
      <c r="L1832" s="89"/>
      <c r="M1832" s="26"/>
      <c r="N1832" s="26"/>
      <c r="O1832" s="26"/>
      <c r="P1832" s="26"/>
    </row>
    <row r="1833">
      <c r="A1833" s="90"/>
      <c r="B1833" s="82"/>
      <c r="C1833" s="83"/>
      <c r="D1833" s="82"/>
      <c r="E1833" s="84"/>
      <c r="F1833" s="85"/>
      <c r="G1833" s="86"/>
      <c r="H1833" s="84"/>
      <c r="I1833" s="86"/>
      <c r="J1833" s="87"/>
      <c r="K1833" s="91"/>
      <c r="L1833" s="89"/>
      <c r="M1833" s="26"/>
      <c r="N1833" s="26"/>
      <c r="O1833" s="26"/>
      <c r="P1833" s="26"/>
    </row>
    <row r="1834">
      <c r="A1834" s="90"/>
      <c r="B1834" s="82"/>
      <c r="C1834" s="83"/>
      <c r="D1834" s="82"/>
      <c r="E1834" s="84"/>
      <c r="F1834" s="85"/>
      <c r="G1834" s="86"/>
      <c r="H1834" s="84"/>
      <c r="I1834" s="86"/>
      <c r="J1834" s="87"/>
      <c r="K1834" s="91"/>
      <c r="L1834" s="89"/>
      <c r="M1834" s="26"/>
      <c r="N1834" s="26"/>
      <c r="O1834" s="26"/>
      <c r="P1834" s="26"/>
    </row>
    <row r="1835">
      <c r="A1835" s="90"/>
      <c r="B1835" s="82"/>
      <c r="C1835" s="83"/>
      <c r="D1835" s="82"/>
      <c r="E1835" s="84"/>
      <c r="F1835" s="85"/>
      <c r="G1835" s="86"/>
      <c r="H1835" s="84"/>
      <c r="I1835" s="86"/>
      <c r="J1835" s="87"/>
      <c r="K1835" s="91"/>
      <c r="L1835" s="89"/>
      <c r="M1835" s="26"/>
      <c r="N1835" s="26"/>
      <c r="O1835" s="26"/>
      <c r="P1835" s="26"/>
    </row>
    <row r="1836">
      <c r="A1836" s="90"/>
      <c r="B1836" s="82"/>
      <c r="C1836" s="83"/>
      <c r="D1836" s="82"/>
      <c r="E1836" s="84"/>
      <c r="F1836" s="85"/>
      <c r="G1836" s="86"/>
      <c r="H1836" s="84"/>
      <c r="I1836" s="86"/>
      <c r="J1836" s="87"/>
      <c r="K1836" s="91"/>
      <c r="L1836" s="89"/>
      <c r="M1836" s="26"/>
      <c r="N1836" s="26"/>
      <c r="O1836" s="26"/>
      <c r="P1836" s="26"/>
    </row>
    <row r="1837">
      <c r="A1837" s="90"/>
      <c r="B1837" s="82"/>
      <c r="C1837" s="83"/>
      <c r="D1837" s="82"/>
      <c r="E1837" s="84"/>
      <c r="F1837" s="85"/>
      <c r="G1837" s="86"/>
      <c r="H1837" s="84"/>
      <c r="I1837" s="86"/>
      <c r="J1837" s="87"/>
      <c r="K1837" s="91"/>
      <c r="L1837" s="89"/>
      <c r="M1837" s="26"/>
      <c r="N1837" s="26"/>
      <c r="O1837" s="26"/>
      <c r="P1837" s="26"/>
    </row>
    <row r="1838">
      <c r="A1838" s="90"/>
      <c r="B1838" s="82"/>
      <c r="C1838" s="83"/>
      <c r="D1838" s="82"/>
      <c r="E1838" s="84"/>
      <c r="F1838" s="85"/>
      <c r="G1838" s="86"/>
      <c r="H1838" s="84"/>
      <c r="I1838" s="86"/>
      <c r="J1838" s="87"/>
      <c r="K1838" s="91"/>
      <c r="L1838" s="89"/>
      <c r="M1838" s="26"/>
      <c r="N1838" s="26"/>
      <c r="O1838" s="26"/>
      <c r="P1838" s="26"/>
    </row>
    <row r="1839">
      <c r="A1839" s="90"/>
      <c r="B1839" s="82"/>
      <c r="C1839" s="83"/>
      <c r="D1839" s="82"/>
      <c r="E1839" s="84"/>
      <c r="F1839" s="85"/>
      <c r="G1839" s="86"/>
      <c r="H1839" s="84"/>
      <c r="I1839" s="86"/>
      <c r="J1839" s="87"/>
      <c r="K1839" s="91"/>
      <c r="L1839" s="89"/>
      <c r="M1839" s="26"/>
      <c r="N1839" s="26"/>
      <c r="O1839" s="26"/>
      <c r="P1839" s="26"/>
    </row>
    <row r="1840">
      <c r="A1840" s="90"/>
      <c r="B1840" s="82"/>
      <c r="C1840" s="83"/>
      <c r="D1840" s="82"/>
      <c r="E1840" s="84"/>
      <c r="F1840" s="85"/>
      <c r="G1840" s="86"/>
      <c r="H1840" s="84"/>
      <c r="I1840" s="86"/>
      <c r="J1840" s="87"/>
      <c r="K1840" s="91"/>
      <c r="L1840" s="89"/>
      <c r="M1840" s="26"/>
      <c r="N1840" s="26"/>
      <c r="O1840" s="26"/>
      <c r="P1840" s="26"/>
    </row>
    <row r="1841">
      <c r="A1841" s="90"/>
      <c r="B1841" s="82"/>
      <c r="C1841" s="83"/>
      <c r="D1841" s="82"/>
      <c r="E1841" s="84"/>
      <c r="F1841" s="85"/>
      <c r="G1841" s="86"/>
      <c r="H1841" s="84"/>
      <c r="I1841" s="86"/>
      <c r="J1841" s="87"/>
      <c r="K1841" s="91"/>
      <c r="L1841" s="89"/>
      <c r="M1841" s="26"/>
      <c r="N1841" s="26"/>
      <c r="O1841" s="26"/>
      <c r="P1841" s="26"/>
    </row>
    <row r="1842">
      <c r="A1842" s="90"/>
      <c r="B1842" s="82"/>
      <c r="C1842" s="83"/>
      <c r="D1842" s="82"/>
      <c r="E1842" s="84"/>
      <c r="F1842" s="85"/>
      <c r="G1842" s="86"/>
      <c r="H1842" s="84"/>
      <c r="I1842" s="86"/>
      <c r="J1842" s="87"/>
      <c r="K1842" s="91"/>
      <c r="L1842" s="89"/>
      <c r="M1842" s="26"/>
      <c r="N1842" s="26"/>
      <c r="O1842" s="26"/>
      <c r="P1842" s="26"/>
    </row>
    <row r="1843">
      <c r="A1843" s="90"/>
      <c r="B1843" s="82"/>
      <c r="C1843" s="83"/>
      <c r="D1843" s="82"/>
      <c r="E1843" s="84"/>
      <c r="F1843" s="85"/>
      <c r="G1843" s="86"/>
      <c r="H1843" s="84"/>
      <c r="I1843" s="86"/>
      <c r="J1843" s="87"/>
      <c r="K1843" s="91"/>
      <c r="L1843" s="89"/>
      <c r="M1843" s="26"/>
      <c r="N1843" s="26"/>
      <c r="O1843" s="26"/>
      <c r="P1843" s="26"/>
    </row>
    <row r="1844">
      <c r="A1844" s="90"/>
      <c r="B1844" s="82"/>
      <c r="C1844" s="83"/>
      <c r="D1844" s="82"/>
      <c r="E1844" s="84"/>
      <c r="F1844" s="85"/>
      <c r="G1844" s="86"/>
      <c r="H1844" s="84"/>
      <c r="I1844" s="86"/>
      <c r="J1844" s="87"/>
      <c r="K1844" s="91"/>
      <c r="L1844" s="89"/>
      <c r="M1844" s="26"/>
      <c r="N1844" s="26"/>
      <c r="O1844" s="26"/>
      <c r="P1844" s="26"/>
    </row>
    <row r="1845">
      <c r="A1845" s="90"/>
      <c r="B1845" s="82"/>
      <c r="C1845" s="83"/>
      <c r="D1845" s="82"/>
      <c r="E1845" s="84"/>
      <c r="F1845" s="85"/>
      <c r="G1845" s="86"/>
      <c r="H1845" s="84"/>
      <c r="I1845" s="86"/>
      <c r="J1845" s="87"/>
      <c r="K1845" s="91"/>
      <c r="L1845" s="89"/>
      <c r="M1845" s="26"/>
      <c r="N1845" s="26"/>
      <c r="O1845" s="26"/>
      <c r="P1845" s="26"/>
    </row>
    <row r="1846">
      <c r="A1846" s="90"/>
      <c r="B1846" s="82"/>
      <c r="C1846" s="83"/>
      <c r="D1846" s="82"/>
      <c r="E1846" s="84"/>
      <c r="F1846" s="85"/>
      <c r="G1846" s="86"/>
      <c r="H1846" s="84"/>
      <c r="I1846" s="86"/>
      <c r="J1846" s="87"/>
      <c r="K1846" s="91"/>
      <c r="L1846" s="89"/>
      <c r="M1846" s="26"/>
      <c r="N1846" s="26"/>
      <c r="O1846" s="26"/>
      <c r="P1846" s="26"/>
    </row>
    <row r="1847">
      <c r="A1847" s="90"/>
      <c r="B1847" s="82"/>
      <c r="C1847" s="83"/>
      <c r="D1847" s="82"/>
      <c r="E1847" s="84"/>
      <c r="F1847" s="85"/>
      <c r="G1847" s="86"/>
      <c r="H1847" s="84"/>
      <c r="I1847" s="86"/>
      <c r="J1847" s="87"/>
      <c r="K1847" s="91"/>
      <c r="L1847" s="89"/>
      <c r="M1847" s="26"/>
      <c r="N1847" s="26"/>
      <c r="O1847" s="26"/>
      <c r="P1847" s="26"/>
    </row>
    <row r="1848">
      <c r="A1848" s="90"/>
      <c r="B1848" s="82"/>
      <c r="C1848" s="83"/>
      <c r="D1848" s="82"/>
      <c r="E1848" s="84"/>
      <c r="F1848" s="85"/>
      <c r="G1848" s="86"/>
      <c r="H1848" s="84"/>
      <c r="I1848" s="86"/>
      <c r="J1848" s="87"/>
      <c r="K1848" s="91"/>
      <c r="L1848" s="89"/>
      <c r="M1848" s="26"/>
      <c r="N1848" s="26"/>
      <c r="O1848" s="26"/>
      <c r="P1848" s="26"/>
    </row>
    <row r="1849">
      <c r="A1849" s="90"/>
      <c r="B1849" s="82"/>
      <c r="C1849" s="83"/>
      <c r="D1849" s="82"/>
      <c r="E1849" s="84"/>
      <c r="F1849" s="85"/>
      <c r="G1849" s="86"/>
      <c r="H1849" s="84"/>
      <c r="I1849" s="86"/>
      <c r="J1849" s="87"/>
      <c r="K1849" s="91"/>
      <c r="L1849" s="89"/>
      <c r="M1849" s="26"/>
      <c r="N1849" s="26"/>
      <c r="O1849" s="26"/>
      <c r="P1849" s="26"/>
    </row>
    <row r="1850">
      <c r="A1850" s="90"/>
      <c r="B1850" s="82"/>
      <c r="C1850" s="83"/>
      <c r="D1850" s="82"/>
      <c r="E1850" s="84"/>
      <c r="F1850" s="85"/>
      <c r="G1850" s="86"/>
      <c r="H1850" s="84"/>
      <c r="I1850" s="86"/>
      <c r="J1850" s="87"/>
      <c r="K1850" s="91"/>
      <c r="L1850" s="89"/>
      <c r="M1850" s="26"/>
      <c r="N1850" s="26"/>
      <c r="O1850" s="26"/>
      <c r="P1850" s="26"/>
    </row>
    <row r="1851">
      <c r="A1851" s="90"/>
      <c r="B1851" s="82"/>
      <c r="C1851" s="83"/>
      <c r="D1851" s="82"/>
      <c r="E1851" s="84"/>
      <c r="F1851" s="85"/>
      <c r="G1851" s="86"/>
      <c r="H1851" s="84"/>
      <c r="I1851" s="86"/>
      <c r="J1851" s="87"/>
      <c r="K1851" s="91"/>
      <c r="L1851" s="89"/>
      <c r="M1851" s="26"/>
      <c r="N1851" s="26"/>
      <c r="O1851" s="26"/>
      <c r="P1851" s="26"/>
    </row>
    <row r="1852">
      <c r="A1852" s="90"/>
      <c r="B1852" s="82"/>
      <c r="C1852" s="83"/>
      <c r="D1852" s="82"/>
      <c r="E1852" s="84"/>
      <c r="F1852" s="85"/>
      <c r="G1852" s="86"/>
      <c r="H1852" s="84"/>
      <c r="I1852" s="86"/>
      <c r="J1852" s="87"/>
      <c r="K1852" s="91"/>
      <c r="L1852" s="89"/>
      <c r="M1852" s="26"/>
      <c r="N1852" s="26"/>
      <c r="O1852" s="26"/>
      <c r="P1852" s="26"/>
    </row>
    <row r="1853">
      <c r="A1853" s="90"/>
      <c r="B1853" s="82"/>
      <c r="C1853" s="83"/>
      <c r="D1853" s="82"/>
      <c r="E1853" s="84"/>
      <c r="F1853" s="85"/>
      <c r="G1853" s="86"/>
      <c r="H1853" s="84"/>
      <c r="I1853" s="86"/>
      <c r="J1853" s="87"/>
      <c r="K1853" s="91"/>
      <c r="L1853" s="89"/>
      <c r="M1853" s="26"/>
      <c r="N1853" s="26"/>
      <c r="O1853" s="26"/>
      <c r="P1853" s="26"/>
    </row>
    <row r="1854">
      <c r="A1854" s="90"/>
      <c r="B1854" s="82"/>
      <c r="C1854" s="83"/>
      <c r="D1854" s="82"/>
      <c r="E1854" s="84"/>
      <c r="F1854" s="85"/>
      <c r="G1854" s="86"/>
      <c r="H1854" s="84"/>
      <c r="I1854" s="86"/>
      <c r="J1854" s="87"/>
      <c r="K1854" s="91"/>
      <c r="L1854" s="89"/>
      <c r="M1854" s="26"/>
      <c r="N1854" s="26"/>
      <c r="O1854" s="26"/>
      <c r="P1854" s="26"/>
    </row>
    <row r="1855">
      <c r="A1855" s="90"/>
      <c r="B1855" s="82"/>
      <c r="C1855" s="83"/>
      <c r="D1855" s="82"/>
      <c r="E1855" s="84"/>
      <c r="F1855" s="85"/>
      <c r="G1855" s="86"/>
      <c r="H1855" s="84"/>
      <c r="I1855" s="86"/>
      <c r="J1855" s="87"/>
      <c r="K1855" s="91"/>
      <c r="L1855" s="89"/>
      <c r="M1855" s="26"/>
      <c r="N1855" s="26"/>
      <c r="O1855" s="26"/>
      <c r="P1855" s="26"/>
    </row>
    <row r="1856">
      <c r="A1856" s="90"/>
      <c r="B1856" s="82"/>
      <c r="C1856" s="83"/>
      <c r="D1856" s="82"/>
      <c r="E1856" s="84"/>
      <c r="F1856" s="85"/>
      <c r="G1856" s="86"/>
      <c r="H1856" s="84"/>
      <c r="I1856" s="86"/>
      <c r="J1856" s="87"/>
      <c r="K1856" s="91"/>
      <c r="L1856" s="89"/>
      <c r="M1856" s="26"/>
      <c r="N1856" s="26"/>
      <c r="O1856" s="26"/>
      <c r="P1856" s="26"/>
    </row>
    <row r="1857">
      <c r="A1857" s="90"/>
      <c r="B1857" s="82"/>
      <c r="C1857" s="83"/>
      <c r="D1857" s="82"/>
      <c r="E1857" s="84"/>
      <c r="F1857" s="85"/>
      <c r="G1857" s="86"/>
      <c r="H1857" s="84"/>
      <c r="I1857" s="86"/>
      <c r="J1857" s="87"/>
      <c r="K1857" s="91"/>
      <c r="L1857" s="89"/>
      <c r="M1857" s="26"/>
      <c r="N1857" s="26"/>
      <c r="O1857" s="26"/>
      <c r="P1857" s="26"/>
    </row>
    <row r="1858">
      <c r="A1858" s="90"/>
      <c r="B1858" s="82"/>
      <c r="C1858" s="83"/>
      <c r="D1858" s="82"/>
      <c r="E1858" s="84"/>
      <c r="F1858" s="85"/>
      <c r="G1858" s="86"/>
      <c r="H1858" s="84"/>
      <c r="I1858" s="86"/>
      <c r="J1858" s="87"/>
      <c r="K1858" s="91"/>
      <c r="L1858" s="89"/>
      <c r="M1858" s="26"/>
      <c r="N1858" s="26"/>
      <c r="O1858" s="26"/>
      <c r="P1858" s="26"/>
    </row>
    <row r="1859">
      <c r="A1859" s="90"/>
      <c r="B1859" s="82"/>
      <c r="C1859" s="83"/>
      <c r="D1859" s="82"/>
      <c r="E1859" s="84"/>
      <c r="F1859" s="85"/>
      <c r="G1859" s="86"/>
      <c r="H1859" s="84"/>
      <c r="I1859" s="86"/>
      <c r="J1859" s="87"/>
      <c r="K1859" s="91"/>
      <c r="L1859" s="89"/>
      <c r="M1859" s="26"/>
      <c r="N1859" s="26"/>
      <c r="O1859" s="26"/>
      <c r="P1859" s="26"/>
    </row>
    <row r="1860">
      <c r="A1860" s="90"/>
      <c r="B1860" s="82"/>
      <c r="C1860" s="83"/>
      <c r="D1860" s="82"/>
      <c r="E1860" s="84"/>
      <c r="F1860" s="85"/>
      <c r="G1860" s="86"/>
      <c r="H1860" s="84"/>
      <c r="I1860" s="86"/>
      <c r="J1860" s="87"/>
      <c r="K1860" s="91"/>
      <c r="L1860" s="89"/>
      <c r="M1860" s="26"/>
      <c r="N1860" s="26"/>
      <c r="O1860" s="26"/>
      <c r="P1860" s="26"/>
    </row>
    <row r="1861">
      <c r="A1861" s="90"/>
      <c r="B1861" s="82"/>
      <c r="C1861" s="83"/>
      <c r="D1861" s="82"/>
      <c r="E1861" s="84"/>
      <c r="F1861" s="85"/>
      <c r="G1861" s="86"/>
      <c r="H1861" s="84"/>
      <c r="I1861" s="86"/>
      <c r="J1861" s="87"/>
      <c r="K1861" s="91"/>
      <c r="L1861" s="89"/>
      <c r="M1861" s="26"/>
      <c r="N1861" s="26"/>
      <c r="O1861" s="26"/>
      <c r="P1861" s="26"/>
    </row>
    <row r="1862">
      <c r="A1862" s="90"/>
      <c r="B1862" s="82"/>
      <c r="C1862" s="83"/>
      <c r="D1862" s="82"/>
      <c r="E1862" s="84"/>
      <c r="F1862" s="85"/>
      <c r="G1862" s="86"/>
      <c r="H1862" s="84"/>
      <c r="I1862" s="86"/>
      <c r="J1862" s="87"/>
      <c r="K1862" s="91"/>
      <c r="L1862" s="89"/>
      <c r="M1862" s="26"/>
      <c r="N1862" s="26"/>
      <c r="O1862" s="26"/>
      <c r="P1862" s="26"/>
    </row>
    <row r="1863">
      <c r="A1863" s="90"/>
      <c r="B1863" s="82"/>
      <c r="C1863" s="83"/>
      <c r="D1863" s="82"/>
      <c r="E1863" s="84"/>
      <c r="F1863" s="85"/>
      <c r="G1863" s="86"/>
      <c r="H1863" s="84"/>
      <c r="I1863" s="86"/>
      <c r="J1863" s="87"/>
      <c r="K1863" s="91"/>
      <c r="L1863" s="89"/>
      <c r="M1863" s="26"/>
      <c r="N1863" s="26"/>
      <c r="O1863" s="26"/>
      <c r="P1863" s="26"/>
    </row>
    <row r="1864">
      <c r="A1864" s="90"/>
      <c r="B1864" s="82"/>
      <c r="C1864" s="83"/>
      <c r="D1864" s="82"/>
      <c r="E1864" s="84"/>
      <c r="F1864" s="85"/>
      <c r="G1864" s="86"/>
      <c r="H1864" s="84"/>
      <c r="I1864" s="86"/>
      <c r="J1864" s="87"/>
      <c r="K1864" s="91"/>
      <c r="L1864" s="89"/>
      <c r="M1864" s="26"/>
      <c r="N1864" s="26"/>
      <c r="O1864" s="26"/>
      <c r="P1864" s="26"/>
    </row>
    <row r="1865">
      <c r="A1865" s="90"/>
      <c r="B1865" s="82"/>
      <c r="C1865" s="83"/>
      <c r="D1865" s="82"/>
      <c r="E1865" s="84"/>
      <c r="F1865" s="85"/>
      <c r="G1865" s="86"/>
      <c r="H1865" s="84"/>
      <c r="I1865" s="86"/>
      <c r="J1865" s="87"/>
      <c r="K1865" s="91"/>
      <c r="L1865" s="89"/>
      <c r="M1865" s="26"/>
      <c r="N1865" s="26"/>
      <c r="O1865" s="26"/>
      <c r="P1865" s="26"/>
    </row>
    <row r="1866">
      <c r="A1866" s="90"/>
      <c r="B1866" s="82"/>
      <c r="C1866" s="83"/>
      <c r="D1866" s="82"/>
      <c r="E1866" s="84"/>
      <c r="F1866" s="85"/>
      <c r="G1866" s="86"/>
      <c r="H1866" s="84"/>
      <c r="I1866" s="86"/>
      <c r="J1866" s="87"/>
      <c r="K1866" s="91"/>
      <c r="L1866" s="89"/>
      <c r="M1866" s="26"/>
      <c r="N1866" s="26"/>
      <c r="O1866" s="26"/>
      <c r="P1866" s="26"/>
    </row>
    <row r="1867">
      <c r="A1867" s="90"/>
      <c r="B1867" s="82"/>
      <c r="C1867" s="83"/>
      <c r="D1867" s="82"/>
      <c r="E1867" s="84"/>
      <c r="F1867" s="85"/>
      <c r="G1867" s="86"/>
      <c r="H1867" s="84"/>
      <c r="I1867" s="86"/>
      <c r="J1867" s="87"/>
      <c r="K1867" s="91"/>
      <c r="L1867" s="89"/>
      <c r="M1867" s="26"/>
      <c r="N1867" s="26"/>
      <c r="O1867" s="26"/>
      <c r="P1867" s="26"/>
    </row>
    <row r="1868">
      <c r="A1868" s="90"/>
      <c r="B1868" s="82"/>
      <c r="C1868" s="83"/>
      <c r="D1868" s="82"/>
      <c r="E1868" s="84"/>
      <c r="F1868" s="85"/>
      <c r="G1868" s="86"/>
      <c r="H1868" s="84"/>
      <c r="I1868" s="86"/>
      <c r="J1868" s="87"/>
      <c r="K1868" s="91"/>
      <c r="L1868" s="89"/>
      <c r="M1868" s="26"/>
      <c r="N1868" s="26"/>
      <c r="O1868" s="26"/>
      <c r="P1868" s="26"/>
    </row>
    <row r="1869">
      <c r="A1869" s="90"/>
      <c r="B1869" s="82"/>
      <c r="C1869" s="83"/>
      <c r="D1869" s="82"/>
      <c r="E1869" s="84"/>
      <c r="F1869" s="85"/>
      <c r="G1869" s="86"/>
      <c r="H1869" s="84"/>
      <c r="I1869" s="86"/>
      <c r="J1869" s="87"/>
      <c r="K1869" s="91"/>
      <c r="L1869" s="89"/>
      <c r="M1869" s="26"/>
      <c r="N1869" s="26"/>
      <c r="O1869" s="26"/>
      <c r="P1869" s="26"/>
    </row>
    <row r="1870">
      <c r="A1870" s="90"/>
      <c r="B1870" s="82"/>
      <c r="C1870" s="83"/>
      <c r="D1870" s="82"/>
      <c r="E1870" s="84"/>
      <c r="F1870" s="85"/>
      <c r="G1870" s="86"/>
      <c r="H1870" s="84"/>
      <c r="I1870" s="86"/>
      <c r="J1870" s="87"/>
      <c r="K1870" s="91"/>
      <c r="L1870" s="89"/>
      <c r="M1870" s="26"/>
      <c r="N1870" s="26"/>
      <c r="O1870" s="26"/>
      <c r="P1870" s="26"/>
    </row>
    <row r="1871">
      <c r="A1871" s="90"/>
      <c r="B1871" s="82"/>
      <c r="C1871" s="83"/>
      <c r="D1871" s="82"/>
      <c r="E1871" s="84"/>
      <c r="F1871" s="85"/>
      <c r="G1871" s="86"/>
      <c r="H1871" s="84"/>
      <c r="I1871" s="86"/>
      <c r="J1871" s="87"/>
      <c r="K1871" s="91"/>
      <c r="L1871" s="89"/>
      <c r="M1871" s="26"/>
      <c r="N1871" s="26"/>
      <c r="O1871" s="26"/>
      <c r="P1871" s="26"/>
    </row>
    <row r="1872">
      <c r="A1872" s="90"/>
      <c r="B1872" s="82"/>
      <c r="C1872" s="83"/>
      <c r="D1872" s="82"/>
      <c r="E1872" s="84"/>
      <c r="F1872" s="85"/>
      <c r="G1872" s="86"/>
      <c r="H1872" s="84"/>
      <c r="I1872" s="86"/>
      <c r="J1872" s="87"/>
      <c r="K1872" s="91"/>
      <c r="L1872" s="89"/>
      <c r="M1872" s="26"/>
      <c r="N1872" s="26"/>
      <c r="O1872" s="26"/>
      <c r="P1872" s="26"/>
    </row>
    <row r="1873">
      <c r="A1873" s="90"/>
      <c r="B1873" s="82"/>
      <c r="C1873" s="83"/>
      <c r="D1873" s="82"/>
      <c r="E1873" s="84"/>
      <c r="F1873" s="85"/>
      <c r="G1873" s="86"/>
      <c r="H1873" s="84"/>
      <c r="I1873" s="86"/>
      <c r="J1873" s="87"/>
      <c r="K1873" s="91"/>
      <c r="L1873" s="89"/>
      <c r="M1873" s="26"/>
      <c r="N1873" s="26"/>
      <c r="O1873" s="26"/>
      <c r="P1873" s="26"/>
    </row>
    <row r="1874">
      <c r="A1874" s="90"/>
      <c r="B1874" s="82"/>
      <c r="C1874" s="83"/>
      <c r="D1874" s="82"/>
      <c r="E1874" s="84"/>
      <c r="F1874" s="85"/>
      <c r="G1874" s="86"/>
      <c r="H1874" s="84"/>
      <c r="I1874" s="86"/>
      <c r="J1874" s="87"/>
      <c r="K1874" s="91"/>
      <c r="L1874" s="89"/>
      <c r="M1874" s="26"/>
      <c r="N1874" s="26"/>
      <c r="O1874" s="26"/>
      <c r="P1874" s="26"/>
    </row>
    <row r="1875">
      <c r="A1875" s="90"/>
      <c r="B1875" s="82"/>
      <c r="C1875" s="83"/>
      <c r="D1875" s="82"/>
      <c r="E1875" s="84"/>
      <c r="F1875" s="85"/>
      <c r="G1875" s="86"/>
      <c r="H1875" s="84"/>
      <c r="I1875" s="86"/>
      <c r="J1875" s="87"/>
      <c r="K1875" s="91"/>
      <c r="L1875" s="89"/>
      <c r="M1875" s="26"/>
      <c r="N1875" s="26"/>
      <c r="O1875" s="26"/>
      <c r="P1875" s="26"/>
    </row>
    <row r="1876">
      <c r="A1876" s="90"/>
      <c r="B1876" s="82"/>
      <c r="C1876" s="83"/>
      <c r="D1876" s="82"/>
      <c r="E1876" s="84"/>
      <c r="F1876" s="85"/>
      <c r="G1876" s="86"/>
      <c r="H1876" s="84"/>
      <c r="I1876" s="86"/>
      <c r="J1876" s="87"/>
      <c r="K1876" s="91"/>
      <c r="L1876" s="89"/>
      <c r="M1876" s="26"/>
      <c r="N1876" s="26"/>
      <c r="O1876" s="26"/>
      <c r="P1876" s="26"/>
    </row>
    <row r="1877">
      <c r="A1877" s="90"/>
      <c r="B1877" s="82"/>
      <c r="C1877" s="83"/>
      <c r="D1877" s="82"/>
      <c r="E1877" s="84"/>
      <c r="F1877" s="85"/>
      <c r="G1877" s="86"/>
      <c r="H1877" s="84"/>
      <c r="I1877" s="86"/>
      <c r="J1877" s="87"/>
      <c r="K1877" s="91"/>
      <c r="L1877" s="89"/>
      <c r="M1877" s="26"/>
      <c r="N1877" s="26"/>
      <c r="O1877" s="26"/>
      <c r="P1877" s="26"/>
    </row>
    <row r="1878">
      <c r="A1878" s="90"/>
      <c r="B1878" s="82"/>
      <c r="C1878" s="83"/>
      <c r="D1878" s="82"/>
      <c r="E1878" s="84"/>
      <c r="F1878" s="85"/>
      <c r="G1878" s="86"/>
      <c r="H1878" s="84"/>
      <c r="I1878" s="86"/>
      <c r="J1878" s="87"/>
      <c r="K1878" s="91"/>
      <c r="L1878" s="89"/>
      <c r="M1878" s="26"/>
      <c r="N1878" s="26"/>
      <c r="O1878" s="26"/>
      <c r="P1878" s="26"/>
    </row>
    <row r="1879">
      <c r="A1879" s="90"/>
      <c r="B1879" s="82"/>
      <c r="C1879" s="83"/>
      <c r="D1879" s="82"/>
      <c r="E1879" s="84"/>
      <c r="F1879" s="85"/>
      <c r="G1879" s="86"/>
      <c r="H1879" s="84"/>
      <c r="I1879" s="86"/>
      <c r="J1879" s="87"/>
      <c r="K1879" s="91"/>
      <c r="L1879" s="89"/>
      <c r="M1879" s="26"/>
      <c r="N1879" s="26"/>
      <c r="O1879" s="26"/>
      <c r="P1879" s="26"/>
    </row>
    <row r="1880">
      <c r="A1880" s="90"/>
      <c r="B1880" s="82"/>
      <c r="C1880" s="83"/>
      <c r="D1880" s="82"/>
      <c r="E1880" s="84"/>
      <c r="F1880" s="85"/>
      <c r="G1880" s="86"/>
      <c r="H1880" s="84"/>
      <c r="I1880" s="86"/>
      <c r="J1880" s="87"/>
      <c r="K1880" s="91"/>
      <c r="L1880" s="89"/>
      <c r="M1880" s="26"/>
      <c r="N1880" s="26"/>
      <c r="O1880" s="26"/>
      <c r="P1880" s="26"/>
    </row>
    <row r="1881">
      <c r="A1881" s="90"/>
      <c r="B1881" s="82"/>
      <c r="C1881" s="83"/>
      <c r="D1881" s="82"/>
      <c r="E1881" s="84"/>
      <c r="F1881" s="85"/>
      <c r="G1881" s="86"/>
      <c r="H1881" s="84"/>
      <c r="I1881" s="86"/>
      <c r="J1881" s="87"/>
      <c r="K1881" s="91"/>
      <c r="L1881" s="89"/>
      <c r="M1881" s="26"/>
      <c r="N1881" s="26"/>
      <c r="O1881" s="26"/>
      <c r="P1881" s="26"/>
    </row>
    <row r="1882">
      <c r="A1882" s="90"/>
      <c r="B1882" s="82"/>
      <c r="C1882" s="83"/>
      <c r="D1882" s="82"/>
      <c r="E1882" s="84"/>
      <c r="F1882" s="85"/>
      <c r="G1882" s="86"/>
      <c r="H1882" s="84"/>
      <c r="I1882" s="86"/>
      <c r="J1882" s="87"/>
      <c r="K1882" s="91"/>
      <c r="L1882" s="89"/>
      <c r="M1882" s="26"/>
      <c r="N1882" s="26"/>
      <c r="O1882" s="26"/>
      <c r="P1882" s="26"/>
    </row>
    <row r="1883">
      <c r="A1883" s="90"/>
      <c r="B1883" s="82"/>
      <c r="C1883" s="83"/>
      <c r="D1883" s="82"/>
      <c r="E1883" s="84"/>
      <c r="F1883" s="85"/>
      <c r="G1883" s="86"/>
      <c r="H1883" s="84"/>
      <c r="I1883" s="86"/>
      <c r="J1883" s="87"/>
      <c r="K1883" s="91"/>
      <c r="L1883" s="89"/>
      <c r="M1883" s="26"/>
      <c r="N1883" s="26"/>
      <c r="O1883" s="26"/>
      <c r="P1883" s="26"/>
    </row>
    <row r="1884">
      <c r="A1884" s="90"/>
      <c r="B1884" s="82"/>
      <c r="C1884" s="83"/>
      <c r="D1884" s="82"/>
      <c r="E1884" s="84"/>
      <c r="F1884" s="85"/>
      <c r="G1884" s="86"/>
      <c r="H1884" s="84"/>
      <c r="I1884" s="86"/>
      <c r="J1884" s="87"/>
      <c r="K1884" s="91"/>
      <c r="L1884" s="89"/>
      <c r="M1884" s="26"/>
      <c r="N1884" s="26"/>
      <c r="O1884" s="26"/>
      <c r="P1884" s="26"/>
    </row>
    <row r="1885">
      <c r="A1885" s="90"/>
      <c r="B1885" s="82"/>
      <c r="C1885" s="83"/>
      <c r="D1885" s="82"/>
      <c r="E1885" s="84"/>
      <c r="F1885" s="85"/>
      <c r="G1885" s="86"/>
      <c r="H1885" s="84"/>
      <c r="I1885" s="86"/>
      <c r="J1885" s="87"/>
      <c r="K1885" s="91"/>
      <c r="L1885" s="89"/>
      <c r="M1885" s="26"/>
      <c r="N1885" s="26"/>
      <c r="O1885" s="26"/>
      <c r="P1885" s="26"/>
    </row>
    <row r="1886">
      <c r="A1886" s="90"/>
      <c r="B1886" s="82"/>
      <c r="C1886" s="83"/>
      <c r="D1886" s="82"/>
      <c r="E1886" s="84"/>
      <c r="F1886" s="85"/>
      <c r="G1886" s="86"/>
      <c r="H1886" s="84"/>
      <c r="I1886" s="86"/>
      <c r="J1886" s="87"/>
      <c r="K1886" s="91"/>
      <c r="L1886" s="89"/>
      <c r="M1886" s="26"/>
      <c r="N1886" s="26"/>
      <c r="O1886" s="26"/>
      <c r="P1886" s="26"/>
    </row>
    <row r="1887">
      <c r="A1887" s="90"/>
      <c r="B1887" s="82"/>
      <c r="C1887" s="83"/>
      <c r="D1887" s="82"/>
      <c r="E1887" s="84"/>
      <c r="F1887" s="85"/>
      <c r="G1887" s="86"/>
      <c r="H1887" s="84"/>
      <c r="I1887" s="86"/>
      <c r="J1887" s="87"/>
      <c r="K1887" s="91"/>
      <c r="L1887" s="89"/>
      <c r="M1887" s="26"/>
      <c r="N1887" s="26"/>
      <c r="O1887" s="26"/>
      <c r="P1887" s="26"/>
    </row>
    <row r="1888">
      <c r="A1888" s="90"/>
      <c r="B1888" s="82"/>
      <c r="C1888" s="83"/>
      <c r="D1888" s="82"/>
      <c r="E1888" s="84"/>
      <c r="F1888" s="85"/>
      <c r="G1888" s="86"/>
      <c r="H1888" s="84"/>
      <c r="I1888" s="86"/>
      <c r="J1888" s="87"/>
      <c r="K1888" s="91"/>
      <c r="L1888" s="89"/>
      <c r="M1888" s="26"/>
      <c r="N1888" s="26"/>
      <c r="O1888" s="26"/>
      <c r="P1888" s="26"/>
    </row>
    <row r="1889">
      <c r="A1889" s="90"/>
      <c r="B1889" s="82"/>
      <c r="C1889" s="83"/>
      <c r="D1889" s="82"/>
      <c r="E1889" s="84"/>
      <c r="F1889" s="85"/>
      <c r="G1889" s="86"/>
      <c r="H1889" s="84"/>
      <c r="I1889" s="86"/>
      <c r="J1889" s="87"/>
      <c r="K1889" s="91"/>
      <c r="L1889" s="89"/>
      <c r="M1889" s="26"/>
      <c r="N1889" s="26"/>
      <c r="O1889" s="26"/>
      <c r="P1889" s="26"/>
    </row>
    <row r="1890">
      <c r="A1890" s="90"/>
      <c r="B1890" s="82"/>
      <c r="C1890" s="83"/>
      <c r="D1890" s="82"/>
      <c r="E1890" s="84"/>
      <c r="F1890" s="85"/>
      <c r="G1890" s="86"/>
      <c r="H1890" s="84"/>
      <c r="I1890" s="86"/>
      <c r="J1890" s="87"/>
      <c r="K1890" s="91"/>
      <c r="L1890" s="89"/>
      <c r="M1890" s="26"/>
      <c r="N1890" s="26"/>
      <c r="O1890" s="26"/>
      <c r="P1890" s="26"/>
    </row>
    <row r="1891">
      <c r="A1891" s="90"/>
      <c r="B1891" s="82"/>
      <c r="C1891" s="83"/>
      <c r="D1891" s="82"/>
      <c r="E1891" s="84"/>
      <c r="F1891" s="85"/>
      <c r="G1891" s="86"/>
      <c r="H1891" s="84"/>
      <c r="I1891" s="86"/>
      <c r="J1891" s="87"/>
      <c r="K1891" s="91"/>
      <c r="L1891" s="89"/>
      <c r="M1891" s="26"/>
      <c r="N1891" s="26"/>
      <c r="O1891" s="26"/>
      <c r="P1891" s="26"/>
    </row>
    <row r="1892">
      <c r="A1892" s="90"/>
      <c r="B1892" s="82"/>
      <c r="C1892" s="83"/>
      <c r="D1892" s="82"/>
      <c r="E1892" s="84"/>
      <c r="F1892" s="85"/>
      <c r="G1892" s="86"/>
      <c r="H1892" s="84"/>
      <c r="I1892" s="86"/>
      <c r="J1892" s="87"/>
      <c r="K1892" s="91"/>
      <c r="L1892" s="89"/>
      <c r="M1892" s="26"/>
      <c r="N1892" s="26"/>
      <c r="O1892" s="26"/>
      <c r="P1892" s="26"/>
    </row>
    <row r="1893">
      <c r="A1893" s="90"/>
      <c r="B1893" s="82"/>
      <c r="C1893" s="83"/>
      <c r="D1893" s="82"/>
      <c r="E1893" s="84"/>
      <c r="F1893" s="85"/>
      <c r="G1893" s="86"/>
      <c r="H1893" s="84"/>
      <c r="I1893" s="86"/>
      <c r="J1893" s="87"/>
      <c r="K1893" s="91"/>
      <c r="L1893" s="89"/>
      <c r="M1893" s="26"/>
      <c r="N1893" s="26"/>
      <c r="O1893" s="26"/>
      <c r="P1893" s="26"/>
    </row>
    <row r="1894">
      <c r="A1894" s="90"/>
      <c r="B1894" s="82"/>
      <c r="C1894" s="83"/>
      <c r="D1894" s="82"/>
      <c r="E1894" s="84"/>
      <c r="F1894" s="85"/>
      <c r="G1894" s="86"/>
      <c r="H1894" s="84"/>
      <c r="I1894" s="86"/>
      <c r="J1894" s="87"/>
      <c r="K1894" s="91"/>
      <c r="L1894" s="89"/>
      <c r="M1894" s="26"/>
      <c r="N1894" s="26"/>
      <c r="O1894" s="26"/>
      <c r="P1894" s="26"/>
    </row>
    <row r="1895">
      <c r="A1895" s="90"/>
      <c r="B1895" s="82"/>
      <c r="C1895" s="83"/>
      <c r="D1895" s="82"/>
      <c r="E1895" s="84"/>
      <c r="F1895" s="85"/>
      <c r="G1895" s="86"/>
      <c r="H1895" s="84"/>
      <c r="I1895" s="86"/>
      <c r="J1895" s="87"/>
      <c r="K1895" s="91"/>
      <c r="L1895" s="89"/>
      <c r="M1895" s="26"/>
      <c r="N1895" s="26"/>
      <c r="O1895" s="26"/>
      <c r="P1895" s="26"/>
    </row>
    <row r="1896">
      <c r="A1896" s="90"/>
      <c r="B1896" s="82"/>
      <c r="C1896" s="83"/>
      <c r="D1896" s="82"/>
      <c r="E1896" s="84"/>
      <c r="F1896" s="85"/>
      <c r="G1896" s="86"/>
      <c r="H1896" s="84"/>
      <c r="I1896" s="86"/>
      <c r="J1896" s="87"/>
      <c r="K1896" s="91"/>
      <c r="L1896" s="89"/>
      <c r="M1896" s="26"/>
      <c r="N1896" s="26"/>
      <c r="O1896" s="26"/>
      <c r="P1896" s="26"/>
    </row>
    <row r="1897">
      <c r="A1897" s="90"/>
      <c r="B1897" s="82"/>
      <c r="C1897" s="83"/>
      <c r="D1897" s="82"/>
      <c r="E1897" s="84"/>
      <c r="F1897" s="85"/>
      <c r="G1897" s="86"/>
      <c r="H1897" s="84"/>
      <c r="I1897" s="86"/>
      <c r="J1897" s="87"/>
      <c r="K1897" s="91"/>
      <c r="L1897" s="89"/>
      <c r="M1897" s="26"/>
      <c r="N1897" s="26"/>
      <c r="O1897" s="26"/>
      <c r="P1897" s="26"/>
    </row>
    <row r="1898">
      <c r="A1898" s="90"/>
      <c r="B1898" s="82"/>
      <c r="C1898" s="83"/>
      <c r="D1898" s="82"/>
      <c r="E1898" s="84"/>
      <c r="F1898" s="85"/>
      <c r="G1898" s="86"/>
      <c r="H1898" s="84"/>
      <c r="I1898" s="86"/>
      <c r="J1898" s="87"/>
      <c r="K1898" s="91"/>
      <c r="L1898" s="89"/>
      <c r="M1898" s="26"/>
      <c r="N1898" s="26"/>
      <c r="O1898" s="26"/>
      <c r="P1898" s="26"/>
    </row>
    <row r="1899">
      <c r="A1899" s="90"/>
      <c r="B1899" s="82"/>
      <c r="C1899" s="83"/>
      <c r="D1899" s="82"/>
      <c r="E1899" s="84"/>
      <c r="F1899" s="85"/>
      <c r="G1899" s="86"/>
      <c r="H1899" s="84"/>
      <c r="I1899" s="86"/>
      <c r="J1899" s="87"/>
      <c r="K1899" s="91"/>
      <c r="L1899" s="89"/>
      <c r="M1899" s="26"/>
      <c r="N1899" s="26"/>
      <c r="O1899" s="26"/>
      <c r="P1899" s="26"/>
    </row>
    <row r="1900">
      <c r="A1900" s="90"/>
      <c r="B1900" s="82"/>
      <c r="C1900" s="83"/>
      <c r="D1900" s="82"/>
      <c r="E1900" s="84"/>
      <c r="F1900" s="85"/>
      <c r="G1900" s="86"/>
      <c r="H1900" s="84"/>
      <c r="I1900" s="86"/>
      <c r="J1900" s="87"/>
      <c r="K1900" s="91"/>
      <c r="L1900" s="89"/>
      <c r="M1900" s="26"/>
      <c r="N1900" s="26"/>
      <c r="O1900" s="26"/>
      <c r="P1900" s="26"/>
    </row>
    <row r="1901">
      <c r="A1901" s="90"/>
      <c r="B1901" s="82"/>
      <c r="C1901" s="83"/>
      <c r="D1901" s="82"/>
      <c r="E1901" s="84"/>
      <c r="F1901" s="85"/>
      <c r="G1901" s="86"/>
      <c r="H1901" s="84"/>
      <c r="I1901" s="86"/>
      <c r="J1901" s="87"/>
      <c r="K1901" s="91"/>
      <c r="L1901" s="89"/>
      <c r="M1901" s="26"/>
      <c r="N1901" s="26"/>
      <c r="O1901" s="26"/>
      <c r="P1901" s="26"/>
    </row>
    <row r="1902">
      <c r="A1902" s="90"/>
      <c r="B1902" s="82"/>
      <c r="C1902" s="83"/>
      <c r="D1902" s="82"/>
      <c r="E1902" s="84"/>
      <c r="F1902" s="85"/>
      <c r="G1902" s="86"/>
      <c r="H1902" s="84"/>
      <c r="I1902" s="86"/>
      <c r="J1902" s="87"/>
      <c r="K1902" s="91"/>
      <c r="L1902" s="89"/>
      <c r="M1902" s="26"/>
      <c r="N1902" s="26"/>
      <c r="O1902" s="26"/>
      <c r="P1902" s="26"/>
    </row>
    <row r="1903">
      <c r="A1903" s="90"/>
      <c r="B1903" s="82"/>
      <c r="C1903" s="83"/>
      <c r="D1903" s="82"/>
      <c r="E1903" s="84"/>
      <c r="F1903" s="85"/>
      <c r="G1903" s="86"/>
      <c r="H1903" s="84"/>
      <c r="I1903" s="86"/>
      <c r="J1903" s="87"/>
      <c r="K1903" s="91"/>
      <c r="L1903" s="89"/>
      <c r="M1903" s="26"/>
      <c r="N1903" s="26"/>
      <c r="O1903" s="26"/>
      <c r="P1903" s="26"/>
    </row>
    <row r="1904">
      <c r="A1904" s="90"/>
      <c r="B1904" s="82"/>
      <c r="C1904" s="83"/>
      <c r="D1904" s="82"/>
      <c r="E1904" s="84"/>
      <c r="F1904" s="85"/>
      <c r="G1904" s="86"/>
      <c r="H1904" s="84"/>
      <c r="I1904" s="86"/>
      <c r="J1904" s="87"/>
      <c r="K1904" s="91"/>
      <c r="L1904" s="89"/>
      <c r="M1904" s="26"/>
      <c r="N1904" s="26"/>
      <c r="O1904" s="26"/>
      <c r="P1904" s="26"/>
    </row>
    <row r="1905">
      <c r="A1905" s="90"/>
      <c r="B1905" s="82"/>
      <c r="C1905" s="83"/>
      <c r="D1905" s="82"/>
      <c r="E1905" s="84"/>
      <c r="F1905" s="85"/>
      <c r="G1905" s="86"/>
      <c r="H1905" s="84"/>
      <c r="I1905" s="86"/>
      <c r="J1905" s="87"/>
      <c r="K1905" s="91"/>
      <c r="L1905" s="89"/>
      <c r="M1905" s="26"/>
      <c r="N1905" s="26"/>
      <c r="O1905" s="26"/>
      <c r="P1905" s="26"/>
    </row>
    <row r="1906">
      <c r="A1906" s="90"/>
      <c r="B1906" s="82"/>
      <c r="C1906" s="83"/>
      <c r="D1906" s="82"/>
      <c r="E1906" s="84"/>
      <c r="F1906" s="85"/>
      <c r="G1906" s="86"/>
      <c r="H1906" s="84"/>
      <c r="I1906" s="86"/>
      <c r="J1906" s="87"/>
      <c r="K1906" s="91"/>
      <c r="L1906" s="89"/>
      <c r="M1906" s="26"/>
      <c r="N1906" s="26"/>
      <c r="O1906" s="26"/>
      <c r="P1906" s="26"/>
    </row>
    <row r="1907">
      <c r="A1907" s="90"/>
      <c r="B1907" s="82"/>
      <c r="C1907" s="83"/>
      <c r="D1907" s="82"/>
      <c r="E1907" s="84"/>
      <c r="F1907" s="85"/>
      <c r="G1907" s="86"/>
      <c r="H1907" s="84"/>
      <c r="I1907" s="86"/>
      <c r="J1907" s="87"/>
      <c r="K1907" s="91"/>
      <c r="L1907" s="89"/>
      <c r="M1907" s="26"/>
      <c r="N1907" s="26"/>
      <c r="O1907" s="26"/>
      <c r="P1907" s="26"/>
    </row>
    <row r="1908">
      <c r="A1908" s="90"/>
      <c r="B1908" s="82"/>
      <c r="C1908" s="83"/>
      <c r="D1908" s="82"/>
      <c r="E1908" s="84"/>
      <c r="F1908" s="85"/>
      <c r="G1908" s="86"/>
      <c r="H1908" s="84"/>
      <c r="I1908" s="86"/>
      <c r="J1908" s="87"/>
      <c r="K1908" s="91"/>
      <c r="L1908" s="89"/>
      <c r="M1908" s="26"/>
      <c r="N1908" s="26"/>
      <c r="O1908" s="26"/>
      <c r="P1908" s="26"/>
    </row>
    <row r="1909">
      <c r="A1909" s="90"/>
      <c r="B1909" s="82"/>
      <c r="C1909" s="83"/>
      <c r="D1909" s="82"/>
      <c r="E1909" s="84"/>
      <c r="F1909" s="85"/>
      <c r="G1909" s="86"/>
      <c r="H1909" s="84"/>
      <c r="I1909" s="86"/>
      <c r="J1909" s="87"/>
      <c r="K1909" s="91"/>
      <c r="L1909" s="89"/>
      <c r="M1909" s="26"/>
      <c r="N1909" s="26"/>
      <c r="O1909" s="26"/>
      <c r="P1909" s="26"/>
    </row>
    <row r="1910">
      <c r="A1910" s="90"/>
      <c r="B1910" s="82"/>
      <c r="C1910" s="83"/>
      <c r="D1910" s="82"/>
      <c r="E1910" s="84"/>
      <c r="F1910" s="85"/>
      <c r="G1910" s="86"/>
      <c r="H1910" s="84"/>
      <c r="I1910" s="86"/>
      <c r="J1910" s="87"/>
      <c r="K1910" s="91"/>
      <c r="L1910" s="89"/>
      <c r="M1910" s="26"/>
      <c r="N1910" s="26"/>
      <c r="O1910" s="26"/>
      <c r="P1910" s="26"/>
    </row>
    <row r="1911">
      <c r="A1911" s="90"/>
      <c r="B1911" s="82"/>
      <c r="C1911" s="83"/>
      <c r="D1911" s="82"/>
      <c r="E1911" s="84"/>
      <c r="F1911" s="85"/>
      <c r="G1911" s="86"/>
      <c r="H1911" s="84"/>
      <c r="I1911" s="86"/>
      <c r="J1911" s="87"/>
      <c r="K1911" s="91"/>
      <c r="L1911" s="89"/>
      <c r="M1911" s="26"/>
      <c r="N1911" s="26"/>
      <c r="O1911" s="26"/>
      <c r="P1911" s="26"/>
    </row>
    <row r="1912">
      <c r="A1912" s="90"/>
      <c r="B1912" s="82"/>
      <c r="C1912" s="83"/>
      <c r="D1912" s="82"/>
      <c r="E1912" s="84"/>
      <c r="F1912" s="85"/>
      <c r="G1912" s="86"/>
      <c r="H1912" s="84"/>
      <c r="I1912" s="86"/>
      <c r="J1912" s="87"/>
      <c r="K1912" s="91"/>
      <c r="L1912" s="89"/>
      <c r="M1912" s="26"/>
      <c r="N1912" s="26"/>
      <c r="O1912" s="26"/>
      <c r="P1912" s="26"/>
    </row>
    <row r="1913">
      <c r="A1913" s="90"/>
      <c r="B1913" s="82"/>
      <c r="C1913" s="83"/>
      <c r="D1913" s="82"/>
      <c r="E1913" s="84"/>
      <c r="F1913" s="85"/>
      <c r="G1913" s="86"/>
      <c r="H1913" s="84"/>
      <c r="I1913" s="86"/>
      <c r="J1913" s="87"/>
      <c r="K1913" s="91"/>
      <c r="L1913" s="89"/>
      <c r="M1913" s="26"/>
      <c r="N1913" s="26"/>
      <c r="O1913" s="26"/>
      <c r="P1913" s="26"/>
    </row>
    <row r="1914">
      <c r="A1914" s="90"/>
      <c r="B1914" s="82"/>
      <c r="C1914" s="83"/>
      <c r="D1914" s="82"/>
      <c r="E1914" s="84"/>
      <c r="F1914" s="85"/>
      <c r="G1914" s="86"/>
      <c r="H1914" s="84"/>
      <c r="I1914" s="86"/>
      <c r="J1914" s="87"/>
      <c r="K1914" s="91"/>
      <c r="L1914" s="89"/>
      <c r="M1914" s="26"/>
      <c r="N1914" s="26"/>
      <c r="O1914" s="26"/>
      <c r="P1914" s="26"/>
    </row>
    <row r="1915">
      <c r="A1915" s="90"/>
      <c r="B1915" s="82"/>
      <c r="C1915" s="83"/>
      <c r="D1915" s="82"/>
      <c r="E1915" s="84"/>
      <c r="F1915" s="85"/>
      <c r="G1915" s="86"/>
      <c r="H1915" s="84"/>
      <c r="I1915" s="86"/>
      <c r="J1915" s="87"/>
      <c r="K1915" s="91"/>
      <c r="L1915" s="89"/>
      <c r="M1915" s="26"/>
      <c r="N1915" s="26"/>
      <c r="O1915" s="26"/>
      <c r="P1915" s="26"/>
    </row>
    <row r="1916">
      <c r="A1916" s="90"/>
      <c r="B1916" s="82"/>
      <c r="C1916" s="83"/>
      <c r="D1916" s="82"/>
      <c r="E1916" s="84"/>
      <c r="F1916" s="85"/>
      <c r="G1916" s="86"/>
      <c r="H1916" s="84"/>
      <c r="I1916" s="86"/>
      <c r="J1916" s="87"/>
      <c r="K1916" s="91"/>
      <c r="L1916" s="89"/>
      <c r="M1916" s="26"/>
      <c r="N1916" s="26"/>
      <c r="O1916" s="26"/>
      <c r="P1916" s="26"/>
    </row>
    <row r="1917">
      <c r="A1917" s="90"/>
      <c r="B1917" s="82"/>
      <c r="C1917" s="83"/>
      <c r="D1917" s="82"/>
      <c r="E1917" s="84"/>
      <c r="F1917" s="85"/>
      <c r="G1917" s="86"/>
      <c r="H1917" s="84"/>
      <c r="I1917" s="86"/>
      <c r="J1917" s="87"/>
      <c r="K1917" s="91"/>
      <c r="L1917" s="89"/>
      <c r="M1917" s="26"/>
      <c r="N1917" s="26"/>
      <c r="O1917" s="26"/>
      <c r="P1917" s="26"/>
    </row>
    <row r="1918">
      <c r="A1918" s="90"/>
      <c r="B1918" s="82"/>
      <c r="C1918" s="83"/>
      <c r="D1918" s="82"/>
      <c r="E1918" s="84"/>
      <c r="F1918" s="85"/>
      <c r="G1918" s="86"/>
      <c r="H1918" s="84"/>
      <c r="I1918" s="86"/>
      <c r="J1918" s="87"/>
      <c r="K1918" s="91"/>
      <c r="L1918" s="89"/>
      <c r="M1918" s="26"/>
      <c r="N1918" s="26"/>
      <c r="O1918" s="26"/>
      <c r="P1918" s="26"/>
    </row>
    <row r="1919">
      <c r="A1919" s="90"/>
      <c r="B1919" s="82"/>
      <c r="C1919" s="83"/>
      <c r="D1919" s="82"/>
      <c r="E1919" s="84"/>
      <c r="F1919" s="85"/>
      <c r="G1919" s="86"/>
      <c r="H1919" s="84"/>
      <c r="I1919" s="86"/>
      <c r="J1919" s="87"/>
      <c r="K1919" s="91"/>
      <c r="L1919" s="89"/>
      <c r="M1919" s="26"/>
      <c r="N1919" s="26"/>
      <c r="O1919" s="26"/>
      <c r="P1919" s="26"/>
    </row>
    <row r="1920">
      <c r="A1920" s="90"/>
      <c r="B1920" s="82"/>
      <c r="C1920" s="83"/>
      <c r="D1920" s="82"/>
      <c r="E1920" s="84"/>
      <c r="F1920" s="85"/>
      <c r="G1920" s="86"/>
      <c r="H1920" s="84"/>
      <c r="I1920" s="86"/>
      <c r="J1920" s="87"/>
      <c r="K1920" s="91"/>
      <c r="L1920" s="89"/>
      <c r="M1920" s="26"/>
      <c r="N1920" s="26"/>
      <c r="O1920" s="26"/>
      <c r="P1920" s="26"/>
    </row>
    <row r="1921">
      <c r="A1921" s="90"/>
      <c r="B1921" s="82"/>
      <c r="C1921" s="83"/>
      <c r="D1921" s="82"/>
      <c r="E1921" s="84"/>
      <c r="F1921" s="85"/>
      <c r="G1921" s="86"/>
      <c r="H1921" s="84"/>
      <c r="I1921" s="86"/>
      <c r="J1921" s="87"/>
      <c r="K1921" s="91"/>
      <c r="L1921" s="89"/>
      <c r="M1921" s="26"/>
      <c r="N1921" s="26"/>
      <c r="O1921" s="26"/>
      <c r="P1921" s="26"/>
    </row>
    <row r="1922">
      <c r="A1922" s="90"/>
      <c r="B1922" s="82"/>
      <c r="C1922" s="83"/>
      <c r="D1922" s="82"/>
      <c r="E1922" s="84"/>
      <c r="F1922" s="85"/>
      <c r="G1922" s="86"/>
      <c r="H1922" s="84"/>
      <c r="I1922" s="86"/>
      <c r="J1922" s="87"/>
      <c r="K1922" s="91"/>
      <c r="L1922" s="89"/>
      <c r="M1922" s="26"/>
      <c r="N1922" s="26"/>
      <c r="O1922" s="26"/>
      <c r="P1922" s="26"/>
    </row>
    <row r="1923">
      <c r="A1923" s="90"/>
      <c r="B1923" s="82"/>
      <c r="C1923" s="83"/>
      <c r="D1923" s="82"/>
      <c r="E1923" s="84"/>
      <c r="F1923" s="85"/>
      <c r="G1923" s="86"/>
      <c r="H1923" s="84"/>
      <c r="I1923" s="86"/>
      <c r="J1923" s="87"/>
      <c r="K1923" s="91"/>
      <c r="L1923" s="89"/>
      <c r="M1923" s="26"/>
      <c r="N1923" s="26"/>
      <c r="O1923" s="26"/>
      <c r="P1923" s="26"/>
    </row>
    <row r="1924">
      <c r="A1924" s="90"/>
      <c r="B1924" s="82"/>
      <c r="C1924" s="83"/>
      <c r="D1924" s="82"/>
      <c r="E1924" s="84"/>
      <c r="F1924" s="85"/>
      <c r="G1924" s="86"/>
      <c r="H1924" s="84"/>
      <c r="I1924" s="86"/>
      <c r="J1924" s="87"/>
      <c r="K1924" s="91"/>
      <c r="L1924" s="89"/>
      <c r="M1924" s="26"/>
      <c r="N1924" s="26"/>
      <c r="O1924" s="26"/>
      <c r="P1924" s="26"/>
    </row>
    <row r="1925">
      <c r="A1925" s="90"/>
      <c r="B1925" s="82"/>
      <c r="C1925" s="83"/>
      <c r="D1925" s="82"/>
      <c r="E1925" s="84"/>
      <c r="F1925" s="85"/>
      <c r="G1925" s="86"/>
      <c r="H1925" s="84"/>
      <c r="I1925" s="86"/>
      <c r="J1925" s="87"/>
      <c r="K1925" s="91"/>
      <c r="L1925" s="89"/>
      <c r="M1925" s="26"/>
      <c r="N1925" s="26"/>
      <c r="O1925" s="26"/>
      <c r="P1925" s="26"/>
    </row>
    <row r="1926">
      <c r="A1926" s="90"/>
      <c r="B1926" s="82"/>
      <c r="C1926" s="83"/>
      <c r="D1926" s="82"/>
      <c r="E1926" s="84"/>
      <c r="F1926" s="85"/>
      <c r="G1926" s="86"/>
      <c r="H1926" s="84"/>
      <c r="I1926" s="86"/>
      <c r="J1926" s="87"/>
      <c r="K1926" s="91"/>
      <c r="L1926" s="89"/>
      <c r="M1926" s="26"/>
      <c r="N1926" s="26"/>
      <c r="O1926" s="26"/>
      <c r="P1926" s="26"/>
    </row>
    <row r="1927">
      <c r="A1927" s="90"/>
      <c r="B1927" s="82"/>
      <c r="C1927" s="83"/>
      <c r="D1927" s="82"/>
      <c r="E1927" s="84"/>
      <c r="F1927" s="85"/>
      <c r="G1927" s="86"/>
      <c r="H1927" s="84"/>
      <c r="I1927" s="86"/>
      <c r="J1927" s="87"/>
      <c r="K1927" s="91"/>
      <c r="L1927" s="89"/>
      <c r="M1927" s="26"/>
      <c r="N1927" s="26"/>
      <c r="O1927" s="26"/>
      <c r="P1927" s="26"/>
    </row>
    <row r="1928">
      <c r="A1928" s="90"/>
      <c r="B1928" s="82"/>
      <c r="C1928" s="83"/>
      <c r="D1928" s="82"/>
      <c r="E1928" s="84"/>
      <c r="F1928" s="85"/>
      <c r="G1928" s="86"/>
      <c r="H1928" s="84"/>
      <c r="I1928" s="86"/>
      <c r="J1928" s="87"/>
      <c r="K1928" s="91"/>
      <c r="L1928" s="89"/>
      <c r="M1928" s="26"/>
      <c r="N1928" s="26"/>
      <c r="O1928" s="26"/>
      <c r="P1928" s="26"/>
    </row>
    <row r="1929">
      <c r="A1929" s="90"/>
      <c r="B1929" s="82"/>
      <c r="C1929" s="83"/>
      <c r="D1929" s="82"/>
      <c r="E1929" s="84"/>
      <c r="F1929" s="85"/>
      <c r="G1929" s="86"/>
      <c r="H1929" s="84"/>
      <c r="I1929" s="86"/>
      <c r="J1929" s="87"/>
      <c r="K1929" s="91"/>
      <c r="L1929" s="89"/>
      <c r="M1929" s="26"/>
      <c r="N1929" s="26"/>
      <c r="O1929" s="26"/>
      <c r="P1929" s="26"/>
    </row>
    <row r="1930">
      <c r="A1930" s="90"/>
      <c r="B1930" s="82"/>
      <c r="C1930" s="83"/>
      <c r="D1930" s="82"/>
      <c r="E1930" s="84"/>
      <c r="F1930" s="85"/>
      <c r="G1930" s="86"/>
      <c r="H1930" s="84"/>
      <c r="I1930" s="86"/>
      <c r="J1930" s="87"/>
      <c r="K1930" s="91"/>
      <c r="L1930" s="89"/>
      <c r="M1930" s="26"/>
      <c r="N1930" s="26"/>
      <c r="O1930" s="26"/>
      <c r="P1930" s="26"/>
    </row>
    <row r="1931">
      <c r="A1931" s="90"/>
      <c r="B1931" s="82"/>
      <c r="C1931" s="83"/>
      <c r="D1931" s="82"/>
      <c r="E1931" s="84"/>
      <c r="F1931" s="85"/>
      <c r="G1931" s="86"/>
      <c r="H1931" s="84"/>
      <c r="I1931" s="86"/>
      <c r="J1931" s="87"/>
      <c r="K1931" s="91"/>
      <c r="L1931" s="89"/>
      <c r="M1931" s="26"/>
      <c r="N1931" s="26"/>
      <c r="O1931" s="26"/>
      <c r="P1931" s="26"/>
    </row>
    <row r="1932">
      <c r="A1932" s="90"/>
      <c r="B1932" s="82"/>
      <c r="C1932" s="83"/>
      <c r="D1932" s="82"/>
      <c r="E1932" s="84"/>
      <c r="F1932" s="85"/>
      <c r="G1932" s="86"/>
      <c r="H1932" s="84"/>
      <c r="I1932" s="86"/>
      <c r="J1932" s="87"/>
      <c r="K1932" s="91"/>
      <c r="L1932" s="89"/>
      <c r="M1932" s="26"/>
      <c r="N1932" s="26"/>
      <c r="O1932" s="26"/>
      <c r="P1932" s="26"/>
    </row>
    <row r="1933">
      <c r="A1933" s="90"/>
      <c r="B1933" s="82"/>
      <c r="C1933" s="83"/>
      <c r="D1933" s="82"/>
      <c r="E1933" s="84"/>
      <c r="F1933" s="85"/>
      <c r="G1933" s="86"/>
      <c r="H1933" s="84"/>
      <c r="I1933" s="86"/>
      <c r="J1933" s="87"/>
      <c r="K1933" s="91"/>
      <c r="L1933" s="89"/>
      <c r="M1933" s="26"/>
      <c r="N1933" s="26"/>
      <c r="O1933" s="26"/>
      <c r="P1933" s="26"/>
    </row>
    <row r="1934">
      <c r="A1934" s="90"/>
      <c r="B1934" s="82"/>
      <c r="C1934" s="83"/>
      <c r="D1934" s="82"/>
      <c r="E1934" s="84"/>
      <c r="F1934" s="85"/>
      <c r="G1934" s="86"/>
      <c r="H1934" s="84"/>
      <c r="I1934" s="86"/>
      <c r="J1934" s="87"/>
      <c r="K1934" s="91"/>
      <c r="L1934" s="89"/>
      <c r="M1934" s="26"/>
      <c r="N1934" s="26"/>
      <c r="O1934" s="26"/>
      <c r="P1934" s="26"/>
    </row>
    <row r="1935">
      <c r="A1935" s="90"/>
      <c r="B1935" s="82"/>
      <c r="C1935" s="83"/>
      <c r="D1935" s="82"/>
      <c r="E1935" s="84"/>
      <c r="F1935" s="85"/>
      <c r="G1935" s="86"/>
      <c r="H1935" s="84"/>
      <c r="I1935" s="86"/>
      <c r="J1935" s="87"/>
      <c r="K1935" s="91"/>
      <c r="L1935" s="89"/>
      <c r="M1935" s="26"/>
      <c r="N1935" s="26"/>
      <c r="O1935" s="26"/>
      <c r="P1935" s="26"/>
    </row>
    <row r="1936">
      <c r="A1936" s="90"/>
      <c r="B1936" s="82"/>
      <c r="C1936" s="83"/>
      <c r="D1936" s="82"/>
      <c r="E1936" s="84"/>
      <c r="F1936" s="85"/>
      <c r="G1936" s="86"/>
      <c r="H1936" s="84"/>
      <c r="I1936" s="86"/>
      <c r="J1936" s="87"/>
      <c r="K1936" s="91"/>
      <c r="L1936" s="89"/>
      <c r="M1936" s="26"/>
      <c r="N1936" s="26"/>
      <c r="O1936" s="26"/>
      <c r="P1936" s="26"/>
    </row>
    <row r="1937">
      <c r="A1937" s="90"/>
      <c r="B1937" s="82"/>
      <c r="C1937" s="83"/>
      <c r="D1937" s="82"/>
      <c r="E1937" s="84"/>
      <c r="F1937" s="85"/>
      <c r="G1937" s="86"/>
      <c r="H1937" s="84"/>
      <c r="I1937" s="86"/>
      <c r="J1937" s="87"/>
      <c r="K1937" s="91"/>
      <c r="L1937" s="89"/>
      <c r="M1937" s="26"/>
      <c r="N1937" s="26"/>
      <c r="O1937" s="26"/>
      <c r="P1937" s="26"/>
    </row>
    <row r="1938">
      <c r="A1938" s="90"/>
      <c r="B1938" s="82"/>
      <c r="C1938" s="83"/>
      <c r="D1938" s="82"/>
      <c r="E1938" s="84"/>
      <c r="F1938" s="85"/>
      <c r="G1938" s="86"/>
      <c r="H1938" s="84"/>
      <c r="I1938" s="86"/>
      <c r="J1938" s="87"/>
      <c r="K1938" s="91"/>
      <c r="L1938" s="89"/>
      <c r="M1938" s="26"/>
      <c r="N1938" s="26"/>
      <c r="O1938" s="26"/>
      <c r="P1938" s="26"/>
    </row>
    <row r="1939">
      <c r="A1939" s="90"/>
      <c r="B1939" s="82"/>
      <c r="C1939" s="83"/>
      <c r="D1939" s="82"/>
      <c r="E1939" s="84"/>
      <c r="F1939" s="85"/>
      <c r="G1939" s="86"/>
      <c r="H1939" s="84"/>
      <c r="I1939" s="86"/>
      <c r="J1939" s="87"/>
      <c r="K1939" s="91"/>
      <c r="L1939" s="89"/>
      <c r="M1939" s="26"/>
      <c r="N1939" s="26"/>
      <c r="O1939" s="26"/>
      <c r="P1939" s="26"/>
    </row>
    <row r="1940">
      <c r="A1940" s="90"/>
      <c r="B1940" s="82"/>
      <c r="C1940" s="83"/>
      <c r="D1940" s="82"/>
      <c r="E1940" s="84"/>
      <c r="F1940" s="85"/>
      <c r="G1940" s="86"/>
      <c r="H1940" s="84"/>
      <c r="I1940" s="86"/>
      <c r="J1940" s="87"/>
      <c r="K1940" s="91"/>
      <c r="L1940" s="89"/>
      <c r="M1940" s="26"/>
      <c r="N1940" s="26"/>
      <c r="O1940" s="26"/>
      <c r="P1940" s="26"/>
    </row>
  </sheetData>
  <autoFilter ref="$A$2:$N$779"/>
  <conditionalFormatting sqref="B1">
    <cfRule type="cellIs" dxfId="1" priority="1" operator="equal">
      <formula>"Xbox"</formula>
    </cfRule>
  </conditionalFormatting>
  <conditionalFormatting sqref="A3:A1940">
    <cfRule type="expression" dxfId="2" priority="2">
      <formula>MATCH(A3,INDIRECT("'Xbox Game Studios'!A:A"),0)</formula>
    </cfRule>
  </conditionalFormatting>
  <conditionalFormatting sqref="A3:A1940">
    <cfRule type="expression" dxfId="3" priority="3">
      <formula>MATCH(A3,INDIRECT("'EA Play'!A:A"),0)</formula>
    </cfRule>
  </conditionalFormatting>
  <conditionalFormatting sqref="A3:A1940 D3:D1940">
    <cfRule type="expression" dxfId="4" priority="4">
      <formula>$D3="Coming Soon"</formula>
    </cfRule>
  </conditionalFormatting>
  <conditionalFormatting sqref="A3:A1940 D3:D1940">
    <cfRule type="expression" dxfId="5" priority="5">
      <formula>$D3="Removed"</formula>
    </cfRule>
  </conditionalFormatting>
  <conditionalFormatting sqref="A3:A1940 D3:D1940">
    <cfRule type="expression" dxfId="6" priority="6">
      <formula>$D3="Leaving Soon"</formula>
    </cfRule>
  </conditionalFormatting>
  <conditionalFormatting sqref="E3:E1940 I3:I1940">
    <cfRule type="expression" dxfId="1" priority="7">
      <formula>AND($E3&lt;&gt;"",(($E3-$H3)/365*12)&lt;1)</formula>
    </cfRule>
  </conditionalFormatting>
  <conditionalFormatting sqref="J3:J1940">
    <cfRule type="cellIs" dxfId="3" priority="8" operator="between">
      <formula>75</formula>
      <formula>90</formula>
    </cfRule>
  </conditionalFormatting>
  <conditionalFormatting sqref="J3:J1940">
    <cfRule type="cellIs" dxfId="2" priority="9" operator="between">
      <formula>50</formula>
      <formula>75</formula>
    </cfRule>
  </conditionalFormatting>
  <conditionalFormatting sqref="J3:J1940">
    <cfRule type="cellIs" dxfId="5" priority="10" operator="between">
      <formula>1</formula>
      <formula>50</formula>
    </cfRule>
  </conditionalFormatting>
  <conditionalFormatting sqref="B3:B1940">
    <cfRule type="expression" dxfId="7" priority="11">
      <formula>AND(MATCH(A3,INDIRECT("'Cross Play'!D2:D"),0),MATCH(A3,INDIRECT("'Cross Play'!A2:A"),0))</formula>
    </cfRule>
  </conditionalFormatting>
  <conditionalFormatting sqref="B3:B1940">
    <cfRule type="expression" dxfId="8" priority="12">
      <formula>MATCH(A3,INDIRECT("'Cross Play'!A2:A"),0)</formula>
    </cfRule>
  </conditionalFormatting>
  <conditionalFormatting sqref="B3:B1940">
    <cfRule type="expression" dxfId="9" priority="13">
      <formula>MATCH(A3,INDIRECT("'Cross Play'!D2:D"),0)</formula>
    </cfRule>
  </conditionalFormatting>
  <conditionalFormatting sqref="I3:I1940">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1940">
    <cfRule type="cellIs" dxfId="10" priority="16" operator="between">
      <formula>90</formula>
      <formula>100</formula>
    </cfRule>
  </conditionalFormatting>
  <conditionalFormatting sqref="G3:G1940">
    <cfRule type="expression" dxfId="11" priority="17">
      <formula>MATCH(A3,INDIRECT("'Xbox Game Studios'!A:A"),0)</formula>
    </cfRule>
  </conditionalFormatting>
  <conditionalFormatting sqref="G3:G1940">
    <cfRule type="expression" dxfId="11" priority="18">
      <formula>MATCH(A3,INDIRECT("'EA Play'!A:A"),0)</formula>
    </cfRule>
  </conditionalFormatting>
  <conditionalFormatting sqref="G3:G1940">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1.86"/>
    <col customWidth="1" min="4" max="4" width="13.0"/>
    <col customWidth="1" min="5" max="5" width="13.14"/>
    <col customWidth="1" min="6" max="6" width="14.71"/>
    <col customWidth="1" min="7" max="7" width="10.71"/>
    <col customWidth="1" min="8" max="10" width="13.14"/>
    <col customWidth="1" min="11" max="11" width="14.14"/>
    <col customWidth="1" min="12" max="12" width="14.43"/>
    <col customWidth="1" min="13" max="13" width="43.29"/>
    <col customWidth="1" min="14" max="14" width="16.43"/>
    <col customWidth="1" min="15" max="16" width="9.29"/>
  </cols>
  <sheetData>
    <row r="1">
      <c r="A1" s="1" t="s">
        <v>0</v>
      </c>
      <c r="B1" s="2">
        <f>COUNTIF(D2:D779,"Active")+COUNTIF(D2:D779,"Leaving Soon")</f>
        <v>94</v>
      </c>
      <c r="C1" s="2" t="s">
        <v>542</v>
      </c>
      <c r="D1" s="2"/>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List'!A:Q, 'Master List'!D:D=""Active"", ('Master List'!G:G&gt;10.5)*('Master List'!G:G&lt;13) + ('Master List'!G:G&gt;22.5)*('Master List'!G:G&lt;25) + ('Master List'!G:G&gt;34.5)*('Master List'!G:G&lt;37) + ('Master List'!G:G&gt;46.5)*('Master List'!G:G&lt;"&amp;"49) + ('Master List'!G:G&gt;58.5)*('Master List'!G:G&lt;61)),7,1)"),"Grand Theft Auto V")</f>
        <v>Grand Theft Auto V</v>
      </c>
      <c r="B3" s="15" t="str">
        <f>IFERROR(__xludf.DUMMYFUNCTION("""COMPUTED_VALUE"""),"PS5/PS4")</f>
        <v>PS5/PS4</v>
      </c>
      <c r="C3" s="16" t="str">
        <f>IFERROR(__xludf.DUMMYFUNCTION("""COMPUTED_VALUE"""),"Extra")</f>
        <v>Extra</v>
      </c>
      <c r="D3" s="15" t="str">
        <f>IFERROR(__xludf.DUMMYFUNCTION("""COMPUTED_VALUE"""),"Active")</f>
        <v>Active</v>
      </c>
      <c r="E3" s="17">
        <f>IFERROR(__xludf.DUMMYFUNCTION("""COMPUTED_VALUE"""),45979.0)</f>
        <v>45979</v>
      </c>
      <c r="F3" s="18"/>
      <c r="G3" s="19">
        <f>IFERROR(__xludf.DUMMYFUNCTION("""COMPUTED_VALUE"""),10.6)</f>
        <v>10.6</v>
      </c>
      <c r="H3" s="17">
        <f>IFERROR(__xludf.DUMMYFUNCTION("""COMPUTED_VALUE"""),41961.0)</f>
        <v>41961</v>
      </c>
      <c r="I3" s="19">
        <f>IFERROR(__xludf.DUMMYFUNCTION("""COMPUTED_VALUE"""),11.0)</f>
        <v>11</v>
      </c>
      <c r="J3" s="21">
        <f>IFERROR(__xludf.DUMMYFUNCTION("""COMPUTED_VALUE"""),97.0)</f>
        <v>97</v>
      </c>
      <c r="K3" s="23">
        <f>IFERROR(__xludf.DUMMYFUNCTION("""COMPUTED_VALUE"""),8.4)</f>
        <v>8.4</v>
      </c>
      <c r="L3" s="24">
        <f>IFERROR(__xludf.DUMMYFUNCTION("""COMPUTED_VALUE"""),32.0)</f>
        <v>32</v>
      </c>
      <c r="M3" s="25" t="str">
        <f>IFERROR(__xludf.DUMMYFUNCTION("""COMPUTED_VALUE"""),"Action-Adventure")</f>
        <v>Action-Adventure</v>
      </c>
      <c r="N3" s="25"/>
      <c r="O3" s="25" t="str">
        <f>IFERROR(__xludf.DUMMYFUNCTION("""COMPUTED_VALUE"""),"Yes")</f>
        <v>Yes</v>
      </c>
      <c r="P3" s="26"/>
    </row>
    <row r="4">
      <c r="A4" s="13" t="str">
        <f>IFERROR(__xludf.DUMMYFUNCTION("""COMPUTED_VALUE"""),"Pacific Drive")</f>
        <v>Pacific Drive</v>
      </c>
      <c r="B4" s="15" t="str">
        <f>IFERROR(__xludf.DUMMYFUNCTION("""COMPUTED_VALUE"""),"PS5")</f>
        <v>PS5</v>
      </c>
      <c r="C4" s="16" t="str">
        <f>IFERROR(__xludf.DUMMYFUNCTION("""COMPUTED_VALUE"""),"Extra")</f>
        <v>Extra</v>
      </c>
      <c r="D4" s="15" t="str">
        <f>IFERROR(__xludf.DUMMYFUNCTION("""COMPUTED_VALUE"""),"Active")</f>
        <v>Active</v>
      </c>
      <c r="E4" s="17">
        <f>IFERROR(__xludf.DUMMYFUNCTION("""COMPUTED_VALUE"""),45979.0)</f>
        <v>45979</v>
      </c>
      <c r="F4" s="18"/>
      <c r="G4" s="19">
        <f>IFERROR(__xludf.DUMMYFUNCTION("""COMPUTED_VALUE"""),10.6)</f>
        <v>10.6</v>
      </c>
      <c r="H4" s="17">
        <f>IFERROR(__xludf.DUMMYFUNCTION("""COMPUTED_VALUE"""),45343.0)</f>
        <v>45343</v>
      </c>
      <c r="I4" s="19">
        <f>IFERROR(__xludf.DUMMYFUNCTION("""COMPUTED_VALUE"""),1.7416666666666667)</f>
        <v>1.741666667</v>
      </c>
      <c r="J4" s="21">
        <f>IFERROR(__xludf.DUMMYFUNCTION("""COMPUTED_VALUE"""),80.0)</f>
        <v>80</v>
      </c>
      <c r="K4" s="23">
        <f>IFERROR(__xludf.DUMMYFUNCTION("""COMPUTED_VALUE"""),6.2)</f>
        <v>6.2</v>
      </c>
      <c r="L4" s="24" t="str">
        <f>IFERROR(__xludf.DUMMYFUNCTION("""COMPUTED_VALUE"""),"30")</f>
        <v>30</v>
      </c>
      <c r="M4" s="25" t="str">
        <f>IFERROR(__xludf.DUMMYFUNCTION("""COMPUTED_VALUE"""),"Survival")</f>
        <v>Survival</v>
      </c>
      <c r="N4" s="25"/>
      <c r="O4" s="25" t="str">
        <f>IFERROR(__xludf.DUMMYFUNCTION("""COMPUTED_VALUE"""),"No")</f>
        <v>No</v>
      </c>
      <c r="P4" s="26"/>
    </row>
    <row r="5">
      <c r="A5" s="13" t="str">
        <f>IFERROR(__xludf.DUMMYFUNCTION("""COMPUTED_VALUE"""),"Still Wakes the Deep")</f>
        <v>Still Wakes the Deep</v>
      </c>
      <c r="B5" s="15" t="str">
        <f>IFERROR(__xludf.DUMMYFUNCTION("""COMPUTED_VALUE"""),"PS5")</f>
        <v>PS5</v>
      </c>
      <c r="C5" s="16" t="str">
        <f>IFERROR(__xludf.DUMMYFUNCTION("""COMPUTED_VALUE"""),"Extra")</f>
        <v>Extra</v>
      </c>
      <c r="D5" s="15" t="str">
        <f>IFERROR(__xludf.DUMMYFUNCTION("""COMPUTED_VALUE"""),"Active")</f>
        <v>Active</v>
      </c>
      <c r="E5" s="17">
        <f>IFERROR(__xludf.DUMMYFUNCTION("""COMPUTED_VALUE"""),45979.0)</f>
        <v>45979</v>
      </c>
      <c r="F5" s="18"/>
      <c r="G5" s="19">
        <f>IFERROR(__xludf.DUMMYFUNCTION("""COMPUTED_VALUE"""),10.6)</f>
        <v>10.6</v>
      </c>
      <c r="H5" s="17">
        <f>IFERROR(__xludf.DUMMYFUNCTION("""COMPUTED_VALUE"""),45461.0)</f>
        <v>45461</v>
      </c>
      <c r="I5" s="19">
        <f>IFERROR(__xludf.DUMMYFUNCTION("""COMPUTED_VALUE"""),1.4166666666666667)</f>
        <v>1.416666667</v>
      </c>
      <c r="J5" s="21">
        <f>IFERROR(__xludf.DUMMYFUNCTION("""COMPUTED_VALUE"""),83.0)</f>
        <v>83</v>
      </c>
      <c r="K5" s="23">
        <f>IFERROR(__xludf.DUMMYFUNCTION("""COMPUTED_VALUE"""),7.5)</f>
        <v>7.5</v>
      </c>
      <c r="L5" s="24" t="str">
        <f>IFERROR(__xludf.DUMMYFUNCTION("""COMPUTED_VALUE"""),"4 ")</f>
        <v>4 </v>
      </c>
      <c r="M5" s="25" t="str">
        <f>IFERROR(__xludf.DUMMYFUNCTION("""COMPUTED_VALUE"""),"Survival (horror)")</f>
        <v>Survival (horror)</v>
      </c>
      <c r="N5" s="25"/>
      <c r="O5" s="25" t="str">
        <f>IFERROR(__xludf.DUMMYFUNCTION("""COMPUTED_VALUE"""),"No")</f>
        <v>No</v>
      </c>
      <c r="P5" s="26"/>
    </row>
    <row r="6">
      <c r="A6" s="13" t="str">
        <f>IFERROR(__xludf.DUMMYFUNCTION("""COMPUTED_VALUE"""),"Insurgency: Sandstorm")</f>
        <v>Insurgency: Sandstorm</v>
      </c>
      <c r="B6" s="15" t="str">
        <f>IFERROR(__xludf.DUMMYFUNCTION("""COMPUTED_VALUE"""),"PS5/PS4")</f>
        <v>PS5/PS4</v>
      </c>
      <c r="C6" s="16" t="str">
        <f>IFERROR(__xludf.DUMMYFUNCTION("""COMPUTED_VALUE"""),"Extra")</f>
        <v>Extra</v>
      </c>
      <c r="D6" s="15" t="str">
        <f>IFERROR(__xludf.DUMMYFUNCTION("""COMPUTED_VALUE"""),"Active")</f>
        <v>Active</v>
      </c>
      <c r="E6" s="17">
        <f>IFERROR(__xludf.DUMMYFUNCTION("""COMPUTED_VALUE"""),45979.0)</f>
        <v>45979</v>
      </c>
      <c r="F6" s="18"/>
      <c r="G6" s="19">
        <f>IFERROR(__xludf.DUMMYFUNCTION("""COMPUTED_VALUE"""),10.6)</f>
        <v>10.6</v>
      </c>
      <c r="H6" s="17">
        <f>IFERROR(__xludf.DUMMYFUNCTION("""COMPUTED_VALUE"""),43446.0)</f>
        <v>43446</v>
      </c>
      <c r="I6" s="19">
        <f>IFERROR(__xludf.DUMMYFUNCTION("""COMPUTED_VALUE"""),6.933333333333334)</f>
        <v>6.933333333</v>
      </c>
      <c r="J6" s="21">
        <f>IFERROR(__xludf.DUMMYFUNCTION("""COMPUTED_VALUE"""),78.0)</f>
        <v>78</v>
      </c>
      <c r="K6" s="23">
        <f>IFERROR(__xludf.DUMMYFUNCTION("""COMPUTED_VALUE"""),8.0)</f>
        <v>8</v>
      </c>
      <c r="L6" s="24" t="str">
        <f>IFERROR(__xludf.DUMMYFUNCTION("""COMPUTED_VALUE"""),"15")</f>
        <v>15</v>
      </c>
      <c r="M6" s="25" t="str">
        <f>IFERROR(__xludf.DUMMYFUNCTION("""COMPUTED_VALUE"""),"Shooter")</f>
        <v>Shooter</v>
      </c>
      <c r="N6" s="25"/>
      <c r="O6" s="25"/>
      <c r="P6" s="26"/>
    </row>
    <row r="7">
      <c r="A7" s="13" t="str">
        <f>IFERROR(__xludf.DUMMYFUNCTION("""COMPUTED_VALUE"""),"Thank Goodness You’re Here!")</f>
        <v>Thank Goodness You’re Here!</v>
      </c>
      <c r="B7" s="15" t="str">
        <f>IFERROR(__xludf.DUMMYFUNCTION("""COMPUTED_VALUE"""),"PS5/PS4")</f>
        <v>PS5/PS4</v>
      </c>
      <c r="C7" s="16" t="str">
        <f>IFERROR(__xludf.DUMMYFUNCTION("""COMPUTED_VALUE"""),"Extra")</f>
        <v>Extra</v>
      </c>
      <c r="D7" s="15" t="str">
        <f>IFERROR(__xludf.DUMMYFUNCTION("""COMPUTED_VALUE"""),"Active")</f>
        <v>Active</v>
      </c>
      <c r="E7" s="17">
        <f>IFERROR(__xludf.DUMMYFUNCTION("""COMPUTED_VALUE"""),45979.0)</f>
        <v>45979</v>
      </c>
      <c r="F7" s="18"/>
      <c r="G7" s="19">
        <f>IFERROR(__xludf.DUMMYFUNCTION("""COMPUTED_VALUE"""),10.6)</f>
        <v>10.6</v>
      </c>
      <c r="H7" s="17">
        <f>IFERROR(__xludf.DUMMYFUNCTION("""COMPUTED_VALUE"""),45505.0)</f>
        <v>45505</v>
      </c>
      <c r="I7" s="19">
        <f>IFERROR(__xludf.DUMMYFUNCTION("""COMPUTED_VALUE"""),1.2972222222222223)</f>
        <v>1.297222222</v>
      </c>
      <c r="J7" s="21">
        <f>IFERROR(__xludf.DUMMYFUNCTION("""COMPUTED_VALUE"""),100.0)</f>
        <v>100</v>
      </c>
      <c r="K7" s="23">
        <f>IFERROR(__xludf.DUMMYFUNCTION("""COMPUTED_VALUE"""),7.8)</f>
        <v>7.8</v>
      </c>
      <c r="L7" s="24" t="str">
        <f>IFERROR(__xludf.DUMMYFUNCTION("""COMPUTED_VALUE"""),"2")</f>
        <v>2</v>
      </c>
      <c r="M7" s="25" t="str">
        <f>IFERROR(__xludf.DUMMYFUNCTION("""COMPUTED_VALUE"""),"Action-Adventure")</f>
        <v>Action-Adventure</v>
      </c>
      <c r="N7" s="25"/>
      <c r="O7" s="25"/>
      <c r="P7" s="26"/>
    </row>
    <row r="8">
      <c r="A8" s="13" t="str">
        <f>IFERROR(__xludf.DUMMYFUNCTION("""COMPUTED_VALUE"""),"The Talos Principle 2")</f>
        <v>The Talos Principle 2</v>
      </c>
      <c r="B8" s="15" t="str">
        <f>IFERROR(__xludf.DUMMYFUNCTION("""COMPUTED_VALUE"""),"PS5")</f>
        <v>PS5</v>
      </c>
      <c r="C8" s="16" t="str">
        <f>IFERROR(__xludf.DUMMYFUNCTION("""COMPUTED_VALUE"""),"Extra")</f>
        <v>Extra</v>
      </c>
      <c r="D8" s="15" t="str">
        <f>IFERROR(__xludf.DUMMYFUNCTION("""COMPUTED_VALUE"""),"Active")</f>
        <v>Active</v>
      </c>
      <c r="E8" s="17">
        <f>IFERROR(__xludf.DUMMYFUNCTION("""COMPUTED_VALUE"""),45979.0)</f>
        <v>45979</v>
      </c>
      <c r="F8" s="18"/>
      <c r="G8" s="19">
        <f>IFERROR(__xludf.DUMMYFUNCTION("""COMPUTED_VALUE"""),10.6)</f>
        <v>10.6</v>
      </c>
      <c r="H8" s="17">
        <f>IFERROR(__xludf.DUMMYFUNCTION("""COMPUTED_VALUE"""),45232.0)</f>
        <v>45232</v>
      </c>
      <c r="I8" s="19">
        <f>IFERROR(__xludf.DUMMYFUNCTION("""COMPUTED_VALUE"""),2.0444444444444443)</f>
        <v>2.044444444</v>
      </c>
      <c r="J8" s="21">
        <f>IFERROR(__xludf.DUMMYFUNCTION("""COMPUTED_VALUE"""),88.0)</f>
        <v>88</v>
      </c>
      <c r="K8" s="23">
        <f>IFERROR(__xludf.DUMMYFUNCTION("""COMPUTED_VALUE"""),8.5)</f>
        <v>8.5</v>
      </c>
      <c r="L8" s="24" t="str">
        <f>IFERROR(__xludf.DUMMYFUNCTION("""COMPUTED_VALUE"""),"27")</f>
        <v>27</v>
      </c>
      <c r="M8" s="25" t="str">
        <f>IFERROR(__xludf.DUMMYFUNCTION("""COMPUTED_VALUE"""),"Action-Adventure")</f>
        <v>Action-Adventure</v>
      </c>
      <c r="N8" s="25"/>
      <c r="O8" s="25" t="str">
        <f>IFERROR(__xludf.DUMMYFUNCTION("""COMPUTED_VALUE"""),"No")</f>
        <v>No</v>
      </c>
      <c r="P8" s="26"/>
    </row>
    <row r="9">
      <c r="A9" s="35" t="str">
        <f>IFERROR(__xludf.DUMMYFUNCTION("""COMPUTED_VALUE"""),"Monster Jam Showdown")</f>
        <v>Monster Jam Showdown</v>
      </c>
      <c r="B9" s="15" t="str">
        <f>IFERROR(__xludf.DUMMYFUNCTION("""COMPUTED_VALUE"""),"PS5/PS4")</f>
        <v>PS5/PS4</v>
      </c>
      <c r="C9" s="16" t="str">
        <f>IFERROR(__xludf.DUMMYFUNCTION("""COMPUTED_VALUE"""),"Extra")</f>
        <v>Extra</v>
      </c>
      <c r="D9" s="15" t="str">
        <f>IFERROR(__xludf.DUMMYFUNCTION("""COMPUTED_VALUE"""),"Active")</f>
        <v>Active</v>
      </c>
      <c r="E9" s="17">
        <f>IFERROR(__xludf.DUMMYFUNCTION("""COMPUTED_VALUE"""),45979.0)</f>
        <v>45979</v>
      </c>
      <c r="F9" s="18"/>
      <c r="G9" s="19">
        <f>IFERROR(__xludf.DUMMYFUNCTION("""COMPUTED_VALUE"""),10.6)</f>
        <v>10.6</v>
      </c>
      <c r="H9" s="17">
        <f>IFERROR(__xludf.DUMMYFUNCTION("""COMPUTED_VALUE"""),45533.0)</f>
        <v>45533</v>
      </c>
      <c r="I9" s="19">
        <f>IFERROR(__xludf.DUMMYFUNCTION("""COMPUTED_VALUE"""),1.2194444444444446)</f>
        <v>1.219444444</v>
      </c>
      <c r="J9" s="21">
        <f>IFERROR(__xludf.DUMMYFUNCTION("""COMPUTED_VALUE"""),70.0)</f>
        <v>70</v>
      </c>
      <c r="K9" s="23">
        <f>IFERROR(__xludf.DUMMYFUNCTION("""COMPUTED_VALUE"""),8.0)</f>
        <v>8</v>
      </c>
      <c r="L9" s="24">
        <f>IFERROR(__xludf.DUMMYFUNCTION("""COMPUTED_VALUE"""),21.0)</f>
        <v>21</v>
      </c>
      <c r="M9" s="25" t="str">
        <f>IFERROR(__xludf.DUMMYFUNCTION("""COMPUTED_VALUE"""),"Racing")</f>
        <v>Racing</v>
      </c>
      <c r="N9" s="25"/>
      <c r="O9" s="25"/>
      <c r="P9" s="26"/>
    </row>
    <row r="10">
      <c r="A10" s="13" t="str">
        <f>IFERROR(__xludf.DUMMYFUNCTION("""COMPUTED_VALUE"""),"Tomb Raider: Anniversary")</f>
        <v>Tomb Raider: Anniversary</v>
      </c>
      <c r="B10" s="15" t="str">
        <f>IFERROR(__xludf.DUMMYFUNCTION("""COMPUTED_VALUE"""),"PS5/PS4")</f>
        <v>PS5/PS4</v>
      </c>
      <c r="C10" s="16" t="str">
        <f>IFERROR(__xludf.DUMMYFUNCTION("""COMPUTED_VALUE"""),"Premium (Classics)")</f>
        <v>Premium (Classics)</v>
      </c>
      <c r="D10" s="15" t="str">
        <f>IFERROR(__xludf.DUMMYFUNCTION("""COMPUTED_VALUE"""),"Active")</f>
        <v>Active</v>
      </c>
      <c r="E10" s="17">
        <f>IFERROR(__xludf.DUMMYFUNCTION("""COMPUTED_VALUE"""),45979.0)</f>
        <v>45979</v>
      </c>
      <c r="F10" s="18"/>
      <c r="G10" s="19">
        <f>IFERROR(__xludf.DUMMYFUNCTION("""COMPUTED_VALUE"""),10.6)</f>
        <v>10.6</v>
      </c>
      <c r="H10" s="17">
        <f>IFERROR(__xludf.DUMMYFUNCTION("""COMPUTED_VALUE"""),39378.0)</f>
        <v>39378</v>
      </c>
      <c r="I10" s="19">
        <f>IFERROR(__xludf.DUMMYFUNCTION("""COMPUTED_VALUE"""),18.069444444444443)</f>
        <v>18.06944444</v>
      </c>
      <c r="J10" s="21">
        <f>IFERROR(__xludf.DUMMYFUNCTION("""COMPUTED_VALUE"""),77.0)</f>
        <v>77</v>
      </c>
      <c r="K10" s="23">
        <f>IFERROR(__xludf.DUMMYFUNCTION("""COMPUTED_VALUE"""),7.9)</f>
        <v>7.9</v>
      </c>
      <c r="L10" s="24">
        <f>IFERROR(__xludf.DUMMYFUNCTION("""COMPUTED_VALUE"""),13.0)</f>
        <v>13</v>
      </c>
      <c r="M10" s="25" t="str">
        <f>IFERROR(__xludf.DUMMYFUNCTION("""COMPUTED_VALUE"""),"Action-Adventure")</f>
        <v>Action-Adventure</v>
      </c>
      <c r="N10" s="25" t="str">
        <f>IFERROR(__xludf.DUMMYFUNCTION("""COMPUTED_VALUE"""),"PS2")</f>
        <v>PS2</v>
      </c>
      <c r="O10" s="25" t="str">
        <f>IFERROR(__xludf.DUMMYFUNCTION("""COMPUTED_VALUE"""),"No")</f>
        <v>No</v>
      </c>
      <c r="P10" s="26"/>
    </row>
    <row r="11">
      <c r="A11" s="13" t="str">
        <f>IFERROR(__xludf.DUMMYFUNCTION("""COMPUTED_VALUE"""),"Until Dawn (2024)")</f>
        <v>Until Dawn (2024)</v>
      </c>
      <c r="B11" s="15" t="str">
        <f>IFERROR(__xludf.DUMMYFUNCTION("""COMPUTED_VALUE"""),"PS5")</f>
        <v>PS5</v>
      </c>
      <c r="C11" s="16" t="str">
        <f>IFERROR(__xludf.DUMMYFUNCTION("""COMPUTED_VALUE"""),"Extra")</f>
        <v>Extra</v>
      </c>
      <c r="D11" s="15" t="str">
        <f>IFERROR(__xludf.DUMMYFUNCTION("""COMPUTED_VALUE"""),"Active")</f>
        <v>Active</v>
      </c>
      <c r="E11" s="17">
        <f>IFERROR(__xludf.DUMMYFUNCTION("""COMPUTED_VALUE"""),45951.0)</f>
        <v>45951</v>
      </c>
      <c r="F11" s="18"/>
      <c r="G11" s="19">
        <f>IFERROR(__xludf.DUMMYFUNCTION("""COMPUTED_VALUE"""),11.5)</f>
        <v>11.5</v>
      </c>
      <c r="H11" s="17">
        <f>IFERROR(__xludf.DUMMYFUNCTION("""COMPUTED_VALUE"""),45569.0)</f>
        <v>45569</v>
      </c>
      <c r="I11" s="19">
        <f>IFERROR(__xludf.DUMMYFUNCTION("""COMPUTED_VALUE"""),1.0472222222222223)</f>
        <v>1.047222222</v>
      </c>
      <c r="J11" s="21">
        <f>IFERROR(__xludf.DUMMYFUNCTION("""COMPUTED_VALUE"""),70.0)</f>
        <v>70</v>
      </c>
      <c r="K11" s="23">
        <f>IFERROR(__xludf.DUMMYFUNCTION("""COMPUTED_VALUE"""),6.6)</f>
        <v>6.6</v>
      </c>
      <c r="L11" s="24">
        <f>IFERROR(__xludf.DUMMYFUNCTION("""COMPUTED_VALUE"""),8.0)</f>
        <v>8</v>
      </c>
      <c r="M11" s="25" t="str">
        <f>IFERROR(__xludf.DUMMYFUNCTION("""COMPUTED_VALUE"""),"Action-Adventure")</f>
        <v>Action-Adventure</v>
      </c>
      <c r="N11" s="25"/>
      <c r="O11" s="25" t="str">
        <f>IFERROR(__xludf.DUMMYFUNCTION("""COMPUTED_VALUE"""),"No")</f>
        <v>No</v>
      </c>
      <c r="P11" s="26"/>
    </row>
    <row r="12">
      <c r="A12" s="13" t="str">
        <f>IFERROR(__xludf.DUMMYFUNCTION("""COMPUTED_VALUE"""),"V Rising")</f>
        <v>V Rising</v>
      </c>
      <c r="B12" s="15" t="str">
        <f>IFERROR(__xludf.DUMMYFUNCTION("""COMPUTED_VALUE"""),"PS5")</f>
        <v>PS5</v>
      </c>
      <c r="C12" s="16" t="str">
        <f>IFERROR(__xludf.DUMMYFUNCTION("""COMPUTED_VALUE"""),"Extra")</f>
        <v>Extra</v>
      </c>
      <c r="D12" s="15" t="str">
        <f>IFERROR(__xludf.DUMMYFUNCTION("""COMPUTED_VALUE"""),"Active")</f>
        <v>Active</v>
      </c>
      <c r="E12" s="53">
        <f>IFERROR(__xludf.DUMMYFUNCTION("""COMPUTED_VALUE"""),45951.0)</f>
        <v>45951</v>
      </c>
      <c r="F12" s="54"/>
      <c r="G12" s="19">
        <f>IFERROR(__xludf.DUMMYFUNCTION("""COMPUTED_VALUE"""),11.5)</f>
        <v>11.5</v>
      </c>
      <c r="H12" s="17">
        <f>IFERROR(__xludf.DUMMYFUNCTION("""COMPUTED_VALUE"""),45420.0)</f>
        <v>45420</v>
      </c>
      <c r="I12" s="19">
        <f>IFERROR(__xludf.DUMMYFUNCTION("""COMPUTED_VALUE"""),1.4527777777777777)</f>
        <v>1.452777778</v>
      </c>
      <c r="J12" s="21">
        <f>IFERROR(__xludf.DUMMYFUNCTION("""COMPUTED_VALUE"""),83.0)</f>
        <v>83</v>
      </c>
      <c r="K12" s="23">
        <f>IFERROR(__xludf.DUMMYFUNCTION("""COMPUTED_VALUE"""),7.0)</f>
        <v>7</v>
      </c>
      <c r="L12" s="24">
        <f>IFERROR(__xludf.DUMMYFUNCTION("""COMPUTED_VALUE"""),47.0)</f>
        <v>47</v>
      </c>
      <c r="M12" s="25" t="str">
        <f>IFERROR(__xludf.DUMMYFUNCTION("""COMPUTED_VALUE"""),"Action-Adventure")</f>
        <v>Action-Adventure</v>
      </c>
      <c r="N12" s="25"/>
      <c r="O12" s="25" t="str">
        <f>IFERROR(__xludf.DUMMYFUNCTION("""COMPUTED_VALUE"""),"No")</f>
        <v>No</v>
      </c>
      <c r="P12" s="26"/>
    </row>
    <row r="13">
      <c r="A13" s="13" t="str">
        <f>IFERROR(__xludf.DUMMYFUNCTION("""COMPUTED_VALUE"""),"Poppy Playtime: Chapter 1")</f>
        <v>Poppy Playtime: Chapter 1</v>
      </c>
      <c r="B13" s="15" t="str">
        <f>IFERROR(__xludf.DUMMYFUNCTION("""COMPUTED_VALUE"""),"PS5/PS4")</f>
        <v>PS5/PS4</v>
      </c>
      <c r="C13" s="16" t="str">
        <f>IFERROR(__xludf.DUMMYFUNCTION("""COMPUTED_VALUE"""),"Extra")</f>
        <v>Extra</v>
      </c>
      <c r="D13" s="15" t="str">
        <f>IFERROR(__xludf.DUMMYFUNCTION("""COMPUTED_VALUE"""),"Active")</f>
        <v>Active</v>
      </c>
      <c r="E13" s="17">
        <f>IFERROR(__xludf.DUMMYFUNCTION("""COMPUTED_VALUE"""),45951.0)</f>
        <v>45951</v>
      </c>
      <c r="F13" s="54"/>
      <c r="G13" s="19">
        <f>IFERROR(__xludf.DUMMYFUNCTION("""COMPUTED_VALUE"""),11.5)</f>
        <v>11.5</v>
      </c>
      <c r="H13" s="17">
        <f>IFERROR(__xludf.DUMMYFUNCTION("""COMPUTED_VALUE"""),45485.0)</f>
        <v>45485</v>
      </c>
      <c r="I13" s="19">
        <f>IFERROR(__xludf.DUMMYFUNCTION("""COMPUTED_VALUE"""),1.275)</f>
        <v>1.275</v>
      </c>
      <c r="J13" s="21">
        <f>IFERROR(__xludf.DUMMYFUNCTION("""COMPUTED_VALUE"""),75.0)</f>
        <v>75</v>
      </c>
      <c r="K13" s="23">
        <f>IFERROR(__xludf.DUMMYFUNCTION("""COMPUTED_VALUE"""),6.8)</f>
        <v>6.8</v>
      </c>
      <c r="L13" s="24">
        <f>IFERROR(__xludf.DUMMYFUNCTION("""COMPUTED_VALUE"""),1.0)</f>
        <v>1</v>
      </c>
      <c r="M13" s="25" t="str">
        <f>IFERROR(__xludf.DUMMYFUNCTION("""COMPUTED_VALUE"""),"Survival")</f>
        <v>Survival</v>
      </c>
      <c r="N13" s="25"/>
      <c r="O13" s="25"/>
      <c r="P13" s="26"/>
    </row>
    <row r="14">
      <c r="A14" s="13" t="str">
        <f>IFERROR(__xludf.DUMMYFUNCTION("""COMPUTED_VALUE"""),"As Dusk Falls")</f>
        <v>As Dusk Falls</v>
      </c>
      <c r="B14" s="15" t="str">
        <f>IFERROR(__xludf.DUMMYFUNCTION("""COMPUTED_VALUE"""),"PS5/PS4")</f>
        <v>PS5/PS4</v>
      </c>
      <c r="C14" s="16" t="str">
        <f>IFERROR(__xludf.DUMMYFUNCTION("""COMPUTED_VALUE"""),"Extra")</f>
        <v>Extra</v>
      </c>
      <c r="D14" s="15" t="str">
        <f>IFERROR(__xludf.DUMMYFUNCTION("""COMPUTED_VALUE"""),"Active")</f>
        <v>Active</v>
      </c>
      <c r="E14" s="17">
        <f>IFERROR(__xludf.DUMMYFUNCTION("""COMPUTED_VALUE"""),45951.0)</f>
        <v>45951</v>
      </c>
      <c r="F14" s="54"/>
      <c r="G14" s="19">
        <f>IFERROR(__xludf.DUMMYFUNCTION("""COMPUTED_VALUE"""),11.5)</f>
        <v>11.5</v>
      </c>
      <c r="H14" s="17">
        <f>IFERROR(__xludf.DUMMYFUNCTION("""COMPUTED_VALUE"""),44761.0)</f>
        <v>44761</v>
      </c>
      <c r="I14" s="19">
        <f>IFERROR(__xludf.DUMMYFUNCTION("""COMPUTED_VALUE"""),3.2555555555555555)</f>
        <v>3.255555556</v>
      </c>
      <c r="J14" s="21">
        <f>IFERROR(__xludf.DUMMYFUNCTION("""COMPUTED_VALUE"""),77.0)</f>
        <v>77</v>
      </c>
      <c r="K14" s="23">
        <f>IFERROR(__xludf.DUMMYFUNCTION("""COMPUTED_VALUE"""),7.7)</f>
        <v>7.7</v>
      </c>
      <c r="L14" s="24">
        <f>IFERROR(__xludf.DUMMYFUNCTION("""COMPUTED_VALUE"""),7.0)</f>
        <v>7</v>
      </c>
      <c r="M14" s="25" t="str">
        <f>IFERROR(__xludf.DUMMYFUNCTION("""COMPUTED_VALUE"""),"Action-Adventure")</f>
        <v>Action-Adventure</v>
      </c>
      <c r="N14" s="25"/>
      <c r="O14" s="25"/>
      <c r="P14" s="26"/>
    </row>
    <row r="15">
      <c r="A15" s="13" t="str">
        <f>IFERROR(__xludf.DUMMYFUNCTION("""COMPUTED_VALUE"""),"Wizard with a Gun")</f>
        <v>Wizard with a Gun</v>
      </c>
      <c r="B15" s="15" t="str">
        <f>IFERROR(__xludf.DUMMYFUNCTION("""COMPUTED_VALUE"""),"PS5")</f>
        <v>PS5</v>
      </c>
      <c r="C15" s="16" t="str">
        <f>IFERROR(__xludf.DUMMYFUNCTION("""COMPUTED_VALUE"""),"Extra")</f>
        <v>Extra</v>
      </c>
      <c r="D15" s="15" t="str">
        <f>IFERROR(__xludf.DUMMYFUNCTION("""COMPUTED_VALUE"""),"Active")</f>
        <v>Active</v>
      </c>
      <c r="E15" s="17">
        <f>IFERROR(__xludf.DUMMYFUNCTION("""COMPUTED_VALUE"""),45951.0)</f>
        <v>45951</v>
      </c>
      <c r="F15" s="54"/>
      <c r="G15" s="19">
        <f>IFERROR(__xludf.DUMMYFUNCTION("""COMPUTED_VALUE"""),11.5)</f>
        <v>11.5</v>
      </c>
      <c r="H15" s="17">
        <f>IFERROR(__xludf.DUMMYFUNCTION("""COMPUTED_VALUE"""),45215.0)</f>
        <v>45215</v>
      </c>
      <c r="I15" s="19">
        <f>IFERROR(__xludf.DUMMYFUNCTION("""COMPUTED_VALUE"""),2.013888888888889)</f>
        <v>2.013888889</v>
      </c>
      <c r="J15" s="21">
        <f>IFERROR(__xludf.DUMMYFUNCTION("""COMPUTED_VALUE"""),72.0)</f>
        <v>72</v>
      </c>
      <c r="K15" s="23">
        <f>IFERROR(__xludf.DUMMYFUNCTION("""COMPUTED_VALUE"""),5.3)</f>
        <v>5.3</v>
      </c>
      <c r="L15" s="24">
        <f>IFERROR(__xludf.DUMMYFUNCTION("""COMPUTED_VALUE"""),14.0)</f>
        <v>14</v>
      </c>
      <c r="M15" s="25" t="str">
        <f>IFERROR(__xludf.DUMMYFUNCTION("""COMPUTED_VALUE"""),"Sandbox")</f>
        <v>Sandbox</v>
      </c>
      <c r="N15" s="25"/>
      <c r="O15" s="25" t="str">
        <f>IFERROR(__xludf.DUMMYFUNCTION("""COMPUTED_VALUE"""),"No")</f>
        <v>No</v>
      </c>
      <c r="P15" s="26"/>
    </row>
    <row r="16">
      <c r="A16" s="13" t="str">
        <f>IFERROR(__xludf.DUMMYFUNCTION("""COMPUTED_VALUE"""),"Tekken 3")</f>
        <v>Tekken 3</v>
      </c>
      <c r="B16" s="15" t="str">
        <f>IFERROR(__xludf.DUMMYFUNCTION("""COMPUTED_VALUE"""),"PS5/PS4")</f>
        <v>PS5/PS4</v>
      </c>
      <c r="C16" s="16" t="str">
        <f>IFERROR(__xludf.DUMMYFUNCTION("""COMPUTED_VALUE"""),"Premium (Classics)")</f>
        <v>Premium (Classics)</v>
      </c>
      <c r="D16" s="15" t="str">
        <f>IFERROR(__xludf.DUMMYFUNCTION("""COMPUTED_VALUE"""),"Active")</f>
        <v>Active</v>
      </c>
      <c r="E16" s="17">
        <f>IFERROR(__xludf.DUMMYFUNCTION("""COMPUTED_VALUE"""),45951.0)</f>
        <v>45951</v>
      </c>
      <c r="F16" s="54"/>
      <c r="G16" s="19">
        <f>IFERROR(__xludf.DUMMYFUNCTION("""COMPUTED_VALUE"""),11.5)</f>
        <v>11.5</v>
      </c>
      <c r="H16" s="17">
        <f>IFERROR(__xludf.DUMMYFUNCTION("""COMPUTED_VALUE"""),35914.0)</f>
        <v>35914</v>
      </c>
      <c r="I16" s="19">
        <f>IFERROR(__xludf.DUMMYFUNCTION("""COMPUTED_VALUE"""),2.0)</f>
        <v>2</v>
      </c>
      <c r="J16" s="21">
        <f>IFERROR(__xludf.DUMMYFUNCTION("""COMPUTED_VALUE"""),96.0)</f>
        <v>96</v>
      </c>
      <c r="K16" s="23">
        <f>IFERROR(__xludf.DUMMYFUNCTION("""COMPUTED_VALUE"""),8.8)</f>
        <v>8.8</v>
      </c>
      <c r="L16" s="24">
        <f>IFERROR(__xludf.DUMMYFUNCTION("""COMPUTED_VALUE"""),2.0)</f>
        <v>2</v>
      </c>
      <c r="M16" s="25" t="str">
        <f>IFERROR(__xludf.DUMMYFUNCTION("""COMPUTED_VALUE"""),"Fighting")</f>
        <v>Fighting</v>
      </c>
      <c r="N16" s="25" t="str">
        <f>IFERROR(__xludf.DUMMYFUNCTION("""COMPUTED_VALUE"""),"PS1")</f>
        <v>PS1</v>
      </c>
      <c r="O16" s="25"/>
      <c r="P16" s="26"/>
    </row>
    <row r="17">
      <c r="A17" s="13" t="str">
        <f>IFERROR(__xludf.DUMMYFUNCTION("""COMPUTED_VALUE"""),"The Last of Us: Part 2 Remastered")</f>
        <v>The Last of Us: Part 2 Remastered</v>
      </c>
      <c r="B17" s="15" t="str">
        <f>IFERROR(__xludf.DUMMYFUNCTION("""COMPUTED_VALUE"""),"PS5")</f>
        <v>PS5</v>
      </c>
      <c r="C17" s="16" t="str">
        <f>IFERROR(__xludf.DUMMYFUNCTION("""COMPUTED_VALUE"""),"Extra")</f>
        <v>Extra</v>
      </c>
      <c r="D17" s="15" t="str">
        <f>IFERROR(__xludf.DUMMYFUNCTION("""COMPUTED_VALUE"""),"Active")</f>
        <v>Active</v>
      </c>
      <c r="E17" s="17">
        <f>IFERROR(__xludf.DUMMYFUNCTION("""COMPUTED_VALUE"""),45926.0)</f>
        <v>45926</v>
      </c>
      <c r="F17" s="54"/>
      <c r="G17" s="19">
        <f>IFERROR(__xludf.DUMMYFUNCTION("""COMPUTED_VALUE"""),12.333333333333332)</f>
        <v>12.33333333</v>
      </c>
      <c r="H17" s="17">
        <f>IFERROR(__xludf.DUMMYFUNCTION("""COMPUTED_VALUE"""),45310.0)</f>
        <v>45310</v>
      </c>
      <c r="I17" s="19">
        <f>IFERROR(__xludf.DUMMYFUNCTION("""COMPUTED_VALUE"""),1.6861111111111111)</f>
        <v>1.686111111</v>
      </c>
      <c r="J17" s="21">
        <f>IFERROR(__xludf.DUMMYFUNCTION("""COMPUTED_VALUE"""),90.0)</f>
        <v>90</v>
      </c>
      <c r="K17" s="23">
        <f>IFERROR(__xludf.DUMMYFUNCTION("""COMPUTED_VALUE"""),7.5)</f>
        <v>7.5</v>
      </c>
      <c r="L17" s="24">
        <f>IFERROR(__xludf.DUMMYFUNCTION("""COMPUTED_VALUE"""),23.0)</f>
        <v>23</v>
      </c>
      <c r="M17" s="25" t="str">
        <f>IFERROR(__xludf.DUMMYFUNCTION("""COMPUTED_VALUE"""),"Survival")</f>
        <v>Survival</v>
      </c>
      <c r="N17" s="25"/>
      <c r="O17" s="25" t="str">
        <f>IFERROR(__xludf.DUMMYFUNCTION("""COMPUTED_VALUE"""),"No")</f>
        <v>No</v>
      </c>
      <c r="P17" s="26"/>
    </row>
    <row r="18">
      <c r="A18" s="13" t="str">
        <f>IFERROR(__xludf.DUMMYFUNCTION("""COMPUTED_VALUE"""),"Green Hell")</f>
        <v>Green Hell</v>
      </c>
      <c r="B18" s="15" t="str">
        <f>IFERROR(__xludf.DUMMYFUNCTION("""COMPUTED_VALUE"""),"PS5/PS4")</f>
        <v>PS5/PS4</v>
      </c>
      <c r="C18" s="16" t="str">
        <f>IFERROR(__xludf.DUMMYFUNCTION("""COMPUTED_VALUE"""),"Extra")</f>
        <v>Extra</v>
      </c>
      <c r="D18" s="15" t="str">
        <f>IFERROR(__xludf.DUMMYFUNCTION("""COMPUTED_VALUE"""),"Active")</f>
        <v>Active</v>
      </c>
      <c r="E18" s="17">
        <f>IFERROR(__xludf.DUMMYFUNCTION("""COMPUTED_VALUE"""),45916.0)</f>
        <v>45916</v>
      </c>
      <c r="F18" s="54"/>
      <c r="G18" s="19">
        <f>IFERROR(__xludf.DUMMYFUNCTION("""COMPUTED_VALUE"""),12.666666666666668)</f>
        <v>12.66666667</v>
      </c>
      <c r="H18" s="17">
        <f>IFERROR(__xludf.DUMMYFUNCTION("""COMPUTED_VALUE"""),43713.0)</f>
        <v>43713</v>
      </c>
      <c r="I18" s="19">
        <f>IFERROR(__xludf.DUMMYFUNCTION("""COMPUTED_VALUE"""),6.030555555555556)</f>
        <v>6.030555556</v>
      </c>
      <c r="J18" s="21">
        <f>IFERROR(__xludf.DUMMYFUNCTION("""COMPUTED_VALUE"""),78.0)</f>
        <v>78</v>
      </c>
      <c r="K18" s="23">
        <f>IFERROR(__xludf.DUMMYFUNCTION("""COMPUTED_VALUE"""),7.5)</f>
        <v>7.5</v>
      </c>
      <c r="L18" s="24">
        <f>IFERROR(__xludf.DUMMYFUNCTION("""COMPUTED_VALUE"""),17.0)</f>
        <v>17</v>
      </c>
      <c r="M18" s="25" t="str">
        <f>IFERROR(__xludf.DUMMYFUNCTION("""COMPUTED_VALUE"""),"Survival")</f>
        <v>Survival</v>
      </c>
      <c r="N18" s="25"/>
      <c r="O18" s="25"/>
      <c r="P18" s="26"/>
    </row>
    <row r="19">
      <c r="A19" s="13" t="str">
        <f>IFERROR(__xludf.DUMMYFUNCTION("""COMPUTED_VALUE"""),"Fate/Samurai Remnant")</f>
        <v>Fate/Samurai Remnant</v>
      </c>
      <c r="B19" s="15" t="str">
        <f>IFERROR(__xludf.DUMMYFUNCTION("""COMPUTED_VALUE"""),"PS5/PS4")</f>
        <v>PS5/PS4</v>
      </c>
      <c r="C19" s="16" t="str">
        <f>IFERROR(__xludf.DUMMYFUNCTION("""COMPUTED_VALUE"""),"Extra")</f>
        <v>Extra</v>
      </c>
      <c r="D19" s="15" t="str">
        <f>IFERROR(__xludf.DUMMYFUNCTION("""COMPUTED_VALUE"""),"Active")</f>
        <v>Active</v>
      </c>
      <c r="E19" s="17">
        <f>IFERROR(__xludf.DUMMYFUNCTION("""COMPUTED_VALUE"""),45916.0)</f>
        <v>45916</v>
      </c>
      <c r="F19" s="54"/>
      <c r="G19" s="19">
        <f>IFERROR(__xludf.DUMMYFUNCTION("""COMPUTED_VALUE"""),12.666666666666668)</f>
        <v>12.66666667</v>
      </c>
      <c r="H19" s="17">
        <f>IFERROR(__xludf.DUMMYFUNCTION("""COMPUTED_VALUE"""),45198.0)</f>
        <v>45198</v>
      </c>
      <c r="I19" s="19">
        <f>IFERROR(__xludf.DUMMYFUNCTION("""COMPUTED_VALUE"""),1.9638888888888888)</f>
        <v>1.963888889</v>
      </c>
      <c r="J19" s="21">
        <f>IFERROR(__xludf.DUMMYFUNCTION("""COMPUTED_VALUE"""),81.0)</f>
        <v>81</v>
      </c>
      <c r="K19" s="23">
        <f>IFERROR(__xludf.DUMMYFUNCTION("""COMPUTED_VALUE"""),8.0)</f>
        <v>8</v>
      </c>
      <c r="L19" s="24">
        <f>IFERROR(__xludf.DUMMYFUNCTION("""COMPUTED_VALUE"""),29.0)</f>
        <v>29</v>
      </c>
      <c r="M19" s="25" t="str">
        <f>IFERROR(__xludf.DUMMYFUNCTION("""COMPUTED_VALUE"""),"RPG")</f>
        <v>RPG</v>
      </c>
      <c r="N19" s="25"/>
      <c r="O19" s="25"/>
      <c r="P19" s="26"/>
    </row>
    <row r="20">
      <c r="A20" s="13" t="str">
        <f>IFERROR(__xludf.DUMMYFUNCTION("""COMPUTED_VALUE"""),"Crow Country")</f>
        <v>Crow Country</v>
      </c>
      <c r="B20" s="15" t="str">
        <f>IFERROR(__xludf.DUMMYFUNCTION("""COMPUTED_VALUE"""),"PS5/PS4")</f>
        <v>PS5/PS4</v>
      </c>
      <c r="C20" s="16" t="str">
        <f>IFERROR(__xludf.DUMMYFUNCTION("""COMPUTED_VALUE"""),"Extra")</f>
        <v>Extra</v>
      </c>
      <c r="D20" s="15" t="str">
        <f>IFERROR(__xludf.DUMMYFUNCTION("""COMPUTED_VALUE"""),"Active")</f>
        <v>Active</v>
      </c>
      <c r="E20" s="17">
        <f>IFERROR(__xludf.DUMMYFUNCTION("""COMPUTED_VALUE"""),45916.0)</f>
        <v>45916</v>
      </c>
      <c r="F20" s="54"/>
      <c r="G20" s="19">
        <f>IFERROR(__xludf.DUMMYFUNCTION("""COMPUTED_VALUE"""),12.666666666666668)</f>
        <v>12.66666667</v>
      </c>
      <c r="H20" s="17">
        <f>IFERROR(__xludf.DUMMYFUNCTION("""COMPUTED_VALUE"""),45421.0)</f>
        <v>45421</v>
      </c>
      <c r="I20" s="19">
        <f>IFERROR(__xludf.DUMMYFUNCTION("""COMPUTED_VALUE"""),1.3527777777777779)</f>
        <v>1.352777778</v>
      </c>
      <c r="J20" s="21">
        <f>IFERROR(__xludf.DUMMYFUNCTION("""COMPUTED_VALUE"""),84.0)</f>
        <v>84</v>
      </c>
      <c r="K20" s="23">
        <f>IFERROR(__xludf.DUMMYFUNCTION("""COMPUTED_VALUE"""),8.0)</f>
        <v>8</v>
      </c>
      <c r="L20" s="24">
        <f>IFERROR(__xludf.DUMMYFUNCTION("""COMPUTED_VALUE"""),6.0)</f>
        <v>6</v>
      </c>
      <c r="M20" s="25" t="str">
        <f>IFERROR(__xludf.DUMMYFUNCTION("""COMPUTED_VALUE"""),"Survival")</f>
        <v>Survival</v>
      </c>
      <c r="N20" s="25"/>
      <c r="O20" s="25"/>
      <c r="P20" s="26"/>
    </row>
    <row r="21">
      <c r="A21" s="13" t="str">
        <f>IFERROR(__xludf.DUMMYFUNCTION("""COMPUTED_VALUE"""),"The Invincible")</f>
        <v>The Invincible</v>
      </c>
      <c r="B21" s="15" t="str">
        <f>IFERROR(__xludf.DUMMYFUNCTION("""COMPUTED_VALUE"""),"PS5")</f>
        <v>PS5</v>
      </c>
      <c r="C21" s="16" t="str">
        <f>IFERROR(__xludf.DUMMYFUNCTION("""COMPUTED_VALUE"""),"Extra")</f>
        <v>Extra</v>
      </c>
      <c r="D21" s="15" t="str">
        <f>IFERROR(__xludf.DUMMYFUNCTION("""COMPUTED_VALUE"""),"Active")</f>
        <v>Active</v>
      </c>
      <c r="E21" s="17">
        <f>IFERROR(__xludf.DUMMYFUNCTION("""COMPUTED_VALUE"""),45916.0)</f>
        <v>45916</v>
      </c>
      <c r="F21" s="18"/>
      <c r="G21" s="19">
        <f>IFERROR(__xludf.DUMMYFUNCTION("""COMPUTED_VALUE"""),12.666666666666668)</f>
        <v>12.66666667</v>
      </c>
      <c r="H21" s="17">
        <f>IFERROR(__xludf.DUMMYFUNCTION("""COMPUTED_VALUE"""),45236.0)</f>
        <v>45236</v>
      </c>
      <c r="I21" s="19">
        <f>IFERROR(__xludf.DUMMYFUNCTION("""COMPUTED_VALUE"""),1.8611111111111112)</f>
        <v>1.861111111</v>
      </c>
      <c r="J21" s="21">
        <f>IFERROR(__xludf.DUMMYFUNCTION("""COMPUTED_VALUE"""),72.0)</f>
        <v>72</v>
      </c>
      <c r="K21" s="23">
        <f>IFERROR(__xludf.DUMMYFUNCTION("""COMPUTED_VALUE"""),7.9)</f>
        <v>7.9</v>
      </c>
      <c r="L21" s="24">
        <f>IFERROR(__xludf.DUMMYFUNCTION("""COMPUTED_VALUE"""),7.0)</f>
        <v>7</v>
      </c>
      <c r="M21" s="25" t="str">
        <f>IFERROR(__xludf.DUMMYFUNCTION("""COMPUTED_VALUE"""),"Action-Adventure")</f>
        <v>Action-Adventure</v>
      </c>
      <c r="N21" s="25"/>
      <c r="O21" s="25" t="str">
        <f>IFERROR(__xludf.DUMMYFUNCTION("""COMPUTED_VALUE"""),"No")</f>
        <v>No</v>
      </c>
      <c r="P21" s="26"/>
    </row>
    <row r="22">
      <c r="A22" s="13" t="str">
        <f>IFERROR(__xludf.DUMMYFUNCTION("""COMPUTED_VALUE"""),"Conscript")</f>
        <v>Conscript</v>
      </c>
      <c r="B22" s="15" t="str">
        <f>IFERROR(__xludf.DUMMYFUNCTION("""COMPUTED_VALUE"""),"PS5")</f>
        <v>PS5</v>
      </c>
      <c r="C22" s="16" t="str">
        <f>IFERROR(__xludf.DUMMYFUNCTION("""COMPUTED_VALUE"""),"Extra")</f>
        <v>Extra</v>
      </c>
      <c r="D22" s="15" t="str">
        <f>IFERROR(__xludf.DUMMYFUNCTION("""COMPUTED_VALUE"""),"Active")</f>
        <v>Active</v>
      </c>
      <c r="E22" s="17">
        <f>IFERROR(__xludf.DUMMYFUNCTION("""COMPUTED_VALUE"""),45916.0)</f>
        <v>45916</v>
      </c>
      <c r="F22" s="54"/>
      <c r="G22" s="19">
        <f>IFERROR(__xludf.DUMMYFUNCTION("""COMPUTED_VALUE"""),12.666666666666668)</f>
        <v>12.66666667</v>
      </c>
      <c r="H22" s="17">
        <f>IFERROR(__xludf.DUMMYFUNCTION("""COMPUTED_VALUE"""),45496.0)</f>
        <v>45496</v>
      </c>
      <c r="I22" s="19">
        <f>IFERROR(__xludf.DUMMYFUNCTION("""COMPUTED_VALUE"""),1.1472222222222221)</f>
        <v>1.147222222</v>
      </c>
      <c r="J22" s="21">
        <f>IFERROR(__xludf.DUMMYFUNCTION("""COMPUTED_VALUE"""),80.0)</f>
        <v>80</v>
      </c>
      <c r="K22" s="23">
        <f>IFERROR(__xludf.DUMMYFUNCTION("""COMPUTED_VALUE"""),8.3)</f>
        <v>8.3</v>
      </c>
      <c r="L22" s="24">
        <f>IFERROR(__xludf.DUMMYFUNCTION("""COMPUTED_VALUE"""),12.0)</f>
        <v>12</v>
      </c>
      <c r="M22" s="25" t="str">
        <f>IFERROR(__xludf.DUMMYFUNCTION("""COMPUTED_VALUE"""),"Survival")</f>
        <v>Survival</v>
      </c>
      <c r="N22" s="25"/>
      <c r="O22" s="25" t="str">
        <f>IFERROR(__xludf.DUMMYFUNCTION("""COMPUTED_VALUE"""),"No")</f>
        <v>No</v>
      </c>
      <c r="P22" s="26"/>
    </row>
    <row r="23">
      <c r="A23" s="13" t="str">
        <f>IFERROR(__xludf.DUMMYFUNCTION("""COMPUTED_VALUE"""),"Legacy of Kain: Defiance")</f>
        <v>Legacy of Kain: Defiance</v>
      </c>
      <c r="B23" s="15" t="str">
        <f>IFERROR(__xludf.DUMMYFUNCTION("""COMPUTED_VALUE"""),"PS5/PS4")</f>
        <v>PS5/PS4</v>
      </c>
      <c r="C23" s="16" t="str">
        <f>IFERROR(__xludf.DUMMYFUNCTION("""COMPUTED_VALUE"""),"Premium (Classics)")</f>
        <v>Premium (Classics)</v>
      </c>
      <c r="D23" s="15" t="str">
        <f>IFERROR(__xludf.DUMMYFUNCTION("""COMPUTED_VALUE"""),"Active")</f>
        <v>Active</v>
      </c>
      <c r="E23" s="17">
        <f>IFERROR(__xludf.DUMMYFUNCTION("""COMPUTED_VALUE"""),45916.0)</f>
        <v>45916</v>
      </c>
      <c r="F23" s="18"/>
      <c r="G23" s="19">
        <f>IFERROR(__xludf.DUMMYFUNCTION("""COMPUTED_VALUE"""),12.666666666666668)</f>
        <v>12.66666667</v>
      </c>
      <c r="H23" s="17">
        <f>IFERROR(__xludf.DUMMYFUNCTION("""COMPUTED_VALUE"""),37936.0)</f>
        <v>37936</v>
      </c>
      <c r="I23" s="19">
        <f>IFERROR(__xludf.DUMMYFUNCTION("""COMPUTED_VALUE"""),21.84722222222222)</f>
        <v>21.84722222</v>
      </c>
      <c r="J23" s="21">
        <f>IFERROR(__xludf.DUMMYFUNCTION("""COMPUTED_VALUE"""),75.0)</f>
        <v>75</v>
      </c>
      <c r="K23" s="23">
        <f>IFERROR(__xludf.DUMMYFUNCTION("""COMPUTED_VALUE"""),8.7)</f>
        <v>8.7</v>
      </c>
      <c r="L23" s="24">
        <f>IFERROR(__xludf.DUMMYFUNCTION("""COMPUTED_VALUE"""),12.0)</f>
        <v>12</v>
      </c>
      <c r="M23" s="25" t="str">
        <f>IFERROR(__xludf.DUMMYFUNCTION("""COMPUTED_VALUE"""),"Survival")</f>
        <v>Survival</v>
      </c>
      <c r="N23" s="25" t="str">
        <f>IFERROR(__xludf.DUMMYFUNCTION("""COMPUTED_VALUE"""),"PS2")</f>
        <v>PS2</v>
      </c>
      <c r="O23" s="25"/>
      <c r="P23" s="26"/>
    </row>
    <row r="24">
      <c r="A24" s="13" t="str">
        <f>IFERROR(__xludf.DUMMYFUNCTION("""COMPUTED_VALUE"""),"Overcooked! All You Can Eat")</f>
        <v>Overcooked! All You Can Eat</v>
      </c>
      <c r="B24" s="15" t="str">
        <f>IFERROR(__xludf.DUMMYFUNCTION("""COMPUTED_VALUE"""),"PS5/PS4")</f>
        <v>PS5/PS4</v>
      </c>
      <c r="C24" s="16" t="str">
        <f>IFERROR(__xludf.DUMMYFUNCTION("""COMPUTED_VALUE"""),"Extra")</f>
        <v>Extra</v>
      </c>
      <c r="D24" s="15" t="str">
        <f>IFERROR(__xludf.DUMMYFUNCTION("""COMPUTED_VALUE"""),"Active")</f>
        <v>Active</v>
      </c>
      <c r="E24" s="17">
        <f>IFERROR(__xludf.DUMMYFUNCTION("""COMPUTED_VALUE"""),45615.0)</f>
        <v>45615</v>
      </c>
      <c r="F24" s="18"/>
      <c r="G24" s="19">
        <f>IFERROR(__xludf.DUMMYFUNCTION("""COMPUTED_VALUE"""),22.566666666666666)</f>
        <v>22.56666667</v>
      </c>
      <c r="H24" s="17">
        <f>IFERROR(__xludf.DUMMYFUNCTION("""COMPUTED_VALUE"""),44147.0)</f>
        <v>44147</v>
      </c>
      <c r="I24" s="19">
        <f>IFERROR(__xludf.DUMMYFUNCTION("""COMPUTED_VALUE"""),4.019444444444445)</f>
        <v>4.019444444</v>
      </c>
      <c r="J24" s="21">
        <f>IFERROR(__xludf.DUMMYFUNCTION("""COMPUTED_VALUE"""),84.0)</f>
        <v>84</v>
      </c>
      <c r="K24" s="23">
        <f>IFERROR(__xludf.DUMMYFUNCTION("""COMPUTED_VALUE"""),7.2)</f>
        <v>7.2</v>
      </c>
      <c r="L24" s="24">
        <f>IFERROR(__xludf.DUMMYFUNCTION("""COMPUTED_VALUE"""),24.0)</f>
        <v>24</v>
      </c>
      <c r="M24" s="25" t="str">
        <f>IFERROR(__xludf.DUMMYFUNCTION("""COMPUTED_VALUE"""),"Arcade")</f>
        <v>Arcade</v>
      </c>
      <c r="N24" s="25"/>
      <c r="O24" s="25" t="str">
        <f>IFERROR(__xludf.DUMMYFUNCTION("""COMPUTED_VALUE"""),"Yes")</f>
        <v>Yes</v>
      </c>
      <c r="P24" s="26"/>
    </row>
    <row r="25">
      <c r="A25" s="13" t="str">
        <f>IFERROR(__xludf.DUMMYFUNCTION("""COMPUTED_VALUE"""),"Stick Fight: The Game")</f>
        <v>Stick Fight: The Game</v>
      </c>
      <c r="B25" s="15" t="str">
        <f>IFERROR(__xludf.DUMMYFUNCTION("""COMPUTED_VALUE"""),"PS4")</f>
        <v>PS4</v>
      </c>
      <c r="C25" s="16" t="str">
        <f>IFERROR(__xludf.DUMMYFUNCTION("""COMPUTED_VALUE"""),"Extra")</f>
        <v>Extra</v>
      </c>
      <c r="D25" s="15" t="str">
        <f>IFERROR(__xludf.DUMMYFUNCTION("""COMPUTED_VALUE"""),"Active")</f>
        <v>Active</v>
      </c>
      <c r="E25" s="17">
        <f>IFERROR(__xludf.DUMMYFUNCTION("""COMPUTED_VALUE"""),45615.0)</f>
        <v>45615</v>
      </c>
      <c r="F25" s="54"/>
      <c r="G25" s="19">
        <f>IFERROR(__xludf.DUMMYFUNCTION("""COMPUTED_VALUE"""),22.566666666666666)</f>
        <v>22.56666667</v>
      </c>
      <c r="H25" s="17">
        <f>IFERROR(__xludf.DUMMYFUNCTION("""COMPUTED_VALUE"""),44287.0)</f>
        <v>44287</v>
      </c>
      <c r="I25" s="19">
        <f>IFERROR(__xludf.DUMMYFUNCTION("""COMPUTED_VALUE"""),3.6333333333333333)</f>
        <v>3.633333333</v>
      </c>
      <c r="J25" s="21">
        <f>IFERROR(__xludf.DUMMYFUNCTION("""COMPUTED_VALUE"""),83.0)</f>
        <v>83</v>
      </c>
      <c r="K25" s="23">
        <f>IFERROR(__xludf.DUMMYFUNCTION("""COMPUTED_VALUE"""),7.8)</f>
        <v>7.8</v>
      </c>
      <c r="L25" s="24">
        <f>IFERROR(__xludf.DUMMYFUNCTION("""COMPUTED_VALUE"""),8.0)</f>
        <v>8</v>
      </c>
      <c r="M25" s="25" t="str">
        <f>IFERROR(__xludf.DUMMYFUNCTION("""COMPUTED_VALUE"""),"Platformer")</f>
        <v>Platformer</v>
      </c>
      <c r="N25" s="25"/>
      <c r="O25" s="25" t="str">
        <f>IFERROR(__xludf.DUMMYFUNCTION("""COMPUTED_VALUE"""),"No")</f>
        <v>No</v>
      </c>
      <c r="P25" s="26"/>
    </row>
    <row r="26">
      <c r="A26" s="13" t="str">
        <f>IFERROR(__xludf.DUMMYFUNCTION("""COMPUTED_VALUE"""),"Killer Frequency")</f>
        <v>Killer Frequency</v>
      </c>
      <c r="B26" s="15" t="str">
        <f>IFERROR(__xludf.DUMMYFUNCTION("""COMPUTED_VALUE"""),"PS5/PS4")</f>
        <v>PS5/PS4</v>
      </c>
      <c r="C26" s="16" t="str">
        <f>IFERROR(__xludf.DUMMYFUNCTION("""COMPUTED_VALUE"""),"Extra")</f>
        <v>Extra</v>
      </c>
      <c r="D26" s="15" t="str">
        <f>IFERROR(__xludf.DUMMYFUNCTION("""COMPUTED_VALUE"""),"Active")</f>
        <v>Active</v>
      </c>
      <c r="E26" s="17">
        <f>IFERROR(__xludf.DUMMYFUNCTION("""COMPUTED_VALUE"""),45615.0)</f>
        <v>45615</v>
      </c>
      <c r="F26" s="54"/>
      <c r="G26" s="19">
        <f>IFERROR(__xludf.DUMMYFUNCTION("""COMPUTED_VALUE"""),22.566666666666666)</f>
        <v>22.56666667</v>
      </c>
      <c r="H26" s="17">
        <f>IFERROR(__xludf.DUMMYFUNCTION("""COMPUTED_VALUE"""),45078.0)</f>
        <v>45078</v>
      </c>
      <c r="I26" s="19">
        <f>IFERROR(__xludf.DUMMYFUNCTION("""COMPUTED_VALUE"""),1.4666666666666666)</f>
        <v>1.466666667</v>
      </c>
      <c r="J26" s="21">
        <f>IFERROR(__xludf.DUMMYFUNCTION("""COMPUTED_VALUE"""),78.0)</f>
        <v>78</v>
      </c>
      <c r="K26" s="23">
        <f>IFERROR(__xludf.DUMMYFUNCTION("""COMPUTED_VALUE"""),7.8)</f>
        <v>7.8</v>
      </c>
      <c r="L26" s="24">
        <f>IFERROR(__xludf.DUMMYFUNCTION("""COMPUTED_VALUE"""),5.0)</f>
        <v>5</v>
      </c>
      <c r="M26" s="25" t="str">
        <f>IFERROR(__xludf.DUMMYFUNCTION("""COMPUTED_VALUE"""),"Action-Adventure")</f>
        <v>Action-Adventure</v>
      </c>
      <c r="N26" s="25"/>
      <c r="O26" s="25" t="str">
        <f>IFERROR(__xludf.DUMMYFUNCTION("""COMPUTED_VALUE"""),"Yes")</f>
        <v>Yes</v>
      </c>
      <c r="P26" s="26"/>
    </row>
    <row r="27">
      <c r="A27" s="13" t="str">
        <f>IFERROR(__xludf.DUMMYFUNCTION("""COMPUTED_VALUE"""),"Hungry Shark World")</f>
        <v>Hungry Shark World</v>
      </c>
      <c r="B27" s="15" t="str">
        <f>IFERROR(__xludf.DUMMYFUNCTION("""COMPUTED_VALUE"""),"PS4")</f>
        <v>PS4</v>
      </c>
      <c r="C27" s="16" t="str">
        <f>IFERROR(__xludf.DUMMYFUNCTION("""COMPUTED_VALUE"""),"Extra")</f>
        <v>Extra</v>
      </c>
      <c r="D27" s="15" t="str">
        <f>IFERROR(__xludf.DUMMYFUNCTION("""COMPUTED_VALUE"""),"Active")</f>
        <v>Active</v>
      </c>
      <c r="E27" s="17">
        <f>IFERROR(__xludf.DUMMYFUNCTION("""COMPUTED_VALUE"""),45615.0)</f>
        <v>45615</v>
      </c>
      <c r="F27" s="54"/>
      <c r="G27" s="19">
        <f>IFERROR(__xludf.DUMMYFUNCTION("""COMPUTED_VALUE"""),22.566666666666666)</f>
        <v>22.56666667</v>
      </c>
      <c r="H27" s="17">
        <f>IFERROR(__xludf.DUMMYFUNCTION("""COMPUTED_VALUE"""),43298.0)</f>
        <v>43298</v>
      </c>
      <c r="I27" s="19">
        <f>IFERROR(__xludf.DUMMYFUNCTION("""COMPUTED_VALUE"""),6.338888888888889)</f>
        <v>6.338888889</v>
      </c>
      <c r="J27" s="21">
        <f>IFERROR(__xludf.DUMMYFUNCTION("""COMPUTED_VALUE"""),58.0)</f>
        <v>58</v>
      </c>
      <c r="K27" s="23">
        <f>IFERROR(__xludf.DUMMYFUNCTION("""COMPUTED_VALUE"""),8.2)</f>
        <v>8.2</v>
      </c>
      <c r="L27" s="24">
        <f>IFERROR(__xludf.DUMMYFUNCTION("""COMPUTED_VALUE"""),25.0)</f>
        <v>25</v>
      </c>
      <c r="M27" s="25" t="str">
        <f>IFERROR(__xludf.DUMMYFUNCTION("""COMPUTED_VALUE"""),"Action-Adventure")</f>
        <v>Action-Adventure</v>
      </c>
      <c r="N27" s="25"/>
      <c r="O27" s="25" t="str">
        <f>IFERROR(__xludf.DUMMYFUNCTION("""COMPUTED_VALUE"""),"Yes")</f>
        <v>Yes</v>
      </c>
      <c r="P27" s="26"/>
    </row>
    <row r="28">
      <c r="A28" s="13" t="str">
        <f>IFERROR(__xludf.DUMMYFUNCTION("""COMPUTED_VALUE"""),"Chivalry 2")</f>
        <v>Chivalry 2</v>
      </c>
      <c r="B28" s="15" t="str">
        <f>IFERROR(__xludf.DUMMYFUNCTION("""COMPUTED_VALUE"""),"PS5/PS4")</f>
        <v>PS5/PS4</v>
      </c>
      <c r="C28" s="16" t="str">
        <f>IFERROR(__xludf.DUMMYFUNCTION("""COMPUTED_VALUE"""),"Extra")</f>
        <v>Extra</v>
      </c>
      <c r="D28" s="15" t="str">
        <f>IFERROR(__xludf.DUMMYFUNCTION("""COMPUTED_VALUE"""),"Active")</f>
        <v>Active</v>
      </c>
      <c r="E28" s="17">
        <f>IFERROR(__xludf.DUMMYFUNCTION("""COMPUTED_VALUE"""),45615.0)</f>
        <v>45615</v>
      </c>
      <c r="F28" s="54"/>
      <c r="G28" s="19">
        <f>IFERROR(__xludf.DUMMYFUNCTION("""COMPUTED_VALUE"""),22.566666666666666)</f>
        <v>22.56666667</v>
      </c>
      <c r="H28" s="17">
        <f>IFERROR(__xludf.DUMMYFUNCTION("""COMPUTED_VALUE"""),44355.0)</f>
        <v>44355</v>
      </c>
      <c r="I28" s="19">
        <f>IFERROR(__xludf.DUMMYFUNCTION("""COMPUTED_VALUE"""),3.4472222222222224)</f>
        <v>3.447222222</v>
      </c>
      <c r="J28" s="21">
        <f>IFERROR(__xludf.DUMMYFUNCTION("""COMPUTED_VALUE"""),82.0)</f>
        <v>82</v>
      </c>
      <c r="K28" s="23">
        <f>IFERROR(__xludf.DUMMYFUNCTION("""COMPUTED_VALUE"""),5.5)</f>
        <v>5.5</v>
      </c>
      <c r="L28" s="24">
        <f>IFERROR(__xludf.DUMMYFUNCTION("""COMPUTED_VALUE"""),21.0)</f>
        <v>21</v>
      </c>
      <c r="M28" s="25" t="str">
        <f>IFERROR(__xludf.DUMMYFUNCTION("""COMPUTED_VALUE"""),"Beat-'Em-Up")</f>
        <v>Beat-'Em-Up</v>
      </c>
      <c r="N28" s="25"/>
      <c r="O28" s="25" t="str">
        <f>IFERROR(__xludf.DUMMYFUNCTION("""COMPUTED_VALUE"""),"Yes")</f>
        <v>Yes</v>
      </c>
      <c r="P28" s="26"/>
    </row>
    <row r="29">
      <c r="A29" s="13" t="str">
        <f>IFERROR(__xludf.DUMMYFUNCTION("""COMPUTED_VALUE"""),"Blood Omen: Legacy of Kain")</f>
        <v>Blood Omen: Legacy of Kain</v>
      </c>
      <c r="B29" s="15" t="str">
        <f>IFERROR(__xludf.DUMMYFUNCTION("""COMPUTED_VALUE"""),"PS5/PS4")</f>
        <v>PS5/PS4</v>
      </c>
      <c r="C29" s="16" t="str">
        <f>IFERROR(__xludf.DUMMYFUNCTION("""COMPUTED_VALUE"""),"Premium (Classics)")</f>
        <v>Premium (Classics)</v>
      </c>
      <c r="D29" s="15" t="str">
        <f>IFERROR(__xludf.DUMMYFUNCTION("""COMPUTED_VALUE"""),"Active")</f>
        <v>Active</v>
      </c>
      <c r="E29" s="17">
        <f>IFERROR(__xludf.DUMMYFUNCTION("""COMPUTED_VALUE"""),45615.0)</f>
        <v>45615</v>
      </c>
      <c r="F29" s="54"/>
      <c r="G29" s="19">
        <f>IFERROR(__xludf.DUMMYFUNCTION("""COMPUTED_VALUE"""),22.566666666666666)</f>
        <v>22.56666667</v>
      </c>
      <c r="H29" s="17">
        <f>IFERROR(__xludf.DUMMYFUNCTION("""COMPUTED_VALUE"""),35370.0)</f>
        <v>35370</v>
      </c>
      <c r="I29" s="19">
        <f>IFERROR(__xludf.DUMMYFUNCTION("""COMPUTED_VALUE"""),28.05)</f>
        <v>28.05</v>
      </c>
      <c r="J29" s="21">
        <f>IFERROR(__xludf.DUMMYFUNCTION("""COMPUTED_VALUE"""),91.0)</f>
        <v>91</v>
      </c>
      <c r="K29" s="23">
        <f>IFERROR(__xludf.DUMMYFUNCTION("""COMPUTED_VALUE"""),8.8)</f>
        <v>8.8</v>
      </c>
      <c r="L29" s="24">
        <f>IFERROR(__xludf.DUMMYFUNCTION("""COMPUTED_VALUE"""),18.0)</f>
        <v>18</v>
      </c>
      <c r="M29" s="25" t="str">
        <f>IFERROR(__xludf.DUMMYFUNCTION("""COMPUTED_VALUE"""),"Action-Adventure")</f>
        <v>Action-Adventure</v>
      </c>
      <c r="N29" s="25" t="str">
        <f>IFERROR(__xludf.DUMMYFUNCTION("""COMPUTED_VALUE"""),"PS1")</f>
        <v>PS1</v>
      </c>
      <c r="O29" s="25" t="str">
        <f>IFERROR(__xludf.DUMMYFUNCTION("""COMPUTED_VALUE"""),"Yes")</f>
        <v>Yes</v>
      </c>
      <c r="P29" s="26"/>
    </row>
    <row r="30">
      <c r="A30" s="13" t="str">
        <f>IFERROR(__xludf.DUMMYFUNCTION("""COMPUTED_VALUE"""),"Blood Omen 2")</f>
        <v>Blood Omen 2</v>
      </c>
      <c r="B30" s="15" t="str">
        <f>IFERROR(__xludf.DUMMYFUNCTION("""COMPUTED_VALUE"""),"PS5/PS4")</f>
        <v>PS5/PS4</v>
      </c>
      <c r="C30" s="16" t="str">
        <f>IFERROR(__xludf.DUMMYFUNCTION("""COMPUTED_VALUE"""),"Premium (Classics)")</f>
        <v>Premium (Classics)</v>
      </c>
      <c r="D30" s="15" t="str">
        <f>IFERROR(__xludf.DUMMYFUNCTION("""COMPUTED_VALUE"""),"Active")</f>
        <v>Active</v>
      </c>
      <c r="E30" s="17">
        <f>IFERROR(__xludf.DUMMYFUNCTION("""COMPUTED_VALUE"""),45615.0)</f>
        <v>45615</v>
      </c>
      <c r="F30" s="54"/>
      <c r="G30" s="19">
        <f>IFERROR(__xludf.DUMMYFUNCTION("""COMPUTED_VALUE"""),22.566666666666666)</f>
        <v>22.56666667</v>
      </c>
      <c r="H30" s="17">
        <f>IFERROR(__xludf.DUMMYFUNCTION("""COMPUTED_VALUE"""),37336.0)</f>
        <v>37336</v>
      </c>
      <c r="I30" s="19">
        <f>IFERROR(__xludf.DUMMYFUNCTION("""COMPUTED_VALUE"""),22.66111111111111)</f>
        <v>22.66111111</v>
      </c>
      <c r="J30" s="21">
        <f>IFERROR(__xludf.DUMMYFUNCTION("""COMPUTED_VALUE"""),76.0)</f>
        <v>76</v>
      </c>
      <c r="K30" s="23">
        <f>IFERROR(__xludf.DUMMYFUNCTION("""COMPUTED_VALUE"""),7.4)</f>
        <v>7.4</v>
      </c>
      <c r="L30" s="24">
        <f>IFERROR(__xludf.DUMMYFUNCTION("""COMPUTED_VALUE"""),13.0)</f>
        <v>13</v>
      </c>
      <c r="M30" s="25" t="str">
        <f>IFERROR(__xludf.DUMMYFUNCTION("""COMPUTED_VALUE"""),"Survival")</f>
        <v>Survival</v>
      </c>
      <c r="N30" s="25" t="str">
        <f>IFERROR(__xludf.DUMMYFUNCTION("""COMPUTED_VALUE"""),"PS2")</f>
        <v>PS2</v>
      </c>
      <c r="O30" s="25" t="str">
        <f>IFERROR(__xludf.DUMMYFUNCTION("""COMPUTED_VALUE"""),"Yes")</f>
        <v>Yes</v>
      </c>
      <c r="P30" s="26"/>
    </row>
    <row r="31">
      <c r="A31" s="13" t="str">
        <f>IFERROR(__xludf.DUMMYFUNCTION("""COMPUTED_VALUE"""),"Two Point Campus")</f>
        <v>Two Point Campus</v>
      </c>
      <c r="B31" s="15" t="str">
        <f>IFERROR(__xludf.DUMMYFUNCTION("""COMPUTED_VALUE"""),"PS5/PS4")</f>
        <v>PS5/PS4</v>
      </c>
      <c r="C31" s="16" t="str">
        <f>IFERROR(__xludf.DUMMYFUNCTION("""COMPUTED_VALUE"""),"Extra")</f>
        <v>Extra</v>
      </c>
      <c r="D31" s="15" t="str">
        <f>IFERROR(__xludf.DUMMYFUNCTION("""COMPUTED_VALUE"""),"Active")</f>
        <v>Active</v>
      </c>
      <c r="E31" s="17">
        <f>IFERROR(__xludf.DUMMYFUNCTION("""COMPUTED_VALUE"""),45580.0)</f>
        <v>45580</v>
      </c>
      <c r="F31" s="54"/>
      <c r="G31" s="19">
        <f>IFERROR(__xludf.DUMMYFUNCTION("""COMPUTED_VALUE"""),23.700000000000003)</f>
        <v>23.7</v>
      </c>
      <c r="H31" s="17">
        <f>IFERROR(__xludf.DUMMYFUNCTION("""COMPUTED_VALUE"""),44782.0)</f>
        <v>44782</v>
      </c>
      <c r="I31" s="19">
        <f>IFERROR(__xludf.DUMMYFUNCTION("""COMPUTED_VALUE"""),2.183333333333333)</f>
        <v>2.183333333</v>
      </c>
      <c r="J31" s="21">
        <f>IFERROR(__xludf.DUMMYFUNCTION("""COMPUTED_VALUE"""),83.0)</f>
        <v>83</v>
      </c>
      <c r="K31" s="23">
        <f>IFERROR(__xludf.DUMMYFUNCTION("""COMPUTED_VALUE"""),7.2)</f>
        <v>7.2</v>
      </c>
      <c r="L31" s="24">
        <f>IFERROR(__xludf.DUMMYFUNCTION("""COMPUTED_VALUE"""),25.0)</f>
        <v>25</v>
      </c>
      <c r="M31" s="25" t="str">
        <f>IFERROR(__xludf.DUMMYFUNCTION("""COMPUTED_VALUE"""),"Tycoon")</f>
        <v>Tycoon</v>
      </c>
      <c r="N31" s="25"/>
      <c r="O31" s="25" t="str">
        <f>IFERROR(__xludf.DUMMYFUNCTION("""COMPUTED_VALUE"""),"Portal (PS5 + Premium)")</f>
        <v>Portal (PS5 + Premium)</v>
      </c>
      <c r="P31" s="26"/>
    </row>
    <row r="32">
      <c r="A32" s="13" t="str">
        <f>IFERROR(__xludf.DUMMYFUNCTION("""COMPUTED_VALUE"""),"GRIS")</f>
        <v>GRIS</v>
      </c>
      <c r="B32" s="15" t="str">
        <f>IFERROR(__xludf.DUMMYFUNCTION("""COMPUTED_VALUE"""),"PS5/PS4")</f>
        <v>PS5/PS4</v>
      </c>
      <c r="C32" s="16" t="str">
        <f>IFERROR(__xludf.DUMMYFUNCTION("""COMPUTED_VALUE"""),"Extra")</f>
        <v>Extra</v>
      </c>
      <c r="D32" s="15" t="str">
        <f>IFERROR(__xludf.DUMMYFUNCTION("""COMPUTED_VALUE"""),"Active")</f>
        <v>Active</v>
      </c>
      <c r="E32" s="17">
        <f>IFERROR(__xludf.DUMMYFUNCTION("""COMPUTED_VALUE"""),45580.0)</f>
        <v>45580</v>
      </c>
      <c r="F32" s="54"/>
      <c r="G32" s="19">
        <f>IFERROR(__xludf.DUMMYFUNCTION("""COMPUTED_VALUE"""),23.700000000000003)</f>
        <v>23.7</v>
      </c>
      <c r="H32" s="17">
        <f>IFERROR(__xludf.DUMMYFUNCTION("""COMPUTED_VALUE"""),43447.0)</f>
        <v>43447</v>
      </c>
      <c r="I32" s="19">
        <f>IFERROR(__xludf.DUMMYFUNCTION("""COMPUTED_VALUE"""),5.838888888888889)</f>
        <v>5.838888889</v>
      </c>
      <c r="J32" s="21">
        <f>IFERROR(__xludf.DUMMYFUNCTION("""COMPUTED_VALUE"""),83.0)</f>
        <v>83</v>
      </c>
      <c r="K32" s="23">
        <f>IFERROR(__xludf.DUMMYFUNCTION("""COMPUTED_VALUE"""),8.2)</f>
        <v>8.2</v>
      </c>
      <c r="L32" s="24">
        <f>IFERROR(__xludf.DUMMYFUNCTION("""COMPUTED_VALUE"""),4.0)</f>
        <v>4</v>
      </c>
      <c r="M32" s="25" t="str">
        <f>IFERROR(__xludf.DUMMYFUNCTION("""COMPUTED_VALUE"""),"Platformer")</f>
        <v>Platformer</v>
      </c>
      <c r="N32" s="25"/>
      <c r="O32" s="25" t="str">
        <f>IFERROR(__xludf.DUMMYFUNCTION("""COMPUTED_VALUE"""),"Yes")</f>
        <v>Yes</v>
      </c>
      <c r="P32" s="26"/>
    </row>
    <row r="33">
      <c r="A33" s="13" t="str">
        <f>IFERROR(__xludf.DUMMYFUNCTION("""COMPUTED_VALUE"""),"Return to Monkey Island")</f>
        <v>Return to Monkey Island</v>
      </c>
      <c r="B33" s="15" t="str">
        <f>IFERROR(__xludf.DUMMYFUNCTION("""COMPUTED_VALUE"""),"PS5")</f>
        <v>PS5</v>
      </c>
      <c r="C33" s="16" t="str">
        <f>IFERROR(__xludf.DUMMYFUNCTION("""COMPUTED_VALUE"""),"Extra")</f>
        <v>Extra</v>
      </c>
      <c r="D33" s="15" t="str">
        <f>IFERROR(__xludf.DUMMYFUNCTION("""COMPUTED_VALUE"""),"Active")</f>
        <v>Active</v>
      </c>
      <c r="E33" s="17">
        <f>IFERROR(__xludf.DUMMYFUNCTION("""COMPUTED_VALUE"""),45580.0)</f>
        <v>45580</v>
      </c>
      <c r="F33" s="54"/>
      <c r="G33" s="19">
        <f>IFERROR(__xludf.DUMMYFUNCTION("""COMPUTED_VALUE"""),23.700000000000003)</f>
        <v>23.7</v>
      </c>
      <c r="H33" s="17">
        <f>IFERROR(__xludf.DUMMYFUNCTION("""COMPUTED_VALUE"""),44774.0)</f>
        <v>44774</v>
      </c>
      <c r="I33" s="19">
        <f>IFERROR(__xludf.DUMMYFUNCTION("""COMPUTED_VALUE"""),2.2055555555555557)</f>
        <v>2.205555556</v>
      </c>
      <c r="J33" s="21">
        <f>IFERROR(__xludf.DUMMYFUNCTION("""COMPUTED_VALUE"""),87.0)</f>
        <v>87</v>
      </c>
      <c r="K33" s="23">
        <f>IFERROR(__xludf.DUMMYFUNCTION("""COMPUTED_VALUE"""),7.6)</f>
        <v>7.6</v>
      </c>
      <c r="L33" s="24">
        <f>IFERROR(__xludf.DUMMYFUNCTION("""COMPUTED_VALUE"""),10.0)</f>
        <v>10</v>
      </c>
      <c r="M33" s="25" t="str">
        <f>IFERROR(__xludf.DUMMYFUNCTION("""COMPUTED_VALUE"""),"Point-and-Click ")</f>
        <v>Point-and-Click </v>
      </c>
      <c r="N33" s="25"/>
      <c r="O33" s="25" t="str">
        <f>IFERROR(__xludf.DUMMYFUNCTION("""COMPUTED_VALUE"""),"Portal (PS5 + Premium)")</f>
        <v>Portal (PS5 + Premium)</v>
      </c>
      <c r="P33" s="26"/>
    </row>
    <row r="34">
      <c r="A34" s="13" t="str">
        <f>IFERROR(__xludf.DUMMYFUNCTION("""COMPUTED_VALUE"""),"OVERPASS 2")</f>
        <v>OVERPASS 2</v>
      </c>
      <c r="B34" s="15" t="str">
        <f>IFERROR(__xludf.DUMMYFUNCTION("""COMPUTED_VALUE"""),"PS5")</f>
        <v>PS5</v>
      </c>
      <c r="C34" s="16" t="str">
        <f>IFERROR(__xludf.DUMMYFUNCTION("""COMPUTED_VALUE"""),"Extra")</f>
        <v>Extra</v>
      </c>
      <c r="D34" s="15" t="str">
        <f>IFERROR(__xludf.DUMMYFUNCTION("""COMPUTED_VALUE"""),"Active")</f>
        <v>Active</v>
      </c>
      <c r="E34" s="17">
        <f>IFERROR(__xludf.DUMMYFUNCTION("""COMPUTED_VALUE"""),45580.0)</f>
        <v>45580</v>
      </c>
      <c r="F34" s="54"/>
      <c r="G34" s="19">
        <f>IFERROR(__xludf.DUMMYFUNCTION("""COMPUTED_VALUE"""),23.700000000000003)</f>
        <v>23.7</v>
      </c>
      <c r="H34" s="17">
        <f>IFERROR(__xludf.DUMMYFUNCTION("""COMPUTED_VALUE"""),45216.0)</f>
        <v>45216</v>
      </c>
      <c r="I34" s="19">
        <f>IFERROR(__xludf.DUMMYFUNCTION("""COMPUTED_VALUE"""),0.9944444444444445)</f>
        <v>0.9944444444</v>
      </c>
      <c r="J34" s="21">
        <f>IFERROR(__xludf.DUMMYFUNCTION("""COMPUTED_VALUE"""),60.0)</f>
        <v>60</v>
      </c>
      <c r="K34" s="23">
        <f>IFERROR(__xludf.DUMMYFUNCTION("""COMPUTED_VALUE"""),4.0)</f>
        <v>4</v>
      </c>
      <c r="L34" s="24">
        <f>IFERROR(__xludf.DUMMYFUNCTION("""COMPUTED_VALUE"""),8.0)</f>
        <v>8</v>
      </c>
      <c r="M34" s="25" t="str">
        <f>IFERROR(__xludf.DUMMYFUNCTION("""COMPUTED_VALUE"""),"Racing")</f>
        <v>Racing</v>
      </c>
      <c r="N34" s="25"/>
      <c r="O34" s="25" t="str">
        <f>IFERROR(__xludf.DUMMYFUNCTION("""COMPUTED_VALUE"""),"Portal (PS5 + Premium)")</f>
        <v>Portal (PS5 + Premium)</v>
      </c>
      <c r="P34" s="26"/>
    </row>
    <row r="35">
      <c r="A35" s="13" t="str">
        <f>IFERROR(__xludf.DUMMYFUNCTION("""COMPUTED_VALUE"""),"Tom Clancy's Ghost Recon: Wildlands")</f>
        <v>Tom Clancy's Ghost Recon: Wildlands</v>
      </c>
      <c r="B35" s="15" t="str">
        <f>IFERROR(__xludf.DUMMYFUNCTION("""COMPUTED_VALUE"""),"PS4")</f>
        <v>PS4</v>
      </c>
      <c r="C35" s="16" t="str">
        <f>IFERROR(__xludf.DUMMYFUNCTION("""COMPUTED_VALUE"""),"Extra (Ubisoft+ Classics)")</f>
        <v>Extra (Ubisoft+ Classics)</v>
      </c>
      <c r="D35" s="15" t="str">
        <f>IFERROR(__xludf.DUMMYFUNCTION("""COMPUTED_VALUE"""),"Active")</f>
        <v>Active</v>
      </c>
      <c r="E35" s="17">
        <f>IFERROR(__xludf.DUMMYFUNCTION("""COMPUTED_VALUE"""),45580.0)</f>
        <v>45580</v>
      </c>
      <c r="F35" s="54"/>
      <c r="G35" s="19">
        <f>IFERROR(__xludf.DUMMYFUNCTION("""COMPUTED_VALUE"""),23.700000000000003)</f>
        <v>23.7</v>
      </c>
      <c r="H35" s="17">
        <f>IFERROR(__xludf.DUMMYFUNCTION("""COMPUTED_VALUE"""),42801.0)</f>
        <v>42801</v>
      </c>
      <c r="I35" s="19">
        <f>IFERROR(__xludf.DUMMYFUNCTION("""COMPUTED_VALUE"""),7.605555555555555)</f>
        <v>7.605555556</v>
      </c>
      <c r="J35" s="21">
        <f>IFERROR(__xludf.DUMMYFUNCTION("""COMPUTED_VALUE"""),70.0)</f>
        <v>70</v>
      </c>
      <c r="K35" s="23">
        <f>IFERROR(__xludf.DUMMYFUNCTION("""COMPUTED_VALUE"""),6.5)</f>
        <v>6.5</v>
      </c>
      <c r="L35" s="24">
        <f>IFERROR(__xludf.DUMMYFUNCTION("""COMPUTED_VALUE"""),27.0)</f>
        <v>27</v>
      </c>
      <c r="M35" s="25" t="str">
        <f>IFERROR(__xludf.DUMMYFUNCTION("""COMPUTED_VALUE"""),"Shooter")</f>
        <v>Shooter</v>
      </c>
      <c r="N35" s="25"/>
      <c r="O35" s="25" t="str">
        <f>IFERROR(__xludf.DUMMYFUNCTION("""COMPUTED_VALUE"""),"Yes")</f>
        <v>Yes</v>
      </c>
      <c r="P35" s="26"/>
    </row>
    <row r="36">
      <c r="A36" s="13" t="str">
        <f>IFERROR(__xludf.DUMMYFUNCTION("""COMPUTED_VALUE"""),"Dino Crisis")</f>
        <v>Dino Crisis</v>
      </c>
      <c r="B36" s="15" t="str">
        <f>IFERROR(__xludf.DUMMYFUNCTION("""COMPUTED_VALUE"""),"PS5/PS4")</f>
        <v>PS5/PS4</v>
      </c>
      <c r="C36" s="16" t="str">
        <f>IFERROR(__xludf.DUMMYFUNCTION("""COMPUTED_VALUE"""),"Premium (Classics)")</f>
        <v>Premium (Classics)</v>
      </c>
      <c r="D36" s="15" t="str">
        <f>IFERROR(__xludf.DUMMYFUNCTION("""COMPUTED_VALUE"""),"Active")</f>
        <v>Active</v>
      </c>
      <c r="E36" s="17">
        <f>IFERROR(__xludf.DUMMYFUNCTION("""COMPUTED_VALUE"""),45580.0)</f>
        <v>45580</v>
      </c>
      <c r="F36" s="54"/>
      <c r="G36" s="19">
        <f>IFERROR(__xludf.DUMMYFUNCTION("""COMPUTED_VALUE"""),23.700000000000003)</f>
        <v>23.7</v>
      </c>
      <c r="H36" s="17">
        <f>IFERROR(__xludf.DUMMYFUNCTION("""COMPUTED_VALUE"""),36844.0)</f>
        <v>36844</v>
      </c>
      <c r="I36" s="19">
        <f>IFERROR(__xludf.DUMMYFUNCTION("""COMPUTED_VALUE"""),23.919444444444444)</f>
        <v>23.91944444</v>
      </c>
      <c r="J36" s="21">
        <f>IFERROR(__xludf.DUMMYFUNCTION("""COMPUTED_VALUE"""),74.0)</f>
        <v>74</v>
      </c>
      <c r="K36" s="23">
        <f>IFERROR(__xludf.DUMMYFUNCTION("""COMPUTED_VALUE"""),8.8)</f>
        <v>8.8</v>
      </c>
      <c r="L36" s="24">
        <f>IFERROR(__xludf.DUMMYFUNCTION("""COMPUTED_VALUE"""),7.0)</f>
        <v>7</v>
      </c>
      <c r="M36" s="25" t="str">
        <f>IFERROR(__xludf.DUMMYFUNCTION("""COMPUTED_VALUE"""),"Survival")</f>
        <v>Survival</v>
      </c>
      <c r="N36" s="25" t="str">
        <f>IFERROR(__xludf.DUMMYFUNCTION("""COMPUTED_VALUE"""),"PS1")</f>
        <v>PS1</v>
      </c>
      <c r="O36" s="25" t="str">
        <f>IFERROR(__xludf.DUMMYFUNCTION("""COMPUTED_VALUE"""),"Yes")</f>
        <v>Yes</v>
      </c>
      <c r="P36" s="26"/>
    </row>
    <row r="37">
      <c r="A37" s="13" t="str">
        <f>IFERROR(__xludf.DUMMYFUNCTION("""COMPUTED_VALUE"""),"R-Type Dimensions EX")</f>
        <v>R-Type Dimensions EX</v>
      </c>
      <c r="B37" s="15" t="str">
        <f>IFERROR(__xludf.DUMMYFUNCTION("""COMPUTED_VALUE"""),"PS4")</f>
        <v>PS4</v>
      </c>
      <c r="C37" s="16" t="str">
        <f>IFERROR(__xludf.DUMMYFUNCTION("""COMPUTED_VALUE"""),"Premium (Classics)")</f>
        <v>Premium (Classics)</v>
      </c>
      <c r="D37" s="15" t="str">
        <f>IFERROR(__xludf.DUMMYFUNCTION("""COMPUTED_VALUE"""),"Active")</f>
        <v>Active</v>
      </c>
      <c r="E37" s="17">
        <f>IFERROR(__xludf.DUMMYFUNCTION("""COMPUTED_VALUE"""),45580.0)</f>
        <v>45580</v>
      </c>
      <c r="F37" s="54"/>
      <c r="G37" s="19">
        <f>IFERROR(__xludf.DUMMYFUNCTION("""COMPUTED_VALUE"""),23.700000000000003)</f>
        <v>23.7</v>
      </c>
      <c r="H37" s="17">
        <f>IFERROR(__xludf.DUMMYFUNCTION("""COMPUTED_VALUE"""),39848.0)</f>
        <v>39848</v>
      </c>
      <c r="I37" s="19">
        <f>IFERROR(__xludf.DUMMYFUNCTION("""COMPUTED_VALUE"""),15.697222222222223)</f>
        <v>15.69722222</v>
      </c>
      <c r="J37" s="21">
        <f>IFERROR(__xludf.DUMMYFUNCTION("""COMPUTED_VALUE"""),76.0)</f>
        <v>76</v>
      </c>
      <c r="K37" s="23">
        <f>IFERROR(__xludf.DUMMYFUNCTION("""COMPUTED_VALUE"""),7.5)</f>
        <v>7.5</v>
      </c>
      <c r="L37" s="24">
        <f>IFERROR(__xludf.DUMMYFUNCTION("""COMPUTED_VALUE"""),1.0)</f>
        <v>1</v>
      </c>
      <c r="M37" s="25" t="str">
        <f>IFERROR(__xludf.DUMMYFUNCTION("""COMPUTED_VALUE"""),"Compilation")</f>
        <v>Compilation</v>
      </c>
      <c r="N37" s="25" t="str">
        <f>IFERROR(__xludf.DUMMYFUNCTION("""COMPUTED_VALUE"""),"Arcade")</f>
        <v>Arcade</v>
      </c>
      <c r="O37" s="25" t="str">
        <f>IFERROR(__xludf.DUMMYFUNCTION("""COMPUTED_VALUE"""),"No")</f>
        <v>No</v>
      </c>
      <c r="P37" s="26"/>
    </row>
    <row r="38">
      <c r="A38" s="13" t="str">
        <f>IFERROR(__xludf.DUMMYFUNCTION("""COMPUTED_VALUE"""),"The Last of Us: Part I")</f>
        <v>The Last of Us: Part I</v>
      </c>
      <c r="B38" s="15" t="str">
        <f>IFERROR(__xludf.DUMMYFUNCTION("""COMPUTED_VALUE"""),"PS5")</f>
        <v>PS5</v>
      </c>
      <c r="C38" s="16" t="str">
        <f>IFERROR(__xludf.DUMMYFUNCTION("""COMPUTED_VALUE"""),"Extra")</f>
        <v>Extra</v>
      </c>
      <c r="D38" s="15" t="str">
        <f>IFERROR(__xludf.DUMMYFUNCTION("""COMPUTED_VALUE"""),"Active")</f>
        <v>Active</v>
      </c>
      <c r="E38" s="17">
        <f>IFERROR(__xludf.DUMMYFUNCTION("""COMPUTED_VALUE"""),45561.0)</f>
        <v>45561</v>
      </c>
      <c r="F38" s="54"/>
      <c r="G38" s="19">
        <f>IFERROR(__xludf.DUMMYFUNCTION("""COMPUTED_VALUE"""),24.333333333333332)</f>
        <v>24.33333333</v>
      </c>
      <c r="H38" s="17">
        <f>IFERROR(__xludf.DUMMYFUNCTION("""COMPUTED_VALUE"""),45310.0)</f>
        <v>45310</v>
      </c>
      <c r="I38" s="19">
        <f>IFERROR(__xludf.DUMMYFUNCTION("""COMPUTED_VALUE"""),0.6861111111111111)</f>
        <v>0.6861111111</v>
      </c>
      <c r="J38" s="21">
        <f>IFERROR(__xludf.DUMMYFUNCTION("""COMPUTED_VALUE"""),90.0)</f>
        <v>90</v>
      </c>
      <c r="K38" s="23">
        <f>IFERROR(__xludf.DUMMYFUNCTION("""COMPUTED_VALUE"""),7.8)</f>
        <v>7.8</v>
      </c>
      <c r="L38" s="24">
        <f>IFERROR(__xludf.DUMMYFUNCTION("""COMPUTED_VALUE"""),15.0)</f>
        <v>15</v>
      </c>
      <c r="M38" s="25" t="str">
        <f>IFERROR(__xludf.DUMMYFUNCTION("""COMPUTED_VALUE"""),"Survival")</f>
        <v>Survival</v>
      </c>
      <c r="N38" s="25"/>
      <c r="O38" s="25" t="str">
        <f>IFERROR(__xludf.DUMMYFUNCTION("""COMPUTED_VALUE"""),"Portal (PS5 + Premium)")</f>
        <v>Portal (PS5 + Premium)</v>
      </c>
      <c r="P38" s="26"/>
    </row>
    <row r="39">
      <c r="A39" s="13" t="str">
        <f>IFERROR(__xludf.DUMMYFUNCTION("""COMPUTED_VALUE"""),"Ben 10")</f>
        <v>Ben 10</v>
      </c>
      <c r="B39" s="15" t="str">
        <f>IFERROR(__xludf.DUMMYFUNCTION("""COMPUTED_VALUE"""),"PS4")</f>
        <v>PS4</v>
      </c>
      <c r="C39" s="16" t="str">
        <f>IFERROR(__xludf.DUMMYFUNCTION("""COMPUTED_VALUE"""),"Extra")</f>
        <v>Extra</v>
      </c>
      <c r="D39" s="15" t="str">
        <f>IFERROR(__xludf.DUMMYFUNCTION("""COMPUTED_VALUE"""),"Active")</f>
        <v>Active</v>
      </c>
      <c r="E39" s="17">
        <f>IFERROR(__xludf.DUMMYFUNCTION("""COMPUTED_VALUE"""),45552.0)</f>
        <v>45552</v>
      </c>
      <c r="F39" s="54"/>
      <c r="G39" s="19">
        <f>IFERROR(__xludf.DUMMYFUNCTION("""COMPUTED_VALUE"""),24.633333333333333)</f>
        <v>24.63333333</v>
      </c>
      <c r="H39" s="17">
        <f>IFERROR(__xludf.DUMMYFUNCTION("""COMPUTED_VALUE"""),43053.0)</f>
        <v>43053</v>
      </c>
      <c r="I39" s="19">
        <f>IFERROR(__xludf.DUMMYFUNCTION("""COMPUTED_VALUE"""),6.841666666666667)</f>
        <v>6.841666667</v>
      </c>
      <c r="J39" s="21">
        <f>IFERROR(__xludf.DUMMYFUNCTION("""COMPUTED_VALUE"""),41.0)</f>
        <v>41</v>
      </c>
      <c r="K39" s="23">
        <f>IFERROR(__xludf.DUMMYFUNCTION("""COMPUTED_VALUE"""),5.1)</f>
        <v>5.1</v>
      </c>
      <c r="L39" s="24">
        <f>IFERROR(__xludf.DUMMYFUNCTION("""COMPUTED_VALUE"""),3.0)</f>
        <v>3</v>
      </c>
      <c r="M39" s="25" t="str">
        <f>IFERROR(__xludf.DUMMYFUNCTION("""COMPUTED_VALUE"""),"Beat-'Em-Up")</f>
        <v>Beat-'Em-Up</v>
      </c>
      <c r="N39" s="25"/>
      <c r="O39" s="25" t="str">
        <f>IFERROR(__xludf.DUMMYFUNCTION("""COMPUTED_VALUE"""),"Yes")</f>
        <v>Yes</v>
      </c>
      <c r="P39" s="26"/>
    </row>
    <row r="40">
      <c r="A40" s="13" t="str">
        <f>IFERROR(__xludf.DUMMYFUNCTION("""COMPUTED_VALUE"""),"Under The Waves")</f>
        <v>Under The Waves</v>
      </c>
      <c r="B40" s="15" t="str">
        <f>IFERROR(__xludf.DUMMYFUNCTION("""COMPUTED_VALUE"""),"PS5/PS4")</f>
        <v>PS5/PS4</v>
      </c>
      <c r="C40" s="16" t="str">
        <f>IFERROR(__xludf.DUMMYFUNCTION("""COMPUTED_VALUE"""),"Extra")</f>
        <v>Extra</v>
      </c>
      <c r="D40" s="15" t="str">
        <f>IFERROR(__xludf.DUMMYFUNCTION("""COMPUTED_VALUE"""),"Active")</f>
        <v>Active</v>
      </c>
      <c r="E40" s="17">
        <f>IFERROR(__xludf.DUMMYFUNCTION("""COMPUTED_VALUE"""),45552.0)</f>
        <v>45552</v>
      </c>
      <c r="F40" s="54"/>
      <c r="G40" s="19">
        <f>IFERROR(__xludf.DUMMYFUNCTION("""COMPUTED_VALUE"""),24.633333333333333)</f>
        <v>24.63333333</v>
      </c>
      <c r="H40" s="17">
        <f>IFERROR(__xludf.DUMMYFUNCTION("""COMPUTED_VALUE"""),45167.0)</f>
        <v>45167</v>
      </c>
      <c r="I40" s="19">
        <f>IFERROR(__xludf.DUMMYFUNCTION("""COMPUTED_VALUE"""),1.05)</f>
        <v>1.05</v>
      </c>
      <c r="J40" s="21">
        <f>IFERROR(__xludf.DUMMYFUNCTION("""COMPUTED_VALUE"""),70.0)</f>
        <v>70</v>
      </c>
      <c r="K40" s="23">
        <f>IFERROR(__xludf.DUMMYFUNCTION("""COMPUTED_VALUE"""),6.4)</f>
        <v>6.4</v>
      </c>
      <c r="L40" s="24">
        <f>IFERROR(__xludf.DUMMYFUNCTION("""COMPUTED_VALUE"""),8.0)</f>
        <v>8</v>
      </c>
      <c r="M40" s="25" t="str">
        <f>IFERROR(__xludf.DUMMYFUNCTION("""COMPUTED_VALUE"""),"Action-Adventure")</f>
        <v>Action-Adventure</v>
      </c>
      <c r="N40" s="25"/>
      <c r="O40" s="25" t="str">
        <f>IFERROR(__xludf.DUMMYFUNCTION("""COMPUTED_VALUE"""),"Portal (PS5 + Premium)")</f>
        <v>Portal (PS5 + Premium)</v>
      </c>
      <c r="P40" s="26"/>
    </row>
    <row r="41">
      <c r="A41" s="13" t="str">
        <f>IFERROR(__xludf.DUMMYFUNCTION("""COMPUTED_VALUE"""),"Chernobylite")</f>
        <v>Chernobylite</v>
      </c>
      <c r="B41" s="15" t="str">
        <f>IFERROR(__xludf.DUMMYFUNCTION("""COMPUTED_VALUE"""),"PS5/PS4")</f>
        <v>PS5/PS4</v>
      </c>
      <c r="C41" s="16" t="str">
        <f>IFERROR(__xludf.DUMMYFUNCTION("""COMPUTED_VALUE"""),"Extra")</f>
        <v>Extra</v>
      </c>
      <c r="D41" s="15" t="str">
        <f>IFERROR(__xludf.DUMMYFUNCTION("""COMPUTED_VALUE"""),"Active")</f>
        <v>Active</v>
      </c>
      <c r="E41" s="17">
        <f>IFERROR(__xludf.DUMMYFUNCTION("""COMPUTED_VALUE"""),45552.0)</f>
        <v>45552</v>
      </c>
      <c r="F41" s="54"/>
      <c r="G41" s="19">
        <f>IFERROR(__xludf.DUMMYFUNCTION("""COMPUTED_VALUE"""),24.633333333333333)</f>
        <v>24.63333333</v>
      </c>
      <c r="H41" s="17">
        <f>IFERROR(__xludf.DUMMYFUNCTION("""COMPUTED_VALUE"""),44405.0)</f>
        <v>44405</v>
      </c>
      <c r="I41" s="19">
        <f>IFERROR(__xludf.DUMMYFUNCTION("""COMPUTED_VALUE"""),3.136111111111111)</f>
        <v>3.136111111</v>
      </c>
      <c r="J41" s="21">
        <f>IFERROR(__xludf.DUMMYFUNCTION("""COMPUTED_VALUE"""),75.0)</f>
        <v>75</v>
      </c>
      <c r="K41" s="23">
        <f>IFERROR(__xludf.DUMMYFUNCTION("""COMPUTED_VALUE"""),7.8)</f>
        <v>7.8</v>
      </c>
      <c r="L41" s="24">
        <f>IFERROR(__xludf.DUMMYFUNCTION("""COMPUTED_VALUE"""),15.0)</f>
        <v>15</v>
      </c>
      <c r="M41" s="25" t="str">
        <f>IFERROR(__xludf.DUMMYFUNCTION("""COMPUTED_VALUE"""),"Survival")</f>
        <v>Survival</v>
      </c>
      <c r="N41" s="25"/>
      <c r="O41" s="25" t="str">
        <f>IFERROR(__xludf.DUMMYFUNCTION("""COMPUTED_VALUE"""),"Yes")</f>
        <v>Yes</v>
      </c>
      <c r="P41" s="26"/>
    </row>
    <row r="42">
      <c r="A42" s="13" t="str">
        <f>IFERROR(__xludf.DUMMYFUNCTION("""COMPUTED_VALUE"""),"Wild Card Football")</f>
        <v>Wild Card Football</v>
      </c>
      <c r="B42" s="15" t="str">
        <f>IFERROR(__xludf.DUMMYFUNCTION("""COMPUTED_VALUE"""),"PS5/PS4")</f>
        <v>PS5/PS4</v>
      </c>
      <c r="C42" s="16" t="str">
        <f>IFERROR(__xludf.DUMMYFUNCTION("""COMPUTED_VALUE"""),"Extra")</f>
        <v>Extra</v>
      </c>
      <c r="D42" s="15" t="str">
        <f>IFERROR(__xludf.DUMMYFUNCTION("""COMPUTED_VALUE"""),"Active")</f>
        <v>Active</v>
      </c>
      <c r="E42" s="17">
        <f>IFERROR(__xludf.DUMMYFUNCTION("""COMPUTED_VALUE"""),45552.0)</f>
        <v>45552</v>
      </c>
      <c r="F42" s="54"/>
      <c r="G42" s="19">
        <f>IFERROR(__xludf.DUMMYFUNCTION("""COMPUTED_VALUE"""),24.633333333333333)</f>
        <v>24.63333333</v>
      </c>
      <c r="H42" s="17">
        <f>IFERROR(__xludf.DUMMYFUNCTION("""COMPUTED_VALUE"""),45209.0)</f>
        <v>45209</v>
      </c>
      <c r="I42" s="19">
        <f>IFERROR(__xludf.DUMMYFUNCTION("""COMPUTED_VALUE"""),0.9361111111111111)</f>
        <v>0.9361111111</v>
      </c>
      <c r="J42" s="21">
        <f>IFERROR(__xludf.DUMMYFUNCTION("""COMPUTED_VALUE"""),72.0)</f>
        <v>72</v>
      </c>
      <c r="K42" s="23">
        <f>IFERROR(__xludf.DUMMYFUNCTION("""COMPUTED_VALUE"""),8.3)</f>
        <v>8.3</v>
      </c>
      <c r="L42" s="24">
        <f>IFERROR(__xludf.DUMMYFUNCTION("""COMPUTED_VALUE"""),12.0)</f>
        <v>12</v>
      </c>
      <c r="M42" s="25" t="str">
        <f>IFERROR(__xludf.DUMMYFUNCTION("""COMPUTED_VALUE"""),"Sports")</f>
        <v>Sports</v>
      </c>
      <c r="N42" s="25"/>
      <c r="O42" s="25" t="str">
        <f>IFERROR(__xludf.DUMMYFUNCTION("""COMPUTED_VALUE"""),"No")</f>
        <v>No</v>
      </c>
      <c r="P42" s="26"/>
    </row>
    <row r="43">
      <c r="A43" s="13" t="str">
        <f>IFERROR(__xludf.DUMMYFUNCTION("""COMPUTED_VALUE"""),"Space Engineers")</f>
        <v>Space Engineers</v>
      </c>
      <c r="B43" s="15" t="str">
        <f>IFERROR(__xludf.DUMMYFUNCTION("""COMPUTED_VALUE"""),"PS5/PS4")</f>
        <v>PS5/PS4</v>
      </c>
      <c r="C43" s="16" t="str">
        <f>IFERROR(__xludf.DUMMYFUNCTION("""COMPUTED_VALUE"""),"Extra")</f>
        <v>Extra</v>
      </c>
      <c r="D43" s="15" t="str">
        <f>IFERROR(__xludf.DUMMYFUNCTION("""COMPUTED_VALUE"""),"Active")</f>
        <v>Active</v>
      </c>
      <c r="E43" s="17">
        <f>IFERROR(__xludf.DUMMYFUNCTION("""COMPUTED_VALUE"""),45552.0)</f>
        <v>45552</v>
      </c>
      <c r="F43" s="54"/>
      <c r="G43" s="19">
        <f>IFERROR(__xludf.DUMMYFUNCTION("""COMPUTED_VALUE"""),24.633333333333333)</f>
        <v>24.63333333</v>
      </c>
      <c r="H43" s="17">
        <f>IFERROR(__xludf.DUMMYFUNCTION("""COMPUTED_VALUE"""),43936.0)</f>
        <v>43936</v>
      </c>
      <c r="I43" s="19">
        <f>IFERROR(__xludf.DUMMYFUNCTION("""COMPUTED_VALUE"""),4.4222222222222225)</f>
        <v>4.422222222</v>
      </c>
      <c r="J43" s="21">
        <f>IFERROR(__xludf.DUMMYFUNCTION("""COMPUTED_VALUE"""),68.0)</f>
        <v>68</v>
      </c>
      <c r="K43" s="23">
        <f>IFERROR(__xludf.DUMMYFUNCTION("""COMPUTED_VALUE"""),4.7)</f>
        <v>4.7</v>
      </c>
      <c r="L43" s="24">
        <f>IFERROR(__xludf.DUMMYFUNCTION("""COMPUTED_VALUE"""),20.0)</f>
        <v>20</v>
      </c>
      <c r="M43" s="25" t="str">
        <f>IFERROR(__xludf.DUMMYFUNCTION("""COMPUTED_VALUE"""),"Sandbox")</f>
        <v>Sandbox</v>
      </c>
      <c r="N43" s="25"/>
      <c r="O43" s="25" t="str">
        <f>IFERROR(__xludf.DUMMYFUNCTION("""COMPUTED_VALUE"""),"No")</f>
        <v>No</v>
      </c>
      <c r="P43" s="26"/>
    </row>
    <row r="44">
      <c r="A44" s="13" t="str">
        <f>IFERROR(__xludf.DUMMYFUNCTION("""COMPUTED_VALUE"""),"Far Cry 5")</f>
        <v>Far Cry 5</v>
      </c>
      <c r="B44" s="15" t="str">
        <f>IFERROR(__xludf.DUMMYFUNCTION("""COMPUTED_VALUE"""),"PS4")</f>
        <v>PS4</v>
      </c>
      <c r="C44" s="16" t="str">
        <f>IFERROR(__xludf.DUMMYFUNCTION("""COMPUTED_VALUE"""),"Extra (Ubisoft+ Classics)")</f>
        <v>Extra (Ubisoft+ Classics)</v>
      </c>
      <c r="D44" s="15" t="str">
        <f>IFERROR(__xludf.DUMMYFUNCTION("""COMPUTED_VALUE"""),"Active")</f>
        <v>Active</v>
      </c>
      <c r="E44" s="17">
        <f>IFERROR(__xludf.DUMMYFUNCTION("""COMPUTED_VALUE"""),45552.0)</f>
        <v>45552</v>
      </c>
      <c r="F44" s="54"/>
      <c r="G44" s="19">
        <f>IFERROR(__xludf.DUMMYFUNCTION("""COMPUTED_VALUE"""),24.633333333333333)</f>
        <v>24.63333333</v>
      </c>
      <c r="H44" s="17">
        <f>IFERROR(__xludf.DUMMYFUNCTION("""COMPUTED_VALUE"""),43186.0)</f>
        <v>43186</v>
      </c>
      <c r="I44" s="19">
        <f>IFERROR(__xludf.DUMMYFUNCTION("""COMPUTED_VALUE"""),6.472222222222222)</f>
        <v>6.472222222</v>
      </c>
      <c r="J44" s="21">
        <f>IFERROR(__xludf.DUMMYFUNCTION("""COMPUTED_VALUE"""),81.0)</f>
        <v>81</v>
      </c>
      <c r="K44" s="23">
        <f>IFERROR(__xludf.DUMMYFUNCTION("""COMPUTED_VALUE"""),6.9)</f>
        <v>6.9</v>
      </c>
      <c r="L44" s="24">
        <f>IFERROR(__xludf.DUMMYFUNCTION("""COMPUTED_VALUE"""),18.0)</f>
        <v>18</v>
      </c>
      <c r="M44" s="25" t="str">
        <f>IFERROR(__xludf.DUMMYFUNCTION("""COMPUTED_VALUE"""),"Shooter")</f>
        <v>Shooter</v>
      </c>
      <c r="N44" s="25" t="str">
        <f>IFERROR(__xludf.DUMMYFUNCTION("""COMPUTED_VALUE"""),"Returning game")</f>
        <v>Returning game</v>
      </c>
      <c r="O44" s="25" t="str">
        <f>IFERROR(__xludf.DUMMYFUNCTION("""COMPUTED_VALUE"""),"Yes")</f>
        <v>Yes</v>
      </c>
      <c r="P44" s="26"/>
    </row>
    <row r="45">
      <c r="A45" s="13" t="str">
        <f>IFERROR(__xludf.DUMMYFUNCTION("""COMPUTED_VALUE"""),"Secret Agent Clank")</f>
        <v>Secret Agent Clank</v>
      </c>
      <c r="B45" s="15" t="str">
        <f>IFERROR(__xludf.DUMMYFUNCTION("""COMPUTED_VALUE"""),"PS5/PS4")</f>
        <v>PS5/PS4</v>
      </c>
      <c r="C45" s="16" t="str">
        <f>IFERROR(__xludf.DUMMYFUNCTION("""COMPUTED_VALUE"""),"Premium (Classics)")</f>
        <v>Premium (Classics)</v>
      </c>
      <c r="D45" s="15" t="str">
        <f>IFERROR(__xludf.DUMMYFUNCTION("""COMPUTED_VALUE"""),"Active")</f>
        <v>Active</v>
      </c>
      <c r="E45" s="17">
        <f>IFERROR(__xludf.DUMMYFUNCTION("""COMPUTED_VALUE"""),45552.0)</f>
        <v>45552</v>
      </c>
      <c r="F45" s="54"/>
      <c r="G45" s="19">
        <f>IFERROR(__xludf.DUMMYFUNCTION("""COMPUTED_VALUE"""),24.633333333333333)</f>
        <v>24.63333333</v>
      </c>
      <c r="H45" s="17">
        <f>IFERROR(__xludf.DUMMYFUNCTION("""COMPUTED_VALUE"""),39616.0)</f>
        <v>39616</v>
      </c>
      <c r="I45" s="19">
        <f>IFERROR(__xludf.DUMMYFUNCTION("""COMPUTED_VALUE"""),16.25)</f>
        <v>16.25</v>
      </c>
      <c r="J45" s="21">
        <f>IFERROR(__xludf.DUMMYFUNCTION("""COMPUTED_VALUE"""),72.0)</f>
        <v>72</v>
      </c>
      <c r="K45" s="23">
        <f>IFERROR(__xludf.DUMMYFUNCTION("""COMPUTED_VALUE"""),7.4)</f>
        <v>7.4</v>
      </c>
      <c r="L45" s="24">
        <f>IFERROR(__xludf.DUMMYFUNCTION("""COMPUTED_VALUE"""),8.0)</f>
        <v>8</v>
      </c>
      <c r="M45" s="25" t="str">
        <f>IFERROR(__xludf.DUMMYFUNCTION("""COMPUTED_VALUE"""),"Platformer")</f>
        <v>Platformer</v>
      </c>
      <c r="N45" s="25" t="str">
        <f>IFERROR(__xludf.DUMMYFUNCTION("""COMPUTED_VALUE"""),"PSP")</f>
        <v>PSP</v>
      </c>
      <c r="O45" s="25" t="str">
        <f>IFERROR(__xludf.DUMMYFUNCTION("""COMPUTED_VALUE"""),"Yes")</f>
        <v>Yes</v>
      </c>
      <c r="P45" s="26"/>
    </row>
    <row r="46">
      <c r="A46" s="13" t="str">
        <f>IFERROR(__xludf.DUMMYFUNCTION("""COMPUTED_VALUE"""),"SkyGunner")</f>
        <v>SkyGunner</v>
      </c>
      <c r="B46" s="15" t="str">
        <f>IFERROR(__xludf.DUMMYFUNCTION("""COMPUTED_VALUE"""),"PS5/PS4")</f>
        <v>PS5/PS4</v>
      </c>
      <c r="C46" s="16" t="str">
        <f>IFERROR(__xludf.DUMMYFUNCTION("""COMPUTED_VALUE"""),"Premium (Classics)")</f>
        <v>Premium (Classics)</v>
      </c>
      <c r="D46" s="15" t="str">
        <f>IFERROR(__xludf.DUMMYFUNCTION("""COMPUTED_VALUE"""),"Active")</f>
        <v>Active</v>
      </c>
      <c r="E46" s="17">
        <f>IFERROR(__xludf.DUMMYFUNCTION("""COMPUTED_VALUE"""),45552.0)</f>
        <v>45552</v>
      </c>
      <c r="F46" s="54"/>
      <c r="G46" s="19">
        <f>IFERROR(__xludf.DUMMYFUNCTION("""COMPUTED_VALUE"""),24.633333333333333)</f>
        <v>24.63333333</v>
      </c>
      <c r="H46" s="17">
        <f>IFERROR(__xludf.DUMMYFUNCTION("""COMPUTED_VALUE"""),37431.0)</f>
        <v>37431</v>
      </c>
      <c r="I46" s="19">
        <f>IFERROR(__xludf.DUMMYFUNCTION("""COMPUTED_VALUE"""),22.230555555555554)</f>
        <v>22.23055556</v>
      </c>
      <c r="J46" s="21">
        <f>IFERROR(__xludf.DUMMYFUNCTION("""COMPUTED_VALUE"""),75.0)</f>
        <v>75</v>
      </c>
      <c r="K46" s="23">
        <f>IFERROR(__xludf.DUMMYFUNCTION("""COMPUTED_VALUE"""),8.1)</f>
        <v>8.1</v>
      </c>
      <c r="L46" s="24">
        <f>IFERROR(__xludf.DUMMYFUNCTION("""COMPUTED_VALUE"""),3.0)</f>
        <v>3</v>
      </c>
      <c r="M46" s="25" t="str">
        <f>IFERROR(__xludf.DUMMYFUNCTION("""COMPUTED_VALUE"""),"Shooter")</f>
        <v>Shooter</v>
      </c>
      <c r="N46" s="25" t="str">
        <f>IFERROR(__xludf.DUMMYFUNCTION("""COMPUTED_VALUE"""),"PS2")</f>
        <v>PS2</v>
      </c>
      <c r="O46" s="25" t="str">
        <f>IFERROR(__xludf.DUMMYFUNCTION("""COMPUTED_VALUE"""),"Yes")</f>
        <v>Yes</v>
      </c>
      <c r="P46" s="26"/>
    </row>
    <row r="47">
      <c r="A47" s="13" t="str">
        <f>IFERROR(__xludf.DUMMYFUNCTION("""COMPUTED_VALUE"""),"Mister Mosquito")</f>
        <v>Mister Mosquito</v>
      </c>
      <c r="B47" s="15" t="str">
        <f>IFERROR(__xludf.DUMMYFUNCTION("""COMPUTED_VALUE"""),"PS5/PS4")</f>
        <v>PS5/PS4</v>
      </c>
      <c r="C47" s="16" t="str">
        <f>IFERROR(__xludf.DUMMYFUNCTION("""COMPUTED_VALUE"""),"Premium (Classics)")</f>
        <v>Premium (Classics)</v>
      </c>
      <c r="D47" s="15" t="str">
        <f>IFERROR(__xludf.DUMMYFUNCTION("""COMPUTED_VALUE"""),"Active")</f>
        <v>Active</v>
      </c>
      <c r="E47" s="17">
        <f>IFERROR(__xludf.DUMMYFUNCTION("""COMPUTED_VALUE"""),45552.0)</f>
        <v>45552</v>
      </c>
      <c r="F47" s="54"/>
      <c r="G47" s="19">
        <f>IFERROR(__xludf.DUMMYFUNCTION("""COMPUTED_VALUE"""),24.633333333333333)</f>
        <v>24.63333333</v>
      </c>
      <c r="H47" s="17">
        <f>IFERROR(__xludf.DUMMYFUNCTION("""COMPUTED_VALUE"""),37327.0)</f>
        <v>37327</v>
      </c>
      <c r="I47" s="19">
        <f>IFERROR(__xludf.DUMMYFUNCTION("""COMPUTED_VALUE"""),22.51388888888889)</f>
        <v>22.51388889</v>
      </c>
      <c r="J47" s="21">
        <f>IFERROR(__xludf.DUMMYFUNCTION("""COMPUTED_VALUE"""),65.0)</f>
        <v>65</v>
      </c>
      <c r="K47" s="23">
        <f>IFERROR(__xludf.DUMMYFUNCTION("""COMPUTED_VALUE"""),6.2)</f>
        <v>6.2</v>
      </c>
      <c r="L47" s="24">
        <f>IFERROR(__xludf.DUMMYFUNCTION("""COMPUTED_VALUE"""),3.0)</f>
        <v>3</v>
      </c>
      <c r="M47" s="25" t="str">
        <f>IFERROR(__xludf.DUMMYFUNCTION("""COMPUTED_VALUE"""),"Action-Adventure")</f>
        <v>Action-Adventure</v>
      </c>
      <c r="N47" s="25" t="str">
        <f>IFERROR(__xludf.DUMMYFUNCTION("""COMPUTED_VALUE"""),"PS2")</f>
        <v>PS2</v>
      </c>
      <c r="O47" s="25" t="str">
        <f>IFERROR(__xludf.DUMMYFUNCTION("""COMPUTED_VALUE"""),"Yes")</f>
        <v>Yes</v>
      </c>
      <c r="P47" s="26"/>
    </row>
    <row r="48">
      <c r="A48" s="13" t="str">
        <f>IFERROR(__xludf.DUMMYFUNCTION("""COMPUTED_VALUE"""),"A-Train Express")</f>
        <v>A-Train Express</v>
      </c>
      <c r="B48" s="15" t="str">
        <f>IFERROR(__xludf.DUMMYFUNCTION("""COMPUTED_VALUE"""),"PS4")</f>
        <v>PS4</v>
      </c>
      <c r="C48" s="16" t="str">
        <f>IFERROR(__xludf.DUMMYFUNCTION("""COMPUTED_VALUE"""),"Extra")</f>
        <v>Extra</v>
      </c>
      <c r="D48" s="15" t="str">
        <f>IFERROR(__xludf.DUMMYFUNCTION("""COMPUTED_VALUE"""),"Active")</f>
        <v>Active</v>
      </c>
      <c r="E48" s="17">
        <f>IFERROR(__xludf.DUMMYFUNCTION("""COMPUTED_VALUE"""),45218.0)</f>
        <v>45218</v>
      </c>
      <c r="F48" s="18"/>
      <c r="G48" s="19">
        <f>IFERROR(__xludf.DUMMYFUNCTION("""COMPUTED_VALUE"""),35.56666666666667)</f>
        <v>35.56666667</v>
      </c>
      <c r="H48" s="17">
        <f>IFERROR(__xludf.DUMMYFUNCTION("""COMPUTED_VALUE"""),43607.0)</f>
        <v>43607</v>
      </c>
      <c r="I48" s="19">
        <f>IFERROR(__xludf.DUMMYFUNCTION("""COMPUTED_VALUE"""),4.408333333333333)</f>
        <v>4.408333333</v>
      </c>
      <c r="J48" s="21">
        <f>IFERROR(__xludf.DUMMYFUNCTION("""COMPUTED_VALUE"""),60.0)</f>
        <v>60</v>
      </c>
      <c r="K48" s="23"/>
      <c r="L48" s="24"/>
      <c r="M48" s="25" t="str">
        <f>IFERROR(__xludf.DUMMYFUNCTION("""COMPUTED_VALUE"""),"Simulation")</f>
        <v>Simulation</v>
      </c>
      <c r="N48" s="25"/>
      <c r="O48" s="25" t="str">
        <f>IFERROR(__xludf.DUMMYFUNCTION("""COMPUTED_VALUE"""),"Yes")</f>
        <v>Yes</v>
      </c>
      <c r="P48" s="26"/>
    </row>
    <row r="49">
      <c r="A49" s="13" t="str">
        <f>IFERROR(__xludf.DUMMYFUNCTION("""COMPUTED_VALUE"""),"Elite: Dangerous")</f>
        <v>Elite: Dangerous</v>
      </c>
      <c r="B49" s="15" t="str">
        <f>IFERROR(__xludf.DUMMYFUNCTION("""COMPUTED_VALUE"""),"PS4")</f>
        <v>PS4</v>
      </c>
      <c r="C49" s="16" t="str">
        <f>IFERROR(__xludf.DUMMYFUNCTION("""COMPUTED_VALUE"""),"Extra")</f>
        <v>Extra</v>
      </c>
      <c r="D49" s="15" t="str">
        <f>IFERROR(__xludf.DUMMYFUNCTION("""COMPUTED_VALUE"""),"Active")</f>
        <v>Active</v>
      </c>
      <c r="E49" s="17">
        <f>IFERROR(__xludf.DUMMYFUNCTION("""COMPUTED_VALUE"""),45216.0)</f>
        <v>45216</v>
      </c>
      <c r="F49" s="18"/>
      <c r="G49" s="19">
        <f>IFERROR(__xludf.DUMMYFUNCTION("""COMPUTED_VALUE"""),35.63333333333333)</f>
        <v>35.63333333</v>
      </c>
      <c r="H49" s="17">
        <f>IFERROR(__xludf.DUMMYFUNCTION("""COMPUTED_VALUE"""),41989.0)</f>
        <v>41989</v>
      </c>
      <c r="I49" s="19">
        <f>IFERROR(__xludf.DUMMYFUNCTION("""COMPUTED_VALUE"""),8.83611111111111)</f>
        <v>8.836111111</v>
      </c>
      <c r="J49" s="21">
        <f>IFERROR(__xludf.DUMMYFUNCTION("""COMPUTED_VALUE"""),77.0)</f>
        <v>77</v>
      </c>
      <c r="K49" s="23">
        <f>IFERROR(__xludf.DUMMYFUNCTION("""COMPUTED_VALUE"""),6.7)</f>
        <v>6.7</v>
      </c>
      <c r="L49" s="24">
        <f>IFERROR(__xludf.DUMMYFUNCTION("""COMPUTED_VALUE"""),91.0)</f>
        <v>91</v>
      </c>
      <c r="M49" s="25" t="str">
        <f>IFERROR(__xludf.DUMMYFUNCTION("""COMPUTED_VALUE"""),"Simulation")</f>
        <v>Simulation</v>
      </c>
      <c r="N49" s="25"/>
      <c r="O49" s="25" t="str">
        <f>IFERROR(__xludf.DUMMYFUNCTION("""COMPUTED_VALUE"""),"Yes")</f>
        <v>Yes</v>
      </c>
      <c r="P49" s="26"/>
    </row>
    <row r="50">
      <c r="A50" s="13" t="str">
        <f>IFERROR(__xludf.DUMMYFUNCTION("""COMPUTED_VALUE"""),"Outlast 2")</f>
        <v>Outlast 2</v>
      </c>
      <c r="B50" s="15" t="str">
        <f>IFERROR(__xludf.DUMMYFUNCTION("""COMPUTED_VALUE"""),"PS4")</f>
        <v>PS4</v>
      </c>
      <c r="C50" s="16" t="str">
        <f>IFERROR(__xludf.DUMMYFUNCTION("""COMPUTED_VALUE"""),"Extra")</f>
        <v>Extra</v>
      </c>
      <c r="D50" s="15" t="str">
        <f>IFERROR(__xludf.DUMMYFUNCTION("""COMPUTED_VALUE"""),"Active")</f>
        <v>Active</v>
      </c>
      <c r="E50" s="17">
        <f>IFERROR(__xludf.DUMMYFUNCTION("""COMPUTED_VALUE"""),45216.0)</f>
        <v>45216</v>
      </c>
      <c r="F50" s="54"/>
      <c r="G50" s="19">
        <f>IFERROR(__xludf.DUMMYFUNCTION("""COMPUTED_VALUE"""),35.63333333333333)</f>
        <v>35.63333333</v>
      </c>
      <c r="H50" s="17">
        <f>IFERROR(__xludf.DUMMYFUNCTION("""COMPUTED_VALUE"""),42849.0)</f>
        <v>42849</v>
      </c>
      <c r="I50" s="19">
        <f>IFERROR(__xludf.DUMMYFUNCTION("""COMPUTED_VALUE"""),6.480555555555555)</f>
        <v>6.480555556</v>
      </c>
      <c r="J50" s="21">
        <f>IFERROR(__xludf.DUMMYFUNCTION("""COMPUTED_VALUE"""),68.0)</f>
        <v>68</v>
      </c>
      <c r="K50" s="23">
        <f>IFERROR(__xludf.DUMMYFUNCTION("""COMPUTED_VALUE"""),7.0)</f>
        <v>7</v>
      </c>
      <c r="L50" s="24">
        <f>IFERROR(__xludf.DUMMYFUNCTION("""COMPUTED_VALUE"""),8.0)</f>
        <v>8</v>
      </c>
      <c r="M50" s="25" t="str">
        <f>IFERROR(__xludf.DUMMYFUNCTION("""COMPUTED_VALUE"""),"Survival")</f>
        <v>Survival</v>
      </c>
      <c r="N50" s="25"/>
      <c r="O50" s="25" t="str">
        <f>IFERROR(__xludf.DUMMYFUNCTION("""COMPUTED_VALUE"""),"Yes")</f>
        <v>Yes</v>
      </c>
      <c r="P50" s="26"/>
    </row>
    <row r="51">
      <c r="A51" s="13" t="str">
        <f>IFERROR(__xludf.DUMMYFUNCTION("""COMPUTED_VALUE"""),"Eldest Souls")</f>
        <v>Eldest Souls</v>
      </c>
      <c r="B51" s="15" t="str">
        <f>IFERROR(__xludf.DUMMYFUNCTION("""COMPUTED_VALUE"""),"PS5/PS4")</f>
        <v>PS5/PS4</v>
      </c>
      <c r="C51" s="16" t="str">
        <f>IFERROR(__xludf.DUMMYFUNCTION("""COMPUTED_VALUE"""),"Extra")</f>
        <v>Extra</v>
      </c>
      <c r="D51" s="15" t="str">
        <f>IFERROR(__xludf.DUMMYFUNCTION("""COMPUTED_VALUE"""),"Active")</f>
        <v>Active</v>
      </c>
      <c r="E51" s="17">
        <f>IFERROR(__xludf.DUMMYFUNCTION("""COMPUTED_VALUE"""),45216.0)</f>
        <v>45216</v>
      </c>
      <c r="F51" s="54"/>
      <c r="G51" s="19">
        <f>IFERROR(__xludf.DUMMYFUNCTION("""COMPUTED_VALUE"""),35.63333333333333)</f>
        <v>35.63333333</v>
      </c>
      <c r="H51" s="17">
        <f>IFERROR(__xludf.DUMMYFUNCTION("""COMPUTED_VALUE"""),44406.0)</f>
        <v>44406</v>
      </c>
      <c r="I51" s="19">
        <f>IFERROR(__xludf.DUMMYFUNCTION("""COMPUTED_VALUE"""),2.216666666666667)</f>
        <v>2.216666667</v>
      </c>
      <c r="J51" s="21">
        <f>IFERROR(__xludf.DUMMYFUNCTION("""COMPUTED_VALUE"""),79.0)</f>
        <v>79</v>
      </c>
      <c r="K51" s="23">
        <f>IFERROR(__xludf.DUMMYFUNCTION("""COMPUTED_VALUE"""),6.8)</f>
        <v>6.8</v>
      </c>
      <c r="L51" s="24">
        <f>IFERROR(__xludf.DUMMYFUNCTION("""COMPUTED_VALUE"""),5.0)</f>
        <v>5</v>
      </c>
      <c r="M51" s="25" t="str">
        <f>IFERROR(__xludf.DUMMYFUNCTION("""COMPUTED_VALUE"""),"RPG")</f>
        <v>RPG</v>
      </c>
      <c r="N51" s="25"/>
      <c r="O51" s="25" t="str">
        <f>IFERROR(__xludf.DUMMYFUNCTION("""COMPUTED_VALUE"""),"Yes")</f>
        <v>Yes</v>
      </c>
      <c r="P51" s="26"/>
    </row>
    <row r="52">
      <c r="A52" s="13" t="str">
        <f>IFERROR(__xludf.DUMMYFUNCTION("""COMPUTED_VALUE"""),"FAR: Changing Tides")</f>
        <v>FAR: Changing Tides</v>
      </c>
      <c r="B52" s="15" t="str">
        <f>IFERROR(__xludf.DUMMYFUNCTION("""COMPUTED_VALUE"""),"PS5/PS4")</f>
        <v>PS5/PS4</v>
      </c>
      <c r="C52" s="16" t="str">
        <f>IFERROR(__xludf.DUMMYFUNCTION("""COMPUTED_VALUE"""),"Extra")</f>
        <v>Extra</v>
      </c>
      <c r="D52" s="15" t="str">
        <f>IFERROR(__xludf.DUMMYFUNCTION("""COMPUTED_VALUE"""),"Active")</f>
        <v>Active</v>
      </c>
      <c r="E52" s="17">
        <f>IFERROR(__xludf.DUMMYFUNCTION("""COMPUTED_VALUE"""),45216.0)</f>
        <v>45216</v>
      </c>
      <c r="F52" s="54"/>
      <c r="G52" s="19">
        <f>IFERROR(__xludf.DUMMYFUNCTION("""COMPUTED_VALUE"""),35.63333333333333)</f>
        <v>35.63333333</v>
      </c>
      <c r="H52" s="17">
        <f>IFERROR(__xludf.DUMMYFUNCTION("""COMPUTED_VALUE"""),44621.0)</f>
        <v>44621</v>
      </c>
      <c r="I52" s="19">
        <f>IFERROR(__xludf.DUMMYFUNCTION("""COMPUTED_VALUE"""),1.6277777777777778)</f>
        <v>1.627777778</v>
      </c>
      <c r="J52" s="21">
        <f>IFERROR(__xludf.DUMMYFUNCTION("""COMPUTED_VALUE"""),81.0)</f>
        <v>81</v>
      </c>
      <c r="K52" s="23">
        <f>IFERROR(__xludf.DUMMYFUNCTION("""COMPUTED_VALUE"""),6.9)</f>
        <v>6.9</v>
      </c>
      <c r="L52" s="24">
        <f>IFERROR(__xludf.DUMMYFUNCTION("""COMPUTED_VALUE"""),6.0)</f>
        <v>6</v>
      </c>
      <c r="M52" s="25" t="str">
        <f>IFERROR(__xludf.DUMMYFUNCTION("""COMPUTED_VALUE"""),"Action-Adventure")</f>
        <v>Action-Adventure</v>
      </c>
      <c r="N52" s="25"/>
      <c r="O52" s="25" t="str">
        <f>IFERROR(__xludf.DUMMYFUNCTION("""COMPUTED_VALUE"""),"Yes")</f>
        <v>Yes</v>
      </c>
      <c r="P52" s="26"/>
    </row>
    <row r="53">
      <c r="A53" s="13" t="str">
        <f>IFERROR(__xludf.DUMMYFUNCTION("""COMPUTED_VALUE"""),"Ape Escape Academy")</f>
        <v>Ape Escape Academy</v>
      </c>
      <c r="B53" s="15" t="str">
        <f>IFERROR(__xludf.DUMMYFUNCTION("""COMPUTED_VALUE"""),"PS5/PS4")</f>
        <v>PS5/PS4</v>
      </c>
      <c r="C53" s="16" t="str">
        <f>IFERROR(__xludf.DUMMYFUNCTION("""COMPUTED_VALUE"""),"Premium (Classics)")</f>
        <v>Premium (Classics)</v>
      </c>
      <c r="D53" s="15" t="str">
        <f>IFERROR(__xludf.DUMMYFUNCTION("""COMPUTED_VALUE"""),"Active")</f>
        <v>Active</v>
      </c>
      <c r="E53" s="17">
        <f>IFERROR(__xludf.DUMMYFUNCTION("""COMPUTED_VALUE"""),45216.0)</f>
        <v>45216</v>
      </c>
      <c r="F53" s="54"/>
      <c r="G53" s="19">
        <f>IFERROR(__xludf.DUMMYFUNCTION("""COMPUTED_VALUE"""),35.63333333333333)</f>
        <v>35.63333333</v>
      </c>
      <c r="H53" s="17">
        <f>IFERROR(__xludf.DUMMYFUNCTION("""COMPUTED_VALUE"""),38734.0)</f>
        <v>38734</v>
      </c>
      <c r="I53" s="19">
        <f>IFERROR(__xludf.DUMMYFUNCTION("""COMPUTED_VALUE"""),17.75)</f>
        <v>17.75</v>
      </c>
      <c r="J53" s="21">
        <f>IFERROR(__xludf.DUMMYFUNCTION("""COMPUTED_VALUE"""),51.0)</f>
        <v>51</v>
      </c>
      <c r="K53" s="23">
        <f>IFERROR(__xludf.DUMMYFUNCTION("""COMPUTED_VALUE"""),5.7)</f>
        <v>5.7</v>
      </c>
      <c r="L53" s="24">
        <f>IFERROR(__xludf.DUMMYFUNCTION("""COMPUTED_VALUE"""),3.0)</f>
        <v>3</v>
      </c>
      <c r="M53" s="25" t="str">
        <f>IFERROR(__xludf.DUMMYFUNCTION("""COMPUTED_VALUE"""),"Party")</f>
        <v>Party</v>
      </c>
      <c r="N53" s="25" t="str">
        <f>IFERROR(__xludf.DUMMYFUNCTION("""COMPUTED_VALUE"""),"PSP")</f>
        <v>PSP</v>
      </c>
      <c r="O53" s="25" t="str">
        <f>IFERROR(__xludf.DUMMYFUNCTION("""COMPUTED_VALUE"""),"Yes")</f>
        <v>Yes</v>
      </c>
      <c r="P53" s="26"/>
    </row>
    <row r="54">
      <c r="A54" s="13" t="str">
        <f>IFERROR(__xludf.DUMMYFUNCTION("""COMPUTED_VALUE"""),"IQ Final")</f>
        <v>IQ Final</v>
      </c>
      <c r="B54" s="15" t="str">
        <f>IFERROR(__xludf.DUMMYFUNCTION("""COMPUTED_VALUE"""),"PS5/PS4")</f>
        <v>PS5/PS4</v>
      </c>
      <c r="C54" s="16" t="str">
        <f>IFERROR(__xludf.DUMMYFUNCTION("""COMPUTED_VALUE"""),"Premium (Classics)")</f>
        <v>Premium (Classics)</v>
      </c>
      <c r="D54" s="15" t="str">
        <f>IFERROR(__xludf.DUMMYFUNCTION("""COMPUTED_VALUE"""),"Active")</f>
        <v>Active</v>
      </c>
      <c r="E54" s="17">
        <f>IFERROR(__xludf.DUMMYFUNCTION("""COMPUTED_VALUE"""),45216.0)</f>
        <v>45216</v>
      </c>
      <c r="F54" s="54"/>
      <c r="G54" s="19">
        <f>IFERROR(__xludf.DUMMYFUNCTION("""COMPUTED_VALUE"""),35.63333333333333)</f>
        <v>35.63333333</v>
      </c>
      <c r="H54" s="17">
        <f>IFERROR(__xludf.DUMMYFUNCTION("""COMPUTED_VALUE"""),36152.0)</f>
        <v>36152</v>
      </c>
      <c r="I54" s="19">
        <f>IFERROR(__xludf.DUMMYFUNCTION("""COMPUTED_VALUE"""),24.816666666666666)</f>
        <v>24.81666667</v>
      </c>
      <c r="J54" s="21"/>
      <c r="K54" s="23"/>
      <c r="L54" s="24">
        <f>IFERROR(__xludf.DUMMYFUNCTION("""COMPUTED_VALUE"""),2.0)</f>
        <v>2</v>
      </c>
      <c r="M54" s="25" t="str">
        <f>IFERROR(__xludf.DUMMYFUNCTION("""COMPUTED_VALUE"""),"Puzzle")</f>
        <v>Puzzle</v>
      </c>
      <c r="N54" s="25" t="str">
        <f>IFERROR(__xludf.DUMMYFUNCTION("""COMPUTED_VALUE"""),"PSP")</f>
        <v>PSP</v>
      </c>
      <c r="O54" s="25" t="str">
        <f>IFERROR(__xludf.DUMMYFUNCTION("""COMPUTED_VALUE"""),"No")</f>
        <v>No</v>
      </c>
      <c r="P54" s="26"/>
    </row>
    <row r="55">
      <c r="A55" s="13" t="str">
        <f>IFERROR(__xludf.DUMMYFUNCTION("""COMPUTED_VALUE"""),"Soulcalibur: Broken Destiny")</f>
        <v>Soulcalibur: Broken Destiny</v>
      </c>
      <c r="B55" s="15" t="str">
        <f>IFERROR(__xludf.DUMMYFUNCTION("""COMPUTED_VALUE"""),"PS5/PS4")</f>
        <v>PS5/PS4</v>
      </c>
      <c r="C55" s="16" t="str">
        <f>IFERROR(__xludf.DUMMYFUNCTION("""COMPUTED_VALUE"""),"Premium (Classics)")</f>
        <v>Premium (Classics)</v>
      </c>
      <c r="D55" s="15" t="str">
        <f>IFERROR(__xludf.DUMMYFUNCTION("""COMPUTED_VALUE"""),"Active")</f>
        <v>Active</v>
      </c>
      <c r="E55" s="17">
        <f>IFERROR(__xludf.DUMMYFUNCTION("""COMPUTED_VALUE"""),45216.0)</f>
        <v>45216</v>
      </c>
      <c r="F55" s="54"/>
      <c r="G55" s="19">
        <f>IFERROR(__xludf.DUMMYFUNCTION("""COMPUTED_VALUE"""),35.63333333333333)</f>
        <v>35.63333333</v>
      </c>
      <c r="H55" s="17">
        <f>IFERROR(__xludf.DUMMYFUNCTION("""COMPUTED_VALUE"""),40057.0)</f>
        <v>40057</v>
      </c>
      <c r="I55" s="19">
        <f>IFERROR(__xludf.DUMMYFUNCTION("""COMPUTED_VALUE"""),14.127777777777778)</f>
        <v>14.12777778</v>
      </c>
      <c r="J55" s="21">
        <f>IFERROR(__xludf.DUMMYFUNCTION("""COMPUTED_VALUE"""),80.0)</f>
        <v>80</v>
      </c>
      <c r="K55" s="23">
        <f>IFERROR(__xludf.DUMMYFUNCTION("""COMPUTED_VALUE"""),7.0)</f>
        <v>7</v>
      </c>
      <c r="L55" s="24">
        <f>IFERROR(__xludf.DUMMYFUNCTION("""COMPUTED_VALUE"""),4.0)</f>
        <v>4</v>
      </c>
      <c r="M55" s="25" t="str">
        <f>IFERROR(__xludf.DUMMYFUNCTION("""COMPUTED_VALUE"""),"Fighting")</f>
        <v>Fighting</v>
      </c>
      <c r="N55" s="25" t="str">
        <f>IFERROR(__xludf.DUMMYFUNCTION("""COMPUTED_VALUE"""),"PSP")</f>
        <v>PSP</v>
      </c>
      <c r="O55" s="25" t="str">
        <f>IFERROR(__xludf.DUMMYFUNCTION("""COMPUTED_VALUE"""),"Yes")</f>
        <v>Yes</v>
      </c>
      <c r="P55" s="26"/>
    </row>
    <row r="56">
      <c r="A56" s="13" t="str">
        <f>IFERROR(__xludf.DUMMYFUNCTION("""COMPUTED_VALUE"""),"Tekken 6")</f>
        <v>Tekken 6</v>
      </c>
      <c r="B56" s="15" t="str">
        <f>IFERROR(__xludf.DUMMYFUNCTION("""COMPUTED_VALUE"""),"PS5/PS4")</f>
        <v>PS5/PS4</v>
      </c>
      <c r="C56" s="16" t="str">
        <f>IFERROR(__xludf.DUMMYFUNCTION("""COMPUTED_VALUE"""),"Premium (Classics)")</f>
        <v>Premium (Classics)</v>
      </c>
      <c r="D56" s="15" t="str">
        <f>IFERROR(__xludf.DUMMYFUNCTION("""COMPUTED_VALUE"""),"Active")</f>
        <v>Active</v>
      </c>
      <c r="E56" s="17">
        <f>IFERROR(__xludf.DUMMYFUNCTION("""COMPUTED_VALUE"""),45216.0)</f>
        <v>45216</v>
      </c>
      <c r="F56" s="54"/>
      <c r="G56" s="19">
        <f>IFERROR(__xludf.DUMMYFUNCTION("""COMPUTED_VALUE"""),35.63333333333333)</f>
        <v>35.63333333</v>
      </c>
      <c r="H56" s="17">
        <f>IFERROR(__xludf.DUMMYFUNCTION("""COMPUTED_VALUE"""),40113.0)</f>
        <v>40113</v>
      </c>
      <c r="I56" s="19">
        <f>IFERROR(__xludf.DUMMYFUNCTION("""COMPUTED_VALUE"""),13.972222222222221)</f>
        <v>13.97222222</v>
      </c>
      <c r="J56" s="21">
        <f>IFERROR(__xludf.DUMMYFUNCTION("""COMPUTED_VALUE"""),82.0)</f>
        <v>82</v>
      </c>
      <c r="K56" s="23">
        <f>IFERROR(__xludf.DUMMYFUNCTION("""COMPUTED_VALUE"""),7.5)</f>
        <v>7.5</v>
      </c>
      <c r="L56" s="24">
        <f>IFERROR(__xludf.DUMMYFUNCTION("""COMPUTED_VALUE"""),8.0)</f>
        <v>8</v>
      </c>
      <c r="M56" s="25" t="str">
        <f>IFERROR(__xludf.DUMMYFUNCTION("""COMPUTED_VALUE"""),"Fighting")</f>
        <v>Fighting</v>
      </c>
      <c r="N56" s="25" t="str">
        <f>IFERROR(__xludf.DUMMYFUNCTION("""COMPUTED_VALUE"""),"PSP")</f>
        <v>PSP</v>
      </c>
      <c r="O56" s="25" t="str">
        <f>IFERROR(__xludf.DUMMYFUNCTION("""COMPUTED_VALUE"""),"Yes")</f>
        <v>Yes</v>
      </c>
      <c r="P56" s="26"/>
    </row>
    <row r="57">
      <c r="A57" s="13" t="str">
        <f>IFERROR(__xludf.DUMMYFUNCTION("""COMPUTED_VALUE"""),"This War of Mine: Final Cut")</f>
        <v>This War of Mine: Final Cut</v>
      </c>
      <c r="B57" s="15" t="str">
        <f>IFERROR(__xludf.DUMMYFUNCTION("""COMPUTED_VALUE"""),"PS5")</f>
        <v>PS5</v>
      </c>
      <c r="C57" s="16" t="str">
        <f>IFERROR(__xludf.DUMMYFUNCTION("""COMPUTED_VALUE"""),"Extra")</f>
        <v>Extra</v>
      </c>
      <c r="D57" s="15" t="str">
        <f>IFERROR(__xludf.DUMMYFUNCTION("""COMPUTED_VALUE"""),"Active")</f>
        <v>Active</v>
      </c>
      <c r="E57" s="17">
        <f>IFERROR(__xludf.DUMMYFUNCTION("""COMPUTED_VALUE"""),45188.0)</f>
        <v>45188</v>
      </c>
      <c r="F57" s="54"/>
      <c r="G57" s="19">
        <f>IFERROR(__xludf.DUMMYFUNCTION("""COMPUTED_VALUE"""),36.56666666666666)</f>
        <v>36.56666667</v>
      </c>
      <c r="H57" s="17">
        <f>IFERROR(__xludf.DUMMYFUNCTION("""COMPUTED_VALUE"""),44691.0)</f>
        <v>44691</v>
      </c>
      <c r="I57" s="19">
        <f>IFERROR(__xludf.DUMMYFUNCTION("""COMPUTED_VALUE"""),1.3583333333333334)</f>
        <v>1.358333333</v>
      </c>
      <c r="J57" s="21">
        <f>IFERROR(__xludf.DUMMYFUNCTION("""COMPUTED_VALUE"""),82.0)</f>
        <v>82</v>
      </c>
      <c r="K57" s="23">
        <f>IFERROR(__xludf.DUMMYFUNCTION("""COMPUTED_VALUE"""),6.3)</f>
        <v>6.3</v>
      </c>
      <c r="L57" s="24">
        <f>IFERROR(__xludf.DUMMYFUNCTION("""COMPUTED_VALUE"""),11.0)</f>
        <v>11</v>
      </c>
      <c r="M57" s="25" t="str">
        <f>IFERROR(__xludf.DUMMYFUNCTION("""COMPUTED_VALUE"""),"Survival")</f>
        <v>Survival</v>
      </c>
      <c r="N57" s="25"/>
      <c r="O57" s="25" t="str">
        <f>IFERROR(__xludf.DUMMYFUNCTION("""COMPUTED_VALUE"""),"Portal (PS5 + Premium)")</f>
        <v>Portal (PS5 + Premium)</v>
      </c>
      <c r="P57" s="26"/>
    </row>
    <row r="58">
      <c r="A58" s="13" t="str">
        <f>IFERROR(__xludf.DUMMYFUNCTION("""COMPUTED_VALUE"""),"Contra: Rogue Corps")</f>
        <v>Contra: Rogue Corps</v>
      </c>
      <c r="B58" s="15" t="str">
        <f>IFERROR(__xludf.DUMMYFUNCTION("""COMPUTED_VALUE"""),"PS4")</f>
        <v>PS4</v>
      </c>
      <c r="C58" s="16" t="str">
        <f>IFERROR(__xludf.DUMMYFUNCTION("""COMPUTED_VALUE"""),"Extra")</f>
        <v>Extra</v>
      </c>
      <c r="D58" s="15" t="str">
        <f>IFERROR(__xludf.DUMMYFUNCTION("""COMPUTED_VALUE"""),"Active")</f>
        <v>Active</v>
      </c>
      <c r="E58" s="17">
        <f>IFERROR(__xludf.DUMMYFUNCTION("""COMPUTED_VALUE"""),45188.0)</f>
        <v>45188</v>
      </c>
      <c r="F58" s="54"/>
      <c r="G58" s="19">
        <f>IFERROR(__xludf.DUMMYFUNCTION("""COMPUTED_VALUE"""),36.56666666666666)</f>
        <v>36.56666667</v>
      </c>
      <c r="H58" s="17">
        <f>IFERROR(__xludf.DUMMYFUNCTION("""COMPUTED_VALUE"""),43732.0)</f>
        <v>43732</v>
      </c>
      <c r="I58" s="19">
        <f>IFERROR(__xludf.DUMMYFUNCTION("""COMPUTED_VALUE"""),3.986111111111111)</f>
        <v>3.986111111</v>
      </c>
      <c r="J58" s="21">
        <f>IFERROR(__xludf.DUMMYFUNCTION("""COMPUTED_VALUE"""),52.0)</f>
        <v>52</v>
      </c>
      <c r="K58" s="23">
        <f>IFERROR(__xludf.DUMMYFUNCTION("""COMPUTED_VALUE"""),4.0)</f>
        <v>4</v>
      </c>
      <c r="L58" s="24">
        <f>IFERROR(__xludf.DUMMYFUNCTION("""COMPUTED_VALUE"""),16.0)</f>
        <v>16</v>
      </c>
      <c r="M58" s="25" t="str">
        <f>IFERROR(__xludf.DUMMYFUNCTION("""COMPUTED_VALUE"""),"Action-Adventure")</f>
        <v>Action-Adventure</v>
      </c>
      <c r="N58" s="25"/>
      <c r="O58" s="25" t="str">
        <f>IFERROR(__xludf.DUMMYFUNCTION("""COMPUTED_VALUE"""),"Yes")</f>
        <v>Yes</v>
      </c>
      <c r="P58" s="26"/>
    </row>
    <row r="59">
      <c r="A59" s="13" t="str">
        <f>IFERROR(__xludf.DUMMYFUNCTION("""COMPUTED_VALUE"""),"West of Dead")</f>
        <v>West of Dead</v>
      </c>
      <c r="B59" s="15" t="str">
        <f>IFERROR(__xludf.DUMMYFUNCTION("""COMPUTED_VALUE"""),"PS4")</f>
        <v>PS4</v>
      </c>
      <c r="C59" s="16" t="str">
        <f>IFERROR(__xludf.DUMMYFUNCTION("""COMPUTED_VALUE"""),"Extra")</f>
        <v>Extra</v>
      </c>
      <c r="D59" s="15" t="str">
        <f>IFERROR(__xludf.DUMMYFUNCTION("""COMPUTED_VALUE"""),"Active")</f>
        <v>Active</v>
      </c>
      <c r="E59" s="17">
        <f>IFERROR(__xludf.DUMMYFUNCTION("""COMPUTED_VALUE"""),45188.0)</f>
        <v>45188</v>
      </c>
      <c r="F59" s="54"/>
      <c r="G59" s="19">
        <f>IFERROR(__xludf.DUMMYFUNCTION("""COMPUTED_VALUE"""),36.56666666666666)</f>
        <v>36.56666667</v>
      </c>
      <c r="H59" s="17">
        <f>IFERROR(__xludf.DUMMYFUNCTION("""COMPUTED_VALUE"""),44000.0)</f>
        <v>44000</v>
      </c>
      <c r="I59" s="19">
        <f>IFERROR(__xludf.DUMMYFUNCTION("""COMPUTED_VALUE"""),3.2527777777777778)</f>
        <v>3.252777778</v>
      </c>
      <c r="J59" s="21">
        <f>IFERROR(__xludf.DUMMYFUNCTION("""COMPUTED_VALUE"""),63.0)</f>
        <v>63</v>
      </c>
      <c r="K59" s="23">
        <f>IFERROR(__xludf.DUMMYFUNCTION("""COMPUTED_VALUE"""),6.1)</f>
        <v>6.1</v>
      </c>
      <c r="L59" s="24">
        <f>IFERROR(__xludf.DUMMYFUNCTION("""COMPUTED_VALUE"""),9.0)</f>
        <v>9</v>
      </c>
      <c r="M59" s="25" t="str">
        <f>IFERROR(__xludf.DUMMYFUNCTION("""COMPUTED_VALUE"""),"Action-Adventure")</f>
        <v>Action-Adventure</v>
      </c>
      <c r="N59" s="25"/>
      <c r="O59" s="25" t="str">
        <f>IFERROR(__xludf.DUMMYFUNCTION("""COMPUTED_VALUE"""),"Yes")</f>
        <v>Yes</v>
      </c>
      <c r="P59" s="26"/>
    </row>
    <row r="60">
      <c r="A60" s="13" t="str">
        <f>IFERROR(__xludf.DUMMYFUNCTION("""COMPUTED_VALUE"""),"Call of the Sea")</f>
        <v>Call of the Sea</v>
      </c>
      <c r="B60" s="15" t="str">
        <f>IFERROR(__xludf.DUMMYFUNCTION("""COMPUTED_VALUE"""),"PS5/PS4")</f>
        <v>PS5/PS4</v>
      </c>
      <c r="C60" s="16" t="str">
        <f>IFERROR(__xludf.DUMMYFUNCTION("""COMPUTED_VALUE"""),"Extra")</f>
        <v>Extra</v>
      </c>
      <c r="D60" s="15" t="str">
        <f>IFERROR(__xludf.DUMMYFUNCTION("""COMPUTED_VALUE"""),"Active")</f>
        <v>Active</v>
      </c>
      <c r="E60" s="17">
        <f>IFERROR(__xludf.DUMMYFUNCTION("""COMPUTED_VALUE"""),45188.0)</f>
        <v>45188</v>
      </c>
      <c r="F60" s="54"/>
      <c r="G60" s="19">
        <f>IFERROR(__xludf.DUMMYFUNCTION("""COMPUTED_VALUE"""),36.56666666666666)</f>
        <v>36.56666667</v>
      </c>
      <c r="H60" s="17">
        <f>IFERROR(__xludf.DUMMYFUNCTION("""COMPUTED_VALUE"""),44173.0)</f>
        <v>44173</v>
      </c>
      <c r="I60" s="19">
        <f>IFERROR(__xludf.DUMMYFUNCTION("""COMPUTED_VALUE"""),2.7805555555555554)</f>
        <v>2.780555556</v>
      </c>
      <c r="J60" s="21">
        <f>IFERROR(__xludf.DUMMYFUNCTION("""COMPUTED_VALUE"""),73.0)</f>
        <v>73</v>
      </c>
      <c r="K60" s="23">
        <f>IFERROR(__xludf.DUMMYFUNCTION("""COMPUTED_VALUE"""),7.3)</f>
        <v>7.3</v>
      </c>
      <c r="L60" s="24">
        <f>IFERROR(__xludf.DUMMYFUNCTION("""COMPUTED_VALUE"""),6.0)</f>
        <v>6</v>
      </c>
      <c r="M60" s="25" t="str">
        <f>IFERROR(__xludf.DUMMYFUNCTION("""COMPUTED_VALUE"""),"Action-Adventure")</f>
        <v>Action-Adventure</v>
      </c>
      <c r="N60" s="25"/>
      <c r="O60" s="25" t="str">
        <f>IFERROR(__xludf.DUMMYFUNCTION("""COMPUTED_VALUE"""),"Yes")</f>
        <v>Yes</v>
      </c>
      <c r="P60" s="26"/>
    </row>
    <row r="61">
      <c r="A61" s="13" t="str">
        <f>IFERROR(__xludf.DUMMYFUNCTION("""COMPUTED_VALUE"""),"PAW Patrol The Movie: Adventure City Calls")</f>
        <v>PAW Patrol The Movie: Adventure City Calls</v>
      </c>
      <c r="B61" s="15" t="str">
        <f>IFERROR(__xludf.DUMMYFUNCTION("""COMPUTED_VALUE"""),"PS5/PS4")</f>
        <v>PS5/PS4</v>
      </c>
      <c r="C61" s="16" t="str">
        <f>IFERROR(__xludf.DUMMYFUNCTION("""COMPUTED_VALUE"""),"Extra")</f>
        <v>Extra</v>
      </c>
      <c r="D61" s="15" t="str">
        <f>IFERROR(__xludf.DUMMYFUNCTION("""COMPUTED_VALUE"""),"Active")</f>
        <v>Active</v>
      </c>
      <c r="E61" s="17">
        <f>IFERROR(__xludf.DUMMYFUNCTION("""COMPUTED_VALUE"""),45188.0)</f>
        <v>45188</v>
      </c>
      <c r="F61" s="54"/>
      <c r="G61" s="19">
        <f>IFERROR(__xludf.DUMMYFUNCTION("""COMPUTED_VALUE"""),36.56666666666666)</f>
        <v>36.56666667</v>
      </c>
      <c r="H61" s="17">
        <f>IFERROR(__xludf.DUMMYFUNCTION("""COMPUTED_VALUE"""),44421.0)</f>
        <v>44421</v>
      </c>
      <c r="I61" s="19">
        <f>IFERROR(__xludf.DUMMYFUNCTION("""COMPUTED_VALUE"""),2.1)</f>
        <v>2.1</v>
      </c>
      <c r="J61" s="21">
        <f>IFERROR(__xludf.DUMMYFUNCTION("""COMPUTED_VALUE"""),65.0)</f>
        <v>65</v>
      </c>
      <c r="K61" s="23">
        <f>IFERROR(__xludf.DUMMYFUNCTION("""COMPUTED_VALUE"""),4.0)</f>
        <v>4</v>
      </c>
      <c r="L61" s="24">
        <f>IFERROR(__xludf.DUMMYFUNCTION("""COMPUTED_VALUE"""),2.0)</f>
        <v>2</v>
      </c>
      <c r="M61" s="25" t="str">
        <f>IFERROR(__xludf.DUMMYFUNCTION("""COMPUTED_VALUE"""),"Action-Adventure")</f>
        <v>Action-Adventure</v>
      </c>
      <c r="N61" s="25"/>
      <c r="O61" s="25" t="str">
        <f>IFERROR(__xludf.DUMMYFUNCTION("""COMPUTED_VALUE"""),"Yes")</f>
        <v>Yes</v>
      </c>
      <c r="P61" s="26"/>
    </row>
    <row r="62">
      <c r="A62" s="13" t="str">
        <f>IFERROR(__xludf.DUMMYFUNCTION("""COMPUTED_VALUE"""),"Tails Noir")</f>
        <v>Tails Noir</v>
      </c>
      <c r="B62" s="15" t="str">
        <f>IFERROR(__xludf.DUMMYFUNCTION("""COMPUTED_VALUE"""),"PS5/PS4")</f>
        <v>PS5/PS4</v>
      </c>
      <c r="C62" s="16" t="str">
        <f>IFERROR(__xludf.DUMMYFUNCTION("""COMPUTED_VALUE"""),"Extra")</f>
        <v>Extra</v>
      </c>
      <c r="D62" s="15" t="str">
        <f>IFERROR(__xludf.DUMMYFUNCTION("""COMPUTED_VALUE"""),"Active")</f>
        <v>Active</v>
      </c>
      <c r="E62" s="17">
        <f>IFERROR(__xludf.DUMMYFUNCTION("""COMPUTED_VALUE"""),45188.0)</f>
        <v>45188</v>
      </c>
      <c r="F62" s="54"/>
      <c r="G62" s="19">
        <f>IFERROR(__xludf.DUMMYFUNCTION("""COMPUTED_VALUE"""),36.56666666666666)</f>
        <v>36.56666667</v>
      </c>
      <c r="H62" s="17">
        <f>IFERROR(__xludf.DUMMYFUNCTION("""COMPUTED_VALUE"""),44263.0)</f>
        <v>44263</v>
      </c>
      <c r="I62" s="19">
        <f>IFERROR(__xludf.DUMMYFUNCTION("""COMPUTED_VALUE"""),2.5305555555555554)</f>
        <v>2.530555556</v>
      </c>
      <c r="J62" s="21">
        <f>IFERROR(__xludf.DUMMYFUNCTION("""COMPUTED_VALUE"""),70.0)</f>
        <v>70</v>
      </c>
      <c r="K62" s="23">
        <f>IFERROR(__xludf.DUMMYFUNCTION("""COMPUTED_VALUE"""),7.0)</f>
        <v>7</v>
      </c>
      <c r="L62" s="24">
        <f>IFERROR(__xludf.DUMMYFUNCTION("""COMPUTED_VALUE"""),6.0)</f>
        <v>6</v>
      </c>
      <c r="M62" s="25" t="str">
        <f>IFERROR(__xludf.DUMMYFUNCTION("""COMPUTED_VALUE"""),"Adventure")</f>
        <v>Adventure</v>
      </c>
      <c r="N62" s="25"/>
      <c r="O62" s="25" t="str">
        <f>IFERROR(__xludf.DUMMYFUNCTION("""COMPUTED_VALUE"""),"Yes")</f>
        <v>Yes</v>
      </c>
      <c r="P62" s="26"/>
    </row>
    <row r="63">
      <c r="A63" s="13" t="str">
        <f>IFERROR(__xludf.DUMMYFUNCTION("""COMPUTED_VALUE"""),"Ys VIII: Lacrimosa of DANA")</f>
        <v>Ys VIII: Lacrimosa of DANA</v>
      </c>
      <c r="B63" s="15" t="str">
        <f>IFERROR(__xludf.DUMMYFUNCTION("""COMPUTED_VALUE"""),"PS5/PS4")</f>
        <v>PS5/PS4</v>
      </c>
      <c r="C63" s="16" t="str">
        <f>IFERROR(__xludf.DUMMYFUNCTION("""COMPUTED_VALUE"""),"Extra")</f>
        <v>Extra</v>
      </c>
      <c r="D63" s="15" t="str">
        <f>IFERROR(__xludf.DUMMYFUNCTION("""COMPUTED_VALUE"""),"Active")</f>
        <v>Active</v>
      </c>
      <c r="E63" s="17">
        <f>IFERROR(__xludf.DUMMYFUNCTION("""COMPUTED_VALUE"""),44880.0)</f>
        <v>44880</v>
      </c>
      <c r="F63" s="54"/>
      <c r="G63" s="19">
        <f>IFERROR(__xludf.DUMMYFUNCTION("""COMPUTED_VALUE"""),46.7)</f>
        <v>46.7</v>
      </c>
      <c r="H63" s="17">
        <f>IFERROR(__xludf.DUMMYFUNCTION("""COMPUTED_VALUE"""),42572.0)</f>
        <v>42572</v>
      </c>
      <c r="I63" s="19">
        <f>IFERROR(__xludf.DUMMYFUNCTION("""COMPUTED_VALUE"""),6.316666666666666)</f>
        <v>6.316666667</v>
      </c>
      <c r="J63" s="21">
        <f>IFERROR(__xludf.DUMMYFUNCTION("""COMPUTED_VALUE"""),85.0)</f>
        <v>85</v>
      </c>
      <c r="K63" s="23">
        <f>IFERROR(__xludf.DUMMYFUNCTION("""COMPUTED_VALUE"""),8.6)</f>
        <v>8.6</v>
      </c>
      <c r="L63" s="24">
        <f>IFERROR(__xludf.DUMMYFUNCTION("""COMPUTED_VALUE"""),37.0)</f>
        <v>37</v>
      </c>
      <c r="M63" s="25" t="str">
        <f>IFERROR(__xludf.DUMMYFUNCTION("""COMPUTED_VALUE"""),"RPG")</f>
        <v>RPG</v>
      </c>
      <c r="N63" s="25"/>
      <c r="O63" s="25" t="str">
        <f>IFERROR(__xludf.DUMMYFUNCTION("""COMPUTED_VALUE"""),"No")</f>
        <v>No</v>
      </c>
      <c r="P63" s="26"/>
    </row>
    <row r="64">
      <c r="A64" s="13" t="str">
        <f>IFERROR(__xludf.DUMMYFUNCTION("""COMPUTED_VALUE"""),"Oddworld: Soulstorm: Enhanced Edition")</f>
        <v>Oddworld: Soulstorm: Enhanced Edition</v>
      </c>
      <c r="B64" s="15" t="str">
        <f>IFERROR(__xludf.DUMMYFUNCTION("""COMPUTED_VALUE"""),"PS5/PS4")</f>
        <v>PS5/PS4</v>
      </c>
      <c r="C64" s="16" t="str">
        <f>IFERROR(__xludf.DUMMYFUNCTION("""COMPUTED_VALUE"""),"Extra")</f>
        <v>Extra</v>
      </c>
      <c r="D64" s="15" t="str">
        <f>IFERROR(__xludf.DUMMYFUNCTION("""COMPUTED_VALUE"""),"Active")</f>
        <v>Active</v>
      </c>
      <c r="E64" s="17">
        <f>IFERROR(__xludf.DUMMYFUNCTION("""COMPUTED_VALUE"""),44880.0)</f>
        <v>44880</v>
      </c>
      <c r="F64" s="54"/>
      <c r="G64" s="19">
        <f>IFERROR(__xludf.DUMMYFUNCTION("""COMPUTED_VALUE"""),46.7)</f>
        <v>46.7</v>
      </c>
      <c r="H64" s="17">
        <f>IFERROR(__xludf.DUMMYFUNCTION("""COMPUTED_VALUE"""),44292.0)</f>
        <v>44292</v>
      </c>
      <c r="I64" s="19">
        <f>IFERROR(__xludf.DUMMYFUNCTION("""COMPUTED_VALUE"""),1.6083333333333334)</f>
        <v>1.608333333</v>
      </c>
      <c r="J64" s="21">
        <f>IFERROR(__xludf.DUMMYFUNCTION("""COMPUTED_VALUE"""),80.0)</f>
        <v>80</v>
      </c>
      <c r="K64" s="23">
        <f>IFERROR(__xludf.DUMMYFUNCTION("""COMPUTED_VALUE"""),5.5)</f>
        <v>5.5</v>
      </c>
      <c r="L64" s="24">
        <f>IFERROR(__xludf.DUMMYFUNCTION("""COMPUTED_VALUE"""),18.5)</f>
        <v>18.5</v>
      </c>
      <c r="M64" s="25" t="str">
        <f>IFERROR(__xludf.DUMMYFUNCTION("""COMPUTED_VALUE"""),"Platformer")</f>
        <v>Platformer</v>
      </c>
      <c r="N64" s="25"/>
      <c r="O64" s="25" t="str">
        <f>IFERROR(__xludf.DUMMYFUNCTION("""COMPUTED_VALUE"""),"Yes")</f>
        <v>Yes</v>
      </c>
      <c r="P64" s="26"/>
    </row>
    <row r="65">
      <c r="A65" s="13" t="str">
        <f>IFERROR(__xludf.DUMMYFUNCTION("""COMPUTED_VALUE"""),"The Elder Scrolls V: Skyrim - Special Edition")</f>
        <v>The Elder Scrolls V: Skyrim - Special Edition</v>
      </c>
      <c r="B65" s="15" t="str">
        <f>IFERROR(__xludf.DUMMYFUNCTION("""COMPUTED_VALUE"""),"PS5/PS4")</f>
        <v>PS5/PS4</v>
      </c>
      <c r="C65" s="16" t="str">
        <f>IFERROR(__xludf.DUMMYFUNCTION("""COMPUTED_VALUE"""),"Extra")</f>
        <v>Extra</v>
      </c>
      <c r="D65" s="15" t="str">
        <f>IFERROR(__xludf.DUMMYFUNCTION("""COMPUTED_VALUE"""),"Active")</f>
        <v>Active</v>
      </c>
      <c r="E65" s="17">
        <f>IFERROR(__xludf.DUMMYFUNCTION("""COMPUTED_VALUE"""),44880.0)</f>
        <v>44880</v>
      </c>
      <c r="F65" s="54"/>
      <c r="G65" s="19">
        <f>IFERROR(__xludf.DUMMYFUNCTION("""COMPUTED_VALUE"""),46.7)</f>
        <v>46.7</v>
      </c>
      <c r="H65" s="17">
        <f>IFERROR(__xludf.DUMMYFUNCTION("""COMPUTED_VALUE"""),44511.0)</f>
        <v>44511</v>
      </c>
      <c r="I65" s="19">
        <f>IFERROR(__xludf.DUMMYFUNCTION("""COMPUTED_VALUE"""),1.011111111111111)</f>
        <v>1.011111111</v>
      </c>
      <c r="J65" s="21">
        <f>IFERROR(__xludf.DUMMYFUNCTION("""COMPUTED_VALUE"""),81.0)</f>
        <v>81</v>
      </c>
      <c r="K65" s="23">
        <f>IFERROR(__xludf.DUMMYFUNCTION("""COMPUTED_VALUE"""),7.6)</f>
        <v>7.6</v>
      </c>
      <c r="L65" s="24">
        <f>IFERROR(__xludf.DUMMYFUNCTION("""COMPUTED_VALUE"""),25.5)</f>
        <v>25.5</v>
      </c>
      <c r="M65" s="25" t="str">
        <f>IFERROR(__xludf.DUMMYFUNCTION("""COMPUTED_VALUE"""),"RPG")</f>
        <v>RPG</v>
      </c>
      <c r="N65" s="25"/>
      <c r="O65" s="25" t="str">
        <f>IFERROR(__xludf.DUMMYFUNCTION("""COMPUTED_VALUE"""),"Yes")</f>
        <v>Yes</v>
      </c>
      <c r="P65" s="26"/>
    </row>
    <row r="66">
      <c r="A66" s="13" t="str">
        <f>IFERROR(__xludf.DUMMYFUNCTION("""COMPUTED_VALUE"""),"The Gardens Between")</f>
        <v>The Gardens Between</v>
      </c>
      <c r="B66" s="15" t="str">
        <f>IFERROR(__xludf.DUMMYFUNCTION("""COMPUTED_VALUE"""),"PS5/PS4")</f>
        <v>PS5/PS4</v>
      </c>
      <c r="C66" s="16" t="str">
        <f>IFERROR(__xludf.DUMMYFUNCTION("""COMPUTED_VALUE"""),"Extra")</f>
        <v>Extra</v>
      </c>
      <c r="D66" s="15" t="str">
        <f>IFERROR(__xludf.DUMMYFUNCTION("""COMPUTED_VALUE"""),"Active")</f>
        <v>Active</v>
      </c>
      <c r="E66" s="17">
        <f>IFERROR(__xludf.DUMMYFUNCTION("""COMPUTED_VALUE"""),44880.0)</f>
        <v>44880</v>
      </c>
      <c r="F66" s="54"/>
      <c r="G66" s="19">
        <f>IFERROR(__xludf.DUMMYFUNCTION("""COMPUTED_VALUE"""),46.7)</f>
        <v>46.7</v>
      </c>
      <c r="H66" s="17">
        <f>IFERROR(__xludf.DUMMYFUNCTION("""COMPUTED_VALUE"""),43363.0)</f>
        <v>43363</v>
      </c>
      <c r="I66" s="19">
        <f>IFERROR(__xludf.DUMMYFUNCTION("""COMPUTED_VALUE"""),4.152777777777778)</f>
        <v>4.152777778</v>
      </c>
      <c r="J66" s="21">
        <f>IFERROR(__xludf.DUMMYFUNCTION("""COMPUTED_VALUE"""),75.0)</f>
        <v>75</v>
      </c>
      <c r="K66" s="23">
        <f>IFERROR(__xludf.DUMMYFUNCTION("""COMPUTED_VALUE"""),6.1)</f>
        <v>6.1</v>
      </c>
      <c r="L66" s="24">
        <f>IFERROR(__xludf.DUMMYFUNCTION("""COMPUTED_VALUE"""),2.5)</f>
        <v>2.5</v>
      </c>
      <c r="M66" s="25" t="str">
        <f>IFERROR(__xludf.DUMMYFUNCTION("""COMPUTED_VALUE"""),"Action-Adventure")</f>
        <v>Action-Adventure</v>
      </c>
      <c r="N66" s="25"/>
      <c r="O66" s="25" t="str">
        <f>IFERROR(__xludf.DUMMYFUNCTION("""COMPUTED_VALUE"""),"Yes")</f>
        <v>Yes</v>
      </c>
      <c r="P66" s="26"/>
    </row>
    <row r="67">
      <c r="A67" s="13" t="str">
        <f>IFERROR(__xludf.DUMMYFUNCTION("""COMPUTED_VALUE"""),"Earth Defense Force: Iron Rain")</f>
        <v>Earth Defense Force: Iron Rain</v>
      </c>
      <c r="B67" s="15" t="str">
        <f>IFERROR(__xludf.DUMMYFUNCTION("""COMPUTED_VALUE"""),"PS4")</f>
        <v>PS4</v>
      </c>
      <c r="C67" s="16" t="str">
        <f>IFERROR(__xludf.DUMMYFUNCTION("""COMPUTED_VALUE"""),"Extra")</f>
        <v>Extra</v>
      </c>
      <c r="D67" s="15" t="str">
        <f>IFERROR(__xludf.DUMMYFUNCTION("""COMPUTED_VALUE"""),"Active")</f>
        <v>Active</v>
      </c>
      <c r="E67" s="17">
        <f>IFERROR(__xludf.DUMMYFUNCTION("""COMPUTED_VALUE"""),44880.0)</f>
        <v>44880</v>
      </c>
      <c r="F67" s="54"/>
      <c r="G67" s="19">
        <f>IFERROR(__xludf.DUMMYFUNCTION("""COMPUTED_VALUE"""),46.7)</f>
        <v>46.7</v>
      </c>
      <c r="H67" s="17">
        <f>IFERROR(__xludf.DUMMYFUNCTION("""COMPUTED_VALUE"""),43566.0)</f>
        <v>43566</v>
      </c>
      <c r="I67" s="19">
        <f>IFERROR(__xludf.DUMMYFUNCTION("""COMPUTED_VALUE"""),3.5944444444444446)</f>
        <v>3.594444444</v>
      </c>
      <c r="J67" s="21">
        <f>IFERROR(__xludf.DUMMYFUNCTION("""COMPUTED_VALUE"""),69.0)</f>
        <v>69</v>
      </c>
      <c r="K67" s="23">
        <f>IFERROR(__xludf.DUMMYFUNCTION("""COMPUTED_VALUE"""),5.2)</f>
        <v>5.2</v>
      </c>
      <c r="L67" s="24">
        <f>IFERROR(__xludf.DUMMYFUNCTION("""COMPUTED_VALUE"""),9.5)</f>
        <v>9.5</v>
      </c>
      <c r="M67" s="25" t="str">
        <f>IFERROR(__xludf.DUMMYFUNCTION("""COMPUTED_VALUE"""),"Shooter")</f>
        <v>Shooter</v>
      </c>
      <c r="N67" s="25"/>
      <c r="O67" s="25" t="str">
        <f>IFERROR(__xludf.DUMMYFUNCTION("""COMPUTED_VALUE"""),"Yes")</f>
        <v>Yes</v>
      </c>
      <c r="P67" s="26"/>
    </row>
    <row r="68">
      <c r="A68" s="13" t="str">
        <f>IFERROR(__xludf.DUMMYFUNCTION("""COMPUTED_VALUE"""),"Earth Defense Force: World Brothers")</f>
        <v>Earth Defense Force: World Brothers</v>
      </c>
      <c r="B68" s="15" t="str">
        <f>IFERROR(__xludf.DUMMYFUNCTION("""COMPUTED_VALUE"""),"PS4")</f>
        <v>PS4</v>
      </c>
      <c r="C68" s="16" t="str">
        <f>IFERROR(__xludf.DUMMYFUNCTION("""COMPUTED_VALUE"""),"Extra")</f>
        <v>Extra</v>
      </c>
      <c r="D68" s="15" t="str">
        <f>IFERROR(__xludf.DUMMYFUNCTION("""COMPUTED_VALUE"""),"Active")</f>
        <v>Active</v>
      </c>
      <c r="E68" s="17">
        <f>IFERROR(__xludf.DUMMYFUNCTION("""COMPUTED_VALUE"""),44880.0)</f>
        <v>44880</v>
      </c>
      <c r="F68" s="54"/>
      <c r="G68" s="19">
        <f>IFERROR(__xludf.DUMMYFUNCTION("""COMPUTED_VALUE"""),46.7)</f>
        <v>46.7</v>
      </c>
      <c r="H68" s="17">
        <f>IFERROR(__xludf.DUMMYFUNCTION("""COMPUTED_VALUE"""),44098.0)</f>
        <v>44098</v>
      </c>
      <c r="I68" s="19">
        <f>IFERROR(__xludf.DUMMYFUNCTION("""COMPUTED_VALUE"""),2.1416666666666666)</f>
        <v>2.141666667</v>
      </c>
      <c r="J68" s="21">
        <f>IFERROR(__xludf.DUMMYFUNCTION("""COMPUTED_VALUE"""),75.0)</f>
        <v>75</v>
      </c>
      <c r="K68" s="23">
        <f>IFERROR(__xludf.DUMMYFUNCTION("""COMPUTED_VALUE"""),5.0)</f>
        <v>5</v>
      </c>
      <c r="L68" s="24">
        <f>IFERROR(__xludf.DUMMYFUNCTION("""COMPUTED_VALUE"""),12.5)</f>
        <v>12.5</v>
      </c>
      <c r="M68" s="25" t="str">
        <f>IFERROR(__xludf.DUMMYFUNCTION("""COMPUTED_VALUE"""),"Shooter")</f>
        <v>Shooter</v>
      </c>
      <c r="N68" s="25"/>
      <c r="O68" s="25" t="str">
        <f>IFERROR(__xludf.DUMMYFUNCTION("""COMPUTED_VALUE"""),"Yes")</f>
        <v>Yes</v>
      </c>
      <c r="P68" s="26"/>
    </row>
    <row r="69">
      <c r="A69" s="13" t="str">
        <f>IFERROR(__xludf.DUMMYFUNCTION("""COMPUTED_VALUE"""),"Tom Clancy's Rainbow Six Siege")</f>
        <v>Tom Clancy's Rainbow Six Siege</v>
      </c>
      <c r="B69" s="15" t="str">
        <f>IFERROR(__xludf.DUMMYFUNCTION("""COMPUTED_VALUE"""),"PS5/PS4")</f>
        <v>PS5/PS4</v>
      </c>
      <c r="C69" s="16" t="str">
        <f>IFERROR(__xludf.DUMMYFUNCTION("""COMPUTED_VALUE"""),"Extra (Ubisoft+ Classics)")</f>
        <v>Extra (Ubisoft+ Classics)</v>
      </c>
      <c r="D69" s="15" t="str">
        <f>IFERROR(__xludf.DUMMYFUNCTION("""COMPUTED_VALUE"""),"Active")</f>
        <v>Active</v>
      </c>
      <c r="E69" s="17">
        <f>IFERROR(__xludf.DUMMYFUNCTION("""COMPUTED_VALUE"""),44880.0)</f>
        <v>44880</v>
      </c>
      <c r="F69" s="54"/>
      <c r="G69" s="19">
        <f>IFERROR(__xludf.DUMMYFUNCTION("""COMPUTED_VALUE"""),46.7)</f>
        <v>46.7</v>
      </c>
      <c r="H69" s="17">
        <f>IFERROR(__xludf.DUMMYFUNCTION("""COMPUTED_VALUE"""),42339.0)</f>
        <v>42339</v>
      </c>
      <c r="I69" s="19">
        <f>IFERROR(__xludf.DUMMYFUNCTION("""COMPUTED_VALUE"""),6.955555555555556)</f>
        <v>6.955555556</v>
      </c>
      <c r="J69" s="21">
        <f>IFERROR(__xludf.DUMMYFUNCTION("""COMPUTED_VALUE"""),73.0)</f>
        <v>73</v>
      </c>
      <c r="K69" s="23">
        <f>IFERROR(__xludf.DUMMYFUNCTION("""COMPUTED_VALUE"""),7.2)</f>
        <v>7.2</v>
      </c>
      <c r="L69" s="24">
        <f>IFERROR(__xludf.DUMMYFUNCTION("""COMPUTED_VALUE"""),10.5)</f>
        <v>10.5</v>
      </c>
      <c r="M69" s="25" t="str">
        <f>IFERROR(__xludf.DUMMYFUNCTION("""COMPUTED_VALUE"""),"Shooter")</f>
        <v>Shooter</v>
      </c>
      <c r="N69" s="25"/>
      <c r="O69" s="25" t="str">
        <f>IFERROR(__xludf.DUMMYFUNCTION("""COMPUTED_VALUE"""),"Yes")</f>
        <v>Yes</v>
      </c>
      <c r="P69" s="26"/>
    </row>
    <row r="70">
      <c r="A70" s="13" t="str">
        <f>IFERROR(__xludf.DUMMYFUNCTION("""COMPUTED_VALUE"""),"Tom Clancy's The Division 2")</f>
        <v>Tom Clancy's The Division 2</v>
      </c>
      <c r="B70" s="15" t="str">
        <f>IFERROR(__xludf.DUMMYFUNCTION("""COMPUTED_VALUE"""),"PS4")</f>
        <v>PS4</v>
      </c>
      <c r="C70" s="16" t="str">
        <f>IFERROR(__xludf.DUMMYFUNCTION("""COMPUTED_VALUE"""),"Extra (Ubisoft+ Classics)")</f>
        <v>Extra (Ubisoft+ Classics)</v>
      </c>
      <c r="D70" s="15" t="str">
        <f>IFERROR(__xludf.DUMMYFUNCTION("""COMPUTED_VALUE"""),"Active")</f>
        <v>Active</v>
      </c>
      <c r="E70" s="17">
        <f>IFERROR(__xludf.DUMMYFUNCTION("""COMPUTED_VALUE"""),44880.0)</f>
        <v>44880</v>
      </c>
      <c r="F70" s="54"/>
      <c r="G70" s="19">
        <f>IFERROR(__xludf.DUMMYFUNCTION("""COMPUTED_VALUE"""),46.7)</f>
        <v>46.7</v>
      </c>
      <c r="H70" s="17">
        <f>IFERROR(__xludf.DUMMYFUNCTION("""COMPUTED_VALUE"""),43539.0)</f>
        <v>43539</v>
      </c>
      <c r="I70" s="19">
        <f>IFERROR(__xludf.DUMMYFUNCTION("""COMPUTED_VALUE"""),3.6666666666666665)</f>
        <v>3.666666667</v>
      </c>
      <c r="J70" s="21">
        <f>IFERROR(__xludf.DUMMYFUNCTION("""COMPUTED_VALUE"""),82.0)</f>
        <v>82</v>
      </c>
      <c r="K70" s="23">
        <f>IFERROR(__xludf.DUMMYFUNCTION("""COMPUTED_VALUE"""),6.2)</f>
        <v>6.2</v>
      </c>
      <c r="L70" s="24">
        <f>IFERROR(__xludf.DUMMYFUNCTION("""COMPUTED_VALUE"""),26.5)</f>
        <v>26.5</v>
      </c>
      <c r="M70" s="25" t="str">
        <f>IFERROR(__xludf.DUMMYFUNCTION("""COMPUTED_VALUE"""),"Shooter")</f>
        <v>Shooter</v>
      </c>
      <c r="N70" s="25"/>
      <c r="O70" s="25" t="str">
        <f>IFERROR(__xludf.DUMMYFUNCTION("""COMPUTED_VALUE"""),"Yes")</f>
        <v>Yes</v>
      </c>
      <c r="P70" s="26"/>
    </row>
    <row r="71">
      <c r="A71" s="13" t="str">
        <f>IFERROR(__xludf.DUMMYFUNCTION("""COMPUTED_VALUE"""),"Tom Clancy's Ghost Recon: Breakpoint")</f>
        <v>Tom Clancy's Ghost Recon: Breakpoint</v>
      </c>
      <c r="B71" s="15" t="str">
        <f>IFERROR(__xludf.DUMMYFUNCTION("""COMPUTED_VALUE"""),"PS4")</f>
        <v>PS4</v>
      </c>
      <c r="C71" s="16" t="str">
        <f>IFERROR(__xludf.DUMMYFUNCTION("""COMPUTED_VALUE"""),"Extra (Ubisoft+ Classics)")</f>
        <v>Extra (Ubisoft+ Classics)</v>
      </c>
      <c r="D71" s="15" t="str">
        <f>IFERROR(__xludf.DUMMYFUNCTION("""COMPUTED_VALUE"""),"Active")</f>
        <v>Active</v>
      </c>
      <c r="E71" s="17">
        <f>IFERROR(__xludf.DUMMYFUNCTION("""COMPUTED_VALUE"""),44880.0)</f>
        <v>44880</v>
      </c>
      <c r="F71" s="54"/>
      <c r="G71" s="19">
        <f>IFERROR(__xludf.DUMMYFUNCTION("""COMPUTED_VALUE"""),46.7)</f>
        <v>46.7</v>
      </c>
      <c r="H71" s="17">
        <f>IFERROR(__xludf.DUMMYFUNCTION("""COMPUTED_VALUE"""),43742.0)</f>
        <v>43742</v>
      </c>
      <c r="I71" s="19">
        <f>IFERROR(__xludf.DUMMYFUNCTION("""COMPUTED_VALUE"""),3.113888888888889)</f>
        <v>3.113888889</v>
      </c>
      <c r="J71" s="21">
        <f>IFERROR(__xludf.DUMMYFUNCTION("""COMPUTED_VALUE"""),56.0)</f>
        <v>56</v>
      </c>
      <c r="K71" s="23">
        <f>IFERROR(__xludf.DUMMYFUNCTION("""COMPUTED_VALUE"""),3.0)</f>
        <v>3</v>
      </c>
      <c r="L71" s="24">
        <f>IFERROR(__xludf.DUMMYFUNCTION("""COMPUTED_VALUE"""),23.5)</f>
        <v>23.5</v>
      </c>
      <c r="M71" s="26" t="str">
        <f>IFERROR(__xludf.DUMMYFUNCTION("""COMPUTED_VALUE"""),"Shooter")</f>
        <v>Shooter</v>
      </c>
      <c r="N71" s="25"/>
      <c r="O71" s="25" t="str">
        <f>IFERROR(__xludf.DUMMYFUNCTION("""COMPUTED_VALUE"""),"Yes")</f>
        <v>Yes</v>
      </c>
      <c r="P71" s="26"/>
    </row>
    <row r="72">
      <c r="A72" s="13" t="str">
        <f>IFERROR(__xludf.DUMMYFUNCTION("""COMPUTED_VALUE"""),"Ratchet and Clank")</f>
        <v>Ratchet and Clank</v>
      </c>
      <c r="B72" s="15" t="str">
        <f>IFERROR(__xludf.DUMMYFUNCTION("""COMPUTED_VALUE"""),"PS5/PS4")</f>
        <v>PS5/PS4</v>
      </c>
      <c r="C72" s="16" t="str">
        <f>IFERROR(__xludf.DUMMYFUNCTION("""COMPUTED_VALUE"""),"Premium (Streaming Only)")</f>
        <v>Premium (Streaming Only)</v>
      </c>
      <c r="D72" s="15" t="str">
        <f>IFERROR(__xludf.DUMMYFUNCTION("""COMPUTED_VALUE"""),"Active")</f>
        <v>Active</v>
      </c>
      <c r="E72" s="17">
        <f>IFERROR(__xludf.DUMMYFUNCTION("""COMPUTED_VALUE"""),44880.0)</f>
        <v>44880</v>
      </c>
      <c r="F72" s="54"/>
      <c r="G72" s="19">
        <f>IFERROR(__xludf.DUMMYFUNCTION("""COMPUTED_VALUE"""),46.7)</f>
        <v>46.7</v>
      </c>
      <c r="H72" s="17">
        <f>IFERROR(__xludf.DUMMYFUNCTION("""COMPUTED_VALUE"""),37565.0)</f>
        <v>37565</v>
      </c>
      <c r="I72" s="19">
        <f>IFERROR(__xludf.DUMMYFUNCTION("""COMPUTED_VALUE"""),20.02777777777778)</f>
        <v>20.02777778</v>
      </c>
      <c r="J72" s="21">
        <f>IFERROR(__xludf.DUMMYFUNCTION("""COMPUTED_VALUE"""),88.0)</f>
        <v>88</v>
      </c>
      <c r="K72" s="23">
        <f>IFERROR(__xludf.DUMMYFUNCTION("""COMPUTED_VALUE"""),8.8)</f>
        <v>8.8</v>
      </c>
      <c r="L72" s="24">
        <f>IFERROR(__xludf.DUMMYFUNCTION("""COMPUTED_VALUE"""),12.0)</f>
        <v>12</v>
      </c>
      <c r="M72" s="25" t="str">
        <f>IFERROR(__xludf.DUMMYFUNCTION("""COMPUTED_VALUE"""),"Platformer")</f>
        <v>Platformer</v>
      </c>
      <c r="N72" s="25" t="str">
        <f>IFERROR(__xludf.DUMMYFUNCTION("""COMPUTED_VALUE"""),"PS3")</f>
        <v>PS3</v>
      </c>
      <c r="O72" s="25" t="str">
        <f>IFERROR(__xludf.DUMMYFUNCTION("""COMPUTED_VALUE"""),"Yes")</f>
        <v>Yes</v>
      </c>
      <c r="P72" s="26"/>
    </row>
    <row r="73">
      <c r="A73" s="13" t="str">
        <f>IFERROR(__xludf.DUMMYFUNCTION("""COMPUTED_VALUE"""),"Ratchet: Deadlocked")</f>
        <v>Ratchet: Deadlocked</v>
      </c>
      <c r="B73" s="15" t="str">
        <f>IFERROR(__xludf.DUMMYFUNCTION("""COMPUTED_VALUE"""),"PS5/PS4")</f>
        <v>PS5/PS4</v>
      </c>
      <c r="C73" s="16" t="str">
        <f>IFERROR(__xludf.DUMMYFUNCTION("""COMPUTED_VALUE"""),"Premium (Streaming Only)")</f>
        <v>Premium (Streaming Only)</v>
      </c>
      <c r="D73" s="15" t="str">
        <f>IFERROR(__xludf.DUMMYFUNCTION("""COMPUTED_VALUE"""),"Active")</f>
        <v>Active</v>
      </c>
      <c r="E73" s="17">
        <f>IFERROR(__xludf.DUMMYFUNCTION("""COMPUTED_VALUE"""),44880.0)</f>
        <v>44880</v>
      </c>
      <c r="F73" s="54"/>
      <c r="G73" s="19">
        <f>IFERROR(__xludf.DUMMYFUNCTION("""COMPUTED_VALUE"""),46.7)</f>
        <v>46.7</v>
      </c>
      <c r="H73" s="17">
        <f>IFERROR(__xludf.DUMMYFUNCTION("""COMPUTED_VALUE"""),38650.0)</f>
        <v>38650</v>
      </c>
      <c r="I73" s="19">
        <f>IFERROR(__xludf.DUMMYFUNCTION("""COMPUTED_VALUE"""),17.055555555555557)</f>
        <v>17.05555556</v>
      </c>
      <c r="J73" s="21">
        <f>IFERROR(__xludf.DUMMYFUNCTION("""COMPUTED_VALUE"""),81.0)</f>
        <v>81</v>
      </c>
      <c r="K73" s="23">
        <f>IFERROR(__xludf.DUMMYFUNCTION("""COMPUTED_VALUE"""),8.8)</f>
        <v>8.8</v>
      </c>
      <c r="L73" s="24">
        <f>IFERROR(__xludf.DUMMYFUNCTION("""COMPUTED_VALUE"""),7.5)</f>
        <v>7.5</v>
      </c>
      <c r="M73" s="25" t="str">
        <f>IFERROR(__xludf.DUMMYFUNCTION("""COMPUTED_VALUE"""),"Platformer")</f>
        <v>Platformer</v>
      </c>
      <c r="N73" s="25" t="str">
        <f>IFERROR(__xludf.DUMMYFUNCTION("""COMPUTED_VALUE"""),"PS3")</f>
        <v>PS3</v>
      </c>
      <c r="O73" s="25" t="str">
        <f>IFERROR(__xludf.DUMMYFUNCTION("""COMPUTED_VALUE"""),"Yes")</f>
        <v>Yes</v>
      </c>
      <c r="P73" s="26"/>
    </row>
    <row r="74">
      <c r="A74" s="13" t="str">
        <f>IFERROR(__xludf.DUMMYFUNCTION("""COMPUTED_VALUE"""),"Ratchet and Clank: Going Commando")</f>
        <v>Ratchet and Clank: Going Commando</v>
      </c>
      <c r="B74" s="15" t="str">
        <f>IFERROR(__xludf.DUMMYFUNCTION("""COMPUTED_VALUE"""),"PS5/PS4")</f>
        <v>PS5/PS4</v>
      </c>
      <c r="C74" s="16" t="str">
        <f>IFERROR(__xludf.DUMMYFUNCTION("""COMPUTED_VALUE"""),"Premium (Streaming Only)")</f>
        <v>Premium (Streaming Only)</v>
      </c>
      <c r="D74" s="15" t="str">
        <f>IFERROR(__xludf.DUMMYFUNCTION("""COMPUTED_VALUE"""),"Active")</f>
        <v>Active</v>
      </c>
      <c r="E74" s="17">
        <f>IFERROR(__xludf.DUMMYFUNCTION("""COMPUTED_VALUE"""),44880.0)</f>
        <v>44880</v>
      </c>
      <c r="F74" s="54"/>
      <c r="G74" s="19">
        <f>IFERROR(__xludf.DUMMYFUNCTION("""COMPUTED_VALUE"""),46.7)</f>
        <v>46.7</v>
      </c>
      <c r="H74" s="17">
        <f>IFERROR(__xludf.DUMMYFUNCTION("""COMPUTED_VALUE"""),37936.0)</f>
        <v>37936</v>
      </c>
      <c r="I74" s="19">
        <f>IFERROR(__xludf.DUMMYFUNCTION("""COMPUTED_VALUE"""),19.011111111111113)</f>
        <v>19.01111111</v>
      </c>
      <c r="J74" s="21">
        <f>IFERROR(__xludf.DUMMYFUNCTION("""COMPUTED_VALUE"""),90.0)</f>
        <v>90</v>
      </c>
      <c r="K74" s="23">
        <f>IFERROR(__xludf.DUMMYFUNCTION("""COMPUTED_VALUE"""),9.0)</f>
        <v>9</v>
      </c>
      <c r="L74" s="24">
        <f>IFERROR(__xludf.DUMMYFUNCTION("""COMPUTED_VALUE"""),13.5)</f>
        <v>13.5</v>
      </c>
      <c r="M74" s="25" t="str">
        <f>IFERROR(__xludf.DUMMYFUNCTION("""COMPUTED_VALUE"""),"Platformer")</f>
        <v>Platformer</v>
      </c>
      <c r="N74" s="25" t="str">
        <f>IFERROR(__xludf.DUMMYFUNCTION("""COMPUTED_VALUE"""),"PS3")</f>
        <v>PS3</v>
      </c>
      <c r="O74" s="25" t="str">
        <f>IFERROR(__xludf.DUMMYFUNCTION("""COMPUTED_VALUE"""),"Yes")</f>
        <v>Yes</v>
      </c>
      <c r="P74" s="26"/>
    </row>
    <row r="75">
      <c r="A75" s="13" t="str">
        <f>IFERROR(__xludf.DUMMYFUNCTION("""COMPUTED_VALUE"""),"Ratchet and Clank: Tools of Destruction")</f>
        <v>Ratchet and Clank: Tools of Destruction</v>
      </c>
      <c r="B75" s="15" t="str">
        <f>IFERROR(__xludf.DUMMYFUNCTION("""COMPUTED_VALUE"""),"PS5/PS4")</f>
        <v>PS5/PS4</v>
      </c>
      <c r="C75" s="16" t="str">
        <f>IFERROR(__xludf.DUMMYFUNCTION("""COMPUTED_VALUE"""),"Premium (Streaming Only)")</f>
        <v>Premium (Streaming Only)</v>
      </c>
      <c r="D75" s="15" t="str">
        <f>IFERROR(__xludf.DUMMYFUNCTION("""COMPUTED_VALUE"""),"Active")</f>
        <v>Active</v>
      </c>
      <c r="E75" s="17">
        <f>IFERROR(__xludf.DUMMYFUNCTION("""COMPUTED_VALUE"""),44880.0)</f>
        <v>44880</v>
      </c>
      <c r="F75" s="54"/>
      <c r="G75" s="19">
        <f>IFERROR(__xludf.DUMMYFUNCTION("""COMPUTED_VALUE"""),46.7)</f>
        <v>46.7</v>
      </c>
      <c r="H75" s="17">
        <f>IFERROR(__xludf.DUMMYFUNCTION("""COMPUTED_VALUE"""),39378.0)</f>
        <v>39378</v>
      </c>
      <c r="I75" s="19">
        <f>IFERROR(__xludf.DUMMYFUNCTION("""COMPUTED_VALUE"""),15.061111111111112)</f>
        <v>15.06111111</v>
      </c>
      <c r="J75" s="21">
        <f>IFERROR(__xludf.DUMMYFUNCTION("""COMPUTED_VALUE"""),89.0)</f>
        <v>89</v>
      </c>
      <c r="K75" s="23">
        <f>IFERROR(__xludf.DUMMYFUNCTION("""COMPUTED_VALUE"""),8.8)</f>
        <v>8.8</v>
      </c>
      <c r="L75" s="24">
        <f>IFERROR(__xludf.DUMMYFUNCTION("""COMPUTED_VALUE"""),12.5)</f>
        <v>12.5</v>
      </c>
      <c r="M75" s="25" t="str">
        <f>IFERROR(__xludf.DUMMYFUNCTION("""COMPUTED_VALUE"""),"Platformer")</f>
        <v>Platformer</v>
      </c>
      <c r="N75" s="25" t="str">
        <f>IFERROR(__xludf.DUMMYFUNCTION("""COMPUTED_VALUE"""),"PS3")</f>
        <v>PS3</v>
      </c>
      <c r="O75" s="25" t="str">
        <f>IFERROR(__xludf.DUMMYFUNCTION("""COMPUTED_VALUE"""),"Yes")</f>
        <v>Yes</v>
      </c>
      <c r="P75" s="26"/>
    </row>
    <row r="76">
      <c r="A76" s="13" t="str">
        <f>IFERROR(__xludf.DUMMYFUNCTION("""COMPUTED_VALUE"""),"Ratchet and Clank: Up Your Arsenal")</f>
        <v>Ratchet and Clank: Up Your Arsenal</v>
      </c>
      <c r="B76" s="15" t="str">
        <f>IFERROR(__xludf.DUMMYFUNCTION("""COMPUTED_VALUE"""),"PS5/PS4")</f>
        <v>PS5/PS4</v>
      </c>
      <c r="C76" s="16" t="str">
        <f>IFERROR(__xludf.DUMMYFUNCTION("""COMPUTED_VALUE"""),"Premium (Streaming Only)")</f>
        <v>Premium (Streaming Only)</v>
      </c>
      <c r="D76" s="15" t="str">
        <f>IFERROR(__xludf.DUMMYFUNCTION("""COMPUTED_VALUE"""),"Active")</f>
        <v>Active</v>
      </c>
      <c r="E76" s="17">
        <f>IFERROR(__xludf.DUMMYFUNCTION("""COMPUTED_VALUE"""),44880.0)</f>
        <v>44880</v>
      </c>
      <c r="F76" s="54"/>
      <c r="G76" s="19">
        <f>IFERROR(__xludf.DUMMYFUNCTION("""COMPUTED_VALUE"""),46.7)</f>
        <v>46.7</v>
      </c>
      <c r="H76" s="17">
        <f>IFERROR(__xludf.DUMMYFUNCTION("""COMPUTED_VALUE"""),38294.0)</f>
        <v>38294</v>
      </c>
      <c r="I76" s="19">
        <f>IFERROR(__xludf.DUMMYFUNCTION("""COMPUTED_VALUE"""),18.033333333333335)</f>
        <v>18.03333333</v>
      </c>
      <c r="J76" s="21">
        <f>IFERROR(__xludf.DUMMYFUNCTION("""COMPUTED_VALUE"""),91.0)</f>
        <v>91</v>
      </c>
      <c r="K76" s="23">
        <f>IFERROR(__xludf.DUMMYFUNCTION("""COMPUTED_VALUE"""),9.0)</f>
        <v>9</v>
      </c>
      <c r="L76" s="24">
        <f>IFERROR(__xludf.DUMMYFUNCTION("""COMPUTED_VALUE"""),11.5)</f>
        <v>11.5</v>
      </c>
      <c r="M76" s="25" t="str">
        <f>IFERROR(__xludf.DUMMYFUNCTION("""COMPUTED_VALUE"""),"Platformer")</f>
        <v>Platformer</v>
      </c>
      <c r="N76" s="25" t="str">
        <f>IFERROR(__xludf.DUMMYFUNCTION("""COMPUTED_VALUE"""),"PS3")</f>
        <v>PS3</v>
      </c>
      <c r="O76" s="25" t="str">
        <f>IFERROR(__xludf.DUMMYFUNCTION("""COMPUTED_VALUE"""),"Yes")</f>
        <v>Yes</v>
      </c>
      <c r="P76" s="26"/>
    </row>
    <row r="77">
      <c r="A77" s="13" t="str">
        <f>IFERROR(__xludf.DUMMYFUNCTION("""COMPUTED_VALUE"""),"Hohokum")</f>
        <v>Hohokum</v>
      </c>
      <c r="B77" s="15" t="str">
        <f>IFERROR(__xludf.DUMMYFUNCTION("""COMPUTED_VALUE"""),"PS4")</f>
        <v>PS4</v>
      </c>
      <c r="C77" s="16" t="str">
        <f>IFERROR(__xludf.DUMMYFUNCTION("""COMPUTED_VALUE"""),"Extra")</f>
        <v>Extra</v>
      </c>
      <c r="D77" s="15" t="str">
        <f>IFERROR(__xludf.DUMMYFUNCTION("""COMPUTED_VALUE"""),"Active")</f>
        <v>Active</v>
      </c>
      <c r="E77" s="17">
        <f>IFERROR(__xludf.DUMMYFUNCTION("""COMPUTED_VALUE"""),44852.0)</f>
        <v>44852</v>
      </c>
      <c r="F77" s="54"/>
      <c r="G77" s="19">
        <f>IFERROR(__xludf.DUMMYFUNCTION("""COMPUTED_VALUE"""),47.6)</f>
        <v>47.6</v>
      </c>
      <c r="H77" s="17">
        <f>IFERROR(__xludf.DUMMYFUNCTION("""COMPUTED_VALUE"""),41863.0)</f>
        <v>41863</v>
      </c>
      <c r="I77" s="19">
        <f>IFERROR(__xludf.DUMMYFUNCTION("""COMPUTED_VALUE"""),8.183333333333334)</f>
        <v>8.183333333</v>
      </c>
      <c r="J77" s="21">
        <f>IFERROR(__xludf.DUMMYFUNCTION("""COMPUTED_VALUE"""),75.0)</f>
        <v>75</v>
      </c>
      <c r="K77" s="23">
        <f>IFERROR(__xludf.DUMMYFUNCTION("""COMPUTED_VALUE"""),6.5)</f>
        <v>6.5</v>
      </c>
      <c r="L77" s="24">
        <f>IFERROR(__xludf.DUMMYFUNCTION("""COMPUTED_VALUE"""),4.0)</f>
        <v>4</v>
      </c>
      <c r="M77" s="25" t="str">
        <f>IFERROR(__xludf.DUMMYFUNCTION("""COMPUTED_VALUE"""),"Action-Adventure")</f>
        <v>Action-Adventure</v>
      </c>
      <c r="N77" s="25"/>
      <c r="O77" s="25" t="str">
        <f>IFERROR(__xludf.DUMMYFUNCTION("""COMPUTED_VALUE"""),"Yes")</f>
        <v>Yes</v>
      </c>
      <c r="P77" s="26"/>
    </row>
    <row r="78">
      <c r="A78" s="13" t="str">
        <f>IFERROR(__xludf.DUMMYFUNCTION("""COMPUTED_VALUE"""),"Assassin's Creed Chronicles: China")</f>
        <v>Assassin's Creed Chronicles: China</v>
      </c>
      <c r="B78" s="15" t="str">
        <f>IFERROR(__xludf.DUMMYFUNCTION("""COMPUTED_VALUE"""),"PS4")</f>
        <v>PS4</v>
      </c>
      <c r="C78" s="16" t="str">
        <f>IFERROR(__xludf.DUMMYFUNCTION("""COMPUTED_VALUE"""),"Extra (Ubisoft+ Classics)")</f>
        <v>Extra (Ubisoft+ Classics)</v>
      </c>
      <c r="D78" s="15" t="str">
        <f>IFERROR(__xludf.DUMMYFUNCTION("""COMPUTED_VALUE"""),"Active")</f>
        <v>Active</v>
      </c>
      <c r="E78" s="17">
        <f>IFERROR(__xludf.DUMMYFUNCTION("""COMPUTED_VALUE"""),44852.0)</f>
        <v>44852</v>
      </c>
      <c r="F78" s="54"/>
      <c r="G78" s="19">
        <f>IFERROR(__xludf.DUMMYFUNCTION("""COMPUTED_VALUE"""),47.6)</f>
        <v>47.6</v>
      </c>
      <c r="H78" s="17">
        <f>IFERROR(__xludf.DUMMYFUNCTION("""COMPUTED_VALUE"""),42115.0)</f>
        <v>42115</v>
      </c>
      <c r="I78" s="19">
        <f>IFERROR(__xludf.DUMMYFUNCTION("""COMPUTED_VALUE"""),7.491666666666666)</f>
        <v>7.491666667</v>
      </c>
      <c r="J78" s="21">
        <f>IFERROR(__xludf.DUMMYFUNCTION("""COMPUTED_VALUE"""),69.0)</f>
        <v>69</v>
      </c>
      <c r="K78" s="23">
        <f>IFERROR(__xludf.DUMMYFUNCTION("""COMPUTED_VALUE"""),6.1)</f>
        <v>6.1</v>
      </c>
      <c r="L78" s="24">
        <f>IFERROR(__xludf.DUMMYFUNCTION("""COMPUTED_VALUE"""),6.0)</f>
        <v>6</v>
      </c>
      <c r="M78" s="25" t="str">
        <f>IFERROR(__xludf.DUMMYFUNCTION("""COMPUTED_VALUE"""),"Platformer")</f>
        <v>Platformer</v>
      </c>
      <c r="N78" s="25"/>
      <c r="O78" s="25" t="str">
        <f>IFERROR(__xludf.DUMMYFUNCTION("""COMPUTED_VALUE"""),"Yes")</f>
        <v>Yes</v>
      </c>
      <c r="P78" s="26"/>
    </row>
    <row r="79">
      <c r="A79" s="13" t="str">
        <f>IFERROR(__xludf.DUMMYFUNCTION("""COMPUTED_VALUE"""),"Assassin's Creed Chronicles: India")</f>
        <v>Assassin's Creed Chronicles: India</v>
      </c>
      <c r="B79" s="15" t="str">
        <f>IFERROR(__xludf.DUMMYFUNCTION("""COMPUTED_VALUE"""),"PS4")</f>
        <v>PS4</v>
      </c>
      <c r="C79" s="16" t="str">
        <f>IFERROR(__xludf.DUMMYFUNCTION("""COMPUTED_VALUE"""),"Extra (Ubisoft+ Classics)")</f>
        <v>Extra (Ubisoft+ Classics)</v>
      </c>
      <c r="D79" s="15" t="str">
        <f>IFERROR(__xludf.DUMMYFUNCTION("""COMPUTED_VALUE"""),"Active")</f>
        <v>Active</v>
      </c>
      <c r="E79" s="17">
        <f>IFERROR(__xludf.DUMMYFUNCTION("""COMPUTED_VALUE"""),44852.0)</f>
        <v>44852</v>
      </c>
      <c r="F79" s="54"/>
      <c r="G79" s="19">
        <f>IFERROR(__xludf.DUMMYFUNCTION("""COMPUTED_VALUE"""),47.6)</f>
        <v>47.6</v>
      </c>
      <c r="H79" s="17">
        <f>IFERROR(__xludf.DUMMYFUNCTION("""COMPUTED_VALUE"""),42381.0)</f>
        <v>42381</v>
      </c>
      <c r="I79" s="19">
        <f>IFERROR(__xludf.DUMMYFUNCTION("""COMPUTED_VALUE"""),6.766666666666667)</f>
        <v>6.766666667</v>
      </c>
      <c r="J79" s="21">
        <f>IFERROR(__xludf.DUMMYFUNCTION("""COMPUTED_VALUE"""),63.0)</f>
        <v>63</v>
      </c>
      <c r="K79" s="23">
        <f>IFERROR(__xludf.DUMMYFUNCTION("""COMPUTED_VALUE"""),4.3)</f>
        <v>4.3</v>
      </c>
      <c r="L79" s="24">
        <f>IFERROR(__xludf.DUMMYFUNCTION("""COMPUTED_VALUE"""),6.0)</f>
        <v>6</v>
      </c>
      <c r="M79" s="25" t="str">
        <f>IFERROR(__xludf.DUMMYFUNCTION("""COMPUTED_VALUE"""),"Platformer")</f>
        <v>Platformer</v>
      </c>
      <c r="N79" s="25"/>
      <c r="O79" s="25" t="str">
        <f>IFERROR(__xludf.DUMMYFUNCTION("""COMPUTED_VALUE"""),"Yes")</f>
        <v>Yes</v>
      </c>
      <c r="P79" s="26"/>
    </row>
    <row r="80">
      <c r="A80" s="13" t="str">
        <f>IFERROR(__xludf.DUMMYFUNCTION("""COMPUTED_VALUE"""),"Assassin's Creed Chronicles: Russia")</f>
        <v>Assassin's Creed Chronicles: Russia</v>
      </c>
      <c r="B80" s="15" t="str">
        <f>IFERROR(__xludf.DUMMYFUNCTION("""COMPUTED_VALUE"""),"PS4")</f>
        <v>PS4</v>
      </c>
      <c r="C80" s="16" t="str">
        <f>IFERROR(__xludf.DUMMYFUNCTION("""COMPUTED_VALUE"""),"Extra (Ubisoft+ Classics)")</f>
        <v>Extra (Ubisoft+ Classics)</v>
      </c>
      <c r="D80" s="15" t="str">
        <f>IFERROR(__xludf.DUMMYFUNCTION("""COMPUTED_VALUE"""),"Active")</f>
        <v>Active</v>
      </c>
      <c r="E80" s="17">
        <f>IFERROR(__xludf.DUMMYFUNCTION("""COMPUTED_VALUE"""),44852.0)</f>
        <v>44852</v>
      </c>
      <c r="F80" s="54"/>
      <c r="G80" s="19">
        <f>IFERROR(__xludf.DUMMYFUNCTION("""COMPUTED_VALUE"""),47.6)</f>
        <v>47.6</v>
      </c>
      <c r="H80" s="17">
        <f>IFERROR(__xludf.DUMMYFUNCTION("""COMPUTED_VALUE"""),42409.0)</f>
        <v>42409</v>
      </c>
      <c r="I80" s="19">
        <f>IFERROR(__xludf.DUMMYFUNCTION("""COMPUTED_VALUE"""),6.691666666666666)</f>
        <v>6.691666667</v>
      </c>
      <c r="J80" s="21">
        <f>IFERROR(__xludf.DUMMYFUNCTION("""COMPUTED_VALUE"""),60.0)</f>
        <v>60</v>
      </c>
      <c r="K80" s="23">
        <f>IFERROR(__xludf.DUMMYFUNCTION("""COMPUTED_VALUE"""),4.6)</f>
        <v>4.6</v>
      </c>
      <c r="L80" s="24">
        <f>IFERROR(__xludf.DUMMYFUNCTION("""COMPUTED_VALUE"""),6.5)</f>
        <v>6.5</v>
      </c>
      <c r="M80" s="25" t="str">
        <f>IFERROR(__xludf.DUMMYFUNCTION("""COMPUTED_VALUE"""),"Platformer")</f>
        <v>Platformer</v>
      </c>
      <c r="N80" s="25"/>
      <c r="O80" s="25" t="str">
        <f>IFERROR(__xludf.DUMMYFUNCTION("""COMPUTED_VALUE"""),"Yes")</f>
        <v>Yes</v>
      </c>
      <c r="P80" s="26"/>
    </row>
    <row r="81">
      <c r="A81" s="13" t="str">
        <f>IFERROR(__xludf.DUMMYFUNCTION("""COMPUTED_VALUE"""),"Assassin's Creed III: Remastered")</f>
        <v>Assassin's Creed III: Remastered</v>
      </c>
      <c r="B81" s="15" t="str">
        <f>IFERROR(__xludf.DUMMYFUNCTION("""COMPUTED_VALUE"""),"PS4")</f>
        <v>PS4</v>
      </c>
      <c r="C81" s="16" t="str">
        <f>IFERROR(__xludf.DUMMYFUNCTION("""COMPUTED_VALUE"""),"Extra (Ubisoft+ Classics)")</f>
        <v>Extra (Ubisoft+ Classics)</v>
      </c>
      <c r="D81" s="15" t="str">
        <f>IFERROR(__xludf.DUMMYFUNCTION("""COMPUTED_VALUE"""),"Active")</f>
        <v>Active</v>
      </c>
      <c r="E81" s="17">
        <f>IFERROR(__xludf.DUMMYFUNCTION("""COMPUTED_VALUE"""),44852.0)</f>
        <v>44852</v>
      </c>
      <c r="F81" s="54"/>
      <c r="G81" s="19">
        <f>IFERROR(__xludf.DUMMYFUNCTION("""COMPUTED_VALUE"""),47.6)</f>
        <v>47.6</v>
      </c>
      <c r="H81" s="17">
        <f>IFERROR(__xludf.DUMMYFUNCTION("""COMPUTED_VALUE"""),43553.0)</f>
        <v>43553</v>
      </c>
      <c r="I81" s="19">
        <f>IFERROR(__xludf.DUMMYFUNCTION("""COMPUTED_VALUE"""),3.5527777777777776)</f>
        <v>3.552777778</v>
      </c>
      <c r="J81" s="21">
        <f>IFERROR(__xludf.DUMMYFUNCTION("""COMPUTED_VALUE"""),72.0)</f>
        <v>72</v>
      </c>
      <c r="K81" s="23">
        <f>IFERROR(__xludf.DUMMYFUNCTION("""COMPUTED_VALUE"""),4.8)</f>
        <v>4.8</v>
      </c>
      <c r="L81" s="24">
        <f>IFERROR(__xludf.DUMMYFUNCTION("""COMPUTED_VALUE"""),14.5)</f>
        <v>14.5</v>
      </c>
      <c r="M81" s="25" t="str">
        <f>IFERROR(__xludf.DUMMYFUNCTION("""COMPUTED_VALUE"""),"RPG")</f>
        <v>RPG</v>
      </c>
      <c r="N81" s="25"/>
      <c r="O81" s="25" t="str">
        <f>IFERROR(__xludf.DUMMYFUNCTION("""COMPUTED_VALUE"""),"Yes")</f>
        <v>Yes</v>
      </c>
      <c r="P81" s="26"/>
    </row>
    <row r="82">
      <c r="A82" s="13" t="str">
        <f>IFERROR(__xludf.DUMMYFUNCTION("""COMPUTED_VALUE"""),"Assassin's Creed Odyssey")</f>
        <v>Assassin's Creed Odyssey</v>
      </c>
      <c r="B82" s="15" t="str">
        <f>IFERROR(__xludf.DUMMYFUNCTION("""COMPUTED_VALUE"""),"PS4")</f>
        <v>PS4</v>
      </c>
      <c r="C82" s="16" t="str">
        <f>IFERROR(__xludf.DUMMYFUNCTION("""COMPUTED_VALUE"""),"Extra (Ubisoft+ Classics)")</f>
        <v>Extra (Ubisoft+ Classics)</v>
      </c>
      <c r="D82" s="15" t="str">
        <f>IFERROR(__xludf.DUMMYFUNCTION("""COMPUTED_VALUE"""),"Active")</f>
        <v>Active</v>
      </c>
      <c r="E82" s="17">
        <f>IFERROR(__xludf.DUMMYFUNCTION("""COMPUTED_VALUE"""),44852.0)</f>
        <v>44852</v>
      </c>
      <c r="F82" s="54"/>
      <c r="G82" s="19">
        <f>IFERROR(__xludf.DUMMYFUNCTION("""COMPUTED_VALUE"""),47.6)</f>
        <v>47.6</v>
      </c>
      <c r="H82" s="17">
        <f>IFERROR(__xludf.DUMMYFUNCTION("""COMPUTED_VALUE"""),43375.0)</f>
        <v>43375</v>
      </c>
      <c r="I82" s="19">
        <f>IFERROR(__xludf.DUMMYFUNCTION("""COMPUTED_VALUE"""),4.044444444444444)</f>
        <v>4.044444444</v>
      </c>
      <c r="J82" s="21">
        <f>IFERROR(__xludf.DUMMYFUNCTION("""COMPUTED_VALUE"""),83.0)</f>
        <v>83</v>
      </c>
      <c r="K82" s="23">
        <f>IFERROR(__xludf.DUMMYFUNCTION("""COMPUTED_VALUE"""),6.5)</f>
        <v>6.5</v>
      </c>
      <c r="L82" s="24">
        <f>IFERROR(__xludf.DUMMYFUNCTION("""COMPUTED_VALUE"""),44.5)</f>
        <v>44.5</v>
      </c>
      <c r="M82" s="25" t="str">
        <f>IFERROR(__xludf.DUMMYFUNCTION("""COMPUTED_VALUE"""),"RPG")</f>
        <v>RPG</v>
      </c>
      <c r="N82" s="25"/>
      <c r="O82" s="25" t="str">
        <f>IFERROR(__xludf.DUMMYFUNCTION("""COMPUTED_VALUE"""),"Yes")</f>
        <v>Yes</v>
      </c>
      <c r="P82" s="26"/>
    </row>
    <row r="83">
      <c r="A83" s="13" t="str">
        <f>IFERROR(__xludf.DUMMYFUNCTION("""COMPUTED_VALUE"""),"Assassin's Creed Syndicate")</f>
        <v>Assassin's Creed Syndicate</v>
      </c>
      <c r="B83" s="15" t="str">
        <f>IFERROR(__xludf.DUMMYFUNCTION("""COMPUTED_VALUE"""),"PS4")</f>
        <v>PS4</v>
      </c>
      <c r="C83" s="16" t="str">
        <f>IFERROR(__xludf.DUMMYFUNCTION("""COMPUTED_VALUE"""),"Extra (Ubisoft+ Classics)")</f>
        <v>Extra (Ubisoft+ Classics)</v>
      </c>
      <c r="D83" s="15" t="str">
        <f>IFERROR(__xludf.DUMMYFUNCTION("""COMPUTED_VALUE"""),"Active")</f>
        <v>Active</v>
      </c>
      <c r="E83" s="17">
        <f>IFERROR(__xludf.DUMMYFUNCTION("""COMPUTED_VALUE"""),44852.0)</f>
        <v>44852</v>
      </c>
      <c r="F83" s="54"/>
      <c r="G83" s="19">
        <f>IFERROR(__xludf.DUMMYFUNCTION("""COMPUTED_VALUE"""),47.6)</f>
        <v>47.6</v>
      </c>
      <c r="H83" s="17">
        <f>IFERROR(__xludf.DUMMYFUNCTION("""COMPUTED_VALUE"""),42300.0)</f>
        <v>42300</v>
      </c>
      <c r="I83" s="19">
        <f>IFERROR(__xludf.DUMMYFUNCTION("""COMPUTED_VALUE"""),6.986111111111111)</f>
        <v>6.986111111</v>
      </c>
      <c r="J83" s="21">
        <f>IFERROR(__xludf.DUMMYFUNCTION("""COMPUTED_VALUE"""),76.0)</f>
        <v>76</v>
      </c>
      <c r="K83" s="23">
        <f>IFERROR(__xludf.DUMMYFUNCTION("""COMPUTED_VALUE"""),6.9)</f>
        <v>6.9</v>
      </c>
      <c r="L83" s="24">
        <f>IFERROR(__xludf.DUMMYFUNCTION("""COMPUTED_VALUE"""),18.5)</f>
        <v>18.5</v>
      </c>
      <c r="M83" s="25" t="str">
        <f>IFERROR(__xludf.DUMMYFUNCTION("""COMPUTED_VALUE"""),"RPG")</f>
        <v>RPG</v>
      </c>
      <c r="N83" s="25"/>
      <c r="O83" s="25" t="str">
        <f>IFERROR(__xludf.DUMMYFUNCTION("""COMPUTED_VALUE"""),"Yes")</f>
        <v>Yes</v>
      </c>
      <c r="P83" s="26"/>
    </row>
    <row r="84">
      <c r="A84" s="13" t="str">
        <f>IFERROR(__xludf.DUMMYFUNCTION("""COMPUTED_VALUE"""),"Castlevania: Lords of Shadow")</f>
        <v>Castlevania: Lords of Shadow</v>
      </c>
      <c r="B84" s="15" t="str">
        <f>IFERROR(__xludf.DUMMYFUNCTION("""COMPUTED_VALUE"""),"PS5/PS4")</f>
        <v>PS5/PS4</v>
      </c>
      <c r="C84" s="16" t="str">
        <f>IFERROR(__xludf.DUMMYFUNCTION("""COMPUTED_VALUE"""),"Premium (Streaming Only)")</f>
        <v>Premium (Streaming Only)</v>
      </c>
      <c r="D84" s="15" t="str">
        <f>IFERROR(__xludf.DUMMYFUNCTION("""COMPUTED_VALUE"""),"Active")</f>
        <v>Active</v>
      </c>
      <c r="E84" s="17">
        <f>IFERROR(__xludf.DUMMYFUNCTION("""COMPUTED_VALUE"""),44852.0)</f>
        <v>44852</v>
      </c>
      <c r="F84" s="54"/>
      <c r="G84" s="19">
        <f>IFERROR(__xludf.DUMMYFUNCTION("""COMPUTED_VALUE"""),47.6)</f>
        <v>47.6</v>
      </c>
      <c r="H84" s="17">
        <f>IFERROR(__xludf.DUMMYFUNCTION("""COMPUTED_VALUE"""),40456.0)</f>
        <v>40456</v>
      </c>
      <c r="I84" s="19">
        <f>IFERROR(__xludf.DUMMYFUNCTION("""COMPUTED_VALUE"""),12.036111111111111)</f>
        <v>12.03611111</v>
      </c>
      <c r="J84" s="21">
        <f>IFERROR(__xludf.DUMMYFUNCTION("""COMPUTED_VALUE"""),85.0)</f>
        <v>85</v>
      </c>
      <c r="K84" s="23">
        <f>IFERROR(__xludf.DUMMYFUNCTION("""COMPUTED_VALUE"""),8.0)</f>
        <v>8</v>
      </c>
      <c r="L84" s="24">
        <f>IFERROR(__xludf.DUMMYFUNCTION("""COMPUTED_VALUE"""),18.0)</f>
        <v>18</v>
      </c>
      <c r="M84" s="25" t="str">
        <f>IFERROR(__xludf.DUMMYFUNCTION("""COMPUTED_VALUE"""),"Action-Adventure")</f>
        <v>Action-Adventure</v>
      </c>
      <c r="N84" s="25" t="str">
        <f>IFERROR(__xludf.DUMMYFUNCTION("""COMPUTED_VALUE"""),"PS3")</f>
        <v>PS3</v>
      </c>
      <c r="O84" s="25" t="str">
        <f>IFERROR(__xludf.DUMMYFUNCTION("""COMPUTED_VALUE"""),"Yes")</f>
        <v>Yes</v>
      </c>
      <c r="P84" s="26"/>
    </row>
    <row r="85">
      <c r="A85" s="13" t="str">
        <f>IFERROR(__xludf.DUMMYFUNCTION("""COMPUTED_VALUE"""),"Everyday Shooter")</f>
        <v>Everyday Shooter</v>
      </c>
      <c r="B85" s="15" t="str">
        <f>IFERROR(__xludf.DUMMYFUNCTION("""COMPUTED_VALUE"""),"PS5/PS4")</f>
        <v>PS5/PS4</v>
      </c>
      <c r="C85" s="16" t="str">
        <f>IFERROR(__xludf.DUMMYFUNCTION("""COMPUTED_VALUE"""),"Premium (Streaming Only)")</f>
        <v>Premium (Streaming Only)</v>
      </c>
      <c r="D85" s="15" t="str">
        <f>IFERROR(__xludf.DUMMYFUNCTION("""COMPUTED_VALUE"""),"Active")</f>
        <v>Active</v>
      </c>
      <c r="E85" s="17">
        <f>IFERROR(__xludf.DUMMYFUNCTION("""COMPUTED_VALUE"""),44852.0)</f>
        <v>44852</v>
      </c>
      <c r="F85" s="54"/>
      <c r="G85" s="19">
        <f>IFERROR(__xludf.DUMMYFUNCTION("""COMPUTED_VALUE"""),47.6)</f>
        <v>47.6</v>
      </c>
      <c r="H85" s="17">
        <f>IFERROR(__xludf.DUMMYFUNCTION("""COMPUTED_VALUE"""),38805.0)</f>
        <v>38805</v>
      </c>
      <c r="I85" s="19">
        <f>IFERROR(__xludf.DUMMYFUNCTION("""COMPUTED_VALUE"""),16.552777777777777)</f>
        <v>16.55277778</v>
      </c>
      <c r="J85" s="21">
        <f>IFERROR(__xludf.DUMMYFUNCTION("""COMPUTED_VALUE"""),83.0)</f>
        <v>83</v>
      </c>
      <c r="K85" s="23">
        <f>IFERROR(__xludf.DUMMYFUNCTION("""COMPUTED_VALUE"""),7.3)</f>
        <v>7.3</v>
      </c>
      <c r="L85" s="24">
        <f>IFERROR(__xludf.DUMMYFUNCTION("""COMPUTED_VALUE"""),7.0)</f>
        <v>7</v>
      </c>
      <c r="M85" s="25" t="str">
        <f>IFERROR(__xludf.DUMMYFUNCTION("""COMPUTED_VALUE"""),"Shooter")</f>
        <v>Shooter</v>
      </c>
      <c r="N85" s="25" t="str">
        <f>IFERROR(__xludf.DUMMYFUNCTION("""COMPUTED_VALUE"""),"PS3")</f>
        <v>PS3</v>
      </c>
      <c r="O85" s="25" t="str">
        <f>IFERROR(__xludf.DUMMYFUNCTION("""COMPUTED_VALUE"""),"Yes")</f>
        <v>Yes</v>
      </c>
      <c r="P85" s="26"/>
    </row>
    <row r="86">
      <c r="A86" s="13" t="str">
        <f>IFERROR(__xludf.DUMMYFUNCTION("""COMPUTED_VALUE"""),"Alex Kidd in Miracle World DX")</f>
        <v>Alex Kidd in Miracle World DX</v>
      </c>
      <c r="B86" s="15" t="str">
        <f>IFERROR(__xludf.DUMMYFUNCTION("""COMPUTED_VALUE"""),"PS5/PS4")</f>
        <v>PS5/PS4</v>
      </c>
      <c r="C86" s="16" t="str">
        <f>IFERROR(__xludf.DUMMYFUNCTION("""COMPUTED_VALUE"""),"Extra")</f>
        <v>Extra</v>
      </c>
      <c r="D86" s="15" t="str">
        <f>IFERROR(__xludf.DUMMYFUNCTION("""COMPUTED_VALUE"""),"Active")</f>
        <v>Active</v>
      </c>
      <c r="E86" s="17">
        <f>IFERROR(__xludf.DUMMYFUNCTION("""COMPUTED_VALUE"""),44824.0)</f>
        <v>44824</v>
      </c>
      <c r="F86" s="54"/>
      <c r="G86" s="19">
        <f>IFERROR(__xludf.DUMMYFUNCTION("""COMPUTED_VALUE"""),48.53333333333333)</f>
        <v>48.53333333</v>
      </c>
      <c r="H86" s="17">
        <f>IFERROR(__xludf.DUMMYFUNCTION("""COMPUTED_VALUE"""),44369.0)</f>
        <v>44369</v>
      </c>
      <c r="I86" s="19">
        <f>IFERROR(__xludf.DUMMYFUNCTION("""COMPUTED_VALUE"""),1.2444444444444445)</f>
        <v>1.244444444</v>
      </c>
      <c r="J86" s="21">
        <f>IFERROR(__xludf.DUMMYFUNCTION("""COMPUTED_VALUE"""),60.0)</f>
        <v>60</v>
      </c>
      <c r="K86" s="23">
        <f>IFERROR(__xludf.DUMMYFUNCTION("""COMPUTED_VALUE"""),6.5)</f>
        <v>6.5</v>
      </c>
      <c r="L86" s="24">
        <f>IFERROR(__xludf.DUMMYFUNCTION("""COMPUTED_VALUE"""),2.5)</f>
        <v>2.5</v>
      </c>
      <c r="M86" s="25" t="str">
        <f>IFERROR(__xludf.DUMMYFUNCTION("""COMPUTED_VALUE"""),"Platformer")</f>
        <v>Platformer</v>
      </c>
      <c r="N86" s="25"/>
      <c r="O86" s="25" t="str">
        <f>IFERROR(__xludf.DUMMYFUNCTION("""COMPUTED_VALUE"""),"Yes")</f>
        <v>Yes</v>
      </c>
      <c r="P86" s="26"/>
    </row>
    <row r="87">
      <c r="A87" s="13" t="str">
        <f>IFERROR(__xludf.DUMMYFUNCTION("""COMPUTED_VALUE"""),"Rabbids Invasion: The Interactive TV Show")</f>
        <v>Rabbids Invasion: The Interactive TV Show</v>
      </c>
      <c r="B87" s="15" t="str">
        <f>IFERROR(__xludf.DUMMYFUNCTION("""COMPUTED_VALUE"""),"PS4")</f>
        <v>PS4</v>
      </c>
      <c r="C87" s="16" t="str">
        <f>IFERROR(__xludf.DUMMYFUNCTION("""COMPUTED_VALUE"""),"Extra")</f>
        <v>Extra</v>
      </c>
      <c r="D87" s="15" t="str">
        <f>IFERROR(__xludf.DUMMYFUNCTION("""COMPUTED_VALUE"""),"Active")</f>
        <v>Active</v>
      </c>
      <c r="E87" s="17">
        <f>IFERROR(__xludf.DUMMYFUNCTION("""COMPUTED_VALUE"""),44824.0)</f>
        <v>44824</v>
      </c>
      <c r="F87" s="54"/>
      <c r="G87" s="19">
        <f>IFERROR(__xludf.DUMMYFUNCTION("""COMPUTED_VALUE"""),48.53333333333333)</f>
        <v>48.53333333</v>
      </c>
      <c r="H87" s="17">
        <f>IFERROR(__xludf.DUMMYFUNCTION("""COMPUTED_VALUE"""),41961.0)</f>
        <v>41961</v>
      </c>
      <c r="I87" s="19">
        <f>IFERROR(__xludf.DUMMYFUNCTION("""COMPUTED_VALUE"""),7.838888888888889)</f>
        <v>7.838888889</v>
      </c>
      <c r="J87" s="21">
        <f>IFERROR(__xludf.DUMMYFUNCTION("""COMPUTED_VALUE"""),53.0)</f>
        <v>53</v>
      </c>
      <c r="K87" s="23">
        <f>IFERROR(__xludf.DUMMYFUNCTION("""COMPUTED_VALUE"""),4.3)</f>
        <v>4.3</v>
      </c>
      <c r="L87" s="24">
        <f>IFERROR(__xludf.DUMMYFUNCTION("""COMPUTED_VALUE"""),10.0)</f>
        <v>10</v>
      </c>
      <c r="M87" s="25" t="str">
        <f>IFERROR(__xludf.DUMMYFUNCTION("""COMPUTED_VALUE"""),"Action-Adventure")</f>
        <v>Action-Adventure</v>
      </c>
      <c r="N87" s="25"/>
      <c r="O87" s="25" t="str">
        <f>IFERROR(__xludf.DUMMYFUNCTION("""COMPUTED_VALUE"""),"No")</f>
        <v>No</v>
      </c>
      <c r="P87" s="26"/>
    </row>
    <row r="88">
      <c r="A88" s="13" t="str">
        <f>IFERROR(__xludf.DUMMYFUNCTION("""COMPUTED_VALUE"""),"Assassin's Creed Origins")</f>
        <v>Assassin's Creed Origins</v>
      </c>
      <c r="B88" s="15" t="str">
        <f>IFERROR(__xludf.DUMMYFUNCTION("""COMPUTED_VALUE"""),"PS4")</f>
        <v>PS4</v>
      </c>
      <c r="C88" s="16" t="str">
        <f>IFERROR(__xludf.DUMMYFUNCTION("""COMPUTED_VALUE"""),"Extra (Ubisoft+ Classics)")</f>
        <v>Extra (Ubisoft+ Classics)</v>
      </c>
      <c r="D88" s="15" t="str">
        <f>IFERROR(__xludf.DUMMYFUNCTION("""COMPUTED_VALUE"""),"Active")</f>
        <v>Active</v>
      </c>
      <c r="E88" s="17">
        <f>IFERROR(__xludf.DUMMYFUNCTION("""COMPUTED_VALUE"""),44824.0)</f>
        <v>44824</v>
      </c>
      <c r="F88" s="54"/>
      <c r="G88" s="19">
        <f>IFERROR(__xludf.DUMMYFUNCTION("""COMPUTED_VALUE"""),48.53333333333333)</f>
        <v>48.53333333</v>
      </c>
      <c r="H88" s="17">
        <f>IFERROR(__xludf.DUMMYFUNCTION("""COMPUTED_VALUE"""),43035.0)</f>
        <v>43035</v>
      </c>
      <c r="I88" s="19">
        <f>IFERROR(__xludf.DUMMYFUNCTION("""COMPUTED_VALUE"""),4.897222222222222)</f>
        <v>4.897222222</v>
      </c>
      <c r="J88" s="21">
        <f>IFERROR(__xludf.DUMMYFUNCTION("""COMPUTED_VALUE"""),81.0)</f>
        <v>81</v>
      </c>
      <c r="K88" s="23">
        <f>IFERROR(__xludf.DUMMYFUNCTION("""COMPUTED_VALUE"""),7.2)</f>
        <v>7.2</v>
      </c>
      <c r="L88" s="24">
        <f>IFERROR(__xludf.DUMMYFUNCTION("""COMPUTED_VALUE"""),30.0)</f>
        <v>30</v>
      </c>
      <c r="M88" s="25" t="str">
        <f>IFERROR(__xludf.DUMMYFUNCTION("""COMPUTED_VALUE"""),"RPG")</f>
        <v>RPG</v>
      </c>
      <c r="N88" s="25"/>
      <c r="O88" s="25" t="str">
        <f>IFERROR(__xludf.DUMMYFUNCTION("""COMPUTED_VALUE"""),"Yes")</f>
        <v>Yes</v>
      </c>
      <c r="P88" s="26"/>
    </row>
    <row r="89">
      <c r="A89" s="13" t="str">
        <f>IFERROR(__xludf.DUMMYFUNCTION("""COMPUTED_VALUE"""),"Rayman Legends")</f>
        <v>Rayman Legends</v>
      </c>
      <c r="B89" s="15" t="str">
        <f>IFERROR(__xludf.DUMMYFUNCTION("""COMPUTED_VALUE"""),"PS4")</f>
        <v>PS4</v>
      </c>
      <c r="C89" s="16" t="str">
        <f>IFERROR(__xludf.DUMMYFUNCTION("""COMPUTED_VALUE"""),"Extra (Ubisoft+ Classics)")</f>
        <v>Extra (Ubisoft+ Classics)</v>
      </c>
      <c r="D89" s="15" t="str">
        <f>IFERROR(__xludf.DUMMYFUNCTION("""COMPUTED_VALUE"""),"Active")</f>
        <v>Active</v>
      </c>
      <c r="E89" s="17">
        <f>IFERROR(__xludf.DUMMYFUNCTION("""COMPUTED_VALUE"""),44824.0)</f>
        <v>44824</v>
      </c>
      <c r="F89" s="54"/>
      <c r="G89" s="19">
        <f>IFERROR(__xludf.DUMMYFUNCTION("""COMPUTED_VALUE"""),48.53333333333333)</f>
        <v>48.53333333</v>
      </c>
      <c r="H89" s="17">
        <f>IFERROR(__xludf.DUMMYFUNCTION("""COMPUTED_VALUE"""),41515.0)</f>
        <v>41515</v>
      </c>
      <c r="I89" s="19">
        <f>IFERROR(__xludf.DUMMYFUNCTION("""COMPUTED_VALUE"""),9.058333333333334)</f>
        <v>9.058333333</v>
      </c>
      <c r="J89" s="21">
        <f>IFERROR(__xludf.DUMMYFUNCTION("""COMPUTED_VALUE"""),90.0)</f>
        <v>90</v>
      </c>
      <c r="K89" s="23">
        <f>IFERROR(__xludf.DUMMYFUNCTION("""COMPUTED_VALUE"""),8.3)</f>
        <v>8.3</v>
      </c>
      <c r="L89" s="24">
        <f>IFERROR(__xludf.DUMMYFUNCTION("""COMPUTED_VALUE"""),10.0)</f>
        <v>10</v>
      </c>
      <c r="M89" s="25" t="str">
        <f>IFERROR(__xludf.DUMMYFUNCTION("""COMPUTED_VALUE"""),"Platformer")</f>
        <v>Platformer</v>
      </c>
      <c r="N89" s="25"/>
      <c r="O89" s="25" t="str">
        <f>IFERROR(__xludf.DUMMYFUNCTION("""COMPUTED_VALUE"""),"Yes")</f>
        <v>Yes</v>
      </c>
      <c r="P89" s="26"/>
    </row>
    <row r="90">
      <c r="A90" s="13" t="str">
        <f>IFERROR(__xludf.DUMMYFUNCTION("""COMPUTED_VALUE"""),"Syphon Filter 2")</f>
        <v>Syphon Filter 2</v>
      </c>
      <c r="B90" s="15" t="str">
        <f>IFERROR(__xludf.DUMMYFUNCTION("""COMPUTED_VALUE"""),"PS5/PS4")</f>
        <v>PS5/PS4</v>
      </c>
      <c r="C90" s="16" t="str">
        <f>IFERROR(__xludf.DUMMYFUNCTION("""COMPUTED_VALUE"""),"Premium (Classics)")</f>
        <v>Premium (Classics)</v>
      </c>
      <c r="D90" s="15" t="str">
        <f>IFERROR(__xludf.DUMMYFUNCTION("""COMPUTED_VALUE"""),"Active")</f>
        <v>Active</v>
      </c>
      <c r="E90" s="17">
        <f>IFERROR(__xludf.DUMMYFUNCTION("""COMPUTED_VALUE"""),44824.0)</f>
        <v>44824</v>
      </c>
      <c r="F90" s="54"/>
      <c r="G90" s="19">
        <f>IFERROR(__xludf.DUMMYFUNCTION("""COMPUTED_VALUE"""),48.53333333333333)</f>
        <v>48.53333333</v>
      </c>
      <c r="H90" s="17">
        <f>IFERROR(__xludf.DUMMYFUNCTION("""COMPUTED_VALUE"""),36599.0)</f>
        <v>36599</v>
      </c>
      <c r="I90" s="19">
        <f>IFERROR(__xludf.DUMMYFUNCTION("""COMPUTED_VALUE"""),22.516666666666666)</f>
        <v>22.51666667</v>
      </c>
      <c r="J90" s="21">
        <f>IFERROR(__xludf.DUMMYFUNCTION("""COMPUTED_VALUE"""),81.0)</f>
        <v>81</v>
      </c>
      <c r="K90" s="23">
        <f>IFERROR(__xludf.DUMMYFUNCTION("""COMPUTED_VALUE"""),8.7)</f>
        <v>8.7</v>
      </c>
      <c r="L90" s="24">
        <f>IFERROR(__xludf.DUMMYFUNCTION("""COMPUTED_VALUE"""),10.0)</f>
        <v>10</v>
      </c>
      <c r="M90" s="25" t="str">
        <f>IFERROR(__xludf.DUMMYFUNCTION("""COMPUTED_VALUE"""),"Shooter")</f>
        <v>Shooter</v>
      </c>
      <c r="N90" s="25" t="str">
        <f>IFERROR(__xludf.DUMMYFUNCTION("""COMPUTED_VALUE"""),"PS1")</f>
        <v>PS1</v>
      </c>
      <c r="O90" s="25" t="str">
        <f>IFERROR(__xludf.DUMMYFUNCTION("""COMPUTED_VALUE"""),"Yes")</f>
        <v>Yes</v>
      </c>
      <c r="P90" s="26" t="str">
        <f>IFERROR(__xludf.DUMMYFUNCTION("""COMPUTED_VALUE"""),"")</f>
        <v/>
      </c>
    </row>
    <row r="91">
      <c r="A91" s="13" t="str">
        <f>IFERROR(__xludf.DUMMYFUNCTION("""COMPUTED_VALUE"""),"Kingdom of Paradise")</f>
        <v>Kingdom of Paradise</v>
      </c>
      <c r="B91" s="15" t="str">
        <f>IFERROR(__xludf.DUMMYFUNCTION("""COMPUTED_VALUE"""),"PS5/PS4")</f>
        <v>PS5/PS4</v>
      </c>
      <c r="C91" s="16" t="str">
        <f>IFERROR(__xludf.DUMMYFUNCTION("""COMPUTED_VALUE"""),"Premium (Classics)")</f>
        <v>Premium (Classics)</v>
      </c>
      <c r="D91" s="15" t="str">
        <f>IFERROR(__xludf.DUMMYFUNCTION("""COMPUTED_VALUE"""),"Active")</f>
        <v>Active</v>
      </c>
      <c r="E91" s="17">
        <f>IFERROR(__xludf.DUMMYFUNCTION("""COMPUTED_VALUE"""),44824.0)</f>
        <v>44824</v>
      </c>
      <c r="F91" s="54"/>
      <c r="G91" s="19">
        <f>IFERROR(__xludf.DUMMYFUNCTION("""COMPUTED_VALUE"""),48.53333333333333)</f>
        <v>48.53333333</v>
      </c>
      <c r="H91" s="17">
        <f>IFERROR(__xludf.DUMMYFUNCTION("""COMPUTED_VALUE"""),38671.0)</f>
        <v>38671</v>
      </c>
      <c r="I91" s="19">
        <f>IFERROR(__xludf.DUMMYFUNCTION("""COMPUTED_VALUE"""),16.84722222222222)</f>
        <v>16.84722222</v>
      </c>
      <c r="J91" s="21">
        <f>IFERROR(__xludf.DUMMYFUNCTION("""COMPUTED_VALUE"""),72.0)</f>
        <v>72</v>
      </c>
      <c r="K91" s="23">
        <f>IFERROR(__xludf.DUMMYFUNCTION("""COMPUTED_VALUE"""),7.5)</f>
        <v>7.5</v>
      </c>
      <c r="L91" s="24">
        <f>IFERROR(__xludf.DUMMYFUNCTION("""COMPUTED_VALUE"""),22.0)</f>
        <v>22</v>
      </c>
      <c r="M91" s="25" t="str">
        <f>IFERROR(__xludf.DUMMYFUNCTION("""COMPUTED_VALUE"""),"Action-Adventure")</f>
        <v>Action-Adventure</v>
      </c>
      <c r="N91" s="25" t="str">
        <f>IFERROR(__xludf.DUMMYFUNCTION("""COMPUTED_VALUE"""),"PSP")</f>
        <v>PSP</v>
      </c>
      <c r="O91" s="25" t="str">
        <f>IFERROR(__xludf.DUMMYFUNCTION("""COMPUTED_VALUE"""),"Yes")</f>
        <v>Yes</v>
      </c>
      <c r="P91" s="26"/>
    </row>
    <row r="92">
      <c r="A92" s="13" t="str">
        <f>IFERROR(__xludf.DUMMYFUNCTION("""COMPUTED_VALUE"""),"Bentley's Hackpack")</f>
        <v>Bentley's Hackpack</v>
      </c>
      <c r="B92" s="15" t="str">
        <f>IFERROR(__xludf.DUMMYFUNCTION("""COMPUTED_VALUE"""),"PS5/PS4")</f>
        <v>PS5/PS4</v>
      </c>
      <c r="C92" s="16" t="str">
        <f>IFERROR(__xludf.DUMMYFUNCTION("""COMPUTED_VALUE"""),"Premium (Streaming Only)")</f>
        <v>Premium (Streaming Only)</v>
      </c>
      <c r="D92" s="15" t="str">
        <f>IFERROR(__xludf.DUMMYFUNCTION("""COMPUTED_VALUE"""),"Active")</f>
        <v>Active</v>
      </c>
      <c r="E92" s="17">
        <f>IFERROR(__xludf.DUMMYFUNCTION("""COMPUTED_VALUE"""),44824.0)</f>
        <v>44824</v>
      </c>
      <c r="F92" s="54"/>
      <c r="G92" s="19">
        <f>IFERROR(__xludf.DUMMYFUNCTION("""COMPUTED_VALUE"""),48.53333333333333)</f>
        <v>48.53333333</v>
      </c>
      <c r="H92" s="17">
        <f>IFERROR(__xludf.DUMMYFUNCTION("""COMPUTED_VALUE"""),41310.0)</f>
        <v>41310</v>
      </c>
      <c r="I92" s="19">
        <f>IFERROR(__xludf.DUMMYFUNCTION("""COMPUTED_VALUE"""),9.625)</f>
        <v>9.625</v>
      </c>
      <c r="J92" s="21">
        <f>IFERROR(__xludf.DUMMYFUNCTION("""COMPUTED_VALUE"""),73.0)</f>
        <v>73</v>
      </c>
      <c r="K92" s="23">
        <f>IFERROR(__xludf.DUMMYFUNCTION("""COMPUTED_VALUE"""),7.8)</f>
        <v>7.8</v>
      </c>
      <c r="L92" s="24">
        <f>IFERROR(__xludf.DUMMYFUNCTION("""COMPUTED_VALUE"""),6.0)</f>
        <v>6</v>
      </c>
      <c r="M92" s="25" t="str">
        <f>IFERROR(__xludf.DUMMYFUNCTION("""COMPUTED_VALUE"""),"Compilation")</f>
        <v>Compilation</v>
      </c>
      <c r="N92" s="25" t="str">
        <f>IFERROR(__xludf.DUMMYFUNCTION("""COMPUTED_VALUE"""),"PS3")</f>
        <v>PS3</v>
      </c>
      <c r="O92" s="25" t="str">
        <f>IFERROR(__xludf.DUMMYFUNCTION("""COMPUTED_VALUE"""),"Yes")</f>
        <v>Yes</v>
      </c>
      <c r="P92" s="26"/>
    </row>
    <row r="93">
      <c r="A93" s="13" t="str">
        <f>IFERROR(__xludf.DUMMYFUNCTION("""COMPUTED_VALUE"""),"The Sly Collection")</f>
        <v>The Sly Collection</v>
      </c>
      <c r="B93" s="15" t="str">
        <f>IFERROR(__xludf.DUMMYFUNCTION("""COMPUTED_VALUE"""),"PS5/PS4")</f>
        <v>PS5/PS4</v>
      </c>
      <c r="C93" s="16" t="str">
        <f>IFERROR(__xludf.DUMMYFUNCTION("""COMPUTED_VALUE"""),"Premium (Streaming Only)")</f>
        <v>Premium (Streaming Only)</v>
      </c>
      <c r="D93" s="15" t="str">
        <f>IFERROR(__xludf.DUMMYFUNCTION("""COMPUTED_VALUE"""),"Active")</f>
        <v>Active</v>
      </c>
      <c r="E93" s="17">
        <f>IFERROR(__xludf.DUMMYFUNCTION("""COMPUTED_VALUE"""),44824.0)</f>
        <v>44824</v>
      </c>
      <c r="F93" s="18"/>
      <c r="G93" s="19">
        <f>IFERROR(__xludf.DUMMYFUNCTION("""COMPUTED_VALUE"""),48.53333333333333)</f>
        <v>48.53333333</v>
      </c>
      <c r="H93" s="17">
        <f>IFERROR(__xludf.DUMMYFUNCTION("""COMPUTED_VALUE"""),40491.0)</f>
        <v>40491</v>
      </c>
      <c r="I93" s="19">
        <f>IFERROR(__xludf.DUMMYFUNCTION("""COMPUTED_VALUE"""),11.863888888888889)</f>
        <v>11.86388889</v>
      </c>
      <c r="J93" s="21">
        <f>IFERROR(__xludf.DUMMYFUNCTION("""COMPUTED_VALUE"""),85.0)</f>
        <v>85</v>
      </c>
      <c r="K93" s="23">
        <f>IFERROR(__xludf.DUMMYFUNCTION("""COMPUTED_VALUE"""),8.7)</f>
        <v>8.7</v>
      </c>
      <c r="L93" s="17">
        <f>IFERROR(__xludf.DUMMYFUNCTION("""COMPUTED_VALUE"""),31.5)</f>
        <v>31.5</v>
      </c>
      <c r="M93" s="25" t="str">
        <f>IFERROR(__xludf.DUMMYFUNCTION("""COMPUTED_VALUE"""),"Platformer")</f>
        <v>Platformer</v>
      </c>
      <c r="N93" s="25" t="str">
        <f>IFERROR(__xludf.DUMMYFUNCTION("""COMPUTED_VALUE"""),"PS3")</f>
        <v>PS3</v>
      </c>
      <c r="O93" s="25" t="str">
        <f>IFERROR(__xludf.DUMMYFUNCTION("""COMPUTED_VALUE"""),"Yes")</f>
        <v>Yes</v>
      </c>
      <c r="P93" s="26"/>
    </row>
    <row r="94">
      <c r="A94" s="13" t="str">
        <f>IFERROR(__xludf.DUMMYFUNCTION("""COMPUTED_VALUE"""),"Sly Cooper: Thieves in Time")</f>
        <v>Sly Cooper: Thieves in Time</v>
      </c>
      <c r="B94" s="15" t="str">
        <f>IFERROR(__xludf.DUMMYFUNCTION("""COMPUTED_VALUE"""),"PS5/PS4")</f>
        <v>PS5/PS4</v>
      </c>
      <c r="C94" s="16" t="str">
        <f>IFERROR(__xludf.DUMMYFUNCTION("""COMPUTED_VALUE"""),"Premium (Streaming Only)")</f>
        <v>Premium (Streaming Only)</v>
      </c>
      <c r="D94" s="15" t="str">
        <f>IFERROR(__xludf.DUMMYFUNCTION("""COMPUTED_VALUE"""),"Active")</f>
        <v>Active</v>
      </c>
      <c r="E94" s="17">
        <f>IFERROR(__xludf.DUMMYFUNCTION("""COMPUTED_VALUE"""),44824.0)</f>
        <v>44824</v>
      </c>
      <c r="F94" s="18"/>
      <c r="G94" s="19">
        <f>IFERROR(__xludf.DUMMYFUNCTION("""COMPUTED_VALUE"""),48.53333333333333)</f>
        <v>48.53333333</v>
      </c>
      <c r="H94" s="17">
        <f>IFERROR(__xludf.DUMMYFUNCTION("""COMPUTED_VALUE"""),41310.0)</f>
        <v>41310</v>
      </c>
      <c r="I94" s="19">
        <f>IFERROR(__xludf.DUMMYFUNCTION("""COMPUTED_VALUE"""),9.625)</f>
        <v>9.625</v>
      </c>
      <c r="J94" s="21">
        <f>IFERROR(__xludf.DUMMYFUNCTION("""COMPUTED_VALUE"""),75.0)</f>
        <v>75</v>
      </c>
      <c r="K94" s="23">
        <f>IFERROR(__xludf.DUMMYFUNCTION("""COMPUTED_VALUE"""),8.2)</f>
        <v>8.2</v>
      </c>
      <c r="L94" s="24">
        <f>IFERROR(__xludf.DUMMYFUNCTION("""COMPUTED_VALUE"""),13.0)</f>
        <v>13</v>
      </c>
      <c r="M94" s="25" t="str">
        <f>IFERROR(__xludf.DUMMYFUNCTION("""COMPUTED_VALUE"""),"Platformer")</f>
        <v>Platformer</v>
      </c>
      <c r="N94" s="25" t="str">
        <f>IFERROR(__xludf.DUMMYFUNCTION("""COMPUTED_VALUE"""),"PS3")</f>
        <v>PS3</v>
      </c>
      <c r="O94" s="25" t="str">
        <f>IFERROR(__xludf.DUMMYFUNCTION("""COMPUTED_VALUE"""),"Yes")</f>
        <v>Yes</v>
      </c>
      <c r="P94" s="26"/>
    </row>
    <row r="95">
      <c r="A95" s="13" t="str">
        <f>IFERROR(__xludf.DUMMYFUNCTION("""COMPUTED_VALUE"""),"Totally Reliable Delivery Service")</f>
        <v>Totally Reliable Delivery Service</v>
      </c>
      <c r="B95" s="15" t="str">
        <f>IFERROR(__xludf.DUMMYFUNCTION("""COMPUTED_VALUE"""),"PS4")</f>
        <v>PS4</v>
      </c>
      <c r="C95" s="16" t="str">
        <f>IFERROR(__xludf.DUMMYFUNCTION("""COMPUTED_VALUE"""),"Extra")</f>
        <v>Extra</v>
      </c>
      <c r="D95" s="15" t="str">
        <f>IFERROR(__xludf.DUMMYFUNCTION("""COMPUTED_VALUE"""),"Active")</f>
        <v>Active</v>
      </c>
      <c r="E95" s="17">
        <f>IFERROR(__xludf.DUMMYFUNCTION("""COMPUTED_VALUE"""),44502.0)</f>
        <v>44502</v>
      </c>
      <c r="F95" s="18"/>
      <c r="G95" s="19">
        <f>IFERROR(__xludf.DUMMYFUNCTION("""COMPUTED_VALUE"""),59.13333333333334)</f>
        <v>59.13333333</v>
      </c>
      <c r="H95" s="17">
        <f>IFERROR(__xludf.DUMMYFUNCTION("""COMPUTED_VALUE"""),43922.0)</f>
        <v>43922</v>
      </c>
      <c r="I95" s="19">
        <f>IFERROR(__xludf.DUMMYFUNCTION("""COMPUTED_VALUE"""),1.586111111111111)</f>
        <v>1.586111111</v>
      </c>
      <c r="J95" s="21">
        <f>IFERROR(__xludf.DUMMYFUNCTION("""COMPUTED_VALUE"""),62.0)</f>
        <v>62</v>
      </c>
      <c r="K95" s="23">
        <f>IFERROR(__xludf.DUMMYFUNCTION("""COMPUTED_VALUE"""),6.0)</f>
        <v>6</v>
      </c>
      <c r="L95" s="24">
        <f>IFERROR(__xludf.DUMMYFUNCTION("""COMPUTED_VALUE"""),4.0)</f>
        <v>4</v>
      </c>
      <c r="M95" s="25" t="str">
        <f>IFERROR(__xludf.DUMMYFUNCTION("""COMPUTED_VALUE"""),"Platformer")</f>
        <v>Platformer</v>
      </c>
      <c r="N95" s="25"/>
      <c r="O95" s="25" t="str">
        <f>IFERROR(__xludf.DUMMYFUNCTION("""COMPUTED_VALUE"""),"No")</f>
        <v>No</v>
      </c>
      <c r="P95" s="26" t="str">
        <f>IFERROR(__xludf.DUMMYFUNCTION("""COMPUTED_VALUE"""),"Yes")</f>
        <v>Yes</v>
      </c>
    </row>
    <row r="96">
      <c r="A96" s="13" t="str">
        <f>IFERROR(__xludf.DUMMYFUNCTION("""COMPUTED_VALUE"""),"Yet Another Zombie Defense")</f>
        <v>Yet Another Zombie Defense</v>
      </c>
      <c r="B96" s="15" t="str">
        <f>IFERROR(__xludf.DUMMYFUNCTION("""COMPUTED_VALUE"""),"PS4")</f>
        <v>PS4</v>
      </c>
      <c r="C96" s="16" t="str">
        <f>IFERROR(__xludf.DUMMYFUNCTION("""COMPUTED_VALUE"""),"Extra")</f>
        <v>Extra</v>
      </c>
      <c r="D96" s="15" t="str">
        <f>IFERROR(__xludf.DUMMYFUNCTION("""COMPUTED_VALUE"""),"Active")</f>
        <v>Active</v>
      </c>
      <c r="E96" s="17">
        <f>IFERROR(__xludf.DUMMYFUNCTION("""COMPUTED_VALUE"""),44474.0)</f>
        <v>44474</v>
      </c>
      <c r="F96" s="54"/>
      <c r="G96" s="19">
        <f>IFERROR(__xludf.DUMMYFUNCTION("""COMPUTED_VALUE"""),60.03333333333334)</f>
        <v>60.03333333</v>
      </c>
      <c r="H96" s="17">
        <f>IFERROR(__xludf.DUMMYFUNCTION("""COMPUTED_VALUE"""),43656.0)</f>
        <v>43656</v>
      </c>
      <c r="I96" s="19">
        <f>IFERROR(__xludf.DUMMYFUNCTION("""COMPUTED_VALUE"""),2.236111111111111)</f>
        <v>2.236111111</v>
      </c>
      <c r="J96" s="21">
        <f>IFERROR(__xludf.DUMMYFUNCTION("""COMPUTED_VALUE"""),55.0)</f>
        <v>55</v>
      </c>
      <c r="K96" s="23">
        <f>IFERROR(__xludf.DUMMYFUNCTION("""COMPUTED_VALUE"""),6.2)</f>
        <v>6.2</v>
      </c>
      <c r="L96" s="24">
        <f>IFERROR(__xludf.DUMMYFUNCTION("""COMPUTED_VALUE"""),2.0)</f>
        <v>2</v>
      </c>
      <c r="M96" s="25" t="str">
        <f>IFERROR(__xludf.DUMMYFUNCTION("""COMPUTED_VALUE"""),"Shooter")</f>
        <v>Shooter</v>
      </c>
      <c r="N96" s="25"/>
      <c r="O96" s="25" t="str">
        <f>IFERROR(__xludf.DUMMYFUNCTION("""COMPUTED_VALUE"""),"Yes")</f>
        <v>Yes</v>
      </c>
      <c r="P96" s="26" t="str">
        <f>IFERROR(__xludf.DUMMYFUNCTION("""COMPUTED_VALUE"""),"Yes")</f>
        <v>Yes</v>
      </c>
    </row>
    <row r="97">
      <c r="A97" s="52"/>
      <c r="B97" s="15"/>
      <c r="C97" s="16"/>
      <c r="D97" s="15"/>
      <c r="E97" s="17"/>
      <c r="F97" s="54"/>
      <c r="G97" s="19"/>
      <c r="H97" s="17"/>
      <c r="I97" s="19"/>
      <c r="J97" s="21"/>
      <c r="K97" s="57"/>
      <c r="L97" s="24"/>
      <c r="M97" s="25"/>
      <c r="N97" s="25"/>
      <c r="O97" s="25"/>
      <c r="P97" s="26"/>
    </row>
    <row r="98">
      <c r="A98" s="52"/>
      <c r="B98" s="15"/>
      <c r="C98" s="16"/>
      <c r="D98" s="15"/>
      <c r="E98" s="17"/>
      <c r="F98" s="54"/>
      <c r="G98" s="19"/>
      <c r="H98" s="17"/>
      <c r="I98" s="19"/>
      <c r="J98" s="21"/>
      <c r="K98" s="57"/>
      <c r="L98" s="24"/>
      <c r="M98" s="25"/>
      <c r="N98" s="25"/>
      <c r="O98" s="25"/>
      <c r="P98" s="26"/>
    </row>
    <row r="99">
      <c r="A99" s="52"/>
      <c r="B99" s="15"/>
      <c r="C99" s="16"/>
      <c r="D99" s="15"/>
      <c r="E99" s="17"/>
      <c r="F99" s="54"/>
      <c r="G99" s="19"/>
      <c r="H99" s="17"/>
      <c r="I99" s="19"/>
      <c r="J99" s="21"/>
      <c r="K99" s="57"/>
      <c r="L99" s="24"/>
      <c r="M99" s="25"/>
      <c r="N99" s="25"/>
      <c r="O99" s="25"/>
      <c r="P99" s="26"/>
    </row>
    <row r="100">
      <c r="A100" s="52"/>
      <c r="B100" s="15"/>
      <c r="C100" s="16"/>
      <c r="D100" s="15"/>
      <c r="E100" s="17"/>
      <c r="F100" s="54"/>
      <c r="G100" s="19"/>
      <c r="H100" s="17"/>
      <c r="I100" s="19"/>
      <c r="J100" s="21"/>
      <c r="K100" s="57"/>
      <c r="L100" s="24"/>
      <c r="M100" s="25"/>
      <c r="N100" s="25"/>
      <c r="O100" s="25"/>
      <c r="P100" s="26"/>
    </row>
    <row r="101">
      <c r="A101" s="52"/>
      <c r="B101" s="15"/>
      <c r="C101" s="16"/>
      <c r="D101" s="15"/>
      <c r="E101" s="17"/>
      <c r="F101" s="54"/>
      <c r="G101" s="19"/>
      <c r="H101" s="17"/>
      <c r="I101" s="19"/>
      <c r="J101" s="21"/>
      <c r="K101" s="57"/>
      <c r="L101" s="24"/>
      <c r="M101" s="25"/>
      <c r="N101" s="25"/>
      <c r="O101" s="25"/>
      <c r="P101" s="26"/>
    </row>
    <row r="102">
      <c r="A102" s="52"/>
      <c r="B102" s="15"/>
      <c r="C102" s="16"/>
      <c r="D102" s="15"/>
      <c r="E102" s="17"/>
      <c r="F102" s="54"/>
      <c r="G102" s="19"/>
      <c r="H102" s="17"/>
      <c r="I102" s="19"/>
      <c r="J102" s="21"/>
      <c r="K102" s="57"/>
      <c r="L102" s="24"/>
      <c r="M102" s="25"/>
      <c r="N102" s="25"/>
      <c r="O102" s="25"/>
      <c r="P102" s="26"/>
    </row>
    <row r="103">
      <c r="A103" s="52"/>
      <c r="B103" s="15"/>
      <c r="C103" s="16"/>
      <c r="D103" s="15"/>
      <c r="E103" s="17"/>
      <c r="F103" s="54"/>
      <c r="G103" s="19"/>
      <c r="H103" s="17"/>
      <c r="I103" s="19"/>
      <c r="J103" s="21"/>
      <c r="K103" s="57"/>
      <c r="L103" s="24"/>
      <c r="M103" s="25"/>
      <c r="N103" s="25"/>
      <c r="O103" s="25"/>
      <c r="P103" s="26"/>
    </row>
    <row r="104">
      <c r="A104" s="52"/>
      <c r="B104" s="15"/>
      <c r="C104" s="16"/>
      <c r="D104" s="15"/>
      <c r="E104" s="17"/>
      <c r="F104" s="54"/>
      <c r="G104" s="19"/>
      <c r="H104" s="17"/>
      <c r="I104" s="19"/>
      <c r="J104" s="21"/>
      <c r="K104" s="57"/>
      <c r="L104" s="24"/>
      <c r="M104" s="25"/>
      <c r="N104" s="25"/>
      <c r="O104" s="25"/>
      <c r="P104" s="26"/>
    </row>
    <row r="105">
      <c r="A105" s="52"/>
      <c r="B105" s="15"/>
      <c r="C105" s="16"/>
      <c r="D105" s="15"/>
      <c r="E105" s="17"/>
      <c r="F105" s="18"/>
      <c r="G105" s="19"/>
      <c r="H105" s="17"/>
      <c r="I105" s="19"/>
      <c r="J105" s="21"/>
      <c r="K105" s="57"/>
      <c r="L105" s="24"/>
      <c r="M105" s="25"/>
      <c r="N105" s="25"/>
      <c r="O105" s="25"/>
      <c r="P105" s="26"/>
    </row>
    <row r="106">
      <c r="A106" s="52"/>
      <c r="B106" s="15"/>
      <c r="C106" s="16"/>
      <c r="D106" s="15"/>
      <c r="E106" s="17"/>
      <c r="F106" s="54"/>
      <c r="G106" s="19"/>
      <c r="H106" s="17"/>
      <c r="I106" s="19"/>
      <c r="J106" s="21"/>
      <c r="K106" s="57"/>
      <c r="L106" s="24"/>
      <c r="M106" s="25"/>
      <c r="N106" s="25"/>
      <c r="O106" s="25"/>
      <c r="P106" s="26"/>
    </row>
    <row r="107">
      <c r="A107" s="52"/>
      <c r="B107" s="15"/>
      <c r="C107" s="16"/>
      <c r="D107" s="15"/>
      <c r="E107" s="17"/>
      <c r="F107" s="54"/>
      <c r="G107" s="19"/>
      <c r="H107" s="17"/>
      <c r="I107" s="19"/>
      <c r="J107" s="21"/>
      <c r="K107" s="57"/>
      <c r="L107" s="24"/>
      <c r="M107" s="25"/>
      <c r="N107" s="25"/>
      <c r="O107" s="25"/>
      <c r="P107" s="26"/>
    </row>
    <row r="108">
      <c r="A108" s="52"/>
      <c r="B108" s="15"/>
      <c r="C108" s="16"/>
      <c r="D108" s="15"/>
      <c r="E108" s="17"/>
      <c r="F108" s="54"/>
      <c r="G108" s="19"/>
      <c r="H108" s="17"/>
      <c r="I108" s="19"/>
      <c r="J108" s="21"/>
      <c r="K108" s="57"/>
      <c r="L108" s="24"/>
      <c r="M108" s="25"/>
      <c r="N108" s="25"/>
      <c r="O108" s="25"/>
      <c r="P108" s="26"/>
    </row>
    <row r="109">
      <c r="A109" s="52"/>
      <c r="B109" s="15"/>
      <c r="C109" s="16"/>
      <c r="D109" s="15"/>
      <c r="E109" s="17"/>
      <c r="F109" s="54"/>
      <c r="G109" s="19"/>
      <c r="H109" s="17"/>
      <c r="I109" s="19"/>
      <c r="J109" s="21"/>
      <c r="K109" s="57"/>
      <c r="L109" s="24"/>
      <c r="M109" s="25"/>
      <c r="N109" s="25"/>
      <c r="O109" s="25"/>
      <c r="P109" s="26"/>
    </row>
    <row r="110">
      <c r="A110" s="52"/>
      <c r="B110" s="15"/>
      <c r="C110" s="16"/>
      <c r="D110" s="15"/>
      <c r="E110" s="17"/>
      <c r="F110" s="54"/>
      <c r="G110" s="19"/>
      <c r="H110" s="17"/>
      <c r="I110" s="19"/>
      <c r="J110" s="21"/>
      <c r="K110" s="57"/>
      <c r="L110" s="24"/>
      <c r="M110" s="25"/>
      <c r="N110" s="25"/>
      <c r="O110" s="25"/>
      <c r="P110" s="26"/>
    </row>
    <row r="111">
      <c r="A111" s="52"/>
      <c r="B111" s="15"/>
      <c r="C111" s="16"/>
      <c r="D111" s="15"/>
      <c r="E111" s="17"/>
      <c r="F111" s="54"/>
      <c r="G111" s="19"/>
      <c r="H111" s="17"/>
      <c r="I111" s="19"/>
      <c r="J111" s="21"/>
      <c r="K111" s="57"/>
      <c r="L111" s="24"/>
      <c r="M111" s="25"/>
      <c r="N111" s="25"/>
      <c r="O111" s="25"/>
      <c r="P111" s="26"/>
    </row>
    <row r="112">
      <c r="A112" s="52"/>
      <c r="B112" s="15"/>
      <c r="C112" s="16"/>
      <c r="D112" s="15"/>
      <c r="E112" s="17"/>
      <c r="F112" s="54"/>
      <c r="G112" s="19"/>
      <c r="H112" s="17"/>
      <c r="I112" s="19"/>
      <c r="J112" s="21"/>
      <c r="K112" s="57"/>
      <c r="L112" s="24"/>
      <c r="M112" s="25"/>
      <c r="N112" s="25"/>
      <c r="O112" s="25"/>
      <c r="P112" s="26"/>
    </row>
    <row r="113">
      <c r="A113" s="52"/>
      <c r="B113" s="15"/>
      <c r="C113" s="16"/>
      <c r="D113" s="15"/>
      <c r="E113" s="17"/>
      <c r="F113" s="54"/>
      <c r="G113" s="19"/>
      <c r="H113" s="17"/>
      <c r="I113" s="19"/>
      <c r="J113" s="21"/>
      <c r="K113" s="57"/>
      <c r="L113" s="24"/>
      <c r="M113" s="25"/>
      <c r="N113" s="25"/>
      <c r="O113" s="25"/>
      <c r="P113" s="26"/>
    </row>
    <row r="114">
      <c r="A114" s="52"/>
      <c r="B114" s="15"/>
      <c r="C114" s="16"/>
      <c r="D114" s="15"/>
      <c r="E114" s="17"/>
      <c r="F114" s="54"/>
      <c r="G114" s="19"/>
      <c r="H114" s="17"/>
      <c r="I114" s="19"/>
      <c r="J114" s="21"/>
      <c r="K114" s="57"/>
      <c r="L114" s="24"/>
      <c r="M114" s="25"/>
      <c r="N114" s="25"/>
      <c r="O114" s="25"/>
      <c r="P114" s="26"/>
    </row>
    <row r="115">
      <c r="A115" s="52"/>
      <c r="B115" s="15"/>
      <c r="C115" s="16"/>
      <c r="D115" s="15"/>
      <c r="E115" s="17"/>
      <c r="F115" s="54"/>
      <c r="G115" s="19"/>
      <c r="H115" s="17"/>
      <c r="I115" s="19"/>
      <c r="J115" s="21"/>
      <c r="K115" s="57"/>
      <c r="L115" s="24"/>
      <c r="M115" s="25"/>
      <c r="N115" s="25"/>
      <c r="O115" s="25"/>
      <c r="P115" s="26"/>
    </row>
    <row r="116">
      <c r="A116" s="52"/>
      <c r="B116" s="15"/>
      <c r="C116" s="16"/>
      <c r="D116" s="15"/>
      <c r="E116" s="17"/>
      <c r="F116" s="54"/>
      <c r="G116" s="19"/>
      <c r="H116" s="17"/>
      <c r="I116" s="19"/>
      <c r="J116" s="21"/>
      <c r="K116" s="57"/>
      <c r="L116" s="24"/>
      <c r="M116" s="25"/>
      <c r="N116" s="25"/>
      <c r="O116" s="25"/>
      <c r="P116" s="26"/>
    </row>
    <row r="117">
      <c r="A117" s="52"/>
      <c r="B117" s="15"/>
      <c r="C117" s="16"/>
      <c r="D117" s="15"/>
      <c r="E117" s="17"/>
      <c r="F117" s="54"/>
      <c r="G117" s="19"/>
      <c r="H117" s="17"/>
      <c r="I117" s="19"/>
      <c r="J117" s="21"/>
      <c r="K117" s="57"/>
      <c r="L117" s="24"/>
      <c r="M117" s="25"/>
      <c r="N117" s="25"/>
      <c r="O117" s="25"/>
      <c r="P117" s="26"/>
    </row>
    <row r="118">
      <c r="A118" s="52"/>
      <c r="B118" s="15"/>
      <c r="C118" s="16"/>
      <c r="D118" s="15"/>
      <c r="E118" s="17"/>
      <c r="F118" s="54"/>
      <c r="G118" s="19"/>
      <c r="H118" s="17"/>
      <c r="I118" s="19"/>
      <c r="J118" s="21"/>
      <c r="K118" s="57"/>
      <c r="L118" s="24"/>
      <c r="M118" s="25"/>
      <c r="N118" s="25"/>
      <c r="O118" s="25"/>
      <c r="P118" s="26"/>
    </row>
    <row r="119">
      <c r="A119" s="52"/>
      <c r="B119" s="15"/>
      <c r="C119" s="16"/>
      <c r="D119" s="15"/>
      <c r="E119" s="17"/>
      <c r="F119" s="54"/>
      <c r="G119" s="19"/>
      <c r="H119" s="17"/>
      <c r="I119" s="19"/>
      <c r="J119" s="21"/>
      <c r="K119" s="57"/>
      <c r="L119" s="24"/>
      <c r="M119" s="25"/>
      <c r="N119" s="25"/>
      <c r="O119" s="25"/>
      <c r="P119" s="26"/>
    </row>
    <row r="120">
      <c r="A120" s="52"/>
      <c r="B120" s="15"/>
      <c r="C120" s="16"/>
      <c r="D120" s="15"/>
      <c r="E120" s="17"/>
      <c r="F120" s="54"/>
      <c r="G120" s="19"/>
      <c r="H120" s="17"/>
      <c r="I120" s="19"/>
      <c r="J120" s="21"/>
      <c r="K120" s="57"/>
      <c r="L120" s="24"/>
      <c r="M120" s="25"/>
      <c r="N120" s="25"/>
      <c r="O120" s="25"/>
      <c r="P120" s="26"/>
    </row>
    <row r="121">
      <c r="A121" s="52"/>
      <c r="B121" s="15"/>
      <c r="C121" s="16"/>
      <c r="D121" s="15"/>
      <c r="E121" s="17"/>
      <c r="F121" s="54"/>
      <c r="G121" s="19"/>
      <c r="H121" s="17"/>
      <c r="I121" s="19"/>
      <c r="J121" s="21"/>
      <c r="K121" s="57"/>
      <c r="L121" s="24"/>
      <c r="M121" s="25"/>
      <c r="N121" s="25"/>
      <c r="O121" s="25"/>
      <c r="P121" s="26"/>
    </row>
    <row r="122">
      <c r="A122" s="52"/>
      <c r="B122" s="15"/>
      <c r="C122" s="16"/>
      <c r="D122" s="15"/>
      <c r="E122" s="17"/>
      <c r="F122" s="54"/>
      <c r="G122" s="19"/>
      <c r="H122" s="17"/>
      <c r="I122" s="19"/>
      <c r="J122" s="21"/>
      <c r="K122" s="57"/>
      <c r="L122" s="24"/>
      <c r="M122" s="25"/>
      <c r="N122" s="25"/>
      <c r="O122" s="25"/>
      <c r="P122" s="26"/>
    </row>
    <row r="123">
      <c r="A123" s="52"/>
      <c r="B123" s="15"/>
      <c r="C123" s="16"/>
      <c r="D123" s="15"/>
      <c r="E123" s="17"/>
      <c r="F123" s="54"/>
      <c r="G123" s="19"/>
      <c r="H123" s="17"/>
      <c r="I123" s="19"/>
      <c r="J123" s="21"/>
      <c r="K123" s="57"/>
      <c r="L123" s="24"/>
      <c r="M123" s="25"/>
      <c r="N123" s="25"/>
      <c r="O123" s="25"/>
      <c r="P123" s="26"/>
    </row>
    <row r="124">
      <c r="A124" s="52"/>
      <c r="B124" s="15"/>
      <c r="C124" s="16"/>
      <c r="D124" s="15"/>
      <c r="E124" s="17"/>
      <c r="F124" s="54"/>
      <c r="G124" s="19"/>
      <c r="H124" s="17"/>
      <c r="I124" s="19"/>
      <c r="J124" s="21"/>
      <c r="K124" s="57"/>
      <c r="L124" s="24"/>
      <c r="M124" s="25"/>
      <c r="N124" s="25"/>
      <c r="O124" s="25"/>
      <c r="P124" s="26"/>
    </row>
    <row r="125">
      <c r="A125" s="52"/>
      <c r="B125" s="15"/>
      <c r="C125" s="16"/>
      <c r="D125" s="15"/>
      <c r="E125" s="17"/>
      <c r="F125" s="54"/>
      <c r="G125" s="19"/>
      <c r="H125" s="17"/>
      <c r="I125" s="19"/>
      <c r="J125" s="21"/>
      <c r="K125" s="57"/>
      <c r="L125" s="24"/>
      <c r="M125" s="25"/>
      <c r="N125" s="25"/>
      <c r="O125" s="25"/>
      <c r="P125" s="26"/>
    </row>
    <row r="126">
      <c r="A126" s="52"/>
      <c r="B126" s="15"/>
      <c r="C126" s="16"/>
      <c r="D126" s="15"/>
      <c r="E126" s="17"/>
      <c r="F126" s="54"/>
      <c r="G126" s="19"/>
      <c r="H126" s="17"/>
      <c r="I126" s="19"/>
      <c r="J126" s="21"/>
      <c r="K126" s="57"/>
      <c r="L126" s="24"/>
      <c r="M126" s="25"/>
      <c r="N126" s="25"/>
      <c r="O126" s="25"/>
      <c r="P126" s="26"/>
    </row>
    <row r="127">
      <c r="A127" s="52"/>
      <c r="B127" s="15"/>
      <c r="C127" s="16"/>
      <c r="D127" s="15"/>
      <c r="E127" s="17"/>
      <c r="F127" s="54"/>
      <c r="G127" s="19"/>
      <c r="H127" s="17"/>
      <c r="I127" s="19"/>
      <c r="J127" s="21"/>
      <c r="K127" s="57"/>
      <c r="L127" s="24"/>
      <c r="M127" s="25"/>
      <c r="N127" s="25"/>
      <c r="O127" s="25"/>
      <c r="P127" s="26"/>
    </row>
    <row r="128">
      <c r="A128" s="52"/>
      <c r="B128" s="15"/>
      <c r="C128" s="16"/>
      <c r="D128" s="15"/>
      <c r="E128" s="17"/>
      <c r="F128" s="54"/>
      <c r="G128" s="19"/>
      <c r="H128" s="17"/>
      <c r="I128" s="19"/>
      <c r="J128" s="21"/>
      <c r="K128" s="57"/>
      <c r="L128" s="24"/>
      <c r="M128" s="25"/>
      <c r="N128" s="25"/>
      <c r="O128" s="25"/>
      <c r="P128" s="26"/>
    </row>
    <row r="129">
      <c r="A129" s="52"/>
      <c r="B129" s="15"/>
      <c r="C129" s="16"/>
      <c r="D129" s="15"/>
      <c r="E129" s="17"/>
      <c r="F129" s="54"/>
      <c r="G129" s="19"/>
      <c r="H129" s="17"/>
      <c r="I129" s="19"/>
      <c r="J129" s="21"/>
      <c r="K129" s="57"/>
      <c r="L129" s="24"/>
      <c r="M129" s="25"/>
      <c r="N129" s="25"/>
      <c r="O129" s="25"/>
      <c r="P129" s="26"/>
    </row>
    <row r="130">
      <c r="A130" s="52"/>
      <c r="B130" s="15"/>
      <c r="C130" s="16"/>
      <c r="D130" s="15"/>
      <c r="E130" s="17"/>
      <c r="F130" s="54"/>
      <c r="G130" s="19"/>
      <c r="H130" s="17"/>
      <c r="I130" s="19"/>
      <c r="J130" s="21"/>
      <c r="K130" s="57"/>
      <c r="L130" s="24"/>
      <c r="M130" s="25"/>
      <c r="N130" s="25"/>
      <c r="O130" s="25"/>
      <c r="P130" s="26"/>
    </row>
    <row r="131">
      <c r="A131" s="52"/>
      <c r="B131" s="15"/>
      <c r="C131" s="16"/>
      <c r="D131" s="15"/>
      <c r="E131" s="17"/>
      <c r="F131" s="54"/>
      <c r="G131" s="19"/>
      <c r="H131" s="17"/>
      <c r="I131" s="19"/>
      <c r="J131" s="21"/>
      <c r="K131" s="57"/>
      <c r="L131" s="24"/>
      <c r="M131" s="25"/>
      <c r="N131" s="25"/>
      <c r="O131" s="25"/>
      <c r="P131" s="26"/>
    </row>
    <row r="132">
      <c r="A132" s="52"/>
      <c r="B132" s="15"/>
      <c r="C132" s="16"/>
      <c r="D132" s="15"/>
      <c r="E132" s="17"/>
      <c r="F132" s="54"/>
      <c r="G132" s="19"/>
      <c r="H132" s="17"/>
      <c r="I132" s="19"/>
      <c r="J132" s="21"/>
      <c r="K132" s="57"/>
      <c r="L132" s="24"/>
      <c r="M132" s="25"/>
      <c r="N132" s="25"/>
      <c r="O132" s="25"/>
      <c r="P132" s="26"/>
    </row>
    <row r="133">
      <c r="A133" s="52"/>
      <c r="B133" s="15"/>
      <c r="C133" s="16"/>
      <c r="D133" s="15"/>
      <c r="E133" s="17"/>
      <c r="F133" s="54"/>
      <c r="G133" s="19"/>
      <c r="H133" s="17"/>
      <c r="I133" s="19"/>
      <c r="J133" s="21"/>
      <c r="K133" s="57"/>
      <c r="L133" s="24"/>
      <c r="M133" s="68"/>
      <c r="N133" s="68"/>
      <c r="O133" s="25"/>
      <c r="P133" s="26"/>
    </row>
    <row r="134">
      <c r="A134" s="52"/>
      <c r="B134" s="15"/>
      <c r="C134" s="16"/>
      <c r="D134" s="15"/>
      <c r="E134" s="17"/>
      <c r="F134" s="54"/>
      <c r="G134" s="19"/>
      <c r="H134" s="17"/>
      <c r="I134" s="19"/>
      <c r="J134" s="21"/>
      <c r="K134" s="57"/>
      <c r="L134" s="24"/>
      <c r="M134" s="25"/>
      <c r="N134" s="25"/>
      <c r="O134" s="25"/>
      <c r="P134" s="26"/>
    </row>
    <row r="135">
      <c r="A135" s="52"/>
      <c r="B135" s="15"/>
      <c r="C135" s="16"/>
      <c r="D135" s="15"/>
      <c r="E135" s="17"/>
      <c r="F135" s="54"/>
      <c r="G135" s="19"/>
      <c r="H135" s="17"/>
      <c r="I135" s="19"/>
      <c r="J135" s="21"/>
      <c r="K135" s="57"/>
      <c r="L135" s="24"/>
      <c r="M135" s="25"/>
      <c r="N135" s="25"/>
      <c r="O135" s="25"/>
      <c r="P135" s="26"/>
    </row>
    <row r="136">
      <c r="A136" s="52"/>
      <c r="B136" s="15"/>
      <c r="C136" s="16"/>
      <c r="D136" s="15"/>
      <c r="E136" s="17"/>
      <c r="F136" s="54"/>
      <c r="G136" s="19"/>
      <c r="H136" s="17"/>
      <c r="I136" s="19"/>
      <c r="J136" s="21"/>
      <c r="K136" s="57"/>
      <c r="L136" s="24"/>
      <c r="M136" s="25"/>
      <c r="N136" s="25"/>
      <c r="O136" s="25"/>
      <c r="P136" s="26"/>
    </row>
    <row r="137">
      <c r="A137" s="52"/>
      <c r="B137" s="15"/>
      <c r="C137" s="16"/>
      <c r="D137" s="15"/>
      <c r="E137" s="17"/>
      <c r="F137" s="54"/>
      <c r="G137" s="19"/>
      <c r="H137" s="17"/>
      <c r="I137" s="19"/>
      <c r="J137" s="21"/>
      <c r="K137" s="57"/>
      <c r="L137" s="24"/>
      <c r="M137" s="25"/>
      <c r="N137" s="25"/>
      <c r="O137" s="25"/>
      <c r="P137" s="26"/>
    </row>
    <row r="138">
      <c r="A138" s="52"/>
      <c r="B138" s="15"/>
      <c r="C138" s="16"/>
      <c r="D138" s="15"/>
      <c r="E138" s="17"/>
      <c r="F138" s="18"/>
      <c r="G138" s="19"/>
      <c r="H138" s="17"/>
      <c r="I138" s="19"/>
      <c r="J138" s="21"/>
      <c r="K138" s="57"/>
      <c r="L138" s="24"/>
      <c r="M138" s="25"/>
      <c r="N138" s="25"/>
      <c r="O138" s="25"/>
      <c r="P138" s="26"/>
    </row>
    <row r="139">
      <c r="A139" s="52"/>
      <c r="B139" s="15"/>
      <c r="C139" s="16"/>
      <c r="D139" s="15"/>
      <c r="E139" s="17"/>
      <c r="F139" s="54"/>
      <c r="G139" s="19"/>
      <c r="H139" s="17"/>
      <c r="I139" s="19"/>
      <c r="J139" s="21"/>
      <c r="K139" s="57"/>
      <c r="L139" s="24"/>
      <c r="M139" s="25"/>
      <c r="N139" s="25"/>
      <c r="O139" s="25"/>
      <c r="P139" s="26"/>
    </row>
    <row r="140">
      <c r="A140" s="52"/>
      <c r="B140" s="15"/>
      <c r="C140" s="16"/>
      <c r="D140" s="15"/>
      <c r="E140" s="17"/>
      <c r="F140" s="18"/>
      <c r="G140" s="19"/>
      <c r="H140" s="17"/>
      <c r="I140" s="19"/>
      <c r="J140" s="21"/>
      <c r="K140" s="57"/>
      <c r="L140" s="24"/>
      <c r="M140" s="70"/>
      <c r="N140" s="25"/>
      <c r="O140" s="25"/>
      <c r="P140" s="26"/>
    </row>
    <row r="141">
      <c r="A141" s="52"/>
      <c r="B141" s="15"/>
      <c r="C141" s="16"/>
      <c r="D141" s="15"/>
      <c r="E141" s="17"/>
      <c r="F141" s="18"/>
      <c r="G141" s="19"/>
      <c r="H141" s="17"/>
      <c r="I141" s="19"/>
      <c r="J141" s="21"/>
      <c r="K141" s="57"/>
      <c r="L141" s="24"/>
      <c r="M141" s="25"/>
      <c r="N141" s="25"/>
      <c r="O141" s="25"/>
      <c r="P141" s="26"/>
    </row>
    <row r="142">
      <c r="A142" s="52"/>
      <c r="B142" s="15"/>
      <c r="C142" s="16"/>
      <c r="D142" s="15"/>
      <c r="E142" s="17"/>
      <c r="F142" s="54"/>
      <c r="G142" s="19"/>
      <c r="H142" s="17"/>
      <c r="I142" s="19"/>
      <c r="J142" s="21"/>
      <c r="K142" s="57"/>
      <c r="L142" s="24"/>
      <c r="M142" s="25"/>
      <c r="N142" s="25"/>
      <c r="O142" s="25"/>
      <c r="P142" s="26"/>
    </row>
    <row r="143">
      <c r="A143" s="52"/>
      <c r="B143" s="15"/>
      <c r="C143" s="16"/>
      <c r="D143" s="15"/>
      <c r="E143" s="17"/>
      <c r="F143" s="54"/>
      <c r="G143" s="19"/>
      <c r="H143" s="17"/>
      <c r="I143" s="19"/>
      <c r="J143" s="21"/>
      <c r="K143" s="57"/>
      <c r="L143" s="24"/>
      <c r="M143" s="25"/>
      <c r="N143" s="25"/>
      <c r="O143" s="25"/>
      <c r="P143" s="26"/>
    </row>
    <row r="144">
      <c r="A144" s="52"/>
      <c r="B144" s="15"/>
      <c r="C144" s="16"/>
      <c r="D144" s="15"/>
      <c r="E144" s="17"/>
      <c r="F144" s="54"/>
      <c r="G144" s="19"/>
      <c r="H144" s="17"/>
      <c r="I144" s="19"/>
      <c r="J144" s="21"/>
      <c r="K144" s="57"/>
      <c r="L144" s="24"/>
      <c r="M144" s="25"/>
      <c r="N144" s="25"/>
      <c r="O144" s="25"/>
      <c r="P144" s="26"/>
    </row>
    <row r="145">
      <c r="A145" s="52"/>
      <c r="B145" s="15"/>
      <c r="C145" s="16"/>
      <c r="D145" s="15"/>
      <c r="E145" s="17"/>
      <c r="F145" s="54"/>
      <c r="G145" s="19"/>
      <c r="H145" s="17"/>
      <c r="I145" s="19"/>
      <c r="J145" s="21"/>
      <c r="K145" s="57"/>
      <c r="L145" s="24"/>
      <c r="M145" s="25"/>
      <c r="N145" s="25"/>
      <c r="O145" s="25"/>
      <c r="P145" s="26"/>
    </row>
    <row r="146">
      <c r="A146" s="52"/>
      <c r="B146" s="15"/>
      <c r="C146" s="16"/>
      <c r="D146" s="15"/>
      <c r="E146" s="17"/>
      <c r="F146" s="54"/>
      <c r="G146" s="19"/>
      <c r="H146" s="17"/>
      <c r="I146" s="19"/>
      <c r="J146" s="21"/>
      <c r="K146" s="57"/>
      <c r="L146" s="24"/>
      <c r="M146" s="25"/>
      <c r="N146" s="25"/>
      <c r="O146" s="25"/>
      <c r="P146" s="26"/>
    </row>
    <row r="147">
      <c r="A147" s="52"/>
      <c r="B147" s="15"/>
      <c r="C147" s="16"/>
      <c r="D147" s="15"/>
      <c r="E147" s="17"/>
      <c r="F147" s="54"/>
      <c r="G147" s="19"/>
      <c r="H147" s="17"/>
      <c r="I147" s="19"/>
      <c r="J147" s="21"/>
      <c r="K147" s="57"/>
      <c r="L147" s="24"/>
      <c r="M147" s="25"/>
      <c r="N147" s="25"/>
      <c r="O147" s="25"/>
      <c r="P147" s="26"/>
    </row>
    <row r="148">
      <c r="A148" s="52"/>
      <c r="B148" s="15"/>
      <c r="C148" s="16"/>
      <c r="D148" s="15"/>
      <c r="E148" s="17"/>
      <c r="F148" s="54"/>
      <c r="G148" s="19"/>
      <c r="H148" s="17"/>
      <c r="I148" s="19"/>
      <c r="J148" s="21"/>
      <c r="K148" s="57"/>
      <c r="L148" s="24"/>
      <c r="M148" s="25"/>
      <c r="N148" s="25"/>
      <c r="O148" s="25"/>
      <c r="P148" s="26"/>
    </row>
    <row r="149">
      <c r="A149" s="52"/>
      <c r="B149" s="15"/>
      <c r="C149" s="16"/>
      <c r="D149" s="15"/>
      <c r="E149" s="17"/>
      <c r="F149" s="54"/>
      <c r="G149" s="19"/>
      <c r="H149" s="17"/>
      <c r="I149" s="19"/>
      <c r="J149" s="21"/>
      <c r="K149" s="57"/>
      <c r="L149" s="24"/>
      <c r="M149" s="25"/>
      <c r="N149" s="25"/>
      <c r="O149" s="25"/>
      <c r="P149" s="26"/>
    </row>
    <row r="150">
      <c r="A150" s="52"/>
      <c r="B150" s="15"/>
      <c r="C150" s="16"/>
      <c r="D150" s="15"/>
      <c r="E150" s="17"/>
      <c r="F150" s="54"/>
      <c r="G150" s="19"/>
      <c r="H150" s="17"/>
      <c r="I150" s="19"/>
      <c r="J150" s="21"/>
      <c r="K150" s="57"/>
      <c r="L150" s="24"/>
      <c r="M150" s="25"/>
      <c r="N150" s="25"/>
      <c r="O150" s="25"/>
      <c r="P150" s="26"/>
    </row>
    <row r="151">
      <c r="A151" s="52"/>
      <c r="B151" s="15"/>
      <c r="C151" s="16"/>
      <c r="D151" s="15"/>
      <c r="E151" s="17"/>
      <c r="F151" s="54"/>
      <c r="G151" s="19"/>
      <c r="H151" s="17"/>
      <c r="I151" s="19"/>
      <c r="J151" s="21"/>
      <c r="K151" s="57"/>
      <c r="L151" s="24"/>
      <c r="M151" s="25"/>
      <c r="N151" s="25"/>
      <c r="O151" s="25"/>
      <c r="P151" s="26"/>
    </row>
    <row r="152">
      <c r="A152" s="52"/>
      <c r="B152" s="15"/>
      <c r="C152" s="16"/>
      <c r="D152" s="15"/>
      <c r="E152" s="17"/>
      <c r="F152" s="54"/>
      <c r="G152" s="19"/>
      <c r="H152" s="17"/>
      <c r="I152" s="19"/>
      <c r="J152" s="21"/>
      <c r="K152" s="57"/>
      <c r="L152" s="24"/>
      <c r="M152" s="25"/>
      <c r="N152" s="25"/>
      <c r="O152" s="25"/>
      <c r="P152" s="26"/>
    </row>
    <row r="153">
      <c r="A153" s="52"/>
      <c r="B153" s="15"/>
      <c r="C153" s="16"/>
      <c r="D153" s="15"/>
      <c r="E153" s="17"/>
      <c r="F153" s="54"/>
      <c r="G153" s="19"/>
      <c r="H153" s="17"/>
      <c r="I153" s="19"/>
      <c r="J153" s="21"/>
      <c r="K153" s="57"/>
      <c r="L153" s="24"/>
      <c r="M153" s="25"/>
      <c r="N153" s="25"/>
      <c r="O153" s="25"/>
      <c r="P153" s="26"/>
    </row>
    <row r="154">
      <c r="A154" s="52"/>
      <c r="B154" s="15"/>
      <c r="C154" s="16"/>
      <c r="D154" s="15"/>
      <c r="E154" s="17"/>
      <c r="F154" s="54"/>
      <c r="G154" s="19"/>
      <c r="H154" s="17"/>
      <c r="I154" s="19"/>
      <c r="J154" s="21"/>
      <c r="K154" s="57"/>
      <c r="L154" s="24"/>
      <c r="M154" s="25"/>
      <c r="N154" s="25"/>
      <c r="O154" s="25"/>
      <c r="P154" s="26"/>
    </row>
    <row r="155">
      <c r="A155" s="52"/>
      <c r="B155" s="15"/>
      <c r="C155" s="16"/>
      <c r="D155" s="15"/>
      <c r="E155" s="17"/>
      <c r="F155" s="54"/>
      <c r="G155" s="19"/>
      <c r="H155" s="17"/>
      <c r="I155" s="19"/>
      <c r="J155" s="21"/>
      <c r="K155" s="57"/>
      <c r="L155" s="24"/>
      <c r="M155" s="25"/>
      <c r="N155" s="25"/>
      <c r="O155" s="25"/>
      <c r="P155" s="26"/>
    </row>
    <row r="156">
      <c r="A156" s="52"/>
      <c r="B156" s="15"/>
      <c r="C156" s="16"/>
      <c r="D156" s="15"/>
      <c r="E156" s="17"/>
      <c r="F156" s="54"/>
      <c r="G156" s="19"/>
      <c r="H156" s="17"/>
      <c r="I156" s="19"/>
      <c r="J156" s="21"/>
      <c r="K156" s="57"/>
      <c r="L156" s="24"/>
      <c r="M156" s="25"/>
      <c r="N156" s="25"/>
      <c r="O156" s="25"/>
      <c r="P156" s="26"/>
    </row>
    <row r="157">
      <c r="A157" s="52"/>
      <c r="B157" s="15"/>
      <c r="C157" s="16"/>
      <c r="D157" s="15"/>
      <c r="E157" s="17"/>
      <c r="F157" s="18"/>
      <c r="G157" s="19"/>
      <c r="H157" s="17"/>
      <c r="I157" s="19"/>
      <c r="J157" s="21"/>
      <c r="K157" s="57"/>
      <c r="L157" s="24"/>
      <c r="M157" s="25"/>
      <c r="N157" s="25"/>
      <c r="O157" s="25"/>
      <c r="P157" s="26"/>
    </row>
    <row r="158">
      <c r="A158" s="52"/>
      <c r="B158" s="15"/>
      <c r="C158" s="16"/>
      <c r="D158" s="15"/>
      <c r="E158" s="17"/>
      <c r="F158" s="54"/>
      <c r="G158" s="19"/>
      <c r="H158" s="17"/>
      <c r="I158" s="19"/>
      <c r="J158" s="21"/>
      <c r="K158" s="57"/>
      <c r="L158" s="24"/>
      <c r="M158" s="25"/>
      <c r="N158" s="25"/>
      <c r="O158" s="25"/>
      <c r="P158" s="26"/>
    </row>
    <row r="159">
      <c r="A159" s="52"/>
      <c r="B159" s="15"/>
      <c r="C159" s="16"/>
      <c r="D159" s="15"/>
      <c r="E159" s="17"/>
      <c r="F159" s="18"/>
      <c r="G159" s="19"/>
      <c r="H159" s="17"/>
      <c r="I159" s="19"/>
      <c r="J159" s="21"/>
      <c r="K159" s="57"/>
      <c r="L159" s="24"/>
      <c r="M159" s="25"/>
      <c r="N159" s="25"/>
      <c r="O159" s="25"/>
      <c r="P159" s="26"/>
    </row>
    <row r="160">
      <c r="A160" s="52"/>
      <c r="B160" s="15"/>
      <c r="C160" s="16"/>
      <c r="D160" s="15"/>
      <c r="E160" s="17"/>
      <c r="F160" s="54"/>
      <c r="G160" s="19"/>
      <c r="H160" s="17"/>
      <c r="I160" s="19"/>
      <c r="J160" s="21"/>
      <c r="K160" s="57"/>
      <c r="L160" s="24"/>
      <c r="M160" s="25"/>
      <c r="N160" s="25"/>
      <c r="O160" s="25"/>
      <c r="P160" s="26"/>
    </row>
    <row r="161">
      <c r="A161" s="52"/>
      <c r="B161" s="15"/>
      <c r="C161" s="16"/>
      <c r="D161" s="15"/>
      <c r="E161" s="17"/>
      <c r="F161" s="54"/>
      <c r="G161" s="19"/>
      <c r="H161" s="17"/>
      <c r="I161" s="19"/>
      <c r="J161" s="21"/>
      <c r="K161" s="57"/>
      <c r="L161" s="24"/>
      <c r="M161" s="25"/>
      <c r="N161" s="25"/>
      <c r="O161" s="25"/>
      <c r="P161" s="26"/>
    </row>
    <row r="162">
      <c r="A162" s="52"/>
      <c r="B162" s="15"/>
      <c r="C162" s="16"/>
      <c r="D162" s="15"/>
      <c r="E162" s="17"/>
      <c r="F162" s="54"/>
      <c r="G162" s="19"/>
      <c r="H162" s="17"/>
      <c r="I162" s="19"/>
      <c r="J162" s="21"/>
      <c r="K162" s="57"/>
      <c r="L162" s="24"/>
      <c r="M162" s="25"/>
      <c r="N162" s="25"/>
      <c r="O162" s="25"/>
      <c r="P162" s="26"/>
    </row>
    <row r="163">
      <c r="A163" s="52"/>
      <c r="B163" s="15"/>
      <c r="C163" s="16"/>
      <c r="D163" s="15"/>
      <c r="E163" s="17"/>
      <c r="F163" s="54"/>
      <c r="G163" s="19"/>
      <c r="H163" s="17"/>
      <c r="I163" s="19"/>
      <c r="J163" s="21"/>
      <c r="K163" s="57"/>
      <c r="L163" s="24"/>
      <c r="M163" s="25"/>
      <c r="N163" s="25"/>
      <c r="O163" s="25"/>
      <c r="P163" s="26"/>
    </row>
    <row r="164">
      <c r="A164" s="52"/>
      <c r="B164" s="15"/>
      <c r="C164" s="16"/>
      <c r="D164" s="15"/>
      <c r="E164" s="17"/>
      <c r="F164" s="54"/>
      <c r="G164" s="19"/>
      <c r="H164" s="17"/>
      <c r="I164" s="19"/>
      <c r="J164" s="21"/>
      <c r="K164" s="57"/>
      <c r="L164" s="24"/>
      <c r="M164" s="25"/>
      <c r="N164" s="25"/>
      <c r="O164" s="25"/>
      <c r="P164" s="26"/>
    </row>
    <row r="165">
      <c r="A165" s="52"/>
      <c r="B165" s="15"/>
      <c r="C165" s="16"/>
      <c r="D165" s="15"/>
      <c r="E165" s="17"/>
      <c r="F165" s="54"/>
      <c r="G165" s="19"/>
      <c r="H165" s="17"/>
      <c r="I165" s="19"/>
      <c r="J165" s="21"/>
      <c r="K165" s="57"/>
      <c r="L165" s="24"/>
      <c r="M165" s="25"/>
      <c r="N165" s="25"/>
      <c r="O165" s="25"/>
      <c r="P165" s="26"/>
    </row>
    <row r="166">
      <c r="A166" s="52"/>
      <c r="B166" s="15"/>
      <c r="C166" s="16"/>
      <c r="D166" s="15"/>
      <c r="E166" s="17"/>
      <c r="F166" s="54"/>
      <c r="G166" s="19"/>
      <c r="H166" s="17"/>
      <c r="I166" s="19"/>
      <c r="J166" s="21"/>
      <c r="K166" s="57"/>
      <c r="L166" s="24"/>
      <c r="M166" s="25"/>
      <c r="N166" s="25"/>
      <c r="O166" s="25"/>
      <c r="P166" s="26"/>
    </row>
    <row r="167">
      <c r="A167" s="52"/>
      <c r="B167" s="15"/>
      <c r="C167" s="16"/>
      <c r="D167" s="15"/>
      <c r="E167" s="17"/>
      <c r="F167" s="54"/>
      <c r="G167" s="19"/>
      <c r="H167" s="17"/>
      <c r="I167" s="19"/>
      <c r="J167" s="21"/>
      <c r="K167" s="57"/>
      <c r="L167" s="24"/>
      <c r="M167" s="25"/>
      <c r="N167" s="25"/>
      <c r="O167" s="25"/>
      <c r="P167" s="26"/>
    </row>
    <row r="168">
      <c r="A168" s="52"/>
      <c r="B168" s="15"/>
      <c r="C168" s="16"/>
      <c r="D168" s="15"/>
      <c r="E168" s="17"/>
      <c r="F168" s="54"/>
      <c r="G168" s="19"/>
      <c r="H168" s="17"/>
      <c r="I168" s="19"/>
      <c r="J168" s="21"/>
      <c r="K168" s="57"/>
      <c r="L168" s="24"/>
      <c r="M168" s="25"/>
      <c r="N168" s="25"/>
      <c r="O168" s="25"/>
      <c r="P168" s="26"/>
    </row>
    <row r="169">
      <c r="A169" s="52"/>
      <c r="B169" s="15"/>
      <c r="C169" s="16"/>
      <c r="D169" s="15"/>
      <c r="E169" s="17"/>
      <c r="F169" s="54"/>
      <c r="G169" s="19"/>
      <c r="H169" s="17"/>
      <c r="I169" s="19"/>
      <c r="J169" s="21"/>
      <c r="K169" s="57"/>
      <c r="L169" s="24"/>
      <c r="M169" s="25"/>
      <c r="N169" s="25"/>
      <c r="O169" s="25"/>
      <c r="P169" s="26"/>
    </row>
    <row r="170">
      <c r="A170" s="52"/>
      <c r="B170" s="15"/>
      <c r="C170" s="16"/>
      <c r="D170" s="15"/>
      <c r="E170" s="17"/>
      <c r="F170" s="54"/>
      <c r="G170" s="19"/>
      <c r="H170" s="17"/>
      <c r="I170" s="19"/>
      <c r="J170" s="21"/>
      <c r="K170" s="57"/>
      <c r="L170" s="24"/>
      <c r="M170" s="25"/>
      <c r="N170" s="25"/>
      <c r="O170" s="25"/>
      <c r="P170" s="26"/>
    </row>
    <row r="171">
      <c r="A171" s="52"/>
      <c r="B171" s="15"/>
      <c r="C171" s="16"/>
      <c r="D171" s="15"/>
      <c r="E171" s="17"/>
      <c r="F171" s="54"/>
      <c r="G171" s="19"/>
      <c r="H171" s="17"/>
      <c r="I171" s="19"/>
      <c r="J171" s="21"/>
      <c r="K171" s="57"/>
      <c r="L171" s="24"/>
      <c r="M171" s="25"/>
      <c r="N171" s="25"/>
      <c r="O171" s="25"/>
      <c r="P171" s="26"/>
    </row>
    <row r="172">
      <c r="A172" s="52"/>
      <c r="B172" s="15"/>
      <c r="C172" s="16"/>
      <c r="D172" s="15"/>
      <c r="E172" s="17"/>
      <c r="F172" s="54"/>
      <c r="G172" s="19"/>
      <c r="H172" s="17"/>
      <c r="I172" s="19"/>
      <c r="J172" s="21"/>
      <c r="K172" s="57"/>
      <c r="L172" s="24"/>
      <c r="M172" s="25"/>
      <c r="N172" s="25"/>
      <c r="O172" s="25"/>
      <c r="P172" s="26"/>
    </row>
    <row r="173">
      <c r="A173" s="52"/>
      <c r="B173" s="15"/>
      <c r="C173" s="16"/>
      <c r="D173" s="15"/>
      <c r="E173" s="17"/>
      <c r="F173" s="71"/>
      <c r="G173" s="19"/>
      <c r="H173" s="17"/>
      <c r="I173" s="19"/>
      <c r="J173" s="21"/>
      <c r="K173" s="57"/>
      <c r="L173" s="24"/>
      <c r="M173" s="25"/>
      <c r="N173" s="25"/>
      <c r="O173" s="25"/>
      <c r="P173" s="26"/>
    </row>
    <row r="174">
      <c r="A174" s="52"/>
      <c r="B174" s="15"/>
      <c r="C174" s="16"/>
      <c r="D174" s="15"/>
      <c r="E174" s="17"/>
      <c r="F174" s="71"/>
      <c r="G174" s="19"/>
      <c r="H174" s="17"/>
      <c r="I174" s="19"/>
      <c r="J174" s="21"/>
      <c r="K174" s="57"/>
      <c r="L174" s="24"/>
      <c r="M174" s="25"/>
      <c r="N174" s="25"/>
      <c r="O174" s="25"/>
      <c r="P174" s="26"/>
    </row>
    <row r="175">
      <c r="A175" s="52"/>
      <c r="B175" s="15"/>
      <c r="C175" s="16"/>
      <c r="D175" s="15"/>
      <c r="E175" s="17"/>
      <c r="F175" s="54"/>
      <c r="G175" s="19"/>
      <c r="H175" s="17"/>
      <c r="I175" s="19"/>
      <c r="J175" s="21"/>
      <c r="K175" s="57"/>
      <c r="L175" s="24"/>
      <c r="M175" s="25"/>
      <c r="N175" s="25"/>
      <c r="O175" s="25"/>
      <c r="P175" s="26"/>
    </row>
    <row r="176">
      <c r="A176" s="52"/>
      <c r="B176" s="15"/>
      <c r="C176" s="16"/>
      <c r="D176" s="15"/>
      <c r="E176" s="17"/>
      <c r="F176" s="54"/>
      <c r="G176" s="19"/>
      <c r="H176" s="17"/>
      <c r="I176" s="19"/>
      <c r="J176" s="21"/>
      <c r="K176" s="57"/>
      <c r="L176" s="24"/>
      <c r="M176" s="25"/>
      <c r="N176" s="25"/>
      <c r="O176" s="25"/>
      <c r="P176" s="26"/>
    </row>
    <row r="177">
      <c r="A177" s="52"/>
      <c r="B177" s="15"/>
      <c r="C177" s="16"/>
      <c r="D177" s="15"/>
      <c r="E177" s="17"/>
      <c r="F177" s="54"/>
      <c r="G177" s="19"/>
      <c r="H177" s="17"/>
      <c r="I177" s="19"/>
      <c r="J177" s="21"/>
      <c r="K177" s="57"/>
      <c r="L177" s="24"/>
      <c r="M177" s="25"/>
      <c r="N177" s="25"/>
      <c r="O177" s="25"/>
      <c r="P177" s="26"/>
    </row>
    <row r="178">
      <c r="A178" s="52"/>
      <c r="B178" s="15"/>
      <c r="C178" s="16"/>
      <c r="D178" s="15"/>
      <c r="E178" s="17"/>
      <c r="F178" s="54"/>
      <c r="G178" s="19"/>
      <c r="H178" s="17"/>
      <c r="I178" s="19"/>
      <c r="J178" s="21"/>
      <c r="K178" s="57"/>
      <c r="L178" s="24"/>
      <c r="M178" s="25"/>
      <c r="N178" s="25"/>
      <c r="O178" s="25"/>
      <c r="P178" s="26"/>
    </row>
    <row r="179">
      <c r="A179" s="52"/>
      <c r="B179" s="15"/>
      <c r="C179" s="16"/>
      <c r="D179" s="15"/>
      <c r="E179" s="17"/>
      <c r="F179" s="54"/>
      <c r="G179" s="19"/>
      <c r="H179" s="17"/>
      <c r="I179" s="19"/>
      <c r="J179" s="21"/>
      <c r="K179" s="57"/>
      <c r="L179" s="24"/>
      <c r="M179" s="25"/>
      <c r="N179" s="25"/>
      <c r="O179" s="25"/>
      <c r="P179" s="26"/>
    </row>
    <row r="180">
      <c r="A180" s="52"/>
      <c r="B180" s="15"/>
      <c r="C180" s="16"/>
      <c r="D180" s="15"/>
      <c r="E180" s="17"/>
      <c r="F180" s="54"/>
      <c r="G180" s="19"/>
      <c r="H180" s="17"/>
      <c r="I180" s="19"/>
      <c r="J180" s="21"/>
      <c r="K180" s="57"/>
      <c r="L180" s="24"/>
      <c r="M180" s="25"/>
      <c r="N180" s="25"/>
      <c r="O180" s="25"/>
      <c r="P180" s="26"/>
    </row>
    <row r="181">
      <c r="A181" s="52"/>
      <c r="B181" s="15"/>
      <c r="C181" s="16"/>
      <c r="D181" s="15"/>
      <c r="E181" s="17"/>
      <c r="F181" s="54"/>
      <c r="G181" s="19"/>
      <c r="H181" s="17"/>
      <c r="I181" s="19"/>
      <c r="J181" s="21"/>
      <c r="K181" s="57"/>
      <c r="L181" s="24"/>
      <c r="M181" s="25"/>
      <c r="N181" s="25"/>
      <c r="O181" s="25"/>
      <c r="P181" s="26"/>
    </row>
    <row r="182">
      <c r="A182" s="52"/>
      <c r="B182" s="15"/>
      <c r="C182" s="16"/>
      <c r="D182" s="15"/>
      <c r="E182" s="17"/>
      <c r="F182" s="54"/>
      <c r="G182" s="19"/>
      <c r="H182" s="17"/>
      <c r="I182" s="19"/>
      <c r="J182" s="21"/>
      <c r="K182" s="57"/>
      <c r="L182" s="24"/>
      <c r="M182" s="25"/>
      <c r="N182" s="25"/>
      <c r="O182" s="25"/>
      <c r="P182" s="26"/>
    </row>
    <row r="183">
      <c r="A183" s="52"/>
      <c r="B183" s="15"/>
      <c r="C183" s="16"/>
      <c r="D183" s="15"/>
      <c r="E183" s="17"/>
      <c r="F183" s="54"/>
      <c r="G183" s="19"/>
      <c r="H183" s="17"/>
      <c r="I183" s="19"/>
      <c r="J183" s="21"/>
      <c r="K183" s="57"/>
      <c r="L183" s="24"/>
      <c r="M183" s="25"/>
      <c r="N183" s="25"/>
      <c r="O183" s="25"/>
      <c r="P183" s="26"/>
    </row>
    <row r="184">
      <c r="A184" s="52"/>
      <c r="B184" s="15"/>
      <c r="C184" s="16"/>
      <c r="D184" s="15"/>
      <c r="E184" s="17"/>
      <c r="F184" s="54"/>
      <c r="G184" s="19"/>
      <c r="H184" s="17"/>
      <c r="I184" s="19"/>
      <c r="J184" s="21"/>
      <c r="K184" s="57"/>
      <c r="L184" s="24"/>
      <c r="M184" s="25"/>
      <c r="N184" s="25"/>
      <c r="O184" s="25"/>
      <c r="P184" s="26"/>
    </row>
    <row r="185">
      <c r="A185" s="52"/>
      <c r="B185" s="15"/>
      <c r="C185" s="16"/>
      <c r="D185" s="15"/>
      <c r="E185" s="17"/>
      <c r="F185" s="54"/>
      <c r="G185" s="19"/>
      <c r="H185" s="17"/>
      <c r="I185" s="19"/>
      <c r="J185" s="21"/>
      <c r="K185" s="57"/>
      <c r="L185" s="24"/>
      <c r="M185" s="25"/>
      <c r="N185" s="25"/>
      <c r="O185" s="25"/>
      <c r="P185" s="26"/>
    </row>
    <row r="186">
      <c r="A186" s="62"/>
      <c r="B186" s="15"/>
      <c r="C186" s="16"/>
      <c r="D186" s="15"/>
      <c r="E186" s="17"/>
      <c r="F186" s="71"/>
      <c r="G186" s="19"/>
      <c r="H186" s="17"/>
      <c r="I186" s="19"/>
      <c r="J186" s="21"/>
      <c r="K186" s="57"/>
      <c r="L186" s="24"/>
      <c r="M186" s="25"/>
      <c r="N186" s="25"/>
      <c r="O186" s="25"/>
      <c r="P186" s="26"/>
    </row>
    <row r="187">
      <c r="A187" s="52"/>
      <c r="B187" s="15"/>
      <c r="C187" s="16"/>
      <c r="D187" s="15"/>
      <c r="E187" s="17"/>
      <c r="F187" s="54"/>
      <c r="G187" s="19"/>
      <c r="H187" s="17"/>
      <c r="I187" s="19"/>
      <c r="J187" s="21"/>
      <c r="K187" s="57"/>
      <c r="L187" s="24"/>
      <c r="M187" s="25"/>
      <c r="N187" s="25"/>
      <c r="O187" s="25"/>
      <c r="P187" s="26"/>
    </row>
    <row r="188">
      <c r="A188" s="52"/>
      <c r="B188" s="15"/>
      <c r="C188" s="16"/>
      <c r="D188" s="15"/>
      <c r="E188" s="17"/>
      <c r="F188" s="54"/>
      <c r="G188" s="19"/>
      <c r="H188" s="17"/>
      <c r="I188" s="19"/>
      <c r="J188" s="21"/>
      <c r="K188" s="57"/>
      <c r="L188" s="24"/>
      <c r="M188" s="25"/>
      <c r="N188" s="25"/>
      <c r="O188" s="25"/>
      <c r="P188" s="26"/>
    </row>
    <row r="189">
      <c r="A189" s="52"/>
      <c r="B189" s="15"/>
      <c r="C189" s="16"/>
      <c r="D189" s="15"/>
      <c r="E189" s="17"/>
      <c r="F189" s="54"/>
      <c r="G189" s="19"/>
      <c r="H189" s="17"/>
      <c r="I189" s="19"/>
      <c r="J189" s="21"/>
      <c r="K189" s="57"/>
      <c r="L189" s="24"/>
      <c r="M189" s="25"/>
      <c r="N189" s="25"/>
      <c r="O189" s="25"/>
      <c r="P189" s="26"/>
    </row>
    <row r="190">
      <c r="A190" s="52"/>
      <c r="B190" s="15"/>
      <c r="C190" s="16"/>
      <c r="D190" s="15"/>
      <c r="E190" s="17"/>
      <c r="F190" s="54"/>
      <c r="G190" s="19"/>
      <c r="H190" s="17"/>
      <c r="I190" s="19"/>
      <c r="J190" s="21"/>
      <c r="K190" s="57"/>
      <c r="L190" s="24"/>
      <c r="M190" s="25"/>
      <c r="N190" s="25"/>
      <c r="O190" s="25"/>
      <c r="P190" s="26"/>
    </row>
    <row r="191">
      <c r="A191" s="52"/>
      <c r="B191" s="15"/>
      <c r="C191" s="16"/>
      <c r="D191" s="15"/>
      <c r="E191" s="17"/>
      <c r="F191" s="54"/>
      <c r="G191" s="19"/>
      <c r="H191" s="17"/>
      <c r="I191" s="19"/>
      <c r="J191" s="21"/>
      <c r="K191" s="57"/>
      <c r="L191" s="24"/>
      <c r="M191" s="25"/>
      <c r="N191" s="25"/>
      <c r="O191" s="25"/>
      <c r="P191" s="26"/>
    </row>
    <row r="192">
      <c r="A192" s="52"/>
      <c r="B192" s="15"/>
      <c r="C192" s="16"/>
      <c r="D192" s="15"/>
      <c r="E192" s="17"/>
      <c r="F192" s="54"/>
      <c r="G192" s="19"/>
      <c r="H192" s="17"/>
      <c r="I192" s="19"/>
      <c r="J192" s="21"/>
      <c r="K192" s="57"/>
      <c r="L192" s="24"/>
      <c r="M192" s="25"/>
      <c r="N192" s="25"/>
      <c r="O192" s="25"/>
      <c r="P192" s="26"/>
    </row>
    <row r="193">
      <c r="A193" s="52"/>
      <c r="B193" s="15"/>
      <c r="C193" s="16"/>
      <c r="D193" s="15"/>
      <c r="E193" s="17"/>
      <c r="F193" s="54"/>
      <c r="G193" s="19"/>
      <c r="H193" s="17"/>
      <c r="I193" s="19"/>
      <c r="J193" s="21"/>
      <c r="K193" s="57"/>
      <c r="L193" s="24"/>
      <c r="M193" s="25"/>
      <c r="N193" s="25"/>
      <c r="O193" s="25"/>
      <c r="P193" s="26"/>
    </row>
    <row r="194">
      <c r="A194" s="52"/>
      <c r="B194" s="15"/>
      <c r="C194" s="16"/>
      <c r="D194" s="15"/>
      <c r="E194" s="17"/>
      <c r="F194" s="54"/>
      <c r="G194" s="19"/>
      <c r="H194" s="17"/>
      <c r="I194" s="19"/>
      <c r="J194" s="21"/>
      <c r="K194" s="57"/>
      <c r="L194" s="24"/>
      <c r="M194" s="25"/>
      <c r="N194" s="25"/>
      <c r="O194" s="25"/>
      <c r="P194" s="26"/>
    </row>
    <row r="195">
      <c r="A195" s="52"/>
      <c r="B195" s="15"/>
      <c r="C195" s="16"/>
      <c r="D195" s="15"/>
      <c r="E195" s="17"/>
      <c r="F195" s="18"/>
      <c r="G195" s="19"/>
      <c r="H195" s="17"/>
      <c r="I195" s="19"/>
      <c r="J195" s="21"/>
      <c r="K195" s="57"/>
      <c r="L195" s="24"/>
      <c r="M195" s="25"/>
      <c r="N195" s="25"/>
      <c r="O195" s="25"/>
      <c r="P195" s="26"/>
    </row>
    <row r="196">
      <c r="A196" s="62"/>
      <c r="B196" s="15"/>
      <c r="C196" s="16"/>
      <c r="D196" s="15"/>
      <c r="E196" s="17"/>
      <c r="F196" s="71"/>
      <c r="G196" s="19"/>
      <c r="H196" s="17"/>
      <c r="I196" s="19"/>
      <c r="J196" s="21"/>
      <c r="K196" s="57"/>
      <c r="L196" s="24"/>
      <c r="M196" s="25"/>
      <c r="N196" s="25"/>
      <c r="O196" s="25"/>
      <c r="P196" s="26"/>
    </row>
    <row r="197">
      <c r="A197" s="52"/>
      <c r="B197" s="15"/>
      <c r="C197" s="16"/>
      <c r="D197" s="15"/>
      <c r="E197" s="17"/>
      <c r="F197" s="18"/>
      <c r="G197" s="19"/>
      <c r="H197" s="17"/>
      <c r="I197" s="19"/>
      <c r="J197" s="21"/>
      <c r="K197" s="57"/>
      <c r="L197" s="24"/>
      <c r="M197" s="25"/>
      <c r="N197" s="25"/>
      <c r="O197" s="25"/>
      <c r="P197" s="26"/>
    </row>
    <row r="198">
      <c r="A198" s="52"/>
      <c r="B198" s="15"/>
      <c r="C198" s="16"/>
      <c r="D198" s="15"/>
      <c r="E198" s="17"/>
      <c r="F198" s="54"/>
      <c r="G198" s="19"/>
      <c r="H198" s="17"/>
      <c r="I198" s="19"/>
      <c r="J198" s="21"/>
      <c r="K198" s="57"/>
      <c r="L198" s="24"/>
      <c r="M198" s="25"/>
      <c r="N198" s="25"/>
      <c r="O198" s="25"/>
      <c r="P198" s="26"/>
    </row>
    <row r="199">
      <c r="A199" s="52"/>
      <c r="B199" s="15"/>
      <c r="C199" s="16"/>
      <c r="D199" s="15"/>
      <c r="E199" s="17"/>
      <c r="F199" s="54"/>
      <c r="G199" s="19"/>
      <c r="H199" s="17"/>
      <c r="I199" s="19"/>
      <c r="J199" s="21"/>
      <c r="K199" s="57"/>
      <c r="L199" s="24"/>
      <c r="M199" s="25"/>
      <c r="N199" s="25"/>
      <c r="O199" s="25"/>
      <c r="P199" s="26"/>
    </row>
    <row r="200">
      <c r="A200" s="52"/>
      <c r="B200" s="15"/>
      <c r="C200" s="16"/>
      <c r="D200" s="15"/>
      <c r="E200" s="17"/>
      <c r="F200" s="54"/>
      <c r="G200" s="19"/>
      <c r="H200" s="17"/>
      <c r="I200" s="19"/>
      <c r="J200" s="21"/>
      <c r="K200" s="57"/>
      <c r="L200" s="24"/>
      <c r="M200" s="25"/>
      <c r="N200" s="25"/>
      <c r="O200" s="25"/>
      <c r="P200" s="26"/>
    </row>
    <row r="201">
      <c r="A201" s="52"/>
      <c r="B201" s="15"/>
      <c r="C201" s="16"/>
      <c r="D201" s="15"/>
      <c r="E201" s="17"/>
      <c r="F201" s="54"/>
      <c r="G201" s="19"/>
      <c r="H201" s="17"/>
      <c r="I201" s="19"/>
      <c r="J201" s="21"/>
      <c r="K201" s="57"/>
      <c r="L201" s="24"/>
      <c r="M201" s="25"/>
      <c r="N201" s="25"/>
      <c r="O201" s="25"/>
      <c r="P201" s="26"/>
    </row>
    <row r="202">
      <c r="A202" s="52"/>
      <c r="B202" s="15"/>
      <c r="C202" s="16"/>
      <c r="D202" s="15"/>
      <c r="E202" s="17"/>
      <c r="F202" s="54"/>
      <c r="G202" s="19"/>
      <c r="H202" s="17"/>
      <c r="I202" s="19"/>
      <c r="J202" s="21"/>
      <c r="K202" s="57"/>
      <c r="L202" s="24"/>
      <c r="M202" s="25"/>
      <c r="N202" s="25"/>
      <c r="O202" s="25"/>
      <c r="P202" s="26"/>
    </row>
    <row r="203">
      <c r="A203" s="52"/>
      <c r="B203" s="15"/>
      <c r="C203" s="16"/>
      <c r="D203" s="15"/>
      <c r="E203" s="17"/>
      <c r="F203" s="54"/>
      <c r="G203" s="19"/>
      <c r="H203" s="17"/>
      <c r="I203" s="19"/>
      <c r="J203" s="21"/>
      <c r="K203" s="57"/>
      <c r="L203" s="24"/>
      <c r="M203" s="25"/>
      <c r="N203" s="25"/>
      <c r="O203" s="25"/>
      <c r="P203" s="26"/>
    </row>
    <row r="204">
      <c r="A204" s="52"/>
      <c r="B204" s="15"/>
      <c r="C204" s="16"/>
      <c r="D204" s="15"/>
      <c r="E204" s="17"/>
      <c r="F204" s="54"/>
      <c r="G204" s="19"/>
      <c r="H204" s="17"/>
      <c r="I204" s="19"/>
      <c r="J204" s="21"/>
      <c r="K204" s="57"/>
      <c r="L204" s="24"/>
      <c r="M204" s="25"/>
      <c r="N204" s="25"/>
      <c r="O204" s="25"/>
      <c r="P204" s="26"/>
    </row>
    <row r="205">
      <c r="A205" s="52"/>
      <c r="B205" s="15"/>
      <c r="C205" s="16"/>
      <c r="D205" s="15"/>
      <c r="E205" s="17"/>
      <c r="F205" s="54"/>
      <c r="G205" s="19"/>
      <c r="H205" s="17"/>
      <c r="I205" s="19"/>
      <c r="J205" s="21"/>
      <c r="K205" s="57"/>
      <c r="L205" s="24"/>
      <c r="M205" s="25"/>
      <c r="N205" s="25"/>
      <c r="O205" s="25"/>
      <c r="P205" s="26"/>
    </row>
    <row r="206">
      <c r="A206" s="52"/>
      <c r="B206" s="15"/>
      <c r="C206" s="16"/>
      <c r="D206" s="15"/>
      <c r="E206" s="17"/>
      <c r="F206" s="54"/>
      <c r="G206" s="19"/>
      <c r="H206" s="17"/>
      <c r="I206" s="19"/>
      <c r="J206" s="21"/>
      <c r="K206" s="57"/>
      <c r="L206" s="24"/>
      <c r="M206" s="25"/>
      <c r="N206" s="25"/>
      <c r="O206" s="25"/>
      <c r="P206" s="26"/>
    </row>
    <row r="207">
      <c r="A207" s="52"/>
      <c r="B207" s="15"/>
      <c r="C207" s="16"/>
      <c r="D207" s="15"/>
      <c r="E207" s="17"/>
      <c r="F207" s="54"/>
      <c r="G207" s="19"/>
      <c r="H207" s="17"/>
      <c r="I207" s="19"/>
      <c r="J207" s="21"/>
      <c r="K207" s="57"/>
      <c r="L207" s="24"/>
      <c r="M207" s="25"/>
      <c r="N207" s="25"/>
      <c r="O207" s="25"/>
      <c r="P207" s="26"/>
    </row>
    <row r="208">
      <c r="A208" s="52"/>
      <c r="B208" s="15"/>
      <c r="C208" s="16"/>
      <c r="D208" s="15"/>
      <c r="E208" s="17"/>
      <c r="F208" s="54"/>
      <c r="G208" s="19"/>
      <c r="H208" s="17"/>
      <c r="I208" s="19"/>
      <c r="J208" s="21"/>
      <c r="K208" s="57"/>
      <c r="L208" s="24"/>
      <c r="M208" s="25"/>
      <c r="N208" s="25"/>
      <c r="O208" s="25"/>
      <c r="P208" s="26"/>
    </row>
    <row r="209">
      <c r="A209" s="52"/>
      <c r="B209" s="15"/>
      <c r="C209" s="16"/>
      <c r="D209" s="15"/>
      <c r="E209" s="17"/>
      <c r="F209" s="54"/>
      <c r="G209" s="19"/>
      <c r="H209" s="17"/>
      <c r="I209" s="19"/>
      <c r="J209" s="21"/>
      <c r="K209" s="57"/>
      <c r="L209" s="24"/>
      <c r="M209" s="25"/>
      <c r="N209" s="25"/>
      <c r="O209" s="25"/>
      <c r="P209" s="26"/>
    </row>
    <row r="210">
      <c r="A210" s="52"/>
      <c r="B210" s="15"/>
      <c r="C210" s="16"/>
      <c r="D210" s="15"/>
      <c r="E210" s="17"/>
      <c r="F210" s="54"/>
      <c r="G210" s="19"/>
      <c r="H210" s="17"/>
      <c r="I210" s="19"/>
      <c r="J210" s="21"/>
      <c r="K210" s="57"/>
      <c r="L210" s="24"/>
      <c r="M210" s="25"/>
      <c r="N210" s="25"/>
      <c r="O210" s="25"/>
      <c r="P210" s="26"/>
    </row>
    <row r="211">
      <c r="A211" s="52"/>
      <c r="B211" s="15"/>
      <c r="C211" s="16"/>
      <c r="D211" s="15"/>
      <c r="E211" s="17"/>
      <c r="F211" s="54"/>
      <c r="G211" s="19"/>
      <c r="H211" s="17"/>
      <c r="I211" s="19"/>
      <c r="J211" s="21"/>
      <c r="K211" s="57"/>
      <c r="L211" s="24"/>
      <c r="M211" s="25"/>
      <c r="N211" s="25"/>
      <c r="O211" s="25"/>
      <c r="P211" s="26"/>
    </row>
    <row r="212">
      <c r="A212" s="52"/>
      <c r="B212" s="15"/>
      <c r="C212" s="16"/>
      <c r="D212" s="15"/>
      <c r="E212" s="17"/>
      <c r="F212" s="54"/>
      <c r="G212" s="19"/>
      <c r="H212" s="17"/>
      <c r="I212" s="19"/>
      <c r="J212" s="21"/>
      <c r="K212" s="57"/>
      <c r="L212" s="24"/>
      <c r="M212" s="25"/>
      <c r="N212" s="25"/>
      <c r="O212" s="25"/>
      <c r="P212" s="26"/>
    </row>
    <row r="213">
      <c r="A213" s="52"/>
      <c r="B213" s="15"/>
      <c r="C213" s="16"/>
      <c r="D213" s="15"/>
      <c r="E213" s="17"/>
      <c r="F213" s="54"/>
      <c r="G213" s="19"/>
      <c r="H213" s="17"/>
      <c r="I213" s="19"/>
      <c r="J213" s="21"/>
      <c r="K213" s="57"/>
      <c r="L213" s="24"/>
      <c r="M213" s="25"/>
      <c r="N213" s="25"/>
      <c r="O213" s="25"/>
      <c r="P213" s="26"/>
    </row>
    <row r="214">
      <c r="A214" s="52"/>
      <c r="B214" s="15"/>
      <c r="C214" s="16"/>
      <c r="D214" s="15"/>
      <c r="E214" s="17"/>
      <c r="F214" s="54"/>
      <c r="G214" s="19"/>
      <c r="H214" s="17"/>
      <c r="I214" s="19"/>
      <c r="J214" s="21"/>
      <c r="K214" s="57"/>
      <c r="L214" s="24"/>
      <c r="M214" s="25"/>
      <c r="N214" s="25"/>
      <c r="O214" s="25"/>
      <c r="P214" s="26"/>
    </row>
    <row r="215">
      <c r="A215" s="52"/>
      <c r="B215" s="15"/>
      <c r="C215" s="16"/>
      <c r="D215" s="15"/>
      <c r="E215" s="17"/>
      <c r="F215" s="54"/>
      <c r="G215" s="19"/>
      <c r="H215" s="17"/>
      <c r="I215" s="19"/>
      <c r="J215" s="21"/>
      <c r="K215" s="57"/>
      <c r="L215" s="24"/>
      <c r="M215" s="25"/>
      <c r="N215" s="25"/>
      <c r="O215" s="25"/>
      <c r="P215" s="26"/>
    </row>
    <row r="216">
      <c r="A216" s="52"/>
      <c r="B216" s="15"/>
      <c r="C216" s="16"/>
      <c r="D216" s="15"/>
      <c r="E216" s="17"/>
      <c r="F216" s="54"/>
      <c r="G216" s="19"/>
      <c r="H216" s="17"/>
      <c r="I216" s="19"/>
      <c r="J216" s="21"/>
      <c r="K216" s="57"/>
      <c r="L216" s="24"/>
      <c r="M216" s="25"/>
      <c r="N216" s="25"/>
      <c r="O216" s="25"/>
      <c r="P216" s="26"/>
    </row>
    <row r="217">
      <c r="A217" s="52"/>
      <c r="B217" s="15"/>
      <c r="C217" s="16"/>
      <c r="D217" s="15"/>
      <c r="E217" s="17"/>
      <c r="F217" s="54"/>
      <c r="G217" s="19"/>
      <c r="H217" s="17"/>
      <c r="I217" s="19"/>
      <c r="J217" s="21"/>
      <c r="K217" s="57"/>
      <c r="L217" s="24"/>
      <c r="M217" s="25"/>
      <c r="N217" s="25"/>
      <c r="O217" s="25"/>
      <c r="P217" s="26"/>
    </row>
    <row r="218">
      <c r="A218" s="52"/>
      <c r="B218" s="15"/>
      <c r="C218" s="16"/>
      <c r="D218" s="15"/>
      <c r="E218" s="17"/>
      <c r="F218" s="54"/>
      <c r="G218" s="19"/>
      <c r="H218" s="17"/>
      <c r="I218" s="19"/>
      <c r="J218" s="21"/>
      <c r="K218" s="57"/>
      <c r="L218" s="24"/>
      <c r="M218" s="25"/>
      <c r="N218" s="25"/>
      <c r="O218" s="25"/>
      <c r="P218" s="26"/>
    </row>
    <row r="219">
      <c r="A219" s="52"/>
      <c r="B219" s="15"/>
      <c r="C219" s="16"/>
      <c r="D219" s="15"/>
      <c r="E219" s="17"/>
      <c r="F219" s="54"/>
      <c r="G219" s="19"/>
      <c r="H219" s="17"/>
      <c r="I219" s="19"/>
      <c r="J219" s="21"/>
      <c r="K219" s="57"/>
      <c r="L219" s="24"/>
      <c r="M219" s="25"/>
      <c r="N219" s="25"/>
      <c r="O219" s="25"/>
      <c r="P219" s="26"/>
    </row>
    <row r="220">
      <c r="A220" s="52"/>
      <c r="B220" s="15"/>
      <c r="C220" s="16"/>
      <c r="D220" s="15"/>
      <c r="E220" s="17"/>
      <c r="F220" s="54"/>
      <c r="G220" s="19"/>
      <c r="H220" s="17"/>
      <c r="I220" s="19"/>
      <c r="J220" s="21"/>
      <c r="K220" s="57"/>
      <c r="L220" s="24"/>
      <c r="M220" s="25"/>
      <c r="N220" s="25"/>
      <c r="O220" s="25"/>
      <c r="P220" s="26"/>
    </row>
    <row r="221">
      <c r="A221" s="52"/>
      <c r="B221" s="15"/>
      <c r="C221" s="16"/>
      <c r="D221" s="15"/>
      <c r="E221" s="17"/>
      <c r="F221" s="54"/>
      <c r="G221" s="19"/>
      <c r="H221" s="17"/>
      <c r="I221" s="19"/>
      <c r="J221" s="21"/>
      <c r="K221" s="57"/>
      <c r="L221" s="24"/>
      <c r="M221" s="25"/>
      <c r="N221" s="25"/>
      <c r="O221" s="25"/>
      <c r="P221" s="26"/>
    </row>
    <row r="222">
      <c r="A222" s="52"/>
      <c r="B222" s="15"/>
      <c r="C222" s="16"/>
      <c r="D222" s="15"/>
      <c r="E222" s="17"/>
      <c r="F222" s="54"/>
      <c r="G222" s="19"/>
      <c r="H222" s="17"/>
      <c r="I222" s="19"/>
      <c r="J222" s="21"/>
      <c r="K222" s="57"/>
      <c r="L222" s="24"/>
      <c r="M222" s="25"/>
      <c r="N222" s="25"/>
      <c r="O222" s="25"/>
      <c r="P222" s="26"/>
    </row>
    <row r="223">
      <c r="A223" s="52"/>
      <c r="B223" s="15"/>
      <c r="C223" s="16"/>
      <c r="D223" s="15"/>
      <c r="E223" s="17"/>
      <c r="F223" s="54"/>
      <c r="G223" s="19"/>
      <c r="H223" s="17"/>
      <c r="I223" s="19"/>
      <c r="J223" s="21"/>
      <c r="K223" s="57"/>
      <c r="L223" s="24"/>
      <c r="M223" s="25"/>
      <c r="N223" s="25"/>
      <c r="O223" s="25"/>
      <c r="P223" s="26"/>
    </row>
    <row r="224">
      <c r="A224" s="52"/>
      <c r="B224" s="15"/>
      <c r="C224" s="16"/>
      <c r="D224" s="15"/>
      <c r="E224" s="17"/>
      <c r="F224" s="54"/>
      <c r="G224" s="19"/>
      <c r="H224" s="17"/>
      <c r="I224" s="19"/>
      <c r="J224" s="21"/>
      <c r="K224" s="57"/>
      <c r="L224" s="24"/>
      <c r="M224" s="25"/>
      <c r="N224" s="25"/>
      <c r="O224" s="25"/>
      <c r="P224" s="26"/>
    </row>
    <row r="225">
      <c r="A225" s="52"/>
      <c r="B225" s="15"/>
      <c r="C225" s="16"/>
      <c r="D225" s="15"/>
      <c r="E225" s="17"/>
      <c r="F225" s="54"/>
      <c r="G225" s="19"/>
      <c r="H225" s="17"/>
      <c r="I225" s="19"/>
      <c r="J225" s="21"/>
      <c r="K225" s="57"/>
      <c r="L225" s="24"/>
      <c r="M225" s="25"/>
      <c r="N225" s="25"/>
      <c r="O225" s="25"/>
      <c r="P225" s="26"/>
    </row>
    <row r="226">
      <c r="A226" s="52"/>
      <c r="B226" s="15"/>
      <c r="C226" s="16"/>
      <c r="D226" s="15"/>
      <c r="E226" s="17"/>
      <c r="F226" s="18"/>
      <c r="G226" s="19"/>
      <c r="H226" s="17"/>
      <c r="I226" s="19"/>
      <c r="J226" s="21"/>
      <c r="K226" s="57"/>
      <c r="L226" s="24"/>
      <c r="M226" s="25"/>
      <c r="N226" s="25"/>
      <c r="O226" s="25"/>
      <c r="P226" s="26"/>
    </row>
    <row r="227">
      <c r="A227" s="52"/>
      <c r="B227" s="15"/>
      <c r="C227" s="16"/>
      <c r="D227" s="15"/>
      <c r="E227" s="17"/>
      <c r="F227" s="54"/>
      <c r="G227" s="19"/>
      <c r="H227" s="17"/>
      <c r="I227" s="19"/>
      <c r="J227" s="21"/>
      <c r="K227" s="57"/>
      <c r="L227" s="24"/>
      <c r="M227" s="25"/>
      <c r="N227" s="25"/>
      <c r="O227" s="25"/>
      <c r="P227" s="26"/>
    </row>
    <row r="228">
      <c r="A228" s="52"/>
      <c r="B228" s="15"/>
      <c r="C228" s="16"/>
      <c r="D228" s="15"/>
      <c r="E228" s="17"/>
      <c r="F228" s="54"/>
      <c r="G228" s="19"/>
      <c r="H228" s="17"/>
      <c r="I228" s="19"/>
      <c r="J228" s="21"/>
      <c r="K228" s="57"/>
      <c r="L228" s="24"/>
      <c r="M228" s="25"/>
      <c r="N228" s="25"/>
      <c r="O228" s="25"/>
      <c r="P228" s="26"/>
    </row>
    <row r="229">
      <c r="A229" s="52"/>
      <c r="B229" s="15"/>
      <c r="C229" s="16"/>
      <c r="D229" s="15"/>
      <c r="E229" s="17"/>
      <c r="F229" s="54"/>
      <c r="G229" s="19"/>
      <c r="H229" s="17"/>
      <c r="I229" s="19"/>
      <c r="J229" s="21"/>
      <c r="K229" s="57"/>
      <c r="L229" s="24"/>
      <c r="M229" s="25"/>
      <c r="N229" s="25"/>
      <c r="O229" s="25"/>
      <c r="P229" s="26"/>
    </row>
    <row r="230">
      <c r="A230" s="52"/>
      <c r="B230" s="15"/>
      <c r="C230" s="16"/>
      <c r="D230" s="15"/>
      <c r="E230" s="17"/>
      <c r="F230" s="54"/>
      <c r="G230" s="19"/>
      <c r="H230" s="17"/>
      <c r="I230" s="19"/>
      <c r="J230" s="21"/>
      <c r="K230" s="57"/>
      <c r="L230" s="24"/>
      <c r="M230" s="25"/>
      <c r="N230" s="25"/>
      <c r="O230" s="25"/>
      <c r="P230" s="26"/>
    </row>
    <row r="231">
      <c r="A231" s="52"/>
      <c r="B231" s="15"/>
      <c r="C231" s="16"/>
      <c r="D231" s="15"/>
      <c r="E231" s="17"/>
      <c r="F231" s="54"/>
      <c r="G231" s="19"/>
      <c r="H231" s="17"/>
      <c r="I231" s="19"/>
      <c r="J231" s="21"/>
      <c r="K231" s="57"/>
      <c r="L231" s="24"/>
      <c r="M231" s="25"/>
      <c r="N231" s="25"/>
      <c r="O231" s="25"/>
      <c r="P231" s="26"/>
    </row>
    <row r="232">
      <c r="A232" s="52"/>
      <c r="B232" s="15"/>
      <c r="C232" s="16"/>
      <c r="D232" s="15"/>
      <c r="E232" s="17"/>
      <c r="F232" s="54"/>
      <c r="G232" s="19"/>
      <c r="H232" s="17"/>
      <c r="I232" s="19"/>
      <c r="J232" s="21"/>
      <c r="K232" s="57"/>
      <c r="L232" s="24"/>
      <c r="M232" s="25"/>
      <c r="N232" s="25"/>
      <c r="O232" s="25"/>
      <c r="P232" s="26"/>
    </row>
    <row r="233">
      <c r="A233" s="52"/>
      <c r="B233" s="15"/>
      <c r="C233" s="16"/>
      <c r="D233" s="15"/>
      <c r="E233" s="17"/>
      <c r="F233" s="54"/>
      <c r="G233" s="19"/>
      <c r="H233" s="17"/>
      <c r="I233" s="19"/>
      <c r="J233" s="21"/>
      <c r="K233" s="57"/>
      <c r="L233" s="24"/>
      <c r="M233" s="25"/>
      <c r="N233" s="25"/>
      <c r="O233" s="25"/>
      <c r="P233" s="26"/>
    </row>
    <row r="234">
      <c r="A234" s="52"/>
      <c r="B234" s="15"/>
      <c r="C234" s="16"/>
      <c r="D234" s="15"/>
      <c r="E234" s="17"/>
      <c r="F234" s="54"/>
      <c r="G234" s="19"/>
      <c r="H234" s="17"/>
      <c r="I234" s="19"/>
      <c r="J234" s="21"/>
      <c r="K234" s="57"/>
      <c r="L234" s="24"/>
      <c r="M234" s="25"/>
      <c r="N234" s="25"/>
      <c r="O234" s="25"/>
      <c r="P234" s="26"/>
    </row>
    <row r="235">
      <c r="A235" s="52"/>
      <c r="B235" s="15"/>
      <c r="C235" s="16"/>
      <c r="D235" s="15"/>
      <c r="E235" s="17"/>
      <c r="F235" s="54"/>
      <c r="G235" s="19"/>
      <c r="H235" s="17"/>
      <c r="I235" s="19"/>
      <c r="J235" s="21"/>
      <c r="K235" s="57"/>
      <c r="L235" s="24"/>
      <c r="M235" s="25"/>
      <c r="N235" s="25"/>
      <c r="O235" s="25"/>
      <c r="P235" s="26"/>
    </row>
    <row r="236">
      <c r="A236" s="52"/>
      <c r="B236" s="15"/>
      <c r="C236" s="16"/>
      <c r="D236" s="15"/>
      <c r="E236" s="17"/>
      <c r="F236" s="54"/>
      <c r="G236" s="19"/>
      <c r="H236" s="17"/>
      <c r="I236" s="19"/>
      <c r="J236" s="21"/>
      <c r="K236" s="57"/>
      <c r="L236" s="24"/>
      <c r="M236" s="25"/>
      <c r="N236" s="25"/>
      <c r="O236" s="25"/>
      <c r="P236" s="26"/>
    </row>
    <row r="237">
      <c r="A237" s="52"/>
      <c r="B237" s="15"/>
      <c r="C237" s="16"/>
      <c r="D237" s="15"/>
      <c r="E237" s="17"/>
      <c r="F237" s="54"/>
      <c r="G237" s="19"/>
      <c r="H237" s="17"/>
      <c r="I237" s="19"/>
      <c r="J237" s="21"/>
      <c r="K237" s="57"/>
      <c r="L237" s="24"/>
      <c r="M237" s="25"/>
      <c r="N237" s="25"/>
      <c r="O237" s="25"/>
      <c r="P237" s="26"/>
    </row>
    <row r="238">
      <c r="A238" s="52"/>
      <c r="B238" s="15"/>
      <c r="C238" s="16"/>
      <c r="D238" s="15"/>
      <c r="E238" s="17"/>
      <c r="F238" s="54"/>
      <c r="G238" s="19"/>
      <c r="H238" s="17"/>
      <c r="I238" s="19"/>
      <c r="J238" s="21"/>
      <c r="K238" s="57"/>
      <c r="L238" s="24"/>
      <c r="M238" s="25"/>
      <c r="N238" s="25"/>
      <c r="O238" s="25"/>
      <c r="P238" s="26"/>
    </row>
    <row r="239">
      <c r="A239" s="52"/>
      <c r="B239" s="15"/>
      <c r="C239" s="16"/>
      <c r="D239" s="15"/>
      <c r="E239" s="17"/>
      <c r="F239" s="54"/>
      <c r="G239" s="19"/>
      <c r="H239" s="17"/>
      <c r="I239" s="19"/>
      <c r="J239" s="21"/>
      <c r="K239" s="57"/>
      <c r="L239" s="24"/>
      <c r="M239" s="25"/>
      <c r="N239" s="25"/>
      <c r="O239" s="25"/>
      <c r="P239" s="26"/>
    </row>
    <row r="240">
      <c r="A240" s="52"/>
      <c r="B240" s="15"/>
      <c r="C240" s="16"/>
      <c r="D240" s="15"/>
      <c r="E240" s="17"/>
      <c r="F240" s="54"/>
      <c r="G240" s="19"/>
      <c r="H240" s="17"/>
      <c r="I240" s="19"/>
      <c r="J240" s="21"/>
      <c r="K240" s="57"/>
      <c r="L240" s="24"/>
      <c r="M240" s="25"/>
      <c r="N240" s="25"/>
      <c r="O240" s="25"/>
      <c r="P240" s="26"/>
    </row>
    <row r="241">
      <c r="A241" s="52"/>
      <c r="B241" s="15"/>
      <c r="C241" s="16"/>
      <c r="D241" s="15"/>
      <c r="E241" s="17"/>
      <c r="F241" s="54"/>
      <c r="G241" s="19"/>
      <c r="H241" s="17"/>
      <c r="I241" s="19"/>
      <c r="J241" s="21"/>
      <c r="K241" s="57"/>
      <c r="L241" s="24"/>
      <c r="M241" s="25"/>
      <c r="N241" s="25"/>
      <c r="O241" s="25"/>
      <c r="P241" s="26"/>
    </row>
    <row r="242">
      <c r="A242" s="62"/>
      <c r="B242" s="15"/>
      <c r="C242" s="16"/>
      <c r="D242" s="15"/>
      <c r="E242" s="17"/>
      <c r="F242" s="71"/>
      <c r="G242" s="19"/>
      <c r="H242" s="17"/>
      <c r="I242" s="19"/>
      <c r="J242" s="21"/>
      <c r="K242" s="57"/>
      <c r="L242" s="24"/>
      <c r="M242" s="25"/>
      <c r="N242" s="25"/>
      <c r="O242" s="25"/>
      <c r="P242" s="26"/>
    </row>
    <row r="243">
      <c r="A243" s="52"/>
      <c r="B243" s="15"/>
      <c r="C243" s="16"/>
      <c r="D243" s="15"/>
      <c r="E243" s="17"/>
      <c r="F243" s="54"/>
      <c r="G243" s="19"/>
      <c r="H243" s="17"/>
      <c r="I243" s="19"/>
      <c r="J243" s="21"/>
      <c r="K243" s="57"/>
      <c r="L243" s="24"/>
      <c r="M243" s="25"/>
      <c r="N243" s="25"/>
      <c r="O243" s="25"/>
      <c r="P243" s="26"/>
    </row>
    <row r="244">
      <c r="A244" s="52"/>
      <c r="B244" s="15"/>
      <c r="C244" s="16"/>
      <c r="D244" s="15"/>
      <c r="E244" s="17"/>
      <c r="F244" s="54"/>
      <c r="G244" s="19"/>
      <c r="H244" s="17"/>
      <c r="I244" s="19"/>
      <c r="J244" s="21"/>
      <c r="K244" s="57"/>
      <c r="L244" s="24"/>
      <c r="M244" s="25"/>
      <c r="N244" s="25"/>
      <c r="O244" s="25"/>
      <c r="P244" s="26"/>
    </row>
    <row r="245">
      <c r="A245" s="52"/>
      <c r="B245" s="15"/>
      <c r="C245" s="16"/>
      <c r="D245" s="15"/>
      <c r="E245" s="17"/>
      <c r="F245" s="54"/>
      <c r="G245" s="19"/>
      <c r="H245" s="17"/>
      <c r="I245" s="19"/>
      <c r="J245" s="21"/>
      <c r="K245" s="57"/>
      <c r="L245" s="24"/>
      <c r="M245" s="25"/>
      <c r="N245" s="25"/>
      <c r="O245" s="25"/>
      <c r="P245" s="26"/>
    </row>
    <row r="246">
      <c r="A246" s="52"/>
      <c r="B246" s="15"/>
      <c r="C246" s="16"/>
      <c r="D246" s="15"/>
      <c r="E246" s="17"/>
      <c r="F246" s="54"/>
      <c r="G246" s="19"/>
      <c r="H246" s="17"/>
      <c r="I246" s="19"/>
      <c r="J246" s="21"/>
      <c r="K246" s="57"/>
      <c r="L246" s="24"/>
      <c r="M246" s="25"/>
      <c r="N246" s="25"/>
      <c r="O246" s="25"/>
      <c r="P246" s="26"/>
    </row>
    <row r="247">
      <c r="A247" s="52"/>
      <c r="B247" s="15"/>
      <c r="C247" s="16"/>
      <c r="D247" s="15"/>
      <c r="E247" s="17"/>
      <c r="F247" s="54"/>
      <c r="G247" s="19"/>
      <c r="H247" s="17"/>
      <c r="I247" s="19"/>
      <c r="J247" s="21"/>
      <c r="K247" s="57"/>
      <c r="L247" s="24"/>
      <c r="M247" s="25"/>
      <c r="N247" s="25"/>
      <c r="O247" s="25"/>
      <c r="P247" s="26"/>
    </row>
    <row r="248">
      <c r="A248" s="52"/>
      <c r="B248" s="15"/>
      <c r="C248" s="16"/>
      <c r="D248" s="15"/>
      <c r="E248" s="17"/>
      <c r="F248" s="54"/>
      <c r="G248" s="19"/>
      <c r="H248" s="17"/>
      <c r="I248" s="19"/>
      <c r="J248" s="21"/>
      <c r="K248" s="57"/>
      <c r="L248" s="24"/>
      <c r="M248" s="25"/>
      <c r="N248" s="25"/>
      <c r="O248" s="25"/>
      <c r="P248" s="26"/>
    </row>
    <row r="249">
      <c r="A249" s="52"/>
      <c r="B249" s="15"/>
      <c r="C249" s="16"/>
      <c r="D249" s="15"/>
      <c r="E249" s="17"/>
      <c r="F249" s="18"/>
      <c r="G249" s="19"/>
      <c r="H249" s="17"/>
      <c r="I249" s="19"/>
      <c r="J249" s="21"/>
      <c r="K249" s="57"/>
      <c r="L249" s="24"/>
      <c r="M249" s="25"/>
      <c r="N249" s="25"/>
      <c r="O249" s="25"/>
      <c r="P249" s="26"/>
    </row>
    <row r="250">
      <c r="A250" s="52"/>
      <c r="B250" s="15"/>
      <c r="C250" s="16"/>
      <c r="D250" s="15"/>
      <c r="E250" s="17"/>
      <c r="F250" s="54"/>
      <c r="G250" s="19"/>
      <c r="H250" s="17"/>
      <c r="I250" s="19"/>
      <c r="J250" s="21"/>
      <c r="K250" s="57"/>
      <c r="L250" s="24"/>
      <c r="M250" s="25"/>
      <c r="N250" s="25"/>
      <c r="O250" s="25"/>
      <c r="P250" s="26"/>
    </row>
    <row r="251">
      <c r="A251" s="52"/>
      <c r="B251" s="15"/>
      <c r="C251" s="16"/>
      <c r="D251" s="15"/>
      <c r="E251" s="17"/>
      <c r="F251" s="54"/>
      <c r="G251" s="19"/>
      <c r="H251" s="17"/>
      <c r="I251" s="19"/>
      <c r="J251" s="21"/>
      <c r="K251" s="57"/>
      <c r="L251" s="24"/>
      <c r="M251" s="25"/>
      <c r="N251" s="25"/>
      <c r="O251" s="25"/>
      <c r="P251" s="26"/>
    </row>
    <row r="252">
      <c r="A252" s="52"/>
      <c r="B252" s="15"/>
      <c r="C252" s="16"/>
      <c r="D252" s="15"/>
      <c r="E252" s="17"/>
      <c r="F252" s="54"/>
      <c r="G252" s="19"/>
      <c r="H252" s="17"/>
      <c r="I252" s="19"/>
      <c r="J252" s="21"/>
      <c r="K252" s="57"/>
      <c r="L252" s="24"/>
      <c r="M252" s="25"/>
      <c r="N252" s="25"/>
      <c r="O252" s="25"/>
      <c r="P252" s="26"/>
    </row>
    <row r="253">
      <c r="A253" s="52"/>
      <c r="B253" s="15"/>
      <c r="C253" s="16"/>
      <c r="D253" s="15"/>
      <c r="E253" s="17"/>
      <c r="F253" s="54"/>
      <c r="G253" s="19"/>
      <c r="H253" s="17"/>
      <c r="I253" s="19"/>
      <c r="J253" s="21"/>
      <c r="K253" s="57"/>
      <c r="L253" s="24"/>
      <c r="M253" s="25"/>
      <c r="N253" s="25"/>
      <c r="O253" s="25"/>
      <c r="P253" s="26"/>
    </row>
    <row r="254">
      <c r="A254" s="52"/>
      <c r="B254" s="15"/>
      <c r="C254" s="16"/>
      <c r="D254" s="15"/>
      <c r="E254" s="17"/>
      <c r="F254" s="54"/>
      <c r="G254" s="19"/>
      <c r="H254" s="17"/>
      <c r="I254" s="19"/>
      <c r="J254" s="21"/>
      <c r="K254" s="57"/>
      <c r="L254" s="24"/>
      <c r="M254" s="25"/>
      <c r="N254" s="25"/>
      <c r="O254" s="25"/>
      <c r="P254" s="26"/>
    </row>
    <row r="255">
      <c r="A255" s="52"/>
      <c r="B255" s="15"/>
      <c r="C255" s="16"/>
      <c r="D255" s="15"/>
      <c r="E255" s="17"/>
      <c r="F255" s="54"/>
      <c r="G255" s="19"/>
      <c r="H255" s="17"/>
      <c r="I255" s="19"/>
      <c r="J255" s="21"/>
      <c r="K255" s="57"/>
      <c r="L255" s="24"/>
      <c r="M255" s="25"/>
      <c r="N255" s="25"/>
      <c r="O255" s="25"/>
      <c r="P255" s="26"/>
    </row>
    <row r="256">
      <c r="A256" s="52"/>
      <c r="B256" s="15"/>
      <c r="C256" s="16"/>
      <c r="D256" s="15"/>
      <c r="E256" s="17"/>
      <c r="F256" s="54"/>
      <c r="G256" s="19"/>
      <c r="H256" s="17"/>
      <c r="I256" s="19"/>
      <c r="J256" s="21"/>
      <c r="K256" s="57"/>
      <c r="L256" s="24"/>
      <c r="M256" s="25"/>
      <c r="N256" s="25"/>
      <c r="O256" s="25"/>
      <c r="P256" s="26"/>
    </row>
    <row r="257">
      <c r="A257" s="52"/>
      <c r="B257" s="15"/>
      <c r="C257" s="16"/>
      <c r="D257" s="15"/>
      <c r="E257" s="17"/>
      <c r="F257" s="54"/>
      <c r="G257" s="19"/>
      <c r="H257" s="17"/>
      <c r="I257" s="19"/>
      <c r="J257" s="21"/>
      <c r="K257" s="57"/>
      <c r="L257" s="24"/>
      <c r="M257" s="25"/>
      <c r="N257" s="25"/>
      <c r="O257" s="25"/>
      <c r="P257" s="26"/>
    </row>
    <row r="258">
      <c r="A258" s="52"/>
      <c r="B258" s="15"/>
      <c r="C258" s="16"/>
      <c r="D258" s="15"/>
      <c r="E258" s="17"/>
      <c r="F258" s="54"/>
      <c r="G258" s="19"/>
      <c r="H258" s="17"/>
      <c r="I258" s="19"/>
      <c r="J258" s="21"/>
      <c r="K258" s="57"/>
      <c r="L258" s="24"/>
      <c r="M258" s="25"/>
      <c r="N258" s="25"/>
      <c r="O258" s="25"/>
      <c r="P258" s="26"/>
    </row>
    <row r="259">
      <c r="A259" s="52"/>
      <c r="B259" s="15"/>
      <c r="C259" s="16"/>
      <c r="D259" s="15"/>
      <c r="E259" s="17"/>
      <c r="F259" s="54"/>
      <c r="G259" s="19"/>
      <c r="H259" s="17"/>
      <c r="I259" s="19"/>
      <c r="J259" s="21"/>
      <c r="K259" s="57"/>
      <c r="L259" s="24"/>
      <c r="M259" s="25"/>
      <c r="N259" s="25"/>
      <c r="O259" s="25"/>
      <c r="P259" s="26"/>
    </row>
    <row r="260">
      <c r="A260" s="52"/>
      <c r="B260" s="15"/>
      <c r="C260" s="16"/>
      <c r="D260" s="15"/>
      <c r="E260" s="17"/>
      <c r="F260" s="54"/>
      <c r="G260" s="19"/>
      <c r="H260" s="17"/>
      <c r="I260" s="19"/>
      <c r="J260" s="21"/>
      <c r="K260" s="57"/>
      <c r="L260" s="24"/>
      <c r="M260" s="25"/>
      <c r="N260" s="25"/>
      <c r="O260" s="25"/>
      <c r="P260" s="26"/>
    </row>
    <row r="261">
      <c r="A261" s="52"/>
      <c r="B261" s="15"/>
      <c r="C261" s="16"/>
      <c r="D261" s="15"/>
      <c r="E261" s="17"/>
      <c r="F261" s="54"/>
      <c r="G261" s="19"/>
      <c r="H261" s="17"/>
      <c r="I261" s="19"/>
      <c r="J261" s="21"/>
      <c r="K261" s="57"/>
      <c r="L261" s="24"/>
      <c r="M261" s="72"/>
      <c r="N261" s="72"/>
      <c r="O261" s="25"/>
      <c r="P261" s="26"/>
    </row>
    <row r="262">
      <c r="A262" s="52"/>
      <c r="B262" s="15"/>
      <c r="C262" s="16"/>
      <c r="D262" s="15"/>
      <c r="E262" s="17"/>
      <c r="F262" s="74"/>
      <c r="G262" s="19"/>
      <c r="H262" s="17"/>
      <c r="I262" s="19"/>
      <c r="J262" s="21"/>
      <c r="K262" s="57"/>
      <c r="L262" s="24"/>
      <c r="M262" s="25"/>
      <c r="N262" s="25"/>
      <c r="O262" s="25"/>
      <c r="P262" s="26"/>
    </row>
    <row r="263">
      <c r="A263" s="52"/>
      <c r="B263" s="15"/>
      <c r="C263" s="16"/>
      <c r="D263" s="15"/>
      <c r="E263" s="17"/>
      <c r="F263" s="54"/>
      <c r="G263" s="19"/>
      <c r="H263" s="17"/>
      <c r="I263" s="19"/>
      <c r="J263" s="21"/>
      <c r="K263" s="57"/>
      <c r="L263" s="24"/>
      <c r="M263" s="25"/>
      <c r="N263" s="25"/>
      <c r="O263" s="25"/>
      <c r="P263" s="26"/>
    </row>
    <row r="264">
      <c r="A264" s="52"/>
      <c r="B264" s="15"/>
      <c r="C264" s="16"/>
      <c r="D264" s="15"/>
      <c r="E264" s="17"/>
      <c r="F264" s="54"/>
      <c r="G264" s="19"/>
      <c r="H264" s="17"/>
      <c r="I264" s="19"/>
      <c r="J264" s="21"/>
      <c r="K264" s="57"/>
      <c r="L264" s="24"/>
      <c r="M264" s="25"/>
      <c r="N264" s="25"/>
      <c r="O264" s="25"/>
      <c r="P264" s="26"/>
    </row>
    <row r="265">
      <c r="A265" s="52"/>
      <c r="B265" s="15"/>
      <c r="C265" s="16"/>
      <c r="D265" s="15"/>
      <c r="E265" s="17"/>
      <c r="F265" s="54"/>
      <c r="G265" s="19"/>
      <c r="H265" s="17"/>
      <c r="I265" s="19"/>
      <c r="J265" s="21"/>
      <c r="K265" s="57"/>
      <c r="L265" s="24"/>
      <c r="M265" s="25"/>
      <c r="N265" s="25"/>
      <c r="O265" s="25"/>
      <c r="P265" s="26"/>
    </row>
    <row r="266">
      <c r="A266" s="52"/>
      <c r="B266" s="15"/>
      <c r="C266" s="16"/>
      <c r="D266" s="15"/>
      <c r="E266" s="17"/>
      <c r="F266" s="54"/>
      <c r="G266" s="19"/>
      <c r="H266" s="17"/>
      <c r="I266" s="19"/>
      <c r="J266" s="21"/>
      <c r="K266" s="57"/>
      <c r="L266" s="24"/>
      <c r="M266" s="25"/>
      <c r="N266" s="25"/>
      <c r="O266" s="25"/>
      <c r="P266" s="26"/>
    </row>
    <row r="267">
      <c r="A267" s="52"/>
      <c r="B267" s="15"/>
      <c r="C267" s="16"/>
      <c r="D267" s="15"/>
      <c r="E267" s="17"/>
      <c r="F267" s="54"/>
      <c r="G267" s="19"/>
      <c r="H267" s="17"/>
      <c r="I267" s="19"/>
      <c r="J267" s="21"/>
      <c r="K267" s="57"/>
      <c r="L267" s="24"/>
      <c r="M267" s="25"/>
      <c r="N267" s="25"/>
      <c r="O267" s="25"/>
      <c r="P267" s="26"/>
    </row>
    <row r="268">
      <c r="A268" s="52"/>
      <c r="B268" s="15"/>
      <c r="C268" s="16"/>
      <c r="D268" s="15"/>
      <c r="E268" s="17"/>
      <c r="F268" s="54"/>
      <c r="G268" s="19"/>
      <c r="H268" s="17"/>
      <c r="I268" s="19"/>
      <c r="J268" s="21"/>
      <c r="K268" s="57"/>
      <c r="L268" s="24"/>
      <c r="M268" s="25"/>
      <c r="N268" s="25"/>
      <c r="O268" s="25"/>
      <c r="P268" s="26"/>
    </row>
    <row r="269">
      <c r="A269" s="52"/>
      <c r="B269" s="15"/>
      <c r="C269" s="16"/>
      <c r="D269" s="15"/>
      <c r="E269" s="17"/>
      <c r="F269" s="54"/>
      <c r="G269" s="19"/>
      <c r="H269" s="17"/>
      <c r="I269" s="19"/>
      <c r="J269" s="21"/>
      <c r="K269" s="57"/>
      <c r="L269" s="24"/>
      <c r="M269" s="25"/>
      <c r="N269" s="25"/>
      <c r="O269" s="25"/>
      <c r="P269" s="26"/>
    </row>
    <row r="270">
      <c r="A270" s="52"/>
      <c r="B270" s="15"/>
      <c r="C270" s="16"/>
      <c r="D270" s="15"/>
      <c r="E270" s="17"/>
      <c r="F270" s="54"/>
      <c r="G270" s="19"/>
      <c r="H270" s="17"/>
      <c r="I270" s="19"/>
      <c r="J270" s="21"/>
      <c r="K270" s="57"/>
      <c r="L270" s="24"/>
      <c r="M270" s="25"/>
      <c r="N270" s="25"/>
      <c r="O270" s="25"/>
      <c r="P270" s="26"/>
    </row>
    <row r="271">
      <c r="A271" s="52"/>
      <c r="B271" s="15"/>
      <c r="C271" s="16"/>
      <c r="D271" s="15"/>
      <c r="E271" s="17"/>
      <c r="F271" s="54"/>
      <c r="G271" s="19"/>
      <c r="H271" s="17"/>
      <c r="I271" s="19"/>
      <c r="J271" s="21"/>
      <c r="K271" s="57"/>
      <c r="L271" s="24"/>
      <c r="M271" s="25"/>
      <c r="N271" s="25"/>
      <c r="O271" s="25"/>
      <c r="P271" s="26"/>
    </row>
    <row r="272">
      <c r="A272" s="52"/>
      <c r="B272" s="15"/>
      <c r="C272" s="16"/>
      <c r="D272" s="15"/>
      <c r="E272" s="17"/>
      <c r="F272" s="18"/>
      <c r="G272" s="19"/>
      <c r="H272" s="17"/>
      <c r="I272" s="19"/>
      <c r="J272" s="21"/>
      <c r="K272" s="57"/>
      <c r="L272" s="24"/>
      <c r="M272" s="25"/>
      <c r="N272" s="25"/>
      <c r="O272" s="25"/>
      <c r="P272" s="26"/>
    </row>
    <row r="273">
      <c r="A273" s="52"/>
      <c r="B273" s="15"/>
      <c r="C273" s="16"/>
      <c r="D273" s="15"/>
      <c r="E273" s="17"/>
      <c r="F273" s="18"/>
      <c r="G273" s="19"/>
      <c r="H273" s="17"/>
      <c r="I273" s="19"/>
      <c r="J273" s="21"/>
      <c r="K273" s="57"/>
      <c r="L273" s="24"/>
      <c r="M273" s="25"/>
      <c r="N273" s="25"/>
      <c r="O273" s="25"/>
      <c r="P273" s="26"/>
    </row>
    <row r="274">
      <c r="A274" s="52"/>
      <c r="B274" s="15"/>
      <c r="C274" s="16"/>
      <c r="D274" s="15"/>
      <c r="E274" s="17"/>
      <c r="F274" s="54"/>
      <c r="G274" s="19"/>
      <c r="H274" s="17"/>
      <c r="I274" s="19"/>
      <c r="J274" s="21"/>
      <c r="K274" s="57"/>
      <c r="L274" s="24"/>
      <c r="M274" s="25"/>
      <c r="N274" s="25"/>
      <c r="O274" s="25"/>
      <c r="P274" s="26"/>
    </row>
    <row r="275">
      <c r="A275" s="52"/>
      <c r="B275" s="15"/>
      <c r="C275" s="16"/>
      <c r="D275" s="15"/>
      <c r="E275" s="17"/>
      <c r="F275" s="54"/>
      <c r="G275" s="19"/>
      <c r="H275" s="17"/>
      <c r="I275" s="19"/>
      <c r="J275" s="21"/>
      <c r="K275" s="57"/>
      <c r="L275" s="24"/>
      <c r="M275" s="25"/>
      <c r="N275" s="25"/>
      <c r="O275" s="25"/>
      <c r="P275" s="26"/>
    </row>
    <row r="276">
      <c r="A276" s="52"/>
      <c r="B276" s="15"/>
      <c r="C276" s="16"/>
      <c r="D276" s="15"/>
      <c r="E276" s="17"/>
      <c r="F276" s="54"/>
      <c r="G276" s="19"/>
      <c r="H276" s="17"/>
      <c r="I276" s="19"/>
      <c r="J276" s="21"/>
      <c r="K276" s="57"/>
      <c r="L276" s="24"/>
      <c r="M276" s="25"/>
      <c r="N276" s="25"/>
      <c r="O276" s="25"/>
      <c r="P276" s="26"/>
    </row>
    <row r="277">
      <c r="A277" s="52"/>
      <c r="B277" s="15"/>
      <c r="C277" s="16"/>
      <c r="D277" s="15"/>
      <c r="E277" s="17"/>
      <c r="F277" s="54"/>
      <c r="G277" s="19"/>
      <c r="H277" s="17"/>
      <c r="I277" s="19"/>
      <c r="J277" s="21"/>
      <c r="K277" s="57"/>
      <c r="L277" s="24"/>
      <c r="M277" s="26"/>
      <c r="N277" s="25"/>
      <c r="O277" s="25"/>
      <c r="P277" s="26"/>
    </row>
    <row r="278">
      <c r="A278" s="52"/>
      <c r="B278" s="15"/>
      <c r="C278" s="16"/>
      <c r="D278" s="15"/>
      <c r="E278" s="17"/>
      <c r="F278" s="54"/>
      <c r="G278" s="19"/>
      <c r="H278" s="17"/>
      <c r="I278" s="19"/>
      <c r="J278" s="21"/>
      <c r="K278" s="57"/>
      <c r="L278" s="24"/>
      <c r="M278" s="25"/>
      <c r="N278" s="25"/>
      <c r="O278" s="25"/>
      <c r="P278" s="26"/>
    </row>
    <row r="279">
      <c r="A279" s="52"/>
      <c r="B279" s="15"/>
      <c r="C279" s="16"/>
      <c r="D279" s="15"/>
      <c r="E279" s="17"/>
      <c r="F279" s="54"/>
      <c r="G279" s="19"/>
      <c r="H279" s="17"/>
      <c r="I279" s="19"/>
      <c r="J279" s="21"/>
      <c r="K279" s="57"/>
      <c r="L279" s="24"/>
      <c r="M279" s="25"/>
      <c r="N279" s="25"/>
      <c r="O279" s="25"/>
      <c r="P279" s="26"/>
    </row>
    <row r="280">
      <c r="A280" s="52"/>
      <c r="B280" s="15"/>
      <c r="C280" s="16"/>
      <c r="D280" s="15"/>
      <c r="E280" s="17"/>
      <c r="F280" s="54"/>
      <c r="G280" s="19"/>
      <c r="H280" s="17"/>
      <c r="I280" s="19"/>
      <c r="J280" s="21"/>
      <c r="K280" s="57"/>
      <c r="L280" s="24"/>
      <c r="M280" s="25"/>
      <c r="N280" s="25"/>
      <c r="O280" s="25"/>
      <c r="P280" s="26"/>
    </row>
    <row r="281">
      <c r="A281" s="52"/>
      <c r="B281" s="15"/>
      <c r="C281" s="16"/>
      <c r="D281" s="15"/>
      <c r="E281" s="17"/>
      <c r="F281" s="54"/>
      <c r="G281" s="19"/>
      <c r="H281" s="17"/>
      <c r="I281" s="19"/>
      <c r="J281" s="21"/>
      <c r="K281" s="57"/>
      <c r="L281" s="24"/>
      <c r="M281" s="25"/>
      <c r="N281" s="25"/>
      <c r="O281" s="25"/>
      <c r="P281" s="26"/>
    </row>
    <row r="282">
      <c r="A282" s="52"/>
      <c r="B282" s="15"/>
      <c r="C282" s="16"/>
      <c r="D282" s="15"/>
      <c r="E282" s="17"/>
      <c r="F282" s="18"/>
      <c r="G282" s="19"/>
      <c r="H282" s="17"/>
      <c r="I282" s="19"/>
      <c r="J282" s="21"/>
      <c r="K282" s="57"/>
      <c r="L282" s="24"/>
      <c r="M282" s="25"/>
      <c r="N282" s="25"/>
      <c r="O282" s="25"/>
      <c r="P282" s="26"/>
    </row>
    <row r="283">
      <c r="A283" s="52"/>
      <c r="B283" s="15"/>
      <c r="C283" s="16"/>
      <c r="D283" s="15"/>
      <c r="E283" s="17"/>
      <c r="F283" s="54"/>
      <c r="G283" s="19"/>
      <c r="H283" s="17"/>
      <c r="I283" s="19"/>
      <c r="J283" s="21"/>
      <c r="K283" s="57"/>
      <c r="L283" s="24"/>
      <c r="M283" s="25"/>
      <c r="N283" s="25"/>
      <c r="O283" s="25"/>
      <c r="P283" s="26"/>
    </row>
    <row r="284">
      <c r="A284" s="52"/>
      <c r="B284" s="15"/>
      <c r="C284" s="16"/>
      <c r="D284" s="15"/>
      <c r="E284" s="17"/>
      <c r="F284" s="54"/>
      <c r="G284" s="19"/>
      <c r="H284" s="17"/>
      <c r="I284" s="19"/>
      <c r="J284" s="21"/>
      <c r="K284" s="57"/>
      <c r="L284" s="24"/>
      <c r="M284" s="25"/>
      <c r="N284" s="25"/>
      <c r="O284" s="25"/>
      <c r="P284" s="26"/>
    </row>
    <row r="285">
      <c r="A285" s="52"/>
      <c r="B285" s="15"/>
      <c r="C285" s="16"/>
      <c r="D285" s="15"/>
      <c r="E285" s="17"/>
      <c r="F285" s="54"/>
      <c r="G285" s="19"/>
      <c r="H285" s="17"/>
      <c r="I285" s="19"/>
      <c r="J285" s="21"/>
      <c r="K285" s="57"/>
      <c r="L285" s="24"/>
      <c r="M285" s="25"/>
      <c r="N285" s="25"/>
      <c r="O285" s="25"/>
      <c r="P285" s="26"/>
    </row>
    <row r="286">
      <c r="A286" s="52"/>
      <c r="B286" s="15"/>
      <c r="C286" s="16"/>
      <c r="D286" s="15"/>
      <c r="E286" s="17"/>
      <c r="F286" s="54"/>
      <c r="G286" s="19"/>
      <c r="H286" s="17"/>
      <c r="I286" s="19"/>
      <c r="J286" s="21"/>
      <c r="K286" s="57"/>
      <c r="L286" s="24"/>
      <c r="M286" s="25"/>
      <c r="N286" s="25"/>
      <c r="O286" s="25"/>
      <c r="P286" s="26"/>
    </row>
    <row r="287">
      <c r="A287" s="52"/>
      <c r="B287" s="15"/>
      <c r="C287" s="16"/>
      <c r="D287" s="15"/>
      <c r="E287" s="17"/>
      <c r="F287" s="54"/>
      <c r="G287" s="19"/>
      <c r="H287" s="17"/>
      <c r="I287" s="19"/>
      <c r="J287" s="21"/>
      <c r="K287" s="57"/>
      <c r="L287" s="24"/>
      <c r="M287" s="25"/>
      <c r="N287" s="25"/>
      <c r="O287" s="25"/>
      <c r="P287" s="26"/>
    </row>
    <row r="288">
      <c r="A288" s="52"/>
      <c r="B288" s="15"/>
      <c r="C288" s="16"/>
      <c r="D288" s="15"/>
      <c r="E288" s="17"/>
      <c r="F288" s="54"/>
      <c r="G288" s="19"/>
      <c r="H288" s="17"/>
      <c r="I288" s="19"/>
      <c r="J288" s="21"/>
      <c r="K288" s="57"/>
      <c r="L288" s="24"/>
      <c r="M288" s="25"/>
      <c r="N288" s="25"/>
      <c r="O288" s="25"/>
      <c r="P288" s="26"/>
    </row>
    <row r="289">
      <c r="A289" s="52"/>
      <c r="B289" s="15"/>
      <c r="C289" s="16"/>
      <c r="D289" s="15"/>
      <c r="E289" s="17"/>
      <c r="F289" s="54"/>
      <c r="G289" s="19"/>
      <c r="H289" s="17"/>
      <c r="I289" s="19"/>
      <c r="J289" s="21"/>
      <c r="K289" s="57"/>
      <c r="L289" s="24"/>
      <c r="M289" s="25"/>
      <c r="N289" s="25"/>
      <c r="O289" s="25"/>
      <c r="P289" s="26"/>
    </row>
    <row r="290">
      <c r="A290" s="52"/>
      <c r="B290" s="15"/>
      <c r="C290" s="16"/>
      <c r="D290" s="15"/>
      <c r="E290" s="17"/>
      <c r="F290" s="54"/>
      <c r="G290" s="19"/>
      <c r="H290" s="17"/>
      <c r="I290" s="19"/>
      <c r="J290" s="21"/>
      <c r="K290" s="57"/>
      <c r="L290" s="24"/>
      <c r="M290" s="25"/>
      <c r="N290" s="25"/>
      <c r="O290" s="25"/>
      <c r="P290" s="26"/>
    </row>
    <row r="291">
      <c r="A291" s="52"/>
      <c r="B291" s="15"/>
      <c r="C291" s="16"/>
      <c r="D291" s="15"/>
      <c r="E291" s="17"/>
      <c r="F291" s="54"/>
      <c r="G291" s="19"/>
      <c r="H291" s="17"/>
      <c r="I291" s="19"/>
      <c r="J291" s="21"/>
      <c r="K291" s="57"/>
      <c r="L291" s="24"/>
      <c r="M291" s="25"/>
      <c r="N291" s="25"/>
      <c r="O291" s="25"/>
      <c r="P291" s="26"/>
    </row>
    <row r="292">
      <c r="A292" s="52"/>
      <c r="B292" s="15"/>
      <c r="C292" s="16"/>
      <c r="D292" s="15"/>
      <c r="E292" s="17"/>
      <c r="F292" s="54"/>
      <c r="G292" s="19"/>
      <c r="H292" s="17"/>
      <c r="I292" s="19"/>
      <c r="J292" s="21"/>
      <c r="K292" s="57"/>
      <c r="L292" s="24"/>
      <c r="M292" s="25"/>
      <c r="N292" s="25"/>
      <c r="O292" s="25"/>
      <c r="P292" s="26"/>
    </row>
    <row r="293">
      <c r="A293" s="52"/>
      <c r="B293" s="15"/>
      <c r="C293" s="16"/>
      <c r="D293" s="15"/>
      <c r="E293" s="17"/>
      <c r="F293" s="54"/>
      <c r="G293" s="19"/>
      <c r="H293" s="17"/>
      <c r="I293" s="19"/>
      <c r="J293" s="21"/>
      <c r="K293" s="57"/>
      <c r="L293" s="24"/>
      <c r="M293" s="25"/>
      <c r="N293" s="25"/>
      <c r="O293" s="25"/>
      <c r="P293" s="26"/>
    </row>
    <row r="294">
      <c r="A294" s="52"/>
      <c r="B294" s="15"/>
      <c r="C294" s="16"/>
      <c r="D294" s="15"/>
      <c r="E294" s="17"/>
      <c r="F294" s="54"/>
      <c r="G294" s="19"/>
      <c r="H294" s="17"/>
      <c r="I294" s="19"/>
      <c r="J294" s="21"/>
      <c r="K294" s="57"/>
      <c r="L294" s="24"/>
      <c r="M294" s="25"/>
      <c r="N294" s="25"/>
      <c r="O294" s="25"/>
      <c r="P294" s="26"/>
    </row>
    <row r="295">
      <c r="A295" s="52"/>
      <c r="B295" s="15"/>
      <c r="C295" s="16"/>
      <c r="D295" s="15"/>
      <c r="E295" s="17"/>
      <c r="F295" s="54"/>
      <c r="G295" s="19"/>
      <c r="H295" s="17"/>
      <c r="I295" s="19"/>
      <c r="J295" s="21"/>
      <c r="K295" s="57"/>
      <c r="L295" s="24"/>
      <c r="M295" s="25"/>
      <c r="N295" s="25"/>
      <c r="O295" s="25"/>
      <c r="P295" s="26"/>
    </row>
    <row r="296">
      <c r="A296" s="52"/>
      <c r="B296" s="15"/>
      <c r="C296" s="16"/>
      <c r="D296" s="15"/>
      <c r="E296" s="17"/>
      <c r="F296" s="54"/>
      <c r="G296" s="19"/>
      <c r="H296" s="17"/>
      <c r="I296" s="19"/>
      <c r="J296" s="21"/>
      <c r="K296" s="57"/>
      <c r="L296" s="24"/>
      <c r="M296" s="25"/>
      <c r="N296" s="25"/>
      <c r="O296" s="25"/>
      <c r="P296" s="26"/>
    </row>
    <row r="297">
      <c r="A297" s="52"/>
      <c r="B297" s="15"/>
      <c r="C297" s="16"/>
      <c r="D297" s="15"/>
      <c r="E297" s="17"/>
      <c r="F297" s="54"/>
      <c r="G297" s="19"/>
      <c r="H297" s="17"/>
      <c r="I297" s="19"/>
      <c r="J297" s="21"/>
      <c r="K297" s="57"/>
      <c r="L297" s="24"/>
      <c r="M297" s="25"/>
      <c r="N297" s="25"/>
      <c r="O297" s="25"/>
      <c r="P297" s="26"/>
    </row>
    <row r="298">
      <c r="A298" s="52"/>
      <c r="B298" s="15"/>
      <c r="C298" s="16"/>
      <c r="D298" s="15"/>
      <c r="E298" s="17"/>
      <c r="F298" s="54"/>
      <c r="G298" s="19"/>
      <c r="H298" s="17"/>
      <c r="I298" s="19"/>
      <c r="J298" s="21"/>
      <c r="K298" s="57"/>
      <c r="L298" s="24"/>
      <c r="M298" s="25"/>
      <c r="N298" s="25"/>
      <c r="O298" s="25"/>
      <c r="P298" s="26"/>
    </row>
    <row r="299">
      <c r="A299" s="52"/>
      <c r="B299" s="15"/>
      <c r="C299" s="16"/>
      <c r="D299" s="15"/>
      <c r="E299" s="17"/>
      <c r="F299" s="54"/>
      <c r="G299" s="19"/>
      <c r="H299" s="17"/>
      <c r="I299" s="19"/>
      <c r="J299" s="21"/>
      <c r="K299" s="57"/>
      <c r="L299" s="24"/>
      <c r="M299" s="25"/>
      <c r="N299" s="25"/>
      <c r="O299" s="25"/>
      <c r="P299" s="26"/>
    </row>
    <row r="300">
      <c r="A300" s="52"/>
      <c r="B300" s="15"/>
      <c r="C300" s="16"/>
      <c r="D300" s="15"/>
      <c r="E300" s="17"/>
      <c r="F300" s="54"/>
      <c r="G300" s="19"/>
      <c r="H300" s="17"/>
      <c r="I300" s="19"/>
      <c r="J300" s="21"/>
      <c r="K300" s="57"/>
      <c r="L300" s="24"/>
      <c r="M300" s="25"/>
      <c r="N300" s="25"/>
      <c r="O300" s="25"/>
      <c r="P300" s="26"/>
    </row>
    <row r="301">
      <c r="A301" s="52"/>
      <c r="B301" s="15"/>
      <c r="C301" s="16"/>
      <c r="D301" s="15"/>
      <c r="E301" s="17"/>
      <c r="F301" s="54"/>
      <c r="G301" s="19"/>
      <c r="H301" s="17"/>
      <c r="I301" s="19"/>
      <c r="J301" s="21"/>
      <c r="K301" s="57"/>
      <c r="L301" s="24"/>
      <c r="M301" s="25"/>
      <c r="N301" s="25"/>
      <c r="O301" s="25"/>
      <c r="P301" s="26"/>
    </row>
    <row r="302">
      <c r="A302" s="52"/>
      <c r="B302" s="15"/>
      <c r="C302" s="16"/>
      <c r="D302" s="15"/>
      <c r="E302" s="17"/>
      <c r="F302" s="54"/>
      <c r="G302" s="19"/>
      <c r="H302" s="17"/>
      <c r="I302" s="19"/>
      <c r="J302" s="21"/>
      <c r="K302" s="57"/>
      <c r="L302" s="24"/>
      <c r="M302" s="25"/>
      <c r="N302" s="25"/>
      <c r="O302" s="25"/>
      <c r="P302" s="26"/>
    </row>
    <row r="303">
      <c r="A303" s="52"/>
      <c r="B303" s="15"/>
      <c r="C303" s="16"/>
      <c r="D303" s="15"/>
      <c r="E303" s="17"/>
      <c r="F303" s="54"/>
      <c r="G303" s="19"/>
      <c r="H303" s="17"/>
      <c r="I303" s="19"/>
      <c r="J303" s="21"/>
      <c r="K303" s="57"/>
      <c r="L303" s="24"/>
      <c r="M303" s="25"/>
      <c r="N303" s="25"/>
      <c r="O303" s="25"/>
      <c r="P303" s="26"/>
    </row>
    <row r="304">
      <c r="A304" s="52"/>
      <c r="B304" s="15"/>
      <c r="C304" s="16"/>
      <c r="D304" s="15"/>
      <c r="E304" s="17"/>
      <c r="F304" s="54"/>
      <c r="G304" s="19"/>
      <c r="H304" s="17"/>
      <c r="I304" s="19"/>
      <c r="J304" s="21"/>
      <c r="K304" s="57"/>
      <c r="L304" s="24"/>
      <c r="M304" s="25"/>
      <c r="N304" s="25"/>
      <c r="O304" s="25"/>
      <c r="P304" s="26"/>
    </row>
    <row r="305">
      <c r="A305" s="52"/>
      <c r="B305" s="15"/>
      <c r="C305" s="16"/>
      <c r="D305" s="15"/>
      <c r="E305" s="17"/>
      <c r="F305" s="54"/>
      <c r="G305" s="19"/>
      <c r="H305" s="17"/>
      <c r="I305" s="19"/>
      <c r="J305" s="21"/>
      <c r="K305" s="57"/>
      <c r="L305" s="24"/>
      <c r="M305" s="25"/>
      <c r="N305" s="25"/>
      <c r="O305" s="25"/>
      <c r="P305" s="26"/>
    </row>
    <row r="306">
      <c r="A306" s="52"/>
      <c r="B306" s="15"/>
      <c r="C306" s="16"/>
      <c r="D306" s="15"/>
      <c r="E306" s="17"/>
      <c r="F306" s="54"/>
      <c r="G306" s="19"/>
      <c r="H306" s="17"/>
      <c r="I306" s="19"/>
      <c r="J306" s="21"/>
      <c r="K306" s="57"/>
      <c r="L306" s="24"/>
      <c r="M306" s="25"/>
      <c r="N306" s="25"/>
      <c r="O306" s="25"/>
      <c r="P306" s="26"/>
    </row>
    <row r="307">
      <c r="A307" s="52"/>
      <c r="B307" s="15"/>
      <c r="C307" s="16"/>
      <c r="D307" s="15"/>
      <c r="E307" s="17"/>
      <c r="F307" s="54"/>
      <c r="G307" s="19"/>
      <c r="H307" s="17"/>
      <c r="I307" s="19"/>
      <c r="J307" s="21"/>
      <c r="K307" s="57"/>
      <c r="L307" s="24"/>
      <c r="M307" s="25"/>
      <c r="N307" s="25"/>
      <c r="O307" s="25"/>
      <c r="P307" s="26"/>
    </row>
    <row r="308">
      <c r="A308" s="52"/>
      <c r="B308" s="15"/>
      <c r="C308" s="16"/>
      <c r="D308" s="15"/>
      <c r="E308" s="17"/>
      <c r="F308" s="54"/>
      <c r="G308" s="19"/>
      <c r="H308" s="17"/>
      <c r="I308" s="19"/>
      <c r="J308" s="21"/>
      <c r="K308" s="57"/>
      <c r="L308" s="24"/>
      <c r="M308" s="25"/>
      <c r="N308" s="25"/>
      <c r="O308" s="25"/>
      <c r="P308" s="26"/>
    </row>
    <row r="309">
      <c r="A309" s="52"/>
      <c r="B309" s="15"/>
      <c r="C309" s="16"/>
      <c r="D309" s="15"/>
      <c r="E309" s="17"/>
      <c r="F309" s="54"/>
      <c r="G309" s="19"/>
      <c r="H309" s="17"/>
      <c r="I309" s="19"/>
      <c r="J309" s="21"/>
      <c r="K309" s="57"/>
      <c r="L309" s="24"/>
      <c r="M309" s="25"/>
      <c r="N309" s="25"/>
      <c r="O309" s="25"/>
      <c r="P309" s="26"/>
    </row>
    <row r="310">
      <c r="A310" s="52"/>
      <c r="B310" s="15"/>
      <c r="C310" s="16"/>
      <c r="D310" s="15"/>
      <c r="E310" s="17"/>
      <c r="F310" s="54"/>
      <c r="G310" s="19"/>
      <c r="H310" s="17"/>
      <c r="I310" s="19"/>
      <c r="J310" s="21"/>
      <c r="K310" s="57"/>
      <c r="L310" s="24"/>
      <c r="M310" s="25"/>
      <c r="N310" s="25"/>
      <c r="O310" s="25"/>
      <c r="P310" s="26"/>
    </row>
    <row r="311">
      <c r="A311" s="52"/>
      <c r="B311" s="15"/>
      <c r="C311" s="16"/>
      <c r="D311" s="15"/>
      <c r="E311" s="17"/>
      <c r="F311" s="54"/>
      <c r="G311" s="19"/>
      <c r="H311" s="17"/>
      <c r="I311" s="19"/>
      <c r="J311" s="21"/>
      <c r="K311" s="57"/>
      <c r="L311" s="24"/>
      <c r="M311" s="25"/>
      <c r="N311" s="25"/>
      <c r="O311" s="25"/>
      <c r="P311" s="26"/>
    </row>
    <row r="312">
      <c r="A312" s="52"/>
      <c r="B312" s="15"/>
      <c r="C312" s="16"/>
      <c r="D312" s="15"/>
      <c r="E312" s="17"/>
      <c r="F312" s="54"/>
      <c r="G312" s="19"/>
      <c r="H312" s="17"/>
      <c r="I312" s="19"/>
      <c r="J312" s="21"/>
      <c r="K312" s="57"/>
      <c r="L312" s="24"/>
      <c r="M312" s="75"/>
      <c r="N312" s="25"/>
      <c r="O312" s="25"/>
      <c r="P312" s="26"/>
    </row>
    <row r="313">
      <c r="A313" s="52"/>
      <c r="B313" s="15"/>
      <c r="C313" s="16"/>
      <c r="D313" s="15"/>
      <c r="E313" s="17"/>
      <c r="F313" s="54"/>
      <c r="G313" s="19"/>
      <c r="H313" s="17"/>
      <c r="I313" s="19"/>
      <c r="J313" s="21"/>
      <c r="K313" s="57"/>
      <c r="L313" s="24"/>
      <c r="M313" s="25"/>
      <c r="N313" s="25"/>
      <c r="O313" s="25"/>
      <c r="P313" s="26"/>
    </row>
    <row r="314">
      <c r="A314" s="52"/>
      <c r="B314" s="15"/>
      <c r="C314" s="16"/>
      <c r="D314" s="15"/>
      <c r="E314" s="17"/>
      <c r="F314" s="54"/>
      <c r="G314" s="19"/>
      <c r="H314" s="17"/>
      <c r="I314" s="19"/>
      <c r="J314" s="21"/>
      <c r="K314" s="57"/>
      <c r="L314" s="24"/>
      <c r="M314" s="25"/>
      <c r="N314" s="25"/>
      <c r="O314" s="25"/>
      <c r="P314" s="26"/>
    </row>
    <row r="315">
      <c r="A315" s="52"/>
      <c r="B315" s="15"/>
      <c r="C315" s="16"/>
      <c r="D315" s="15"/>
      <c r="E315" s="17"/>
      <c r="F315" s="54"/>
      <c r="G315" s="19"/>
      <c r="H315" s="17"/>
      <c r="I315" s="19"/>
      <c r="J315" s="21"/>
      <c r="K315" s="57"/>
      <c r="L315" s="24"/>
      <c r="M315" s="25"/>
      <c r="N315" s="25"/>
      <c r="O315" s="25"/>
      <c r="P315" s="26"/>
    </row>
    <row r="316">
      <c r="A316" s="52"/>
      <c r="B316" s="15"/>
      <c r="C316" s="16"/>
      <c r="D316" s="15"/>
      <c r="E316" s="17"/>
      <c r="F316" s="54"/>
      <c r="G316" s="19"/>
      <c r="H316" s="17"/>
      <c r="I316" s="19"/>
      <c r="J316" s="21"/>
      <c r="K316" s="57"/>
      <c r="L316" s="24"/>
      <c r="M316" s="25"/>
      <c r="N316" s="25"/>
      <c r="O316" s="25"/>
      <c r="P316" s="26"/>
    </row>
    <row r="317">
      <c r="A317" s="52"/>
      <c r="B317" s="15"/>
      <c r="C317" s="16"/>
      <c r="D317" s="15"/>
      <c r="E317" s="17"/>
      <c r="F317" s="54"/>
      <c r="G317" s="19"/>
      <c r="H317" s="17"/>
      <c r="I317" s="19"/>
      <c r="J317" s="21"/>
      <c r="K317" s="57"/>
      <c r="L317" s="24"/>
      <c r="M317" s="25"/>
      <c r="N317" s="25"/>
      <c r="O317" s="25"/>
      <c r="P317" s="26"/>
    </row>
    <row r="318">
      <c r="A318" s="52"/>
      <c r="B318" s="15"/>
      <c r="C318" s="16"/>
      <c r="D318" s="15"/>
      <c r="E318" s="17"/>
      <c r="F318" s="54"/>
      <c r="G318" s="19"/>
      <c r="H318" s="17"/>
      <c r="I318" s="19"/>
      <c r="J318" s="21"/>
      <c r="K318" s="57"/>
      <c r="L318" s="24"/>
      <c r="M318" s="25"/>
      <c r="N318" s="25"/>
      <c r="O318" s="25"/>
      <c r="P318" s="26"/>
    </row>
    <row r="319">
      <c r="A319" s="52"/>
      <c r="B319" s="15"/>
      <c r="C319" s="16"/>
      <c r="D319" s="15"/>
      <c r="E319" s="17"/>
      <c r="F319" s="54"/>
      <c r="G319" s="19"/>
      <c r="H319" s="17"/>
      <c r="I319" s="19"/>
      <c r="J319" s="21"/>
      <c r="K319" s="57"/>
      <c r="L319" s="24"/>
      <c r="M319" s="25"/>
      <c r="N319" s="25"/>
      <c r="O319" s="25"/>
      <c r="P319" s="26"/>
    </row>
    <row r="320">
      <c r="A320" s="52"/>
      <c r="B320" s="15"/>
      <c r="C320" s="16"/>
      <c r="D320" s="15"/>
      <c r="E320" s="17"/>
      <c r="F320" s="54"/>
      <c r="G320" s="19"/>
      <c r="H320" s="17"/>
      <c r="I320" s="19"/>
      <c r="J320" s="21"/>
      <c r="K320" s="57"/>
      <c r="L320" s="24"/>
      <c r="M320" s="25"/>
      <c r="N320" s="25"/>
      <c r="O320" s="25"/>
      <c r="P320" s="26"/>
    </row>
    <row r="321">
      <c r="A321" s="52"/>
      <c r="B321" s="15"/>
      <c r="C321" s="16"/>
      <c r="D321" s="15"/>
      <c r="E321" s="17"/>
      <c r="F321" s="54"/>
      <c r="G321" s="19"/>
      <c r="H321" s="17"/>
      <c r="I321" s="19"/>
      <c r="J321" s="21"/>
      <c r="K321" s="57"/>
      <c r="L321" s="24"/>
      <c r="M321" s="25"/>
      <c r="N321" s="25"/>
      <c r="O321" s="25"/>
      <c r="P321" s="26"/>
    </row>
    <row r="322">
      <c r="A322" s="52"/>
      <c r="B322" s="15"/>
      <c r="C322" s="16"/>
      <c r="D322" s="15"/>
      <c r="E322" s="17"/>
      <c r="F322" s="54"/>
      <c r="G322" s="19"/>
      <c r="H322" s="17"/>
      <c r="I322" s="19"/>
      <c r="J322" s="21"/>
      <c r="K322" s="57"/>
      <c r="L322" s="24"/>
      <c r="M322" s="25"/>
      <c r="N322" s="25"/>
      <c r="O322" s="25"/>
      <c r="P322" s="26"/>
    </row>
    <row r="323">
      <c r="A323" s="52"/>
      <c r="B323" s="15"/>
      <c r="C323" s="16"/>
      <c r="D323" s="15"/>
      <c r="E323" s="17"/>
      <c r="F323" s="54"/>
      <c r="G323" s="19"/>
      <c r="H323" s="17"/>
      <c r="I323" s="19"/>
      <c r="J323" s="21"/>
      <c r="K323" s="57"/>
      <c r="L323" s="24"/>
      <c r="M323" s="25"/>
      <c r="N323" s="25"/>
      <c r="O323" s="25"/>
      <c r="P323" s="26"/>
    </row>
    <row r="324">
      <c r="A324" s="52"/>
      <c r="B324" s="15"/>
      <c r="C324" s="16"/>
      <c r="D324" s="15"/>
      <c r="E324" s="17"/>
      <c r="F324" s="54"/>
      <c r="G324" s="19"/>
      <c r="H324" s="17"/>
      <c r="I324" s="19"/>
      <c r="J324" s="21"/>
      <c r="K324" s="57"/>
      <c r="L324" s="24"/>
      <c r="M324" s="25"/>
      <c r="N324" s="25"/>
      <c r="O324" s="25"/>
      <c r="P324" s="26"/>
    </row>
    <row r="325">
      <c r="A325" s="52"/>
      <c r="B325" s="15"/>
      <c r="C325" s="16"/>
      <c r="D325" s="15"/>
      <c r="E325" s="17"/>
      <c r="F325" s="54"/>
      <c r="G325" s="19"/>
      <c r="H325" s="17"/>
      <c r="I325" s="19"/>
      <c r="J325" s="21"/>
      <c r="K325" s="57"/>
      <c r="L325" s="24"/>
      <c r="M325" s="25"/>
      <c r="N325" s="25"/>
      <c r="O325" s="25"/>
      <c r="P325" s="26"/>
    </row>
    <row r="326">
      <c r="A326" s="52"/>
      <c r="B326" s="15"/>
      <c r="C326" s="16"/>
      <c r="D326" s="15"/>
      <c r="E326" s="17"/>
      <c r="F326" s="54"/>
      <c r="G326" s="19"/>
      <c r="H326" s="17"/>
      <c r="I326" s="19"/>
      <c r="J326" s="21"/>
      <c r="K326" s="57"/>
      <c r="L326" s="24"/>
      <c r="M326" s="25"/>
      <c r="N326" s="25"/>
      <c r="O326" s="25"/>
      <c r="P326" s="26"/>
    </row>
    <row r="327">
      <c r="A327" s="52"/>
      <c r="B327" s="15"/>
      <c r="C327" s="16"/>
      <c r="D327" s="15"/>
      <c r="E327" s="17"/>
      <c r="F327" s="54"/>
      <c r="G327" s="19"/>
      <c r="H327" s="17"/>
      <c r="I327" s="19"/>
      <c r="J327" s="21"/>
      <c r="K327" s="57"/>
      <c r="L327" s="24"/>
      <c r="M327" s="25"/>
      <c r="N327" s="25"/>
      <c r="O327" s="25"/>
      <c r="P327" s="26"/>
    </row>
    <row r="328">
      <c r="A328" s="52"/>
      <c r="B328" s="15"/>
      <c r="C328" s="16"/>
      <c r="D328" s="15"/>
      <c r="E328" s="17"/>
      <c r="F328" s="54"/>
      <c r="G328" s="19"/>
      <c r="H328" s="17"/>
      <c r="I328" s="19"/>
      <c r="J328" s="21"/>
      <c r="K328" s="57"/>
      <c r="L328" s="24"/>
      <c r="M328" s="25"/>
      <c r="N328" s="25"/>
      <c r="O328" s="25"/>
      <c r="P328" s="26"/>
    </row>
    <row r="329">
      <c r="A329" s="52"/>
      <c r="B329" s="15"/>
      <c r="C329" s="16"/>
      <c r="D329" s="15"/>
      <c r="E329" s="17"/>
      <c r="F329" s="54"/>
      <c r="G329" s="19"/>
      <c r="H329" s="17"/>
      <c r="I329" s="19"/>
      <c r="J329" s="21"/>
      <c r="K329" s="57"/>
      <c r="L329" s="24"/>
      <c r="M329" s="25"/>
      <c r="N329" s="25"/>
      <c r="O329" s="25"/>
      <c r="P329" s="26"/>
    </row>
    <row r="330">
      <c r="A330" s="52"/>
      <c r="B330" s="15"/>
      <c r="C330" s="16"/>
      <c r="D330" s="15"/>
      <c r="E330" s="17"/>
      <c r="F330" s="54"/>
      <c r="G330" s="19"/>
      <c r="H330" s="17"/>
      <c r="I330" s="19"/>
      <c r="J330" s="21"/>
      <c r="K330" s="57"/>
      <c r="L330" s="24"/>
      <c r="M330" s="25"/>
      <c r="N330" s="25"/>
      <c r="O330" s="25"/>
      <c r="P330" s="26"/>
    </row>
    <row r="331">
      <c r="A331" s="52"/>
      <c r="B331" s="15"/>
      <c r="C331" s="16"/>
      <c r="D331" s="15"/>
      <c r="E331" s="17"/>
      <c r="F331" s="54"/>
      <c r="G331" s="19"/>
      <c r="H331" s="17"/>
      <c r="I331" s="19"/>
      <c r="J331" s="21"/>
      <c r="K331" s="57"/>
      <c r="L331" s="24"/>
      <c r="M331" s="25"/>
      <c r="N331" s="25"/>
      <c r="O331" s="25"/>
      <c r="P331" s="26"/>
    </row>
    <row r="332">
      <c r="A332" s="52"/>
      <c r="B332" s="15"/>
      <c r="C332" s="16"/>
      <c r="D332" s="15"/>
      <c r="E332" s="17"/>
      <c r="F332" s="54"/>
      <c r="G332" s="19"/>
      <c r="H332" s="17"/>
      <c r="I332" s="19"/>
      <c r="J332" s="21"/>
      <c r="K332" s="57"/>
      <c r="L332" s="24"/>
      <c r="M332" s="25"/>
      <c r="N332" s="25"/>
      <c r="O332" s="25"/>
      <c r="P332" s="26"/>
    </row>
    <row r="333">
      <c r="A333" s="52"/>
      <c r="B333" s="15"/>
      <c r="C333" s="16"/>
      <c r="D333" s="15"/>
      <c r="E333" s="17"/>
      <c r="F333" s="54"/>
      <c r="G333" s="19"/>
      <c r="H333" s="17"/>
      <c r="I333" s="19"/>
      <c r="J333" s="21"/>
      <c r="K333" s="57"/>
      <c r="L333" s="24"/>
      <c r="M333" s="25"/>
      <c r="N333" s="25"/>
      <c r="O333" s="25"/>
      <c r="P333" s="26"/>
    </row>
    <row r="334">
      <c r="A334" s="52"/>
      <c r="B334" s="15"/>
      <c r="C334" s="16"/>
      <c r="D334" s="15"/>
      <c r="E334" s="17"/>
      <c r="F334" s="54"/>
      <c r="G334" s="19"/>
      <c r="H334" s="17"/>
      <c r="I334" s="19"/>
      <c r="J334" s="21"/>
      <c r="K334" s="57"/>
      <c r="L334" s="24"/>
      <c r="M334" s="25"/>
      <c r="N334" s="25"/>
      <c r="O334" s="25"/>
      <c r="P334" s="26"/>
    </row>
    <row r="335">
      <c r="A335" s="52"/>
      <c r="B335" s="15"/>
      <c r="C335" s="16"/>
      <c r="D335" s="15"/>
      <c r="E335" s="17"/>
      <c r="F335" s="54"/>
      <c r="G335" s="19"/>
      <c r="H335" s="17"/>
      <c r="I335" s="19"/>
      <c r="J335" s="21"/>
      <c r="K335" s="57"/>
      <c r="L335" s="24"/>
      <c r="M335" s="25"/>
      <c r="N335" s="25"/>
      <c r="O335" s="25"/>
      <c r="P335" s="26"/>
    </row>
    <row r="336">
      <c r="A336" s="52"/>
      <c r="B336" s="15"/>
      <c r="C336" s="16"/>
      <c r="D336" s="15"/>
      <c r="E336" s="17"/>
      <c r="F336" s="54"/>
      <c r="G336" s="19"/>
      <c r="H336" s="17"/>
      <c r="I336" s="19"/>
      <c r="J336" s="21"/>
      <c r="K336" s="57"/>
      <c r="L336" s="24"/>
      <c r="M336" s="25"/>
      <c r="N336" s="25"/>
      <c r="O336" s="25"/>
      <c r="P336" s="26"/>
    </row>
    <row r="337">
      <c r="A337" s="52"/>
      <c r="B337" s="15"/>
      <c r="C337" s="16"/>
      <c r="D337" s="15"/>
      <c r="E337" s="17"/>
      <c r="F337" s="54"/>
      <c r="G337" s="19"/>
      <c r="H337" s="17"/>
      <c r="I337" s="19"/>
      <c r="J337" s="21"/>
      <c r="K337" s="57"/>
      <c r="L337" s="24"/>
      <c r="M337" s="25"/>
      <c r="N337" s="25"/>
      <c r="O337" s="25"/>
      <c r="P337" s="26"/>
    </row>
    <row r="338">
      <c r="A338" s="62"/>
      <c r="B338" s="15"/>
      <c r="C338" s="16"/>
      <c r="D338" s="15"/>
      <c r="E338" s="17"/>
      <c r="F338" s="18"/>
      <c r="G338" s="19"/>
      <c r="H338" s="17"/>
      <c r="I338" s="19"/>
      <c r="J338" s="21"/>
      <c r="K338" s="57"/>
      <c r="L338" s="24"/>
      <c r="M338" s="25"/>
      <c r="N338" s="25"/>
      <c r="O338" s="25"/>
      <c r="P338" s="26"/>
    </row>
    <row r="339">
      <c r="A339" s="52"/>
      <c r="B339" s="15"/>
      <c r="C339" s="16"/>
      <c r="D339" s="15"/>
      <c r="E339" s="17"/>
      <c r="F339" s="54"/>
      <c r="G339" s="19"/>
      <c r="H339" s="17"/>
      <c r="I339" s="19"/>
      <c r="J339" s="21"/>
      <c r="K339" s="57"/>
      <c r="L339" s="24"/>
      <c r="M339" s="25"/>
      <c r="N339" s="25"/>
      <c r="O339" s="25"/>
      <c r="P339" s="26"/>
    </row>
    <row r="340">
      <c r="A340" s="52"/>
      <c r="B340" s="15"/>
      <c r="C340" s="16"/>
      <c r="D340" s="15"/>
      <c r="E340" s="17"/>
      <c r="F340" s="54"/>
      <c r="G340" s="19"/>
      <c r="H340" s="17"/>
      <c r="I340" s="19"/>
      <c r="J340" s="21"/>
      <c r="K340" s="57"/>
      <c r="L340" s="24"/>
      <c r="M340" s="25"/>
      <c r="N340" s="25"/>
      <c r="O340" s="25"/>
      <c r="P340" s="26"/>
    </row>
    <row r="341">
      <c r="A341" s="52"/>
      <c r="B341" s="15"/>
      <c r="C341" s="16"/>
      <c r="D341" s="15"/>
      <c r="E341" s="17"/>
      <c r="F341" s="54"/>
      <c r="G341" s="19"/>
      <c r="H341" s="17"/>
      <c r="I341" s="19"/>
      <c r="J341" s="21"/>
      <c r="K341" s="57"/>
      <c r="L341" s="24"/>
      <c r="M341" s="25"/>
      <c r="N341" s="25"/>
      <c r="O341" s="25"/>
      <c r="P341" s="26"/>
    </row>
    <row r="342">
      <c r="A342" s="52"/>
      <c r="B342" s="15"/>
      <c r="C342" s="16"/>
      <c r="D342" s="15"/>
      <c r="E342" s="17"/>
      <c r="F342" s="54"/>
      <c r="G342" s="19"/>
      <c r="H342" s="17"/>
      <c r="I342" s="19"/>
      <c r="J342" s="21"/>
      <c r="K342" s="57"/>
      <c r="L342" s="24"/>
      <c r="M342" s="25"/>
      <c r="N342" s="25"/>
      <c r="O342" s="25"/>
      <c r="P342" s="26"/>
    </row>
    <row r="343">
      <c r="A343" s="52"/>
      <c r="B343" s="15"/>
      <c r="C343" s="16"/>
      <c r="D343" s="15"/>
      <c r="E343" s="17"/>
      <c r="F343" s="54"/>
      <c r="G343" s="19"/>
      <c r="H343" s="17"/>
      <c r="I343" s="19"/>
      <c r="J343" s="21"/>
      <c r="K343" s="57"/>
      <c r="L343" s="24"/>
      <c r="M343" s="25"/>
      <c r="N343" s="25"/>
      <c r="O343" s="25"/>
      <c r="P343" s="26"/>
    </row>
    <row r="344">
      <c r="A344" s="52"/>
      <c r="B344" s="15"/>
      <c r="C344" s="16"/>
      <c r="D344" s="15"/>
      <c r="E344" s="17"/>
      <c r="F344" s="54"/>
      <c r="G344" s="19"/>
      <c r="H344" s="17"/>
      <c r="I344" s="19"/>
      <c r="J344" s="21"/>
      <c r="K344" s="57"/>
      <c r="L344" s="24"/>
      <c r="M344" s="25"/>
      <c r="N344" s="25"/>
      <c r="O344" s="25"/>
      <c r="P344" s="26"/>
    </row>
    <row r="345">
      <c r="A345" s="52"/>
      <c r="B345" s="15"/>
      <c r="C345" s="16"/>
      <c r="D345" s="15"/>
      <c r="E345" s="17"/>
      <c r="F345" s="54"/>
      <c r="G345" s="19"/>
      <c r="H345" s="17"/>
      <c r="I345" s="19"/>
      <c r="J345" s="21"/>
      <c r="K345" s="57"/>
      <c r="L345" s="24"/>
      <c r="M345" s="25"/>
      <c r="N345" s="25"/>
      <c r="O345" s="25"/>
      <c r="P345" s="26"/>
    </row>
    <row r="346">
      <c r="A346" s="52"/>
      <c r="B346" s="15"/>
      <c r="C346" s="16"/>
      <c r="D346" s="15"/>
      <c r="E346" s="17"/>
      <c r="F346" s="54"/>
      <c r="G346" s="19"/>
      <c r="H346" s="17"/>
      <c r="I346" s="19"/>
      <c r="J346" s="21"/>
      <c r="K346" s="57"/>
      <c r="L346" s="24"/>
      <c r="M346" s="25"/>
      <c r="N346" s="25"/>
      <c r="O346" s="25"/>
      <c r="P346" s="26"/>
    </row>
    <row r="347">
      <c r="A347" s="52"/>
      <c r="B347" s="15"/>
      <c r="C347" s="16"/>
      <c r="D347" s="15"/>
      <c r="E347" s="17"/>
      <c r="F347" s="54"/>
      <c r="G347" s="19"/>
      <c r="H347" s="17"/>
      <c r="I347" s="19"/>
      <c r="J347" s="21"/>
      <c r="K347" s="57"/>
      <c r="L347" s="24"/>
      <c r="M347" s="25"/>
      <c r="N347" s="25"/>
      <c r="O347" s="25"/>
      <c r="P347" s="26"/>
    </row>
    <row r="348">
      <c r="A348" s="52"/>
      <c r="B348" s="15"/>
      <c r="C348" s="16"/>
      <c r="D348" s="15"/>
      <c r="E348" s="17"/>
      <c r="F348" s="54"/>
      <c r="G348" s="19"/>
      <c r="H348" s="17"/>
      <c r="I348" s="19"/>
      <c r="J348" s="21"/>
      <c r="K348" s="57"/>
      <c r="L348" s="24"/>
      <c r="M348" s="25"/>
      <c r="N348" s="25"/>
      <c r="O348" s="25"/>
      <c r="P348" s="26"/>
    </row>
    <row r="349">
      <c r="A349" s="52"/>
      <c r="B349" s="15"/>
      <c r="C349" s="16"/>
      <c r="D349" s="15"/>
      <c r="E349" s="17"/>
      <c r="F349" s="54"/>
      <c r="G349" s="19"/>
      <c r="H349" s="17"/>
      <c r="I349" s="19"/>
      <c r="J349" s="21"/>
      <c r="K349" s="57"/>
      <c r="L349" s="24"/>
      <c r="M349" s="25"/>
      <c r="N349" s="25"/>
      <c r="O349" s="25"/>
      <c r="P349" s="26"/>
    </row>
    <row r="350">
      <c r="A350" s="52"/>
      <c r="B350" s="15"/>
      <c r="C350" s="16"/>
      <c r="D350" s="15"/>
      <c r="E350" s="17"/>
      <c r="F350" s="54"/>
      <c r="G350" s="19"/>
      <c r="H350" s="17"/>
      <c r="I350" s="19"/>
      <c r="J350" s="21"/>
      <c r="K350" s="57"/>
      <c r="L350" s="24"/>
      <c r="M350" s="25"/>
      <c r="N350" s="25"/>
      <c r="O350" s="25"/>
      <c r="P350" s="26"/>
    </row>
    <row r="351">
      <c r="A351" s="52"/>
      <c r="B351" s="15"/>
      <c r="C351" s="16"/>
      <c r="D351" s="15"/>
      <c r="E351" s="17"/>
      <c r="F351" s="54"/>
      <c r="G351" s="19"/>
      <c r="H351" s="17"/>
      <c r="I351" s="19"/>
      <c r="J351" s="21"/>
      <c r="K351" s="57"/>
      <c r="L351" s="24"/>
      <c r="M351" s="25"/>
      <c r="N351" s="25"/>
      <c r="O351" s="25"/>
      <c r="P351" s="26"/>
    </row>
    <row r="352">
      <c r="A352" s="52"/>
      <c r="B352" s="15"/>
      <c r="C352" s="16"/>
      <c r="D352" s="15"/>
      <c r="E352" s="17"/>
      <c r="F352" s="54"/>
      <c r="G352" s="19"/>
      <c r="H352" s="17"/>
      <c r="I352" s="19"/>
      <c r="J352" s="21"/>
      <c r="K352" s="57"/>
      <c r="L352" s="24"/>
      <c r="M352" s="25"/>
      <c r="N352" s="25"/>
      <c r="O352" s="25"/>
      <c r="P352" s="26"/>
    </row>
    <row r="353">
      <c r="A353" s="52"/>
      <c r="B353" s="15"/>
      <c r="C353" s="16"/>
      <c r="D353" s="15"/>
      <c r="E353" s="17"/>
      <c r="F353" s="54"/>
      <c r="G353" s="19"/>
      <c r="H353" s="17"/>
      <c r="I353" s="19"/>
      <c r="J353" s="21"/>
      <c r="K353" s="57"/>
      <c r="L353" s="24"/>
      <c r="M353" s="25"/>
      <c r="N353" s="25"/>
      <c r="O353" s="25"/>
      <c r="P353" s="26"/>
    </row>
    <row r="354">
      <c r="A354" s="52"/>
      <c r="B354" s="15"/>
      <c r="C354" s="16"/>
      <c r="D354" s="15"/>
      <c r="E354" s="17"/>
      <c r="F354" s="18"/>
      <c r="G354" s="19"/>
      <c r="H354" s="17"/>
      <c r="I354" s="19"/>
      <c r="J354" s="21"/>
      <c r="K354" s="57"/>
      <c r="L354" s="24"/>
      <c r="M354" s="25"/>
      <c r="N354" s="25"/>
      <c r="O354" s="25"/>
      <c r="P354" s="26"/>
    </row>
    <row r="355">
      <c r="A355" s="52"/>
      <c r="B355" s="15"/>
      <c r="C355" s="16"/>
      <c r="D355" s="15"/>
      <c r="E355" s="17"/>
      <c r="F355" s="54"/>
      <c r="G355" s="19"/>
      <c r="H355" s="17"/>
      <c r="I355" s="19"/>
      <c r="J355" s="21"/>
      <c r="K355" s="57"/>
      <c r="L355" s="24"/>
      <c r="M355" s="25"/>
      <c r="N355" s="25"/>
      <c r="O355" s="25"/>
      <c r="P355" s="26"/>
    </row>
    <row r="356">
      <c r="A356" s="52"/>
      <c r="B356" s="15"/>
      <c r="C356" s="16"/>
      <c r="D356" s="15"/>
      <c r="E356" s="17"/>
      <c r="F356" s="18"/>
      <c r="G356" s="19"/>
      <c r="H356" s="17"/>
      <c r="I356" s="19"/>
      <c r="J356" s="21"/>
      <c r="K356" s="57"/>
      <c r="L356" s="24"/>
      <c r="M356" s="25"/>
      <c r="N356" s="25"/>
      <c r="O356" s="25"/>
      <c r="P356" s="26"/>
    </row>
    <row r="357">
      <c r="A357" s="52"/>
      <c r="B357" s="15"/>
      <c r="C357" s="16"/>
      <c r="D357" s="15"/>
      <c r="E357" s="17"/>
      <c r="F357" s="54"/>
      <c r="G357" s="19"/>
      <c r="H357" s="17"/>
      <c r="I357" s="19"/>
      <c r="J357" s="21"/>
      <c r="K357" s="57"/>
      <c r="L357" s="24"/>
      <c r="M357" s="25"/>
      <c r="N357" s="25"/>
      <c r="O357" s="25"/>
      <c r="P357" s="26"/>
    </row>
    <row r="358">
      <c r="A358" s="52"/>
      <c r="B358" s="15"/>
      <c r="C358" s="16"/>
      <c r="D358" s="15"/>
      <c r="E358" s="17"/>
      <c r="F358" s="54"/>
      <c r="G358" s="19"/>
      <c r="H358" s="17"/>
      <c r="I358" s="19"/>
      <c r="J358" s="21"/>
      <c r="K358" s="57"/>
      <c r="L358" s="24"/>
      <c r="M358" s="25"/>
      <c r="N358" s="25"/>
      <c r="O358" s="25"/>
      <c r="P358" s="26"/>
    </row>
    <row r="359">
      <c r="A359" s="52"/>
      <c r="B359" s="15"/>
      <c r="C359" s="16"/>
      <c r="D359" s="15"/>
      <c r="E359" s="17"/>
      <c r="F359" s="54"/>
      <c r="G359" s="19"/>
      <c r="H359" s="17"/>
      <c r="I359" s="19"/>
      <c r="J359" s="21"/>
      <c r="K359" s="57"/>
      <c r="L359" s="24"/>
      <c r="M359" s="25"/>
      <c r="N359" s="25"/>
      <c r="O359" s="25"/>
      <c r="P359" s="26"/>
    </row>
    <row r="360">
      <c r="A360" s="52"/>
      <c r="B360" s="15"/>
      <c r="C360" s="16"/>
      <c r="D360" s="15"/>
      <c r="E360" s="17"/>
      <c r="F360" s="18"/>
      <c r="G360" s="19"/>
      <c r="H360" s="17"/>
      <c r="I360" s="19"/>
      <c r="J360" s="21"/>
      <c r="K360" s="57"/>
      <c r="L360" s="24"/>
      <c r="M360" s="25"/>
      <c r="N360" s="25"/>
      <c r="O360" s="25"/>
      <c r="P360" s="26"/>
    </row>
    <row r="361">
      <c r="A361" s="52"/>
      <c r="B361" s="15"/>
      <c r="C361" s="16"/>
      <c r="D361" s="15"/>
      <c r="E361" s="17"/>
      <c r="F361" s="54"/>
      <c r="G361" s="19"/>
      <c r="H361" s="17"/>
      <c r="I361" s="19"/>
      <c r="J361" s="21"/>
      <c r="K361" s="57"/>
      <c r="L361" s="24"/>
      <c r="M361" s="25"/>
      <c r="N361" s="25"/>
      <c r="O361" s="25"/>
      <c r="P361" s="26"/>
    </row>
    <row r="362">
      <c r="A362" s="52"/>
      <c r="B362" s="15"/>
      <c r="C362" s="16"/>
      <c r="D362" s="15"/>
      <c r="E362" s="17"/>
      <c r="F362" s="54"/>
      <c r="G362" s="19"/>
      <c r="H362" s="17"/>
      <c r="I362" s="19"/>
      <c r="J362" s="21"/>
      <c r="K362" s="57"/>
      <c r="L362" s="24"/>
      <c r="M362" s="25"/>
      <c r="N362" s="25"/>
      <c r="O362" s="25"/>
      <c r="P362" s="26"/>
    </row>
    <row r="363">
      <c r="A363" s="52"/>
      <c r="B363" s="15"/>
      <c r="C363" s="16"/>
      <c r="D363" s="15"/>
      <c r="E363" s="17"/>
      <c r="F363" s="54"/>
      <c r="G363" s="19"/>
      <c r="H363" s="17"/>
      <c r="I363" s="19"/>
      <c r="J363" s="21"/>
      <c r="K363" s="57"/>
      <c r="L363" s="24"/>
      <c r="M363" s="25"/>
      <c r="N363" s="25"/>
      <c r="O363" s="25"/>
      <c r="P363" s="26"/>
    </row>
    <row r="364">
      <c r="A364" s="52"/>
      <c r="B364" s="15"/>
      <c r="C364" s="16"/>
      <c r="D364" s="15"/>
      <c r="E364" s="17"/>
      <c r="F364" s="54"/>
      <c r="G364" s="19"/>
      <c r="H364" s="17"/>
      <c r="I364" s="19"/>
      <c r="J364" s="21"/>
      <c r="K364" s="57"/>
      <c r="L364" s="24"/>
      <c r="M364" s="25"/>
      <c r="N364" s="25"/>
      <c r="O364" s="25"/>
      <c r="P364" s="26"/>
    </row>
    <row r="365">
      <c r="A365" s="52"/>
      <c r="B365" s="15"/>
      <c r="C365" s="16"/>
      <c r="D365" s="15"/>
      <c r="E365" s="17"/>
      <c r="F365" s="54"/>
      <c r="G365" s="19"/>
      <c r="H365" s="17"/>
      <c r="I365" s="19"/>
      <c r="J365" s="21"/>
      <c r="K365" s="57"/>
      <c r="L365" s="24"/>
      <c r="M365" s="25"/>
      <c r="N365" s="25"/>
      <c r="O365" s="25"/>
      <c r="P365" s="26"/>
    </row>
    <row r="366">
      <c r="A366" s="52"/>
      <c r="B366" s="15"/>
      <c r="C366" s="16"/>
      <c r="D366" s="15"/>
      <c r="E366" s="17"/>
      <c r="F366" s="54"/>
      <c r="G366" s="19"/>
      <c r="H366" s="17"/>
      <c r="I366" s="19"/>
      <c r="J366" s="21"/>
      <c r="K366" s="57"/>
      <c r="L366" s="24"/>
      <c r="M366" s="25"/>
      <c r="N366" s="25"/>
      <c r="O366" s="25"/>
      <c r="P366" s="26"/>
    </row>
    <row r="367">
      <c r="A367" s="52"/>
      <c r="B367" s="15"/>
      <c r="C367" s="16"/>
      <c r="D367" s="15"/>
      <c r="E367" s="17"/>
      <c r="F367" s="54"/>
      <c r="G367" s="19"/>
      <c r="H367" s="17"/>
      <c r="I367" s="19"/>
      <c r="J367" s="21"/>
      <c r="K367" s="57"/>
      <c r="L367" s="24"/>
      <c r="M367" s="25"/>
      <c r="N367" s="25"/>
      <c r="O367" s="25"/>
      <c r="P367" s="26"/>
    </row>
    <row r="368">
      <c r="A368" s="52"/>
      <c r="B368" s="15"/>
      <c r="C368" s="16"/>
      <c r="D368" s="15"/>
      <c r="E368" s="17"/>
      <c r="F368" s="54"/>
      <c r="G368" s="19"/>
      <c r="H368" s="17"/>
      <c r="I368" s="19"/>
      <c r="J368" s="21"/>
      <c r="K368" s="57"/>
      <c r="L368" s="24"/>
      <c r="M368" s="25"/>
      <c r="N368" s="25"/>
      <c r="O368" s="25"/>
      <c r="P368" s="26"/>
    </row>
    <row r="369">
      <c r="A369" s="52"/>
      <c r="B369" s="15"/>
      <c r="C369" s="16"/>
      <c r="D369" s="15"/>
      <c r="E369" s="17"/>
      <c r="F369" s="54"/>
      <c r="G369" s="19"/>
      <c r="H369" s="17"/>
      <c r="I369" s="19"/>
      <c r="J369" s="21"/>
      <c r="K369" s="57"/>
      <c r="L369" s="24"/>
      <c r="M369" s="25"/>
      <c r="N369" s="25"/>
      <c r="O369" s="25"/>
      <c r="P369" s="26"/>
    </row>
    <row r="370">
      <c r="A370" s="52"/>
      <c r="B370" s="15"/>
      <c r="C370" s="16"/>
      <c r="D370" s="15"/>
      <c r="E370" s="17"/>
      <c r="F370" s="54"/>
      <c r="G370" s="19"/>
      <c r="H370" s="17"/>
      <c r="I370" s="19"/>
      <c r="J370" s="21"/>
      <c r="K370" s="57"/>
      <c r="L370" s="24"/>
      <c r="M370" s="25"/>
      <c r="N370" s="25"/>
      <c r="O370" s="25"/>
      <c r="P370" s="26"/>
    </row>
    <row r="371">
      <c r="A371" s="52"/>
      <c r="B371" s="15"/>
      <c r="C371" s="16"/>
      <c r="D371" s="15"/>
      <c r="E371" s="17"/>
      <c r="F371" s="54"/>
      <c r="G371" s="19"/>
      <c r="H371" s="17"/>
      <c r="I371" s="19"/>
      <c r="J371" s="21"/>
      <c r="K371" s="57"/>
      <c r="L371" s="24"/>
      <c r="M371" s="25"/>
      <c r="N371" s="25"/>
      <c r="O371" s="25"/>
      <c r="P371" s="26"/>
    </row>
    <row r="372">
      <c r="A372" s="52"/>
      <c r="B372" s="15"/>
      <c r="C372" s="16"/>
      <c r="D372" s="15"/>
      <c r="E372" s="17"/>
      <c r="F372" s="54"/>
      <c r="G372" s="19"/>
      <c r="H372" s="17"/>
      <c r="I372" s="19"/>
      <c r="J372" s="21"/>
      <c r="K372" s="57"/>
      <c r="L372" s="24"/>
      <c r="M372" s="25"/>
      <c r="N372" s="25"/>
      <c r="O372" s="25"/>
      <c r="P372" s="26"/>
    </row>
    <row r="373">
      <c r="A373" s="52"/>
      <c r="B373" s="15"/>
      <c r="C373" s="16"/>
      <c r="D373" s="15"/>
      <c r="E373" s="17"/>
      <c r="F373" s="54"/>
      <c r="G373" s="19"/>
      <c r="H373" s="17"/>
      <c r="I373" s="19"/>
      <c r="J373" s="21"/>
      <c r="K373" s="57"/>
      <c r="L373" s="24"/>
      <c r="M373" s="25"/>
      <c r="N373" s="25"/>
      <c r="O373" s="25"/>
      <c r="P373" s="26"/>
    </row>
    <row r="374">
      <c r="A374" s="52"/>
      <c r="B374" s="15"/>
      <c r="C374" s="16"/>
      <c r="D374" s="15"/>
      <c r="E374" s="17"/>
      <c r="F374" s="54"/>
      <c r="G374" s="19"/>
      <c r="H374" s="17"/>
      <c r="I374" s="19"/>
      <c r="J374" s="21"/>
      <c r="K374" s="57"/>
      <c r="L374" s="24"/>
      <c r="M374" s="25"/>
      <c r="N374" s="25"/>
      <c r="O374" s="25"/>
      <c r="P374" s="26"/>
    </row>
    <row r="375">
      <c r="A375" s="52"/>
      <c r="B375" s="15"/>
      <c r="C375" s="16"/>
      <c r="D375" s="15"/>
      <c r="E375" s="17"/>
      <c r="F375" s="54"/>
      <c r="G375" s="19"/>
      <c r="H375" s="17"/>
      <c r="I375" s="19"/>
      <c r="J375" s="21"/>
      <c r="K375" s="57"/>
      <c r="L375" s="24"/>
      <c r="M375" s="25"/>
      <c r="N375" s="25"/>
      <c r="O375" s="25"/>
      <c r="P375" s="26"/>
    </row>
    <row r="376">
      <c r="A376" s="52"/>
      <c r="B376" s="15"/>
      <c r="C376" s="16"/>
      <c r="D376" s="15"/>
      <c r="E376" s="17"/>
      <c r="F376" s="54"/>
      <c r="G376" s="19"/>
      <c r="H376" s="17"/>
      <c r="I376" s="19"/>
      <c r="J376" s="21"/>
      <c r="K376" s="57"/>
      <c r="L376" s="24"/>
      <c r="M376" s="25"/>
      <c r="N376" s="25"/>
      <c r="O376" s="25"/>
      <c r="P376" s="26"/>
    </row>
    <row r="377">
      <c r="A377" s="52"/>
      <c r="B377" s="15"/>
      <c r="C377" s="16"/>
      <c r="D377" s="15"/>
      <c r="E377" s="17"/>
      <c r="F377" s="54"/>
      <c r="G377" s="19"/>
      <c r="H377" s="17"/>
      <c r="I377" s="19"/>
      <c r="J377" s="21"/>
      <c r="K377" s="57"/>
      <c r="L377" s="24"/>
      <c r="M377" s="25"/>
      <c r="N377" s="25"/>
      <c r="O377" s="25"/>
      <c r="P377" s="26"/>
    </row>
    <row r="378">
      <c r="A378" s="52"/>
      <c r="B378" s="15"/>
      <c r="C378" s="16"/>
      <c r="D378" s="15"/>
      <c r="E378" s="17"/>
      <c r="F378" s="54"/>
      <c r="G378" s="19"/>
      <c r="H378" s="17"/>
      <c r="I378" s="19"/>
      <c r="J378" s="21"/>
      <c r="K378" s="57"/>
      <c r="L378" s="24"/>
      <c r="M378" s="25"/>
      <c r="N378" s="25"/>
      <c r="O378" s="25"/>
      <c r="P378" s="26"/>
    </row>
    <row r="379">
      <c r="A379" s="52"/>
      <c r="B379" s="15"/>
      <c r="C379" s="16"/>
      <c r="D379" s="15"/>
      <c r="E379" s="17"/>
      <c r="F379" s="54"/>
      <c r="G379" s="19"/>
      <c r="H379" s="17"/>
      <c r="I379" s="19"/>
      <c r="J379" s="21"/>
      <c r="K379" s="57"/>
      <c r="L379" s="24"/>
      <c r="M379" s="25"/>
      <c r="N379" s="25"/>
      <c r="O379" s="25"/>
      <c r="P379" s="26"/>
    </row>
    <row r="380">
      <c r="A380" s="52"/>
      <c r="B380" s="15"/>
      <c r="C380" s="16"/>
      <c r="D380" s="15"/>
      <c r="E380" s="17"/>
      <c r="F380" s="54"/>
      <c r="G380" s="19"/>
      <c r="H380" s="17"/>
      <c r="I380" s="19"/>
      <c r="J380" s="21"/>
      <c r="K380" s="57"/>
      <c r="L380" s="24"/>
      <c r="M380" s="25"/>
      <c r="N380" s="25"/>
      <c r="O380" s="25"/>
      <c r="P380" s="26"/>
    </row>
    <row r="381">
      <c r="A381" s="52"/>
      <c r="B381" s="15"/>
      <c r="C381" s="16"/>
      <c r="D381" s="15"/>
      <c r="E381" s="17"/>
      <c r="F381" s="54"/>
      <c r="G381" s="19"/>
      <c r="H381" s="17"/>
      <c r="I381" s="19"/>
      <c r="J381" s="21"/>
      <c r="K381" s="57"/>
      <c r="L381" s="24"/>
      <c r="M381" s="25"/>
      <c r="N381" s="25"/>
      <c r="O381" s="25"/>
      <c r="P381" s="26"/>
    </row>
    <row r="382">
      <c r="A382" s="52"/>
      <c r="B382" s="15"/>
      <c r="C382" s="16"/>
      <c r="D382" s="15"/>
      <c r="E382" s="17"/>
      <c r="F382" s="54"/>
      <c r="G382" s="19"/>
      <c r="H382" s="17"/>
      <c r="I382" s="19"/>
      <c r="J382" s="21"/>
      <c r="K382" s="57"/>
      <c r="L382" s="24"/>
      <c r="M382" s="25"/>
      <c r="N382" s="25"/>
      <c r="O382" s="25"/>
      <c r="P382" s="26"/>
    </row>
    <row r="383">
      <c r="A383" s="52"/>
      <c r="B383" s="15"/>
      <c r="C383" s="16"/>
      <c r="D383" s="15"/>
      <c r="E383" s="17"/>
      <c r="F383" s="54"/>
      <c r="G383" s="19"/>
      <c r="H383" s="17"/>
      <c r="I383" s="19"/>
      <c r="J383" s="21"/>
      <c r="K383" s="57"/>
      <c r="L383" s="24"/>
      <c r="M383" s="25"/>
      <c r="N383" s="25"/>
      <c r="O383" s="25"/>
      <c r="P383" s="26"/>
    </row>
    <row r="384">
      <c r="A384" s="52"/>
      <c r="B384" s="15"/>
      <c r="C384" s="16"/>
      <c r="D384" s="15"/>
      <c r="E384" s="17"/>
      <c r="F384" s="54"/>
      <c r="G384" s="19"/>
      <c r="H384" s="17"/>
      <c r="I384" s="19"/>
      <c r="J384" s="21"/>
      <c r="K384" s="57"/>
      <c r="L384" s="24"/>
      <c r="M384" s="25"/>
      <c r="N384" s="25"/>
      <c r="O384" s="25"/>
      <c r="P384" s="26"/>
    </row>
    <row r="385">
      <c r="A385" s="52"/>
      <c r="B385" s="15"/>
      <c r="C385" s="16"/>
      <c r="D385" s="15"/>
      <c r="E385" s="17"/>
      <c r="F385" s="54"/>
      <c r="G385" s="19"/>
      <c r="H385" s="17"/>
      <c r="I385" s="19"/>
      <c r="J385" s="21"/>
      <c r="K385" s="57"/>
      <c r="L385" s="24"/>
      <c r="M385" s="25"/>
      <c r="N385" s="25"/>
      <c r="O385" s="25"/>
      <c r="P385" s="26"/>
    </row>
    <row r="386">
      <c r="A386" s="52"/>
      <c r="B386" s="15"/>
      <c r="C386" s="16"/>
      <c r="D386" s="15"/>
      <c r="E386" s="17"/>
      <c r="F386" s="54"/>
      <c r="G386" s="19"/>
      <c r="H386" s="17"/>
      <c r="I386" s="19"/>
      <c r="J386" s="21"/>
      <c r="K386" s="57"/>
      <c r="L386" s="24"/>
      <c r="M386" s="25"/>
      <c r="N386" s="25"/>
      <c r="O386" s="25"/>
      <c r="P386" s="26"/>
    </row>
    <row r="387">
      <c r="A387" s="52"/>
      <c r="B387" s="15"/>
      <c r="C387" s="16"/>
      <c r="D387" s="15"/>
      <c r="E387" s="17"/>
      <c r="F387" s="54"/>
      <c r="G387" s="19"/>
      <c r="H387" s="17"/>
      <c r="I387" s="19"/>
      <c r="J387" s="21"/>
      <c r="K387" s="57"/>
      <c r="L387" s="24"/>
      <c r="M387" s="25"/>
      <c r="N387" s="25"/>
      <c r="O387" s="25"/>
      <c r="P387" s="26"/>
    </row>
    <row r="388">
      <c r="A388" s="52"/>
      <c r="B388" s="15"/>
      <c r="C388" s="16"/>
      <c r="D388" s="15"/>
      <c r="E388" s="17"/>
      <c r="F388" s="54"/>
      <c r="G388" s="19"/>
      <c r="H388" s="17"/>
      <c r="I388" s="19"/>
      <c r="J388" s="21"/>
      <c r="K388" s="57"/>
      <c r="L388" s="24"/>
      <c r="M388" s="25"/>
      <c r="N388" s="25"/>
      <c r="O388" s="25"/>
      <c r="P388" s="26"/>
    </row>
    <row r="389">
      <c r="A389" s="52"/>
      <c r="B389" s="15"/>
      <c r="C389" s="16"/>
      <c r="D389" s="15"/>
      <c r="E389" s="17"/>
      <c r="F389" s="54"/>
      <c r="G389" s="19"/>
      <c r="H389" s="17"/>
      <c r="I389" s="19"/>
      <c r="J389" s="21"/>
      <c r="K389" s="57"/>
      <c r="L389" s="24"/>
      <c r="M389" s="25"/>
      <c r="N389" s="25"/>
      <c r="O389" s="25"/>
      <c r="P389" s="26"/>
    </row>
    <row r="390">
      <c r="A390" s="52"/>
      <c r="B390" s="15"/>
      <c r="C390" s="16"/>
      <c r="D390" s="15"/>
      <c r="E390" s="17"/>
      <c r="F390" s="54"/>
      <c r="G390" s="19"/>
      <c r="H390" s="17"/>
      <c r="I390" s="19"/>
      <c r="J390" s="21"/>
      <c r="K390" s="57"/>
      <c r="L390" s="24"/>
      <c r="M390" s="25"/>
      <c r="N390" s="25"/>
      <c r="O390" s="25"/>
      <c r="P390" s="26"/>
    </row>
    <row r="391">
      <c r="A391" s="52"/>
      <c r="B391" s="15"/>
      <c r="C391" s="16"/>
      <c r="D391" s="15"/>
      <c r="E391" s="17"/>
      <c r="F391" s="54"/>
      <c r="G391" s="19"/>
      <c r="H391" s="17"/>
      <c r="I391" s="19"/>
      <c r="J391" s="21"/>
      <c r="K391" s="57"/>
      <c r="L391" s="24"/>
      <c r="M391" s="25"/>
      <c r="N391" s="25"/>
      <c r="O391" s="25"/>
      <c r="P391" s="26"/>
    </row>
    <row r="392">
      <c r="A392" s="52"/>
      <c r="B392" s="15"/>
      <c r="C392" s="16"/>
      <c r="D392" s="15"/>
      <c r="E392" s="17"/>
      <c r="F392" s="54"/>
      <c r="G392" s="19"/>
      <c r="H392" s="17"/>
      <c r="I392" s="19"/>
      <c r="J392" s="21"/>
      <c r="K392" s="57"/>
      <c r="L392" s="24"/>
      <c r="M392" s="25"/>
      <c r="N392" s="25"/>
      <c r="O392" s="25"/>
      <c r="P392" s="26"/>
    </row>
    <row r="393">
      <c r="A393" s="52"/>
      <c r="B393" s="15"/>
      <c r="C393" s="16"/>
      <c r="D393" s="15"/>
      <c r="E393" s="17"/>
      <c r="F393" s="54"/>
      <c r="G393" s="19"/>
      <c r="H393" s="17"/>
      <c r="I393" s="19"/>
      <c r="J393" s="21"/>
      <c r="K393" s="57"/>
      <c r="L393" s="24"/>
      <c r="M393" s="25"/>
      <c r="N393" s="25"/>
      <c r="O393" s="25"/>
      <c r="P393" s="26"/>
    </row>
    <row r="394">
      <c r="A394" s="52"/>
      <c r="B394" s="15"/>
      <c r="C394" s="16"/>
      <c r="D394" s="15"/>
      <c r="E394" s="17"/>
      <c r="F394" s="54"/>
      <c r="G394" s="19"/>
      <c r="H394" s="17"/>
      <c r="I394" s="19"/>
      <c r="J394" s="21"/>
      <c r="K394" s="57"/>
      <c r="L394" s="24"/>
      <c r="M394" s="25"/>
      <c r="N394" s="25"/>
      <c r="O394" s="25"/>
      <c r="P394" s="26"/>
    </row>
    <row r="395">
      <c r="A395" s="52"/>
      <c r="B395" s="15"/>
      <c r="C395" s="16"/>
      <c r="D395" s="15"/>
      <c r="E395" s="17"/>
      <c r="F395" s="54"/>
      <c r="G395" s="19"/>
      <c r="H395" s="17"/>
      <c r="I395" s="19"/>
      <c r="J395" s="21"/>
      <c r="K395" s="57"/>
      <c r="L395" s="24"/>
      <c r="M395" s="25"/>
      <c r="N395" s="25"/>
      <c r="O395" s="25"/>
      <c r="P395" s="26"/>
    </row>
    <row r="396">
      <c r="A396" s="52"/>
      <c r="B396" s="15"/>
      <c r="C396" s="16"/>
      <c r="D396" s="15"/>
      <c r="E396" s="17"/>
      <c r="F396" s="54"/>
      <c r="G396" s="19"/>
      <c r="H396" s="17"/>
      <c r="I396" s="19"/>
      <c r="J396" s="21"/>
      <c r="K396" s="57"/>
      <c r="L396" s="24"/>
      <c r="M396" s="25"/>
      <c r="N396" s="25"/>
      <c r="O396" s="25"/>
      <c r="P396" s="26"/>
    </row>
    <row r="397">
      <c r="A397" s="52"/>
      <c r="B397" s="15"/>
      <c r="C397" s="16"/>
      <c r="D397" s="15"/>
      <c r="E397" s="17"/>
      <c r="F397" s="54"/>
      <c r="G397" s="19"/>
      <c r="H397" s="17"/>
      <c r="I397" s="19"/>
      <c r="J397" s="21"/>
      <c r="K397" s="57"/>
      <c r="L397" s="24"/>
      <c r="M397" s="25"/>
      <c r="N397" s="25"/>
      <c r="O397" s="25"/>
      <c r="P397" s="26"/>
    </row>
    <row r="398">
      <c r="A398" s="52"/>
      <c r="B398" s="15"/>
      <c r="C398" s="16"/>
      <c r="D398" s="15"/>
      <c r="E398" s="17"/>
      <c r="F398" s="54"/>
      <c r="G398" s="19"/>
      <c r="H398" s="17"/>
      <c r="I398" s="19"/>
      <c r="J398" s="21"/>
      <c r="K398" s="57"/>
      <c r="L398" s="24"/>
      <c r="M398" s="25"/>
      <c r="N398" s="25"/>
      <c r="O398" s="25"/>
      <c r="P398" s="26"/>
    </row>
    <row r="399">
      <c r="A399" s="52"/>
      <c r="B399" s="15"/>
      <c r="C399" s="16"/>
      <c r="D399" s="15"/>
      <c r="E399" s="17"/>
      <c r="F399" s="54"/>
      <c r="G399" s="19"/>
      <c r="H399" s="17"/>
      <c r="I399" s="19"/>
      <c r="J399" s="21"/>
      <c r="K399" s="57"/>
      <c r="L399" s="24"/>
      <c r="M399" s="25"/>
      <c r="N399" s="25"/>
      <c r="O399" s="25"/>
      <c r="P399" s="26"/>
    </row>
    <row r="400">
      <c r="A400" s="52"/>
      <c r="B400" s="15"/>
      <c r="C400" s="16"/>
      <c r="D400" s="15"/>
      <c r="E400" s="17"/>
      <c r="F400" s="54"/>
      <c r="G400" s="19"/>
      <c r="H400" s="17"/>
      <c r="I400" s="19"/>
      <c r="J400" s="21"/>
      <c r="K400" s="57"/>
      <c r="L400" s="24"/>
      <c r="M400" s="25"/>
      <c r="N400" s="25"/>
      <c r="O400" s="25"/>
      <c r="P400" s="26"/>
    </row>
    <row r="401">
      <c r="A401" s="52"/>
      <c r="B401" s="15"/>
      <c r="C401" s="16"/>
      <c r="D401" s="15"/>
      <c r="E401" s="17"/>
      <c r="F401" s="54"/>
      <c r="G401" s="19"/>
      <c r="H401" s="17"/>
      <c r="I401" s="19"/>
      <c r="J401" s="21"/>
      <c r="K401" s="57"/>
      <c r="L401" s="24"/>
      <c r="M401" s="25"/>
      <c r="N401" s="25"/>
      <c r="O401" s="25"/>
      <c r="P401" s="26"/>
    </row>
    <row r="402">
      <c r="A402" s="52"/>
      <c r="B402" s="15"/>
      <c r="C402" s="16"/>
      <c r="D402" s="15"/>
      <c r="E402" s="17"/>
      <c r="F402" s="54"/>
      <c r="G402" s="19"/>
      <c r="H402" s="17"/>
      <c r="I402" s="19"/>
      <c r="J402" s="21"/>
      <c r="K402" s="57"/>
      <c r="L402" s="24"/>
      <c r="M402" s="25"/>
      <c r="N402" s="25"/>
      <c r="O402" s="25"/>
      <c r="P402" s="26"/>
    </row>
    <row r="403">
      <c r="A403" s="52"/>
      <c r="B403" s="15"/>
      <c r="C403" s="16"/>
      <c r="D403" s="15"/>
      <c r="E403" s="17"/>
      <c r="F403" s="54"/>
      <c r="G403" s="19"/>
      <c r="H403" s="17"/>
      <c r="I403" s="19"/>
      <c r="J403" s="21"/>
      <c r="K403" s="57"/>
      <c r="L403" s="24"/>
      <c r="M403" s="25"/>
      <c r="N403" s="25"/>
      <c r="O403" s="25"/>
      <c r="P403" s="26"/>
    </row>
    <row r="404">
      <c r="A404" s="52"/>
      <c r="B404" s="15"/>
      <c r="C404" s="16"/>
      <c r="D404" s="15"/>
      <c r="E404" s="17"/>
      <c r="F404" s="54"/>
      <c r="G404" s="19"/>
      <c r="H404" s="17"/>
      <c r="I404" s="19"/>
      <c r="J404" s="21"/>
      <c r="K404" s="57"/>
      <c r="L404" s="24"/>
      <c r="M404" s="25"/>
      <c r="N404" s="25"/>
      <c r="O404" s="25"/>
      <c r="P404" s="26"/>
    </row>
    <row r="405">
      <c r="A405" s="52"/>
      <c r="B405" s="15"/>
      <c r="C405" s="16"/>
      <c r="D405" s="15"/>
      <c r="E405" s="17"/>
      <c r="F405" s="54"/>
      <c r="G405" s="19"/>
      <c r="H405" s="17"/>
      <c r="I405" s="19"/>
      <c r="J405" s="21"/>
      <c r="K405" s="57"/>
      <c r="L405" s="24"/>
      <c r="M405" s="25"/>
      <c r="N405" s="25"/>
      <c r="O405" s="25"/>
      <c r="P405" s="26"/>
    </row>
    <row r="406">
      <c r="A406" s="52"/>
      <c r="B406" s="15"/>
      <c r="C406" s="16"/>
      <c r="D406" s="15"/>
      <c r="E406" s="17"/>
      <c r="F406" s="54"/>
      <c r="G406" s="19"/>
      <c r="H406" s="17"/>
      <c r="I406" s="19"/>
      <c r="J406" s="21"/>
      <c r="K406" s="57"/>
      <c r="L406" s="24"/>
      <c r="M406" s="25"/>
      <c r="N406" s="25"/>
      <c r="O406" s="25"/>
      <c r="P406" s="26"/>
    </row>
    <row r="407">
      <c r="A407" s="52"/>
      <c r="B407" s="15"/>
      <c r="C407" s="16"/>
      <c r="D407" s="15"/>
      <c r="E407" s="17"/>
      <c r="F407" s="54"/>
      <c r="G407" s="19"/>
      <c r="H407" s="17"/>
      <c r="I407" s="19"/>
      <c r="J407" s="21"/>
      <c r="K407" s="57"/>
      <c r="L407" s="24"/>
      <c r="M407" s="25"/>
      <c r="N407" s="25"/>
      <c r="O407" s="25"/>
      <c r="P407" s="26"/>
    </row>
    <row r="408">
      <c r="A408" s="52"/>
      <c r="B408" s="15"/>
      <c r="C408" s="16"/>
      <c r="D408" s="15"/>
      <c r="E408" s="17"/>
      <c r="F408" s="54"/>
      <c r="G408" s="19"/>
      <c r="H408" s="17"/>
      <c r="I408" s="19"/>
      <c r="J408" s="21"/>
      <c r="K408" s="57"/>
      <c r="L408" s="24"/>
      <c r="M408" s="25"/>
      <c r="N408" s="25"/>
      <c r="O408" s="25"/>
      <c r="P408" s="26"/>
    </row>
    <row r="409">
      <c r="A409" s="52"/>
      <c r="B409" s="15"/>
      <c r="C409" s="16"/>
      <c r="D409" s="15"/>
      <c r="E409" s="17"/>
      <c r="F409" s="54"/>
      <c r="G409" s="19"/>
      <c r="H409" s="17"/>
      <c r="I409" s="19"/>
      <c r="J409" s="21"/>
      <c r="K409" s="57"/>
      <c r="L409" s="24"/>
      <c r="M409" s="25"/>
      <c r="N409" s="25"/>
      <c r="O409" s="25"/>
      <c r="P409" s="26"/>
    </row>
    <row r="410">
      <c r="A410" s="52"/>
      <c r="B410" s="15"/>
      <c r="C410" s="16"/>
      <c r="D410" s="15"/>
      <c r="E410" s="17"/>
      <c r="F410" s="54"/>
      <c r="G410" s="19"/>
      <c r="H410" s="17"/>
      <c r="I410" s="19"/>
      <c r="J410" s="21"/>
      <c r="K410" s="57"/>
      <c r="L410" s="24"/>
      <c r="M410" s="25"/>
      <c r="N410" s="25"/>
      <c r="O410" s="25"/>
      <c r="P410" s="26"/>
    </row>
    <row r="411">
      <c r="A411" s="52"/>
      <c r="B411" s="15"/>
      <c r="C411" s="16"/>
      <c r="D411" s="15"/>
      <c r="E411" s="17"/>
      <c r="F411" s="54"/>
      <c r="G411" s="19"/>
      <c r="H411" s="17"/>
      <c r="I411" s="19"/>
      <c r="J411" s="21"/>
      <c r="K411" s="57"/>
      <c r="L411" s="24"/>
      <c r="M411" s="25"/>
      <c r="N411" s="25"/>
      <c r="O411" s="25"/>
      <c r="P411" s="26"/>
    </row>
    <row r="412">
      <c r="A412" s="52"/>
      <c r="B412" s="15"/>
      <c r="C412" s="16"/>
      <c r="D412" s="15"/>
      <c r="E412" s="17"/>
      <c r="F412" s="54"/>
      <c r="G412" s="19"/>
      <c r="H412" s="17"/>
      <c r="I412" s="19"/>
      <c r="J412" s="21"/>
      <c r="K412" s="57"/>
      <c r="L412" s="24"/>
      <c r="M412" s="25"/>
      <c r="N412" s="25"/>
      <c r="O412" s="25"/>
      <c r="P412" s="26"/>
    </row>
    <row r="413">
      <c r="A413" s="52"/>
      <c r="B413" s="15"/>
      <c r="C413" s="16"/>
      <c r="D413" s="15"/>
      <c r="E413" s="17"/>
      <c r="F413" s="54"/>
      <c r="G413" s="19"/>
      <c r="H413" s="17"/>
      <c r="I413" s="19"/>
      <c r="J413" s="21"/>
      <c r="K413" s="57"/>
      <c r="L413" s="24"/>
      <c r="M413" s="25"/>
      <c r="N413" s="25"/>
      <c r="O413" s="25"/>
      <c r="P413" s="26"/>
    </row>
    <row r="414">
      <c r="A414" s="52"/>
      <c r="B414" s="15"/>
      <c r="C414" s="16"/>
      <c r="D414" s="15"/>
      <c r="E414" s="17"/>
      <c r="F414" s="54"/>
      <c r="G414" s="19"/>
      <c r="H414" s="17"/>
      <c r="I414" s="19"/>
      <c r="J414" s="21"/>
      <c r="K414" s="57"/>
      <c r="L414" s="24"/>
      <c r="M414" s="25"/>
      <c r="N414" s="25"/>
      <c r="O414" s="25"/>
      <c r="P414" s="26"/>
    </row>
    <row r="415">
      <c r="A415" s="52"/>
      <c r="B415" s="15"/>
      <c r="C415" s="16"/>
      <c r="D415" s="15"/>
      <c r="E415" s="17"/>
      <c r="F415" s="54"/>
      <c r="G415" s="19"/>
      <c r="H415" s="17"/>
      <c r="I415" s="19"/>
      <c r="J415" s="21"/>
      <c r="K415" s="57"/>
      <c r="L415" s="24"/>
      <c r="M415" s="25"/>
      <c r="N415" s="25"/>
      <c r="O415" s="25"/>
      <c r="P415" s="26"/>
    </row>
    <row r="416">
      <c r="A416" s="52"/>
      <c r="B416" s="15"/>
      <c r="C416" s="16"/>
      <c r="D416" s="15"/>
      <c r="E416" s="17"/>
      <c r="F416" s="54"/>
      <c r="G416" s="19"/>
      <c r="H416" s="17"/>
      <c r="I416" s="19"/>
      <c r="J416" s="21"/>
      <c r="K416" s="57"/>
      <c r="L416" s="24"/>
      <c r="M416" s="25"/>
      <c r="N416" s="25"/>
      <c r="O416" s="25"/>
      <c r="P416" s="26"/>
    </row>
    <row r="417">
      <c r="A417" s="52"/>
      <c r="B417" s="15"/>
      <c r="C417" s="16"/>
      <c r="D417" s="15"/>
      <c r="E417" s="17"/>
      <c r="F417" s="54"/>
      <c r="G417" s="19"/>
      <c r="H417" s="17"/>
      <c r="I417" s="19"/>
      <c r="J417" s="21"/>
      <c r="K417" s="57"/>
      <c r="L417" s="24"/>
      <c r="M417" s="25"/>
      <c r="N417" s="25"/>
      <c r="O417" s="25"/>
      <c r="P417" s="26"/>
    </row>
    <row r="418">
      <c r="A418" s="52"/>
      <c r="B418" s="15"/>
      <c r="C418" s="16"/>
      <c r="D418" s="15"/>
      <c r="E418" s="17"/>
      <c r="F418" s="54"/>
      <c r="G418" s="19"/>
      <c r="H418" s="17"/>
      <c r="I418" s="19"/>
      <c r="J418" s="21"/>
      <c r="K418" s="57"/>
      <c r="L418" s="24"/>
      <c r="M418" s="25"/>
      <c r="N418" s="25"/>
      <c r="O418" s="25"/>
      <c r="P418" s="26"/>
    </row>
    <row r="419">
      <c r="A419" s="52"/>
      <c r="B419" s="15"/>
      <c r="C419" s="16"/>
      <c r="D419" s="15"/>
      <c r="E419" s="17"/>
      <c r="F419" s="54"/>
      <c r="G419" s="19"/>
      <c r="H419" s="17"/>
      <c r="I419" s="19"/>
      <c r="J419" s="21"/>
      <c r="K419" s="57"/>
      <c r="L419" s="24"/>
      <c r="M419" s="25"/>
      <c r="N419" s="25"/>
      <c r="O419" s="25"/>
      <c r="P419" s="26"/>
    </row>
    <row r="420">
      <c r="A420" s="52"/>
      <c r="B420" s="15"/>
      <c r="C420" s="16"/>
      <c r="D420" s="15"/>
      <c r="E420" s="17"/>
      <c r="F420" s="54"/>
      <c r="G420" s="19"/>
      <c r="H420" s="17"/>
      <c r="I420" s="19"/>
      <c r="J420" s="21"/>
      <c r="K420" s="57"/>
      <c r="L420" s="24"/>
      <c r="M420" s="25"/>
      <c r="N420" s="25"/>
      <c r="O420" s="25"/>
      <c r="P420" s="26"/>
    </row>
    <row r="421">
      <c r="A421" s="52"/>
      <c r="B421" s="15"/>
      <c r="C421" s="16"/>
      <c r="D421" s="15"/>
      <c r="E421" s="17"/>
      <c r="F421" s="54"/>
      <c r="G421" s="19"/>
      <c r="H421" s="17"/>
      <c r="I421" s="19"/>
      <c r="J421" s="21"/>
      <c r="K421" s="57"/>
      <c r="L421" s="24"/>
      <c r="M421" s="25"/>
      <c r="N421" s="25"/>
      <c r="O421" s="25"/>
      <c r="P421" s="26"/>
    </row>
    <row r="422">
      <c r="A422" s="52"/>
      <c r="B422" s="15"/>
      <c r="C422" s="16"/>
      <c r="D422" s="15"/>
      <c r="E422" s="17"/>
      <c r="F422" s="54"/>
      <c r="G422" s="19"/>
      <c r="H422" s="17"/>
      <c r="I422" s="19"/>
      <c r="J422" s="21"/>
      <c r="K422" s="57"/>
      <c r="L422" s="24"/>
      <c r="M422" s="25"/>
      <c r="N422" s="25"/>
      <c r="O422" s="25"/>
      <c r="P422" s="26"/>
    </row>
    <row r="423">
      <c r="A423" s="52"/>
      <c r="B423" s="15"/>
      <c r="C423" s="16"/>
      <c r="D423" s="15"/>
      <c r="E423" s="17"/>
      <c r="F423" s="54"/>
      <c r="G423" s="19"/>
      <c r="H423" s="17"/>
      <c r="I423" s="19"/>
      <c r="J423" s="21"/>
      <c r="K423" s="57"/>
      <c r="L423" s="24"/>
      <c r="M423" s="25"/>
      <c r="N423" s="25"/>
      <c r="O423" s="25"/>
      <c r="P423" s="26"/>
    </row>
    <row r="424">
      <c r="A424" s="52"/>
      <c r="B424" s="15"/>
      <c r="C424" s="16"/>
      <c r="D424" s="15"/>
      <c r="E424" s="17"/>
      <c r="F424" s="54"/>
      <c r="G424" s="19"/>
      <c r="H424" s="17"/>
      <c r="I424" s="19"/>
      <c r="J424" s="21"/>
      <c r="K424" s="57"/>
      <c r="L424" s="24"/>
      <c r="M424" s="25"/>
      <c r="N424" s="25"/>
      <c r="O424" s="25"/>
      <c r="P424" s="26"/>
    </row>
    <row r="425">
      <c r="A425" s="52"/>
      <c r="B425" s="15"/>
      <c r="C425" s="16"/>
      <c r="D425" s="15"/>
      <c r="E425" s="17"/>
      <c r="F425" s="54"/>
      <c r="G425" s="19"/>
      <c r="H425" s="17"/>
      <c r="I425" s="19"/>
      <c r="J425" s="21"/>
      <c r="K425" s="57"/>
      <c r="L425" s="24"/>
      <c r="M425" s="25"/>
      <c r="N425" s="25"/>
      <c r="O425" s="25"/>
      <c r="P425" s="26"/>
    </row>
    <row r="426">
      <c r="A426" s="52"/>
      <c r="B426" s="15"/>
      <c r="C426" s="16"/>
      <c r="D426" s="15"/>
      <c r="E426" s="17"/>
      <c r="F426" s="54"/>
      <c r="G426" s="19"/>
      <c r="H426" s="17"/>
      <c r="I426" s="19"/>
      <c r="J426" s="21"/>
      <c r="K426" s="57"/>
      <c r="L426" s="24"/>
      <c r="M426" s="25"/>
      <c r="N426" s="25"/>
      <c r="O426" s="25"/>
      <c r="P426" s="26"/>
    </row>
    <row r="427">
      <c r="A427" s="52"/>
      <c r="B427" s="15"/>
      <c r="C427" s="16"/>
      <c r="D427" s="15"/>
      <c r="E427" s="17"/>
      <c r="F427" s="54"/>
      <c r="G427" s="19"/>
      <c r="H427" s="17"/>
      <c r="I427" s="19"/>
      <c r="J427" s="21"/>
      <c r="K427" s="57"/>
      <c r="L427" s="24"/>
      <c r="M427" s="25"/>
      <c r="N427" s="25"/>
      <c r="O427" s="25"/>
      <c r="P427" s="26"/>
    </row>
    <row r="428">
      <c r="A428" s="52"/>
      <c r="B428" s="15"/>
      <c r="C428" s="16"/>
      <c r="D428" s="15"/>
      <c r="E428" s="17"/>
      <c r="F428" s="54"/>
      <c r="G428" s="19"/>
      <c r="H428" s="17"/>
      <c r="I428" s="19"/>
      <c r="J428" s="21"/>
      <c r="K428" s="57"/>
      <c r="L428" s="24"/>
      <c r="M428" s="25"/>
      <c r="N428" s="25"/>
      <c r="O428" s="25"/>
      <c r="P428" s="26"/>
    </row>
    <row r="429">
      <c r="A429" s="52"/>
      <c r="B429" s="15"/>
      <c r="C429" s="16"/>
      <c r="D429" s="15"/>
      <c r="E429" s="17"/>
      <c r="F429" s="54"/>
      <c r="G429" s="19"/>
      <c r="H429" s="17"/>
      <c r="I429" s="19"/>
      <c r="J429" s="21"/>
      <c r="K429" s="57"/>
      <c r="L429" s="24"/>
      <c r="M429" s="25"/>
      <c r="N429" s="25"/>
      <c r="O429" s="25"/>
      <c r="P429" s="26"/>
    </row>
    <row r="430">
      <c r="A430" s="52"/>
      <c r="B430" s="15"/>
      <c r="C430" s="16"/>
      <c r="D430" s="15"/>
      <c r="E430" s="17"/>
      <c r="F430" s="54"/>
      <c r="G430" s="19"/>
      <c r="H430" s="17"/>
      <c r="I430" s="19"/>
      <c r="J430" s="21"/>
      <c r="K430" s="57"/>
      <c r="L430" s="24"/>
      <c r="M430" s="25"/>
      <c r="N430" s="25"/>
      <c r="O430" s="25"/>
      <c r="P430" s="26"/>
    </row>
    <row r="431">
      <c r="A431" s="52"/>
      <c r="B431" s="15"/>
      <c r="C431" s="16"/>
      <c r="D431" s="15"/>
      <c r="E431" s="17"/>
      <c r="F431" s="54"/>
      <c r="G431" s="19"/>
      <c r="H431" s="17"/>
      <c r="I431" s="19"/>
      <c r="J431" s="21"/>
      <c r="K431" s="57"/>
      <c r="L431" s="24"/>
      <c r="M431" s="25"/>
      <c r="N431" s="25"/>
      <c r="O431" s="25"/>
      <c r="P431" s="26"/>
    </row>
    <row r="432">
      <c r="A432" s="52"/>
      <c r="B432" s="15"/>
      <c r="C432" s="16"/>
      <c r="D432" s="15"/>
      <c r="E432" s="17"/>
      <c r="F432" s="54"/>
      <c r="G432" s="19"/>
      <c r="H432" s="17"/>
      <c r="I432" s="19"/>
      <c r="J432" s="21"/>
      <c r="K432" s="57"/>
      <c r="L432" s="24"/>
      <c r="M432" s="25"/>
      <c r="N432" s="25"/>
      <c r="O432" s="25"/>
      <c r="P432" s="26"/>
    </row>
    <row r="433">
      <c r="A433" s="52"/>
      <c r="B433" s="15"/>
      <c r="C433" s="16"/>
      <c r="D433" s="15"/>
      <c r="E433" s="17"/>
      <c r="F433" s="54"/>
      <c r="G433" s="19"/>
      <c r="H433" s="17"/>
      <c r="I433" s="19"/>
      <c r="J433" s="21"/>
      <c r="K433" s="57"/>
      <c r="L433" s="24"/>
      <c r="M433" s="25"/>
      <c r="N433" s="25"/>
      <c r="O433" s="25"/>
      <c r="P433" s="26"/>
    </row>
    <row r="434">
      <c r="A434" s="52"/>
      <c r="B434" s="15"/>
      <c r="C434" s="16"/>
      <c r="D434" s="15"/>
      <c r="E434" s="17"/>
      <c r="F434" s="54"/>
      <c r="G434" s="19"/>
      <c r="H434" s="17"/>
      <c r="I434" s="19"/>
      <c r="J434" s="21"/>
      <c r="K434" s="57"/>
      <c r="L434" s="24"/>
      <c r="M434" s="25"/>
      <c r="N434" s="25"/>
      <c r="O434" s="25"/>
      <c r="P434" s="26"/>
    </row>
    <row r="435">
      <c r="A435" s="52"/>
      <c r="B435" s="15"/>
      <c r="C435" s="16"/>
      <c r="D435" s="15"/>
      <c r="E435" s="17"/>
      <c r="F435" s="54"/>
      <c r="G435" s="19"/>
      <c r="H435" s="17"/>
      <c r="I435" s="19"/>
      <c r="J435" s="21"/>
      <c r="K435" s="57"/>
      <c r="L435" s="24"/>
      <c r="M435" s="25"/>
      <c r="N435" s="25"/>
      <c r="O435" s="25"/>
      <c r="P435" s="26"/>
    </row>
    <row r="436">
      <c r="A436" s="52"/>
      <c r="B436" s="15"/>
      <c r="C436" s="16"/>
      <c r="D436" s="15"/>
      <c r="E436" s="17"/>
      <c r="F436" s="54"/>
      <c r="G436" s="19"/>
      <c r="H436" s="17"/>
      <c r="I436" s="19"/>
      <c r="J436" s="21"/>
      <c r="K436" s="57"/>
      <c r="L436" s="24"/>
      <c r="M436" s="25"/>
      <c r="N436" s="25"/>
      <c r="O436" s="25"/>
      <c r="P436" s="26"/>
    </row>
    <row r="437">
      <c r="A437" s="52"/>
      <c r="B437" s="15"/>
      <c r="C437" s="16"/>
      <c r="D437" s="15"/>
      <c r="E437" s="17"/>
      <c r="F437" s="54"/>
      <c r="G437" s="19"/>
      <c r="H437" s="17"/>
      <c r="I437" s="19"/>
      <c r="J437" s="21"/>
      <c r="K437" s="57"/>
      <c r="L437" s="24"/>
      <c r="M437" s="25"/>
      <c r="N437" s="25"/>
      <c r="O437" s="25"/>
      <c r="P437" s="26"/>
    </row>
    <row r="438">
      <c r="A438" s="52"/>
      <c r="B438" s="15"/>
      <c r="C438" s="16"/>
      <c r="D438" s="15"/>
      <c r="E438" s="17"/>
      <c r="F438" s="54"/>
      <c r="G438" s="19"/>
      <c r="H438" s="17"/>
      <c r="I438" s="19"/>
      <c r="J438" s="21"/>
      <c r="K438" s="57"/>
      <c r="L438" s="24"/>
      <c r="M438" s="25"/>
      <c r="N438" s="25"/>
      <c r="O438" s="25"/>
      <c r="P438" s="26"/>
    </row>
    <row r="439">
      <c r="A439" s="52"/>
      <c r="B439" s="15"/>
      <c r="C439" s="16"/>
      <c r="D439" s="15"/>
      <c r="E439" s="17"/>
      <c r="F439" s="54"/>
      <c r="G439" s="19"/>
      <c r="H439" s="17"/>
      <c r="I439" s="19"/>
      <c r="J439" s="21"/>
      <c r="K439" s="57"/>
      <c r="L439" s="24"/>
      <c r="M439" s="25"/>
      <c r="N439" s="25"/>
      <c r="O439" s="25"/>
      <c r="P439" s="26"/>
    </row>
    <row r="440">
      <c r="A440" s="52"/>
      <c r="B440" s="15"/>
      <c r="C440" s="16"/>
      <c r="D440" s="15"/>
      <c r="E440" s="17"/>
      <c r="F440" s="54"/>
      <c r="G440" s="19"/>
      <c r="H440" s="17"/>
      <c r="I440" s="19"/>
      <c r="J440" s="21"/>
      <c r="K440" s="57"/>
      <c r="L440" s="24"/>
      <c r="M440" s="25"/>
      <c r="N440" s="25"/>
      <c r="O440" s="25"/>
      <c r="P440" s="26"/>
    </row>
    <row r="441">
      <c r="A441" s="52"/>
      <c r="B441" s="15"/>
      <c r="C441" s="16"/>
      <c r="D441" s="15"/>
      <c r="E441" s="17"/>
      <c r="F441" s="54"/>
      <c r="G441" s="19"/>
      <c r="H441" s="17"/>
      <c r="I441" s="19"/>
      <c r="J441" s="21"/>
      <c r="K441" s="57"/>
      <c r="L441" s="24"/>
      <c r="M441" s="25"/>
      <c r="N441" s="25"/>
      <c r="O441" s="25"/>
      <c r="P441" s="26"/>
    </row>
    <row r="442">
      <c r="A442" s="52"/>
      <c r="B442" s="15"/>
      <c r="C442" s="16"/>
      <c r="D442" s="15"/>
      <c r="E442" s="17"/>
      <c r="F442" s="54"/>
      <c r="G442" s="19"/>
      <c r="H442" s="17"/>
      <c r="I442" s="19"/>
      <c r="J442" s="21"/>
      <c r="K442" s="57"/>
      <c r="L442" s="24"/>
      <c r="M442" s="25"/>
      <c r="N442" s="25"/>
      <c r="O442" s="25"/>
      <c r="P442" s="26"/>
    </row>
    <row r="443">
      <c r="A443" s="52"/>
      <c r="B443" s="15"/>
      <c r="C443" s="16"/>
      <c r="D443" s="15"/>
      <c r="E443" s="17"/>
      <c r="F443" s="54"/>
      <c r="G443" s="19"/>
      <c r="H443" s="17"/>
      <c r="I443" s="19"/>
      <c r="J443" s="21"/>
      <c r="K443" s="57"/>
      <c r="L443" s="24"/>
      <c r="M443" s="25"/>
      <c r="N443" s="25"/>
      <c r="O443" s="25"/>
      <c r="P443" s="26"/>
    </row>
    <row r="444">
      <c r="A444" s="52"/>
      <c r="B444" s="15"/>
      <c r="C444" s="16"/>
      <c r="D444" s="15"/>
      <c r="E444" s="17"/>
      <c r="F444" s="54"/>
      <c r="G444" s="19"/>
      <c r="H444" s="17"/>
      <c r="I444" s="19"/>
      <c r="J444" s="21"/>
      <c r="K444" s="57"/>
      <c r="L444" s="24"/>
      <c r="M444" s="25"/>
      <c r="N444" s="25"/>
      <c r="O444" s="25"/>
      <c r="P444" s="26"/>
    </row>
    <row r="445">
      <c r="A445" s="52"/>
      <c r="B445" s="15"/>
      <c r="C445" s="16"/>
      <c r="D445" s="15"/>
      <c r="E445" s="17"/>
      <c r="F445" s="54"/>
      <c r="G445" s="19"/>
      <c r="H445" s="17"/>
      <c r="I445" s="19"/>
      <c r="J445" s="21"/>
      <c r="K445" s="57"/>
      <c r="L445" s="24"/>
      <c r="M445" s="25"/>
      <c r="N445" s="25"/>
      <c r="O445" s="25"/>
      <c r="P445" s="26"/>
    </row>
    <row r="446">
      <c r="A446" s="52"/>
      <c r="B446" s="15"/>
      <c r="C446" s="16"/>
      <c r="D446" s="15"/>
      <c r="E446" s="17"/>
      <c r="F446" s="54"/>
      <c r="G446" s="19"/>
      <c r="H446" s="17"/>
      <c r="I446" s="19"/>
      <c r="J446" s="21"/>
      <c r="K446" s="57"/>
      <c r="L446" s="24"/>
      <c r="M446" s="25"/>
      <c r="N446" s="25"/>
      <c r="O446" s="25"/>
      <c r="P446" s="26"/>
    </row>
    <row r="447">
      <c r="A447" s="52"/>
      <c r="B447" s="15"/>
      <c r="C447" s="16"/>
      <c r="D447" s="15"/>
      <c r="E447" s="17"/>
      <c r="F447" s="54"/>
      <c r="G447" s="19"/>
      <c r="H447" s="17"/>
      <c r="I447" s="19"/>
      <c r="J447" s="21"/>
      <c r="K447" s="57"/>
      <c r="L447" s="24"/>
      <c r="M447" s="25"/>
      <c r="N447" s="25"/>
      <c r="O447" s="25"/>
      <c r="P447" s="26"/>
    </row>
    <row r="448">
      <c r="A448" s="52"/>
      <c r="B448" s="15"/>
      <c r="C448" s="16"/>
      <c r="D448" s="15"/>
      <c r="E448" s="17"/>
      <c r="F448" s="54"/>
      <c r="G448" s="19"/>
      <c r="H448" s="17"/>
      <c r="I448" s="19"/>
      <c r="J448" s="21"/>
      <c r="K448" s="57"/>
      <c r="L448" s="24"/>
      <c r="M448" s="25"/>
      <c r="N448" s="25"/>
      <c r="O448" s="25"/>
      <c r="P448" s="26"/>
    </row>
    <row r="449">
      <c r="A449" s="52"/>
      <c r="B449" s="15"/>
      <c r="C449" s="16"/>
      <c r="D449" s="15"/>
      <c r="E449" s="17"/>
      <c r="F449" s="54"/>
      <c r="G449" s="19"/>
      <c r="H449" s="17"/>
      <c r="I449" s="19"/>
      <c r="J449" s="21"/>
      <c r="K449" s="57"/>
      <c r="L449" s="24"/>
      <c r="M449" s="25"/>
      <c r="N449" s="25"/>
      <c r="O449" s="25"/>
      <c r="P449" s="26"/>
    </row>
    <row r="450">
      <c r="A450" s="52"/>
      <c r="B450" s="15"/>
      <c r="C450" s="16"/>
      <c r="D450" s="15"/>
      <c r="E450" s="17"/>
      <c r="F450" s="54"/>
      <c r="G450" s="19"/>
      <c r="H450" s="17"/>
      <c r="I450" s="19"/>
      <c r="J450" s="21"/>
      <c r="K450" s="57"/>
      <c r="L450" s="24"/>
      <c r="M450" s="25"/>
      <c r="N450" s="25"/>
      <c r="O450" s="25"/>
      <c r="P450" s="26"/>
    </row>
    <row r="451">
      <c r="A451" s="52"/>
      <c r="B451" s="15"/>
      <c r="C451" s="16"/>
      <c r="D451" s="15"/>
      <c r="E451" s="17"/>
      <c r="F451" s="54"/>
      <c r="G451" s="19"/>
      <c r="H451" s="17"/>
      <c r="I451" s="19"/>
      <c r="J451" s="21"/>
      <c r="K451" s="57"/>
      <c r="L451" s="24"/>
      <c r="M451" s="25"/>
      <c r="N451" s="25"/>
      <c r="O451" s="25"/>
      <c r="P451" s="26"/>
    </row>
    <row r="452">
      <c r="A452" s="52"/>
      <c r="B452" s="15"/>
      <c r="C452" s="16"/>
      <c r="D452" s="15"/>
      <c r="E452" s="17"/>
      <c r="F452" s="54"/>
      <c r="G452" s="19"/>
      <c r="H452" s="17"/>
      <c r="I452" s="19"/>
      <c r="J452" s="21"/>
      <c r="K452" s="57"/>
      <c r="L452" s="24"/>
      <c r="M452" s="25"/>
      <c r="N452" s="25"/>
      <c r="O452" s="25"/>
      <c r="P452" s="26"/>
    </row>
    <row r="453">
      <c r="A453" s="52"/>
      <c r="B453" s="15"/>
      <c r="C453" s="16"/>
      <c r="D453" s="15"/>
      <c r="E453" s="17"/>
      <c r="F453" s="54"/>
      <c r="G453" s="19"/>
      <c r="H453" s="17"/>
      <c r="I453" s="19"/>
      <c r="J453" s="21"/>
      <c r="K453" s="57"/>
      <c r="L453" s="24"/>
      <c r="M453" s="25"/>
      <c r="N453" s="25"/>
      <c r="O453" s="25"/>
      <c r="P453" s="26"/>
    </row>
    <row r="454">
      <c r="A454" s="52"/>
      <c r="B454" s="15"/>
      <c r="C454" s="16"/>
      <c r="D454" s="15"/>
      <c r="E454" s="17"/>
      <c r="F454" s="54"/>
      <c r="G454" s="19"/>
      <c r="H454" s="17"/>
      <c r="I454" s="19"/>
      <c r="J454" s="21"/>
      <c r="K454" s="57"/>
      <c r="L454" s="24"/>
      <c r="M454" s="25"/>
      <c r="N454" s="25"/>
      <c r="O454" s="25"/>
      <c r="P454" s="26"/>
    </row>
    <row r="455">
      <c r="A455" s="52"/>
      <c r="B455" s="15"/>
      <c r="C455" s="16"/>
      <c r="D455" s="15"/>
      <c r="E455" s="17"/>
      <c r="F455" s="54"/>
      <c r="G455" s="19"/>
      <c r="H455" s="17"/>
      <c r="I455" s="19"/>
      <c r="J455" s="21"/>
      <c r="K455" s="57"/>
      <c r="L455" s="24"/>
      <c r="M455" s="25"/>
      <c r="N455" s="25"/>
      <c r="O455" s="25"/>
      <c r="P455" s="26"/>
    </row>
    <row r="456">
      <c r="A456" s="52"/>
      <c r="B456" s="15"/>
      <c r="C456" s="16"/>
      <c r="D456" s="15"/>
      <c r="E456" s="17"/>
      <c r="F456" s="54"/>
      <c r="G456" s="19"/>
      <c r="H456" s="17"/>
      <c r="I456" s="19"/>
      <c r="J456" s="21"/>
      <c r="K456" s="57"/>
      <c r="L456" s="24"/>
      <c r="M456" s="25"/>
      <c r="N456" s="25"/>
      <c r="O456" s="25"/>
      <c r="P456" s="26"/>
    </row>
    <row r="457">
      <c r="A457" s="52"/>
      <c r="B457" s="15"/>
      <c r="C457" s="16"/>
      <c r="D457" s="15"/>
      <c r="E457" s="17"/>
      <c r="F457" s="54"/>
      <c r="G457" s="19"/>
      <c r="H457" s="17"/>
      <c r="I457" s="19"/>
      <c r="J457" s="21"/>
      <c r="K457" s="57"/>
      <c r="L457" s="24"/>
      <c r="M457" s="25"/>
      <c r="N457" s="25"/>
      <c r="O457" s="25"/>
      <c r="P457" s="26"/>
    </row>
    <row r="458">
      <c r="A458" s="52"/>
      <c r="B458" s="15"/>
      <c r="C458" s="16"/>
      <c r="D458" s="15"/>
      <c r="E458" s="17"/>
      <c r="F458" s="54"/>
      <c r="G458" s="19"/>
      <c r="H458" s="17"/>
      <c r="I458" s="19"/>
      <c r="J458" s="21"/>
      <c r="K458" s="57"/>
      <c r="L458" s="24"/>
      <c r="M458" s="25"/>
      <c r="N458" s="25"/>
      <c r="O458" s="25"/>
      <c r="P458" s="26"/>
    </row>
    <row r="459">
      <c r="A459" s="52"/>
      <c r="B459" s="15"/>
      <c r="C459" s="16"/>
      <c r="D459" s="15"/>
      <c r="E459" s="17"/>
      <c r="F459" s="54"/>
      <c r="G459" s="19"/>
      <c r="H459" s="17"/>
      <c r="I459" s="19"/>
      <c r="J459" s="21"/>
      <c r="K459" s="57"/>
      <c r="L459" s="24"/>
      <c r="M459" s="25"/>
      <c r="N459" s="25"/>
      <c r="O459" s="25"/>
      <c r="P459" s="26"/>
    </row>
    <row r="460">
      <c r="A460" s="52"/>
      <c r="B460" s="15"/>
      <c r="C460" s="16"/>
      <c r="D460" s="15"/>
      <c r="E460" s="17"/>
      <c r="F460" s="54"/>
      <c r="G460" s="19"/>
      <c r="H460" s="17"/>
      <c r="I460" s="19"/>
      <c r="J460" s="21"/>
      <c r="K460" s="57"/>
      <c r="L460" s="24"/>
      <c r="M460" s="25"/>
      <c r="N460" s="25"/>
      <c r="O460" s="25"/>
      <c r="P460" s="26"/>
    </row>
    <row r="461">
      <c r="A461" s="52"/>
      <c r="B461" s="15"/>
      <c r="C461" s="16"/>
      <c r="D461" s="15"/>
      <c r="E461" s="17"/>
      <c r="F461" s="54"/>
      <c r="G461" s="19"/>
      <c r="H461" s="17"/>
      <c r="I461" s="19"/>
      <c r="J461" s="21"/>
      <c r="K461" s="57"/>
      <c r="L461" s="24"/>
      <c r="M461" s="25"/>
      <c r="N461" s="25"/>
      <c r="O461" s="25"/>
      <c r="P461" s="26"/>
    </row>
    <row r="462">
      <c r="A462" s="52"/>
      <c r="B462" s="15"/>
      <c r="C462" s="16"/>
      <c r="D462" s="15"/>
      <c r="E462" s="17"/>
      <c r="F462" s="54"/>
      <c r="G462" s="19"/>
      <c r="H462" s="17"/>
      <c r="I462" s="19"/>
      <c r="J462" s="21"/>
      <c r="K462" s="57"/>
      <c r="L462" s="24"/>
      <c r="M462" s="25"/>
      <c r="N462" s="25"/>
      <c r="O462" s="25"/>
      <c r="P462" s="26"/>
    </row>
    <row r="463">
      <c r="A463" s="52"/>
      <c r="B463" s="15"/>
      <c r="C463" s="16"/>
      <c r="D463" s="15"/>
      <c r="E463" s="17"/>
      <c r="F463" s="54"/>
      <c r="G463" s="19"/>
      <c r="H463" s="17"/>
      <c r="I463" s="19"/>
      <c r="J463" s="21"/>
      <c r="K463" s="57"/>
      <c r="L463" s="24"/>
      <c r="M463" s="25"/>
      <c r="N463" s="25"/>
      <c r="O463" s="25"/>
      <c r="P463" s="26"/>
    </row>
    <row r="464">
      <c r="A464" s="52"/>
      <c r="B464" s="15"/>
      <c r="C464" s="16"/>
      <c r="D464" s="15"/>
      <c r="E464" s="17"/>
      <c r="F464" s="54"/>
      <c r="G464" s="19"/>
      <c r="H464" s="17"/>
      <c r="I464" s="19"/>
      <c r="J464" s="21"/>
      <c r="K464" s="57"/>
      <c r="L464" s="24"/>
      <c r="M464" s="25"/>
      <c r="N464" s="25"/>
      <c r="O464" s="25"/>
      <c r="P464" s="26"/>
    </row>
    <row r="465">
      <c r="A465" s="52"/>
      <c r="B465" s="15"/>
      <c r="C465" s="16"/>
      <c r="D465" s="15"/>
      <c r="E465" s="17"/>
      <c r="F465" s="54"/>
      <c r="G465" s="19"/>
      <c r="H465" s="17"/>
      <c r="I465" s="19"/>
      <c r="J465" s="21"/>
      <c r="K465" s="57"/>
      <c r="L465" s="24"/>
      <c r="M465" s="25"/>
      <c r="N465" s="25"/>
      <c r="O465" s="25"/>
      <c r="P465" s="26"/>
    </row>
    <row r="466">
      <c r="A466" s="52"/>
      <c r="B466" s="15"/>
      <c r="C466" s="16"/>
      <c r="D466" s="15"/>
      <c r="E466" s="17"/>
      <c r="F466" s="54"/>
      <c r="G466" s="19"/>
      <c r="H466" s="17"/>
      <c r="I466" s="19"/>
      <c r="J466" s="21"/>
      <c r="K466" s="57"/>
      <c r="L466" s="24"/>
      <c r="M466" s="25"/>
      <c r="N466" s="25"/>
      <c r="O466" s="25"/>
      <c r="P466" s="26"/>
    </row>
    <row r="467">
      <c r="A467" s="52"/>
      <c r="B467" s="15"/>
      <c r="C467" s="16"/>
      <c r="D467" s="15"/>
      <c r="E467" s="17"/>
      <c r="F467" s="54"/>
      <c r="G467" s="19"/>
      <c r="H467" s="17"/>
      <c r="I467" s="19"/>
      <c r="J467" s="21"/>
      <c r="K467" s="57"/>
      <c r="L467" s="24"/>
      <c r="M467" s="25"/>
      <c r="N467" s="25"/>
      <c r="O467" s="25"/>
      <c r="P467" s="26"/>
    </row>
    <row r="468">
      <c r="A468" s="52"/>
      <c r="B468" s="15"/>
      <c r="C468" s="16"/>
      <c r="D468" s="15"/>
      <c r="E468" s="17"/>
      <c r="F468" s="54"/>
      <c r="G468" s="19"/>
      <c r="H468" s="17"/>
      <c r="I468" s="19"/>
      <c r="J468" s="21"/>
      <c r="K468" s="57"/>
      <c r="L468" s="24"/>
      <c r="M468" s="25"/>
      <c r="N468" s="25"/>
      <c r="O468" s="25"/>
      <c r="P468" s="26"/>
    </row>
    <row r="469">
      <c r="A469" s="52"/>
      <c r="B469" s="15"/>
      <c r="C469" s="16"/>
      <c r="D469" s="15"/>
      <c r="E469" s="17"/>
      <c r="F469" s="54"/>
      <c r="G469" s="19"/>
      <c r="H469" s="17"/>
      <c r="I469" s="19"/>
      <c r="J469" s="21"/>
      <c r="K469" s="57"/>
      <c r="L469" s="24"/>
      <c r="M469" s="25"/>
      <c r="N469" s="25"/>
      <c r="O469" s="25"/>
      <c r="P469" s="26"/>
    </row>
    <row r="470">
      <c r="A470" s="52"/>
      <c r="B470" s="15"/>
      <c r="C470" s="16"/>
      <c r="D470" s="15"/>
      <c r="E470" s="17"/>
      <c r="F470" s="54"/>
      <c r="G470" s="19"/>
      <c r="H470" s="17"/>
      <c r="I470" s="19"/>
      <c r="J470" s="21"/>
      <c r="K470" s="57"/>
      <c r="L470" s="24"/>
      <c r="M470" s="25"/>
      <c r="N470" s="25"/>
      <c r="O470" s="25"/>
      <c r="P470" s="26"/>
    </row>
    <row r="471">
      <c r="A471" s="52"/>
      <c r="B471" s="15"/>
      <c r="C471" s="16"/>
      <c r="D471" s="15"/>
      <c r="E471" s="17"/>
      <c r="F471" s="54"/>
      <c r="G471" s="19"/>
      <c r="H471" s="17"/>
      <c r="I471" s="19"/>
      <c r="J471" s="21"/>
      <c r="K471" s="57"/>
      <c r="L471" s="24"/>
      <c r="M471" s="25"/>
      <c r="N471" s="25"/>
      <c r="O471" s="25"/>
      <c r="P471" s="26"/>
    </row>
    <row r="472">
      <c r="A472" s="52"/>
      <c r="B472" s="15"/>
      <c r="C472" s="16"/>
      <c r="D472" s="15"/>
      <c r="E472" s="17"/>
      <c r="F472" s="54"/>
      <c r="G472" s="19"/>
      <c r="H472" s="17"/>
      <c r="I472" s="19"/>
      <c r="J472" s="21"/>
      <c r="K472" s="57"/>
      <c r="L472" s="24"/>
      <c r="M472" s="25"/>
      <c r="N472" s="25"/>
      <c r="O472" s="25"/>
      <c r="P472" s="26"/>
    </row>
    <row r="473">
      <c r="A473" s="52"/>
      <c r="B473" s="15"/>
      <c r="C473" s="16"/>
      <c r="D473" s="15"/>
      <c r="E473" s="17"/>
      <c r="F473" s="54"/>
      <c r="G473" s="19"/>
      <c r="H473" s="17"/>
      <c r="I473" s="19"/>
      <c r="J473" s="21"/>
      <c r="K473" s="57"/>
      <c r="L473" s="24"/>
      <c r="M473" s="25"/>
      <c r="N473" s="25"/>
      <c r="O473" s="25"/>
      <c r="P473" s="26"/>
    </row>
    <row r="474">
      <c r="A474" s="52"/>
      <c r="B474" s="15"/>
      <c r="C474" s="16"/>
      <c r="D474" s="15"/>
      <c r="E474" s="17"/>
      <c r="F474" s="54"/>
      <c r="G474" s="19"/>
      <c r="H474" s="17"/>
      <c r="I474" s="19"/>
      <c r="J474" s="21"/>
      <c r="K474" s="57"/>
      <c r="L474" s="24"/>
      <c r="M474" s="25"/>
      <c r="N474" s="25"/>
      <c r="O474" s="25"/>
      <c r="P474" s="26"/>
    </row>
    <row r="475">
      <c r="A475" s="52"/>
      <c r="B475" s="15"/>
      <c r="C475" s="16"/>
      <c r="D475" s="15"/>
      <c r="E475" s="17"/>
      <c r="F475" s="54"/>
      <c r="G475" s="19"/>
      <c r="H475" s="17"/>
      <c r="I475" s="19"/>
      <c r="J475" s="21"/>
      <c r="K475" s="57"/>
      <c r="L475" s="24"/>
      <c r="M475" s="25"/>
      <c r="N475" s="25"/>
      <c r="O475" s="25"/>
      <c r="P475" s="26"/>
    </row>
    <row r="476">
      <c r="A476" s="52"/>
      <c r="B476" s="15"/>
      <c r="C476" s="16"/>
      <c r="D476" s="15"/>
      <c r="E476" s="17"/>
      <c r="F476" s="54"/>
      <c r="G476" s="19"/>
      <c r="H476" s="17"/>
      <c r="I476" s="19"/>
      <c r="J476" s="21"/>
      <c r="K476" s="57"/>
      <c r="L476" s="24"/>
      <c r="M476" s="25"/>
      <c r="N476" s="25"/>
      <c r="O476" s="25"/>
      <c r="P476" s="26"/>
    </row>
    <row r="477">
      <c r="A477" s="52"/>
      <c r="B477" s="15"/>
      <c r="C477" s="16"/>
      <c r="D477" s="15"/>
      <c r="E477" s="17"/>
      <c r="F477" s="54"/>
      <c r="G477" s="19"/>
      <c r="H477" s="17"/>
      <c r="I477" s="19"/>
      <c r="J477" s="21"/>
      <c r="K477" s="57"/>
      <c r="L477" s="24"/>
      <c r="M477" s="25"/>
      <c r="N477" s="25"/>
      <c r="O477" s="25"/>
      <c r="P477" s="26"/>
    </row>
    <row r="478">
      <c r="A478" s="52"/>
      <c r="B478" s="15"/>
      <c r="C478" s="16"/>
      <c r="D478" s="15"/>
      <c r="E478" s="17"/>
      <c r="F478" s="54"/>
      <c r="G478" s="19"/>
      <c r="H478" s="17"/>
      <c r="I478" s="19"/>
      <c r="J478" s="21"/>
      <c r="K478" s="57"/>
      <c r="L478" s="24"/>
      <c r="M478" s="25"/>
      <c r="N478" s="25"/>
      <c r="O478" s="25"/>
      <c r="P478" s="26"/>
    </row>
    <row r="479">
      <c r="A479" s="52"/>
      <c r="B479" s="15"/>
      <c r="C479" s="16"/>
      <c r="D479" s="15"/>
      <c r="E479" s="17"/>
      <c r="F479" s="54"/>
      <c r="G479" s="19"/>
      <c r="H479" s="17"/>
      <c r="I479" s="19"/>
      <c r="J479" s="21"/>
      <c r="K479" s="57"/>
      <c r="L479" s="24"/>
      <c r="M479" s="25"/>
      <c r="N479" s="25"/>
      <c r="O479" s="25"/>
      <c r="P479" s="26"/>
    </row>
    <row r="480">
      <c r="A480" s="52"/>
      <c r="B480" s="15"/>
      <c r="C480" s="16"/>
      <c r="D480" s="15"/>
      <c r="E480" s="17"/>
      <c r="F480" s="54"/>
      <c r="G480" s="19"/>
      <c r="H480" s="17"/>
      <c r="I480" s="19"/>
      <c r="J480" s="21"/>
      <c r="K480" s="57"/>
      <c r="L480" s="24"/>
      <c r="M480" s="25"/>
      <c r="N480" s="25"/>
      <c r="O480" s="25"/>
      <c r="P480" s="26"/>
    </row>
    <row r="481">
      <c r="A481" s="52"/>
      <c r="B481" s="15"/>
      <c r="C481" s="16"/>
      <c r="D481" s="15"/>
      <c r="E481" s="17"/>
      <c r="F481" s="54"/>
      <c r="G481" s="19"/>
      <c r="H481" s="17"/>
      <c r="I481" s="19"/>
      <c r="J481" s="21"/>
      <c r="K481" s="57"/>
      <c r="L481" s="24"/>
      <c r="M481" s="25"/>
      <c r="N481" s="25"/>
      <c r="O481" s="25"/>
      <c r="P481" s="26"/>
    </row>
    <row r="482">
      <c r="A482" s="52"/>
      <c r="B482" s="15"/>
      <c r="C482" s="16"/>
      <c r="D482" s="15"/>
      <c r="E482" s="17"/>
      <c r="F482" s="54"/>
      <c r="G482" s="19"/>
      <c r="H482" s="17"/>
      <c r="I482" s="19"/>
      <c r="J482" s="21"/>
      <c r="K482" s="57"/>
      <c r="L482" s="24"/>
      <c r="M482" s="25"/>
      <c r="N482" s="25"/>
      <c r="O482" s="25"/>
      <c r="P482" s="26"/>
    </row>
    <row r="483">
      <c r="A483" s="52"/>
      <c r="B483" s="15"/>
      <c r="C483" s="16"/>
      <c r="D483" s="15"/>
      <c r="E483" s="17"/>
      <c r="F483" s="54"/>
      <c r="G483" s="19"/>
      <c r="H483" s="17"/>
      <c r="I483" s="19"/>
      <c r="J483" s="21"/>
      <c r="K483" s="57"/>
      <c r="L483" s="24"/>
      <c r="M483" s="25"/>
      <c r="N483" s="25"/>
      <c r="O483" s="25"/>
      <c r="P483" s="26"/>
    </row>
    <row r="484">
      <c r="A484" s="52"/>
      <c r="B484" s="15"/>
      <c r="C484" s="16"/>
      <c r="D484" s="15"/>
      <c r="E484" s="17"/>
      <c r="F484" s="54"/>
      <c r="G484" s="19"/>
      <c r="H484" s="17"/>
      <c r="I484" s="19"/>
      <c r="J484" s="21"/>
      <c r="K484" s="57"/>
      <c r="L484" s="24"/>
      <c r="M484" s="25"/>
      <c r="N484" s="25"/>
      <c r="O484" s="25"/>
      <c r="P484" s="26"/>
    </row>
    <row r="485">
      <c r="A485" s="52"/>
      <c r="B485" s="15"/>
      <c r="C485" s="16"/>
      <c r="D485" s="15"/>
      <c r="E485" s="17"/>
      <c r="F485" s="54"/>
      <c r="G485" s="19"/>
      <c r="H485" s="17"/>
      <c r="I485" s="19"/>
      <c r="J485" s="21"/>
      <c r="K485" s="57"/>
      <c r="L485" s="24"/>
      <c r="M485" s="25"/>
      <c r="N485" s="25"/>
      <c r="O485" s="25"/>
      <c r="P485" s="26"/>
    </row>
    <row r="486">
      <c r="A486" s="52"/>
      <c r="B486" s="15"/>
      <c r="C486" s="16"/>
      <c r="D486" s="15"/>
      <c r="E486" s="17"/>
      <c r="F486" s="54"/>
      <c r="G486" s="19"/>
      <c r="H486" s="17"/>
      <c r="I486" s="19"/>
      <c r="J486" s="21"/>
      <c r="K486" s="57"/>
      <c r="L486" s="24"/>
      <c r="M486" s="25"/>
      <c r="N486" s="25"/>
      <c r="O486" s="25"/>
      <c r="P486" s="26"/>
    </row>
    <row r="487">
      <c r="A487" s="52"/>
      <c r="B487" s="15"/>
      <c r="C487" s="16"/>
      <c r="D487" s="15"/>
      <c r="E487" s="17"/>
      <c r="F487" s="54"/>
      <c r="G487" s="19"/>
      <c r="H487" s="17"/>
      <c r="I487" s="19"/>
      <c r="J487" s="21"/>
      <c r="K487" s="57"/>
      <c r="L487" s="24"/>
      <c r="M487" s="25"/>
      <c r="N487" s="25"/>
      <c r="O487" s="25"/>
      <c r="P487" s="26"/>
    </row>
    <row r="488">
      <c r="A488" s="52"/>
      <c r="B488" s="15"/>
      <c r="C488" s="16"/>
      <c r="D488" s="15"/>
      <c r="E488" s="17"/>
      <c r="F488" s="54"/>
      <c r="G488" s="19"/>
      <c r="H488" s="17"/>
      <c r="I488" s="19"/>
      <c r="J488" s="21"/>
      <c r="K488" s="57"/>
      <c r="L488" s="24"/>
      <c r="M488" s="25"/>
      <c r="N488" s="25"/>
      <c r="O488" s="25"/>
      <c r="P488" s="26"/>
    </row>
    <row r="489">
      <c r="A489" s="52"/>
      <c r="B489" s="15"/>
      <c r="C489" s="16"/>
      <c r="D489" s="15"/>
      <c r="E489" s="17"/>
      <c r="F489" s="54"/>
      <c r="G489" s="19"/>
      <c r="H489" s="17"/>
      <c r="I489" s="19"/>
      <c r="J489" s="21"/>
      <c r="K489" s="57"/>
      <c r="L489" s="24"/>
      <c r="M489" s="25"/>
      <c r="N489" s="25"/>
      <c r="O489" s="25"/>
      <c r="P489" s="26"/>
    </row>
    <row r="490">
      <c r="A490" s="52"/>
      <c r="B490" s="15"/>
      <c r="C490" s="16"/>
      <c r="D490" s="15"/>
      <c r="E490" s="17"/>
      <c r="F490" s="54"/>
      <c r="G490" s="19"/>
      <c r="H490" s="17"/>
      <c r="I490" s="19"/>
      <c r="J490" s="21"/>
      <c r="K490" s="57"/>
      <c r="L490" s="24"/>
      <c r="M490" s="25"/>
      <c r="N490" s="25"/>
      <c r="O490" s="25"/>
      <c r="P490" s="26"/>
    </row>
    <row r="491">
      <c r="A491" s="52"/>
      <c r="B491" s="15"/>
      <c r="C491" s="16"/>
      <c r="D491" s="15"/>
      <c r="E491" s="17"/>
      <c r="F491" s="54"/>
      <c r="G491" s="19"/>
      <c r="H491" s="17"/>
      <c r="I491" s="19"/>
      <c r="J491" s="21"/>
      <c r="K491" s="57"/>
      <c r="L491" s="24"/>
      <c r="M491" s="25"/>
      <c r="N491" s="25"/>
      <c r="O491" s="25"/>
      <c r="P491" s="26"/>
    </row>
    <row r="492">
      <c r="A492" s="52"/>
      <c r="B492" s="15"/>
      <c r="C492" s="16"/>
      <c r="D492" s="15"/>
      <c r="E492" s="17"/>
      <c r="F492" s="54"/>
      <c r="G492" s="19"/>
      <c r="H492" s="17"/>
      <c r="I492" s="19"/>
      <c r="J492" s="21"/>
      <c r="K492" s="57"/>
      <c r="L492" s="24"/>
      <c r="M492" s="25"/>
      <c r="N492" s="25"/>
      <c r="O492" s="25"/>
      <c r="P492" s="26"/>
    </row>
    <row r="493">
      <c r="A493" s="52"/>
      <c r="B493" s="15"/>
      <c r="C493" s="16"/>
      <c r="D493" s="15"/>
      <c r="E493" s="17"/>
      <c r="F493" s="54"/>
      <c r="G493" s="19"/>
      <c r="H493" s="17"/>
      <c r="I493" s="19"/>
      <c r="J493" s="21"/>
      <c r="K493" s="57"/>
      <c r="L493" s="24"/>
      <c r="M493" s="25"/>
      <c r="N493" s="25"/>
      <c r="O493" s="25"/>
      <c r="P493" s="26"/>
    </row>
    <row r="494">
      <c r="A494" s="52"/>
      <c r="B494" s="15"/>
      <c r="C494" s="16"/>
      <c r="D494" s="15"/>
      <c r="E494" s="17"/>
      <c r="F494" s="54"/>
      <c r="G494" s="19"/>
      <c r="H494" s="17"/>
      <c r="I494" s="19"/>
      <c r="J494" s="21"/>
      <c r="K494" s="57"/>
      <c r="L494" s="24"/>
      <c r="M494" s="25"/>
      <c r="N494" s="25"/>
      <c r="O494" s="25"/>
      <c r="P494" s="26"/>
    </row>
    <row r="495">
      <c r="A495" s="52"/>
      <c r="B495" s="15"/>
      <c r="C495" s="16"/>
      <c r="D495" s="15"/>
      <c r="E495" s="17"/>
      <c r="F495" s="54"/>
      <c r="G495" s="19"/>
      <c r="H495" s="17"/>
      <c r="I495" s="19"/>
      <c r="J495" s="21"/>
      <c r="K495" s="57"/>
      <c r="L495" s="24"/>
      <c r="M495" s="25"/>
      <c r="N495" s="25"/>
      <c r="O495" s="25"/>
      <c r="P495" s="26"/>
    </row>
    <row r="496">
      <c r="A496" s="52"/>
      <c r="B496" s="15"/>
      <c r="C496" s="16"/>
      <c r="D496" s="15"/>
      <c r="E496" s="17"/>
      <c r="F496" s="54"/>
      <c r="G496" s="19"/>
      <c r="H496" s="17"/>
      <c r="I496" s="19"/>
      <c r="J496" s="21"/>
      <c r="K496" s="57"/>
      <c r="L496" s="24"/>
      <c r="M496" s="25"/>
      <c r="N496" s="25"/>
      <c r="O496" s="25"/>
      <c r="P496" s="26"/>
    </row>
    <row r="497">
      <c r="A497" s="52"/>
      <c r="B497" s="15"/>
      <c r="C497" s="16"/>
      <c r="D497" s="15"/>
      <c r="E497" s="17"/>
      <c r="F497" s="54"/>
      <c r="G497" s="19"/>
      <c r="H497" s="17"/>
      <c r="I497" s="19"/>
      <c r="J497" s="21"/>
      <c r="K497" s="57"/>
      <c r="L497" s="24"/>
      <c r="M497" s="25"/>
      <c r="N497" s="25"/>
      <c r="O497" s="25"/>
      <c r="P497" s="26"/>
    </row>
    <row r="498">
      <c r="A498" s="52"/>
      <c r="B498" s="15"/>
      <c r="C498" s="16"/>
      <c r="D498" s="15"/>
      <c r="E498" s="17"/>
      <c r="F498" s="54"/>
      <c r="G498" s="19"/>
      <c r="H498" s="17"/>
      <c r="I498" s="19"/>
      <c r="J498" s="21"/>
      <c r="K498" s="57"/>
      <c r="L498" s="24"/>
      <c r="M498" s="25"/>
      <c r="N498" s="25"/>
      <c r="O498" s="25"/>
      <c r="P498" s="26"/>
    </row>
    <row r="499">
      <c r="A499" s="52"/>
      <c r="B499" s="15"/>
      <c r="C499" s="16"/>
      <c r="D499" s="15"/>
      <c r="E499" s="17"/>
      <c r="F499" s="54"/>
      <c r="G499" s="19"/>
      <c r="H499" s="17"/>
      <c r="I499" s="19"/>
      <c r="J499" s="21"/>
      <c r="K499" s="57"/>
      <c r="L499" s="24"/>
      <c r="M499" s="25"/>
      <c r="N499" s="25"/>
      <c r="O499" s="25"/>
      <c r="P499" s="26"/>
    </row>
    <row r="500">
      <c r="A500" s="52"/>
      <c r="B500" s="15"/>
      <c r="C500" s="16"/>
      <c r="D500" s="15"/>
      <c r="E500" s="17"/>
      <c r="F500" s="54"/>
      <c r="G500" s="19"/>
      <c r="H500" s="17"/>
      <c r="I500" s="19"/>
      <c r="J500" s="21"/>
      <c r="K500" s="57"/>
      <c r="L500" s="24"/>
      <c r="M500" s="25"/>
      <c r="N500" s="25"/>
      <c r="O500" s="25"/>
      <c r="P500" s="26"/>
    </row>
    <row r="501">
      <c r="A501" s="52"/>
      <c r="B501" s="15"/>
      <c r="C501" s="16"/>
      <c r="D501" s="15"/>
      <c r="E501" s="17"/>
      <c r="F501" s="54"/>
      <c r="G501" s="19"/>
      <c r="H501" s="17"/>
      <c r="I501" s="19"/>
      <c r="J501" s="21"/>
      <c r="K501" s="57"/>
      <c r="L501" s="24"/>
      <c r="M501" s="25"/>
      <c r="N501" s="25"/>
      <c r="O501" s="25"/>
      <c r="P501" s="26"/>
    </row>
    <row r="502">
      <c r="A502" s="52"/>
      <c r="B502" s="15"/>
      <c r="C502" s="16"/>
      <c r="D502" s="15"/>
      <c r="E502" s="17"/>
      <c r="F502" s="54"/>
      <c r="G502" s="19"/>
      <c r="H502" s="17"/>
      <c r="I502" s="19"/>
      <c r="J502" s="21"/>
      <c r="K502" s="57"/>
      <c r="L502" s="24"/>
      <c r="M502" s="25"/>
      <c r="N502" s="25"/>
      <c r="O502" s="25"/>
      <c r="P502" s="26"/>
    </row>
    <row r="503">
      <c r="A503" s="52"/>
      <c r="B503" s="15"/>
      <c r="C503" s="16"/>
      <c r="D503" s="15"/>
      <c r="E503" s="17"/>
      <c r="F503" s="54"/>
      <c r="G503" s="19"/>
      <c r="H503" s="17"/>
      <c r="I503" s="19"/>
      <c r="J503" s="21"/>
      <c r="K503" s="57"/>
      <c r="L503" s="24"/>
      <c r="M503" s="25"/>
      <c r="N503" s="25"/>
      <c r="O503" s="25"/>
      <c r="P503" s="26"/>
    </row>
    <row r="504">
      <c r="A504" s="52"/>
      <c r="B504" s="15"/>
      <c r="C504" s="16"/>
      <c r="D504" s="15"/>
      <c r="E504" s="17"/>
      <c r="F504" s="54"/>
      <c r="G504" s="19"/>
      <c r="H504" s="17"/>
      <c r="I504" s="19"/>
      <c r="J504" s="21"/>
      <c r="K504" s="57"/>
      <c r="L504" s="24"/>
      <c r="M504" s="25"/>
      <c r="N504" s="25"/>
      <c r="O504" s="25"/>
      <c r="P504" s="26"/>
    </row>
    <row r="505">
      <c r="A505" s="52"/>
      <c r="B505" s="15"/>
      <c r="C505" s="16"/>
      <c r="D505" s="15"/>
      <c r="E505" s="17"/>
      <c r="F505" s="54"/>
      <c r="G505" s="19"/>
      <c r="H505" s="17"/>
      <c r="I505" s="19"/>
      <c r="J505" s="21"/>
      <c r="K505" s="57"/>
      <c r="L505" s="24"/>
      <c r="M505" s="25"/>
      <c r="N505" s="25"/>
      <c r="O505" s="25"/>
      <c r="P505" s="26"/>
    </row>
    <row r="506">
      <c r="A506" s="52"/>
      <c r="B506" s="15"/>
      <c r="C506" s="16"/>
      <c r="D506" s="15"/>
      <c r="E506" s="17"/>
      <c r="F506" s="54"/>
      <c r="G506" s="19"/>
      <c r="H506" s="17"/>
      <c r="I506" s="19"/>
      <c r="J506" s="21"/>
      <c r="K506" s="57"/>
      <c r="L506" s="24"/>
      <c r="M506" s="25"/>
      <c r="N506" s="25"/>
      <c r="O506" s="25"/>
      <c r="P506" s="26"/>
    </row>
    <row r="507">
      <c r="A507" s="52"/>
      <c r="B507" s="15"/>
      <c r="C507" s="16"/>
      <c r="D507" s="15"/>
      <c r="E507" s="17"/>
      <c r="F507" s="54"/>
      <c r="G507" s="19"/>
      <c r="H507" s="17"/>
      <c r="I507" s="19"/>
      <c r="J507" s="21"/>
      <c r="K507" s="57"/>
      <c r="L507" s="24"/>
      <c r="M507" s="25"/>
      <c r="N507" s="25"/>
      <c r="O507" s="25"/>
      <c r="P507" s="26"/>
    </row>
    <row r="508">
      <c r="A508" s="52"/>
      <c r="B508" s="15"/>
      <c r="C508" s="16"/>
      <c r="D508" s="15"/>
      <c r="E508" s="17"/>
      <c r="F508" s="54"/>
      <c r="G508" s="19"/>
      <c r="H508" s="17"/>
      <c r="I508" s="19"/>
      <c r="J508" s="21"/>
      <c r="K508" s="57"/>
      <c r="L508" s="24"/>
      <c r="M508" s="25"/>
      <c r="N508" s="25"/>
      <c r="O508" s="25"/>
      <c r="P508" s="26"/>
    </row>
    <row r="509">
      <c r="A509" s="52"/>
      <c r="B509" s="15"/>
      <c r="C509" s="16"/>
      <c r="D509" s="15"/>
      <c r="E509" s="17"/>
      <c r="F509" s="54"/>
      <c r="G509" s="19"/>
      <c r="H509" s="17"/>
      <c r="I509" s="19"/>
      <c r="J509" s="21"/>
      <c r="K509" s="57"/>
      <c r="L509" s="24"/>
      <c r="M509" s="25"/>
      <c r="N509" s="25"/>
      <c r="O509" s="25"/>
      <c r="P509" s="26"/>
    </row>
    <row r="510">
      <c r="A510" s="52"/>
      <c r="B510" s="15"/>
      <c r="C510" s="16"/>
      <c r="D510" s="15"/>
      <c r="E510" s="17"/>
      <c r="F510" s="54"/>
      <c r="G510" s="19"/>
      <c r="H510" s="17"/>
      <c r="I510" s="19"/>
      <c r="J510" s="21"/>
      <c r="K510" s="57"/>
      <c r="L510" s="24"/>
      <c r="M510" s="25"/>
      <c r="N510" s="25"/>
      <c r="O510" s="25"/>
      <c r="P510" s="26"/>
    </row>
    <row r="511">
      <c r="A511" s="52"/>
      <c r="B511" s="15"/>
      <c r="C511" s="16"/>
      <c r="D511" s="15"/>
      <c r="E511" s="17"/>
      <c r="F511" s="54"/>
      <c r="G511" s="19"/>
      <c r="H511" s="17"/>
      <c r="I511" s="19"/>
      <c r="J511" s="21"/>
      <c r="K511" s="57"/>
      <c r="L511" s="24"/>
      <c r="M511" s="25"/>
      <c r="N511" s="25"/>
      <c r="O511" s="25"/>
      <c r="P511" s="26"/>
    </row>
    <row r="512">
      <c r="A512" s="52"/>
      <c r="B512" s="15"/>
      <c r="C512" s="16"/>
      <c r="D512" s="15"/>
      <c r="E512" s="17"/>
      <c r="F512" s="54"/>
      <c r="G512" s="19"/>
      <c r="H512" s="17"/>
      <c r="I512" s="19"/>
      <c r="J512" s="21"/>
      <c r="K512" s="57"/>
      <c r="L512" s="24"/>
      <c r="M512" s="25"/>
      <c r="N512" s="25"/>
      <c r="O512" s="25"/>
      <c r="P512" s="26"/>
    </row>
    <row r="513">
      <c r="A513" s="52"/>
      <c r="B513" s="15"/>
      <c r="C513" s="16"/>
      <c r="D513" s="15"/>
      <c r="E513" s="17"/>
      <c r="F513" s="54"/>
      <c r="G513" s="19"/>
      <c r="H513" s="17"/>
      <c r="I513" s="19"/>
      <c r="J513" s="21"/>
      <c r="K513" s="57"/>
      <c r="L513" s="24"/>
      <c r="M513" s="25"/>
      <c r="N513" s="25"/>
      <c r="O513" s="25"/>
      <c r="P513" s="26"/>
    </row>
    <row r="514">
      <c r="A514" s="52"/>
      <c r="B514" s="15"/>
      <c r="C514" s="16"/>
      <c r="D514" s="15"/>
      <c r="E514" s="17"/>
      <c r="F514" s="54"/>
      <c r="G514" s="19"/>
      <c r="H514" s="17"/>
      <c r="I514" s="19"/>
      <c r="J514" s="21"/>
      <c r="K514" s="57"/>
      <c r="L514" s="24"/>
      <c r="M514" s="25"/>
      <c r="N514" s="25"/>
      <c r="O514" s="25"/>
      <c r="P514" s="26"/>
    </row>
    <row r="515">
      <c r="A515" s="52"/>
      <c r="B515" s="15"/>
      <c r="C515" s="16"/>
      <c r="D515" s="15"/>
      <c r="E515" s="17"/>
      <c r="F515" s="54"/>
      <c r="G515" s="19"/>
      <c r="H515" s="17"/>
      <c r="I515" s="19"/>
      <c r="J515" s="21"/>
      <c r="K515" s="57"/>
      <c r="L515" s="24"/>
      <c r="M515" s="25"/>
      <c r="N515" s="25"/>
      <c r="O515" s="25"/>
      <c r="P515" s="26"/>
    </row>
    <row r="516">
      <c r="A516" s="52"/>
      <c r="B516" s="15"/>
      <c r="C516" s="16"/>
      <c r="D516" s="15"/>
      <c r="E516" s="17"/>
      <c r="F516" s="54"/>
      <c r="G516" s="19"/>
      <c r="H516" s="17"/>
      <c r="I516" s="19"/>
      <c r="J516" s="21"/>
      <c r="K516" s="57"/>
      <c r="L516" s="24"/>
      <c r="M516" s="25"/>
      <c r="N516" s="25"/>
      <c r="O516" s="25"/>
      <c r="P516" s="26"/>
    </row>
    <row r="517">
      <c r="A517" s="52"/>
      <c r="B517" s="15"/>
      <c r="C517" s="16"/>
      <c r="D517" s="15"/>
      <c r="E517" s="17"/>
      <c r="F517" s="54"/>
      <c r="G517" s="19"/>
      <c r="H517" s="17"/>
      <c r="I517" s="19"/>
      <c r="J517" s="21"/>
      <c r="K517" s="57"/>
      <c r="L517" s="24"/>
      <c r="M517" s="25"/>
      <c r="N517" s="25"/>
      <c r="O517" s="25"/>
      <c r="P517" s="26"/>
    </row>
    <row r="518">
      <c r="A518" s="52"/>
      <c r="B518" s="15"/>
      <c r="C518" s="16"/>
      <c r="D518" s="15"/>
      <c r="E518" s="17"/>
      <c r="F518" s="54"/>
      <c r="G518" s="19"/>
      <c r="H518" s="17"/>
      <c r="I518" s="19"/>
      <c r="J518" s="21"/>
      <c r="K518" s="57"/>
      <c r="L518" s="24"/>
      <c r="M518" s="25"/>
      <c r="N518" s="25"/>
      <c r="O518" s="25"/>
      <c r="P518" s="26"/>
    </row>
    <row r="519">
      <c r="A519" s="52"/>
      <c r="B519" s="15"/>
      <c r="C519" s="16"/>
      <c r="D519" s="15"/>
      <c r="E519" s="17"/>
      <c r="F519" s="54"/>
      <c r="G519" s="19"/>
      <c r="H519" s="17"/>
      <c r="I519" s="19"/>
      <c r="J519" s="21"/>
      <c r="K519" s="57"/>
      <c r="L519" s="24"/>
      <c r="M519" s="25"/>
      <c r="N519" s="25"/>
      <c r="O519" s="25"/>
      <c r="P519" s="26"/>
    </row>
    <row r="520">
      <c r="A520" s="52"/>
      <c r="B520" s="15"/>
      <c r="C520" s="16"/>
      <c r="D520" s="15"/>
      <c r="E520" s="17"/>
      <c r="F520" s="54"/>
      <c r="G520" s="19"/>
      <c r="H520" s="17"/>
      <c r="I520" s="19"/>
      <c r="J520" s="21"/>
      <c r="K520" s="57"/>
      <c r="L520" s="24"/>
      <c r="M520" s="25"/>
      <c r="N520" s="25"/>
      <c r="O520" s="25"/>
      <c r="P520" s="26"/>
    </row>
    <row r="521">
      <c r="A521" s="52"/>
      <c r="B521" s="15"/>
      <c r="C521" s="16"/>
      <c r="D521" s="15"/>
      <c r="E521" s="17"/>
      <c r="F521" s="54"/>
      <c r="G521" s="19"/>
      <c r="H521" s="17"/>
      <c r="I521" s="19"/>
      <c r="J521" s="21"/>
      <c r="K521" s="57"/>
      <c r="L521" s="24"/>
      <c r="M521" s="25"/>
      <c r="N521" s="25"/>
      <c r="O521" s="25"/>
      <c r="P521" s="26"/>
    </row>
    <row r="522">
      <c r="A522" s="52"/>
      <c r="B522" s="15"/>
      <c r="C522" s="16"/>
      <c r="D522" s="15"/>
      <c r="E522" s="17"/>
      <c r="F522" s="54"/>
      <c r="G522" s="19"/>
      <c r="H522" s="17"/>
      <c r="I522" s="19"/>
      <c r="J522" s="21"/>
      <c r="K522" s="57"/>
      <c r="L522" s="24"/>
      <c r="M522" s="25"/>
      <c r="N522" s="25"/>
      <c r="O522" s="25"/>
      <c r="P522" s="26"/>
    </row>
    <row r="523">
      <c r="A523" s="52"/>
      <c r="B523" s="15"/>
      <c r="C523" s="16"/>
      <c r="D523" s="15"/>
      <c r="E523" s="17"/>
      <c r="F523" s="54"/>
      <c r="G523" s="19"/>
      <c r="H523" s="17"/>
      <c r="I523" s="19"/>
      <c r="J523" s="21"/>
      <c r="K523" s="57"/>
      <c r="L523" s="24"/>
      <c r="M523" s="25"/>
      <c r="N523" s="25"/>
      <c r="O523" s="25"/>
      <c r="P523" s="26"/>
    </row>
    <row r="524">
      <c r="A524" s="52"/>
      <c r="B524" s="15"/>
      <c r="C524" s="16"/>
      <c r="D524" s="15"/>
      <c r="E524" s="17"/>
      <c r="F524" s="54"/>
      <c r="G524" s="19"/>
      <c r="H524" s="17"/>
      <c r="I524" s="19"/>
      <c r="J524" s="21"/>
      <c r="K524" s="57"/>
      <c r="L524" s="24"/>
      <c r="M524" s="25"/>
      <c r="N524" s="25"/>
      <c r="O524" s="25"/>
      <c r="P524" s="26"/>
    </row>
    <row r="525">
      <c r="A525" s="52"/>
      <c r="B525" s="15"/>
      <c r="C525" s="16"/>
      <c r="D525" s="15"/>
      <c r="E525" s="17"/>
      <c r="F525" s="54"/>
      <c r="G525" s="19"/>
      <c r="H525" s="17"/>
      <c r="I525" s="19"/>
      <c r="J525" s="21"/>
      <c r="K525" s="57"/>
      <c r="L525" s="24"/>
      <c r="M525" s="25"/>
      <c r="N525" s="25"/>
      <c r="O525" s="25"/>
      <c r="P525" s="26"/>
    </row>
    <row r="526">
      <c r="A526" s="52"/>
      <c r="B526" s="15"/>
      <c r="C526" s="16"/>
      <c r="D526" s="15"/>
      <c r="E526" s="17"/>
      <c r="F526" s="54"/>
      <c r="G526" s="19"/>
      <c r="H526" s="17"/>
      <c r="I526" s="19"/>
      <c r="J526" s="21"/>
      <c r="K526" s="57"/>
      <c r="L526" s="24"/>
      <c r="M526" s="25"/>
      <c r="N526" s="25"/>
      <c r="O526" s="25"/>
      <c r="P526" s="26"/>
    </row>
    <row r="527">
      <c r="A527" s="52"/>
      <c r="B527" s="15"/>
      <c r="C527" s="16"/>
      <c r="D527" s="15"/>
      <c r="E527" s="17"/>
      <c r="F527" s="54"/>
      <c r="G527" s="19"/>
      <c r="H527" s="17"/>
      <c r="I527" s="19"/>
      <c r="J527" s="21"/>
      <c r="K527" s="57"/>
      <c r="L527" s="24"/>
      <c r="M527" s="25"/>
      <c r="N527" s="25"/>
      <c r="O527" s="25"/>
      <c r="P527" s="26"/>
    </row>
    <row r="528">
      <c r="A528" s="52"/>
      <c r="B528" s="15"/>
      <c r="C528" s="16"/>
      <c r="D528" s="15"/>
      <c r="E528" s="17"/>
      <c r="F528" s="54"/>
      <c r="G528" s="19"/>
      <c r="H528" s="17"/>
      <c r="I528" s="19"/>
      <c r="J528" s="21"/>
      <c r="K528" s="57"/>
      <c r="L528" s="24"/>
      <c r="M528" s="25"/>
      <c r="N528" s="25"/>
      <c r="O528" s="25"/>
      <c r="P528" s="26"/>
    </row>
    <row r="529">
      <c r="A529" s="52"/>
      <c r="B529" s="15"/>
      <c r="C529" s="16"/>
      <c r="D529" s="15"/>
      <c r="E529" s="17"/>
      <c r="F529" s="54"/>
      <c r="G529" s="19"/>
      <c r="H529" s="17"/>
      <c r="I529" s="19"/>
      <c r="J529" s="21"/>
      <c r="K529" s="57"/>
      <c r="L529" s="24"/>
      <c r="M529" s="25"/>
      <c r="N529" s="25"/>
      <c r="O529" s="25"/>
      <c r="P529" s="26"/>
    </row>
    <row r="530">
      <c r="A530" s="52"/>
      <c r="B530" s="15"/>
      <c r="C530" s="16"/>
      <c r="D530" s="15"/>
      <c r="E530" s="17"/>
      <c r="F530" s="54"/>
      <c r="G530" s="19"/>
      <c r="H530" s="17"/>
      <c r="I530" s="19"/>
      <c r="J530" s="21"/>
      <c r="K530" s="57"/>
      <c r="L530" s="24"/>
      <c r="M530" s="25"/>
      <c r="N530" s="25"/>
      <c r="O530" s="25"/>
      <c r="P530" s="26"/>
    </row>
    <row r="531">
      <c r="A531" s="52"/>
      <c r="B531" s="15"/>
      <c r="C531" s="16"/>
      <c r="D531" s="15"/>
      <c r="E531" s="17"/>
      <c r="F531" s="54"/>
      <c r="G531" s="19"/>
      <c r="H531" s="17"/>
      <c r="I531" s="19"/>
      <c r="J531" s="21"/>
      <c r="K531" s="57"/>
      <c r="L531" s="24"/>
      <c r="M531" s="25"/>
      <c r="N531" s="25"/>
      <c r="O531" s="25"/>
      <c r="P531" s="26"/>
    </row>
    <row r="532">
      <c r="A532" s="52"/>
      <c r="B532" s="15"/>
      <c r="C532" s="16"/>
      <c r="D532" s="15"/>
      <c r="E532" s="17"/>
      <c r="F532" s="54"/>
      <c r="G532" s="19"/>
      <c r="H532" s="17"/>
      <c r="I532" s="19"/>
      <c r="J532" s="21"/>
      <c r="K532" s="57"/>
      <c r="L532" s="24"/>
      <c r="M532" s="25"/>
      <c r="N532" s="25"/>
      <c r="O532" s="25"/>
      <c r="P532" s="26"/>
    </row>
    <row r="533">
      <c r="A533" s="52"/>
      <c r="B533" s="15"/>
      <c r="C533" s="16"/>
      <c r="D533" s="15"/>
      <c r="E533" s="17"/>
      <c r="F533" s="54"/>
      <c r="G533" s="19"/>
      <c r="H533" s="17"/>
      <c r="I533" s="19"/>
      <c r="J533" s="21"/>
      <c r="K533" s="57"/>
      <c r="L533" s="24"/>
      <c r="M533" s="25"/>
      <c r="N533" s="25"/>
      <c r="O533" s="25"/>
      <c r="P533" s="26"/>
    </row>
    <row r="534">
      <c r="A534" s="52"/>
      <c r="B534" s="15"/>
      <c r="C534" s="16"/>
      <c r="D534" s="15"/>
      <c r="E534" s="17"/>
      <c r="F534" s="54"/>
      <c r="G534" s="19"/>
      <c r="H534" s="17"/>
      <c r="I534" s="19"/>
      <c r="J534" s="21"/>
      <c r="K534" s="57"/>
      <c r="L534" s="24"/>
      <c r="M534" s="25"/>
      <c r="N534" s="25"/>
      <c r="O534" s="25"/>
      <c r="P534" s="26"/>
    </row>
    <row r="535">
      <c r="A535" s="52"/>
      <c r="B535" s="15"/>
      <c r="C535" s="16"/>
      <c r="D535" s="15"/>
      <c r="E535" s="17"/>
      <c r="F535" s="54"/>
      <c r="G535" s="19"/>
      <c r="H535" s="17"/>
      <c r="I535" s="19"/>
      <c r="J535" s="21"/>
      <c r="K535" s="57"/>
      <c r="L535" s="24"/>
      <c r="M535" s="25"/>
      <c r="N535" s="25"/>
      <c r="O535" s="25"/>
      <c r="P535" s="26"/>
    </row>
    <row r="536">
      <c r="A536" s="52"/>
      <c r="B536" s="15"/>
      <c r="C536" s="16"/>
      <c r="D536" s="15"/>
      <c r="E536" s="17"/>
      <c r="F536" s="54"/>
      <c r="G536" s="19"/>
      <c r="H536" s="17"/>
      <c r="I536" s="19"/>
      <c r="J536" s="21"/>
      <c r="K536" s="57"/>
      <c r="L536" s="24"/>
      <c r="M536" s="25"/>
      <c r="N536" s="25"/>
      <c r="O536" s="25"/>
      <c r="P536" s="26"/>
    </row>
    <row r="537">
      <c r="A537" s="52"/>
      <c r="B537" s="15"/>
      <c r="C537" s="16"/>
      <c r="D537" s="15"/>
      <c r="E537" s="17"/>
      <c r="F537" s="54"/>
      <c r="G537" s="19"/>
      <c r="H537" s="17"/>
      <c r="I537" s="19"/>
      <c r="J537" s="21"/>
      <c r="K537" s="57"/>
      <c r="L537" s="24"/>
      <c r="M537" s="25"/>
      <c r="N537" s="25"/>
      <c r="O537" s="25"/>
      <c r="P537" s="26"/>
    </row>
    <row r="538">
      <c r="A538" s="52"/>
      <c r="B538" s="15"/>
      <c r="C538" s="16"/>
      <c r="D538" s="15"/>
      <c r="E538" s="17"/>
      <c r="F538" s="54"/>
      <c r="G538" s="19"/>
      <c r="H538" s="17"/>
      <c r="I538" s="19"/>
      <c r="J538" s="21"/>
      <c r="K538" s="57"/>
      <c r="L538" s="24"/>
      <c r="M538" s="25"/>
      <c r="N538" s="25"/>
      <c r="O538" s="25"/>
      <c r="P538" s="26"/>
    </row>
    <row r="539">
      <c r="A539" s="52"/>
      <c r="B539" s="15"/>
      <c r="C539" s="16"/>
      <c r="D539" s="15"/>
      <c r="E539" s="17"/>
      <c r="F539" s="54"/>
      <c r="G539" s="19"/>
      <c r="H539" s="17"/>
      <c r="I539" s="19"/>
      <c r="J539" s="21"/>
      <c r="K539" s="57"/>
      <c r="L539" s="24"/>
      <c r="M539" s="25"/>
      <c r="N539" s="25"/>
      <c r="O539" s="25"/>
      <c r="P539" s="26"/>
    </row>
    <row r="540">
      <c r="A540" s="52"/>
      <c r="B540" s="15"/>
      <c r="C540" s="16"/>
      <c r="D540" s="15"/>
      <c r="E540" s="17"/>
      <c r="F540" s="54"/>
      <c r="G540" s="19"/>
      <c r="H540" s="17"/>
      <c r="I540" s="19"/>
      <c r="J540" s="21"/>
      <c r="K540" s="57"/>
      <c r="L540" s="24"/>
      <c r="M540" s="25"/>
      <c r="N540" s="25"/>
      <c r="O540" s="25"/>
      <c r="P540" s="26"/>
    </row>
    <row r="541">
      <c r="A541" s="52"/>
      <c r="B541" s="15"/>
      <c r="C541" s="16"/>
      <c r="D541" s="15"/>
      <c r="E541" s="17"/>
      <c r="F541" s="54"/>
      <c r="G541" s="19"/>
      <c r="H541" s="17"/>
      <c r="I541" s="19"/>
      <c r="J541" s="21"/>
      <c r="K541" s="57"/>
      <c r="L541" s="24"/>
      <c r="M541" s="25"/>
      <c r="N541" s="25"/>
      <c r="O541" s="25"/>
      <c r="P541" s="26"/>
    </row>
    <row r="542">
      <c r="A542" s="52"/>
      <c r="B542" s="15"/>
      <c r="C542" s="16"/>
      <c r="D542" s="15"/>
      <c r="E542" s="17"/>
      <c r="F542" s="54"/>
      <c r="G542" s="19"/>
      <c r="H542" s="17"/>
      <c r="I542" s="19"/>
      <c r="J542" s="21"/>
      <c r="K542" s="57"/>
      <c r="L542" s="24"/>
      <c r="M542" s="25"/>
      <c r="N542" s="25"/>
      <c r="O542" s="25"/>
      <c r="P542" s="26"/>
    </row>
    <row r="543">
      <c r="A543" s="52"/>
      <c r="B543" s="15"/>
      <c r="C543" s="16"/>
      <c r="D543" s="15"/>
      <c r="E543" s="17"/>
      <c r="F543" s="54"/>
      <c r="G543" s="19"/>
      <c r="H543" s="17"/>
      <c r="I543" s="19"/>
      <c r="J543" s="21"/>
      <c r="K543" s="57"/>
      <c r="L543" s="24"/>
      <c r="M543" s="25"/>
      <c r="N543" s="25"/>
      <c r="O543" s="25"/>
      <c r="P543" s="26"/>
    </row>
    <row r="544">
      <c r="A544" s="52"/>
      <c r="B544" s="15"/>
      <c r="C544" s="16"/>
      <c r="D544" s="15"/>
      <c r="E544" s="17"/>
      <c r="F544" s="54"/>
      <c r="G544" s="19"/>
      <c r="H544" s="17"/>
      <c r="I544" s="19"/>
      <c r="J544" s="21"/>
      <c r="K544" s="57"/>
      <c r="L544" s="24"/>
      <c r="M544" s="25"/>
      <c r="N544" s="25"/>
      <c r="O544" s="25"/>
      <c r="P544" s="26"/>
    </row>
    <row r="545">
      <c r="A545" s="52"/>
      <c r="B545" s="15"/>
      <c r="C545" s="16"/>
      <c r="D545" s="15"/>
      <c r="E545" s="17"/>
      <c r="F545" s="54"/>
      <c r="G545" s="19"/>
      <c r="H545" s="17"/>
      <c r="I545" s="19"/>
      <c r="J545" s="21"/>
      <c r="K545" s="57"/>
      <c r="L545" s="24"/>
      <c r="M545" s="25"/>
      <c r="N545" s="25"/>
      <c r="O545" s="25"/>
      <c r="P545" s="26"/>
    </row>
    <row r="546">
      <c r="A546" s="52"/>
      <c r="B546" s="15"/>
      <c r="C546" s="16"/>
      <c r="D546" s="15"/>
      <c r="E546" s="17"/>
      <c r="F546" s="54"/>
      <c r="G546" s="19"/>
      <c r="H546" s="17"/>
      <c r="I546" s="19"/>
      <c r="J546" s="21"/>
      <c r="K546" s="57"/>
      <c r="L546" s="24"/>
      <c r="M546" s="25"/>
      <c r="N546" s="25"/>
      <c r="O546" s="25"/>
      <c r="P546" s="26"/>
    </row>
    <row r="547">
      <c r="A547" s="52"/>
      <c r="B547" s="15"/>
      <c r="C547" s="16"/>
      <c r="D547" s="15"/>
      <c r="E547" s="17"/>
      <c r="F547" s="54"/>
      <c r="G547" s="19"/>
      <c r="H547" s="17"/>
      <c r="I547" s="19"/>
      <c r="J547" s="21"/>
      <c r="K547" s="57"/>
      <c r="L547" s="24"/>
      <c r="M547" s="25"/>
      <c r="N547" s="25"/>
      <c r="O547" s="25"/>
      <c r="P547" s="26"/>
    </row>
    <row r="548">
      <c r="A548" s="52"/>
      <c r="B548" s="15"/>
      <c r="C548" s="16"/>
      <c r="D548" s="15"/>
      <c r="E548" s="17"/>
      <c r="F548" s="54"/>
      <c r="G548" s="19"/>
      <c r="H548" s="17"/>
      <c r="I548" s="19"/>
      <c r="J548" s="21"/>
      <c r="K548" s="57"/>
      <c r="L548" s="24"/>
      <c r="M548" s="25"/>
      <c r="N548" s="25"/>
      <c r="O548" s="25"/>
      <c r="P548" s="26"/>
    </row>
    <row r="549">
      <c r="A549" s="52"/>
      <c r="B549" s="15"/>
      <c r="C549" s="16"/>
      <c r="D549" s="15"/>
      <c r="E549" s="17"/>
      <c r="F549" s="54"/>
      <c r="G549" s="19"/>
      <c r="H549" s="17"/>
      <c r="I549" s="19"/>
      <c r="J549" s="21"/>
      <c r="K549" s="57"/>
      <c r="L549" s="24"/>
      <c r="M549" s="25"/>
      <c r="N549" s="25"/>
      <c r="O549" s="25"/>
      <c r="P549" s="26"/>
    </row>
    <row r="550">
      <c r="A550" s="52"/>
      <c r="B550" s="15"/>
      <c r="C550" s="16"/>
      <c r="D550" s="15"/>
      <c r="E550" s="17"/>
      <c r="F550" s="54"/>
      <c r="G550" s="19"/>
      <c r="H550" s="17"/>
      <c r="I550" s="19"/>
      <c r="J550" s="21"/>
      <c r="K550" s="57"/>
      <c r="L550" s="24"/>
      <c r="M550" s="25"/>
      <c r="N550" s="25"/>
      <c r="O550" s="25"/>
      <c r="P550" s="26"/>
    </row>
    <row r="551">
      <c r="A551" s="52"/>
      <c r="B551" s="15"/>
      <c r="C551" s="16"/>
      <c r="D551" s="15"/>
      <c r="E551" s="17"/>
      <c r="F551" s="54"/>
      <c r="G551" s="19"/>
      <c r="H551" s="17"/>
      <c r="I551" s="19"/>
      <c r="J551" s="21"/>
      <c r="K551" s="57"/>
      <c r="L551" s="24"/>
      <c r="M551" s="25"/>
      <c r="N551" s="25"/>
      <c r="O551" s="25"/>
      <c r="P551" s="26"/>
    </row>
    <row r="552">
      <c r="A552" s="52"/>
      <c r="B552" s="15"/>
      <c r="C552" s="16"/>
      <c r="D552" s="15"/>
      <c r="E552" s="17"/>
      <c r="F552" s="54"/>
      <c r="G552" s="19"/>
      <c r="H552" s="17"/>
      <c r="I552" s="19"/>
      <c r="J552" s="21"/>
      <c r="K552" s="57"/>
      <c r="L552" s="24"/>
      <c r="M552" s="25"/>
      <c r="N552" s="25"/>
      <c r="O552" s="25"/>
      <c r="P552" s="26"/>
    </row>
    <row r="553">
      <c r="A553" s="52"/>
      <c r="B553" s="15"/>
      <c r="C553" s="16"/>
      <c r="D553" s="15"/>
      <c r="E553" s="17"/>
      <c r="F553" s="54"/>
      <c r="G553" s="19"/>
      <c r="H553" s="17"/>
      <c r="I553" s="19"/>
      <c r="J553" s="21"/>
      <c r="K553" s="57"/>
      <c r="L553" s="24"/>
      <c r="M553" s="25"/>
      <c r="N553" s="25"/>
      <c r="O553" s="25"/>
      <c r="P553" s="26"/>
    </row>
    <row r="554">
      <c r="A554" s="52"/>
      <c r="B554" s="15"/>
      <c r="C554" s="16"/>
      <c r="D554" s="15"/>
      <c r="E554" s="17"/>
      <c r="F554" s="54"/>
      <c r="G554" s="19"/>
      <c r="H554" s="17"/>
      <c r="I554" s="19"/>
      <c r="J554" s="21"/>
      <c r="K554" s="57"/>
      <c r="L554" s="24"/>
      <c r="M554" s="25"/>
      <c r="N554" s="25"/>
      <c r="O554" s="25"/>
      <c r="P554" s="26"/>
    </row>
    <row r="555">
      <c r="A555" s="52"/>
      <c r="B555" s="15"/>
      <c r="C555" s="16"/>
      <c r="D555" s="15"/>
      <c r="E555" s="17"/>
      <c r="F555" s="54"/>
      <c r="G555" s="19"/>
      <c r="H555" s="17"/>
      <c r="I555" s="19"/>
      <c r="J555" s="21"/>
      <c r="K555" s="57"/>
      <c r="L555" s="24"/>
      <c r="M555" s="25"/>
      <c r="N555" s="25"/>
      <c r="O555" s="25"/>
      <c r="P555" s="26"/>
    </row>
    <row r="556">
      <c r="A556" s="52"/>
      <c r="B556" s="15"/>
      <c r="C556" s="16"/>
      <c r="D556" s="15"/>
      <c r="E556" s="17"/>
      <c r="F556" s="54"/>
      <c r="G556" s="19"/>
      <c r="H556" s="17"/>
      <c r="I556" s="19"/>
      <c r="J556" s="21"/>
      <c r="K556" s="57"/>
      <c r="L556" s="24"/>
      <c r="M556" s="25"/>
      <c r="N556" s="25"/>
      <c r="O556" s="25"/>
      <c r="P556" s="26"/>
    </row>
    <row r="557">
      <c r="A557" s="52"/>
      <c r="B557" s="15"/>
      <c r="C557" s="16"/>
      <c r="D557" s="15"/>
      <c r="E557" s="17"/>
      <c r="F557" s="54"/>
      <c r="G557" s="19"/>
      <c r="H557" s="17"/>
      <c r="I557" s="19"/>
      <c r="J557" s="21"/>
      <c r="K557" s="57"/>
      <c r="L557" s="24"/>
      <c r="M557" s="25"/>
      <c r="N557" s="25"/>
      <c r="O557" s="25"/>
      <c r="P557" s="26"/>
    </row>
    <row r="558">
      <c r="A558" s="52"/>
      <c r="B558" s="15"/>
      <c r="C558" s="16"/>
      <c r="D558" s="15"/>
      <c r="E558" s="17"/>
      <c r="F558" s="54"/>
      <c r="G558" s="19"/>
      <c r="H558" s="17"/>
      <c r="I558" s="19"/>
      <c r="J558" s="21"/>
      <c r="K558" s="57"/>
      <c r="L558" s="24"/>
      <c r="M558" s="25"/>
      <c r="N558" s="25"/>
      <c r="O558" s="25"/>
      <c r="P558" s="26"/>
    </row>
    <row r="559">
      <c r="A559" s="52"/>
      <c r="B559" s="15"/>
      <c r="C559" s="16"/>
      <c r="D559" s="15"/>
      <c r="E559" s="17"/>
      <c r="F559" s="54"/>
      <c r="G559" s="19"/>
      <c r="H559" s="17"/>
      <c r="I559" s="19"/>
      <c r="J559" s="21"/>
      <c r="K559" s="57"/>
      <c r="L559" s="24"/>
      <c r="M559" s="25"/>
      <c r="N559" s="25"/>
      <c r="O559" s="25"/>
      <c r="P559" s="26"/>
    </row>
    <row r="560">
      <c r="A560" s="52"/>
      <c r="B560" s="15"/>
      <c r="C560" s="16"/>
      <c r="D560" s="15"/>
      <c r="E560" s="17"/>
      <c r="F560" s="54"/>
      <c r="G560" s="19"/>
      <c r="H560" s="17"/>
      <c r="I560" s="19"/>
      <c r="J560" s="21"/>
      <c r="K560" s="57"/>
      <c r="L560" s="24"/>
      <c r="M560" s="25"/>
      <c r="N560" s="25"/>
      <c r="O560" s="25"/>
      <c r="P560" s="26"/>
    </row>
    <row r="561">
      <c r="A561" s="52"/>
      <c r="B561" s="15"/>
      <c r="C561" s="16"/>
      <c r="D561" s="15"/>
      <c r="E561" s="17"/>
      <c r="F561" s="54"/>
      <c r="G561" s="19"/>
      <c r="H561" s="17"/>
      <c r="I561" s="19"/>
      <c r="J561" s="21"/>
      <c r="K561" s="57"/>
      <c r="L561" s="24"/>
      <c r="M561" s="25"/>
      <c r="N561" s="25"/>
      <c r="O561" s="25"/>
      <c r="P561" s="26"/>
    </row>
    <row r="562">
      <c r="A562" s="52"/>
      <c r="B562" s="15"/>
      <c r="C562" s="16"/>
      <c r="D562" s="15"/>
      <c r="E562" s="17"/>
      <c r="F562" s="54"/>
      <c r="G562" s="19"/>
      <c r="H562" s="17"/>
      <c r="I562" s="19"/>
      <c r="J562" s="21"/>
      <c r="K562" s="57"/>
      <c r="L562" s="24"/>
      <c r="M562" s="25"/>
      <c r="N562" s="25"/>
      <c r="O562" s="25"/>
      <c r="P562" s="26"/>
    </row>
    <row r="563">
      <c r="A563" s="52"/>
      <c r="B563" s="15"/>
      <c r="C563" s="16"/>
      <c r="D563" s="15"/>
      <c r="E563" s="17"/>
      <c r="F563" s="54"/>
      <c r="G563" s="19"/>
      <c r="H563" s="17"/>
      <c r="I563" s="19"/>
      <c r="J563" s="21"/>
      <c r="K563" s="57"/>
      <c r="L563" s="24"/>
      <c r="M563" s="25"/>
      <c r="N563" s="25"/>
      <c r="O563" s="25"/>
      <c r="P563" s="26"/>
    </row>
    <row r="564">
      <c r="A564" s="52"/>
      <c r="B564" s="15"/>
      <c r="C564" s="16"/>
      <c r="D564" s="15"/>
      <c r="E564" s="17"/>
      <c r="F564" s="54"/>
      <c r="G564" s="19"/>
      <c r="H564" s="17"/>
      <c r="I564" s="19"/>
      <c r="J564" s="21"/>
      <c r="K564" s="57"/>
      <c r="L564" s="24"/>
      <c r="M564" s="25"/>
      <c r="N564" s="25"/>
      <c r="O564" s="25"/>
      <c r="P564" s="26"/>
    </row>
    <row r="565">
      <c r="A565" s="52"/>
      <c r="B565" s="15"/>
      <c r="C565" s="16"/>
      <c r="D565" s="15"/>
      <c r="E565" s="17"/>
      <c r="F565" s="54"/>
      <c r="G565" s="19"/>
      <c r="H565" s="17"/>
      <c r="I565" s="19"/>
      <c r="J565" s="21"/>
      <c r="K565" s="57"/>
      <c r="L565" s="24"/>
      <c r="M565" s="25"/>
      <c r="N565" s="25"/>
      <c r="O565" s="25"/>
      <c r="P565" s="26"/>
    </row>
    <row r="566">
      <c r="A566" s="52"/>
      <c r="B566" s="15"/>
      <c r="C566" s="16"/>
      <c r="D566" s="15"/>
      <c r="E566" s="17"/>
      <c r="F566" s="54"/>
      <c r="G566" s="19"/>
      <c r="H566" s="17"/>
      <c r="I566" s="19"/>
      <c r="J566" s="21"/>
      <c r="K566" s="57"/>
      <c r="L566" s="24"/>
      <c r="M566" s="25"/>
      <c r="N566" s="25"/>
      <c r="O566" s="25"/>
      <c r="P566" s="26"/>
    </row>
    <row r="567">
      <c r="A567" s="52"/>
      <c r="B567" s="15"/>
      <c r="C567" s="16"/>
      <c r="D567" s="15"/>
      <c r="E567" s="17"/>
      <c r="F567" s="54"/>
      <c r="G567" s="19"/>
      <c r="H567" s="17"/>
      <c r="I567" s="19"/>
      <c r="J567" s="21"/>
      <c r="K567" s="57"/>
      <c r="L567" s="24"/>
      <c r="M567" s="25"/>
      <c r="N567" s="25"/>
      <c r="O567" s="25"/>
      <c r="P567" s="26"/>
    </row>
    <row r="568">
      <c r="A568" s="52"/>
      <c r="B568" s="15"/>
      <c r="C568" s="16"/>
      <c r="D568" s="15"/>
      <c r="E568" s="17"/>
      <c r="F568" s="54"/>
      <c r="G568" s="19"/>
      <c r="H568" s="17"/>
      <c r="I568" s="19"/>
      <c r="J568" s="21"/>
      <c r="K568" s="57"/>
      <c r="L568" s="24"/>
      <c r="M568" s="25"/>
      <c r="N568" s="25"/>
      <c r="O568" s="25"/>
      <c r="P568" s="26"/>
    </row>
    <row r="569">
      <c r="A569" s="52"/>
      <c r="B569" s="15"/>
      <c r="C569" s="16"/>
      <c r="D569" s="15"/>
      <c r="E569" s="17"/>
      <c r="F569" s="54"/>
      <c r="G569" s="19"/>
      <c r="H569" s="17"/>
      <c r="I569" s="19"/>
      <c r="J569" s="21"/>
      <c r="K569" s="57"/>
      <c r="L569" s="24"/>
      <c r="M569" s="25"/>
      <c r="N569" s="25"/>
      <c r="O569" s="25"/>
      <c r="P569" s="26"/>
    </row>
    <row r="570">
      <c r="A570" s="52"/>
      <c r="B570" s="15"/>
      <c r="C570" s="16"/>
      <c r="D570" s="15"/>
      <c r="E570" s="17"/>
      <c r="F570" s="54"/>
      <c r="G570" s="19"/>
      <c r="H570" s="17"/>
      <c r="I570" s="19"/>
      <c r="J570" s="21"/>
      <c r="K570" s="57"/>
      <c r="L570" s="24"/>
      <c r="M570" s="25"/>
      <c r="N570" s="25"/>
      <c r="O570" s="25"/>
      <c r="P570" s="26"/>
    </row>
    <row r="571">
      <c r="A571" s="52"/>
      <c r="B571" s="15"/>
      <c r="C571" s="16"/>
      <c r="D571" s="15"/>
      <c r="E571" s="17"/>
      <c r="F571" s="54"/>
      <c r="G571" s="19"/>
      <c r="H571" s="17"/>
      <c r="I571" s="19"/>
      <c r="J571" s="21"/>
      <c r="K571" s="57"/>
      <c r="L571" s="24"/>
      <c r="M571" s="25"/>
      <c r="N571" s="25"/>
      <c r="O571" s="25"/>
      <c r="P571" s="26"/>
    </row>
    <row r="572">
      <c r="A572" s="52"/>
      <c r="B572" s="15"/>
      <c r="C572" s="16"/>
      <c r="D572" s="15"/>
      <c r="E572" s="17"/>
      <c r="F572" s="54"/>
      <c r="G572" s="19"/>
      <c r="H572" s="17"/>
      <c r="I572" s="19"/>
      <c r="J572" s="21"/>
      <c r="K572" s="57"/>
      <c r="L572" s="24"/>
      <c r="M572" s="25"/>
      <c r="N572" s="25"/>
      <c r="O572" s="25"/>
      <c r="P572" s="26"/>
    </row>
    <row r="573">
      <c r="A573" s="52"/>
      <c r="B573" s="15"/>
      <c r="C573" s="16"/>
      <c r="D573" s="15"/>
      <c r="E573" s="17"/>
      <c r="F573" s="54"/>
      <c r="G573" s="19"/>
      <c r="H573" s="17"/>
      <c r="I573" s="19"/>
      <c r="J573" s="21"/>
      <c r="K573" s="57"/>
      <c r="L573" s="24"/>
      <c r="M573" s="25"/>
      <c r="N573" s="25"/>
      <c r="O573" s="25"/>
      <c r="P573" s="26"/>
    </row>
    <row r="574">
      <c r="A574" s="52"/>
      <c r="B574" s="15"/>
      <c r="C574" s="16"/>
      <c r="D574" s="15"/>
      <c r="E574" s="17"/>
      <c r="F574" s="54"/>
      <c r="G574" s="19"/>
      <c r="H574" s="17"/>
      <c r="I574" s="19"/>
      <c r="J574" s="21"/>
      <c r="K574" s="57"/>
      <c r="L574" s="24"/>
      <c r="M574" s="25"/>
      <c r="N574" s="25"/>
      <c r="O574" s="25"/>
      <c r="P574" s="26"/>
    </row>
    <row r="575">
      <c r="A575" s="52"/>
      <c r="B575" s="15"/>
      <c r="C575" s="16"/>
      <c r="D575" s="15"/>
      <c r="E575" s="17"/>
      <c r="F575" s="54"/>
      <c r="G575" s="19"/>
      <c r="H575" s="17"/>
      <c r="I575" s="19"/>
      <c r="J575" s="21"/>
      <c r="K575" s="57"/>
      <c r="L575" s="24"/>
      <c r="M575" s="25"/>
      <c r="N575" s="25"/>
      <c r="O575" s="25"/>
      <c r="P575" s="26"/>
    </row>
    <row r="576">
      <c r="A576" s="52"/>
      <c r="B576" s="15"/>
      <c r="C576" s="16"/>
      <c r="D576" s="15"/>
      <c r="E576" s="17"/>
      <c r="F576" s="54"/>
      <c r="G576" s="19"/>
      <c r="H576" s="17"/>
      <c r="I576" s="19"/>
      <c r="J576" s="21"/>
      <c r="K576" s="57"/>
      <c r="L576" s="24"/>
      <c r="M576" s="25"/>
      <c r="N576" s="25"/>
      <c r="O576" s="25"/>
      <c r="P576" s="26"/>
    </row>
    <row r="577">
      <c r="A577" s="52"/>
      <c r="B577" s="15"/>
      <c r="C577" s="16"/>
      <c r="D577" s="15"/>
      <c r="E577" s="17"/>
      <c r="F577" s="54"/>
      <c r="G577" s="19"/>
      <c r="H577" s="17"/>
      <c r="I577" s="19"/>
      <c r="J577" s="21"/>
      <c r="K577" s="57"/>
      <c r="L577" s="24"/>
      <c r="M577" s="25"/>
      <c r="N577" s="25"/>
      <c r="O577" s="25"/>
      <c r="P577" s="26"/>
    </row>
    <row r="578">
      <c r="A578" s="52"/>
      <c r="B578" s="15"/>
      <c r="C578" s="16"/>
      <c r="D578" s="15"/>
      <c r="E578" s="17"/>
      <c r="F578" s="54"/>
      <c r="G578" s="19"/>
      <c r="H578" s="17"/>
      <c r="I578" s="19"/>
      <c r="J578" s="21"/>
      <c r="K578" s="57"/>
      <c r="L578" s="24"/>
      <c r="M578" s="25"/>
      <c r="N578" s="25"/>
      <c r="O578" s="25"/>
      <c r="P578" s="26"/>
    </row>
    <row r="579">
      <c r="A579" s="52"/>
      <c r="B579" s="15"/>
      <c r="C579" s="16"/>
      <c r="D579" s="15"/>
      <c r="E579" s="17"/>
      <c r="F579" s="54"/>
      <c r="G579" s="19"/>
      <c r="H579" s="17"/>
      <c r="I579" s="19"/>
      <c r="J579" s="21"/>
      <c r="K579" s="57"/>
      <c r="L579" s="24"/>
      <c r="M579" s="25"/>
      <c r="N579" s="25"/>
      <c r="O579" s="25"/>
      <c r="P579" s="26"/>
    </row>
    <row r="580">
      <c r="A580" s="52"/>
      <c r="B580" s="15"/>
      <c r="C580" s="16"/>
      <c r="D580" s="15"/>
      <c r="E580" s="17"/>
      <c r="F580" s="54"/>
      <c r="G580" s="19"/>
      <c r="H580" s="17"/>
      <c r="I580" s="19"/>
      <c r="J580" s="21"/>
      <c r="K580" s="57"/>
      <c r="L580" s="24"/>
      <c r="M580" s="25"/>
      <c r="N580" s="25"/>
      <c r="O580" s="25"/>
      <c r="P580" s="26"/>
    </row>
    <row r="581">
      <c r="A581" s="52"/>
      <c r="B581" s="15"/>
      <c r="C581" s="16"/>
      <c r="D581" s="15"/>
      <c r="E581" s="17"/>
      <c r="F581" s="54"/>
      <c r="G581" s="19"/>
      <c r="H581" s="17"/>
      <c r="I581" s="19"/>
      <c r="J581" s="21"/>
      <c r="K581" s="57"/>
      <c r="L581" s="24"/>
      <c r="M581" s="25"/>
      <c r="N581" s="25"/>
      <c r="O581" s="25"/>
      <c r="P581" s="26"/>
    </row>
    <row r="582">
      <c r="A582" s="52"/>
      <c r="B582" s="15"/>
      <c r="C582" s="16"/>
      <c r="D582" s="15"/>
      <c r="E582" s="17"/>
      <c r="F582" s="54"/>
      <c r="G582" s="19"/>
      <c r="H582" s="17"/>
      <c r="I582" s="19"/>
      <c r="J582" s="21"/>
      <c r="K582" s="57"/>
      <c r="L582" s="24"/>
      <c r="M582" s="25"/>
      <c r="N582" s="25"/>
      <c r="O582" s="25"/>
      <c r="P582" s="26"/>
    </row>
    <row r="583">
      <c r="A583" s="52"/>
      <c r="B583" s="15"/>
      <c r="C583" s="16"/>
      <c r="D583" s="15"/>
      <c r="E583" s="17"/>
      <c r="F583" s="54"/>
      <c r="G583" s="19"/>
      <c r="H583" s="17"/>
      <c r="I583" s="19"/>
      <c r="J583" s="21"/>
      <c r="K583" s="57"/>
      <c r="L583" s="24"/>
      <c r="M583" s="25"/>
      <c r="N583" s="25"/>
      <c r="O583" s="25"/>
      <c r="P583" s="26"/>
    </row>
    <row r="584">
      <c r="A584" s="52"/>
      <c r="B584" s="15"/>
      <c r="C584" s="16"/>
      <c r="D584" s="15"/>
      <c r="E584" s="17"/>
      <c r="F584" s="54"/>
      <c r="G584" s="19"/>
      <c r="H584" s="17"/>
      <c r="I584" s="19"/>
      <c r="J584" s="21"/>
      <c r="K584" s="57"/>
      <c r="L584" s="24"/>
      <c r="M584" s="25"/>
      <c r="N584" s="25"/>
      <c r="O584" s="25"/>
      <c r="P584" s="26"/>
    </row>
    <row r="585">
      <c r="A585" s="52"/>
      <c r="B585" s="15"/>
      <c r="C585" s="16"/>
      <c r="D585" s="15"/>
      <c r="E585" s="17"/>
      <c r="F585" s="54"/>
      <c r="G585" s="19"/>
      <c r="H585" s="17"/>
      <c r="I585" s="19"/>
      <c r="J585" s="21"/>
      <c r="K585" s="57"/>
      <c r="L585" s="24"/>
      <c r="M585" s="25"/>
      <c r="N585" s="25"/>
      <c r="O585" s="25"/>
      <c r="P585" s="26"/>
    </row>
    <row r="586">
      <c r="A586" s="52"/>
      <c r="B586" s="15"/>
      <c r="C586" s="16"/>
      <c r="D586" s="15"/>
      <c r="E586" s="17"/>
      <c r="F586" s="54"/>
      <c r="G586" s="19"/>
      <c r="H586" s="17"/>
      <c r="I586" s="19"/>
      <c r="J586" s="21"/>
      <c r="K586" s="57"/>
      <c r="L586" s="24"/>
      <c r="M586" s="25"/>
      <c r="N586" s="25"/>
      <c r="O586" s="25"/>
      <c r="P586" s="26"/>
    </row>
    <row r="587">
      <c r="A587" s="52"/>
      <c r="B587" s="15"/>
      <c r="C587" s="16"/>
      <c r="D587" s="15"/>
      <c r="E587" s="17"/>
      <c r="F587" s="54"/>
      <c r="G587" s="19"/>
      <c r="H587" s="17"/>
      <c r="I587" s="19"/>
      <c r="J587" s="21"/>
      <c r="K587" s="57"/>
      <c r="L587" s="24"/>
      <c r="M587" s="25"/>
      <c r="N587" s="25"/>
      <c r="O587" s="25"/>
      <c r="P587" s="26"/>
    </row>
    <row r="588">
      <c r="A588" s="52"/>
      <c r="B588" s="15"/>
      <c r="C588" s="16"/>
      <c r="D588" s="15"/>
      <c r="E588" s="17"/>
      <c r="F588" s="54"/>
      <c r="G588" s="19"/>
      <c r="H588" s="17"/>
      <c r="I588" s="19"/>
      <c r="J588" s="21"/>
      <c r="K588" s="57"/>
      <c r="L588" s="24"/>
      <c r="M588" s="25"/>
      <c r="N588" s="25"/>
      <c r="O588" s="25"/>
      <c r="P588" s="26"/>
    </row>
    <row r="589">
      <c r="A589" s="52"/>
      <c r="B589" s="15"/>
      <c r="C589" s="16"/>
      <c r="D589" s="15"/>
      <c r="E589" s="17"/>
      <c r="F589" s="54"/>
      <c r="G589" s="19"/>
      <c r="H589" s="17"/>
      <c r="I589" s="19"/>
      <c r="J589" s="21"/>
      <c r="K589" s="57"/>
      <c r="L589" s="24"/>
      <c r="M589" s="25"/>
      <c r="N589" s="25"/>
      <c r="O589" s="25"/>
      <c r="P589" s="26"/>
    </row>
    <row r="590">
      <c r="A590" s="52"/>
      <c r="B590" s="15"/>
      <c r="C590" s="16"/>
      <c r="D590" s="15"/>
      <c r="E590" s="17"/>
      <c r="F590" s="54"/>
      <c r="G590" s="19"/>
      <c r="H590" s="17"/>
      <c r="I590" s="19"/>
      <c r="J590" s="21"/>
      <c r="K590" s="57"/>
      <c r="L590" s="24"/>
      <c r="M590" s="25"/>
      <c r="N590" s="25"/>
      <c r="O590" s="25"/>
      <c r="P590" s="26"/>
    </row>
    <row r="591">
      <c r="A591" s="52"/>
      <c r="B591" s="15"/>
      <c r="C591" s="16"/>
      <c r="D591" s="15"/>
      <c r="E591" s="17"/>
      <c r="F591" s="54"/>
      <c r="G591" s="19"/>
      <c r="H591" s="17"/>
      <c r="I591" s="19"/>
      <c r="J591" s="21"/>
      <c r="K591" s="57"/>
      <c r="L591" s="24"/>
      <c r="M591" s="25"/>
      <c r="N591" s="25"/>
      <c r="O591" s="25"/>
      <c r="P591" s="26"/>
    </row>
    <row r="592">
      <c r="A592" s="52"/>
      <c r="B592" s="15"/>
      <c r="C592" s="16"/>
      <c r="D592" s="15"/>
      <c r="E592" s="17"/>
      <c r="F592" s="54"/>
      <c r="G592" s="19"/>
      <c r="H592" s="17"/>
      <c r="I592" s="19"/>
      <c r="J592" s="21"/>
      <c r="K592" s="57"/>
      <c r="L592" s="24"/>
      <c r="M592" s="25"/>
      <c r="N592" s="25"/>
      <c r="O592" s="25"/>
      <c r="P592" s="26"/>
    </row>
    <row r="593">
      <c r="A593" s="52"/>
      <c r="B593" s="15"/>
      <c r="C593" s="16"/>
      <c r="D593" s="15"/>
      <c r="E593" s="17"/>
      <c r="F593" s="54"/>
      <c r="G593" s="19"/>
      <c r="H593" s="17"/>
      <c r="I593" s="19"/>
      <c r="J593" s="21"/>
      <c r="K593" s="57"/>
      <c r="L593" s="24"/>
      <c r="M593" s="25"/>
      <c r="N593" s="25"/>
      <c r="O593" s="25"/>
      <c r="P593" s="26"/>
    </row>
    <row r="594">
      <c r="A594" s="52"/>
      <c r="B594" s="15"/>
      <c r="C594" s="16"/>
      <c r="D594" s="15"/>
      <c r="E594" s="17"/>
      <c r="F594" s="54"/>
      <c r="G594" s="19"/>
      <c r="H594" s="17"/>
      <c r="I594" s="19"/>
      <c r="J594" s="21"/>
      <c r="K594" s="57"/>
      <c r="L594" s="24"/>
      <c r="M594" s="25"/>
      <c r="N594" s="25"/>
      <c r="O594" s="25"/>
      <c r="P594" s="26"/>
    </row>
    <row r="595">
      <c r="A595" s="52"/>
      <c r="B595" s="15"/>
      <c r="C595" s="16"/>
      <c r="D595" s="15"/>
      <c r="E595" s="17"/>
      <c r="F595" s="54"/>
      <c r="G595" s="19"/>
      <c r="H595" s="17"/>
      <c r="I595" s="19"/>
      <c r="J595" s="21"/>
      <c r="K595" s="57"/>
      <c r="L595" s="24"/>
      <c r="M595" s="25"/>
      <c r="N595" s="25"/>
      <c r="O595" s="25"/>
      <c r="P595" s="26"/>
    </row>
    <row r="596">
      <c r="A596" s="52"/>
      <c r="B596" s="15"/>
      <c r="C596" s="16"/>
      <c r="D596" s="15"/>
      <c r="E596" s="17"/>
      <c r="F596" s="54"/>
      <c r="G596" s="19"/>
      <c r="H596" s="17"/>
      <c r="I596" s="19"/>
      <c r="J596" s="21"/>
      <c r="K596" s="57"/>
      <c r="L596" s="24"/>
      <c r="M596" s="25"/>
      <c r="N596" s="25"/>
      <c r="O596" s="25"/>
      <c r="P596" s="26"/>
    </row>
    <row r="597">
      <c r="A597" s="52"/>
      <c r="B597" s="15"/>
      <c r="C597" s="16"/>
      <c r="D597" s="15"/>
      <c r="E597" s="17"/>
      <c r="F597" s="54"/>
      <c r="G597" s="19"/>
      <c r="H597" s="17"/>
      <c r="I597" s="19"/>
      <c r="J597" s="21"/>
      <c r="K597" s="57"/>
      <c r="L597" s="24"/>
      <c r="M597" s="25"/>
      <c r="N597" s="25"/>
      <c r="O597" s="25"/>
      <c r="P597" s="26"/>
    </row>
    <row r="598">
      <c r="A598" s="52"/>
      <c r="B598" s="15"/>
      <c r="C598" s="16"/>
      <c r="D598" s="15"/>
      <c r="E598" s="17"/>
      <c r="F598" s="54"/>
      <c r="G598" s="19"/>
      <c r="H598" s="17"/>
      <c r="I598" s="19"/>
      <c r="J598" s="21"/>
      <c r="K598" s="57"/>
      <c r="L598" s="24"/>
      <c r="M598" s="25"/>
      <c r="N598" s="25"/>
      <c r="O598" s="25"/>
      <c r="P598" s="26"/>
    </row>
    <row r="599">
      <c r="A599" s="52"/>
      <c r="B599" s="15"/>
      <c r="C599" s="16"/>
      <c r="D599" s="15"/>
      <c r="E599" s="17"/>
      <c r="F599" s="54"/>
      <c r="G599" s="19"/>
      <c r="H599" s="17"/>
      <c r="I599" s="19"/>
      <c r="J599" s="21"/>
      <c r="K599" s="57"/>
      <c r="L599" s="24"/>
      <c r="M599" s="25"/>
      <c r="N599" s="25"/>
      <c r="O599" s="25"/>
      <c r="P599" s="26"/>
    </row>
    <row r="600">
      <c r="A600" s="52"/>
      <c r="B600" s="15"/>
      <c r="C600" s="16"/>
      <c r="D600" s="15"/>
      <c r="E600" s="17"/>
      <c r="F600" s="54"/>
      <c r="G600" s="19"/>
      <c r="H600" s="17"/>
      <c r="I600" s="19"/>
      <c r="J600" s="21"/>
      <c r="K600" s="57"/>
      <c r="L600" s="24"/>
      <c r="M600" s="25"/>
      <c r="N600" s="25"/>
      <c r="O600" s="25"/>
      <c r="P600" s="26"/>
    </row>
    <row r="601">
      <c r="A601" s="52"/>
      <c r="B601" s="15"/>
      <c r="C601" s="16"/>
      <c r="D601" s="15"/>
      <c r="E601" s="17"/>
      <c r="F601" s="54"/>
      <c r="G601" s="19"/>
      <c r="H601" s="17"/>
      <c r="I601" s="19"/>
      <c r="J601" s="21"/>
      <c r="K601" s="57"/>
      <c r="L601" s="24"/>
      <c r="M601" s="25"/>
      <c r="N601" s="25"/>
      <c r="O601" s="25"/>
      <c r="P601" s="26"/>
    </row>
    <row r="602">
      <c r="A602" s="52"/>
      <c r="B602" s="15"/>
      <c r="C602" s="16"/>
      <c r="D602" s="15"/>
      <c r="E602" s="17"/>
      <c r="F602" s="54"/>
      <c r="G602" s="19"/>
      <c r="H602" s="17"/>
      <c r="I602" s="19"/>
      <c r="J602" s="21"/>
      <c r="K602" s="57"/>
      <c r="L602" s="24"/>
      <c r="M602" s="25"/>
      <c r="N602" s="25"/>
      <c r="O602" s="25"/>
      <c r="P602" s="26"/>
    </row>
    <row r="603">
      <c r="A603" s="52"/>
      <c r="B603" s="15"/>
      <c r="C603" s="16"/>
      <c r="D603" s="15"/>
      <c r="E603" s="17"/>
      <c r="F603" s="54"/>
      <c r="G603" s="19"/>
      <c r="H603" s="17"/>
      <c r="I603" s="19"/>
      <c r="J603" s="21"/>
      <c r="K603" s="57"/>
      <c r="L603" s="24"/>
      <c r="M603" s="25"/>
      <c r="N603" s="25"/>
      <c r="O603" s="25"/>
      <c r="P603" s="26"/>
    </row>
    <row r="604">
      <c r="A604" s="52"/>
      <c r="B604" s="15"/>
      <c r="C604" s="16"/>
      <c r="D604" s="15"/>
      <c r="E604" s="17"/>
      <c r="F604" s="54"/>
      <c r="G604" s="19"/>
      <c r="H604" s="17"/>
      <c r="I604" s="19"/>
      <c r="J604" s="21"/>
      <c r="K604" s="57"/>
      <c r="L604" s="24"/>
      <c r="M604" s="25"/>
      <c r="N604" s="25"/>
      <c r="O604" s="25"/>
      <c r="P604" s="26"/>
    </row>
    <row r="605">
      <c r="A605" s="52"/>
      <c r="B605" s="15"/>
      <c r="C605" s="16"/>
      <c r="D605" s="15"/>
      <c r="E605" s="17"/>
      <c r="F605" s="54"/>
      <c r="G605" s="19"/>
      <c r="H605" s="17"/>
      <c r="I605" s="19"/>
      <c r="J605" s="21"/>
      <c r="K605" s="57"/>
      <c r="L605" s="24"/>
      <c r="M605" s="25"/>
      <c r="N605" s="25"/>
      <c r="O605" s="25"/>
      <c r="P605" s="26"/>
    </row>
    <row r="606">
      <c r="A606" s="52"/>
      <c r="B606" s="15"/>
      <c r="C606" s="16"/>
      <c r="D606" s="15"/>
      <c r="E606" s="17"/>
      <c r="F606" s="54"/>
      <c r="G606" s="19"/>
      <c r="H606" s="17"/>
      <c r="I606" s="19"/>
      <c r="J606" s="21"/>
      <c r="K606" s="57"/>
      <c r="L606" s="24"/>
      <c r="M606" s="25"/>
      <c r="N606" s="25"/>
      <c r="O606" s="25"/>
      <c r="P606" s="26"/>
    </row>
    <row r="607">
      <c r="A607" s="52"/>
      <c r="B607" s="15"/>
      <c r="C607" s="16"/>
      <c r="D607" s="15"/>
      <c r="E607" s="17"/>
      <c r="F607" s="54"/>
      <c r="G607" s="19"/>
      <c r="H607" s="17"/>
      <c r="I607" s="19"/>
      <c r="J607" s="21"/>
      <c r="K607" s="57"/>
      <c r="L607" s="24"/>
      <c r="M607" s="25"/>
      <c r="N607" s="25"/>
      <c r="O607" s="25"/>
      <c r="P607" s="26"/>
    </row>
    <row r="608">
      <c r="A608" s="52"/>
      <c r="B608" s="15"/>
      <c r="C608" s="16"/>
      <c r="D608" s="15"/>
      <c r="E608" s="17"/>
      <c r="F608" s="54"/>
      <c r="G608" s="19"/>
      <c r="H608" s="17"/>
      <c r="I608" s="19"/>
      <c r="J608" s="21"/>
      <c r="K608" s="57"/>
      <c r="L608" s="24"/>
      <c r="M608" s="25"/>
      <c r="N608" s="25"/>
      <c r="O608" s="25"/>
      <c r="P608" s="26"/>
    </row>
    <row r="609">
      <c r="A609" s="52"/>
      <c r="B609" s="15"/>
      <c r="C609" s="16"/>
      <c r="D609" s="15"/>
      <c r="E609" s="17"/>
      <c r="F609" s="54"/>
      <c r="G609" s="19"/>
      <c r="H609" s="17"/>
      <c r="I609" s="19"/>
      <c r="J609" s="21"/>
      <c r="K609" s="57"/>
      <c r="L609" s="24"/>
      <c r="M609" s="25"/>
      <c r="N609" s="25"/>
      <c r="O609" s="25"/>
      <c r="P609" s="26"/>
    </row>
    <row r="610">
      <c r="A610" s="52"/>
      <c r="B610" s="15"/>
      <c r="C610" s="16"/>
      <c r="D610" s="15"/>
      <c r="E610" s="17"/>
      <c r="F610" s="54"/>
      <c r="G610" s="19"/>
      <c r="H610" s="17"/>
      <c r="I610" s="19"/>
      <c r="J610" s="21"/>
      <c r="K610" s="57"/>
      <c r="L610" s="24"/>
      <c r="M610" s="25"/>
      <c r="N610" s="25"/>
      <c r="O610" s="25"/>
      <c r="P610" s="26"/>
    </row>
    <row r="611">
      <c r="A611" s="52"/>
      <c r="B611" s="15"/>
      <c r="C611" s="16"/>
      <c r="D611" s="15"/>
      <c r="E611" s="17"/>
      <c r="F611" s="54"/>
      <c r="G611" s="19"/>
      <c r="H611" s="17"/>
      <c r="I611" s="19"/>
      <c r="J611" s="21"/>
      <c r="K611" s="57"/>
      <c r="L611" s="24"/>
      <c r="M611" s="25"/>
      <c r="N611" s="25"/>
      <c r="O611" s="25"/>
      <c r="P611" s="26"/>
    </row>
    <row r="612">
      <c r="A612" s="52"/>
      <c r="B612" s="15"/>
      <c r="C612" s="16"/>
      <c r="D612" s="15"/>
      <c r="E612" s="17"/>
      <c r="F612" s="54"/>
      <c r="G612" s="19"/>
      <c r="H612" s="17"/>
      <c r="I612" s="19"/>
      <c r="J612" s="21"/>
      <c r="K612" s="57"/>
      <c r="L612" s="24"/>
      <c r="M612" s="25"/>
      <c r="N612" s="25"/>
      <c r="O612" s="25"/>
      <c r="P612" s="26"/>
    </row>
    <row r="613">
      <c r="A613" s="52"/>
      <c r="B613" s="15"/>
      <c r="C613" s="16"/>
      <c r="D613" s="15"/>
      <c r="E613" s="17"/>
      <c r="F613" s="54"/>
      <c r="G613" s="19"/>
      <c r="H613" s="17"/>
      <c r="I613" s="19"/>
      <c r="J613" s="21"/>
      <c r="K613" s="57"/>
      <c r="L613" s="24"/>
      <c r="M613" s="25"/>
      <c r="N613" s="25"/>
      <c r="O613" s="25"/>
      <c r="P613" s="26"/>
    </row>
    <row r="614">
      <c r="A614" s="52"/>
      <c r="B614" s="15"/>
      <c r="C614" s="16"/>
      <c r="D614" s="15"/>
      <c r="E614" s="17"/>
      <c r="F614" s="54"/>
      <c r="G614" s="19"/>
      <c r="H614" s="17"/>
      <c r="I614" s="19"/>
      <c r="J614" s="21"/>
      <c r="K614" s="57"/>
      <c r="L614" s="24"/>
      <c r="M614" s="25"/>
      <c r="N614" s="25"/>
      <c r="O614" s="25"/>
      <c r="P614" s="26"/>
    </row>
    <row r="615">
      <c r="A615" s="52"/>
      <c r="B615" s="15"/>
      <c r="C615" s="16"/>
      <c r="D615" s="15"/>
      <c r="E615" s="17"/>
      <c r="F615" s="54"/>
      <c r="G615" s="19"/>
      <c r="H615" s="17"/>
      <c r="I615" s="19"/>
      <c r="J615" s="21"/>
      <c r="K615" s="57"/>
      <c r="L615" s="24"/>
      <c r="M615" s="25"/>
      <c r="N615" s="25"/>
      <c r="O615" s="25"/>
      <c r="P615" s="26"/>
    </row>
    <row r="616">
      <c r="A616" s="52"/>
      <c r="B616" s="15"/>
      <c r="C616" s="16"/>
      <c r="D616" s="15"/>
      <c r="E616" s="17"/>
      <c r="F616" s="54"/>
      <c r="G616" s="19"/>
      <c r="H616" s="17"/>
      <c r="I616" s="19"/>
      <c r="J616" s="21"/>
      <c r="K616" s="57"/>
      <c r="L616" s="24"/>
      <c r="M616" s="25"/>
      <c r="N616" s="25"/>
      <c r="O616" s="25"/>
      <c r="P616" s="26"/>
    </row>
    <row r="617">
      <c r="A617" s="52"/>
      <c r="B617" s="15"/>
      <c r="C617" s="16"/>
      <c r="D617" s="15"/>
      <c r="E617" s="17"/>
      <c r="F617" s="54"/>
      <c r="G617" s="19"/>
      <c r="H617" s="17"/>
      <c r="I617" s="19"/>
      <c r="J617" s="21"/>
      <c r="K617" s="57"/>
      <c r="L617" s="24"/>
      <c r="M617" s="25"/>
      <c r="N617" s="25"/>
      <c r="O617" s="25"/>
      <c r="P617" s="26"/>
    </row>
    <row r="618">
      <c r="A618" s="52"/>
      <c r="B618" s="15"/>
      <c r="C618" s="16"/>
      <c r="D618" s="15"/>
      <c r="E618" s="17"/>
      <c r="F618" s="54"/>
      <c r="G618" s="19"/>
      <c r="H618" s="17"/>
      <c r="I618" s="19"/>
      <c r="J618" s="21"/>
      <c r="K618" s="57"/>
      <c r="L618" s="24"/>
      <c r="M618" s="25"/>
      <c r="N618" s="25"/>
      <c r="O618" s="25"/>
      <c r="P618" s="26"/>
    </row>
    <row r="619">
      <c r="A619" s="52"/>
      <c r="B619" s="15"/>
      <c r="C619" s="16"/>
      <c r="D619" s="15"/>
      <c r="E619" s="17"/>
      <c r="F619" s="54"/>
      <c r="G619" s="19"/>
      <c r="H619" s="17"/>
      <c r="I619" s="19"/>
      <c r="J619" s="21"/>
      <c r="K619" s="57"/>
      <c r="L619" s="24"/>
      <c r="M619" s="25"/>
      <c r="N619" s="25"/>
      <c r="O619" s="25"/>
      <c r="P619" s="26"/>
    </row>
    <row r="620">
      <c r="A620" s="52"/>
      <c r="B620" s="15"/>
      <c r="C620" s="16"/>
      <c r="D620" s="15"/>
      <c r="E620" s="17"/>
      <c r="F620" s="54"/>
      <c r="G620" s="19"/>
      <c r="H620" s="17"/>
      <c r="I620" s="19"/>
      <c r="J620" s="21"/>
      <c r="K620" s="57"/>
      <c r="L620" s="24"/>
      <c r="M620" s="25"/>
      <c r="N620" s="25"/>
      <c r="O620" s="25"/>
      <c r="P620" s="26"/>
    </row>
    <row r="621">
      <c r="A621" s="52"/>
      <c r="B621" s="15"/>
      <c r="C621" s="16"/>
      <c r="D621" s="15"/>
      <c r="E621" s="17"/>
      <c r="F621" s="54"/>
      <c r="G621" s="19"/>
      <c r="H621" s="17"/>
      <c r="I621" s="19"/>
      <c r="J621" s="21"/>
      <c r="K621" s="57"/>
      <c r="L621" s="24"/>
      <c r="M621" s="25"/>
      <c r="N621" s="25"/>
      <c r="O621" s="25"/>
      <c r="P621" s="26"/>
    </row>
    <row r="622">
      <c r="A622" s="52"/>
      <c r="B622" s="15"/>
      <c r="C622" s="16"/>
      <c r="D622" s="15"/>
      <c r="E622" s="17"/>
      <c r="F622" s="54"/>
      <c r="G622" s="19"/>
      <c r="H622" s="17"/>
      <c r="I622" s="19"/>
      <c r="J622" s="21"/>
      <c r="K622" s="57"/>
      <c r="L622" s="24"/>
      <c r="M622" s="25"/>
      <c r="N622" s="25"/>
      <c r="O622" s="25"/>
      <c r="P622" s="26"/>
    </row>
    <row r="623">
      <c r="A623" s="52"/>
      <c r="B623" s="15"/>
      <c r="C623" s="16"/>
      <c r="D623" s="15"/>
      <c r="E623" s="17"/>
      <c r="F623" s="54"/>
      <c r="G623" s="19"/>
      <c r="H623" s="17"/>
      <c r="I623" s="19"/>
      <c r="J623" s="21"/>
      <c r="K623" s="57"/>
      <c r="L623" s="24"/>
      <c r="M623" s="25"/>
      <c r="N623" s="25"/>
      <c r="O623" s="25"/>
      <c r="P623" s="26"/>
    </row>
    <row r="624">
      <c r="A624" s="52"/>
      <c r="B624" s="15"/>
      <c r="C624" s="16"/>
      <c r="D624" s="15"/>
      <c r="E624" s="17"/>
      <c r="F624" s="54"/>
      <c r="G624" s="19"/>
      <c r="H624" s="17"/>
      <c r="I624" s="19"/>
      <c r="J624" s="21"/>
      <c r="K624" s="57"/>
      <c r="L624" s="24"/>
      <c r="M624" s="25"/>
      <c r="N624" s="25"/>
      <c r="O624" s="25"/>
      <c r="P624" s="26"/>
    </row>
    <row r="625">
      <c r="A625" s="52"/>
      <c r="B625" s="15"/>
      <c r="C625" s="16"/>
      <c r="D625" s="15"/>
      <c r="E625" s="17"/>
      <c r="F625" s="54"/>
      <c r="G625" s="19"/>
      <c r="H625" s="17"/>
      <c r="I625" s="19"/>
      <c r="J625" s="21"/>
      <c r="K625" s="57"/>
      <c r="L625" s="24"/>
      <c r="M625" s="25"/>
      <c r="N625" s="25"/>
      <c r="O625" s="25"/>
      <c r="P625" s="26"/>
    </row>
    <row r="626">
      <c r="A626" s="52"/>
      <c r="B626" s="15"/>
      <c r="C626" s="16"/>
      <c r="D626" s="15"/>
      <c r="E626" s="17"/>
      <c r="F626" s="54"/>
      <c r="G626" s="19"/>
      <c r="H626" s="17"/>
      <c r="I626" s="19"/>
      <c r="J626" s="21"/>
      <c r="K626" s="57"/>
      <c r="L626" s="24"/>
      <c r="M626" s="25"/>
      <c r="N626" s="25"/>
      <c r="O626" s="25"/>
      <c r="P626" s="26"/>
    </row>
    <row r="627">
      <c r="A627" s="52"/>
      <c r="B627" s="15"/>
      <c r="C627" s="16"/>
      <c r="D627" s="15"/>
      <c r="E627" s="17"/>
      <c r="F627" s="54"/>
      <c r="G627" s="19"/>
      <c r="H627" s="17"/>
      <c r="I627" s="19"/>
      <c r="J627" s="21"/>
      <c r="K627" s="57"/>
      <c r="L627" s="24"/>
      <c r="M627" s="25"/>
      <c r="N627" s="25"/>
      <c r="O627" s="25"/>
      <c r="P627" s="26"/>
    </row>
    <row r="628">
      <c r="A628" s="52"/>
      <c r="B628" s="15"/>
      <c r="C628" s="16"/>
      <c r="D628" s="15"/>
      <c r="E628" s="17"/>
      <c r="F628" s="54"/>
      <c r="G628" s="19"/>
      <c r="H628" s="17"/>
      <c r="I628" s="19"/>
      <c r="J628" s="21"/>
      <c r="K628" s="57"/>
      <c r="L628" s="24"/>
      <c r="M628" s="25"/>
      <c r="N628" s="25"/>
      <c r="O628" s="25"/>
      <c r="P628" s="26"/>
    </row>
    <row r="629">
      <c r="A629" s="52"/>
      <c r="B629" s="15"/>
      <c r="C629" s="16"/>
      <c r="D629" s="15"/>
      <c r="E629" s="17"/>
      <c r="F629" s="54"/>
      <c r="G629" s="19"/>
      <c r="H629" s="17"/>
      <c r="I629" s="19"/>
      <c r="J629" s="21"/>
      <c r="K629" s="57"/>
      <c r="L629" s="24"/>
      <c r="M629" s="25"/>
      <c r="N629" s="25"/>
      <c r="O629" s="25"/>
      <c r="P629" s="26"/>
    </row>
    <row r="630">
      <c r="A630" s="52"/>
      <c r="B630" s="15"/>
      <c r="C630" s="16"/>
      <c r="D630" s="15"/>
      <c r="E630" s="17"/>
      <c r="F630" s="54"/>
      <c r="G630" s="19"/>
      <c r="H630" s="17"/>
      <c r="I630" s="19"/>
      <c r="J630" s="21"/>
      <c r="K630" s="57"/>
      <c r="L630" s="24"/>
      <c r="M630" s="25"/>
      <c r="N630" s="25"/>
      <c r="O630" s="25"/>
      <c r="P630" s="26"/>
    </row>
    <row r="631">
      <c r="A631" s="52"/>
      <c r="B631" s="15"/>
      <c r="C631" s="16"/>
      <c r="D631" s="15"/>
      <c r="E631" s="17"/>
      <c r="F631" s="54"/>
      <c r="G631" s="19"/>
      <c r="H631" s="17"/>
      <c r="I631" s="19"/>
      <c r="J631" s="21"/>
      <c r="K631" s="57"/>
      <c r="L631" s="24"/>
      <c r="M631" s="25"/>
      <c r="N631" s="25"/>
      <c r="O631" s="25"/>
      <c r="P631" s="26"/>
    </row>
    <row r="632">
      <c r="A632" s="52"/>
      <c r="B632" s="15"/>
      <c r="C632" s="16"/>
      <c r="D632" s="15"/>
      <c r="E632" s="17"/>
      <c r="F632" s="54"/>
      <c r="G632" s="19"/>
      <c r="H632" s="17"/>
      <c r="I632" s="19"/>
      <c r="J632" s="21"/>
      <c r="K632" s="57"/>
      <c r="L632" s="24"/>
      <c r="M632" s="25"/>
      <c r="N632" s="25"/>
      <c r="O632" s="25"/>
      <c r="P632" s="26"/>
    </row>
    <row r="633">
      <c r="A633" s="52"/>
      <c r="B633" s="15"/>
      <c r="C633" s="16"/>
      <c r="D633" s="15"/>
      <c r="E633" s="17"/>
      <c r="F633" s="54"/>
      <c r="G633" s="19"/>
      <c r="H633" s="17"/>
      <c r="I633" s="19"/>
      <c r="J633" s="21"/>
      <c r="K633" s="57"/>
      <c r="L633" s="24"/>
      <c r="M633" s="25"/>
      <c r="N633" s="25"/>
      <c r="O633" s="25"/>
      <c r="P633" s="26"/>
    </row>
    <row r="634">
      <c r="A634" s="52"/>
      <c r="B634" s="15"/>
      <c r="C634" s="16"/>
      <c r="D634" s="15"/>
      <c r="E634" s="17"/>
      <c r="F634" s="54"/>
      <c r="G634" s="19"/>
      <c r="H634" s="17"/>
      <c r="I634" s="19"/>
      <c r="J634" s="21"/>
      <c r="K634" s="57"/>
      <c r="L634" s="24"/>
      <c r="M634" s="25"/>
      <c r="N634" s="25"/>
      <c r="O634" s="25"/>
      <c r="P634" s="26"/>
    </row>
    <row r="635">
      <c r="A635" s="52"/>
      <c r="B635" s="15"/>
      <c r="C635" s="16"/>
      <c r="D635" s="15"/>
      <c r="E635" s="17"/>
      <c r="F635" s="54"/>
      <c r="G635" s="19"/>
      <c r="H635" s="17"/>
      <c r="I635" s="19"/>
      <c r="J635" s="21"/>
      <c r="K635" s="57"/>
      <c r="L635" s="24"/>
      <c r="M635" s="25"/>
      <c r="N635" s="25"/>
      <c r="O635" s="25"/>
      <c r="P635" s="26"/>
    </row>
    <row r="636">
      <c r="A636" s="52"/>
      <c r="B636" s="15"/>
      <c r="C636" s="16"/>
      <c r="D636" s="15"/>
      <c r="E636" s="17"/>
      <c r="F636" s="54"/>
      <c r="G636" s="19"/>
      <c r="H636" s="17"/>
      <c r="I636" s="19"/>
      <c r="J636" s="21"/>
      <c r="K636" s="57"/>
      <c r="L636" s="24"/>
      <c r="M636" s="25"/>
      <c r="N636" s="25"/>
      <c r="O636" s="25"/>
      <c r="P636" s="26"/>
    </row>
    <row r="637">
      <c r="A637" s="52"/>
      <c r="B637" s="15"/>
      <c r="C637" s="16"/>
      <c r="D637" s="15"/>
      <c r="E637" s="17"/>
      <c r="F637" s="54"/>
      <c r="G637" s="19"/>
      <c r="H637" s="17"/>
      <c r="I637" s="19"/>
      <c r="J637" s="21"/>
      <c r="K637" s="57"/>
      <c r="L637" s="24"/>
      <c r="M637" s="25"/>
      <c r="N637" s="25"/>
      <c r="O637" s="25"/>
      <c r="P637" s="26"/>
    </row>
    <row r="638">
      <c r="A638" s="52"/>
      <c r="B638" s="15"/>
      <c r="C638" s="16"/>
      <c r="D638" s="15"/>
      <c r="E638" s="17"/>
      <c r="F638" s="54"/>
      <c r="G638" s="19"/>
      <c r="H638" s="17"/>
      <c r="I638" s="19"/>
      <c r="J638" s="21"/>
      <c r="K638" s="57"/>
      <c r="L638" s="24"/>
      <c r="M638" s="25"/>
      <c r="N638" s="25"/>
      <c r="O638" s="25"/>
      <c r="P638" s="26"/>
    </row>
    <row r="639">
      <c r="A639" s="52"/>
      <c r="B639" s="15"/>
      <c r="C639" s="16"/>
      <c r="D639" s="15"/>
      <c r="E639" s="17"/>
      <c r="F639" s="54"/>
      <c r="G639" s="19"/>
      <c r="H639" s="17"/>
      <c r="I639" s="19"/>
      <c r="J639" s="21"/>
      <c r="K639" s="57"/>
      <c r="L639" s="24"/>
      <c r="M639" s="25"/>
      <c r="N639" s="25"/>
      <c r="O639" s="25"/>
      <c r="P639" s="26"/>
    </row>
    <row r="640">
      <c r="A640" s="52"/>
      <c r="B640" s="15"/>
      <c r="C640" s="16"/>
      <c r="D640" s="15"/>
      <c r="E640" s="17"/>
      <c r="F640" s="54"/>
      <c r="G640" s="19"/>
      <c r="H640" s="17"/>
      <c r="I640" s="19"/>
      <c r="J640" s="21"/>
      <c r="K640" s="57"/>
      <c r="L640" s="24"/>
      <c r="M640" s="25"/>
      <c r="N640" s="25"/>
      <c r="O640" s="25"/>
      <c r="P640" s="26"/>
    </row>
    <row r="641">
      <c r="A641" s="52"/>
      <c r="B641" s="15"/>
      <c r="C641" s="16"/>
      <c r="D641" s="15"/>
      <c r="E641" s="17"/>
      <c r="F641" s="54"/>
      <c r="G641" s="19"/>
      <c r="H641" s="17"/>
      <c r="I641" s="19"/>
      <c r="J641" s="21"/>
      <c r="K641" s="57"/>
      <c r="L641" s="24"/>
      <c r="M641" s="25"/>
      <c r="N641" s="25"/>
      <c r="O641" s="25"/>
      <c r="P641" s="26"/>
    </row>
    <row r="642">
      <c r="A642" s="52"/>
      <c r="B642" s="15"/>
      <c r="C642" s="16"/>
      <c r="D642" s="15"/>
      <c r="E642" s="17"/>
      <c r="F642" s="54"/>
      <c r="G642" s="19"/>
      <c r="H642" s="17"/>
      <c r="I642" s="19"/>
      <c r="J642" s="21"/>
      <c r="K642" s="57"/>
      <c r="L642" s="24"/>
      <c r="M642" s="25"/>
      <c r="N642" s="25"/>
      <c r="O642" s="25"/>
      <c r="P642" s="26"/>
    </row>
    <row r="643">
      <c r="A643" s="52"/>
      <c r="B643" s="15"/>
      <c r="C643" s="16"/>
      <c r="D643" s="15"/>
      <c r="E643" s="17"/>
      <c r="F643" s="54"/>
      <c r="G643" s="19"/>
      <c r="H643" s="17"/>
      <c r="I643" s="19"/>
      <c r="J643" s="21"/>
      <c r="K643" s="57"/>
      <c r="L643" s="24"/>
      <c r="M643" s="25"/>
      <c r="N643" s="25"/>
      <c r="O643" s="25"/>
      <c r="P643" s="26"/>
    </row>
    <row r="644">
      <c r="A644" s="52"/>
      <c r="B644" s="15"/>
      <c r="C644" s="16"/>
      <c r="D644" s="15"/>
      <c r="E644" s="17"/>
      <c r="F644" s="54"/>
      <c r="G644" s="19"/>
      <c r="H644" s="17"/>
      <c r="I644" s="19"/>
      <c r="J644" s="21"/>
      <c r="K644" s="57"/>
      <c r="L644" s="24"/>
      <c r="M644" s="25"/>
      <c r="N644" s="25"/>
      <c r="O644" s="25"/>
      <c r="P644" s="26"/>
    </row>
    <row r="645">
      <c r="A645" s="52"/>
      <c r="B645" s="15"/>
      <c r="C645" s="16"/>
      <c r="D645" s="15"/>
      <c r="E645" s="17"/>
      <c r="F645" s="54"/>
      <c r="G645" s="19"/>
      <c r="H645" s="17"/>
      <c r="I645" s="19"/>
      <c r="J645" s="21"/>
      <c r="K645" s="57"/>
      <c r="L645" s="24"/>
      <c r="M645" s="25"/>
      <c r="N645" s="25"/>
      <c r="O645" s="25"/>
      <c r="P645" s="26"/>
    </row>
    <row r="646">
      <c r="A646" s="52"/>
      <c r="B646" s="15"/>
      <c r="C646" s="16"/>
      <c r="D646" s="15"/>
      <c r="E646" s="17"/>
      <c r="F646" s="54"/>
      <c r="G646" s="19"/>
      <c r="H646" s="17"/>
      <c r="I646" s="19"/>
      <c r="J646" s="21"/>
      <c r="K646" s="57"/>
      <c r="L646" s="24"/>
      <c r="M646" s="25"/>
      <c r="N646" s="25"/>
      <c r="O646" s="25"/>
      <c r="P646" s="26"/>
    </row>
    <row r="647">
      <c r="A647" s="52"/>
      <c r="B647" s="15"/>
      <c r="C647" s="16"/>
      <c r="D647" s="15"/>
      <c r="E647" s="17"/>
      <c r="F647" s="54"/>
      <c r="G647" s="19"/>
      <c r="H647" s="17"/>
      <c r="I647" s="19"/>
      <c r="J647" s="21"/>
      <c r="K647" s="57"/>
      <c r="L647" s="24"/>
      <c r="M647" s="25"/>
      <c r="N647" s="25"/>
      <c r="O647" s="25"/>
      <c r="P647" s="26"/>
    </row>
    <row r="648">
      <c r="A648" s="52"/>
      <c r="B648" s="15"/>
      <c r="C648" s="16"/>
      <c r="D648" s="15"/>
      <c r="E648" s="17"/>
      <c r="F648" s="54"/>
      <c r="G648" s="19"/>
      <c r="H648" s="17"/>
      <c r="I648" s="19"/>
      <c r="J648" s="21"/>
      <c r="K648" s="57"/>
      <c r="L648" s="24"/>
      <c r="M648" s="25"/>
      <c r="N648" s="25"/>
      <c r="O648" s="25"/>
      <c r="P648" s="26"/>
    </row>
    <row r="649">
      <c r="A649" s="52"/>
      <c r="B649" s="15"/>
      <c r="C649" s="16"/>
      <c r="D649" s="15"/>
      <c r="E649" s="17"/>
      <c r="F649" s="54"/>
      <c r="G649" s="19"/>
      <c r="H649" s="17"/>
      <c r="I649" s="19"/>
      <c r="J649" s="21"/>
      <c r="K649" s="57"/>
      <c r="L649" s="24"/>
      <c r="M649" s="25"/>
      <c r="N649" s="25"/>
      <c r="O649" s="25"/>
      <c r="P649" s="26"/>
    </row>
    <row r="650">
      <c r="A650" s="52"/>
      <c r="B650" s="15"/>
      <c r="C650" s="16"/>
      <c r="D650" s="15"/>
      <c r="E650" s="17"/>
      <c r="F650" s="54"/>
      <c r="G650" s="19"/>
      <c r="H650" s="17"/>
      <c r="I650" s="19"/>
      <c r="J650" s="21"/>
      <c r="K650" s="57"/>
      <c r="L650" s="24"/>
      <c r="M650" s="25"/>
      <c r="N650" s="25"/>
      <c r="O650" s="25"/>
      <c r="P650" s="26"/>
    </row>
    <row r="651">
      <c r="A651" s="52"/>
      <c r="B651" s="15"/>
      <c r="C651" s="16"/>
      <c r="D651" s="15"/>
      <c r="E651" s="17"/>
      <c r="F651" s="54"/>
      <c r="G651" s="19"/>
      <c r="H651" s="17"/>
      <c r="I651" s="19"/>
      <c r="J651" s="21"/>
      <c r="K651" s="57"/>
      <c r="L651" s="24"/>
      <c r="M651" s="25"/>
      <c r="N651" s="25"/>
      <c r="O651" s="25"/>
      <c r="P651" s="26"/>
    </row>
    <row r="652">
      <c r="A652" s="52"/>
      <c r="B652" s="15"/>
      <c r="C652" s="16"/>
      <c r="D652" s="15"/>
      <c r="E652" s="17"/>
      <c r="F652" s="54"/>
      <c r="G652" s="19"/>
      <c r="H652" s="17"/>
      <c r="I652" s="19"/>
      <c r="J652" s="21"/>
      <c r="K652" s="57"/>
      <c r="L652" s="24"/>
      <c r="M652" s="25"/>
      <c r="N652" s="25"/>
      <c r="O652" s="25"/>
      <c r="P652" s="26"/>
    </row>
    <row r="653">
      <c r="A653" s="52"/>
      <c r="B653" s="15"/>
      <c r="C653" s="16"/>
      <c r="D653" s="15"/>
      <c r="E653" s="17"/>
      <c r="F653" s="54"/>
      <c r="G653" s="19"/>
      <c r="H653" s="17"/>
      <c r="I653" s="19"/>
      <c r="J653" s="21"/>
      <c r="K653" s="57"/>
      <c r="L653" s="24"/>
      <c r="M653" s="25"/>
      <c r="N653" s="25"/>
      <c r="O653" s="25"/>
      <c r="P653" s="26"/>
    </row>
    <row r="654">
      <c r="A654" s="52"/>
      <c r="B654" s="15"/>
      <c r="C654" s="16"/>
      <c r="D654" s="15"/>
      <c r="E654" s="17"/>
      <c r="F654" s="54"/>
      <c r="G654" s="19"/>
      <c r="H654" s="17"/>
      <c r="I654" s="19"/>
      <c r="J654" s="21"/>
      <c r="K654" s="57"/>
      <c r="L654" s="24"/>
      <c r="M654" s="25"/>
      <c r="N654" s="25"/>
      <c r="O654" s="25"/>
      <c r="P654" s="26"/>
    </row>
    <row r="655">
      <c r="A655" s="52"/>
      <c r="B655" s="15"/>
      <c r="C655" s="16"/>
      <c r="D655" s="15"/>
      <c r="E655" s="17"/>
      <c r="F655" s="54"/>
      <c r="G655" s="19"/>
      <c r="H655" s="17"/>
      <c r="I655" s="19"/>
      <c r="J655" s="21"/>
      <c r="K655" s="57"/>
      <c r="L655" s="24"/>
      <c r="M655" s="25"/>
      <c r="N655" s="25"/>
      <c r="O655" s="25"/>
      <c r="P655" s="26"/>
    </row>
    <row r="656">
      <c r="A656" s="52"/>
      <c r="B656" s="15"/>
      <c r="C656" s="16"/>
      <c r="D656" s="15"/>
      <c r="E656" s="17"/>
      <c r="F656" s="54"/>
      <c r="G656" s="19"/>
      <c r="H656" s="17"/>
      <c r="I656" s="19"/>
      <c r="J656" s="21"/>
      <c r="K656" s="57"/>
      <c r="L656" s="24"/>
      <c r="M656" s="25"/>
      <c r="N656" s="25"/>
      <c r="O656" s="25"/>
      <c r="P656" s="26"/>
    </row>
    <row r="657">
      <c r="A657" s="52"/>
      <c r="B657" s="15"/>
      <c r="C657" s="16"/>
      <c r="D657" s="15"/>
      <c r="E657" s="17"/>
      <c r="F657" s="54"/>
      <c r="G657" s="19"/>
      <c r="H657" s="17"/>
      <c r="I657" s="19"/>
      <c r="J657" s="21"/>
      <c r="K657" s="57"/>
      <c r="L657" s="24"/>
      <c r="M657" s="25"/>
      <c r="N657" s="25"/>
      <c r="O657" s="25"/>
      <c r="P657" s="26"/>
    </row>
    <row r="658">
      <c r="A658" s="52"/>
      <c r="B658" s="15"/>
      <c r="C658" s="16"/>
      <c r="D658" s="15"/>
      <c r="E658" s="17"/>
      <c r="F658" s="54"/>
      <c r="G658" s="19"/>
      <c r="H658" s="17"/>
      <c r="I658" s="19"/>
      <c r="J658" s="21"/>
      <c r="K658" s="57"/>
      <c r="L658" s="24"/>
      <c r="M658" s="25"/>
      <c r="N658" s="25"/>
      <c r="O658" s="25"/>
      <c r="P658" s="26"/>
    </row>
    <row r="659">
      <c r="A659" s="52"/>
      <c r="B659" s="15"/>
      <c r="C659" s="16"/>
      <c r="D659" s="15"/>
      <c r="E659" s="17"/>
      <c r="F659" s="54"/>
      <c r="G659" s="19"/>
      <c r="H659" s="17"/>
      <c r="I659" s="19"/>
      <c r="J659" s="21"/>
      <c r="K659" s="57"/>
      <c r="L659" s="24"/>
      <c r="M659" s="25"/>
      <c r="N659" s="25"/>
      <c r="O659" s="25"/>
      <c r="P659" s="26"/>
    </row>
    <row r="660">
      <c r="A660" s="52"/>
      <c r="B660" s="15"/>
      <c r="C660" s="16"/>
      <c r="D660" s="15"/>
      <c r="E660" s="17"/>
      <c r="F660" s="54"/>
      <c r="G660" s="19"/>
      <c r="H660" s="17"/>
      <c r="I660" s="19"/>
      <c r="J660" s="21"/>
      <c r="K660" s="57"/>
      <c r="L660" s="24"/>
      <c r="M660" s="25"/>
      <c r="N660" s="25"/>
      <c r="O660" s="25"/>
      <c r="P660" s="26"/>
    </row>
    <row r="661">
      <c r="A661" s="52"/>
      <c r="B661" s="15"/>
      <c r="C661" s="16"/>
      <c r="D661" s="15"/>
      <c r="E661" s="17"/>
      <c r="F661" s="54"/>
      <c r="G661" s="19"/>
      <c r="H661" s="17"/>
      <c r="I661" s="19"/>
      <c r="J661" s="21"/>
      <c r="K661" s="57"/>
      <c r="L661" s="24"/>
      <c r="M661" s="25"/>
      <c r="N661" s="25"/>
      <c r="O661" s="25"/>
      <c r="P661" s="26"/>
    </row>
    <row r="662">
      <c r="A662" s="52"/>
      <c r="B662" s="15"/>
      <c r="C662" s="16"/>
      <c r="D662" s="15"/>
      <c r="E662" s="17"/>
      <c r="F662" s="54"/>
      <c r="G662" s="19"/>
      <c r="H662" s="17"/>
      <c r="I662" s="19"/>
      <c r="J662" s="21"/>
      <c r="K662" s="57"/>
      <c r="L662" s="24"/>
      <c r="M662" s="25"/>
      <c r="N662" s="25"/>
      <c r="O662" s="25"/>
      <c r="P662" s="26"/>
    </row>
    <row r="663">
      <c r="A663" s="52"/>
      <c r="B663" s="15"/>
      <c r="C663" s="16"/>
      <c r="D663" s="15"/>
      <c r="E663" s="17"/>
      <c r="F663" s="54"/>
      <c r="G663" s="19"/>
      <c r="H663" s="17"/>
      <c r="I663" s="19"/>
      <c r="J663" s="21"/>
      <c r="K663" s="57"/>
      <c r="L663" s="24"/>
      <c r="M663" s="25"/>
      <c r="N663" s="25"/>
      <c r="O663" s="25"/>
      <c r="P663" s="26"/>
    </row>
    <row r="664">
      <c r="A664" s="52"/>
      <c r="B664" s="15"/>
      <c r="C664" s="16"/>
      <c r="D664" s="15"/>
      <c r="E664" s="17"/>
      <c r="F664" s="54"/>
      <c r="G664" s="19"/>
      <c r="H664" s="17"/>
      <c r="I664" s="19"/>
      <c r="J664" s="21"/>
      <c r="K664" s="57"/>
      <c r="L664" s="24"/>
      <c r="M664" s="25"/>
      <c r="N664" s="25"/>
      <c r="O664" s="25"/>
      <c r="P664" s="26"/>
    </row>
    <row r="665">
      <c r="A665" s="52"/>
      <c r="B665" s="15"/>
      <c r="C665" s="16"/>
      <c r="D665" s="15"/>
      <c r="E665" s="17"/>
      <c r="F665" s="54"/>
      <c r="G665" s="19"/>
      <c r="H665" s="17"/>
      <c r="I665" s="19"/>
      <c r="J665" s="21"/>
      <c r="K665" s="57"/>
      <c r="L665" s="24"/>
      <c r="M665" s="25"/>
      <c r="N665" s="25"/>
      <c r="O665" s="25"/>
      <c r="P665" s="26"/>
    </row>
    <row r="666">
      <c r="A666" s="52"/>
      <c r="B666" s="15"/>
      <c r="C666" s="16"/>
      <c r="D666" s="15"/>
      <c r="E666" s="17"/>
      <c r="F666" s="54"/>
      <c r="G666" s="19"/>
      <c r="H666" s="17"/>
      <c r="I666" s="19"/>
      <c r="J666" s="21"/>
      <c r="K666" s="57"/>
      <c r="L666" s="24"/>
      <c r="M666" s="25"/>
      <c r="N666" s="25"/>
      <c r="O666" s="25"/>
      <c r="P666" s="26"/>
    </row>
    <row r="667">
      <c r="A667" s="52"/>
      <c r="B667" s="15"/>
      <c r="C667" s="16"/>
      <c r="D667" s="15"/>
      <c r="E667" s="17"/>
      <c r="F667" s="54"/>
      <c r="G667" s="19"/>
      <c r="H667" s="17"/>
      <c r="I667" s="19"/>
      <c r="J667" s="21"/>
      <c r="K667" s="57"/>
      <c r="L667" s="24"/>
      <c r="M667" s="25"/>
      <c r="N667" s="25"/>
      <c r="O667" s="25"/>
      <c r="P667" s="26"/>
    </row>
    <row r="668">
      <c r="A668" s="52"/>
      <c r="B668" s="15"/>
      <c r="C668" s="16"/>
      <c r="D668" s="15"/>
      <c r="E668" s="17"/>
      <c r="F668" s="54"/>
      <c r="G668" s="19"/>
      <c r="H668" s="17"/>
      <c r="I668" s="19"/>
      <c r="J668" s="21"/>
      <c r="K668" s="57"/>
      <c r="L668" s="24"/>
      <c r="M668" s="25"/>
      <c r="N668" s="25"/>
      <c r="O668" s="25"/>
      <c r="P668" s="26"/>
    </row>
    <row r="669">
      <c r="A669" s="52"/>
      <c r="B669" s="15"/>
      <c r="C669" s="16"/>
      <c r="D669" s="15"/>
      <c r="E669" s="17"/>
      <c r="F669" s="54"/>
      <c r="G669" s="19"/>
      <c r="H669" s="17"/>
      <c r="I669" s="19"/>
      <c r="J669" s="21"/>
      <c r="K669" s="57"/>
      <c r="L669" s="24"/>
      <c r="M669" s="25"/>
      <c r="N669" s="25"/>
      <c r="O669" s="25"/>
      <c r="P669" s="26"/>
    </row>
    <row r="670">
      <c r="A670" s="52"/>
      <c r="B670" s="15"/>
      <c r="C670" s="16"/>
      <c r="D670" s="15"/>
      <c r="E670" s="17"/>
      <c r="F670" s="54"/>
      <c r="G670" s="19"/>
      <c r="H670" s="17"/>
      <c r="I670" s="19"/>
      <c r="J670" s="21"/>
      <c r="K670" s="57"/>
      <c r="L670" s="24"/>
      <c r="M670" s="25"/>
      <c r="N670" s="25"/>
      <c r="O670" s="25"/>
      <c r="P670" s="26"/>
    </row>
    <row r="671">
      <c r="A671" s="52"/>
      <c r="B671" s="15"/>
      <c r="C671" s="16"/>
      <c r="D671" s="15"/>
      <c r="E671" s="17"/>
      <c r="F671" s="54"/>
      <c r="G671" s="19"/>
      <c r="H671" s="17"/>
      <c r="I671" s="19"/>
      <c r="J671" s="21"/>
      <c r="K671" s="57"/>
      <c r="L671" s="24"/>
      <c r="M671" s="25"/>
      <c r="N671" s="25"/>
      <c r="O671" s="25"/>
      <c r="P671" s="26"/>
    </row>
    <row r="672">
      <c r="A672" s="52"/>
      <c r="B672" s="15"/>
      <c r="C672" s="16"/>
      <c r="D672" s="15"/>
      <c r="E672" s="17"/>
      <c r="F672" s="54"/>
      <c r="G672" s="19"/>
      <c r="H672" s="17"/>
      <c r="I672" s="19"/>
      <c r="J672" s="21"/>
      <c r="K672" s="57"/>
      <c r="L672" s="24"/>
      <c r="M672" s="25"/>
      <c r="N672" s="25"/>
      <c r="O672" s="25"/>
      <c r="P672" s="26"/>
    </row>
    <row r="673">
      <c r="A673" s="52"/>
      <c r="B673" s="15"/>
      <c r="C673" s="16"/>
      <c r="D673" s="15"/>
      <c r="E673" s="17"/>
      <c r="F673" s="54"/>
      <c r="G673" s="19"/>
      <c r="H673" s="17"/>
      <c r="I673" s="19"/>
      <c r="J673" s="21"/>
      <c r="K673" s="57"/>
      <c r="L673" s="24"/>
      <c r="M673" s="25"/>
      <c r="N673" s="25"/>
      <c r="O673" s="25"/>
      <c r="P673" s="26"/>
    </row>
    <row r="674">
      <c r="A674" s="52"/>
      <c r="B674" s="15"/>
      <c r="C674" s="16"/>
      <c r="D674" s="15"/>
      <c r="E674" s="17"/>
      <c r="F674" s="54"/>
      <c r="G674" s="19"/>
      <c r="H674" s="17"/>
      <c r="I674" s="19"/>
      <c r="J674" s="21"/>
      <c r="K674" s="57"/>
      <c r="L674" s="24"/>
      <c r="M674" s="25"/>
      <c r="N674" s="25"/>
      <c r="O674" s="25"/>
      <c r="P674" s="26"/>
    </row>
    <row r="675">
      <c r="A675" s="52"/>
      <c r="B675" s="15"/>
      <c r="C675" s="16"/>
      <c r="D675" s="15"/>
      <c r="E675" s="17"/>
      <c r="F675" s="54"/>
      <c r="G675" s="19"/>
      <c r="H675" s="17"/>
      <c r="I675" s="19"/>
      <c r="J675" s="21"/>
      <c r="K675" s="57"/>
      <c r="L675" s="24"/>
      <c r="M675" s="25"/>
      <c r="N675" s="25"/>
      <c r="O675" s="25"/>
      <c r="P675" s="26"/>
    </row>
    <row r="676">
      <c r="A676" s="52"/>
      <c r="B676" s="15"/>
      <c r="C676" s="16"/>
      <c r="D676" s="15"/>
      <c r="E676" s="17"/>
      <c r="F676" s="54"/>
      <c r="G676" s="19"/>
      <c r="H676" s="17"/>
      <c r="I676" s="19"/>
      <c r="J676" s="21"/>
      <c r="K676" s="57"/>
      <c r="L676" s="24"/>
      <c r="M676" s="25"/>
      <c r="N676" s="25"/>
      <c r="O676" s="25"/>
      <c r="P676" s="26"/>
    </row>
    <row r="677">
      <c r="A677" s="52"/>
      <c r="B677" s="15"/>
      <c r="C677" s="16"/>
      <c r="D677" s="15"/>
      <c r="E677" s="17"/>
      <c r="F677" s="54"/>
      <c r="G677" s="19"/>
      <c r="H677" s="17"/>
      <c r="I677" s="19"/>
      <c r="J677" s="21"/>
      <c r="K677" s="57"/>
      <c r="L677" s="24"/>
      <c r="M677" s="25"/>
      <c r="N677" s="25"/>
      <c r="O677" s="25"/>
      <c r="P677" s="26"/>
    </row>
    <row r="678">
      <c r="A678" s="52"/>
      <c r="B678" s="15"/>
      <c r="C678" s="16"/>
      <c r="D678" s="15"/>
      <c r="E678" s="17"/>
      <c r="F678" s="54"/>
      <c r="G678" s="19"/>
      <c r="H678" s="17"/>
      <c r="I678" s="19"/>
      <c r="J678" s="21"/>
      <c r="K678" s="57"/>
      <c r="L678" s="24"/>
      <c r="M678" s="25"/>
      <c r="N678" s="25"/>
      <c r="O678" s="25"/>
      <c r="P678" s="26"/>
    </row>
    <row r="679">
      <c r="A679" s="52"/>
      <c r="B679" s="15"/>
      <c r="C679" s="16"/>
      <c r="D679" s="15"/>
      <c r="E679" s="17"/>
      <c r="F679" s="54"/>
      <c r="G679" s="19"/>
      <c r="H679" s="17"/>
      <c r="I679" s="19"/>
      <c r="J679" s="21"/>
      <c r="K679" s="57"/>
      <c r="L679" s="24"/>
      <c r="M679" s="25"/>
      <c r="N679" s="25"/>
      <c r="O679" s="25"/>
      <c r="P679" s="26"/>
    </row>
    <row r="680">
      <c r="A680" s="52"/>
      <c r="B680" s="15"/>
      <c r="C680" s="16"/>
      <c r="D680" s="15"/>
      <c r="E680" s="17"/>
      <c r="F680" s="54"/>
      <c r="G680" s="19"/>
      <c r="H680" s="17"/>
      <c r="I680" s="19"/>
      <c r="J680" s="21"/>
      <c r="K680" s="57"/>
      <c r="L680" s="24"/>
      <c r="M680" s="25"/>
      <c r="N680" s="25"/>
      <c r="O680" s="25"/>
      <c r="P680" s="26"/>
    </row>
    <row r="681">
      <c r="A681" s="52"/>
      <c r="B681" s="15"/>
      <c r="C681" s="16"/>
      <c r="D681" s="15"/>
      <c r="E681" s="17"/>
      <c r="F681" s="54"/>
      <c r="G681" s="19"/>
      <c r="H681" s="17"/>
      <c r="I681" s="19"/>
      <c r="J681" s="21"/>
      <c r="K681" s="57"/>
      <c r="L681" s="24"/>
      <c r="M681" s="25"/>
      <c r="N681" s="25"/>
      <c r="O681" s="25"/>
      <c r="P681" s="26"/>
    </row>
    <row r="682">
      <c r="A682" s="52"/>
      <c r="B682" s="15"/>
      <c r="C682" s="16"/>
      <c r="D682" s="15"/>
      <c r="E682" s="17"/>
      <c r="F682" s="54"/>
      <c r="G682" s="19"/>
      <c r="H682" s="17"/>
      <c r="I682" s="19"/>
      <c r="J682" s="21"/>
      <c r="K682" s="57"/>
      <c r="L682" s="24"/>
      <c r="M682" s="25"/>
      <c r="N682" s="25"/>
      <c r="O682" s="25"/>
      <c r="P682" s="26"/>
    </row>
    <row r="683">
      <c r="A683" s="52"/>
      <c r="B683" s="15"/>
      <c r="C683" s="16"/>
      <c r="D683" s="15"/>
      <c r="E683" s="17"/>
      <c r="F683" s="54"/>
      <c r="G683" s="19"/>
      <c r="H683" s="17"/>
      <c r="I683" s="19"/>
      <c r="J683" s="21"/>
      <c r="K683" s="57"/>
      <c r="L683" s="24"/>
      <c r="M683" s="25"/>
      <c r="N683" s="25"/>
      <c r="O683" s="25"/>
      <c r="P683" s="26"/>
    </row>
    <row r="684">
      <c r="A684" s="52"/>
      <c r="B684" s="15"/>
      <c r="C684" s="16"/>
      <c r="D684" s="15"/>
      <c r="E684" s="17"/>
      <c r="F684" s="54"/>
      <c r="G684" s="19"/>
      <c r="H684" s="17"/>
      <c r="I684" s="19"/>
      <c r="J684" s="21"/>
      <c r="K684" s="57"/>
      <c r="L684" s="24"/>
      <c r="M684" s="25"/>
      <c r="N684" s="25"/>
      <c r="O684" s="25"/>
      <c r="P684" s="26"/>
    </row>
    <row r="685">
      <c r="A685" s="52"/>
      <c r="B685" s="15"/>
      <c r="C685" s="16"/>
      <c r="D685" s="15"/>
      <c r="E685" s="17"/>
      <c r="F685" s="54"/>
      <c r="G685" s="19"/>
      <c r="H685" s="17"/>
      <c r="I685" s="19"/>
      <c r="J685" s="21"/>
      <c r="K685" s="57"/>
      <c r="L685" s="24"/>
      <c r="M685" s="25"/>
      <c r="N685" s="25"/>
      <c r="O685" s="25"/>
      <c r="P685" s="26"/>
    </row>
    <row r="686">
      <c r="A686" s="52"/>
      <c r="B686" s="15"/>
      <c r="C686" s="16"/>
      <c r="D686" s="15"/>
      <c r="E686" s="17"/>
      <c r="F686" s="54"/>
      <c r="G686" s="19"/>
      <c r="H686" s="17"/>
      <c r="I686" s="19"/>
      <c r="J686" s="21"/>
      <c r="K686" s="57"/>
      <c r="L686" s="24"/>
      <c r="M686" s="25"/>
      <c r="N686" s="25"/>
      <c r="O686" s="25"/>
      <c r="P686" s="26"/>
    </row>
    <row r="687">
      <c r="A687" s="52"/>
      <c r="B687" s="15"/>
      <c r="C687" s="16"/>
      <c r="D687" s="15"/>
      <c r="E687" s="17"/>
      <c r="F687" s="54"/>
      <c r="G687" s="19"/>
      <c r="H687" s="17"/>
      <c r="I687" s="19"/>
      <c r="J687" s="21"/>
      <c r="K687" s="57"/>
      <c r="L687" s="24"/>
      <c r="M687" s="25"/>
      <c r="N687" s="25"/>
      <c r="O687" s="25"/>
      <c r="P687" s="26"/>
    </row>
    <row r="688">
      <c r="A688" s="52"/>
      <c r="B688" s="15"/>
      <c r="C688" s="16"/>
      <c r="D688" s="15"/>
      <c r="E688" s="17"/>
      <c r="F688" s="54"/>
      <c r="G688" s="19"/>
      <c r="H688" s="17"/>
      <c r="I688" s="19"/>
      <c r="J688" s="21"/>
      <c r="K688" s="57"/>
      <c r="L688" s="24"/>
      <c r="M688" s="25"/>
      <c r="N688" s="25"/>
      <c r="O688" s="25"/>
      <c r="P688" s="26"/>
    </row>
    <row r="689">
      <c r="A689" s="52"/>
      <c r="B689" s="15"/>
      <c r="C689" s="16"/>
      <c r="D689" s="15"/>
      <c r="E689" s="17"/>
      <c r="F689" s="54"/>
      <c r="G689" s="19"/>
      <c r="H689" s="17"/>
      <c r="I689" s="19"/>
      <c r="J689" s="21"/>
      <c r="K689" s="57"/>
      <c r="L689" s="24"/>
      <c r="M689" s="25"/>
      <c r="N689" s="25"/>
      <c r="O689" s="25"/>
      <c r="P689" s="26"/>
    </row>
    <row r="690">
      <c r="A690" s="52"/>
      <c r="B690" s="15"/>
      <c r="C690" s="16"/>
      <c r="D690" s="15"/>
      <c r="E690" s="17"/>
      <c r="F690" s="54"/>
      <c r="G690" s="19"/>
      <c r="H690" s="17"/>
      <c r="I690" s="19"/>
      <c r="J690" s="21"/>
      <c r="K690" s="57"/>
      <c r="L690" s="24"/>
      <c r="M690" s="25"/>
      <c r="N690" s="25"/>
      <c r="O690" s="25"/>
      <c r="P690" s="26"/>
    </row>
    <row r="691">
      <c r="A691" s="52"/>
      <c r="B691" s="15"/>
      <c r="C691" s="16"/>
      <c r="D691" s="15"/>
      <c r="E691" s="17"/>
      <c r="F691" s="54"/>
      <c r="G691" s="19"/>
      <c r="H691" s="17"/>
      <c r="I691" s="19"/>
      <c r="J691" s="21"/>
      <c r="K691" s="57"/>
      <c r="L691" s="24"/>
      <c r="M691" s="25"/>
      <c r="N691" s="25"/>
      <c r="O691" s="25"/>
      <c r="P691" s="26"/>
    </row>
    <row r="692">
      <c r="A692" s="52"/>
      <c r="B692" s="15"/>
      <c r="C692" s="16"/>
      <c r="D692" s="15"/>
      <c r="E692" s="17"/>
      <c r="F692" s="54"/>
      <c r="G692" s="19"/>
      <c r="H692" s="17"/>
      <c r="I692" s="19"/>
      <c r="J692" s="21"/>
      <c r="K692" s="57"/>
      <c r="L692" s="24"/>
      <c r="M692" s="25"/>
      <c r="N692" s="25"/>
      <c r="O692" s="25"/>
      <c r="P692" s="26"/>
    </row>
    <row r="693">
      <c r="A693" s="52"/>
      <c r="B693" s="15"/>
      <c r="C693" s="16"/>
      <c r="D693" s="15"/>
      <c r="E693" s="17"/>
      <c r="F693" s="54"/>
      <c r="G693" s="19"/>
      <c r="H693" s="17"/>
      <c r="I693" s="19"/>
      <c r="J693" s="21"/>
      <c r="K693" s="57"/>
      <c r="L693" s="24"/>
      <c r="M693" s="25"/>
      <c r="N693" s="25"/>
      <c r="O693" s="25"/>
      <c r="P693" s="26"/>
    </row>
    <row r="694">
      <c r="A694" s="52"/>
      <c r="B694" s="15"/>
      <c r="C694" s="16"/>
      <c r="D694" s="15"/>
      <c r="E694" s="17"/>
      <c r="F694" s="54"/>
      <c r="G694" s="19"/>
      <c r="H694" s="17"/>
      <c r="I694" s="19"/>
      <c r="J694" s="21"/>
      <c r="K694" s="57"/>
      <c r="L694" s="24"/>
      <c r="M694" s="25"/>
      <c r="N694" s="25"/>
      <c r="O694" s="25"/>
      <c r="P694" s="26"/>
    </row>
    <row r="695">
      <c r="A695" s="52"/>
      <c r="B695" s="15"/>
      <c r="C695" s="16"/>
      <c r="D695" s="15"/>
      <c r="E695" s="17"/>
      <c r="F695" s="54"/>
      <c r="G695" s="19"/>
      <c r="H695" s="17"/>
      <c r="I695" s="19"/>
      <c r="J695" s="21"/>
      <c r="K695" s="57"/>
      <c r="L695" s="24"/>
      <c r="M695" s="25"/>
      <c r="N695" s="25"/>
      <c r="O695" s="25"/>
      <c r="P695" s="26"/>
    </row>
    <row r="696">
      <c r="A696" s="52"/>
      <c r="B696" s="15"/>
      <c r="C696" s="16"/>
      <c r="D696" s="15"/>
      <c r="E696" s="17"/>
      <c r="F696" s="54"/>
      <c r="G696" s="19"/>
      <c r="H696" s="17"/>
      <c r="I696" s="19"/>
      <c r="J696" s="21"/>
      <c r="K696" s="57"/>
      <c r="L696" s="24"/>
      <c r="M696" s="25"/>
      <c r="N696" s="25"/>
      <c r="O696" s="25"/>
      <c r="P696" s="26"/>
    </row>
    <row r="697">
      <c r="A697" s="52"/>
      <c r="B697" s="15"/>
      <c r="C697" s="16"/>
      <c r="D697" s="15"/>
      <c r="E697" s="17"/>
      <c r="F697" s="54"/>
      <c r="G697" s="19"/>
      <c r="H697" s="17"/>
      <c r="I697" s="19"/>
      <c r="J697" s="21"/>
      <c r="K697" s="57"/>
      <c r="L697" s="24"/>
      <c r="M697" s="25"/>
      <c r="N697" s="25"/>
      <c r="O697" s="25"/>
      <c r="P697" s="26"/>
    </row>
    <row r="698">
      <c r="A698" s="52"/>
      <c r="B698" s="15"/>
      <c r="C698" s="16"/>
      <c r="D698" s="15"/>
      <c r="E698" s="17"/>
      <c r="F698" s="54"/>
      <c r="G698" s="19"/>
      <c r="H698" s="17"/>
      <c r="I698" s="19"/>
      <c r="J698" s="21"/>
      <c r="K698" s="57"/>
      <c r="L698" s="24"/>
      <c r="M698" s="25"/>
      <c r="N698" s="25"/>
      <c r="O698" s="25"/>
      <c r="P698" s="26"/>
    </row>
    <row r="699">
      <c r="A699" s="52"/>
      <c r="B699" s="15"/>
      <c r="C699" s="16"/>
      <c r="D699" s="15"/>
      <c r="E699" s="17"/>
      <c r="F699" s="54"/>
      <c r="G699" s="19"/>
      <c r="H699" s="17"/>
      <c r="I699" s="19"/>
      <c r="J699" s="21"/>
      <c r="K699" s="57"/>
      <c r="L699" s="24"/>
      <c r="M699" s="25"/>
      <c r="N699" s="25"/>
      <c r="O699" s="25"/>
      <c r="P699" s="26"/>
    </row>
    <row r="700">
      <c r="A700" s="52"/>
      <c r="B700" s="15"/>
      <c r="C700" s="16"/>
      <c r="D700" s="15"/>
      <c r="E700" s="17"/>
      <c r="F700" s="54"/>
      <c r="G700" s="19"/>
      <c r="H700" s="17"/>
      <c r="I700" s="19"/>
      <c r="J700" s="21"/>
      <c r="K700" s="57"/>
      <c r="L700" s="24"/>
      <c r="M700" s="25"/>
      <c r="N700" s="25"/>
      <c r="O700" s="25"/>
      <c r="P700" s="26"/>
    </row>
    <row r="701">
      <c r="A701" s="52"/>
      <c r="B701" s="15"/>
      <c r="C701" s="16"/>
      <c r="D701" s="15"/>
      <c r="E701" s="17"/>
      <c r="F701" s="54"/>
      <c r="G701" s="19"/>
      <c r="H701" s="17"/>
      <c r="I701" s="19"/>
      <c r="J701" s="21"/>
      <c r="K701" s="57"/>
      <c r="L701" s="24"/>
      <c r="M701" s="25"/>
      <c r="N701" s="25"/>
      <c r="O701" s="25"/>
      <c r="P701" s="26"/>
    </row>
    <row r="702">
      <c r="A702" s="52"/>
      <c r="B702" s="15"/>
      <c r="C702" s="16"/>
      <c r="D702" s="15"/>
      <c r="E702" s="17"/>
      <c r="F702" s="54"/>
      <c r="G702" s="19"/>
      <c r="H702" s="17"/>
      <c r="I702" s="19"/>
      <c r="J702" s="21"/>
      <c r="K702" s="57"/>
      <c r="L702" s="24"/>
      <c r="M702" s="25"/>
      <c r="N702" s="25"/>
      <c r="O702" s="25"/>
      <c r="P702" s="26"/>
    </row>
    <row r="703">
      <c r="A703" s="52"/>
      <c r="B703" s="15"/>
      <c r="C703" s="16"/>
      <c r="D703" s="15"/>
      <c r="E703" s="17"/>
      <c r="F703" s="54"/>
      <c r="G703" s="19"/>
      <c r="H703" s="17"/>
      <c r="I703" s="19"/>
      <c r="J703" s="21"/>
      <c r="K703" s="57"/>
      <c r="L703" s="24"/>
      <c r="M703" s="25"/>
      <c r="N703" s="25"/>
      <c r="O703" s="25"/>
      <c r="P703" s="26"/>
    </row>
    <row r="704">
      <c r="A704" s="52"/>
      <c r="B704" s="15"/>
      <c r="C704" s="16"/>
      <c r="D704" s="15"/>
      <c r="E704" s="17"/>
      <c r="F704" s="54"/>
      <c r="G704" s="19"/>
      <c r="H704" s="17"/>
      <c r="I704" s="19"/>
      <c r="J704" s="21"/>
      <c r="K704" s="57"/>
      <c r="L704" s="24"/>
      <c r="M704" s="25"/>
      <c r="N704" s="25"/>
      <c r="O704" s="25"/>
      <c r="P704" s="26"/>
    </row>
    <row r="705">
      <c r="A705" s="52"/>
      <c r="B705" s="15"/>
      <c r="C705" s="16"/>
      <c r="D705" s="15"/>
      <c r="E705" s="17"/>
      <c r="F705" s="54"/>
      <c r="G705" s="19"/>
      <c r="H705" s="17"/>
      <c r="I705" s="19"/>
      <c r="J705" s="21"/>
      <c r="K705" s="57"/>
      <c r="L705" s="24"/>
      <c r="M705" s="25"/>
      <c r="N705" s="25"/>
      <c r="O705" s="25"/>
      <c r="P705" s="26"/>
    </row>
    <row r="706">
      <c r="A706" s="52"/>
      <c r="B706" s="15"/>
      <c r="C706" s="16"/>
      <c r="D706" s="15"/>
      <c r="E706" s="17"/>
      <c r="F706" s="54"/>
      <c r="G706" s="19"/>
      <c r="H706" s="17"/>
      <c r="I706" s="19"/>
      <c r="J706" s="21"/>
      <c r="K706" s="57"/>
      <c r="L706" s="24"/>
      <c r="M706" s="25"/>
      <c r="N706" s="25"/>
      <c r="O706" s="25"/>
      <c r="P706" s="26"/>
    </row>
    <row r="707">
      <c r="A707" s="52"/>
      <c r="B707" s="15"/>
      <c r="C707" s="16"/>
      <c r="D707" s="15"/>
      <c r="E707" s="17"/>
      <c r="F707" s="54"/>
      <c r="G707" s="19"/>
      <c r="H707" s="17"/>
      <c r="I707" s="19"/>
      <c r="J707" s="21"/>
      <c r="K707" s="57"/>
      <c r="L707" s="24"/>
      <c r="M707" s="25"/>
      <c r="N707" s="25"/>
      <c r="O707" s="25"/>
      <c r="P707" s="26"/>
    </row>
    <row r="708">
      <c r="A708" s="52"/>
      <c r="B708" s="15"/>
      <c r="C708" s="16"/>
      <c r="D708" s="15"/>
      <c r="E708" s="17"/>
      <c r="F708" s="54"/>
      <c r="G708" s="19"/>
      <c r="H708" s="17"/>
      <c r="I708" s="19"/>
      <c r="J708" s="21"/>
      <c r="K708" s="57"/>
      <c r="L708" s="24"/>
      <c r="M708" s="25"/>
      <c r="N708" s="25"/>
      <c r="O708" s="25"/>
      <c r="P708" s="26"/>
    </row>
    <row r="709">
      <c r="A709" s="52"/>
      <c r="B709" s="15"/>
      <c r="C709" s="16"/>
      <c r="D709" s="15"/>
      <c r="E709" s="17"/>
      <c r="F709" s="54"/>
      <c r="G709" s="19"/>
      <c r="H709" s="17"/>
      <c r="I709" s="19"/>
      <c r="J709" s="21"/>
      <c r="K709" s="57"/>
      <c r="L709" s="24"/>
      <c r="M709" s="25"/>
      <c r="N709" s="25"/>
      <c r="O709" s="25"/>
      <c r="P709" s="26"/>
    </row>
    <row r="710">
      <c r="A710" s="52"/>
      <c r="B710" s="15"/>
      <c r="C710" s="16"/>
      <c r="D710" s="15"/>
      <c r="E710" s="17"/>
      <c r="F710" s="54"/>
      <c r="G710" s="19"/>
      <c r="H710" s="17"/>
      <c r="I710" s="19"/>
      <c r="J710" s="21"/>
      <c r="K710" s="57"/>
      <c r="L710" s="24"/>
      <c r="M710" s="25"/>
      <c r="N710" s="25"/>
      <c r="O710" s="25"/>
      <c r="P710" s="26"/>
    </row>
    <row r="711">
      <c r="A711" s="52"/>
      <c r="B711" s="15"/>
      <c r="C711" s="16"/>
      <c r="D711" s="15"/>
      <c r="E711" s="17"/>
      <c r="F711" s="54"/>
      <c r="G711" s="19"/>
      <c r="H711" s="17"/>
      <c r="I711" s="19"/>
      <c r="J711" s="21"/>
      <c r="K711" s="57"/>
      <c r="L711" s="24"/>
      <c r="M711" s="25"/>
      <c r="N711" s="25"/>
      <c r="O711" s="25"/>
      <c r="P711" s="26"/>
    </row>
    <row r="712">
      <c r="A712" s="52"/>
      <c r="B712" s="15"/>
      <c r="C712" s="16"/>
      <c r="D712" s="15"/>
      <c r="E712" s="17"/>
      <c r="F712" s="54"/>
      <c r="G712" s="19"/>
      <c r="H712" s="17"/>
      <c r="I712" s="19"/>
      <c r="J712" s="21"/>
      <c r="K712" s="57"/>
      <c r="L712" s="24"/>
      <c r="M712" s="25"/>
      <c r="N712" s="25"/>
      <c r="O712" s="25"/>
      <c r="P712" s="26"/>
    </row>
    <row r="713">
      <c r="A713" s="52"/>
      <c r="B713" s="15"/>
      <c r="C713" s="16"/>
      <c r="D713" s="15"/>
      <c r="E713" s="17"/>
      <c r="F713" s="54"/>
      <c r="G713" s="19"/>
      <c r="H713" s="17"/>
      <c r="I713" s="19"/>
      <c r="J713" s="21"/>
      <c r="K713" s="57"/>
      <c r="L713" s="24"/>
      <c r="M713" s="25"/>
      <c r="N713" s="25"/>
      <c r="O713" s="25"/>
      <c r="P713" s="26"/>
    </row>
    <row r="714">
      <c r="A714" s="52"/>
      <c r="B714" s="15"/>
      <c r="C714" s="16"/>
      <c r="D714" s="15"/>
      <c r="E714" s="17"/>
      <c r="F714" s="54"/>
      <c r="G714" s="19"/>
      <c r="H714" s="17"/>
      <c r="I714" s="19"/>
      <c r="J714" s="21"/>
      <c r="K714" s="57"/>
      <c r="L714" s="24"/>
      <c r="M714" s="25"/>
      <c r="N714" s="25"/>
      <c r="O714" s="25"/>
      <c r="P714" s="26"/>
    </row>
    <row r="715">
      <c r="A715" s="52"/>
      <c r="B715" s="15"/>
      <c r="C715" s="16"/>
      <c r="D715" s="15"/>
      <c r="E715" s="17"/>
      <c r="F715" s="54"/>
      <c r="G715" s="19"/>
      <c r="H715" s="17"/>
      <c r="I715" s="19"/>
      <c r="J715" s="21"/>
      <c r="K715" s="57"/>
      <c r="L715" s="24"/>
      <c r="M715" s="25"/>
      <c r="N715" s="25"/>
      <c r="O715" s="25"/>
      <c r="P715" s="26"/>
    </row>
    <row r="716">
      <c r="A716" s="52"/>
      <c r="B716" s="15"/>
      <c r="C716" s="16"/>
      <c r="D716" s="15"/>
      <c r="E716" s="17"/>
      <c r="F716" s="54"/>
      <c r="G716" s="19"/>
      <c r="H716" s="17"/>
      <c r="I716" s="19"/>
      <c r="J716" s="21"/>
      <c r="K716" s="57"/>
      <c r="L716" s="24"/>
      <c r="M716" s="25"/>
      <c r="N716" s="25"/>
      <c r="O716" s="25"/>
      <c r="P716" s="26"/>
    </row>
    <row r="717">
      <c r="A717" s="52"/>
      <c r="B717" s="15"/>
      <c r="C717" s="16"/>
      <c r="D717" s="15"/>
      <c r="E717" s="17"/>
      <c r="F717" s="54"/>
      <c r="G717" s="19"/>
      <c r="H717" s="17"/>
      <c r="I717" s="19"/>
      <c r="J717" s="21"/>
      <c r="K717" s="57"/>
      <c r="L717" s="24"/>
      <c r="M717" s="25"/>
      <c r="N717" s="25"/>
      <c r="O717" s="25"/>
      <c r="P717" s="26"/>
    </row>
    <row r="718">
      <c r="A718" s="52"/>
      <c r="B718" s="15"/>
      <c r="C718" s="16"/>
      <c r="D718" s="15"/>
      <c r="E718" s="17"/>
      <c r="F718" s="54"/>
      <c r="G718" s="19"/>
      <c r="H718" s="17"/>
      <c r="I718" s="19"/>
      <c r="J718" s="21"/>
      <c r="K718" s="57"/>
      <c r="L718" s="24"/>
      <c r="M718" s="25"/>
      <c r="N718" s="25"/>
      <c r="O718" s="25"/>
      <c r="P718" s="26"/>
    </row>
    <row r="719">
      <c r="A719" s="52"/>
      <c r="B719" s="15"/>
      <c r="C719" s="16"/>
      <c r="D719" s="15"/>
      <c r="E719" s="17"/>
      <c r="F719" s="54"/>
      <c r="G719" s="19"/>
      <c r="H719" s="17"/>
      <c r="I719" s="19"/>
      <c r="J719" s="21"/>
      <c r="K719" s="57"/>
      <c r="L719" s="24"/>
      <c r="M719" s="25"/>
      <c r="N719" s="25"/>
      <c r="O719" s="25"/>
      <c r="P719" s="26"/>
    </row>
    <row r="720">
      <c r="A720" s="52"/>
      <c r="B720" s="15"/>
      <c r="C720" s="16"/>
      <c r="D720" s="15"/>
      <c r="E720" s="17"/>
      <c r="F720" s="54"/>
      <c r="G720" s="19"/>
      <c r="H720" s="17"/>
      <c r="I720" s="19"/>
      <c r="J720" s="21"/>
      <c r="K720" s="57"/>
      <c r="L720" s="24"/>
      <c r="M720" s="25"/>
      <c r="N720" s="25"/>
      <c r="O720" s="25"/>
      <c r="P720" s="26"/>
    </row>
    <row r="721">
      <c r="A721" s="52"/>
      <c r="B721" s="15"/>
      <c r="C721" s="16"/>
      <c r="D721" s="15"/>
      <c r="E721" s="17"/>
      <c r="F721" s="54"/>
      <c r="G721" s="19"/>
      <c r="H721" s="17"/>
      <c r="I721" s="19"/>
      <c r="J721" s="21"/>
      <c r="K721" s="57"/>
      <c r="L721" s="24"/>
      <c r="M721" s="25"/>
      <c r="N721" s="25"/>
      <c r="O721" s="25"/>
      <c r="P721" s="26"/>
    </row>
    <row r="722">
      <c r="A722" s="52"/>
      <c r="B722" s="15"/>
      <c r="C722" s="16"/>
      <c r="D722" s="15"/>
      <c r="E722" s="17"/>
      <c r="F722" s="54"/>
      <c r="G722" s="19"/>
      <c r="H722" s="17"/>
      <c r="I722" s="19"/>
      <c r="J722" s="21"/>
      <c r="K722" s="57"/>
      <c r="L722" s="24"/>
      <c r="M722" s="25"/>
      <c r="N722" s="25"/>
      <c r="O722" s="25"/>
      <c r="P722" s="26"/>
    </row>
    <row r="723">
      <c r="A723" s="52"/>
      <c r="B723" s="15"/>
      <c r="C723" s="16"/>
      <c r="D723" s="15"/>
      <c r="E723" s="17"/>
      <c r="F723" s="54"/>
      <c r="G723" s="19"/>
      <c r="H723" s="17"/>
      <c r="I723" s="19"/>
      <c r="J723" s="21"/>
      <c r="K723" s="57"/>
      <c r="L723" s="24"/>
      <c r="M723" s="25"/>
      <c r="N723" s="25"/>
      <c r="O723" s="25"/>
      <c r="P723" s="26"/>
    </row>
    <row r="724">
      <c r="A724" s="52"/>
      <c r="B724" s="15"/>
      <c r="C724" s="16"/>
      <c r="D724" s="15"/>
      <c r="E724" s="17"/>
      <c r="F724" s="54"/>
      <c r="G724" s="19"/>
      <c r="H724" s="17"/>
      <c r="I724" s="19"/>
      <c r="J724" s="21"/>
      <c r="K724" s="57"/>
      <c r="L724" s="24"/>
      <c r="M724" s="25"/>
      <c r="N724" s="25"/>
      <c r="O724" s="25"/>
      <c r="P724" s="26"/>
    </row>
    <row r="725">
      <c r="A725" s="52"/>
      <c r="B725" s="15"/>
      <c r="C725" s="16"/>
      <c r="D725" s="15"/>
      <c r="E725" s="17"/>
      <c r="F725" s="54"/>
      <c r="G725" s="19"/>
      <c r="H725" s="17"/>
      <c r="I725" s="19"/>
      <c r="J725" s="21"/>
      <c r="K725" s="57"/>
      <c r="L725" s="24"/>
      <c r="M725" s="25"/>
      <c r="N725" s="25"/>
      <c r="O725" s="25"/>
      <c r="P725" s="26"/>
    </row>
    <row r="726">
      <c r="A726" s="52"/>
      <c r="B726" s="15"/>
      <c r="C726" s="16"/>
      <c r="D726" s="15"/>
      <c r="E726" s="17"/>
      <c r="F726" s="54"/>
      <c r="G726" s="19"/>
      <c r="H726" s="17"/>
      <c r="I726" s="19"/>
      <c r="J726" s="21"/>
      <c r="K726" s="57"/>
      <c r="L726" s="24"/>
      <c r="M726" s="25"/>
      <c r="N726" s="25"/>
      <c r="O726" s="25"/>
      <c r="P726" s="26"/>
    </row>
    <row r="727">
      <c r="A727" s="52"/>
      <c r="B727" s="15"/>
      <c r="C727" s="16"/>
      <c r="D727" s="15"/>
      <c r="E727" s="17"/>
      <c r="F727" s="54"/>
      <c r="G727" s="19"/>
      <c r="H727" s="17"/>
      <c r="I727" s="19"/>
      <c r="J727" s="21"/>
      <c r="K727" s="57"/>
      <c r="L727" s="24"/>
      <c r="M727" s="25"/>
      <c r="N727" s="25"/>
      <c r="O727" s="25"/>
      <c r="P727" s="26"/>
    </row>
    <row r="728">
      <c r="A728" s="52"/>
      <c r="B728" s="15"/>
      <c r="C728" s="16"/>
      <c r="D728" s="15"/>
      <c r="E728" s="17"/>
      <c r="F728" s="54"/>
      <c r="G728" s="19"/>
      <c r="H728" s="17"/>
      <c r="I728" s="19"/>
      <c r="J728" s="21"/>
      <c r="K728" s="57"/>
      <c r="L728" s="24"/>
      <c r="M728" s="25"/>
      <c r="N728" s="25"/>
      <c r="O728" s="25"/>
      <c r="P728" s="26"/>
    </row>
    <row r="729">
      <c r="A729" s="52"/>
      <c r="B729" s="15"/>
      <c r="C729" s="16"/>
      <c r="D729" s="15"/>
      <c r="E729" s="17"/>
      <c r="F729" s="54"/>
      <c r="G729" s="19"/>
      <c r="H729" s="17"/>
      <c r="I729" s="19"/>
      <c r="J729" s="21"/>
      <c r="K729" s="57"/>
      <c r="L729" s="24"/>
      <c r="M729" s="25"/>
      <c r="N729" s="25"/>
      <c r="O729" s="25"/>
      <c r="P729" s="26"/>
    </row>
    <row r="730">
      <c r="A730" s="52"/>
      <c r="B730" s="15"/>
      <c r="C730" s="16"/>
      <c r="D730" s="15"/>
      <c r="E730" s="17"/>
      <c r="F730" s="54"/>
      <c r="G730" s="19"/>
      <c r="H730" s="17"/>
      <c r="I730" s="19"/>
      <c r="J730" s="21"/>
      <c r="K730" s="57"/>
      <c r="L730" s="24"/>
      <c r="M730" s="25"/>
      <c r="N730" s="25"/>
      <c r="O730" s="25"/>
      <c r="P730" s="26"/>
    </row>
    <row r="731">
      <c r="A731" s="52"/>
      <c r="B731" s="15"/>
      <c r="C731" s="16"/>
      <c r="D731" s="15"/>
      <c r="E731" s="17"/>
      <c r="F731" s="54"/>
      <c r="G731" s="19"/>
      <c r="H731" s="17"/>
      <c r="I731" s="19"/>
      <c r="J731" s="21"/>
      <c r="K731" s="57"/>
      <c r="L731" s="24"/>
      <c r="M731" s="25"/>
      <c r="N731" s="25"/>
      <c r="O731" s="25"/>
      <c r="P731" s="26"/>
    </row>
    <row r="732">
      <c r="A732" s="52"/>
      <c r="B732" s="15"/>
      <c r="C732" s="16"/>
      <c r="D732" s="15"/>
      <c r="E732" s="17"/>
      <c r="F732" s="54"/>
      <c r="G732" s="19"/>
      <c r="H732" s="17"/>
      <c r="I732" s="19"/>
      <c r="J732" s="21"/>
      <c r="K732" s="57"/>
      <c r="L732" s="24"/>
      <c r="M732" s="25"/>
      <c r="N732" s="25"/>
      <c r="O732" s="25"/>
      <c r="P732" s="26"/>
    </row>
    <row r="733">
      <c r="A733" s="52"/>
      <c r="B733" s="15"/>
      <c r="C733" s="16"/>
      <c r="D733" s="15"/>
      <c r="E733" s="17"/>
      <c r="F733" s="54"/>
      <c r="G733" s="19"/>
      <c r="H733" s="17"/>
      <c r="I733" s="19"/>
      <c r="J733" s="21"/>
      <c r="K733" s="57"/>
      <c r="L733" s="24"/>
      <c r="M733" s="25"/>
      <c r="N733" s="25"/>
      <c r="O733" s="25"/>
      <c r="P733" s="26"/>
    </row>
    <row r="734">
      <c r="A734" s="52"/>
      <c r="B734" s="15"/>
      <c r="C734" s="16"/>
      <c r="D734" s="15"/>
      <c r="E734" s="17"/>
      <c r="F734" s="54"/>
      <c r="G734" s="19"/>
      <c r="H734" s="17"/>
      <c r="I734" s="19"/>
      <c r="J734" s="21"/>
      <c r="K734" s="57"/>
      <c r="L734" s="24"/>
      <c r="M734" s="25"/>
      <c r="N734" s="25"/>
      <c r="O734" s="25"/>
      <c r="P734" s="26"/>
    </row>
    <row r="735">
      <c r="A735" s="52"/>
      <c r="B735" s="15"/>
      <c r="C735" s="16"/>
      <c r="D735" s="15"/>
      <c r="E735" s="17"/>
      <c r="F735" s="54"/>
      <c r="G735" s="19"/>
      <c r="H735" s="17"/>
      <c r="I735" s="19"/>
      <c r="J735" s="21"/>
      <c r="K735" s="57"/>
      <c r="L735" s="24"/>
      <c r="M735" s="25"/>
      <c r="N735" s="25"/>
      <c r="O735" s="25"/>
      <c r="P735" s="26"/>
    </row>
    <row r="736">
      <c r="A736" s="52"/>
      <c r="B736" s="15"/>
      <c r="C736" s="16"/>
      <c r="D736" s="15"/>
      <c r="E736" s="17"/>
      <c r="F736" s="54"/>
      <c r="G736" s="19"/>
      <c r="H736" s="17"/>
      <c r="I736" s="19"/>
      <c r="J736" s="21"/>
      <c r="K736" s="57"/>
      <c r="L736" s="24"/>
      <c r="M736" s="25"/>
      <c r="N736" s="25"/>
      <c r="O736" s="25"/>
      <c r="P736" s="26"/>
    </row>
    <row r="737">
      <c r="A737" s="52"/>
      <c r="B737" s="15"/>
      <c r="C737" s="16"/>
      <c r="D737" s="15"/>
      <c r="E737" s="17"/>
      <c r="F737" s="54"/>
      <c r="G737" s="19"/>
      <c r="H737" s="17"/>
      <c r="I737" s="19"/>
      <c r="J737" s="21"/>
      <c r="K737" s="57"/>
      <c r="L737" s="24"/>
      <c r="M737" s="25"/>
      <c r="N737" s="25"/>
      <c r="O737" s="25"/>
      <c r="P737" s="26"/>
    </row>
    <row r="738">
      <c r="A738" s="52"/>
      <c r="B738" s="15"/>
      <c r="C738" s="16"/>
      <c r="D738" s="15"/>
      <c r="E738" s="17"/>
      <c r="F738" s="54"/>
      <c r="G738" s="19"/>
      <c r="H738" s="17"/>
      <c r="I738" s="19"/>
      <c r="J738" s="21"/>
      <c r="K738" s="57"/>
      <c r="L738" s="24"/>
      <c r="M738" s="25"/>
      <c r="N738" s="25"/>
      <c r="O738" s="25"/>
      <c r="P738" s="26"/>
    </row>
    <row r="739">
      <c r="A739" s="52"/>
      <c r="B739" s="15"/>
      <c r="C739" s="16"/>
      <c r="D739" s="15"/>
      <c r="E739" s="17"/>
      <c r="F739" s="54"/>
      <c r="G739" s="19"/>
      <c r="H739" s="17"/>
      <c r="I739" s="19"/>
      <c r="J739" s="21"/>
      <c r="K739" s="57"/>
      <c r="L739" s="24"/>
      <c r="M739" s="25"/>
      <c r="N739" s="25"/>
      <c r="O739" s="25"/>
      <c r="P739" s="26"/>
    </row>
    <row r="740">
      <c r="A740" s="52"/>
      <c r="B740" s="15"/>
      <c r="C740" s="16"/>
      <c r="D740" s="15"/>
      <c r="E740" s="17"/>
      <c r="F740" s="54"/>
      <c r="G740" s="19"/>
      <c r="H740" s="17"/>
      <c r="I740" s="19"/>
      <c r="J740" s="21"/>
      <c r="K740" s="57"/>
      <c r="L740" s="24"/>
      <c r="M740" s="25"/>
      <c r="N740" s="25"/>
      <c r="O740" s="25"/>
      <c r="P740" s="26"/>
    </row>
    <row r="741">
      <c r="A741" s="52"/>
      <c r="B741" s="15"/>
      <c r="C741" s="16"/>
      <c r="D741" s="15"/>
      <c r="E741" s="17"/>
      <c r="F741" s="54"/>
      <c r="G741" s="19"/>
      <c r="H741" s="17"/>
      <c r="I741" s="19"/>
      <c r="J741" s="21"/>
      <c r="K741" s="57"/>
      <c r="L741" s="24"/>
      <c r="M741" s="25"/>
      <c r="N741" s="25"/>
      <c r="O741" s="25"/>
      <c r="P741" s="26"/>
    </row>
    <row r="742">
      <c r="A742" s="52"/>
      <c r="B742" s="15"/>
      <c r="C742" s="16"/>
      <c r="D742" s="15"/>
      <c r="E742" s="17"/>
      <c r="F742" s="54"/>
      <c r="G742" s="19"/>
      <c r="H742" s="17"/>
      <c r="I742" s="19"/>
      <c r="J742" s="21"/>
      <c r="K742" s="57"/>
      <c r="L742" s="24"/>
      <c r="M742" s="25"/>
      <c r="N742" s="25"/>
      <c r="O742" s="25"/>
      <c r="P742" s="26"/>
    </row>
    <row r="743">
      <c r="A743" s="52"/>
      <c r="B743" s="15"/>
      <c r="C743" s="16"/>
      <c r="D743" s="15"/>
      <c r="E743" s="17"/>
      <c r="F743" s="54"/>
      <c r="G743" s="19"/>
      <c r="H743" s="17"/>
      <c r="I743" s="19"/>
      <c r="J743" s="21"/>
      <c r="K743" s="57"/>
      <c r="L743" s="24"/>
      <c r="M743" s="25"/>
      <c r="N743" s="25"/>
      <c r="O743" s="25"/>
      <c r="P743" s="26"/>
    </row>
    <row r="744">
      <c r="A744" s="52"/>
      <c r="B744" s="15"/>
      <c r="C744" s="16"/>
      <c r="D744" s="15"/>
      <c r="E744" s="17"/>
      <c r="F744" s="54"/>
      <c r="G744" s="19"/>
      <c r="H744" s="17"/>
      <c r="I744" s="19"/>
      <c r="J744" s="21"/>
      <c r="K744" s="57"/>
      <c r="L744" s="24"/>
      <c r="M744" s="25"/>
      <c r="N744" s="25"/>
      <c r="O744" s="25"/>
      <c r="P744" s="26"/>
    </row>
    <row r="745">
      <c r="A745" s="52"/>
      <c r="B745" s="15"/>
      <c r="C745" s="16"/>
      <c r="D745" s="15"/>
      <c r="E745" s="17"/>
      <c r="F745" s="54"/>
      <c r="G745" s="19"/>
      <c r="H745" s="17"/>
      <c r="I745" s="19"/>
      <c r="J745" s="21"/>
      <c r="K745" s="57"/>
      <c r="L745" s="24"/>
      <c r="M745" s="25"/>
      <c r="N745" s="25"/>
      <c r="O745" s="25"/>
      <c r="P745" s="26"/>
    </row>
    <row r="746">
      <c r="A746" s="52"/>
      <c r="B746" s="15"/>
      <c r="C746" s="16"/>
      <c r="D746" s="15"/>
      <c r="E746" s="17"/>
      <c r="F746" s="54"/>
      <c r="G746" s="19"/>
      <c r="H746" s="17"/>
      <c r="I746" s="19"/>
      <c r="J746" s="21"/>
      <c r="K746" s="57"/>
      <c r="L746" s="24"/>
      <c r="M746" s="25"/>
      <c r="N746" s="25"/>
      <c r="O746" s="25"/>
      <c r="P746" s="26"/>
    </row>
    <row r="747">
      <c r="A747" s="74"/>
      <c r="B747" s="15"/>
      <c r="C747" s="16"/>
      <c r="D747" s="15"/>
      <c r="E747" s="17"/>
      <c r="F747" s="54"/>
      <c r="G747" s="19"/>
      <c r="H747" s="17"/>
      <c r="I747" s="19"/>
      <c r="J747" s="21"/>
      <c r="K747" s="57"/>
      <c r="L747" s="24"/>
      <c r="M747" s="25"/>
      <c r="N747" s="25"/>
      <c r="O747" s="25"/>
      <c r="P747" s="26"/>
    </row>
    <row r="748">
      <c r="A748" s="74"/>
      <c r="B748" s="15"/>
      <c r="C748" s="16"/>
      <c r="D748" s="15"/>
      <c r="E748" s="17"/>
      <c r="F748" s="54"/>
      <c r="G748" s="19"/>
      <c r="H748" s="17"/>
      <c r="I748" s="19"/>
      <c r="J748" s="21"/>
      <c r="K748" s="57"/>
      <c r="L748" s="24"/>
      <c r="M748" s="25"/>
      <c r="N748" s="25"/>
      <c r="O748" s="25"/>
      <c r="P748" s="26"/>
    </row>
    <row r="749">
      <c r="A749" s="74"/>
      <c r="B749" s="15"/>
      <c r="C749" s="16"/>
      <c r="D749" s="15"/>
      <c r="E749" s="17"/>
      <c r="F749" s="54"/>
      <c r="G749" s="19"/>
      <c r="H749" s="17"/>
      <c r="I749" s="19"/>
      <c r="J749" s="21"/>
      <c r="K749" s="57"/>
      <c r="L749" s="24"/>
      <c r="M749" s="25"/>
      <c r="N749" s="25"/>
      <c r="O749" s="25"/>
      <c r="P749" s="26"/>
    </row>
    <row r="750">
      <c r="A750" s="74"/>
      <c r="B750" s="15"/>
      <c r="C750" s="16"/>
      <c r="D750" s="15"/>
      <c r="E750" s="17"/>
      <c r="F750" s="54"/>
      <c r="G750" s="19"/>
      <c r="H750" s="17"/>
      <c r="I750" s="19"/>
      <c r="J750" s="21"/>
      <c r="K750" s="57"/>
      <c r="L750" s="24"/>
      <c r="M750" s="25"/>
      <c r="N750" s="25"/>
      <c r="O750" s="25"/>
      <c r="P750" s="26"/>
    </row>
    <row r="751">
      <c r="A751" s="52"/>
      <c r="B751" s="15"/>
      <c r="C751" s="16"/>
      <c r="D751" s="15"/>
      <c r="E751" s="17"/>
      <c r="F751" s="54"/>
      <c r="G751" s="19"/>
      <c r="H751" s="17"/>
      <c r="I751" s="19"/>
      <c r="J751" s="21"/>
      <c r="K751" s="57"/>
      <c r="L751" s="24"/>
      <c r="M751" s="25"/>
      <c r="N751" s="25"/>
      <c r="O751" s="25"/>
      <c r="P751" s="26"/>
    </row>
    <row r="752">
      <c r="A752" s="52"/>
      <c r="B752" s="15"/>
      <c r="C752" s="16"/>
      <c r="D752" s="15"/>
      <c r="E752" s="17"/>
      <c r="F752" s="54"/>
      <c r="G752" s="19"/>
      <c r="H752" s="17"/>
      <c r="I752" s="19"/>
      <c r="J752" s="21"/>
      <c r="K752" s="57"/>
      <c r="L752" s="24"/>
      <c r="M752" s="25"/>
      <c r="N752" s="25"/>
      <c r="O752" s="25"/>
      <c r="P752" s="26"/>
    </row>
    <row r="753">
      <c r="A753" s="52"/>
      <c r="B753" s="15"/>
      <c r="C753" s="16"/>
      <c r="D753" s="15"/>
      <c r="E753" s="17"/>
      <c r="F753" s="54"/>
      <c r="G753" s="19"/>
      <c r="H753" s="17"/>
      <c r="I753" s="19"/>
      <c r="J753" s="21"/>
      <c r="K753" s="57"/>
      <c r="L753" s="24"/>
      <c r="M753" s="25"/>
      <c r="N753" s="25"/>
      <c r="O753" s="25"/>
      <c r="P753" s="26"/>
    </row>
    <row r="754">
      <c r="A754" s="52"/>
      <c r="B754" s="15"/>
      <c r="C754" s="16"/>
      <c r="D754" s="15"/>
      <c r="E754" s="17"/>
      <c r="F754" s="54"/>
      <c r="G754" s="19"/>
      <c r="H754" s="17"/>
      <c r="I754" s="19"/>
      <c r="J754" s="21"/>
      <c r="K754" s="57"/>
      <c r="L754" s="24"/>
      <c r="M754" s="25"/>
      <c r="N754" s="25"/>
      <c r="O754" s="25"/>
      <c r="P754" s="26"/>
    </row>
    <row r="755">
      <c r="A755" s="52"/>
      <c r="B755" s="15"/>
      <c r="C755" s="16"/>
      <c r="D755" s="15"/>
      <c r="E755" s="17"/>
      <c r="F755" s="54"/>
      <c r="G755" s="19"/>
      <c r="H755" s="17"/>
      <c r="I755" s="19"/>
      <c r="J755" s="21"/>
      <c r="K755" s="57"/>
      <c r="L755" s="24"/>
      <c r="M755" s="25"/>
      <c r="N755" s="25"/>
      <c r="O755" s="25"/>
      <c r="P755" s="26"/>
    </row>
    <row r="756">
      <c r="A756" s="52"/>
      <c r="B756" s="15"/>
      <c r="C756" s="16"/>
      <c r="D756" s="15"/>
      <c r="E756" s="17"/>
      <c r="F756" s="54"/>
      <c r="G756" s="19"/>
      <c r="H756" s="17"/>
      <c r="I756" s="19"/>
      <c r="J756" s="21"/>
      <c r="K756" s="57"/>
      <c r="L756" s="24"/>
      <c r="M756" s="25"/>
      <c r="N756" s="25"/>
      <c r="O756" s="25"/>
      <c r="P756" s="26"/>
    </row>
    <row r="757">
      <c r="A757" s="52"/>
      <c r="B757" s="15"/>
      <c r="C757" s="16"/>
      <c r="D757" s="15"/>
      <c r="E757" s="17"/>
      <c r="F757" s="54"/>
      <c r="G757" s="19"/>
      <c r="H757" s="17"/>
      <c r="I757" s="19"/>
      <c r="J757" s="21"/>
      <c r="K757" s="57"/>
      <c r="L757" s="24"/>
      <c r="M757" s="25"/>
      <c r="N757" s="25"/>
      <c r="O757" s="25"/>
      <c r="P757" s="26"/>
    </row>
    <row r="758">
      <c r="A758" s="52"/>
      <c r="B758" s="15"/>
      <c r="C758" s="16"/>
      <c r="D758" s="15"/>
      <c r="E758" s="17"/>
      <c r="F758" s="54"/>
      <c r="G758" s="19"/>
      <c r="H758" s="17"/>
      <c r="I758" s="19"/>
      <c r="J758" s="21"/>
      <c r="K758" s="57"/>
      <c r="L758" s="24"/>
      <c r="M758" s="25"/>
      <c r="N758" s="25"/>
      <c r="O758" s="25"/>
      <c r="P758" s="26"/>
    </row>
    <row r="759">
      <c r="A759" s="52"/>
      <c r="B759" s="15"/>
      <c r="C759" s="16"/>
      <c r="D759" s="15"/>
      <c r="E759" s="17"/>
      <c r="F759" s="54"/>
      <c r="G759" s="19"/>
      <c r="H759" s="17"/>
      <c r="I759" s="19"/>
      <c r="J759" s="21"/>
      <c r="K759" s="57"/>
      <c r="L759" s="24"/>
      <c r="M759" s="25"/>
      <c r="N759" s="25"/>
      <c r="O759" s="25"/>
      <c r="P759" s="26"/>
    </row>
    <row r="760">
      <c r="A760" s="52"/>
      <c r="B760" s="15"/>
      <c r="C760" s="16"/>
      <c r="D760" s="15"/>
      <c r="E760" s="17"/>
      <c r="F760" s="54"/>
      <c r="G760" s="19"/>
      <c r="H760" s="17"/>
      <c r="I760" s="19"/>
      <c r="J760" s="21"/>
      <c r="K760" s="57"/>
      <c r="L760" s="24"/>
      <c r="M760" s="25"/>
      <c r="N760" s="25"/>
      <c r="O760" s="25"/>
      <c r="P760" s="26"/>
    </row>
    <row r="761">
      <c r="A761" s="52"/>
      <c r="B761" s="15"/>
      <c r="C761" s="16"/>
      <c r="D761" s="15"/>
      <c r="E761" s="17"/>
      <c r="F761" s="54"/>
      <c r="G761" s="19"/>
      <c r="H761" s="17"/>
      <c r="I761" s="19"/>
      <c r="J761" s="21"/>
      <c r="K761" s="57"/>
      <c r="L761" s="24"/>
      <c r="M761" s="25"/>
      <c r="N761" s="25"/>
      <c r="O761" s="25"/>
      <c r="P761" s="26"/>
    </row>
    <row r="762">
      <c r="A762" s="52"/>
      <c r="B762" s="15"/>
      <c r="C762" s="16"/>
      <c r="D762" s="15"/>
      <c r="E762" s="17"/>
      <c r="F762" s="54"/>
      <c r="G762" s="19"/>
      <c r="H762" s="17"/>
      <c r="I762" s="19"/>
      <c r="J762" s="21"/>
      <c r="K762" s="57"/>
      <c r="L762" s="24"/>
      <c r="M762" s="25"/>
      <c r="N762" s="25"/>
      <c r="O762" s="25"/>
      <c r="P762" s="26"/>
    </row>
    <row r="763">
      <c r="A763" s="52"/>
      <c r="B763" s="15"/>
      <c r="C763" s="16"/>
      <c r="D763" s="15"/>
      <c r="E763" s="17"/>
      <c r="F763" s="54"/>
      <c r="G763" s="19"/>
      <c r="H763" s="17"/>
      <c r="I763" s="19"/>
      <c r="J763" s="21"/>
      <c r="K763" s="57"/>
      <c r="L763" s="24"/>
      <c r="M763" s="25"/>
      <c r="N763" s="25"/>
      <c r="O763" s="25"/>
      <c r="P763" s="26"/>
    </row>
    <row r="764">
      <c r="A764" s="52"/>
      <c r="B764" s="15"/>
      <c r="C764" s="16"/>
      <c r="D764" s="15"/>
      <c r="E764" s="17"/>
      <c r="F764" s="54"/>
      <c r="G764" s="19"/>
      <c r="H764" s="17"/>
      <c r="I764" s="19"/>
      <c r="J764" s="21"/>
      <c r="K764" s="57"/>
      <c r="L764" s="24"/>
      <c r="M764" s="25"/>
      <c r="N764" s="25"/>
      <c r="O764" s="25"/>
      <c r="P764" s="26"/>
    </row>
    <row r="765">
      <c r="A765" s="52"/>
      <c r="B765" s="15"/>
      <c r="C765" s="16"/>
      <c r="D765" s="15"/>
      <c r="E765" s="17"/>
      <c r="F765" s="54"/>
      <c r="G765" s="19"/>
      <c r="H765" s="17"/>
      <c r="I765" s="19"/>
      <c r="J765" s="21"/>
      <c r="K765" s="57"/>
      <c r="L765" s="24"/>
      <c r="M765" s="25"/>
      <c r="N765" s="25"/>
      <c r="O765" s="25"/>
      <c r="P765" s="26"/>
    </row>
    <row r="766">
      <c r="A766" s="52"/>
      <c r="B766" s="15"/>
      <c r="C766" s="16"/>
      <c r="D766" s="15"/>
      <c r="E766" s="17"/>
      <c r="F766" s="54"/>
      <c r="G766" s="19"/>
      <c r="H766" s="17"/>
      <c r="I766" s="19"/>
      <c r="J766" s="21"/>
      <c r="K766" s="57"/>
      <c r="L766" s="24"/>
      <c r="M766" s="25"/>
      <c r="N766" s="25"/>
      <c r="O766" s="25"/>
      <c r="P766" s="26"/>
    </row>
    <row r="767">
      <c r="A767" s="52"/>
      <c r="B767" s="15"/>
      <c r="C767" s="16"/>
      <c r="D767" s="15"/>
      <c r="E767" s="17"/>
      <c r="F767" s="54"/>
      <c r="G767" s="19"/>
      <c r="H767" s="17"/>
      <c r="I767" s="19"/>
      <c r="J767" s="21"/>
      <c r="K767" s="57"/>
      <c r="L767" s="24"/>
      <c r="M767" s="25"/>
      <c r="N767" s="25"/>
      <c r="O767" s="25"/>
      <c r="P767" s="26"/>
    </row>
    <row r="768">
      <c r="A768" s="52"/>
      <c r="B768" s="15"/>
      <c r="C768" s="16"/>
      <c r="D768" s="15"/>
      <c r="E768" s="17"/>
      <c r="F768" s="54"/>
      <c r="G768" s="19"/>
      <c r="H768" s="17"/>
      <c r="I768" s="19"/>
      <c r="J768" s="21"/>
      <c r="K768" s="57"/>
      <c r="L768" s="24"/>
      <c r="M768" s="25"/>
      <c r="N768" s="25"/>
      <c r="O768" s="25"/>
      <c r="P768" s="26"/>
    </row>
    <row r="769">
      <c r="A769" s="52"/>
      <c r="B769" s="15"/>
      <c r="C769" s="16"/>
      <c r="D769" s="15"/>
      <c r="E769" s="17"/>
      <c r="F769" s="54"/>
      <c r="G769" s="19"/>
      <c r="H769" s="17"/>
      <c r="I769" s="19"/>
      <c r="J769" s="21"/>
      <c r="K769" s="57"/>
      <c r="L769" s="24"/>
      <c r="M769" s="25"/>
      <c r="N769" s="25"/>
      <c r="O769" s="25"/>
      <c r="P769" s="26"/>
    </row>
    <row r="770">
      <c r="A770" s="52"/>
      <c r="B770" s="15"/>
      <c r="C770" s="16"/>
      <c r="D770" s="15"/>
      <c r="E770" s="17"/>
      <c r="F770" s="54"/>
      <c r="G770" s="19"/>
      <c r="H770" s="17"/>
      <c r="I770" s="19"/>
      <c r="J770" s="21"/>
      <c r="K770" s="57"/>
      <c r="L770" s="24"/>
      <c r="M770" s="25"/>
      <c r="N770" s="25"/>
      <c r="O770" s="25"/>
      <c r="P770" s="26"/>
    </row>
    <row r="771">
      <c r="A771" s="52"/>
      <c r="B771" s="15"/>
      <c r="C771" s="16"/>
      <c r="D771" s="15"/>
      <c r="E771" s="17"/>
      <c r="F771" s="54"/>
      <c r="G771" s="19"/>
      <c r="H771" s="17"/>
      <c r="I771" s="19"/>
      <c r="J771" s="21"/>
      <c r="K771" s="57"/>
      <c r="L771" s="24"/>
      <c r="M771" s="25"/>
      <c r="N771" s="25"/>
      <c r="O771" s="25"/>
      <c r="P771" s="26"/>
    </row>
    <row r="772">
      <c r="A772" s="52"/>
      <c r="B772" s="15"/>
      <c r="C772" s="16"/>
      <c r="D772" s="15"/>
      <c r="E772" s="17"/>
      <c r="F772" s="54"/>
      <c r="G772" s="19"/>
      <c r="H772" s="17"/>
      <c r="I772" s="19"/>
      <c r="J772" s="21"/>
      <c r="K772" s="57"/>
      <c r="L772" s="24"/>
      <c r="M772" s="25"/>
      <c r="N772" s="25"/>
      <c r="O772" s="25"/>
      <c r="P772" s="26"/>
    </row>
    <row r="773">
      <c r="A773" s="52"/>
      <c r="B773" s="15"/>
      <c r="C773" s="16"/>
      <c r="D773" s="15"/>
      <c r="E773" s="17"/>
      <c r="F773" s="54"/>
      <c r="G773" s="19"/>
      <c r="H773" s="17"/>
      <c r="I773" s="19"/>
      <c r="J773" s="21"/>
      <c r="K773" s="57"/>
      <c r="L773" s="24"/>
      <c r="M773" s="25"/>
      <c r="N773" s="25"/>
      <c r="O773" s="25"/>
      <c r="P773" s="26"/>
    </row>
    <row r="774">
      <c r="A774" s="52"/>
      <c r="B774" s="15"/>
      <c r="C774" s="16"/>
      <c r="D774" s="15"/>
      <c r="E774" s="17"/>
      <c r="F774" s="54"/>
      <c r="G774" s="19"/>
      <c r="H774" s="17"/>
      <c r="I774" s="19"/>
      <c r="J774" s="21"/>
      <c r="K774" s="57"/>
      <c r="L774" s="24"/>
      <c r="M774" s="25"/>
      <c r="N774" s="25"/>
      <c r="O774" s="25"/>
      <c r="P774" s="26"/>
    </row>
    <row r="775">
      <c r="A775" s="52"/>
      <c r="B775" s="15"/>
      <c r="C775" s="16"/>
      <c r="D775" s="15"/>
      <c r="E775" s="17"/>
      <c r="F775" s="54"/>
      <c r="G775" s="19"/>
      <c r="H775" s="17"/>
      <c r="I775" s="19"/>
      <c r="J775" s="21"/>
      <c r="K775" s="57"/>
      <c r="L775" s="24"/>
      <c r="M775" s="25"/>
      <c r="N775" s="25"/>
      <c r="O775" s="25"/>
      <c r="P775" s="26"/>
    </row>
    <row r="776">
      <c r="A776" s="52"/>
      <c r="B776" s="15"/>
      <c r="C776" s="16"/>
      <c r="D776" s="15"/>
      <c r="E776" s="17"/>
      <c r="F776" s="54"/>
      <c r="G776" s="19"/>
      <c r="H776" s="17"/>
      <c r="I776" s="19"/>
      <c r="J776" s="21"/>
      <c r="K776" s="57"/>
      <c r="L776" s="24"/>
      <c r="M776" s="25"/>
      <c r="N776" s="25"/>
      <c r="O776" s="25"/>
      <c r="P776" s="26"/>
    </row>
    <row r="777">
      <c r="A777" s="52"/>
      <c r="B777" s="15"/>
      <c r="C777" s="16"/>
      <c r="D777" s="15"/>
      <c r="E777" s="17"/>
      <c r="F777" s="54"/>
      <c r="G777" s="19"/>
      <c r="H777" s="17"/>
      <c r="I777" s="19"/>
      <c r="J777" s="21"/>
      <c r="K777" s="57"/>
      <c r="L777" s="24"/>
      <c r="M777" s="25"/>
      <c r="N777" s="25"/>
      <c r="O777" s="25"/>
      <c r="P777" s="26"/>
    </row>
    <row r="778">
      <c r="A778" s="52"/>
      <c r="B778" s="15"/>
      <c r="C778" s="16"/>
      <c r="D778" s="15"/>
      <c r="E778" s="17"/>
      <c r="F778" s="54"/>
      <c r="G778" s="19"/>
      <c r="H778" s="17"/>
      <c r="I778" s="19"/>
      <c r="J778" s="21"/>
      <c r="K778" s="57"/>
      <c r="L778" s="24"/>
      <c r="M778" s="25"/>
      <c r="N778" s="25"/>
      <c r="O778" s="25"/>
      <c r="P778" s="26"/>
    </row>
    <row r="779">
      <c r="A779" s="52"/>
      <c r="B779" s="15"/>
      <c r="C779" s="16"/>
      <c r="D779" s="15"/>
      <c r="E779" s="17"/>
      <c r="F779" s="54"/>
      <c r="G779" s="19"/>
      <c r="H779" s="17"/>
      <c r="I779" s="19"/>
      <c r="J779" s="21"/>
      <c r="K779" s="57"/>
      <c r="L779" s="24"/>
      <c r="M779" s="25"/>
      <c r="N779" s="25"/>
      <c r="O779" s="25"/>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17.71"/>
    <col customWidth="1" min="13" max="13" width="15.71"/>
    <col customWidth="1" min="14" max="16" width="16.43"/>
  </cols>
  <sheetData>
    <row r="1">
      <c r="A1" s="1" t="s">
        <v>0</v>
      </c>
      <c r="B1" s="2">
        <f>COUNTIF(D2:D779,"Active")+COUNTIF(D2:D779,"Leaving Soon")</f>
        <v>506</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List'!C2:C779, ""Premium""), NOT(REGEXMATCH('Master List'!D2:D779, ""Removed"")) ), 10, false)"),"Tekken 3")</f>
        <v>Tekken 3</v>
      </c>
      <c r="B3" s="15" t="str">
        <f>IFERROR(__xludf.DUMMYFUNCTION("""COMPUTED_VALUE"""),"PS5/PS4")</f>
        <v>PS5/PS4</v>
      </c>
      <c r="C3" s="16" t="str">
        <f>IFERROR(__xludf.DUMMYFUNCTION("""COMPUTED_VALUE"""),"Premium (Classics)")</f>
        <v>Premium (Classics)</v>
      </c>
      <c r="D3" s="15" t="str">
        <f>IFERROR(__xludf.DUMMYFUNCTION("""COMPUTED_VALUE"""),"Active")</f>
        <v>Active</v>
      </c>
      <c r="E3" s="17">
        <f>IFERROR(__xludf.DUMMYFUNCTION("""COMPUTED_VALUE"""),45951.0)</f>
        <v>45951</v>
      </c>
      <c r="F3" s="18"/>
      <c r="G3" s="19">
        <f>IFERROR(__xludf.DUMMYFUNCTION("""COMPUTED_VALUE"""),11.5)</f>
        <v>11.5</v>
      </c>
      <c r="H3" s="17">
        <f>IFERROR(__xludf.DUMMYFUNCTION("""COMPUTED_VALUE"""),35914.0)</f>
        <v>35914</v>
      </c>
      <c r="I3" s="19">
        <f>IFERROR(__xludf.DUMMYFUNCTION("""COMPUTED_VALUE"""),2.0)</f>
        <v>2</v>
      </c>
      <c r="J3" s="21">
        <f>IFERROR(__xludf.DUMMYFUNCTION("""COMPUTED_VALUE"""),96.0)</f>
        <v>96</v>
      </c>
      <c r="K3" s="23">
        <f>IFERROR(__xludf.DUMMYFUNCTION("""COMPUTED_VALUE"""),8.8)</f>
        <v>8.8</v>
      </c>
      <c r="L3" s="24">
        <f>IFERROR(__xludf.DUMMYFUNCTION("""COMPUTED_VALUE"""),2.0)</f>
        <v>2</v>
      </c>
      <c r="M3" s="25" t="str">
        <f>IFERROR(__xludf.DUMMYFUNCTION("""COMPUTED_VALUE"""),"Fighting")</f>
        <v>Fighting</v>
      </c>
      <c r="N3" s="25" t="str">
        <f>IFERROR(__xludf.DUMMYFUNCTION("""COMPUTED_VALUE"""),"PS1")</f>
        <v>PS1</v>
      </c>
      <c r="O3" s="26"/>
      <c r="P3" s="26"/>
    </row>
    <row r="4">
      <c r="A4" s="13" t="str">
        <f>IFERROR(__xludf.DUMMYFUNCTION("""COMPUTED_VALUE"""),"THE ELDER SCROLLS IV: OBLIVION")</f>
        <v>THE ELDER SCROLLS IV: OBLIVION</v>
      </c>
      <c r="B4" s="15" t="str">
        <f>IFERROR(__xludf.DUMMYFUNCTION("""COMPUTED_VALUE"""),"PS5/PS4")</f>
        <v>PS5/PS4</v>
      </c>
      <c r="C4" s="16" t="str">
        <f>IFERROR(__xludf.DUMMYFUNCTION("""COMPUTED_VALUE"""),"Premium (Streaming Only)")</f>
        <v>Premium (Streaming Only)</v>
      </c>
      <c r="D4" s="15" t="str">
        <f>IFERROR(__xludf.DUMMYFUNCTION("""COMPUTED_VALUE"""),"Active")</f>
        <v>Active</v>
      </c>
      <c r="E4" s="17">
        <f>IFERROR(__xludf.DUMMYFUNCTION("""COMPUTED_VALUE"""),42017.0)</f>
        <v>42017</v>
      </c>
      <c r="F4" s="18"/>
      <c r="G4" s="19">
        <f>IFERROR(__xludf.DUMMYFUNCTION("""COMPUTED_VALUE"""),140.76666666666668)</f>
        <v>140.7666667</v>
      </c>
      <c r="H4" s="17">
        <f>IFERROR(__xludf.DUMMYFUNCTION("""COMPUTED_VALUE"""),38796.0)</f>
        <v>38796</v>
      </c>
      <c r="I4" s="19">
        <f>IFERROR(__xludf.DUMMYFUNCTION("""COMPUTED_VALUE"""),8.813888888888888)</f>
        <v>8.813888889</v>
      </c>
      <c r="J4" s="21">
        <f>IFERROR(__xludf.DUMMYFUNCTION("""COMPUTED_VALUE"""),94.0)</f>
        <v>94</v>
      </c>
      <c r="K4" s="23">
        <f>IFERROR(__xludf.DUMMYFUNCTION("""COMPUTED_VALUE"""),8.3)</f>
        <v>8.3</v>
      </c>
      <c r="L4" s="24">
        <f>IFERROR(__xludf.DUMMYFUNCTION("""COMPUTED_VALUE"""),27.5)</f>
        <v>27.5</v>
      </c>
      <c r="M4" s="25" t="str">
        <f>IFERROR(__xludf.DUMMYFUNCTION("""COMPUTED_VALUE"""),"RPG")</f>
        <v>RPG</v>
      </c>
      <c r="N4" s="25" t="str">
        <f>IFERROR(__xludf.DUMMYFUNCTION("""COMPUTED_VALUE"""),"PS3")</f>
        <v>PS3</v>
      </c>
      <c r="O4" s="26" t="str">
        <f>IFERROR(__xludf.DUMMYFUNCTION("""COMPUTED_VALUE"""),"Yes")</f>
        <v>Yes</v>
      </c>
      <c r="P4" s="26"/>
    </row>
    <row r="5">
      <c r="A5" s="13" t="str">
        <f>IFERROR(__xludf.DUMMYFUNCTION("""COMPUTED_VALUE"""),"Gitaroo Man")</f>
        <v>Gitaroo Man</v>
      </c>
      <c r="B5" s="15" t="str">
        <f>IFERROR(__xludf.DUMMYFUNCTION("""COMPUTED_VALUE"""),"PS5/PS4")</f>
        <v>PS5/PS4</v>
      </c>
      <c r="C5" s="16" t="str">
        <f>IFERROR(__xludf.DUMMYFUNCTION("""COMPUTED_VALUE"""),"Premium (Classics)")</f>
        <v>Premium (Classics)</v>
      </c>
      <c r="D5" s="15" t="str">
        <f>IFERROR(__xludf.DUMMYFUNCTION("""COMPUTED_VALUE"""),"Active")</f>
        <v>Active</v>
      </c>
      <c r="E5" s="17">
        <f>IFERROR(__xludf.DUMMYFUNCTION("""COMPUTED_VALUE"""),46189.0)</f>
        <v>46189</v>
      </c>
      <c r="F5" s="18"/>
      <c r="G5" s="19">
        <f>IFERROR(__xludf.DUMMYFUNCTION("""COMPUTED_VALUE"""),3.666666666666667)</f>
        <v>3.666666667</v>
      </c>
      <c r="H5" s="17">
        <f>IFERROR(__xludf.DUMMYFUNCTION("""COMPUTED_VALUE"""),37431.0)</f>
        <v>37431</v>
      </c>
      <c r="I5" s="19">
        <f>IFERROR(__xludf.DUMMYFUNCTION("""COMPUTED_VALUE"""),23.977777777777778)</f>
        <v>23.97777778</v>
      </c>
      <c r="J5" s="21">
        <f>IFERROR(__xludf.DUMMYFUNCTION("""COMPUTED_VALUE"""),91.0)</f>
        <v>91</v>
      </c>
      <c r="K5" s="23">
        <f>IFERROR(__xludf.DUMMYFUNCTION("""COMPUTED_VALUE"""),8.8)</f>
        <v>8.8</v>
      </c>
      <c r="L5" s="24">
        <f>IFERROR(__xludf.DUMMYFUNCTION("""COMPUTED_VALUE"""),4.0)</f>
        <v>4</v>
      </c>
      <c r="M5" s="25" t="str">
        <f>IFERROR(__xludf.DUMMYFUNCTION("""COMPUTED_VALUE"""),"Rhythm")</f>
        <v>Rhythm</v>
      </c>
      <c r="N5" s="25" t="str">
        <f>IFERROR(__xludf.DUMMYFUNCTION("""COMPUTED_VALUE"""),"PS2")</f>
        <v>PS2</v>
      </c>
      <c r="O5" s="26"/>
      <c r="P5" s="26"/>
    </row>
    <row r="6">
      <c r="A6" s="13" t="str">
        <f>IFERROR(__xludf.DUMMYFUNCTION("""COMPUTED_VALUE"""),"Resident Evil 2")</f>
        <v>Resident Evil 2</v>
      </c>
      <c r="B6" s="15" t="str">
        <f>IFERROR(__xludf.DUMMYFUNCTION("""COMPUTED_VALUE"""),"PS5/PS4")</f>
        <v>PS5/PS4</v>
      </c>
      <c r="C6" s="16" t="str">
        <f>IFERROR(__xludf.DUMMYFUNCTION("""COMPUTED_VALUE"""),"Premium (Classics)")</f>
        <v>Premium (Classics)</v>
      </c>
      <c r="D6" s="15" t="str">
        <f>IFERROR(__xludf.DUMMYFUNCTION("""COMPUTED_VALUE"""),"Active")</f>
        <v>Active</v>
      </c>
      <c r="E6" s="17">
        <f>IFERROR(__xludf.DUMMYFUNCTION("""COMPUTED_VALUE"""),45888.0)</f>
        <v>45888</v>
      </c>
      <c r="F6" s="18"/>
      <c r="G6" s="19">
        <f>IFERROR(__xludf.DUMMYFUNCTION("""COMPUTED_VALUE"""),13.566666666666666)</f>
        <v>13.56666667</v>
      </c>
      <c r="H6" s="17">
        <f>IFERROR(__xludf.DUMMYFUNCTION("""COMPUTED_VALUE"""),35824.0)</f>
        <v>35824</v>
      </c>
      <c r="I6" s="19">
        <f>IFERROR(__xludf.DUMMYFUNCTION("""COMPUTED_VALUE"""),27.555555555555557)</f>
        <v>27.55555556</v>
      </c>
      <c r="J6" s="21">
        <f>IFERROR(__xludf.DUMMYFUNCTION("""COMPUTED_VALUE"""),91.0)</f>
        <v>91</v>
      </c>
      <c r="K6" s="23">
        <f>IFERROR(__xludf.DUMMYFUNCTION("""COMPUTED_VALUE"""),8.9)</f>
        <v>8.9</v>
      </c>
      <c r="L6" s="24">
        <f>IFERROR(__xludf.DUMMYFUNCTION("""COMPUTED_VALUE"""),9.0)</f>
        <v>9</v>
      </c>
      <c r="M6" s="25" t="str">
        <f>IFERROR(__xludf.DUMMYFUNCTION("""COMPUTED_VALUE"""),"Survival")</f>
        <v>Survival</v>
      </c>
      <c r="N6" s="25" t="str">
        <f>IFERROR(__xludf.DUMMYFUNCTION("""COMPUTED_VALUE"""),"PS1")</f>
        <v>PS1</v>
      </c>
      <c r="O6" s="26"/>
      <c r="P6" s="26"/>
    </row>
    <row r="7">
      <c r="A7" s="13" t="str">
        <f>IFERROR(__xludf.DUMMYFUNCTION("""COMPUTED_VALUE"""),"Blood Omen: Legacy of Kain")</f>
        <v>Blood Omen: Legacy of Kain</v>
      </c>
      <c r="B7" s="15" t="str">
        <f>IFERROR(__xludf.DUMMYFUNCTION("""COMPUTED_VALUE"""),"PS5/PS4")</f>
        <v>PS5/PS4</v>
      </c>
      <c r="C7" s="16" t="str">
        <f>IFERROR(__xludf.DUMMYFUNCTION("""COMPUTED_VALUE"""),"Premium (Classics)")</f>
        <v>Premium (Classics)</v>
      </c>
      <c r="D7" s="15" t="str">
        <f>IFERROR(__xludf.DUMMYFUNCTION("""COMPUTED_VALUE"""),"Active")</f>
        <v>Active</v>
      </c>
      <c r="E7" s="17">
        <f>IFERROR(__xludf.DUMMYFUNCTION("""COMPUTED_VALUE"""),45615.0)</f>
        <v>45615</v>
      </c>
      <c r="F7" s="18"/>
      <c r="G7" s="19">
        <f>IFERROR(__xludf.DUMMYFUNCTION("""COMPUTED_VALUE"""),22.566666666666666)</f>
        <v>22.56666667</v>
      </c>
      <c r="H7" s="17">
        <f>IFERROR(__xludf.DUMMYFUNCTION("""COMPUTED_VALUE"""),35370.0)</f>
        <v>35370</v>
      </c>
      <c r="I7" s="19">
        <f>IFERROR(__xludf.DUMMYFUNCTION("""COMPUTED_VALUE"""),28.05)</f>
        <v>28.05</v>
      </c>
      <c r="J7" s="21">
        <f>IFERROR(__xludf.DUMMYFUNCTION("""COMPUTED_VALUE"""),91.0)</f>
        <v>91</v>
      </c>
      <c r="K7" s="23">
        <f>IFERROR(__xludf.DUMMYFUNCTION("""COMPUTED_VALUE"""),8.8)</f>
        <v>8.8</v>
      </c>
      <c r="L7" s="24">
        <f>IFERROR(__xludf.DUMMYFUNCTION("""COMPUTED_VALUE"""),18.0)</f>
        <v>18</v>
      </c>
      <c r="M7" s="25" t="str">
        <f>IFERROR(__xludf.DUMMYFUNCTION("""COMPUTED_VALUE"""),"Action-Adventure")</f>
        <v>Action-Adventure</v>
      </c>
      <c r="N7" s="25" t="str">
        <f>IFERROR(__xludf.DUMMYFUNCTION("""COMPUTED_VALUE"""),"PS1")</f>
        <v>PS1</v>
      </c>
      <c r="O7" s="26" t="str">
        <f>IFERROR(__xludf.DUMMYFUNCTION("""COMPUTED_VALUE"""),"Yes")</f>
        <v>Yes</v>
      </c>
      <c r="P7" s="26"/>
    </row>
    <row r="8">
      <c r="A8" s="13" t="str">
        <f>IFERROR(__xludf.DUMMYFUNCTION("""COMPUTED_VALUE"""),"Ratchet and Clank: Up Your Arsenal")</f>
        <v>Ratchet and Clank: Up Your Arsenal</v>
      </c>
      <c r="B8" s="15" t="str">
        <f>IFERROR(__xludf.DUMMYFUNCTION("""COMPUTED_VALUE"""),"PS5/PS4")</f>
        <v>PS5/PS4</v>
      </c>
      <c r="C8" s="16" t="str">
        <f>IFERROR(__xludf.DUMMYFUNCTION("""COMPUTED_VALUE"""),"Premium (Streaming Only)")</f>
        <v>Premium (Streaming Only)</v>
      </c>
      <c r="D8" s="15" t="str">
        <f>IFERROR(__xludf.DUMMYFUNCTION("""COMPUTED_VALUE"""),"Active")</f>
        <v>Active</v>
      </c>
      <c r="E8" s="17">
        <f>IFERROR(__xludf.DUMMYFUNCTION("""COMPUTED_VALUE"""),44880.0)</f>
        <v>44880</v>
      </c>
      <c r="F8" s="18"/>
      <c r="G8" s="19">
        <f>IFERROR(__xludf.DUMMYFUNCTION("""COMPUTED_VALUE"""),46.7)</f>
        <v>46.7</v>
      </c>
      <c r="H8" s="17">
        <f>IFERROR(__xludf.DUMMYFUNCTION("""COMPUTED_VALUE"""),38294.0)</f>
        <v>38294</v>
      </c>
      <c r="I8" s="19">
        <f>IFERROR(__xludf.DUMMYFUNCTION("""COMPUTED_VALUE"""),18.033333333333335)</f>
        <v>18.03333333</v>
      </c>
      <c r="J8" s="21">
        <f>IFERROR(__xludf.DUMMYFUNCTION("""COMPUTED_VALUE"""),91.0)</f>
        <v>91</v>
      </c>
      <c r="K8" s="23">
        <f>IFERROR(__xludf.DUMMYFUNCTION("""COMPUTED_VALUE"""),9.0)</f>
        <v>9</v>
      </c>
      <c r="L8" s="24">
        <f>IFERROR(__xludf.DUMMYFUNCTION("""COMPUTED_VALUE"""),11.5)</f>
        <v>11.5</v>
      </c>
      <c r="M8" s="25" t="str">
        <f>IFERROR(__xludf.DUMMYFUNCTION("""COMPUTED_VALUE"""),"Platformer")</f>
        <v>Platformer</v>
      </c>
      <c r="N8" s="25" t="str">
        <f>IFERROR(__xludf.DUMMYFUNCTION("""COMPUTED_VALUE"""),"PS3")</f>
        <v>PS3</v>
      </c>
      <c r="O8" s="26" t="str">
        <f>IFERROR(__xludf.DUMMYFUNCTION("""COMPUTED_VALUE"""),"Yes")</f>
        <v>Yes</v>
      </c>
      <c r="P8" s="26"/>
    </row>
    <row r="9">
      <c r="A9" s="35" t="str">
        <f>IFERROR(__xludf.DUMMYFUNCTION("""COMPUTED_VALUE"""),"Deus Ex: The Conspiracy")</f>
        <v>Deus Ex: The Conspiracy</v>
      </c>
      <c r="B9" s="15" t="str">
        <f>IFERROR(__xludf.DUMMYFUNCTION("""COMPUTED_VALUE"""),"PS5/PS4")</f>
        <v>PS5/PS4</v>
      </c>
      <c r="C9" s="16" t="str">
        <f>IFERROR(__xludf.DUMMYFUNCTION("""COMPUTED_VALUE"""),"Premium (Classics)")</f>
        <v>Premium (Classics)</v>
      </c>
      <c r="D9" s="15" t="str">
        <f>IFERROR(__xludf.DUMMYFUNCTION("""COMPUTED_VALUE"""),"Active")</f>
        <v>Active</v>
      </c>
      <c r="E9" s="17">
        <f>IFERROR(__xludf.DUMMYFUNCTION("""COMPUTED_VALUE"""),45825.0)</f>
        <v>45825</v>
      </c>
      <c r="F9" s="18"/>
      <c r="G9" s="19">
        <f>IFERROR(__xludf.DUMMYFUNCTION("""COMPUTED_VALUE"""),15.633333333333333)</f>
        <v>15.63333333</v>
      </c>
      <c r="H9" s="17">
        <f>IFERROR(__xludf.DUMMYFUNCTION("""COMPUTED_VALUE"""),36700.0)</f>
        <v>36700</v>
      </c>
      <c r="I9" s="19">
        <f>IFERROR(__xludf.DUMMYFUNCTION("""COMPUTED_VALUE"""),24.983333333333334)</f>
        <v>24.98333333</v>
      </c>
      <c r="J9" s="21">
        <f>IFERROR(__xludf.DUMMYFUNCTION("""COMPUTED_VALUE"""),90.0)</f>
        <v>90</v>
      </c>
      <c r="K9" s="23">
        <f>IFERROR(__xludf.DUMMYFUNCTION("""COMPUTED_VALUE"""),9.0)</f>
        <v>9</v>
      </c>
      <c r="L9" s="24">
        <f>IFERROR(__xludf.DUMMYFUNCTION("""COMPUTED_VALUE"""),23.0)</f>
        <v>23</v>
      </c>
      <c r="M9" s="25" t="str">
        <f>IFERROR(__xludf.DUMMYFUNCTION("""COMPUTED_VALUE"""),"Action-Adventure")</f>
        <v>Action-Adventure</v>
      </c>
      <c r="N9" s="25" t="str">
        <f>IFERROR(__xludf.DUMMYFUNCTION("""COMPUTED_VALUE"""),"PS2")</f>
        <v>PS2</v>
      </c>
      <c r="O9" s="26"/>
      <c r="P9" s="26"/>
    </row>
    <row r="10">
      <c r="A10" s="13" t="str">
        <f>IFERROR(__xludf.DUMMYFUNCTION("""COMPUTED_VALUE"""),"Jak and Daxter: The Precursor Legacy")</f>
        <v>Jak and Daxter: The Precursor Legacy</v>
      </c>
      <c r="B10" s="15" t="str">
        <f>IFERROR(__xludf.DUMMYFUNCTION("""COMPUTED_VALUE"""),"PS5/PS4")</f>
        <v>PS5/PS4</v>
      </c>
      <c r="C10" s="16" t="str">
        <f>IFERROR(__xludf.DUMMYFUNCTION("""COMPUTED_VALUE"""),"Premium (Classics)")</f>
        <v>Premium (Classics)</v>
      </c>
      <c r="D10" s="15" t="str">
        <f>IFERROR(__xludf.DUMMYFUNCTION("""COMPUTED_VALUE"""),"Active")</f>
        <v>Active</v>
      </c>
      <c r="E10" s="17">
        <f>IFERROR(__xludf.DUMMYFUNCTION("""COMPUTED_VALUE"""),45643.0)</f>
        <v>45643</v>
      </c>
      <c r="F10" s="18"/>
      <c r="G10" s="19">
        <f>IFERROR(__xludf.DUMMYFUNCTION("""COMPUTED_VALUE"""),21.633333333333333)</f>
        <v>21.63333333</v>
      </c>
      <c r="H10" s="17">
        <f>IFERROR(__xludf.DUMMYFUNCTION("""COMPUTED_VALUE"""),37229.0)</f>
        <v>37229</v>
      </c>
      <c r="I10" s="19">
        <f>IFERROR(__xludf.DUMMYFUNCTION("""COMPUTED_VALUE"""),23.03611111111111)</f>
        <v>23.03611111</v>
      </c>
      <c r="J10" s="21">
        <f>IFERROR(__xludf.DUMMYFUNCTION("""COMPUTED_VALUE"""),90.0)</f>
        <v>90</v>
      </c>
      <c r="K10" s="23">
        <f>IFERROR(__xludf.DUMMYFUNCTION("""COMPUTED_VALUE"""),8.7)</f>
        <v>8.7</v>
      </c>
      <c r="L10" s="24">
        <f>IFERROR(__xludf.DUMMYFUNCTION("""COMPUTED_VALUE"""),10.0)</f>
        <v>10</v>
      </c>
      <c r="M10" s="25" t="str">
        <f>IFERROR(__xludf.DUMMYFUNCTION("""COMPUTED_VALUE"""),"Platformer")</f>
        <v>Platformer</v>
      </c>
      <c r="N10" s="25" t="str">
        <f>IFERROR(__xludf.DUMMYFUNCTION("""COMPUTED_VALUE"""),"PS2")</f>
        <v>PS2</v>
      </c>
      <c r="O10" s="26" t="str">
        <f>IFERROR(__xludf.DUMMYFUNCTION("""COMPUTED_VALUE"""),"Yes")</f>
        <v>Yes</v>
      </c>
      <c r="P10" s="26"/>
    </row>
    <row r="11">
      <c r="A11" s="13" t="str">
        <f>IFERROR(__xludf.DUMMYFUNCTION("""COMPUTED_VALUE"""),"TimeSplitters 2")</f>
        <v>TimeSplitters 2</v>
      </c>
      <c r="B11" s="15" t="str">
        <f>IFERROR(__xludf.DUMMYFUNCTION("""COMPUTED_VALUE"""),"PS5/PS4")</f>
        <v>PS5/PS4</v>
      </c>
      <c r="C11" s="16" t="str">
        <f>IFERROR(__xludf.DUMMYFUNCTION("""COMPUTED_VALUE"""),"Premium (Classics)")</f>
        <v>Premium (Classics)</v>
      </c>
      <c r="D11" s="15" t="str">
        <f>IFERROR(__xludf.DUMMYFUNCTION("""COMPUTED_VALUE"""),"Active")</f>
        <v>Active</v>
      </c>
      <c r="E11" s="17">
        <f>IFERROR(__xludf.DUMMYFUNCTION("""COMPUTED_VALUE"""),45524.0)</f>
        <v>45524</v>
      </c>
      <c r="F11" s="18"/>
      <c r="G11" s="19">
        <f>IFERROR(__xludf.DUMMYFUNCTION("""COMPUTED_VALUE"""),25.53333333333333)</f>
        <v>25.53333333</v>
      </c>
      <c r="H11" s="17">
        <f>IFERROR(__xludf.DUMMYFUNCTION("""COMPUTED_VALUE"""),37537.0)</f>
        <v>37537</v>
      </c>
      <c r="I11" s="19">
        <f>IFERROR(__xludf.DUMMYFUNCTION("""COMPUTED_VALUE"""),21.866666666666667)</f>
        <v>21.86666667</v>
      </c>
      <c r="J11" s="21">
        <f>IFERROR(__xludf.DUMMYFUNCTION("""COMPUTED_VALUE"""),90.0)</f>
        <v>90</v>
      </c>
      <c r="K11" s="23">
        <f>IFERROR(__xludf.DUMMYFUNCTION("""COMPUTED_VALUE"""),8.6)</f>
        <v>8.6</v>
      </c>
      <c r="L11" s="24">
        <f>IFERROR(__xludf.DUMMYFUNCTION("""COMPUTED_VALUE"""),9.0)</f>
        <v>9</v>
      </c>
      <c r="M11" s="25" t="str">
        <f>IFERROR(__xludf.DUMMYFUNCTION("""COMPUTED_VALUE"""),"Shooter")</f>
        <v>Shooter</v>
      </c>
      <c r="N11" s="25" t="str">
        <f>IFERROR(__xludf.DUMMYFUNCTION("""COMPUTED_VALUE"""),"PS2")</f>
        <v>PS2</v>
      </c>
      <c r="O11" s="26" t="str">
        <f>IFERROR(__xludf.DUMMYFUNCTION("""COMPUTED_VALUE"""),"Yes")</f>
        <v>Yes</v>
      </c>
      <c r="P11" s="26"/>
    </row>
    <row r="12">
      <c r="A12" s="13" t="str">
        <f>IFERROR(__xludf.DUMMYFUNCTION("""COMPUTED_VALUE"""),"Ratchet and Clank: Going Commando")</f>
        <v>Ratchet and Clank: Going Commando</v>
      </c>
      <c r="B12" s="15" t="str">
        <f>IFERROR(__xludf.DUMMYFUNCTION("""COMPUTED_VALUE"""),"PS5/PS4")</f>
        <v>PS5/PS4</v>
      </c>
      <c r="C12" s="16" t="str">
        <f>IFERROR(__xludf.DUMMYFUNCTION("""COMPUTED_VALUE"""),"Premium (Streaming Only)")</f>
        <v>Premium (Streaming Only)</v>
      </c>
      <c r="D12" s="15" t="str">
        <f>IFERROR(__xludf.DUMMYFUNCTION("""COMPUTED_VALUE"""),"Active")</f>
        <v>Active</v>
      </c>
      <c r="E12" s="53">
        <f>IFERROR(__xludf.DUMMYFUNCTION("""COMPUTED_VALUE"""),44880.0)</f>
        <v>44880</v>
      </c>
      <c r="F12" s="54"/>
      <c r="G12" s="19">
        <f>IFERROR(__xludf.DUMMYFUNCTION("""COMPUTED_VALUE"""),46.7)</f>
        <v>46.7</v>
      </c>
      <c r="H12" s="17">
        <f>IFERROR(__xludf.DUMMYFUNCTION("""COMPUTED_VALUE"""),37936.0)</f>
        <v>37936</v>
      </c>
      <c r="I12" s="19">
        <f>IFERROR(__xludf.DUMMYFUNCTION("""COMPUTED_VALUE"""),19.011111111111113)</f>
        <v>19.01111111</v>
      </c>
      <c r="J12" s="21">
        <f>IFERROR(__xludf.DUMMYFUNCTION("""COMPUTED_VALUE"""),90.0)</f>
        <v>90</v>
      </c>
      <c r="K12" s="23">
        <f>IFERROR(__xludf.DUMMYFUNCTION("""COMPUTED_VALUE"""),9.0)</f>
        <v>9</v>
      </c>
      <c r="L12" s="24">
        <f>IFERROR(__xludf.DUMMYFUNCTION("""COMPUTED_VALUE"""),13.5)</f>
        <v>13.5</v>
      </c>
      <c r="M12" s="25" t="str">
        <f>IFERROR(__xludf.DUMMYFUNCTION("""COMPUTED_VALUE"""),"Platformer")</f>
        <v>Platformer</v>
      </c>
      <c r="N12" s="25" t="str">
        <f>IFERROR(__xludf.DUMMYFUNCTION("""COMPUTED_VALUE"""),"PS3")</f>
        <v>PS3</v>
      </c>
      <c r="O12" s="26" t="str">
        <f>IFERROR(__xludf.DUMMYFUNCTION("""COMPUTED_VALUE"""),"Yes")</f>
        <v>Yes</v>
      </c>
      <c r="P12" s="26"/>
    </row>
    <row r="13">
      <c r="A13" s="13" t="str">
        <f>IFERROR(__xludf.DUMMYFUNCTION("""COMPUTED_VALUE"""),"Ape Escape")</f>
        <v>Ape Escape</v>
      </c>
      <c r="B13" s="15" t="str">
        <f>IFERROR(__xludf.DUMMYFUNCTION("""COMPUTED_VALUE"""),"PS5/PS4")</f>
        <v>PS5/PS4</v>
      </c>
      <c r="C13" s="16" t="str">
        <f>IFERROR(__xludf.DUMMYFUNCTION("""COMPUTED_VALUE"""),"Premium (Classics)")</f>
        <v>Premium (Classics)</v>
      </c>
      <c r="D13" s="15" t="str">
        <f>IFERROR(__xludf.DUMMYFUNCTION("""COMPUTED_VALUE"""),"Active")</f>
        <v>Active</v>
      </c>
      <c r="E13" s="17">
        <f>IFERROR(__xludf.DUMMYFUNCTION("""COMPUTED_VALUE"""),44725.0)</f>
        <v>44725</v>
      </c>
      <c r="F13" s="54"/>
      <c r="G13" s="19">
        <f>IFERROR(__xludf.DUMMYFUNCTION("""COMPUTED_VALUE"""),51.766666666666666)</f>
        <v>51.76666667</v>
      </c>
      <c r="H13" s="17">
        <f>IFERROR(__xludf.DUMMYFUNCTION("""COMPUTED_VALUE"""),36281.0)</f>
        <v>36281</v>
      </c>
      <c r="I13" s="19">
        <f>IFERROR(__xludf.DUMMYFUNCTION("""COMPUTED_VALUE"""),23.116666666666667)</f>
        <v>23.11666667</v>
      </c>
      <c r="J13" s="21">
        <f>IFERROR(__xludf.DUMMYFUNCTION("""COMPUTED_VALUE"""),90.0)</f>
        <v>90</v>
      </c>
      <c r="K13" s="23">
        <f>IFERROR(__xludf.DUMMYFUNCTION("""COMPUTED_VALUE"""),8.2)</f>
        <v>8.2</v>
      </c>
      <c r="L13" s="24">
        <f>IFERROR(__xludf.DUMMYFUNCTION("""COMPUTED_VALUE"""),12.0)</f>
        <v>12</v>
      </c>
      <c r="M13" s="25" t="str">
        <f>IFERROR(__xludf.DUMMYFUNCTION("""COMPUTED_VALUE"""),"Platformer")</f>
        <v>Platformer</v>
      </c>
      <c r="N13" s="25" t="str">
        <f>IFERROR(__xludf.DUMMYFUNCTION("""COMPUTED_VALUE"""),"PS1")</f>
        <v>PS1</v>
      </c>
      <c r="O13" s="26" t="str">
        <f>IFERROR(__xludf.DUMMYFUNCTION("""COMPUTED_VALUE"""),"Yes")</f>
        <v>Yes</v>
      </c>
      <c r="P13" s="26" t="str">
        <f>IFERROR(__xludf.DUMMYFUNCTION("""COMPUTED_VALUE"""),"")</f>
        <v/>
      </c>
    </row>
    <row r="14">
      <c r="A14" s="13" t="str">
        <f>IFERROR(__xludf.DUMMYFUNCTION("""COMPUTED_VALUE"""),"Syphon Filter")</f>
        <v>Syphon Filter</v>
      </c>
      <c r="B14" s="15" t="str">
        <f>IFERROR(__xludf.DUMMYFUNCTION("""COMPUTED_VALUE"""),"PS5/PS4")</f>
        <v>PS5/PS4</v>
      </c>
      <c r="C14" s="16" t="str">
        <f>IFERROR(__xludf.DUMMYFUNCTION("""COMPUTED_VALUE"""),"Premium (Classics)")</f>
        <v>Premium (Classics)</v>
      </c>
      <c r="D14" s="15" t="str">
        <f>IFERROR(__xludf.DUMMYFUNCTION("""COMPUTED_VALUE"""),"Active")</f>
        <v>Active</v>
      </c>
      <c r="E14" s="17">
        <f>IFERROR(__xludf.DUMMYFUNCTION("""COMPUTED_VALUE"""),44725.0)</f>
        <v>44725</v>
      </c>
      <c r="F14" s="54"/>
      <c r="G14" s="19">
        <f>IFERROR(__xludf.DUMMYFUNCTION("""COMPUTED_VALUE"""),51.766666666666666)</f>
        <v>51.76666667</v>
      </c>
      <c r="H14" s="17">
        <f>IFERROR(__xludf.DUMMYFUNCTION("""COMPUTED_VALUE"""),36161.0)</f>
        <v>36161</v>
      </c>
      <c r="I14" s="19">
        <f>IFERROR(__xludf.DUMMYFUNCTION("""COMPUTED_VALUE"""),23.45)</f>
        <v>23.45</v>
      </c>
      <c r="J14" s="21">
        <f>IFERROR(__xludf.DUMMYFUNCTION("""COMPUTED_VALUE"""),90.0)</f>
        <v>90</v>
      </c>
      <c r="K14" s="23">
        <f>IFERROR(__xludf.DUMMYFUNCTION("""COMPUTED_VALUE"""),8.4)</f>
        <v>8.4</v>
      </c>
      <c r="L14" s="24">
        <f>IFERROR(__xludf.DUMMYFUNCTION("""COMPUTED_VALUE"""),8.0)</f>
        <v>8</v>
      </c>
      <c r="M14" s="25" t="str">
        <f>IFERROR(__xludf.DUMMYFUNCTION("""COMPUTED_VALUE"""),"Shooter")</f>
        <v>Shooter</v>
      </c>
      <c r="N14" s="25" t="str">
        <f>IFERROR(__xludf.DUMMYFUNCTION("""COMPUTED_VALUE"""),"PS1")</f>
        <v>PS1</v>
      </c>
      <c r="O14" s="26" t="str">
        <f>IFERROR(__xludf.DUMMYFUNCTION("""COMPUTED_VALUE"""),"Yes")</f>
        <v>Yes</v>
      </c>
      <c r="P14" s="26" t="str">
        <f>IFERROR(__xludf.DUMMYFUNCTION("""COMPUTED_VALUE"""),"")</f>
        <v/>
      </c>
    </row>
    <row r="15">
      <c r="A15" s="13" t="str">
        <f>IFERROR(__xludf.DUMMYFUNCTION("""COMPUTED_VALUE"""),"Jak and Daxter: The Precursor Legacy")</f>
        <v>Jak and Daxter: The Precursor Legacy</v>
      </c>
      <c r="B15" s="15" t="str">
        <f>IFERROR(__xludf.DUMMYFUNCTION("""COMPUTED_VALUE"""),"PS4")</f>
        <v>PS4</v>
      </c>
      <c r="C15" s="16" t="str">
        <f>IFERROR(__xludf.DUMMYFUNCTION("""COMPUTED_VALUE"""),"Premium (Classics)")</f>
        <v>Premium (Classics)</v>
      </c>
      <c r="D15" s="15" t="str">
        <f>IFERROR(__xludf.DUMMYFUNCTION("""COMPUTED_VALUE"""),"Active")</f>
        <v>Active</v>
      </c>
      <c r="E15" s="17">
        <f>IFERROR(__xludf.DUMMYFUNCTION("""COMPUTED_VALUE"""),44725.0)</f>
        <v>44725</v>
      </c>
      <c r="F15" s="54"/>
      <c r="G15" s="19">
        <f>IFERROR(__xludf.DUMMYFUNCTION("""COMPUTED_VALUE"""),51.766666666666666)</f>
        <v>51.76666667</v>
      </c>
      <c r="H15" s="17">
        <f>IFERROR(__xludf.DUMMYFUNCTION("""COMPUTED_VALUE"""),37226.0)</f>
        <v>37226</v>
      </c>
      <c r="I15" s="19">
        <f>IFERROR(__xludf.DUMMYFUNCTION("""COMPUTED_VALUE"""),20.533333333333335)</f>
        <v>20.53333333</v>
      </c>
      <c r="J15" s="21">
        <f>IFERROR(__xludf.DUMMYFUNCTION("""COMPUTED_VALUE"""),90.0)</f>
        <v>90</v>
      </c>
      <c r="K15" s="23">
        <f>IFERROR(__xludf.DUMMYFUNCTION("""COMPUTED_VALUE"""),8.8)</f>
        <v>8.8</v>
      </c>
      <c r="L15" s="24">
        <f>IFERROR(__xludf.DUMMYFUNCTION("""COMPUTED_VALUE"""),12.0)</f>
        <v>12</v>
      </c>
      <c r="M15" s="25" t="str">
        <f>IFERROR(__xludf.DUMMYFUNCTION("""COMPUTED_VALUE"""),"Platformer")</f>
        <v>Platformer</v>
      </c>
      <c r="N15" s="25" t="str">
        <f>IFERROR(__xludf.DUMMYFUNCTION("""COMPUTED_VALUE"""),"PS2")</f>
        <v>PS2</v>
      </c>
      <c r="O15" s="26" t="str">
        <f>IFERROR(__xludf.DUMMYFUNCTION("""COMPUTED_VALUE"""),"No")</f>
        <v>No</v>
      </c>
      <c r="P15" s="26" t="str">
        <f>IFERROR(__xludf.DUMMYFUNCTION("""COMPUTED_VALUE"""),"")</f>
        <v/>
      </c>
    </row>
    <row r="16">
      <c r="A16" s="13" t="str">
        <f>IFERROR(__xludf.DUMMYFUNCTION("""COMPUTED_VALUE"""),"FALLOUT 3")</f>
        <v>FALLOUT 3</v>
      </c>
      <c r="B16" s="15" t="str">
        <f>IFERROR(__xludf.DUMMYFUNCTION("""COMPUTED_VALUE"""),"PS5/PS4")</f>
        <v>PS5/PS4</v>
      </c>
      <c r="C16" s="16" t="str">
        <f>IFERROR(__xludf.DUMMYFUNCTION("""COMPUTED_VALUE"""),"Premium (Streaming Only)")</f>
        <v>Premium (Streaming Only)</v>
      </c>
      <c r="D16" s="15" t="str">
        <f>IFERROR(__xludf.DUMMYFUNCTION("""COMPUTED_VALUE"""),"Active")</f>
        <v>Active</v>
      </c>
      <c r="E16" s="17">
        <f>IFERROR(__xludf.DUMMYFUNCTION("""COMPUTED_VALUE"""),42983.0)</f>
        <v>42983</v>
      </c>
      <c r="F16" s="54"/>
      <c r="G16" s="19">
        <f>IFERROR(__xludf.DUMMYFUNCTION("""COMPUTED_VALUE"""),109.03333333333333)</f>
        <v>109.0333333</v>
      </c>
      <c r="H16" s="17">
        <f>IFERROR(__xludf.DUMMYFUNCTION("""COMPUTED_VALUE"""),39722.0)</f>
        <v>39722</v>
      </c>
      <c r="I16" s="19">
        <f>IFERROR(__xludf.DUMMYFUNCTION("""COMPUTED_VALUE"""),8.927777777777777)</f>
        <v>8.927777778</v>
      </c>
      <c r="J16" s="21">
        <f>IFERROR(__xludf.DUMMYFUNCTION("""COMPUTED_VALUE"""),90.0)</f>
        <v>90</v>
      </c>
      <c r="K16" s="23">
        <f>IFERROR(__xludf.DUMMYFUNCTION("""COMPUTED_VALUE"""),8.3)</f>
        <v>8.3</v>
      </c>
      <c r="L16" s="24">
        <f>IFERROR(__xludf.DUMMYFUNCTION("""COMPUTED_VALUE"""),23.0)</f>
        <v>23</v>
      </c>
      <c r="M16" s="25" t="str">
        <f>IFERROR(__xludf.DUMMYFUNCTION("""COMPUTED_VALUE"""),"RPG")</f>
        <v>RPG</v>
      </c>
      <c r="N16" s="25" t="str">
        <f>IFERROR(__xludf.DUMMYFUNCTION("""COMPUTED_VALUE"""),"PS3")</f>
        <v>PS3</v>
      </c>
      <c r="O16" s="26" t="str">
        <f>IFERROR(__xludf.DUMMYFUNCTION("""COMPUTED_VALUE"""),"Yes")</f>
        <v>Yes</v>
      </c>
      <c r="P16" s="26" t="str">
        <f>IFERROR(__xludf.DUMMYFUNCTION("""COMPUTED_VALUE"""),"")</f>
        <v/>
      </c>
    </row>
    <row r="17">
      <c r="A17" s="13" t="str">
        <f>IFERROR(__xludf.DUMMYFUNCTION("""COMPUTED_VALUE"""),"Jetpack Joyride Deluxe")</f>
        <v>Jetpack Joyride Deluxe</v>
      </c>
      <c r="B17" s="15" t="str">
        <f>IFERROR(__xludf.DUMMYFUNCTION("""COMPUTED_VALUE"""),"PS5/PS4")</f>
        <v>PS5/PS4</v>
      </c>
      <c r="C17" s="16" t="str">
        <f>IFERROR(__xludf.DUMMYFUNCTION("""COMPUTED_VALUE"""),"Premium (Streaming Only)")</f>
        <v>Premium (Streaming Only)</v>
      </c>
      <c r="D17" s="15" t="str">
        <f>IFERROR(__xludf.DUMMYFUNCTION("""COMPUTED_VALUE"""),"Active")</f>
        <v>Active</v>
      </c>
      <c r="E17" s="17">
        <f>IFERROR(__xludf.DUMMYFUNCTION("""COMPUTED_VALUE"""),42493.0)</f>
        <v>42493</v>
      </c>
      <c r="F17" s="54"/>
      <c r="G17" s="19">
        <f>IFERROR(__xludf.DUMMYFUNCTION("""COMPUTED_VALUE"""),125.10000000000001)</f>
        <v>125.1</v>
      </c>
      <c r="H17" s="17">
        <f>IFERROR(__xludf.DUMMYFUNCTION("""COMPUTED_VALUE"""),41968.0)</f>
        <v>41968</v>
      </c>
      <c r="I17" s="19">
        <f>IFERROR(__xludf.DUMMYFUNCTION("""COMPUTED_VALUE"""),1.4388888888888889)</f>
        <v>1.438888889</v>
      </c>
      <c r="J17" s="21">
        <f>IFERROR(__xludf.DUMMYFUNCTION("""COMPUTED_VALUE"""),90.0)</f>
        <v>90</v>
      </c>
      <c r="K17" s="23">
        <f>IFERROR(__xludf.DUMMYFUNCTION("""COMPUTED_VALUE"""),7.3)</f>
        <v>7.3</v>
      </c>
      <c r="L17" s="24">
        <f>IFERROR(__xludf.DUMMYFUNCTION("""COMPUTED_VALUE"""),3.0)</f>
        <v>3</v>
      </c>
      <c r="M17" s="25" t="str">
        <f>IFERROR(__xludf.DUMMYFUNCTION("""COMPUTED_VALUE"""),"Action-Adventure")</f>
        <v>Action-Adventure</v>
      </c>
      <c r="N17" s="25" t="str">
        <f>IFERROR(__xludf.DUMMYFUNCTION("""COMPUTED_VALUE"""),"PS3")</f>
        <v>PS3</v>
      </c>
      <c r="O17" s="26" t="str">
        <f>IFERROR(__xludf.DUMMYFUNCTION("""COMPUTED_VALUE"""),"Yes")</f>
        <v>Yes</v>
      </c>
      <c r="P17" s="26" t="str">
        <f>IFERROR(__xludf.DUMMYFUNCTION("""COMPUTED_VALUE"""),"")</f>
        <v/>
      </c>
    </row>
    <row r="18">
      <c r="A18" s="13" t="str">
        <f>IFERROR(__xludf.DUMMYFUNCTION("""COMPUTED_VALUE"""),"ICO")</f>
        <v>ICO</v>
      </c>
      <c r="B18" s="15" t="str">
        <f>IFERROR(__xludf.DUMMYFUNCTION("""COMPUTED_VALUE"""),"PS5/PS4")</f>
        <v>PS5/PS4</v>
      </c>
      <c r="C18" s="16" t="str">
        <f>IFERROR(__xludf.DUMMYFUNCTION("""COMPUTED_VALUE"""),"Premium (Streaming Only)")</f>
        <v>Premium (Streaming Only)</v>
      </c>
      <c r="D18" s="15" t="str">
        <f>IFERROR(__xludf.DUMMYFUNCTION("""COMPUTED_VALUE"""),"Active")</f>
        <v>Active</v>
      </c>
      <c r="E18" s="17">
        <f>IFERROR(__xludf.DUMMYFUNCTION("""COMPUTED_VALUE"""),42017.0)</f>
        <v>42017</v>
      </c>
      <c r="F18" s="54"/>
      <c r="G18" s="19">
        <f>IFERROR(__xludf.DUMMYFUNCTION("""COMPUTED_VALUE"""),140.76666666666668)</f>
        <v>140.7666667</v>
      </c>
      <c r="H18" s="17">
        <f>IFERROR(__xludf.DUMMYFUNCTION("""COMPUTED_VALUE"""),37135.0)</f>
        <v>37135</v>
      </c>
      <c r="I18" s="19">
        <f>IFERROR(__xludf.DUMMYFUNCTION("""COMPUTED_VALUE"""),13.366666666666667)</f>
        <v>13.36666667</v>
      </c>
      <c r="J18" s="21">
        <f>IFERROR(__xludf.DUMMYFUNCTION("""COMPUTED_VALUE"""),90.0)</f>
        <v>90</v>
      </c>
      <c r="K18" s="23">
        <f>IFERROR(__xludf.DUMMYFUNCTION("""COMPUTED_VALUE"""),8.6)</f>
        <v>8.6</v>
      </c>
      <c r="L18" s="24">
        <f>IFERROR(__xludf.DUMMYFUNCTION("""COMPUTED_VALUE"""),8.0)</f>
        <v>8</v>
      </c>
      <c r="M18" s="25" t="str">
        <f>IFERROR(__xludf.DUMMYFUNCTION("""COMPUTED_VALUE"""),"Action-Adventure")</f>
        <v>Action-Adventure</v>
      </c>
      <c r="N18" s="25" t="str">
        <f>IFERROR(__xludf.DUMMYFUNCTION("""COMPUTED_VALUE"""),"PS3")</f>
        <v>PS3</v>
      </c>
      <c r="O18" s="26" t="str">
        <f>IFERROR(__xludf.DUMMYFUNCTION("""COMPUTED_VALUE"""),"Yes")</f>
        <v>Yes</v>
      </c>
      <c r="P18" s="26" t="str">
        <f>IFERROR(__xludf.DUMMYFUNCTION("""COMPUTED_VALUE"""),"")</f>
        <v/>
      </c>
    </row>
    <row r="19">
      <c r="A19" s="13" t="str">
        <f>IFERROR(__xludf.DUMMYFUNCTION("""COMPUTED_VALUE"""),"Grandia")</f>
        <v>Grandia</v>
      </c>
      <c r="B19" s="15" t="str">
        <f>IFERROR(__xludf.DUMMYFUNCTION("""COMPUTED_VALUE"""),"PS5/PS4")</f>
        <v>PS5/PS4</v>
      </c>
      <c r="C19" s="16" t="str">
        <f>IFERROR(__xludf.DUMMYFUNCTION("""COMPUTED_VALUE"""),"Premium (Classics)")</f>
        <v>Premium (Classics)</v>
      </c>
      <c r="D19" s="15" t="str">
        <f>IFERROR(__xludf.DUMMYFUNCTION("""COMPUTED_VALUE"""),"Active")</f>
        <v>Active</v>
      </c>
      <c r="E19" s="17">
        <f>IFERROR(__xludf.DUMMYFUNCTION("""COMPUTED_VALUE"""),45251.0)</f>
        <v>45251</v>
      </c>
      <c r="F19" s="54"/>
      <c r="G19" s="19">
        <f>IFERROR(__xludf.DUMMYFUNCTION("""COMPUTED_VALUE"""),34.5)</f>
        <v>34.5</v>
      </c>
      <c r="H19" s="17">
        <f>IFERROR(__xludf.DUMMYFUNCTION("""COMPUTED_VALUE"""),36433.0)</f>
        <v>36433</v>
      </c>
      <c r="I19" s="19">
        <f>IFERROR(__xludf.DUMMYFUNCTION("""COMPUTED_VALUE"""),24.141666666666666)</f>
        <v>24.14166667</v>
      </c>
      <c r="J19" s="21">
        <f>IFERROR(__xludf.DUMMYFUNCTION("""COMPUTED_VALUE"""),89.0)</f>
        <v>89</v>
      </c>
      <c r="K19" s="23">
        <f>IFERROR(__xludf.DUMMYFUNCTION("""COMPUTED_VALUE"""),7.7)</f>
        <v>7.7</v>
      </c>
      <c r="L19" s="24">
        <f>IFERROR(__xludf.DUMMYFUNCTION("""COMPUTED_VALUE"""),43.0)</f>
        <v>43</v>
      </c>
      <c r="M19" s="25" t="str">
        <f>IFERROR(__xludf.DUMMYFUNCTION("""COMPUTED_VALUE"""),"RPG")</f>
        <v>RPG</v>
      </c>
      <c r="N19" s="25" t="str">
        <f>IFERROR(__xludf.DUMMYFUNCTION("""COMPUTED_VALUE"""),"PS1")</f>
        <v>PS1</v>
      </c>
      <c r="O19" s="26" t="str">
        <f>IFERROR(__xludf.DUMMYFUNCTION("""COMPUTED_VALUE"""),"Yes")</f>
        <v>Yes</v>
      </c>
      <c r="P19" s="26"/>
    </row>
    <row r="20">
      <c r="A20" s="13" t="str">
        <f>IFERROR(__xludf.DUMMYFUNCTION("""COMPUTED_VALUE"""),"Ratchet and Clank: Tools of Destruction")</f>
        <v>Ratchet and Clank: Tools of Destruction</v>
      </c>
      <c r="B20" s="15" t="str">
        <f>IFERROR(__xludf.DUMMYFUNCTION("""COMPUTED_VALUE"""),"PS5/PS4")</f>
        <v>PS5/PS4</v>
      </c>
      <c r="C20" s="16" t="str">
        <f>IFERROR(__xludf.DUMMYFUNCTION("""COMPUTED_VALUE"""),"Premium (Streaming Only)")</f>
        <v>Premium (Streaming Only)</v>
      </c>
      <c r="D20" s="15" t="str">
        <f>IFERROR(__xludf.DUMMYFUNCTION("""COMPUTED_VALUE"""),"Active")</f>
        <v>Active</v>
      </c>
      <c r="E20" s="17">
        <f>IFERROR(__xludf.DUMMYFUNCTION("""COMPUTED_VALUE"""),44880.0)</f>
        <v>44880</v>
      </c>
      <c r="F20" s="54"/>
      <c r="G20" s="19">
        <f>IFERROR(__xludf.DUMMYFUNCTION("""COMPUTED_VALUE"""),46.7)</f>
        <v>46.7</v>
      </c>
      <c r="H20" s="17">
        <f>IFERROR(__xludf.DUMMYFUNCTION("""COMPUTED_VALUE"""),39378.0)</f>
        <v>39378</v>
      </c>
      <c r="I20" s="19">
        <f>IFERROR(__xludf.DUMMYFUNCTION("""COMPUTED_VALUE"""),15.061111111111112)</f>
        <v>15.06111111</v>
      </c>
      <c r="J20" s="21">
        <f>IFERROR(__xludf.DUMMYFUNCTION("""COMPUTED_VALUE"""),89.0)</f>
        <v>89</v>
      </c>
      <c r="K20" s="23">
        <f>IFERROR(__xludf.DUMMYFUNCTION("""COMPUTED_VALUE"""),8.8)</f>
        <v>8.8</v>
      </c>
      <c r="L20" s="24">
        <f>IFERROR(__xludf.DUMMYFUNCTION("""COMPUTED_VALUE"""),12.5)</f>
        <v>12.5</v>
      </c>
      <c r="M20" s="25" t="str">
        <f>IFERROR(__xludf.DUMMYFUNCTION("""COMPUTED_VALUE"""),"Platformer")</f>
        <v>Platformer</v>
      </c>
      <c r="N20" s="25" t="str">
        <f>IFERROR(__xludf.DUMMYFUNCTION("""COMPUTED_VALUE"""),"PS3")</f>
        <v>PS3</v>
      </c>
      <c r="O20" s="26" t="str">
        <f>IFERROR(__xludf.DUMMYFUNCTION("""COMPUTED_VALUE"""),"Yes")</f>
        <v>Yes</v>
      </c>
      <c r="P20" s="26"/>
    </row>
    <row r="21">
      <c r="A21" s="13" t="str">
        <f>IFERROR(__xludf.DUMMYFUNCTION("""COMPUTED_VALUE"""),"Tekken 2")</f>
        <v>Tekken 2</v>
      </c>
      <c r="B21" s="15" t="str">
        <f>IFERROR(__xludf.DUMMYFUNCTION("""COMPUTED_VALUE"""),"PS5/PS4")</f>
        <v>PS5/PS4</v>
      </c>
      <c r="C21" s="16" t="str">
        <f>IFERROR(__xludf.DUMMYFUNCTION("""COMPUTED_VALUE"""),"Premium (Classics)")</f>
        <v>Premium (Classics)</v>
      </c>
      <c r="D21" s="15" t="str">
        <f>IFERROR(__xludf.DUMMYFUNCTION("""COMPUTED_VALUE"""),"Active")</f>
        <v>Active</v>
      </c>
      <c r="E21" s="17">
        <f>IFERROR(__xludf.DUMMYFUNCTION("""COMPUTED_VALUE"""),44725.0)</f>
        <v>44725</v>
      </c>
      <c r="F21" s="18"/>
      <c r="G21" s="19">
        <f>IFERROR(__xludf.DUMMYFUNCTION("""COMPUTED_VALUE"""),51.766666666666666)</f>
        <v>51.76666667</v>
      </c>
      <c r="H21" s="17">
        <f>IFERROR(__xludf.DUMMYFUNCTION("""COMPUTED_VALUE"""),34912.0)</f>
        <v>34912</v>
      </c>
      <c r="I21" s="19">
        <f>IFERROR(__xludf.DUMMYFUNCTION("""COMPUTED_VALUE"""),26.866666666666667)</f>
        <v>26.86666667</v>
      </c>
      <c r="J21" s="21">
        <f>IFERROR(__xludf.DUMMYFUNCTION("""COMPUTED_VALUE"""),89.0)</f>
        <v>89</v>
      </c>
      <c r="K21" s="23">
        <f>IFERROR(__xludf.DUMMYFUNCTION("""COMPUTED_VALUE"""),7.8)</f>
        <v>7.8</v>
      </c>
      <c r="L21" s="24"/>
      <c r="M21" s="25" t="str">
        <f>IFERROR(__xludf.DUMMYFUNCTION("""COMPUTED_VALUE"""),"Fighting")</f>
        <v>Fighting</v>
      </c>
      <c r="N21" s="25" t="str">
        <f>IFERROR(__xludf.DUMMYFUNCTION("""COMPUTED_VALUE"""),"PS1")</f>
        <v>PS1</v>
      </c>
      <c r="O21" s="26" t="str">
        <f>IFERROR(__xludf.DUMMYFUNCTION("""COMPUTED_VALUE"""),"No")</f>
        <v>No</v>
      </c>
      <c r="P21" s="26" t="str">
        <f>IFERROR(__xludf.DUMMYFUNCTION("""COMPUTED_VALUE"""),"")</f>
        <v/>
      </c>
    </row>
    <row r="22">
      <c r="A22" s="13" t="str">
        <f>IFERROR(__xludf.DUMMYFUNCTION("""COMPUTED_VALUE"""),"Tekken: Dark Resurrection")</f>
        <v>Tekken: Dark Resurrection</v>
      </c>
      <c r="B22" s="15" t="str">
        <f>IFERROR(__xludf.DUMMYFUNCTION("""COMPUTED_VALUE"""),"PS5/PS4")</f>
        <v>PS5/PS4</v>
      </c>
      <c r="C22" s="16" t="str">
        <f>IFERROR(__xludf.DUMMYFUNCTION("""COMPUTED_VALUE"""),"Premium (Classics)")</f>
        <v>Premium (Classics)</v>
      </c>
      <c r="D22" s="15" t="str">
        <f>IFERROR(__xludf.DUMMYFUNCTION("""COMPUTED_VALUE"""),"Active")</f>
        <v>Active</v>
      </c>
      <c r="E22" s="17">
        <f>IFERROR(__xludf.DUMMYFUNCTION("""COMPUTED_VALUE"""),46098.0)</f>
        <v>46098</v>
      </c>
      <c r="F22" s="54"/>
      <c r="G22" s="19">
        <f>IFERROR(__xludf.DUMMYFUNCTION("""COMPUTED_VALUE"""),6.633333333333334)</f>
        <v>6.633333333</v>
      </c>
      <c r="H22" s="17">
        <f>IFERROR(__xludf.DUMMYFUNCTION("""COMPUTED_VALUE"""),38923.0)</f>
        <v>38923</v>
      </c>
      <c r="I22" s="19">
        <f>IFERROR(__xludf.DUMMYFUNCTION("""COMPUTED_VALUE"""),19.644444444444446)</f>
        <v>19.64444444</v>
      </c>
      <c r="J22" s="21">
        <f>IFERROR(__xludf.DUMMYFUNCTION("""COMPUTED_VALUE"""),88.0)</f>
        <v>88</v>
      </c>
      <c r="K22" s="23">
        <f>IFERROR(__xludf.DUMMYFUNCTION("""COMPUTED_VALUE"""),8.5)</f>
        <v>8.5</v>
      </c>
      <c r="L22" s="24">
        <f>IFERROR(__xludf.DUMMYFUNCTION("""COMPUTED_VALUE"""),2.0)</f>
        <v>2</v>
      </c>
      <c r="M22" s="25" t="str">
        <f>IFERROR(__xludf.DUMMYFUNCTION("""COMPUTED_VALUE"""),"Fighting")</f>
        <v>Fighting</v>
      </c>
      <c r="N22" s="25" t="str">
        <f>IFERROR(__xludf.DUMMYFUNCTION("""COMPUTED_VALUE"""),"PSP")</f>
        <v>PSP</v>
      </c>
      <c r="O22" s="26"/>
      <c r="P22" s="26"/>
    </row>
    <row r="23">
      <c r="A23" s="13" t="str">
        <f>IFERROR(__xludf.DUMMYFUNCTION("""COMPUTED_VALUE"""),"Ridge Racer")</f>
        <v>Ridge Racer</v>
      </c>
      <c r="B23" s="15" t="str">
        <f>IFERROR(__xludf.DUMMYFUNCTION("""COMPUTED_VALUE"""),"PS5/PS4")</f>
        <v>PS5/PS4</v>
      </c>
      <c r="C23" s="16" t="str">
        <f>IFERROR(__xludf.DUMMYFUNCTION("""COMPUTED_VALUE"""),"Premium (Classics)")</f>
        <v>Premium (Classics)</v>
      </c>
      <c r="D23" s="15" t="str">
        <f>IFERROR(__xludf.DUMMYFUNCTION("""COMPUTED_VALUE"""),"Active")</f>
        <v>Active</v>
      </c>
      <c r="E23" s="17">
        <f>IFERROR(__xludf.DUMMYFUNCTION("""COMPUTED_VALUE"""),46042.0)</f>
        <v>46042</v>
      </c>
      <c r="F23" s="18"/>
      <c r="G23" s="19">
        <f>IFERROR(__xludf.DUMMYFUNCTION("""COMPUTED_VALUE"""),8.533333333333333)</f>
        <v>8.533333333</v>
      </c>
      <c r="H23" s="17">
        <f>IFERROR(__xludf.DUMMYFUNCTION("""COMPUTED_VALUE"""),38433.0)</f>
        <v>38433</v>
      </c>
      <c r="I23" s="19">
        <f>IFERROR(__xludf.DUMMYFUNCTION("""COMPUTED_VALUE"""),20.82777777777778)</f>
        <v>20.82777778</v>
      </c>
      <c r="J23" s="21">
        <f>IFERROR(__xludf.DUMMYFUNCTION("""COMPUTED_VALUE"""),88.0)</f>
        <v>88</v>
      </c>
      <c r="K23" s="23">
        <f>IFERROR(__xludf.DUMMYFUNCTION("""COMPUTED_VALUE"""),8.1)</f>
        <v>8.1</v>
      </c>
      <c r="L23" s="24">
        <f>IFERROR(__xludf.DUMMYFUNCTION("""COMPUTED_VALUE"""),9.0)</f>
        <v>9</v>
      </c>
      <c r="M23" s="25" t="str">
        <f>IFERROR(__xludf.DUMMYFUNCTION("""COMPUTED_VALUE"""),"Racing")</f>
        <v>Racing</v>
      </c>
      <c r="N23" s="25" t="str">
        <f>IFERROR(__xludf.DUMMYFUNCTION("""COMPUTED_VALUE"""),"PSP")</f>
        <v>PSP</v>
      </c>
      <c r="O23" s="26"/>
      <c r="P23" s="26"/>
    </row>
    <row r="24">
      <c r="A24" s="13" t="str">
        <f>IFERROR(__xludf.DUMMYFUNCTION("""COMPUTED_VALUE"""),"Sly 2: Band of Thieves")</f>
        <v>Sly 2: Band of Thieves</v>
      </c>
      <c r="B24" s="15" t="str">
        <f>IFERROR(__xludf.DUMMYFUNCTION("""COMPUTED_VALUE"""),"PS5/PS4")</f>
        <v>PS5/PS4</v>
      </c>
      <c r="C24" s="16" t="str">
        <f>IFERROR(__xludf.DUMMYFUNCTION("""COMPUTED_VALUE"""),"Premium (Classics)")</f>
        <v>Premium (Classics)</v>
      </c>
      <c r="D24" s="15" t="str">
        <f>IFERROR(__xludf.DUMMYFUNCTION("""COMPUTED_VALUE"""),"Active")</f>
        <v>Active</v>
      </c>
      <c r="E24" s="17">
        <f>IFERROR(__xludf.DUMMYFUNCTION("""COMPUTED_VALUE"""),45643.0)</f>
        <v>45643</v>
      </c>
      <c r="F24" s="18"/>
      <c r="G24" s="19">
        <f>IFERROR(__xludf.DUMMYFUNCTION("""COMPUTED_VALUE"""),21.633333333333333)</f>
        <v>21.63333333</v>
      </c>
      <c r="H24" s="17">
        <f>IFERROR(__xludf.DUMMYFUNCTION("""COMPUTED_VALUE"""),38244.0)</f>
        <v>38244</v>
      </c>
      <c r="I24" s="19">
        <f>IFERROR(__xludf.DUMMYFUNCTION("""COMPUTED_VALUE"""),20.258333333333333)</f>
        <v>20.25833333</v>
      </c>
      <c r="J24" s="21">
        <f>IFERROR(__xludf.DUMMYFUNCTION("""COMPUTED_VALUE"""),88.0)</f>
        <v>88</v>
      </c>
      <c r="K24" s="23">
        <f>IFERROR(__xludf.DUMMYFUNCTION("""COMPUTED_VALUE"""),8.9)</f>
        <v>8.9</v>
      </c>
      <c r="L24" s="24">
        <f>IFERROR(__xludf.DUMMYFUNCTION("""COMPUTED_VALUE"""),15.0)</f>
        <v>15</v>
      </c>
      <c r="M24" s="25" t="str">
        <f>IFERROR(__xludf.DUMMYFUNCTION("""COMPUTED_VALUE"""),"Platformer")</f>
        <v>Platformer</v>
      </c>
      <c r="N24" s="25" t="str">
        <f>IFERROR(__xludf.DUMMYFUNCTION("""COMPUTED_VALUE"""),"PS2")</f>
        <v>PS2</v>
      </c>
      <c r="O24" s="26" t="str">
        <f>IFERROR(__xludf.DUMMYFUNCTION("""COMPUTED_VALUE"""),"Yes")</f>
        <v>Yes</v>
      </c>
      <c r="P24" s="26"/>
    </row>
    <row r="25">
      <c r="A25" s="13" t="str">
        <f>IFERROR(__xludf.DUMMYFUNCTION("""COMPUTED_VALUE"""),"R4: Ridge Racer Type 4")</f>
        <v>R4: Ridge Racer Type 4</v>
      </c>
      <c r="B25" s="15" t="str">
        <f>IFERROR(__xludf.DUMMYFUNCTION("""COMPUTED_VALUE"""),"PS5/PS4")</f>
        <v>PS5/PS4</v>
      </c>
      <c r="C25" s="16" t="str">
        <f>IFERROR(__xludf.DUMMYFUNCTION("""COMPUTED_VALUE"""),"Premium (Classics)")</f>
        <v>Premium (Classics)</v>
      </c>
      <c r="D25" s="15" t="str">
        <f>IFERROR(__xludf.DUMMYFUNCTION("""COMPUTED_VALUE"""),"Active")</f>
        <v>Active</v>
      </c>
      <c r="E25" s="17">
        <f>IFERROR(__xludf.DUMMYFUNCTION("""COMPUTED_VALUE"""),45006.0)</f>
        <v>45006</v>
      </c>
      <c r="F25" s="54"/>
      <c r="G25" s="19">
        <f>IFERROR(__xludf.DUMMYFUNCTION("""COMPUTED_VALUE"""),42.5)</f>
        <v>42.5</v>
      </c>
      <c r="H25" s="17">
        <f>IFERROR(__xludf.DUMMYFUNCTION("""COMPUTED_VALUE"""),36281.0)</f>
        <v>36281</v>
      </c>
      <c r="I25" s="19">
        <f>IFERROR(__xludf.DUMMYFUNCTION("""COMPUTED_VALUE"""),23.88888888888889)</f>
        <v>23.88888889</v>
      </c>
      <c r="J25" s="21">
        <f>IFERROR(__xludf.DUMMYFUNCTION("""COMPUTED_VALUE"""),88.0)</f>
        <v>88</v>
      </c>
      <c r="K25" s="23">
        <f>IFERROR(__xludf.DUMMYFUNCTION("""COMPUTED_VALUE"""),8.7)</f>
        <v>8.7</v>
      </c>
      <c r="L25" s="24">
        <f>IFERROR(__xludf.DUMMYFUNCTION("""COMPUTED_VALUE"""),2.0)</f>
        <v>2</v>
      </c>
      <c r="M25" s="25" t="str">
        <f>IFERROR(__xludf.DUMMYFUNCTION("""COMPUTED_VALUE"""),"Racing")</f>
        <v>Racing</v>
      </c>
      <c r="N25" s="25" t="str">
        <f>IFERROR(__xludf.DUMMYFUNCTION("""COMPUTED_VALUE"""),"PS1")</f>
        <v>PS1</v>
      </c>
      <c r="O25" s="26" t="str">
        <f>IFERROR(__xludf.DUMMYFUNCTION("""COMPUTED_VALUE"""),"Yes")</f>
        <v>Yes</v>
      </c>
      <c r="P25" s="26"/>
    </row>
    <row r="26">
      <c r="A26" s="13" t="str">
        <f>IFERROR(__xludf.DUMMYFUNCTION("""COMPUTED_VALUE"""),"Oddworld: Abe's Exoddus")</f>
        <v>Oddworld: Abe's Exoddus</v>
      </c>
      <c r="B26" s="15" t="str">
        <f>IFERROR(__xludf.DUMMYFUNCTION("""COMPUTED_VALUE"""),"PS5/PS4")</f>
        <v>PS5/PS4</v>
      </c>
      <c r="C26" s="16" t="str">
        <f>IFERROR(__xludf.DUMMYFUNCTION("""COMPUTED_VALUE"""),"Premium (Classics)")</f>
        <v>Premium (Classics)</v>
      </c>
      <c r="D26" s="15" t="str">
        <f>IFERROR(__xludf.DUMMYFUNCTION("""COMPUTED_VALUE"""),"Active")</f>
        <v>Active</v>
      </c>
      <c r="E26" s="17">
        <f>IFERROR(__xludf.DUMMYFUNCTION("""COMPUTED_VALUE"""),44915.0)</f>
        <v>44915</v>
      </c>
      <c r="F26" s="54"/>
      <c r="G26" s="19">
        <f>IFERROR(__xludf.DUMMYFUNCTION("""COMPUTED_VALUE"""),45.53333333333333)</f>
        <v>45.53333333</v>
      </c>
      <c r="H26" s="17">
        <f>IFERROR(__xludf.DUMMYFUNCTION("""COMPUTED_VALUE"""),36099.0)</f>
        <v>36099</v>
      </c>
      <c r="I26" s="19">
        <f>IFERROR(__xludf.DUMMYFUNCTION("""COMPUTED_VALUE"""),24.13888888888889)</f>
        <v>24.13888889</v>
      </c>
      <c r="J26" s="21">
        <f>IFERROR(__xludf.DUMMYFUNCTION("""COMPUTED_VALUE"""),88.0)</f>
        <v>88</v>
      </c>
      <c r="K26" s="23">
        <f>IFERROR(__xludf.DUMMYFUNCTION("""COMPUTED_VALUE"""),8.6)</f>
        <v>8.6</v>
      </c>
      <c r="L26" s="24">
        <f>IFERROR(__xludf.DUMMYFUNCTION("""COMPUTED_VALUE"""),15.0)</f>
        <v>15</v>
      </c>
      <c r="M26" s="25" t="str">
        <f>IFERROR(__xludf.DUMMYFUNCTION("""COMPUTED_VALUE"""),"Action-Adventure")</f>
        <v>Action-Adventure</v>
      </c>
      <c r="N26" s="25" t="str">
        <f>IFERROR(__xludf.DUMMYFUNCTION("""COMPUTED_VALUE"""),"PS1")</f>
        <v>PS1</v>
      </c>
      <c r="O26" s="26" t="str">
        <f>IFERROR(__xludf.DUMMYFUNCTION("""COMPUTED_VALUE"""),"Yes")</f>
        <v>Yes</v>
      </c>
      <c r="P26" s="26"/>
    </row>
    <row r="27">
      <c r="A27" s="13" t="str">
        <f>IFERROR(__xludf.DUMMYFUNCTION("""COMPUTED_VALUE"""),"Ratchet and Clank")</f>
        <v>Ratchet and Clank</v>
      </c>
      <c r="B27" s="15" t="str">
        <f>IFERROR(__xludf.DUMMYFUNCTION("""COMPUTED_VALUE"""),"PS5/PS4")</f>
        <v>PS5/PS4</v>
      </c>
      <c r="C27" s="16" t="str">
        <f>IFERROR(__xludf.DUMMYFUNCTION("""COMPUTED_VALUE"""),"Premium (Streaming Only)")</f>
        <v>Premium (Streaming Only)</v>
      </c>
      <c r="D27" s="15" t="str">
        <f>IFERROR(__xludf.DUMMYFUNCTION("""COMPUTED_VALUE"""),"Active")</f>
        <v>Active</v>
      </c>
      <c r="E27" s="17">
        <f>IFERROR(__xludf.DUMMYFUNCTION("""COMPUTED_VALUE"""),44880.0)</f>
        <v>44880</v>
      </c>
      <c r="F27" s="54"/>
      <c r="G27" s="19">
        <f>IFERROR(__xludf.DUMMYFUNCTION("""COMPUTED_VALUE"""),46.7)</f>
        <v>46.7</v>
      </c>
      <c r="H27" s="17">
        <f>IFERROR(__xludf.DUMMYFUNCTION("""COMPUTED_VALUE"""),37565.0)</f>
        <v>37565</v>
      </c>
      <c r="I27" s="19">
        <f>IFERROR(__xludf.DUMMYFUNCTION("""COMPUTED_VALUE"""),20.02777777777778)</f>
        <v>20.02777778</v>
      </c>
      <c r="J27" s="21">
        <f>IFERROR(__xludf.DUMMYFUNCTION("""COMPUTED_VALUE"""),88.0)</f>
        <v>88</v>
      </c>
      <c r="K27" s="23">
        <f>IFERROR(__xludf.DUMMYFUNCTION("""COMPUTED_VALUE"""),8.8)</f>
        <v>8.8</v>
      </c>
      <c r="L27" s="24">
        <f>IFERROR(__xludf.DUMMYFUNCTION("""COMPUTED_VALUE"""),12.0)</f>
        <v>12</v>
      </c>
      <c r="M27" s="25" t="str">
        <f>IFERROR(__xludf.DUMMYFUNCTION("""COMPUTED_VALUE"""),"Platformer")</f>
        <v>Platformer</v>
      </c>
      <c r="N27" s="25" t="str">
        <f>IFERROR(__xludf.DUMMYFUNCTION("""COMPUTED_VALUE"""),"PS3")</f>
        <v>PS3</v>
      </c>
      <c r="O27" s="26" t="str">
        <f>IFERROR(__xludf.DUMMYFUNCTION("""COMPUTED_VALUE"""),"Yes")</f>
        <v>Yes</v>
      </c>
      <c r="P27" s="26"/>
    </row>
    <row r="28">
      <c r="A28" s="13" t="str">
        <f>IFERROR(__xludf.DUMMYFUNCTION("""COMPUTED_VALUE"""),"XCOM: Enemy Within")</f>
        <v>XCOM: Enemy Within</v>
      </c>
      <c r="B28" s="15" t="str">
        <f>IFERROR(__xludf.DUMMYFUNCTION("""COMPUTED_VALUE"""),"PS5/PS4")</f>
        <v>PS5/PS4</v>
      </c>
      <c r="C28" s="16" t="str">
        <f>IFERROR(__xludf.DUMMYFUNCTION("""COMPUTED_VALUE"""),"Premium (Streaming Only)")</f>
        <v>Premium (Streaming Only)</v>
      </c>
      <c r="D28" s="15" t="str">
        <f>IFERROR(__xludf.DUMMYFUNCTION("""COMPUTED_VALUE"""),"Active")</f>
        <v>Active</v>
      </c>
      <c r="E28" s="17">
        <f>IFERROR(__xludf.DUMMYFUNCTION("""COMPUTED_VALUE"""),42374.0)</f>
        <v>42374</v>
      </c>
      <c r="F28" s="54"/>
      <c r="G28" s="19">
        <f>IFERROR(__xludf.DUMMYFUNCTION("""COMPUTED_VALUE"""),129.03333333333333)</f>
        <v>129.0333333</v>
      </c>
      <c r="H28" s="17">
        <f>IFERROR(__xludf.DUMMYFUNCTION("""COMPUTED_VALUE"""),41590.0)</f>
        <v>41590</v>
      </c>
      <c r="I28" s="19">
        <f>IFERROR(__xludf.DUMMYFUNCTION("""COMPUTED_VALUE"""),2.147222222222222)</f>
        <v>2.147222222</v>
      </c>
      <c r="J28" s="21">
        <f>IFERROR(__xludf.DUMMYFUNCTION("""COMPUTED_VALUE"""),88.0)</f>
        <v>88</v>
      </c>
      <c r="K28" s="23">
        <f>IFERROR(__xludf.DUMMYFUNCTION("""COMPUTED_VALUE"""),8.4)</f>
        <v>8.4</v>
      </c>
      <c r="L28" s="24">
        <f>IFERROR(__xludf.DUMMYFUNCTION("""COMPUTED_VALUE"""),27.5)</f>
        <v>27.5</v>
      </c>
      <c r="M28" s="25" t="str">
        <f>IFERROR(__xludf.DUMMYFUNCTION("""COMPUTED_VALUE"""),"Strategy")</f>
        <v>Strategy</v>
      </c>
      <c r="N28" s="25" t="str">
        <f>IFERROR(__xludf.DUMMYFUNCTION("""COMPUTED_VALUE"""),"PS3")</f>
        <v>PS3</v>
      </c>
      <c r="O28" s="26" t="str">
        <f>IFERROR(__xludf.DUMMYFUNCTION("""COMPUTED_VALUE"""),"Yes")</f>
        <v>Yes</v>
      </c>
      <c r="P28" s="26"/>
    </row>
    <row r="29">
      <c r="A29" s="13" t="str">
        <f>IFERROR(__xludf.DUMMYFUNCTION("""COMPUTED_VALUE"""),"NINJA GAIDEN SIGMA")</f>
        <v>NINJA GAIDEN SIGMA</v>
      </c>
      <c r="B29" s="15" t="str">
        <f>IFERROR(__xludf.DUMMYFUNCTION("""COMPUTED_VALUE"""),"PS5/PS4")</f>
        <v>PS5/PS4</v>
      </c>
      <c r="C29" s="16" t="str">
        <f>IFERROR(__xludf.DUMMYFUNCTION("""COMPUTED_VALUE"""),"Premium (Streaming Only)")</f>
        <v>Premium (Streaming Only)</v>
      </c>
      <c r="D29" s="15" t="str">
        <f>IFERROR(__xludf.DUMMYFUNCTION("""COMPUTED_VALUE"""),"Active")</f>
        <v>Active</v>
      </c>
      <c r="E29" s="17">
        <f>IFERROR(__xludf.DUMMYFUNCTION("""COMPUTED_VALUE"""),42101.0)</f>
        <v>42101</v>
      </c>
      <c r="F29" s="54"/>
      <c r="G29" s="19">
        <f>IFERROR(__xludf.DUMMYFUNCTION("""COMPUTED_VALUE"""),137.96666666666667)</f>
        <v>137.9666667</v>
      </c>
      <c r="H29" s="17">
        <f>IFERROR(__xludf.DUMMYFUNCTION("""COMPUTED_VALUE"""),39264.0)</f>
        <v>39264</v>
      </c>
      <c r="I29" s="19">
        <f>IFERROR(__xludf.DUMMYFUNCTION("""COMPUTED_VALUE"""),7.766666666666667)</f>
        <v>7.766666667</v>
      </c>
      <c r="J29" s="21">
        <f>IFERROR(__xludf.DUMMYFUNCTION("""COMPUTED_VALUE"""),88.0)</f>
        <v>88</v>
      </c>
      <c r="K29" s="23">
        <f>IFERROR(__xludf.DUMMYFUNCTION("""COMPUTED_VALUE"""),8.7)</f>
        <v>8.7</v>
      </c>
      <c r="L29" s="24">
        <f>IFERROR(__xludf.DUMMYFUNCTION("""COMPUTED_VALUE"""),17.0)</f>
        <v>17</v>
      </c>
      <c r="M29" s="25" t="str">
        <f>IFERROR(__xludf.DUMMYFUNCTION("""COMPUTED_VALUE"""),"Action-Adventure")</f>
        <v>Action-Adventure</v>
      </c>
      <c r="N29" s="25" t="str">
        <f>IFERROR(__xludf.DUMMYFUNCTION("""COMPUTED_VALUE"""),"PS3")</f>
        <v>PS3</v>
      </c>
      <c r="O29" s="26" t="str">
        <f>IFERROR(__xludf.DUMMYFUNCTION("""COMPUTED_VALUE"""),"Yes")</f>
        <v>Yes</v>
      </c>
      <c r="P29" s="26" t="str">
        <f>IFERROR(__xludf.DUMMYFUNCTION("""COMPUTED_VALUE"""),"")</f>
        <v/>
      </c>
    </row>
    <row r="30">
      <c r="A30" s="13" t="str">
        <f>IFERROR(__xludf.DUMMYFUNCTION("""COMPUTED_VALUE"""),"God of War HD")</f>
        <v>God of War HD</v>
      </c>
      <c r="B30" s="15" t="str">
        <f>IFERROR(__xludf.DUMMYFUNCTION("""COMPUTED_VALUE"""),"PS5/PS4")</f>
        <v>PS5/PS4</v>
      </c>
      <c r="C30" s="16" t="str">
        <f>IFERROR(__xludf.DUMMYFUNCTION("""COMPUTED_VALUE"""),"Premium (Streaming Only)")</f>
        <v>Premium (Streaming Only)</v>
      </c>
      <c r="D30" s="15" t="str">
        <f>IFERROR(__xludf.DUMMYFUNCTION("""COMPUTED_VALUE"""),"Active")</f>
        <v>Active</v>
      </c>
      <c r="E30" s="17">
        <f>IFERROR(__xludf.DUMMYFUNCTION("""COMPUTED_VALUE"""),42017.0)</f>
        <v>42017</v>
      </c>
      <c r="F30" s="54"/>
      <c r="G30" s="19">
        <f>IFERROR(__xludf.DUMMYFUNCTION("""COMPUTED_VALUE"""),140.76666666666668)</f>
        <v>140.7666667</v>
      </c>
      <c r="H30" s="17">
        <f>IFERROR(__xludf.DUMMYFUNCTION("""COMPUTED_VALUE"""),38412.0)</f>
        <v>38412</v>
      </c>
      <c r="I30" s="19">
        <f>IFERROR(__xludf.DUMMYFUNCTION("""COMPUTED_VALUE"""),9.866666666666667)</f>
        <v>9.866666667</v>
      </c>
      <c r="J30" s="21">
        <f>IFERROR(__xludf.DUMMYFUNCTION("""COMPUTED_VALUE"""),88.0)</f>
        <v>88</v>
      </c>
      <c r="K30" s="23">
        <f>IFERROR(__xludf.DUMMYFUNCTION("""COMPUTED_VALUE"""),8.9)</f>
        <v>8.9</v>
      </c>
      <c r="L30" s="24">
        <f>IFERROR(__xludf.DUMMYFUNCTION("""COMPUTED_VALUE"""),9.0)</f>
        <v>9</v>
      </c>
      <c r="M30" s="25" t="str">
        <f>IFERROR(__xludf.DUMMYFUNCTION("""COMPUTED_VALUE"""),"Action-Adventure")</f>
        <v>Action-Adventure</v>
      </c>
      <c r="N30" s="25" t="str">
        <f>IFERROR(__xludf.DUMMYFUNCTION("""COMPUTED_VALUE"""),"PS3")</f>
        <v>PS3</v>
      </c>
      <c r="O30" s="26" t="str">
        <f>IFERROR(__xludf.DUMMYFUNCTION("""COMPUTED_VALUE"""),"Yes")</f>
        <v>Yes</v>
      </c>
      <c r="P30" s="26" t="str">
        <f>IFERROR(__xludf.DUMMYFUNCTION("""COMPUTED_VALUE"""),"")</f>
        <v/>
      </c>
    </row>
    <row r="31">
      <c r="A31" s="13" t="str">
        <f>IFERROR(__xludf.DUMMYFUNCTION("""COMPUTED_VALUE"""),"Jeanne d'Arc")</f>
        <v>Jeanne d'Arc</v>
      </c>
      <c r="B31" s="15" t="str">
        <f>IFERROR(__xludf.DUMMYFUNCTION("""COMPUTED_VALUE"""),"PS5/PS4")</f>
        <v>PS5/PS4</v>
      </c>
      <c r="C31" s="16" t="str">
        <f>IFERROR(__xludf.DUMMYFUNCTION("""COMPUTED_VALUE"""),"Premium (Classics)")</f>
        <v>Premium (Classics)</v>
      </c>
      <c r="D31" s="15" t="str">
        <f>IFERROR(__xludf.DUMMYFUNCTION("""COMPUTED_VALUE"""),"Active")</f>
        <v>Active</v>
      </c>
      <c r="E31" s="17">
        <f>IFERROR(__xludf.DUMMYFUNCTION("""COMPUTED_VALUE"""),45489.0)</f>
        <v>45489</v>
      </c>
      <c r="F31" s="54"/>
      <c r="G31" s="19">
        <f>IFERROR(__xludf.DUMMYFUNCTION("""COMPUTED_VALUE"""),26.666666666666668)</f>
        <v>26.66666667</v>
      </c>
      <c r="H31" s="17">
        <f>IFERROR(__xludf.DUMMYFUNCTION("""COMPUTED_VALUE"""),39315.0)</f>
        <v>39315</v>
      </c>
      <c r="I31" s="19">
        <f>IFERROR(__xludf.DUMMYFUNCTION("""COMPUTED_VALUE"""),16.90277777777778)</f>
        <v>16.90277778</v>
      </c>
      <c r="J31" s="21">
        <f>IFERROR(__xludf.DUMMYFUNCTION("""COMPUTED_VALUE"""),87.0)</f>
        <v>87</v>
      </c>
      <c r="K31" s="23">
        <f>IFERROR(__xludf.DUMMYFUNCTION("""COMPUTED_VALUE"""),8.8)</f>
        <v>8.8</v>
      </c>
      <c r="L31" s="24">
        <f>IFERROR(__xludf.DUMMYFUNCTION("""COMPUTED_VALUE"""),32.0)</f>
        <v>32</v>
      </c>
      <c r="M31" s="25" t="str">
        <f>IFERROR(__xludf.DUMMYFUNCTION("""COMPUTED_VALUE"""),"Strategy")</f>
        <v>Strategy</v>
      </c>
      <c r="N31" s="25" t="str">
        <f>IFERROR(__xludf.DUMMYFUNCTION("""COMPUTED_VALUE"""),"PSP")</f>
        <v>PSP</v>
      </c>
      <c r="O31" s="26" t="str">
        <f>IFERROR(__xludf.DUMMYFUNCTION("""COMPUTED_VALUE"""),"Yes")</f>
        <v>Yes</v>
      </c>
      <c r="P31" s="26"/>
    </row>
    <row r="32">
      <c r="A32" s="13" t="str">
        <f>IFERROR(__xludf.DUMMYFUNCTION("""COMPUTED_VALUE"""),"DOOM 3")</f>
        <v>DOOM 3</v>
      </c>
      <c r="B32" s="15" t="str">
        <f>IFERROR(__xludf.DUMMYFUNCTION("""COMPUTED_VALUE"""),"PS4")</f>
        <v>PS4</v>
      </c>
      <c r="C32" s="16" t="str">
        <f>IFERROR(__xludf.DUMMYFUNCTION("""COMPUTED_VALUE"""),"Premium (Classics)")</f>
        <v>Premium (Classics)</v>
      </c>
      <c r="D32" s="15" t="str">
        <f>IFERROR(__xludf.DUMMYFUNCTION("""COMPUTED_VALUE"""),"Active")</f>
        <v>Active</v>
      </c>
      <c r="E32" s="17">
        <f>IFERROR(__xludf.DUMMYFUNCTION("""COMPUTED_VALUE"""),45034.0)</f>
        <v>45034</v>
      </c>
      <c r="F32" s="54"/>
      <c r="G32" s="19">
        <f>IFERROR(__xludf.DUMMYFUNCTION("""COMPUTED_VALUE"""),41.6)</f>
        <v>41.6</v>
      </c>
      <c r="H32" s="17">
        <f>IFERROR(__xludf.DUMMYFUNCTION("""COMPUTED_VALUE"""),38202.0)</f>
        <v>38202</v>
      </c>
      <c r="I32" s="19">
        <f>IFERROR(__xludf.DUMMYFUNCTION("""COMPUTED_VALUE"""),18.708333333333332)</f>
        <v>18.70833333</v>
      </c>
      <c r="J32" s="21">
        <f>IFERROR(__xludf.DUMMYFUNCTION("""COMPUTED_VALUE"""),87.0)</f>
        <v>87</v>
      </c>
      <c r="K32" s="23">
        <f>IFERROR(__xludf.DUMMYFUNCTION("""COMPUTED_VALUE"""),7.7)</f>
        <v>7.7</v>
      </c>
      <c r="L32" s="24">
        <f>IFERROR(__xludf.DUMMYFUNCTION("""COMPUTED_VALUE"""),11.0)</f>
        <v>11</v>
      </c>
      <c r="M32" s="25" t="str">
        <f>IFERROR(__xludf.DUMMYFUNCTION("""COMPUTED_VALUE"""),"Shooter")</f>
        <v>Shooter</v>
      </c>
      <c r="N32" s="25" t="str">
        <f>IFERROR(__xludf.DUMMYFUNCTION("""COMPUTED_VALUE"""),"Windows")</f>
        <v>Windows</v>
      </c>
      <c r="O32" s="26" t="str">
        <f>IFERROR(__xludf.DUMMYFUNCTION("""COMPUTED_VALUE"""),"Yes")</f>
        <v>Yes</v>
      </c>
      <c r="P32" s="26"/>
    </row>
    <row r="33">
      <c r="A33" s="13" t="str">
        <f>IFERROR(__xludf.DUMMYFUNCTION("""COMPUTED_VALUE"""),"Syphon Filter: Dark Mirror")</f>
        <v>Syphon Filter: Dark Mirror</v>
      </c>
      <c r="B33" s="15" t="str">
        <f>IFERROR(__xludf.DUMMYFUNCTION("""COMPUTED_VALUE"""),"PS5/PS4")</f>
        <v>PS5/PS4</v>
      </c>
      <c r="C33" s="16" t="str">
        <f>IFERROR(__xludf.DUMMYFUNCTION("""COMPUTED_VALUE"""),"Premium (Classics)")</f>
        <v>Premium (Classics)</v>
      </c>
      <c r="D33" s="15" t="str">
        <f>IFERROR(__xludf.DUMMYFUNCTION("""COMPUTED_VALUE"""),"Active")</f>
        <v>Active</v>
      </c>
      <c r="E33" s="17">
        <f>IFERROR(__xludf.DUMMYFUNCTION("""COMPUTED_VALUE"""),45006.0)</f>
        <v>45006</v>
      </c>
      <c r="F33" s="54"/>
      <c r="G33" s="19">
        <f>IFERROR(__xludf.DUMMYFUNCTION("""COMPUTED_VALUE"""),42.5)</f>
        <v>42.5</v>
      </c>
      <c r="H33" s="17">
        <f>IFERROR(__xludf.DUMMYFUNCTION("""COMPUTED_VALUE"""),38790.0)</f>
        <v>38790</v>
      </c>
      <c r="I33" s="19">
        <f>IFERROR(__xludf.DUMMYFUNCTION("""COMPUTED_VALUE"""),17.019444444444446)</f>
        <v>17.01944444</v>
      </c>
      <c r="J33" s="21">
        <f>IFERROR(__xludf.DUMMYFUNCTION("""COMPUTED_VALUE"""),87.0)</f>
        <v>87</v>
      </c>
      <c r="K33" s="23">
        <f>IFERROR(__xludf.DUMMYFUNCTION("""COMPUTED_VALUE"""),8.5)</f>
        <v>8.5</v>
      </c>
      <c r="L33" s="24">
        <f>IFERROR(__xludf.DUMMYFUNCTION("""COMPUTED_VALUE"""),7.0)</f>
        <v>7</v>
      </c>
      <c r="M33" s="25" t="str">
        <f>IFERROR(__xludf.DUMMYFUNCTION("""COMPUTED_VALUE"""),"Shooter")</f>
        <v>Shooter</v>
      </c>
      <c r="N33" s="25" t="str">
        <f>IFERROR(__xludf.DUMMYFUNCTION("""COMPUTED_VALUE"""),"PSP")</f>
        <v>PSP</v>
      </c>
      <c r="O33" s="26" t="str">
        <f>IFERROR(__xludf.DUMMYFUNCTION("""COMPUTED_VALUE"""),"Yes")</f>
        <v>Yes</v>
      </c>
      <c r="P33" s="26"/>
    </row>
    <row r="34">
      <c r="A34" s="13" t="str">
        <f>IFERROR(__xludf.DUMMYFUNCTION("""COMPUTED_VALUE"""),"Dark Cloud 2")</f>
        <v>Dark Cloud 2</v>
      </c>
      <c r="B34" s="15" t="str">
        <f>IFERROR(__xludf.DUMMYFUNCTION("""COMPUTED_VALUE"""),"PS4")</f>
        <v>PS4</v>
      </c>
      <c r="C34" s="16" t="str">
        <f>IFERROR(__xludf.DUMMYFUNCTION("""COMPUTED_VALUE"""),"Premium (Classics)")</f>
        <v>Premium (Classics)</v>
      </c>
      <c r="D34" s="15" t="str">
        <f>IFERROR(__xludf.DUMMYFUNCTION("""COMPUTED_VALUE"""),"Active")</f>
        <v>Active</v>
      </c>
      <c r="E34" s="17">
        <f>IFERROR(__xludf.DUMMYFUNCTION("""COMPUTED_VALUE"""),44725.0)</f>
        <v>44725</v>
      </c>
      <c r="F34" s="54"/>
      <c r="G34" s="19">
        <f>IFERROR(__xludf.DUMMYFUNCTION("""COMPUTED_VALUE"""),51.766666666666666)</f>
        <v>51.76666667</v>
      </c>
      <c r="H34" s="17">
        <f>IFERROR(__xludf.DUMMYFUNCTION("""COMPUTED_VALUE"""),37653.0)</f>
        <v>37653</v>
      </c>
      <c r="I34" s="19">
        <f>IFERROR(__xludf.DUMMYFUNCTION("""COMPUTED_VALUE"""),19.366666666666667)</f>
        <v>19.36666667</v>
      </c>
      <c r="J34" s="21">
        <f>IFERROR(__xludf.DUMMYFUNCTION("""COMPUTED_VALUE"""),87.0)</f>
        <v>87</v>
      </c>
      <c r="K34" s="23">
        <f>IFERROR(__xludf.DUMMYFUNCTION("""COMPUTED_VALUE"""),8.5)</f>
        <v>8.5</v>
      </c>
      <c r="L34" s="24">
        <f>IFERROR(__xludf.DUMMYFUNCTION("""COMPUTED_VALUE"""),50.0)</f>
        <v>50</v>
      </c>
      <c r="M34" s="25" t="str">
        <f>IFERROR(__xludf.DUMMYFUNCTION("""COMPUTED_VALUE"""),"RPG")</f>
        <v>RPG</v>
      </c>
      <c r="N34" s="25" t="str">
        <f>IFERROR(__xludf.DUMMYFUNCTION("""COMPUTED_VALUE"""),"PS2")</f>
        <v>PS2</v>
      </c>
      <c r="O34" s="26" t="str">
        <f>IFERROR(__xludf.DUMMYFUNCTION("""COMPUTED_VALUE"""),"Yes")</f>
        <v>Yes</v>
      </c>
      <c r="P34" s="26" t="str">
        <f>IFERROR(__xludf.DUMMYFUNCTION("""COMPUTED_VALUE"""),"")</f>
        <v/>
      </c>
    </row>
    <row r="35">
      <c r="A35" s="13" t="str">
        <f>IFERROR(__xludf.DUMMYFUNCTION("""COMPUTED_VALUE"""),"Jak II")</f>
        <v>Jak II</v>
      </c>
      <c r="B35" s="15" t="str">
        <f>IFERROR(__xludf.DUMMYFUNCTION("""COMPUTED_VALUE"""),"PS4")</f>
        <v>PS4</v>
      </c>
      <c r="C35" s="16" t="str">
        <f>IFERROR(__xludf.DUMMYFUNCTION("""COMPUTED_VALUE"""),"Premium (Classics)")</f>
        <v>Premium (Classics)</v>
      </c>
      <c r="D35" s="15" t="str">
        <f>IFERROR(__xludf.DUMMYFUNCTION("""COMPUTED_VALUE"""),"Active")</f>
        <v>Active</v>
      </c>
      <c r="E35" s="17">
        <f>IFERROR(__xludf.DUMMYFUNCTION("""COMPUTED_VALUE"""),44725.0)</f>
        <v>44725</v>
      </c>
      <c r="F35" s="54"/>
      <c r="G35" s="19">
        <f>IFERROR(__xludf.DUMMYFUNCTION("""COMPUTED_VALUE"""),51.766666666666666)</f>
        <v>51.76666667</v>
      </c>
      <c r="H35" s="17">
        <f>IFERROR(__xludf.DUMMYFUNCTION("""COMPUTED_VALUE"""),37895.0)</f>
        <v>37895</v>
      </c>
      <c r="I35" s="19">
        <f>IFERROR(__xludf.DUMMYFUNCTION("""COMPUTED_VALUE"""),18.7)</f>
        <v>18.7</v>
      </c>
      <c r="J35" s="21">
        <f>IFERROR(__xludf.DUMMYFUNCTION("""COMPUTED_VALUE"""),87.0)</f>
        <v>87</v>
      </c>
      <c r="K35" s="23">
        <f>IFERROR(__xludf.DUMMYFUNCTION("""COMPUTED_VALUE"""),8.3)</f>
        <v>8.3</v>
      </c>
      <c r="L35" s="24">
        <f>IFERROR(__xludf.DUMMYFUNCTION("""COMPUTED_VALUE"""),18.0)</f>
        <v>18</v>
      </c>
      <c r="M35" s="25" t="str">
        <f>IFERROR(__xludf.DUMMYFUNCTION("""COMPUTED_VALUE"""),"Platformer")</f>
        <v>Platformer</v>
      </c>
      <c r="N35" s="25" t="str">
        <f>IFERROR(__xludf.DUMMYFUNCTION("""COMPUTED_VALUE"""),"PS2")</f>
        <v>PS2</v>
      </c>
      <c r="O35" s="26" t="str">
        <f>IFERROR(__xludf.DUMMYFUNCTION("""COMPUTED_VALUE"""),"No")</f>
        <v>No</v>
      </c>
      <c r="P35" s="26" t="str">
        <f>IFERROR(__xludf.DUMMYFUNCTION("""COMPUTED_VALUE"""),"")</f>
        <v/>
      </c>
    </row>
    <row r="36">
      <c r="A36" s="13" t="str">
        <f>IFERROR(__xludf.DUMMYFUNCTION("""COMPUTED_VALUE"""),"Velocity Ultra")</f>
        <v>Velocity Ultra</v>
      </c>
      <c r="B36" s="15" t="str">
        <f>IFERROR(__xludf.DUMMYFUNCTION("""COMPUTED_VALUE"""),"PS5/PS4")</f>
        <v>PS5/PS4</v>
      </c>
      <c r="C36" s="16" t="str">
        <f>IFERROR(__xludf.DUMMYFUNCTION("""COMPUTED_VALUE"""),"Premium (Streaming Only)")</f>
        <v>Premium (Streaming Only)</v>
      </c>
      <c r="D36" s="15" t="str">
        <f>IFERROR(__xludf.DUMMYFUNCTION("""COMPUTED_VALUE"""),"Active")</f>
        <v>Active</v>
      </c>
      <c r="E36" s="17">
        <f>IFERROR(__xludf.DUMMYFUNCTION("""COMPUTED_VALUE"""),44725.0)</f>
        <v>44725</v>
      </c>
      <c r="F36" s="54"/>
      <c r="G36" s="19">
        <f>IFERROR(__xludf.DUMMYFUNCTION("""COMPUTED_VALUE"""),51.766666666666666)</f>
        <v>51.76666667</v>
      </c>
      <c r="H36" s="17">
        <f>IFERROR(__xludf.DUMMYFUNCTION("""COMPUTED_VALUE"""),41456.0)</f>
        <v>41456</v>
      </c>
      <c r="I36" s="19">
        <f>IFERROR(__xludf.DUMMYFUNCTION("""COMPUTED_VALUE"""),8.95)</f>
        <v>8.95</v>
      </c>
      <c r="J36" s="21">
        <f>IFERROR(__xludf.DUMMYFUNCTION("""COMPUTED_VALUE"""),87.0)</f>
        <v>87</v>
      </c>
      <c r="K36" s="23">
        <f>IFERROR(__xludf.DUMMYFUNCTION("""COMPUTED_VALUE"""),7.6)</f>
        <v>7.6</v>
      </c>
      <c r="L36" s="24">
        <f>IFERROR(__xludf.DUMMYFUNCTION("""COMPUTED_VALUE"""),4.0)</f>
        <v>4</v>
      </c>
      <c r="M36" s="25" t="str">
        <f>IFERROR(__xludf.DUMMYFUNCTION("""COMPUTED_VALUE"""),"Shooter")</f>
        <v>Shooter</v>
      </c>
      <c r="N36" s="25" t="str">
        <f>IFERROR(__xludf.DUMMYFUNCTION("""COMPUTED_VALUE"""),"PS3")</f>
        <v>PS3</v>
      </c>
      <c r="O36" s="26" t="str">
        <f>IFERROR(__xludf.DUMMYFUNCTION("""COMPUTED_VALUE"""),"Yes")</f>
        <v>Yes</v>
      </c>
      <c r="P36" s="26" t="str">
        <f>IFERROR(__xludf.DUMMYFUNCTION("""COMPUTED_VALUE"""),"")</f>
        <v/>
      </c>
    </row>
    <row r="37">
      <c r="A37" s="13" t="str">
        <f>IFERROR(__xludf.DUMMYFUNCTION("""COMPUTED_VALUE"""),"Bionic Commando: Rearmed")</f>
        <v>Bionic Commando: Rearmed</v>
      </c>
      <c r="B37" s="15" t="str">
        <f>IFERROR(__xludf.DUMMYFUNCTION("""COMPUTED_VALUE"""),"PS5/PS4")</f>
        <v>PS5/PS4</v>
      </c>
      <c r="C37" s="16" t="str">
        <f>IFERROR(__xludf.DUMMYFUNCTION("""COMPUTED_VALUE"""),"Premium (Streaming Only)")</f>
        <v>Premium (Streaming Only)</v>
      </c>
      <c r="D37" s="15" t="str">
        <f>IFERROR(__xludf.DUMMYFUNCTION("""COMPUTED_VALUE"""),"Active")</f>
        <v>Active</v>
      </c>
      <c r="E37" s="17">
        <f>IFERROR(__xludf.DUMMYFUNCTION("""COMPUTED_VALUE"""),42311.0)</f>
        <v>42311</v>
      </c>
      <c r="F37" s="54"/>
      <c r="G37" s="19">
        <f>IFERROR(__xludf.DUMMYFUNCTION("""COMPUTED_VALUE"""),131.10000000000002)</f>
        <v>131.1</v>
      </c>
      <c r="H37" s="17">
        <f>IFERROR(__xludf.DUMMYFUNCTION("""COMPUTED_VALUE"""),39661.0)</f>
        <v>39661</v>
      </c>
      <c r="I37" s="19">
        <f>IFERROR(__xludf.DUMMYFUNCTION("""COMPUTED_VALUE"""),7.2555555555555555)</f>
        <v>7.255555556</v>
      </c>
      <c r="J37" s="21">
        <f>IFERROR(__xludf.DUMMYFUNCTION("""COMPUTED_VALUE"""),87.0)</f>
        <v>87</v>
      </c>
      <c r="K37" s="23">
        <f>IFERROR(__xludf.DUMMYFUNCTION("""COMPUTED_VALUE"""),8.3)</f>
        <v>8.3</v>
      </c>
      <c r="L37" s="24">
        <f>IFERROR(__xludf.DUMMYFUNCTION("""COMPUTED_VALUE"""),5.0)</f>
        <v>5</v>
      </c>
      <c r="M37" s="25" t="str">
        <f>IFERROR(__xludf.DUMMYFUNCTION("""COMPUTED_VALUE"""),"Platformer")</f>
        <v>Platformer</v>
      </c>
      <c r="N37" s="25" t="str">
        <f>IFERROR(__xludf.DUMMYFUNCTION("""COMPUTED_VALUE"""),"PS3")</f>
        <v>PS3</v>
      </c>
      <c r="O37" s="26" t="str">
        <f>IFERROR(__xludf.DUMMYFUNCTION("""COMPUTED_VALUE"""),"Yes")</f>
        <v>Yes</v>
      </c>
      <c r="P37" s="26" t="str">
        <f>IFERROR(__xludf.DUMMYFUNCTION("""COMPUTED_VALUE"""),"Yes")</f>
        <v>Yes</v>
      </c>
    </row>
    <row r="38">
      <c r="A38" s="13" t="str">
        <f>IFERROR(__xludf.DUMMYFUNCTION("""COMPUTED_VALUE"""),"BlazBlue: Calamity Trigger")</f>
        <v>BlazBlue: Calamity Trigger</v>
      </c>
      <c r="B38" s="15" t="str">
        <f>IFERROR(__xludf.DUMMYFUNCTION("""COMPUTED_VALUE"""),"PS5/PS4")</f>
        <v>PS5/PS4</v>
      </c>
      <c r="C38" s="16" t="str">
        <f>IFERROR(__xludf.DUMMYFUNCTION("""COMPUTED_VALUE"""),"Premium (Streaming Only)")</f>
        <v>Premium (Streaming Only)</v>
      </c>
      <c r="D38" s="15" t="str">
        <f>IFERROR(__xludf.DUMMYFUNCTION("""COMPUTED_VALUE"""),"Active")</f>
        <v>Active</v>
      </c>
      <c r="E38" s="17">
        <f>IFERROR(__xludf.DUMMYFUNCTION("""COMPUTED_VALUE"""),42017.0)</f>
        <v>42017</v>
      </c>
      <c r="F38" s="54"/>
      <c r="G38" s="19">
        <f>IFERROR(__xludf.DUMMYFUNCTION("""COMPUTED_VALUE"""),140.76666666666668)</f>
        <v>140.7666667</v>
      </c>
      <c r="H38" s="17">
        <f>IFERROR(__xludf.DUMMYFUNCTION("""COMPUTED_VALUE"""),39965.0)</f>
        <v>39965</v>
      </c>
      <c r="I38" s="19">
        <f>IFERROR(__xludf.DUMMYFUNCTION("""COMPUTED_VALUE"""),5.616666666666666)</f>
        <v>5.616666667</v>
      </c>
      <c r="J38" s="21">
        <f>IFERROR(__xludf.DUMMYFUNCTION("""COMPUTED_VALUE"""),87.0)</f>
        <v>87</v>
      </c>
      <c r="K38" s="23">
        <f>IFERROR(__xludf.DUMMYFUNCTION("""COMPUTED_VALUE"""),8.0)</f>
        <v>8</v>
      </c>
      <c r="L38" s="24"/>
      <c r="M38" s="25" t="str">
        <f>IFERROR(__xludf.DUMMYFUNCTION("""COMPUTED_VALUE"""),"Fighting")</f>
        <v>Fighting</v>
      </c>
      <c r="N38" s="25" t="str">
        <f>IFERROR(__xludf.DUMMYFUNCTION("""COMPUTED_VALUE"""),"PS3")</f>
        <v>PS3</v>
      </c>
      <c r="O38" s="26" t="str">
        <f>IFERROR(__xludf.DUMMYFUNCTION("""COMPUTED_VALUE"""),"Yes")</f>
        <v>Yes</v>
      </c>
      <c r="P38" s="26" t="str">
        <f>IFERROR(__xludf.DUMMYFUNCTION("""COMPUTED_VALUE"""),"")</f>
        <v/>
      </c>
    </row>
    <row r="39">
      <c r="A39" s="13" t="str">
        <f>IFERROR(__xludf.DUMMYFUNCTION("""COMPUTED_VALUE"""),"Critter Crunch")</f>
        <v>Critter Crunch</v>
      </c>
      <c r="B39" s="15" t="str">
        <f>IFERROR(__xludf.DUMMYFUNCTION("""COMPUTED_VALUE"""),"PS5/PS4")</f>
        <v>PS5/PS4</v>
      </c>
      <c r="C39" s="16" t="str">
        <f>IFERROR(__xludf.DUMMYFUNCTION("""COMPUTED_VALUE"""),"Premium (Streaming Only)")</f>
        <v>Premium (Streaming Only)</v>
      </c>
      <c r="D39" s="15" t="str">
        <f>IFERROR(__xludf.DUMMYFUNCTION("""COMPUTED_VALUE"""),"Active")</f>
        <v>Active</v>
      </c>
      <c r="E39" s="17">
        <f>IFERROR(__xludf.DUMMYFUNCTION("""COMPUTED_VALUE"""),42017.0)</f>
        <v>42017</v>
      </c>
      <c r="F39" s="54"/>
      <c r="G39" s="19">
        <f>IFERROR(__xludf.DUMMYFUNCTION("""COMPUTED_VALUE"""),140.76666666666668)</f>
        <v>140.7666667</v>
      </c>
      <c r="H39" s="17">
        <f>IFERROR(__xludf.DUMMYFUNCTION("""COMPUTED_VALUE"""),40087.0)</f>
        <v>40087</v>
      </c>
      <c r="I39" s="19">
        <f>IFERROR(__xludf.DUMMYFUNCTION("""COMPUTED_VALUE"""),5.283333333333333)</f>
        <v>5.283333333</v>
      </c>
      <c r="J39" s="21">
        <f>IFERROR(__xludf.DUMMYFUNCTION("""COMPUTED_VALUE"""),87.0)</f>
        <v>87</v>
      </c>
      <c r="K39" s="23">
        <f>IFERROR(__xludf.DUMMYFUNCTION("""COMPUTED_VALUE"""),7.7)</f>
        <v>7.7</v>
      </c>
      <c r="L39" s="24">
        <f>IFERROR(__xludf.DUMMYFUNCTION("""COMPUTED_VALUE"""),3.0)</f>
        <v>3</v>
      </c>
      <c r="M39" s="25" t="str">
        <f>IFERROR(__xludf.DUMMYFUNCTION("""COMPUTED_VALUE"""),"Puzzle")</f>
        <v>Puzzle</v>
      </c>
      <c r="N39" s="25" t="str">
        <f>IFERROR(__xludf.DUMMYFUNCTION("""COMPUTED_VALUE"""),"PS3")</f>
        <v>PS3</v>
      </c>
      <c r="O39" s="26" t="str">
        <f>IFERROR(__xludf.DUMMYFUNCTION("""COMPUTED_VALUE"""),"Yes")</f>
        <v>Yes</v>
      </c>
      <c r="P39" s="26" t="str">
        <f>IFERROR(__xludf.DUMMYFUNCTION("""COMPUTED_VALUE"""),"Yes")</f>
        <v>Yes</v>
      </c>
    </row>
    <row r="40">
      <c r="A40" s="13" t="str">
        <f>IFERROR(__xludf.DUMMYFUNCTION("""COMPUTED_VALUE"""),"Monkey Island 2 Special Edition: LeChuck's Revenge")</f>
        <v>Monkey Island 2 Special Edition: LeChuck's Revenge</v>
      </c>
      <c r="B40" s="15" t="str">
        <f>IFERROR(__xludf.DUMMYFUNCTION("""COMPUTED_VALUE"""),"PS5/PS4")</f>
        <v>PS5/PS4</v>
      </c>
      <c r="C40" s="16" t="str">
        <f>IFERROR(__xludf.DUMMYFUNCTION("""COMPUTED_VALUE"""),"Premium (Streaming Only)")</f>
        <v>Premium (Streaming Only)</v>
      </c>
      <c r="D40" s="15" t="str">
        <f>IFERROR(__xludf.DUMMYFUNCTION("""COMPUTED_VALUE"""),"Active")</f>
        <v>Active</v>
      </c>
      <c r="E40" s="17">
        <f>IFERROR(__xludf.DUMMYFUNCTION("""COMPUTED_VALUE"""),42017.0)</f>
        <v>42017</v>
      </c>
      <c r="F40" s="54"/>
      <c r="G40" s="19">
        <f>IFERROR(__xludf.DUMMYFUNCTION("""COMPUTED_VALUE"""),140.76666666666668)</f>
        <v>140.7666667</v>
      </c>
      <c r="H40" s="17">
        <f>IFERROR(__xludf.DUMMYFUNCTION("""COMPUTED_VALUE"""),40330.0)</f>
        <v>40330</v>
      </c>
      <c r="I40" s="19">
        <f>IFERROR(__xludf.DUMMYFUNCTION("""COMPUTED_VALUE"""),4.616666666666666)</f>
        <v>4.616666667</v>
      </c>
      <c r="J40" s="21">
        <f>IFERROR(__xludf.DUMMYFUNCTION("""COMPUTED_VALUE"""),87.0)</f>
        <v>87</v>
      </c>
      <c r="K40" s="23">
        <f>IFERROR(__xludf.DUMMYFUNCTION("""COMPUTED_VALUE"""),8.7)</f>
        <v>8.7</v>
      </c>
      <c r="L40" s="24">
        <f>IFERROR(__xludf.DUMMYFUNCTION("""COMPUTED_VALUE"""),7.0)</f>
        <v>7</v>
      </c>
      <c r="M40" s="25" t="str">
        <f>IFERROR(__xludf.DUMMYFUNCTION("""COMPUTED_VALUE"""),"Adventure")</f>
        <v>Adventure</v>
      </c>
      <c r="N40" s="25" t="str">
        <f>IFERROR(__xludf.DUMMYFUNCTION("""COMPUTED_VALUE"""),"PS3")</f>
        <v>PS3</v>
      </c>
      <c r="O40" s="26" t="str">
        <f>IFERROR(__xludf.DUMMYFUNCTION("""COMPUTED_VALUE"""),"Yes")</f>
        <v>Yes</v>
      </c>
      <c r="P40" s="26" t="str">
        <f>IFERROR(__xludf.DUMMYFUNCTION("""COMPUTED_VALUE"""),"")</f>
        <v/>
      </c>
    </row>
    <row r="41">
      <c r="A41" s="13" t="str">
        <f>IFERROR(__xludf.DUMMYFUNCTION("""COMPUTED_VALUE"""),"Ratchet and Clank: A Crack In Time")</f>
        <v>Ratchet and Clank: A Crack In Time</v>
      </c>
      <c r="B41" s="15" t="str">
        <f>IFERROR(__xludf.DUMMYFUNCTION("""COMPUTED_VALUE"""),"PS5/PS4")</f>
        <v>PS5/PS4</v>
      </c>
      <c r="C41" s="16" t="str">
        <f>IFERROR(__xludf.DUMMYFUNCTION("""COMPUTED_VALUE"""),"Premium (Streaming Only)")</f>
        <v>Premium (Streaming Only)</v>
      </c>
      <c r="D41" s="15" t="str">
        <f>IFERROR(__xludf.DUMMYFUNCTION("""COMPUTED_VALUE"""),"Active")</f>
        <v>Active</v>
      </c>
      <c r="E41" s="17">
        <f>IFERROR(__xludf.DUMMYFUNCTION("""COMPUTED_VALUE"""),42017.0)</f>
        <v>42017</v>
      </c>
      <c r="F41" s="54"/>
      <c r="G41" s="19">
        <f>IFERROR(__xludf.DUMMYFUNCTION("""COMPUTED_VALUE"""),140.76666666666668)</f>
        <v>140.7666667</v>
      </c>
      <c r="H41" s="17">
        <f>IFERROR(__xludf.DUMMYFUNCTION("""COMPUTED_VALUE"""),40087.0)</f>
        <v>40087</v>
      </c>
      <c r="I41" s="19">
        <f>IFERROR(__xludf.DUMMYFUNCTION("""COMPUTED_VALUE"""),5.283333333333333)</f>
        <v>5.283333333</v>
      </c>
      <c r="J41" s="21">
        <f>IFERROR(__xludf.DUMMYFUNCTION("""COMPUTED_VALUE"""),87.0)</f>
        <v>87</v>
      </c>
      <c r="K41" s="23">
        <f>IFERROR(__xludf.DUMMYFUNCTION("""COMPUTED_VALUE"""),8.5)</f>
        <v>8.5</v>
      </c>
      <c r="L41" s="24">
        <f>IFERROR(__xludf.DUMMYFUNCTION("""COMPUTED_VALUE"""),11.0)</f>
        <v>11</v>
      </c>
      <c r="M41" s="25" t="str">
        <f>IFERROR(__xludf.DUMMYFUNCTION("""COMPUTED_VALUE"""),"Action-Adventure")</f>
        <v>Action-Adventure</v>
      </c>
      <c r="N41" s="25" t="str">
        <f>IFERROR(__xludf.DUMMYFUNCTION("""COMPUTED_VALUE"""),"PS3")</f>
        <v>PS3</v>
      </c>
      <c r="O41" s="26" t="str">
        <f>IFERROR(__xludf.DUMMYFUNCTION("""COMPUTED_VALUE"""),"Yes")</f>
        <v>Yes</v>
      </c>
      <c r="P41" s="26" t="str">
        <f>IFERROR(__xludf.DUMMYFUNCTION("""COMPUTED_VALUE"""),"")</f>
        <v/>
      </c>
    </row>
    <row r="42">
      <c r="A42" s="13" t="str">
        <f>IFERROR(__xludf.DUMMYFUNCTION("""COMPUTED_VALUE"""),"Super Street Fighter II Turbo HD Remix")</f>
        <v>Super Street Fighter II Turbo HD Remix</v>
      </c>
      <c r="B42" s="15" t="str">
        <f>IFERROR(__xludf.DUMMYFUNCTION("""COMPUTED_VALUE"""),"PS5/PS4")</f>
        <v>PS5/PS4</v>
      </c>
      <c r="C42" s="16" t="str">
        <f>IFERROR(__xludf.DUMMYFUNCTION("""COMPUTED_VALUE"""),"Premium (Streaming Only)")</f>
        <v>Premium (Streaming Only)</v>
      </c>
      <c r="D42" s="15" t="str">
        <f>IFERROR(__xludf.DUMMYFUNCTION("""COMPUTED_VALUE"""),"Active")</f>
        <v>Active</v>
      </c>
      <c r="E42" s="17">
        <f>IFERROR(__xludf.DUMMYFUNCTION("""COMPUTED_VALUE"""),42017.0)</f>
        <v>42017</v>
      </c>
      <c r="F42" s="54"/>
      <c r="G42" s="19">
        <f>IFERROR(__xludf.DUMMYFUNCTION("""COMPUTED_VALUE"""),140.76666666666668)</f>
        <v>140.7666667</v>
      </c>
      <c r="H42" s="17">
        <f>IFERROR(__xludf.DUMMYFUNCTION("""COMPUTED_VALUE"""),39753.0)</f>
        <v>39753</v>
      </c>
      <c r="I42" s="19">
        <f>IFERROR(__xludf.DUMMYFUNCTION("""COMPUTED_VALUE"""),6.2)</f>
        <v>6.2</v>
      </c>
      <c r="J42" s="21">
        <f>IFERROR(__xludf.DUMMYFUNCTION("""COMPUTED_VALUE"""),87.0)</f>
        <v>87</v>
      </c>
      <c r="K42" s="23">
        <f>IFERROR(__xludf.DUMMYFUNCTION("""COMPUTED_VALUE"""),8.3)</f>
        <v>8.3</v>
      </c>
      <c r="L42" s="24">
        <f>IFERROR(__xludf.DUMMYFUNCTION("""COMPUTED_VALUE"""),1.2)</f>
        <v>1.2</v>
      </c>
      <c r="M42" s="25" t="str">
        <f>IFERROR(__xludf.DUMMYFUNCTION("""COMPUTED_VALUE"""),"Fighting")</f>
        <v>Fighting</v>
      </c>
      <c r="N42" s="25" t="str">
        <f>IFERROR(__xludf.DUMMYFUNCTION("""COMPUTED_VALUE"""),"PS3")</f>
        <v>PS3</v>
      </c>
      <c r="O42" s="26" t="str">
        <f>IFERROR(__xludf.DUMMYFUNCTION("""COMPUTED_VALUE"""),"Yes")</f>
        <v>Yes</v>
      </c>
      <c r="P42" s="26" t="str">
        <f>IFERROR(__xludf.DUMMYFUNCTION("""COMPUTED_VALUE"""),"")</f>
        <v/>
      </c>
    </row>
    <row r="43">
      <c r="A43" s="13" t="str">
        <f>IFERROR(__xludf.DUMMYFUNCTION("""COMPUTED_VALUE"""),"The Secret of Monkey Island: Special Edition")</f>
        <v>The Secret of Monkey Island: Special Edition</v>
      </c>
      <c r="B43" s="15" t="str">
        <f>IFERROR(__xludf.DUMMYFUNCTION("""COMPUTED_VALUE"""),"PS5/PS4")</f>
        <v>PS5/PS4</v>
      </c>
      <c r="C43" s="16" t="str">
        <f>IFERROR(__xludf.DUMMYFUNCTION("""COMPUTED_VALUE"""),"Premium (Streaming Only)")</f>
        <v>Premium (Streaming Only)</v>
      </c>
      <c r="D43" s="15" t="str">
        <f>IFERROR(__xludf.DUMMYFUNCTION("""COMPUTED_VALUE"""),"Active")</f>
        <v>Active</v>
      </c>
      <c r="E43" s="17">
        <f>IFERROR(__xludf.DUMMYFUNCTION("""COMPUTED_VALUE"""),42017.0)</f>
        <v>42017</v>
      </c>
      <c r="F43" s="54"/>
      <c r="G43" s="19">
        <f>IFERROR(__xludf.DUMMYFUNCTION("""COMPUTED_VALUE"""),140.76666666666668)</f>
        <v>140.7666667</v>
      </c>
      <c r="H43" s="17">
        <f>IFERROR(__xludf.DUMMYFUNCTION("""COMPUTED_VALUE"""),40269.0)</f>
        <v>40269</v>
      </c>
      <c r="I43" s="19">
        <f>IFERROR(__xludf.DUMMYFUNCTION("""COMPUTED_VALUE"""),4.783333333333333)</f>
        <v>4.783333333</v>
      </c>
      <c r="J43" s="21">
        <f>IFERROR(__xludf.DUMMYFUNCTION("""COMPUTED_VALUE"""),87.0)</f>
        <v>87</v>
      </c>
      <c r="K43" s="23">
        <f>IFERROR(__xludf.DUMMYFUNCTION("""COMPUTED_VALUE"""),8.4)</f>
        <v>8.4</v>
      </c>
      <c r="L43" s="24">
        <f>IFERROR(__xludf.DUMMYFUNCTION("""COMPUTED_VALUE"""),7.0)</f>
        <v>7</v>
      </c>
      <c r="M43" s="25" t="str">
        <f>IFERROR(__xludf.DUMMYFUNCTION("""COMPUTED_VALUE"""),"Adventure")</f>
        <v>Adventure</v>
      </c>
      <c r="N43" s="25" t="str">
        <f>IFERROR(__xludf.DUMMYFUNCTION("""COMPUTED_VALUE"""),"PS3")</f>
        <v>PS3</v>
      </c>
      <c r="O43" s="26" t="str">
        <f>IFERROR(__xludf.DUMMYFUNCTION("""COMPUTED_VALUE"""),"Yes")</f>
        <v>Yes</v>
      </c>
      <c r="P43" s="26" t="str">
        <f>IFERROR(__xludf.DUMMYFUNCTION("""COMPUTED_VALUE"""),"")</f>
        <v/>
      </c>
    </row>
    <row r="44">
      <c r="A44" s="13" t="str">
        <f>IFERROR(__xludf.DUMMYFUNCTION("""COMPUTED_VALUE"""),"Soulcalibur III")</f>
        <v>Soulcalibur III</v>
      </c>
      <c r="B44" s="15" t="str">
        <f>IFERROR(__xludf.DUMMYFUNCTION("""COMPUTED_VALUE"""),"PS5/PS4")</f>
        <v>PS5/PS4</v>
      </c>
      <c r="C44" s="16" t="str">
        <f>IFERROR(__xludf.DUMMYFUNCTION("""COMPUTED_VALUE"""),"Premium (Classics)")</f>
        <v>Premium (Classics)</v>
      </c>
      <c r="D44" s="15" t="str">
        <f>IFERROR(__xludf.DUMMYFUNCTION("""COMPUTED_VALUE"""),"Active")</f>
        <v>Active</v>
      </c>
      <c r="E44" s="17">
        <f>IFERROR(__xludf.DUMMYFUNCTION("""COMPUTED_VALUE"""),46007.0)</f>
        <v>46007</v>
      </c>
      <c r="F44" s="54"/>
      <c r="G44" s="19">
        <f>IFERROR(__xludf.DUMMYFUNCTION("""COMPUTED_VALUE"""),9.666666666666668)</f>
        <v>9.666666667</v>
      </c>
      <c r="H44" s="17">
        <f>IFERROR(__xludf.DUMMYFUNCTION("""COMPUTED_VALUE"""),38650.0)</f>
        <v>38650</v>
      </c>
      <c r="I44" s="19">
        <f>IFERROR(__xludf.DUMMYFUNCTION("""COMPUTED_VALUE"""),20.141666666666666)</f>
        <v>20.14166667</v>
      </c>
      <c r="J44" s="21">
        <f>IFERROR(__xludf.DUMMYFUNCTION("""COMPUTED_VALUE"""),86.0)</f>
        <v>86</v>
      </c>
      <c r="K44" s="23">
        <f>IFERROR(__xludf.DUMMYFUNCTION("""COMPUTED_VALUE"""),8.5)</f>
        <v>8.5</v>
      </c>
      <c r="L44" s="24">
        <f>IFERROR(__xludf.DUMMYFUNCTION("""COMPUTED_VALUE"""),3.0)</f>
        <v>3</v>
      </c>
      <c r="M44" s="25" t="str">
        <f>IFERROR(__xludf.DUMMYFUNCTION("""COMPUTED_VALUE"""),"Fighting")</f>
        <v>Fighting</v>
      </c>
      <c r="N44" s="25" t="str">
        <f>IFERROR(__xludf.DUMMYFUNCTION("""COMPUTED_VALUE"""),"PS2")</f>
        <v>PS2</v>
      </c>
      <c r="O44" s="26"/>
      <c r="P44" s="26"/>
    </row>
    <row r="45">
      <c r="A45" s="13" t="str">
        <f>IFERROR(__xludf.DUMMYFUNCTION("""COMPUTED_VALUE"""),"Sly Cooper and the Thievius Raccoonus")</f>
        <v>Sly Cooper and the Thievius Raccoonus</v>
      </c>
      <c r="B45" s="15" t="str">
        <f>IFERROR(__xludf.DUMMYFUNCTION("""COMPUTED_VALUE"""),"PS5/PS4")</f>
        <v>PS5/PS4</v>
      </c>
      <c r="C45" s="16" t="str">
        <f>IFERROR(__xludf.DUMMYFUNCTION("""COMPUTED_VALUE"""),"Premium (Classics)")</f>
        <v>Premium (Classics)</v>
      </c>
      <c r="D45" s="15" t="str">
        <f>IFERROR(__xludf.DUMMYFUNCTION("""COMPUTED_VALUE"""),"Active")</f>
        <v>Active</v>
      </c>
      <c r="E45" s="17">
        <f>IFERROR(__xludf.DUMMYFUNCTION("""COMPUTED_VALUE"""),45454.0)</f>
        <v>45454</v>
      </c>
      <c r="F45" s="54"/>
      <c r="G45" s="19">
        <f>IFERROR(__xludf.DUMMYFUNCTION("""COMPUTED_VALUE"""),27.833333333333336)</f>
        <v>27.83333333</v>
      </c>
      <c r="H45" s="17">
        <f>IFERROR(__xludf.DUMMYFUNCTION("""COMPUTED_VALUE"""),37522.0)</f>
        <v>37522</v>
      </c>
      <c r="I45" s="19">
        <f>IFERROR(__xludf.DUMMYFUNCTION("""COMPUTED_VALUE"""),21.716666666666665)</f>
        <v>21.71666667</v>
      </c>
      <c r="J45" s="21">
        <f>IFERROR(__xludf.DUMMYFUNCTION("""COMPUTED_VALUE"""),86.0)</f>
        <v>86</v>
      </c>
      <c r="K45" s="23">
        <f>IFERROR(__xludf.DUMMYFUNCTION("""COMPUTED_VALUE"""),8.7)</f>
        <v>8.7</v>
      </c>
      <c r="L45" s="24">
        <f>IFERROR(__xludf.DUMMYFUNCTION("""COMPUTED_VALUE"""),7.0)</f>
        <v>7</v>
      </c>
      <c r="M45" s="25" t="str">
        <f>IFERROR(__xludf.DUMMYFUNCTION("""COMPUTED_VALUE"""),"Platformer")</f>
        <v>Platformer</v>
      </c>
      <c r="N45" s="25" t="str">
        <f>IFERROR(__xludf.DUMMYFUNCTION("""COMPUTED_VALUE"""),"PS2")</f>
        <v>PS2</v>
      </c>
      <c r="O45" s="26" t="str">
        <f>IFERROR(__xludf.DUMMYFUNCTION("""COMPUTED_VALUE"""),"Yes")</f>
        <v>Yes</v>
      </c>
      <c r="P45" s="26"/>
    </row>
    <row r="46">
      <c r="A46" s="13" t="str">
        <f>IFERROR(__xludf.DUMMYFUNCTION("""COMPUTED_VALUE"""),"Worms Armageddon")</f>
        <v>Worms Armageddon</v>
      </c>
      <c r="B46" s="15" t="str">
        <f>IFERROR(__xludf.DUMMYFUNCTION("""COMPUTED_VALUE"""),"PS5/PS4")</f>
        <v>PS5/PS4</v>
      </c>
      <c r="C46" s="16" t="str">
        <f>IFERROR(__xludf.DUMMYFUNCTION("""COMPUTED_VALUE"""),"Premium (Classics)")</f>
        <v>Premium (Classics)</v>
      </c>
      <c r="D46" s="15" t="str">
        <f>IFERROR(__xludf.DUMMYFUNCTION("""COMPUTED_VALUE"""),"Active")</f>
        <v>Active</v>
      </c>
      <c r="E46" s="17">
        <f>IFERROR(__xludf.DUMMYFUNCTION("""COMPUTED_VALUE"""),44725.0)</f>
        <v>44725</v>
      </c>
      <c r="F46" s="54"/>
      <c r="G46" s="19">
        <f>IFERROR(__xludf.DUMMYFUNCTION("""COMPUTED_VALUE"""),51.766666666666666)</f>
        <v>51.76666667</v>
      </c>
      <c r="H46" s="17">
        <f>IFERROR(__xludf.DUMMYFUNCTION("""COMPUTED_VALUE"""),36311.0)</f>
        <v>36311</v>
      </c>
      <c r="I46" s="19">
        <f>IFERROR(__xludf.DUMMYFUNCTION("""COMPUTED_VALUE"""),23.03611111111111)</f>
        <v>23.03611111</v>
      </c>
      <c r="J46" s="21">
        <f>IFERROR(__xludf.DUMMYFUNCTION("""COMPUTED_VALUE"""),86.0)</f>
        <v>86</v>
      </c>
      <c r="K46" s="23">
        <f>IFERROR(__xludf.DUMMYFUNCTION("""COMPUTED_VALUE"""),8.8)</f>
        <v>8.8</v>
      </c>
      <c r="L46" s="24"/>
      <c r="M46" s="25" t="str">
        <f>IFERROR(__xludf.DUMMYFUNCTION("""COMPUTED_VALUE"""),"Strategy")</f>
        <v>Strategy</v>
      </c>
      <c r="N46" s="25" t="str">
        <f>IFERROR(__xludf.DUMMYFUNCTION("""COMPUTED_VALUE"""),"PS1")</f>
        <v>PS1</v>
      </c>
      <c r="O46" s="26" t="str">
        <f>IFERROR(__xludf.DUMMYFUNCTION("""COMPUTED_VALUE"""),"No")</f>
        <v>No</v>
      </c>
      <c r="P46" s="26" t="str">
        <f>IFERROR(__xludf.DUMMYFUNCTION("""COMPUTED_VALUE"""),"")</f>
        <v/>
      </c>
    </row>
    <row r="47">
      <c r="A47" s="13" t="str">
        <f>IFERROR(__xludf.DUMMYFUNCTION("""COMPUTED_VALUE"""),"UNCHARTED: The Nathan Drake Collection")</f>
        <v>UNCHARTED: The Nathan Drake Collection</v>
      </c>
      <c r="B47" s="15" t="str">
        <f>IFERROR(__xludf.DUMMYFUNCTION("""COMPUTED_VALUE"""),"PS4")</f>
        <v>PS4</v>
      </c>
      <c r="C47" s="16" t="str">
        <f>IFERROR(__xludf.DUMMYFUNCTION("""COMPUTED_VALUE"""),"Premium (Remasters)")</f>
        <v>Premium (Remasters)</v>
      </c>
      <c r="D47" s="15" t="str">
        <f>IFERROR(__xludf.DUMMYFUNCTION("""COMPUTED_VALUE"""),"Active")</f>
        <v>Active</v>
      </c>
      <c r="E47" s="17">
        <f>IFERROR(__xludf.DUMMYFUNCTION("""COMPUTED_VALUE"""),44725.0)</f>
        <v>44725</v>
      </c>
      <c r="F47" s="54"/>
      <c r="G47" s="19">
        <f>IFERROR(__xludf.DUMMYFUNCTION("""COMPUTED_VALUE"""),51.766666666666666)</f>
        <v>51.76666667</v>
      </c>
      <c r="H47" s="17">
        <f>IFERROR(__xludf.DUMMYFUNCTION("""COMPUTED_VALUE"""),42278.0)</f>
        <v>42278</v>
      </c>
      <c r="I47" s="19">
        <f>IFERROR(__xludf.DUMMYFUNCTION("""COMPUTED_VALUE"""),6.7)</f>
        <v>6.7</v>
      </c>
      <c r="J47" s="21">
        <f>IFERROR(__xludf.DUMMYFUNCTION("""COMPUTED_VALUE"""),86.0)</f>
        <v>86</v>
      </c>
      <c r="K47" s="23">
        <f>IFERROR(__xludf.DUMMYFUNCTION("""COMPUTED_VALUE"""),8.6)</f>
        <v>8.6</v>
      </c>
      <c r="L47" s="24">
        <f>IFERROR(__xludf.DUMMYFUNCTION("""COMPUTED_VALUE"""),34.0)</f>
        <v>34</v>
      </c>
      <c r="M47" s="25" t="str">
        <f>IFERROR(__xludf.DUMMYFUNCTION("""COMPUTED_VALUE"""),"Action-Adventure")</f>
        <v>Action-Adventure</v>
      </c>
      <c r="N47" s="25" t="str">
        <f>IFERROR(__xludf.DUMMYFUNCTION("""COMPUTED_VALUE"""),"PS3")</f>
        <v>PS3</v>
      </c>
      <c r="O47" s="26" t="str">
        <f>IFERROR(__xludf.DUMMYFUNCTION("""COMPUTED_VALUE"""),"No")</f>
        <v>No</v>
      </c>
      <c r="P47" s="26"/>
    </row>
    <row r="48">
      <c r="A48" s="13" t="str">
        <f>IFERROR(__xludf.DUMMYFUNCTION("""COMPUTED_VALUE"""),"PixelJunk Eden Encore")</f>
        <v>PixelJunk Eden Encore</v>
      </c>
      <c r="B48" s="15" t="str">
        <f>IFERROR(__xludf.DUMMYFUNCTION("""COMPUTED_VALUE"""),"PS5/PS4")</f>
        <v>PS5/PS4</v>
      </c>
      <c r="C48" s="16" t="str">
        <f>IFERROR(__xludf.DUMMYFUNCTION("""COMPUTED_VALUE"""),"Premium (Streaming Only)")</f>
        <v>Premium (Streaming Only)</v>
      </c>
      <c r="D48" s="15" t="str">
        <f>IFERROR(__xludf.DUMMYFUNCTION("""COMPUTED_VALUE"""),"Active")</f>
        <v>Active</v>
      </c>
      <c r="E48" s="17">
        <f>IFERROR(__xludf.DUMMYFUNCTION("""COMPUTED_VALUE"""),42374.0)</f>
        <v>42374</v>
      </c>
      <c r="F48" s="18"/>
      <c r="G48" s="19">
        <f>IFERROR(__xludf.DUMMYFUNCTION("""COMPUTED_VALUE"""),129.03333333333333)</f>
        <v>129.0333333</v>
      </c>
      <c r="H48" s="17">
        <f>IFERROR(__xludf.DUMMYFUNCTION("""COMPUTED_VALUE"""),39904.0)</f>
        <v>39904</v>
      </c>
      <c r="I48" s="19">
        <f>IFERROR(__xludf.DUMMYFUNCTION("""COMPUTED_VALUE"""),6.761111111111111)</f>
        <v>6.761111111</v>
      </c>
      <c r="J48" s="21">
        <f>IFERROR(__xludf.DUMMYFUNCTION("""COMPUTED_VALUE"""),86.0)</f>
        <v>86</v>
      </c>
      <c r="K48" s="23">
        <f>IFERROR(__xludf.DUMMYFUNCTION("""COMPUTED_VALUE"""),7.3)</f>
        <v>7.3</v>
      </c>
      <c r="L48" s="24">
        <f>IFERROR(__xludf.DUMMYFUNCTION("""COMPUTED_VALUE"""),5.0)</f>
        <v>5</v>
      </c>
      <c r="M48" s="25" t="str">
        <f>IFERROR(__xludf.DUMMYFUNCTION("""COMPUTED_VALUE"""),"Platformer")</f>
        <v>Platformer</v>
      </c>
      <c r="N48" s="25" t="str">
        <f>IFERROR(__xludf.DUMMYFUNCTION("""COMPUTED_VALUE"""),"PS3")</f>
        <v>PS3</v>
      </c>
      <c r="O48" s="26" t="str">
        <f>IFERROR(__xludf.DUMMYFUNCTION("""COMPUTED_VALUE"""),"Yes")</f>
        <v>Yes</v>
      </c>
      <c r="P48" s="26" t="str">
        <f>IFERROR(__xludf.DUMMYFUNCTION("""COMPUTED_VALUE"""),"")</f>
        <v/>
      </c>
    </row>
    <row r="49">
      <c r="A49" s="13" t="str">
        <f>IFERROR(__xludf.DUMMYFUNCTION("""COMPUTED_VALUE"""),"BIT.TRIP Presents...Runner2: Future Legend of Rhythm Alien")</f>
        <v>BIT.TRIP Presents...Runner2: Future Legend of Rhythm Alien</v>
      </c>
      <c r="B49" s="15" t="str">
        <f>IFERROR(__xludf.DUMMYFUNCTION("""COMPUTED_VALUE"""),"PS5/PS4")</f>
        <v>PS5/PS4</v>
      </c>
      <c r="C49" s="16" t="str">
        <f>IFERROR(__xludf.DUMMYFUNCTION("""COMPUTED_VALUE"""),"Premium (Streaming Only)")</f>
        <v>Premium (Streaming Only)</v>
      </c>
      <c r="D49" s="15" t="str">
        <f>IFERROR(__xludf.DUMMYFUNCTION("""COMPUTED_VALUE"""),"Active")</f>
        <v>Active</v>
      </c>
      <c r="E49" s="17">
        <f>IFERROR(__xludf.DUMMYFUNCTION("""COMPUTED_VALUE"""),42017.0)</f>
        <v>42017</v>
      </c>
      <c r="F49" s="18"/>
      <c r="G49" s="19">
        <f>IFERROR(__xludf.DUMMYFUNCTION("""COMPUTED_VALUE"""),140.76666666666668)</f>
        <v>140.7666667</v>
      </c>
      <c r="H49" s="17">
        <f>IFERROR(__xludf.DUMMYFUNCTION("""COMPUTED_VALUE"""),41306.0)</f>
        <v>41306</v>
      </c>
      <c r="I49" s="19">
        <f>IFERROR(__xludf.DUMMYFUNCTION("""COMPUTED_VALUE"""),1.95)</f>
        <v>1.95</v>
      </c>
      <c r="J49" s="21">
        <f>IFERROR(__xludf.DUMMYFUNCTION("""COMPUTED_VALUE"""),86.0)</f>
        <v>86</v>
      </c>
      <c r="K49" s="23">
        <f>IFERROR(__xludf.DUMMYFUNCTION("""COMPUTED_VALUE"""),7.8)</f>
        <v>7.8</v>
      </c>
      <c r="L49" s="24">
        <f>IFERROR(__xludf.DUMMYFUNCTION("""COMPUTED_VALUE"""),5.0)</f>
        <v>5</v>
      </c>
      <c r="M49" s="25" t="str">
        <f>IFERROR(__xludf.DUMMYFUNCTION("""COMPUTED_VALUE"""),"Platformer")</f>
        <v>Platformer</v>
      </c>
      <c r="N49" s="25" t="str">
        <f>IFERROR(__xludf.DUMMYFUNCTION("""COMPUTED_VALUE"""),"PS3")</f>
        <v>PS3</v>
      </c>
      <c r="O49" s="26" t="str">
        <f>IFERROR(__xludf.DUMMYFUNCTION("""COMPUTED_VALUE"""),"Yes")</f>
        <v>Yes</v>
      </c>
      <c r="P49" s="26" t="str">
        <f>IFERROR(__xludf.DUMMYFUNCTION("""COMPUTED_VALUE"""),"")</f>
        <v/>
      </c>
    </row>
    <row r="50">
      <c r="A50" s="13" t="str">
        <f>IFERROR(__xludf.DUMMYFUNCTION("""COMPUTED_VALUE"""),"Shatter")</f>
        <v>Shatter</v>
      </c>
      <c r="B50" s="15" t="str">
        <f>IFERROR(__xludf.DUMMYFUNCTION("""COMPUTED_VALUE"""),"PS5/PS4")</f>
        <v>PS5/PS4</v>
      </c>
      <c r="C50" s="16" t="str">
        <f>IFERROR(__xludf.DUMMYFUNCTION("""COMPUTED_VALUE"""),"Premium (Streaming Only)")</f>
        <v>Premium (Streaming Only)</v>
      </c>
      <c r="D50" s="15" t="str">
        <f>IFERROR(__xludf.DUMMYFUNCTION("""COMPUTED_VALUE"""),"Active")</f>
        <v>Active</v>
      </c>
      <c r="E50" s="17">
        <f>IFERROR(__xludf.DUMMYFUNCTION("""COMPUTED_VALUE"""),42017.0)</f>
        <v>42017</v>
      </c>
      <c r="F50" s="54"/>
      <c r="G50" s="19">
        <f>IFERROR(__xludf.DUMMYFUNCTION("""COMPUTED_VALUE"""),140.76666666666668)</f>
        <v>140.7666667</v>
      </c>
      <c r="H50" s="17">
        <f>IFERROR(__xludf.DUMMYFUNCTION("""COMPUTED_VALUE"""),39995.0)</f>
        <v>39995</v>
      </c>
      <c r="I50" s="19">
        <f>IFERROR(__xludf.DUMMYFUNCTION("""COMPUTED_VALUE"""),5.533333333333333)</f>
        <v>5.533333333</v>
      </c>
      <c r="J50" s="21">
        <f>IFERROR(__xludf.DUMMYFUNCTION("""COMPUTED_VALUE"""),86.0)</f>
        <v>86</v>
      </c>
      <c r="K50" s="23">
        <f>IFERROR(__xludf.DUMMYFUNCTION("""COMPUTED_VALUE"""),8.2)</f>
        <v>8.2</v>
      </c>
      <c r="L50" s="24">
        <f>IFERROR(__xludf.DUMMYFUNCTION("""COMPUTED_VALUE"""),5.0)</f>
        <v>5</v>
      </c>
      <c r="M50" s="25" t="str">
        <f>IFERROR(__xludf.DUMMYFUNCTION("""COMPUTED_VALUE"""),"Shooter")</f>
        <v>Shooter</v>
      </c>
      <c r="N50" s="25" t="str">
        <f>IFERROR(__xludf.DUMMYFUNCTION("""COMPUTED_VALUE"""),"PS3")</f>
        <v>PS3</v>
      </c>
      <c r="O50" s="26" t="str">
        <f>IFERROR(__xludf.DUMMYFUNCTION("""COMPUTED_VALUE"""),"Yes")</f>
        <v>Yes</v>
      </c>
      <c r="P50" s="26" t="str">
        <f>IFERROR(__xludf.DUMMYFUNCTION("""COMPUTED_VALUE"""),"")</f>
        <v/>
      </c>
    </row>
    <row r="51">
      <c r="A51" s="13" t="str">
        <f>IFERROR(__xludf.DUMMYFUNCTION("""COMPUTED_VALUE"""),"Street Fighter III: Third Strike - Online Edition")</f>
        <v>Street Fighter III: Third Strike - Online Edition</v>
      </c>
      <c r="B51" s="15" t="str">
        <f>IFERROR(__xludf.DUMMYFUNCTION("""COMPUTED_VALUE"""),"PS5/PS4")</f>
        <v>PS5/PS4</v>
      </c>
      <c r="C51" s="16" t="str">
        <f>IFERROR(__xludf.DUMMYFUNCTION("""COMPUTED_VALUE"""),"Premium (Streaming Only)")</f>
        <v>Premium (Streaming Only)</v>
      </c>
      <c r="D51" s="15" t="str">
        <f>IFERROR(__xludf.DUMMYFUNCTION("""COMPUTED_VALUE"""),"Active")</f>
        <v>Active</v>
      </c>
      <c r="E51" s="17">
        <f>IFERROR(__xludf.DUMMYFUNCTION("""COMPUTED_VALUE"""),42017.0)</f>
        <v>42017</v>
      </c>
      <c r="F51" s="54"/>
      <c r="G51" s="19">
        <f>IFERROR(__xludf.DUMMYFUNCTION("""COMPUTED_VALUE"""),140.76666666666668)</f>
        <v>140.7666667</v>
      </c>
      <c r="H51" s="17">
        <f>IFERROR(__xludf.DUMMYFUNCTION("""COMPUTED_VALUE"""),40756.0)</f>
        <v>40756</v>
      </c>
      <c r="I51" s="19">
        <f>IFERROR(__xludf.DUMMYFUNCTION("""COMPUTED_VALUE"""),3.45)</f>
        <v>3.45</v>
      </c>
      <c r="J51" s="21">
        <f>IFERROR(__xludf.DUMMYFUNCTION("""COMPUTED_VALUE"""),86.0)</f>
        <v>86</v>
      </c>
      <c r="K51" s="23">
        <f>IFERROR(__xludf.DUMMYFUNCTION("""COMPUTED_VALUE"""),8.5)</f>
        <v>8.5</v>
      </c>
      <c r="L51" s="24"/>
      <c r="M51" s="25" t="str">
        <f>IFERROR(__xludf.DUMMYFUNCTION("""COMPUTED_VALUE"""),"Fighting")</f>
        <v>Fighting</v>
      </c>
      <c r="N51" s="25" t="str">
        <f>IFERROR(__xludf.DUMMYFUNCTION("""COMPUTED_VALUE"""),"PS3")</f>
        <v>PS3</v>
      </c>
      <c r="O51" s="26" t="str">
        <f>IFERROR(__xludf.DUMMYFUNCTION("""COMPUTED_VALUE"""),"Yes")</f>
        <v>Yes</v>
      </c>
      <c r="P51" s="26" t="str">
        <f>IFERROR(__xludf.DUMMYFUNCTION("""COMPUTED_VALUE"""),"")</f>
        <v/>
      </c>
    </row>
    <row r="52">
      <c r="A52" s="13" t="str">
        <f>IFERROR(__xludf.DUMMYFUNCTION("""COMPUTED_VALUE"""),"Zen Pinball 2")</f>
        <v>Zen Pinball 2</v>
      </c>
      <c r="B52" s="15" t="str">
        <f>IFERROR(__xludf.DUMMYFUNCTION("""COMPUTED_VALUE"""),"PS5/PS4")</f>
        <v>PS5/PS4</v>
      </c>
      <c r="C52" s="16" t="str">
        <f>IFERROR(__xludf.DUMMYFUNCTION("""COMPUTED_VALUE"""),"Premium (Streaming Only)")</f>
        <v>Premium (Streaming Only)</v>
      </c>
      <c r="D52" s="15" t="str">
        <f>IFERROR(__xludf.DUMMYFUNCTION("""COMPUTED_VALUE"""),"Active")</f>
        <v>Active</v>
      </c>
      <c r="E52" s="17">
        <f>IFERROR(__xludf.DUMMYFUNCTION("""COMPUTED_VALUE"""),42017.0)</f>
        <v>42017</v>
      </c>
      <c r="F52" s="54"/>
      <c r="G52" s="19">
        <f>IFERROR(__xludf.DUMMYFUNCTION("""COMPUTED_VALUE"""),140.76666666666668)</f>
        <v>140.7666667</v>
      </c>
      <c r="H52" s="17">
        <f>IFERROR(__xludf.DUMMYFUNCTION("""COMPUTED_VALUE"""),41609.0)</f>
        <v>41609</v>
      </c>
      <c r="I52" s="19">
        <f>IFERROR(__xludf.DUMMYFUNCTION("""COMPUTED_VALUE"""),1.1166666666666667)</f>
        <v>1.116666667</v>
      </c>
      <c r="J52" s="21">
        <f>IFERROR(__xludf.DUMMYFUNCTION("""COMPUTED_VALUE"""),86.0)</f>
        <v>86</v>
      </c>
      <c r="K52" s="23">
        <f>IFERROR(__xludf.DUMMYFUNCTION("""COMPUTED_VALUE"""),7.7)</f>
        <v>7.7</v>
      </c>
      <c r="L52" s="24"/>
      <c r="M52" s="25" t="str">
        <f>IFERROR(__xludf.DUMMYFUNCTION("""COMPUTED_VALUE"""),"Pinball")</f>
        <v>Pinball</v>
      </c>
      <c r="N52" s="25" t="str">
        <f>IFERROR(__xludf.DUMMYFUNCTION("""COMPUTED_VALUE"""),"PS3")</f>
        <v>PS3</v>
      </c>
      <c r="O52" s="26" t="str">
        <f>IFERROR(__xludf.DUMMYFUNCTION("""COMPUTED_VALUE"""),"Yes")</f>
        <v>Yes</v>
      </c>
      <c r="P52" s="26" t="str">
        <f>IFERROR(__xludf.DUMMYFUNCTION("""COMPUTED_VALUE"""),"")</f>
        <v/>
      </c>
    </row>
    <row r="53">
      <c r="A53" s="13" t="str">
        <f>IFERROR(__xludf.DUMMYFUNCTION("""COMPUTED_VALUE"""),"Indigo Prophecy")</f>
        <v>Indigo Prophecy</v>
      </c>
      <c r="B53" s="15" t="str">
        <f>IFERROR(__xludf.DUMMYFUNCTION("""COMPUTED_VALUE"""),"PS5/PS4")</f>
        <v>PS5/PS4</v>
      </c>
      <c r="C53" s="16" t="str">
        <f>IFERROR(__xludf.DUMMYFUNCTION("""COMPUTED_VALUE"""),"Premium (Classics)")</f>
        <v>Premium (Classics)</v>
      </c>
      <c r="D53" s="15" t="str">
        <f>IFERROR(__xludf.DUMMYFUNCTION("""COMPUTED_VALUE"""),"Active")</f>
        <v>Active</v>
      </c>
      <c r="E53" s="17">
        <f>IFERROR(__xludf.DUMMYFUNCTION("""COMPUTED_VALUE"""),46224.0)</f>
        <v>46224</v>
      </c>
      <c r="F53" s="54"/>
      <c r="G53" s="19">
        <f>IFERROR(__xludf.DUMMYFUNCTION("""COMPUTED_VALUE"""),2.5)</f>
        <v>2.5</v>
      </c>
      <c r="H53" s="17">
        <f>IFERROR(__xludf.DUMMYFUNCTION("""COMPUTED_VALUE"""),38615.0)</f>
        <v>38615</v>
      </c>
      <c r="I53" s="19">
        <f>IFERROR(__xludf.DUMMYFUNCTION("""COMPUTED_VALUE"""),20.836111111111112)</f>
        <v>20.83611111</v>
      </c>
      <c r="J53" s="21">
        <f>IFERROR(__xludf.DUMMYFUNCTION("""COMPUTED_VALUE"""),85.0)</f>
        <v>85</v>
      </c>
      <c r="K53" s="23">
        <f>IFERROR(__xludf.DUMMYFUNCTION("""COMPUTED_VALUE"""),8.5)</f>
        <v>8.5</v>
      </c>
      <c r="L53" s="24">
        <f>IFERROR(__xludf.DUMMYFUNCTION("""COMPUTED_VALUE"""),9.0)</f>
        <v>9</v>
      </c>
      <c r="M53" s="25" t="str">
        <f>IFERROR(__xludf.DUMMYFUNCTION("""COMPUTED_VALUE"""),"Action-Adventure")</f>
        <v>Action-Adventure</v>
      </c>
      <c r="N53" s="25" t="str">
        <f>IFERROR(__xludf.DUMMYFUNCTION("""COMPUTED_VALUE"""),"PS2")</f>
        <v>PS2</v>
      </c>
      <c r="O53" s="26"/>
      <c r="P53" s="26"/>
    </row>
    <row r="54">
      <c r="A54" s="13" t="str">
        <f>IFERROR(__xludf.DUMMYFUNCTION("""COMPUTED_VALUE"""),"Ratchet and Clank: Size Matters")</f>
        <v>Ratchet and Clank: Size Matters</v>
      </c>
      <c r="B54" s="15" t="str">
        <f>IFERROR(__xludf.DUMMYFUNCTION("""COMPUTED_VALUE"""),"PS5/PS4")</f>
        <v>PS5/PS4</v>
      </c>
      <c r="C54" s="16" t="str">
        <f>IFERROR(__xludf.DUMMYFUNCTION("""COMPUTED_VALUE"""),"Premium (Classics)")</f>
        <v>Premium (Classics)</v>
      </c>
      <c r="D54" s="15" t="str">
        <f>IFERROR(__xludf.DUMMYFUNCTION("""COMPUTED_VALUE"""),"Active")</f>
        <v>Active</v>
      </c>
      <c r="E54" s="17">
        <f>IFERROR(__xludf.DUMMYFUNCTION("""COMPUTED_VALUE"""),45489.0)</f>
        <v>45489</v>
      </c>
      <c r="F54" s="54"/>
      <c r="G54" s="19">
        <f>IFERROR(__xludf.DUMMYFUNCTION("""COMPUTED_VALUE"""),26.666666666666668)</f>
        <v>26.66666667</v>
      </c>
      <c r="H54" s="17">
        <f>IFERROR(__xludf.DUMMYFUNCTION("""COMPUTED_VALUE"""),39126.0)</f>
        <v>39126</v>
      </c>
      <c r="I54" s="19">
        <f>IFERROR(__xludf.DUMMYFUNCTION("""COMPUTED_VALUE"""),17.425)</f>
        <v>17.425</v>
      </c>
      <c r="J54" s="21">
        <f>IFERROR(__xludf.DUMMYFUNCTION("""COMPUTED_VALUE"""),85.0)</f>
        <v>85</v>
      </c>
      <c r="K54" s="23">
        <f>IFERROR(__xludf.DUMMYFUNCTION("""COMPUTED_VALUE"""),7.9)</f>
        <v>7.9</v>
      </c>
      <c r="L54" s="24">
        <f>IFERROR(__xludf.DUMMYFUNCTION("""COMPUTED_VALUE"""),7.0)</f>
        <v>7</v>
      </c>
      <c r="M54" s="25" t="str">
        <f>IFERROR(__xludf.DUMMYFUNCTION("""COMPUTED_VALUE"""),"Platformer")</f>
        <v>Platformer</v>
      </c>
      <c r="N54" s="25" t="str">
        <f>IFERROR(__xludf.DUMMYFUNCTION("""COMPUTED_VALUE"""),"PSP")</f>
        <v>PSP</v>
      </c>
      <c r="O54" s="26" t="str">
        <f>IFERROR(__xludf.DUMMYFUNCTION("""COMPUTED_VALUE"""),"Yes")</f>
        <v>Yes</v>
      </c>
      <c r="P54" s="26"/>
    </row>
    <row r="55">
      <c r="A55" s="13" t="str">
        <f>IFERROR(__xludf.DUMMYFUNCTION("""COMPUTED_VALUE"""),"Daxter")</f>
        <v>Daxter</v>
      </c>
      <c r="B55" s="15" t="str">
        <f>IFERROR(__xludf.DUMMYFUNCTION("""COMPUTED_VALUE"""),"PS5/PS4")</f>
        <v>PS5/PS4</v>
      </c>
      <c r="C55" s="16" t="str">
        <f>IFERROR(__xludf.DUMMYFUNCTION("""COMPUTED_VALUE"""),"Premium (Classics)")</f>
        <v>Premium (Classics)</v>
      </c>
      <c r="D55" s="15" t="str">
        <f>IFERROR(__xludf.DUMMYFUNCTION("""COMPUTED_VALUE"""),"Active")</f>
        <v>Active</v>
      </c>
      <c r="E55" s="17">
        <f>IFERROR(__xludf.DUMMYFUNCTION("""COMPUTED_VALUE"""),45461.0)</f>
        <v>45461</v>
      </c>
      <c r="F55" s="54"/>
      <c r="G55" s="19">
        <f>IFERROR(__xludf.DUMMYFUNCTION("""COMPUTED_VALUE"""),27.599999999999998)</f>
        <v>27.6</v>
      </c>
      <c r="H55" s="17">
        <f>IFERROR(__xludf.DUMMYFUNCTION("""COMPUTED_VALUE"""),38790.0)</f>
        <v>38790</v>
      </c>
      <c r="I55" s="19">
        <f>IFERROR(__xludf.DUMMYFUNCTION("""COMPUTED_VALUE"""),18.261111111111113)</f>
        <v>18.26111111</v>
      </c>
      <c r="J55" s="21">
        <f>IFERROR(__xludf.DUMMYFUNCTION("""COMPUTED_VALUE"""),85.0)</f>
        <v>85</v>
      </c>
      <c r="K55" s="23">
        <f>IFERROR(__xludf.DUMMYFUNCTION("""COMPUTED_VALUE"""),8.4)</f>
        <v>8.4</v>
      </c>
      <c r="L55" s="24">
        <f>IFERROR(__xludf.DUMMYFUNCTION("""COMPUTED_VALUE"""),8.0)</f>
        <v>8</v>
      </c>
      <c r="M55" s="25" t="str">
        <f>IFERROR(__xludf.DUMMYFUNCTION("""COMPUTED_VALUE"""),"Platformer")</f>
        <v>Platformer</v>
      </c>
      <c r="N55" s="25" t="str">
        <f>IFERROR(__xludf.DUMMYFUNCTION("""COMPUTED_VALUE"""),"PSP")</f>
        <v>PSP</v>
      </c>
      <c r="O55" s="26" t="str">
        <f>IFERROR(__xludf.DUMMYFUNCTION("""COMPUTED_VALUE"""),"Yes")</f>
        <v>Yes</v>
      </c>
      <c r="P55" s="26"/>
    </row>
    <row r="56">
      <c r="A56" s="13" t="str">
        <f>IFERROR(__xludf.DUMMYFUNCTION("""COMPUTED_VALUE"""),"Syphon Filter: Logan's Shadow")</f>
        <v>Syphon Filter: Logan's Shadow</v>
      </c>
      <c r="B56" s="15" t="str">
        <f>IFERROR(__xludf.DUMMYFUNCTION("""COMPUTED_VALUE"""),"PS5/PS4")</f>
        <v>PS5/PS4</v>
      </c>
      <c r="C56" s="16" t="str">
        <f>IFERROR(__xludf.DUMMYFUNCTION("""COMPUTED_VALUE"""),"Premium (Classics)")</f>
        <v>Premium (Classics)</v>
      </c>
      <c r="D56" s="15" t="str">
        <f>IFERROR(__xludf.DUMMYFUNCTION("""COMPUTED_VALUE"""),"Active")</f>
        <v>Active</v>
      </c>
      <c r="E56" s="17">
        <f>IFERROR(__xludf.DUMMYFUNCTION("""COMPUTED_VALUE"""),45062.0)</f>
        <v>45062</v>
      </c>
      <c r="F56" s="54"/>
      <c r="G56" s="19">
        <f>IFERROR(__xludf.DUMMYFUNCTION("""COMPUTED_VALUE"""),40.666666666666664)</f>
        <v>40.66666667</v>
      </c>
      <c r="H56" s="17">
        <f>IFERROR(__xludf.DUMMYFUNCTION("""COMPUTED_VALUE"""),39357.0)</f>
        <v>39357</v>
      </c>
      <c r="I56" s="19">
        <f>IFERROR(__xludf.DUMMYFUNCTION("""COMPUTED_VALUE"""),15.622222222222222)</f>
        <v>15.62222222</v>
      </c>
      <c r="J56" s="21">
        <f>IFERROR(__xludf.DUMMYFUNCTION("""COMPUTED_VALUE"""),85.0)</f>
        <v>85</v>
      </c>
      <c r="K56" s="23">
        <f>IFERROR(__xludf.DUMMYFUNCTION("""COMPUTED_VALUE"""),8.0)</f>
        <v>8</v>
      </c>
      <c r="L56" s="24">
        <f>IFERROR(__xludf.DUMMYFUNCTION("""COMPUTED_VALUE"""),10.0)</f>
        <v>10</v>
      </c>
      <c r="M56" s="25" t="str">
        <f>IFERROR(__xludf.DUMMYFUNCTION("""COMPUTED_VALUE"""),"Shooter")</f>
        <v>Shooter</v>
      </c>
      <c r="N56" s="25" t="str">
        <f>IFERROR(__xludf.DUMMYFUNCTION("""COMPUTED_VALUE"""),"PSP")</f>
        <v>PSP</v>
      </c>
      <c r="O56" s="26" t="str">
        <f>IFERROR(__xludf.DUMMYFUNCTION("""COMPUTED_VALUE"""),"Yes")</f>
        <v>Yes</v>
      </c>
      <c r="P56" s="26"/>
    </row>
    <row r="57">
      <c r="A57" s="13" t="str">
        <f>IFERROR(__xludf.DUMMYFUNCTION("""COMPUTED_VALUE"""),"Castlevania: Lords of Shadow")</f>
        <v>Castlevania: Lords of Shadow</v>
      </c>
      <c r="B57" s="15" t="str">
        <f>IFERROR(__xludf.DUMMYFUNCTION("""COMPUTED_VALUE"""),"PS5/PS4")</f>
        <v>PS5/PS4</v>
      </c>
      <c r="C57" s="16" t="str">
        <f>IFERROR(__xludf.DUMMYFUNCTION("""COMPUTED_VALUE"""),"Premium (Streaming Only)")</f>
        <v>Premium (Streaming Only)</v>
      </c>
      <c r="D57" s="15" t="str">
        <f>IFERROR(__xludf.DUMMYFUNCTION("""COMPUTED_VALUE"""),"Active")</f>
        <v>Active</v>
      </c>
      <c r="E57" s="17">
        <f>IFERROR(__xludf.DUMMYFUNCTION("""COMPUTED_VALUE"""),44852.0)</f>
        <v>44852</v>
      </c>
      <c r="F57" s="54"/>
      <c r="G57" s="19">
        <f>IFERROR(__xludf.DUMMYFUNCTION("""COMPUTED_VALUE"""),47.6)</f>
        <v>47.6</v>
      </c>
      <c r="H57" s="17">
        <f>IFERROR(__xludf.DUMMYFUNCTION("""COMPUTED_VALUE"""),40456.0)</f>
        <v>40456</v>
      </c>
      <c r="I57" s="19">
        <f>IFERROR(__xludf.DUMMYFUNCTION("""COMPUTED_VALUE"""),12.036111111111111)</f>
        <v>12.03611111</v>
      </c>
      <c r="J57" s="21">
        <f>IFERROR(__xludf.DUMMYFUNCTION("""COMPUTED_VALUE"""),85.0)</f>
        <v>85</v>
      </c>
      <c r="K57" s="23">
        <f>IFERROR(__xludf.DUMMYFUNCTION("""COMPUTED_VALUE"""),8.0)</f>
        <v>8</v>
      </c>
      <c r="L57" s="24">
        <f>IFERROR(__xludf.DUMMYFUNCTION("""COMPUTED_VALUE"""),18.0)</f>
        <v>18</v>
      </c>
      <c r="M57" s="25" t="str">
        <f>IFERROR(__xludf.DUMMYFUNCTION("""COMPUTED_VALUE"""),"Action-Adventure")</f>
        <v>Action-Adventure</v>
      </c>
      <c r="N57" s="25" t="str">
        <f>IFERROR(__xludf.DUMMYFUNCTION("""COMPUTED_VALUE"""),"PS3")</f>
        <v>PS3</v>
      </c>
      <c r="O57" s="26" t="str">
        <f>IFERROR(__xludf.DUMMYFUNCTION("""COMPUTED_VALUE"""),"Yes")</f>
        <v>Yes</v>
      </c>
      <c r="P57" s="26"/>
    </row>
    <row r="58">
      <c r="A58" s="13" t="str">
        <f>IFERROR(__xludf.DUMMYFUNCTION("""COMPUTED_VALUE"""),"The Sly Collection")</f>
        <v>The Sly Collection</v>
      </c>
      <c r="B58" s="15" t="str">
        <f>IFERROR(__xludf.DUMMYFUNCTION("""COMPUTED_VALUE"""),"PS5/PS4")</f>
        <v>PS5/PS4</v>
      </c>
      <c r="C58" s="16" t="str">
        <f>IFERROR(__xludf.DUMMYFUNCTION("""COMPUTED_VALUE"""),"Premium (Streaming Only)")</f>
        <v>Premium (Streaming Only)</v>
      </c>
      <c r="D58" s="15" t="str">
        <f>IFERROR(__xludf.DUMMYFUNCTION("""COMPUTED_VALUE"""),"Active")</f>
        <v>Active</v>
      </c>
      <c r="E58" s="17">
        <f>IFERROR(__xludf.DUMMYFUNCTION("""COMPUTED_VALUE"""),44824.0)</f>
        <v>44824</v>
      </c>
      <c r="F58" s="54"/>
      <c r="G58" s="19">
        <f>IFERROR(__xludf.DUMMYFUNCTION("""COMPUTED_VALUE"""),48.53333333333333)</f>
        <v>48.53333333</v>
      </c>
      <c r="H58" s="17">
        <f>IFERROR(__xludf.DUMMYFUNCTION("""COMPUTED_VALUE"""),40491.0)</f>
        <v>40491</v>
      </c>
      <c r="I58" s="19">
        <f>IFERROR(__xludf.DUMMYFUNCTION("""COMPUTED_VALUE"""),11.863888888888889)</f>
        <v>11.86388889</v>
      </c>
      <c r="J58" s="21">
        <f>IFERROR(__xludf.DUMMYFUNCTION("""COMPUTED_VALUE"""),85.0)</f>
        <v>85</v>
      </c>
      <c r="K58" s="23">
        <f>IFERROR(__xludf.DUMMYFUNCTION("""COMPUTED_VALUE"""),8.7)</f>
        <v>8.7</v>
      </c>
      <c r="L58" s="24">
        <f>IFERROR(__xludf.DUMMYFUNCTION("""COMPUTED_VALUE"""),31.5)</f>
        <v>31.5</v>
      </c>
      <c r="M58" s="25" t="str">
        <f>IFERROR(__xludf.DUMMYFUNCTION("""COMPUTED_VALUE"""),"Platformer")</f>
        <v>Platformer</v>
      </c>
      <c r="N58" s="25" t="str">
        <f>IFERROR(__xludf.DUMMYFUNCTION("""COMPUTED_VALUE"""),"PS3")</f>
        <v>PS3</v>
      </c>
      <c r="O58" s="26" t="str">
        <f>IFERROR(__xludf.DUMMYFUNCTION("""COMPUTED_VALUE"""),"Yes")</f>
        <v>Yes</v>
      </c>
      <c r="P58" s="26"/>
    </row>
    <row r="59">
      <c r="A59" s="13" t="str">
        <f>IFERROR(__xludf.DUMMYFUNCTION("""COMPUTED_VALUE"""),"Oddworld: Abe's Oddysee")</f>
        <v>Oddworld: Abe's Oddysee</v>
      </c>
      <c r="B59" s="15" t="str">
        <f>IFERROR(__xludf.DUMMYFUNCTION("""COMPUTED_VALUE"""),"PS5/PS4")</f>
        <v>PS5/PS4</v>
      </c>
      <c r="C59" s="16" t="str">
        <f>IFERROR(__xludf.DUMMYFUNCTION("""COMPUTED_VALUE"""),"Premium (Classics)")</f>
        <v>Premium (Classics)</v>
      </c>
      <c r="D59" s="15" t="str">
        <f>IFERROR(__xludf.DUMMYFUNCTION("""COMPUTED_VALUE"""),"Active")</f>
        <v>Active</v>
      </c>
      <c r="E59" s="17">
        <f>IFERROR(__xludf.DUMMYFUNCTION("""COMPUTED_VALUE"""),44725.0)</f>
        <v>44725</v>
      </c>
      <c r="F59" s="54"/>
      <c r="G59" s="19">
        <f>IFERROR(__xludf.DUMMYFUNCTION("""COMPUTED_VALUE"""),51.766666666666666)</f>
        <v>51.76666667</v>
      </c>
      <c r="H59" s="17">
        <f>IFERROR(__xludf.DUMMYFUNCTION("""COMPUTED_VALUE"""),35674.0)</f>
        <v>35674</v>
      </c>
      <c r="I59" s="19">
        <f>IFERROR(__xludf.DUMMYFUNCTION("""COMPUTED_VALUE"""),24.783333333333335)</f>
        <v>24.78333333</v>
      </c>
      <c r="J59" s="21">
        <f>IFERROR(__xludf.DUMMYFUNCTION("""COMPUTED_VALUE"""),85.0)</f>
        <v>85</v>
      </c>
      <c r="K59" s="23">
        <f>IFERROR(__xludf.DUMMYFUNCTION("""COMPUTED_VALUE"""),8.7)</f>
        <v>8.7</v>
      </c>
      <c r="L59" s="24">
        <f>IFERROR(__xludf.DUMMYFUNCTION("""COMPUTED_VALUE"""),7.0)</f>
        <v>7</v>
      </c>
      <c r="M59" s="25" t="str">
        <f>IFERROR(__xludf.DUMMYFUNCTION("""COMPUTED_VALUE"""),"Platformer")</f>
        <v>Platformer</v>
      </c>
      <c r="N59" s="25" t="str">
        <f>IFERROR(__xludf.DUMMYFUNCTION("""COMPUTED_VALUE"""),"PS1")</f>
        <v>PS1</v>
      </c>
      <c r="O59" s="26" t="str">
        <f>IFERROR(__xludf.DUMMYFUNCTION("""COMPUTED_VALUE"""),"No")</f>
        <v>No</v>
      </c>
      <c r="P59" s="26" t="str">
        <f>IFERROR(__xludf.DUMMYFUNCTION("""COMPUTED_VALUE"""),"")</f>
        <v/>
      </c>
    </row>
    <row r="60">
      <c r="A60" s="13" t="str">
        <f>IFERROR(__xludf.DUMMYFUNCTION("""COMPUTED_VALUE"""),"WipEout: Omega Collection")</f>
        <v>WipEout: Omega Collection</v>
      </c>
      <c r="B60" s="15" t="str">
        <f>IFERROR(__xludf.DUMMYFUNCTION("""COMPUTED_VALUE"""),"PS4/PSVR")</f>
        <v>PS4/PSVR</v>
      </c>
      <c r="C60" s="16" t="str">
        <f>IFERROR(__xludf.DUMMYFUNCTION("""COMPUTED_VALUE"""),"Premium (Remasters)")</f>
        <v>Premium (Remasters)</v>
      </c>
      <c r="D60" s="15" t="str">
        <f>IFERROR(__xludf.DUMMYFUNCTION("""COMPUTED_VALUE"""),"Active")</f>
        <v>Active</v>
      </c>
      <c r="E60" s="17">
        <f>IFERROR(__xludf.DUMMYFUNCTION("""COMPUTED_VALUE"""),43683.0)</f>
        <v>43683</v>
      </c>
      <c r="F60" s="54"/>
      <c r="G60" s="19">
        <f>IFERROR(__xludf.DUMMYFUNCTION("""COMPUTED_VALUE"""),86.0)</f>
        <v>86</v>
      </c>
      <c r="H60" s="17">
        <f>IFERROR(__xludf.DUMMYFUNCTION("""COMPUTED_VALUE"""),41365.0)</f>
        <v>41365</v>
      </c>
      <c r="I60" s="19">
        <f>IFERROR(__xludf.DUMMYFUNCTION("""COMPUTED_VALUE"""),6.347222222222222)</f>
        <v>6.347222222</v>
      </c>
      <c r="J60" s="21">
        <f>IFERROR(__xludf.DUMMYFUNCTION("""COMPUTED_VALUE"""),85.0)</f>
        <v>85</v>
      </c>
      <c r="K60" s="23">
        <f>IFERROR(__xludf.DUMMYFUNCTION("""COMPUTED_VALUE"""),8.2)</f>
        <v>8.2</v>
      </c>
      <c r="L60" s="24">
        <f>IFERROR(__xludf.DUMMYFUNCTION("""COMPUTED_VALUE"""),8.0)</f>
        <v>8</v>
      </c>
      <c r="M60" s="25" t="str">
        <f>IFERROR(__xludf.DUMMYFUNCTION("""COMPUTED_VALUE"""),"Racing")</f>
        <v>Racing</v>
      </c>
      <c r="N60" s="25" t="str">
        <f>IFERROR(__xludf.DUMMYFUNCTION("""COMPUTED_VALUE"""),"PS3")</f>
        <v>PS3</v>
      </c>
      <c r="O60" s="26" t="str">
        <f>IFERROR(__xludf.DUMMYFUNCTION("""COMPUTED_VALUE"""),"No")</f>
        <v>No</v>
      </c>
      <c r="P60" s="26" t="str">
        <f>IFERROR(__xludf.DUMMYFUNCTION("""COMPUTED_VALUE"""),"Yes")</f>
        <v>Yes</v>
      </c>
    </row>
    <row r="61">
      <c r="A61" s="13" t="str">
        <f>IFERROR(__xludf.DUMMYFUNCTION("""COMPUTED_VALUE"""),"Sam &amp; Max The Devil's Playhouse: Episode 2 - The Tomb of Sammun-Mak")</f>
        <v>Sam &amp; Max The Devil's Playhouse: Episode 2 - The Tomb of Sammun-Mak</v>
      </c>
      <c r="B61" s="15" t="str">
        <f>IFERROR(__xludf.DUMMYFUNCTION("""COMPUTED_VALUE"""),"PS5/PS4")</f>
        <v>PS5/PS4</v>
      </c>
      <c r="C61" s="16" t="str">
        <f>IFERROR(__xludf.DUMMYFUNCTION("""COMPUTED_VALUE"""),"Premium (Streaming Only)")</f>
        <v>Premium (Streaming Only)</v>
      </c>
      <c r="D61" s="15" t="str">
        <f>IFERROR(__xludf.DUMMYFUNCTION("""COMPUTED_VALUE"""),"Active")</f>
        <v>Active</v>
      </c>
      <c r="E61" s="17">
        <f>IFERROR(__xludf.DUMMYFUNCTION("""COMPUTED_VALUE"""),42311.0)</f>
        <v>42311</v>
      </c>
      <c r="F61" s="54"/>
      <c r="G61" s="19">
        <f>IFERROR(__xludf.DUMMYFUNCTION("""COMPUTED_VALUE"""),131.10000000000002)</f>
        <v>131.1</v>
      </c>
      <c r="H61" s="17">
        <f>IFERROR(__xludf.DUMMYFUNCTION("""COMPUTED_VALUE"""),40391.0)</f>
        <v>40391</v>
      </c>
      <c r="I61" s="19">
        <f>IFERROR(__xludf.DUMMYFUNCTION("""COMPUTED_VALUE"""),5.2555555555555555)</f>
        <v>5.255555556</v>
      </c>
      <c r="J61" s="21">
        <f>IFERROR(__xludf.DUMMYFUNCTION("""COMPUTED_VALUE"""),85.0)</f>
        <v>85</v>
      </c>
      <c r="K61" s="23">
        <f>IFERROR(__xludf.DUMMYFUNCTION("""COMPUTED_VALUE"""),7.7)</f>
        <v>7.7</v>
      </c>
      <c r="L61" s="24">
        <f>IFERROR(__xludf.DUMMYFUNCTION("""COMPUTED_VALUE"""),3.0)</f>
        <v>3</v>
      </c>
      <c r="M61" s="25" t="str">
        <f>IFERROR(__xludf.DUMMYFUNCTION("""COMPUTED_VALUE"""),"Adventure")</f>
        <v>Adventure</v>
      </c>
      <c r="N61" s="25" t="str">
        <f>IFERROR(__xludf.DUMMYFUNCTION("""COMPUTED_VALUE"""),"PS3")</f>
        <v>PS3</v>
      </c>
      <c r="O61" s="26" t="str">
        <f>IFERROR(__xludf.DUMMYFUNCTION("""COMPUTED_VALUE"""),"Yes")</f>
        <v>Yes</v>
      </c>
      <c r="P61" s="26" t="str">
        <f>IFERROR(__xludf.DUMMYFUNCTION("""COMPUTED_VALUE"""),"")</f>
        <v/>
      </c>
    </row>
    <row r="62">
      <c r="A62" s="13" t="str">
        <f>IFERROR(__xludf.DUMMYFUNCTION("""COMPUTED_VALUE"""),"Super Stardust HD")</f>
        <v>Super Stardust HD</v>
      </c>
      <c r="B62" s="15" t="str">
        <f>IFERROR(__xludf.DUMMYFUNCTION("""COMPUTED_VALUE"""),"PS5/PS4")</f>
        <v>PS5/PS4</v>
      </c>
      <c r="C62" s="16" t="str">
        <f>IFERROR(__xludf.DUMMYFUNCTION("""COMPUTED_VALUE"""),"Premium (Streaming Only)")</f>
        <v>Premium (Streaming Only)</v>
      </c>
      <c r="D62" s="15" t="str">
        <f>IFERROR(__xludf.DUMMYFUNCTION("""COMPUTED_VALUE"""),"Active")</f>
        <v>Active</v>
      </c>
      <c r="E62" s="17">
        <f>IFERROR(__xludf.DUMMYFUNCTION("""COMPUTED_VALUE"""),42101.0)</f>
        <v>42101</v>
      </c>
      <c r="F62" s="54"/>
      <c r="G62" s="19">
        <f>IFERROR(__xludf.DUMMYFUNCTION("""COMPUTED_VALUE"""),137.96666666666667)</f>
        <v>137.9666667</v>
      </c>
      <c r="H62" s="17">
        <f>IFERROR(__xludf.DUMMYFUNCTION("""COMPUTED_VALUE"""),39234.0)</f>
        <v>39234</v>
      </c>
      <c r="I62" s="19">
        <f>IFERROR(__xludf.DUMMYFUNCTION("""COMPUTED_VALUE"""),7.85)</f>
        <v>7.85</v>
      </c>
      <c r="J62" s="21">
        <f>IFERROR(__xludf.DUMMYFUNCTION("""COMPUTED_VALUE"""),85.0)</f>
        <v>85</v>
      </c>
      <c r="K62" s="23">
        <f>IFERROR(__xludf.DUMMYFUNCTION("""COMPUTED_VALUE"""),8.0)</f>
        <v>8</v>
      </c>
      <c r="L62" s="24">
        <f>IFERROR(__xludf.DUMMYFUNCTION("""COMPUTED_VALUE"""),4.0)</f>
        <v>4</v>
      </c>
      <c r="M62" s="25" t="str">
        <f>IFERROR(__xludf.DUMMYFUNCTION("""COMPUTED_VALUE"""),"Shooter")</f>
        <v>Shooter</v>
      </c>
      <c r="N62" s="25" t="str">
        <f>IFERROR(__xludf.DUMMYFUNCTION("""COMPUTED_VALUE"""),"PS3")</f>
        <v>PS3</v>
      </c>
      <c r="O62" s="26" t="str">
        <f>IFERROR(__xludf.DUMMYFUNCTION("""COMPUTED_VALUE"""),"Yes")</f>
        <v>Yes</v>
      </c>
      <c r="P62" s="26" t="str">
        <f>IFERROR(__xludf.DUMMYFUNCTION("""COMPUTED_VALUE"""),"")</f>
        <v/>
      </c>
    </row>
    <row r="63">
      <c r="A63" s="13" t="str">
        <f>IFERROR(__xludf.DUMMYFUNCTION("""COMPUTED_VALUE"""),"inFAMOUS")</f>
        <v>inFAMOUS</v>
      </c>
      <c r="B63" s="15" t="str">
        <f>IFERROR(__xludf.DUMMYFUNCTION("""COMPUTED_VALUE"""),"PS5/PS4")</f>
        <v>PS5/PS4</v>
      </c>
      <c r="C63" s="16" t="str">
        <f>IFERROR(__xludf.DUMMYFUNCTION("""COMPUTED_VALUE"""),"Premium (Streaming Only)")</f>
        <v>Premium (Streaming Only)</v>
      </c>
      <c r="D63" s="15" t="str">
        <f>IFERROR(__xludf.DUMMYFUNCTION("""COMPUTED_VALUE"""),"Active")</f>
        <v>Active</v>
      </c>
      <c r="E63" s="17">
        <f>IFERROR(__xludf.DUMMYFUNCTION("""COMPUTED_VALUE"""),42017.0)</f>
        <v>42017</v>
      </c>
      <c r="F63" s="54"/>
      <c r="G63" s="19">
        <f>IFERROR(__xludf.DUMMYFUNCTION("""COMPUTED_VALUE"""),140.76666666666668)</f>
        <v>140.7666667</v>
      </c>
      <c r="H63" s="17">
        <f>IFERROR(__xludf.DUMMYFUNCTION("""COMPUTED_VALUE"""),39934.0)</f>
        <v>39934</v>
      </c>
      <c r="I63" s="19">
        <f>IFERROR(__xludf.DUMMYFUNCTION("""COMPUTED_VALUE"""),5.7)</f>
        <v>5.7</v>
      </c>
      <c r="J63" s="21">
        <f>IFERROR(__xludf.DUMMYFUNCTION("""COMPUTED_VALUE"""),85.0)</f>
        <v>85</v>
      </c>
      <c r="K63" s="23">
        <f>IFERROR(__xludf.DUMMYFUNCTION("""COMPUTED_VALUE"""),8.5)</f>
        <v>8.5</v>
      </c>
      <c r="L63" s="24">
        <f>IFERROR(__xludf.DUMMYFUNCTION("""COMPUTED_VALUE"""),15.0)</f>
        <v>15</v>
      </c>
      <c r="M63" s="25" t="str">
        <f>IFERROR(__xludf.DUMMYFUNCTION("""COMPUTED_VALUE"""),"Action-Adventure")</f>
        <v>Action-Adventure</v>
      </c>
      <c r="N63" s="25" t="str">
        <f>IFERROR(__xludf.DUMMYFUNCTION("""COMPUTED_VALUE"""),"PS3")</f>
        <v>PS3</v>
      </c>
      <c r="O63" s="26" t="str">
        <f>IFERROR(__xludf.DUMMYFUNCTION("""COMPUTED_VALUE"""),"Yes")</f>
        <v>Yes</v>
      </c>
      <c r="P63" s="26" t="str">
        <f>IFERROR(__xludf.DUMMYFUNCTION("""COMPUTED_VALUE"""),"")</f>
        <v/>
      </c>
    </row>
    <row r="64">
      <c r="A64" s="13" t="str">
        <f>IFERROR(__xludf.DUMMYFUNCTION("""COMPUTED_VALUE"""),"Sid Meier's Civilization Revolution")</f>
        <v>Sid Meier's Civilization Revolution</v>
      </c>
      <c r="B64" s="15" t="str">
        <f>IFERROR(__xludf.DUMMYFUNCTION("""COMPUTED_VALUE"""),"PS5/PS4")</f>
        <v>PS5/PS4</v>
      </c>
      <c r="C64" s="16" t="str">
        <f>IFERROR(__xludf.DUMMYFUNCTION("""COMPUTED_VALUE"""),"Premium (Streaming Only)")</f>
        <v>Premium (Streaming Only)</v>
      </c>
      <c r="D64" s="15" t="str">
        <f>IFERROR(__xludf.DUMMYFUNCTION("""COMPUTED_VALUE"""),"Active")</f>
        <v>Active</v>
      </c>
      <c r="E64" s="17">
        <f>IFERROR(__xludf.DUMMYFUNCTION("""COMPUTED_VALUE"""),42017.0)</f>
        <v>42017</v>
      </c>
      <c r="F64" s="54"/>
      <c r="G64" s="19">
        <f>IFERROR(__xludf.DUMMYFUNCTION("""COMPUTED_VALUE"""),140.76666666666668)</f>
        <v>140.7666667</v>
      </c>
      <c r="H64" s="17">
        <f>IFERROR(__xludf.DUMMYFUNCTION("""COMPUTED_VALUE"""),39630.0)</f>
        <v>39630</v>
      </c>
      <c r="I64" s="19">
        <f>IFERROR(__xludf.DUMMYFUNCTION("""COMPUTED_VALUE"""),6.533333333333333)</f>
        <v>6.533333333</v>
      </c>
      <c r="J64" s="21">
        <f>IFERROR(__xludf.DUMMYFUNCTION("""COMPUTED_VALUE"""),85.0)</f>
        <v>85</v>
      </c>
      <c r="K64" s="23">
        <f>IFERROR(__xludf.DUMMYFUNCTION("""COMPUTED_VALUE"""),8.2)</f>
        <v>8.2</v>
      </c>
      <c r="L64" s="24">
        <f>IFERROR(__xludf.DUMMYFUNCTION("""COMPUTED_VALUE"""),15.0)</f>
        <v>15</v>
      </c>
      <c r="M64" s="25" t="str">
        <f>IFERROR(__xludf.DUMMYFUNCTION("""COMPUTED_VALUE"""),"Strategy")</f>
        <v>Strategy</v>
      </c>
      <c r="N64" s="25" t="str">
        <f>IFERROR(__xludf.DUMMYFUNCTION("""COMPUTED_VALUE"""),"PS3")</f>
        <v>PS3</v>
      </c>
      <c r="O64" s="26" t="str">
        <f>IFERROR(__xludf.DUMMYFUNCTION("""COMPUTED_VALUE"""),"Yes")</f>
        <v>Yes</v>
      </c>
      <c r="P64" s="26" t="str">
        <f>IFERROR(__xludf.DUMMYFUNCTION("""COMPUTED_VALUE"""),"")</f>
        <v/>
      </c>
    </row>
    <row r="65">
      <c r="A65" s="13" t="str">
        <f>IFERROR(__xludf.DUMMYFUNCTION("""COMPUTED_VALUE"""),"Psi-Ops: The Mindgate Conspiracy")</f>
        <v>Psi-Ops: The Mindgate Conspiracy</v>
      </c>
      <c r="B65" s="15" t="str">
        <f>IFERROR(__xludf.DUMMYFUNCTION("""COMPUTED_VALUE"""),"PS5/PS4")</f>
        <v>PS5/PS4</v>
      </c>
      <c r="C65" s="16" t="str">
        <f>IFERROR(__xludf.DUMMYFUNCTION("""COMPUTED_VALUE"""),"Premium (Classics)")</f>
        <v>Premium (Classics)</v>
      </c>
      <c r="D65" s="15" t="str">
        <f>IFERROR(__xludf.DUMMYFUNCTION("""COMPUTED_VALUE"""),"Active")</f>
        <v>Active</v>
      </c>
      <c r="E65" s="17">
        <f>IFERROR(__xludf.DUMMYFUNCTION("""COMPUTED_VALUE"""),46224.0)</f>
        <v>46224</v>
      </c>
      <c r="F65" s="54"/>
      <c r="G65" s="19">
        <f>IFERROR(__xludf.DUMMYFUNCTION("""COMPUTED_VALUE"""),2.5)</f>
        <v>2.5</v>
      </c>
      <c r="H65" s="17">
        <f>IFERROR(__xludf.DUMMYFUNCTION("""COMPUTED_VALUE"""),38152.0)</f>
        <v>38152</v>
      </c>
      <c r="I65" s="19">
        <f>IFERROR(__xludf.DUMMYFUNCTION("""COMPUTED_VALUE"""),22.102777777777778)</f>
        <v>22.10277778</v>
      </c>
      <c r="J65" s="21">
        <f>IFERROR(__xludf.DUMMYFUNCTION("""COMPUTED_VALUE"""),84.0)</f>
        <v>84</v>
      </c>
      <c r="K65" s="23">
        <f>IFERROR(__xludf.DUMMYFUNCTION("""COMPUTED_VALUE"""),6.9)</f>
        <v>6.9</v>
      </c>
      <c r="L65" s="24">
        <f>IFERROR(__xludf.DUMMYFUNCTION("""COMPUTED_VALUE"""),10.0)</f>
        <v>10</v>
      </c>
      <c r="M65" s="25" t="str">
        <f>IFERROR(__xludf.DUMMYFUNCTION("""COMPUTED_VALUE"""),"Shooter")</f>
        <v>Shooter</v>
      </c>
      <c r="N65" s="25" t="str">
        <f>IFERROR(__xludf.DUMMYFUNCTION("""COMPUTED_VALUE"""),"PS2")</f>
        <v>PS2</v>
      </c>
      <c r="O65" s="26"/>
      <c r="P65" s="26"/>
    </row>
    <row r="66">
      <c r="A66" s="13" t="str">
        <f>IFERROR(__xludf.DUMMYFUNCTION("""COMPUTED_VALUE"""),"I.Q Intelligent Qube")</f>
        <v>I.Q Intelligent Qube</v>
      </c>
      <c r="B66" s="15" t="str">
        <f>IFERROR(__xludf.DUMMYFUNCTION("""COMPUTED_VALUE"""),"PS5/PS4")</f>
        <v>PS5/PS4</v>
      </c>
      <c r="C66" s="16" t="str">
        <f>IFERROR(__xludf.DUMMYFUNCTION("""COMPUTED_VALUE"""),"Premium (Classics)")</f>
        <v>Premium (Classics)</v>
      </c>
      <c r="D66" s="15" t="str">
        <f>IFERROR(__xludf.DUMMYFUNCTION("""COMPUTED_VALUE"""),"Active")</f>
        <v>Active</v>
      </c>
      <c r="E66" s="17">
        <f>IFERROR(__xludf.DUMMYFUNCTION("""COMPUTED_VALUE"""),44725.0)</f>
        <v>44725</v>
      </c>
      <c r="F66" s="54"/>
      <c r="G66" s="19">
        <f>IFERROR(__xludf.DUMMYFUNCTION("""COMPUTED_VALUE"""),51.766666666666666)</f>
        <v>51.76666667</v>
      </c>
      <c r="H66" s="17">
        <f>IFERROR(__xludf.DUMMYFUNCTION("""COMPUTED_VALUE"""),35764.0)</f>
        <v>35764</v>
      </c>
      <c r="I66" s="19">
        <f>IFERROR(__xludf.DUMMYFUNCTION("""COMPUTED_VALUE"""),24.53611111111111)</f>
        <v>24.53611111</v>
      </c>
      <c r="J66" s="21">
        <f>IFERROR(__xludf.DUMMYFUNCTION("""COMPUTED_VALUE"""),84.0)</f>
        <v>84</v>
      </c>
      <c r="K66" s="23">
        <f>IFERROR(__xludf.DUMMYFUNCTION("""COMPUTED_VALUE"""),8.5)</f>
        <v>8.5</v>
      </c>
      <c r="L66" s="24"/>
      <c r="M66" s="25" t="str">
        <f>IFERROR(__xludf.DUMMYFUNCTION("""COMPUTED_VALUE"""),"Puzzle")</f>
        <v>Puzzle</v>
      </c>
      <c r="N66" s="25" t="str">
        <f>IFERROR(__xludf.DUMMYFUNCTION("""COMPUTED_VALUE"""),"PS1")</f>
        <v>PS1</v>
      </c>
      <c r="O66" s="26" t="str">
        <f>IFERROR(__xludf.DUMMYFUNCTION("""COMPUTED_VALUE"""),"Yes")</f>
        <v>Yes</v>
      </c>
      <c r="P66" s="26" t="str">
        <f>IFERROR(__xludf.DUMMYFUNCTION("""COMPUTED_VALUE"""),"")</f>
        <v/>
      </c>
    </row>
    <row r="67">
      <c r="A67" s="13" t="str">
        <f>IFERROR(__xludf.DUMMYFUNCTION("""COMPUTED_VALUE"""),"Jak 3")</f>
        <v>Jak 3</v>
      </c>
      <c r="B67" s="15" t="str">
        <f>IFERROR(__xludf.DUMMYFUNCTION("""COMPUTED_VALUE"""),"PS4")</f>
        <v>PS4</v>
      </c>
      <c r="C67" s="16" t="str">
        <f>IFERROR(__xludf.DUMMYFUNCTION("""COMPUTED_VALUE"""),"Premium (Classics)")</f>
        <v>Premium (Classics)</v>
      </c>
      <c r="D67" s="15" t="str">
        <f>IFERROR(__xludf.DUMMYFUNCTION("""COMPUTED_VALUE"""),"Active")</f>
        <v>Active</v>
      </c>
      <c r="E67" s="17">
        <f>IFERROR(__xludf.DUMMYFUNCTION("""COMPUTED_VALUE"""),44725.0)</f>
        <v>44725</v>
      </c>
      <c r="F67" s="54"/>
      <c r="G67" s="19">
        <f>IFERROR(__xludf.DUMMYFUNCTION("""COMPUTED_VALUE"""),51.766666666666666)</f>
        <v>51.76666667</v>
      </c>
      <c r="H67" s="17">
        <f>IFERROR(__xludf.DUMMYFUNCTION("""COMPUTED_VALUE"""),38292.0)</f>
        <v>38292</v>
      </c>
      <c r="I67" s="19">
        <f>IFERROR(__xludf.DUMMYFUNCTION("""COMPUTED_VALUE"""),17.616666666666667)</f>
        <v>17.61666667</v>
      </c>
      <c r="J67" s="21">
        <f>IFERROR(__xludf.DUMMYFUNCTION("""COMPUTED_VALUE"""),84.0)</f>
        <v>84</v>
      </c>
      <c r="K67" s="23">
        <f>IFERROR(__xludf.DUMMYFUNCTION("""COMPUTED_VALUE"""),8.5)</f>
        <v>8.5</v>
      </c>
      <c r="L67" s="24">
        <f>IFERROR(__xludf.DUMMYFUNCTION("""COMPUTED_VALUE"""),18.0)</f>
        <v>18</v>
      </c>
      <c r="M67" s="25" t="str">
        <f>IFERROR(__xludf.DUMMYFUNCTION("""COMPUTED_VALUE"""),"Platformer")</f>
        <v>Platformer</v>
      </c>
      <c r="N67" s="25" t="str">
        <f>IFERROR(__xludf.DUMMYFUNCTION("""COMPUTED_VALUE"""),"PS2")</f>
        <v>PS2</v>
      </c>
      <c r="O67" s="26" t="str">
        <f>IFERROR(__xludf.DUMMYFUNCTION("""COMPUTED_VALUE"""),"Yes")</f>
        <v>Yes</v>
      </c>
      <c r="P67" s="26" t="str">
        <f>IFERROR(__xludf.DUMMYFUNCTION("""COMPUTED_VALUE"""),"")</f>
        <v/>
      </c>
    </row>
    <row r="68">
      <c r="A68" s="13" t="str">
        <f>IFERROR(__xludf.DUMMYFUNCTION("""COMPUTED_VALUE"""),"Split/Second: Velocity")</f>
        <v>Split/Second: Velocity</v>
      </c>
      <c r="B68" s="15" t="str">
        <f>IFERROR(__xludf.DUMMYFUNCTION("""COMPUTED_VALUE"""),"PS5/PS4")</f>
        <v>PS5/PS4</v>
      </c>
      <c r="C68" s="16" t="str">
        <f>IFERROR(__xludf.DUMMYFUNCTION("""COMPUTED_VALUE"""),"Premium (Streaming Only)")</f>
        <v>Premium (Streaming Only)</v>
      </c>
      <c r="D68" s="15" t="str">
        <f>IFERROR(__xludf.DUMMYFUNCTION("""COMPUTED_VALUE"""),"Active")</f>
        <v>Active</v>
      </c>
      <c r="E68" s="17">
        <f>IFERROR(__xludf.DUMMYFUNCTION("""COMPUTED_VALUE"""),44725.0)</f>
        <v>44725</v>
      </c>
      <c r="F68" s="54"/>
      <c r="G68" s="19">
        <f>IFERROR(__xludf.DUMMYFUNCTION("""COMPUTED_VALUE"""),51.766666666666666)</f>
        <v>51.76666667</v>
      </c>
      <c r="H68" s="17">
        <f>IFERROR(__xludf.DUMMYFUNCTION("""COMPUTED_VALUE"""),40299.0)</f>
        <v>40299</v>
      </c>
      <c r="I68" s="19">
        <f>IFERROR(__xludf.DUMMYFUNCTION("""COMPUTED_VALUE"""),12.116666666666667)</f>
        <v>12.11666667</v>
      </c>
      <c r="J68" s="21">
        <f>IFERROR(__xludf.DUMMYFUNCTION("""COMPUTED_VALUE"""),84.0)</f>
        <v>84</v>
      </c>
      <c r="K68" s="23">
        <f>IFERROR(__xludf.DUMMYFUNCTION("""COMPUTED_VALUE"""),8.0)</f>
        <v>8</v>
      </c>
      <c r="L68" s="24">
        <f>IFERROR(__xludf.DUMMYFUNCTION("""COMPUTED_VALUE"""),7.0)</f>
        <v>7</v>
      </c>
      <c r="M68" s="25" t="str">
        <f>IFERROR(__xludf.DUMMYFUNCTION("""COMPUTED_VALUE"""),"Racing")</f>
        <v>Racing</v>
      </c>
      <c r="N68" s="25" t="str">
        <f>IFERROR(__xludf.DUMMYFUNCTION("""COMPUTED_VALUE"""),"PS3")</f>
        <v>PS3</v>
      </c>
      <c r="O68" s="26" t="str">
        <f>IFERROR(__xludf.DUMMYFUNCTION("""COMPUTED_VALUE"""),"Yes")</f>
        <v>Yes</v>
      </c>
      <c r="P68" s="26" t="str">
        <f>IFERROR(__xludf.DUMMYFUNCTION("""COMPUTED_VALUE"""),"")</f>
        <v/>
      </c>
    </row>
    <row r="69">
      <c r="A69" s="13" t="str">
        <f>IFERROR(__xludf.DUMMYFUNCTION("""COMPUTED_VALUE"""),"Devil May Cry 4")</f>
        <v>Devil May Cry 4</v>
      </c>
      <c r="B69" s="15" t="str">
        <f>IFERROR(__xludf.DUMMYFUNCTION("""COMPUTED_VALUE"""),"PS5/PS4")</f>
        <v>PS5/PS4</v>
      </c>
      <c r="C69" s="16" t="str">
        <f>IFERROR(__xludf.DUMMYFUNCTION("""COMPUTED_VALUE"""),"Premium (Streaming Only)")</f>
        <v>Premium (Streaming Only)</v>
      </c>
      <c r="D69" s="15" t="str">
        <f>IFERROR(__xludf.DUMMYFUNCTION("""COMPUTED_VALUE"""),"Active")</f>
        <v>Active</v>
      </c>
      <c r="E69" s="17">
        <f>IFERROR(__xludf.DUMMYFUNCTION("""COMPUTED_VALUE"""),42466.0)</f>
        <v>42466</v>
      </c>
      <c r="F69" s="54"/>
      <c r="G69" s="19">
        <f>IFERROR(__xludf.DUMMYFUNCTION("""COMPUTED_VALUE"""),126.0)</f>
        <v>126</v>
      </c>
      <c r="H69" s="17">
        <f>IFERROR(__xludf.DUMMYFUNCTION("""COMPUTED_VALUE"""),39479.0)</f>
        <v>39479</v>
      </c>
      <c r="I69" s="19">
        <f>IFERROR(__xludf.DUMMYFUNCTION("""COMPUTED_VALUE"""),8.180555555555555)</f>
        <v>8.180555556</v>
      </c>
      <c r="J69" s="21">
        <f>IFERROR(__xludf.DUMMYFUNCTION("""COMPUTED_VALUE"""),84.0)</f>
        <v>84</v>
      </c>
      <c r="K69" s="23">
        <f>IFERROR(__xludf.DUMMYFUNCTION("""COMPUTED_VALUE"""),8.1)</f>
        <v>8.1</v>
      </c>
      <c r="L69" s="24">
        <f>IFERROR(__xludf.DUMMYFUNCTION("""COMPUTED_VALUE"""),12.0)</f>
        <v>12</v>
      </c>
      <c r="M69" s="25" t="str">
        <f>IFERROR(__xludf.DUMMYFUNCTION("""COMPUTED_VALUE"""),"Action-Adventure")</f>
        <v>Action-Adventure</v>
      </c>
      <c r="N69" s="25" t="str">
        <f>IFERROR(__xludf.DUMMYFUNCTION("""COMPUTED_VALUE"""),"PS3")</f>
        <v>PS3</v>
      </c>
      <c r="O69" s="26" t="str">
        <f>IFERROR(__xludf.DUMMYFUNCTION("""COMPUTED_VALUE"""),"Yes")</f>
        <v>Yes</v>
      </c>
      <c r="P69" s="26" t="str">
        <f>IFERROR(__xludf.DUMMYFUNCTION("""COMPUTED_VALUE"""),"")</f>
        <v/>
      </c>
    </row>
    <row r="70">
      <c r="A70" s="13" t="str">
        <f>IFERROR(__xludf.DUMMYFUNCTION("""COMPUTED_VALUE"""),"Resident Evil 5: Gold Edition")</f>
        <v>Resident Evil 5: Gold Edition</v>
      </c>
      <c r="B70" s="15" t="str">
        <f>IFERROR(__xludf.DUMMYFUNCTION("""COMPUTED_VALUE"""),"PS5/PS4")</f>
        <v>PS5/PS4</v>
      </c>
      <c r="C70" s="16" t="str">
        <f>IFERROR(__xludf.DUMMYFUNCTION("""COMPUTED_VALUE"""),"Premium (Streaming Only)")</f>
        <v>Premium (Streaming Only)</v>
      </c>
      <c r="D70" s="15" t="str">
        <f>IFERROR(__xludf.DUMMYFUNCTION("""COMPUTED_VALUE"""),"Active")</f>
        <v>Active</v>
      </c>
      <c r="E70" s="17">
        <f>IFERROR(__xludf.DUMMYFUNCTION("""COMPUTED_VALUE"""),42017.0)</f>
        <v>42017</v>
      </c>
      <c r="F70" s="54"/>
      <c r="G70" s="19">
        <f>IFERROR(__xludf.DUMMYFUNCTION("""COMPUTED_VALUE"""),140.76666666666668)</f>
        <v>140.7666667</v>
      </c>
      <c r="H70" s="17">
        <f>IFERROR(__xludf.DUMMYFUNCTION("""COMPUTED_VALUE"""),39873.0)</f>
        <v>39873</v>
      </c>
      <c r="I70" s="19">
        <f>IFERROR(__xludf.DUMMYFUNCTION("""COMPUTED_VALUE"""),5.866666666666666)</f>
        <v>5.866666667</v>
      </c>
      <c r="J70" s="21">
        <f>IFERROR(__xludf.DUMMYFUNCTION("""COMPUTED_VALUE"""),84.0)</f>
        <v>84</v>
      </c>
      <c r="K70" s="23">
        <f>IFERROR(__xludf.DUMMYFUNCTION("""COMPUTED_VALUE"""),8.2)</f>
        <v>8.2</v>
      </c>
      <c r="L70" s="24">
        <f>IFERROR(__xludf.DUMMYFUNCTION("""COMPUTED_VALUE"""),13.0)</f>
        <v>13</v>
      </c>
      <c r="M70" s="25" t="str">
        <f>IFERROR(__xludf.DUMMYFUNCTION("""COMPUTED_VALUE"""),"Action-Adventure")</f>
        <v>Action-Adventure</v>
      </c>
      <c r="N70" s="25" t="str">
        <f>IFERROR(__xludf.DUMMYFUNCTION("""COMPUTED_VALUE"""),"PS3")</f>
        <v>PS3</v>
      </c>
      <c r="O70" s="26" t="str">
        <f>IFERROR(__xludf.DUMMYFUNCTION("""COMPUTED_VALUE"""),"Yes")</f>
        <v>Yes</v>
      </c>
      <c r="P70" s="26" t="str">
        <f>IFERROR(__xludf.DUMMYFUNCTION("""COMPUTED_VALUE"""),"")</f>
        <v/>
      </c>
    </row>
    <row r="71">
      <c r="A71" s="13" t="str">
        <f>IFERROR(__xludf.DUMMYFUNCTION("""COMPUTED_VALUE"""),"Vessel")</f>
        <v>Vessel</v>
      </c>
      <c r="B71" s="15" t="str">
        <f>IFERROR(__xludf.DUMMYFUNCTION("""COMPUTED_VALUE"""),"PS5/PS4")</f>
        <v>PS5/PS4</v>
      </c>
      <c r="C71" s="16" t="str">
        <f>IFERROR(__xludf.DUMMYFUNCTION("""COMPUTED_VALUE"""),"Premium (Streaming Only)")</f>
        <v>Premium (Streaming Only)</v>
      </c>
      <c r="D71" s="15" t="str">
        <f>IFERROR(__xludf.DUMMYFUNCTION("""COMPUTED_VALUE"""),"Active")</f>
        <v>Active</v>
      </c>
      <c r="E71" s="17">
        <f>IFERROR(__xludf.DUMMYFUNCTION("""COMPUTED_VALUE"""),42017.0)</f>
        <v>42017</v>
      </c>
      <c r="F71" s="54"/>
      <c r="G71" s="19">
        <f>IFERROR(__xludf.DUMMYFUNCTION("""COMPUTED_VALUE"""),140.76666666666668)</f>
        <v>140.7666667</v>
      </c>
      <c r="H71" s="17">
        <f>IFERROR(__xludf.DUMMYFUNCTION("""COMPUTED_VALUE"""),40940.0)</f>
        <v>40940</v>
      </c>
      <c r="I71" s="19">
        <f>IFERROR(__xludf.DUMMYFUNCTION("""COMPUTED_VALUE"""),2.95)</f>
        <v>2.95</v>
      </c>
      <c r="J71" s="21">
        <f>IFERROR(__xludf.DUMMYFUNCTION("""COMPUTED_VALUE"""),84.0)</f>
        <v>84</v>
      </c>
      <c r="K71" s="23">
        <f>IFERROR(__xludf.DUMMYFUNCTION("""COMPUTED_VALUE"""),7.3)</f>
        <v>7.3</v>
      </c>
      <c r="L71" s="24">
        <f>IFERROR(__xludf.DUMMYFUNCTION("""COMPUTED_VALUE"""),5.0)</f>
        <v>5</v>
      </c>
      <c r="M71" s="26" t="str">
        <f>IFERROR(__xludf.DUMMYFUNCTION("""COMPUTED_VALUE"""),"Puzzle")</f>
        <v>Puzzle</v>
      </c>
      <c r="N71" s="25" t="str">
        <f>IFERROR(__xludf.DUMMYFUNCTION("""COMPUTED_VALUE"""),"PS3")</f>
        <v>PS3</v>
      </c>
      <c r="O71" s="26" t="str">
        <f>IFERROR(__xludf.DUMMYFUNCTION("""COMPUTED_VALUE"""),"Yes")</f>
        <v>Yes</v>
      </c>
      <c r="P71" s="26" t="str">
        <f>IFERROR(__xludf.DUMMYFUNCTION("""COMPUTED_VALUE"""),"")</f>
        <v/>
      </c>
    </row>
    <row r="72">
      <c r="A72" s="13" t="str">
        <f>IFERROR(__xludf.DUMMYFUNCTION("""COMPUTED_VALUE"""),"Metro Redux")</f>
        <v>Metro Redux</v>
      </c>
      <c r="B72" s="15" t="str">
        <f>IFERROR(__xludf.DUMMYFUNCTION("""COMPUTED_VALUE"""),"PS4")</f>
        <v>PS4</v>
      </c>
      <c r="C72" s="16" t="str">
        <f>IFERROR(__xludf.DUMMYFUNCTION("""COMPUTED_VALUE"""),"Premium (Remasters)")</f>
        <v>Premium (Remasters)</v>
      </c>
      <c r="D72" s="15" t="str">
        <f>IFERROR(__xludf.DUMMYFUNCTION("""COMPUTED_VALUE"""),"Active")</f>
        <v>Active</v>
      </c>
      <c r="E72" s="17">
        <f>IFERROR(__xludf.DUMMYFUNCTION("""COMPUTED_VALUE"""),46280.0)</f>
        <v>46280</v>
      </c>
      <c r="F72" s="54"/>
      <c r="G72" s="19">
        <f>IFERROR(__xludf.DUMMYFUNCTION("""COMPUTED_VALUE"""),0.7)</f>
        <v>0.7</v>
      </c>
      <c r="H72" s="17">
        <f>IFERROR(__xludf.DUMMYFUNCTION("""COMPUTED_VALUE"""),41877.0)</f>
        <v>41877</v>
      </c>
      <c r="I72" s="19">
        <f>IFERROR(__xludf.DUMMYFUNCTION("""COMPUTED_VALUE"""),12.052777777777777)</f>
        <v>12.05277778</v>
      </c>
      <c r="J72" s="21">
        <f>IFERROR(__xludf.DUMMYFUNCTION("""COMPUTED_VALUE"""),83.0)</f>
        <v>83</v>
      </c>
      <c r="K72" s="23">
        <f>IFERROR(__xludf.DUMMYFUNCTION("""COMPUTED_VALUE"""),8.1)</f>
        <v>8.1</v>
      </c>
      <c r="L72" s="24">
        <f>IFERROR(__xludf.DUMMYFUNCTION("""COMPUTED_VALUE"""),17.0)</f>
        <v>17</v>
      </c>
      <c r="M72" s="25" t="str">
        <f>IFERROR(__xludf.DUMMYFUNCTION("""COMPUTED_VALUE"""),"Shooter")</f>
        <v>Shooter</v>
      </c>
      <c r="N72" s="25" t="str">
        <f>IFERROR(__xludf.DUMMYFUNCTION("""COMPUTED_VALUE"""),"PS3, remasters of Metro 2033 and Metro: Last Light")</f>
        <v>PS3, remasters of Metro 2033 and Metro: Last Light</v>
      </c>
      <c r="O72" s="26"/>
      <c r="P72" s="26"/>
    </row>
    <row r="73">
      <c r="A73" s="13" t="str">
        <f>IFERROR(__xludf.DUMMYFUNCTION("""COMPUTED_VALUE"""),"Riven")</f>
        <v>Riven</v>
      </c>
      <c r="B73" s="15" t="str">
        <f>IFERROR(__xludf.DUMMYFUNCTION("""COMPUTED_VALUE"""),"PS5/PS4")</f>
        <v>PS5/PS4</v>
      </c>
      <c r="C73" s="16" t="str">
        <f>IFERROR(__xludf.DUMMYFUNCTION("""COMPUTED_VALUE"""),"Premium (Classics)")</f>
        <v>Premium (Classics)</v>
      </c>
      <c r="D73" s="15" t="str">
        <f>IFERROR(__xludf.DUMMYFUNCTION("""COMPUTED_VALUE"""),"Active")</f>
        <v>Active</v>
      </c>
      <c r="E73" s="17">
        <f>IFERROR(__xludf.DUMMYFUNCTION("""COMPUTED_VALUE"""),45813.0)</f>
        <v>45813</v>
      </c>
      <c r="F73" s="54"/>
      <c r="G73" s="19">
        <f>IFERROR(__xludf.DUMMYFUNCTION("""COMPUTED_VALUE"""),16.03333333333333)</f>
        <v>16.03333333</v>
      </c>
      <c r="H73" s="17">
        <f>IFERROR(__xludf.DUMMYFUNCTION("""COMPUTED_VALUE"""),35734.0)</f>
        <v>35734</v>
      </c>
      <c r="I73" s="19">
        <f>IFERROR(__xludf.DUMMYFUNCTION("""COMPUTED_VALUE"""),27.59722222222222)</f>
        <v>27.59722222</v>
      </c>
      <c r="J73" s="21">
        <f>IFERROR(__xludf.DUMMYFUNCTION("""COMPUTED_VALUE"""),83.0)</f>
        <v>83</v>
      </c>
      <c r="K73" s="23">
        <f>IFERROR(__xludf.DUMMYFUNCTION("""COMPUTED_VALUE"""),7.6)</f>
        <v>7.6</v>
      </c>
      <c r="L73" s="24">
        <f>IFERROR(__xludf.DUMMYFUNCTION("""COMPUTED_VALUE"""),10.0)</f>
        <v>10</v>
      </c>
      <c r="M73" s="25" t="str">
        <f>IFERROR(__xludf.DUMMYFUNCTION("""COMPUTED_VALUE"""),"Puzzle")</f>
        <v>Puzzle</v>
      </c>
      <c r="N73" s="25" t="str">
        <f>IFERROR(__xludf.DUMMYFUNCTION("""COMPUTED_VALUE"""),"PS1")</f>
        <v>PS1</v>
      </c>
      <c r="O73" s="26"/>
      <c r="P73" s="26"/>
    </row>
    <row r="74">
      <c r="A74" s="13" t="str">
        <f>IFERROR(__xludf.DUMMYFUNCTION("""COMPUTED_VALUE"""),"Sly 3: Honor Among Thieves")</f>
        <v>Sly 3: Honor Among Thieves</v>
      </c>
      <c r="B74" s="15" t="str">
        <f>IFERROR(__xludf.DUMMYFUNCTION("""COMPUTED_VALUE"""),"PS5/PS4")</f>
        <v>PS5/PS4</v>
      </c>
      <c r="C74" s="16" t="str">
        <f>IFERROR(__xludf.DUMMYFUNCTION("""COMPUTED_VALUE"""),"Premium (Classics)")</f>
        <v>Premium (Classics)</v>
      </c>
      <c r="D74" s="15" t="str">
        <f>IFERROR(__xludf.DUMMYFUNCTION("""COMPUTED_VALUE"""),"Active")</f>
        <v>Active</v>
      </c>
      <c r="E74" s="17">
        <f>IFERROR(__xludf.DUMMYFUNCTION("""COMPUTED_VALUE"""),45643.0)</f>
        <v>45643</v>
      </c>
      <c r="F74" s="54"/>
      <c r="G74" s="19">
        <f>IFERROR(__xludf.DUMMYFUNCTION("""COMPUTED_VALUE"""),21.633333333333333)</f>
        <v>21.63333333</v>
      </c>
      <c r="H74" s="17">
        <f>IFERROR(__xludf.DUMMYFUNCTION("""COMPUTED_VALUE"""),38621.0)</f>
        <v>38621</v>
      </c>
      <c r="I74" s="19">
        <f>IFERROR(__xludf.DUMMYFUNCTION("""COMPUTED_VALUE"""),19.225)</f>
        <v>19.225</v>
      </c>
      <c r="J74" s="21">
        <f>IFERROR(__xludf.DUMMYFUNCTION("""COMPUTED_VALUE"""),83.0)</f>
        <v>83</v>
      </c>
      <c r="K74" s="23">
        <f>IFERROR(__xludf.DUMMYFUNCTION("""COMPUTED_VALUE"""),8.9)</f>
        <v>8.9</v>
      </c>
      <c r="L74" s="24">
        <f>IFERROR(__xludf.DUMMYFUNCTION("""COMPUTED_VALUE"""),13.0)</f>
        <v>13</v>
      </c>
      <c r="M74" s="25" t="str">
        <f>IFERROR(__xludf.DUMMYFUNCTION("""COMPUTED_VALUE"""),"Platformer")</f>
        <v>Platformer</v>
      </c>
      <c r="N74" s="25" t="str">
        <f>IFERROR(__xludf.DUMMYFUNCTION("""COMPUTED_VALUE"""),"PS2")</f>
        <v>PS2</v>
      </c>
      <c r="O74" s="26" t="str">
        <f>IFERROR(__xludf.DUMMYFUNCTION("""COMPUTED_VALUE"""),"Yes")</f>
        <v>Yes</v>
      </c>
      <c r="P74" s="26"/>
    </row>
    <row r="75">
      <c r="A75" s="13" t="str">
        <f>IFERROR(__xludf.DUMMYFUNCTION("""COMPUTED_VALUE"""),"TimeSplitters: Future Perfect")</f>
        <v>TimeSplitters: Future Perfect</v>
      </c>
      <c r="B75" s="15" t="str">
        <f>IFERROR(__xludf.DUMMYFUNCTION("""COMPUTED_VALUE"""),"PS5/PS4")</f>
        <v>PS5/PS4</v>
      </c>
      <c r="C75" s="16" t="str">
        <f>IFERROR(__xludf.DUMMYFUNCTION("""COMPUTED_VALUE"""),"Premium (Classics)")</f>
        <v>Premium (Classics)</v>
      </c>
      <c r="D75" s="15" t="str">
        <f>IFERROR(__xludf.DUMMYFUNCTION("""COMPUTED_VALUE"""),"Active")</f>
        <v>Active</v>
      </c>
      <c r="E75" s="17">
        <f>IFERROR(__xludf.DUMMYFUNCTION("""COMPUTED_VALUE"""),45524.0)</f>
        <v>45524</v>
      </c>
      <c r="F75" s="54"/>
      <c r="G75" s="19">
        <f>IFERROR(__xludf.DUMMYFUNCTION("""COMPUTED_VALUE"""),25.53333333333333)</f>
        <v>25.53333333</v>
      </c>
      <c r="H75" s="17">
        <f>IFERROR(__xludf.DUMMYFUNCTION("""COMPUTED_VALUE"""),38432.0)</f>
        <v>38432</v>
      </c>
      <c r="I75" s="19">
        <f>IFERROR(__xludf.DUMMYFUNCTION("""COMPUTED_VALUE"""),19.413888888888888)</f>
        <v>19.41388889</v>
      </c>
      <c r="J75" s="21">
        <f>IFERROR(__xludf.DUMMYFUNCTION("""COMPUTED_VALUE"""),83.0)</f>
        <v>83</v>
      </c>
      <c r="K75" s="23">
        <f>IFERROR(__xludf.DUMMYFUNCTION("""COMPUTED_VALUE"""),8.4)</f>
        <v>8.4</v>
      </c>
      <c r="L75" s="24">
        <f>IFERROR(__xludf.DUMMYFUNCTION("""COMPUTED_VALUE"""),7.0)</f>
        <v>7</v>
      </c>
      <c r="M75" s="25" t="str">
        <f>IFERROR(__xludf.DUMMYFUNCTION("""COMPUTED_VALUE"""),"Shooter")</f>
        <v>Shooter</v>
      </c>
      <c r="N75" s="25" t="str">
        <f>IFERROR(__xludf.DUMMYFUNCTION("""COMPUTED_VALUE"""),"PS2")</f>
        <v>PS2</v>
      </c>
      <c r="O75" s="26" t="str">
        <f>IFERROR(__xludf.DUMMYFUNCTION("""COMPUTED_VALUE"""),"Yes")</f>
        <v>Yes</v>
      </c>
      <c r="P75" s="26"/>
    </row>
    <row r="76">
      <c r="A76" s="13" t="str">
        <f>IFERROR(__xludf.DUMMYFUNCTION("""COMPUTED_VALUE"""),"DOOM")</f>
        <v>DOOM</v>
      </c>
      <c r="B76" s="15" t="str">
        <f>IFERROR(__xludf.DUMMYFUNCTION("""COMPUTED_VALUE"""),"PS4")</f>
        <v>PS4</v>
      </c>
      <c r="C76" s="16" t="str">
        <f>IFERROR(__xludf.DUMMYFUNCTION("""COMPUTED_VALUE"""),"Premium (Classics)")</f>
        <v>Premium (Classics)</v>
      </c>
      <c r="D76" s="15" t="str">
        <f>IFERROR(__xludf.DUMMYFUNCTION("""COMPUTED_VALUE"""),"Active")</f>
        <v>Active</v>
      </c>
      <c r="E76" s="17">
        <f>IFERROR(__xludf.DUMMYFUNCTION("""COMPUTED_VALUE"""),45034.0)</f>
        <v>45034</v>
      </c>
      <c r="F76" s="54"/>
      <c r="G76" s="19">
        <f>IFERROR(__xludf.DUMMYFUNCTION("""COMPUTED_VALUE"""),41.6)</f>
        <v>41.6</v>
      </c>
      <c r="H76" s="17">
        <f>IFERROR(__xludf.DUMMYFUNCTION("""COMPUTED_VALUE"""),34313.0)</f>
        <v>34313</v>
      </c>
      <c r="I76" s="19">
        <f>IFERROR(__xludf.DUMMYFUNCTION("""COMPUTED_VALUE"""),29.355555555555554)</f>
        <v>29.35555556</v>
      </c>
      <c r="J76" s="21">
        <f>IFERROR(__xludf.DUMMYFUNCTION("""COMPUTED_VALUE"""),83.0)</f>
        <v>83</v>
      </c>
      <c r="K76" s="23">
        <f>IFERROR(__xludf.DUMMYFUNCTION("""COMPUTED_VALUE"""),8.1)</f>
        <v>8.1</v>
      </c>
      <c r="L76" s="24">
        <f>IFERROR(__xludf.DUMMYFUNCTION("""COMPUTED_VALUE"""),5.0)</f>
        <v>5</v>
      </c>
      <c r="M76" s="25" t="str">
        <f>IFERROR(__xludf.DUMMYFUNCTION("""COMPUTED_VALUE"""),"Shooter")</f>
        <v>Shooter</v>
      </c>
      <c r="N76" s="25" t="str">
        <f>IFERROR(__xludf.DUMMYFUNCTION("""COMPUTED_VALUE"""),"PS1")</f>
        <v>PS1</v>
      </c>
      <c r="O76" s="26" t="str">
        <f>IFERROR(__xludf.DUMMYFUNCTION("""COMPUTED_VALUE"""),"Yes")</f>
        <v>Yes</v>
      </c>
      <c r="P76" s="26"/>
    </row>
    <row r="77">
      <c r="A77" s="13" t="str">
        <f>IFERROR(__xludf.DUMMYFUNCTION("""COMPUTED_VALUE"""),"DOOM II: Hell on Earth")</f>
        <v>DOOM II: Hell on Earth</v>
      </c>
      <c r="B77" s="15" t="str">
        <f>IFERROR(__xludf.DUMMYFUNCTION("""COMPUTED_VALUE"""),"PS4")</f>
        <v>PS4</v>
      </c>
      <c r="C77" s="16" t="str">
        <f>IFERROR(__xludf.DUMMYFUNCTION("""COMPUTED_VALUE"""),"Premium (Classics)")</f>
        <v>Premium (Classics)</v>
      </c>
      <c r="D77" s="15" t="str">
        <f>IFERROR(__xludf.DUMMYFUNCTION("""COMPUTED_VALUE"""),"Active")</f>
        <v>Active</v>
      </c>
      <c r="E77" s="17">
        <f>IFERROR(__xludf.DUMMYFUNCTION("""COMPUTED_VALUE"""),45034.0)</f>
        <v>45034</v>
      </c>
      <c r="F77" s="54"/>
      <c r="G77" s="19">
        <f>IFERROR(__xludf.DUMMYFUNCTION("""COMPUTED_VALUE"""),41.6)</f>
        <v>41.6</v>
      </c>
      <c r="H77" s="17">
        <f>IFERROR(__xludf.DUMMYFUNCTION("""COMPUTED_VALUE"""),34607.0)</f>
        <v>34607</v>
      </c>
      <c r="I77" s="19">
        <f>IFERROR(__xludf.DUMMYFUNCTION("""COMPUTED_VALUE"""),28.55)</f>
        <v>28.55</v>
      </c>
      <c r="J77" s="21">
        <f>IFERROR(__xludf.DUMMYFUNCTION("""COMPUTED_VALUE"""),83.0)</f>
        <v>83</v>
      </c>
      <c r="K77" s="23">
        <f>IFERROR(__xludf.DUMMYFUNCTION("""COMPUTED_VALUE"""),8.9)</f>
        <v>8.9</v>
      </c>
      <c r="L77" s="24">
        <f>IFERROR(__xludf.DUMMYFUNCTION("""COMPUTED_VALUE"""),7.0)</f>
        <v>7</v>
      </c>
      <c r="M77" s="25" t="str">
        <f>IFERROR(__xludf.DUMMYFUNCTION("""COMPUTED_VALUE"""),"Shooter")</f>
        <v>Shooter</v>
      </c>
      <c r="N77" s="25" t="str">
        <f>IFERROR(__xludf.DUMMYFUNCTION("""COMPUTED_VALUE"""),"PS1")</f>
        <v>PS1</v>
      </c>
      <c r="O77" s="26" t="str">
        <f>IFERROR(__xludf.DUMMYFUNCTION("""COMPUTED_VALUE"""),"Yes")</f>
        <v>Yes</v>
      </c>
      <c r="P77" s="26"/>
    </row>
    <row r="78">
      <c r="A78" s="13" t="str">
        <f>IFERROR(__xludf.DUMMYFUNCTION("""COMPUTED_VALUE"""),"Everyday Shooter")</f>
        <v>Everyday Shooter</v>
      </c>
      <c r="B78" s="15" t="str">
        <f>IFERROR(__xludf.DUMMYFUNCTION("""COMPUTED_VALUE"""),"PS5/PS4")</f>
        <v>PS5/PS4</v>
      </c>
      <c r="C78" s="16" t="str">
        <f>IFERROR(__xludf.DUMMYFUNCTION("""COMPUTED_VALUE"""),"Premium (Streaming Only)")</f>
        <v>Premium (Streaming Only)</v>
      </c>
      <c r="D78" s="15" t="str">
        <f>IFERROR(__xludf.DUMMYFUNCTION("""COMPUTED_VALUE"""),"Active")</f>
        <v>Active</v>
      </c>
      <c r="E78" s="17">
        <f>IFERROR(__xludf.DUMMYFUNCTION("""COMPUTED_VALUE"""),44852.0)</f>
        <v>44852</v>
      </c>
      <c r="F78" s="54"/>
      <c r="G78" s="19">
        <f>IFERROR(__xludf.DUMMYFUNCTION("""COMPUTED_VALUE"""),47.6)</f>
        <v>47.6</v>
      </c>
      <c r="H78" s="17">
        <f>IFERROR(__xludf.DUMMYFUNCTION("""COMPUTED_VALUE"""),38805.0)</f>
        <v>38805</v>
      </c>
      <c r="I78" s="19">
        <f>IFERROR(__xludf.DUMMYFUNCTION("""COMPUTED_VALUE"""),16.552777777777777)</f>
        <v>16.55277778</v>
      </c>
      <c r="J78" s="21">
        <f>IFERROR(__xludf.DUMMYFUNCTION("""COMPUTED_VALUE"""),83.0)</f>
        <v>83</v>
      </c>
      <c r="K78" s="23">
        <f>IFERROR(__xludf.DUMMYFUNCTION("""COMPUTED_VALUE"""),7.3)</f>
        <v>7.3</v>
      </c>
      <c r="L78" s="24">
        <f>IFERROR(__xludf.DUMMYFUNCTION("""COMPUTED_VALUE"""),7.0)</f>
        <v>7</v>
      </c>
      <c r="M78" s="25" t="str">
        <f>IFERROR(__xludf.DUMMYFUNCTION("""COMPUTED_VALUE"""),"Shooter")</f>
        <v>Shooter</v>
      </c>
      <c r="N78" s="25" t="str">
        <f>IFERROR(__xludf.DUMMYFUNCTION("""COMPUTED_VALUE"""),"PS3")</f>
        <v>PS3</v>
      </c>
      <c r="O78" s="26" t="str">
        <f>IFERROR(__xludf.DUMMYFUNCTION("""COMPUTED_VALUE"""),"Yes")</f>
        <v>Yes</v>
      </c>
      <c r="P78" s="26"/>
    </row>
    <row r="79">
      <c r="A79" s="13" t="str">
        <f>IFERROR(__xludf.DUMMYFUNCTION("""COMPUTED_VALUE"""),"Rogue Galaxy")</f>
        <v>Rogue Galaxy</v>
      </c>
      <c r="B79" s="15" t="str">
        <f>IFERROR(__xludf.DUMMYFUNCTION("""COMPUTED_VALUE"""),"PS4")</f>
        <v>PS4</v>
      </c>
      <c r="C79" s="16" t="str">
        <f>IFERROR(__xludf.DUMMYFUNCTION("""COMPUTED_VALUE"""),"Premium (Classics)")</f>
        <v>Premium (Classics)</v>
      </c>
      <c r="D79" s="15" t="str">
        <f>IFERROR(__xludf.DUMMYFUNCTION("""COMPUTED_VALUE"""),"Active")</f>
        <v>Active</v>
      </c>
      <c r="E79" s="17">
        <f>IFERROR(__xludf.DUMMYFUNCTION("""COMPUTED_VALUE"""),44725.0)</f>
        <v>44725</v>
      </c>
      <c r="F79" s="54"/>
      <c r="G79" s="19">
        <f>IFERROR(__xludf.DUMMYFUNCTION("""COMPUTED_VALUE"""),51.766666666666666)</f>
        <v>51.76666667</v>
      </c>
      <c r="H79" s="17">
        <f>IFERROR(__xludf.DUMMYFUNCTION("""COMPUTED_VALUE"""),38687.0)</f>
        <v>38687</v>
      </c>
      <c r="I79" s="19">
        <f>IFERROR(__xludf.DUMMYFUNCTION("""COMPUTED_VALUE"""),16.533333333333335)</f>
        <v>16.53333333</v>
      </c>
      <c r="J79" s="21">
        <f>IFERROR(__xludf.DUMMYFUNCTION("""COMPUTED_VALUE"""),83.0)</f>
        <v>83</v>
      </c>
      <c r="K79" s="23">
        <f>IFERROR(__xludf.DUMMYFUNCTION("""COMPUTED_VALUE"""),8.2)</f>
        <v>8.2</v>
      </c>
      <c r="L79" s="24">
        <f>IFERROR(__xludf.DUMMYFUNCTION("""COMPUTED_VALUE"""),40.0)</f>
        <v>40</v>
      </c>
      <c r="M79" s="25" t="str">
        <f>IFERROR(__xludf.DUMMYFUNCTION("""COMPUTED_VALUE"""),"RPG")</f>
        <v>RPG</v>
      </c>
      <c r="N79" s="25" t="str">
        <f>IFERROR(__xludf.DUMMYFUNCTION("""COMPUTED_VALUE"""),"PS2")</f>
        <v>PS2</v>
      </c>
      <c r="O79" s="26" t="str">
        <f>IFERROR(__xludf.DUMMYFUNCTION("""COMPUTED_VALUE"""),"Yes")</f>
        <v>Yes</v>
      </c>
      <c r="P79" s="26" t="str">
        <f>IFERROR(__xludf.DUMMYFUNCTION("""COMPUTED_VALUE"""),"")</f>
        <v/>
      </c>
    </row>
    <row r="80">
      <c r="A80" s="13" t="str">
        <f>IFERROR(__xludf.DUMMYFUNCTION("""COMPUTED_VALUE"""),"MotorStorm RC: Complete Edition")</f>
        <v>MotorStorm RC: Complete Edition</v>
      </c>
      <c r="B80" s="15" t="str">
        <f>IFERROR(__xludf.DUMMYFUNCTION("""COMPUTED_VALUE"""),"PS5/PS4")</f>
        <v>PS5/PS4</v>
      </c>
      <c r="C80" s="16" t="str">
        <f>IFERROR(__xludf.DUMMYFUNCTION("""COMPUTED_VALUE"""),"Premium (Streaming Only)")</f>
        <v>Premium (Streaming Only)</v>
      </c>
      <c r="D80" s="15" t="str">
        <f>IFERROR(__xludf.DUMMYFUNCTION("""COMPUTED_VALUE"""),"Active")</f>
        <v>Active</v>
      </c>
      <c r="E80" s="17">
        <f>IFERROR(__xludf.DUMMYFUNCTION("""COMPUTED_VALUE"""),42556.0)</f>
        <v>42556</v>
      </c>
      <c r="F80" s="54"/>
      <c r="G80" s="19">
        <f>IFERROR(__xludf.DUMMYFUNCTION("""COMPUTED_VALUE"""),123.03333333333333)</f>
        <v>123.0333333</v>
      </c>
      <c r="H80" s="17">
        <f>IFERROR(__xludf.DUMMYFUNCTION("""COMPUTED_VALUE"""),40969.0)</f>
        <v>40969</v>
      </c>
      <c r="I80" s="19">
        <f>IFERROR(__xludf.DUMMYFUNCTION("""COMPUTED_VALUE"""),4.344444444444444)</f>
        <v>4.344444444</v>
      </c>
      <c r="J80" s="21">
        <f>IFERROR(__xludf.DUMMYFUNCTION("""COMPUTED_VALUE"""),83.0)</f>
        <v>83</v>
      </c>
      <c r="K80" s="23">
        <f>IFERROR(__xludf.DUMMYFUNCTION("""COMPUTED_VALUE"""),7.5)</f>
        <v>7.5</v>
      </c>
      <c r="L80" s="24">
        <f>IFERROR(__xludf.DUMMYFUNCTION("""COMPUTED_VALUE"""),5.0)</f>
        <v>5</v>
      </c>
      <c r="M80" s="25" t="str">
        <f>IFERROR(__xludf.DUMMYFUNCTION("""COMPUTED_VALUE"""),"Racing")</f>
        <v>Racing</v>
      </c>
      <c r="N80" s="25" t="str">
        <f>IFERROR(__xludf.DUMMYFUNCTION("""COMPUTED_VALUE"""),"PS3")</f>
        <v>PS3</v>
      </c>
      <c r="O80" s="26" t="str">
        <f>IFERROR(__xludf.DUMMYFUNCTION("""COMPUTED_VALUE"""),"Yes")</f>
        <v>Yes</v>
      </c>
      <c r="P80" s="26" t="str">
        <f>IFERROR(__xludf.DUMMYFUNCTION("""COMPUTED_VALUE"""),"")</f>
        <v/>
      </c>
    </row>
    <row r="81">
      <c r="A81" s="13" t="str">
        <f>IFERROR(__xludf.DUMMYFUNCTION("""COMPUTED_VALUE"""),"NINJA GAIDEN SIGMA 2")</f>
        <v>NINJA GAIDEN SIGMA 2</v>
      </c>
      <c r="B81" s="15" t="str">
        <f>IFERROR(__xludf.DUMMYFUNCTION("""COMPUTED_VALUE"""),"PS5/PS4")</f>
        <v>PS5/PS4</v>
      </c>
      <c r="C81" s="16" t="str">
        <f>IFERROR(__xludf.DUMMYFUNCTION("""COMPUTED_VALUE"""),"Premium (Streaming Only)")</f>
        <v>Premium (Streaming Only)</v>
      </c>
      <c r="D81" s="15" t="str">
        <f>IFERROR(__xludf.DUMMYFUNCTION("""COMPUTED_VALUE"""),"Active")</f>
        <v>Active</v>
      </c>
      <c r="E81" s="17">
        <f>IFERROR(__xludf.DUMMYFUNCTION("""COMPUTED_VALUE"""),42374.0)</f>
        <v>42374</v>
      </c>
      <c r="F81" s="54"/>
      <c r="G81" s="19">
        <f>IFERROR(__xludf.DUMMYFUNCTION("""COMPUTED_VALUE"""),129.03333333333333)</f>
        <v>129.0333333</v>
      </c>
      <c r="H81" s="17">
        <f>IFERROR(__xludf.DUMMYFUNCTION("""COMPUTED_VALUE"""),40057.0)</f>
        <v>40057</v>
      </c>
      <c r="I81" s="19">
        <f>IFERROR(__xludf.DUMMYFUNCTION("""COMPUTED_VALUE"""),6.344444444444444)</f>
        <v>6.344444444</v>
      </c>
      <c r="J81" s="21">
        <f>IFERROR(__xludf.DUMMYFUNCTION("""COMPUTED_VALUE"""),83.0)</f>
        <v>83</v>
      </c>
      <c r="K81" s="23">
        <f>IFERROR(__xludf.DUMMYFUNCTION("""COMPUTED_VALUE"""),8.4)</f>
        <v>8.4</v>
      </c>
      <c r="L81" s="24">
        <f>IFERROR(__xludf.DUMMYFUNCTION("""COMPUTED_VALUE"""),15.0)</f>
        <v>15</v>
      </c>
      <c r="M81" s="25" t="str">
        <f>IFERROR(__xludf.DUMMYFUNCTION("""COMPUTED_VALUE"""),"Action-Adventure")</f>
        <v>Action-Adventure</v>
      </c>
      <c r="N81" s="25" t="str">
        <f>IFERROR(__xludf.DUMMYFUNCTION("""COMPUTED_VALUE"""),"PS3")</f>
        <v>PS3</v>
      </c>
      <c r="O81" s="26" t="str">
        <f>IFERROR(__xludf.DUMMYFUNCTION("""COMPUTED_VALUE"""),"Yes")</f>
        <v>Yes</v>
      </c>
      <c r="P81" s="26" t="str">
        <f>IFERROR(__xludf.DUMMYFUNCTION("""COMPUTED_VALUE"""),"")</f>
        <v/>
      </c>
    </row>
    <row r="82">
      <c r="A82" s="13" t="str">
        <f>IFERROR(__xludf.DUMMYFUNCTION("""COMPUTED_VALUE"""),"PixelJunk Monsters")</f>
        <v>PixelJunk Monsters</v>
      </c>
      <c r="B82" s="15" t="str">
        <f>IFERROR(__xludf.DUMMYFUNCTION("""COMPUTED_VALUE"""),"PS5/PS4")</f>
        <v>PS5/PS4</v>
      </c>
      <c r="C82" s="16" t="str">
        <f>IFERROR(__xludf.DUMMYFUNCTION("""COMPUTED_VALUE"""),"Premium (Streaming Only)")</f>
        <v>Premium (Streaming Only)</v>
      </c>
      <c r="D82" s="15" t="str">
        <f>IFERROR(__xludf.DUMMYFUNCTION("""COMPUTED_VALUE"""),"Active")</f>
        <v>Active</v>
      </c>
      <c r="E82" s="17">
        <f>IFERROR(__xludf.DUMMYFUNCTION("""COMPUTED_VALUE"""),42374.0)</f>
        <v>42374</v>
      </c>
      <c r="F82" s="54"/>
      <c r="G82" s="19">
        <f>IFERROR(__xludf.DUMMYFUNCTION("""COMPUTED_VALUE"""),129.03333333333333)</f>
        <v>129.0333333</v>
      </c>
      <c r="H82" s="17">
        <f>IFERROR(__xludf.DUMMYFUNCTION("""COMPUTED_VALUE"""),39448.0)</f>
        <v>39448</v>
      </c>
      <c r="I82" s="19">
        <f>IFERROR(__xludf.DUMMYFUNCTION("""COMPUTED_VALUE"""),8.011111111111111)</f>
        <v>8.011111111</v>
      </c>
      <c r="J82" s="21">
        <f>IFERROR(__xludf.DUMMYFUNCTION("""COMPUTED_VALUE"""),83.0)</f>
        <v>83</v>
      </c>
      <c r="K82" s="23">
        <f>IFERROR(__xludf.DUMMYFUNCTION("""COMPUTED_VALUE"""),7.8)</f>
        <v>7.8</v>
      </c>
      <c r="L82" s="24">
        <f>IFERROR(__xludf.DUMMYFUNCTION("""COMPUTED_VALUE"""),8.0)</f>
        <v>8</v>
      </c>
      <c r="M82" s="25" t="str">
        <f>IFERROR(__xludf.DUMMYFUNCTION("""COMPUTED_VALUE"""),"Strategy")</f>
        <v>Strategy</v>
      </c>
      <c r="N82" s="25" t="str">
        <f>IFERROR(__xludf.DUMMYFUNCTION("""COMPUTED_VALUE"""),"PS3")</f>
        <v>PS3</v>
      </c>
      <c r="O82" s="26" t="str">
        <f>IFERROR(__xludf.DUMMYFUNCTION("""COMPUTED_VALUE"""),"Yes")</f>
        <v>Yes</v>
      </c>
      <c r="P82" s="26" t="str">
        <f>IFERROR(__xludf.DUMMYFUNCTION("""COMPUTED_VALUE"""),"")</f>
        <v/>
      </c>
    </row>
    <row r="83">
      <c r="A83" s="13" t="str">
        <f>IFERROR(__xludf.DUMMYFUNCTION("""COMPUTED_VALUE"""),"Resistance 3")</f>
        <v>Resistance 3</v>
      </c>
      <c r="B83" s="15" t="str">
        <f>IFERROR(__xludf.DUMMYFUNCTION("""COMPUTED_VALUE"""),"PS5/PS4")</f>
        <v>PS5/PS4</v>
      </c>
      <c r="C83" s="16" t="str">
        <f>IFERROR(__xludf.DUMMYFUNCTION("""COMPUTED_VALUE"""),"Premium (Streaming Only)")</f>
        <v>Premium (Streaming Only)</v>
      </c>
      <c r="D83" s="15" t="str">
        <f>IFERROR(__xludf.DUMMYFUNCTION("""COMPUTED_VALUE"""),"Active")</f>
        <v>Active</v>
      </c>
      <c r="E83" s="17">
        <f>IFERROR(__xludf.DUMMYFUNCTION("""COMPUTED_VALUE"""),42374.0)</f>
        <v>42374</v>
      </c>
      <c r="F83" s="54"/>
      <c r="G83" s="19">
        <f>IFERROR(__xludf.DUMMYFUNCTION("""COMPUTED_VALUE"""),129.03333333333333)</f>
        <v>129.0333333</v>
      </c>
      <c r="H83" s="17">
        <f>IFERROR(__xludf.DUMMYFUNCTION("""COMPUTED_VALUE"""),40787.0)</f>
        <v>40787</v>
      </c>
      <c r="I83" s="19">
        <f>IFERROR(__xludf.DUMMYFUNCTION("""COMPUTED_VALUE"""),4.344444444444444)</f>
        <v>4.344444444</v>
      </c>
      <c r="J83" s="21">
        <f>IFERROR(__xludf.DUMMYFUNCTION("""COMPUTED_VALUE"""),83.0)</f>
        <v>83</v>
      </c>
      <c r="K83" s="23">
        <f>IFERROR(__xludf.DUMMYFUNCTION("""COMPUTED_VALUE"""),7.9)</f>
        <v>7.9</v>
      </c>
      <c r="L83" s="24">
        <f>IFERROR(__xludf.DUMMYFUNCTION("""COMPUTED_VALUE"""),8.0)</f>
        <v>8</v>
      </c>
      <c r="M83" s="25" t="str">
        <f>IFERROR(__xludf.DUMMYFUNCTION("""COMPUTED_VALUE"""),"Shooter")</f>
        <v>Shooter</v>
      </c>
      <c r="N83" s="25" t="str">
        <f>IFERROR(__xludf.DUMMYFUNCTION("""COMPUTED_VALUE"""),"PS3")</f>
        <v>PS3</v>
      </c>
      <c r="O83" s="26" t="str">
        <f>IFERROR(__xludf.DUMMYFUNCTION("""COMPUTED_VALUE"""),"Yes")</f>
        <v>Yes</v>
      </c>
      <c r="P83" s="26" t="str">
        <f>IFERROR(__xludf.DUMMYFUNCTION("""COMPUTED_VALUE"""),"")</f>
        <v/>
      </c>
    </row>
    <row r="84">
      <c r="A84" s="13" t="str">
        <f>IFERROR(__xludf.DUMMYFUNCTION("""COMPUTED_VALUE"""),"inFAMOUS 2")</f>
        <v>inFAMOUS 2</v>
      </c>
      <c r="B84" s="15" t="str">
        <f>IFERROR(__xludf.DUMMYFUNCTION("""COMPUTED_VALUE"""),"PS5/PS4")</f>
        <v>PS5/PS4</v>
      </c>
      <c r="C84" s="16" t="str">
        <f>IFERROR(__xludf.DUMMYFUNCTION("""COMPUTED_VALUE"""),"Premium (Streaming Only)")</f>
        <v>Premium (Streaming Only)</v>
      </c>
      <c r="D84" s="15" t="str">
        <f>IFERROR(__xludf.DUMMYFUNCTION("""COMPUTED_VALUE"""),"Active")</f>
        <v>Active</v>
      </c>
      <c r="E84" s="17">
        <f>IFERROR(__xludf.DUMMYFUNCTION("""COMPUTED_VALUE"""),42017.0)</f>
        <v>42017</v>
      </c>
      <c r="F84" s="54"/>
      <c r="G84" s="19">
        <f>IFERROR(__xludf.DUMMYFUNCTION("""COMPUTED_VALUE"""),140.76666666666668)</f>
        <v>140.7666667</v>
      </c>
      <c r="H84" s="17">
        <f>IFERROR(__xludf.DUMMYFUNCTION("""COMPUTED_VALUE"""),40695.0)</f>
        <v>40695</v>
      </c>
      <c r="I84" s="19">
        <f>IFERROR(__xludf.DUMMYFUNCTION("""COMPUTED_VALUE"""),3.6166666666666667)</f>
        <v>3.616666667</v>
      </c>
      <c r="J84" s="21">
        <f>IFERROR(__xludf.DUMMYFUNCTION("""COMPUTED_VALUE"""),83.0)</f>
        <v>83</v>
      </c>
      <c r="K84" s="23">
        <f>IFERROR(__xludf.DUMMYFUNCTION("""COMPUTED_VALUE"""),8.3)</f>
        <v>8.3</v>
      </c>
      <c r="L84" s="24">
        <f>IFERROR(__xludf.DUMMYFUNCTION("""COMPUTED_VALUE"""),12.0)</f>
        <v>12</v>
      </c>
      <c r="M84" s="25" t="str">
        <f>IFERROR(__xludf.DUMMYFUNCTION("""COMPUTED_VALUE"""),"Action-Adventure")</f>
        <v>Action-Adventure</v>
      </c>
      <c r="N84" s="25" t="str">
        <f>IFERROR(__xludf.DUMMYFUNCTION("""COMPUTED_VALUE"""),"PS3")</f>
        <v>PS3</v>
      </c>
      <c r="O84" s="26" t="str">
        <f>IFERROR(__xludf.DUMMYFUNCTION("""COMPUTED_VALUE"""),"Yes")</f>
        <v>Yes</v>
      </c>
      <c r="P84" s="26" t="str">
        <f>IFERROR(__xludf.DUMMYFUNCTION("""COMPUTED_VALUE"""),"")</f>
        <v/>
      </c>
    </row>
    <row r="85">
      <c r="A85" s="13" t="str">
        <f>IFERROR(__xludf.DUMMYFUNCTION("""COMPUTED_VALUE"""),"DOOM + DOOM II: Enhanced")</f>
        <v>DOOM + DOOM II: Enhanced</v>
      </c>
      <c r="B85" s="15" t="str">
        <f>IFERROR(__xludf.DUMMYFUNCTION("""COMPUTED_VALUE"""),"PS4")</f>
        <v>PS4</v>
      </c>
      <c r="C85" s="16" t="str">
        <f>IFERROR(__xludf.DUMMYFUNCTION("""COMPUTED_VALUE"""),"Premium (Remasters)")</f>
        <v>Premium (Remasters)</v>
      </c>
      <c r="D85" s="15" t="str">
        <f>IFERROR(__xludf.DUMMYFUNCTION("""COMPUTED_VALUE"""),"Active")</f>
        <v>Active</v>
      </c>
      <c r="E85" s="17">
        <f>IFERROR(__xludf.DUMMYFUNCTION("""COMPUTED_VALUE"""),45538.0)</f>
        <v>45538</v>
      </c>
      <c r="F85" s="54"/>
      <c r="G85" s="19">
        <f>IFERROR(__xludf.DUMMYFUNCTION("""COMPUTED_VALUE"""),25.1)</f>
        <v>25.1</v>
      </c>
      <c r="H85" s="17">
        <f>IFERROR(__xludf.DUMMYFUNCTION("""COMPUTED_VALUE"""),45512.0)</f>
        <v>45512</v>
      </c>
      <c r="I85" s="19">
        <f>IFERROR(__xludf.DUMMYFUNCTION("""COMPUTED_VALUE"""),0.06944444444444445)</f>
        <v>0.06944444444</v>
      </c>
      <c r="J85" s="21">
        <f>IFERROR(__xludf.DUMMYFUNCTION("""COMPUTED_VALUE"""),82.0)</f>
        <v>82</v>
      </c>
      <c r="K85" s="23">
        <f>IFERROR(__xludf.DUMMYFUNCTION("""COMPUTED_VALUE"""),9.5)</f>
        <v>9.5</v>
      </c>
      <c r="L85" s="24">
        <f>IFERROR(__xludf.DUMMYFUNCTION("""COMPUTED_VALUE"""),12.0)</f>
        <v>12</v>
      </c>
      <c r="M85" s="25" t="str">
        <f>IFERROR(__xludf.DUMMYFUNCTION("""COMPUTED_VALUE"""),"Shooter")</f>
        <v>Shooter</v>
      </c>
      <c r="N85" s="25" t="str">
        <f>IFERROR(__xludf.DUMMYFUNCTION("""COMPUTED_VALUE"""),"MS-DOS")</f>
        <v>MS-DOS</v>
      </c>
      <c r="O85" s="26" t="str">
        <f>IFERROR(__xludf.DUMMYFUNCTION("""COMPUTED_VALUE"""),"No")</f>
        <v>No</v>
      </c>
      <c r="P85" s="26"/>
    </row>
    <row r="86">
      <c r="A86" s="13" t="str">
        <f>IFERROR(__xludf.DUMMYFUNCTION("""COMPUTED_VALUE"""),"Tekken 6")</f>
        <v>Tekken 6</v>
      </c>
      <c r="B86" s="15" t="str">
        <f>IFERROR(__xludf.DUMMYFUNCTION("""COMPUTED_VALUE"""),"PS5/PS4")</f>
        <v>PS5/PS4</v>
      </c>
      <c r="C86" s="16" t="str">
        <f>IFERROR(__xludf.DUMMYFUNCTION("""COMPUTED_VALUE"""),"Premium (Classics)")</f>
        <v>Premium (Classics)</v>
      </c>
      <c r="D86" s="15" t="str">
        <f>IFERROR(__xludf.DUMMYFUNCTION("""COMPUTED_VALUE"""),"Active")</f>
        <v>Active</v>
      </c>
      <c r="E86" s="17">
        <f>IFERROR(__xludf.DUMMYFUNCTION("""COMPUTED_VALUE"""),45216.0)</f>
        <v>45216</v>
      </c>
      <c r="F86" s="54"/>
      <c r="G86" s="19">
        <f>IFERROR(__xludf.DUMMYFUNCTION("""COMPUTED_VALUE"""),35.63333333333333)</f>
        <v>35.63333333</v>
      </c>
      <c r="H86" s="17">
        <f>IFERROR(__xludf.DUMMYFUNCTION("""COMPUTED_VALUE"""),40113.0)</f>
        <v>40113</v>
      </c>
      <c r="I86" s="19">
        <f>IFERROR(__xludf.DUMMYFUNCTION("""COMPUTED_VALUE"""),13.972222222222221)</f>
        <v>13.97222222</v>
      </c>
      <c r="J86" s="21">
        <f>IFERROR(__xludf.DUMMYFUNCTION("""COMPUTED_VALUE"""),82.0)</f>
        <v>82</v>
      </c>
      <c r="K86" s="23">
        <f>IFERROR(__xludf.DUMMYFUNCTION("""COMPUTED_VALUE"""),7.5)</f>
        <v>7.5</v>
      </c>
      <c r="L86" s="24">
        <f>IFERROR(__xludf.DUMMYFUNCTION("""COMPUTED_VALUE"""),8.0)</f>
        <v>8</v>
      </c>
      <c r="M86" s="25" t="str">
        <f>IFERROR(__xludf.DUMMYFUNCTION("""COMPUTED_VALUE"""),"Fighting")</f>
        <v>Fighting</v>
      </c>
      <c r="N86" s="25" t="str">
        <f>IFERROR(__xludf.DUMMYFUNCTION("""COMPUTED_VALUE"""),"PSP")</f>
        <v>PSP</v>
      </c>
      <c r="O86" s="26" t="str">
        <f>IFERROR(__xludf.DUMMYFUNCTION("""COMPUTED_VALUE"""),"Yes")</f>
        <v>Yes</v>
      </c>
      <c r="P86" s="26"/>
    </row>
    <row r="87">
      <c r="A87" s="13" t="str">
        <f>IFERROR(__xludf.DUMMYFUNCTION("""COMPUTED_VALUE"""),"Harvest Moon: Back to Nature")</f>
        <v>Harvest Moon: Back to Nature</v>
      </c>
      <c r="B87" s="15" t="str">
        <f>IFERROR(__xludf.DUMMYFUNCTION("""COMPUTED_VALUE"""),"PS5/PS4")</f>
        <v>PS5/PS4</v>
      </c>
      <c r="C87" s="16" t="str">
        <f>IFERROR(__xludf.DUMMYFUNCTION("""COMPUTED_VALUE"""),"Premium (Classics)")</f>
        <v>Premium (Classics)</v>
      </c>
      <c r="D87" s="15" t="str">
        <f>IFERROR(__xludf.DUMMYFUNCTION("""COMPUTED_VALUE"""),"Active")</f>
        <v>Active</v>
      </c>
      <c r="E87" s="17">
        <f>IFERROR(__xludf.DUMMYFUNCTION("""COMPUTED_VALUE"""),44978.0)</f>
        <v>44978</v>
      </c>
      <c r="F87" s="54"/>
      <c r="G87" s="19">
        <f>IFERROR(__xludf.DUMMYFUNCTION("""COMPUTED_VALUE"""),43.5)</f>
        <v>43.5</v>
      </c>
      <c r="H87" s="17">
        <f>IFERROR(__xludf.DUMMYFUNCTION("""COMPUTED_VALUE"""),36852.0)</f>
        <v>36852</v>
      </c>
      <c r="I87" s="19">
        <f>IFERROR(__xludf.DUMMYFUNCTION("""COMPUTED_VALUE"""),22.247222222222224)</f>
        <v>22.24722222</v>
      </c>
      <c r="J87" s="21">
        <f>IFERROR(__xludf.DUMMYFUNCTION("""COMPUTED_VALUE"""),82.0)</f>
        <v>82</v>
      </c>
      <c r="K87" s="23">
        <f>IFERROR(__xludf.DUMMYFUNCTION("""COMPUTED_VALUE"""),8.8)</f>
        <v>8.8</v>
      </c>
      <c r="L87" s="24">
        <f>IFERROR(__xludf.DUMMYFUNCTION("""COMPUTED_VALUE"""),86.0)</f>
        <v>86</v>
      </c>
      <c r="M87" s="25" t="str">
        <f>IFERROR(__xludf.DUMMYFUNCTION("""COMPUTED_VALUE"""),"Strategy")</f>
        <v>Strategy</v>
      </c>
      <c r="N87" s="25" t="str">
        <f>IFERROR(__xludf.DUMMYFUNCTION("""COMPUTED_VALUE"""),"PS1")</f>
        <v>PS1</v>
      </c>
      <c r="O87" s="26" t="str">
        <f>IFERROR(__xludf.DUMMYFUNCTION("""COMPUTED_VALUE"""),"Yes")</f>
        <v>Yes</v>
      </c>
      <c r="P87" s="26"/>
    </row>
    <row r="88">
      <c r="A88" s="13" t="str">
        <f>IFERROR(__xludf.DUMMYFUNCTION("""COMPUTED_VALUE"""),"Hot Shots Golf")</f>
        <v>Hot Shots Golf</v>
      </c>
      <c r="B88" s="15" t="str">
        <f>IFERROR(__xludf.DUMMYFUNCTION("""COMPUTED_VALUE"""),"PS5/PS4")</f>
        <v>PS5/PS4</v>
      </c>
      <c r="C88" s="16" t="str">
        <f>IFERROR(__xludf.DUMMYFUNCTION("""COMPUTED_VALUE"""),"Premium (Classics)")</f>
        <v>Premium (Classics)</v>
      </c>
      <c r="D88" s="15" t="str">
        <f>IFERROR(__xludf.DUMMYFUNCTION("""COMPUTED_VALUE"""),"Active")</f>
        <v>Active</v>
      </c>
      <c r="E88" s="17">
        <f>IFERROR(__xludf.DUMMYFUNCTION("""COMPUTED_VALUE"""),44725.0)</f>
        <v>44725</v>
      </c>
      <c r="F88" s="54"/>
      <c r="G88" s="19">
        <f>IFERROR(__xludf.DUMMYFUNCTION("""COMPUTED_VALUE"""),51.766666666666666)</f>
        <v>51.76666667</v>
      </c>
      <c r="H88" s="17">
        <f>IFERROR(__xludf.DUMMYFUNCTION("""COMPUTED_VALUE"""),36007.0)</f>
        <v>36007</v>
      </c>
      <c r="I88" s="19">
        <f>IFERROR(__xludf.DUMMYFUNCTION("""COMPUTED_VALUE"""),23.869444444444444)</f>
        <v>23.86944444</v>
      </c>
      <c r="J88" s="21">
        <f>IFERROR(__xludf.DUMMYFUNCTION("""COMPUTED_VALUE"""),82.0)</f>
        <v>82</v>
      </c>
      <c r="K88" s="23">
        <f>IFERROR(__xludf.DUMMYFUNCTION("""COMPUTED_VALUE"""),8.6)</f>
        <v>8.6</v>
      </c>
      <c r="L88" s="24"/>
      <c r="M88" s="25" t="str">
        <f>IFERROR(__xludf.DUMMYFUNCTION("""COMPUTED_VALUE"""),"Sports")</f>
        <v>Sports</v>
      </c>
      <c r="N88" s="25" t="str">
        <f>IFERROR(__xludf.DUMMYFUNCTION("""COMPUTED_VALUE"""),"PS1")</f>
        <v>PS1</v>
      </c>
      <c r="O88" s="26" t="str">
        <f>IFERROR(__xludf.DUMMYFUNCTION("""COMPUTED_VALUE"""),"Yes")</f>
        <v>Yes</v>
      </c>
      <c r="P88" s="26" t="str">
        <f>IFERROR(__xludf.DUMMYFUNCTION("""COMPUTED_VALUE"""),"")</f>
        <v/>
      </c>
    </row>
    <row r="89">
      <c r="A89" s="13" t="str">
        <f>IFERROR(__xludf.DUMMYFUNCTION("""COMPUTED_VALUE"""),"Ape Escape 2")</f>
        <v>Ape Escape 2</v>
      </c>
      <c r="B89" s="15" t="str">
        <f>IFERROR(__xludf.DUMMYFUNCTION("""COMPUTED_VALUE"""),"PS4")</f>
        <v>PS4</v>
      </c>
      <c r="C89" s="16" t="str">
        <f>IFERROR(__xludf.DUMMYFUNCTION("""COMPUTED_VALUE"""),"Premium (Classics)")</f>
        <v>Premium (Classics)</v>
      </c>
      <c r="D89" s="15" t="str">
        <f>IFERROR(__xludf.DUMMYFUNCTION("""COMPUTED_VALUE"""),"Active")</f>
        <v>Active</v>
      </c>
      <c r="E89" s="17">
        <f>IFERROR(__xludf.DUMMYFUNCTION("""COMPUTED_VALUE"""),44725.0)</f>
        <v>44725</v>
      </c>
      <c r="F89" s="54"/>
      <c r="G89" s="19">
        <f>IFERROR(__xludf.DUMMYFUNCTION("""COMPUTED_VALUE"""),51.766666666666666)</f>
        <v>51.76666667</v>
      </c>
      <c r="H89" s="17">
        <f>IFERROR(__xludf.DUMMYFUNCTION("""COMPUTED_VALUE"""),37803.0)</f>
        <v>37803</v>
      </c>
      <c r="I89" s="19">
        <f>IFERROR(__xludf.DUMMYFUNCTION("""COMPUTED_VALUE"""),18.95)</f>
        <v>18.95</v>
      </c>
      <c r="J89" s="21">
        <f>IFERROR(__xludf.DUMMYFUNCTION("""COMPUTED_VALUE"""),82.0)</f>
        <v>82</v>
      </c>
      <c r="K89" s="23">
        <f>IFERROR(__xludf.DUMMYFUNCTION("""COMPUTED_VALUE"""),8.2)</f>
        <v>8.2</v>
      </c>
      <c r="L89" s="24">
        <f>IFERROR(__xludf.DUMMYFUNCTION("""COMPUTED_VALUE"""),10.0)</f>
        <v>10</v>
      </c>
      <c r="M89" s="25" t="str">
        <f>IFERROR(__xludf.DUMMYFUNCTION("""COMPUTED_VALUE"""),"Platformer")</f>
        <v>Platformer</v>
      </c>
      <c r="N89" s="25" t="str">
        <f>IFERROR(__xludf.DUMMYFUNCTION("""COMPUTED_VALUE"""),"PS2")</f>
        <v>PS2</v>
      </c>
      <c r="O89" s="26" t="str">
        <f>IFERROR(__xludf.DUMMYFUNCTION("""COMPUTED_VALUE"""),"Yes")</f>
        <v>Yes</v>
      </c>
      <c r="P89" s="26" t="str">
        <f>IFERROR(__xludf.DUMMYFUNCTION("""COMPUTED_VALUE"""),"")</f>
        <v/>
      </c>
    </row>
    <row r="90">
      <c r="A90" s="13" t="str">
        <f>IFERROR(__xludf.DUMMYFUNCTION("""COMPUTED_VALUE"""),"Fallout: New Vegas")</f>
        <v>Fallout: New Vegas</v>
      </c>
      <c r="B90" s="15" t="str">
        <f>IFERROR(__xludf.DUMMYFUNCTION("""COMPUTED_VALUE"""),"PS5/PS4")</f>
        <v>PS5/PS4</v>
      </c>
      <c r="C90" s="16" t="str">
        <f>IFERROR(__xludf.DUMMYFUNCTION("""COMPUTED_VALUE"""),"Premium (Streaming Only)")</f>
        <v>Premium (Streaming Only)</v>
      </c>
      <c r="D90" s="15" t="str">
        <f>IFERROR(__xludf.DUMMYFUNCTION("""COMPUTED_VALUE"""),"Active")</f>
        <v>Active</v>
      </c>
      <c r="E90" s="17">
        <f>IFERROR(__xludf.DUMMYFUNCTION("""COMPUTED_VALUE"""),42983.0)</f>
        <v>42983</v>
      </c>
      <c r="F90" s="54"/>
      <c r="G90" s="19">
        <f>IFERROR(__xludf.DUMMYFUNCTION("""COMPUTED_VALUE"""),109.03333333333333)</f>
        <v>109.0333333</v>
      </c>
      <c r="H90" s="17">
        <f>IFERROR(__xludf.DUMMYFUNCTION("""COMPUTED_VALUE"""),40452.0)</f>
        <v>40452</v>
      </c>
      <c r="I90" s="19">
        <f>IFERROR(__xludf.DUMMYFUNCTION("""COMPUTED_VALUE"""),6.927777777777778)</f>
        <v>6.927777778</v>
      </c>
      <c r="J90" s="21">
        <f>IFERROR(__xludf.DUMMYFUNCTION("""COMPUTED_VALUE"""),82.0)</f>
        <v>82</v>
      </c>
      <c r="K90" s="23">
        <f>IFERROR(__xludf.DUMMYFUNCTION("""COMPUTED_VALUE"""),8.0)</f>
        <v>8</v>
      </c>
      <c r="L90" s="24">
        <f>IFERROR(__xludf.DUMMYFUNCTION("""COMPUTED_VALUE"""),27.0)</f>
        <v>27</v>
      </c>
      <c r="M90" s="25" t="str">
        <f>IFERROR(__xludf.DUMMYFUNCTION("""COMPUTED_VALUE"""),"RPG")</f>
        <v>RPG</v>
      </c>
      <c r="N90" s="25" t="str">
        <f>IFERROR(__xludf.DUMMYFUNCTION("""COMPUTED_VALUE"""),"PS3")</f>
        <v>PS3</v>
      </c>
      <c r="O90" s="26" t="str">
        <f>IFERROR(__xludf.DUMMYFUNCTION("""COMPUTED_VALUE"""),"Yes")</f>
        <v>Yes</v>
      </c>
      <c r="P90" s="26" t="str">
        <f>IFERROR(__xludf.DUMMYFUNCTION("""COMPUTED_VALUE"""),"")</f>
        <v/>
      </c>
    </row>
    <row r="91">
      <c r="A91" s="13" t="str">
        <f>IFERROR(__xludf.DUMMYFUNCTION("""COMPUTED_VALUE"""),"Joe Danger 2: The Movie")</f>
        <v>Joe Danger 2: The Movie</v>
      </c>
      <c r="B91" s="15" t="str">
        <f>IFERROR(__xludf.DUMMYFUNCTION("""COMPUTED_VALUE"""),"PS5/PS4")</f>
        <v>PS5/PS4</v>
      </c>
      <c r="C91" s="16" t="str">
        <f>IFERROR(__xludf.DUMMYFUNCTION("""COMPUTED_VALUE"""),"Premium (Streaming Only)")</f>
        <v>Premium (Streaming Only)</v>
      </c>
      <c r="D91" s="15" t="str">
        <f>IFERROR(__xludf.DUMMYFUNCTION("""COMPUTED_VALUE"""),"Active")</f>
        <v>Active</v>
      </c>
      <c r="E91" s="17">
        <f>IFERROR(__xludf.DUMMYFUNCTION("""COMPUTED_VALUE"""),42311.0)</f>
        <v>42311</v>
      </c>
      <c r="F91" s="54"/>
      <c r="G91" s="19">
        <f>IFERROR(__xludf.DUMMYFUNCTION("""COMPUTED_VALUE"""),131.10000000000002)</f>
        <v>131.1</v>
      </c>
      <c r="H91" s="17">
        <f>IFERROR(__xludf.DUMMYFUNCTION("""COMPUTED_VALUE"""),41191.0)</f>
        <v>41191</v>
      </c>
      <c r="I91" s="19">
        <f>IFERROR(__xludf.DUMMYFUNCTION("""COMPUTED_VALUE"""),3.066666666666667)</f>
        <v>3.066666667</v>
      </c>
      <c r="J91" s="21">
        <f>IFERROR(__xludf.DUMMYFUNCTION("""COMPUTED_VALUE"""),82.0)</f>
        <v>82</v>
      </c>
      <c r="K91" s="23">
        <f>IFERROR(__xludf.DUMMYFUNCTION("""COMPUTED_VALUE"""),7.8)</f>
        <v>7.8</v>
      </c>
      <c r="L91" s="24">
        <f>IFERROR(__xludf.DUMMYFUNCTION("""COMPUTED_VALUE"""),2.0)</f>
        <v>2</v>
      </c>
      <c r="M91" s="25" t="str">
        <f>IFERROR(__xludf.DUMMYFUNCTION("""COMPUTED_VALUE"""),"Racing")</f>
        <v>Racing</v>
      </c>
      <c r="N91" s="25" t="str">
        <f>IFERROR(__xludf.DUMMYFUNCTION("""COMPUTED_VALUE"""),"PS3")</f>
        <v>PS3</v>
      </c>
      <c r="O91" s="26" t="str">
        <f>IFERROR(__xludf.DUMMYFUNCTION("""COMPUTED_VALUE"""),"Yes")</f>
        <v>Yes</v>
      </c>
      <c r="P91" s="26"/>
    </row>
    <row r="92">
      <c r="A92" s="13" t="str">
        <f>IFERROR(__xludf.DUMMYFUNCTION("""COMPUTED_VALUE"""),"MEGA MAN 9")</f>
        <v>MEGA MAN 9</v>
      </c>
      <c r="B92" s="15" t="str">
        <f>IFERROR(__xludf.DUMMYFUNCTION("""COMPUTED_VALUE"""),"PS5/PS4")</f>
        <v>PS5/PS4</v>
      </c>
      <c r="C92" s="16" t="str">
        <f>IFERROR(__xludf.DUMMYFUNCTION("""COMPUTED_VALUE"""),"Premium (Streaming Only)")</f>
        <v>Premium (Streaming Only)</v>
      </c>
      <c r="D92" s="15" t="str">
        <f>IFERROR(__xludf.DUMMYFUNCTION("""COMPUTED_VALUE"""),"Active")</f>
        <v>Active</v>
      </c>
      <c r="E92" s="17">
        <f>IFERROR(__xludf.DUMMYFUNCTION("""COMPUTED_VALUE"""),42311.0)</f>
        <v>42311</v>
      </c>
      <c r="F92" s="54"/>
      <c r="G92" s="19">
        <f>IFERROR(__xludf.DUMMYFUNCTION("""COMPUTED_VALUE"""),131.10000000000002)</f>
        <v>131.1</v>
      </c>
      <c r="H92" s="17">
        <f>IFERROR(__xludf.DUMMYFUNCTION("""COMPUTED_VALUE"""),39713.0)</f>
        <v>39713</v>
      </c>
      <c r="I92" s="19">
        <f>IFERROR(__xludf.DUMMYFUNCTION("""COMPUTED_VALUE"""),7.113888888888889)</f>
        <v>7.113888889</v>
      </c>
      <c r="J92" s="21">
        <f>IFERROR(__xludf.DUMMYFUNCTION("""COMPUTED_VALUE"""),82.0)</f>
        <v>82</v>
      </c>
      <c r="K92" s="23">
        <f>IFERROR(__xludf.DUMMYFUNCTION("""COMPUTED_VALUE"""),8.2)</f>
        <v>8.2</v>
      </c>
      <c r="L92" s="24">
        <f>IFERROR(__xludf.DUMMYFUNCTION("""COMPUTED_VALUE"""),3.5)</f>
        <v>3.5</v>
      </c>
      <c r="M92" s="25" t="str">
        <f>IFERROR(__xludf.DUMMYFUNCTION("""COMPUTED_VALUE"""),"Platformer")</f>
        <v>Platformer</v>
      </c>
      <c r="N92" s="25" t="str">
        <f>IFERROR(__xludf.DUMMYFUNCTION("""COMPUTED_VALUE"""),"PS3")</f>
        <v>PS3</v>
      </c>
      <c r="O92" s="26" t="str">
        <f>IFERROR(__xludf.DUMMYFUNCTION("""COMPUTED_VALUE"""),"Yes")</f>
        <v>Yes</v>
      </c>
      <c r="P92" s="26"/>
    </row>
    <row r="93">
      <c r="A93" s="13" t="str">
        <f>IFERROR(__xludf.DUMMYFUNCTION("""COMPUTED_VALUE"""),"STRONG BAD'S COOL GAME FOR ATTRACTIVE PEOPLE - EPISODE 2: STRONG BADIA THE FREE")</f>
        <v>STRONG BAD'S COOL GAME FOR ATTRACTIVE PEOPLE - EPISODE 2: STRONG BADIA THE FREE</v>
      </c>
      <c r="B93" s="15" t="str">
        <f>IFERROR(__xludf.DUMMYFUNCTION("""COMPUTED_VALUE"""),"PS5/PS4")</f>
        <v>PS5/PS4</v>
      </c>
      <c r="C93" s="16" t="str">
        <f>IFERROR(__xludf.DUMMYFUNCTION("""COMPUTED_VALUE"""),"Premium (Streaming Only)")</f>
        <v>Premium (Streaming Only)</v>
      </c>
      <c r="D93" s="15" t="str">
        <f>IFERROR(__xludf.DUMMYFUNCTION("""COMPUTED_VALUE"""),"Active")</f>
        <v>Active</v>
      </c>
      <c r="E93" s="17">
        <f>IFERROR(__xludf.DUMMYFUNCTION("""COMPUTED_VALUE"""),42311.0)</f>
        <v>42311</v>
      </c>
      <c r="F93" s="18"/>
      <c r="G93" s="19">
        <f>IFERROR(__xludf.DUMMYFUNCTION("""COMPUTED_VALUE"""),131.10000000000002)</f>
        <v>131.1</v>
      </c>
      <c r="H93" s="17">
        <f>IFERROR(__xludf.DUMMYFUNCTION("""COMPUTED_VALUE"""),39539.0)</f>
        <v>39539</v>
      </c>
      <c r="I93" s="19">
        <f>IFERROR(__xludf.DUMMYFUNCTION("""COMPUTED_VALUE"""),7.588888888888889)</f>
        <v>7.588888889</v>
      </c>
      <c r="J93" s="21">
        <f>IFERROR(__xludf.DUMMYFUNCTION("""COMPUTED_VALUE"""),82.0)</f>
        <v>82</v>
      </c>
      <c r="K93" s="23">
        <f>IFERROR(__xludf.DUMMYFUNCTION("""COMPUTED_VALUE"""),7.8)</f>
        <v>7.8</v>
      </c>
      <c r="L93" s="17">
        <f>IFERROR(__xludf.DUMMYFUNCTION("""COMPUTED_VALUE"""),2.0)</f>
        <v>2</v>
      </c>
      <c r="M93" s="25" t="str">
        <f>IFERROR(__xludf.DUMMYFUNCTION("""COMPUTED_VALUE"""),"Adventure")</f>
        <v>Adventure</v>
      </c>
      <c r="N93" s="25" t="str">
        <f>IFERROR(__xludf.DUMMYFUNCTION("""COMPUTED_VALUE"""),"PS3")</f>
        <v>PS3</v>
      </c>
      <c r="O93" s="26" t="str">
        <f>IFERROR(__xludf.DUMMYFUNCTION("""COMPUTED_VALUE"""),"Yes")</f>
        <v>Yes</v>
      </c>
      <c r="P93" s="26" t="str">
        <f>IFERROR(__xludf.DUMMYFUNCTION("""COMPUTED_VALUE"""),"")</f>
        <v/>
      </c>
    </row>
    <row r="94">
      <c r="A94" s="13" t="str">
        <f>IFERROR(__xludf.DUMMYFUNCTION("""COMPUTED_VALUE"""),"STRONG BAD'S COOL GAME FOR ATTRACTIVE PEOPLE - EPISODE 5: 8-BIT IS ENOUGH")</f>
        <v>STRONG BAD'S COOL GAME FOR ATTRACTIVE PEOPLE - EPISODE 5: 8-BIT IS ENOUGH</v>
      </c>
      <c r="B94" s="15" t="str">
        <f>IFERROR(__xludf.DUMMYFUNCTION("""COMPUTED_VALUE"""),"PS5/PS4")</f>
        <v>PS5/PS4</v>
      </c>
      <c r="C94" s="16" t="str">
        <f>IFERROR(__xludf.DUMMYFUNCTION("""COMPUTED_VALUE"""),"Premium (Streaming Only)")</f>
        <v>Premium (Streaming Only)</v>
      </c>
      <c r="D94" s="15" t="str">
        <f>IFERROR(__xludf.DUMMYFUNCTION("""COMPUTED_VALUE"""),"Active")</f>
        <v>Active</v>
      </c>
      <c r="E94" s="17">
        <f>IFERROR(__xludf.DUMMYFUNCTION("""COMPUTED_VALUE"""),42311.0)</f>
        <v>42311</v>
      </c>
      <c r="F94" s="18"/>
      <c r="G94" s="19">
        <f>IFERROR(__xludf.DUMMYFUNCTION("""COMPUTED_VALUE"""),131.10000000000002)</f>
        <v>131.1</v>
      </c>
      <c r="H94" s="17">
        <f>IFERROR(__xludf.DUMMYFUNCTION("""COMPUTED_VALUE"""),39539.0)</f>
        <v>39539</v>
      </c>
      <c r="I94" s="19">
        <f>IFERROR(__xludf.DUMMYFUNCTION("""COMPUTED_VALUE"""),7.588888888888889)</f>
        <v>7.588888889</v>
      </c>
      <c r="J94" s="21">
        <f>IFERROR(__xludf.DUMMYFUNCTION("""COMPUTED_VALUE"""),82.0)</f>
        <v>82</v>
      </c>
      <c r="K94" s="23">
        <f>IFERROR(__xludf.DUMMYFUNCTION("""COMPUTED_VALUE"""),7.9)</f>
        <v>7.9</v>
      </c>
      <c r="L94" s="24">
        <f>IFERROR(__xludf.DUMMYFUNCTION("""COMPUTED_VALUE"""),2.0)</f>
        <v>2</v>
      </c>
      <c r="M94" s="25" t="str">
        <f>IFERROR(__xludf.DUMMYFUNCTION("""COMPUTED_VALUE"""),"Adventure")</f>
        <v>Adventure</v>
      </c>
      <c r="N94" s="25" t="str">
        <f>IFERROR(__xludf.DUMMYFUNCTION("""COMPUTED_VALUE"""),"PS3")</f>
        <v>PS3</v>
      </c>
      <c r="O94" s="26" t="str">
        <f>IFERROR(__xludf.DUMMYFUNCTION("""COMPUTED_VALUE"""),"Yes")</f>
        <v>Yes</v>
      </c>
      <c r="P94" s="26" t="str">
        <f>IFERROR(__xludf.DUMMYFUNCTION("""COMPUTED_VALUE"""),"")</f>
        <v/>
      </c>
    </row>
    <row r="95">
      <c r="A95" s="13" t="str">
        <f>IFERROR(__xludf.DUMMYFUNCTION("""COMPUTED_VALUE"""),"Saints Row 2")</f>
        <v>Saints Row 2</v>
      </c>
      <c r="B95" s="15" t="str">
        <f>IFERROR(__xludf.DUMMYFUNCTION("""COMPUTED_VALUE"""),"PS5/PS4")</f>
        <v>PS5/PS4</v>
      </c>
      <c r="C95" s="16" t="str">
        <f>IFERROR(__xludf.DUMMYFUNCTION("""COMPUTED_VALUE"""),"Premium (Streaming Only)")</f>
        <v>Premium (Streaming Only)</v>
      </c>
      <c r="D95" s="15" t="str">
        <f>IFERROR(__xludf.DUMMYFUNCTION("""COMPUTED_VALUE"""),"Active")</f>
        <v>Active</v>
      </c>
      <c r="E95" s="17">
        <f>IFERROR(__xludf.DUMMYFUNCTION("""COMPUTED_VALUE"""),42017.0)</f>
        <v>42017</v>
      </c>
      <c r="F95" s="18"/>
      <c r="G95" s="19">
        <f>IFERROR(__xludf.DUMMYFUNCTION("""COMPUTED_VALUE"""),140.76666666666668)</f>
        <v>140.7666667</v>
      </c>
      <c r="H95" s="17">
        <f>IFERROR(__xludf.DUMMYFUNCTION("""COMPUTED_VALUE"""),39722.0)</f>
        <v>39722</v>
      </c>
      <c r="I95" s="19">
        <f>IFERROR(__xludf.DUMMYFUNCTION("""COMPUTED_VALUE"""),6.283333333333333)</f>
        <v>6.283333333</v>
      </c>
      <c r="J95" s="21">
        <f>IFERROR(__xludf.DUMMYFUNCTION("""COMPUTED_VALUE"""),82.0)</f>
        <v>82</v>
      </c>
      <c r="K95" s="23">
        <f>IFERROR(__xludf.DUMMYFUNCTION("""COMPUTED_VALUE"""),8.1)</f>
        <v>8.1</v>
      </c>
      <c r="L95" s="24">
        <f>IFERROR(__xludf.DUMMYFUNCTION("""COMPUTED_VALUE"""),19.0)</f>
        <v>19</v>
      </c>
      <c r="M95" s="25" t="str">
        <f>IFERROR(__xludf.DUMMYFUNCTION("""COMPUTED_VALUE"""),"Action-Adventure")</f>
        <v>Action-Adventure</v>
      </c>
      <c r="N95" s="25" t="str">
        <f>IFERROR(__xludf.DUMMYFUNCTION("""COMPUTED_VALUE"""),"PS3")</f>
        <v>PS3</v>
      </c>
      <c r="O95" s="26" t="str">
        <f>IFERROR(__xludf.DUMMYFUNCTION("""COMPUTED_VALUE"""),"Yes")</f>
        <v>Yes</v>
      </c>
      <c r="P95" s="26" t="str">
        <f>IFERROR(__xludf.DUMMYFUNCTION("""COMPUTED_VALUE"""),"")</f>
        <v/>
      </c>
    </row>
    <row r="96">
      <c r="A96" s="13" t="str">
        <f>IFERROR(__xludf.DUMMYFUNCTION("""COMPUTED_VALUE"""),"Super Puzzle Fighter II Turbo HD Remix")</f>
        <v>Super Puzzle Fighter II Turbo HD Remix</v>
      </c>
      <c r="B96" s="15" t="str">
        <f>IFERROR(__xludf.DUMMYFUNCTION("""COMPUTED_VALUE"""),"PS5/PS4")</f>
        <v>PS5/PS4</v>
      </c>
      <c r="C96" s="16" t="str">
        <f>IFERROR(__xludf.DUMMYFUNCTION("""COMPUTED_VALUE"""),"Premium (Streaming Only)")</f>
        <v>Premium (Streaming Only)</v>
      </c>
      <c r="D96" s="15" t="str">
        <f>IFERROR(__xludf.DUMMYFUNCTION("""COMPUTED_VALUE"""),"Active")</f>
        <v>Active</v>
      </c>
      <c r="E96" s="17">
        <f>IFERROR(__xludf.DUMMYFUNCTION("""COMPUTED_VALUE"""),42017.0)</f>
        <v>42017</v>
      </c>
      <c r="F96" s="54"/>
      <c r="G96" s="19">
        <f>IFERROR(__xludf.DUMMYFUNCTION("""COMPUTED_VALUE"""),140.76666666666668)</f>
        <v>140.7666667</v>
      </c>
      <c r="H96" s="17">
        <f>IFERROR(__xludf.DUMMYFUNCTION("""COMPUTED_VALUE"""),39295.0)</f>
        <v>39295</v>
      </c>
      <c r="I96" s="19">
        <f>IFERROR(__xludf.DUMMYFUNCTION("""COMPUTED_VALUE"""),7.45)</f>
        <v>7.45</v>
      </c>
      <c r="J96" s="21">
        <f>IFERROR(__xludf.DUMMYFUNCTION("""COMPUTED_VALUE"""),82.0)</f>
        <v>82</v>
      </c>
      <c r="K96" s="23">
        <f>IFERROR(__xludf.DUMMYFUNCTION("""COMPUTED_VALUE"""),8.3)</f>
        <v>8.3</v>
      </c>
      <c r="L96" s="24">
        <f>IFERROR(__xludf.DUMMYFUNCTION("""COMPUTED_VALUE"""),1.0)</f>
        <v>1</v>
      </c>
      <c r="M96" s="25" t="str">
        <f>IFERROR(__xludf.DUMMYFUNCTION("""COMPUTED_VALUE"""),"Action-Adventure")</f>
        <v>Action-Adventure</v>
      </c>
      <c r="N96" s="25" t="str">
        <f>IFERROR(__xludf.DUMMYFUNCTION("""COMPUTED_VALUE"""),"PS3")</f>
        <v>PS3</v>
      </c>
      <c r="O96" s="26" t="str">
        <f>IFERROR(__xludf.DUMMYFUNCTION("""COMPUTED_VALUE"""),"Yes")</f>
        <v>Yes</v>
      </c>
      <c r="P96" s="26" t="str">
        <f>IFERROR(__xludf.DUMMYFUNCTION("""COMPUTED_VALUE"""),"")</f>
        <v/>
      </c>
    </row>
    <row r="97">
      <c r="A97" s="13" t="str">
        <f>IFERROR(__xludf.DUMMYFUNCTION("""COMPUTED_VALUE"""),"Onimusha: Dawn of Dreams")</f>
        <v>Onimusha: Dawn of Dreams</v>
      </c>
      <c r="B97" s="15" t="str">
        <f>IFERROR(__xludf.DUMMYFUNCTION("""COMPUTED_VALUE"""),"PS5/PS4")</f>
        <v>PS5/PS4</v>
      </c>
      <c r="C97" s="16" t="str">
        <f>IFERROR(__xludf.DUMMYFUNCTION("""COMPUTED_VALUE"""),"Premium (Classics)")</f>
        <v>Premium (Classics)</v>
      </c>
      <c r="D97" s="15" t="str">
        <f>IFERROR(__xludf.DUMMYFUNCTION("""COMPUTED_VALUE"""),"Active")</f>
        <v>Active</v>
      </c>
      <c r="E97" s="17">
        <f>IFERROR(__xludf.DUMMYFUNCTION("""COMPUTED_VALUE"""),46252.0)</f>
        <v>46252</v>
      </c>
      <c r="F97" s="54"/>
      <c r="G97" s="19">
        <f>IFERROR(__xludf.DUMMYFUNCTION("""COMPUTED_VALUE"""),1.6)</f>
        <v>1.6</v>
      </c>
      <c r="H97" s="17">
        <f>IFERROR(__xludf.DUMMYFUNCTION("""COMPUTED_VALUE"""),38783.0)</f>
        <v>38783</v>
      </c>
      <c r="I97" s="19">
        <f>IFERROR(__xludf.DUMMYFUNCTION("""COMPUTED_VALUE"""),20.447222222222223)</f>
        <v>20.44722222</v>
      </c>
      <c r="J97" s="21">
        <f>IFERROR(__xludf.DUMMYFUNCTION("""COMPUTED_VALUE"""),81.0)</f>
        <v>81</v>
      </c>
      <c r="K97" s="23">
        <f>IFERROR(__xludf.DUMMYFUNCTION("""COMPUTED_VALUE"""),8.5)</f>
        <v>8.5</v>
      </c>
      <c r="L97" s="24">
        <f>IFERROR(__xludf.DUMMYFUNCTION("""COMPUTED_VALUE"""),20.0)</f>
        <v>20</v>
      </c>
      <c r="M97" s="25" t="str">
        <f>IFERROR(__xludf.DUMMYFUNCTION("""COMPUTED_VALUE"""),"Action-Adventure")</f>
        <v>Action-Adventure</v>
      </c>
      <c r="N97" s="25" t="str">
        <f>IFERROR(__xludf.DUMMYFUNCTION("""COMPUTED_VALUE"""),"PS2")</f>
        <v>PS2</v>
      </c>
      <c r="O97" s="26"/>
      <c r="P97" s="26"/>
    </row>
    <row r="98">
      <c r="A98" s="13" t="str">
        <f>IFERROR(__xludf.DUMMYFUNCTION("""COMPUTED_VALUE"""),"TimeSplitters")</f>
        <v>TimeSplitters</v>
      </c>
      <c r="B98" s="15" t="str">
        <f>IFERROR(__xludf.DUMMYFUNCTION("""COMPUTED_VALUE"""),"PS5/PS4")</f>
        <v>PS5/PS4</v>
      </c>
      <c r="C98" s="16" t="str">
        <f>IFERROR(__xludf.DUMMYFUNCTION("""COMPUTED_VALUE"""),"Premium (Classics)")</f>
        <v>Premium (Classics)</v>
      </c>
      <c r="D98" s="15" t="str">
        <f>IFERROR(__xludf.DUMMYFUNCTION("""COMPUTED_VALUE"""),"Active")</f>
        <v>Active</v>
      </c>
      <c r="E98" s="17">
        <f>IFERROR(__xludf.DUMMYFUNCTION("""COMPUTED_VALUE"""),45524.0)</f>
        <v>45524</v>
      </c>
      <c r="F98" s="54"/>
      <c r="G98" s="19">
        <f>IFERROR(__xludf.DUMMYFUNCTION("""COMPUTED_VALUE"""),25.53333333333333)</f>
        <v>25.53333333</v>
      </c>
      <c r="H98" s="17">
        <f>IFERROR(__xludf.DUMMYFUNCTION("""COMPUTED_VALUE"""),36822.0)</f>
        <v>36822</v>
      </c>
      <c r="I98" s="19">
        <f>IFERROR(__xludf.DUMMYFUNCTION("""COMPUTED_VALUE"""),23.825)</f>
        <v>23.825</v>
      </c>
      <c r="J98" s="21">
        <f>IFERROR(__xludf.DUMMYFUNCTION("""COMPUTED_VALUE"""),81.0)</f>
        <v>81</v>
      </c>
      <c r="K98" s="23">
        <f>IFERROR(__xludf.DUMMYFUNCTION("""COMPUTED_VALUE"""),7.8)</f>
        <v>7.8</v>
      </c>
      <c r="L98" s="24">
        <f>IFERROR(__xludf.DUMMYFUNCTION("""COMPUTED_VALUE"""),2.0)</f>
        <v>2</v>
      </c>
      <c r="M98" s="25" t="str">
        <f>IFERROR(__xludf.DUMMYFUNCTION("""COMPUTED_VALUE"""),"Shooter")</f>
        <v>Shooter</v>
      </c>
      <c r="N98" s="25" t="str">
        <f>IFERROR(__xludf.DUMMYFUNCTION("""COMPUTED_VALUE"""),"PS2")</f>
        <v>PS2</v>
      </c>
      <c r="O98" s="26" t="str">
        <f>IFERROR(__xludf.DUMMYFUNCTION("""COMPUTED_VALUE"""),"Yes")</f>
        <v>Yes</v>
      </c>
      <c r="P98" s="26"/>
    </row>
    <row r="99">
      <c r="A99" s="13" t="str">
        <f>IFERROR(__xludf.DUMMYFUNCTION("""COMPUTED_VALUE"""),"LEGO Star Wars II: The Original Trilogy")</f>
        <v>LEGO Star Wars II: The Original Trilogy</v>
      </c>
      <c r="B99" s="15" t="str">
        <f>IFERROR(__xludf.DUMMYFUNCTION("""COMPUTED_VALUE"""),"PS5/PS4")</f>
        <v>PS5/PS4</v>
      </c>
      <c r="C99" s="16" t="str">
        <f>IFERROR(__xludf.DUMMYFUNCTION("""COMPUTED_VALUE"""),"Premium (Classics)")</f>
        <v>Premium (Classics)</v>
      </c>
      <c r="D99" s="15" t="str">
        <f>IFERROR(__xludf.DUMMYFUNCTION("""COMPUTED_VALUE"""),"Active")</f>
        <v>Active</v>
      </c>
      <c r="E99" s="17">
        <f>IFERROR(__xludf.DUMMYFUNCTION("""COMPUTED_VALUE"""),45461.0)</f>
        <v>45461</v>
      </c>
      <c r="F99" s="54"/>
      <c r="G99" s="19">
        <f>IFERROR(__xludf.DUMMYFUNCTION("""COMPUTED_VALUE"""),27.599999999999998)</f>
        <v>27.6</v>
      </c>
      <c r="H99" s="17">
        <f>IFERROR(__xludf.DUMMYFUNCTION("""COMPUTED_VALUE"""),38972.0)</f>
        <v>38972</v>
      </c>
      <c r="I99" s="19">
        <f>IFERROR(__xludf.DUMMYFUNCTION("""COMPUTED_VALUE"""),17.766666666666666)</f>
        <v>17.76666667</v>
      </c>
      <c r="J99" s="21">
        <f>IFERROR(__xludf.DUMMYFUNCTION("""COMPUTED_VALUE"""),81.0)</f>
        <v>81</v>
      </c>
      <c r="K99" s="23">
        <f>IFERROR(__xludf.DUMMYFUNCTION("""COMPUTED_VALUE"""),8.0)</f>
        <v>8</v>
      </c>
      <c r="L99" s="24">
        <f>IFERROR(__xludf.DUMMYFUNCTION("""COMPUTED_VALUE"""),11.0)</f>
        <v>11</v>
      </c>
      <c r="M99" s="25" t="str">
        <f>IFERROR(__xludf.DUMMYFUNCTION("""COMPUTED_VALUE"""),"Action-Adventure")</f>
        <v>Action-Adventure</v>
      </c>
      <c r="N99" s="25" t="str">
        <f>IFERROR(__xludf.DUMMYFUNCTION("""COMPUTED_VALUE"""),"PS2 / PSP")</f>
        <v>PS2 / PSP</v>
      </c>
      <c r="O99" s="26" t="str">
        <f>IFERROR(__xludf.DUMMYFUNCTION("""COMPUTED_VALUE"""),"Yes")</f>
        <v>Yes</v>
      </c>
      <c r="P99" s="26"/>
    </row>
    <row r="100">
      <c r="A100" s="13" t="str">
        <f>IFERROR(__xludf.DUMMYFUNCTION("""COMPUTED_VALUE"""),"Resistance: Retribution")</f>
        <v>Resistance: Retribution</v>
      </c>
      <c r="B100" s="15" t="str">
        <f>IFERROR(__xludf.DUMMYFUNCTION("""COMPUTED_VALUE"""),"PS5/PS4")</f>
        <v>PS5/PS4</v>
      </c>
      <c r="C100" s="16" t="str">
        <f>IFERROR(__xludf.DUMMYFUNCTION("""COMPUTED_VALUE"""),"Premium (Classics)")</f>
        <v>Premium (Classics)</v>
      </c>
      <c r="D100" s="15" t="str">
        <f>IFERROR(__xludf.DUMMYFUNCTION("""COMPUTED_VALUE"""),"Active")</f>
        <v>Active</v>
      </c>
      <c r="E100" s="17">
        <f>IFERROR(__xludf.DUMMYFUNCTION("""COMPUTED_VALUE"""),45342.0)</f>
        <v>45342</v>
      </c>
      <c r="F100" s="54"/>
      <c r="G100" s="19">
        <f>IFERROR(__xludf.DUMMYFUNCTION("""COMPUTED_VALUE"""),31.53333333333333)</f>
        <v>31.53333333</v>
      </c>
      <c r="H100" s="17">
        <f>IFERROR(__xludf.DUMMYFUNCTION("""COMPUTED_VALUE"""),39889.0)</f>
        <v>39889</v>
      </c>
      <c r="I100" s="19">
        <f>IFERROR(__xludf.DUMMYFUNCTION("""COMPUTED_VALUE"""),14.925)</f>
        <v>14.925</v>
      </c>
      <c r="J100" s="21">
        <f>IFERROR(__xludf.DUMMYFUNCTION("""COMPUTED_VALUE"""),81.0)</f>
        <v>81</v>
      </c>
      <c r="K100" s="23">
        <f>IFERROR(__xludf.DUMMYFUNCTION("""COMPUTED_VALUE"""),7.9)</f>
        <v>7.9</v>
      </c>
      <c r="L100" s="24">
        <f>IFERROR(__xludf.DUMMYFUNCTION("""COMPUTED_VALUE"""),11.0)</f>
        <v>11</v>
      </c>
      <c r="M100" s="25" t="str">
        <f>IFERROR(__xludf.DUMMYFUNCTION("""COMPUTED_VALUE"""),"Shooter")</f>
        <v>Shooter</v>
      </c>
      <c r="N100" s="25" t="str">
        <f>IFERROR(__xludf.DUMMYFUNCTION("""COMPUTED_VALUE"""),"PSP")</f>
        <v>PSP</v>
      </c>
      <c r="O100" s="26" t="str">
        <f>IFERROR(__xludf.DUMMYFUNCTION("""COMPUTED_VALUE"""),"Yes")</f>
        <v>Yes</v>
      </c>
      <c r="P100" s="26"/>
    </row>
    <row r="101">
      <c r="A101" s="13" t="str">
        <f>IFERROR(__xludf.DUMMYFUNCTION("""COMPUTED_VALUE"""),"Hot Shots Golf 2")</f>
        <v>Hot Shots Golf 2</v>
      </c>
      <c r="B101" s="15" t="str">
        <f>IFERROR(__xludf.DUMMYFUNCTION("""COMPUTED_VALUE"""),"PS5/PS4")</f>
        <v>PS5/PS4</v>
      </c>
      <c r="C101" s="16" t="str">
        <f>IFERROR(__xludf.DUMMYFUNCTION("""COMPUTED_VALUE"""),"Premium (Classics)")</f>
        <v>Premium (Classics)</v>
      </c>
      <c r="D101" s="15" t="str">
        <f>IFERROR(__xludf.DUMMYFUNCTION("""COMPUTED_VALUE"""),"Active")</f>
        <v>Active</v>
      </c>
      <c r="E101" s="17">
        <f>IFERROR(__xludf.DUMMYFUNCTION("""COMPUTED_VALUE"""),44943.0)</f>
        <v>44943</v>
      </c>
      <c r="F101" s="54"/>
      <c r="G101" s="19">
        <f>IFERROR(__xludf.DUMMYFUNCTION("""COMPUTED_VALUE"""),44.63333333333333)</f>
        <v>44.63333333</v>
      </c>
      <c r="H101" s="17">
        <f>IFERROR(__xludf.DUMMYFUNCTION("""COMPUTED_VALUE"""),36644.0)</f>
        <v>36644</v>
      </c>
      <c r="I101" s="19">
        <f>IFERROR(__xludf.DUMMYFUNCTION("""COMPUTED_VALUE"""),22.719444444444445)</f>
        <v>22.71944444</v>
      </c>
      <c r="J101" s="21">
        <f>IFERROR(__xludf.DUMMYFUNCTION("""COMPUTED_VALUE"""),81.0)</f>
        <v>81</v>
      </c>
      <c r="K101" s="23">
        <f>IFERROR(__xludf.DUMMYFUNCTION("""COMPUTED_VALUE"""),8.7)</f>
        <v>8.7</v>
      </c>
      <c r="L101" s="24">
        <f>IFERROR(__xludf.DUMMYFUNCTION("""COMPUTED_VALUE"""),17.0)</f>
        <v>17</v>
      </c>
      <c r="M101" s="25" t="str">
        <f>IFERROR(__xludf.DUMMYFUNCTION("""COMPUTED_VALUE"""),"Sports")</f>
        <v>Sports</v>
      </c>
      <c r="N101" s="25" t="str">
        <f>IFERROR(__xludf.DUMMYFUNCTION("""COMPUTED_VALUE"""),"PS1")</f>
        <v>PS1</v>
      </c>
      <c r="O101" s="26" t="str">
        <f>IFERROR(__xludf.DUMMYFUNCTION("""COMPUTED_VALUE"""),"Yes")</f>
        <v>Yes</v>
      </c>
      <c r="P101" s="26"/>
    </row>
    <row r="102">
      <c r="A102" s="13" t="str">
        <f>IFERROR(__xludf.DUMMYFUNCTION("""COMPUTED_VALUE"""),"Ridge Racer 2")</f>
        <v>Ridge Racer 2</v>
      </c>
      <c r="B102" s="15" t="str">
        <f>IFERROR(__xludf.DUMMYFUNCTION("""COMPUTED_VALUE"""),"PS5/PS4")</f>
        <v>PS5/PS4</v>
      </c>
      <c r="C102" s="16" t="str">
        <f>IFERROR(__xludf.DUMMYFUNCTION("""COMPUTED_VALUE"""),"Premium (Classics)")</f>
        <v>Premium (Classics)</v>
      </c>
      <c r="D102" s="15" t="str">
        <f>IFERROR(__xludf.DUMMYFUNCTION("""COMPUTED_VALUE"""),"Active")</f>
        <v>Active</v>
      </c>
      <c r="E102" s="17">
        <f>IFERROR(__xludf.DUMMYFUNCTION("""COMPUTED_VALUE"""),44915.0)</f>
        <v>44915</v>
      </c>
      <c r="F102" s="54"/>
      <c r="G102" s="19">
        <f>IFERROR(__xludf.DUMMYFUNCTION("""COMPUTED_VALUE"""),45.53333333333333)</f>
        <v>45.53333333</v>
      </c>
      <c r="H102" s="17">
        <f>IFERROR(__xludf.DUMMYFUNCTION("""COMPUTED_VALUE"""),38974.0)</f>
        <v>38974</v>
      </c>
      <c r="I102" s="19">
        <f>IFERROR(__xludf.DUMMYFUNCTION("""COMPUTED_VALUE"""),16.266666666666666)</f>
        <v>16.26666667</v>
      </c>
      <c r="J102" s="21">
        <f>IFERROR(__xludf.DUMMYFUNCTION("""COMPUTED_VALUE"""),81.0)</f>
        <v>81</v>
      </c>
      <c r="K102" s="23">
        <f>IFERROR(__xludf.DUMMYFUNCTION("""COMPUTED_VALUE"""),7.8)</f>
        <v>7.8</v>
      </c>
      <c r="L102" s="24">
        <f>IFERROR(__xludf.DUMMYFUNCTION("""COMPUTED_VALUE"""),11.0)</f>
        <v>11</v>
      </c>
      <c r="M102" s="25" t="str">
        <f>IFERROR(__xludf.DUMMYFUNCTION("""COMPUTED_VALUE"""),"Racing")</f>
        <v>Racing</v>
      </c>
      <c r="N102" s="25" t="str">
        <f>IFERROR(__xludf.DUMMYFUNCTION("""COMPUTED_VALUE"""),"PSP")</f>
        <v>PSP</v>
      </c>
      <c r="O102" s="26" t="str">
        <f>IFERROR(__xludf.DUMMYFUNCTION("""COMPUTED_VALUE"""),"Yes")</f>
        <v>Yes</v>
      </c>
      <c r="P102" s="26"/>
    </row>
    <row r="103">
      <c r="A103" s="13" t="str">
        <f>IFERROR(__xludf.DUMMYFUNCTION("""COMPUTED_VALUE"""),"Ratchet: Deadlocked")</f>
        <v>Ratchet: Deadlocked</v>
      </c>
      <c r="B103" s="15" t="str">
        <f>IFERROR(__xludf.DUMMYFUNCTION("""COMPUTED_VALUE"""),"PS5/PS4")</f>
        <v>PS5/PS4</v>
      </c>
      <c r="C103" s="16" t="str">
        <f>IFERROR(__xludf.DUMMYFUNCTION("""COMPUTED_VALUE"""),"Premium (Streaming Only)")</f>
        <v>Premium (Streaming Only)</v>
      </c>
      <c r="D103" s="15" t="str">
        <f>IFERROR(__xludf.DUMMYFUNCTION("""COMPUTED_VALUE"""),"Active")</f>
        <v>Active</v>
      </c>
      <c r="E103" s="17">
        <f>IFERROR(__xludf.DUMMYFUNCTION("""COMPUTED_VALUE"""),44880.0)</f>
        <v>44880</v>
      </c>
      <c r="F103" s="54"/>
      <c r="G103" s="19">
        <f>IFERROR(__xludf.DUMMYFUNCTION("""COMPUTED_VALUE"""),46.7)</f>
        <v>46.7</v>
      </c>
      <c r="H103" s="17">
        <f>IFERROR(__xludf.DUMMYFUNCTION("""COMPUTED_VALUE"""),38650.0)</f>
        <v>38650</v>
      </c>
      <c r="I103" s="19">
        <f>IFERROR(__xludf.DUMMYFUNCTION("""COMPUTED_VALUE"""),17.055555555555557)</f>
        <v>17.05555556</v>
      </c>
      <c r="J103" s="21">
        <f>IFERROR(__xludf.DUMMYFUNCTION("""COMPUTED_VALUE"""),81.0)</f>
        <v>81</v>
      </c>
      <c r="K103" s="23">
        <f>IFERROR(__xludf.DUMMYFUNCTION("""COMPUTED_VALUE"""),8.8)</f>
        <v>8.8</v>
      </c>
      <c r="L103" s="24">
        <f>IFERROR(__xludf.DUMMYFUNCTION("""COMPUTED_VALUE"""),7.5)</f>
        <v>7.5</v>
      </c>
      <c r="M103" s="25" t="str">
        <f>IFERROR(__xludf.DUMMYFUNCTION("""COMPUTED_VALUE"""),"Platformer")</f>
        <v>Platformer</v>
      </c>
      <c r="N103" s="25" t="str">
        <f>IFERROR(__xludf.DUMMYFUNCTION("""COMPUTED_VALUE"""),"PS3")</f>
        <v>PS3</v>
      </c>
      <c r="O103" s="26" t="str">
        <f>IFERROR(__xludf.DUMMYFUNCTION("""COMPUTED_VALUE"""),"Yes")</f>
        <v>Yes</v>
      </c>
      <c r="P103" s="26"/>
    </row>
    <row r="104">
      <c r="A104" s="13" t="str">
        <f>IFERROR(__xludf.DUMMYFUNCTION("""COMPUTED_VALUE"""),"Syphon Filter 2")</f>
        <v>Syphon Filter 2</v>
      </c>
      <c r="B104" s="15" t="str">
        <f>IFERROR(__xludf.DUMMYFUNCTION("""COMPUTED_VALUE"""),"PS5/PS4")</f>
        <v>PS5/PS4</v>
      </c>
      <c r="C104" s="16" t="str">
        <f>IFERROR(__xludf.DUMMYFUNCTION("""COMPUTED_VALUE"""),"Premium (Classics)")</f>
        <v>Premium (Classics)</v>
      </c>
      <c r="D104" s="15" t="str">
        <f>IFERROR(__xludf.DUMMYFUNCTION("""COMPUTED_VALUE"""),"Active")</f>
        <v>Active</v>
      </c>
      <c r="E104" s="17">
        <f>IFERROR(__xludf.DUMMYFUNCTION("""COMPUTED_VALUE"""),44824.0)</f>
        <v>44824</v>
      </c>
      <c r="F104" s="54"/>
      <c r="G104" s="19">
        <f>IFERROR(__xludf.DUMMYFUNCTION("""COMPUTED_VALUE"""),48.53333333333333)</f>
        <v>48.53333333</v>
      </c>
      <c r="H104" s="17">
        <f>IFERROR(__xludf.DUMMYFUNCTION("""COMPUTED_VALUE"""),36599.0)</f>
        <v>36599</v>
      </c>
      <c r="I104" s="19">
        <f>IFERROR(__xludf.DUMMYFUNCTION("""COMPUTED_VALUE"""),22.516666666666666)</f>
        <v>22.51666667</v>
      </c>
      <c r="J104" s="21">
        <f>IFERROR(__xludf.DUMMYFUNCTION("""COMPUTED_VALUE"""),81.0)</f>
        <v>81</v>
      </c>
      <c r="K104" s="23">
        <f>IFERROR(__xludf.DUMMYFUNCTION("""COMPUTED_VALUE"""),8.7)</f>
        <v>8.7</v>
      </c>
      <c r="L104" s="24">
        <f>IFERROR(__xludf.DUMMYFUNCTION("""COMPUTED_VALUE"""),10.0)</f>
        <v>10</v>
      </c>
      <c r="M104" s="25" t="str">
        <f>IFERROR(__xludf.DUMMYFUNCTION("""COMPUTED_VALUE"""),"Shooter")</f>
        <v>Shooter</v>
      </c>
      <c r="N104" s="25" t="str">
        <f>IFERROR(__xludf.DUMMYFUNCTION("""COMPUTED_VALUE"""),"PS1")</f>
        <v>PS1</v>
      </c>
      <c r="O104" s="26" t="str">
        <f>IFERROR(__xludf.DUMMYFUNCTION("""COMPUTED_VALUE"""),"Yes")</f>
        <v>Yes</v>
      </c>
      <c r="P104" s="26" t="str">
        <f>IFERROR(__xludf.DUMMYFUNCTION("""COMPUTED_VALUE"""),"")</f>
        <v/>
      </c>
    </row>
    <row r="105">
      <c r="A105" s="13" t="str">
        <f>IFERROR(__xludf.DUMMYFUNCTION("""COMPUTED_VALUE"""),"Worms World Party")</f>
        <v>Worms World Party</v>
      </c>
      <c r="B105" s="15" t="str">
        <f>IFERROR(__xludf.DUMMYFUNCTION("""COMPUTED_VALUE"""),"PS5/PS4")</f>
        <v>PS5/PS4</v>
      </c>
      <c r="C105" s="16" t="str">
        <f>IFERROR(__xludf.DUMMYFUNCTION("""COMPUTED_VALUE"""),"Premium (Classics)")</f>
        <v>Premium (Classics)</v>
      </c>
      <c r="D105" s="15" t="str">
        <f>IFERROR(__xludf.DUMMYFUNCTION("""COMPUTED_VALUE"""),"Active")</f>
        <v>Active</v>
      </c>
      <c r="E105" s="17">
        <f>IFERROR(__xludf.DUMMYFUNCTION("""COMPUTED_VALUE"""),44725.0)</f>
        <v>44725</v>
      </c>
      <c r="F105" s="18"/>
      <c r="G105" s="19">
        <f>IFERROR(__xludf.DUMMYFUNCTION("""COMPUTED_VALUE"""),51.766666666666666)</f>
        <v>51.76666667</v>
      </c>
      <c r="H105" s="17">
        <f>IFERROR(__xludf.DUMMYFUNCTION("""COMPUTED_VALUE"""),37134.0)</f>
        <v>37134</v>
      </c>
      <c r="I105" s="19">
        <f>IFERROR(__xludf.DUMMYFUNCTION("""COMPUTED_VALUE"""),20.78611111111111)</f>
        <v>20.78611111</v>
      </c>
      <c r="J105" s="21">
        <f>IFERROR(__xludf.DUMMYFUNCTION("""COMPUTED_VALUE"""),81.0)</f>
        <v>81</v>
      </c>
      <c r="K105" s="23">
        <f>IFERROR(__xludf.DUMMYFUNCTION("""COMPUTED_VALUE"""),8.4)</f>
        <v>8.4</v>
      </c>
      <c r="L105" s="24">
        <f>IFERROR(__xludf.DUMMYFUNCTION("""COMPUTED_VALUE"""),9.0)</f>
        <v>9</v>
      </c>
      <c r="M105" s="25" t="str">
        <f>IFERROR(__xludf.DUMMYFUNCTION("""COMPUTED_VALUE"""),"Strategy")</f>
        <v>Strategy</v>
      </c>
      <c r="N105" s="25" t="str">
        <f>IFERROR(__xludf.DUMMYFUNCTION("""COMPUTED_VALUE"""),"PS1")</f>
        <v>PS1</v>
      </c>
      <c r="O105" s="26" t="str">
        <f>IFERROR(__xludf.DUMMYFUNCTION("""COMPUTED_VALUE"""),"No")</f>
        <v>No</v>
      </c>
      <c r="P105" s="26" t="str">
        <f>IFERROR(__xludf.DUMMYFUNCTION("""COMPUTED_VALUE"""),"")</f>
        <v/>
      </c>
    </row>
    <row r="106">
      <c r="A106" s="13" t="str">
        <f>IFERROR(__xludf.DUMMYFUNCTION("""COMPUTED_VALUE"""),"Star Wars: Jedi Starfighter")</f>
        <v>Star Wars: Jedi Starfighter</v>
      </c>
      <c r="B106" s="15" t="str">
        <f>IFERROR(__xludf.DUMMYFUNCTION("""COMPUTED_VALUE"""),"PS4")</f>
        <v>PS4</v>
      </c>
      <c r="C106" s="16" t="str">
        <f>IFERROR(__xludf.DUMMYFUNCTION("""COMPUTED_VALUE"""),"Premium (Classics)")</f>
        <v>Premium (Classics)</v>
      </c>
      <c r="D106" s="15" t="str">
        <f>IFERROR(__xludf.DUMMYFUNCTION("""COMPUTED_VALUE"""),"Active")</f>
        <v>Active</v>
      </c>
      <c r="E106" s="17">
        <f>IFERROR(__xludf.DUMMYFUNCTION("""COMPUTED_VALUE"""),44725.0)</f>
        <v>44725</v>
      </c>
      <c r="F106" s="54"/>
      <c r="G106" s="19">
        <f>IFERROR(__xludf.DUMMYFUNCTION("""COMPUTED_VALUE"""),51.766666666666666)</f>
        <v>51.76666667</v>
      </c>
      <c r="H106" s="17">
        <f>IFERROR(__xludf.DUMMYFUNCTION("""COMPUTED_VALUE"""),37316.0)</f>
        <v>37316</v>
      </c>
      <c r="I106" s="19">
        <f>IFERROR(__xludf.DUMMYFUNCTION("""COMPUTED_VALUE"""),20.283333333333335)</f>
        <v>20.28333333</v>
      </c>
      <c r="J106" s="21">
        <f>IFERROR(__xludf.DUMMYFUNCTION("""COMPUTED_VALUE"""),81.0)</f>
        <v>81</v>
      </c>
      <c r="K106" s="23">
        <f>IFERROR(__xludf.DUMMYFUNCTION("""COMPUTED_VALUE"""),7.4)</f>
        <v>7.4</v>
      </c>
      <c r="L106" s="24">
        <f>IFERROR(__xludf.DUMMYFUNCTION("""COMPUTED_VALUE"""),8.0)</f>
        <v>8</v>
      </c>
      <c r="M106" s="25" t="str">
        <f>IFERROR(__xludf.DUMMYFUNCTION("""COMPUTED_VALUE"""),"Shooter")</f>
        <v>Shooter</v>
      </c>
      <c r="N106" s="25" t="str">
        <f>IFERROR(__xludf.DUMMYFUNCTION("""COMPUTED_VALUE"""),"PS2")</f>
        <v>PS2</v>
      </c>
      <c r="O106" s="26" t="str">
        <f>IFERROR(__xludf.DUMMYFUNCTION("""COMPUTED_VALUE"""),"Yes")</f>
        <v>Yes</v>
      </c>
      <c r="P106" s="26" t="str">
        <f>IFERROR(__xludf.DUMMYFUNCTION("""COMPUTED_VALUE"""),"")</f>
        <v/>
      </c>
    </row>
    <row r="107">
      <c r="A107" s="13" t="str">
        <f>IFERROR(__xludf.DUMMYFUNCTION("""COMPUTED_VALUE"""),"God of War III: Remastered")</f>
        <v>God of War III: Remastered</v>
      </c>
      <c r="B107" s="15" t="str">
        <f>IFERROR(__xludf.DUMMYFUNCTION("""COMPUTED_VALUE"""),"PS4")</f>
        <v>PS4</v>
      </c>
      <c r="C107" s="16" t="str">
        <f>IFERROR(__xludf.DUMMYFUNCTION("""COMPUTED_VALUE"""),"Premium (Remasters)")</f>
        <v>Premium (Remasters)</v>
      </c>
      <c r="D107" s="15" t="str">
        <f>IFERROR(__xludf.DUMMYFUNCTION("""COMPUTED_VALUE"""),"Active")</f>
        <v>Active</v>
      </c>
      <c r="E107" s="17">
        <f>IFERROR(__xludf.DUMMYFUNCTION("""COMPUTED_VALUE"""),42922.0)</f>
        <v>42922</v>
      </c>
      <c r="F107" s="54"/>
      <c r="G107" s="19">
        <f>IFERROR(__xludf.DUMMYFUNCTION("""COMPUTED_VALUE"""),111.0)</f>
        <v>111</v>
      </c>
      <c r="H107" s="17">
        <f>IFERROR(__xludf.DUMMYFUNCTION("""COMPUTED_VALUE"""),42186.0)</f>
        <v>42186</v>
      </c>
      <c r="I107" s="19">
        <f>IFERROR(__xludf.DUMMYFUNCTION("""COMPUTED_VALUE"""),2.013888888888889)</f>
        <v>2.013888889</v>
      </c>
      <c r="J107" s="21">
        <f>IFERROR(__xludf.DUMMYFUNCTION("""COMPUTED_VALUE"""),81.0)</f>
        <v>81</v>
      </c>
      <c r="K107" s="23">
        <f>IFERROR(__xludf.DUMMYFUNCTION("""COMPUTED_VALUE"""),8.4)</f>
        <v>8.4</v>
      </c>
      <c r="L107" s="24">
        <f>IFERROR(__xludf.DUMMYFUNCTION("""COMPUTED_VALUE"""),9.0)</f>
        <v>9</v>
      </c>
      <c r="M107" s="25" t="str">
        <f>IFERROR(__xludf.DUMMYFUNCTION("""COMPUTED_VALUE"""),"Action-Adventure")</f>
        <v>Action-Adventure</v>
      </c>
      <c r="N107" s="25" t="str">
        <f>IFERROR(__xludf.DUMMYFUNCTION("""COMPUTED_VALUE"""),"PS3")</f>
        <v>PS3</v>
      </c>
      <c r="O107" s="26" t="str">
        <f>IFERROR(__xludf.DUMMYFUNCTION("""COMPUTED_VALUE"""),"Yes")</f>
        <v>Yes</v>
      </c>
      <c r="P107" s="26"/>
    </row>
    <row r="108">
      <c r="A108" s="13" t="str">
        <f>IFERROR(__xludf.DUMMYFUNCTION("""COMPUTED_VALUE"""),"Hot Shots Golf: Out of Bounds")</f>
        <v>Hot Shots Golf: Out of Bounds</v>
      </c>
      <c r="B108" s="15" t="str">
        <f>IFERROR(__xludf.DUMMYFUNCTION("""COMPUTED_VALUE"""),"PS5/PS4")</f>
        <v>PS5/PS4</v>
      </c>
      <c r="C108" s="16" t="str">
        <f>IFERROR(__xludf.DUMMYFUNCTION("""COMPUTED_VALUE"""),"Premium (Streaming Only)")</f>
        <v>Premium (Streaming Only)</v>
      </c>
      <c r="D108" s="15" t="str">
        <f>IFERROR(__xludf.DUMMYFUNCTION("""COMPUTED_VALUE"""),"Active")</f>
        <v>Active</v>
      </c>
      <c r="E108" s="17">
        <f>IFERROR(__xludf.DUMMYFUNCTION("""COMPUTED_VALUE"""),42374.0)</f>
        <v>42374</v>
      </c>
      <c r="F108" s="54"/>
      <c r="G108" s="19">
        <f>IFERROR(__xludf.DUMMYFUNCTION("""COMPUTED_VALUE"""),129.03333333333333)</f>
        <v>129.0333333</v>
      </c>
      <c r="H108" s="17">
        <f>IFERROR(__xludf.DUMMYFUNCTION("""COMPUTED_VALUE"""),39508.0)</f>
        <v>39508</v>
      </c>
      <c r="I108" s="19">
        <f>IFERROR(__xludf.DUMMYFUNCTION("""COMPUTED_VALUE"""),7.844444444444444)</f>
        <v>7.844444444</v>
      </c>
      <c r="J108" s="21">
        <f>IFERROR(__xludf.DUMMYFUNCTION("""COMPUTED_VALUE"""),81.0)</f>
        <v>81</v>
      </c>
      <c r="K108" s="23">
        <f>IFERROR(__xludf.DUMMYFUNCTION("""COMPUTED_VALUE"""),8.4)</f>
        <v>8.4</v>
      </c>
      <c r="L108" s="24">
        <f>IFERROR(__xludf.DUMMYFUNCTION("""COMPUTED_VALUE"""),15.0)</f>
        <v>15</v>
      </c>
      <c r="M108" s="25" t="str">
        <f>IFERROR(__xludf.DUMMYFUNCTION("""COMPUTED_VALUE"""),"Golf")</f>
        <v>Golf</v>
      </c>
      <c r="N108" s="25" t="str">
        <f>IFERROR(__xludf.DUMMYFUNCTION("""COMPUTED_VALUE"""),"PS3")</f>
        <v>PS3</v>
      </c>
      <c r="O108" s="26" t="str">
        <f>IFERROR(__xludf.DUMMYFUNCTION("""COMPUTED_VALUE"""),"Yes")</f>
        <v>Yes</v>
      </c>
      <c r="P108" s="26" t="str">
        <f>IFERROR(__xludf.DUMMYFUNCTION("""COMPUTED_VALUE"""),"")</f>
        <v/>
      </c>
    </row>
    <row r="109">
      <c r="A109" s="13" t="str">
        <f>IFERROR(__xludf.DUMMYFUNCTION("""COMPUTED_VALUE"""),"Tales from Space: Mutant Blobs Attack")</f>
        <v>Tales from Space: Mutant Blobs Attack</v>
      </c>
      <c r="B109" s="15" t="str">
        <f>IFERROR(__xludf.DUMMYFUNCTION("""COMPUTED_VALUE"""),"PS5/PS4")</f>
        <v>PS5/PS4</v>
      </c>
      <c r="C109" s="16" t="str">
        <f>IFERROR(__xludf.DUMMYFUNCTION("""COMPUTED_VALUE"""),"Premium (Streaming Only)")</f>
        <v>Premium (Streaming Only)</v>
      </c>
      <c r="D109" s="15" t="str">
        <f>IFERROR(__xludf.DUMMYFUNCTION("""COMPUTED_VALUE"""),"Active")</f>
        <v>Active</v>
      </c>
      <c r="E109" s="17">
        <f>IFERROR(__xludf.DUMMYFUNCTION("""COMPUTED_VALUE"""),42374.0)</f>
        <v>42374</v>
      </c>
      <c r="F109" s="54"/>
      <c r="G109" s="19">
        <f>IFERROR(__xludf.DUMMYFUNCTION("""COMPUTED_VALUE"""),129.03333333333333)</f>
        <v>129.0333333</v>
      </c>
      <c r="H109" s="17">
        <f>IFERROR(__xludf.DUMMYFUNCTION("""COMPUTED_VALUE"""),41791.0)</f>
        <v>41791</v>
      </c>
      <c r="I109" s="19">
        <f>IFERROR(__xludf.DUMMYFUNCTION("""COMPUTED_VALUE"""),1.5944444444444446)</f>
        <v>1.594444444</v>
      </c>
      <c r="J109" s="21">
        <f>IFERROR(__xludf.DUMMYFUNCTION("""COMPUTED_VALUE"""),81.0)</f>
        <v>81</v>
      </c>
      <c r="K109" s="23">
        <f>IFERROR(__xludf.DUMMYFUNCTION("""COMPUTED_VALUE"""),7.9)</f>
        <v>7.9</v>
      </c>
      <c r="L109" s="24">
        <f>IFERROR(__xludf.DUMMYFUNCTION("""COMPUTED_VALUE"""),5.0)</f>
        <v>5</v>
      </c>
      <c r="M109" s="25" t="str">
        <f>IFERROR(__xludf.DUMMYFUNCTION("""COMPUTED_VALUE"""),"Platformer")</f>
        <v>Platformer</v>
      </c>
      <c r="N109" s="25" t="str">
        <f>IFERROR(__xludf.DUMMYFUNCTION("""COMPUTED_VALUE"""),"PS3")</f>
        <v>PS3</v>
      </c>
      <c r="O109" s="26" t="str">
        <f>IFERROR(__xludf.DUMMYFUNCTION("""COMPUTED_VALUE"""),"Yes")</f>
        <v>Yes</v>
      </c>
      <c r="P109" s="26" t="str">
        <f>IFERROR(__xludf.DUMMYFUNCTION("""COMPUTED_VALUE"""),"")</f>
        <v/>
      </c>
    </row>
    <row r="110">
      <c r="A110" s="13" t="str">
        <f>IFERROR(__xludf.DUMMYFUNCTION("""COMPUTED_VALUE"""),"Sam &amp; Max The Devil's Playhouse: Episode 1 - The Penal Zone")</f>
        <v>Sam &amp; Max The Devil's Playhouse: Episode 1 - The Penal Zone</v>
      </c>
      <c r="B110" s="15" t="str">
        <f>IFERROR(__xludf.DUMMYFUNCTION("""COMPUTED_VALUE"""),"PS5/PS4")</f>
        <v>PS5/PS4</v>
      </c>
      <c r="C110" s="16" t="str">
        <f>IFERROR(__xludf.DUMMYFUNCTION("""COMPUTED_VALUE"""),"Premium (Streaming Only)")</f>
        <v>Premium (Streaming Only)</v>
      </c>
      <c r="D110" s="15" t="str">
        <f>IFERROR(__xludf.DUMMYFUNCTION("""COMPUTED_VALUE"""),"Active")</f>
        <v>Active</v>
      </c>
      <c r="E110" s="17">
        <f>IFERROR(__xludf.DUMMYFUNCTION("""COMPUTED_VALUE"""),42311.0)</f>
        <v>42311</v>
      </c>
      <c r="F110" s="54"/>
      <c r="G110" s="19">
        <f>IFERROR(__xludf.DUMMYFUNCTION("""COMPUTED_VALUE"""),131.10000000000002)</f>
        <v>131.1</v>
      </c>
      <c r="H110" s="17">
        <f>IFERROR(__xludf.DUMMYFUNCTION("""COMPUTED_VALUE"""),40391.0)</f>
        <v>40391</v>
      </c>
      <c r="I110" s="19">
        <f>IFERROR(__xludf.DUMMYFUNCTION("""COMPUTED_VALUE"""),5.2555555555555555)</f>
        <v>5.255555556</v>
      </c>
      <c r="J110" s="21">
        <f>IFERROR(__xludf.DUMMYFUNCTION("""COMPUTED_VALUE"""),81.0)</f>
        <v>81</v>
      </c>
      <c r="K110" s="23">
        <f>IFERROR(__xludf.DUMMYFUNCTION("""COMPUTED_VALUE"""),7.5)</f>
        <v>7.5</v>
      </c>
      <c r="L110" s="24">
        <f>IFERROR(__xludf.DUMMYFUNCTION("""COMPUTED_VALUE"""),3.0)</f>
        <v>3</v>
      </c>
      <c r="M110" s="25" t="str">
        <f>IFERROR(__xludf.DUMMYFUNCTION("""COMPUTED_VALUE"""),"Adventure")</f>
        <v>Adventure</v>
      </c>
      <c r="N110" s="25" t="str">
        <f>IFERROR(__xludf.DUMMYFUNCTION("""COMPUTED_VALUE"""),"PS3")</f>
        <v>PS3</v>
      </c>
      <c r="O110" s="26" t="str">
        <f>IFERROR(__xludf.DUMMYFUNCTION("""COMPUTED_VALUE"""),"Yes")</f>
        <v>Yes</v>
      </c>
      <c r="P110" s="26" t="str">
        <f>IFERROR(__xludf.DUMMYFUNCTION("""COMPUTED_VALUE"""),"")</f>
        <v/>
      </c>
    </row>
    <row r="111">
      <c r="A111" s="13" t="str">
        <f>IFERROR(__xludf.DUMMYFUNCTION("""COMPUTED_VALUE"""),"STRONG BAD'S COOL GAME FOR ATTRACTIVE PEOPLE - EPISODE 4: DANGERESQUE 3: THE CRIMINAL PROJECTIVE")</f>
        <v>STRONG BAD'S COOL GAME FOR ATTRACTIVE PEOPLE - EPISODE 4: DANGERESQUE 3: THE CRIMINAL PROJECTIVE</v>
      </c>
      <c r="B111" s="15" t="str">
        <f>IFERROR(__xludf.DUMMYFUNCTION("""COMPUTED_VALUE"""),"PS5/PS4")</f>
        <v>PS5/PS4</v>
      </c>
      <c r="C111" s="16" t="str">
        <f>IFERROR(__xludf.DUMMYFUNCTION("""COMPUTED_VALUE"""),"Premium (Streaming Only)")</f>
        <v>Premium (Streaming Only)</v>
      </c>
      <c r="D111" s="15" t="str">
        <f>IFERROR(__xludf.DUMMYFUNCTION("""COMPUTED_VALUE"""),"Active")</f>
        <v>Active</v>
      </c>
      <c r="E111" s="17">
        <f>IFERROR(__xludf.DUMMYFUNCTION("""COMPUTED_VALUE"""),42311.0)</f>
        <v>42311</v>
      </c>
      <c r="F111" s="54"/>
      <c r="G111" s="19">
        <f>IFERROR(__xludf.DUMMYFUNCTION("""COMPUTED_VALUE"""),131.10000000000002)</f>
        <v>131.1</v>
      </c>
      <c r="H111" s="17">
        <f>IFERROR(__xludf.DUMMYFUNCTION("""COMPUTED_VALUE"""),39539.0)</f>
        <v>39539</v>
      </c>
      <c r="I111" s="19">
        <f>IFERROR(__xludf.DUMMYFUNCTION("""COMPUTED_VALUE"""),7.588888888888889)</f>
        <v>7.588888889</v>
      </c>
      <c r="J111" s="21">
        <f>IFERROR(__xludf.DUMMYFUNCTION("""COMPUTED_VALUE"""),81.0)</f>
        <v>81</v>
      </c>
      <c r="K111" s="23">
        <f>IFERROR(__xludf.DUMMYFUNCTION("""COMPUTED_VALUE"""),7.8)</f>
        <v>7.8</v>
      </c>
      <c r="L111" s="24">
        <f>IFERROR(__xludf.DUMMYFUNCTION("""COMPUTED_VALUE"""),2.0)</f>
        <v>2</v>
      </c>
      <c r="M111" s="25" t="str">
        <f>IFERROR(__xludf.DUMMYFUNCTION("""COMPUTED_VALUE"""),"Adventure")</f>
        <v>Adventure</v>
      </c>
      <c r="N111" s="25" t="str">
        <f>IFERROR(__xludf.DUMMYFUNCTION("""COMPUTED_VALUE"""),"PS3")</f>
        <v>PS3</v>
      </c>
      <c r="O111" s="26" t="str">
        <f>IFERROR(__xludf.DUMMYFUNCTION("""COMPUTED_VALUE"""),"Yes")</f>
        <v>Yes</v>
      </c>
      <c r="P111" s="26" t="str">
        <f>IFERROR(__xludf.DUMMYFUNCTION("""COMPUTED_VALUE"""),"")</f>
        <v/>
      </c>
    </row>
    <row r="112">
      <c r="A112" s="13" t="str">
        <f>IFERROR(__xludf.DUMMYFUNCTION("""COMPUTED_VALUE"""),"echochrome")</f>
        <v>echochrome</v>
      </c>
      <c r="B112" s="15" t="str">
        <f>IFERROR(__xludf.DUMMYFUNCTION("""COMPUTED_VALUE"""),"PS5/PS4")</f>
        <v>PS5/PS4</v>
      </c>
      <c r="C112" s="16" t="str">
        <f>IFERROR(__xludf.DUMMYFUNCTION("""COMPUTED_VALUE"""),"Premium (Streaming Only)")</f>
        <v>Premium (Streaming Only)</v>
      </c>
      <c r="D112" s="15" t="str">
        <f>IFERROR(__xludf.DUMMYFUNCTION("""COMPUTED_VALUE"""),"Active")</f>
        <v>Active</v>
      </c>
      <c r="E112" s="17">
        <f>IFERROR(__xludf.DUMMYFUNCTION("""COMPUTED_VALUE"""),42017.0)</f>
        <v>42017</v>
      </c>
      <c r="F112" s="54"/>
      <c r="G112" s="19">
        <f>IFERROR(__xludf.DUMMYFUNCTION("""COMPUTED_VALUE"""),140.76666666666668)</f>
        <v>140.7666667</v>
      </c>
      <c r="H112" s="17">
        <f>IFERROR(__xludf.DUMMYFUNCTION("""COMPUTED_VALUE"""),39569.0)</f>
        <v>39569</v>
      </c>
      <c r="I112" s="19">
        <f>IFERROR(__xludf.DUMMYFUNCTION("""COMPUTED_VALUE"""),6.7)</f>
        <v>6.7</v>
      </c>
      <c r="J112" s="21">
        <f>IFERROR(__xludf.DUMMYFUNCTION("""COMPUTED_VALUE"""),81.0)</f>
        <v>81</v>
      </c>
      <c r="K112" s="23">
        <f>IFERROR(__xludf.DUMMYFUNCTION("""COMPUTED_VALUE"""),7.4)</f>
        <v>7.4</v>
      </c>
      <c r="L112" s="24">
        <f>IFERROR(__xludf.DUMMYFUNCTION("""COMPUTED_VALUE"""),4.0)</f>
        <v>4</v>
      </c>
      <c r="M112" s="25" t="str">
        <f>IFERROR(__xludf.DUMMYFUNCTION("""COMPUTED_VALUE"""),"Puzzle")</f>
        <v>Puzzle</v>
      </c>
      <c r="N112" s="25" t="str">
        <f>IFERROR(__xludf.DUMMYFUNCTION("""COMPUTED_VALUE"""),"PS3")</f>
        <v>PS3</v>
      </c>
      <c r="O112" s="26" t="str">
        <f>IFERROR(__xludf.DUMMYFUNCTION("""COMPUTED_VALUE"""),"No")</f>
        <v>No</v>
      </c>
      <c r="P112" s="26" t="str">
        <f>IFERROR(__xludf.DUMMYFUNCTION("""COMPUTED_VALUE"""),"")</f>
        <v/>
      </c>
    </row>
    <row r="113">
      <c r="A113" s="13" t="str">
        <f>IFERROR(__xludf.DUMMYFUNCTION("""COMPUTED_VALUE"""),"God of War II HD")</f>
        <v>God of War II HD</v>
      </c>
      <c r="B113" s="15" t="str">
        <f>IFERROR(__xludf.DUMMYFUNCTION("""COMPUTED_VALUE"""),"PS5/PS4")</f>
        <v>PS5/PS4</v>
      </c>
      <c r="C113" s="16" t="str">
        <f>IFERROR(__xludf.DUMMYFUNCTION("""COMPUTED_VALUE"""),"Premium (Streaming Only)")</f>
        <v>Premium (Streaming Only)</v>
      </c>
      <c r="D113" s="15" t="str">
        <f>IFERROR(__xludf.DUMMYFUNCTION("""COMPUTED_VALUE"""),"Active")</f>
        <v>Active</v>
      </c>
      <c r="E113" s="17">
        <f>IFERROR(__xludf.DUMMYFUNCTION("""COMPUTED_VALUE"""),42017.0)</f>
        <v>42017</v>
      </c>
      <c r="F113" s="54"/>
      <c r="G113" s="19">
        <f>IFERROR(__xludf.DUMMYFUNCTION("""COMPUTED_VALUE"""),140.76666666666668)</f>
        <v>140.7666667</v>
      </c>
      <c r="H113" s="17">
        <f>IFERROR(__xludf.DUMMYFUNCTION("""COMPUTED_VALUE"""),39142.0)</f>
        <v>39142</v>
      </c>
      <c r="I113" s="19">
        <f>IFERROR(__xludf.DUMMYFUNCTION("""COMPUTED_VALUE"""),7.866666666666666)</f>
        <v>7.866666667</v>
      </c>
      <c r="J113" s="21">
        <f>IFERROR(__xludf.DUMMYFUNCTION("""COMPUTED_VALUE"""),81.0)</f>
        <v>81</v>
      </c>
      <c r="K113" s="23">
        <f>IFERROR(__xludf.DUMMYFUNCTION("""COMPUTED_VALUE"""),9.1)</f>
        <v>9.1</v>
      </c>
      <c r="L113" s="24">
        <f>IFERROR(__xludf.DUMMYFUNCTION("""COMPUTED_VALUE"""),12.0)</f>
        <v>12</v>
      </c>
      <c r="M113" s="25" t="str">
        <f>IFERROR(__xludf.DUMMYFUNCTION("""COMPUTED_VALUE"""),"Action-Adventure")</f>
        <v>Action-Adventure</v>
      </c>
      <c r="N113" s="25" t="str">
        <f>IFERROR(__xludf.DUMMYFUNCTION("""COMPUTED_VALUE"""),"PS3")</f>
        <v>PS3</v>
      </c>
      <c r="O113" s="26" t="str">
        <f>IFERROR(__xludf.DUMMYFUNCTION("""COMPUTED_VALUE"""),"Yes")</f>
        <v>Yes</v>
      </c>
      <c r="P113" s="26" t="str">
        <f>IFERROR(__xludf.DUMMYFUNCTION("""COMPUTED_VALUE"""),"")</f>
        <v/>
      </c>
    </row>
    <row r="114">
      <c r="A114" s="13" t="str">
        <f>IFERROR(__xludf.DUMMYFUNCTION("""COMPUTED_VALUE"""),"Hustle Kings")</f>
        <v>Hustle Kings</v>
      </c>
      <c r="B114" s="15" t="str">
        <f>IFERROR(__xludf.DUMMYFUNCTION("""COMPUTED_VALUE"""),"PS5/PS4")</f>
        <v>PS5/PS4</v>
      </c>
      <c r="C114" s="16" t="str">
        <f>IFERROR(__xludf.DUMMYFUNCTION("""COMPUTED_VALUE"""),"Premium (Streaming Only)")</f>
        <v>Premium (Streaming Only)</v>
      </c>
      <c r="D114" s="15" t="str">
        <f>IFERROR(__xludf.DUMMYFUNCTION("""COMPUTED_VALUE"""),"Active")</f>
        <v>Active</v>
      </c>
      <c r="E114" s="17">
        <f>IFERROR(__xludf.DUMMYFUNCTION("""COMPUTED_VALUE"""),42017.0)</f>
        <v>42017</v>
      </c>
      <c r="F114" s="54"/>
      <c r="G114" s="19">
        <f>IFERROR(__xludf.DUMMYFUNCTION("""COMPUTED_VALUE"""),140.76666666666668)</f>
        <v>140.7666667</v>
      </c>
      <c r="H114" s="17">
        <f>IFERROR(__xludf.DUMMYFUNCTION("""COMPUTED_VALUE"""),40179.0)</f>
        <v>40179</v>
      </c>
      <c r="I114" s="19">
        <f>IFERROR(__xludf.DUMMYFUNCTION("""COMPUTED_VALUE"""),5.033333333333333)</f>
        <v>5.033333333</v>
      </c>
      <c r="J114" s="21">
        <f>IFERROR(__xludf.DUMMYFUNCTION("""COMPUTED_VALUE"""),81.0)</f>
        <v>81</v>
      </c>
      <c r="K114" s="23">
        <f>IFERROR(__xludf.DUMMYFUNCTION("""COMPUTED_VALUE"""),7.8)</f>
        <v>7.8</v>
      </c>
      <c r="L114" s="24"/>
      <c r="M114" s="25" t="str">
        <f>IFERROR(__xludf.DUMMYFUNCTION("""COMPUTED_VALUE"""),"Billiards")</f>
        <v>Billiards</v>
      </c>
      <c r="N114" s="25" t="str">
        <f>IFERROR(__xludf.DUMMYFUNCTION("""COMPUTED_VALUE"""),"PS3")</f>
        <v>PS3</v>
      </c>
      <c r="O114" s="26" t="str">
        <f>IFERROR(__xludf.DUMMYFUNCTION("""COMPUTED_VALUE"""),"Yes")</f>
        <v>Yes</v>
      </c>
      <c r="P114" s="26" t="str">
        <f>IFERROR(__xludf.DUMMYFUNCTION("""COMPUTED_VALUE"""),"")</f>
        <v/>
      </c>
    </row>
    <row r="115">
      <c r="A115" s="13" t="str">
        <f>IFERROR(__xludf.DUMMYFUNCTION("""COMPUTED_VALUE"""),"Pool Nation")</f>
        <v>Pool Nation</v>
      </c>
      <c r="B115" s="15" t="str">
        <f>IFERROR(__xludf.DUMMYFUNCTION("""COMPUTED_VALUE"""),"PS5/PS4")</f>
        <v>PS5/PS4</v>
      </c>
      <c r="C115" s="16" t="str">
        <f>IFERROR(__xludf.DUMMYFUNCTION("""COMPUTED_VALUE"""),"Premium (Streaming Only)")</f>
        <v>Premium (Streaming Only)</v>
      </c>
      <c r="D115" s="15" t="str">
        <f>IFERROR(__xludf.DUMMYFUNCTION("""COMPUTED_VALUE"""),"Active")</f>
        <v>Active</v>
      </c>
      <c r="E115" s="17">
        <f>IFERROR(__xludf.DUMMYFUNCTION("""COMPUTED_VALUE"""),42017.0)</f>
        <v>42017</v>
      </c>
      <c r="F115" s="54"/>
      <c r="G115" s="19">
        <f>IFERROR(__xludf.DUMMYFUNCTION("""COMPUTED_VALUE"""),140.76666666666668)</f>
        <v>140.7666667</v>
      </c>
      <c r="H115" s="17">
        <f>IFERROR(__xludf.DUMMYFUNCTION("""COMPUTED_VALUE"""),41426.0)</f>
        <v>41426</v>
      </c>
      <c r="I115" s="19">
        <f>IFERROR(__xludf.DUMMYFUNCTION("""COMPUTED_VALUE"""),1.6166666666666667)</f>
        <v>1.616666667</v>
      </c>
      <c r="J115" s="21">
        <f>IFERROR(__xludf.DUMMYFUNCTION("""COMPUTED_VALUE"""),81.0)</f>
        <v>81</v>
      </c>
      <c r="K115" s="23">
        <f>IFERROR(__xludf.DUMMYFUNCTION("""COMPUTED_VALUE"""),7.3)</f>
        <v>7.3</v>
      </c>
      <c r="L115" s="24"/>
      <c r="M115" s="25" t="str">
        <f>IFERROR(__xludf.DUMMYFUNCTION("""COMPUTED_VALUE"""),"Billiards")</f>
        <v>Billiards</v>
      </c>
      <c r="N115" s="25" t="str">
        <f>IFERROR(__xludf.DUMMYFUNCTION("""COMPUTED_VALUE"""),"PS3")</f>
        <v>PS3</v>
      </c>
      <c r="O115" s="26" t="str">
        <f>IFERROR(__xludf.DUMMYFUNCTION("""COMPUTED_VALUE"""),"Yes")</f>
        <v>Yes</v>
      </c>
      <c r="P115" s="26" t="str">
        <f>IFERROR(__xludf.DUMMYFUNCTION("""COMPUTED_VALUE"""),"")</f>
        <v/>
      </c>
    </row>
    <row r="116">
      <c r="A116" s="13" t="str">
        <f>IFERROR(__xludf.DUMMYFUNCTION("""COMPUTED_VALUE"""),"RAGE")</f>
        <v>RAGE</v>
      </c>
      <c r="B116" s="15" t="str">
        <f>IFERROR(__xludf.DUMMYFUNCTION("""COMPUTED_VALUE"""),"PS5/PS4")</f>
        <v>PS5/PS4</v>
      </c>
      <c r="C116" s="16" t="str">
        <f>IFERROR(__xludf.DUMMYFUNCTION("""COMPUTED_VALUE"""),"Premium (Streaming Only)")</f>
        <v>Premium (Streaming Only)</v>
      </c>
      <c r="D116" s="15" t="str">
        <f>IFERROR(__xludf.DUMMYFUNCTION("""COMPUTED_VALUE"""),"Active")</f>
        <v>Active</v>
      </c>
      <c r="E116" s="17">
        <f>IFERROR(__xludf.DUMMYFUNCTION("""COMPUTED_VALUE"""),42017.0)</f>
        <v>42017</v>
      </c>
      <c r="F116" s="54"/>
      <c r="G116" s="19">
        <f>IFERROR(__xludf.DUMMYFUNCTION("""COMPUTED_VALUE"""),140.76666666666668)</f>
        <v>140.7666667</v>
      </c>
      <c r="H116" s="17">
        <f>IFERROR(__xludf.DUMMYFUNCTION("""COMPUTED_VALUE"""),40820.0)</f>
        <v>40820</v>
      </c>
      <c r="I116" s="19">
        <f>IFERROR(__xludf.DUMMYFUNCTION("""COMPUTED_VALUE"""),3.275)</f>
        <v>3.275</v>
      </c>
      <c r="J116" s="21">
        <f>IFERROR(__xludf.DUMMYFUNCTION("""COMPUTED_VALUE"""),81.0)</f>
        <v>81</v>
      </c>
      <c r="K116" s="23">
        <f>IFERROR(__xludf.DUMMYFUNCTION("""COMPUTED_VALUE"""),7.2)</f>
        <v>7.2</v>
      </c>
      <c r="L116" s="24">
        <f>IFERROR(__xludf.DUMMYFUNCTION("""COMPUTED_VALUE"""),11.0)</f>
        <v>11</v>
      </c>
      <c r="M116" s="25" t="str">
        <f>IFERROR(__xludf.DUMMYFUNCTION("""COMPUTED_VALUE"""),"Shooter")</f>
        <v>Shooter</v>
      </c>
      <c r="N116" s="25" t="str">
        <f>IFERROR(__xludf.DUMMYFUNCTION("""COMPUTED_VALUE"""),"PS3")</f>
        <v>PS3</v>
      </c>
      <c r="O116" s="26" t="str">
        <f>IFERROR(__xludf.DUMMYFUNCTION("""COMPUTED_VALUE"""),"Yes")</f>
        <v>Yes</v>
      </c>
      <c r="P116" s="26"/>
    </row>
    <row r="117">
      <c r="A117" s="13" t="str">
        <f>IFERROR(__xludf.DUMMYFUNCTION("""COMPUTED_VALUE"""),"War of the Monsters")</f>
        <v>War of the Monsters</v>
      </c>
      <c r="B117" s="15" t="str">
        <f>IFERROR(__xludf.DUMMYFUNCTION("""COMPUTED_VALUE"""),"PS5/PS4")</f>
        <v>PS5/PS4</v>
      </c>
      <c r="C117" s="16" t="str">
        <f>IFERROR(__xludf.DUMMYFUNCTION("""COMPUTED_VALUE"""),"Premium (Classics)")</f>
        <v>Premium (Classics)</v>
      </c>
      <c r="D117" s="15" t="str">
        <f>IFERROR(__xludf.DUMMYFUNCTION("""COMPUTED_VALUE"""),"Active")</f>
        <v>Active</v>
      </c>
      <c r="E117" s="17">
        <f>IFERROR(__xludf.DUMMYFUNCTION("""COMPUTED_VALUE"""),45762.0)</f>
        <v>45762</v>
      </c>
      <c r="F117" s="54"/>
      <c r="G117" s="19">
        <f>IFERROR(__xludf.DUMMYFUNCTION("""COMPUTED_VALUE"""),17.700000000000003)</f>
        <v>17.7</v>
      </c>
      <c r="H117" s="17">
        <f>IFERROR(__xludf.DUMMYFUNCTION("""COMPUTED_VALUE"""),37635.0)</f>
        <v>37635</v>
      </c>
      <c r="I117" s="19">
        <f>IFERROR(__xludf.DUMMYFUNCTION("""COMPUTED_VALUE"""),22.252777777777776)</f>
        <v>22.25277778</v>
      </c>
      <c r="J117" s="21">
        <f>IFERROR(__xludf.DUMMYFUNCTION("""COMPUTED_VALUE"""),80.0)</f>
        <v>80</v>
      </c>
      <c r="K117" s="23">
        <f>IFERROR(__xludf.DUMMYFUNCTION("""COMPUTED_VALUE"""),8.0)</f>
        <v>8</v>
      </c>
      <c r="L117" s="24">
        <f>IFERROR(__xludf.DUMMYFUNCTION("""COMPUTED_VALUE"""),3.0)</f>
        <v>3</v>
      </c>
      <c r="M117" s="25" t="str">
        <f>IFERROR(__xludf.DUMMYFUNCTION("""COMPUTED_VALUE"""),"Fighting")</f>
        <v>Fighting</v>
      </c>
      <c r="N117" s="25" t="str">
        <f>IFERROR(__xludf.DUMMYFUNCTION("""COMPUTED_VALUE"""),"PS2")</f>
        <v>PS2</v>
      </c>
      <c r="O117" s="26"/>
      <c r="P117" s="26"/>
    </row>
    <row r="118">
      <c r="A118" s="13" t="str">
        <f>IFERROR(__xludf.DUMMYFUNCTION("""COMPUTED_VALUE"""),"Tomb Raider: Legend")</f>
        <v>Tomb Raider: Legend</v>
      </c>
      <c r="B118" s="15" t="str">
        <f>IFERROR(__xludf.DUMMYFUNCTION("""COMPUTED_VALUE"""),"PS5/PS4")</f>
        <v>PS5/PS4</v>
      </c>
      <c r="C118" s="16" t="str">
        <f>IFERROR(__xludf.DUMMYFUNCTION("""COMPUTED_VALUE"""),"Premium (Classics)")</f>
        <v>Premium (Classics)</v>
      </c>
      <c r="D118" s="15" t="str">
        <f>IFERROR(__xludf.DUMMYFUNCTION("""COMPUTED_VALUE"""),"Active")</f>
        <v>Active</v>
      </c>
      <c r="E118" s="17">
        <f>IFERROR(__xludf.DUMMYFUNCTION("""COMPUTED_VALUE"""),45454.0)</f>
        <v>45454</v>
      </c>
      <c r="F118" s="54"/>
      <c r="G118" s="19">
        <f>IFERROR(__xludf.DUMMYFUNCTION("""COMPUTED_VALUE"""),27.833333333333336)</f>
        <v>27.83333333</v>
      </c>
      <c r="H118" s="17">
        <f>IFERROR(__xludf.DUMMYFUNCTION("""COMPUTED_VALUE"""),38818.0)</f>
        <v>38818</v>
      </c>
      <c r="I118" s="19">
        <f>IFERROR(__xludf.DUMMYFUNCTION("""COMPUTED_VALUE"""),18.166666666666668)</f>
        <v>18.16666667</v>
      </c>
      <c r="J118" s="21">
        <f>IFERROR(__xludf.DUMMYFUNCTION("""COMPUTED_VALUE"""),80.0)</f>
        <v>80</v>
      </c>
      <c r="K118" s="23">
        <f>IFERROR(__xludf.DUMMYFUNCTION("""COMPUTED_VALUE"""),7.9)</f>
        <v>7.9</v>
      </c>
      <c r="L118" s="24">
        <f>IFERROR(__xludf.DUMMYFUNCTION("""COMPUTED_VALUE"""),7.0)</f>
        <v>7</v>
      </c>
      <c r="M118" s="25" t="str">
        <f>IFERROR(__xludf.DUMMYFUNCTION("""COMPUTED_VALUE"""),"Action-Adventure")</f>
        <v>Action-Adventure</v>
      </c>
      <c r="N118" s="25" t="str">
        <f>IFERROR(__xludf.DUMMYFUNCTION("""COMPUTED_VALUE"""),"PS2")</f>
        <v>PS2</v>
      </c>
      <c r="O118" s="26" t="str">
        <f>IFERROR(__xludf.DUMMYFUNCTION("""COMPUTED_VALUE"""),"Yes")</f>
        <v>Yes</v>
      </c>
      <c r="P118" s="26"/>
    </row>
    <row r="119">
      <c r="A119" s="13" t="str">
        <f>IFERROR(__xludf.DUMMYFUNCTION("""COMPUTED_VALUE"""),"Soulcalibur: Broken Destiny")</f>
        <v>Soulcalibur: Broken Destiny</v>
      </c>
      <c r="B119" s="15" t="str">
        <f>IFERROR(__xludf.DUMMYFUNCTION("""COMPUTED_VALUE"""),"PS5/PS4")</f>
        <v>PS5/PS4</v>
      </c>
      <c r="C119" s="16" t="str">
        <f>IFERROR(__xludf.DUMMYFUNCTION("""COMPUTED_VALUE"""),"Premium (Classics)")</f>
        <v>Premium (Classics)</v>
      </c>
      <c r="D119" s="15" t="str">
        <f>IFERROR(__xludf.DUMMYFUNCTION("""COMPUTED_VALUE"""),"Active")</f>
        <v>Active</v>
      </c>
      <c r="E119" s="17">
        <f>IFERROR(__xludf.DUMMYFUNCTION("""COMPUTED_VALUE"""),45216.0)</f>
        <v>45216</v>
      </c>
      <c r="F119" s="54"/>
      <c r="G119" s="19">
        <f>IFERROR(__xludf.DUMMYFUNCTION("""COMPUTED_VALUE"""),35.63333333333333)</f>
        <v>35.63333333</v>
      </c>
      <c r="H119" s="17">
        <f>IFERROR(__xludf.DUMMYFUNCTION("""COMPUTED_VALUE"""),40057.0)</f>
        <v>40057</v>
      </c>
      <c r="I119" s="19">
        <f>IFERROR(__xludf.DUMMYFUNCTION("""COMPUTED_VALUE"""),14.127777777777778)</f>
        <v>14.12777778</v>
      </c>
      <c r="J119" s="21">
        <f>IFERROR(__xludf.DUMMYFUNCTION("""COMPUTED_VALUE"""),80.0)</f>
        <v>80</v>
      </c>
      <c r="K119" s="23">
        <f>IFERROR(__xludf.DUMMYFUNCTION("""COMPUTED_VALUE"""),7.0)</f>
        <v>7</v>
      </c>
      <c r="L119" s="24">
        <f>IFERROR(__xludf.DUMMYFUNCTION("""COMPUTED_VALUE"""),4.0)</f>
        <v>4</v>
      </c>
      <c r="M119" s="25" t="str">
        <f>IFERROR(__xludf.DUMMYFUNCTION("""COMPUTED_VALUE"""),"Fighting")</f>
        <v>Fighting</v>
      </c>
      <c r="N119" s="25" t="str">
        <f>IFERROR(__xludf.DUMMYFUNCTION("""COMPUTED_VALUE"""),"PSP")</f>
        <v>PSP</v>
      </c>
      <c r="O119" s="26" t="str">
        <f>IFERROR(__xludf.DUMMYFUNCTION("""COMPUTED_VALUE"""),"Yes")</f>
        <v>Yes</v>
      </c>
      <c r="P119" s="26"/>
    </row>
    <row r="120">
      <c r="A120" s="13" t="str">
        <f>IFERROR(__xludf.DUMMYFUNCTION("""COMPUTED_VALUE"""),"Dishonored: Definitive Edition")</f>
        <v>Dishonored: Definitive Edition</v>
      </c>
      <c r="B120" s="15" t="str">
        <f>IFERROR(__xludf.DUMMYFUNCTION("""COMPUTED_VALUE"""),"PS4")</f>
        <v>PS4</v>
      </c>
      <c r="C120" s="16" t="str">
        <f>IFERROR(__xludf.DUMMYFUNCTION("""COMPUTED_VALUE"""),"Premium (Remasters)")</f>
        <v>Premium (Remasters)</v>
      </c>
      <c r="D120" s="15" t="str">
        <f>IFERROR(__xludf.DUMMYFUNCTION("""COMPUTED_VALUE"""),"Active")</f>
        <v>Active</v>
      </c>
      <c r="E120" s="17">
        <f>IFERROR(__xludf.DUMMYFUNCTION("""COMPUTED_VALUE"""),45034.0)</f>
        <v>45034</v>
      </c>
      <c r="F120" s="54"/>
      <c r="G120" s="19">
        <f>IFERROR(__xludf.DUMMYFUNCTION("""COMPUTED_VALUE"""),41.6)</f>
        <v>41.6</v>
      </c>
      <c r="H120" s="17">
        <f>IFERROR(__xludf.DUMMYFUNCTION("""COMPUTED_VALUE"""),42241.0)</f>
        <v>42241</v>
      </c>
      <c r="I120" s="19">
        <f>IFERROR(__xludf.DUMMYFUNCTION("""COMPUTED_VALUE"""),7.647222222222222)</f>
        <v>7.647222222</v>
      </c>
      <c r="J120" s="21">
        <f>IFERROR(__xludf.DUMMYFUNCTION("""COMPUTED_VALUE"""),80.0)</f>
        <v>80</v>
      </c>
      <c r="K120" s="23">
        <f>IFERROR(__xludf.DUMMYFUNCTION("""COMPUTED_VALUE"""),8.3)</f>
        <v>8.3</v>
      </c>
      <c r="L120" s="24">
        <f>IFERROR(__xludf.DUMMYFUNCTION("""COMPUTED_VALUE"""),13.0)</f>
        <v>13</v>
      </c>
      <c r="M120" s="25" t="str">
        <f>IFERROR(__xludf.DUMMYFUNCTION("""COMPUTED_VALUE"""),"Shooter")</f>
        <v>Shooter</v>
      </c>
      <c r="N120" s="25" t="str">
        <f>IFERROR(__xludf.DUMMYFUNCTION("""COMPUTED_VALUE"""),"PS3")</f>
        <v>PS3</v>
      </c>
      <c r="O120" s="26" t="str">
        <f>IFERROR(__xludf.DUMMYFUNCTION("""COMPUTED_VALUE"""),"Yes")</f>
        <v>Yes</v>
      </c>
      <c r="P120" s="26"/>
    </row>
    <row r="121">
      <c r="A121" s="13" t="str">
        <f>IFERROR(__xludf.DUMMYFUNCTION("""COMPUTED_VALUE"""),"Mr. Driller")</f>
        <v>Mr. Driller</v>
      </c>
      <c r="B121" s="15" t="str">
        <f>IFERROR(__xludf.DUMMYFUNCTION("""COMPUTED_VALUE"""),"PS5/PS4")</f>
        <v>PS5/PS4</v>
      </c>
      <c r="C121" s="16" t="str">
        <f>IFERROR(__xludf.DUMMYFUNCTION("""COMPUTED_VALUE"""),"Premium (Classics)")</f>
        <v>Premium (Classics)</v>
      </c>
      <c r="D121" s="15" t="str">
        <f>IFERROR(__xludf.DUMMYFUNCTION("""COMPUTED_VALUE"""),"Active")</f>
        <v>Active</v>
      </c>
      <c r="E121" s="17">
        <f>IFERROR(__xludf.DUMMYFUNCTION("""COMPUTED_VALUE"""),44725.0)</f>
        <v>44725</v>
      </c>
      <c r="F121" s="54"/>
      <c r="G121" s="19">
        <f>IFERROR(__xludf.DUMMYFUNCTION("""COMPUTED_VALUE"""),51.766666666666666)</f>
        <v>51.76666667</v>
      </c>
      <c r="H121" s="17">
        <f>IFERROR(__xludf.DUMMYFUNCTION("""COMPUTED_VALUE"""),36699.0)</f>
        <v>36699</v>
      </c>
      <c r="I121" s="19">
        <f>IFERROR(__xludf.DUMMYFUNCTION("""COMPUTED_VALUE"""),21.975)</f>
        <v>21.975</v>
      </c>
      <c r="J121" s="21">
        <f>IFERROR(__xludf.DUMMYFUNCTION("""COMPUTED_VALUE"""),80.0)</f>
        <v>80</v>
      </c>
      <c r="K121" s="23">
        <f>IFERROR(__xludf.DUMMYFUNCTION("""COMPUTED_VALUE"""),8.1)</f>
        <v>8.1</v>
      </c>
      <c r="L121" s="24"/>
      <c r="M121" s="25" t="str">
        <f>IFERROR(__xludf.DUMMYFUNCTION("""COMPUTED_VALUE"""),"Puzzle")</f>
        <v>Puzzle</v>
      </c>
      <c r="N121" s="25" t="str">
        <f>IFERROR(__xludf.DUMMYFUNCTION("""COMPUTED_VALUE"""),"PS1")</f>
        <v>PS1</v>
      </c>
      <c r="O121" s="26" t="str">
        <f>IFERROR(__xludf.DUMMYFUNCTION("""COMPUTED_VALUE"""),"No")</f>
        <v>No</v>
      </c>
      <c r="P121" s="26" t="str">
        <f>IFERROR(__xludf.DUMMYFUNCTION("""COMPUTED_VALUE"""),"")</f>
        <v/>
      </c>
    </row>
    <row r="122">
      <c r="A122" s="13" t="str">
        <f>IFERROR(__xludf.DUMMYFUNCTION("""COMPUTED_VALUE"""),"Resident Evil: Director's Cut")</f>
        <v>Resident Evil: Director's Cut</v>
      </c>
      <c r="B122" s="15" t="str">
        <f>IFERROR(__xludf.DUMMYFUNCTION("""COMPUTED_VALUE"""),"PS5/PS4")</f>
        <v>PS5/PS4</v>
      </c>
      <c r="C122" s="16" t="str">
        <f>IFERROR(__xludf.DUMMYFUNCTION("""COMPUTED_VALUE"""),"Premium (Classics)")</f>
        <v>Premium (Classics)</v>
      </c>
      <c r="D122" s="15" t="str">
        <f>IFERROR(__xludf.DUMMYFUNCTION("""COMPUTED_VALUE"""),"Active")</f>
        <v>Active</v>
      </c>
      <c r="E122" s="17">
        <f>IFERROR(__xludf.DUMMYFUNCTION("""COMPUTED_VALUE"""),44725.0)</f>
        <v>44725</v>
      </c>
      <c r="F122" s="54"/>
      <c r="G122" s="19">
        <f>IFERROR(__xludf.DUMMYFUNCTION("""COMPUTED_VALUE"""),51.766666666666666)</f>
        <v>51.76666667</v>
      </c>
      <c r="H122" s="17">
        <f>IFERROR(__xludf.DUMMYFUNCTION("""COMPUTED_VALUE"""),35125.0)</f>
        <v>35125</v>
      </c>
      <c r="I122" s="19">
        <f>IFERROR(__xludf.DUMMYFUNCTION("""COMPUTED_VALUE"""),26.283333333333335)</f>
        <v>26.28333333</v>
      </c>
      <c r="J122" s="21">
        <f>IFERROR(__xludf.DUMMYFUNCTION("""COMPUTED_VALUE"""),80.0)</f>
        <v>80</v>
      </c>
      <c r="K122" s="23">
        <f>IFERROR(__xludf.DUMMYFUNCTION("""COMPUTED_VALUE"""),8.0)</f>
        <v>8</v>
      </c>
      <c r="L122" s="24">
        <f>IFERROR(__xludf.DUMMYFUNCTION("""COMPUTED_VALUE"""),10.0)</f>
        <v>10</v>
      </c>
      <c r="M122" s="25" t="str">
        <f>IFERROR(__xludf.DUMMYFUNCTION("""COMPUTED_VALUE"""),"Survival")</f>
        <v>Survival</v>
      </c>
      <c r="N122" s="25" t="str">
        <f>IFERROR(__xludf.DUMMYFUNCTION("""COMPUTED_VALUE"""),"PS1")</f>
        <v>PS1</v>
      </c>
      <c r="O122" s="26" t="str">
        <f>IFERROR(__xludf.DUMMYFUNCTION("""COMPUTED_VALUE"""),"No")</f>
        <v>No</v>
      </c>
      <c r="P122" s="26" t="str">
        <f>IFERROR(__xludf.DUMMYFUNCTION("""COMPUTED_VALUE"""),"")</f>
        <v/>
      </c>
    </row>
    <row r="123">
      <c r="A123" s="13" t="str">
        <f>IFERROR(__xludf.DUMMYFUNCTION("""COMPUTED_VALUE"""),"Dark Cloud")</f>
        <v>Dark Cloud</v>
      </c>
      <c r="B123" s="15" t="str">
        <f>IFERROR(__xludf.DUMMYFUNCTION("""COMPUTED_VALUE"""),"PS4")</f>
        <v>PS4</v>
      </c>
      <c r="C123" s="16" t="str">
        <f>IFERROR(__xludf.DUMMYFUNCTION("""COMPUTED_VALUE"""),"Premium (Classics)")</f>
        <v>Premium (Classics)</v>
      </c>
      <c r="D123" s="15" t="str">
        <f>IFERROR(__xludf.DUMMYFUNCTION("""COMPUTED_VALUE"""),"Active")</f>
        <v>Active</v>
      </c>
      <c r="E123" s="17">
        <f>IFERROR(__xludf.DUMMYFUNCTION("""COMPUTED_VALUE"""),44725.0)</f>
        <v>44725</v>
      </c>
      <c r="F123" s="54"/>
      <c r="G123" s="19">
        <f>IFERROR(__xludf.DUMMYFUNCTION("""COMPUTED_VALUE"""),51.766666666666666)</f>
        <v>51.76666667</v>
      </c>
      <c r="H123" s="17">
        <f>IFERROR(__xludf.DUMMYFUNCTION("""COMPUTED_VALUE"""),37012.0)</f>
        <v>37012</v>
      </c>
      <c r="I123" s="19">
        <f>IFERROR(__xludf.DUMMYFUNCTION("""COMPUTED_VALUE"""),21.116666666666667)</f>
        <v>21.11666667</v>
      </c>
      <c r="J123" s="21">
        <f>IFERROR(__xludf.DUMMYFUNCTION("""COMPUTED_VALUE"""),80.0)</f>
        <v>80</v>
      </c>
      <c r="K123" s="23">
        <f>IFERROR(__xludf.DUMMYFUNCTION("""COMPUTED_VALUE"""),8.6)</f>
        <v>8.6</v>
      </c>
      <c r="L123" s="24">
        <f>IFERROR(__xludf.DUMMYFUNCTION("""COMPUTED_VALUE"""),40.0)</f>
        <v>40</v>
      </c>
      <c r="M123" s="25" t="str">
        <f>IFERROR(__xludf.DUMMYFUNCTION("""COMPUTED_VALUE"""),"RPG")</f>
        <v>RPG</v>
      </c>
      <c r="N123" s="25" t="str">
        <f>IFERROR(__xludf.DUMMYFUNCTION("""COMPUTED_VALUE"""),"PS2")</f>
        <v>PS2</v>
      </c>
      <c r="O123" s="26" t="str">
        <f>IFERROR(__xludf.DUMMYFUNCTION("""COMPUTED_VALUE"""),"Yes")</f>
        <v>Yes</v>
      </c>
      <c r="P123" s="26" t="str">
        <f>IFERROR(__xludf.DUMMYFUNCTION("""COMPUTED_VALUE"""),"")</f>
        <v/>
      </c>
    </row>
    <row r="124">
      <c r="A124" s="13" t="str">
        <f>IFERROR(__xludf.DUMMYFUNCTION("""COMPUTED_VALUE"""),"The Mark of Kri")</f>
        <v>The Mark of Kri</v>
      </c>
      <c r="B124" s="15" t="str">
        <f>IFERROR(__xludf.DUMMYFUNCTION("""COMPUTED_VALUE"""),"PS4")</f>
        <v>PS4</v>
      </c>
      <c r="C124" s="16" t="str">
        <f>IFERROR(__xludf.DUMMYFUNCTION("""COMPUTED_VALUE"""),"Premium (Classics)")</f>
        <v>Premium (Classics)</v>
      </c>
      <c r="D124" s="15" t="str">
        <f>IFERROR(__xludf.DUMMYFUNCTION("""COMPUTED_VALUE"""),"Active")</f>
        <v>Active</v>
      </c>
      <c r="E124" s="17">
        <f>IFERROR(__xludf.DUMMYFUNCTION("""COMPUTED_VALUE"""),44725.0)</f>
        <v>44725</v>
      </c>
      <c r="F124" s="54"/>
      <c r="G124" s="19">
        <f>IFERROR(__xludf.DUMMYFUNCTION("""COMPUTED_VALUE"""),51.766666666666666)</f>
        <v>51.76666667</v>
      </c>
      <c r="H124" s="17">
        <f>IFERROR(__xludf.DUMMYFUNCTION("""COMPUTED_VALUE"""),37438.0)</f>
        <v>37438</v>
      </c>
      <c r="I124" s="19">
        <f>IFERROR(__xludf.DUMMYFUNCTION("""COMPUTED_VALUE"""),19.95)</f>
        <v>19.95</v>
      </c>
      <c r="J124" s="21">
        <f>IFERROR(__xludf.DUMMYFUNCTION("""COMPUTED_VALUE"""),80.0)</f>
        <v>80</v>
      </c>
      <c r="K124" s="23">
        <f>IFERROR(__xludf.DUMMYFUNCTION("""COMPUTED_VALUE"""),6.6)</f>
        <v>6.6</v>
      </c>
      <c r="L124" s="24">
        <f>IFERROR(__xludf.DUMMYFUNCTION("""COMPUTED_VALUE"""),9.0)</f>
        <v>9</v>
      </c>
      <c r="M124" s="25" t="str">
        <f>IFERROR(__xludf.DUMMYFUNCTION("""COMPUTED_VALUE"""),"Action-Adventure")</f>
        <v>Action-Adventure</v>
      </c>
      <c r="N124" s="25" t="str">
        <f>IFERROR(__xludf.DUMMYFUNCTION("""COMPUTED_VALUE"""),"PS2")</f>
        <v>PS2</v>
      </c>
      <c r="O124" s="26" t="str">
        <f>IFERROR(__xludf.DUMMYFUNCTION("""COMPUTED_VALUE"""),"No")</f>
        <v>No</v>
      </c>
      <c r="P124" s="26" t="str">
        <f>IFERROR(__xludf.DUMMYFUNCTION("""COMPUTED_VALUE"""),"")</f>
        <v/>
      </c>
    </row>
    <row r="125">
      <c r="A125" s="13" t="str">
        <f>IFERROR(__xludf.DUMMYFUNCTION("""COMPUTED_VALUE"""),"War of the Monsters")</f>
        <v>War of the Monsters</v>
      </c>
      <c r="B125" s="15" t="str">
        <f>IFERROR(__xludf.DUMMYFUNCTION("""COMPUTED_VALUE"""),"PS4")</f>
        <v>PS4</v>
      </c>
      <c r="C125" s="16" t="str">
        <f>IFERROR(__xludf.DUMMYFUNCTION("""COMPUTED_VALUE"""),"Premium (Classics)")</f>
        <v>Premium (Classics)</v>
      </c>
      <c r="D125" s="15" t="str">
        <f>IFERROR(__xludf.DUMMYFUNCTION("""COMPUTED_VALUE"""),"Active")</f>
        <v>Active</v>
      </c>
      <c r="E125" s="17">
        <f>IFERROR(__xludf.DUMMYFUNCTION("""COMPUTED_VALUE"""),44725.0)</f>
        <v>44725</v>
      </c>
      <c r="F125" s="54"/>
      <c r="G125" s="19">
        <f>IFERROR(__xludf.DUMMYFUNCTION("""COMPUTED_VALUE"""),51.766666666666666)</f>
        <v>51.76666667</v>
      </c>
      <c r="H125" s="17">
        <f>IFERROR(__xludf.DUMMYFUNCTION("""COMPUTED_VALUE"""),37622.0)</f>
        <v>37622</v>
      </c>
      <c r="I125" s="19">
        <f>IFERROR(__xludf.DUMMYFUNCTION("""COMPUTED_VALUE"""),19.45)</f>
        <v>19.45</v>
      </c>
      <c r="J125" s="21">
        <f>IFERROR(__xludf.DUMMYFUNCTION("""COMPUTED_VALUE"""),80.0)</f>
        <v>80</v>
      </c>
      <c r="K125" s="23">
        <f>IFERROR(__xludf.DUMMYFUNCTION("""COMPUTED_VALUE"""),8.2)</f>
        <v>8.2</v>
      </c>
      <c r="L125" s="24">
        <f>IFERROR(__xludf.DUMMYFUNCTION("""COMPUTED_VALUE"""),6.0)</f>
        <v>6</v>
      </c>
      <c r="M125" s="25" t="str">
        <f>IFERROR(__xludf.DUMMYFUNCTION("""COMPUTED_VALUE"""),"Fighting")</f>
        <v>Fighting</v>
      </c>
      <c r="N125" s="25" t="str">
        <f>IFERROR(__xludf.DUMMYFUNCTION("""COMPUTED_VALUE"""),"PS2")</f>
        <v>PS2</v>
      </c>
      <c r="O125" s="26" t="str">
        <f>IFERROR(__xludf.DUMMYFUNCTION("""COMPUTED_VALUE"""),"No")</f>
        <v>No</v>
      </c>
      <c r="P125" s="26" t="str">
        <f>IFERROR(__xludf.DUMMYFUNCTION("""COMPUTED_VALUE"""),"")</f>
        <v/>
      </c>
    </row>
    <row r="126">
      <c r="A126" s="13" t="str">
        <f>IFERROR(__xludf.DUMMYFUNCTION("""COMPUTED_VALUE"""),"Lumines: Remastered")</f>
        <v>Lumines: Remastered</v>
      </c>
      <c r="B126" s="15" t="str">
        <f>IFERROR(__xludf.DUMMYFUNCTION("""COMPUTED_VALUE"""),"PS4")</f>
        <v>PS4</v>
      </c>
      <c r="C126" s="16" t="str">
        <f>IFERROR(__xludf.DUMMYFUNCTION("""COMPUTED_VALUE"""),"Premium (Remasters)")</f>
        <v>Premium (Remasters)</v>
      </c>
      <c r="D126" s="15" t="str">
        <f>IFERROR(__xludf.DUMMYFUNCTION("""COMPUTED_VALUE"""),"Active")</f>
        <v>Active</v>
      </c>
      <c r="E126" s="17">
        <f>IFERROR(__xludf.DUMMYFUNCTION("""COMPUTED_VALUE"""),44725.0)</f>
        <v>44725</v>
      </c>
      <c r="F126" s="54"/>
      <c r="G126" s="19">
        <f>IFERROR(__xludf.DUMMYFUNCTION("""COMPUTED_VALUE"""),51.766666666666666)</f>
        <v>51.76666667</v>
      </c>
      <c r="H126" s="17">
        <f>IFERROR(__xludf.DUMMYFUNCTION("""COMPUTED_VALUE"""),43252.0)</f>
        <v>43252</v>
      </c>
      <c r="I126" s="19">
        <f>IFERROR(__xludf.DUMMYFUNCTION("""COMPUTED_VALUE"""),4.033333333333333)</f>
        <v>4.033333333</v>
      </c>
      <c r="J126" s="21">
        <f>IFERROR(__xludf.DUMMYFUNCTION("""COMPUTED_VALUE"""),80.0)</f>
        <v>80</v>
      </c>
      <c r="K126" s="23">
        <f>IFERROR(__xludf.DUMMYFUNCTION("""COMPUTED_VALUE"""),7.6)</f>
        <v>7.6</v>
      </c>
      <c r="L126" s="24">
        <f>IFERROR(__xludf.DUMMYFUNCTION("""COMPUTED_VALUE"""),5.0)</f>
        <v>5</v>
      </c>
      <c r="M126" s="25" t="str">
        <f>IFERROR(__xludf.DUMMYFUNCTION("""COMPUTED_VALUE"""),"Puzzle")</f>
        <v>Puzzle</v>
      </c>
      <c r="N126" s="25" t="str">
        <f>IFERROR(__xludf.DUMMYFUNCTION("""COMPUTED_VALUE"""),"PSP")</f>
        <v>PSP</v>
      </c>
      <c r="O126" s="26" t="str">
        <f>IFERROR(__xludf.DUMMYFUNCTION("""COMPUTED_VALUE"""),"No")</f>
        <v>No</v>
      </c>
      <c r="P126" s="26" t="str">
        <f>IFERROR(__xludf.DUMMYFUNCTION("""COMPUTED_VALUE"""),"Yes")</f>
        <v>Yes</v>
      </c>
    </row>
    <row r="127">
      <c r="A127" s="13" t="str">
        <f>IFERROR(__xludf.DUMMYFUNCTION("""COMPUTED_VALUE"""),"Retro City Rampage DX")</f>
        <v>Retro City Rampage DX</v>
      </c>
      <c r="B127" s="15" t="str">
        <f>IFERROR(__xludf.DUMMYFUNCTION("""COMPUTED_VALUE"""),"PS5/PS4")</f>
        <v>PS5/PS4</v>
      </c>
      <c r="C127" s="16" t="str">
        <f>IFERROR(__xludf.DUMMYFUNCTION("""COMPUTED_VALUE"""),"Premium (Streaming Only)")</f>
        <v>Premium (Streaming Only)</v>
      </c>
      <c r="D127" s="15" t="str">
        <f>IFERROR(__xludf.DUMMYFUNCTION("""COMPUTED_VALUE"""),"Active")</f>
        <v>Active</v>
      </c>
      <c r="E127" s="17">
        <f>IFERROR(__xludf.DUMMYFUNCTION("""COMPUTED_VALUE"""),44725.0)</f>
        <v>44725</v>
      </c>
      <c r="F127" s="54"/>
      <c r="G127" s="19">
        <f>IFERROR(__xludf.DUMMYFUNCTION("""COMPUTED_VALUE"""),51.766666666666666)</f>
        <v>51.76666667</v>
      </c>
      <c r="H127" s="17">
        <f>IFERROR(__xludf.DUMMYFUNCTION("""COMPUTED_VALUE"""),41671.0)</f>
        <v>41671</v>
      </c>
      <c r="I127" s="19">
        <f>IFERROR(__xludf.DUMMYFUNCTION("""COMPUTED_VALUE"""),8.366666666666667)</f>
        <v>8.366666667</v>
      </c>
      <c r="J127" s="21">
        <f>IFERROR(__xludf.DUMMYFUNCTION("""COMPUTED_VALUE"""),80.0)</f>
        <v>80</v>
      </c>
      <c r="K127" s="23">
        <f>IFERROR(__xludf.DUMMYFUNCTION("""COMPUTED_VALUE"""),7.4)</f>
        <v>7.4</v>
      </c>
      <c r="L127" s="24">
        <f>IFERROR(__xludf.DUMMYFUNCTION("""COMPUTED_VALUE"""),5.0)</f>
        <v>5</v>
      </c>
      <c r="M127" s="25" t="str">
        <f>IFERROR(__xludf.DUMMYFUNCTION("""COMPUTED_VALUE"""),"Action-Adventure")</f>
        <v>Action-Adventure</v>
      </c>
      <c r="N127" s="25" t="str">
        <f>IFERROR(__xludf.DUMMYFUNCTION("""COMPUTED_VALUE"""),"PS3")</f>
        <v>PS3</v>
      </c>
      <c r="O127" s="26" t="str">
        <f>IFERROR(__xludf.DUMMYFUNCTION("""COMPUTED_VALUE"""),"Yes")</f>
        <v>Yes</v>
      </c>
      <c r="P127" s="26" t="str">
        <f>IFERROR(__xludf.DUMMYFUNCTION("""COMPUTED_VALUE"""),"")</f>
        <v/>
      </c>
    </row>
    <row r="128">
      <c r="A128" s="13" t="str">
        <f>IFERROR(__xludf.DUMMYFUNCTION("""COMPUTED_VALUE"""),"Gravity Rush: Remastered")</f>
        <v>Gravity Rush: Remastered</v>
      </c>
      <c r="B128" s="15" t="str">
        <f>IFERROR(__xludf.DUMMYFUNCTION("""COMPUTED_VALUE"""),"PS4")</f>
        <v>PS4</v>
      </c>
      <c r="C128" s="16" t="str">
        <f>IFERROR(__xludf.DUMMYFUNCTION("""COMPUTED_VALUE"""),"Premium (Remasters)")</f>
        <v>Premium (Remasters)</v>
      </c>
      <c r="D128" s="15" t="str">
        <f>IFERROR(__xludf.DUMMYFUNCTION("""COMPUTED_VALUE"""),"Active")</f>
        <v>Active</v>
      </c>
      <c r="E128" s="17">
        <f>IFERROR(__xludf.DUMMYFUNCTION("""COMPUTED_VALUE"""),43109.0)</f>
        <v>43109</v>
      </c>
      <c r="F128" s="54"/>
      <c r="G128" s="19">
        <f>IFERROR(__xludf.DUMMYFUNCTION("""COMPUTED_VALUE"""),104.9)</f>
        <v>104.9</v>
      </c>
      <c r="H128" s="17">
        <f>IFERROR(__xludf.DUMMYFUNCTION("""COMPUTED_VALUE"""),42401.0)</f>
        <v>42401</v>
      </c>
      <c r="I128" s="19">
        <f>IFERROR(__xludf.DUMMYFUNCTION("""COMPUTED_VALUE"""),1.9388888888888889)</f>
        <v>1.938888889</v>
      </c>
      <c r="J128" s="21">
        <f>IFERROR(__xludf.DUMMYFUNCTION("""COMPUTED_VALUE"""),80.0)</f>
        <v>80</v>
      </c>
      <c r="K128" s="23">
        <f>IFERROR(__xludf.DUMMYFUNCTION("""COMPUTED_VALUE"""),8.1)</f>
        <v>8.1</v>
      </c>
      <c r="L128" s="24">
        <f>IFERROR(__xludf.DUMMYFUNCTION("""COMPUTED_VALUE"""),20.0)</f>
        <v>20</v>
      </c>
      <c r="M128" s="25" t="str">
        <f>IFERROR(__xludf.DUMMYFUNCTION("""COMPUTED_VALUE"""),"Action-Adventure")</f>
        <v>Action-Adventure</v>
      </c>
      <c r="N128" s="25" t="str">
        <f>IFERROR(__xludf.DUMMYFUNCTION("""COMPUTED_VALUE"""),"PS Vita")</f>
        <v>PS Vita</v>
      </c>
      <c r="O128" s="26" t="str">
        <f>IFERROR(__xludf.DUMMYFUNCTION("""COMPUTED_VALUE"""),"Yes")</f>
        <v>Yes</v>
      </c>
      <c r="P128" s="26"/>
    </row>
    <row r="129">
      <c r="A129" s="13" t="str">
        <f>IFERROR(__xludf.DUMMYFUNCTION("""COMPUTED_VALUE"""),"LEGO Star Wars: The Complete Saga")</f>
        <v>LEGO Star Wars: The Complete Saga</v>
      </c>
      <c r="B129" s="15" t="str">
        <f>IFERROR(__xludf.DUMMYFUNCTION("""COMPUTED_VALUE"""),"PS5/PS4")</f>
        <v>PS5/PS4</v>
      </c>
      <c r="C129" s="16" t="str">
        <f>IFERROR(__xludf.DUMMYFUNCTION("""COMPUTED_VALUE"""),"Premium (Streaming Only)")</f>
        <v>Premium (Streaming Only)</v>
      </c>
      <c r="D129" s="15" t="str">
        <f>IFERROR(__xludf.DUMMYFUNCTION("""COMPUTED_VALUE"""),"Active")</f>
        <v>Active</v>
      </c>
      <c r="E129" s="17">
        <f>IFERROR(__xludf.DUMMYFUNCTION("""COMPUTED_VALUE"""),42829.0)</f>
        <v>42829</v>
      </c>
      <c r="F129" s="54"/>
      <c r="G129" s="19">
        <f>IFERROR(__xludf.DUMMYFUNCTION("""COMPUTED_VALUE"""),114.06666666666668)</f>
        <v>114.0666667</v>
      </c>
      <c r="H129" s="17">
        <f>IFERROR(__xludf.DUMMYFUNCTION("""COMPUTED_VALUE"""),39392.0)</f>
        <v>39392</v>
      </c>
      <c r="I129" s="19">
        <f>IFERROR(__xludf.DUMMYFUNCTION("""COMPUTED_VALUE"""),9.411111111111111)</f>
        <v>9.411111111</v>
      </c>
      <c r="J129" s="21">
        <f>IFERROR(__xludf.DUMMYFUNCTION("""COMPUTED_VALUE"""),80.0)</f>
        <v>80</v>
      </c>
      <c r="K129" s="23">
        <f>IFERROR(__xludf.DUMMYFUNCTION("""COMPUTED_VALUE"""),8.4)</f>
        <v>8.4</v>
      </c>
      <c r="L129" s="24">
        <f>IFERROR(__xludf.DUMMYFUNCTION("""COMPUTED_VALUE"""),14.0)</f>
        <v>14</v>
      </c>
      <c r="M129" s="25" t="str">
        <f>IFERROR(__xludf.DUMMYFUNCTION("""COMPUTED_VALUE"""),"Action-Adventure")</f>
        <v>Action-Adventure</v>
      </c>
      <c r="N129" s="25" t="str">
        <f>IFERROR(__xludf.DUMMYFUNCTION("""COMPUTED_VALUE"""),"PS3")</f>
        <v>PS3</v>
      </c>
      <c r="O129" s="26" t="str">
        <f>IFERROR(__xludf.DUMMYFUNCTION("""COMPUTED_VALUE"""),"Yes")</f>
        <v>Yes</v>
      </c>
      <c r="P129" s="26"/>
    </row>
    <row r="130">
      <c r="A130" s="13" t="str">
        <f>IFERROR(__xludf.DUMMYFUNCTION("""COMPUTED_VALUE"""),"NOBUNAGA'S AMBITION: Sphere of Influence")</f>
        <v>NOBUNAGA'S AMBITION: Sphere of Influence</v>
      </c>
      <c r="B130" s="15" t="str">
        <f>IFERROR(__xludf.DUMMYFUNCTION("""COMPUTED_VALUE"""),"PS5/PS4")</f>
        <v>PS5/PS4</v>
      </c>
      <c r="C130" s="16" t="str">
        <f>IFERROR(__xludf.DUMMYFUNCTION("""COMPUTED_VALUE"""),"Premium (Streaming Only)")</f>
        <v>Premium (Streaming Only)</v>
      </c>
      <c r="D130" s="15" t="str">
        <f>IFERROR(__xludf.DUMMYFUNCTION("""COMPUTED_VALUE"""),"Active")</f>
        <v>Active</v>
      </c>
      <c r="E130" s="17">
        <f>IFERROR(__xludf.DUMMYFUNCTION("""COMPUTED_VALUE"""),42773.0)</f>
        <v>42773</v>
      </c>
      <c r="F130" s="54"/>
      <c r="G130" s="19">
        <f>IFERROR(__xludf.DUMMYFUNCTION("""COMPUTED_VALUE"""),115.96666666666667)</f>
        <v>115.9666667</v>
      </c>
      <c r="H130" s="17">
        <f>IFERROR(__xludf.DUMMYFUNCTION("""COMPUTED_VALUE"""),42248.0)</f>
        <v>42248</v>
      </c>
      <c r="I130" s="19">
        <f>IFERROR(__xludf.DUMMYFUNCTION("""COMPUTED_VALUE"""),1.4333333333333333)</f>
        <v>1.433333333</v>
      </c>
      <c r="J130" s="21">
        <f>IFERROR(__xludf.DUMMYFUNCTION("""COMPUTED_VALUE"""),80.0)</f>
        <v>80</v>
      </c>
      <c r="K130" s="23">
        <f>IFERROR(__xludf.DUMMYFUNCTION("""COMPUTED_VALUE"""),8.1)</f>
        <v>8.1</v>
      </c>
      <c r="L130" s="24">
        <f>IFERROR(__xludf.DUMMYFUNCTION("""COMPUTED_VALUE"""),50.0)</f>
        <v>50</v>
      </c>
      <c r="M130" s="25" t="str">
        <f>IFERROR(__xludf.DUMMYFUNCTION("""COMPUTED_VALUE"""),"Strategy")</f>
        <v>Strategy</v>
      </c>
      <c r="N130" s="25" t="str">
        <f>IFERROR(__xludf.DUMMYFUNCTION("""COMPUTED_VALUE"""),"PS3")</f>
        <v>PS3</v>
      </c>
      <c r="O130" s="26" t="str">
        <f>IFERROR(__xludf.DUMMYFUNCTION("""COMPUTED_VALUE"""),"Yes")</f>
        <v>Yes</v>
      </c>
      <c r="P130" s="26" t="str">
        <f>IFERROR(__xludf.DUMMYFUNCTION("""COMPUTED_VALUE"""),"")</f>
        <v/>
      </c>
    </row>
    <row r="131">
      <c r="A131" s="13" t="str">
        <f>IFERROR(__xludf.DUMMYFUNCTION("""COMPUTED_VALUE"""),"DISGAEA 4: A Promise Unforgotten")</f>
        <v>DISGAEA 4: A Promise Unforgotten</v>
      </c>
      <c r="B131" s="15" t="str">
        <f>IFERROR(__xludf.DUMMYFUNCTION("""COMPUTED_VALUE"""),"PS5/PS4")</f>
        <v>PS5/PS4</v>
      </c>
      <c r="C131" s="16" t="str">
        <f>IFERROR(__xludf.DUMMYFUNCTION("""COMPUTED_VALUE"""),"Premium (Streaming Only)")</f>
        <v>Premium (Streaming Only)</v>
      </c>
      <c r="D131" s="15" t="str">
        <f>IFERROR(__xludf.DUMMYFUNCTION("""COMPUTED_VALUE"""),"Active")</f>
        <v>Active</v>
      </c>
      <c r="E131" s="17">
        <f>IFERROR(__xludf.DUMMYFUNCTION("""COMPUTED_VALUE"""),42584.0)</f>
        <v>42584</v>
      </c>
      <c r="F131" s="54"/>
      <c r="G131" s="19">
        <f>IFERROR(__xludf.DUMMYFUNCTION("""COMPUTED_VALUE"""),122.13333333333333)</f>
        <v>122.1333333</v>
      </c>
      <c r="H131" s="17">
        <f>IFERROR(__xludf.DUMMYFUNCTION("""COMPUTED_VALUE"""),40787.0)</f>
        <v>40787</v>
      </c>
      <c r="I131" s="19">
        <f>IFERROR(__xludf.DUMMYFUNCTION("""COMPUTED_VALUE"""),4.919444444444444)</f>
        <v>4.919444444</v>
      </c>
      <c r="J131" s="21">
        <f>IFERROR(__xludf.DUMMYFUNCTION("""COMPUTED_VALUE"""),80.0)</f>
        <v>80</v>
      </c>
      <c r="K131" s="23">
        <f>IFERROR(__xludf.DUMMYFUNCTION("""COMPUTED_VALUE"""),8.1)</f>
        <v>8.1</v>
      </c>
      <c r="L131" s="24">
        <f>IFERROR(__xludf.DUMMYFUNCTION("""COMPUTED_VALUE"""),50.0)</f>
        <v>50</v>
      </c>
      <c r="M131" s="25" t="str">
        <f>IFERROR(__xludf.DUMMYFUNCTION("""COMPUTED_VALUE"""),"RPG")</f>
        <v>RPG</v>
      </c>
      <c r="N131" s="25" t="str">
        <f>IFERROR(__xludf.DUMMYFUNCTION("""COMPUTED_VALUE"""),"PS3")</f>
        <v>PS3</v>
      </c>
      <c r="O131" s="26" t="str">
        <f>IFERROR(__xludf.DUMMYFUNCTION("""COMPUTED_VALUE"""),"Yes")</f>
        <v>Yes</v>
      </c>
      <c r="P131" s="26" t="str">
        <f>IFERROR(__xludf.DUMMYFUNCTION("""COMPUTED_VALUE"""),"")</f>
        <v/>
      </c>
    </row>
    <row r="132">
      <c r="A132" s="13" t="str">
        <f>IFERROR(__xludf.DUMMYFUNCTION("""COMPUTED_VALUE"""),"Darkstalkers: Resurrection")</f>
        <v>Darkstalkers: Resurrection</v>
      </c>
      <c r="B132" s="15" t="str">
        <f>IFERROR(__xludf.DUMMYFUNCTION("""COMPUTED_VALUE"""),"PS5/PS4")</f>
        <v>PS5/PS4</v>
      </c>
      <c r="C132" s="16" t="str">
        <f>IFERROR(__xludf.DUMMYFUNCTION("""COMPUTED_VALUE"""),"Premium (Streaming Only)")</f>
        <v>Premium (Streaming Only)</v>
      </c>
      <c r="D132" s="15" t="str">
        <f>IFERROR(__xludf.DUMMYFUNCTION("""COMPUTED_VALUE"""),"Active")</f>
        <v>Active</v>
      </c>
      <c r="E132" s="17">
        <f>IFERROR(__xludf.DUMMYFUNCTION("""COMPUTED_VALUE"""),42466.0)</f>
        <v>42466</v>
      </c>
      <c r="F132" s="54"/>
      <c r="G132" s="19">
        <f>IFERROR(__xludf.DUMMYFUNCTION("""COMPUTED_VALUE"""),126.0)</f>
        <v>126</v>
      </c>
      <c r="H132" s="17">
        <f>IFERROR(__xludf.DUMMYFUNCTION("""COMPUTED_VALUE"""),41395.0)</f>
        <v>41395</v>
      </c>
      <c r="I132" s="19">
        <f>IFERROR(__xludf.DUMMYFUNCTION("""COMPUTED_VALUE"""),2.9305555555555554)</f>
        <v>2.930555556</v>
      </c>
      <c r="J132" s="21">
        <f>IFERROR(__xludf.DUMMYFUNCTION("""COMPUTED_VALUE"""),80.0)</f>
        <v>80</v>
      </c>
      <c r="K132" s="23">
        <f>IFERROR(__xludf.DUMMYFUNCTION("""COMPUTED_VALUE"""),7.6)</f>
        <v>7.6</v>
      </c>
      <c r="L132" s="24"/>
      <c r="M132" s="25" t="str">
        <f>IFERROR(__xludf.DUMMYFUNCTION("""COMPUTED_VALUE"""),"Fighting")</f>
        <v>Fighting</v>
      </c>
      <c r="N132" s="25" t="str">
        <f>IFERROR(__xludf.DUMMYFUNCTION("""COMPUTED_VALUE"""),"PS3")</f>
        <v>PS3</v>
      </c>
      <c r="O132" s="26" t="str">
        <f>IFERROR(__xludf.DUMMYFUNCTION("""COMPUTED_VALUE"""),"Yes")</f>
        <v>Yes</v>
      </c>
      <c r="P132" s="26" t="str">
        <f>IFERROR(__xludf.DUMMYFUNCTION("""COMPUTED_VALUE"""),"")</f>
        <v/>
      </c>
    </row>
    <row r="133">
      <c r="A133" s="13" t="str">
        <f>IFERROR(__xludf.DUMMYFUNCTION("""COMPUTED_VALUE"""),"Hot Shots Golf: World Invitational")</f>
        <v>Hot Shots Golf: World Invitational</v>
      </c>
      <c r="B133" s="15" t="str">
        <f>IFERROR(__xludf.DUMMYFUNCTION("""COMPUTED_VALUE"""),"PS5/PS4")</f>
        <v>PS5/PS4</v>
      </c>
      <c r="C133" s="16" t="str">
        <f>IFERROR(__xludf.DUMMYFUNCTION("""COMPUTED_VALUE"""),"Premium (Streaming Only)")</f>
        <v>Premium (Streaming Only)</v>
      </c>
      <c r="D133" s="15" t="str">
        <f>IFERROR(__xludf.DUMMYFUNCTION("""COMPUTED_VALUE"""),"Active")</f>
        <v>Active</v>
      </c>
      <c r="E133" s="17">
        <f>IFERROR(__xludf.DUMMYFUNCTION("""COMPUTED_VALUE"""),42374.0)</f>
        <v>42374</v>
      </c>
      <c r="F133" s="54"/>
      <c r="G133" s="19">
        <f>IFERROR(__xludf.DUMMYFUNCTION("""COMPUTED_VALUE"""),129.03333333333333)</f>
        <v>129.0333333</v>
      </c>
      <c r="H133" s="17">
        <f>IFERROR(__xludf.DUMMYFUNCTION("""COMPUTED_VALUE"""),40940.0)</f>
        <v>40940</v>
      </c>
      <c r="I133" s="19">
        <f>IFERROR(__xludf.DUMMYFUNCTION("""COMPUTED_VALUE"""),3.9277777777777776)</f>
        <v>3.927777778</v>
      </c>
      <c r="J133" s="21">
        <f>IFERROR(__xludf.DUMMYFUNCTION("""COMPUTED_VALUE"""),80.0)</f>
        <v>80</v>
      </c>
      <c r="K133" s="23">
        <f>IFERROR(__xludf.DUMMYFUNCTION("""COMPUTED_VALUE"""),7.7)</f>
        <v>7.7</v>
      </c>
      <c r="L133" s="24">
        <f>IFERROR(__xludf.DUMMYFUNCTION("""COMPUTED_VALUE"""),14.0)</f>
        <v>14</v>
      </c>
      <c r="M133" s="68" t="str">
        <f>IFERROR(__xludf.DUMMYFUNCTION("""COMPUTED_VALUE"""),"Golf")</f>
        <v>Golf</v>
      </c>
      <c r="N133" s="68" t="str">
        <f>IFERROR(__xludf.DUMMYFUNCTION("""COMPUTED_VALUE"""),"PS3")</f>
        <v>PS3</v>
      </c>
      <c r="O133" s="69" t="str">
        <f>IFERROR(__xludf.DUMMYFUNCTION("""COMPUTED_VALUE"""),"Yes")</f>
        <v>Yes</v>
      </c>
      <c r="P133" s="69" t="str">
        <f>IFERROR(__xludf.DUMMYFUNCTION("""COMPUTED_VALUE"""),"")</f>
        <v/>
      </c>
    </row>
    <row r="134">
      <c r="A134" s="13" t="str">
        <f>IFERROR(__xludf.DUMMYFUNCTION("""COMPUTED_VALUE"""),"Puppeteer")</f>
        <v>Puppeteer</v>
      </c>
      <c r="B134" s="15" t="str">
        <f>IFERROR(__xludf.DUMMYFUNCTION("""COMPUTED_VALUE"""),"PS5/PS4")</f>
        <v>PS5/PS4</v>
      </c>
      <c r="C134" s="16" t="str">
        <f>IFERROR(__xludf.DUMMYFUNCTION("""COMPUTED_VALUE"""),"Premium (Streaming Only)")</f>
        <v>Premium (Streaming Only)</v>
      </c>
      <c r="D134" s="15" t="str">
        <f>IFERROR(__xludf.DUMMYFUNCTION("""COMPUTED_VALUE"""),"Active")</f>
        <v>Active</v>
      </c>
      <c r="E134" s="17">
        <f>IFERROR(__xludf.DUMMYFUNCTION("""COMPUTED_VALUE"""),42374.0)</f>
        <v>42374</v>
      </c>
      <c r="F134" s="54"/>
      <c r="G134" s="19">
        <f>IFERROR(__xludf.DUMMYFUNCTION("""COMPUTED_VALUE"""),129.03333333333333)</f>
        <v>129.0333333</v>
      </c>
      <c r="H134" s="17">
        <f>IFERROR(__xludf.DUMMYFUNCTION("""COMPUTED_VALUE"""),41518.0)</f>
        <v>41518</v>
      </c>
      <c r="I134" s="19">
        <f>IFERROR(__xludf.DUMMYFUNCTION("""COMPUTED_VALUE"""),2.3444444444444446)</f>
        <v>2.344444444</v>
      </c>
      <c r="J134" s="21">
        <f>IFERROR(__xludf.DUMMYFUNCTION("""COMPUTED_VALUE"""),80.0)</f>
        <v>80</v>
      </c>
      <c r="K134" s="23">
        <f>IFERROR(__xludf.DUMMYFUNCTION("""COMPUTED_VALUE"""),8.0)</f>
        <v>8</v>
      </c>
      <c r="L134" s="24">
        <f>IFERROR(__xludf.DUMMYFUNCTION("""COMPUTED_VALUE"""),12.0)</f>
        <v>12</v>
      </c>
      <c r="M134" s="25" t="str">
        <f>IFERROR(__xludf.DUMMYFUNCTION("""COMPUTED_VALUE"""),"Platformer")</f>
        <v>Platformer</v>
      </c>
      <c r="N134" s="25" t="str">
        <f>IFERROR(__xludf.DUMMYFUNCTION("""COMPUTED_VALUE"""),"PS3")</f>
        <v>PS3</v>
      </c>
      <c r="O134" s="26" t="str">
        <f>IFERROR(__xludf.DUMMYFUNCTION("""COMPUTED_VALUE"""),"Yes")</f>
        <v>Yes</v>
      </c>
      <c r="P134" s="26" t="str">
        <f>IFERROR(__xludf.DUMMYFUNCTION("""COMPUTED_VALUE"""),"")</f>
        <v/>
      </c>
    </row>
    <row r="135">
      <c r="A135" s="13" t="str">
        <f>IFERROR(__xludf.DUMMYFUNCTION("""COMPUTED_VALUE"""),"Atelier Rorona Plus: The Alchemist of Arland")</f>
        <v>Atelier Rorona Plus: The Alchemist of Arland</v>
      </c>
      <c r="B135" s="15" t="str">
        <f>IFERROR(__xludf.DUMMYFUNCTION("""COMPUTED_VALUE"""),"PS5/PS4")</f>
        <v>PS5/PS4</v>
      </c>
      <c r="C135" s="16" t="str">
        <f>IFERROR(__xludf.DUMMYFUNCTION("""COMPUTED_VALUE"""),"Premium (Streaming Only)")</f>
        <v>Premium (Streaming Only)</v>
      </c>
      <c r="D135" s="15" t="str">
        <f>IFERROR(__xludf.DUMMYFUNCTION("""COMPUTED_VALUE"""),"Active")</f>
        <v>Active</v>
      </c>
      <c r="E135" s="17">
        <f>IFERROR(__xludf.DUMMYFUNCTION("""COMPUTED_VALUE"""),42311.0)</f>
        <v>42311</v>
      </c>
      <c r="F135" s="54"/>
      <c r="G135" s="19">
        <f>IFERROR(__xludf.DUMMYFUNCTION("""COMPUTED_VALUE"""),131.10000000000002)</f>
        <v>131.1</v>
      </c>
      <c r="H135" s="17">
        <f>IFERROR(__xludf.DUMMYFUNCTION("""COMPUTED_VALUE"""),39965.0)</f>
        <v>39965</v>
      </c>
      <c r="I135" s="19">
        <f>IFERROR(__xludf.DUMMYFUNCTION("""COMPUTED_VALUE"""),6.4222222222222225)</f>
        <v>6.422222222</v>
      </c>
      <c r="J135" s="21">
        <f>IFERROR(__xludf.DUMMYFUNCTION("""COMPUTED_VALUE"""),80.0)</f>
        <v>80</v>
      </c>
      <c r="K135" s="23">
        <f>IFERROR(__xludf.DUMMYFUNCTION("""COMPUTED_VALUE"""),7.8)</f>
        <v>7.8</v>
      </c>
      <c r="L135" s="24">
        <f>IFERROR(__xludf.DUMMYFUNCTION("""COMPUTED_VALUE"""),40.0)</f>
        <v>40</v>
      </c>
      <c r="M135" s="25" t="str">
        <f>IFERROR(__xludf.DUMMYFUNCTION("""COMPUTED_VALUE"""),"RPG")</f>
        <v>RPG</v>
      </c>
      <c r="N135" s="25" t="str">
        <f>IFERROR(__xludf.DUMMYFUNCTION("""COMPUTED_VALUE"""),"PS3")</f>
        <v>PS3</v>
      </c>
      <c r="O135" s="26" t="str">
        <f>IFERROR(__xludf.DUMMYFUNCTION("""COMPUTED_VALUE"""),"Yes")</f>
        <v>Yes</v>
      </c>
      <c r="P135" s="26" t="str">
        <f>IFERROR(__xludf.DUMMYFUNCTION("""COMPUTED_VALUE"""),"")</f>
        <v/>
      </c>
    </row>
    <row r="136">
      <c r="A136" s="13" t="str">
        <f>IFERROR(__xludf.DUMMYFUNCTION("""COMPUTED_VALUE"""),"Sam &amp; Max The Devil's Playhouse: Episode 5 - The City That Dares Not Sleep")</f>
        <v>Sam &amp; Max The Devil's Playhouse: Episode 5 - The City That Dares Not Sleep</v>
      </c>
      <c r="B136" s="15" t="str">
        <f>IFERROR(__xludf.DUMMYFUNCTION("""COMPUTED_VALUE"""),"PS5/PS4")</f>
        <v>PS5/PS4</v>
      </c>
      <c r="C136" s="16" t="str">
        <f>IFERROR(__xludf.DUMMYFUNCTION("""COMPUTED_VALUE"""),"Premium (Streaming Only)")</f>
        <v>Premium (Streaming Only)</v>
      </c>
      <c r="D136" s="15" t="str">
        <f>IFERROR(__xludf.DUMMYFUNCTION("""COMPUTED_VALUE"""),"Active")</f>
        <v>Active</v>
      </c>
      <c r="E136" s="17">
        <f>IFERROR(__xludf.DUMMYFUNCTION("""COMPUTED_VALUE"""),42311.0)</f>
        <v>42311</v>
      </c>
      <c r="F136" s="54"/>
      <c r="G136" s="19">
        <f>IFERROR(__xludf.DUMMYFUNCTION("""COMPUTED_VALUE"""),131.10000000000002)</f>
        <v>131.1</v>
      </c>
      <c r="H136" s="17">
        <f>IFERROR(__xludf.DUMMYFUNCTION("""COMPUTED_VALUE"""),40391.0)</f>
        <v>40391</v>
      </c>
      <c r="I136" s="19">
        <f>IFERROR(__xludf.DUMMYFUNCTION("""COMPUTED_VALUE"""),5.2555555555555555)</f>
        <v>5.255555556</v>
      </c>
      <c r="J136" s="21">
        <f>IFERROR(__xludf.DUMMYFUNCTION("""COMPUTED_VALUE"""),80.0)</f>
        <v>80</v>
      </c>
      <c r="K136" s="23">
        <f>IFERROR(__xludf.DUMMYFUNCTION("""COMPUTED_VALUE"""),7.8)</f>
        <v>7.8</v>
      </c>
      <c r="L136" s="24">
        <f>IFERROR(__xludf.DUMMYFUNCTION("""COMPUTED_VALUE"""),3.0)</f>
        <v>3</v>
      </c>
      <c r="M136" s="25" t="str">
        <f>IFERROR(__xludf.DUMMYFUNCTION("""COMPUTED_VALUE"""),"Adventure")</f>
        <v>Adventure</v>
      </c>
      <c r="N136" s="25" t="str">
        <f>IFERROR(__xludf.DUMMYFUNCTION("""COMPUTED_VALUE"""),"PS3")</f>
        <v>PS3</v>
      </c>
      <c r="O136" s="26" t="str">
        <f>IFERROR(__xludf.DUMMYFUNCTION("""COMPUTED_VALUE"""),"Yes")</f>
        <v>Yes</v>
      </c>
      <c r="P136" s="26" t="str">
        <f>IFERROR(__xludf.DUMMYFUNCTION("""COMPUTED_VALUE"""),"")</f>
        <v/>
      </c>
    </row>
    <row r="137">
      <c r="A137" s="13" t="str">
        <f>IFERROR(__xludf.DUMMYFUNCTION("""COMPUTED_VALUE"""),"ENSLAVED: Odyssey to the West")</f>
        <v>ENSLAVED: Odyssey to the West</v>
      </c>
      <c r="B137" s="15" t="str">
        <f>IFERROR(__xludf.DUMMYFUNCTION("""COMPUTED_VALUE"""),"PS5/PS4")</f>
        <v>PS5/PS4</v>
      </c>
      <c r="C137" s="16" t="str">
        <f>IFERROR(__xludf.DUMMYFUNCTION("""COMPUTED_VALUE"""),"Premium (Streaming Only)")</f>
        <v>Premium (Streaming Only)</v>
      </c>
      <c r="D137" s="15" t="str">
        <f>IFERROR(__xludf.DUMMYFUNCTION("""COMPUTED_VALUE"""),"Active")</f>
        <v>Active</v>
      </c>
      <c r="E137" s="17">
        <f>IFERROR(__xludf.DUMMYFUNCTION("""COMPUTED_VALUE"""),42017.0)</f>
        <v>42017</v>
      </c>
      <c r="F137" s="54"/>
      <c r="G137" s="19">
        <f>IFERROR(__xludf.DUMMYFUNCTION("""COMPUTED_VALUE"""),140.76666666666668)</f>
        <v>140.7666667</v>
      </c>
      <c r="H137" s="17">
        <f>IFERROR(__xludf.DUMMYFUNCTION("""COMPUTED_VALUE"""),40452.0)</f>
        <v>40452</v>
      </c>
      <c r="I137" s="19">
        <f>IFERROR(__xludf.DUMMYFUNCTION("""COMPUTED_VALUE"""),4.283333333333333)</f>
        <v>4.283333333</v>
      </c>
      <c r="J137" s="21">
        <f>IFERROR(__xludf.DUMMYFUNCTION("""COMPUTED_VALUE"""),80.0)</f>
        <v>80</v>
      </c>
      <c r="K137" s="23">
        <f>IFERROR(__xludf.DUMMYFUNCTION("""COMPUTED_VALUE"""),7.8)</f>
        <v>7.8</v>
      </c>
      <c r="L137" s="24">
        <f>IFERROR(__xludf.DUMMYFUNCTION("""COMPUTED_VALUE"""),9.0)</f>
        <v>9</v>
      </c>
      <c r="M137" s="25" t="str">
        <f>IFERROR(__xludf.DUMMYFUNCTION("""COMPUTED_VALUE"""),"Action-Adventure")</f>
        <v>Action-Adventure</v>
      </c>
      <c r="N137" s="25" t="str">
        <f>IFERROR(__xludf.DUMMYFUNCTION("""COMPUTED_VALUE"""),"PS3")</f>
        <v>PS3</v>
      </c>
      <c r="O137" s="26" t="str">
        <f>IFERROR(__xludf.DUMMYFUNCTION("""COMPUTED_VALUE"""),"Yes")</f>
        <v>Yes</v>
      </c>
      <c r="P137" s="26" t="str">
        <f>IFERROR(__xludf.DUMMYFUNCTION("""COMPUTED_VALUE"""),"")</f>
        <v/>
      </c>
    </row>
    <row r="138">
      <c r="A138" s="13" t="str">
        <f>IFERROR(__xludf.DUMMYFUNCTION("""COMPUTED_VALUE"""),"God of War: Ascension")</f>
        <v>God of War: Ascension</v>
      </c>
      <c r="B138" s="15" t="str">
        <f>IFERROR(__xludf.DUMMYFUNCTION("""COMPUTED_VALUE"""),"PS5/PS4")</f>
        <v>PS5/PS4</v>
      </c>
      <c r="C138" s="16" t="str">
        <f>IFERROR(__xludf.DUMMYFUNCTION("""COMPUTED_VALUE"""),"Premium (Streaming Only)")</f>
        <v>Premium (Streaming Only)</v>
      </c>
      <c r="D138" s="15" t="str">
        <f>IFERROR(__xludf.DUMMYFUNCTION("""COMPUTED_VALUE"""),"Active")</f>
        <v>Active</v>
      </c>
      <c r="E138" s="17">
        <f>IFERROR(__xludf.DUMMYFUNCTION("""COMPUTED_VALUE"""),42017.0)</f>
        <v>42017</v>
      </c>
      <c r="F138" s="18"/>
      <c r="G138" s="19">
        <f>IFERROR(__xludf.DUMMYFUNCTION("""COMPUTED_VALUE"""),140.76666666666668)</f>
        <v>140.7666667</v>
      </c>
      <c r="H138" s="17">
        <f>IFERROR(__xludf.DUMMYFUNCTION("""COMPUTED_VALUE"""),41334.0)</f>
        <v>41334</v>
      </c>
      <c r="I138" s="19">
        <f>IFERROR(__xludf.DUMMYFUNCTION("""COMPUTED_VALUE"""),1.8666666666666667)</f>
        <v>1.866666667</v>
      </c>
      <c r="J138" s="21">
        <f>IFERROR(__xludf.DUMMYFUNCTION("""COMPUTED_VALUE"""),80.0)</f>
        <v>80</v>
      </c>
      <c r="K138" s="23">
        <f>IFERROR(__xludf.DUMMYFUNCTION("""COMPUTED_VALUE"""),7.8)</f>
        <v>7.8</v>
      </c>
      <c r="L138" s="24">
        <f>IFERROR(__xludf.DUMMYFUNCTION("""COMPUTED_VALUE"""),12.0)</f>
        <v>12</v>
      </c>
      <c r="M138" s="25" t="str">
        <f>IFERROR(__xludf.DUMMYFUNCTION("""COMPUTED_VALUE"""),"Action-Adventure")</f>
        <v>Action-Adventure</v>
      </c>
      <c r="N138" s="25" t="str">
        <f>IFERROR(__xludf.DUMMYFUNCTION("""COMPUTED_VALUE"""),"PS3")</f>
        <v>PS3</v>
      </c>
      <c r="O138" s="26" t="str">
        <f>IFERROR(__xludf.DUMMYFUNCTION("""COMPUTED_VALUE"""),"Yes")</f>
        <v>Yes</v>
      </c>
      <c r="P138" s="26" t="str">
        <f>IFERROR(__xludf.DUMMYFUNCTION("""COMPUTED_VALUE"""),"")</f>
        <v/>
      </c>
    </row>
    <row r="139">
      <c r="A139" s="13" t="str">
        <f>IFERROR(__xludf.DUMMYFUNCTION("""COMPUTED_VALUE"""),"Skullgirls Encore")</f>
        <v>Skullgirls Encore</v>
      </c>
      <c r="B139" s="15" t="str">
        <f>IFERROR(__xludf.DUMMYFUNCTION("""COMPUTED_VALUE"""),"PS5/PS4")</f>
        <v>PS5/PS4</v>
      </c>
      <c r="C139" s="16" t="str">
        <f>IFERROR(__xludf.DUMMYFUNCTION("""COMPUTED_VALUE"""),"Premium (Streaming Only)")</f>
        <v>Premium (Streaming Only)</v>
      </c>
      <c r="D139" s="15" t="str">
        <f>IFERROR(__xludf.DUMMYFUNCTION("""COMPUTED_VALUE"""),"Active")</f>
        <v>Active</v>
      </c>
      <c r="E139" s="17">
        <f>IFERROR(__xludf.DUMMYFUNCTION("""COMPUTED_VALUE"""),42017.0)</f>
        <v>42017</v>
      </c>
      <c r="F139" s="54"/>
      <c r="G139" s="19">
        <f>IFERROR(__xludf.DUMMYFUNCTION("""COMPUTED_VALUE"""),140.76666666666668)</f>
        <v>140.7666667</v>
      </c>
      <c r="H139" s="17">
        <f>IFERROR(__xludf.DUMMYFUNCTION("""COMPUTED_VALUE"""),41671.0)</f>
        <v>41671</v>
      </c>
      <c r="I139" s="19">
        <f>IFERROR(__xludf.DUMMYFUNCTION("""COMPUTED_VALUE"""),0.95)</f>
        <v>0.95</v>
      </c>
      <c r="J139" s="21">
        <f>IFERROR(__xludf.DUMMYFUNCTION("""COMPUTED_VALUE"""),80.0)</f>
        <v>80</v>
      </c>
      <c r="K139" s="23">
        <f>IFERROR(__xludf.DUMMYFUNCTION("""COMPUTED_VALUE"""),8.1)</f>
        <v>8.1</v>
      </c>
      <c r="L139" s="24">
        <f>IFERROR(__xludf.DUMMYFUNCTION("""COMPUTED_VALUE"""),3.0)</f>
        <v>3</v>
      </c>
      <c r="M139" s="25" t="str">
        <f>IFERROR(__xludf.DUMMYFUNCTION("""COMPUTED_VALUE"""),"Fighting")</f>
        <v>Fighting</v>
      </c>
      <c r="N139" s="25" t="str">
        <f>IFERROR(__xludf.DUMMYFUNCTION("""COMPUTED_VALUE"""),"PS3")</f>
        <v>PS3</v>
      </c>
      <c r="O139" s="26" t="str">
        <f>IFERROR(__xludf.DUMMYFUNCTION("""COMPUTED_VALUE"""),"Yes")</f>
        <v>Yes</v>
      </c>
      <c r="P139" s="26" t="str">
        <f>IFERROR(__xludf.DUMMYFUNCTION("""COMPUTED_VALUE"""),"")</f>
        <v/>
      </c>
    </row>
    <row r="140">
      <c r="A140" s="13" t="str">
        <f>IFERROR(__xludf.DUMMYFUNCTION("""COMPUTED_VALUE"""),"The Darkness")</f>
        <v>The Darkness</v>
      </c>
      <c r="B140" s="15" t="str">
        <f>IFERROR(__xludf.DUMMYFUNCTION("""COMPUTED_VALUE"""),"PS5/PS4")</f>
        <v>PS5/PS4</v>
      </c>
      <c r="C140" s="16" t="str">
        <f>IFERROR(__xludf.DUMMYFUNCTION("""COMPUTED_VALUE"""),"Premium (Streaming Only)")</f>
        <v>Premium (Streaming Only)</v>
      </c>
      <c r="D140" s="15" t="str">
        <f>IFERROR(__xludf.DUMMYFUNCTION("""COMPUTED_VALUE"""),"Active")</f>
        <v>Active</v>
      </c>
      <c r="E140" s="17">
        <f>IFERROR(__xludf.DUMMYFUNCTION("""COMPUTED_VALUE"""),42017.0)</f>
        <v>42017</v>
      </c>
      <c r="F140" s="18"/>
      <c r="G140" s="19">
        <f>IFERROR(__xludf.DUMMYFUNCTION("""COMPUTED_VALUE"""),140.76666666666668)</f>
        <v>140.7666667</v>
      </c>
      <c r="H140" s="17">
        <f>IFERROR(__xludf.DUMMYFUNCTION("""COMPUTED_VALUE"""),39234.0)</f>
        <v>39234</v>
      </c>
      <c r="I140" s="19">
        <f>IFERROR(__xludf.DUMMYFUNCTION("""COMPUTED_VALUE"""),7.616666666666666)</f>
        <v>7.616666667</v>
      </c>
      <c r="J140" s="21">
        <f>IFERROR(__xludf.DUMMYFUNCTION("""COMPUTED_VALUE"""),80.0)</f>
        <v>80</v>
      </c>
      <c r="K140" s="23">
        <f>IFERROR(__xludf.DUMMYFUNCTION("""COMPUTED_VALUE"""),8.1)</f>
        <v>8.1</v>
      </c>
      <c r="L140" s="24">
        <f>IFERROR(__xludf.DUMMYFUNCTION("""COMPUTED_VALUE"""),8.0)</f>
        <v>8</v>
      </c>
      <c r="M140" s="70" t="str">
        <f>IFERROR(__xludf.DUMMYFUNCTION("""COMPUTED_VALUE"""),"Shooter")</f>
        <v>Shooter</v>
      </c>
      <c r="N140" s="25" t="str">
        <f>IFERROR(__xludf.DUMMYFUNCTION("""COMPUTED_VALUE"""),"PS3")</f>
        <v>PS3</v>
      </c>
      <c r="O140" s="26" t="str">
        <f>IFERROR(__xludf.DUMMYFUNCTION("""COMPUTED_VALUE"""),"Yes")</f>
        <v>Yes</v>
      </c>
      <c r="P140" s="26" t="str">
        <f>IFERROR(__xludf.DUMMYFUNCTION("""COMPUTED_VALUE"""),"")</f>
        <v/>
      </c>
    </row>
    <row r="141">
      <c r="A141" s="13" t="str">
        <f>IFERROR(__xludf.DUMMYFUNCTION("""COMPUTED_VALUE"""),"Resident Evil 3: Nemesis")</f>
        <v>Resident Evil 3: Nemesis</v>
      </c>
      <c r="B141" s="15" t="str">
        <f>IFERROR(__xludf.DUMMYFUNCTION("""COMPUTED_VALUE"""),"PS5/PS4")</f>
        <v>PS5/PS4</v>
      </c>
      <c r="C141" s="16" t="str">
        <f>IFERROR(__xludf.DUMMYFUNCTION("""COMPUTED_VALUE"""),"Premium (Classics)")</f>
        <v>Premium (Classics)</v>
      </c>
      <c r="D141" s="15" t="str">
        <f>IFERROR(__xludf.DUMMYFUNCTION("""COMPUTED_VALUE"""),"Active")</f>
        <v>Active</v>
      </c>
      <c r="E141" s="17">
        <f>IFERROR(__xludf.DUMMYFUNCTION("""COMPUTED_VALUE"""),45888.0)</f>
        <v>45888</v>
      </c>
      <c r="F141" s="18"/>
      <c r="G141" s="19">
        <f>IFERROR(__xludf.DUMMYFUNCTION("""COMPUTED_VALUE"""),13.566666666666666)</f>
        <v>13.56666667</v>
      </c>
      <c r="H141" s="17">
        <f>IFERROR(__xludf.DUMMYFUNCTION("""COMPUTED_VALUE"""),36475.0)</f>
        <v>36475</v>
      </c>
      <c r="I141" s="19">
        <f>IFERROR(__xludf.DUMMYFUNCTION("""COMPUTED_VALUE"""),25.772222222222222)</f>
        <v>25.77222222</v>
      </c>
      <c r="J141" s="21">
        <f>IFERROR(__xludf.DUMMYFUNCTION("""COMPUTED_VALUE"""),79.0)</f>
        <v>79</v>
      </c>
      <c r="K141" s="23">
        <f>IFERROR(__xludf.DUMMYFUNCTION("""COMPUTED_VALUE"""),6.7)</f>
        <v>6.7</v>
      </c>
      <c r="L141" s="24">
        <f>IFERROR(__xludf.DUMMYFUNCTION("""COMPUTED_VALUE"""),6.0)</f>
        <v>6</v>
      </c>
      <c r="M141" s="25" t="str">
        <f>IFERROR(__xludf.DUMMYFUNCTION("""COMPUTED_VALUE"""),"Survival")</f>
        <v>Survival</v>
      </c>
      <c r="N141" s="25" t="str">
        <f>IFERROR(__xludf.DUMMYFUNCTION("""COMPUTED_VALUE"""),"PS1")</f>
        <v>PS1</v>
      </c>
      <c r="O141" s="26"/>
      <c r="P141" s="26"/>
    </row>
    <row r="142">
      <c r="A142" s="13" t="str">
        <f>IFERROR(__xludf.DUMMYFUNCTION("""COMPUTED_VALUE"""),"Rally Cross")</f>
        <v>Rally Cross</v>
      </c>
      <c r="B142" s="15" t="str">
        <f>IFERROR(__xludf.DUMMYFUNCTION("""COMPUTED_VALUE"""),"PS5/PS4")</f>
        <v>PS5/PS4</v>
      </c>
      <c r="C142" s="16" t="str">
        <f>IFERROR(__xludf.DUMMYFUNCTION("""COMPUTED_VALUE"""),"Premium (Classics)")</f>
        <v>Premium (Classics)</v>
      </c>
      <c r="D142" s="15" t="str">
        <f>IFERROR(__xludf.DUMMYFUNCTION("""COMPUTED_VALUE"""),"Active")</f>
        <v>Active</v>
      </c>
      <c r="E142" s="17">
        <f>IFERROR(__xludf.DUMMYFUNCTION("""COMPUTED_VALUE"""),45307.0)</f>
        <v>45307</v>
      </c>
      <c r="F142" s="54"/>
      <c r="G142" s="19">
        <f>IFERROR(__xludf.DUMMYFUNCTION("""COMPUTED_VALUE"""),32.66666666666667)</f>
        <v>32.66666667</v>
      </c>
      <c r="H142" s="17">
        <f>IFERROR(__xludf.DUMMYFUNCTION("""COMPUTED_VALUE"""),35734.0)</f>
        <v>35734</v>
      </c>
      <c r="I142" s="19">
        <f>IFERROR(__xludf.DUMMYFUNCTION("""COMPUTED_VALUE"""),26.211111111111112)</f>
        <v>26.21111111</v>
      </c>
      <c r="J142" s="21">
        <f>IFERROR(__xludf.DUMMYFUNCTION("""COMPUTED_VALUE"""),79.0)</f>
        <v>79</v>
      </c>
      <c r="K142" s="23">
        <f>IFERROR(__xludf.DUMMYFUNCTION("""COMPUTED_VALUE"""),7.9)</f>
        <v>7.9</v>
      </c>
      <c r="L142" s="24">
        <f>IFERROR(__xludf.DUMMYFUNCTION("""COMPUTED_VALUE"""),7.0)</f>
        <v>7</v>
      </c>
      <c r="M142" s="25" t="str">
        <f>IFERROR(__xludf.DUMMYFUNCTION("""COMPUTED_VALUE"""),"Racing")</f>
        <v>Racing</v>
      </c>
      <c r="N142" s="25" t="str">
        <f>IFERROR(__xludf.DUMMYFUNCTION("""COMPUTED_VALUE"""),"PS1")</f>
        <v>PS1</v>
      </c>
      <c r="O142" s="26" t="str">
        <f>IFERROR(__xludf.DUMMYFUNCTION("""COMPUTED_VALUE"""),"Yes")</f>
        <v>Yes</v>
      </c>
      <c r="P142" s="26"/>
    </row>
    <row r="143">
      <c r="A143" s="13" t="str">
        <f>IFERROR(__xludf.DUMMYFUNCTION("""COMPUTED_VALUE"""),"Heavenly Sword")</f>
        <v>Heavenly Sword</v>
      </c>
      <c r="B143" s="15" t="str">
        <f>IFERROR(__xludf.DUMMYFUNCTION("""COMPUTED_VALUE"""),"PS5/PS4")</f>
        <v>PS5/PS4</v>
      </c>
      <c r="C143" s="16" t="str">
        <f>IFERROR(__xludf.DUMMYFUNCTION("""COMPUTED_VALUE"""),"Premium (Streaming Only)")</f>
        <v>Premium (Streaming Only)</v>
      </c>
      <c r="D143" s="15" t="str">
        <f>IFERROR(__xludf.DUMMYFUNCTION("""COMPUTED_VALUE"""),"Active")</f>
        <v>Active</v>
      </c>
      <c r="E143" s="17">
        <f>IFERROR(__xludf.DUMMYFUNCTION("""COMPUTED_VALUE"""),44915.0)</f>
        <v>44915</v>
      </c>
      <c r="F143" s="54"/>
      <c r="G143" s="19">
        <f>IFERROR(__xludf.DUMMYFUNCTION("""COMPUTED_VALUE"""),45.53333333333333)</f>
        <v>45.53333333</v>
      </c>
      <c r="H143" s="17">
        <f>IFERROR(__xludf.DUMMYFUNCTION("""COMPUTED_VALUE"""),39337.0)</f>
        <v>39337</v>
      </c>
      <c r="I143" s="19">
        <f>IFERROR(__xludf.DUMMYFUNCTION("""COMPUTED_VALUE"""),15.272222222222222)</f>
        <v>15.27222222</v>
      </c>
      <c r="J143" s="21">
        <f>IFERROR(__xludf.DUMMYFUNCTION("""COMPUTED_VALUE"""),79.0)</f>
        <v>79</v>
      </c>
      <c r="K143" s="23">
        <f>IFERROR(__xludf.DUMMYFUNCTION("""COMPUTED_VALUE"""),8.1)</f>
        <v>8.1</v>
      </c>
      <c r="L143" s="24">
        <f>IFERROR(__xludf.DUMMYFUNCTION("""COMPUTED_VALUE"""),7.0)</f>
        <v>7</v>
      </c>
      <c r="M143" s="25" t="str">
        <f>IFERROR(__xludf.DUMMYFUNCTION("""COMPUTED_VALUE"""),"Action-Adventure")</f>
        <v>Action-Adventure</v>
      </c>
      <c r="N143" s="25" t="str">
        <f>IFERROR(__xludf.DUMMYFUNCTION("""COMPUTED_VALUE"""),"PS3")</f>
        <v>PS3</v>
      </c>
      <c r="O143" s="26" t="str">
        <f>IFERROR(__xludf.DUMMYFUNCTION("""COMPUTED_VALUE"""),"Yes")</f>
        <v>Yes</v>
      </c>
      <c r="P143" s="26"/>
    </row>
    <row r="144">
      <c r="A144" s="13" t="str">
        <f>IFERROR(__xludf.DUMMYFUNCTION("""COMPUTED_VALUE"""),"echochrome")</f>
        <v>echochrome</v>
      </c>
      <c r="B144" s="15" t="str">
        <f>IFERROR(__xludf.DUMMYFUNCTION("""COMPUTED_VALUE"""),"PS5/PS4")</f>
        <v>PS5/PS4</v>
      </c>
      <c r="C144" s="16" t="str">
        <f>IFERROR(__xludf.DUMMYFUNCTION("""COMPUTED_VALUE"""),"Premium (Classics)")</f>
        <v>Premium (Classics)</v>
      </c>
      <c r="D144" s="15" t="str">
        <f>IFERROR(__xludf.DUMMYFUNCTION("""COMPUTED_VALUE"""),"Active")</f>
        <v>Active</v>
      </c>
      <c r="E144" s="17">
        <f>IFERROR(__xludf.DUMMYFUNCTION("""COMPUTED_VALUE"""),44725.0)</f>
        <v>44725</v>
      </c>
      <c r="F144" s="54"/>
      <c r="G144" s="19">
        <f>IFERROR(__xludf.DUMMYFUNCTION("""COMPUTED_VALUE"""),51.766666666666666)</f>
        <v>51.76666667</v>
      </c>
      <c r="H144" s="17">
        <f>IFERROR(__xludf.DUMMYFUNCTION("""COMPUTED_VALUE"""),39569.0)</f>
        <v>39569</v>
      </c>
      <c r="I144" s="19">
        <f>IFERROR(__xludf.DUMMYFUNCTION("""COMPUTED_VALUE"""),14.116666666666667)</f>
        <v>14.11666667</v>
      </c>
      <c r="J144" s="21">
        <f>IFERROR(__xludf.DUMMYFUNCTION("""COMPUTED_VALUE"""),79.0)</f>
        <v>79</v>
      </c>
      <c r="K144" s="23">
        <f>IFERROR(__xludf.DUMMYFUNCTION("""COMPUTED_VALUE"""),7.4)</f>
        <v>7.4</v>
      </c>
      <c r="L144" s="24">
        <f>IFERROR(__xludf.DUMMYFUNCTION("""COMPUTED_VALUE"""),4.0)</f>
        <v>4</v>
      </c>
      <c r="M144" s="25" t="str">
        <f>IFERROR(__xludf.DUMMYFUNCTION("""COMPUTED_VALUE"""),"Puzzle")</f>
        <v>Puzzle</v>
      </c>
      <c r="N144" s="25" t="str">
        <f>IFERROR(__xludf.DUMMYFUNCTION("""COMPUTED_VALUE"""),"PSP")</f>
        <v>PSP</v>
      </c>
      <c r="O144" s="26" t="str">
        <f>IFERROR(__xludf.DUMMYFUNCTION("""COMPUTED_VALUE"""),"No")</f>
        <v>No</v>
      </c>
      <c r="P144" s="26" t="str">
        <f>IFERROR(__xludf.DUMMYFUNCTION("""COMPUTED_VALUE"""),"")</f>
        <v/>
      </c>
    </row>
    <row r="145">
      <c r="A145" s="13" t="str">
        <f>IFERROR(__xludf.DUMMYFUNCTION("""COMPUTED_VALUE"""),"LocoRoco 2: Remastered")</f>
        <v>LocoRoco 2: Remastered</v>
      </c>
      <c r="B145" s="15" t="str">
        <f>IFERROR(__xludf.DUMMYFUNCTION("""COMPUTED_VALUE"""),"PS4")</f>
        <v>PS4</v>
      </c>
      <c r="C145" s="16" t="str">
        <f>IFERROR(__xludf.DUMMYFUNCTION("""COMPUTED_VALUE"""),"Premium (Remasters)")</f>
        <v>Premium (Remasters)</v>
      </c>
      <c r="D145" s="15" t="str">
        <f>IFERROR(__xludf.DUMMYFUNCTION("""COMPUTED_VALUE"""),"Active")</f>
        <v>Active</v>
      </c>
      <c r="E145" s="17">
        <f>IFERROR(__xludf.DUMMYFUNCTION("""COMPUTED_VALUE"""),44725.0)</f>
        <v>44725</v>
      </c>
      <c r="F145" s="54"/>
      <c r="G145" s="19">
        <f>IFERROR(__xludf.DUMMYFUNCTION("""COMPUTED_VALUE"""),51.766666666666666)</f>
        <v>51.76666667</v>
      </c>
      <c r="H145" s="17">
        <f>IFERROR(__xludf.DUMMYFUNCTION("""COMPUTED_VALUE"""),43070.0)</f>
        <v>43070</v>
      </c>
      <c r="I145" s="19">
        <f>IFERROR(__xludf.DUMMYFUNCTION("""COMPUTED_VALUE"""),4.533333333333333)</f>
        <v>4.533333333</v>
      </c>
      <c r="J145" s="21">
        <f>IFERROR(__xludf.DUMMYFUNCTION("""COMPUTED_VALUE"""),79.0)</f>
        <v>79</v>
      </c>
      <c r="K145" s="23">
        <f>IFERROR(__xludf.DUMMYFUNCTION("""COMPUTED_VALUE"""),7.5)</f>
        <v>7.5</v>
      </c>
      <c r="L145" s="24">
        <f>IFERROR(__xludf.DUMMYFUNCTION("""COMPUTED_VALUE"""),7.0)</f>
        <v>7</v>
      </c>
      <c r="M145" s="25" t="str">
        <f>IFERROR(__xludf.DUMMYFUNCTION("""COMPUTED_VALUE"""),"Platformer")</f>
        <v>Platformer</v>
      </c>
      <c r="N145" s="25" t="str">
        <f>IFERROR(__xludf.DUMMYFUNCTION("""COMPUTED_VALUE"""),"PSP")</f>
        <v>PSP</v>
      </c>
      <c r="O145" s="26" t="str">
        <f>IFERROR(__xludf.DUMMYFUNCTION("""COMPUTED_VALUE"""),"No")</f>
        <v>No</v>
      </c>
      <c r="P145" s="26"/>
    </row>
    <row r="146">
      <c r="A146" s="13" t="str">
        <f>IFERROR(__xludf.DUMMYFUNCTION("""COMPUTED_VALUE"""),"GAROU: Mark of the Wolves")</f>
        <v>GAROU: Mark of the Wolves</v>
      </c>
      <c r="B146" s="15" t="str">
        <f>IFERROR(__xludf.DUMMYFUNCTION("""COMPUTED_VALUE"""),"PS4")</f>
        <v>PS4</v>
      </c>
      <c r="C146" s="16" t="str">
        <f>IFERROR(__xludf.DUMMYFUNCTION("""COMPUTED_VALUE"""),"Premium (Classics)")</f>
        <v>Premium (Classics)</v>
      </c>
      <c r="D146" s="15" t="str">
        <f>IFERROR(__xludf.DUMMYFUNCTION("""COMPUTED_VALUE"""),"Active")</f>
        <v>Active</v>
      </c>
      <c r="E146" s="17">
        <f>IFERROR(__xludf.DUMMYFUNCTION("""COMPUTED_VALUE"""),43438.0)</f>
        <v>43438</v>
      </c>
      <c r="F146" s="54"/>
      <c r="G146" s="19">
        <f>IFERROR(__xludf.DUMMYFUNCTION("""COMPUTED_VALUE"""),94.06666666666666)</f>
        <v>94.06666667</v>
      </c>
      <c r="H146" s="17">
        <f>IFERROR(__xludf.DUMMYFUNCTION("""COMPUTED_VALUE"""),36490.0)</f>
        <v>36490</v>
      </c>
      <c r="I146" s="19">
        <f>IFERROR(__xludf.DUMMYFUNCTION("""COMPUTED_VALUE"""),19.022222222222222)</f>
        <v>19.02222222</v>
      </c>
      <c r="J146" s="21">
        <f>IFERROR(__xludf.DUMMYFUNCTION("""COMPUTED_VALUE"""),79.0)</f>
        <v>79</v>
      </c>
      <c r="K146" s="23">
        <f>IFERROR(__xludf.DUMMYFUNCTION("""COMPUTED_VALUE"""),8.5)</f>
        <v>8.5</v>
      </c>
      <c r="L146" s="24">
        <f>IFERROR(__xludf.DUMMYFUNCTION("""COMPUTED_VALUE"""),1.0)</f>
        <v>1</v>
      </c>
      <c r="M146" s="25" t="str">
        <f>IFERROR(__xludf.DUMMYFUNCTION("""COMPUTED_VALUE"""),"Fighting")</f>
        <v>Fighting</v>
      </c>
      <c r="N146" s="25" t="str">
        <f>IFERROR(__xludf.DUMMYFUNCTION("""COMPUTED_VALUE"""),"PS2")</f>
        <v>PS2</v>
      </c>
      <c r="O146" s="26" t="str">
        <f>IFERROR(__xludf.DUMMYFUNCTION("""COMPUTED_VALUE"""),"Yes")</f>
        <v>Yes</v>
      </c>
      <c r="P146" s="26"/>
    </row>
    <row r="147">
      <c r="A147" s="13" t="str">
        <f>IFERROR(__xludf.DUMMYFUNCTION("""COMPUTED_VALUE"""),"Super Star Wars")</f>
        <v>Super Star Wars</v>
      </c>
      <c r="B147" s="15" t="str">
        <f>IFERROR(__xludf.DUMMYFUNCTION("""COMPUTED_VALUE"""),"PS4")</f>
        <v>PS4</v>
      </c>
      <c r="C147" s="16" t="str">
        <f>IFERROR(__xludf.DUMMYFUNCTION("""COMPUTED_VALUE"""),"Premium (Classics)")</f>
        <v>Premium (Classics)</v>
      </c>
      <c r="D147" s="15" t="str">
        <f>IFERROR(__xludf.DUMMYFUNCTION("""COMPUTED_VALUE"""),"Active")</f>
        <v>Active</v>
      </c>
      <c r="E147" s="17">
        <f>IFERROR(__xludf.DUMMYFUNCTION("""COMPUTED_VALUE"""),43438.0)</f>
        <v>43438</v>
      </c>
      <c r="F147" s="54"/>
      <c r="G147" s="19">
        <f>IFERROR(__xludf.DUMMYFUNCTION("""COMPUTED_VALUE"""),94.06666666666666)</f>
        <v>94.06666667</v>
      </c>
      <c r="H147" s="17">
        <f>IFERROR(__xludf.DUMMYFUNCTION("""COMPUTED_VALUE"""),33909.0)</f>
        <v>33909</v>
      </c>
      <c r="I147" s="19">
        <f>IFERROR(__xludf.DUMMYFUNCTION("""COMPUTED_VALUE"""),26.091666666666665)</f>
        <v>26.09166667</v>
      </c>
      <c r="J147" s="21">
        <f>IFERROR(__xludf.DUMMYFUNCTION("""COMPUTED_VALUE"""),79.0)</f>
        <v>79</v>
      </c>
      <c r="K147" s="23">
        <f>IFERROR(__xludf.DUMMYFUNCTION("""COMPUTED_VALUE"""),8.1)</f>
        <v>8.1</v>
      </c>
      <c r="L147" s="24">
        <f>IFERROR(__xludf.DUMMYFUNCTION("""COMPUTED_VALUE"""),6.0)</f>
        <v>6</v>
      </c>
      <c r="M147" s="25" t="str">
        <f>IFERROR(__xludf.DUMMYFUNCTION("""COMPUTED_VALUE"""),"Shooter")</f>
        <v>Shooter</v>
      </c>
      <c r="N147" s="25" t="str">
        <f>IFERROR(__xludf.DUMMYFUNCTION("""COMPUTED_VALUE"""),"SNES")</f>
        <v>SNES</v>
      </c>
      <c r="O147" s="26" t="str">
        <f>IFERROR(__xludf.DUMMYFUNCTION("""COMPUTED_VALUE"""),"Yes")</f>
        <v>Yes</v>
      </c>
      <c r="P147" s="26"/>
    </row>
    <row r="148">
      <c r="A148" s="13" t="str">
        <f>IFERROR(__xludf.DUMMYFUNCTION("""COMPUTED_VALUE"""),"LocoRoco: Remastered")</f>
        <v>LocoRoco: Remastered</v>
      </c>
      <c r="B148" s="15" t="str">
        <f>IFERROR(__xludf.DUMMYFUNCTION("""COMPUTED_VALUE"""),"PS4")</f>
        <v>PS4</v>
      </c>
      <c r="C148" s="16" t="str">
        <f>IFERROR(__xludf.DUMMYFUNCTION("""COMPUTED_VALUE"""),"Premium (Remasters)")</f>
        <v>Premium (Remasters)</v>
      </c>
      <c r="D148" s="15" t="str">
        <f>IFERROR(__xludf.DUMMYFUNCTION("""COMPUTED_VALUE"""),"Active")</f>
        <v>Active</v>
      </c>
      <c r="E148" s="17">
        <f>IFERROR(__xludf.DUMMYFUNCTION("""COMPUTED_VALUE"""),43410.0)</f>
        <v>43410</v>
      </c>
      <c r="F148" s="54"/>
      <c r="G148" s="19">
        <f>IFERROR(__xludf.DUMMYFUNCTION("""COMPUTED_VALUE"""),95.0)</f>
        <v>95</v>
      </c>
      <c r="H148" s="17">
        <f>IFERROR(__xludf.DUMMYFUNCTION("""COMPUTED_VALUE"""),42979.0)</f>
        <v>42979</v>
      </c>
      <c r="I148" s="19">
        <f>IFERROR(__xludf.DUMMYFUNCTION("""COMPUTED_VALUE"""),1.1805555555555556)</f>
        <v>1.180555556</v>
      </c>
      <c r="J148" s="21">
        <f>IFERROR(__xludf.DUMMYFUNCTION("""COMPUTED_VALUE"""),79.0)</f>
        <v>79</v>
      </c>
      <c r="K148" s="23">
        <f>IFERROR(__xludf.DUMMYFUNCTION("""COMPUTED_VALUE"""),7.4)</f>
        <v>7.4</v>
      </c>
      <c r="L148" s="24">
        <f>IFERROR(__xludf.DUMMYFUNCTION("""COMPUTED_VALUE"""),6.0)</f>
        <v>6</v>
      </c>
      <c r="M148" s="25" t="str">
        <f>IFERROR(__xludf.DUMMYFUNCTION("""COMPUTED_VALUE"""),"Platformer")</f>
        <v>Platformer</v>
      </c>
      <c r="N148" s="25" t="str">
        <f>IFERROR(__xludf.DUMMYFUNCTION("""COMPUTED_VALUE"""),"PSP")</f>
        <v>PSP</v>
      </c>
      <c r="O148" s="26" t="str">
        <f>IFERROR(__xludf.DUMMYFUNCTION("""COMPUTED_VALUE"""),"Yes")</f>
        <v>Yes</v>
      </c>
      <c r="P148" s="26"/>
    </row>
    <row r="149">
      <c r="A149" s="13" t="str">
        <f>IFERROR(__xludf.DUMMYFUNCTION("""COMPUTED_VALUE"""),"Atelier Escha &amp; Logy ~Alchemists of the Dusk Sky~")</f>
        <v>Atelier Escha &amp; Logy ~Alchemists of the Dusk Sky~</v>
      </c>
      <c r="B149" s="15" t="str">
        <f>IFERROR(__xludf.DUMMYFUNCTION("""COMPUTED_VALUE"""),"PS5/PS4")</f>
        <v>PS5/PS4</v>
      </c>
      <c r="C149" s="16" t="str">
        <f>IFERROR(__xludf.DUMMYFUNCTION("""COMPUTED_VALUE"""),"Premium (Streaming Only)")</f>
        <v>Premium (Streaming Only)</v>
      </c>
      <c r="D149" s="15" t="str">
        <f>IFERROR(__xludf.DUMMYFUNCTION("""COMPUTED_VALUE"""),"Active")</f>
        <v>Active</v>
      </c>
      <c r="E149" s="17">
        <f>IFERROR(__xludf.DUMMYFUNCTION("""COMPUTED_VALUE"""),42311.0)</f>
        <v>42311</v>
      </c>
      <c r="F149" s="54"/>
      <c r="G149" s="19">
        <f>IFERROR(__xludf.DUMMYFUNCTION("""COMPUTED_VALUE"""),131.10000000000002)</f>
        <v>131.1</v>
      </c>
      <c r="H149" s="17">
        <f>IFERROR(__xludf.DUMMYFUNCTION("""COMPUTED_VALUE"""),41821.0)</f>
        <v>41821</v>
      </c>
      <c r="I149" s="19">
        <f>IFERROR(__xludf.DUMMYFUNCTION("""COMPUTED_VALUE"""),1.3388888888888888)</f>
        <v>1.338888889</v>
      </c>
      <c r="J149" s="21">
        <f>IFERROR(__xludf.DUMMYFUNCTION("""COMPUTED_VALUE"""),79.0)</f>
        <v>79</v>
      </c>
      <c r="K149" s="23">
        <f>IFERROR(__xludf.DUMMYFUNCTION("""COMPUTED_VALUE"""),7.7)</f>
        <v>7.7</v>
      </c>
      <c r="L149" s="24">
        <f>IFERROR(__xludf.DUMMYFUNCTION("""COMPUTED_VALUE"""),50.0)</f>
        <v>50</v>
      </c>
      <c r="M149" s="25" t="str">
        <f>IFERROR(__xludf.DUMMYFUNCTION("""COMPUTED_VALUE"""),"RPG")</f>
        <v>RPG</v>
      </c>
      <c r="N149" s="25" t="str">
        <f>IFERROR(__xludf.DUMMYFUNCTION("""COMPUTED_VALUE"""),"PS3")</f>
        <v>PS3</v>
      </c>
      <c r="O149" s="26" t="str">
        <f>IFERROR(__xludf.DUMMYFUNCTION("""COMPUTED_VALUE"""),"Yes")</f>
        <v>Yes</v>
      </c>
      <c r="P149" s="26" t="str">
        <f>IFERROR(__xludf.DUMMYFUNCTION("""COMPUTED_VALUE"""),"")</f>
        <v/>
      </c>
    </row>
    <row r="150">
      <c r="A150" s="13" t="str">
        <f>IFERROR(__xludf.DUMMYFUNCTION("""COMPUTED_VALUE"""),"MEGA MAN 10")</f>
        <v>MEGA MAN 10</v>
      </c>
      <c r="B150" s="15" t="str">
        <f>IFERROR(__xludf.DUMMYFUNCTION("""COMPUTED_VALUE"""),"PS5/PS4")</f>
        <v>PS5/PS4</v>
      </c>
      <c r="C150" s="16" t="str">
        <f>IFERROR(__xludf.DUMMYFUNCTION("""COMPUTED_VALUE"""),"Premium (Streaming Only)")</f>
        <v>Premium (Streaming Only)</v>
      </c>
      <c r="D150" s="15" t="str">
        <f>IFERROR(__xludf.DUMMYFUNCTION("""COMPUTED_VALUE"""),"Active")</f>
        <v>Active</v>
      </c>
      <c r="E150" s="17">
        <f>IFERROR(__xludf.DUMMYFUNCTION("""COMPUTED_VALUE"""),42311.0)</f>
        <v>42311</v>
      </c>
      <c r="F150" s="54"/>
      <c r="G150" s="19">
        <f>IFERROR(__xludf.DUMMYFUNCTION("""COMPUTED_VALUE"""),131.10000000000002)</f>
        <v>131.1</v>
      </c>
      <c r="H150" s="17">
        <f>IFERROR(__xludf.DUMMYFUNCTION("""COMPUTED_VALUE"""),40238.0)</f>
        <v>40238</v>
      </c>
      <c r="I150" s="19">
        <f>IFERROR(__xludf.DUMMYFUNCTION("""COMPUTED_VALUE"""),5.6722222222222225)</f>
        <v>5.672222222</v>
      </c>
      <c r="J150" s="21">
        <f>IFERROR(__xludf.DUMMYFUNCTION("""COMPUTED_VALUE"""),79.0)</f>
        <v>79</v>
      </c>
      <c r="K150" s="23">
        <f>IFERROR(__xludf.DUMMYFUNCTION("""COMPUTED_VALUE"""),7.8)</f>
        <v>7.8</v>
      </c>
      <c r="L150" s="24">
        <f>IFERROR(__xludf.DUMMYFUNCTION("""COMPUTED_VALUE"""),2.0)</f>
        <v>2</v>
      </c>
      <c r="M150" s="25" t="str">
        <f>IFERROR(__xludf.DUMMYFUNCTION("""COMPUTED_VALUE"""),"Platformer")</f>
        <v>Platformer</v>
      </c>
      <c r="N150" s="25" t="str">
        <f>IFERROR(__xludf.DUMMYFUNCTION("""COMPUTED_VALUE"""),"PS3")</f>
        <v>PS3</v>
      </c>
      <c r="O150" s="26" t="str">
        <f>IFERROR(__xludf.DUMMYFUNCTION("""COMPUTED_VALUE"""),"Yes")</f>
        <v>Yes</v>
      </c>
      <c r="P150" s="26"/>
    </row>
    <row r="151">
      <c r="A151" s="13" t="str">
        <f>IFERROR(__xludf.DUMMYFUNCTION("""COMPUTED_VALUE"""),"STRONG BAD'S COOL GAME FOR ATTRACTIVE PEOPLE - EPISODE 3: BADDEST OF THE BANDS")</f>
        <v>STRONG BAD'S COOL GAME FOR ATTRACTIVE PEOPLE - EPISODE 3: BADDEST OF THE BANDS</v>
      </c>
      <c r="B151" s="15" t="str">
        <f>IFERROR(__xludf.DUMMYFUNCTION("""COMPUTED_VALUE"""),"PS5/PS4")</f>
        <v>PS5/PS4</v>
      </c>
      <c r="C151" s="16" t="str">
        <f>IFERROR(__xludf.DUMMYFUNCTION("""COMPUTED_VALUE"""),"Premium (Streaming Only)")</f>
        <v>Premium (Streaming Only)</v>
      </c>
      <c r="D151" s="15" t="str">
        <f>IFERROR(__xludf.DUMMYFUNCTION("""COMPUTED_VALUE"""),"Active")</f>
        <v>Active</v>
      </c>
      <c r="E151" s="17">
        <f>IFERROR(__xludf.DUMMYFUNCTION("""COMPUTED_VALUE"""),42311.0)</f>
        <v>42311</v>
      </c>
      <c r="F151" s="54"/>
      <c r="G151" s="19">
        <f>IFERROR(__xludf.DUMMYFUNCTION("""COMPUTED_VALUE"""),131.10000000000002)</f>
        <v>131.1</v>
      </c>
      <c r="H151" s="17">
        <f>IFERROR(__xludf.DUMMYFUNCTION("""COMPUTED_VALUE"""),39539.0)</f>
        <v>39539</v>
      </c>
      <c r="I151" s="19">
        <f>IFERROR(__xludf.DUMMYFUNCTION("""COMPUTED_VALUE"""),7.588888888888889)</f>
        <v>7.588888889</v>
      </c>
      <c r="J151" s="21">
        <f>IFERROR(__xludf.DUMMYFUNCTION("""COMPUTED_VALUE"""),79.0)</f>
        <v>79</v>
      </c>
      <c r="K151" s="23">
        <f>IFERROR(__xludf.DUMMYFUNCTION("""COMPUTED_VALUE"""),7.7)</f>
        <v>7.7</v>
      </c>
      <c r="L151" s="24">
        <f>IFERROR(__xludf.DUMMYFUNCTION("""COMPUTED_VALUE"""),2.0)</f>
        <v>2</v>
      </c>
      <c r="M151" s="25" t="str">
        <f>IFERROR(__xludf.DUMMYFUNCTION("""COMPUTED_VALUE"""),"Adventure")</f>
        <v>Adventure</v>
      </c>
      <c r="N151" s="25" t="str">
        <f>IFERROR(__xludf.DUMMYFUNCTION("""COMPUTED_VALUE"""),"PS3")</f>
        <v>PS3</v>
      </c>
      <c r="O151" s="26" t="str">
        <f>IFERROR(__xludf.DUMMYFUNCTION("""COMPUTED_VALUE"""),"Yes")</f>
        <v>Yes</v>
      </c>
      <c r="P151" s="26" t="str">
        <f>IFERROR(__xludf.DUMMYFUNCTION("""COMPUTED_VALUE"""),"")</f>
        <v/>
      </c>
    </row>
    <row r="152">
      <c r="A152" s="13" t="str">
        <f>IFERROR(__xludf.DUMMYFUNCTION("""COMPUTED_VALUE"""),"LEGO Batman 2: DC Super Heroes")</f>
        <v>LEGO Batman 2: DC Super Heroes</v>
      </c>
      <c r="B152" s="15" t="str">
        <f>IFERROR(__xludf.DUMMYFUNCTION("""COMPUTED_VALUE"""),"PS5/PS4")</f>
        <v>PS5/PS4</v>
      </c>
      <c r="C152" s="16" t="str">
        <f>IFERROR(__xludf.DUMMYFUNCTION("""COMPUTED_VALUE"""),"Premium (Streaming Only)")</f>
        <v>Premium (Streaming Only)</v>
      </c>
      <c r="D152" s="15" t="str">
        <f>IFERROR(__xludf.DUMMYFUNCTION("""COMPUTED_VALUE"""),"Active")</f>
        <v>Active</v>
      </c>
      <c r="E152" s="17">
        <f>IFERROR(__xludf.DUMMYFUNCTION("""COMPUTED_VALUE"""),42017.0)</f>
        <v>42017</v>
      </c>
      <c r="F152" s="54"/>
      <c r="G152" s="19">
        <f>IFERROR(__xludf.DUMMYFUNCTION("""COMPUTED_VALUE"""),140.76666666666668)</f>
        <v>140.7666667</v>
      </c>
      <c r="H152" s="17">
        <f>IFERROR(__xludf.DUMMYFUNCTION("""COMPUTED_VALUE"""),41079.0)</f>
        <v>41079</v>
      </c>
      <c r="I152" s="19">
        <f>IFERROR(__xludf.DUMMYFUNCTION("""COMPUTED_VALUE"""),2.566666666666667)</f>
        <v>2.566666667</v>
      </c>
      <c r="J152" s="21">
        <f>IFERROR(__xludf.DUMMYFUNCTION("""COMPUTED_VALUE"""),79.0)</f>
        <v>79</v>
      </c>
      <c r="K152" s="23">
        <f>IFERROR(__xludf.DUMMYFUNCTION("""COMPUTED_VALUE"""),7.9)</f>
        <v>7.9</v>
      </c>
      <c r="L152" s="24">
        <f>IFERROR(__xludf.DUMMYFUNCTION("""COMPUTED_VALUE"""),9.0)</f>
        <v>9</v>
      </c>
      <c r="M152" s="25" t="str">
        <f>IFERROR(__xludf.DUMMYFUNCTION("""COMPUTED_VALUE"""),"Action-Adventure")</f>
        <v>Action-Adventure</v>
      </c>
      <c r="N152" s="25" t="str">
        <f>IFERROR(__xludf.DUMMYFUNCTION("""COMPUTED_VALUE"""),"PS3")</f>
        <v>PS3</v>
      </c>
      <c r="O152" s="26" t="str">
        <f>IFERROR(__xludf.DUMMYFUNCTION("""COMPUTED_VALUE"""),"Yes")</f>
        <v>Yes</v>
      </c>
      <c r="P152" s="26"/>
    </row>
    <row r="153">
      <c r="A153" s="13" t="str">
        <f>IFERROR(__xludf.DUMMYFUNCTION("""COMPUTED_VALUE"""),"The Darkness II")</f>
        <v>The Darkness II</v>
      </c>
      <c r="B153" s="15" t="str">
        <f>IFERROR(__xludf.DUMMYFUNCTION("""COMPUTED_VALUE"""),"PS5/PS4")</f>
        <v>PS5/PS4</v>
      </c>
      <c r="C153" s="16" t="str">
        <f>IFERROR(__xludf.DUMMYFUNCTION("""COMPUTED_VALUE"""),"Premium (Streaming Only)")</f>
        <v>Premium (Streaming Only)</v>
      </c>
      <c r="D153" s="15" t="str">
        <f>IFERROR(__xludf.DUMMYFUNCTION("""COMPUTED_VALUE"""),"Active")</f>
        <v>Active</v>
      </c>
      <c r="E153" s="17">
        <f>IFERROR(__xludf.DUMMYFUNCTION("""COMPUTED_VALUE"""),42017.0)</f>
        <v>42017</v>
      </c>
      <c r="F153" s="54"/>
      <c r="G153" s="19">
        <f>IFERROR(__xludf.DUMMYFUNCTION("""COMPUTED_VALUE"""),140.76666666666668)</f>
        <v>140.7666667</v>
      </c>
      <c r="H153" s="17">
        <f>IFERROR(__xludf.DUMMYFUNCTION("""COMPUTED_VALUE"""),40940.0)</f>
        <v>40940</v>
      </c>
      <c r="I153" s="19">
        <f>IFERROR(__xludf.DUMMYFUNCTION("""COMPUTED_VALUE"""),2.95)</f>
        <v>2.95</v>
      </c>
      <c r="J153" s="21">
        <f>IFERROR(__xludf.DUMMYFUNCTION("""COMPUTED_VALUE"""),79.0)</f>
        <v>79</v>
      </c>
      <c r="K153" s="23">
        <f>IFERROR(__xludf.DUMMYFUNCTION("""COMPUTED_VALUE"""),7.5)</f>
        <v>7.5</v>
      </c>
      <c r="L153" s="24">
        <f>IFERROR(__xludf.DUMMYFUNCTION("""COMPUTED_VALUE"""),6.0)</f>
        <v>6</v>
      </c>
      <c r="M153" s="25" t="str">
        <f>IFERROR(__xludf.DUMMYFUNCTION("""COMPUTED_VALUE"""),"Shooter")</f>
        <v>Shooter</v>
      </c>
      <c r="N153" s="25" t="str">
        <f>IFERROR(__xludf.DUMMYFUNCTION("""COMPUTED_VALUE"""),"PS3")</f>
        <v>PS3</v>
      </c>
      <c r="O153" s="26" t="str">
        <f>IFERROR(__xludf.DUMMYFUNCTION("""COMPUTED_VALUE"""),"Yes")</f>
        <v>Yes</v>
      </c>
      <c r="P153" s="26" t="str">
        <f>IFERROR(__xludf.DUMMYFUNCTION("""COMPUTED_VALUE"""),"")</f>
        <v/>
      </c>
    </row>
    <row r="154">
      <c r="A154" s="13" t="str">
        <f>IFERROR(__xludf.DUMMYFUNCTION("""COMPUTED_VALUE"""),"Armored Core: Project Phantasma")</f>
        <v>Armored Core: Project Phantasma</v>
      </c>
      <c r="B154" s="15" t="str">
        <f>IFERROR(__xludf.DUMMYFUNCTION("""COMPUTED_VALUE"""),"PS5/PS4")</f>
        <v>PS5/PS4</v>
      </c>
      <c r="C154" s="16" t="str">
        <f>IFERROR(__xludf.DUMMYFUNCTION("""COMPUTED_VALUE"""),"Premium (Classics)")</f>
        <v>Premium (Classics)</v>
      </c>
      <c r="D154" s="15" t="str">
        <f>IFERROR(__xludf.DUMMYFUNCTION("""COMPUTED_VALUE"""),"Active")</f>
        <v>Active</v>
      </c>
      <c r="E154" s="17">
        <f>IFERROR(__xludf.DUMMYFUNCTION("""COMPUTED_VALUE"""),45734.0)</f>
        <v>45734</v>
      </c>
      <c r="F154" s="54"/>
      <c r="G154" s="19">
        <f>IFERROR(__xludf.DUMMYFUNCTION("""COMPUTED_VALUE"""),18.6)</f>
        <v>18.6</v>
      </c>
      <c r="H154" s="17">
        <f>IFERROR(__xludf.DUMMYFUNCTION("""COMPUTED_VALUE"""),36042.0)</f>
        <v>36042</v>
      </c>
      <c r="I154" s="19">
        <f>IFERROR(__xludf.DUMMYFUNCTION("""COMPUTED_VALUE"""),26.538888888888888)</f>
        <v>26.53888889</v>
      </c>
      <c r="J154" s="21">
        <f>IFERROR(__xludf.DUMMYFUNCTION("""COMPUTED_VALUE"""),78.0)</f>
        <v>78</v>
      </c>
      <c r="K154" s="23">
        <f>IFERROR(__xludf.DUMMYFUNCTION("""COMPUTED_VALUE"""),8.1)</f>
        <v>8.1</v>
      </c>
      <c r="L154" s="24">
        <f>IFERROR(__xludf.DUMMYFUNCTION("""COMPUTED_VALUE"""),4.0)</f>
        <v>4</v>
      </c>
      <c r="M154" s="25" t="str">
        <f>IFERROR(__xludf.DUMMYFUNCTION("""COMPUTED_VALUE"""),"RPG")</f>
        <v>RPG</v>
      </c>
      <c r="N154" s="25" t="str">
        <f>IFERROR(__xludf.DUMMYFUNCTION("""COMPUTED_VALUE"""),"PS1")</f>
        <v>PS1</v>
      </c>
      <c r="O154" s="26" t="str">
        <f>IFERROR(__xludf.DUMMYFUNCTION("""COMPUTED_VALUE"""),"Yes")</f>
        <v>Yes</v>
      </c>
      <c r="P154" s="26"/>
    </row>
    <row r="155">
      <c r="A155" s="13" t="str">
        <f>IFERROR(__xludf.DUMMYFUNCTION("""COMPUTED_VALUE"""),"Dropship: United Peace Force")</f>
        <v>Dropship: United Peace Force</v>
      </c>
      <c r="B155" s="15" t="str">
        <f>IFERROR(__xludf.DUMMYFUNCTION("""COMPUTED_VALUE"""),"PS5/PS4")</f>
        <v>PS5/PS4</v>
      </c>
      <c r="C155" s="16" t="str">
        <f>IFERROR(__xludf.DUMMYFUNCTION("""COMPUTED_VALUE"""),"Premium (Classics)")</f>
        <v>Premium (Classics)</v>
      </c>
      <c r="D155" s="15" t="str">
        <f>IFERROR(__xludf.DUMMYFUNCTION("""COMPUTED_VALUE"""),"Active")</f>
        <v>Active</v>
      </c>
      <c r="E155" s="17">
        <f>IFERROR(__xludf.DUMMYFUNCTION("""COMPUTED_VALUE"""),45705.0)</f>
        <v>45705</v>
      </c>
      <c r="F155" s="54"/>
      <c r="G155" s="19">
        <f>IFERROR(__xludf.DUMMYFUNCTION("""COMPUTED_VALUE"""),19.633333333333333)</f>
        <v>19.63333333</v>
      </c>
      <c r="H155" s="17">
        <f>IFERROR(__xludf.DUMMYFUNCTION("""COMPUTED_VALUE"""),37405.0)</f>
        <v>37405</v>
      </c>
      <c r="I155" s="19">
        <f>IFERROR(__xludf.DUMMYFUNCTION("""COMPUTED_VALUE"""),22.716666666666665)</f>
        <v>22.71666667</v>
      </c>
      <c r="J155" s="21">
        <f>IFERROR(__xludf.DUMMYFUNCTION("""COMPUTED_VALUE"""),78.0)</f>
        <v>78</v>
      </c>
      <c r="K155" s="23">
        <f>IFERROR(__xludf.DUMMYFUNCTION("""COMPUTED_VALUE"""),8.8)</f>
        <v>8.8</v>
      </c>
      <c r="L155" s="24">
        <f>IFERROR(__xludf.DUMMYFUNCTION("""COMPUTED_VALUE"""),12.0)</f>
        <v>12</v>
      </c>
      <c r="M155" s="25" t="str">
        <f>IFERROR(__xludf.DUMMYFUNCTION("""COMPUTED_VALUE"""),"Simulation")</f>
        <v>Simulation</v>
      </c>
      <c r="N155" s="25" t="str">
        <f>IFERROR(__xludf.DUMMYFUNCTION("""COMPUTED_VALUE"""),"PS2")</f>
        <v>PS2</v>
      </c>
      <c r="O155" s="26" t="str">
        <f>IFERROR(__xludf.DUMMYFUNCTION("""COMPUTED_VALUE"""),"Yes")</f>
        <v>Yes</v>
      </c>
      <c r="P155" s="26"/>
    </row>
    <row r="156">
      <c r="A156" s="13" t="str">
        <f>IFERROR(__xludf.DUMMYFUNCTION("""COMPUTED_VALUE"""),"Cool Boarders")</f>
        <v>Cool Boarders</v>
      </c>
      <c r="B156" s="15" t="str">
        <f>IFERROR(__xludf.DUMMYFUNCTION("""COMPUTED_VALUE"""),"PS5/PS4")</f>
        <v>PS5/PS4</v>
      </c>
      <c r="C156" s="16" t="str">
        <f>IFERROR(__xludf.DUMMYFUNCTION("""COMPUTED_VALUE"""),"Premium (Classics)")</f>
        <v>Premium (Classics)</v>
      </c>
      <c r="D156" s="15" t="str">
        <f>IFERROR(__xludf.DUMMYFUNCTION("""COMPUTED_VALUE"""),"Active")</f>
        <v>Active</v>
      </c>
      <c r="E156" s="17">
        <f>IFERROR(__xludf.DUMMYFUNCTION("""COMPUTED_VALUE"""),45370.0)</f>
        <v>45370</v>
      </c>
      <c r="F156" s="54"/>
      <c r="G156" s="19">
        <f>IFERROR(__xludf.DUMMYFUNCTION("""COMPUTED_VALUE"""),30.566666666666663)</f>
        <v>30.56666667</v>
      </c>
      <c r="H156" s="17">
        <f>IFERROR(__xludf.DUMMYFUNCTION("""COMPUTED_VALUE"""),35307.0)</f>
        <v>35307</v>
      </c>
      <c r="I156" s="19">
        <f>IFERROR(__xludf.DUMMYFUNCTION("""COMPUTED_VALUE"""),27.552777777777777)</f>
        <v>27.55277778</v>
      </c>
      <c r="J156" s="21">
        <f>IFERROR(__xludf.DUMMYFUNCTION("""COMPUTED_VALUE"""),78.0)</f>
        <v>78</v>
      </c>
      <c r="K156" s="23">
        <f>IFERROR(__xludf.DUMMYFUNCTION("""COMPUTED_VALUE"""),5.3)</f>
        <v>5.3</v>
      </c>
      <c r="L156" s="24">
        <f>IFERROR(__xludf.DUMMYFUNCTION("""COMPUTED_VALUE"""),6.0)</f>
        <v>6</v>
      </c>
      <c r="M156" s="25" t="str">
        <f>IFERROR(__xludf.DUMMYFUNCTION("""COMPUTED_VALUE"""),"Sports")</f>
        <v>Sports</v>
      </c>
      <c r="N156" s="25" t="str">
        <f>IFERROR(__xludf.DUMMYFUNCTION("""COMPUTED_VALUE"""),"PS1")</f>
        <v>PS1</v>
      </c>
      <c r="O156" s="26" t="str">
        <f>IFERROR(__xludf.DUMMYFUNCTION("""COMPUTED_VALUE"""),"Yes")</f>
        <v>Yes</v>
      </c>
      <c r="P156" s="26"/>
    </row>
    <row r="157">
      <c r="A157" s="13" t="str">
        <f>IFERROR(__xludf.DUMMYFUNCTION("""COMPUTED_VALUE"""),"Twisted Metal 2")</f>
        <v>Twisted Metal 2</v>
      </c>
      <c r="B157" s="15" t="str">
        <f>IFERROR(__xludf.DUMMYFUNCTION("""COMPUTED_VALUE"""),"PS5/PS4")</f>
        <v>PS5/PS4</v>
      </c>
      <c r="C157" s="16" t="str">
        <f>IFERROR(__xludf.DUMMYFUNCTION("""COMPUTED_VALUE"""),"Premium (Classics)")</f>
        <v>Premium (Classics)</v>
      </c>
      <c r="D157" s="15" t="str">
        <f>IFERROR(__xludf.DUMMYFUNCTION("""COMPUTED_VALUE"""),"Active")</f>
        <v>Active</v>
      </c>
      <c r="E157" s="17">
        <f>IFERROR(__xludf.DUMMYFUNCTION("""COMPUTED_VALUE"""),45125.0)</f>
        <v>45125</v>
      </c>
      <c r="F157" s="18"/>
      <c r="G157" s="19">
        <f>IFERROR(__xludf.DUMMYFUNCTION("""COMPUTED_VALUE"""),38.6)</f>
        <v>38.6</v>
      </c>
      <c r="H157" s="17">
        <f>IFERROR(__xludf.DUMMYFUNCTION("""COMPUTED_VALUE"""),35369.0)</f>
        <v>35369</v>
      </c>
      <c r="I157" s="19">
        <f>IFERROR(__xludf.DUMMYFUNCTION("""COMPUTED_VALUE"""),26.716666666666665)</f>
        <v>26.71666667</v>
      </c>
      <c r="J157" s="21">
        <f>IFERROR(__xludf.DUMMYFUNCTION("""COMPUTED_VALUE"""),78.0)</f>
        <v>78</v>
      </c>
      <c r="K157" s="23">
        <f>IFERROR(__xludf.DUMMYFUNCTION("""COMPUTED_VALUE"""),8.8)</f>
        <v>8.8</v>
      </c>
      <c r="L157" s="24">
        <f>IFERROR(__xludf.DUMMYFUNCTION("""COMPUTED_VALUE"""),5.0)</f>
        <v>5</v>
      </c>
      <c r="M157" s="25" t="str">
        <f>IFERROR(__xludf.DUMMYFUNCTION("""COMPUTED_VALUE"""),"Driving")</f>
        <v>Driving</v>
      </c>
      <c r="N157" s="25" t="str">
        <f>IFERROR(__xludf.DUMMYFUNCTION("""COMPUTED_VALUE"""),"PS1")</f>
        <v>PS1</v>
      </c>
      <c r="O157" s="26" t="str">
        <f>IFERROR(__xludf.DUMMYFUNCTION("""COMPUTED_VALUE"""),"Yes")</f>
        <v>Yes</v>
      </c>
      <c r="P157" s="26"/>
    </row>
    <row r="158">
      <c r="A158" s="13" t="str">
        <f>IFERROR(__xludf.DUMMYFUNCTION("""COMPUTED_VALUE"""),"Herc's Adventures")</f>
        <v>Herc's Adventures</v>
      </c>
      <c r="B158" s="15" t="str">
        <f>IFERROR(__xludf.DUMMYFUNCTION("""COMPUTED_VALUE"""),"PS5/PS4")</f>
        <v>PS5/PS4</v>
      </c>
      <c r="C158" s="16" t="str">
        <f>IFERROR(__xludf.DUMMYFUNCTION("""COMPUTED_VALUE"""),"Premium (Classics)")</f>
        <v>Premium (Classics)</v>
      </c>
      <c r="D158" s="15" t="str">
        <f>IFERROR(__xludf.DUMMYFUNCTION("""COMPUTED_VALUE"""),"Active")</f>
        <v>Active</v>
      </c>
      <c r="E158" s="17">
        <f>IFERROR(__xludf.DUMMYFUNCTION("""COMPUTED_VALUE"""),45097.0)</f>
        <v>45097</v>
      </c>
      <c r="F158" s="54"/>
      <c r="G158" s="19">
        <f>IFERROR(__xludf.DUMMYFUNCTION("""COMPUTED_VALUE"""),39.53333333333333)</f>
        <v>39.53333333</v>
      </c>
      <c r="H158" s="17">
        <f>IFERROR(__xludf.DUMMYFUNCTION("""COMPUTED_VALUE"""),35642.0)</f>
        <v>35642</v>
      </c>
      <c r="I158" s="19">
        <f>IFERROR(__xludf.DUMMYFUNCTION("""COMPUTED_VALUE"""),25.88888888888889)</f>
        <v>25.88888889</v>
      </c>
      <c r="J158" s="21">
        <f>IFERROR(__xludf.DUMMYFUNCTION("""COMPUTED_VALUE"""),78.0)</f>
        <v>78</v>
      </c>
      <c r="K158" s="23">
        <f>IFERROR(__xludf.DUMMYFUNCTION("""COMPUTED_VALUE"""),7.8)</f>
        <v>7.8</v>
      </c>
      <c r="L158" s="24">
        <f>IFERROR(__xludf.DUMMYFUNCTION("""COMPUTED_VALUE"""),13.0)</f>
        <v>13</v>
      </c>
      <c r="M158" s="25" t="str">
        <f>IFERROR(__xludf.DUMMYFUNCTION("""COMPUTED_VALUE"""),"Action-Adventure")</f>
        <v>Action-Adventure</v>
      </c>
      <c r="N158" s="25" t="str">
        <f>IFERROR(__xludf.DUMMYFUNCTION("""COMPUTED_VALUE"""),"PS1")</f>
        <v>PS1</v>
      </c>
      <c r="O158" s="26" t="str">
        <f>IFERROR(__xludf.DUMMYFUNCTION("""COMPUTED_VALUE"""),"Yes")</f>
        <v>Yes</v>
      </c>
      <c r="P158" s="26"/>
    </row>
    <row r="159">
      <c r="A159" s="13" t="str">
        <f>IFERROR(__xludf.DUMMYFUNCTION("""COMPUTED_VALUE"""),"Wild Arms")</f>
        <v>Wild Arms</v>
      </c>
      <c r="B159" s="15" t="str">
        <f>IFERROR(__xludf.DUMMYFUNCTION("""COMPUTED_VALUE"""),"PS5/PS4")</f>
        <v>PS5/PS4</v>
      </c>
      <c r="C159" s="16" t="str">
        <f>IFERROR(__xludf.DUMMYFUNCTION("""COMPUTED_VALUE"""),"Premium (Classics)")</f>
        <v>Premium (Classics)</v>
      </c>
      <c r="D159" s="15" t="str">
        <f>IFERROR(__xludf.DUMMYFUNCTION("""COMPUTED_VALUE"""),"Active")</f>
        <v>Active</v>
      </c>
      <c r="E159" s="17">
        <f>IFERROR(__xludf.DUMMYFUNCTION("""COMPUTED_VALUE"""),44725.0)</f>
        <v>44725</v>
      </c>
      <c r="F159" s="18"/>
      <c r="G159" s="19">
        <f>IFERROR(__xludf.DUMMYFUNCTION("""COMPUTED_VALUE"""),51.766666666666666)</f>
        <v>51.76666667</v>
      </c>
      <c r="H159" s="17">
        <f>IFERROR(__xludf.DUMMYFUNCTION("""COMPUTED_VALUE"""),35550.0)</f>
        <v>35550</v>
      </c>
      <c r="I159" s="19">
        <f>IFERROR(__xludf.DUMMYFUNCTION("""COMPUTED_VALUE"""),25.119444444444444)</f>
        <v>25.11944444</v>
      </c>
      <c r="J159" s="21">
        <f>IFERROR(__xludf.DUMMYFUNCTION("""COMPUTED_VALUE"""),78.0)</f>
        <v>78</v>
      </c>
      <c r="K159" s="23">
        <f>IFERROR(__xludf.DUMMYFUNCTION("""COMPUTED_VALUE"""),8.7)</f>
        <v>8.7</v>
      </c>
      <c r="L159" s="24">
        <f>IFERROR(__xludf.DUMMYFUNCTION("""COMPUTED_VALUE"""),28.0)</f>
        <v>28</v>
      </c>
      <c r="M159" s="25" t="str">
        <f>IFERROR(__xludf.DUMMYFUNCTION("""COMPUTED_VALUE"""),"RPG")</f>
        <v>RPG</v>
      </c>
      <c r="N159" s="25" t="str">
        <f>IFERROR(__xludf.DUMMYFUNCTION("""COMPUTED_VALUE"""),"PS1")</f>
        <v>PS1</v>
      </c>
      <c r="O159" s="26" t="str">
        <f>IFERROR(__xludf.DUMMYFUNCTION("""COMPUTED_VALUE"""),"No")</f>
        <v>No</v>
      </c>
      <c r="P159" s="26" t="str">
        <f>IFERROR(__xludf.DUMMYFUNCTION("""COMPUTED_VALUE"""),"")</f>
        <v/>
      </c>
    </row>
    <row r="160">
      <c r="A160" s="13" t="str">
        <f>IFERROR(__xludf.DUMMYFUNCTION("""COMPUTED_VALUE"""),"Wild Arms 3")</f>
        <v>Wild Arms 3</v>
      </c>
      <c r="B160" s="15" t="str">
        <f>IFERROR(__xludf.DUMMYFUNCTION("""COMPUTED_VALUE"""),"PS4")</f>
        <v>PS4</v>
      </c>
      <c r="C160" s="16" t="str">
        <f>IFERROR(__xludf.DUMMYFUNCTION("""COMPUTED_VALUE"""),"Premium (Classics)")</f>
        <v>Premium (Classics)</v>
      </c>
      <c r="D160" s="15" t="str">
        <f>IFERROR(__xludf.DUMMYFUNCTION("""COMPUTED_VALUE"""),"Active")</f>
        <v>Active</v>
      </c>
      <c r="E160" s="17">
        <f>IFERROR(__xludf.DUMMYFUNCTION("""COMPUTED_VALUE"""),44725.0)</f>
        <v>44725</v>
      </c>
      <c r="F160" s="54"/>
      <c r="G160" s="19">
        <f>IFERROR(__xludf.DUMMYFUNCTION("""COMPUTED_VALUE"""),51.766666666666666)</f>
        <v>51.76666667</v>
      </c>
      <c r="H160" s="17">
        <f>IFERROR(__xludf.DUMMYFUNCTION("""COMPUTED_VALUE"""),37530.0)</f>
        <v>37530</v>
      </c>
      <c r="I160" s="19">
        <f>IFERROR(__xludf.DUMMYFUNCTION("""COMPUTED_VALUE"""),19.7)</f>
        <v>19.7</v>
      </c>
      <c r="J160" s="21">
        <f>IFERROR(__xludf.DUMMYFUNCTION("""COMPUTED_VALUE"""),78.0)</f>
        <v>78</v>
      </c>
      <c r="K160" s="23">
        <f>IFERROR(__xludf.DUMMYFUNCTION("""COMPUTED_VALUE"""),8.5)</f>
        <v>8.5</v>
      </c>
      <c r="L160" s="24">
        <f>IFERROR(__xludf.DUMMYFUNCTION("""COMPUTED_VALUE"""),45.0)</f>
        <v>45</v>
      </c>
      <c r="M160" s="25" t="str">
        <f>IFERROR(__xludf.DUMMYFUNCTION("""COMPUTED_VALUE"""),"RPG")</f>
        <v>RPG</v>
      </c>
      <c r="N160" s="25" t="str">
        <f>IFERROR(__xludf.DUMMYFUNCTION("""COMPUTED_VALUE"""),"PS2")</f>
        <v>PS2</v>
      </c>
      <c r="O160" s="26" t="str">
        <f>IFERROR(__xludf.DUMMYFUNCTION("""COMPUTED_VALUE"""),"Yes")</f>
        <v>Yes</v>
      </c>
      <c r="P160" s="26" t="str">
        <f>IFERROR(__xludf.DUMMYFUNCTION("""COMPUTED_VALUE"""),"")</f>
        <v/>
      </c>
    </row>
    <row r="161">
      <c r="A161" s="13" t="str">
        <f>IFERROR(__xludf.DUMMYFUNCTION("""COMPUTED_VALUE"""),"Raiden IV: OverKill")</f>
        <v>Raiden IV: OverKill</v>
      </c>
      <c r="B161" s="15" t="str">
        <f>IFERROR(__xludf.DUMMYFUNCTION("""COMPUTED_VALUE"""),"PS5/PS4")</f>
        <v>PS5/PS4</v>
      </c>
      <c r="C161" s="16" t="str">
        <f>IFERROR(__xludf.DUMMYFUNCTION("""COMPUTED_VALUE"""),"Premium (Streaming Only)")</f>
        <v>Premium (Streaming Only)</v>
      </c>
      <c r="D161" s="15" t="str">
        <f>IFERROR(__xludf.DUMMYFUNCTION("""COMPUTED_VALUE"""),"Active")</f>
        <v>Active</v>
      </c>
      <c r="E161" s="17">
        <f>IFERROR(__xludf.DUMMYFUNCTION("""COMPUTED_VALUE"""),44725.0)</f>
        <v>44725</v>
      </c>
      <c r="F161" s="54"/>
      <c r="G161" s="19">
        <f>IFERROR(__xludf.DUMMYFUNCTION("""COMPUTED_VALUE"""),51.766666666666666)</f>
        <v>51.76666667</v>
      </c>
      <c r="H161" s="17">
        <f>IFERROR(__xludf.DUMMYFUNCTION("""COMPUTED_VALUE"""),41730.0)</f>
        <v>41730</v>
      </c>
      <c r="I161" s="19">
        <f>IFERROR(__xludf.DUMMYFUNCTION("""COMPUTED_VALUE"""),8.2)</f>
        <v>8.2</v>
      </c>
      <c r="J161" s="21">
        <f>IFERROR(__xludf.DUMMYFUNCTION("""COMPUTED_VALUE"""),78.0)</f>
        <v>78</v>
      </c>
      <c r="K161" s="23">
        <f>IFERROR(__xludf.DUMMYFUNCTION("""COMPUTED_VALUE"""),7.5)</f>
        <v>7.5</v>
      </c>
      <c r="L161" s="24">
        <f>IFERROR(__xludf.DUMMYFUNCTION("""COMPUTED_VALUE"""),4.0)</f>
        <v>4</v>
      </c>
      <c r="M161" s="25" t="str">
        <f>IFERROR(__xludf.DUMMYFUNCTION("""COMPUTED_VALUE"""),"Shooter")</f>
        <v>Shooter</v>
      </c>
      <c r="N161" s="25" t="str">
        <f>IFERROR(__xludf.DUMMYFUNCTION("""COMPUTED_VALUE"""),"PS3")</f>
        <v>PS3</v>
      </c>
      <c r="O161" s="26" t="str">
        <f>IFERROR(__xludf.DUMMYFUNCTION("""COMPUTED_VALUE"""),"Yes")</f>
        <v>Yes</v>
      </c>
      <c r="P161" s="26" t="str">
        <f>IFERROR(__xludf.DUMMYFUNCTION("""COMPUTED_VALUE"""),"")</f>
        <v/>
      </c>
    </row>
    <row r="162">
      <c r="A162" s="13" t="str">
        <f>IFERROR(__xludf.DUMMYFUNCTION("""COMPUTED_VALUE"""),"STARWHAL")</f>
        <v>STARWHAL</v>
      </c>
      <c r="B162" s="15" t="str">
        <f>IFERROR(__xludf.DUMMYFUNCTION("""COMPUTED_VALUE"""),"PS5/PS4")</f>
        <v>PS5/PS4</v>
      </c>
      <c r="C162" s="16" t="str">
        <f>IFERROR(__xludf.DUMMYFUNCTION("""COMPUTED_VALUE"""),"Premium (Streaming Only)")</f>
        <v>Premium (Streaming Only)</v>
      </c>
      <c r="D162" s="15" t="str">
        <f>IFERROR(__xludf.DUMMYFUNCTION("""COMPUTED_VALUE"""),"Active")</f>
        <v>Active</v>
      </c>
      <c r="E162" s="17">
        <f>IFERROR(__xludf.DUMMYFUNCTION("""COMPUTED_VALUE"""),44725.0)</f>
        <v>44725</v>
      </c>
      <c r="F162" s="54"/>
      <c r="G162" s="19">
        <f>IFERROR(__xludf.DUMMYFUNCTION("""COMPUTED_VALUE"""),51.766666666666666)</f>
        <v>51.76666667</v>
      </c>
      <c r="H162" s="17">
        <f>IFERROR(__xludf.DUMMYFUNCTION("""COMPUTED_VALUE"""),42036.0)</f>
        <v>42036</v>
      </c>
      <c r="I162" s="19">
        <f>IFERROR(__xludf.DUMMYFUNCTION("""COMPUTED_VALUE"""),7.366666666666666)</f>
        <v>7.366666667</v>
      </c>
      <c r="J162" s="21">
        <f>IFERROR(__xludf.DUMMYFUNCTION("""COMPUTED_VALUE"""),78.0)</f>
        <v>78</v>
      </c>
      <c r="K162" s="23">
        <f>IFERROR(__xludf.DUMMYFUNCTION("""COMPUTED_VALUE"""),7.3)</f>
        <v>7.3</v>
      </c>
      <c r="L162" s="24"/>
      <c r="M162" s="25" t="str">
        <f>IFERROR(__xludf.DUMMYFUNCTION("""COMPUTED_VALUE"""),"Party")</f>
        <v>Party</v>
      </c>
      <c r="N162" s="25" t="str">
        <f>IFERROR(__xludf.DUMMYFUNCTION("""COMPUTED_VALUE"""),"PS3")</f>
        <v>PS3</v>
      </c>
      <c r="O162" s="26" t="str">
        <f>IFERROR(__xludf.DUMMYFUNCTION("""COMPUTED_VALUE"""),"Yes")</f>
        <v>Yes</v>
      </c>
      <c r="P162" s="26" t="str">
        <f>IFERROR(__xludf.DUMMYFUNCTION("""COMPUTED_VALUE"""),"")</f>
        <v/>
      </c>
    </row>
    <row r="163">
      <c r="A163" s="13" t="str">
        <f>IFERROR(__xludf.DUMMYFUNCTION("""COMPUTED_VALUE"""),"DISGAEA 3: Absence of Justice")</f>
        <v>DISGAEA 3: Absence of Justice</v>
      </c>
      <c r="B163" s="15" t="str">
        <f>IFERROR(__xludf.DUMMYFUNCTION("""COMPUTED_VALUE"""),"PS5/PS4")</f>
        <v>PS5/PS4</v>
      </c>
      <c r="C163" s="16" t="str">
        <f>IFERROR(__xludf.DUMMYFUNCTION("""COMPUTED_VALUE"""),"Premium (Streaming Only)")</f>
        <v>Premium (Streaming Only)</v>
      </c>
      <c r="D163" s="15" t="str">
        <f>IFERROR(__xludf.DUMMYFUNCTION("""COMPUTED_VALUE"""),"Active")</f>
        <v>Active</v>
      </c>
      <c r="E163" s="17">
        <f>IFERROR(__xludf.DUMMYFUNCTION("""COMPUTED_VALUE"""),42584.0)</f>
        <v>42584</v>
      </c>
      <c r="F163" s="54"/>
      <c r="G163" s="19">
        <f>IFERROR(__xludf.DUMMYFUNCTION("""COMPUTED_VALUE"""),122.13333333333333)</f>
        <v>122.1333333</v>
      </c>
      <c r="H163" s="17">
        <f>IFERROR(__xludf.DUMMYFUNCTION("""COMPUTED_VALUE"""),39661.0)</f>
        <v>39661</v>
      </c>
      <c r="I163" s="19">
        <f>IFERROR(__xludf.DUMMYFUNCTION("""COMPUTED_VALUE"""),8.002777777777778)</f>
        <v>8.002777778</v>
      </c>
      <c r="J163" s="21">
        <f>IFERROR(__xludf.DUMMYFUNCTION("""COMPUTED_VALUE"""),78.0)</f>
        <v>78</v>
      </c>
      <c r="K163" s="23">
        <f>IFERROR(__xludf.DUMMYFUNCTION("""COMPUTED_VALUE"""),8.0)</f>
        <v>8</v>
      </c>
      <c r="L163" s="24">
        <f>IFERROR(__xludf.DUMMYFUNCTION("""COMPUTED_VALUE"""),48.0)</f>
        <v>48</v>
      </c>
      <c r="M163" s="25" t="str">
        <f>IFERROR(__xludf.DUMMYFUNCTION("""COMPUTED_VALUE"""),"RPG")</f>
        <v>RPG</v>
      </c>
      <c r="N163" s="25" t="str">
        <f>IFERROR(__xludf.DUMMYFUNCTION("""COMPUTED_VALUE"""),"PS3")</f>
        <v>PS3</v>
      </c>
      <c r="O163" s="26" t="str">
        <f>IFERROR(__xludf.DUMMYFUNCTION("""COMPUTED_VALUE"""),"Yes")</f>
        <v>Yes</v>
      </c>
      <c r="P163" s="26" t="str">
        <f>IFERROR(__xludf.DUMMYFUNCTION("""COMPUTED_VALUE"""),"")</f>
        <v/>
      </c>
    </row>
    <row r="164">
      <c r="A164" s="13" t="str">
        <f>IFERROR(__xludf.DUMMYFUNCTION("""COMPUTED_VALUE"""),"Heavy Rain (2016)")</f>
        <v>Heavy Rain (2016)</v>
      </c>
      <c r="B164" s="15" t="str">
        <f>IFERROR(__xludf.DUMMYFUNCTION("""COMPUTED_VALUE"""),"PS4")</f>
        <v>PS4</v>
      </c>
      <c r="C164" s="16" t="str">
        <f>IFERROR(__xludf.DUMMYFUNCTION("""COMPUTED_VALUE"""),"Premium (Remasters)")</f>
        <v>Premium (Remasters)</v>
      </c>
      <c r="D164" s="15" t="str">
        <f>IFERROR(__xludf.DUMMYFUNCTION("""COMPUTED_VALUE"""),"Active")</f>
        <v>Active</v>
      </c>
      <c r="E164" s="17">
        <f>IFERROR(__xludf.DUMMYFUNCTION("""COMPUTED_VALUE"""),42556.0)</f>
        <v>42556</v>
      </c>
      <c r="F164" s="54"/>
      <c r="G164" s="19">
        <f>IFERROR(__xludf.DUMMYFUNCTION("""COMPUTED_VALUE"""),123.03333333333333)</f>
        <v>123.0333333</v>
      </c>
      <c r="H164" s="17">
        <f>IFERROR(__xludf.DUMMYFUNCTION("""COMPUTED_VALUE"""),42430.0)</f>
        <v>42430</v>
      </c>
      <c r="I164" s="19">
        <f>IFERROR(__xludf.DUMMYFUNCTION("""COMPUTED_VALUE"""),0.34444444444444444)</f>
        <v>0.3444444444</v>
      </c>
      <c r="J164" s="21">
        <f>IFERROR(__xludf.DUMMYFUNCTION("""COMPUTED_VALUE"""),78.0)</f>
        <v>78</v>
      </c>
      <c r="K164" s="23">
        <f>IFERROR(__xludf.DUMMYFUNCTION("""COMPUTED_VALUE"""),8.4)</f>
        <v>8.4</v>
      </c>
      <c r="L164" s="24">
        <f>IFERROR(__xludf.DUMMYFUNCTION("""COMPUTED_VALUE"""),10.0)</f>
        <v>10</v>
      </c>
      <c r="M164" s="25" t="str">
        <f>IFERROR(__xludf.DUMMYFUNCTION("""COMPUTED_VALUE"""),"Action-Adventure")</f>
        <v>Action-Adventure</v>
      </c>
      <c r="N164" s="25" t="str">
        <f>IFERROR(__xludf.DUMMYFUNCTION("""COMPUTED_VALUE"""),"PS3")</f>
        <v>PS3</v>
      </c>
      <c r="O164" s="26" t="str">
        <f>IFERROR(__xludf.DUMMYFUNCTION("""COMPUTED_VALUE"""),"Yes")</f>
        <v>Yes</v>
      </c>
      <c r="P164" s="26"/>
    </row>
    <row r="165">
      <c r="A165" s="13" t="str">
        <f>IFERROR(__xludf.DUMMYFUNCTION("""COMPUTED_VALUE"""),"Resident Evil Revelations")</f>
        <v>Resident Evil Revelations</v>
      </c>
      <c r="B165" s="15" t="str">
        <f>IFERROR(__xludf.DUMMYFUNCTION("""COMPUTED_VALUE"""),"PS5/PS4")</f>
        <v>PS5/PS4</v>
      </c>
      <c r="C165" s="16" t="str">
        <f>IFERROR(__xludf.DUMMYFUNCTION("""COMPUTED_VALUE"""),"Premium (Streaming Only)")</f>
        <v>Premium (Streaming Only)</v>
      </c>
      <c r="D165" s="15" t="str">
        <f>IFERROR(__xludf.DUMMYFUNCTION("""COMPUTED_VALUE"""),"Active")</f>
        <v>Active</v>
      </c>
      <c r="E165" s="17">
        <f>IFERROR(__xludf.DUMMYFUNCTION("""COMPUTED_VALUE"""),42472.0)</f>
        <v>42472</v>
      </c>
      <c r="F165" s="54"/>
      <c r="G165" s="19">
        <f>IFERROR(__xludf.DUMMYFUNCTION("""COMPUTED_VALUE"""),125.79999999999998)</f>
        <v>125.8</v>
      </c>
      <c r="H165" s="17">
        <f>IFERROR(__xludf.DUMMYFUNCTION("""COMPUTED_VALUE"""),41395.0)</f>
        <v>41395</v>
      </c>
      <c r="I165" s="19">
        <f>IFERROR(__xludf.DUMMYFUNCTION("""COMPUTED_VALUE"""),2.9472222222222224)</f>
        <v>2.947222222</v>
      </c>
      <c r="J165" s="21">
        <f>IFERROR(__xludf.DUMMYFUNCTION("""COMPUTED_VALUE"""),78.0)</f>
        <v>78</v>
      </c>
      <c r="K165" s="23">
        <f>IFERROR(__xludf.DUMMYFUNCTION("""COMPUTED_VALUE"""),8.0)</f>
        <v>8</v>
      </c>
      <c r="L165" s="24">
        <f>IFERROR(__xludf.DUMMYFUNCTION("""COMPUTED_VALUE"""),9.0)</f>
        <v>9</v>
      </c>
      <c r="M165" s="25" t="str">
        <f>IFERROR(__xludf.DUMMYFUNCTION("""COMPUTED_VALUE"""),"Action-Adventure")</f>
        <v>Action-Adventure</v>
      </c>
      <c r="N165" s="25" t="str">
        <f>IFERROR(__xludf.DUMMYFUNCTION("""COMPUTED_VALUE"""),"PS3")</f>
        <v>PS3</v>
      </c>
      <c r="O165" s="26" t="str">
        <f>IFERROR(__xludf.DUMMYFUNCTION("""COMPUTED_VALUE"""),"Yes")</f>
        <v>Yes</v>
      </c>
      <c r="P165" s="26" t="str">
        <f>IFERROR(__xludf.DUMMYFUNCTION("""COMPUTED_VALUE"""),"")</f>
        <v/>
      </c>
    </row>
    <row r="166">
      <c r="A166" s="13" t="str">
        <f>IFERROR(__xludf.DUMMYFUNCTION("""COMPUTED_VALUE"""),"CRASH COMMANDO")</f>
        <v>CRASH COMMANDO</v>
      </c>
      <c r="B166" s="15" t="str">
        <f>IFERROR(__xludf.DUMMYFUNCTION("""COMPUTED_VALUE"""),"PS5/PS4")</f>
        <v>PS5/PS4</v>
      </c>
      <c r="C166" s="16" t="str">
        <f>IFERROR(__xludf.DUMMYFUNCTION("""COMPUTED_VALUE"""),"Premium (Streaming Only)")</f>
        <v>Premium (Streaming Only)</v>
      </c>
      <c r="D166" s="15" t="str">
        <f>IFERROR(__xludf.DUMMYFUNCTION("""COMPUTED_VALUE"""),"Active")</f>
        <v>Active</v>
      </c>
      <c r="E166" s="17">
        <f>IFERROR(__xludf.DUMMYFUNCTION("""COMPUTED_VALUE"""),42374.0)</f>
        <v>42374</v>
      </c>
      <c r="F166" s="54"/>
      <c r="G166" s="19">
        <f>IFERROR(__xludf.DUMMYFUNCTION("""COMPUTED_VALUE"""),129.03333333333333)</f>
        <v>129.0333333</v>
      </c>
      <c r="H166" s="17">
        <f>IFERROR(__xludf.DUMMYFUNCTION("""COMPUTED_VALUE"""),39783.0)</f>
        <v>39783</v>
      </c>
      <c r="I166" s="19">
        <f>IFERROR(__xludf.DUMMYFUNCTION("""COMPUTED_VALUE"""),7.094444444444444)</f>
        <v>7.094444444</v>
      </c>
      <c r="J166" s="21">
        <f>IFERROR(__xludf.DUMMYFUNCTION("""COMPUTED_VALUE"""),78.0)</f>
        <v>78</v>
      </c>
      <c r="K166" s="23">
        <f>IFERROR(__xludf.DUMMYFUNCTION("""COMPUTED_VALUE"""),7.2)</f>
        <v>7.2</v>
      </c>
      <c r="L166" s="24">
        <f>IFERROR(__xludf.DUMMYFUNCTION("""COMPUTED_VALUE"""),3.0)</f>
        <v>3</v>
      </c>
      <c r="M166" s="25" t="str">
        <f>IFERROR(__xludf.DUMMYFUNCTION("""COMPUTED_VALUE"""),"Shooter")</f>
        <v>Shooter</v>
      </c>
      <c r="N166" s="25" t="str">
        <f>IFERROR(__xludf.DUMMYFUNCTION("""COMPUTED_VALUE"""),"PS3")</f>
        <v>PS3</v>
      </c>
      <c r="O166" s="26" t="str">
        <f>IFERROR(__xludf.DUMMYFUNCTION("""COMPUTED_VALUE"""),"Yes")</f>
        <v>Yes</v>
      </c>
      <c r="P166" s="26" t="str">
        <f>IFERROR(__xludf.DUMMYFUNCTION("""COMPUTED_VALUE"""),"Yes")</f>
        <v>Yes</v>
      </c>
    </row>
    <row r="167">
      <c r="A167" s="13" t="str">
        <f>IFERROR(__xludf.DUMMYFUNCTION("""COMPUTED_VALUE"""),"ibb &amp; obb")</f>
        <v>ibb &amp; obb</v>
      </c>
      <c r="B167" s="15" t="str">
        <f>IFERROR(__xludf.DUMMYFUNCTION("""COMPUTED_VALUE"""),"PS5/PS4")</f>
        <v>PS5/PS4</v>
      </c>
      <c r="C167" s="16" t="str">
        <f>IFERROR(__xludf.DUMMYFUNCTION("""COMPUTED_VALUE"""),"Premium (Streaming Only)")</f>
        <v>Premium (Streaming Only)</v>
      </c>
      <c r="D167" s="15" t="str">
        <f>IFERROR(__xludf.DUMMYFUNCTION("""COMPUTED_VALUE"""),"Active")</f>
        <v>Active</v>
      </c>
      <c r="E167" s="17">
        <f>IFERROR(__xludf.DUMMYFUNCTION("""COMPUTED_VALUE"""),42311.0)</f>
        <v>42311</v>
      </c>
      <c r="F167" s="54"/>
      <c r="G167" s="19">
        <f>IFERROR(__xludf.DUMMYFUNCTION("""COMPUTED_VALUE"""),131.10000000000002)</f>
        <v>131.1</v>
      </c>
      <c r="H167" s="17">
        <f>IFERROR(__xludf.DUMMYFUNCTION("""COMPUTED_VALUE"""),41487.0)</f>
        <v>41487</v>
      </c>
      <c r="I167" s="19">
        <f>IFERROR(__xludf.DUMMYFUNCTION("""COMPUTED_VALUE"""),2.2555555555555555)</f>
        <v>2.255555556</v>
      </c>
      <c r="J167" s="21">
        <f>IFERROR(__xludf.DUMMYFUNCTION("""COMPUTED_VALUE"""),78.0)</f>
        <v>78</v>
      </c>
      <c r="K167" s="23">
        <f>IFERROR(__xludf.DUMMYFUNCTION("""COMPUTED_VALUE"""),7.7)</f>
        <v>7.7</v>
      </c>
      <c r="L167" s="24">
        <f>IFERROR(__xludf.DUMMYFUNCTION("""COMPUTED_VALUE"""),4.0)</f>
        <v>4</v>
      </c>
      <c r="M167" s="25" t="str">
        <f>IFERROR(__xludf.DUMMYFUNCTION("""COMPUTED_VALUE"""),"Action-Adventure")</f>
        <v>Action-Adventure</v>
      </c>
      <c r="N167" s="25" t="str">
        <f>IFERROR(__xludf.DUMMYFUNCTION("""COMPUTED_VALUE"""),"PS3")</f>
        <v>PS3</v>
      </c>
      <c r="O167" s="26" t="str">
        <f>IFERROR(__xludf.DUMMYFUNCTION("""COMPUTED_VALUE"""),"Yes")</f>
        <v>Yes</v>
      </c>
      <c r="P167" s="26" t="str">
        <f>IFERROR(__xludf.DUMMYFUNCTION("""COMPUTED_VALUE"""),"")</f>
        <v/>
      </c>
    </row>
    <row r="168">
      <c r="A168" s="13" t="str">
        <f>IFERROR(__xludf.DUMMYFUNCTION("""COMPUTED_VALUE"""),"Truck Racer")</f>
        <v>Truck Racer</v>
      </c>
      <c r="B168" s="15" t="str">
        <f>IFERROR(__xludf.DUMMYFUNCTION("""COMPUTED_VALUE"""),"PS5/PS4")</f>
        <v>PS5/PS4</v>
      </c>
      <c r="C168" s="16" t="str">
        <f>IFERROR(__xludf.DUMMYFUNCTION("""COMPUTED_VALUE"""),"Premium (Streaming Only)")</f>
        <v>Premium (Streaming Only)</v>
      </c>
      <c r="D168" s="15" t="str">
        <f>IFERROR(__xludf.DUMMYFUNCTION("""COMPUTED_VALUE"""),"Active")</f>
        <v>Active</v>
      </c>
      <c r="E168" s="17">
        <f>IFERROR(__xludf.DUMMYFUNCTION("""COMPUTED_VALUE"""),42311.0)</f>
        <v>42311</v>
      </c>
      <c r="F168" s="54"/>
      <c r="G168" s="19">
        <f>IFERROR(__xludf.DUMMYFUNCTION("""COMPUTED_VALUE"""),131.10000000000002)</f>
        <v>131.1</v>
      </c>
      <c r="H168" s="17">
        <f>IFERROR(__xludf.DUMMYFUNCTION("""COMPUTED_VALUE"""),41671.0)</f>
        <v>41671</v>
      </c>
      <c r="I168" s="19">
        <f>IFERROR(__xludf.DUMMYFUNCTION("""COMPUTED_VALUE"""),1.7555555555555555)</f>
        <v>1.755555556</v>
      </c>
      <c r="J168" s="21">
        <f>IFERROR(__xludf.DUMMYFUNCTION("""COMPUTED_VALUE"""),78.0)</f>
        <v>78</v>
      </c>
      <c r="K168" s="23">
        <f>IFERROR(__xludf.DUMMYFUNCTION("""COMPUTED_VALUE"""),4.2)</f>
        <v>4.2</v>
      </c>
      <c r="L168" s="24">
        <f>IFERROR(__xludf.DUMMYFUNCTION("""COMPUTED_VALUE"""),5.0)</f>
        <v>5</v>
      </c>
      <c r="M168" s="25" t="str">
        <f>IFERROR(__xludf.DUMMYFUNCTION("""COMPUTED_VALUE"""),"Racing")</f>
        <v>Racing</v>
      </c>
      <c r="N168" s="25" t="str">
        <f>IFERROR(__xludf.DUMMYFUNCTION("""COMPUTED_VALUE"""),"PS3")</f>
        <v>PS3</v>
      </c>
      <c r="O168" s="26" t="str">
        <f>IFERROR(__xludf.DUMMYFUNCTION("""COMPUTED_VALUE"""),"Yes")</f>
        <v>Yes</v>
      </c>
      <c r="P168" s="26" t="str">
        <f>IFERROR(__xludf.DUMMYFUNCTION("""COMPUTED_VALUE"""),"")</f>
        <v/>
      </c>
    </row>
    <row r="169">
      <c r="A169" s="13" t="str">
        <f>IFERROR(__xludf.DUMMYFUNCTION("""COMPUTED_VALUE"""),"Anomaly: Warzone Earth")</f>
        <v>Anomaly: Warzone Earth</v>
      </c>
      <c r="B169" s="15" t="str">
        <f>IFERROR(__xludf.DUMMYFUNCTION("""COMPUTED_VALUE"""),"PS5/PS4")</f>
        <v>PS5/PS4</v>
      </c>
      <c r="C169" s="16" t="str">
        <f>IFERROR(__xludf.DUMMYFUNCTION("""COMPUTED_VALUE"""),"Premium (Streaming Only)")</f>
        <v>Premium (Streaming Only)</v>
      </c>
      <c r="D169" s="15" t="str">
        <f>IFERROR(__xludf.DUMMYFUNCTION("""COMPUTED_VALUE"""),"Active")</f>
        <v>Active</v>
      </c>
      <c r="E169" s="17">
        <f>IFERROR(__xludf.DUMMYFUNCTION("""COMPUTED_VALUE"""),42017.0)</f>
        <v>42017</v>
      </c>
      <c r="F169" s="54"/>
      <c r="G169" s="19">
        <f>IFERROR(__xludf.DUMMYFUNCTION("""COMPUTED_VALUE"""),140.76666666666668)</f>
        <v>140.7666667</v>
      </c>
      <c r="H169" s="17">
        <f>IFERROR(__xludf.DUMMYFUNCTION("""COMPUTED_VALUE"""),41153.0)</f>
        <v>41153</v>
      </c>
      <c r="I169" s="19">
        <f>IFERROR(__xludf.DUMMYFUNCTION("""COMPUTED_VALUE"""),2.3666666666666667)</f>
        <v>2.366666667</v>
      </c>
      <c r="J169" s="21">
        <f>IFERROR(__xludf.DUMMYFUNCTION("""COMPUTED_VALUE"""),78.0)</f>
        <v>78</v>
      </c>
      <c r="K169" s="23">
        <f>IFERROR(__xludf.DUMMYFUNCTION("""COMPUTED_VALUE"""),7.2)</f>
        <v>7.2</v>
      </c>
      <c r="L169" s="24">
        <f>IFERROR(__xludf.DUMMYFUNCTION("""COMPUTED_VALUE"""),5.0)</f>
        <v>5</v>
      </c>
      <c r="M169" s="25" t="str">
        <f>IFERROR(__xludf.DUMMYFUNCTION("""COMPUTED_VALUE"""),"Strategy")</f>
        <v>Strategy</v>
      </c>
      <c r="N169" s="25" t="str">
        <f>IFERROR(__xludf.DUMMYFUNCTION("""COMPUTED_VALUE"""),"PS3")</f>
        <v>PS3</v>
      </c>
      <c r="O169" s="26" t="str">
        <f>IFERROR(__xludf.DUMMYFUNCTION("""COMPUTED_VALUE"""),"Yes")</f>
        <v>Yes</v>
      </c>
      <c r="P169" s="26" t="str">
        <f>IFERROR(__xludf.DUMMYFUNCTION("""COMPUTED_VALUE"""),"Yes")</f>
        <v>Yes</v>
      </c>
    </row>
    <row r="170">
      <c r="A170" s="13" t="str">
        <f>IFERROR(__xludf.DUMMYFUNCTION("""COMPUTED_VALUE"""),"Chime Super Deluxe")</f>
        <v>Chime Super Deluxe</v>
      </c>
      <c r="B170" s="15" t="str">
        <f>IFERROR(__xludf.DUMMYFUNCTION("""COMPUTED_VALUE"""),"PS5/PS4")</f>
        <v>PS5/PS4</v>
      </c>
      <c r="C170" s="16" t="str">
        <f>IFERROR(__xludf.DUMMYFUNCTION("""COMPUTED_VALUE"""),"Premium (Streaming Only)")</f>
        <v>Premium (Streaming Only)</v>
      </c>
      <c r="D170" s="15" t="str">
        <f>IFERROR(__xludf.DUMMYFUNCTION("""COMPUTED_VALUE"""),"Active")</f>
        <v>Active</v>
      </c>
      <c r="E170" s="17">
        <f>IFERROR(__xludf.DUMMYFUNCTION("""COMPUTED_VALUE"""),42017.0)</f>
        <v>42017</v>
      </c>
      <c r="F170" s="54"/>
      <c r="G170" s="19">
        <f>IFERROR(__xludf.DUMMYFUNCTION("""COMPUTED_VALUE"""),140.76666666666668)</f>
        <v>140.7666667</v>
      </c>
      <c r="H170" s="17">
        <f>IFERROR(__xludf.DUMMYFUNCTION("""COMPUTED_VALUE"""),40603.0)</f>
        <v>40603</v>
      </c>
      <c r="I170" s="19">
        <f>IFERROR(__xludf.DUMMYFUNCTION("""COMPUTED_VALUE"""),3.8666666666666667)</f>
        <v>3.866666667</v>
      </c>
      <c r="J170" s="21">
        <f>IFERROR(__xludf.DUMMYFUNCTION("""COMPUTED_VALUE"""),78.0)</f>
        <v>78</v>
      </c>
      <c r="K170" s="23">
        <f>IFERROR(__xludf.DUMMYFUNCTION("""COMPUTED_VALUE"""),7.1)</f>
        <v>7.1</v>
      </c>
      <c r="L170" s="24"/>
      <c r="M170" s="25" t="str">
        <f>IFERROR(__xludf.DUMMYFUNCTION("""COMPUTED_VALUE"""),"Puzzle")</f>
        <v>Puzzle</v>
      </c>
      <c r="N170" s="25" t="str">
        <f>IFERROR(__xludf.DUMMYFUNCTION("""COMPUTED_VALUE"""),"PS3")</f>
        <v>PS3</v>
      </c>
      <c r="O170" s="26" t="str">
        <f>IFERROR(__xludf.DUMMYFUNCTION("""COMPUTED_VALUE"""),"Yes")</f>
        <v>Yes</v>
      </c>
      <c r="P170" s="26" t="str">
        <f>IFERROR(__xludf.DUMMYFUNCTION("""COMPUTED_VALUE"""),"Yes")</f>
        <v>Yes</v>
      </c>
    </row>
    <row r="171">
      <c r="A171" s="13" t="str">
        <f>IFERROR(__xludf.DUMMYFUNCTION("""COMPUTED_VALUE"""),"inFAMOUS: Festival of Blood")</f>
        <v>inFAMOUS: Festival of Blood</v>
      </c>
      <c r="B171" s="15" t="str">
        <f>IFERROR(__xludf.DUMMYFUNCTION("""COMPUTED_VALUE"""),"PS5/PS4")</f>
        <v>PS5/PS4</v>
      </c>
      <c r="C171" s="16" t="str">
        <f>IFERROR(__xludf.DUMMYFUNCTION("""COMPUTED_VALUE"""),"Premium (Streaming Only)")</f>
        <v>Premium (Streaming Only)</v>
      </c>
      <c r="D171" s="15" t="str">
        <f>IFERROR(__xludf.DUMMYFUNCTION("""COMPUTED_VALUE"""),"Active")</f>
        <v>Active</v>
      </c>
      <c r="E171" s="17">
        <f>IFERROR(__xludf.DUMMYFUNCTION("""COMPUTED_VALUE"""),42017.0)</f>
        <v>42017</v>
      </c>
      <c r="F171" s="54"/>
      <c r="G171" s="19">
        <f>IFERROR(__xludf.DUMMYFUNCTION("""COMPUTED_VALUE"""),140.76666666666668)</f>
        <v>140.7666667</v>
      </c>
      <c r="H171" s="17">
        <f>IFERROR(__xludf.DUMMYFUNCTION("""COMPUTED_VALUE"""),40817.0)</f>
        <v>40817</v>
      </c>
      <c r="I171" s="19">
        <f>IFERROR(__xludf.DUMMYFUNCTION("""COMPUTED_VALUE"""),3.283333333333333)</f>
        <v>3.283333333</v>
      </c>
      <c r="J171" s="21">
        <f>IFERROR(__xludf.DUMMYFUNCTION("""COMPUTED_VALUE"""),78.0)</f>
        <v>78</v>
      </c>
      <c r="K171" s="23">
        <f>IFERROR(__xludf.DUMMYFUNCTION("""COMPUTED_VALUE"""),7.7)</f>
        <v>7.7</v>
      </c>
      <c r="L171" s="24">
        <f>IFERROR(__xludf.DUMMYFUNCTION("""COMPUTED_VALUE"""),3.0)</f>
        <v>3</v>
      </c>
      <c r="M171" s="25" t="str">
        <f>IFERROR(__xludf.DUMMYFUNCTION("""COMPUTED_VALUE"""),"Action-Adventure")</f>
        <v>Action-Adventure</v>
      </c>
      <c r="N171" s="25" t="str">
        <f>IFERROR(__xludf.DUMMYFUNCTION("""COMPUTED_VALUE"""),"PS3")</f>
        <v>PS3</v>
      </c>
      <c r="O171" s="26" t="str">
        <f>IFERROR(__xludf.DUMMYFUNCTION("""COMPUTED_VALUE"""),"Yes")</f>
        <v>Yes</v>
      </c>
      <c r="P171" s="26" t="str">
        <f>IFERROR(__xludf.DUMMYFUNCTION("""COMPUTED_VALUE"""),"")</f>
        <v/>
      </c>
    </row>
    <row r="172">
      <c r="A172" s="13" t="str">
        <f>IFERROR(__xludf.DUMMYFUNCTION("""COMPUTED_VALUE"""),"Machinarium")</f>
        <v>Machinarium</v>
      </c>
      <c r="B172" s="15" t="str">
        <f>IFERROR(__xludf.DUMMYFUNCTION("""COMPUTED_VALUE"""),"PS5/PS4")</f>
        <v>PS5/PS4</v>
      </c>
      <c r="C172" s="16" t="str">
        <f>IFERROR(__xludf.DUMMYFUNCTION("""COMPUTED_VALUE"""),"Premium (Streaming Only)")</f>
        <v>Premium (Streaming Only)</v>
      </c>
      <c r="D172" s="15" t="str">
        <f>IFERROR(__xludf.DUMMYFUNCTION("""COMPUTED_VALUE"""),"Active")</f>
        <v>Active</v>
      </c>
      <c r="E172" s="17">
        <f>IFERROR(__xludf.DUMMYFUNCTION("""COMPUTED_VALUE"""),42017.0)</f>
        <v>42017</v>
      </c>
      <c r="F172" s="54"/>
      <c r="G172" s="19">
        <f>IFERROR(__xludf.DUMMYFUNCTION("""COMPUTED_VALUE"""),140.76666666666668)</f>
        <v>140.7666667</v>
      </c>
      <c r="H172" s="17">
        <f>IFERROR(__xludf.DUMMYFUNCTION("""COMPUTED_VALUE"""),41183.0)</f>
        <v>41183</v>
      </c>
      <c r="I172" s="19">
        <f>IFERROR(__xludf.DUMMYFUNCTION("""COMPUTED_VALUE"""),2.283333333333333)</f>
        <v>2.283333333</v>
      </c>
      <c r="J172" s="21">
        <f>IFERROR(__xludf.DUMMYFUNCTION("""COMPUTED_VALUE"""),78.0)</f>
        <v>78</v>
      </c>
      <c r="K172" s="23">
        <f>IFERROR(__xludf.DUMMYFUNCTION("""COMPUTED_VALUE"""),8.5)</f>
        <v>8.5</v>
      </c>
      <c r="L172" s="24">
        <f>IFERROR(__xludf.DUMMYFUNCTION("""COMPUTED_VALUE"""),5.0)</f>
        <v>5</v>
      </c>
      <c r="M172" s="25" t="str">
        <f>IFERROR(__xludf.DUMMYFUNCTION("""COMPUTED_VALUE"""),"Adventure")</f>
        <v>Adventure</v>
      </c>
      <c r="N172" s="25" t="str">
        <f>IFERROR(__xludf.DUMMYFUNCTION("""COMPUTED_VALUE"""),"PS3")</f>
        <v>PS3</v>
      </c>
      <c r="O172" s="26" t="str">
        <f>IFERROR(__xludf.DUMMYFUNCTION("""COMPUTED_VALUE"""),"Yes")</f>
        <v>Yes</v>
      </c>
      <c r="P172" s="26" t="str">
        <f>IFERROR(__xludf.DUMMYFUNCTION("""COMPUTED_VALUE"""),"")</f>
        <v/>
      </c>
    </row>
    <row r="173">
      <c r="A173" s="13" t="str">
        <f>IFERROR(__xludf.DUMMYFUNCTION("""COMPUTED_VALUE"""),"Retro/Grade")</f>
        <v>Retro/Grade</v>
      </c>
      <c r="B173" s="15" t="str">
        <f>IFERROR(__xludf.DUMMYFUNCTION("""COMPUTED_VALUE"""),"PS5/PS4")</f>
        <v>PS5/PS4</v>
      </c>
      <c r="C173" s="16" t="str">
        <f>IFERROR(__xludf.DUMMYFUNCTION("""COMPUTED_VALUE"""),"Premium (Streaming Only)")</f>
        <v>Premium (Streaming Only)</v>
      </c>
      <c r="D173" s="15" t="str">
        <f>IFERROR(__xludf.DUMMYFUNCTION("""COMPUTED_VALUE"""),"Active")</f>
        <v>Active</v>
      </c>
      <c r="E173" s="17">
        <f>IFERROR(__xludf.DUMMYFUNCTION("""COMPUTED_VALUE"""),42017.0)</f>
        <v>42017</v>
      </c>
      <c r="F173" s="71"/>
      <c r="G173" s="19">
        <f>IFERROR(__xludf.DUMMYFUNCTION("""COMPUTED_VALUE"""),140.76666666666668)</f>
        <v>140.7666667</v>
      </c>
      <c r="H173" s="17">
        <f>IFERROR(__xludf.DUMMYFUNCTION("""COMPUTED_VALUE"""),41122.0)</f>
        <v>41122</v>
      </c>
      <c r="I173" s="19">
        <f>IFERROR(__xludf.DUMMYFUNCTION("""COMPUTED_VALUE"""),2.45)</f>
        <v>2.45</v>
      </c>
      <c r="J173" s="21">
        <f>IFERROR(__xludf.DUMMYFUNCTION("""COMPUTED_VALUE"""),78.0)</f>
        <v>78</v>
      </c>
      <c r="K173" s="23">
        <f>IFERROR(__xludf.DUMMYFUNCTION("""COMPUTED_VALUE"""),7.0)</f>
        <v>7</v>
      </c>
      <c r="L173" s="24">
        <f>IFERROR(__xludf.DUMMYFUNCTION("""COMPUTED_VALUE"""),4.0)</f>
        <v>4</v>
      </c>
      <c r="M173" s="25" t="str">
        <f>IFERROR(__xludf.DUMMYFUNCTION("""COMPUTED_VALUE"""),"Shooter")</f>
        <v>Shooter</v>
      </c>
      <c r="N173" s="25" t="str">
        <f>IFERROR(__xludf.DUMMYFUNCTION("""COMPUTED_VALUE"""),"PS3")</f>
        <v>PS3</v>
      </c>
      <c r="O173" s="26" t="str">
        <f>IFERROR(__xludf.DUMMYFUNCTION("""COMPUTED_VALUE"""),"Yes")</f>
        <v>Yes</v>
      </c>
      <c r="P173" s="26" t="str">
        <f>IFERROR(__xludf.DUMMYFUNCTION("""COMPUTED_VALUE"""),"")</f>
        <v/>
      </c>
    </row>
    <row r="174">
      <c r="A174" s="13" t="str">
        <f>IFERROR(__xludf.DUMMYFUNCTION("""COMPUTED_VALUE"""),"Siren: Blood Curse")</f>
        <v>Siren: Blood Curse</v>
      </c>
      <c r="B174" s="15" t="str">
        <f>IFERROR(__xludf.DUMMYFUNCTION("""COMPUTED_VALUE"""),"PS5/PS4")</f>
        <v>PS5/PS4</v>
      </c>
      <c r="C174" s="16" t="str">
        <f>IFERROR(__xludf.DUMMYFUNCTION("""COMPUTED_VALUE"""),"Premium (Streaming Only)")</f>
        <v>Premium (Streaming Only)</v>
      </c>
      <c r="D174" s="15" t="str">
        <f>IFERROR(__xludf.DUMMYFUNCTION("""COMPUTED_VALUE"""),"Active")</f>
        <v>Active</v>
      </c>
      <c r="E174" s="17">
        <f>IFERROR(__xludf.DUMMYFUNCTION("""COMPUTED_VALUE"""),42017.0)</f>
        <v>42017</v>
      </c>
      <c r="F174" s="71"/>
      <c r="G174" s="19">
        <f>IFERROR(__xludf.DUMMYFUNCTION("""COMPUTED_VALUE"""),140.76666666666668)</f>
        <v>140.7666667</v>
      </c>
      <c r="H174" s="17">
        <f>IFERROR(__xludf.DUMMYFUNCTION("""COMPUTED_VALUE"""),39630.0)</f>
        <v>39630</v>
      </c>
      <c r="I174" s="19">
        <f>IFERROR(__xludf.DUMMYFUNCTION("""COMPUTED_VALUE"""),6.533333333333333)</f>
        <v>6.533333333</v>
      </c>
      <c r="J174" s="21">
        <f>IFERROR(__xludf.DUMMYFUNCTION("""COMPUTED_VALUE"""),78.0)</f>
        <v>78</v>
      </c>
      <c r="K174" s="23">
        <f>IFERROR(__xludf.DUMMYFUNCTION("""COMPUTED_VALUE"""),7.7)</f>
        <v>7.7</v>
      </c>
      <c r="L174" s="24">
        <f>IFERROR(__xludf.DUMMYFUNCTION("""COMPUTED_VALUE"""),16.0)</f>
        <v>16</v>
      </c>
      <c r="M174" s="25" t="str">
        <f>IFERROR(__xludf.DUMMYFUNCTION("""COMPUTED_VALUE"""),"Horror")</f>
        <v>Horror</v>
      </c>
      <c r="N174" s="25" t="str">
        <f>IFERROR(__xludf.DUMMYFUNCTION("""COMPUTED_VALUE"""),"PS3")</f>
        <v>PS3</v>
      </c>
      <c r="O174" s="26" t="str">
        <f>IFERROR(__xludf.DUMMYFUNCTION("""COMPUTED_VALUE"""),"Yes")</f>
        <v>Yes</v>
      </c>
      <c r="P174" s="26" t="str">
        <f>IFERROR(__xludf.DUMMYFUNCTION("""COMPUTED_VALUE"""),"")</f>
        <v/>
      </c>
    </row>
    <row r="175">
      <c r="A175" s="13" t="str">
        <f>IFERROR(__xludf.DUMMYFUNCTION("""COMPUTED_VALUE"""),"Tomb Raider: Anniversary")</f>
        <v>Tomb Raider: Anniversary</v>
      </c>
      <c r="B175" s="15" t="str">
        <f>IFERROR(__xludf.DUMMYFUNCTION("""COMPUTED_VALUE"""),"PS5/PS4")</f>
        <v>PS5/PS4</v>
      </c>
      <c r="C175" s="16" t="str">
        <f>IFERROR(__xludf.DUMMYFUNCTION("""COMPUTED_VALUE"""),"Premium (Classics)")</f>
        <v>Premium (Classics)</v>
      </c>
      <c r="D175" s="15" t="str">
        <f>IFERROR(__xludf.DUMMYFUNCTION("""COMPUTED_VALUE"""),"Active")</f>
        <v>Active</v>
      </c>
      <c r="E175" s="17">
        <f>IFERROR(__xludf.DUMMYFUNCTION("""COMPUTED_VALUE"""),45979.0)</f>
        <v>45979</v>
      </c>
      <c r="F175" s="54"/>
      <c r="G175" s="19">
        <f>IFERROR(__xludf.DUMMYFUNCTION("""COMPUTED_VALUE"""),10.6)</f>
        <v>10.6</v>
      </c>
      <c r="H175" s="17">
        <f>IFERROR(__xludf.DUMMYFUNCTION("""COMPUTED_VALUE"""),39378.0)</f>
        <v>39378</v>
      </c>
      <c r="I175" s="19">
        <f>IFERROR(__xludf.DUMMYFUNCTION("""COMPUTED_VALUE"""),18.069444444444443)</f>
        <v>18.06944444</v>
      </c>
      <c r="J175" s="21">
        <f>IFERROR(__xludf.DUMMYFUNCTION("""COMPUTED_VALUE"""),77.0)</f>
        <v>77</v>
      </c>
      <c r="K175" s="23">
        <f>IFERROR(__xludf.DUMMYFUNCTION("""COMPUTED_VALUE"""),7.9)</f>
        <v>7.9</v>
      </c>
      <c r="L175" s="24">
        <f>IFERROR(__xludf.DUMMYFUNCTION("""COMPUTED_VALUE"""),13.0)</f>
        <v>13</v>
      </c>
      <c r="M175" s="25" t="str">
        <f>IFERROR(__xludf.DUMMYFUNCTION("""COMPUTED_VALUE"""),"Action-Adventure")</f>
        <v>Action-Adventure</v>
      </c>
      <c r="N175" s="25" t="str">
        <f>IFERROR(__xludf.DUMMYFUNCTION("""COMPUTED_VALUE"""),"PS2")</f>
        <v>PS2</v>
      </c>
      <c r="O175" s="26" t="str">
        <f>IFERROR(__xludf.DUMMYFUNCTION("""COMPUTED_VALUE"""),"No")</f>
        <v>No</v>
      </c>
      <c r="P175" s="26"/>
    </row>
    <row r="176">
      <c r="A176" s="13" t="str">
        <f>IFERROR(__xludf.DUMMYFUNCTION("""COMPUTED_VALUE"""),"Jet Moto 2")</f>
        <v>Jet Moto 2</v>
      </c>
      <c r="B176" s="15" t="str">
        <f>IFERROR(__xludf.DUMMYFUNCTION("""COMPUTED_VALUE"""),"PS5/PS4")</f>
        <v>PS5/PS4</v>
      </c>
      <c r="C176" s="16" t="str">
        <f>IFERROR(__xludf.DUMMYFUNCTION("""COMPUTED_VALUE"""),"Premium (Classics)")</f>
        <v>Premium (Classics)</v>
      </c>
      <c r="D176" s="15" t="str">
        <f>IFERROR(__xludf.DUMMYFUNCTION("""COMPUTED_VALUE"""),"Active")</f>
        <v>Active</v>
      </c>
      <c r="E176" s="17">
        <f>IFERROR(__xludf.DUMMYFUNCTION("""COMPUTED_VALUE"""),45342.0)</f>
        <v>45342</v>
      </c>
      <c r="F176" s="54"/>
      <c r="G176" s="19">
        <f>IFERROR(__xludf.DUMMYFUNCTION("""COMPUTED_VALUE"""),31.53333333333333)</f>
        <v>31.53333333</v>
      </c>
      <c r="H176" s="17">
        <f>IFERROR(__xludf.DUMMYFUNCTION("""COMPUTED_VALUE"""),35734.0)</f>
        <v>35734</v>
      </c>
      <c r="I176" s="19">
        <f>IFERROR(__xludf.DUMMYFUNCTION("""COMPUTED_VALUE"""),26.305555555555557)</f>
        <v>26.30555556</v>
      </c>
      <c r="J176" s="21">
        <f>IFERROR(__xludf.DUMMYFUNCTION("""COMPUTED_VALUE"""),77.0)</f>
        <v>77</v>
      </c>
      <c r="K176" s="23">
        <f>IFERROR(__xludf.DUMMYFUNCTION("""COMPUTED_VALUE"""),7.8)</f>
        <v>7.8</v>
      </c>
      <c r="L176" s="24">
        <f>IFERROR(__xludf.DUMMYFUNCTION("""COMPUTED_VALUE"""),6.0)</f>
        <v>6</v>
      </c>
      <c r="M176" s="25" t="str">
        <f>IFERROR(__xludf.DUMMYFUNCTION("""COMPUTED_VALUE"""),"Racing")</f>
        <v>Racing</v>
      </c>
      <c r="N176" s="25" t="str">
        <f>IFERROR(__xludf.DUMMYFUNCTION("""COMPUTED_VALUE"""),"PS1")</f>
        <v>PS1</v>
      </c>
      <c r="O176" s="26" t="str">
        <f>IFERROR(__xludf.DUMMYFUNCTION("""COMPUTED_VALUE"""),"Yes")</f>
        <v>Yes</v>
      </c>
      <c r="P176" s="26"/>
    </row>
    <row r="177">
      <c r="A177" s="13" t="str">
        <f>IFERROR(__xludf.DUMMYFUNCTION("""COMPUTED_VALUE"""),"Killzone: Liberation")</f>
        <v>Killzone: Liberation</v>
      </c>
      <c r="B177" s="15" t="str">
        <f>IFERROR(__xludf.DUMMYFUNCTION("""COMPUTED_VALUE"""),"PS5/PS4")</f>
        <v>PS5/PS4</v>
      </c>
      <c r="C177" s="16" t="str">
        <f>IFERROR(__xludf.DUMMYFUNCTION("""COMPUTED_VALUE"""),"Premium (Classics)")</f>
        <v>Premium (Classics)</v>
      </c>
      <c r="D177" s="15" t="str">
        <f>IFERROR(__xludf.DUMMYFUNCTION("""COMPUTED_VALUE"""),"Active")</f>
        <v>Active</v>
      </c>
      <c r="E177" s="17">
        <f>IFERROR(__xludf.DUMMYFUNCTION("""COMPUTED_VALUE"""),45097.0)</f>
        <v>45097</v>
      </c>
      <c r="F177" s="54"/>
      <c r="G177" s="19">
        <f>IFERROR(__xludf.DUMMYFUNCTION("""COMPUTED_VALUE"""),39.53333333333333)</f>
        <v>39.53333333</v>
      </c>
      <c r="H177" s="17">
        <f>IFERROR(__xludf.DUMMYFUNCTION("""COMPUTED_VALUE"""),39021.0)</f>
        <v>39021</v>
      </c>
      <c r="I177" s="19">
        <f>IFERROR(__xludf.DUMMYFUNCTION("""COMPUTED_VALUE"""),16.63888888888889)</f>
        <v>16.63888889</v>
      </c>
      <c r="J177" s="21">
        <f>IFERROR(__xludf.DUMMYFUNCTION("""COMPUTED_VALUE"""),77.0)</f>
        <v>77</v>
      </c>
      <c r="K177" s="23">
        <f>IFERROR(__xludf.DUMMYFUNCTION("""COMPUTED_VALUE"""),7.9)</f>
        <v>7.9</v>
      </c>
      <c r="L177" s="24">
        <f>IFERROR(__xludf.DUMMYFUNCTION("""COMPUTED_VALUE"""),8.0)</f>
        <v>8</v>
      </c>
      <c r="M177" s="25" t="str">
        <f>IFERROR(__xludf.DUMMYFUNCTION("""COMPUTED_VALUE"""),"Shooter")</f>
        <v>Shooter</v>
      </c>
      <c r="N177" s="25" t="str">
        <f>IFERROR(__xludf.DUMMYFUNCTION("""COMPUTED_VALUE"""),"PSP")</f>
        <v>PSP</v>
      </c>
      <c r="O177" s="26" t="str">
        <f>IFERROR(__xludf.DUMMYFUNCTION("""COMPUTED_VALUE"""),"Yes")</f>
        <v>Yes</v>
      </c>
      <c r="P177" s="26"/>
    </row>
    <row r="178">
      <c r="A178" s="13" t="str">
        <f>IFERROR(__xludf.DUMMYFUNCTION("""COMPUTED_VALUE"""),"Kinetica")</f>
        <v>Kinetica</v>
      </c>
      <c r="B178" s="15" t="str">
        <f>IFERROR(__xludf.DUMMYFUNCTION("""COMPUTED_VALUE"""),"PS4")</f>
        <v>PS4</v>
      </c>
      <c r="C178" s="16" t="str">
        <f>IFERROR(__xludf.DUMMYFUNCTION("""COMPUTED_VALUE"""),"Premium (Classics)")</f>
        <v>Premium (Classics)</v>
      </c>
      <c r="D178" s="15" t="str">
        <f>IFERROR(__xludf.DUMMYFUNCTION("""COMPUTED_VALUE"""),"Active")</f>
        <v>Active</v>
      </c>
      <c r="E178" s="17">
        <f>IFERROR(__xludf.DUMMYFUNCTION("""COMPUTED_VALUE"""),44725.0)</f>
        <v>44725</v>
      </c>
      <c r="F178" s="54"/>
      <c r="G178" s="19">
        <f>IFERROR(__xludf.DUMMYFUNCTION("""COMPUTED_VALUE"""),51.766666666666666)</f>
        <v>51.76666667</v>
      </c>
      <c r="H178" s="17">
        <f>IFERROR(__xludf.DUMMYFUNCTION("""COMPUTED_VALUE"""),37165.0)</f>
        <v>37165</v>
      </c>
      <c r="I178" s="19">
        <f>IFERROR(__xludf.DUMMYFUNCTION("""COMPUTED_VALUE"""),20.7)</f>
        <v>20.7</v>
      </c>
      <c r="J178" s="21">
        <f>IFERROR(__xludf.DUMMYFUNCTION("""COMPUTED_VALUE"""),77.0)</f>
        <v>77</v>
      </c>
      <c r="K178" s="23">
        <f>IFERROR(__xludf.DUMMYFUNCTION("""COMPUTED_VALUE"""),7.8)</f>
        <v>7.8</v>
      </c>
      <c r="L178" s="24">
        <f>IFERROR(__xludf.DUMMYFUNCTION("""COMPUTED_VALUE"""),4.0)</f>
        <v>4</v>
      </c>
      <c r="M178" s="25" t="str">
        <f>IFERROR(__xludf.DUMMYFUNCTION("""COMPUTED_VALUE"""),"Racing")</f>
        <v>Racing</v>
      </c>
      <c r="N178" s="25" t="str">
        <f>IFERROR(__xludf.DUMMYFUNCTION("""COMPUTED_VALUE"""),"PS2")</f>
        <v>PS2</v>
      </c>
      <c r="O178" s="26" t="str">
        <f>IFERROR(__xludf.DUMMYFUNCTION("""COMPUTED_VALUE"""),"Yes")</f>
        <v>Yes</v>
      </c>
      <c r="P178" s="26" t="str">
        <f>IFERROR(__xludf.DUMMYFUNCTION("""COMPUTED_VALUE"""),"")</f>
        <v/>
      </c>
    </row>
    <row r="179">
      <c r="A179" s="13" t="str">
        <f>IFERROR(__xludf.DUMMYFUNCTION("""COMPUTED_VALUE"""),"LEGO Indiana Jones: The Original Adventures")</f>
        <v>LEGO Indiana Jones: The Original Adventures</v>
      </c>
      <c r="B179" s="15" t="str">
        <f>IFERROR(__xludf.DUMMYFUNCTION("""COMPUTED_VALUE"""),"PS5/PS4")</f>
        <v>PS5/PS4</v>
      </c>
      <c r="C179" s="16" t="str">
        <f>IFERROR(__xludf.DUMMYFUNCTION("""COMPUTED_VALUE"""),"Premium (Streaming Only)")</f>
        <v>Premium (Streaming Only)</v>
      </c>
      <c r="D179" s="15" t="str">
        <f>IFERROR(__xludf.DUMMYFUNCTION("""COMPUTED_VALUE"""),"Active")</f>
        <v>Active</v>
      </c>
      <c r="E179" s="17">
        <f>IFERROR(__xludf.DUMMYFUNCTION("""COMPUTED_VALUE"""),42829.0)</f>
        <v>42829</v>
      </c>
      <c r="F179" s="54"/>
      <c r="G179" s="19">
        <f>IFERROR(__xludf.DUMMYFUNCTION("""COMPUTED_VALUE"""),114.06666666666668)</f>
        <v>114.0666667</v>
      </c>
      <c r="H179" s="17">
        <f>IFERROR(__xludf.DUMMYFUNCTION("""COMPUTED_VALUE"""),39602.0)</f>
        <v>39602</v>
      </c>
      <c r="I179" s="19">
        <f>IFERROR(__xludf.DUMMYFUNCTION("""COMPUTED_VALUE"""),8.83611111111111)</f>
        <v>8.836111111</v>
      </c>
      <c r="J179" s="21">
        <f>IFERROR(__xludf.DUMMYFUNCTION("""COMPUTED_VALUE"""),77.0)</f>
        <v>77</v>
      </c>
      <c r="K179" s="23">
        <f>IFERROR(__xludf.DUMMYFUNCTION("""COMPUTED_VALUE"""),7.9)</f>
        <v>7.9</v>
      </c>
      <c r="L179" s="24">
        <f>IFERROR(__xludf.DUMMYFUNCTION("""COMPUTED_VALUE"""),10.0)</f>
        <v>10</v>
      </c>
      <c r="M179" s="25" t="str">
        <f>IFERROR(__xludf.DUMMYFUNCTION("""COMPUTED_VALUE"""),"Action-Adventure")</f>
        <v>Action-Adventure</v>
      </c>
      <c r="N179" s="25" t="str">
        <f>IFERROR(__xludf.DUMMYFUNCTION("""COMPUTED_VALUE"""),"PS3")</f>
        <v>PS3</v>
      </c>
      <c r="O179" s="26" t="str">
        <f>IFERROR(__xludf.DUMMYFUNCTION("""COMPUTED_VALUE"""),"Yes")</f>
        <v>Yes</v>
      </c>
      <c r="P179" s="26"/>
    </row>
    <row r="180">
      <c r="A180" s="13" t="str">
        <f>IFERROR(__xludf.DUMMYFUNCTION("""COMPUTED_VALUE"""),"MotorStorm Apocalypse")</f>
        <v>MotorStorm Apocalypse</v>
      </c>
      <c r="B180" s="15" t="str">
        <f>IFERROR(__xludf.DUMMYFUNCTION("""COMPUTED_VALUE"""),"PS5/PS4")</f>
        <v>PS5/PS4</v>
      </c>
      <c r="C180" s="16" t="str">
        <f>IFERROR(__xludf.DUMMYFUNCTION("""COMPUTED_VALUE"""),"Premium (Streaming Only)")</f>
        <v>Premium (Streaming Only)</v>
      </c>
      <c r="D180" s="15" t="str">
        <f>IFERROR(__xludf.DUMMYFUNCTION("""COMPUTED_VALUE"""),"Active")</f>
        <v>Active</v>
      </c>
      <c r="E180" s="17">
        <f>IFERROR(__xludf.DUMMYFUNCTION("""COMPUTED_VALUE"""),42374.0)</f>
        <v>42374</v>
      </c>
      <c r="F180" s="54"/>
      <c r="G180" s="19">
        <f>IFERROR(__xludf.DUMMYFUNCTION("""COMPUTED_VALUE"""),129.03333333333333)</f>
        <v>129.0333333</v>
      </c>
      <c r="H180" s="17">
        <f>IFERROR(__xludf.DUMMYFUNCTION("""COMPUTED_VALUE"""),40664.0)</f>
        <v>40664</v>
      </c>
      <c r="I180" s="19">
        <f>IFERROR(__xludf.DUMMYFUNCTION("""COMPUTED_VALUE"""),4.677777777777778)</f>
        <v>4.677777778</v>
      </c>
      <c r="J180" s="21">
        <f>IFERROR(__xludf.DUMMYFUNCTION("""COMPUTED_VALUE"""),77.0)</f>
        <v>77</v>
      </c>
      <c r="K180" s="23">
        <f>IFERROR(__xludf.DUMMYFUNCTION("""COMPUTED_VALUE"""),7.8)</f>
        <v>7.8</v>
      </c>
      <c r="L180" s="24">
        <f>IFERROR(__xludf.DUMMYFUNCTION("""COMPUTED_VALUE"""),10.0)</f>
        <v>10</v>
      </c>
      <c r="M180" s="25" t="str">
        <f>IFERROR(__xludf.DUMMYFUNCTION("""COMPUTED_VALUE"""),"Racing")</f>
        <v>Racing</v>
      </c>
      <c r="N180" s="25" t="str">
        <f>IFERROR(__xludf.DUMMYFUNCTION("""COMPUTED_VALUE"""),"PS3")</f>
        <v>PS3</v>
      </c>
      <c r="O180" s="26" t="str">
        <f>IFERROR(__xludf.DUMMYFUNCTION("""COMPUTED_VALUE"""),"Yes")</f>
        <v>Yes</v>
      </c>
      <c r="P180" s="26" t="str">
        <f>IFERROR(__xludf.DUMMYFUNCTION("""COMPUTED_VALUE"""),"")</f>
        <v/>
      </c>
    </row>
    <row r="181">
      <c r="A181" s="13" t="str">
        <f>IFERROR(__xludf.DUMMYFUNCTION("""COMPUTED_VALUE"""),"Soldner-X 2: Final Prototype")</f>
        <v>Soldner-X 2: Final Prototype</v>
      </c>
      <c r="B181" s="15" t="str">
        <f>IFERROR(__xludf.DUMMYFUNCTION("""COMPUTED_VALUE"""),"PS5/PS4")</f>
        <v>PS5/PS4</v>
      </c>
      <c r="C181" s="16" t="str">
        <f>IFERROR(__xludf.DUMMYFUNCTION("""COMPUTED_VALUE"""),"Premium (Streaming Only)")</f>
        <v>Premium (Streaming Only)</v>
      </c>
      <c r="D181" s="15" t="str">
        <f>IFERROR(__xludf.DUMMYFUNCTION("""COMPUTED_VALUE"""),"Active")</f>
        <v>Active</v>
      </c>
      <c r="E181" s="17">
        <f>IFERROR(__xludf.DUMMYFUNCTION("""COMPUTED_VALUE"""),42374.0)</f>
        <v>42374</v>
      </c>
      <c r="F181" s="54"/>
      <c r="G181" s="19">
        <f>IFERROR(__xludf.DUMMYFUNCTION("""COMPUTED_VALUE"""),129.03333333333333)</f>
        <v>129.0333333</v>
      </c>
      <c r="H181" s="17">
        <f>IFERROR(__xludf.DUMMYFUNCTION("""COMPUTED_VALUE"""),42064.0)</f>
        <v>42064</v>
      </c>
      <c r="I181" s="19">
        <f>IFERROR(__xludf.DUMMYFUNCTION("""COMPUTED_VALUE"""),0.8444444444444444)</f>
        <v>0.8444444444</v>
      </c>
      <c r="J181" s="21">
        <f>IFERROR(__xludf.DUMMYFUNCTION("""COMPUTED_VALUE"""),77.0)</f>
        <v>77</v>
      </c>
      <c r="K181" s="23">
        <f>IFERROR(__xludf.DUMMYFUNCTION("""COMPUTED_VALUE"""),7.3)</f>
        <v>7.3</v>
      </c>
      <c r="L181" s="24">
        <f>IFERROR(__xludf.DUMMYFUNCTION("""COMPUTED_VALUE"""),6.0)</f>
        <v>6</v>
      </c>
      <c r="M181" s="25" t="str">
        <f>IFERROR(__xludf.DUMMYFUNCTION("""COMPUTED_VALUE"""),"Shooter")</f>
        <v>Shooter</v>
      </c>
      <c r="N181" s="25" t="str">
        <f>IFERROR(__xludf.DUMMYFUNCTION("""COMPUTED_VALUE"""),"PS3")</f>
        <v>PS3</v>
      </c>
      <c r="O181" s="26" t="str">
        <f>IFERROR(__xludf.DUMMYFUNCTION("""COMPUTED_VALUE"""),"Yes")</f>
        <v>Yes</v>
      </c>
      <c r="P181" s="26" t="str">
        <f>IFERROR(__xludf.DUMMYFUNCTION("""COMPUTED_VALUE"""),"")</f>
        <v/>
      </c>
    </row>
    <row r="182">
      <c r="A182" s="13" t="str">
        <f>IFERROR(__xludf.DUMMYFUNCTION("""COMPUTED_VALUE"""),"The Last Guy")</f>
        <v>The Last Guy</v>
      </c>
      <c r="B182" s="15" t="str">
        <f>IFERROR(__xludf.DUMMYFUNCTION("""COMPUTED_VALUE"""),"PS5/PS4")</f>
        <v>PS5/PS4</v>
      </c>
      <c r="C182" s="16" t="str">
        <f>IFERROR(__xludf.DUMMYFUNCTION("""COMPUTED_VALUE"""),"Premium (Streaming Only)")</f>
        <v>Premium (Streaming Only)</v>
      </c>
      <c r="D182" s="15" t="str">
        <f>IFERROR(__xludf.DUMMYFUNCTION("""COMPUTED_VALUE"""),"Active")</f>
        <v>Active</v>
      </c>
      <c r="E182" s="17">
        <f>IFERROR(__xludf.DUMMYFUNCTION("""COMPUTED_VALUE"""),42374.0)</f>
        <v>42374</v>
      </c>
      <c r="F182" s="54"/>
      <c r="G182" s="19">
        <f>IFERROR(__xludf.DUMMYFUNCTION("""COMPUTED_VALUE"""),129.03333333333333)</f>
        <v>129.0333333</v>
      </c>
      <c r="H182" s="17">
        <f>IFERROR(__xludf.DUMMYFUNCTION("""COMPUTED_VALUE"""),39661.0)</f>
        <v>39661</v>
      </c>
      <c r="I182" s="19">
        <f>IFERROR(__xludf.DUMMYFUNCTION("""COMPUTED_VALUE"""),7.427777777777778)</f>
        <v>7.427777778</v>
      </c>
      <c r="J182" s="21">
        <f>IFERROR(__xludf.DUMMYFUNCTION("""COMPUTED_VALUE"""),77.0)</f>
        <v>77</v>
      </c>
      <c r="K182" s="23">
        <f>IFERROR(__xludf.DUMMYFUNCTION("""COMPUTED_VALUE"""),7.6)</f>
        <v>7.6</v>
      </c>
      <c r="L182" s="24">
        <f>IFERROR(__xludf.DUMMYFUNCTION("""COMPUTED_VALUE"""),6.0)</f>
        <v>6</v>
      </c>
      <c r="M182" s="25" t="str">
        <f>IFERROR(__xludf.DUMMYFUNCTION("""COMPUTED_VALUE"""),"Puzzle")</f>
        <v>Puzzle</v>
      </c>
      <c r="N182" s="25" t="str">
        <f>IFERROR(__xludf.DUMMYFUNCTION("""COMPUTED_VALUE"""),"PS3")</f>
        <v>PS3</v>
      </c>
      <c r="O182" s="26" t="str">
        <f>IFERROR(__xludf.DUMMYFUNCTION("""COMPUTED_VALUE"""),"Yes")</f>
        <v>Yes</v>
      </c>
      <c r="P182" s="26" t="str">
        <f>IFERROR(__xludf.DUMMYFUNCTION("""COMPUTED_VALUE"""),"")</f>
        <v/>
      </c>
    </row>
    <row r="183">
      <c r="A183" s="13" t="str">
        <f>IFERROR(__xludf.DUMMYFUNCTION("""COMPUTED_VALUE"""),"STRIDER (2014)")</f>
        <v>STRIDER (2014)</v>
      </c>
      <c r="B183" s="15" t="str">
        <f>IFERROR(__xludf.DUMMYFUNCTION("""COMPUTED_VALUE"""),"PS4")</f>
        <v>PS4</v>
      </c>
      <c r="C183" s="16" t="str">
        <f>IFERROR(__xludf.DUMMYFUNCTION("""COMPUTED_VALUE"""),"Premium (Remasters)")</f>
        <v>Premium (Remasters)</v>
      </c>
      <c r="D183" s="15" t="str">
        <f>IFERROR(__xludf.DUMMYFUNCTION("""COMPUTED_VALUE"""),"Active")</f>
        <v>Active</v>
      </c>
      <c r="E183" s="17">
        <f>IFERROR(__xludf.DUMMYFUNCTION("""COMPUTED_VALUE"""),42311.0)</f>
        <v>42311</v>
      </c>
      <c r="F183" s="54"/>
      <c r="G183" s="19">
        <f>IFERROR(__xludf.DUMMYFUNCTION("""COMPUTED_VALUE"""),131.10000000000002)</f>
        <v>131.1</v>
      </c>
      <c r="H183" s="17">
        <f>IFERROR(__xludf.DUMMYFUNCTION("""COMPUTED_VALUE"""),41671.0)</f>
        <v>41671</v>
      </c>
      <c r="I183" s="19">
        <f>IFERROR(__xludf.DUMMYFUNCTION("""COMPUTED_VALUE"""),1.7555555555555555)</f>
        <v>1.755555556</v>
      </c>
      <c r="J183" s="21">
        <f>IFERROR(__xludf.DUMMYFUNCTION("""COMPUTED_VALUE"""),77.0)</f>
        <v>77</v>
      </c>
      <c r="K183" s="23">
        <f>IFERROR(__xludf.DUMMYFUNCTION("""COMPUTED_VALUE"""),7.8)</f>
        <v>7.8</v>
      </c>
      <c r="L183" s="24">
        <f>IFERROR(__xludf.DUMMYFUNCTION("""COMPUTED_VALUE"""),7.0)</f>
        <v>7</v>
      </c>
      <c r="M183" s="25" t="str">
        <f>IFERROR(__xludf.DUMMYFUNCTION("""COMPUTED_VALUE"""),"Action-Adventure")</f>
        <v>Action-Adventure</v>
      </c>
      <c r="N183" s="25" t="str">
        <f>IFERROR(__xludf.DUMMYFUNCTION("""COMPUTED_VALUE"""),"Arcade")</f>
        <v>Arcade</v>
      </c>
      <c r="O183" s="26" t="str">
        <f>IFERROR(__xludf.DUMMYFUNCTION("""COMPUTED_VALUE"""),"Yes")</f>
        <v>Yes</v>
      </c>
      <c r="P183" s="26"/>
    </row>
    <row r="184">
      <c r="A184" s="13" t="str">
        <f>IFERROR(__xludf.DUMMYFUNCTION("""COMPUTED_VALUE"""),"Final Fight: Double Impact")</f>
        <v>Final Fight: Double Impact</v>
      </c>
      <c r="B184" s="15" t="str">
        <f>IFERROR(__xludf.DUMMYFUNCTION("""COMPUTED_VALUE"""),"PS5/PS4")</f>
        <v>PS5/PS4</v>
      </c>
      <c r="C184" s="16" t="str">
        <f>IFERROR(__xludf.DUMMYFUNCTION("""COMPUTED_VALUE"""),"Premium (Streaming Only)")</f>
        <v>Premium (Streaming Only)</v>
      </c>
      <c r="D184" s="15" t="str">
        <f>IFERROR(__xludf.DUMMYFUNCTION("""COMPUTED_VALUE"""),"Active")</f>
        <v>Active</v>
      </c>
      <c r="E184" s="17">
        <f>IFERROR(__xludf.DUMMYFUNCTION("""COMPUTED_VALUE"""),42017.0)</f>
        <v>42017</v>
      </c>
      <c r="F184" s="54"/>
      <c r="G184" s="19">
        <f>IFERROR(__xludf.DUMMYFUNCTION("""COMPUTED_VALUE"""),140.76666666666668)</f>
        <v>140.7666667</v>
      </c>
      <c r="H184" s="17">
        <f>IFERROR(__xludf.DUMMYFUNCTION("""COMPUTED_VALUE"""),40282.0)</f>
        <v>40282</v>
      </c>
      <c r="I184" s="19">
        <f>IFERROR(__xludf.DUMMYFUNCTION("""COMPUTED_VALUE"""),4.747222222222222)</f>
        <v>4.747222222</v>
      </c>
      <c r="J184" s="21">
        <f>IFERROR(__xludf.DUMMYFUNCTION("""COMPUTED_VALUE"""),77.0)</f>
        <v>77</v>
      </c>
      <c r="K184" s="23">
        <f>IFERROR(__xludf.DUMMYFUNCTION("""COMPUTED_VALUE"""),7.5)</f>
        <v>7.5</v>
      </c>
      <c r="L184" s="24">
        <f>IFERROR(__xludf.DUMMYFUNCTION("""COMPUTED_VALUE"""),1.0)</f>
        <v>1</v>
      </c>
      <c r="M184" s="25" t="str">
        <f>IFERROR(__xludf.DUMMYFUNCTION("""COMPUTED_VALUE"""),"Brawler")</f>
        <v>Brawler</v>
      </c>
      <c r="N184" s="25" t="str">
        <f>IFERROR(__xludf.DUMMYFUNCTION("""COMPUTED_VALUE"""),"PS3")</f>
        <v>PS3</v>
      </c>
      <c r="O184" s="26" t="str">
        <f>IFERROR(__xludf.DUMMYFUNCTION("""COMPUTED_VALUE"""),"Yes")</f>
        <v>Yes</v>
      </c>
      <c r="P184" s="26"/>
    </row>
    <row r="185">
      <c r="A185" s="13" t="str">
        <f>IFERROR(__xludf.DUMMYFUNCTION("""COMPUTED_VALUE"""),"Penny Arcade Adventures: On the Rain-Slick Precipice of Darkness - Episode One")</f>
        <v>Penny Arcade Adventures: On the Rain-Slick Precipice of Darkness - Episode One</v>
      </c>
      <c r="B185" s="15" t="str">
        <f>IFERROR(__xludf.DUMMYFUNCTION("""COMPUTED_VALUE"""),"PS5/PS4")</f>
        <v>PS5/PS4</v>
      </c>
      <c r="C185" s="16" t="str">
        <f>IFERROR(__xludf.DUMMYFUNCTION("""COMPUTED_VALUE"""),"Premium (Streaming Only)")</f>
        <v>Premium (Streaming Only)</v>
      </c>
      <c r="D185" s="15" t="str">
        <f>IFERROR(__xludf.DUMMYFUNCTION("""COMPUTED_VALUE"""),"Active")</f>
        <v>Active</v>
      </c>
      <c r="E185" s="17">
        <f>IFERROR(__xludf.DUMMYFUNCTION("""COMPUTED_VALUE"""),42017.0)</f>
        <v>42017</v>
      </c>
      <c r="F185" s="54"/>
      <c r="G185" s="19">
        <f>IFERROR(__xludf.DUMMYFUNCTION("""COMPUTED_VALUE"""),140.76666666666668)</f>
        <v>140.7666667</v>
      </c>
      <c r="H185" s="17">
        <f>IFERROR(__xludf.DUMMYFUNCTION("""COMPUTED_VALUE"""),39569.0)</f>
        <v>39569</v>
      </c>
      <c r="I185" s="19">
        <f>IFERROR(__xludf.DUMMYFUNCTION("""COMPUTED_VALUE"""),6.7)</f>
        <v>6.7</v>
      </c>
      <c r="J185" s="21">
        <f>IFERROR(__xludf.DUMMYFUNCTION("""COMPUTED_VALUE"""),77.0)</f>
        <v>77</v>
      </c>
      <c r="K185" s="23">
        <f>IFERROR(__xludf.DUMMYFUNCTION("""COMPUTED_VALUE"""),7.8)</f>
        <v>7.8</v>
      </c>
      <c r="L185" s="24">
        <f>IFERROR(__xludf.DUMMYFUNCTION("""COMPUTED_VALUE"""),6.0)</f>
        <v>6</v>
      </c>
      <c r="M185" s="25" t="str">
        <f>IFERROR(__xludf.DUMMYFUNCTION("""COMPUTED_VALUE"""),"RPG")</f>
        <v>RPG</v>
      </c>
      <c r="N185" s="25" t="str">
        <f>IFERROR(__xludf.DUMMYFUNCTION("""COMPUTED_VALUE"""),"PS3")</f>
        <v>PS3</v>
      </c>
      <c r="O185" s="26" t="str">
        <f>IFERROR(__xludf.DUMMYFUNCTION("""COMPUTED_VALUE"""),"Yes")</f>
        <v>Yes</v>
      </c>
      <c r="P185" s="26" t="str">
        <f>IFERROR(__xludf.DUMMYFUNCTION("""COMPUTED_VALUE"""),"")</f>
        <v/>
      </c>
    </row>
    <row r="186">
      <c r="A186" s="13" t="str">
        <f>IFERROR(__xludf.DUMMYFUNCTION("""COMPUTED_VALUE"""),"Sanctum 2")</f>
        <v>Sanctum 2</v>
      </c>
      <c r="B186" s="15" t="str">
        <f>IFERROR(__xludf.DUMMYFUNCTION("""COMPUTED_VALUE"""),"PS5/PS4")</f>
        <v>PS5/PS4</v>
      </c>
      <c r="C186" s="16" t="str">
        <f>IFERROR(__xludf.DUMMYFUNCTION("""COMPUTED_VALUE"""),"Premium (Streaming Only)")</f>
        <v>Premium (Streaming Only)</v>
      </c>
      <c r="D186" s="15" t="str">
        <f>IFERROR(__xludf.DUMMYFUNCTION("""COMPUTED_VALUE"""),"Active")</f>
        <v>Active</v>
      </c>
      <c r="E186" s="17">
        <f>IFERROR(__xludf.DUMMYFUNCTION("""COMPUTED_VALUE"""),42017.0)</f>
        <v>42017</v>
      </c>
      <c r="F186" s="71"/>
      <c r="G186" s="19">
        <f>IFERROR(__xludf.DUMMYFUNCTION("""COMPUTED_VALUE"""),140.76666666666668)</f>
        <v>140.7666667</v>
      </c>
      <c r="H186" s="17">
        <f>IFERROR(__xludf.DUMMYFUNCTION("""COMPUTED_VALUE"""),41395.0)</f>
        <v>41395</v>
      </c>
      <c r="I186" s="19">
        <f>IFERROR(__xludf.DUMMYFUNCTION("""COMPUTED_VALUE"""),1.7)</f>
        <v>1.7</v>
      </c>
      <c r="J186" s="21">
        <f>IFERROR(__xludf.DUMMYFUNCTION("""COMPUTED_VALUE"""),77.0)</f>
        <v>77</v>
      </c>
      <c r="K186" s="23">
        <f>IFERROR(__xludf.DUMMYFUNCTION("""COMPUTED_VALUE"""),7.4)</f>
        <v>7.4</v>
      </c>
      <c r="L186" s="24">
        <f>IFERROR(__xludf.DUMMYFUNCTION("""COMPUTED_VALUE"""),8.0)</f>
        <v>8</v>
      </c>
      <c r="M186" s="25" t="str">
        <f>IFERROR(__xludf.DUMMYFUNCTION("""COMPUTED_VALUE"""),"Shooter")</f>
        <v>Shooter</v>
      </c>
      <c r="N186" s="25" t="str">
        <f>IFERROR(__xludf.DUMMYFUNCTION("""COMPUTED_VALUE"""),"PS3")</f>
        <v>PS3</v>
      </c>
      <c r="O186" s="26" t="str">
        <f>IFERROR(__xludf.DUMMYFUNCTION("""COMPUTED_VALUE"""),"Yes")</f>
        <v>Yes</v>
      </c>
      <c r="P186" s="26" t="str">
        <f>IFERROR(__xludf.DUMMYFUNCTION("""COMPUTED_VALUE"""),"")</f>
        <v/>
      </c>
    </row>
    <row r="187">
      <c r="A187" s="13" t="str">
        <f>IFERROR(__xludf.DUMMYFUNCTION("""COMPUTED_VALUE"""),"The King of Fighters XIII")</f>
        <v>The King of Fighters XIII</v>
      </c>
      <c r="B187" s="15" t="str">
        <f>IFERROR(__xludf.DUMMYFUNCTION("""COMPUTED_VALUE"""),"PS5/PS4")</f>
        <v>PS5/PS4</v>
      </c>
      <c r="C187" s="16" t="str">
        <f>IFERROR(__xludf.DUMMYFUNCTION("""COMPUTED_VALUE"""),"Premium (Streaming Only)")</f>
        <v>Premium (Streaming Only)</v>
      </c>
      <c r="D187" s="15" t="str">
        <f>IFERROR(__xludf.DUMMYFUNCTION("""COMPUTED_VALUE"""),"Active")</f>
        <v>Active</v>
      </c>
      <c r="E187" s="17">
        <f>IFERROR(__xludf.DUMMYFUNCTION("""COMPUTED_VALUE"""),42017.0)</f>
        <v>42017</v>
      </c>
      <c r="F187" s="54"/>
      <c r="G187" s="19">
        <f>IFERROR(__xludf.DUMMYFUNCTION("""COMPUTED_VALUE"""),140.76666666666668)</f>
        <v>140.7666667</v>
      </c>
      <c r="H187" s="17">
        <f>IFERROR(__xludf.DUMMYFUNCTION("""COMPUTED_VALUE"""),40848.0)</f>
        <v>40848</v>
      </c>
      <c r="I187" s="19">
        <f>IFERROR(__xludf.DUMMYFUNCTION("""COMPUTED_VALUE"""),3.2)</f>
        <v>3.2</v>
      </c>
      <c r="J187" s="21">
        <f>IFERROR(__xludf.DUMMYFUNCTION("""COMPUTED_VALUE"""),77.0)</f>
        <v>77</v>
      </c>
      <c r="K187" s="23">
        <f>IFERROR(__xludf.DUMMYFUNCTION("""COMPUTED_VALUE"""),8.1)</f>
        <v>8.1</v>
      </c>
      <c r="L187" s="24"/>
      <c r="M187" s="25" t="str">
        <f>IFERROR(__xludf.DUMMYFUNCTION("""COMPUTED_VALUE"""),"Fighting")</f>
        <v>Fighting</v>
      </c>
      <c r="N187" s="25" t="str">
        <f>IFERROR(__xludf.DUMMYFUNCTION("""COMPUTED_VALUE"""),"PS3")</f>
        <v>PS3</v>
      </c>
      <c r="O187" s="26" t="str">
        <f>IFERROR(__xludf.DUMMYFUNCTION("""COMPUTED_VALUE"""),"Yes")</f>
        <v>Yes</v>
      </c>
      <c r="P187" s="26" t="str">
        <f>IFERROR(__xludf.DUMMYFUNCTION("""COMPUTED_VALUE"""),"")</f>
        <v/>
      </c>
    </row>
    <row r="188">
      <c r="A188" s="13" t="str">
        <f>IFERROR(__xludf.DUMMYFUNCTION("""COMPUTED_VALUE"""),"Battle Engine Aquila")</f>
        <v>Battle Engine Aquila</v>
      </c>
      <c r="B188" s="15" t="str">
        <f>IFERROR(__xludf.DUMMYFUNCTION("""COMPUTED_VALUE"""),"PS5/PS4")</f>
        <v>PS5/PS4</v>
      </c>
      <c r="C188" s="16" t="str">
        <f>IFERROR(__xludf.DUMMYFUNCTION("""COMPUTED_VALUE"""),"Premium (Classics)")</f>
        <v>Premium (Classics)</v>
      </c>
      <c r="D188" s="15" t="str">
        <f>IFERROR(__xludf.DUMMYFUNCTION("""COMPUTED_VALUE"""),"Active")</f>
        <v>Active</v>
      </c>
      <c r="E188" s="17">
        <f>IFERROR(__xludf.DUMMYFUNCTION("""COMPUTED_VALUE"""),45797.0)</f>
        <v>45797</v>
      </c>
      <c r="F188" s="54"/>
      <c r="G188" s="19">
        <f>IFERROR(__xludf.DUMMYFUNCTION("""COMPUTED_VALUE"""),16.53333333333333)</f>
        <v>16.53333333</v>
      </c>
      <c r="H188" s="17">
        <f>IFERROR(__xludf.DUMMYFUNCTION("""COMPUTED_VALUE"""),37641.0)</f>
        <v>37641</v>
      </c>
      <c r="I188" s="19">
        <f>IFERROR(__xludf.DUMMYFUNCTION("""COMPUTED_VALUE"""),22.333333333333332)</f>
        <v>22.33333333</v>
      </c>
      <c r="J188" s="21">
        <f>IFERROR(__xludf.DUMMYFUNCTION("""COMPUTED_VALUE"""),76.0)</f>
        <v>76</v>
      </c>
      <c r="K188" s="23">
        <f>IFERROR(__xludf.DUMMYFUNCTION("""COMPUTED_VALUE"""),3.0)</f>
        <v>3</v>
      </c>
      <c r="L188" s="24">
        <f>IFERROR(__xludf.DUMMYFUNCTION("""COMPUTED_VALUE"""),5.0)</f>
        <v>5</v>
      </c>
      <c r="M188" s="25" t="str">
        <f>IFERROR(__xludf.DUMMYFUNCTION("""COMPUTED_VALUE"""),"Shooter")</f>
        <v>Shooter</v>
      </c>
      <c r="N188" s="25" t="str">
        <f>IFERROR(__xludf.DUMMYFUNCTION("""COMPUTED_VALUE"""),"PS2")</f>
        <v>PS2</v>
      </c>
      <c r="O188" s="26"/>
      <c r="P188" s="26"/>
    </row>
    <row r="189">
      <c r="A189" s="13" t="str">
        <f>IFERROR(__xludf.DUMMYFUNCTION("""COMPUTED_VALUE"""),"Blood Omen 2")</f>
        <v>Blood Omen 2</v>
      </c>
      <c r="B189" s="15" t="str">
        <f>IFERROR(__xludf.DUMMYFUNCTION("""COMPUTED_VALUE"""),"PS5/PS4")</f>
        <v>PS5/PS4</v>
      </c>
      <c r="C189" s="16" t="str">
        <f>IFERROR(__xludf.DUMMYFUNCTION("""COMPUTED_VALUE"""),"Premium (Classics)")</f>
        <v>Premium (Classics)</v>
      </c>
      <c r="D189" s="15" t="str">
        <f>IFERROR(__xludf.DUMMYFUNCTION("""COMPUTED_VALUE"""),"Active")</f>
        <v>Active</v>
      </c>
      <c r="E189" s="17">
        <f>IFERROR(__xludf.DUMMYFUNCTION("""COMPUTED_VALUE"""),45615.0)</f>
        <v>45615</v>
      </c>
      <c r="F189" s="54"/>
      <c r="G189" s="19">
        <f>IFERROR(__xludf.DUMMYFUNCTION("""COMPUTED_VALUE"""),22.566666666666666)</f>
        <v>22.56666667</v>
      </c>
      <c r="H189" s="17">
        <f>IFERROR(__xludf.DUMMYFUNCTION("""COMPUTED_VALUE"""),37336.0)</f>
        <v>37336</v>
      </c>
      <c r="I189" s="19">
        <f>IFERROR(__xludf.DUMMYFUNCTION("""COMPUTED_VALUE"""),22.66111111111111)</f>
        <v>22.66111111</v>
      </c>
      <c r="J189" s="21">
        <f>IFERROR(__xludf.DUMMYFUNCTION("""COMPUTED_VALUE"""),76.0)</f>
        <v>76</v>
      </c>
      <c r="K189" s="23">
        <f>IFERROR(__xludf.DUMMYFUNCTION("""COMPUTED_VALUE"""),7.4)</f>
        <v>7.4</v>
      </c>
      <c r="L189" s="24">
        <f>IFERROR(__xludf.DUMMYFUNCTION("""COMPUTED_VALUE"""),13.0)</f>
        <v>13</v>
      </c>
      <c r="M189" s="25" t="str">
        <f>IFERROR(__xludf.DUMMYFUNCTION("""COMPUTED_VALUE"""),"Survival")</f>
        <v>Survival</v>
      </c>
      <c r="N189" s="25" t="str">
        <f>IFERROR(__xludf.DUMMYFUNCTION("""COMPUTED_VALUE"""),"PS2")</f>
        <v>PS2</v>
      </c>
      <c r="O189" s="26" t="str">
        <f>IFERROR(__xludf.DUMMYFUNCTION("""COMPUTED_VALUE"""),"Yes")</f>
        <v>Yes</v>
      </c>
      <c r="P189" s="26"/>
    </row>
    <row r="190">
      <c r="A190" s="13" t="str">
        <f>IFERROR(__xludf.DUMMYFUNCTION("""COMPUTED_VALUE"""),"R-Type Dimensions EX")</f>
        <v>R-Type Dimensions EX</v>
      </c>
      <c r="B190" s="15" t="str">
        <f>IFERROR(__xludf.DUMMYFUNCTION("""COMPUTED_VALUE"""),"PS4")</f>
        <v>PS4</v>
      </c>
      <c r="C190" s="16" t="str">
        <f>IFERROR(__xludf.DUMMYFUNCTION("""COMPUTED_VALUE"""),"Premium (Classics)")</f>
        <v>Premium (Classics)</v>
      </c>
      <c r="D190" s="15" t="str">
        <f>IFERROR(__xludf.DUMMYFUNCTION("""COMPUTED_VALUE"""),"Active")</f>
        <v>Active</v>
      </c>
      <c r="E190" s="17">
        <f>IFERROR(__xludf.DUMMYFUNCTION("""COMPUTED_VALUE"""),45580.0)</f>
        <v>45580</v>
      </c>
      <c r="F190" s="54"/>
      <c r="G190" s="19">
        <f>IFERROR(__xludf.DUMMYFUNCTION("""COMPUTED_VALUE"""),23.700000000000003)</f>
        <v>23.7</v>
      </c>
      <c r="H190" s="17">
        <f>IFERROR(__xludf.DUMMYFUNCTION("""COMPUTED_VALUE"""),39848.0)</f>
        <v>39848</v>
      </c>
      <c r="I190" s="19">
        <f>IFERROR(__xludf.DUMMYFUNCTION("""COMPUTED_VALUE"""),15.697222222222223)</f>
        <v>15.69722222</v>
      </c>
      <c r="J190" s="21">
        <f>IFERROR(__xludf.DUMMYFUNCTION("""COMPUTED_VALUE"""),76.0)</f>
        <v>76</v>
      </c>
      <c r="K190" s="23">
        <f>IFERROR(__xludf.DUMMYFUNCTION("""COMPUTED_VALUE"""),7.5)</f>
        <v>7.5</v>
      </c>
      <c r="L190" s="24">
        <f>IFERROR(__xludf.DUMMYFUNCTION("""COMPUTED_VALUE"""),1.0)</f>
        <v>1</v>
      </c>
      <c r="M190" s="25" t="str">
        <f>IFERROR(__xludf.DUMMYFUNCTION("""COMPUTED_VALUE"""),"Compilation")</f>
        <v>Compilation</v>
      </c>
      <c r="N190" s="25" t="str">
        <f>IFERROR(__xludf.DUMMYFUNCTION("""COMPUTED_VALUE"""),"Arcade")</f>
        <v>Arcade</v>
      </c>
      <c r="O190" s="26" t="str">
        <f>IFERROR(__xludf.DUMMYFUNCTION("""COMPUTED_VALUE"""),"No")</f>
        <v>No</v>
      </c>
      <c r="P190" s="26"/>
    </row>
    <row r="191">
      <c r="A191" s="13" t="str">
        <f>IFERROR(__xludf.DUMMYFUNCTION("""COMPUTED_VALUE"""),"Twisted Metal")</f>
        <v>Twisted Metal</v>
      </c>
      <c r="B191" s="15" t="str">
        <f>IFERROR(__xludf.DUMMYFUNCTION("""COMPUTED_VALUE"""),"PS5/PS4")</f>
        <v>PS5/PS4</v>
      </c>
      <c r="C191" s="16" t="str">
        <f>IFERROR(__xludf.DUMMYFUNCTION("""COMPUTED_VALUE"""),"Premium (Classics)")</f>
        <v>Premium (Classics)</v>
      </c>
      <c r="D191" s="15" t="str">
        <f>IFERROR(__xludf.DUMMYFUNCTION("""COMPUTED_VALUE"""),"Active")</f>
        <v>Active</v>
      </c>
      <c r="E191" s="17">
        <f>IFERROR(__xludf.DUMMYFUNCTION("""COMPUTED_VALUE"""),45125.0)</f>
        <v>45125</v>
      </c>
      <c r="F191" s="54"/>
      <c r="G191" s="19">
        <f>IFERROR(__xludf.DUMMYFUNCTION("""COMPUTED_VALUE"""),38.6)</f>
        <v>38.6</v>
      </c>
      <c r="H191" s="17">
        <f>IFERROR(__xludf.DUMMYFUNCTION("""COMPUTED_VALUE"""),35008.0)</f>
        <v>35008</v>
      </c>
      <c r="I191" s="19">
        <f>IFERROR(__xludf.DUMMYFUNCTION("""COMPUTED_VALUE"""),27.70277777777778)</f>
        <v>27.70277778</v>
      </c>
      <c r="J191" s="21">
        <f>IFERROR(__xludf.DUMMYFUNCTION("""COMPUTED_VALUE"""),76.0)</f>
        <v>76</v>
      </c>
      <c r="K191" s="23">
        <f>IFERROR(__xludf.DUMMYFUNCTION("""COMPUTED_VALUE"""),8.4)</f>
        <v>8.4</v>
      </c>
      <c r="L191" s="24">
        <f>IFERROR(__xludf.DUMMYFUNCTION("""COMPUTED_VALUE"""),5.0)</f>
        <v>5</v>
      </c>
      <c r="M191" s="25" t="str">
        <f>IFERROR(__xludf.DUMMYFUNCTION("""COMPUTED_VALUE"""),"Driving")</f>
        <v>Driving</v>
      </c>
      <c r="N191" s="25" t="str">
        <f>IFERROR(__xludf.DUMMYFUNCTION("""COMPUTED_VALUE"""),"PS1")</f>
        <v>PS1</v>
      </c>
      <c r="O191" s="26" t="str">
        <f>IFERROR(__xludf.DUMMYFUNCTION("""COMPUTED_VALUE"""),"Yes")</f>
        <v>Yes</v>
      </c>
      <c r="P191" s="26"/>
    </row>
    <row r="192">
      <c r="A192" s="13" t="str">
        <f>IFERROR(__xludf.DUMMYFUNCTION("""COMPUTED_VALUE"""),"Worms")</f>
        <v>Worms</v>
      </c>
      <c r="B192" s="15" t="str">
        <f>IFERROR(__xludf.DUMMYFUNCTION("""COMPUTED_VALUE"""),"PS5/PS4")</f>
        <v>PS5/PS4</v>
      </c>
      <c r="C192" s="16" t="str">
        <f>IFERROR(__xludf.DUMMYFUNCTION("""COMPUTED_VALUE"""),"Premium (Classics)")</f>
        <v>Premium (Classics)</v>
      </c>
      <c r="D192" s="15" t="str">
        <f>IFERROR(__xludf.DUMMYFUNCTION("""COMPUTED_VALUE"""),"Active")</f>
        <v>Active</v>
      </c>
      <c r="E192" s="17">
        <f>IFERROR(__xludf.DUMMYFUNCTION("""COMPUTED_VALUE"""),45097.0)</f>
        <v>45097</v>
      </c>
      <c r="F192" s="54"/>
      <c r="G192" s="19">
        <f>IFERROR(__xludf.DUMMYFUNCTION("""COMPUTED_VALUE"""),39.53333333333333)</f>
        <v>39.53333333</v>
      </c>
      <c r="H192" s="17">
        <f>IFERROR(__xludf.DUMMYFUNCTION("""COMPUTED_VALUE"""),35003.0)</f>
        <v>35003</v>
      </c>
      <c r="I192" s="19">
        <f>IFERROR(__xludf.DUMMYFUNCTION("""COMPUTED_VALUE"""),27.63888888888889)</f>
        <v>27.63888889</v>
      </c>
      <c r="J192" s="21">
        <f>IFERROR(__xludf.DUMMYFUNCTION("""COMPUTED_VALUE"""),76.0)</f>
        <v>76</v>
      </c>
      <c r="K192" s="23">
        <f>IFERROR(__xludf.DUMMYFUNCTION("""COMPUTED_VALUE"""),8.2)</f>
        <v>8.2</v>
      </c>
      <c r="L192" s="24">
        <f>IFERROR(__xludf.DUMMYFUNCTION("""COMPUTED_VALUE"""),4.0)</f>
        <v>4</v>
      </c>
      <c r="M192" s="25" t="str">
        <f>IFERROR(__xludf.DUMMYFUNCTION("""COMPUTED_VALUE"""),"Strategy")</f>
        <v>Strategy</v>
      </c>
      <c r="N192" s="25" t="str">
        <f>IFERROR(__xludf.DUMMYFUNCTION("""COMPUTED_VALUE"""),"PS1")</f>
        <v>PS1</v>
      </c>
      <c r="O192" s="26" t="str">
        <f>IFERROR(__xludf.DUMMYFUNCTION("""COMPUTED_VALUE"""),"Yes")</f>
        <v>Yes</v>
      </c>
      <c r="P192" s="26"/>
    </row>
    <row r="193">
      <c r="A193" s="13" t="str">
        <f>IFERROR(__xludf.DUMMYFUNCTION("""COMPUTED_VALUE"""),"Jak X: Combat Racing")</f>
        <v>Jak X: Combat Racing</v>
      </c>
      <c r="B193" s="15" t="str">
        <f>IFERROR(__xludf.DUMMYFUNCTION("""COMPUTED_VALUE"""),"PS4")</f>
        <v>PS4</v>
      </c>
      <c r="C193" s="16" t="str">
        <f>IFERROR(__xludf.DUMMYFUNCTION("""COMPUTED_VALUE"""),"Premium (Classics)")</f>
        <v>Premium (Classics)</v>
      </c>
      <c r="D193" s="15" t="str">
        <f>IFERROR(__xludf.DUMMYFUNCTION("""COMPUTED_VALUE"""),"Active")</f>
        <v>Active</v>
      </c>
      <c r="E193" s="17">
        <f>IFERROR(__xludf.DUMMYFUNCTION("""COMPUTED_VALUE"""),44725.0)</f>
        <v>44725</v>
      </c>
      <c r="F193" s="54"/>
      <c r="G193" s="19">
        <f>IFERROR(__xludf.DUMMYFUNCTION("""COMPUTED_VALUE"""),51.766666666666666)</f>
        <v>51.76666667</v>
      </c>
      <c r="H193" s="17">
        <f>IFERROR(__xludf.DUMMYFUNCTION("""COMPUTED_VALUE"""),38626.0)</f>
        <v>38626</v>
      </c>
      <c r="I193" s="19">
        <f>IFERROR(__xludf.DUMMYFUNCTION("""COMPUTED_VALUE"""),16.7)</f>
        <v>16.7</v>
      </c>
      <c r="J193" s="21">
        <f>IFERROR(__xludf.DUMMYFUNCTION("""COMPUTED_VALUE"""),76.0)</f>
        <v>76</v>
      </c>
      <c r="K193" s="23">
        <f>IFERROR(__xludf.DUMMYFUNCTION("""COMPUTED_VALUE"""),8.0)</f>
        <v>8</v>
      </c>
      <c r="L193" s="24">
        <f>IFERROR(__xludf.DUMMYFUNCTION("""COMPUTED_VALUE"""),12.0)</f>
        <v>12</v>
      </c>
      <c r="M193" s="25" t="str">
        <f>IFERROR(__xludf.DUMMYFUNCTION("""COMPUTED_VALUE"""),"Racing")</f>
        <v>Racing</v>
      </c>
      <c r="N193" s="25" t="str">
        <f>IFERROR(__xludf.DUMMYFUNCTION("""COMPUTED_VALUE"""),"PS2")</f>
        <v>PS2</v>
      </c>
      <c r="O193" s="26" t="str">
        <f>IFERROR(__xludf.DUMMYFUNCTION("""COMPUTED_VALUE"""),"No")</f>
        <v>No</v>
      </c>
      <c r="P193" s="26" t="str">
        <f>IFERROR(__xludf.DUMMYFUNCTION("""COMPUTED_VALUE"""),"")</f>
        <v/>
      </c>
    </row>
    <row r="194">
      <c r="A194" s="13" t="str">
        <f>IFERROR(__xludf.DUMMYFUNCTION("""COMPUTED_VALUE"""),"The Last Blade 2")</f>
        <v>The Last Blade 2</v>
      </c>
      <c r="B194" s="15" t="str">
        <f>IFERROR(__xludf.DUMMYFUNCTION("""COMPUTED_VALUE"""),"PS4")</f>
        <v>PS4</v>
      </c>
      <c r="C194" s="16" t="str">
        <f>IFERROR(__xludf.DUMMYFUNCTION("""COMPUTED_VALUE"""),"Premium (Classics)")</f>
        <v>Premium (Classics)</v>
      </c>
      <c r="D194" s="15" t="str">
        <f>IFERROR(__xludf.DUMMYFUNCTION("""COMPUTED_VALUE"""),"Active")</f>
        <v>Active</v>
      </c>
      <c r="E194" s="17">
        <f>IFERROR(__xludf.DUMMYFUNCTION("""COMPUTED_VALUE"""),43221.0)</f>
        <v>43221</v>
      </c>
      <c r="F194" s="54"/>
      <c r="G194" s="19">
        <f>IFERROR(__xludf.DUMMYFUNCTION("""COMPUTED_VALUE"""),101.16666666666666)</f>
        <v>101.1666667</v>
      </c>
      <c r="H194" s="17">
        <f>IFERROR(__xludf.DUMMYFUNCTION("""COMPUTED_VALUE"""),36032.0)</f>
        <v>36032</v>
      </c>
      <c r="I194" s="19">
        <f>IFERROR(__xludf.DUMMYFUNCTION("""COMPUTED_VALUE"""),19.683333333333334)</f>
        <v>19.68333333</v>
      </c>
      <c r="J194" s="21">
        <f>IFERROR(__xludf.DUMMYFUNCTION("""COMPUTED_VALUE"""),76.0)</f>
        <v>76</v>
      </c>
      <c r="K194" s="23">
        <f>IFERROR(__xludf.DUMMYFUNCTION("""COMPUTED_VALUE"""),8.0)</f>
        <v>8</v>
      </c>
      <c r="L194" s="24"/>
      <c r="M194" s="25" t="str">
        <f>IFERROR(__xludf.DUMMYFUNCTION("""COMPUTED_VALUE"""),"Fighting")</f>
        <v>Fighting</v>
      </c>
      <c r="N194" s="25" t="str">
        <f>IFERROR(__xludf.DUMMYFUNCTION("""COMPUTED_VALUE"""),"Arcade")</f>
        <v>Arcade</v>
      </c>
      <c r="O194" s="26" t="str">
        <f>IFERROR(__xludf.DUMMYFUNCTION("""COMPUTED_VALUE"""),"Yes")</f>
        <v>Yes</v>
      </c>
      <c r="P194" s="26"/>
    </row>
    <row r="195">
      <c r="A195" s="13" t="str">
        <f>IFERROR(__xludf.DUMMYFUNCTION("""COMPUTED_VALUE"""),"SAMURAI WARRIORS 4")</f>
        <v>SAMURAI WARRIORS 4</v>
      </c>
      <c r="B195" s="15" t="str">
        <f>IFERROR(__xludf.DUMMYFUNCTION("""COMPUTED_VALUE"""),"PS5/PS4")</f>
        <v>PS5/PS4</v>
      </c>
      <c r="C195" s="16" t="str">
        <f>IFERROR(__xludf.DUMMYFUNCTION("""COMPUTED_VALUE"""),"Premium (Streaming Only)")</f>
        <v>Premium (Streaming Only)</v>
      </c>
      <c r="D195" s="15" t="str">
        <f>IFERROR(__xludf.DUMMYFUNCTION("""COMPUTED_VALUE"""),"Active")</f>
        <v>Active</v>
      </c>
      <c r="E195" s="17">
        <f>IFERROR(__xludf.DUMMYFUNCTION("""COMPUTED_VALUE"""),42773.0)</f>
        <v>42773</v>
      </c>
      <c r="F195" s="18"/>
      <c r="G195" s="19">
        <f>IFERROR(__xludf.DUMMYFUNCTION("""COMPUTED_VALUE"""),115.96666666666667)</f>
        <v>115.9666667</v>
      </c>
      <c r="H195" s="17">
        <f>IFERROR(__xludf.DUMMYFUNCTION("""COMPUTED_VALUE"""),41699.0)</f>
        <v>41699</v>
      </c>
      <c r="I195" s="19">
        <f>IFERROR(__xludf.DUMMYFUNCTION("""COMPUTED_VALUE"""),2.933333333333333)</f>
        <v>2.933333333</v>
      </c>
      <c r="J195" s="21">
        <f>IFERROR(__xludf.DUMMYFUNCTION("""COMPUTED_VALUE"""),76.0)</f>
        <v>76</v>
      </c>
      <c r="K195" s="23">
        <f>IFERROR(__xludf.DUMMYFUNCTION("""COMPUTED_VALUE"""),8.0)</f>
        <v>8</v>
      </c>
      <c r="L195" s="24">
        <f>IFERROR(__xludf.DUMMYFUNCTION("""COMPUTED_VALUE"""),25.0)</f>
        <v>25</v>
      </c>
      <c r="M195" s="25" t="str">
        <f>IFERROR(__xludf.DUMMYFUNCTION("""COMPUTED_VALUE"""),"Action-Adventure")</f>
        <v>Action-Adventure</v>
      </c>
      <c r="N195" s="25" t="str">
        <f>IFERROR(__xludf.DUMMYFUNCTION("""COMPUTED_VALUE"""),"PS3")</f>
        <v>PS3</v>
      </c>
      <c r="O195" s="26" t="str">
        <f>IFERROR(__xludf.DUMMYFUNCTION("""COMPUTED_VALUE"""),"Yes")</f>
        <v>Yes</v>
      </c>
      <c r="P195" s="26" t="str">
        <f>IFERROR(__xludf.DUMMYFUNCTION("""COMPUTED_VALUE"""),"")</f>
        <v/>
      </c>
    </row>
    <row r="196">
      <c r="A196" s="13" t="str">
        <f>IFERROR(__xludf.DUMMYFUNCTION("""COMPUTED_VALUE"""),"Burn Zombie Burn!")</f>
        <v>Burn Zombie Burn!</v>
      </c>
      <c r="B196" s="15" t="str">
        <f>IFERROR(__xludf.DUMMYFUNCTION("""COMPUTED_VALUE"""),"PS5/PS4")</f>
        <v>PS5/PS4</v>
      </c>
      <c r="C196" s="16" t="str">
        <f>IFERROR(__xludf.DUMMYFUNCTION("""COMPUTED_VALUE"""),"Premium (Streaming Only)")</f>
        <v>Premium (Streaming Only)</v>
      </c>
      <c r="D196" s="15" t="str">
        <f>IFERROR(__xludf.DUMMYFUNCTION("""COMPUTED_VALUE"""),"Active")</f>
        <v>Active</v>
      </c>
      <c r="E196" s="17">
        <f>IFERROR(__xludf.DUMMYFUNCTION("""COMPUTED_VALUE"""),42647.0)</f>
        <v>42647</v>
      </c>
      <c r="F196" s="71"/>
      <c r="G196" s="19">
        <f>IFERROR(__xludf.DUMMYFUNCTION("""COMPUTED_VALUE"""),120.06666666666668)</f>
        <v>120.0666667</v>
      </c>
      <c r="H196" s="17">
        <f>IFERROR(__xludf.DUMMYFUNCTION("""COMPUTED_VALUE"""),39873.0)</f>
        <v>39873</v>
      </c>
      <c r="I196" s="19">
        <f>IFERROR(__xludf.DUMMYFUNCTION("""COMPUTED_VALUE"""),7.591666666666667)</f>
        <v>7.591666667</v>
      </c>
      <c r="J196" s="21">
        <f>IFERROR(__xludf.DUMMYFUNCTION("""COMPUTED_VALUE"""),76.0)</f>
        <v>76</v>
      </c>
      <c r="K196" s="23">
        <f>IFERROR(__xludf.DUMMYFUNCTION("""COMPUTED_VALUE"""),7.6)</f>
        <v>7.6</v>
      </c>
      <c r="L196" s="24">
        <f>IFERROR(__xludf.DUMMYFUNCTION("""COMPUTED_VALUE"""),6.0)</f>
        <v>6</v>
      </c>
      <c r="M196" s="25" t="str">
        <f>IFERROR(__xludf.DUMMYFUNCTION("""COMPUTED_VALUE"""),"Shooter")</f>
        <v>Shooter</v>
      </c>
      <c r="N196" s="25" t="str">
        <f>IFERROR(__xludf.DUMMYFUNCTION("""COMPUTED_VALUE"""),"PS3")</f>
        <v>PS3</v>
      </c>
      <c r="O196" s="26" t="str">
        <f>IFERROR(__xludf.DUMMYFUNCTION("""COMPUTED_VALUE"""),"Yes")</f>
        <v>Yes</v>
      </c>
      <c r="P196" s="26" t="str">
        <f>IFERROR(__xludf.DUMMYFUNCTION("""COMPUTED_VALUE"""),"Yes")</f>
        <v>Yes</v>
      </c>
    </row>
    <row r="197">
      <c r="A197" s="13" t="str">
        <f>IFERROR(__xludf.DUMMYFUNCTION("""COMPUTED_VALUE"""),"LEGO Batman: The Videogame")</f>
        <v>LEGO Batman: The Videogame</v>
      </c>
      <c r="B197" s="15" t="str">
        <f>IFERROR(__xludf.DUMMYFUNCTION("""COMPUTED_VALUE"""),"PS5/PS4")</f>
        <v>PS5/PS4</v>
      </c>
      <c r="C197" s="16" t="str">
        <f>IFERROR(__xludf.DUMMYFUNCTION("""COMPUTED_VALUE"""),"Premium (Streaming Only)")</f>
        <v>Premium (Streaming Only)</v>
      </c>
      <c r="D197" s="15" t="str">
        <f>IFERROR(__xludf.DUMMYFUNCTION("""COMPUTED_VALUE"""),"Active")</f>
        <v>Active</v>
      </c>
      <c r="E197" s="17">
        <f>IFERROR(__xludf.DUMMYFUNCTION("""COMPUTED_VALUE"""),42493.0)</f>
        <v>42493</v>
      </c>
      <c r="F197" s="18"/>
      <c r="G197" s="19">
        <f>IFERROR(__xludf.DUMMYFUNCTION("""COMPUTED_VALUE"""),125.10000000000001)</f>
        <v>125.1</v>
      </c>
      <c r="H197" s="17">
        <f>IFERROR(__xludf.DUMMYFUNCTION("""COMPUTED_VALUE"""),39714.0)</f>
        <v>39714</v>
      </c>
      <c r="I197" s="19">
        <f>IFERROR(__xludf.DUMMYFUNCTION("""COMPUTED_VALUE"""),7.611111111111111)</f>
        <v>7.611111111</v>
      </c>
      <c r="J197" s="21">
        <f>IFERROR(__xludf.DUMMYFUNCTION("""COMPUTED_VALUE"""),76.0)</f>
        <v>76</v>
      </c>
      <c r="K197" s="23">
        <f>IFERROR(__xludf.DUMMYFUNCTION("""COMPUTED_VALUE"""),7.8)</f>
        <v>7.8</v>
      </c>
      <c r="L197" s="24">
        <f>IFERROR(__xludf.DUMMYFUNCTION("""COMPUTED_VALUE"""),10.0)</f>
        <v>10</v>
      </c>
      <c r="M197" s="25" t="str">
        <f>IFERROR(__xludf.DUMMYFUNCTION("""COMPUTED_VALUE"""),"Action-Adventure")</f>
        <v>Action-Adventure</v>
      </c>
      <c r="N197" s="25" t="str">
        <f>IFERROR(__xludf.DUMMYFUNCTION("""COMPUTED_VALUE"""),"PS3")</f>
        <v>PS3</v>
      </c>
      <c r="O197" s="26" t="str">
        <f>IFERROR(__xludf.DUMMYFUNCTION("""COMPUTED_VALUE"""),"Yes")</f>
        <v>Yes</v>
      </c>
      <c r="P197" s="26"/>
    </row>
    <row r="198">
      <c r="A198" s="13" t="str">
        <f>IFERROR(__xludf.DUMMYFUNCTION("""COMPUTED_VALUE"""),"Resident Evil 4")</f>
        <v>Resident Evil 4</v>
      </c>
      <c r="B198" s="15" t="str">
        <f>IFERROR(__xludf.DUMMYFUNCTION("""COMPUTED_VALUE"""),"PS5/PS4")</f>
        <v>PS5/PS4</v>
      </c>
      <c r="C198" s="16" t="str">
        <f>IFERROR(__xludf.DUMMYFUNCTION("""COMPUTED_VALUE"""),"Premium (Streaming Only)")</f>
        <v>Premium (Streaming Only)</v>
      </c>
      <c r="D198" s="15" t="str">
        <f>IFERROR(__xludf.DUMMYFUNCTION("""COMPUTED_VALUE"""),"Active")</f>
        <v>Active</v>
      </c>
      <c r="E198" s="17">
        <f>IFERROR(__xludf.DUMMYFUNCTION("""COMPUTED_VALUE"""),42472.0)</f>
        <v>42472</v>
      </c>
      <c r="F198" s="54"/>
      <c r="G198" s="19">
        <f>IFERROR(__xludf.DUMMYFUNCTION("""COMPUTED_VALUE"""),125.79999999999998)</f>
        <v>125.8</v>
      </c>
      <c r="H198" s="17">
        <f>IFERROR(__xludf.DUMMYFUNCTION("""COMPUTED_VALUE"""),38363.0)</f>
        <v>38363</v>
      </c>
      <c r="I198" s="19">
        <f>IFERROR(__xludf.DUMMYFUNCTION("""COMPUTED_VALUE"""),11.252777777777778)</f>
        <v>11.25277778</v>
      </c>
      <c r="J198" s="21">
        <f>IFERROR(__xludf.DUMMYFUNCTION("""COMPUTED_VALUE"""),76.0)</f>
        <v>76</v>
      </c>
      <c r="K198" s="23">
        <f>IFERROR(__xludf.DUMMYFUNCTION("""COMPUTED_VALUE"""),9.0)</f>
        <v>9</v>
      </c>
      <c r="L198" s="24">
        <f>IFERROR(__xludf.DUMMYFUNCTION("""COMPUTED_VALUE"""),16.0)</f>
        <v>16</v>
      </c>
      <c r="M198" s="25" t="str">
        <f>IFERROR(__xludf.DUMMYFUNCTION("""COMPUTED_VALUE"""),"Shooter")</f>
        <v>Shooter</v>
      </c>
      <c r="N198" s="25" t="str">
        <f>IFERROR(__xludf.DUMMYFUNCTION("""COMPUTED_VALUE"""),"PS3")</f>
        <v>PS3</v>
      </c>
      <c r="O198" s="26" t="str">
        <f>IFERROR(__xludf.DUMMYFUNCTION("""COMPUTED_VALUE"""),"Yes")</f>
        <v>Yes</v>
      </c>
      <c r="P198" s="26"/>
    </row>
    <row r="199">
      <c r="A199" s="13" t="str">
        <f>IFERROR(__xludf.DUMMYFUNCTION("""COMPUTED_VALUE"""),"Ratchet and Clank: Quest for Booty")</f>
        <v>Ratchet and Clank: Quest for Booty</v>
      </c>
      <c r="B199" s="15" t="str">
        <f>IFERROR(__xludf.DUMMYFUNCTION("""COMPUTED_VALUE"""),"PS5/PS4")</f>
        <v>PS5/PS4</v>
      </c>
      <c r="C199" s="16" t="str">
        <f>IFERROR(__xludf.DUMMYFUNCTION("""COMPUTED_VALUE"""),"Premium (Streaming Only)")</f>
        <v>Premium (Streaming Only)</v>
      </c>
      <c r="D199" s="15" t="str">
        <f>IFERROR(__xludf.DUMMYFUNCTION("""COMPUTED_VALUE"""),"Active")</f>
        <v>Active</v>
      </c>
      <c r="E199" s="17">
        <f>IFERROR(__xludf.DUMMYFUNCTION("""COMPUTED_VALUE"""),42374.0)</f>
        <v>42374</v>
      </c>
      <c r="F199" s="54"/>
      <c r="G199" s="19">
        <f>IFERROR(__xludf.DUMMYFUNCTION("""COMPUTED_VALUE"""),129.03333333333333)</f>
        <v>129.0333333</v>
      </c>
      <c r="H199" s="17">
        <f>IFERROR(__xludf.DUMMYFUNCTION("""COMPUTED_VALUE"""),39661.0)</f>
        <v>39661</v>
      </c>
      <c r="I199" s="19">
        <f>IFERROR(__xludf.DUMMYFUNCTION("""COMPUTED_VALUE"""),7.427777777777778)</f>
        <v>7.427777778</v>
      </c>
      <c r="J199" s="21">
        <f>IFERROR(__xludf.DUMMYFUNCTION("""COMPUTED_VALUE"""),76.0)</f>
        <v>76</v>
      </c>
      <c r="K199" s="23">
        <f>IFERROR(__xludf.DUMMYFUNCTION("""COMPUTED_VALUE"""),7.5)</f>
        <v>7.5</v>
      </c>
      <c r="L199" s="24">
        <f>IFERROR(__xludf.DUMMYFUNCTION("""COMPUTED_VALUE"""),3.0)</f>
        <v>3</v>
      </c>
      <c r="M199" s="25" t="str">
        <f>IFERROR(__xludf.DUMMYFUNCTION("""COMPUTED_VALUE"""),"Action-Adventure")</f>
        <v>Action-Adventure</v>
      </c>
      <c r="N199" s="25" t="str">
        <f>IFERROR(__xludf.DUMMYFUNCTION("""COMPUTED_VALUE"""),"PS3")</f>
        <v>PS3</v>
      </c>
      <c r="O199" s="26" t="str">
        <f>IFERROR(__xludf.DUMMYFUNCTION("""COMPUTED_VALUE"""),"Yes")</f>
        <v>Yes</v>
      </c>
      <c r="P199" s="26" t="str">
        <f>IFERROR(__xludf.DUMMYFUNCTION("""COMPUTED_VALUE"""),"")</f>
        <v/>
      </c>
    </row>
    <row r="200">
      <c r="A200" s="13" t="str">
        <f>IFERROR(__xludf.DUMMYFUNCTION("""COMPUTED_VALUE"""),"Sam &amp; Max The Devil's Playhouse: Episode 4 - Beyond Alley of Dolls")</f>
        <v>Sam &amp; Max The Devil's Playhouse: Episode 4 - Beyond Alley of Dolls</v>
      </c>
      <c r="B200" s="15" t="str">
        <f>IFERROR(__xludf.DUMMYFUNCTION("""COMPUTED_VALUE"""),"PS5/PS4")</f>
        <v>PS5/PS4</v>
      </c>
      <c r="C200" s="16" t="str">
        <f>IFERROR(__xludf.DUMMYFUNCTION("""COMPUTED_VALUE"""),"Premium (Streaming Only)")</f>
        <v>Premium (Streaming Only)</v>
      </c>
      <c r="D200" s="15" t="str">
        <f>IFERROR(__xludf.DUMMYFUNCTION("""COMPUTED_VALUE"""),"Active")</f>
        <v>Active</v>
      </c>
      <c r="E200" s="17">
        <f>IFERROR(__xludf.DUMMYFUNCTION("""COMPUTED_VALUE"""),42311.0)</f>
        <v>42311</v>
      </c>
      <c r="F200" s="54"/>
      <c r="G200" s="19">
        <f>IFERROR(__xludf.DUMMYFUNCTION("""COMPUTED_VALUE"""),131.10000000000002)</f>
        <v>131.1</v>
      </c>
      <c r="H200" s="17">
        <f>IFERROR(__xludf.DUMMYFUNCTION("""COMPUTED_VALUE"""),40391.0)</f>
        <v>40391</v>
      </c>
      <c r="I200" s="19">
        <f>IFERROR(__xludf.DUMMYFUNCTION("""COMPUTED_VALUE"""),5.2555555555555555)</f>
        <v>5.255555556</v>
      </c>
      <c r="J200" s="21">
        <f>IFERROR(__xludf.DUMMYFUNCTION("""COMPUTED_VALUE"""),76.0)</f>
        <v>76</v>
      </c>
      <c r="K200" s="23">
        <f>IFERROR(__xludf.DUMMYFUNCTION("""COMPUTED_VALUE"""),7.6)</f>
        <v>7.6</v>
      </c>
      <c r="L200" s="24">
        <f>IFERROR(__xludf.DUMMYFUNCTION("""COMPUTED_VALUE"""),3.0)</f>
        <v>3</v>
      </c>
      <c r="M200" s="25" t="str">
        <f>IFERROR(__xludf.DUMMYFUNCTION("""COMPUTED_VALUE"""),"Adventure")</f>
        <v>Adventure</v>
      </c>
      <c r="N200" s="25" t="str">
        <f>IFERROR(__xludf.DUMMYFUNCTION("""COMPUTED_VALUE"""),"PS3")</f>
        <v>PS3</v>
      </c>
      <c r="O200" s="26" t="str">
        <f>IFERROR(__xludf.DUMMYFUNCTION("""COMPUTED_VALUE"""),"Yes")</f>
        <v>Yes</v>
      </c>
      <c r="P200" s="26" t="str">
        <f>IFERROR(__xludf.DUMMYFUNCTION("""COMPUTED_VALUE"""),"")</f>
        <v/>
      </c>
    </row>
    <row r="201">
      <c r="A201" s="13" t="str">
        <f>IFERROR(__xludf.DUMMYFUNCTION("""COMPUTED_VALUE"""),"STRONG BAD'S COOL GAME FOR ATTRACTIVE PEOPLE - EPISODE 1: HOMESTAR RUINER")</f>
        <v>STRONG BAD'S COOL GAME FOR ATTRACTIVE PEOPLE - EPISODE 1: HOMESTAR RUINER</v>
      </c>
      <c r="B201" s="15" t="str">
        <f>IFERROR(__xludf.DUMMYFUNCTION("""COMPUTED_VALUE"""),"PS5/PS4")</f>
        <v>PS5/PS4</v>
      </c>
      <c r="C201" s="16" t="str">
        <f>IFERROR(__xludf.DUMMYFUNCTION("""COMPUTED_VALUE"""),"Premium (Streaming Only)")</f>
        <v>Premium (Streaming Only)</v>
      </c>
      <c r="D201" s="15" t="str">
        <f>IFERROR(__xludf.DUMMYFUNCTION("""COMPUTED_VALUE"""),"Active")</f>
        <v>Active</v>
      </c>
      <c r="E201" s="17">
        <f>IFERROR(__xludf.DUMMYFUNCTION("""COMPUTED_VALUE"""),42311.0)</f>
        <v>42311</v>
      </c>
      <c r="F201" s="54"/>
      <c r="G201" s="19">
        <f>IFERROR(__xludf.DUMMYFUNCTION("""COMPUTED_VALUE"""),131.10000000000002)</f>
        <v>131.1</v>
      </c>
      <c r="H201" s="17">
        <f>IFERROR(__xludf.DUMMYFUNCTION("""COMPUTED_VALUE"""),39539.0)</f>
        <v>39539</v>
      </c>
      <c r="I201" s="19">
        <f>IFERROR(__xludf.DUMMYFUNCTION("""COMPUTED_VALUE"""),7.588888888888889)</f>
        <v>7.588888889</v>
      </c>
      <c r="J201" s="21">
        <f>IFERROR(__xludf.DUMMYFUNCTION("""COMPUTED_VALUE"""),76.0)</f>
        <v>76</v>
      </c>
      <c r="K201" s="23">
        <f>IFERROR(__xludf.DUMMYFUNCTION("""COMPUTED_VALUE"""),7.9)</f>
        <v>7.9</v>
      </c>
      <c r="L201" s="24">
        <f>IFERROR(__xludf.DUMMYFUNCTION("""COMPUTED_VALUE"""),2.0)</f>
        <v>2</v>
      </c>
      <c r="M201" s="25" t="str">
        <f>IFERROR(__xludf.DUMMYFUNCTION("""COMPUTED_VALUE"""),"Adventure")</f>
        <v>Adventure</v>
      </c>
      <c r="N201" s="25" t="str">
        <f>IFERROR(__xludf.DUMMYFUNCTION("""COMPUTED_VALUE"""),"PS3")</f>
        <v>PS3</v>
      </c>
      <c r="O201" s="26" t="str">
        <f>IFERROR(__xludf.DUMMYFUNCTION("""COMPUTED_VALUE"""),"Yes")</f>
        <v>Yes</v>
      </c>
      <c r="P201" s="26" t="str">
        <f>IFERROR(__xludf.DUMMYFUNCTION("""COMPUTED_VALUE"""),"")</f>
        <v/>
      </c>
    </row>
    <row r="202">
      <c r="A202" s="13" t="str">
        <f>IFERROR(__xludf.DUMMYFUNCTION("""COMPUTED_VALUE"""),"Atelier Shallie ~Alchemists of the Dusk Sea~")</f>
        <v>Atelier Shallie ~Alchemists of the Dusk Sea~</v>
      </c>
      <c r="B202" s="15" t="str">
        <f>IFERROR(__xludf.DUMMYFUNCTION("""COMPUTED_VALUE"""),"PS5/PS4")</f>
        <v>PS5/PS4</v>
      </c>
      <c r="C202" s="16" t="str">
        <f>IFERROR(__xludf.DUMMYFUNCTION("""COMPUTED_VALUE"""),"Premium (Streaming Only)")</f>
        <v>Premium (Streaming Only)</v>
      </c>
      <c r="D202" s="15" t="str">
        <f>IFERROR(__xludf.DUMMYFUNCTION("""COMPUTED_VALUE"""),"Active")</f>
        <v>Active</v>
      </c>
      <c r="E202" s="17">
        <f>IFERROR(__xludf.DUMMYFUNCTION("""COMPUTED_VALUE"""),42017.0)</f>
        <v>42017</v>
      </c>
      <c r="F202" s="54"/>
      <c r="G202" s="19">
        <f>IFERROR(__xludf.DUMMYFUNCTION("""COMPUTED_VALUE"""),140.76666666666668)</f>
        <v>140.7666667</v>
      </c>
      <c r="H202" s="17">
        <f>IFERROR(__xludf.DUMMYFUNCTION("""COMPUTED_VALUE"""),41821.0)</f>
        <v>41821</v>
      </c>
      <c r="I202" s="19">
        <f>IFERROR(__xludf.DUMMYFUNCTION("""COMPUTED_VALUE"""),0.5333333333333333)</f>
        <v>0.5333333333</v>
      </c>
      <c r="J202" s="21">
        <f>IFERROR(__xludf.DUMMYFUNCTION("""COMPUTED_VALUE"""),76.0)</f>
        <v>76</v>
      </c>
      <c r="K202" s="23">
        <f>IFERROR(__xludf.DUMMYFUNCTION("""COMPUTED_VALUE"""),7.8)</f>
        <v>7.8</v>
      </c>
      <c r="L202" s="24">
        <f>IFERROR(__xludf.DUMMYFUNCTION("""COMPUTED_VALUE"""),45.0)</f>
        <v>45</v>
      </c>
      <c r="M202" s="25" t="str">
        <f>IFERROR(__xludf.DUMMYFUNCTION("""COMPUTED_VALUE"""),"RPG")</f>
        <v>RPG</v>
      </c>
      <c r="N202" s="25" t="str">
        <f>IFERROR(__xludf.DUMMYFUNCTION("""COMPUTED_VALUE"""),"PS3")</f>
        <v>PS3</v>
      </c>
      <c r="O202" s="26" t="str">
        <f>IFERROR(__xludf.DUMMYFUNCTION("""COMPUTED_VALUE"""),"Yes")</f>
        <v>Yes</v>
      </c>
      <c r="P202" s="26" t="str">
        <f>IFERROR(__xludf.DUMMYFUNCTION("""COMPUTED_VALUE"""),"")</f>
        <v/>
      </c>
    </row>
    <row r="203">
      <c r="A203" s="13" t="str">
        <f>IFERROR(__xludf.DUMMYFUNCTION("""COMPUTED_VALUE"""),"Batman: Arkham Origins")</f>
        <v>Batman: Arkham Origins</v>
      </c>
      <c r="B203" s="15" t="str">
        <f>IFERROR(__xludf.DUMMYFUNCTION("""COMPUTED_VALUE"""),"PS5/PS4")</f>
        <v>PS5/PS4</v>
      </c>
      <c r="C203" s="16" t="str">
        <f>IFERROR(__xludf.DUMMYFUNCTION("""COMPUTED_VALUE"""),"Premium (Streaming Only)")</f>
        <v>Premium (Streaming Only)</v>
      </c>
      <c r="D203" s="15" t="str">
        <f>IFERROR(__xludf.DUMMYFUNCTION("""COMPUTED_VALUE"""),"Active")</f>
        <v>Active</v>
      </c>
      <c r="E203" s="17">
        <f>IFERROR(__xludf.DUMMYFUNCTION("""COMPUTED_VALUE"""),42017.0)</f>
        <v>42017</v>
      </c>
      <c r="F203" s="54"/>
      <c r="G203" s="19">
        <f>IFERROR(__xludf.DUMMYFUNCTION("""COMPUTED_VALUE"""),140.76666666666668)</f>
        <v>140.7666667</v>
      </c>
      <c r="H203" s="17">
        <f>IFERROR(__xludf.DUMMYFUNCTION("""COMPUTED_VALUE"""),41548.0)</f>
        <v>41548</v>
      </c>
      <c r="I203" s="19">
        <f>IFERROR(__xludf.DUMMYFUNCTION("""COMPUTED_VALUE"""),1.2833333333333334)</f>
        <v>1.283333333</v>
      </c>
      <c r="J203" s="21">
        <f>IFERROR(__xludf.DUMMYFUNCTION("""COMPUTED_VALUE"""),76.0)</f>
        <v>76</v>
      </c>
      <c r="K203" s="23">
        <f>IFERROR(__xludf.DUMMYFUNCTION("""COMPUTED_VALUE"""),7.4)</f>
        <v>7.4</v>
      </c>
      <c r="L203" s="24">
        <f>IFERROR(__xludf.DUMMYFUNCTION("""COMPUTED_VALUE"""),12.0)</f>
        <v>12</v>
      </c>
      <c r="M203" s="25" t="str">
        <f>IFERROR(__xludf.DUMMYFUNCTION("""COMPUTED_VALUE"""),"Action-Adventure")</f>
        <v>Action-Adventure</v>
      </c>
      <c r="N203" s="25" t="str">
        <f>IFERROR(__xludf.DUMMYFUNCTION("""COMPUTED_VALUE"""),"PS3")</f>
        <v>PS3</v>
      </c>
      <c r="O203" s="26" t="str">
        <f>IFERROR(__xludf.DUMMYFUNCTION("""COMPUTED_VALUE"""),"Yes")</f>
        <v>Yes</v>
      </c>
      <c r="P203" s="26" t="str">
        <f>IFERROR(__xludf.DUMMYFUNCTION("""COMPUTED_VALUE"""),"")</f>
        <v/>
      </c>
    </row>
    <row r="204">
      <c r="A204" s="13" t="str">
        <f>IFERROR(__xludf.DUMMYFUNCTION("""COMPUTED_VALUE"""),"METAL SLUG 3")</f>
        <v>METAL SLUG 3</v>
      </c>
      <c r="B204" s="15" t="str">
        <f>IFERROR(__xludf.DUMMYFUNCTION("""COMPUTED_VALUE"""),"PS5/PS4")</f>
        <v>PS5/PS4</v>
      </c>
      <c r="C204" s="16" t="str">
        <f>IFERROR(__xludf.DUMMYFUNCTION("""COMPUTED_VALUE"""),"Premium (Streaming Only)")</f>
        <v>Premium (Streaming Only)</v>
      </c>
      <c r="D204" s="15" t="str">
        <f>IFERROR(__xludf.DUMMYFUNCTION("""COMPUTED_VALUE"""),"Active")</f>
        <v>Active</v>
      </c>
      <c r="E204" s="17">
        <f>IFERROR(__xludf.DUMMYFUNCTION("""COMPUTED_VALUE"""),42017.0)</f>
        <v>42017</v>
      </c>
      <c r="F204" s="54"/>
      <c r="G204" s="19">
        <f>IFERROR(__xludf.DUMMYFUNCTION("""COMPUTED_VALUE"""),140.76666666666668)</f>
        <v>140.7666667</v>
      </c>
      <c r="H204" s="17">
        <f>IFERROR(__xludf.DUMMYFUNCTION("""COMPUTED_VALUE"""),36678.0)</f>
        <v>36678</v>
      </c>
      <c r="I204" s="19">
        <f>IFERROR(__xludf.DUMMYFUNCTION("""COMPUTED_VALUE"""),14.616666666666667)</f>
        <v>14.61666667</v>
      </c>
      <c r="J204" s="21">
        <f>IFERROR(__xludf.DUMMYFUNCTION("""COMPUTED_VALUE"""),76.0)</f>
        <v>76</v>
      </c>
      <c r="K204" s="23">
        <f>IFERROR(__xludf.DUMMYFUNCTION("""COMPUTED_VALUE"""),8.0)</f>
        <v>8</v>
      </c>
      <c r="L204" s="24">
        <f>IFERROR(__xludf.DUMMYFUNCTION("""COMPUTED_VALUE"""),1.5)</f>
        <v>1.5</v>
      </c>
      <c r="M204" s="25" t="str">
        <f>IFERROR(__xludf.DUMMYFUNCTION("""COMPUTED_VALUE"""),"Platformer")</f>
        <v>Platformer</v>
      </c>
      <c r="N204" s="25" t="str">
        <f>IFERROR(__xludf.DUMMYFUNCTION("""COMPUTED_VALUE"""),"PS3")</f>
        <v>PS3</v>
      </c>
      <c r="O204" s="26" t="str">
        <f>IFERROR(__xludf.DUMMYFUNCTION("""COMPUTED_VALUE"""),"Yes")</f>
        <v>Yes</v>
      </c>
      <c r="P204" s="26"/>
    </row>
    <row r="205">
      <c r="A205" s="13" t="str">
        <f>IFERROR(__xludf.DUMMYFUNCTION("""COMPUTED_VALUE"""),"SkyDrift")</f>
        <v>SkyDrift</v>
      </c>
      <c r="B205" s="15" t="str">
        <f>IFERROR(__xludf.DUMMYFUNCTION("""COMPUTED_VALUE"""),"PS5/PS4")</f>
        <v>PS5/PS4</v>
      </c>
      <c r="C205" s="16" t="str">
        <f>IFERROR(__xludf.DUMMYFUNCTION("""COMPUTED_VALUE"""),"Premium (Streaming Only)")</f>
        <v>Premium (Streaming Only)</v>
      </c>
      <c r="D205" s="15" t="str">
        <f>IFERROR(__xludf.DUMMYFUNCTION("""COMPUTED_VALUE"""),"Active")</f>
        <v>Active</v>
      </c>
      <c r="E205" s="17">
        <f>IFERROR(__xludf.DUMMYFUNCTION("""COMPUTED_VALUE"""),42017.0)</f>
        <v>42017</v>
      </c>
      <c r="F205" s="54"/>
      <c r="G205" s="19">
        <f>IFERROR(__xludf.DUMMYFUNCTION("""COMPUTED_VALUE"""),140.76666666666668)</f>
        <v>140.7666667</v>
      </c>
      <c r="H205" s="17">
        <f>IFERROR(__xludf.DUMMYFUNCTION("""COMPUTED_VALUE"""),40787.0)</f>
        <v>40787</v>
      </c>
      <c r="I205" s="19">
        <f>IFERROR(__xludf.DUMMYFUNCTION("""COMPUTED_VALUE"""),3.3666666666666667)</f>
        <v>3.366666667</v>
      </c>
      <c r="J205" s="21">
        <f>IFERROR(__xludf.DUMMYFUNCTION("""COMPUTED_VALUE"""),76.0)</f>
        <v>76</v>
      </c>
      <c r="K205" s="23">
        <f>IFERROR(__xludf.DUMMYFUNCTION("""COMPUTED_VALUE"""),7.0)</f>
        <v>7</v>
      </c>
      <c r="L205" s="24">
        <f>IFERROR(__xludf.DUMMYFUNCTION("""COMPUTED_VALUE"""),5.0)</f>
        <v>5</v>
      </c>
      <c r="M205" s="25" t="str">
        <f>IFERROR(__xludf.DUMMYFUNCTION("""COMPUTED_VALUE"""),"Racing")</f>
        <v>Racing</v>
      </c>
      <c r="N205" s="25" t="str">
        <f>IFERROR(__xludf.DUMMYFUNCTION("""COMPUTED_VALUE"""),"PS3")</f>
        <v>PS3</v>
      </c>
      <c r="O205" s="26" t="str">
        <f>IFERROR(__xludf.DUMMYFUNCTION("""COMPUTED_VALUE"""),"Yes")</f>
        <v>Yes</v>
      </c>
      <c r="P205" s="26" t="str">
        <f>IFERROR(__xludf.DUMMYFUNCTION("""COMPUTED_VALUE"""),"")</f>
        <v/>
      </c>
    </row>
    <row r="206">
      <c r="A206" s="13" t="str">
        <f>IFERROR(__xludf.DUMMYFUNCTION("""COMPUTED_VALUE"""),"Tales from Space: About a Blob")</f>
        <v>Tales from Space: About a Blob</v>
      </c>
      <c r="B206" s="15" t="str">
        <f>IFERROR(__xludf.DUMMYFUNCTION("""COMPUTED_VALUE"""),"PS5/PS4")</f>
        <v>PS5/PS4</v>
      </c>
      <c r="C206" s="16" t="str">
        <f>IFERROR(__xludf.DUMMYFUNCTION("""COMPUTED_VALUE"""),"Premium (Streaming Only)")</f>
        <v>Premium (Streaming Only)</v>
      </c>
      <c r="D206" s="15" t="str">
        <f>IFERROR(__xludf.DUMMYFUNCTION("""COMPUTED_VALUE"""),"Active")</f>
        <v>Active</v>
      </c>
      <c r="E206" s="17">
        <f>IFERROR(__xludf.DUMMYFUNCTION("""COMPUTED_VALUE"""),42017.0)</f>
        <v>42017</v>
      </c>
      <c r="F206" s="54"/>
      <c r="G206" s="19">
        <f>IFERROR(__xludf.DUMMYFUNCTION("""COMPUTED_VALUE"""),140.76666666666668)</f>
        <v>140.7666667</v>
      </c>
      <c r="H206" s="17">
        <f>IFERROR(__xludf.DUMMYFUNCTION("""COMPUTED_VALUE"""),40575.0)</f>
        <v>40575</v>
      </c>
      <c r="I206" s="19">
        <f>IFERROR(__xludf.DUMMYFUNCTION("""COMPUTED_VALUE"""),3.95)</f>
        <v>3.95</v>
      </c>
      <c r="J206" s="21">
        <f>IFERROR(__xludf.DUMMYFUNCTION("""COMPUTED_VALUE"""),76.0)</f>
        <v>76</v>
      </c>
      <c r="K206" s="23">
        <f>IFERROR(__xludf.DUMMYFUNCTION("""COMPUTED_VALUE"""),7.5)</f>
        <v>7.5</v>
      </c>
      <c r="L206" s="24">
        <f>IFERROR(__xludf.DUMMYFUNCTION("""COMPUTED_VALUE"""),4.0)</f>
        <v>4</v>
      </c>
      <c r="M206" s="25" t="str">
        <f>IFERROR(__xludf.DUMMYFUNCTION("""COMPUTED_VALUE"""),"Platformer")</f>
        <v>Platformer</v>
      </c>
      <c r="N206" s="25" t="str">
        <f>IFERROR(__xludf.DUMMYFUNCTION("""COMPUTED_VALUE"""),"PS3")</f>
        <v>PS3</v>
      </c>
      <c r="O206" s="26" t="str">
        <f>IFERROR(__xludf.DUMMYFUNCTION("""COMPUTED_VALUE"""),"Yes")</f>
        <v>Yes</v>
      </c>
      <c r="P206" s="26" t="str">
        <f>IFERROR(__xludf.DUMMYFUNCTION("""COMPUTED_VALUE"""),"")</f>
        <v/>
      </c>
    </row>
    <row r="207">
      <c r="A207" s="13" t="str">
        <f>IFERROR(__xludf.DUMMYFUNCTION("""COMPUTED_VALUE"""),"Ratchet and Clank: Into the Nexus")</f>
        <v>Ratchet and Clank: Into the Nexus</v>
      </c>
      <c r="B207" s="15" t="str">
        <f>IFERROR(__xludf.DUMMYFUNCTION("""COMPUTED_VALUE"""),"PS5/PS4")</f>
        <v>PS5/PS4</v>
      </c>
      <c r="C207" s="16" t="str">
        <f>IFERROR(__xludf.DUMMYFUNCTION("""COMPUTED_VALUE"""),"Premium (Streaming Only)")</f>
        <v>Premium (Streaming Only)</v>
      </c>
      <c r="D207" s="15" t="str">
        <f>IFERROR(__xludf.DUMMYFUNCTION("""COMPUTED_VALUE"""),"Active")</f>
        <v>Active</v>
      </c>
      <c r="E207" s="17">
        <f>IFERROR(__xludf.DUMMYFUNCTION("""COMPUTED_VALUE"""),41926.0)</f>
        <v>41926</v>
      </c>
      <c r="F207" s="54"/>
      <c r="G207" s="19">
        <f>IFERROR(__xludf.DUMMYFUNCTION("""COMPUTED_VALUE"""),143.73333333333335)</f>
        <v>143.7333333</v>
      </c>
      <c r="H207" s="17">
        <f>IFERROR(__xludf.DUMMYFUNCTION("""COMPUTED_VALUE"""),40817.0)</f>
        <v>40817</v>
      </c>
      <c r="I207" s="19">
        <f>IFERROR(__xludf.DUMMYFUNCTION("""COMPUTED_VALUE"""),3.036111111111111)</f>
        <v>3.036111111</v>
      </c>
      <c r="J207" s="21">
        <f>IFERROR(__xludf.DUMMYFUNCTION("""COMPUTED_VALUE"""),76.0)</f>
        <v>76</v>
      </c>
      <c r="K207" s="23">
        <f>IFERROR(__xludf.DUMMYFUNCTION("""COMPUTED_VALUE"""),7.8)</f>
        <v>7.8</v>
      </c>
      <c r="L207" s="24">
        <f>IFERROR(__xludf.DUMMYFUNCTION("""COMPUTED_VALUE"""),4.0)</f>
        <v>4</v>
      </c>
      <c r="M207" s="25" t="str">
        <f>IFERROR(__xludf.DUMMYFUNCTION("""COMPUTED_VALUE"""),"Action-Adventure")</f>
        <v>Action-Adventure</v>
      </c>
      <c r="N207" s="25" t="str">
        <f>IFERROR(__xludf.DUMMYFUNCTION("""COMPUTED_VALUE"""),"PS3")</f>
        <v>PS3</v>
      </c>
      <c r="O207" s="26" t="str">
        <f>IFERROR(__xludf.DUMMYFUNCTION("""COMPUTED_VALUE"""),"Yes")</f>
        <v>Yes</v>
      </c>
      <c r="P207" s="26" t="str">
        <f>IFERROR(__xludf.DUMMYFUNCTION("""COMPUTED_VALUE"""),"")</f>
        <v/>
      </c>
    </row>
    <row r="208">
      <c r="A208" s="13" t="str">
        <f>IFERROR(__xludf.DUMMYFUNCTION("""COMPUTED_VALUE"""),"Legacy of Kain: Defiance")</f>
        <v>Legacy of Kain: Defiance</v>
      </c>
      <c r="B208" s="15" t="str">
        <f>IFERROR(__xludf.DUMMYFUNCTION("""COMPUTED_VALUE"""),"PS5/PS4")</f>
        <v>PS5/PS4</v>
      </c>
      <c r="C208" s="16" t="str">
        <f>IFERROR(__xludf.DUMMYFUNCTION("""COMPUTED_VALUE"""),"Premium (Classics)")</f>
        <v>Premium (Classics)</v>
      </c>
      <c r="D208" s="15" t="str">
        <f>IFERROR(__xludf.DUMMYFUNCTION("""COMPUTED_VALUE"""),"Active")</f>
        <v>Active</v>
      </c>
      <c r="E208" s="17">
        <f>IFERROR(__xludf.DUMMYFUNCTION("""COMPUTED_VALUE"""),45916.0)</f>
        <v>45916</v>
      </c>
      <c r="F208" s="54"/>
      <c r="G208" s="19">
        <f>IFERROR(__xludf.DUMMYFUNCTION("""COMPUTED_VALUE"""),12.666666666666668)</f>
        <v>12.66666667</v>
      </c>
      <c r="H208" s="17">
        <f>IFERROR(__xludf.DUMMYFUNCTION("""COMPUTED_VALUE"""),37936.0)</f>
        <v>37936</v>
      </c>
      <c r="I208" s="19">
        <f>IFERROR(__xludf.DUMMYFUNCTION("""COMPUTED_VALUE"""),21.84722222222222)</f>
        <v>21.84722222</v>
      </c>
      <c r="J208" s="21">
        <f>IFERROR(__xludf.DUMMYFUNCTION("""COMPUTED_VALUE"""),75.0)</f>
        <v>75</v>
      </c>
      <c r="K208" s="23">
        <f>IFERROR(__xludf.DUMMYFUNCTION("""COMPUTED_VALUE"""),8.7)</f>
        <v>8.7</v>
      </c>
      <c r="L208" s="24">
        <f>IFERROR(__xludf.DUMMYFUNCTION("""COMPUTED_VALUE"""),12.0)</f>
        <v>12</v>
      </c>
      <c r="M208" s="25" t="str">
        <f>IFERROR(__xludf.DUMMYFUNCTION("""COMPUTED_VALUE"""),"Survival")</f>
        <v>Survival</v>
      </c>
      <c r="N208" s="25" t="str">
        <f>IFERROR(__xludf.DUMMYFUNCTION("""COMPUTED_VALUE"""),"PS2")</f>
        <v>PS2</v>
      </c>
      <c r="O208" s="26"/>
      <c r="P208" s="26"/>
    </row>
    <row r="209">
      <c r="A209" s="13" t="str">
        <f>IFERROR(__xludf.DUMMYFUNCTION("""COMPUTED_VALUE"""),"Myst")</f>
        <v>Myst</v>
      </c>
      <c r="B209" s="15" t="str">
        <f>IFERROR(__xludf.DUMMYFUNCTION("""COMPUTED_VALUE"""),"PS5/PS4")</f>
        <v>PS5/PS4</v>
      </c>
      <c r="C209" s="16" t="str">
        <f>IFERROR(__xludf.DUMMYFUNCTION("""COMPUTED_VALUE"""),"Premium (Classics)")</f>
        <v>Premium (Classics)</v>
      </c>
      <c r="D209" s="15" t="str">
        <f>IFERROR(__xludf.DUMMYFUNCTION("""COMPUTED_VALUE"""),"Active")</f>
        <v>Active</v>
      </c>
      <c r="E209" s="17">
        <f>IFERROR(__xludf.DUMMYFUNCTION("""COMPUTED_VALUE"""),45813.0)</f>
        <v>45813</v>
      </c>
      <c r="F209" s="54"/>
      <c r="G209" s="19">
        <f>IFERROR(__xludf.DUMMYFUNCTION("""COMPUTED_VALUE"""),16.03333333333333)</f>
        <v>16.03333333</v>
      </c>
      <c r="H209" s="17">
        <f>IFERROR(__xludf.DUMMYFUNCTION("""COMPUTED_VALUE"""),34236.0)</f>
        <v>34236</v>
      </c>
      <c r="I209" s="19">
        <f>IFERROR(__xludf.DUMMYFUNCTION("""COMPUTED_VALUE"""),31.697222222222223)</f>
        <v>31.69722222</v>
      </c>
      <c r="J209" s="21">
        <f>IFERROR(__xludf.DUMMYFUNCTION("""COMPUTED_VALUE"""),75.0)</f>
        <v>75</v>
      </c>
      <c r="K209" s="23">
        <f>IFERROR(__xludf.DUMMYFUNCTION("""COMPUTED_VALUE"""),8.6)</f>
        <v>8.6</v>
      </c>
      <c r="L209" s="24">
        <f>IFERROR(__xludf.DUMMYFUNCTION("""COMPUTED_VALUE"""),6.0)</f>
        <v>6</v>
      </c>
      <c r="M209" s="25" t="str">
        <f>IFERROR(__xludf.DUMMYFUNCTION("""COMPUTED_VALUE"""),"Point-and-Click")</f>
        <v>Point-and-Click</v>
      </c>
      <c r="N209" s="25" t="str">
        <f>IFERROR(__xludf.DUMMYFUNCTION("""COMPUTED_VALUE"""),"PS1")</f>
        <v>PS1</v>
      </c>
      <c r="O209" s="26"/>
      <c r="P209" s="26"/>
    </row>
    <row r="210">
      <c r="A210" s="13" t="str">
        <f>IFERROR(__xludf.DUMMYFUNCTION("""COMPUTED_VALUE"""),"Armored Core: Master of Arena")</f>
        <v>Armored Core: Master of Arena</v>
      </c>
      <c r="B210" s="15" t="str">
        <f>IFERROR(__xludf.DUMMYFUNCTION("""COMPUTED_VALUE"""),"PS5/PS4")</f>
        <v>PS5/PS4</v>
      </c>
      <c r="C210" s="16" t="str">
        <f>IFERROR(__xludf.DUMMYFUNCTION("""COMPUTED_VALUE"""),"Premium (Classics)")</f>
        <v>Premium (Classics)</v>
      </c>
      <c r="D210" s="15" t="str">
        <f>IFERROR(__xludf.DUMMYFUNCTION("""COMPUTED_VALUE"""),"Active")</f>
        <v>Active</v>
      </c>
      <c r="E210" s="17">
        <f>IFERROR(__xludf.DUMMYFUNCTION("""COMPUTED_VALUE"""),45734.0)</f>
        <v>45734</v>
      </c>
      <c r="F210" s="54"/>
      <c r="G210" s="19">
        <f>IFERROR(__xludf.DUMMYFUNCTION("""COMPUTED_VALUE"""),18.6)</f>
        <v>18.6</v>
      </c>
      <c r="H210" s="17">
        <f>IFERROR(__xludf.DUMMYFUNCTION("""COMPUTED_VALUE"""),36559.0)</f>
        <v>36559</v>
      </c>
      <c r="I210" s="19">
        <f>IFERROR(__xludf.DUMMYFUNCTION("""COMPUTED_VALUE"""),25.125)</f>
        <v>25.125</v>
      </c>
      <c r="J210" s="21">
        <f>IFERROR(__xludf.DUMMYFUNCTION("""COMPUTED_VALUE"""),75.0)</f>
        <v>75</v>
      </c>
      <c r="K210" s="23">
        <f>IFERROR(__xludf.DUMMYFUNCTION("""COMPUTED_VALUE"""),8.2)</f>
        <v>8.2</v>
      </c>
      <c r="L210" s="24">
        <f>IFERROR(__xludf.DUMMYFUNCTION("""COMPUTED_VALUE"""),4.0)</f>
        <v>4</v>
      </c>
      <c r="M210" s="25" t="str">
        <f>IFERROR(__xludf.DUMMYFUNCTION("""COMPUTED_VALUE"""),"RPG")</f>
        <v>RPG</v>
      </c>
      <c r="N210" s="25" t="str">
        <f>IFERROR(__xludf.DUMMYFUNCTION("""COMPUTED_VALUE"""),"PS1")</f>
        <v>PS1</v>
      </c>
      <c r="O210" s="26" t="str">
        <f>IFERROR(__xludf.DUMMYFUNCTION("""COMPUTED_VALUE"""),"Yes")</f>
        <v>Yes</v>
      </c>
      <c r="P210" s="26"/>
    </row>
    <row r="211">
      <c r="A211" s="13" t="str">
        <f>IFERROR(__xludf.DUMMYFUNCTION("""COMPUTED_VALUE"""),"SkyGunner")</f>
        <v>SkyGunner</v>
      </c>
      <c r="B211" s="15" t="str">
        <f>IFERROR(__xludf.DUMMYFUNCTION("""COMPUTED_VALUE"""),"PS5/PS4")</f>
        <v>PS5/PS4</v>
      </c>
      <c r="C211" s="16" t="str">
        <f>IFERROR(__xludf.DUMMYFUNCTION("""COMPUTED_VALUE"""),"Premium (Classics)")</f>
        <v>Premium (Classics)</v>
      </c>
      <c r="D211" s="15" t="str">
        <f>IFERROR(__xludf.DUMMYFUNCTION("""COMPUTED_VALUE"""),"Active")</f>
        <v>Active</v>
      </c>
      <c r="E211" s="17">
        <f>IFERROR(__xludf.DUMMYFUNCTION("""COMPUTED_VALUE"""),45552.0)</f>
        <v>45552</v>
      </c>
      <c r="F211" s="54"/>
      <c r="G211" s="19">
        <f>IFERROR(__xludf.DUMMYFUNCTION("""COMPUTED_VALUE"""),24.633333333333333)</f>
        <v>24.63333333</v>
      </c>
      <c r="H211" s="17">
        <f>IFERROR(__xludf.DUMMYFUNCTION("""COMPUTED_VALUE"""),37431.0)</f>
        <v>37431</v>
      </c>
      <c r="I211" s="19">
        <f>IFERROR(__xludf.DUMMYFUNCTION("""COMPUTED_VALUE"""),22.230555555555554)</f>
        <v>22.23055556</v>
      </c>
      <c r="J211" s="21">
        <f>IFERROR(__xludf.DUMMYFUNCTION("""COMPUTED_VALUE"""),75.0)</f>
        <v>75</v>
      </c>
      <c r="K211" s="23">
        <f>IFERROR(__xludf.DUMMYFUNCTION("""COMPUTED_VALUE"""),8.1)</f>
        <v>8.1</v>
      </c>
      <c r="L211" s="24">
        <f>IFERROR(__xludf.DUMMYFUNCTION("""COMPUTED_VALUE"""),3.0)</f>
        <v>3</v>
      </c>
      <c r="M211" s="25" t="str">
        <f>IFERROR(__xludf.DUMMYFUNCTION("""COMPUTED_VALUE"""),"Shooter")</f>
        <v>Shooter</v>
      </c>
      <c r="N211" s="25" t="str">
        <f>IFERROR(__xludf.DUMMYFUNCTION("""COMPUTED_VALUE"""),"PS2")</f>
        <v>PS2</v>
      </c>
      <c r="O211" s="26" t="str">
        <f>IFERROR(__xludf.DUMMYFUNCTION("""COMPUTED_VALUE"""),"Yes")</f>
        <v>Yes</v>
      </c>
      <c r="P211" s="26"/>
    </row>
    <row r="212">
      <c r="A212" s="13" t="str">
        <f>IFERROR(__xludf.DUMMYFUNCTION("""COMPUTED_VALUE"""),"Pursuit Force")</f>
        <v>Pursuit Force</v>
      </c>
      <c r="B212" s="15" t="str">
        <f>IFERROR(__xludf.DUMMYFUNCTION("""COMPUTED_VALUE"""),"PS5/PS4")</f>
        <v>PS5/PS4</v>
      </c>
      <c r="C212" s="16" t="str">
        <f>IFERROR(__xludf.DUMMYFUNCTION("""COMPUTED_VALUE"""),"Premium (Classics)")</f>
        <v>Premium (Classics)</v>
      </c>
      <c r="D212" s="15" t="str">
        <f>IFERROR(__xludf.DUMMYFUNCTION("""COMPUTED_VALUE"""),"Active")</f>
        <v>Active</v>
      </c>
      <c r="E212" s="17">
        <f>IFERROR(__xludf.DUMMYFUNCTION("""COMPUTED_VALUE"""),45062.0)</f>
        <v>45062</v>
      </c>
      <c r="F212" s="54"/>
      <c r="G212" s="19">
        <f>IFERROR(__xludf.DUMMYFUNCTION("""COMPUTED_VALUE"""),40.666666666666664)</f>
        <v>40.66666667</v>
      </c>
      <c r="H212" s="17">
        <f>IFERROR(__xludf.DUMMYFUNCTION("""COMPUTED_VALUE"""),38783.0)</f>
        <v>38783</v>
      </c>
      <c r="I212" s="19">
        <f>IFERROR(__xludf.DUMMYFUNCTION("""COMPUTED_VALUE"""),17.191666666666666)</f>
        <v>17.19166667</v>
      </c>
      <c r="J212" s="21">
        <f>IFERROR(__xludf.DUMMYFUNCTION("""COMPUTED_VALUE"""),75.0)</f>
        <v>75</v>
      </c>
      <c r="K212" s="23">
        <f>IFERROR(__xludf.DUMMYFUNCTION("""COMPUTED_VALUE"""),7.3)</f>
        <v>7.3</v>
      </c>
      <c r="L212" s="24">
        <f>IFERROR(__xludf.DUMMYFUNCTION("""COMPUTED_VALUE"""),9.0)</f>
        <v>9</v>
      </c>
      <c r="M212" s="25" t="str">
        <f>IFERROR(__xludf.DUMMYFUNCTION("""COMPUTED_VALUE"""),"Racing")</f>
        <v>Racing</v>
      </c>
      <c r="N212" s="25" t="str">
        <f>IFERROR(__xludf.DUMMYFUNCTION("""COMPUTED_VALUE"""),"PSP")</f>
        <v>PSP</v>
      </c>
      <c r="O212" s="26" t="str">
        <f>IFERROR(__xludf.DUMMYFUNCTION("""COMPUTED_VALUE"""),"Yes")</f>
        <v>Yes</v>
      </c>
      <c r="P212" s="26"/>
    </row>
    <row r="213">
      <c r="A213" s="13" t="str">
        <f>IFERROR(__xludf.DUMMYFUNCTION("""COMPUTED_VALUE"""),"DOOM 64")</f>
        <v>DOOM 64</v>
      </c>
      <c r="B213" s="15" t="str">
        <f>IFERROR(__xludf.DUMMYFUNCTION("""COMPUTED_VALUE"""),"PS4")</f>
        <v>PS4</v>
      </c>
      <c r="C213" s="16" t="str">
        <f>IFERROR(__xludf.DUMMYFUNCTION("""COMPUTED_VALUE"""),"Premium (Classics)")</f>
        <v>Premium (Classics)</v>
      </c>
      <c r="D213" s="15" t="str">
        <f>IFERROR(__xludf.DUMMYFUNCTION("""COMPUTED_VALUE"""),"Active")</f>
        <v>Active</v>
      </c>
      <c r="E213" s="17">
        <f>IFERROR(__xludf.DUMMYFUNCTION("""COMPUTED_VALUE"""),45034.0)</f>
        <v>45034</v>
      </c>
      <c r="F213" s="54"/>
      <c r="G213" s="19">
        <f>IFERROR(__xludf.DUMMYFUNCTION("""COMPUTED_VALUE"""),41.6)</f>
        <v>41.6</v>
      </c>
      <c r="H213" s="17">
        <f>IFERROR(__xludf.DUMMYFUNCTION("""COMPUTED_VALUE"""),35520.0)</f>
        <v>35520</v>
      </c>
      <c r="I213" s="19">
        <f>IFERROR(__xludf.DUMMYFUNCTION("""COMPUTED_VALUE"""),26.05)</f>
        <v>26.05</v>
      </c>
      <c r="J213" s="21">
        <f>IFERROR(__xludf.DUMMYFUNCTION("""COMPUTED_VALUE"""),75.0)</f>
        <v>75</v>
      </c>
      <c r="K213" s="23">
        <f>IFERROR(__xludf.DUMMYFUNCTION("""COMPUTED_VALUE"""),7.1)</f>
        <v>7.1</v>
      </c>
      <c r="L213" s="24">
        <f>IFERROR(__xludf.DUMMYFUNCTION("""COMPUTED_VALUE"""),7.0)</f>
        <v>7</v>
      </c>
      <c r="M213" s="25" t="str">
        <f>IFERROR(__xludf.DUMMYFUNCTION("""COMPUTED_VALUE"""),"Shooter")</f>
        <v>Shooter</v>
      </c>
      <c r="N213" s="25" t="str">
        <f>IFERROR(__xludf.DUMMYFUNCTION("""COMPUTED_VALUE"""),"N64")</f>
        <v>N64</v>
      </c>
      <c r="O213" s="26" t="str">
        <f>IFERROR(__xludf.DUMMYFUNCTION("""COMPUTED_VALUE"""),"Yes")</f>
        <v>Yes</v>
      </c>
      <c r="P213" s="26"/>
    </row>
    <row r="214">
      <c r="A214" s="13" t="str">
        <f>IFERROR(__xludf.DUMMYFUNCTION("""COMPUTED_VALUE"""),"Pinball Heroes")</f>
        <v>Pinball Heroes</v>
      </c>
      <c r="B214" s="15" t="str">
        <f>IFERROR(__xludf.DUMMYFUNCTION("""COMPUTED_VALUE"""),"PS5/PS4")</f>
        <v>PS5/PS4</v>
      </c>
      <c r="C214" s="16" t="str">
        <f>IFERROR(__xludf.DUMMYFUNCTION("""COMPUTED_VALUE"""),"Premium (Classics)")</f>
        <v>Premium (Classics)</v>
      </c>
      <c r="D214" s="15" t="str">
        <f>IFERROR(__xludf.DUMMYFUNCTION("""COMPUTED_VALUE"""),"Active")</f>
        <v>Active</v>
      </c>
      <c r="E214" s="17">
        <f>IFERROR(__xludf.DUMMYFUNCTION("""COMPUTED_VALUE"""),44915.0)</f>
        <v>44915</v>
      </c>
      <c r="F214" s="54"/>
      <c r="G214" s="19">
        <f>IFERROR(__xludf.DUMMYFUNCTION("""COMPUTED_VALUE"""),45.53333333333333)</f>
        <v>45.53333333</v>
      </c>
      <c r="H214" s="17">
        <f>IFERROR(__xludf.DUMMYFUNCTION("""COMPUTED_VALUE"""),39406.0)</f>
        <v>39406</v>
      </c>
      <c r="I214" s="19">
        <f>IFERROR(__xludf.DUMMYFUNCTION("""COMPUTED_VALUE"""),15.083333333333334)</f>
        <v>15.08333333</v>
      </c>
      <c r="J214" s="21">
        <f>IFERROR(__xludf.DUMMYFUNCTION("""COMPUTED_VALUE"""),75.0)</f>
        <v>75</v>
      </c>
      <c r="K214" s="23">
        <f>IFERROR(__xludf.DUMMYFUNCTION("""COMPUTED_VALUE"""),7.8)</f>
        <v>7.8</v>
      </c>
      <c r="L214" s="24">
        <f>IFERROR(__xludf.DUMMYFUNCTION("""COMPUTED_VALUE"""),1.5)</f>
        <v>1.5</v>
      </c>
      <c r="M214" s="25" t="str">
        <f>IFERROR(__xludf.DUMMYFUNCTION("""COMPUTED_VALUE"""),"Sports")</f>
        <v>Sports</v>
      </c>
      <c r="N214" s="25" t="str">
        <f>IFERROR(__xludf.DUMMYFUNCTION("""COMPUTED_VALUE"""),"PSP")</f>
        <v>PSP</v>
      </c>
      <c r="O214" s="26" t="str">
        <f>IFERROR(__xludf.DUMMYFUNCTION("""COMPUTED_VALUE"""),"Yes")</f>
        <v>Yes</v>
      </c>
      <c r="P214" s="26"/>
    </row>
    <row r="215">
      <c r="A215" s="13" t="str">
        <f>IFERROR(__xludf.DUMMYFUNCTION("""COMPUTED_VALUE"""),"Sly Cooper: Thieves in Time")</f>
        <v>Sly Cooper: Thieves in Time</v>
      </c>
      <c r="B215" s="15" t="str">
        <f>IFERROR(__xludf.DUMMYFUNCTION("""COMPUTED_VALUE"""),"PS5/PS4")</f>
        <v>PS5/PS4</v>
      </c>
      <c r="C215" s="16" t="str">
        <f>IFERROR(__xludf.DUMMYFUNCTION("""COMPUTED_VALUE"""),"Premium (Streaming Only)")</f>
        <v>Premium (Streaming Only)</v>
      </c>
      <c r="D215" s="15" t="str">
        <f>IFERROR(__xludf.DUMMYFUNCTION("""COMPUTED_VALUE"""),"Active")</f>
        <v>Active</v>
      </c>
      <c r="E215" s="17">
        <f>IFERROR(__xludf.DUMMYFUNCTION("""COMPUTED_VALUE"""),44824.0)</f>
        <v>44824</v>
      </c>
      <c r="F215" s="54"/>
      <c r="G215" s="19">
        <f>IFERROR(__xludf.DUMMYFUNCTION("""COMPUTED_VALUE"""),48.53333333333333)</f>
        <v>48.53333333</v>
      </c>
      <c r="H215" s="17">
        <f>IFERROR(__xludf.DUMMYFUNCTION("""COMPUTED_VALUE"""),41310.0)</f>
        <v>41310</v>
      </c>
      <c r="I215" s="19">
        <f>IFERROR(__xludf.DUMMYFUNCTION("""COMPUTED_VALUE"""),9.625)</f>
        <v>9.625</v>
      </c>
      <c r="J215" s="21">
        <f>IFERROR(__xludf.DUMMYFUNCTION("""COMPUTED_VALUE"""),75.0)</f>
        <v>75</v>
      </c>
      <c r="K215" s="23">
        <f>IFERROR(__xludf.DUMMYFUNCTION("""COMPUTED_VALUE"""),8.2)</f>
        <v>8.2</v>
      </c>
      <c r="L215" s="24">
        <f>IFERROR(__xludf.DUMMYFUNCTION("""COMPUTED_VALUE"""),13.0)</f>
        <v>13</v>
      </c>
      <c r="M215" s="25" t="str">
        <f>IFERROR(__xludf.DUMMYFUNCTION("""COMPUTED_VALUE"""),"Platformer")</f>
        <v>Platformer</v>
      </c>
      <c r="N215" s="25" t="str">
        <f>IFERROR(__xludf.DUMMYFUNCTION("""COMPUTED_VALUE"""),"PS3")</f>
        <v>PS3</v>
      </c>
      <c r="O215" s="26" t="str">
        <f>IFERROR(__xludf.DUMMYFUNCTION("""COMPUTED_VALUE"""),"Yes")</f>
        <v>Yes</v>
      </c>
      <c r="P215" s="26"/>
    </row>
    <row r="216">
      <c r="A216" s="13" t="str">
        <f>IFERROR(__xludf.DUMMYFUNCTION("""COMPUTED_VALUE"""),"Patapon 2: Remastered")</f>
        <v>Patapon 2: Remastered</v>
      </c>
      <c r="B216" s="15" t="str">
        <f>IFERROR(__xludf.DUMMYFUNCTION("""COMPUTED_VALUE"""),"PS4")</f>
        <v>PS4</v>
      </c>
      <c r="C216" s="16" t="str">
        <f>IFERROR(__xludf.DUMMYFUNCTION("""COMPUTED_VALUE"""),"Premium (Remasters)")</f>
        <v>Premium (Remasters)</v>
      </c>
      <c r="D216" s="15" t="str">
        <f>IFERROR(__xludf.DUMMYFUNCTION("""COMPUTED_VALUE"""),"Active")</f>
        <v>Active</v>
      </c>
      <c r="E216" s="17">
        <f>IFERROR(__xludf.DUMMYFUNCTION("""COMPUTED_VALUE"""),44725.0)</f>
        <v>44725</v>
      </c>
      <c r="F216" s="54"/>
      <c r="G216" s="19">
        <f>IFERROR(__xludf.DUMMYFUNCTION("""COMPUTED_VALUE"""),51.766666666666666)</f>
        <v>51.76666667</v>
      </c>
      <c r="H216" s="17">
        <f>IFERROR(__xludf.DUMMYFUNCTION("""COMPUTED_VALUE"""),43831.0)</f>
        <v>43831</v>
      </c>
      <c r="I216" s="19">
        <f>IFERROR(__xludf.DUMMYFUNCTION("""COMPUTED_VALUE"""),2.45)</f>
        <v>2.45</v>
      </c>
      <c r="J216" s="21">
        <f>IFERROR(__xludf.DUMMYFUNCTION("""COMPUTED_VALUE"""),75.0)</f>
        <v>75</v>
      </c>
      <c r="K216" s="23">
        <f>IFERROR(__xludf.DUMMYFUNCTION("""COMPUTED_VALUE"""),8.0)</f>
        <v>8</v>
      </c>
      <c r="L216" s="24">
        <f>IFERROR(__xludf.DUMMYFUNCTION("""COMPUTED_VALUE"""),9.0)</f>
        <v>9</v>
      </c>
      <c r="M216" s="25" t="str">
        <f>IFERROR(__xludf.DUMMYFUNCTION("""COMPUTED_VALUE"""),"Rhythm")</f>
        <v>Rhythm</v>
      </c>
      <c r="N216" s="25" t="str">
        <f>IFERROR(__xludf.DUMMYFUNCTION("""COMPUTED_VALUE"""),"PSP")</f>
        <v>PSP</v>
      </c>
      <c r="O216" s="26" t="str">
        <f>IFERROR(__xludf.DUMMYFUNCTION("""COMPUTED_VALUE"""),"Yes")</f>
        <v>Yes</v>
      </c>
      <c r="P216" s="26" t="str">
        <f>IFERROR(__xludf.DUMMYFUNCTION("""COMPUTED_VALUE"""),"Yes")</f>
        <v>Yes</v>
      </c>
    </row>
    <row r="217">
      <c r="A217" s="13" t="str">
        <f>IFERROR(__xludf.DUMMYFUNCTION("""COMPUTED_VALUE"""),"Serious Sam Collection")</f>
        <v>Serious Sam Collection</v>
      </c>
      <c r="B217" s="15" t="str">
        <f>IFERROR(__xludf.DUMMYFUNCTION("""COMPUTED_VALUE"""),"PS4")</f>
        <v>PS4</v>
      </c>
      <c r="C217" s="16" t="str">
        <f>IFERROR(__xludf.DUMMYFUNCTION("""COMPUTED_VALUE"""),"Premium (Remasters)")</f>
        <v>Premium (Remasters)</v>
      </c>
      <c r="D217" s="15" t="str">
        <f>IFERROR(__xludf.DUMMYFUNCTION("""COMPUTED_VALUE"""),"Active")</f>
        <v>Active</v>
      </c>
      <c r="E217" s="17">
        <f>IFERROR(__xludf.DUMMYFUNCTION("""COMPUTED_VALUE"""),44725.0)</f>
        <v>44725</v>
      </c>
      <c r="F217" s="54"/>
      <c r="G217" s="19">
        <f>IFERROR(__xludf.DUMMYFUNCTION("""COMPUTED_VALUE"""),51.766666666666666)</f>
        <v>51.76666667</v>
      </c>
      <c r="H217" s="17">
        <f>IFERROR(__xludf.DUMMYFUNCTION("""COMPUTED_VALUE"""),44152.0)</f>
        <v>44152</v>
      </c>
      <c r="I217" s="19">
        <f>IFERROR(__xludf.DUMMYFUNCTION("""COMPUTED_VALUE"""),1.5722222222222222)</f>
        <v>1.572222222</v>
      </c>
      <c r="J217" s="21">
        <f>IFERROR(__xludf.DUMMYFUNCTION("""COMPUTED_VALUE"""),75.0)</f>
        <v>75</v>
      </c>
      <c r="K217" s="23">
        <f>IFERROR(__xludf.DUMMYFUNCTION("""COMPUTED_VALUE"""),7.4)</f>
        <v>7.4</v>
      </c>
      <c r="L217" s="24">
        <f>IFERROR(__xludf.DUMMYFUNCTION("""COMPUTED_VALUE"""),14.0)</f>
        <v>14</v>
      </c>
      <c r="M217" s="25" t="str">
        <f>IFERROR(__xludf.DUMMYFUNCTION("""COMPUTED_VALUE"""),"Shooter")</f>
        <v>Shooter</v>
      </c>
      <c r="N217" s="25" t="str">
        <f>IFERROR(__xludf.DUMMYFUNCTION("""COMPUTED_VALUE"""),"Windows")</f>
        <v>Windows</v>
      </c>
      <c r="O217" s="26" t="str">
        <f>IFERROR(__xludf.DUMMYFUNCTION("""COMPUTED_VALUE"""),"Yes")</f>
        <v>Yes</v>
      </c>
      <c r="P217" s="26" t="str">
        <f>IFERROR(__xludf.DUMMYFUNCTION("""COMPUTED_VALUE"""),"Yes")</f>
        <v>Yes</v>
      </c>
    </row>
    <row r="218">
      <c r="A218" s="13" t="str">
        <f>IFERROR(__xludf.DUMMYFUNCTION("""COMPUTED_VALUE"""),"LEGO Star Wars III: The Clone Wars")</f>
        <v>LEGO Star Wars III: The Clone Wars</v>
      </c>
      <c r="B218" s="15" t="str">
        <f>IFERROR(__xludf.DUMMYFUNCTION("""COMPUTED_VALUE"""),"PS5/PS4")</f>
        <v>PS5/PS4</v>
      </c>
      <c r="C218" s="16" t="str">
        <f>IFERROR(__xludf.DUMMYFUNCTION("""COMPUTED_VALUE"""),"Premium (Streaming Only)")</f>
        <v>Premium (Streaming Only)</v>
      </c>
      <c r="D218" s="15" t="str">
        <f>IFERROR(__xludf.DUMMYFUNCTION("""COMPUTED_VALUE"""),"Active")</f>
        <v>Active</v>
      </c>
      <c r="E218" s="17">
        <f>IFERROR(__xludf.DUMMYFUNCTION("""COMPUTED_VALUE"""),42829.0)</f>
        <v>42829</v>
      </c>
      <c r="F218" s="54"/>
      <c r="G218" s="19">
        <f>IFERROR(__xludf.DUMMYFUNCTION("""COMPUTED_VALUE"""),114.06666666666668)</f>
        <v>114.0666667</v>
      </c>
      <c r="H218" s="17">
        <f>IFERROR(__xludf.DUMMYFUNCTION("""COMPUTED_VALUE"""),40624.0)</f>
        <v>40624</v>
      </c>
      <c r="I218" s="19">
        <f>IFERROR(__xludf.DUMMYFUNCTION("""COMPUTED_VALUE"""),6.033333333333333)</f>
        <v>6.033333333</v>
      </c>
      <c r="J218" s="21">
        <f>IFERROR(__xludf.DUMMYFUNCTION("""COMPUTED_VALUE"""),75.0)</f>
        <v>75</v>
      </c>
      <c r="K218" s="23">
        <f>IFERROR(__xludf.DUMMYFUNCTION("""COMPUTED_VALUE"""),7.5)</f>
        <v>7.5</v>
      </c>
      <c r="L218" s="24">
        <f>IFERROR(__xludf.DUMMYFUNCTION("""COMPUTED_VALUE"""),9.0)</f>
        <v>9</v>
      </c>
      <c r="M218" s="25" t="str">
        <f>IFERROR(__xludf.DUMMYFUNCTION("""COMPUTED_VALUE"""),"Action-Adventure")</f>
        <v>Action-Adventure</v>
      </c>
      <c r="N218" s="25" t="str">
        <f>IFERROR(__xludf.DUMMYFUNCTION("""COMPUTED_VALUE"""),"PS3")</f>
        <v>PS3</v>
      </c>
      <c r="O218" s="26" t="str">
        <f>IFERROR(__xludf.DUMMYFUNCTION("""COMPUTED_VALUE"""),"Yes")</f>
        <v>Yes</v>
      </c>
      <c r="P218" s="26"/>
    </row>
    <row r="219">
      <c r="A219" s="13" t="str">
        <f>IFERROR(__xludf.DUMMYFUNCTION("""COMPUTED_VALUE"""),"HOARD")</f>
        <v>HOARD</v>
      </c>
      <c r="B219" s="15" t="str">
        <f>IFERROR(__xludf.DUMMYFUNCTION("""COMPUTED_VALUE"""),"PS5/PS4")</f>
        <v>PS5/PS4</v>
      </c>
      <c r="C219" s="16" t="str">
        <f>IFERROR(__xludf.DUMMYFUNCTION("""COMPUTED_VALUE"""),"Premium (Streaming Only)")</f>
        <v>Premium (Streaming Only)</v>
      </c>
      <c r="D219" s="15" t="str">
        <f>IFERROR(__xludf.DUMMYFUNCTION("""COMPUTED_VALUE"""),"Active")</f>
        <v>Active</v>
      </c>
      <c r="E219" s="17">
        <f>IFERROR(__xludf.DUMMYFUNCTION("""COMPUTED_VALUE"""),42528.0)</f>
        <v>42528</v>
      </c>
      <c r="F219" s="54"/>
      <c r="G219" s="19">
        <f>IFERROR(__xludf.DUMMYFUNCTION("""COMPUTED_VALUE"""),123.96666666666667)</f>
        <v>123.9666667</v>
      </c>
      <c r="H219" s="17">
        <f>IFERROR(__xludf.DUMMYFUNCTION("""COMPUTED_VALUE"""),40483.0)</f>
        <v>40483</v>
      </c>
      <c r="I219" s="19">
        <f>IFERROR(__xludf.DUMMYFUNCTION("""COMPUTED_VALUE"""),5.6)</f>
        <v>5.6</v>
      </c>
      <c r="J219" s="21">
        <f>IFERROR(__xludf.DUMMYFUNCTION("""COMPUTED_VALUE"""),75.0)</f>
        <v>75</v>
      </c>
      <c r="K219" s="23">
        <f>IFERROR(__xludf.DUMMYFUNCTION("""COMPUTED_VALUE"""),6.9)</f>
        <v>6.9</v>
      </c>
      <c r="L219" s="24">
        <f>IFERROR(__xludf.DUMMYFUNCTION("""COMPUTED_VALUE"""),4.0)</f>
        <v>4</v>
      </c>
      <c r="M219" s="25" t="str">
        <f>IFERROR(__xludf.DUMMYFUNCTION("""COMPUTED_VALUE"""),"Strategy")</f>
        <v>Strategy</v>
      </c>
      <c r="N219" s="25" t="str">
        <f>IFERROR(__xludf.DUMMYFUNCTION("""COMPUTED_VALUE"""),"PS3")</f>
        <v>PS3</v>
      </c>
      <c r="O219" s="26" t="str">
        <f>IFERROR(__xludf.DUMMYFUNCTION("""COMPUTED_VALUE"""),"Yes")</f>
        <v>Yes</v>
      </c>
      <c r="P219" s="26" t="str">
        <f>IFERROR(__xludf.DUMMYFUNCTION("""COMPUTED_VALUE"""),"")</f>
        <v/>
      </c>
    </row>
    <row r="220">
      <c r="A220" s="13" t="str">
        <f>IFERROR(__xludf.DUMMYFUNCTION("""COMPUTED_VALUE"""),"Resident Evil Revelations 2: Complete Edition")</f>
        <v>Resident Evil Revelations 2: Complete Edition</v>
      </c>
      <c r="B220" s="15" t="str">
        <f>IFERROR(__xludf.DUMMYFUNCTION("""COMPUTED_VALUE"""),"PS5/PS4")</f>
        <v>PS5/PS4</v>
      </c>
      <c r="C220" s="16" t="str">
        <f>IFERROR(__xludf.DUMMYFUNCTION("""COMPUTED_VALUE"""),"Premium (Streaming Only)")</f>
        <v>Premium (Streaming Only)</v>
      </c>
      <c r="D220" s="15" t="str">
        <f>IFERROR(__xludf.DUMMYFUNCTION("""COMPUTED_VALUE"""),"Active")</f>
        <v>Active</v>
      </c>
      <c r="E220" s="17">
        <f>IFERROR(__xludf.DUMMYFUNCTION("""COMPUTED_VALUE"""),42472.0)</f>
        <v>42472</v>
      </c>
      <c r="F220" s="54"/>
      <c r="G220" s="19">
        <f>IFERROR(__xludf.DUMMYFUNCTION("""COMPUTED_VALUE"""),125.79999999999998)</f>
        <v>125.8</v>
      </c>
      <c r="H220" s="17">
        <f>IFERROR(__xludf.DUMMYFUNCTION("""COMPUTED_VALUE"""),41395.0)</f>
        <v>41395</v>
      </c>
      <c r="I220" s="19">
        <f>IFERROR(__xludf.DUMMYFUNCTION("""COMPUTED_VALUE"""),2.9472222222222224)</f>
        <v>2.947222222</v>
      </c>
      <c r="J220" s="21">
        <f>IFERROR(__xludf.DUMMYFUNCTION("""COMPUTED_VALUE"""),75.0)</f>
        <v>75</v>
      </c>
      <c r="K220" s="23">
        <f>IFERROR(__xludf.DUMMYFUNCTION("""COMPUTED_VALUE"""),7.5)</f>
        <v>7.5</v>
      </c>
      <c r="L220" s="24">
        <f>IFERROR(__xludf.DUMMYFUNCTION("""COMPUTED_VALUE"""),10.0)</f>
        <v>10</v>
      </c>
      <c r="M220" s="25" t="str">
        <f>IFERROR(__xludf.DUMMYFUNCTION("""COMPUTED_VALUE"""),"Action-Adventure")</f>
        <v>Action-Adventure</v>
      </c>
      <c r="N220" s="25" t="str">
        <f>IFERROR(__xludf.DUMMYFUNCTION("""COMPUTED_VALUE"""),"PS3")</f>
        <v>PS3</v>
      </c>
      <c r="O220" s="26" t="str">
        <f>IFERROR(__xludf.DUMMYFUNCTION("""COMPUTED_VALUE"""),"Yes")</f>
        <v>Yes</v>
      </c>
      <c r="P220" s="26" t="str">
        <f>IFERROR(__xludf.DUMMYFUNCTION("""COMPUTED_VALUE"""),"")</f>
        <v/>
      </c>
    </row>
    <row r="221">
      <c r="A221" s="13" t="str">
        <f>IFERROR(__xludf.DUMMYFUNCTION("""COMPUTED_VALUE"""),"Anna: Extended Edition")</f>
        <v>Anna: Extended Edition</v>
      </c>
      <c r="B221" s="15" t="str">
        <f>IFERROR(__xludf.DUMMYFUNCTION("""COMPUTED_VALUE"""),"PS5/PS4")</f>
        <v>PS5/PS4</v>
      </c>
      <c r="C221" s="16" t="str">
        <f>IFERROR(__xludf.DUMMYFUNCTION("""COMPUTED_VALUE"""),"Premium (Streaming Only)")</f>
        <v>Premium (Streaming Only)</v>
      </c>
      <c r="D221" s="15" t="str">
        <f>IFERROR(__xludf.DUMMYFUNCTION("""COMPUTED_VALUE"""),"Active")</f>
        <v>Active</v>
      </c>
      <c r="E221" s="17">
        <f>IFERROR(__xludf.DUMMYFUNCTION("""COMPUTED_VALUE"""),42311.0)</f>
        <v>42311</v>
      </c>
      <c r="F221" s="54"/>
      <c r="G221" s="19">
        <f>IFERROR(__xludf.DUMMYFUNCTION("""COMPUTED_VALUE"""),131.10000000000002)</f>
        <v>131.1</v>
      </c>
      <c r="H221" s="17">
        <f>IFERROR(__xludf.DUMMYFUNCTION("""COMPUTED_VALUE"""),41091.0)</f>
        <v>41091</v>
      </c>
      <c r="I221" s="19">
        <f>IFERROR(__xludf.DUMMYFUNCTION("""COMPUTED_VALUE"""),3.338888888888889)</f>
        <v>3.338888889</v>
      </c>
      <c r="J221" s="21">
        <f>IFERROR(__xludf.DUMMYFUNCTION("""COMPUTED_VALUE"""),75.0)</f>
        <v>75</v>
      </c>
      <c r="K221" s="23">
        <f>IFERROR(__xludf.DUMMYFUNCTION("""COMPUTED_VALUE"""),5.6)</f>
        <v>5.6</v>
      </c>
      <c r="L221" s="24">
        <f>IFERROR(__xludf.DUMMYFUNCTION("""COMPUTED_VALUE"""),4.0)</f>
        <v>4</v>
      </c>
      <c r="M221" s="25" t="str">
        <f>IFERROR(__xludf.DUMMYFUNCTION("""COMPUTED_VALUE"""),"Horror")</f>
        <v>Horror</v>
      </c>
      <c r="N221" s="25" t="str">
        <f>IFERROR(__xludf.DUMMYFUNCTION("""COMPUTED_VALUE"""),"PS3")</f>
        <v>PS3</v>
      </c>
      <c r="O221" s="26" t="str">
        <f>IFERROR(__xludf.DUMMYFUNCTION("""COMPUTED_VALUE"""),"Yes")</f>
        <v>Yes</v>
      </c>
      <c r="P221" s="26" t="str">
        <f>IFERROR(__xludf.DUMMYFUNCTION("""COMPUTED_VALUE"""),"")</f>
        <v/>
      </c>
    </row>
    <row r="222">
      <c r="A222" s="13" t="str">
        <f>IFERROR(__xludf.DUMMYFUNCTION("""COMPUTED_VALUE"""),"Resident Evil: The Darkside Chronicles")</f>
        <v>Resident Evil: The Darkside Chronicles</v>
      </c>
      <c r="B222" s="15" t="str">
        <f>IFERROR(__xludf.DUMMYFUNCTION("""COMPUTED_VALUE"""),"PS5/PS4")</f>
        <v>PS5/PS4</v>
      </c>
      <c r="C222" s="16" t="str">
        <f>IFERROR(__xludf.DUMMYFUNCTION("""COMPUTED_VALUE"""),"Premium (Streaming Only)")</f>
        <v>Premium (Streaming Only)</v>
      </c>
      <c r="D222" s="15" t="str">
        <f>IFERROR(__xludf.DUMMYFUNCTION("""COMPUTED_VALUE"""),"Active")</f>
        <v>Active</v>
      </c>
      <c r="E222" s="17">
        <f>IFERROR(__xludf.DUMMYFUNCTION("""COMPUTED_VALUE"""),42311.0)</f>
        <v>42311</v>
      </c>
      <c r="F222" s="54"/>
      <c r="G222" s="19">
        <f>IFERROR(__xludf.DUMMYFUNCTION("""COMPUTED_VALUE"""),131.10000000000002)</f>
        <v>131.1</v>
      </c>
      <c r="H222" s="17">
        <f>IFERROR(__xludf.DUMMYFUNCTION("""COMPUTED_VALUE"""),40118.0)</f>
        <v>40118</v>
      </c>
      <c r="I222" s="19">
        <f>IFERROR(__xludf.DUMMYFUNCTION("""COMPUTED_VALUE"""),6.0055555555555555)</f>
        <v>6.005555556</v>
      </c>
      <c r="J222" s="21">
        <f>IFERROR(__xludf.DUMMYFUNCTION("""COMPUTED_VALUE"""),75.0)</f>
        <v>75</v>
      </c>
      <c r="K222" s="23">
        <f>IFERROR(__xludf.DUMMYFUNCTION("""COMPUTED_VALUE"""),8.1)</f>
        <v>8.1</v>
      </c>
      <c r="L222" s="24">
        <f>IFERROR(__xludf.DUMMYFUNCTION("""COMPUTED_VALUE"""),7.0)</f>
        <v>7</v>
      </c>
      <c r="M222" s="25" t="str">
        <f>IFERROR(__xludf.DUMMYFUNCTION("""COMPUTED_VALUE"""),"Shooter")</f>
        <v>Shooter</v>
      </c>
      <c r="N222" s="25" t="str">
        <f>IFERROR(__xludf.DUMMYFUNCTION("""COMPUTED_VALUE"""),"PS3")</f>
        <v>PS3</v>
      </c>
      <c r="O222" s="26" t="str">
        <f>IFERROR(__xludf.DUMMYFUNCTION("""COMPUTED_VALUE"""),"Yes")</f>
        <v>Yes</v>
      </c>
      <c r="P222" s="26" t="str">
        <f>IFERROR(__xludf.DUMMYFUNCTION("""COMPUTED_VALUE"""),"")</f>
        <v/>
      </c>
    </row>
    <row r="223">
      <c r="A223" s="13" t="str">
        <f>IFERROR(__xludf.DUMMYFUNCTION("""COMPUTED_VALUE"""),"Sam &amp; Max Beyond Time and Space: Episode 1 - Ice Station Santa")</f>
        <v>Sam &amp; Max Beyond Time and Space: Episode 1 - Ice Station Santa</v>
      </c>
      <c r="B223" s="15" t="str">
        <f>IFERROR(__xludf.DUMMYFUNCTION("""COMPUTED_VALUE"""),"PS5/PS4")</f>
        <v>PS5/PS4</v>
      </c>
      <c r="C223" s="16" t="str">
        <f>IFERROR(__xludf.DUMMYFUNCTION("""COMPUTED_VALUE"""),"Premium (Streaming Only)")</f>
        <v>Premium (Streaming Only)</v>
      </c>
      <c r="D223" s="15" t="str">
        <f>IFERROR(__xludf.DUMMYFUNCTION("""COMPUTED_VALUE"""),"Active")</f>
        <v>Active</v>
      </c>
      <c r="E223" s="17">
        <f>IFERROR(__xludf.DUMMYFUNCTION("""COMPUTED_VALUE"""),42311.0)</f>
        <v>42311</v>
      </c>
      <c r="F223" s="54"/>
      <c r="G223" s="19">
        <f>IFERROR(__xludf.DUMMYFUNCTION("""COMPUTED_VALUE"""),131.10000000000002)</f>
        <v>131.1</v>
      </c>
      <c r="H223" s="17">
        <f>IFERROR(__xludf.DUMMYFUNCTION("""COMPUTED_VALUE"""),40087.0)</f>
        <v>40087</v>
      </c>
      <c r="I223" s="19">
        <f>IFERROR(__xludf.DUMMYFUNCTION("""COMPUTED_VALUE"""),6.088888888888889)</f>
        <v>6.088888889</v>
      </c>
      <c r="J223" s="21">
        <f>IFERROR(__xludf.DUMMYFUNCTION("""COMPUTED_VALUE"""),75.0)</f>
        <v>75</v>
      </c>
      <c r="K223" s="23">
        <f>IFERROR(__xludf.DUMMYFUNCTION("""COMPUTED_VALUE"""),7.6)</f>
        <v>7.6</v>
      </c>
      <c r="L223" s="24">
        <f>IFERROR(__xludf.DUMMYFUNCTION("""COMPUTED_VALUE"""),2.0)</f>
        <v>2</v>
      </c>
      <c r="M223" s="25" t="str">
        <f>IFERROR(__xludf.DUMMYFUNCTION("""COMPUTED_VALUE"""),"Adventure")</f>
        <v>Adventure</v>
      </c>
      <c r="N223" s="25" t="str">
        <f>IFERROR(__xludf.DUMMYFUNCTION("""COMPUTED_VALUE"""),"PS3")</f>
        <v>PS3</v>
      </c>
      <c r="O223" s="26" t="str">
        <f>IFERROR(__xludf.DUMMYFUNCTION("""COMPUTED_VALUE"""),"Yes")</f>
        <v>Yes</v>
      </c>
      <c r="P223" s="26" t="str">
        <f>IFERROR(__xludf.DUMMYFUNCTION("""COMPUTED_VALUE"""),"")</f>
        <v/>
      </c>
    </row>
    <row r="224">
      <c r="A224" s="13" t="str">
        <f>IFERROR(__xludf.DUMMYFUNCTION("""COMPUTED_VALUE"""),"Sam &amp; Max Beyond Time and Space: Episode 2 - Moai Better Blues")</f>
        <v>Sam &amp; Max Beyond Time and Space: Episode 2 - Moai Better Blues</v>
      </c>
      <c r="B224" s="15" t="str">
        <f>IFERROR(__xludf.DUMMYFUNCTION("""COMPUTED_VALUE"""),"PS5/PS4")</f>
        <v>PS5/PS4</v>
      </c>
      <c r="C224" s="16" t="str">
        <f>IFERROR(__xludf.DUMMYFUNCTION("""COMPUTED_VALUE"""),"Premium (Streaming Only)")</f>
        <v>Premium (Streaming Only)</v>
      </c>
      <c r="D224" s="15" t="str">
        <f>IFERROR(__xludf.DUMMYFUNCTION("""COMPUTED_VALUE"""),"Active")</f>
        <v>Active</v>
      </c>
      <c r="E224" s="17">
        <f>IFERROR(__xludf.DUMMYFUNCTION("""COMPUTED_VALUE"""),42311.0)</f>
        <v>42311</v>
      </c>
      <c r="F224" s="54"/>
      <c r="G224" s="19">
        <f>IFERROR(__xludf.DUMMYFUNCTION("""COMPUTED_VALUE"""),131.10000000000002)</f>
        <v>131.1</v>
      </c>
      <c r="H224" s="17">
        <f>IFERROR(__xludf.DUMMYFUNCTION("""COMPUTED_VALUE"""),40087.0)</f>
        <v>40087</v>
      </c>
      <c r="I224" s="19">
        <f>IFERROR(__xludf.DUMMYFUNCTION("""COMPUTED_VALUE"""),6.088888888888889)</f>
        <v>6.088888889</v>
      </c>
      <c r="J224" s="21">
        <f>IFERROR(__xludf.DUMMYFUNCTION("""COMPUTED_VALUE"""),75.0)</f>
        <v>75</v>
      </c>
      <c r="K224" s="23">
        <f>IFERROR(__xludf.DUMMYFUNCTION("""COMPUTED_VALUE"""),7.7)</f>
        <v>7.7</v>
      </c>
      <c r="L224" s="24">
        <f>IFERROR(__xludf.DUMMYFUNCTION("""COMPUTED_VALUE"""),2.0)</f>
        <v>2</v>
      </c>
      <c r="M224" s="25" t="str">
        <f>IFERROR(__xludf.DUMMYFUNCTION("""COMPUTED_VALUE"""),"Adventure")</f>
        <v>Adventure</v>
      </c>
      <c r="N224" s="25" t="str">
        <f>IFERROR(__xludf.DUMMYFUNCTION("""COMPUTED_VALUE"""),"PS3")</f>
        <v>PS3</v>
      </c>
      <c r="O224" s="26" t="str">
        <f>IFERROR(__xludf.DUMMYFUNCTION("""COMPUTED_VALUE"""),"Yes")</f>
        <v>Yes</v>
      </c>
      <c r="P224" s="26" t="str">
        <f>IFERROR(__xludf.DUMMYFUNCTION("""COMPUTED_VALUE"""),"")</f>
        <v/>
      </c>
    </row>
    <row r="225">
      <c r="A225" s="13" t="str">
        <f>IFERROR(__xludf.DUMMYFUNCTION("""COMPUTED_VALUE"""),"Sam &amp; Max Beyond Time and Space: Episode 3 - Night of the Raving Dead")</f>
        <v>Sam &amp; Max Beyond Time and Space: Episode 3 - Night of the Raving Dead</v>
      </c>
      <c r="B225" s="15" t="str">
        <f>IFERROR(__xludf.DUMMYFUNCTION("""COMPUTED_VALUE"""),"PS5/PS4")</f>
        <v>PS5/PS4</v>
      </c>
      <c r="C225" s="16" t="str">
        <f>IFERROR(__xludf.DUMMYFUNCTION("""COMPUTED_VALUE"""),"Premium (Streaming Only)")</f>
        <v>Premium (Streaming Only)</v>
      </c>
      <c r="D225" s="15" t="str">
        <f>IFERROR(__xludf.DUMMYFUNCTION("""COMPUTED_VALUE"""),"Active")</f>
        <v>Active</v>
      </c>
      <c r="E225" s="17">
        <f>IFERROR(__xludf.DUMMYFUNCTION("""COMPUTED_VALUE"""),42311.0)</f>
        <v>42311</v>
      </c>
      <c r="F225" s="54"/>
      <c r="G225" s="19">
        <f>IFERROR(__xludf.DUMMYFUNCTION("""COMPUTED_VALUE"""),131.10000000000002)</f>
        <v>131.1</v>
      </c>
      <c r="H225" s="17">
        <f>IFERROR(__xludf.DUMMYFUNCTION("""COMPUTED_VALUE"""),40087.0)</f>
        <v>40087</v>
      </c>
      <c r="I225" s="19">
        <f>IFERROR(__xludf.DUMMYFUNCTION("""COMPUTED_VALUE"""),6.088888888888889)</f>
        <v>6.088888889</v>
      </c>
      <c r="J225" s="21">
        <f>IFERROR(__xludf.DUMMYFUNCTION("""COMPUTED_VALUE"""),75.0)</f>
        <v>75</v>
      </c>
      <c r="K225" s="23">
        <f>IFERROR(__xludf.DUMMYFUNCTION("""COMPUTED_VALUE"""),7.8)</f>
        <v>7.8</v>
      </c>
      <c r="L225" s="24">
        <f>IFERROR(__xludf.DUMMYFUNCTION("""COMPUTED_VALUE"""),2.0)</f>
        <v>2</v>
      </c>
      <c r="M225" s="25" t="str">
        <f>IFERROR(__xludf.DUMMYFUNCTION("""COMPUTED_VALUE"""),"Adventure")</f>
        <v>Adventure</v>
      </c>
      <c r="N225" s="25" t="str">
        <f>IFERROR(__xludf.DUMMYFUNCTION("""COMPUTED_VALUE"""),"PS3")</f>
        <v>PS3</v>
      </c>
      <c r="O225" s="26" t="str">
        <f>IFERROR(__xludf.DUMMYFUNCTION("""COMPUTED_VALUE"""),"Yes")</f>
        <v>Yes</v>
      </c>
      <c r="P225" s="26" t="str">
        <f>IFERROR(__xludf.DUMMYFUNCTION("""COMPUTED_VALUE"""),"")</f>
        <v/>
      </c>
    </row>
    <row r="226">
      <c r="A226" s="13" t="str">
        <f>IFERROR(__xludf.DUMMYFUNCTION("""COMPUTED_VALUE"""),"Sam &amp; Max Beyond Time and Space: Episode 4 - Chariots of the Dogs")</f>
        <v>Sam &amp; Max Beyond Time and Space: Episode 4 - Chariots of the Dogs</v>
      </c>
      <c r="B226" s="15" t="str">
        <f>IFERROR(__xludf.DUMMYFUNCTION("""COMPUTED_VALUE"""),"PS5/PS4")</f>
        <v>PS5/PS4</v>
      </c>
      <c r="C226" s="16" t="str">
        <f>IFERROR(__xludf.DUMMYFUNCTION("""COMPUTED_VALUE"""),"Premium (Streaming Only)")</f>
        <v>Premium (Streaming Only)</v>
      </c>
      <c r="D226" s="15" t="str">
        <f>IFERROR(__xludf.DUMMYFUNCTION("""COMPUTED_VALUE"""),"Active")</f>
        <v>Active</v>
      </c>
      <c r="E226" s="17">
        <f>IFERROR(__xludf.DUMMYFUNCTION("""COMPUTED_VALUE"""),42311.0)</f>
        <v>42311</v>
      </c>
      <c r="F226" s="18"/>
      <c r="G226" s="19">
        <f>IFERROR(__xludf.DUMMYFUNCTION("""COMPUTED_VALUE"""),131.10000000000002)</f>
        <v>131.1</v>
      </c>
      <c r="H226" s="17">
        <f>IFERROR(__xludf.DUMMYFUNCTION("""COMPUTED_VALUE"""),40087.0)</f>
        <v>40087</v>
      </c>
      <c r="I226" s="19">
        <f>IFERROR(__xludf.DUMMYFUNCTION("""COMPUTED_VALUE"""),6.088888888888889)</f>
        <v>6.088888889</v>
      </c>
      <c r="J226" s="21">
        <f>IFERROR(__xludf.DUMMYFUNCTION("""COMPUTED_VALUE"""),75.0)</f>
        <v>75</v>
      </c>
      <c r="K226" s="23">
        <f>IFERROR(__xludf.DUMMYFUNCTION("""COMPUTED_VALUE"""),7.9)</f>
        <v>7.9</v>
      </c>
      <c r="L226" s="24">
        <f>IFERROR(__xludf.DUMMYFUNCTION("""COMPUTED_VALUE"""),2.0)</f>
        <v>2</v>
      </c>
      <c r="M226" s="25" t="str">
        <f>IFERROR(__xludf.DUMMYFUNCTION("""COMPUTED_VALUE"""),"Adventure")</f>
        <v>Adventure</v>
      </c>
      <c r="N226" s="25" t="str">
        <f>IFERROR(__xludf.DUMMYFUNCTION("""COMPUTED_VALUE"""),"PS3")</f>
        <v>PS3</v>
      </c>
      <c r="O226" s="26" t="str">
        <f>IFERROR(__xludf.DUMMYFUNCTION("""COMPUTED_VALUE"""),"Yes")</f>
        <v>Yes</v>
      </c>
      <c r="P226" s="26" t="str">
        <f>IFERROR(__xludf.DUMMYFUNCTION("""COMPUTED_VALUE"""),"")</f>
        <v/>
      </c>
    </row>
    <row r="227">
      <c r="A227" s="13" t="str">
        <f>IFERROR(__xludf.DUMMYFUNCTION("""COMPUTED_VALUE"""),"Sam &amp; Max Beyond Time and Space: Episode 5 - What's New Beelzebub?")</f>
        <v>Sam &amp; Max Beyond Time and Space: Episode 5 - What's New Beelzebub?</v>
      </c>
      <c r="B227" s="15" t="str">
        <f>IFERROR(__xludf.DUMMYFUNCTION("""COMPUTED_VALUE"""),"PS5/PS4")</f>
        <v>PS5/PS4</v>
      </c>
      <c r="C227" s="16" t="str">
        <f>IFERROR(__xludf.DUMMYFUNCTION("""COMPUTED_VALUE"""),"Premium (Streaming Only)")</f>
        <v>Premium (Streaming Only)</v>
      </c>
      <c r="D227" s="15" t="str">
        <f>IFERROR(__xludf.DUMMYFUNCTION("""COMPUTED_VALUE"""),"Active")</f>
        <v>Active</v>
      </c>
      <c r="E227" s="17">
        <f>IFERROR(__xludf.DUMMYFUNCTION("""COMPUTED_VALUE"""),42311.0)</f>
        <v>42311</v>
      </c>
      <c r="F227" s="54"/>
      <c r="G227" s="19">
        <f>IFERROR(__xludf.DUMMYFUNCTION("""COMPUTED_VALUE"""),131.10000000000002)</f>
        <v>131.1</v>
      </c>
      <c r="H227" s="17">
        <f>IFERROR(__xludf.DUMMYFUNCTION("""COMPUTED_VALUE"""),40087.0)</f>
        <v>40087</v>
      </c>
      <c r="I227" s="19">
        <f>IFERROR(__xludf.DUMMYFUNCTION("""COMPUTED_VALUE"""),6.088888888888889)</f>
        <v>6.088888889</v>
      </c>
      <c r="J227" s="21">
        <f>IFERROR(__xludf.DUMMYFUNCTION("""COMPUTED_VALUE"""),75.0)</f>
        <v>75</v>
      </c>
      <c r="K227" s="23">
        <f>IFERROR(__xludf.DUMMYFUNCTION("""COMPUTED_VALUE"""),8.1)</f>
        <v>8.1</v>
      </c>
      <c r="L227" s="24">
        <f>IFERROR(__xludf.DUMMYFUNCTION("""COMPUTED_VALUE"""),2.0)</f>
        <v>2</v>
      </c>
      <c r="M227" s="25" t="str">
        <f>IFERROR(__xludf.DUMMYFUNCTION("""COMPUTED_VALUE"""),"Adventure")</f>
        <v>Adventure</v>
      </c>
      <c r="N227" s="25" t="str">
        <f>IFERROR(__xludf.DUMMYFUNCTION("""COMPUTED_VALUE"""),"PS3")</f>
        <v>PS3</v>
      </c>
      <c r="O227" s="26" t="str">
        <f>IFERROR(__xludf.DUMMYFUNCTION("""COMPUTED_VALUE"""),"Yes")</f>
        <v>Yes</v>
      </c>
      <c r="P227" s="26" t="str">
        <f>IFERROR(__xludf.DUMMYFUNCTION("""COMPUTED_VALUE"""),"")</f>
        <v/>
      </c>
    </row>
    <row r="228">
      <c r="A228" s="13" t="str">
        <f>IFERROR(__xludf.DUMMYFUNCTION("""COMPUTED_VALUE"""),"Penny Arcade Adventures: On the Rain-Slick Precipice of Darkness - Episode Two")</f>
        <v>Penny Arcade Adventures: On the Rain-Slick Precipice of Darkness - Episode Two</v>
      </c>
      <c r="B228" s="15" t="str">
        <f>IFERROR(__xludf.DUMMYFUNCTION("""COMPUTED_VALUE"""),"PS5/PS4")</f>
        <v>PS5/PS4</v>
      </c>
      <c r="C228" s="16" t="str">
        <f>IFERROR(__xludf.DUMMYFUNCTION("""COMPUTED_VALUE"""),"Premium (Streaming Only)")</f>
        <v>Premium (Streaming Only)</v>
      </c>
      <c r="D228" s="15" t="str">
        <f>IFERROR(__xludf.DUMMYFUNCTION("""COMPUTED_VALUE"""),"Active")</f>
        <v>Active</v>
      </c>
      <c r="E228" s="17">
        <f>IFERROR(__xludf.DUMMYFUNCTION("""COMPUTED_VALUE"""),42017.0)</f>
        <v>42017</v>
      </c>
      <c r="F228" s="54"/>
      <c r="G228" s="19">
        <f>IFERROR(__xludf.DUMMYFUNCTION("""COMPUTED_VALUE"""),140.76666666666668)</f>
        <v>140.7666667</v>
      </c>
      <c r="H228" s="17">
        <f>IFERROR(__xludf.DUMMYFUNCTION("""COMPUTED_VALUE"""),39569.0)</f>
        <v>39569</v>
      </c>
      <c r="I228" s="19">
        <f>IFERROR(__xludf.DUMMYFUNCTION("""COMPUTED_VALUE"""),6.7)</f>
        <v>6.7</v>
      </c>
      <c r="J228" s="21">
        <f>IFERROR(__xludf.DUMMYFUNCTION("""COMPUTED_VALUE"""),75.0)</f>
        <v>75</v>
      </c>
      <c r="K228" s="23">
        <f>IFERROR(__xludf.DUMMYFUNCTION("""COMPUTED_VALUE"""),8.0)</f>
        <v>8</v>
      </c>
      <c r="L228" s="24">
        <f>IFERROR(__xludf.DUMMYFUNCTION("""COMPUTED_VALUE"""),6.0)</f>
        <v>6</v>
      </c>
      <c r="M228" s="25" t="str">
        <f>IFERROR(__xludf.DUMMYFUNCTION("""COMPUTED_VALUE"""),"RPG")</f>
        <v>RPG</v>
      </c>
      <c r="N228" s="25" t="str">
        <f>IFERROR(__xludf.DUMMYFUNCTION("""COMPUTED_VALUE"""),"PS3")</f>
        <v>PS3</v>
      </c>
      <c r="O228" s="26" t="str">
        <f>IFERROR(__xludf.DUMMYFUNCTION("""COMPUTED_VALUE"""),"Yes")</f>
        <v>Yes</v>
      </c>
      <c r="P228" s="26" t="str">
        <f>IFERROR(__xludf.DUMMYFUNCTION("""COMPUTED_VALUE"""),"")</f>
        <v/>
      </c>
    </row>
    <row r="229">
      <c r="A229" s="13" t="str">
        <f>IFERROR(__xludf.DUMMYFUNCTION("""COMPUTED_VALUE"""),"Resident Evil: The Umbrella Chronicles")</f>
        <v>Resident Evil: The Umbrella Chronicles</v>
      </c>
      <c r="B229" s="15" t="str">
        <f>IFERROR(__xludf.DUMMYFUNCTION("""COMPUTED_VALUE"""),"PS5/PS4")</f>
        <v>PS5/PS4</v>
      </c>
      <c r="C229" s="16" t="str">
        <f>IFERROR(__xludf.DUMMYFUNCTION("""COMPUTED_VALUE"""),"Premium (Streaming Only)")</f>
        <v>Premium (Streaming Only)</v>
      </c>
      <c r="D229" s="15" t="str">
        <f>IFERROR(__xludf.DUMMYFUNCTION("""COMPUTED_VALUE"""),"Active")</f>
        <v>Active</v>
      </c>
      <c r="E229" s="17">
        <f>IFERROR(__xludf.DUMMYFUNCTION("""COMPUTED_VALUE"""),42017.0)</f>
        <v>42017</v>
      </c>
      <c r="F229" s="54"/>
      <c r="G229" s="19">
        <f>IFERROR(__xludf.DUMMYFUNCTION("""COMPUTED_VALUE"""),140.76666666666668)</f>
        <v>140.7666667</v>
      </c>
      <c r="H229" s="17">
        <f>IFERROR(__xludf.DUMMYFUNCTION("""COMPUTED_VALUE"""),39387.0)</f>
        <v>39387</v>
      </c>
      <c r="I229" s="19">
        <f>IFERROR(__xludf.DUMMYFUNCTION("""COMPUTED_VALUE"""),7.2)</f>
        <v>7.2</v>
      </c>
      <c r="J229" s="21">
        <f>IFERROR(__xludf.DUMMYFUNCTION("""COMPUTED_VALUE"""),75.0)</f>
        <v>75</v>
      </c>
      <c r="K229" s="23">
        <f>IFERROR(__xludf.DUMMYFUNCTION("""COMPUTED_VALUE"""),8.0)</f>
        <v>8</v>
      </c>
      <c r="L229" s="24">
        <f>IFERROR(__xludf.DUMMYFUNCTION("""COMPUTED_VALUE"""),8.0)</f>
        <v>8</v>
      </c>
      <c r="M229" s="25" t="str">
        <f>IFERROR(__xludf.DUMMYFUNCTION("""COMPUTED_VALUE"""),"Shooter")</f>
        <v>Shooter</v>
      </c>
      <c r="N229" s="25" t="str">
        <f>IFERROR(__xludf.DUMMYFUNCTION("""COMPUTED_VALUE"""),"PS3")</f>
        <v>PS3</v>
      </c>
      <c r="O229" s="26" t="str">
        <f>IFERROR(__xludf.DUMMYFUNCTION("""COMPUTED_VALUE"""),"Yes")</f>
        <v>Yes</v>
      </c>
      <c r="P229" s="26" t="str">
        <f>IFERROR(__xludf.DUMMYFUNCTION("""COMPUTED_VALUE"""),"")</f>
        <v/>
      </c>
    </row>
    <row r="230">
      <c r="A230" s="13" t="str">
        <f>IFERROR(__xludf.DUMMYFUNCTION("""COMPUTED_VALUE"""),"Armored Core")</f>
        <v>Armored Core</v>
      </c>
      <c r="B230" s="15" t="str">
        <f>IFERROR(__xludf.DUMMYFUNCTION("""COMPUTED_VALUE"""),"PS5/PS4")</f>
        <v>PS5/PS4</v>
      </c>
      <c r="C230" s="16" t="str">
        <f>IFERROR(__xludf.DUMMYFUNCTION("""COMPUTED_VALUE"""),"Premium (Classics)")</f>
        <v>Premium (Classics)</v>
      </c>
      <c r="D230" s="15" t="str">
        <f>IFERROR(__xludf.DUMMYFUNCTION("""COMPUTED_VALUE"""),"Active")</f>
        <v>Active</v>
      </c>
      <c r="E230" s="17">
        <f>IFERROR(__xludf.DUMMYFUNCTION("""COMPUTED_VALUE"""),45734.0)</f>
        <v>45734</v>
      </c>
      <c r="F230" s="54"/>
      <c r="G230" s="19">
        <f>IFERROR(__xludf.DUMMYFUNCTION("""COMPUTED_VALUE"""),18.6)</f>
        <v>18.6</v>
      </c>
      <c r="H230" s="17">
        <f>IFERROR(__xludf.DUMMYFUNCTION("""COMPUTED_VALUE"""),35621.0)</f>
        <v>35621</v>
      </c>
      <c r="I230" s="19">
        <f>IFERROR(__xludf.DUMMYFUNCTION("""COMPUTED_VALUE"""),27.68888888888889)</f>
        <v>27.68888889</v>
      </c>
      <c r="J230" s="21">
        <f>IFERROR(__xludf.DUMMYFUNCTION("""COMPUTED_VALUE"""),74.0)</f>
        <v>74</v>
      </c>
      <c r="K230" s="23">
        <f>IFERROR(__xludf.DUMMYFUNCTION("""COMPUTED_VALUE"""),7.9)</f>
        <v>7.9</v>
      </c>
      <c r="L230" s="24">
        <f>IFERROR(__xludf.DUMMYFUNCTION("""COMPUTED_VALUE"""),8.0)</f>
        <v>8</v>
      </c>
      <c r="M230" s="25" t="str">
        <f>IFERROR(__xludf.DUMMYFUNCTION("""COMPUTED_VALUE"""),"RPG")</f>
        <v>RPG</v>
      </c>
      <c r="N230" s="25" t="str">
        <f>IFERROR(__xludf.DUMMYFUNCTION("""COMPUTED_VALUE"""),"PS1")</f>
        <v>PS1</v>
      </c>
      <c r="O230" s="26" t="str">
        <f>IFERROR(__xludf.DUMMYFUNCTION("""COMPUTED_VALUE"""),"Yes")</f>
        <v>Yes</v>
      </c>
      <c r="P230" s="26"/>
    </row>
    <row r="231">
      <c r="A231" s="13" t="str">
        <f>IFERROR(__xludf.DUMMYFUNCTION("""COMPUTED_VALUE"""),"Patapon 3")</f>
        <v>Patapon 3</v>
      </c>
      <c r="B231" s="15" t="str">
        <f>IFERROR(__xludf.DUMMYFUNCTION("""COMPUTED_VALUE"""),"PS5/PS4")</f>
        <v>PS5/PS4</v>
      </c>
      <c r="C231" s="16" t="str">
        <f>IFERROR(__xludf.DUMMYFUNCTION("""COMPUTED_VALUE"""),"Premium (Classics)")</f>
        <v>Premium (Classics)</v>
      </c>
      <c r="D231" s="15" t="str">
        <f>IFERROR(__xludf.DUMMYFUNCTION("""COMPUTED_VALUE"""),"Active")</f>
        <v>Active</v>
      </c>
      <c r="E231" s="17">
        <f>IFERROR(__xludf.DUMMYFUNCTION("""COMPUTED_VALUE"""),45705.0)</f>
        <v>45705</v>
      </c>
      <c r="F231" s="54"/>
      <c r="G231" s="19">
        <f>IFERROR(__xludf.DUMMYFUNCTION("""COMPUTED_VALUE"""),19.633333333333333)</f>
        <v>19.63333333</v>
      </c>
      <c r="H231" s="17">
        <f>IFERROR(__xludf.DUMMYFUNCTION("""COMPUTED_VALUE"""),40645.0)</f>
        <v>40645</v>
      </c>
      <c r="I231" s="19">
        <f>IFERROR(__xludf.DUMMYFUNCTION("""COMPUTED_VALUE"""),13.847222222222221)</f>
        <v>13.84722222</v>
      </c>
      <c r="J231" s="21">
        <f>IFERROR(__xludf.DUMMYFUNCTION("""COMPUTED_VALUE"""),74.0)</f>
        <v>74</v>
      </c>
      <c r="K231" s="23">
        <f>IFERROR(__xludf.DUMMYFUNCTION("""COMPUTED_VALUE"""),7.3)</f>
        <v>7.3</v>
      </c>
      <c r="L231" s="24">
        <f>IFERROR(__xludf.DUMMYFUNCTION("""COMPUTED_VALUE"""),26.0)</f>
        <v>26</v>
      </c>
      <c r="M231" s="25" t="str">
        <f>IFERROR(__xludf.DUMMYFUNCTION("""COMPUTED_VALUE"""),"Action-Adventure")</f>
        <v>Action-Adventure</v>
      </c>
      <c r="N231" s="25" t="str">
        <f>IFERROR(__xludf.DUMMYFUNCTION("""COMPUTED_VALUE"""),"PSP")</f>
        <v>PSP</v>
      </c>
      <c r="O231" s="26" t="str">
        <f>IFERROR(__xludf.DUMMYFUNCTION("""COMPUTED_VALUE"""),"Yes")</f>
        <v>Yes</v>
      </c>
      <c r="P231" s="26"/>
    </row>
    <row r="232">
      <c r="A232" s="13" t="str">
        <f>IFERROR(__xludf.DUMMYFUNCTION("""COMPUTED_VALUE"""),"MediEvil II")</f>
        <v>MediEvil II</v>
      </c>
      <c r="B232" s="15" t="str">
        <f>IFERROR(__xludf.DUMMYFUNCTION("""COMPUTED_VALUE"""),"PS5/PS4")</f>
        <v>PS5/PS4</v>
      </c>
      <c r="C232" s="16" t="str">
        <f>IFERROR(__xludf.DUMMYFUNCTION("""COMPUTED_VALUE"""),"Premium (Classics)")</f>
        <v>Premium (Classics)</v>
      </c>
      <c r="D232" s="15" t="str">
        <f>IFERROR(__xludf.DUMMYFUNCTION("""COMPUTED_VALUE"""),"Active")</f>
        <v>Active</v>
      </c>
      <c r="E232" s="17">
        <f>IFERROR(__xludf.DUMMYFUNCTION("""COMPUTED_VALUE"""),45678.0)</f>
        <v>45678</v>
      </c>
      <c r="F232" s="54"/>
      <c r="G232" s="19">
        <f>IFERROR(__xludf.DUMMYFUNCTION("""COMPUTED_VALUE"""),20.5)</f>
        <v>20.5</v>
      </c>
      <c r="H232" s="17">
        <f>IFERROR(__xludf.DUMMYFUNCTION("""COMPUTED_VALUE"""),36646.0)</f>
        <v>36646</v>
      </c>
      <c r="I232" s="19">
        <f>IFERROR(__xludf.DUMMYFUNCTION("""COMPUTED_VALUE"""),24.725)</f>
        <v>24.725</v>
      </c>
      <c r="J232" s="21">
        <f>IFERROR(__xludf.DUMMYFUNCTION("""COMPUTED_VALUE"""),74.0)</f>
        <v>74</v>
      </c>
      <c r="K232" s="23">
        <f>IFERROR(__xludf.DUMMYFUNCTION("""COMPUTED_VALUE"""),8.2)</f>
        <v>8.2</v>
      </c>
      <c r="L232" s="24">
        <f>IFERROR(__xludf.DUMMYFUNCTION("""COMPUTED_VALUE"""),7.0)</f>
        <v>7</v>
      </c>
      <c r="M232" s="25" t="str">
        <f>IFERROR(__xludf.DUMMYFUNCTION("""COMPUTED_VALUE"""),"Action-Adventure")</f>
        <v>Action-Adventure</v>
      </c>
      <c r="N232" s="25" t="str">
        <f>IFERROR(__xludf.DUMMYFUNCTION("""COMPUTED_VALUE"""),"PS1")</f>
        <v>PS1</v>
      </c>
      <c r="O232" s="26" t="str">
        <f>IFERROR(__xludf.DUMMYFUNCTION("""COMPUTED_VALUE"""),"Yes")</f>
        <v>Yes</v>
      </c>
      <c r="P232" s="26"/>
    </row>
    <row r="233">
      <c r="A233" s="13" t="str">
        <f>IFERROR(__xludf.DUMMYFUNCTION("""COMPUTED_VALUE"""),"Dino Crisis")</f>
        <v>Dino Crisis</v>
      </c>
      <c r="B233" s="15" t="str">
        <f>IFERROR(__xludf.DUMMYFUNCTION("""COMPUTED_VALUE"""),"PS5/PS4")</f>
        <v>PS5/PS4</v>
      </c>
      <c r="C233" s="16" t="str">
        <f>IFERROR(__xludf.DUMMYFUNCTION("""COMPUTED_VALUE"""),"Premium (Classics)")</f>
        <v>Premium (Classics)</v>
      </c>
      <c r="D233" s="15" t="str">
        <f>IFERROR(__xludf.DUMMYFUNCTION("""COMPUTED_VALUE"""),"Active")</f>
        <v>Active</v>
      </c>
      <c r="E233" s="17">
        <f>IFERROR(__xludf.DUMMYFUNCTION("""COMPUTED_VALUE"""),45580.0)</f>
        <v>45580</v>
      </c>
      <c r="F233" s="54"/>
      <c r="G233" s="19">
        <f>IFERROR(__xludf.DUMMYFUNCTION("""COMPUTED_VALUE"""),23.700000000000003)</f>
        <v>23.7</v>
      </c>
      <c r="H233" s="17">
        <f>IFERROR(__xludf.DUMMYFUNCTION("""COMPUTED_VALUE"""),36844.0)</f>
        <v>36844</v>
      </c>
      <c r="I233" s="19">
        <f>IFERROR(__xludf.DUMMYFUNCTION("""COMPUTED_VALUE"""),23.919444444444444)</f>
        <v>23.91944444</v>
      </c>
      <c r="J233" s="21">
        <f>IFERROR(__xludf.DUMMYFUNCTION("""COMPUTED_VALUE"""),74.0)</f>
        <v>74</v>
      </c>
      <c r="K233" s="23">
        <f>IFERROR(__xludf.DUMMYFUNCTION("""COMPUTED_VALUE"""),8.8)</f>
        <v>8.8</v>
      </c>
      <c r="L233" s="24">
        <f>IFERROR(__xludf.DUMMYFUNCTION("""COMPUTED_VALUE"""),7.0)</f>
        <v>7</v>
      </c>
      <c r="M233" s="25" t="str">
        <f>IFERROR(__xludf.DUMMYFUNCTION("""COMPUTED_VALUE"""),"Survival")</f>
        <v>Survival</v>
      </c>
      <c r="N233" s="25" t="str">
        <f>IFERROR(__xludf.DUMMYFUNCTION("""COMPUTED_VALUE"""),"PS1")</f>
        <v>PS1</v>
      </c>
      <c r="O233" s="26" t="str">
        <f>IFERROR(__xludf.DUMMYFUNCTION("""COMPUTED_VALUE"""),"Yes")</f>
        <v>Yes</v>
      </c>
      <c r="P233" s="26"/>
    </row>
    <row r="234">
      <c r="A234" s="13" t="str">
        <f>IFERROR(__xludf.DUMMYFUNCTION("""COMPUTED_VALUE"""),"Summoner")</f>
        <v>Summoner</v>
      </c>
      <c r="B234" s="15" t="str">
        <f>IFERROR(__xludf.DUMMYFUNCTION("""COMPUTED_VALUE"""),"PS5/PS4")</f>
        <v>PS5/PS4</v>
      </c>
      <c r="C234" s="16" t="str">
        <f>IFERROR(__xludf.DUMMYFUNCTION("""COMPUTED_VALUE"""),"Premium (Classics)")</f>
        <v>Premium (Classics)</v>
      </c>
      <c r="D234" s="15" t="str">
        <f>IFERROR(__xludf.DUMMYFUNCTION("""COMPUTED_VALUE"""),"Active")</f>
        <v>Active</v>
      </c>
      <c r="E234" s="17">
        <f>IFERROR(__xludf.DUMMYFUNCTION("""COMPUTED_VALUE"""),45489.0)</f>
        <v>45489</v>
      </c>
      <c r="F234" s="54"/>
      <c r="G234" s="19">
        <f>IFERROR(__xludf.DUMMYFUNCTION("""COMPUTED_VALUE"""),26.666666666666668)</f>
        <v>26.66666667</v>
      </c>
      <c r="H234" s="17">
        <f>IFERROR(__xludf.DUMMYFUNCTION("""COMPUTED_VALUE"""),36823.0)</f>
        <v>36823</v>
      </c>
      <c r="I234" s="19">
        <f>IFERROR(__xludf.DUMMYFUNCTION("""COMPUTED_VALUE"""),23.727777777777778)</f>
        <v>23.72777778</v>
      </c>
      <c r="J234" s="21">
        <f>IFERROR(__xludf.DUMMYFUNCTION("""COMPUTED_VALUE"""),74.0)</f>
        <v>74</v>
      </c>
      <c r="K234" s="23">
        <f>IFERROR(__xludf.DUMMYFUNCTION("""COMPUTED_VALUE"""),7.6)</f>
        <v>7.6</v>
      </c>
      <c r="L234" s="24">
        <f>IFERROR(__xludf.DUMMYFUNCTION("""COMPUTED_VALUE"""),27.0)</f>
        <v>27</v>
      </c>
      <c r="M234" s="25" t="str">
        <f>IFERROR(__xludf.DUMMYFUNCTION("""COMPUTED_VALUE"""),"RPG")</f>
        <v>RPG</v>
      </c>
      <c r="N234" s="25" t="str">
        <f>IFERROR(__xludf.DUMMYFUNCTION("""COMPUTED_VALUE"""),"PS2")</f>
        <v>PS2</v>
      </c>
      <c r="O234" s="26" t="str">
        <f>IFERROR(__xludf.DUMMYFUNCTION("""COMPUTED_VALUE"""),"Yes")</f>
        <v>Yes</v>
      </c>
      <c r="P234" s="26"/>
    </row>
    <row r="235">
      <c r="A235" s="13" t="str">
        <f>IFERROR(__xludf.DUMMYFUNCTION("""COMPUTED_VALUE"""),"The Legend of Dragoon")</f>
        <v>The Legend of Dragoon</v>
      </c>
      <c r="B235" s="15" t="str">
        <f>IFERROR(__xludf.DUMMYFUNCTION("""COMPUTED_VALUE"""),"PS5/PS4")</f>
        <v>PS5/PS4</v>
      </c>
      <c r="C235" s="16" t="str">
        <f>IFERROR(__xludf.DUMMYFUNCTION("""COMPUTED_VALUE"""),"Premium (Classics)")</f>
        <v>Premium (Classics)</v>
      </c>
      <c r="D235" s="15" t="str">
        <f>IFERROR(__xludf.DUMMYFUNCTION("""COMPUTED_VALUE"""),"Active")</f>
        <v>Active</v>
      </c>
      <c r="E235" s="17">
        <f>IFERROR(__xludf.DUMMYFUNCTION("""COMPUTED_VALUE"""),44978.0)</f>
        <v>44978</v>
      </c>
      <c r="F235" s="54"/>
      <c r="G235" s="19">
        <f>IFERROR(__xludf.DUMMYFUNCTION("""COMPUTED_VALUE"""),43.5)</f>
        <v>43.5</v>
      </c>
      <c r="H235" s="17">
        <f>IFERROR(__xludf.DUMMYFUNCTION("""COMPUTED_VALUE"""),36688.0)</f>
        <v>36688</v>
      </c>
      <c r="I235" s="19">
        <f>IFERROR(__xludf.DUMMYFUNCTION("""COMPUTED_VALUE"""),22.694444444444443)</f>
        <v>22.69444444</v>
      </c>
      <c r="J235" s="21">
        <f>IFERROR(__xludf.DUMMYFUNCTION("""COMPUTED_VALUE"""),74.0)</f>
        <v>74</v>
      </c>
      <c r="K235" s="23">
        <f>IFERROR(__xludf.DUMMYFUNCTION("""COMPUTED_VALUE"""),8.8)</f>
        <v>8.8</v>
      </c>
      <c r="L235" s="24">
        <f>IFERROR(__xludf.DUMMYFUNCTION("""COMPUTED_VALUE"""),49.0)</f>
        <v>49</v>
      </c>
      <c r="M235" s="25" t="str">
        <f>IFERROR(__xludf.DUMMYFUNCTION("""COMPUTED_VALUE"""),"RPG")</f>
        <v>RPG</v>
      </c>
      <c r="N235" s="25" t="str">
        <f>IFERROR(__xludf.DUMMYFUNCTION("""COMPUTED_VALUE"""),"PS1")</f>
        <v>PS1</v>
      </c>
      <c r="O235" s="26" t="str">
        <f>IFERROR(__xludf.DUMMYFUNCTION("""COMPUTED_VALUE"""),"Yes")</f>
        <v>Yes</v>
      </c>
      <c r="P235" s="26"/>
    </row>
    <row r="236">
      <c r="A236" s="13" t="str">
        <f>IFERROR(__xludf.DUMMYFUNCTION("""COMPUTED_VALUE"""),"High Stakes on the Vegas Strip: Poker Edition")</f>
        <v>High Stakes on the Vegas Strip: Poker Edition</v>
      </c>
      <c r="B236" s="15" t="str">
        <f>IFERROR(__xludf.DUMMYFUNCTION("""COMPUTED_VALUE"""),"PS5/PS4")</f>
        <v>PS5/PS4</v>
      </c>
      <c r="C236" s="16" t="str">
        <f>IFERROR(__xludf.DUMMYFUNCTION("""COMPUTED_VALUE"""),"Premium (Streaming Only)")</f>
        <v>Premium (Streaming Only)</v>
      </c>
      <c r="D236" s="15" t="str">
        <f>IFERROR(__xludf.DUMMYFUNCTION("""COMPUTED_VALUE"""),"Active")</f>
        <v>Active</v>
      </c>
      <c r="E236" s="17">
        <f>IFERROR(__xludf.DUMMYFUNCTION("""COMPUTED_VALUE"""),43074.0)</f>
        <v>43074</v>
      </c>
      <c r="F236" s="54"/>
      <c r="G236" s="19">
        <f>IFERROR(__xludf.DUMMYFUNCTION("""COMPUTED_VALUE"""),106.03333333333333)</f>
        <v>106.0333333</v>
      </c>
      <c r="H236" s="17">
        <f>IFERROR(__xludf.DUMMYFUNCTION("""COMPUTED_VALUE"""),39744.0)</f>
        <v>39744</v>
      </c>
      <c r="I236" s="19">
        <f>IFERROR(__xludf.DUMMYFUNCTION("""COMPUTED_VALUE"""),9.116666666666667)</f>
        <v>9.116666667</v>
      </c>
      <c r="J236" s="21">
        <f>IFERROR(__xludf.DUMMYFUNCTION("""COMPUTED_VALUE"""),74.0)</f>
        <v>74</v>
      </c>
      <c r="K236" s="23">
        <f>IFERROR(__xludf.DUMMYFUNCTION("""COMPUTED_VALUE"""),7.1)</f>
        <v>7.1</v>
      </c>
      <c r="L236" s="24"/>
      <c r="M236" s="25" t="str">
        <f>IFERROR(__xludf.DUMMYFUNCTION("""COMPUTED_VALUE"""),"Card &amp; Board")</f>
        <v>Card &amp; Board</v>
      </c>
      <c r="N236" s="25" t="str">
        <f>IFERROR(__xludf.DUMMYFUNCTION("""COMPUTED_VALUE"""),"PS3")</f>
        <v>PS3</v>
      </c>
      <c r="O236" s="26" t="str">
        <f>IFERROR(__xludf.DUMMYFUNCTION("""COMPUTED_VALUE"""),"Yes")</f>
        <v>Yes</v>
      </c>
      <c r="P236" s="26" t="str">
        <f>IFERROR(__xludf.DUMMYFUNCTION("""COMPUTED_VALUE"""),"")</f>
        <v/>
      </c>
    </row>
    <row r="237">
      <c r="A237" s="13" t="str">
        <f>IFERROR(__xludf.DUMMYFUNCTION("""COMPUTED_VALUE"""),"Disney/PIXAR Cars 2: The Video Game")</f>
        <v>Disney/PIXAR Cars 2: The Video Game</v>
      </c>
      <c r="B237" s="15" t="str">
        <f>IFERROR(__xludf.DUMMYFUNCTION("""COMPUTED_VALUE"""),"PS5/PS4")</f>
        <v>PS5/PS4</v>
      </c>
      <c r="C237" s="16" t="str">
        <f>IFERROR(__xludf.DUMMYFUNCTION("""COMPUTED_VALUE"""),"Premium (Streaming Only)")</f>
        <v>Premium (Streaming Only)</v>
      </c>
      <c r="D237" s="15" t="str">
        <f>IFERROR(__xludf.DUMMYFUNCTION("""COMPUTED_VALUE"""),"Active")</f>
        <v>Active</v>
      </c>
      <c r="E237" s="17">
        <f>IFERROR(__xludf.DUMMYFUNCTION("""COMPUTED_VALUE"""),42895.0)</f>
        <v>42895</v>
      </c>
      <c r="F237" s="54"/>
      <c r="G237" s="19">
        <f>IFERROR(__xludf.DUMMYFUNCTION("""COMPUTED_VALUE"""),111.89999999999999)</f>
        <v>111.9</v>
      </c>
      <c r="H237" s="17">
        <f>IFERROR(__xludf.DUMMYFUNCTION("""COMPUTED_VALUE"""),40695.0)</f>
        <v>40695</v>
      </c>
      <c r="I237" s="19">
        <f>IFERROR(__xludf.DUMMYFUNCTION("""COMPUTED_VALUE"""),6.022222222222222)</f>
        <v>6.022222222</v>
      </c>
      <c r="J237" s="21">
        <f>IFERROR(__xludf.DUMMYFUNCTION("""COMPUTED_VALUE"""),74.0)</f>
        <v>74</v>
      </c>
      <c r="K237" s="23">
        <f>IFERROR(__xludf.DUMMYFUNCTION("""COMPUTED_VALUE"""),7.2)</f>
        <v>7.2</v>
      </c>
      <c r="L237" s="24">
        <f>IFERROR(__xludf.DUMMYFUNCTION("""COMPUTED_VALUE"""),7.0)</f>
        <v>7</v>
      </c>
      <c r="M237" s="25" t="str">
        <f>IFERROR(__xludf.DUMMYFUNCTION("""COMPUTED_VALUE"""),"Racing")</f>
        <v>Racing</v>
      </c>
      <c r="N237" s="25" t="str">
        <f>IFERROR(__xludf.DUMMYFUNCTION("""COMPUTED_VALUE"""),"PS3")</f>
        <v>PS3</v>
      </c>
      <c r="O237" s="26" t="str">
        <f>IFERROR(__xludf.DUMMYFUNCTION("""COMPUTED_VALUE"""),"Yes")</f>
        <v>Yes</v>
      </c>
      <c r="P237" s="26" t="str">
        <f>IFERROR(__xludf.DUMMYFUNCTION("""COMPUTED_VALUE"""),"")</f>
        <v/>
      </c>
    </row>
    <row r="238">
      <c r="A238" s="13" t="str">
        <f>IFERROR(__xludf.DUMMYFUNCTION("""COMPUTED_VALUE"""),"Disgaea D2: A Brighter Darkness")</f>
        <v>Disgaea D2: A Brighter Darkness</v>
      </c>
      <c r="B238" s="15" t="str">
        <f>IFERROR(__xludf.DUMMYFUNCTION("""COMPUTED_VALUE"""),"PS5/PS4")</f>
        <v>PS5/PS4</v>
      </c>
      <c r="C238" s="16" t="str">
        <f>IFERROR(__xludf.DUMMYFUNCTION("""COMPUTED_VALUE"""),"Premium (Streaming Only)")</f>
        <v>Premium (Streaming Only)</v>
      </c>
      <c r="D238" s="15" t="str">
        <f>IFERROR(__xludf.DUMMYFUNCTION("""COMPUTED_VALUE"""),"Active")</f>
        <v>Active</v>
      </c>
      <c r="E238" s="17">
        <f>IFERROR(__xludf.DUMMYFUNCTION("""COMPUTED_VALUE"""),42584.0)</f>
        <v>42584</v>
      </c>
      <c r="F238" s="54"/>
      <c r="G238" s="19">
        <f>IFERROR(__xludf.DUMMYFUNCTION("""COMPUTED_VALUE"""),122.13333333333333)</f>
        <v>122.1333333</v>
      </c>
      <c r="H238" s="17">
        <f>IFERROR(__xludf.DUMMYFUNCTION("""COMPUTED_VALUE"""),41548.0)</f>
        <v>41548</v>
      </c>
      <c r="I238" s="19">
        <f>IFERROR(__xludf.DUMMYFUNCTION("""COMPUTED_VALUE"""),2.8361111111111112)</f>
        <v>2.836111111</v>
      </c>
      <c r="J238" s="21">
        <f>IFERROR(__xludf.DUMMYFUNCTION("""COMPUTED_VALUE"""),74.0)</f>
        <v>74</v>
      </c>
      <c r="K238" s="23">
        <f>IFERROR(__xludf.DUMMYFUNCTION("""COMPUTED_VALUE"""),7.9)</f>
        <v>7.9</v>
      </c>
      <c r="L238" s="24">
        <f>IFERROR(__xludf.DUMMYFUNCTION("""COMPUTED_VALUE"""),50.0)</f>
        <v>50</v>
      </c>
      <c r="M238" s="25" t="str">
        <f>IFERROR(__xludf.DUMMYFUNCTION("""COMPUTED_VALUE"""),"RPG")</f>
        <v>RPG</v>
      </c>
      <c r="N238" s="25" t="str">
        <f>IFERROR(__xludf.DUMMYFUNCTION("""COMPUTED_VALUE"""),"PS3")</f>
        <v>PS3</v>
      </c>
      <c r="O238" s="26" t="str">
        <f>IFERROR(__xludf.DUMMYFUNCTION("""COMPUTED_VALUE"""),"Yes")</f>
        <v>Yes</v>
      </c>
      <c r="P238" s="26" t="str">
        <f>IFERROR(__xludf.DUMMYFUNCTION("""COMPUTED_VALUE"""),"")</f>
        <v/>
      </c>
    </row>
    <row r="239">
      <c r="A239" s="13" t="str">
        <f>IFERROR(__xludf.DUMMYFUNCTION("""COMPUTED_VALUE"""),"Devil May Cry: HD Collection")</f>
        <v>Devil May Cry: HD Collection</v>
      </c>
      <c r="B239" s="15" t="str">
        <f>IFERROR(__xludf.DUMMYFUNCTION("""COMPUTED_VALUE"""),"PS5/PS4")</f>
        <v>PS5/PS4</v>
      </c>
      <c r="C239" s="16" t="str">
        <f>IFERROR(__xludf.DUMMYFUNCTION("""COMPUTED_VALUE"""),"Premium (Streaming Only)")</f>
        <v>Premium (Streaming Only)</v>
      </c>
      <c r="D239" s="15" t="str">
        <f>IFERROR(__xludf.DUMMYFUNCTION("""COMPUTED_VALUE"""),"Active")</f>
        <v>Active</v>
      </c>
      <c r="E239" s="17">
        <f>IFERROR(__xludf.DUMMYFUNCTION("""COMPUTED_VALUE"""),42466.0)</f>
        <v>42466</v>
      </c>
      <c r="F239" s="54"/>
      <c r="G239" s="19">
        <f>IFERROR(__xludf.DUMMYFUNCTION("""COMPUTED_VALUE"""),126.0)</f>
        <v>126</v>
      </c>
      <c r="H239" s="17">
        <f>IFERROR(__xludf.DUMMYFUNCTION("""COMPUTED_VALUE"""),40969.0)</f>
        <v>40969</v>
      </c>
      <c r="I239" s="19">
        <f>IFERROR(__xludf.DUMMYFUNCTION("""COMPUTED_VALUE"""),4.097222222222222)</f>
        <v>4.097222222</v>
      </c>
      <c r="J239" s="21">
        <f>IFERROR(__xludf.DUMMYFUNCTION("""COMPUTED_VALUE"""),74.0)</f>
        <v>74</v>
      </c>
      <c r="K239" s="23">
        <f>IFERROR(__xludf.DUMMYFUNCTION("""COMPUTED_VALUE"""),8.0)</f>
        <v>8</v>
      </c>
      <c r="L239" s="24">
        <f>IFERROR(__xludf.DUMMYFUNCTION("""COMPUTED_VALUE"""),30.0)</f>
        <v>30</v>
      </c>
      <c r="M239" s="25" t="str">
        <f>IFERROR(__xludf.DUMMYFUNCTION("""COMPUTED_VALUE"""),"Action-Adventure")</f>
        <v>Action-Adventure</v>
      </c>
      <c r="N239" s="25" t="str">
        <f>IFERROR(__xludf.DUMMYFUNCTION("""COMPUTED_VALUE"""),"PS3")</f>
        <v>PS3</v>
      </c>
      <c r="O239" s="26" t="str">
        <f>IFERROR(__xludf.DUMMYFUNCTION("""COMPUTED_VALUE"""),"Yes")</f>
        <v>Yes</v>
      </c>
      <c r="P239" s="26" t="str">
        <f>IFERROR(__xludf.DUMMYFUNCTION("""COMPUTED_VALUE"""),"")</f>
        <v/>
      </c>
    </row>
    <row r="240">
      <c r="A240" s="13" t="str">
        <f>IFERROR(__xludf.DUMMYFUNCTION("""COMPUTED_VALUE"""),"The Guided Fate Paradox")</f>
        <v>The Guided Fate Paradox</v>
      </c>
      <c r="B240" s="15" t="str">
        <f>IFERROR(__xludf.DUMMYFUNCTION("""COMPUTED_VALUE"""),"PS5/PS4")</f>
        <v>PS5/PS4</v>
      </c>
      <c r="C240" s="16" t="str">
        <f>IFERROR(__xludf.DUMMYFUNCTION("""COMPUTED_VALUE"""),"Premium (Streaming Only)")</f>
        <v>Premium (Streaming Only)</v>
      </c>
      <c r="D240" s="15" t="str">
        <f>IFERROR(__xludf.DUMMYFUNCTION("""COMPUTED_VALUE"""),"Active")</f>
        <v>Active</v>
      </c>
      <c r="E240" s="17">
        <f>IFERROR(__xludf.DUMMYFUNCTION("""COMPUTED_VALUE"""),42374.0)</f>
        <v>42374</v>
      </c>
      <c r="F240" s="54"/>
      <c r="G240" s="19">
        <f>IFERROR(__xludf.DUMMYFUNCTION("""COMPUTED_VALUE"""),129.03333333333333)</f>
        <v>129.0333333</v>
      </c>
      <c r="H240" s="17">
        <f>IFERROR(__xludf.DUMMYFUNCTION("""COMPUTED_VALUE"""),41579.0)</f>
        <v>41579</v>
      </c>
      <c r="I240" s="19">
        <f>IFERROR(__xludf.DUMMYFUNCTION("""COMPUTED_VALUE"""),2.1777777777777776)</f>
        <v>2.177777778</v>
      </c>
      <c r="J240" s="21">
        <f>IFERROR(__xludf.DUMMYFUNCTION("""COMPUTED_VALUE"""),74.0)</f>
        <v>74</v>
      </c>
      <c r="K240" s="23">
        <f>IFERROR(__xludf.DUMMYFUNCTION("""COMPUTED_VALUE"""),7.6)</f>
        <v>7.6</v>
      </c>
      <c r="L240" s="24">
        <f>IFERROR(__xludf.DUMMYFUNCTION("""COMPUTED_VALUE"""),35.0)</f>
        <v>35</v>
      </c>
      <c r="M240" s="25" t="str">
        <f>IFERROR(__xludf.DUMMYFUNCTION("""COMPUTED_VALUE"""),"RPG")</f>
        <v>RPG</v>
      </c>
      <c r="N240" s="25" t="str">
        <f>IFERROR(__xludf.DUMMYFUNCTION("""COMPUTED_VALUE"""),"PS3")</f>
        <v>PS3</v>
      </c>
      <c r="O240" s="26" t="str">
        <f>IFERROR(__xludf.DUMMYFUNCTION("""COMPUTED_VALUE"""),"Yes")</f>
        <v>Yes</v>
      </c>
      <c r="P240" s="26" t="str">
        <f>IFERROR(__xludf.DUMMYFUNCTION("""COMPUTED_VALUE"""),"")</f>
        <v/>
      </c>
    </row>
    <row r="241">
      <c r="A241" s="13" t="str">
        <f>IFERROR(__xludf.DUMMYFUNCTION("""COMPUTED_VALUE"""),"TOKYO JUNGLE")</f>
        <v>TOKYO JUNGLE</v>
      </c>
      <c r="B241" s="15" t="str">
        <f>IFERROR(__xludf.DUMMYFUNCTION("""COMPUTED_VALUE"""),"PS5/PS4")</f>
        <v>PS5/PS4</v>
      </c>
      <c r="C241" s="16" t="str">
        <f>IFERROR(__xludf.DUMMYFUNCTION("""COMPUTED_VALUE"""),"Premium (Streaming Only)")</f>
        <v>Premium (Streaming Only)</v>
      </c>
      <c r="D241" s="15" t="str">
        <f>IFERROR(__xludf.DUMMYFUNCTION("""COMPUTED_VALUE"""),"Active")</f>
        <v>Active</v>
      </c>
      <c r="E241" s="17">
        <f>IFERROR(__xludf.DUMMYFUNCTION("""COMPUTED_VALUE"""),42374.0)</f>
        <v>42374</v>
      </c>
      <c r="F241" s="54"/>
      <c r="G241" s="19">
        <f>IFERROR(__xludf.DUMMYFUNCTION("""COMPUTED_VALUE"""),129.03333333333333)</f>
        <v>129.0333333</v>
      </c>
      <c r="H241" s="17">
        <f>IFERROR(__xludf.DUMMYFUNCTION("""COMPUTED_VALUE"""),41153.0)</f>
        <v>41153</v>
      </c>
      <c r="I241" s="19">
        <f>IFERROR(__xludf.DUMMYFUNCTION("""COMPUTED_VALUE"""),3.3444444444444446)</f>
        <v>3.344444444</v>
      </c>
      <c r="J241" s="21">
        <f>IFERROR(__xludf.DUMMYFUNCTION("""COMPUTED_VALUE"""),74.0)</f>
        <v>74</v>
      </c>
      <c r="K241" s="23">
        <f>IFERROR(__xludf.DUMMYFUNCTION("""COMPUTED_VALUE"""),7.7)</f>
        <v>7.7</v>
      </c>
      <c r="L241" s="24">
        <f>IFERROR(__xludf.DUMMYFUNCTION("""COMPUTED_VALUE"""),10.0)</f>
        <v>10</v>
      </c>
      <c r="M241" s="25" t="str">
        <f>IFERROR(__xludf.DUMMYFUNCTION("""COMPUTED_VALUE"""),"Action-Adventure")</f>
        <v>Action-Adventure</v>
      </c>
      <c r="N241" s="25" t="str">
        <f>IFERROR(__xludf.DUMMYFUNCTION("""COMPUTED_VALUE"""),"PS3")</f>
        <v>PS3</v>
      </c>
      <c r="O241" s="26" t="str">
        <f>IFERROR(__xludf.DUMMYFUNCTION("""COMPUTED_VALUE"""),"Yes")</f>
        <v>Yes</v>
      </c>
      <c r="P241" s="26" t="str">
        <f>IFERROR(__xludf.DUMMYFUNCTION("""COMPUTED_VALUE"""),"")</f>
        <v/>
      </c>
    </row>
    <row r="242">
      <c r="A242" s="13" t="str">
        <f>IFERROR(__xludf.DUMMYFUNCTION("""COMPUTED_VALUE"""),"Hamilton's Great Adventure")</f>
        <v>Hamilton's Great Adventure</v>
      </c>
      <c r="B242" s="15" t="str">
        <f>IFERROR(__xludf.DUMMYFUNCTION("""COMPUTED_VALUE"""),"PS5/PS4")</f>
        <v>PS5/PS4</v>
      </c>
      <c r="C242" s="16" t="str">
        <f>IFERROR(__xludf.DUMMYFUNCTION("""COMPUTED_VALUE"""),"Premium (Streaming Only)")</f>
        <v>Premium (Streaming Only)</v>
      </c>
      <c r="D242" s="15" t="str">
        <f>IFERROR(__xludf.DUMMYFUNCTION("""COMPUTED_VALUE"""),"Active")</f>
        <v>Active</v>
      </c>
      <c r="E242" s="17">
        <f>IFERROR(__xludf.DUMMYFUNCTION("""COMPUTED_VALUE"""),42311.0)</f>
        <v>42311</v>
      </c>
      <c r="F242" s="71"/>
      <c r="G242" s="19">
        <f>IFERROR(__xludf.DUMMYFUNCTION("""COMPUTED_VALUE"""),131.10000000000002)</f>
        <v>131.1</v>
      </c>
      <c r="H242" s="17">
        <f>IFERROR(__xludf.DUMMYFUNCTION("""COMPUTED_VALUE"""),40756.0)</f>
        <v>40756</v>
      </c>
      <c r="I242" s="19">
        <f>IFERROR(__xludf.DUMMYFUNCTION("""COMPUTED_VALUE"""),4.2555555555555555)</f>
        <v>4.255555556</v>
      </c>
      <c r="J242" s="21">
        <f>IFERROR(__xludf.DUMMYFUNCTION("""COMPUTED_VALUE"""),74.0)</f>
        <v>74</v>
      </c>
      <c r="K242" s="23">
        <f>IFERROR(__xludf.DUMMYFUNCTION("""COMPUTED_VALUE"""),5.8)</f>
        <v>5.8</v>
      </c>
      <c r="L242" s="24">
        <f>IFERROR(__xludf.DUMMYFUNCTION("""COMPUTED_VALUE"""),5.0)</f>
        <v>5</v>
      </c>
      <c r="M242" s="25" t="str">
        <f>IFERROR(__xludf.DUMMYFUNCTION("""COMPUTED_VALUE"""),"Adventure")</f>
        <v>Adventure</v>
      </c>
      <c r="N242" s="25" t="str">
        <f>IFERROR(__xludf.DUMMYFUNCTION("""COMPUTED_VALUE"""),"PS3")</f>
        <v>PS3</v>
      </c>
      <c r="O242" s="26" t="str">
        <f>IFERROR(__xludf.DUMMYFUNCTION("""COMPUTED_VALUE"""),"Yes")</f>
        <v>Yes</v>
      </c>
      <c r="P242" s="26" t="str">
        <f>IFERROR(__xludf.DUMMYFUNCTION("""COMPUTED_VALUE"""),"")</f>
        <v/>
      </c>
    </row>
    <row r="243">
      <c r="A243" s="13" t="str">
        <f>IFERROR(__xludf.DUMMYFUNCTION("""COMPUTED_VALUE"""),"DEAD OR ALIVE 5")</f>
        <v>DEAD OR ALIVE 5</v>
      </c>
      <c r="B243" s="15" t="str">
        <f>IFERROR(__xludf.DUMMYFUNCTION("""COMPUTED_VALUE"""),"PS5/PS4")</f>
        <v>PS5/PS4</v>
      </c>
      <c r="C243" s="16" t="str">
        <f>IFERROR(__xludf.DUMMYFUNCTION("""COMPUTED_VALUE"""),"Premium (Streaming Only)")</f>
        <v>Premium (Streaming Only)</v>
      </c>
      <c r="D243" s="15" t="str">
        <f>IFERROR(__xludf.DUMMYFUNCTION("""COMPUTED_VALUE"""),"Active")</f>
        <v>Active</v>
      </c>
      <c r="E243" s="17">
        <f>IFERROR(__xludf.DUMMYFUNCTION("""COMPUTED_VALUE"""),42017.0)</f>
        <v>42017</v>
      </c>
      <c r="F243" s="54"/>
      <c r="G243" s="19">
        <f>IFERROR(__xludf.DUMMYFUNCTION("""COMPUTED_VALUE"""),140.76666666666668)</f>
        <v>140.7666667</v>
      </c>
      <c r="H243" s="17">
        <f>IFERROR(__xludf.DUMMYFUNCTION("""COMPUTED_VALUE"""),41153.0)</f>
        <v>41153</v>
      </c>
      <c r="I243" s="19">
        <f>IFERROR(__xludf.DUMMYFUNCTION("""COMPUTED_VALUE"""),2.3666666666666667)</f>
        <v>2.366666667</v>
      </c>
      <c r="J243" s="21">
        <f>IFERROR(__xludf.DUMMYFUNCTION("""COMPUTED_VALUE"""),74.0)</f>
        <v>74</v>
      </c>
      <c r="K243" s="23">
        <f>IFERROR(__xludf.DUMMYFUNCTION("""COMPUTED_VALUE"""),7.7)</f>
        <v>7.7</v>
      </c>
      <c r="L243" s="24"/>
      <c r="M243" s="25" t="str">
        <f>IFERROR(__xludf.DUMMYFUNCTION("""COMPUTED_VALUE"""),"Fighting")</f>
        <v>Fighting</v>
      </c>
      <c r="N243" s="25" t="str">
        <f>IFERROR(__xludf.DUMMYFUNCTION("""COMPUTED_VALUE"""),"PS3")</f>
        <v>PS3</v>
      </c>
      <c r="O243" s="26" t="str">
        <f>IFERROR(__xludf.DUMMYFUNCTION("""COMPUTED_VALUE"""),"Yes")</f>
        <v>Yes</v>
      </c>
      <c r="P243" s="26" t="str">
        <f>IFERROR(__xludf.DUMMYFUNCTION("""COMPUTED_VALUE"""),"Yes")</f>
        <v>Yes</v>
      </c>
    </row>
    <row r="244">
      <c r="A244" s="13" t="str">
        <f>IFERROR(__xludf.DUMMYFUNCTION("""COMPUTED_VALUE"""),"MX vs. ATV: Reflex")</f>
        <v>MX vs. ATV: Reflex</v>
      </c>
      <c r="B244" s="15" t="str">
        <f>IFERROR(__xludf.DUMMYFUNCTION("""COMPUTED_VALUE"""),"PS5/PS4")</f>
        <v>PS5/PS4</v>
      </c>
      <c r="C244" s="16" t="str">
        <f>IFERROR(__xludf.DUMMYFUNCTION("""COMPUTED_VALUE"""),"Premium (Streaming Only)")</f>
        <v>Premium (Streaming Only)</v>
      </c>
      <c r="D244" s="15" t="str">
        <f>IFERROR(__xludf.DUMMYFUNCTION("""COMPUTED_VALUE"""),"Active")</f>
        <v>Active</v>
      </c>
      <c r="E244" s="17">
        <f>IFERROR(__xludf.DUMMYFUNCTION("""COMPUTED_VALUE"""),42017.0)</f>
        <v>42017</v>
      </c>
      <c r="F244" s="54"/>
      <c r="G244" s="19">
        <f>IFERROR(__xludf.DUMMYFUNCTION("""COMPUTED_VALUE"""),140.76666666666668)</f>
        <v>140.7666667</v>
      </c>
      <c r="H244" s="17">
        <f>IFERROR(__xludf.DUMMYFUNCTION("""COMPUTED_VALUE"""),40148.0)</f>
        <v>40148</v>
      </c>
      <c r="I244" s="19">
        <f>IFERROR(__xludf.DUMMYFUNCTION("""COMPUTED_VALUE"""),5.116666666666666)</f>
        <v>5.116666667</v>
      </c>
      <c r="J244" s="21">
        <f>IFERROR(__xludf.DUMMYFUNCTION("""COMPUTED_VALUE"""),74.0)</f>
        <v>74</v>
      </c>
      <c r="K244" s="23">
        <f>IFERROR(__xludf.DUMMYFUNCTION("""COMPUTED_VALUE"""),7.4)</f>
        <v>7.4</v>
      </c>
      <c r="L244" s="24">
        <f>IFERROR(__xludf.DUMMYFUNCTION("""COMPUTED_VALUE"""),10.0)</f>
        <v>10</v>
      </c>
      <c r="M244" s="25" t="str">
        <f>IFERROR(__xludf.DUMMYFUNCTION("""COMPUTED_VALUE"""),"Racing")</f>
        <v>Racing</v>
      </c>
      <c r="N244" s="25" t="str">
        <f>IFERROR(__xludf.DUMMYFUNCTION("""COMPUTED_VALUE"""),"PS3")</f>
        <v>PS3</v>
      </c>
      <c r="O244" s="26" t="str">
        <f>IFERROR(__xludf.DUMMYFUNCTION("""COMPUTED_VALUE"""),"Yes")</f>
        <v>Yes</v>
      </c>
      <c r="P244" s="26" t="str">
        <f>IFERROR(__xludf.DUMMYFUNCTION("""COMPUTED_VALUE"""),"")</f>
        <v/>
      </c>
    </row>
    <row r="245">
      <c r="A245" s="13" t="str">
        <f>IFERROR(__xludf.DUMMYFUNCTION("""COMPUTED_VALUE"""),"Rocketbirds: Hardboiled Chicken")</f>
        <v>Rocketbirds: Hardboiled Chicken</v>
      </c>
      <c r="B245" s="15" t="str">
        <f>IFERROR(__xludf.DUMMYFUNCTION("""COMPUTED_VALUE"""),"PS5/PS4")</f>
        <v>PS5/PS4</v>
      </c>
      <c r="C245" s="16" t="str">
        <f>IFERROR(__xludf.DUMMYFUNCTION("""COMPUTED_VALUE"""),"Premium (Streaming Only)")</f>
        <v>Premium (Streaming Only)</v>
      </c>
      <c r="D245" s="15" t="str">
        <f>IFERROR(__xludf.DUMMYFUNCTION("""COMPUTED_VALUE"""),"Active")</f>
        <v>Active</v>
      </c>
      <c r="E245" s="17">
        <f>IFERROR(__xludf.DUMMYFUNCTION("""COMPUTED_VALUE"""),42017.0)</f>
        <v>42017</v>
      </c>
      <c r="F245" s="54"/>
      <c r="G245" s="19">
        <f>IFERROR(__xludf.DUMMYFUNCTION("""COMPUTED_VALUE"""),140.76666666666668)</f>
        <v>140.7666667</v>
      </c>
      <c r="H245" s="17">
        <f>IFERROR(__xludf.DUMMYFUNCTION("""COMPUTED_VALUE"""),40817.0)</f>
        <v>40817</v>
      </c>
      <c r="I245" s="19">
        <f>IFERROR(__xludf.DUMMYFUNCTION("""COMPUTED_VALUE"""),3.283333333333333)</f>
        <v>3.283333333</v>
      </c>
      <c r="J245" s="21">
        <f>IFERROR(__xludf.DUMMYFUNCTION("""COMPUTED_VALUE"""),74.0)</f>
        <v>74</v>
      </c>
      <c r="K245" s="23">
        <f>IFERROR(__xludf.DUMMYFUNCTION("""COMPUTED_VALUE"""),7.1)</f>
        <v>7.1</v>
      </c>
      <c r="L245" s="24">
        <f>IFERROR(__xludf.DUMMYFUNCTION("""COMPUTED_VALUE"""),5.0)</f>
        <v>5</v>
      </c>
      <c r="M245" s="25" t="str">
        <f>IFERROR(__xludf.DUMMYFUNCTION("""COMPUTED_VALUE"""),"Action-Adventure")</f>
        <v>Action-Adventure</v>
      </c>
      <c r="N245" s="25" t="str">
        <f>IFERROR(__xludf.DUMMYFUNCTION("""COMPUTED_VALUE"""),"PS3")</f>
        <v>PS3</v>
      </c>
      <c r="O245" s="26" t="str">
        <f>IFERROR(__xludf.DUMMYFUNCTION("""COMPUTED_VALUE"""),"Yes")</f>
        <v>Yes</v>
      </c>
      <c r="P245" s="26" t="str">
        <f>IFERROR(__xludf.DUMMYFUNCTION("""COMPUTED_VALUE"""),"")</f>
        <v/>
      </c>
    </row>
    <row r="246">
      <c r="A246" s="13" t="str">
        <f>IFERROR(__xludf.DUMMYFUNCTION("""COMPUTED_VALUE"""),"Disney's Atlantis: The Lost Empire")</f>
        <v>Disney's Atlantis: The Lost Empire</v>
      </c>
      <c r="B246" s="15" t="str">
        <f>IFERROR(__xludf.DUMMYFUNCTION("""COMPUTED_VALUE"""),"PS5/PS4")</f>
        <v>PS5/PS4</v>
      </c>
      <c r="C246" s="16" t="str">
        <f>IFERROR(__xludf.DUMMYFUNCTION("""COMPUTED_VALUE"""),"Premium (Classics)")</f>
        <v>Premium (Classics)</v>
      </c>
      <c r="D246" s="15" t="str">
        <f>IFERROR(__xludf.DUMMYFUNCTION("""COMPUTED_VALUE"""),"Active")</f>
        <v>Active</v>
      </c>
      <c r="E246" s="17">
        <f>IFERROR(__xludf.DUMMYFUNCTION("""COMPUTED_VALUE"""),46252.0)</f>
        <v>46252</v>
      </c>
      <c r="F246" s="54"/>
      <c r="G246" s="19">
        <f>IFERROR(__xludf.DUMMYFUNCTION("""COMPUTED_VALUE"""),1.6)</f>
        <v>1.6</v>
      </c>
      <c r="H246" s="17">
        <f>IFERROR(__xludf.DUMMYFUNCTION("""COMPUTED_VALUE"""),37153.0)</f>
        <v>37153</v>
      </c>
      <c r="I246" s="19">
        <f>IFERROR(__xludf.DUMMYFUNCTION("""COMPUTED_VALUE"""),24.913888888888888)</f>
        <v>24.91388889</v>
      </c>
      <c r="J246" s="21">
        <f>IFERROR(__xludf.DUMMYFUNCTION("""COMPUTED_VALUE"""),73.0)</f>
        <v>73</v>
      </c>
      <c r="K246" s="23">
        <f>IFERROR(__xludf.DUMMYFUNCTION("""COMPUTED_VALUE"""),7.3)</f>
        <v>7.3</v>
      </c>
      <c r="L246" s="24">
        <f>IFERROR(__xludf.DUMMYFUNCTION("""COMPUTED_VALUE"""),6.0)</f>
        <v>6</v>
      </c>
      <c r="M246" s="25" t="str">
        <f>IFERROR(__xludf.DUMMYFUNCTION("""COMPUTED_VALUE"""),"Platformer")</f>
        <v>Platformer</v>
      </c>
      <c r="N246" s="25" t="str">
        <f>IFERROR(__xludf.DUMMYFUNCTION("""COMPUTED_VALUE"""),"PS1")</f>
        <v>PS1</v>
      </c>
      <c r="O246" s="26"/>
      <c r="P246" s="26"/>
    </row>
    <row r="247">
      <c r="A247" s="13" t="str">
        <f>IFERROR(__xludf.DUMMYFUNCTION("""COMPUTED_VALUE"""),"Star Wars: The Clone Wars")</f>
        <v>Star Wars: The Clone Wars</v>
      </c>
      <c r="B247" s="15" t="str">
        <f>IFERROR(__xludf.DUMMYFUNCTION("""COMPUTED_VALUE"""),"PS4")</f>
        <v>PS4</v>
      </c>
      <c r="C247" s="16" t="str">
        <f>IFERROR(__xludf.DUMMYFUNCTION("""COMPUTED_VALUE"""),"Premium (Classics)")</f>
        <v>Premium (Classics)</v>
      </c>
      <c r="D247" s="15" t="str">
        <f>IFERROR(__xludf.DUMMYFUNCTION("""COMPUTED_VALUE"""),"Active")</f>
        <v>Active</v>
      </c>
      <c r="E247" s="17">
        <f>IFERROR(__xludf.DUMMYFUNCTION("""COMPUTED_VALUE"""),45454.0)</f>
        <v>45454</v>
      </c>
      <c r="F247" s="54"/>
      <c r="G247" s="19">
        <f>IFERROR(__xludf.DUMMYFUNCTION("""COMPUTED_VALUE"""),27.833333333333336)</f>
        <v>27.83333333</v>
      </c>
      <c r="H247" s="17">
        <f>IFERROR(__xludf.DUMMYFUNCTION("""COMPUTED_VALUE"""),37557.0)</f>
        <v>37557</v>
      </c>
      <c r="I247" s="19">
        <f>IFERROR(__xludf.DUMMYFUNCTION("""COMPUTED_VALUE"""),21.619444444444444)</f>
        <v>21.61944444</v>
      </c>
      <c r="J247" s="21">
        <f>IFERROR(__xludf.DUMMYFUNCTION("""COMPUTED_VALUE"""),73.0)</f>
        <v>73</v>
      </c>
      <c r="K247" s="23">
        <f>IFERROR(__xludf.DUMMYFUNCTION("""COMPUTED_VALUE"""),6.8)</f>
        <v>6.8</v>
      </c>
      <c r="L247" s="24">
        <f>IFERROR(__xludf.DUMMYFUNCTION("""COMPUTED_VALUE"""),6.0)</f>
        <v>6</v>
      </c>
      <c r="M247" s="25" t="str">
        <f>IFERROR(__xludf.DUMMYFUNCTION("""COMPUTED_VALUE"""),"Shooter")</f>
        <v>Shooter</v>
      </c>
      <c r="N247" s="25" t="str">
        <f>IFERROR(__xludf.DUMMYFUNCTION("""COMPUTED_VALUE"""),"PS2")</f>
        <v>PS2</v>
      </c>
      <c r="O247" s="26" t="str">
        <f>IFERROR(__xludf.DUMMYFUNCTION("""COMPUTED_VALUE"""),"No")</f>
        <v>No</v>
      </c>
      <c r="P247" s="26"/>
    </row>
    <row r="248">
      <c r="A248" s="13" t="str">
        <f>IFERROR(__xludf.DUMMYFUNCTION("""COMPUTED_VALUE"""),"Pursuit Force: Extreme Justice")</f>
        <v>Pursuit Force: Extreme Justice</v>
      </c>
      <c r="B248" s="15" t="str">
        <f>IFERROR(__xludf.DUMMYFUNCTION("""COMPUTED_VALUE"""),"PS5/PS4")</f>
        <v>PS5/PS4</v>
      </c>
      <c r="C248" s="16" t="str">
        <f>IFERROR(__xludf.DUMMYFUNCTION("""COMPUTED_VALUE"""),"Premium (Classics)")</f>
        <v>Premium (Classics)</v>
      </c>
      <c r="D248" s="15" t="str">
        <f>IFERROR(__xludf.DUMMYFUNCTION("""COMPUTED_VALUE"""),"Active")</f>
        <v>Active</v>
      </c>
      <c r="E248" s="17">
        <f>IFERROR(__xludf.DUMMYFUNCTION("""COMPUTED_VALUE"""),45153.0)</f>
        <v>45153</v>
      </c>
      <c r="F248" s="54"/>
      <c r="G248" s="19">
        <f>IFERROR(__xludf.DUMMYFUNCTION("""COMPUTED_VALUE"""),37.7)</f>
        <v>37.7</v>
      </c>
      <c r="H248" s="17">
        <f>IFERROR(__xludf.DUMMYFUNCTION("""COMPUTED_VALUE"""),39476.0)</f>
        <v>39476</v>
      </c>
      <c r="I248" s="19">
        <f>IFERROR(__xludf.DUMMYFUNCTION("""COMPUTED_VALUE"""),15.544444444444444)</f>
        <v>15.54444444</v>
      </c>
      <c r="J248" s="21">
        <f>IFERROR(__xludf.DUMMYFUNCTION("""COMPUTED_VALUE"""),73.0)</f>
        <v>73</v>
      </c>
      <c r="K248" s="23">
        <f>IFERROR(__xludf.DUMMYFUNCTION("""COMPUTED_VALUE"""),7.7)</f>
        <v>7.7</v>
      </c>
      <c r="L248" s="24">
        <f>IFERROR(__xludf.DUMMYFUNCTION("""COMPUTED_VALUE"""),8.0)</f>
        <v>8</v>
      </c>
      <c r="M248" s="25" t="str">
        <f>IFERROR(__xludf.DUMMYFUNCTION("""COMPUTED_VALUE"""),"Simulation")</f>
        <v>Simulation</v>
      </c>
      <c r="N248" s="25" t="str">
        <f>IFERROR(__xludf.DUMMYFUNCTION("""COMPUTED_VALUE"""),"PSP")</f>
        <v>PSP</v>
      </c>
      <c r="O248" s="26" t="str">
        <f>IFERROR(__xludf.DUMMYFUNCTION("""COMPUTED_VALUE"""),"Yes")</f>
        <v>Yes</v>
      </c>
      <c r="P248" s="26"/>
    </row>
    <row r="249">
      <c r="A249" s="13" t="str">
        <f>IFERROR(__xludf.DUMMYFUNCTION("""COMPUTED_VALUE"""),"Syphon Filter 3")</f>
        <v>Syphon Filter 3</v>
      </c>
      <c r="B249" s="15" t="str">
        <f>IFERROR(__xludf.DUMMYFUNCTION("""COMPUTED_VALUE"""),"PS5/PS4")</f>
        <v>PS5/PS4</v>
      </c>
      <c r="C249" s="16" t="str">
        <f>IFERROR(__xludf.DUMMYFUNCTION("""COMPUTED_VALUE"""),"Premium (Classics)")</f>
        <v>Premium (Classics)</v>
      </c>
      <c r="D249" s="15" t="str">
        <f>IFERROR(__xludf.DUMMYFUNCTION("""COMPUTED_VALUE"""),"Active")</f>
        <v>Active</v>
      </c>
      <c r="E249" s="17">
        <f>IFERROR(__xludf.DUMMYFUNCTION("""COMPUTED_VALUE"""),44943.0)</f>
        <v>44943</v>
      </c>
      <c r="F249" s="18"/>
      <c r="G249" s="19">
        <f>IFERROR(__xludf.DUMMYFUNCTION("""COMPUTED_VALUE"""),44.63333333333333)</f>
        <v>44.63333333</v>
      </c>
      <c r="H249" s="17">
        <f>IFERROR(__xludf.DUMMYFUNCTION("""COMPUTED_VALUE"""),37200.0)</f>
        <v>37200</v>
      </c>
      <c r="I249" s="19">
        <f>IFERROR(__xludf.DUMMYFUNCTION("""COMPUTED_VALUE"""),21.2)</f>
        <v>21.2</v>
      </c>
      <c r="J249" s="21">
        <f>IFERROR(__xludf.DUMMYFUNCTION("""COMPUTED_VALUE"""),73.0)</f>
        <v>73</v>
      </c>
      <c r="K249" s="23">
        <f>IFERROR(__xludf.DUMMYFUNCTION("""COMPUTED_VALUE"""),8.6)</f>
        <v>8.6</v>
      </c>
      <c r="L249" s="24">
        <f>IFERROR(__xludf.DUMMYFUNCTION("""COMPUTED_VALUE"""),8.0)</f>
        <v>8</v>
      </c>
      <c r="M249" s="25" t="str">
        <f>IFERROR(__xludf.DUMMYFUNCTION("""COMPUTED_VALUE"""),"Shooter")</f>
        <v>Shooter</v>
      </c>
      <c r="N249" s="25" t="str">
        <f>IFERROR(__xludf.DUMMYFUNCTION("""COMPUTED_VALUE"""),"PS1")</f>
        <v>PS1</v>
      </c>
      <c r="O249" s="26" t="str">
        <f>IFERROR(__xludf.DUMMYFUNCTION("""COMPUTED_VALUE"""),"Yes")</f>
        <v>Yes</v>
      </c>
      <c r="P249" s="26"/>
    </row>
    <row r="250">
      <c r="A250" s="13" t="str">
        <f>IFERROR(__xludf.DUMMYFUNCTION("""COMPUTED_VALUE"""),"Bentley's Hackpack")</f>
        <v>Bentley's Hackpack</v>
      </c>
      <c r="B250" s="15" t="str">
        <f>IFERROR(__xludf.DUMMYFUNCTION("""COMPUTED_VALUE"""),"PS5/PS4")</f>
        <v>PS5/PS4</v>
      </c>
      <c r="C250" s="16" t="str">
        <f>IFERROR(__xludf.DUMMYFUNCTION("""COMPUTED_VALUE"""),"Premium (Streaming Only)")</f>
        <v>Premium (Streaming Only)</v>
      </c>
      <c r="D250" s="15" t="str">
        <f>IFERROR(__xludf.DUMMYFUNCTION("""COMPUTED_VALUE"""),"Active")</f>
        <v>Active</v>
      </c>
      <c r="E250" s="17">
        <f>IFERROR(__xludf.DUMMYFUNCTION("""COMPUTED_VALUE"""),44824.0)</f>
        <v>44824</v>
      </c>
      <c r="F250" s="54"/>
      <c r="G250" s="19">
        <f>IFERROR(__xludf.DUMMYFUNCTION("""COMPUTED_VALUE"""),48.53333333333333)</f>
        <v>48.53333333</v>
      </c>
      <c r="H250" s="17">
        <f>IFERROR(__xludf.DUMMYFUNCTION("""COMPUTED_VALUE"""),41310.0)</f>
        <v>41310</v>
      </c>
      <c r="I250" s="19">
        <f>IFERROR(__xludf.DUMMYFUNCTION("""COMPUTED_VALUE"""),9.625)</f>
        <v>9.625</v>
      </c>
      <c r="J250" s="21">
        <f>IFERROR(__xludf.DUMMYFUNCTION("""COMPUTED_VALUE"""),73.0)</f>
        <v>73</v>
      </c>
      <c r="K250" s="23">
        <f>IFERROR(__xludf.DUMMYFUNCTION("""COMPUTED_VALUE"""),7.8)</f>
        <v>7.8</v>
      </c>
      <c r="L250" s="24">
        <f>IFERROR(__xludf.DUMMYFUNCTION("""COMPUTED_VALUE"""),6.0)</f>
        <v>6</v>
      </c>
      <c r="M250" s="25" t="str">
        <f>IFERROR(__xludf.DUMMYFUNCTION("""COMPUTED_VALUE"""),"Compilation")</f>
        <v>Compilation</v>
      </c>
      <c r="N250" s="25" t="str">
        <f>IFERROR(__xludf.DUMMYFUNCTION("""COMPUTED_VALUE"""),"PS3")</f>
        <v>PS3</v>
      </c>
      <c r="O250" s="26" t="str">
        <f>IFERROR(__xludf.DUMMYFUNCTION("""COMPUTED_VALUE"""),"Yes")</f>
        <v>Yes</v>
      </c>
      <c r="P250" s="26"/>
    </row>
    <row r="251">
      <c r="A251" s="13" t="str">
        <f>IFERROR(__xludf.DUMMYFUNCTION("""COMPUTED_VALUE"""),"LocoRoco Midnight Carnival")</f>
        <v>LocoRoco Midnight Carnival</v>
      </c>
      <c r="B251" s="15" t="str">
        <f>IFERROR(__xludf.DUMMYFUNCTION("""COMPUTED_VALUE"""),"PS5")</f>
        <v>PS5</v>
      </c>
      <c r="C251" s="16" t="str">
        <f>IFERROR(__xludf.DUMMYFUNCTION("""COMPUTED_VALUE"""),"Premium (Classics)")</f>
        <v>Premium (Classics)</v>
      </c>
      <c r="D251" s="15" t="str">
        <f>IFERROR(__xludf.DUMMYFUNCTION("""COMPUTED_VALUE"""),"Active")</f>
        <v>Active</v>
      </c>
      <c r="E251" s="17">
        <f>IFERROR(__xludf.DUMMYFUNCTION("""COMPUTED_VALUE"""),44761.0)</f>
        <v>44761</v>
      </c>
      <c r="F251" s="54"/>
      <c r="G251" s="19">
        <f>IFERROR(__xludf.DUMMYFUNCTION("""COMPUTED_VALUE"""),50.56666666666666)</f>
        <v>50.56666667</v>
      </c>
      <c r="H251" s="17">
        <f>IFERROR(__xludf.DUMMYFUNCTION("""COMPUTED_VALUE"""),40115.0)</f>
        <v>40115</v>
      </c>
      <c r="I251" s="19">
        <f>IFERROR(__xludf.DUMMYFUNCTION("""COMPUTED_VALUE"""),12.722222222222221)</f>
        <v>12.72222222</v>
      </c>
      <c r="J251" s="21">
        <f>IFERROR(__xludf.DUMMYFUNCTION("""COMPUTED_VALUE"""),73.0)</f>
        <v>73</v>
      </c>
      <c r="K251" s="23">
        <f>IFERROR(__xludf.DUMMYFUNCTION("""COMPUTED_VALUE"""),7.7)</f>
        <v>7.7</v>
      </c>
      <c r="L251" s="24">
        <f>IFERROR(__xludf.DUMMYFUNCTION("""COMPUTED_VALUE"""),3.5)</f>
        <v>3.5</v>
      </c>
      <c r="M251" s="25" t="str">
        <f>IFERROR(__xludf.DUMMYFUNCTION("""COMPUTED_VALUE"""),"Puzzle")</f>
        <v>Puzzle</v>
      </c>
      <c r="N251" s="25" t="str">
        <f>IFERROR(__xludf.DUMMYFUNCTION("""COMPUTED_VALUE"""),"PSP")</f>
        <v>PSP</v>
      </c>
      <c r="O251" s="26" t="str">
        <f>IFERROR(__xludf.DUMMYFUNCTION("""COMPUTED_VALUE"""),"No")</f>
        <v>No</v>
      </c>
      <c r="P251" s="26"/>
    </row>
    <row r="252">
      <c r="A252" s="13" t="str">
        <f>IFERROR(__xludf.DUMMYFUNCTION("""COMPUTED_VALUE"""),"Primal")</f>
        <v>Primal</v>
      </c>
      <c r="B252" s="15" t="str">
        <f>IFERROR(__xludf.DUMMYFUNCTION("""COMPUTED_VALUE"""),"PS4")</f>
        <v>PS4</v>
      </c>
      <c r="C252" s="16" t="str">
        <f>IFERROR(__xludf.DUMMYFUNCTION("""COMPUTED_VALUE"""),"Premium (Classics)")</f>
        <v>Premium (Classics)</v>
      </c>
      <c r="D252" s="15" t="str">
        <f>IFERROR(__xludf.DUMMYFUNCTION("""COMPUTED_VALUE"""),"Active")</f>
        <v>Active</v>
      </c>
      <c r="E252" s="17">
        <f>IFERROR(__xludf.DUMMYFUNCTION("""COMPUTED_VALUE"""),44725.0)</f>
        <v>44725</v>
      </c>
      <c r="F252" s="54"/>
      <c r="G252" s="19">
        <f>IFERROR(__xludf.DUMMYFUNCTION("""COMPUTED_VALUE"""),51.766666666666666)</f>
        <v>51.76666667</v>
      </c>
      <c r="H252" s="17">
        <f>IFERROR(__xludf.DUMMYFUNCTION("""COMPUTED_VALUE"""),37681.0)</f>
        <v>37681</v>
      </c>
      <c r="I252" s="19">
        <f>IFERROR(__xludf.DUMMYFUNCTION("""COMPUTED_VALUE"""),19.283333333333335)</f>
        <v>19.28333333</v>
      </c>
      <c r="J252" s="21">
        <f>IFERROR(__xludf.DUMMYFUNCTION("""COMPUTED_VALUE"""),73.0)</f>
        <v>73</v>
      </c>
      <c r="K252" s="23">
        <f>IFERROR(__xludf.DUMMYFUNCTION("""COMPUTED_VALUE"""),7.5)</f>
        <v>7.5</v>
      </c>
      <c r="L252" s="24">
        <f>IFERROR(__xludf.DUMMYFUNCTION("""COMPUTED_VALUE"""),15.0)</f>
        <v>15</v>
      </c>
      <c r="M252" s="25" t="str">
        <f>IFERROR(__xludf.DUMMYFUNCTION("""COMPUTED_VALUE"""),"Action-Adventure")</f>
        <v>Action-Adventure</v>
      </c>
      <c r="N252" s="25" t="str">
        <f>IFERROR(__xludf.DUMMYFUNCTION("""COMPUTED_VALUE"""),"PS2")</f>
        <v>PS2</v>
      </c>
      <c r="O252" s="26" t="str">
        <f>IFERROR(__xludf.DUMMYFUNCTION("""COMPUTED_VALUE"""),"Yes")</f>
        <v>Yes</v>
      </c>
      <c r="P252" s="26" t="str">
        <f>IFERROR(__xludf.DUMMYFUNCTION("""COMPUTED_VALUE"""),"")</f>
        <v/>
      </c>
    </row>
    <row r="253">
      <c r="A253" s="13" t="str">
        <f>IFERROR(__xludf.DUMMYFUNCTION("""COMPUTED_VALUE"""),"Star Wars: Racer Revenge")</f>
        <v>Star Wars: Racer Revenge</v>
      </c>
      <c r="B253" s="15" t="str">
        <f>IFERROR(__xludf.DUMMYFUNCTION("""COMPUTED_VALUE"""),"PS4")</f>
        <v>PS4</v>
      </c>
      <c r="C253" s="16" t="str">
        <f>IFERROR(__xludf.DUMMYFUNCTION("""COMPUTED_VALUE"""),"Premium (Classics)")</f>
        <v>Premium (Classics)</v>
      </c>
      <c r="D253" s="15" t="str">
        <f>IFERROR(__xludf.DUMMYFUNCTION("""COMPUTED_VALUE"""),"Active")</f>
        <v>Active</v>
      </c>
      <c r="E253" s="17">
        <f>IFERROR(__xludf.DUMMYFUNCTION("""COMPUTED_VALUE"""),44725.0)</f>
        <v>44725</v>
      </c>
      <c r="F253" s="54"/>
      <c r="G253" s="19">
        <f>IFERROR(__xludf.DUMMYFUNCTION("""COMPUTED_VALUE"""),51.766666666666666)</f>
        <v>51.76666667</v>
      </c>
      <c r="H253" s="17">
        <f>IFERROR(__xludf.DUMMYFUNCTION("""COMPUTED_VALUE"""),37288.0)</f>
        <v>37288</v>
      </c>
      <c r="I253" s="19">
        <f>IFERROR(__xludf.DUMMYFUNCTION("""COMPUTED_VALUE"""),20.366666666666667)</f>
        <v>20.36666667</v>
      </c>
      <c r="J253" s="21">
        <f>IFERROR(__xludf.DUMMYFUNCTION("""COMPUTED_VALUE"""),73.0)</f>
        <v>73</v>
      </c>
      <c r="K253" s="23">
        <f>IFERROR(__xludf.DUMMYFUNCTION("""COMPUTED_VALUE"""),6.9)</f>
        <v>6.9</v>
      </c>
      <c r="L253" s="24">
        <f>IFERROR(__xludf.DUMMYFUNCTION("""COMPUTED_VALUE"""),6.0)</f>
        <v>6</v>
      </c>
      <c r="M253" s="25" t="str">
        <f>IFERROR(__xludf.DUMMYFUNCTION("""COMPUTED_VALUE"""),"Racing")</f>
        <v>Racing</v>
      </c>
      <c r="N253" s="25" t="str">
        <f>IFERROR(__xludf.DUMMYFUNCTION("""COMPUTED_VALUE"""),"PS2")</f>
        <v>PS2</v>
      </c>
      <c r="O253" s="26" t="str">
        <f>IFERROR(__xludf.DUMMYFUNCTION("""COMPUTED_VALUE"""),"Yes")</f>
        <v>Yes</v>
      </c>
      <c r="P253" s="26" t="str">
        <f>IFERROR(__xludf.DUMMYFUNCTION("""COMPUTED_VALUE"""),"")</f>
        <v/>
      </c>
    </row>
    <row r="254">
      <c r="A254" s="13" t="str">
        <f>IFERROR(__xludf.DUMMYFUNCTION("""COMPUTED_VALUE"""),"Savage Moon")</f>
        <v>Savage Moon</v>
      </c>
      <c r="B254" s="15" t="str">
        <f>IFERROR(__xludf.DUMMYFUNCTION("""COMPUTED_VALUE"""),"PS5/PS4")</f>
        <v>PS5/PS4</v>
      </c>
      <c r="C254" s="16" t="str">
        <f>IFERROR(__xludf.DUMMYFUNCTION("""COMPUTED_VALUE"""),"Premium (Streaming Only)")</f>
        <v>Premium (Streaming Only)</v>
      </c>
      <c r="D254" s="15" t="str">
        <f>IFERROR(__xludf.DUMMYFUNCTION("""COMPUTED_VALUE"""),"Active")</f>
        <v>Active</v>
      </c>
      <c r="E254" s="17">
        <f>IFERROR(__xludf.DUMMYFUNCTION("""COMPUTED_VALUE"""),42374.0)</f>
        <v>42374</v>
      </c>
      <c r="F254" s="54"/>
      <c r="G254" s="19">
        <f>IFERROR(__xludf.DUMMYFUNCTION("""COMPUTED_VALUE"""),129.03333333333333)</f>
        <v>129.0333333</v>
      </c>
      <c r="H254" s="17">
        <f>IFERROR(__xludf.DUMMYFUNCTION("""COMPUTED_VALUE"""),39814.0)</f>
        <v>39814</v>
      </c>
      <c r="I254" s="19">
        <f>IFERROR(__xludf.DUMMYFUNCTION("""COMPUTED_VALUE"""),7.011111111111111)</f>
        <v>7.011111111</v>
      </c>
      <c r="J254" s="21">
        <f>IFERROR(__xludf.DUMMYFUNCTION("""COMPUTED_VALUE"""),73.0)</f>
        <v>73</v>
      </c>
      <c r="K254" s="23">
        <f>IFERROR(__xludf.DUMMYFUNCTION("""COMPUTED_VALUE"""),7.5)</f>
        <v>7.5</v>
      </c>
      <c r="L254" s="24">
        <f>IFERROR(__xludf.DUMMYFUNCTION("""COMPUTED_VALUE"""),6.0)</f>
        <v>6</v>
      </c>
      <c r="M254" s="25" t="str">
        <f>IFERROR(__xludf.DUMMYFUNCTION("""COMPUTED_VALUE"""),"Strategy")</f>
        <v>Strategy</v>
      </c>
      <c r="N254" s="25" t="str">
        <f>IFERROR(__xludf.DUMMYFUNCTION("""COMPUTED_VALUE"""),"PS3")</f>
        <v>PS3</v>
      </c>
      <c r="O254" s="26" t="str">
        <f>IFERROR(__xludf.DUMMYFUNCTION("""COMPUTED_VALUE"""),"Yes")</f>
        <v>Yes</v>
      </c>
      <c r="P254" s="26" t="str">
        <f>IFERROR(__xludf.DUMMYFUNCTION("""COMPUTED_VALUE"""),"")</f>
        <v/>
      </c>
    </row>
    <row r="255">
      <c r="A255" s="13" t="str">
        <f>IFERROR(__xludf.DUMMYFUNCTION("""COMPUTED_VALUE"""),"Sky Fighter")</f>
        <v>Sky Fighter</v>
      </c>
      <c r="B255" s="15" t="str">
        <f>IFERROR(__xludf.DUMMYFUNCTION("""COMPUTED_VALUE"""),"PS5/PS4")</f>
        <v>PS5/PS4</v>
      </c>
      <c r="C255" s="16" t="str">
        <f>IFERROR(__xludf.DUMMYFUNCTION("""COMPUTED_VALUE"""),"Premium (Streaming Only)")</f>
        <v>Premium (Streaming Only)</v>
      </c>
      <c r="D255" s="15" t="str">
        <f>IFERROR(__xludf.DUMMYFUNCTION("""COMPUTED_VALUE"""),"Active")</f>
        <v>Active</v>
      </c>
      <c r="E255" s="17">
        <f>IFERROR(__xludf.DUMMYFUNCTION("""COMPUTED_VALUE"""),42374.0)</f>
        <v>42374</v>
      </c>
      <c r="F255" s="54"/>
      <c r="G255" s="19">
        <f>IFERROR(__xludf.DUMMYFUNCTION("""COMPUTED_VALUE"""),129.03333333333333)</f>
        <v>129.0333333</v>
      </c>
      <c r="H255" s="17">
        <f>IFERROR(__xludf.DUMMYFUNCTION("""COMPUTED_VALUE"""),40575.0)</f>
        <v>40575</v>
      </c>
      <c r="I255" s="19">
        <f>IFERROR(__xludf.DUMMYFUNCTION("""COMPUTED_VALUE"""),4.927777777777778)</f>
        <v>4.927777778</v>
      </c>
      <c r="J255" s="21">
        <f>IFERROR(__xludf.DUMMYFUNCTION("""COMPUTED_VALUE"""),73.0)</f>
        <v>73</v>
      </c>
      <c r="K255" s="23"/>
      <c r="L255" s="24">
        <f>IFERROR(__xludf.DUMMYFUNCTION("""COMPUTED_VALUE"""),3.0)</f>
        <v>3</v>
      </c>
      <c r="M255" s="25" t="str">
        <f>IFERROR(__xludf.DUMMYFUNCTION("""COMPUTED_VALUE"""),"Shooter")</f>
        <v>Shooter</v>
      </c>
      <c r="N255" s="25" t="str">
        <f>IFERROR(__xludf.DUMMYFUNCTION("""COMPUTED_VALUE"""),"PS3")</f>
        <v>PS3</v>
      </c>
      <c r="O255" s="26" t="str">
        <f>IFERROR(__xludf.DUMMYFUNCTION("""COMPUTED_VALUE"""),"Yes")</f>
        <v>Yes</v>
      </c>
      <c r="P255" s="26" t="str">
        <f>IFERROR(__xludf.DUMMYFUNCTION("""COMPUTED_VALUE"""),"")</f>
        <v/>
      </c>
    </row>
    <row r="256">
      <c r="A256" s="13" t="str">
        <f>IFERROR(__xludf.DUMMYFUNCTION("""COMPUTED_VALUE"""),"When Vikings Attack!")</f>
        <v>When Vikings Attack!</v>
      </c>
      <c r="B256" s="15" t="str">
        <f>IFERROR(__xludf.DUMMYFUNCTION("""COMPUTED_VALUE"""),"PS5/PS4")</f>
        <v>PS5/PS4</v>
      </c>
      <c r="C256" s="16" t="str">
        <f>IFERROR(__xludf.DUMMYFUNCTION("""COMPUTED_VALUE"""),"Premium (Streaming Only)")</f>
        <v>Premium (Streaming Only)</v>
      </c>
      <c r="D256" s="15" t="str">
        <f>IFERROR(__xludf.DUMMYFUNCTION("""COMPUTED_VALUE"""),"Active")</f>
        <v>Active</v>
      </c>
      <c r="E256" s="17">
        <f>IFERROR(__xludf.DUMMYFUNCTION("""COMPUTED_VALUE"""),42374.0)</f>
        <v>42374</v>
      </c>
      <c r="F256" s="54"/>
      <c r="G256" s="19">
        <f>IFERROR(__xludf.DUMMYFUNCTION("""COMPUTED_VALUE"""),129.03333333333333)</f>
        <v>129.0333333</v>
      </c>
      <c r="H256" s="17">
        <f>IFERROR(__xludf.DUMMYFUNCTION("""COMPUTED_VALUE"""),41214.0)</f>
        <v>41214</v>
      </c>
      <c r="I256" s="19">
        <f>IFERROR(__xludf.DUMMYFUNCTION("""COMPUTED_VALUE"""),3.1777777777777776)</f>
        <v>3.177777778</v>
      </c>
      <c r="J256" s="21">
        <f>IFERROR(__xludf.DUMMYFUNCTION("""COMPUTED_VALUE"""),73.0)</f>
        <v>73</v>
      </c>
      <c r="K256" s="23">
        <f>IFERROR(__xludf.DUMMYFUNCTION("""COMPUTED_VALUE"""),7.1)</f>
        <v>7.1</v>
      </c>
      <c r="L256" s="24">
        <f>IFERROR(__xludf.DUMMYFUNCTION("""COMPUTED_VALUE"""),4.0)</f>
        <v>4</v>
      </c>
      <c r="M256" s="25" t="str">
        <f>IFERROR(__xludf.DUMMYFUNCTION("""COMPUTED_VALUE"""),"Action-Adventure")</f>
        <v>Action-Adventure</v>
      </c>
      <c r="N256" s="25" t="str">
        <f>IFERROR(__xludf.DUMMYFUNCTION("""COMPUTED_VALUE"""),"PS3")</f>
        <v>PS3</v>
      </c>
      <c r="O256" s="26" t="str">
        <f>IFERROR(__xludf.DUMMYFUNCTION("""COMPUTED_VALUE"""),"Yes")</f>
        <v>Yes</v>
      </c>
      <c r="P256" s="26" t="str">
        <f>IFERROR(__xludf.DUMMYFUNCTION("""COMPUTED_VALUE"""),"")</f>
        <v/>
      </c>
    </row>
    <row r="257">
      <c r="A257" s="13" t="str">
        <f>IFERROR(__xludf.DUMMYFUNCTION("""COMPUTED_VALUE"""),"Karateka")</f>
        <v>Karateka</v>
      </c>
      <c r="B257" s="15" t="str">
        <f>IFERROR(__xludf.DUMMYFUNCTION("""COMPUTED_VALUE"""),"PS5/PS4")</f>
        <v>PS5/PS4</v>
      </c>
      <c r="C257" s="16" t="str">
        <f>IFERROR(__xludf.DUMMYFUNCTION("""COMPUTED_VALUE"""),"Premium (Streaming Only)")</f>
        <v>Premium (Streaming Only)</v>
      </c>
      <c r="D257" s="15" t="str">
        <f>IFERROR(__xludf.DUMMYFUNCTION("""COMPUTED_VALUE"""),"Active")</f>
        <v>Active</v>
      </c>
      <c r="E257" s="17">
        <f>IFERROR(__xludf.DUMMYFUNCTION("""COMPUTED_VALUE"""),42311.0)</f>
        <v>42311</v>
      </c>
      <c r="F257" s="54"/>
      <c r="G257" s="19">
        <f>IFERROR(__xludf.DUMMYFUNCTION("""COMPUTED_VALUE"""),131.10000000000002)</f>
        <v>131.1</v>
      </c>
      <c r="H257" s="17">
        <f>IFERROR(__xludf.DUMMYFUNCTION("""COMPUTED_VALUE"""),41244.0)</f>
        <v>41244</v>
      </c>
      <c r="I257" s="19">
        <f>IFERROR(__xludf.DUMMYFUNCTION("""COMPUTED_VALUE"""),2.922222222222222)</f>
        <v>2.922222222</v>
      </c>
      <c r="J257" s="21">
        <f>IFERROR(__xludf.DUMMYFUNCTION("""COMPUTED_VALUE"""),73.0)</f>
        <v>73</v>
      </c>
      <c r="K257" s="23">
        <f>IFERROR(__xludf.DUMMYFUNCTION("""COMPUTED_VALUE"""),5.8)</f>
        <v>5.8</v>
      </c>
      <c r="L257" s="24">
        <f>IFERROR(__xludf.DUMMYFUNCTION("""COMPUTED_VALUE"""),2.0)</f>
        <v>2</v>
      </c>
      <c r="M257" s="25" t="str">
        <f>IFERROR(__xludf.DUMMYFUNCTION("""COMPUTED_VALUE"""),"Action-Adventure")</f>
        <v>Action-Adventure</v>
      </c>
      <c r="N257" s="25" t="str">
        <f>IFERROR(__xludf.DUMMYFUNCTION("""COMPUTED_VALUE"""),"PS3")</f>
        <v>PS3</v>
      </c>
      <c r="O257" s="26" t="str">
        <f>IFERROR(__xludf.DUMMYFUNCTION("""COMPUTED_VALUE"""),"Yes")</f>
        <v>Yes</v>
      </c>
      <c r="P257" s="26" t="str">
        <f>IFERROR(__xludf.DUMMYFUNCTION("""COMPUTED_VALUE"""),"")</f>
        <v/>
      </c>
    </row>
    <row r="258">
      <c r="A258" s="13" t="str">
        <f>IFERROR(__xludf.DUMMYFUNCTION("""COMPUTED_VALUE"""),"Knytt Underground")</f>
        <v>Knytt Underground</v>
      </c>
      <c r="B258" s="15" t="str">
        <f>IFERROR(__xludf.DUMMYFUNCTION("""COMPUTED_VALUE"""),"PS5/PS4")</f>
        <v>PS5/PS4</v>
      </c>
      <c r="C258" s="16" t="str">
        <f>IFERROR(__xludf.DUMMYFUNCTION("""COMPUTED_VALUE"""),"Premium (Streaming Only)")</f>
        <v>Premium (Streaming Only)</v>
      </c>
      <c r="D258" s="15" t="str">
        <f>IFERROR(__xludf.DUMMYFUNCTION("""COMPUTED_VALUE"""),"Active")</f>
        <v>Active</v>
      </c>
      <c r="E258" s="17">
        <f>IFERROR(__xludf.DUMMYFUNCTION("""COMPUTED_VALUE"""),42311.0)</f>
        <v>42311</v>
      </c>
      <c r="F258" s="54"/>
      <c r="G258" s="19">
        <f>IFERROR(__xludf.DUMMYFUNCTION("""COMPUTED_VALUE"""),131.10000000000002)</f>
        <v>131.1</v>
      </c>
      <c r="H258" s="17">
        <f>IFERROR(__xludf.DUMMYFUNCTION("""COMPUTED_VALUE"""),41244.0)</f>
        <v>41244</v>
      </c>
      <c r="I258" s="19">
        <f>IFERROR(__xludf.DUMMYFUNCTION("""COMPUTED_VALUE"""),2.922222222222222)</f>
        <v>2.922222222</v>
      </c>
      <c r="J258" s="21">
        <f>IFERROR(__xludf.DUMMYFUNCTION("""COMPUTED_VALUE"""),73.0)</f>
        <v>73</v>
      </c>
      <c r="K258" s="23">
        <f>IFERROR(__xludf.DUMMYFUNCTION("""COMPUTED_VALUE"""),7.5)</f>
        <v>7.5</v>
      </c>
      <c r="L258" s="24">
        <f>IFERROR(__xludf.DUMMYFUNCTION("""COMPUTED_VALUE"""),12.0)</f>
        <v>12</v>
      </c>
      <c r="M258" s="25" t="str">
        <f>IFERROR(__xludf.DUMMYFUNCTION("""COMPUTED_VALUE"""),"Platformer")</f>
        <v>Platformer</v>
      </c>
      <c r="N258" s="25" t="str">
        <f>IFERROR(__xludf.DUMMYFUNCTION("""COMPUTED_VALUE"""),"PS3")</f>
        <v>PS3</v>
      </c>
      <c r="O258" s="26" t="str">
        <f>IFERROR(__xludf.DUMMYFUNCTION("""COMPUTED_VALUE"""),"Yes")</f>
        <v>Yes</v>
      </c>
      <c r="P258" s="26" t="str">
        <f>IFERROR(__xludf.DUMMYFUNCTION("""COMPUTED_VALUE"""),"")</f>
        <v/>
      </c>
    </row>
    <row r="259">
      <c r="A259" s="13" t="str">
        <f>IFERROR(__xludf.DUMMYFUNCTION("""COMPUTED_VALUE"""),"Sam &amp; Max The Devil's Playhouse: Episode 3 - They Stole Max's Brain")</f>
        <v>Sam &amp; Max The Devil's Playhouse: Episode 3 - They Stole Max's Brain</v>
      </c>
      <c r="B259" s="15" t="str">
        <f>IFERROR(__xludf.DUMMYFUNCTION("""COMPUTED_VALUE"""),"PS5/PS4")</f>
        <v>PS5/PS4</v>
      </c>
      <c r="C259" s="16" t="str">
        <f>IFERROR(__xludf.DUMMYFUNCTION("""COMPUTED_VALUE"""),"Premium (Streaming Only)")</f>
        <v>Premium (Streaming Only)</v>
      </c>
      <c r="D259" s="15" t="str">
        <f>IFERROR(__xludf.DUMMYFUNCTION("""COMPUTED_VALUE"""),"Active")</f>
        <v>Active</v>
      </c>
      <c r="E259" s="17">
        <f>IFERROR(__xludf.DUMMYFUNCTION("""COMPUTED_VALUE"""),42311.0)</f>
        <v>42311</v>
      </c>
      <c r="F259" s="54"/>
      <c r="G259" s="19">
        <f>IFERROR(__xludf.DUMMYFUNCTION("""COMPUTED_VALUE"""),131.10000000000002)</f>
        <v>131.1</v>
      </c>
      <c r="H259" s="17">
        <f>IFERROR(__xludf.DUMMYFUNCTION("""COMPUTED_VALUE"""),40391.0)</f>
        <v>40391</v>
      </c>
      <c r="I259" s="19">
        <f>IFERROR(__xludf.DUMMYFUNCTION("""COMPUTED_VALUE"""),5.2555555555555555)</f>
        <v>5.255555556</v>
      </c>
      <c r="J259" s="21">
        <f>IFERROR(__xludf.DUMMYFUNCTION("""COMPUTED_VALUE"""),73.0)</f>
        <v>73</v>
      </c>
      <c r="K259" s="23">
        <f>IFERROR(__xludf.DUMMYFUNCTION("""COMPUTED_VALUE"""),7.9)</f>
        <v>7.9</v>
      </c>
      <c r="L259" s="24">
        <f>IFERROR(__xludf.DUMMYFUNCTION("""COMPUTED_VALUE"""),3.0)</f>
        <v>3</v>
      </c>
      <c r="M259" s="25" t="str">
        <f>IFERROR(__xludf.DUMMYFUNCTION("""COMPUTED_VALUE"""),"Adventure")</f>
        <v>Adventure</v>
      </c>
      <c r="N259" s="25" t="str">
        <f>IFERROR(__xludf.DUMMYFUNCTION("""COMPUTED_VALUE"""),"PS3")</f>
        <v>PS3</v>
      </c>
      <c r="O259" s="26" t="str">
        <f>IFERROR(__xludf.DUMMYFUNCTION("""COMPUTED_VALUE"""),"Yes")</f>
        <v>Yes</v>
      </c>
      <c r="P259" s="26" t="str">
        <f>IFERROR(__xludf.DUMMYFUNCTION("""COMPUTED_VALUE"""),"")</f>
        <v/>
      </c>
    </row>
    <row r="260">
      <c r="A260" s="13" t="str">
        <f>IFERROR(__xludf.DUMMYFUNCTION("""COMPUTED_VALUE"""),"Arcana Heart 3")</f>
        <v>Arcana Heart 3</v>
      </c>
      <c r="B260" s="15" t="str">
        <f>IFERROR(__xludf.DUMMYFUNCTION("""COMPUTED_VALUE"""),"PS5/PS4")</f>
        <v>PS5/PS4</v>
      </c>
      <c r="C260" s="16" t="str">
        <f>IFERROR(__xludf.DUMMYFUNCTION("""COMPUTED_VALUE"""),"Premium (Streaming Only)")</f>
        <v>Premium (Streaming Only)</v>
      </c>
      <c r="D260" s="15" t="str">
        <f>IFERROR(__xludf.DUMMYFUNCTION("""COMPUTED_VALUE"""),"Active")</f>
        <v>Active</v>
      </c>
      <c r="E260" s="17">
        <f>IFERROR(__xludf.DUMMYFUNCTION("""COMPUTED_VALUE"""),42017.0)</f>
        <v>42017</v>
      </c>
      <c r="F260" s="54"/>
      <c r="G260" s="19">
        <f>IFERROR(__xludf.DUMMYFUNCTION("""COMPUTED_VALUE"""),140.76666666666668)</f>
        <v>140.7666667</v>
      </c>
      <c r="H260" s="17">
        <f>IFERROR(__xludf.DUMMYFUNCTION("""COMPUTED_VALUE"""),40634.0)</f>
        <v>40634</v>
      </c>
      <c r="I260" s="19">
        <f>IFERROR(__xludf.DUMMYFUNCTION("""COMPUTED_VALUE"""),3.783333333333333)</f>
        <v>3.783333333</v>
      </c>
      <c r="J260" s="21">
        <f>IFERROR(__xludf.DUMMYFUNCTION("""COMPUTED_VALUE"""),73.0)</f>
        <v>73</v>
      </c>
      <c r="K260" s="23">
        <f>IFERROR(__xludf.DUMMYFUNCTION("""COMPUTED_VALUE"""),7.2)</f>
        <v>7.2</v>
      </c>
      <c r="L260" s="24"/>
      <c r="M260" s="25" t="str">
        <f>IFERROR(__xludf.DUMMYFUNCTION("""COMPUTED_VALUE"""),"Fighting")</f>
        <v>Fighting</v>
      </c>
      <c r="N260" s="25" t="str">
        <f>IFERROR(__xludf.DUMMYFUNCTION("""COMPUTED_VALUE"""),"PS3")</f>
        <v>PS3</v>
      </c>
      <c r="O260" s="26" t="str">
        <f>IFERROR(__xludf.DUMMYFUNCTION("""COMPUTED_VALUE"""),"Yes")</f>
        <v>Yes</v>
      </c>
      <c r="P260" s="26" t="str">
        <f>IFERROR(__xludf.DUMMYFUNCTION("""COMPUTED_VALUE"""),"")</f>
        <v/>
      </c>
    </row>
    <row r="261">
      <c r="A261" s="13" t="str">
        <f>IFERROR(__xludf.DUMMYFUNCTION("""COMPUTED_VALUE"""),"Eufloria")</f>
        <v>Eufloria</v>
      </c>
      <c r="B261" s="15" t="str">
        <f>IFERROR(__xludf.DUMMYFUNCTION("""COMPUTED_VALUE"""),"PS5/PS4")</f>
        <v>PS5/PS4</v>
      </c>
      <c r="C261" s="16" t="str">
        <f>IFERROR(__xludf.DUMMYFUNCTION("""COMPUTED_VALUE"""),"Premium (Streaming Only)")</f>
        <v>Premium (Streaming Only)</v>
      </c>
      <c r="D261" s="15" t="str">
        <f>IFERROR(__xludf.DUMMYFUNCTION("""COMPUTED_VALUE"""),"Active")</f>
        <v>Active</v>
      </c>
      <c r="E261" s="17">
        <f>IFERROR(__xludf.DUMMYFUNCTION("""COMPUTED_VALUE"""),42017.0)</f>
        <v>42017</v>
      </c>
      <c r="F261" s="54"/>
      <c r="G261" s="19">
        <f>IFERROR(__xludf.DUMMYFUNCTION("""COMPUTED_VALUE"""),140.76666666666668)</f>
        <v>140.7666667</v>
      </c>
      <c r="H261" s="17">
        <f>IFERROR(__xludf.DUMMYFUNCTION("""COMPUTED_VALUE"""),40817.0)</f>
        <v>40817</v>
      </c>
      <c r="I261" s="19">
        <f>IFERROR(__xludf.DUMMYFUNCTION("""COMPUTED_VALUE"""),3.283333333333333)</f>
        <v>3.283333333</v>
      </c>
      <c r="J261" s="21">
        <f>IFERROR(__xludf.DUMMYFUNCTION("""COMPUTED_VALUE"""),73.0)</f>
        <v>73</v>
      </c>
      <c r="K261" s="23">
        <f>IFERROR(__xludf.DUMMYFUNCTION("""COMPUTED_VALUE"""),7.4)</f>
        <v>7.4</v>
      </c>
      <c r="L261" s="24">
        <f>IFERROR(__xludf.DUMMYFUNCTION("""COMPUTED_VALUE"""),7.0)</f>
        <v>7</v>
      </c>
      <c r="M261" s="72" t="str">
        <f>IFERROR(__xludf.DUMMYFUNCTION("""COMPUTED_VALUE"""),"Strategy")</f>
        <v>Strategy</v>
      </c>
      <c r="N261" s="72" t="str">
        <f>IFERROR(__xludf.DUMMYFUNCTION("""COMPUTED_VALUE"""),"PS3")</f>
        <v>PS3</v>
      </c>
      <c r="O261" s="73" t="str">
        <f>IFERROR(__xludf.DUMMYFUNCTION("""COMPUTED_VALUE"""),"Yes")</f>
        <v>Yes</v>
      </c>
      <c r="P261" s="73" t="str">
        <f>IFERROR(__xludf.DUMMYFUNCTION("""COMPUTED_VALUE"""),"")</f>
        <v/>
      </c>
    </row>
    <row r="262">
      <c r="A262" s="13" t="str">
        <f>IFERROR(__xludf.DUMMYFUNCTION("""COMPUTED_VALUE"""),"LEGO Pirates of the Caribbean: The Video Game")</f>
        <v>LEGO Pirates of the Caribbean: The Video Game</v>
      </c>
      <c r="B262" s="15" t="str">
        <f>IFERROR(__xludf.DUMMYFUNCTION("""COMPUTED_VALUE"""),"PS5/PS4")</f>
        <v>PS5/PS4</v>
      </c>
      <c r="C262" s="16" t="str">
        <f>IFERROR(__xludf.DUMMYFUNCTION("""COMPUTED_VALUE"""),"Premium (Streaming Only)")</f>
        <v>Premium (Streaming Only)</v>
      </c>
      <c r="D262" s="15" t="str">
        <f>IFERROR(__xludf.DUMMYFUNCTION("""COMPUTED_VALUE"""),"Active")</f>
        <v>Active</v>
      </c>
      <c r="E262" s="17">
        <f>IFERROR(__xludf.DUMMYFUNCTION("""COMPUTED_VALUE"""),42017.0)</f>
        <v>42017</v>
      </c>
      <c r="F262" s="18"/>
      <c r="G262" s="19">
        <f>IFERROR(__xludf.DUMMYFUNCTION("""COMPUTED_VALUE"""),140.76666666666668)</f>
        <v>140.7666667</v>
      </c>
      <c r="H262" s="17">
        <f>IFERROR(__xludf.DUMMYFUNCTION("""COMPUTED_VALUE"""),40664.0)</f>
        <v>40664</v>
      </c>
      <c r="I262" s="19">
        <f>IFERROR(__xludf.DUMMYFUNCTION("""COMPUTED_VALUE"""),3.7)</f>
        <v>3.7</v>
      </c>
      <c r="J262" s="21">
        <f>IFERROR(__xludf.DUMMYFUNCTION("""COMPUTED_VALUE"""),73.0)</f>
        <v>73</v>
      </c>
      <c r="K262" s="23">
        <f>IFERROR(__xludf.DUMMYFUNCTION("""COMPUTED_VALUE"""),7.7)</f>
        <v>7.7</v>
      </c>
      <c r="L262" s="24">
        <f>IFERROR(__xludf.DUMMYFUNCTION("""COMPUTED_VALUE"""),9.0)</f>
        <v>9</v>
      </c>
      <c r="M262" s="25" t="str">
        <f>IFERROR(__xludf.DUMMYFUNCTION("""COMPUTED_VALUE"""),"Action-Adventure")</f>
        <v>Action-Adventure</v>
      </c>
      <c r="N262" s="25" t="str">
        <f>IFERROR(__xludf.DUMMYFUNCTION("""COMPUTED_VALUE"""),"PS3")</f>
        <v>PS3</v>
      </c>
      <c r="O262" s="26" t="str">
        <f>IFERROR(__xludf.DUMMYFUNCTION("""COMPUTED_VALUE"""),"Yes")</f>
        <v>Yes</v>
      </c>
      <c r="P262" s="26" t="str">
        <f>IFERROR(__xludf.DUMMYFUNCTION("""COMPUTED_VALUE"""),"")</f>
        <v/>
      </c>
    </row>
    <row r="263">
      <c r="A263" s="13" t="str">
        <f>IFERROR(__xludf.DUMMYFUNCTION("""COMPUTED_VALUE"""),"Alone in the Dark 2")</f>
        <v>Alone in the Dark 2</v>
      </c>
      <c r="B263" s="15" t="str">
        <f>IFERROR(__xludf.DUMMYFUNCTION("""COMPUTED_VALUE"""),"PS5/PS4")</f>
        <v>PS5/PS4</v>
      </c>
      <c r="C263" s="16" t="str">
        <f>IFERROR(__xludf.DUMMYFUNCTION("""COMPUTED_VALUE"""),"Premium (Classics)")</f>
        <v>Premium (Classics)</v>
      </c>
      <c r="D263" s="15" t="str">
        <f>IFERROR(__xludf.DUMMYFUNCTION("""COMPUTED_VALUE"""),"Active")</f>
        <v>Active</v>
      </c>
      <c r="E263" s="17">
        <f>IFERROR(__xludf.DUMMYFUNCTION("""COMPUTED_VALUE"""),45762.0)</f>
        <v>45762</v>
      </c>
      <c r="F263" s="54"/>
      <c r="G263" s="19">
        <f>IFERROR(__xludf.DUMMYFUNCTION("""COMPUTED_VALUE"""),17.700000000000003)</f>
        <v>17.7</v>
      </c>
      <c r="H263" s="17">
        <f>IFERROR(__xludf.DUMMYFUNCTION("""COMPUTED_VALUE"""),34243.0)</f>
        <v>34243</v>
      </c>
      <c r="I263" s="19">
        <f>IFERROR(__xludf.DUMMYFUNCTION("""COMPUTED_VALUE"""),31.538888888888888)</f>
        <v>31.53888889</v>
      </c>
      <c r="J263" s="21">
        <f>IFERROR(__xludf.DUMMYFUNCTION("""COMPUTED_VALUE"""),72.0)</f>
        <v>72</v>
      </c>
      <c r="K263" s="23">
        <f>IFERROR(__xludf.DUMMYFUNCTION("""COMPUTED_VALUE"""),7.2)</f>
        <v>7.2</v>
      </c>
      <c r="L263" s="24">
        <f>IFERROR(__xludf.DUMMYFUNCTION("""COMPUTED_VALUE"""),4.0)</f>
        <v>4</v>
      </c>
      <c r="M263" s="25" t="str">
        <f>IFERROR(__xludf.DUMMYFUNCTION("""COMPUTED_VALUE"""),"Survival")</f>
        <v>Survival</v>
      </c>
      <c r="N263" s="25" t="str">
        <f>IFERROR(__xludf.DUMMYFUNCTION("""COMPUTED_VALUE"""),"PS1")</f>
        <v>PS1</v>
      </c>
      <c r="O263" s="26"/>
      <c r="P263" s="26"/>
    </row>
    <row r="264">
      <c r="A264" s="13" t="str">
        <f>IFERROR(__xludf.DUMMYFUNCTION("""COMPUTED_VALUE"""),"Secret Agent Clank")</f>
        <v>Secret Agent Clank</v>
      </c>
      <c r="B264" s="15" t="str">
        <f>IFERROR(__xludf.DUMMYFUNCTION("""COMPUTED_VALUE"""),"PS5/PS4")</f>
        <v>PS5/PS4</v>
      </c>
      <c r="C264" s="16" t="str">
        <f>IFERROR(__xludf.DUMMYFUNCTION("""COMPUTED_VALUE"""),"Premium (Classics)")</f>
        <v>Premium (Classics)</v>
      </c>
      <c r="D264" s="15" t="str">
        <f>IFERROR(__xludf.DUMMYFUNCTION("""COMPUTED_VALUE"""),"Active")</f>
        <v>Active</v>
      </c>
      <c r="E264" s="17">
        <f>IFERROR(__xludf.DUMMYFUNCTION("""COMPUTED_VALUE"""),45552.0)</f>
        <v>45552</v>
      </c>
      <c r="F264" s="54"/>
      <c r="G264" s="19">
        <f>IFERROR(__xludf.DUMMYFUNCTION("""COMPUTED_VALUE"""),24.633333333333333)</f>
        <v>24.63333333</v>
      </c>
      <c r="H264" s="17">
        <f>IFERROR(__xludf.DUMMYFUNCTION("""COMPUTED_VALUE"""),39616.0)</f>
        <v>39616</v>
      </c>
      <c r="I264" s="19">
        <f>IFERROR(__xludf.DUMMYFUNCTION("""COMPUTED_VALUE"""),16.25)</f>
        <v>16.25</v>
      </c>
      <c r="J264" s="21">
        <f>IFERROR(__xludf.DUMMYFUNCTION("""COMPUTED_VALUE"""),72.0)</f>
        <v>72</v>
      </c>
      <c r="K264" s="23">
        <f>IFERROR(__xludf.DUMMYFUNCTION("""COMPUTED_VALUE"""),7.4)</f>
        <v>7.4</v>
      </c>
      <c r="L264" s="24">
        <f>IFERROR(__xludf.DUMMYFUNCTION("""COMPUTED_VALUE"""),8.0)</f>
        <v>8</v>
      </c>
      <c r="M264" s="25" t="str">
        <f>IFERROR(__xludf.DUMMYFUNCTION("""COMPUTED_VALUE"""),"Platformer")</f>
        <v>Platformer</v>
      </c>
      <c r="N264" s="25" t="str">
        <f>IFERROR(__xludf.DUMMYFUNCTION("""COMPUTED_VALUE"""),"PSP")</f>
        <v>PSP</v>
      </c>
      <c r="O264" s="26" t="str">
        <f>IFERROR(__xludf.DUMMYFUNCTION("""COMPUTED_VALUE"""),"Yes")</f>
        <v>Yes</v>
      </c>
      <c r="P264" s="26"/>
    </row>
    <row r="265">
      <c r="A265" s="13" t="str">
        <f>IFERROR(__xludf.DUMMYFUNCTION("""COMPUTED_VALUE"""),"G-Police")</f>
        <v>G-Police</v>
      </c>
      <c r="B265" s="15" t="str">
        <f>IFERROR(__xludf.DUMMYFUNCTION("""COMPUTED_VALUE"""),"PS5/PS4")</f>
        <v>PS5/PS4</v>
      </c>
      <c r="C265" s="16" t="str">
        <f>IFERROR(__xludf.DUMMYFUNCTION("""COMPUTED_VALUE"""),"Premium (Classics)")</f>
        <v>Premium (Classics)</v>
      </c>
      <c r="D265" s="15" t="str">
        <f>IFERROR(__xludf.DUMMYFUNCTION("""COMPUTED_VALUE"""),"Active")</f>
        <v>Active</v>
      </c>
      <c r="E265" s="17">
        <f>IFERROR(__xludf.DUMMYFUNCTION("""COMPUTED_VALUE"""),45433.0)</f>
        <v>45433</v>
      </c>
      <c r="F265" s="54"/>
      <c r="G265" s="19">
        <f>IFERROR(__xludf.DUMMYFUNCTION("""COMPUTED_VALUE"""),28.5)</f>
        <v>28.5</v>
      </c>
      <c r="H265" s="17">
        <f>IFERROR(__xludf.DUMMYFUNCTION("""COMPUTED_VALUE"""),35703.0)</f>
        <v>35703</v>
      </c>
      <c r="I265" s="19">
        <f>IFERROR(__xludf.DUMMYFUNCTION("""COMPUTED_VALUE"""),26.641666666666666)</f>
        <v>26.64166667</v>
      </c>
      <c r="J265" s="21">
        <f>IFERROR(__xludf.DUMMYFUNCTION("""COMPUTED_VALUE"""),72.0)</f>
        <v>72</v>
      </c>
      <c r="K265" s="23">
        <f>IFERROR(__xludf.DUMMYFUNCTION("""COMPUTED_VALUE"""),7.8)</f>
        <v>7.8</v>
      </c>
      <c r="L265" s="24">
        <f>IFERROR(__xludf.DUMMYFUNCTION("""COMPUTED_VALUE"""),15.0)</f>
        <v>15</v>
      </c>
      <c r="M265" s="25" t="str">
        <f>IFERROR(__xludf.DUMMYFUNCTION("""COMPUTED_VALUE"""),"Action-Adventure")</f>
        <v>Action-Adventure</v>
      </c>
      <c r="N265" s="25" t="str">
        <f>IFERROR(__xludf.DUMMYFUNCTION("""COMPUTED_VALUE"""),"PS1")</f>
        <v>PS1</v>
      </c>
      <c r="O265" s="26" t="str">
        <f>IFERROR(__xludf.DUMMYFUNCTION("""COMPUTED_VALUE"""),"Yes")</f>
        <v>Yes</v>
      </c>
      <c r="P265" s="26"/>
    </row>
    <row r="266">
      <c r="A266" s="13" t="str">
        <f>IFERROR(__xludf.DUMMYFUNCTION("""COMPUTED_VALUE"""),"Kingdom of Paradise")</f>
        <v>Kingdom of Paradise</v>
      </c>
      <c r="B266" s="15" t="str">
        <f>IFERROR(__xludf.DUMMYFUNCTION("""COMPUTED_VALUE"""),"PS5/PS4")</f>
        <v>PS5/PS4</v>
      </c>
      <c r="C266" s="16" t="str">
        <f>IFERROR(__xludf.DUMMYFUNCTION("""COMPUTED_VALUE"""),"Premium (Classics)")</f>
        <v>Premium (Classics)</v>
      </c>
      <c r="D266" s="15" t="str">
        <f>IFERROR(__xludf.DUMMYFUNCTION("""COMPUTED_VALUE"""),"Active")</f>
        <v>Active</v>
      </c>
      <c r="E266" s="17">
        <f>IFERROR(__xludf.DUMMYFUNCTION("""COMPUTED_VALUE"""),44824.0)</f>
        <v>44824</v>
      </c>
      <c r="F266" s="54"/>
      <c r="G266" s="19">
        <f>IFERROR(__xludf.DUMMYFUNCTION("""COMPUTED_VALUE"""),48.53333333333333)</f>
        <v>48.53333333</v>
      </c>
      <c r="H266" s="17">
        <f>IFERROR(__xludf.DUMMYFUNCTION("""COMPUTED_VALUE"""),38671.0)</f>
        <v>38671</v>
      </c>
      <c r="I266" s="19">
        <f>IFERROR(__xludf.DUMMYFUNCTION("""COMPUTED_VALUE"""),16.84722222222222)</f>
        <v>16.84722222</v>
      </c>
      <c r="J266" s="21">
        <f>IFERROR(__xludf.DUMMYFUNCTION("""COMPUTED_VALUE"""),72.0)</f>
        <v>72</v>
      </c>
      <c r="K266" s="23">
        <f>IFERROR(__xludf.DUMMYFUNCTION("""COMPUTED_VALUE"""),7.5)</f>
        <v>7.5</v>
      </c>
      <c r="L266" s="24">
        <f>IFERROR(__xludf.DUMMYFUNCTION("""COMPUTED_VALUE"""),22.0)</f>
        <v>22</v>
      </c>
      <c r="M266" s="25" t="str">
        <f>IFERROR(__xludf.DUMMYFUNCTION("""COMPUTED_VALUE"""),"Action-Adventure")</f>
        <v>Action-Adventure</v>
      </c>
      <c r="N266" s="25" t="str">
        <f>IFERROR(__xludf.DUMMYFUNCTION("""COMPUTED_VALUE"""),"PSP")</f>
        <v>PSP</v>
      </c>
      <c r="O266" s="26" t="str">
        <f>IFERROR(__xludf.DUMMYFUNCTION("""COMPUTED_VALUE"""),"Yes")</f>
        <v>Yes</v>
      </c>
      <c r="P266" s="26"/>
    </row>
    <row r="267">
      <c r="A267" s="13" t="str">
        <f>IFERROR(__xludf.DUMMYFUNCTION("""COMPUTED_VALUE"""),"Arc The Lad: Twilight of the Spirits")</f>
        <v>Arc The Lad: Twilight of the Spirits</v>
      </c>
      <c r="B267" s="15" t="str">
        <f>IFERROR(__xludf.DUMMYFUNCTION("""COMPUTED_VALUE"""),"PS4")</f>
        <v>PS4</v>
      </c>
      <c r="C267" s="16" t="str">
        <f>IFERROR(__xludf.DUMMYFUNCTION("""COMPUTED_VALUE"""),"Premium (Classics)")</f>
        <v>Premium (Classics)</v>
      </c>
      <c r="D267" s="15" t="str">
        <f>IFERROR(__xludf.DUMMYFUNCTION("""COMPUTED_VALUE"""),"Active")</f>
        <v>Active</v>
      </c>
      <c r="E267" s="17">
        <f>IFERROR(__xludf.DUMMYFUNCTION("""COMPUTED_VALUE"""),44725.0)</f>
        <v>44725</v>
      </c>
      <c r="F267" s="54"/>
      <c r="G267" s="19">
        <f>IFERROR(__xludf.DUMMYFUNCTION("""COMPUTED_VALUE"""),51.766666666666666)</f>
        <v>51.76666667</v>
      </c>
      <c r="H267" s="17">
        <f>IFERROR(__xludf.DUMMYFUNCTION("""COMPUTED_VALUE"""),37773.0)</f>
        <v>37773</v>
      </c>
      <c r="I267" s="19">
        <f>IFERROR(__xludf.DUMMYFUNCTION("""COMPUTED_VALUE"""),19.033333333333335)</f>
        <v>19.03333333</v>
      </c>
      <c r="J267" s="21">
        <f>IFERROR(__xludf.DUMMYFUNCTION("""COMPUTED_VALUE"""),72.0)</f>
        <v>72</v>
      </c>
      <c r="K267" s="23">
        <f>IFERROR(__xludf.DUMMYFUNCTION("""COMPUTED_VALUE"""),8.0)</f>
        <v>8</v>
      </c>
      <c r="L267" s="24">
        <f>IFERROR(__xludf.DUMMYFUNCTION("""COMPUTED_VALUE"""),60.0)</f>
        <v>60</v>
      </c>
      <c r="M267" s="25" t="str">
        <f>IFERROR(__xludf.DUMMYFUNCTION("""COMPUTED_VALUE"""),"Turn-Based Tactics")</f>
        <v>Turn-Based Tactics</v>
      </c>
      <c r="N267" s="25" t="str">
        <f>IFERROR(__xludf.DUMMYFUNCTION("""COMPUTED_VALUE"""),"PS2")</f>
        <v>PS2</v>
      </c>
      <c r="O267" s="26" t="str">
        <f>IFERROR(__xludf.DUMMYFUNCTION("""COMPUTED_VALUE"""),"Yes")</f>
        <v>Yes</v>
      </c>
      <c r="P267" s="26" t="str">
        <f>IFERROR(__xludf.DUMMYFUNCTION("""COMPUTED_VALUE"""),"")</f>
        <v/>
      </c>
    </row>
    <row r="268">
      <c r="A268" s="13" t="str">
        <f>IFERROR(__xludf.DUMMYFUNCTION("""COMPUTED_VALUE"""),"FantaVision")</f>
        <v>FantaVision</v>
      </c>
      <c r="B268" s="15" t="str">
        <f>IFERROR(__xludf.DUMMYFUNCTION("""COMPUTED_VALUE"""),"PS4")</f>
        <v>PS4</v>
      </c>
      <c r="C268" s="16" t="str">
        <f>IFERROR(__xludf.DUMMYFUNCTION("""COMPUTED_VALUE"""),"Premium (Classics)")</f>
        <v>Premium (Classics)</v>
      </c>
      <c r="D268" s="15" t="str">
        <f>IFERROR(__xludf.DUMMYFUNCTION("""COMPUTED_VALUE"""),"Active")</f>
        <v>Active</v>
      </c>
      <c r="E268" s="17">
        <f>IFERROR(__xludf.DUMMYFUNCTION("""COMPUTED_VALUE"""),44725.0)</f>
        <v>44725</v>
      </c>
      <c r="F268" s="54"/>
      <c r="G268" s="19">
        <f>IFERROR(__xludf.DUMMYFUNCTION("""COMPUTED_VALUE"""),51.766666666666666)</f>
        <v>51.76666667</v>
      </c>
      <c r="H268" s="17">
        <f>IFERROR(__xludf.DUMMYFUNCTION("""COMPUTED_VALUE"""),36800.0)</f>
        <v>36800</v>
      </c>
      <c r="I268" s="19">
        <f>IFERROR(__xludf.DUMMYFUNCTION("""COMPUTED_VALUE"""),21.7)</f>
        <v>21.7</v>
      </c>
      <c r="J268" s="21">
        <f>IFERROR(__xludf.DUMMYFUNCTION("""COMPUTED_VALUE"""),72.0)</f>
        <v>72</v>
      </c>
      <c r="K268" s="23">
        <f>IFERROR(__xludf.DUMMYFUNCTION("""COMPUTED_VALUE"""),7.3)</f>
        <v>7.3</v>
      </c>
      <c r="L268" s="24">
        <f>IFERROR(__xludf.DUMMYFUNCTION("""COMPUTED_VALUE"""),4.0)</f>
        <v>4</v>
      </c>
      <c r="M268" s="25" t="str">
        <f>IFERROR(__xludf.DUMMYFUNCTION("""COMPUTED_VALUE"""),"Puzzle")</f>
        <v>Puzzle</v>
      </c>
      <c r="N268" s="25" t="str">
        <f>IFERROR(__xludf.DUMMYFUNCTION("""COMPUTED_VALUE"""),"PS2")</f>
        <v>PS2</v>
      </c>
      <c r="O268" s="26" t="str">
        <f>IFERROR(__xludf.DUMMYFUNCTION("""COMPUTED_VALUE"""),"Yes")</f>
        <v>Yes</v>
      </c>
      <c r="P268" s="26" t="str">
        <f>IFERROR(__xludf.DUMMYFUNCTION("""COMPUTED_VALUE"""),"")</f>
        <v/>
      </c>
    </row>
    <row r="269">
      <c r="A269" s="13" t="str">
        <f>IFERROR(__xludf.DUMMYFUNCTION("""COMPUTED_VALUE"""),"SIREN")</f>
        <v>SIREN</v>
      </c>
      <c r="B269" s="15" t="str">
        <f>IFERROR(__xludf.DUMMYFUNCTION("""COMPUTED_VALUE"""),"PS5/PS4")</f>
        <v>PS5/PS4</v>
      </c>
      <c r="C269" s="16" t="str">
        <f>IFERROR(__xludf.DUMMYFUNCTION("""COMPUTED_VALUE"""),"Premium (Classics)")</f>
        <v>Premium (Classics)</v>
      </c>
      <c r="D269" s="15" t="str">
        <f>IFERROR(__xludf.DUMMYFUNCTION("""COMPUTED_VALUE"""),"Active")</f>
        <v>Active</v>
      </c>
      <c r="E269" s="17">
        <f>IFERROR(__xludf.DUMMYFUNCTION("""COMPUTED_VALUE"""),44725.0)</f>
        <v>44725</v>
      </c>
      <c r="F269" s="54"/>
      <c r="G269" s="19">
        <f>IFERROR(__xludf.DUMMYFUNCTION("""COMPUTED_VALUE"""),51.766666666666666)</f>
        <v>51.76666667</v>
      </c>
      <c r="H269" s="17">
        <f>IFERROR(__xludf.DUMMYFUNCTION("""COMPUTED_VALUE"""),38078.0)</f>
        <v>38078</v>
      </c>
      <c r="I269" s="19">
        <f>IFERROR(__xludf.DUMMYFUNCTION("""COMPUTED_VALUE"""),18.2)</f>
        <v>18.2</v>
      </c>
      <c r="J269" s="21">
        <f>IFERROR(__xludf.DUMMYFUNCTION("""COMPUTED_VALUE"""),72.0)</f>
        <v>72</v>
      </c>
      <c r="K269" s="23">
        <f>IFERROR(__xludf.DUMMYFUNCTION("""COMPUTED_VALUE"""),8.1)</f>
        <v>8.1</v>
      </c>
      <c r="L269" s="24">
        <f>IFERROR(__xludf.DUMMYFUNCTION("""COMPUTED_VALUE"""),20.0)</f>
        <v>20</v>
      </c>
      <c r="M269" s="25" t="str">
        <f>IFERROR(__xludf.DUMMYFUNCTION("""COMPUTED_VALUE"""),"Survival")</f>
        <v>Survival</v>
      </c>
      <c r="N269" s="25" t="str">
        <f>IFERROR(__xludf.DUMMYFUNCTION("""COMPUTED_VALUE"""),"PS2")</f>
        <v>PS2</v>
      </c>
      <c r="O269" s="26" t="str">
        <f>IFERROR(__xludf.DUMMYFUNCTION("""COMPUTED_VALUE"""),"Yes")</f>
        <v>Yes</v>
      </c>
      <c r="P269" s="26" t="str">
        <f>IFERROR(__xludf.DUMMYFUNCTION("""COMPUTED_VALUE"""),"")</f>
        <v/>
      </c>
    </row>
    <row r="270">
      <c r="A270" s="13" t="str">
        <f>IFERROR(__xludf.DUMMYFUNCTION("""COMPUTED_VALUE"""),"Patapon: Remastered")</f>
        <v>Patapon: Remastered</v>
      </c>
      <c r="B270" s="15" t="str">
        <f>IFERROR(__xludf.DUMMYFUNCTION("""COMPUTED_VALUE"""),"PS4")</f>
        <v>PS4</v>
      </c>
      <c r="C270" s="16" t="str">
        <f>IFERROR(__xludf.DUMMYFUNCTION("""COMPUTED_VALUE"""),"Premium (Remasters)")</f>
        <v>Premium (Remasters)</v>
      </c>
      <c r="D270" s="15" t="str">
        <f>IFERROR(__xludf.DUMMYFUNCTION("""COMPUTED_VALUE"""),"Active")</f>
        <v>Active</v>
      </c>
      <c r="E270" s="17">
        <f>IFERROR(__xludf.DUMMYFUNCTION("""COMPUTED_VALUE"""),44725.0)</f>
        <v>44725</v>
      </c>
      <c r="F270" s="54"/>
      <c r="G270" s="19">
        <f>IFERROR(__xludf.DUMMYFUNCTION("""COMPUTED_VALUE"""),51.766666666666666)</f>
        <v>51.76666667</v>
      </c>
      <c r="H270" s="17">
        <f>IFERROR(__xludf.DUMMYFUNCTION("""COMPUTED_VALUE"""),42948.0)</f>
        <v>42948</v>
      </c>
      <c r="I270" s="19">
        <f>IFERROR(__xludf.DUMMYFUNCTION("""COMPUTED_VALUE"""),4.866666666666666)</f>
        <v>4.866666667</v>
      </c>
      <c r="J270" s="21">
        <f>IFERROR(__xludf.DUMMYFUNCTION("""COMPUTED_VALUE"""),72.0)</f>
        <v>72</v>
      </c>
      <c r="K270" s="23">
        <f>IFERROR(__xludf.DUMMYFUNCTION("""COMPUTED_VALUE"""),7.9)</f>
        <v>7.9</v>
      </c>
      <c r="L270" s="24">
        <f>IFERROR(__xludf.DUMMYFUNCTION("""COMPUTED_VALUE"""),7.0)</f>
        <v>7</v>
      </c>
      <c r="M270" s="25" t="str">
        <f>IFERROR(__xludf.DUMMYFUNCTION("""COMPUTED_VALUE"""),"Rhythm")</f>
        <v>Rhythm</v>
      </c>
      <c r="N270" s="25" t="str">
        <f>IFERROR(__xludf.DUMMYFUNCTION("""COMPUTED_VALUE"""),"PSP")</f>
        <v>PSP</v>
      </c>
      <c r="O270" s="26" t="str">
        <f>IFERROR(__xludf.DUMMYFUNCTION("""COMPUTED_VALUE"""),"No")</f>
        <v>No</v>
      </c>
      <c r="P270" s="26"/>
    </row>
    <row r="271">
      <c r="A271" s="13" t="str">
        <f>IFERROR(__xludf.DUMMYFUNCTION("""COMPUTED_VALUE"""),"The Raven: Remastered")</f>
        <v>The Raven: Remastered</v>
      </c>
      <c r="B271" s="15" t="str">
        <f>IFERROR(__xludf.DUMMYFUNCTION("""COMPUTED_VALUE"""),"PS4")</f>
        <v>PS4</v>
      </c>
      <c r="C271" s="16" t="str">
        <f>IFERROR(__xludf.DUMMYFUNCTION("""COMPUTED_VALUE"""),"Premium (Remasters)")</f>
        <v>Premium (Remasters)</v>
      </c>
      <c r="D271" s="15" t="str">
        <f>IFERROR(__xludf.DUMMYFUNCTION("""COMPUTED_VALUE"""),"Active")</f>
        <v>Active</v>
      </c>
      <c r="E271" s="17">
        <f>IFERROR(__xludf.DUMMYFUNCTION("""COMPUTED_VALUE"""),43683.0)</f>
        <v>43683</v>
      </c>
      <c r="F271" s="54"/>
      <c r="G271" s="19">
        <f>IFERROR(__xludf.DUMMYFUNCTION("""COMPUTED_VALUE"""),86.0)</f>
        <v>86</v>
      </c>
      <c r="H271" s="17">
        <f>IFERROR(__xludf.DUMMYFUNCTION("""COMPUTED_VALUE"""),43160.0)</f>
        <v>43160</v>
      </c>
      <c r="I271" s="19">
        <f>IFERROR(__xludf.DUMMYFUNCTION("""COMPUTED_VALUE"""),1.4305555555555556)</f>
        <v>1.430555556</v>
      </c>
      <c r="J271" s="21">
        <f>IFERROR(__xludf.DUMMYFUNCTION("""COMPUTED_VALUE"""),72.0)</f>
        <v>72</v>
      </c>
      <c r="K271" s="23">
        <f>IFERROR(__xludf.DUMMYFUNCTION("""COMPUTED_VALUE"""),7.3)</f>
        <v>7.3</v>
      </c>
      <c r="L271" s="24">
        <f>IFERROR(__xludf.DUMMYFUNCTION("""COMPUTED_VALUE"""),10.0)</f>
        <v>10</v>
      </c>
      <c r="M271" s="25" t="str">
        <f>IFERROR(__xludf.DUMMYFUNCTION("""COMPUTED_VALUE"""),"Point-and-Click")</f>
        <v>Point-and-Click</v>
      </c>
      <c r="N271" s="25" t="str">
        <f>IFERROR(__xludf.DUMMYFUNCTION("""COMPUTED_VALUE"""),"PS3")</f>
        <v>PS3</v>
      </c>
      <c r="O271" s="26" t="str">
        <f>IFERROR(__xludf.DUMMYFUNCTION("""COMPUTED_VALUE"""),"Yes")</f>
        <v>Yes</v>
      </c>
      <c r="P271" s="26"/>
    </row>
    <row r="272">
      <c r="A272" s="13" t="str">
        <f>IFERROR(__xludf.DUMMYFUNCTION("""COMPUTED_VALUE"""),"BEYOND: Two Souls (2016)")</f>
        <v>BEYOND: Two Souls (2016)</v>
      </c>
      <c r="B272" s="15" t="str">
        <f>IFERROR(__xludf.DUMMYFUNCTION("""COMPUTED_VALUE"""),"PS4")</f>
        <v>PS4</v>
      </c>
      <c r="C272" s="16" t="str">
        <f>IFERROR(__xludf.DUMMYFUNCTION("""COMPUTED_VALUE"""),"Premium (Remasters)")</f>
        <v>Premium (Remasters)</v>
      </c>
      <c r="D272" s="15" t="str">
        <f>IFERROR(__xludf.DUMMYFUNCTION("""COMPUTED_VALUE"""),"Active")</f>
        <v>Active</v>
      </c>
      <c r="E272" s="17">
        <f>IFERROR(__xludf.DUMMYFUNCTION("""COMPUTED_VALUE"""),42556.0)</f>
        <v>42556</v>
      </c>
      <c r="F272" s="18"/>
      <c r="G272" s="19">
        <f>IFERROR(__xludf.DUMMYFUNCTION("""COMPUTED_VALUE"""),123.03333333333333)</f>
        <v>123.0333333</v>
      </c>
      <c r="H272" s="17">
        <f>IFERROR(__xludf.DUMMYFUNCTION("""COMPUTED_VALUE"""),42309.0)</f>
        <v>42309</v>
      </c>
      <c r="I272" s="19">
        <f>IFERROR(__xludf.DUMMYFUNCTION("""COMPUTED_VALUE"""),0.6777777777777778)</f>
        <v>0.6777777778</v>
      </c>
      <c r="J272" s="21">
        <f>IFERROR(__xludf.DUMMYFUNCTION("""COMPUTED_VALUE"""),72.0)</f>
        <v>72</v>
      </c>
      <c r="K272" s="23">
        <f>IFERROR(__xludf.DUMMYFUNCTION("""COMPUTED_VALUE"""),8.0)</f>
        <v>8</v>
      </c>
      <c r="L272" s="24">
        <f>IFERROR(__xludf.DUMMYFUNCTION("""COMPUTED_VALUE"""),11.0)</f>
        <v>11</v>
      </c>
      <c r="M272" s="25" t="str">
        <f>IFERROR(__xludf.DUMMYFUNCTION("""COMPUTED_VALUE"""),"Action-Adventure")</f>
        <v>Action-Adventure</v>
      </c>
      <c r="N272" s="25" t="str">
        <f>IFERROR(__xludf.DUMMYFUNCTION("""COMPUTED_VALUE"""),"PS3")</f>
        <v>PS3</v>
      </c>
      <c r="O272" s="26" t="str">
        <f>IFERROR(__xludf.DUMMYFUNCTION("""COMPUTED_VALUE"""),"Yes")</f>
        <v>Yes</v>
      </c>
      <c r="P272" s="26"/>
    </row>
    <row r="273">
      <c r="A273" s="13" t="str">
        <f>IFERROR(__xludf.DUMMYFUNCTION("""COMPUTED_VALUE"""),"Kung Fu Rabbit")</f>
        <v>Kung Fu Rabbit</v>
      </c>
      <c r="B273" s="15" t="str">
        <f>IFERROR(__xludf.DUMMYFUNCTION("""COMPUTED_VALUE"""),"PS5/PS4")</f>
        <v>PS5/PS4</v>
      </c>
      <c r="C273" s="16" t="str">
        <f>IFERROR(__xludf.DUMMYFUNCTION("""COMPUTED_VALUE"""),"Premium (Streaming Only)")</f>
        <v>Premium (Streaming Only)</v>
      </c>
      <c r="D273" s="15" t="str">
        <f>IFERROR(__xludf.DUMMYFUNCTION("""COMPUTED_VALUE"""),"Active")</f>
        <v>Active</v>
      </c>
      <c r="E273" s="17">
        <f>IFERROR(__xludf.DUMMYFUNCTION("""COMPUTED_VALUE"""),42493.0)</f>
        <v>42493</v>
      </c>
      <c r="F273" s="18"/>
      <c r="G273" s="19">
        <f>IFERROR(__xludf.DUMMYFUNCTION("""COMPUTED_VALUE"""),125.10000000000001)</f>
        <v>125.1</v>
      </c>
      <c r="H273" s="17">
        <f>IFERROR(__xludf.DUMMYFUNCTION("""COMPUTED_VALUE"""),41395.0)</f>
        <v>41395</v>
      </c>
      <c r="I273" s="19">
        <f>IFERROR(__xludf.DUMMYFUNCTION("""COMPUTED_VALUE"""),3.0055555555555555)</f>
        <v>3.005555556</v>
      </c>
      <c r="J273" s="21">
        <f>IFERROR(__xludf.DUMMYFUNCTION("""COMPUTED_VALUE"""),72.0)</f>
        <v>72</v>
      </c>
      <c r="K273" s="23">
        <f>IFERROR(__xludf.DUMMYFUNCTION("""COMPUTED_VALUE"""),5.9)</f>
        <v>5.9</v>
      </c>
      <c r="L273" s="24">
        <f>IFERROR(__xludf.DUMMYFUNCTION("""COMPUTED_VALUE"""),3.0)</f>
        <v>3</v>
      </c>
      <c r="M273" s="25" t="str">
        <f>IFERROR(__xludf.DUMMYFUNCTION("""COMPUTED_VALUE"""),"Platformer")</f>
        <v>Platformer</v>
      </c>
      <c r="N273" s="25" t="str">
        <f>IFERROR(__xludf.DUMMYFUNCTION("""COMPUTED_VALUE"""),"PS3")</f>
        <v>PS3</v>
      </c>
      <c r="O273" s="26" t="str">
        <f>IFERROR(__xludf.DUMMYFUNCTION("""COMPUTED_VALUE"""),"Yes")</f>
        <v>Yes</v>
      </c>
      <c r="P273" s="26" t="str">
        <f>IFERROR(__xludf.DUMMYFUNCTION("""COMPUTED_VALUE"""),"")</f>
        <v/>
      </c>
    </row>
    <row r="274">
      <c r="A274" s="13" t="str">
        <f>IFERROR(__xludf.DUMMYFUNCTION("""COMPUTED_VALUE"""),"F.E.A.R. FIRST ENCOUNTER ASSAULT RECON")</f>
        <v>F.E.A.R. FIRST ENCOUNTER ASSAULT RECON</v>
      </c>
      <c r="B274" s="15" t="str">
        <f>IFERROR(__xludf.DUMMYFUNCTION("""COMPUTED_VALUE"""),"PS5/PS4")</f>
        <v>PS5/PS4</v>
      </c>
      <c r="C274" s="16" t="str">
        <f>IFERROR(__xludf.DUMMYFUNCTION("""COMPUTED_VALUE"""),"Premium (Streaming Only)")</f>
        <v>Premium (Streaming Only)</v>
      </c>
      <c r="D274" s="15" t="str">
        <f>IFERROR(__xludf.DUMMYFUNCTION("""COMPUTED_VALUE"""),"Active")</f>
        <v>Active</v>
      </c>
      <c r="E274" s="17">
        <f>IFERROR(__xludf.DUMMYFUNCTION("""COMPUTED_VALUE"""),42417.0)</f>
        <v>42417</v>
      </c>
      <c r="F274" s="54"/>
      <c r="G274" s="19">
        <f>IFERROR(__xludf.DUMMYFUNCTION("""COMPUTED_VALUE"""),127.63333333333333)</f>
        <v>127.6333333</v>
      </c>
      <c r="H274" s="17">
        <f>IFERROR(__xludf.DUMMYFUNCTION("""COMPUTED_VALUE"""),39173.0)</f>
        <v>39173</v>
      </c>
      <c r="I274" s="19">
        <f>IFERROR(__xludf.DUMMYFUNCTION("""COMPUTED_VALUE"""),8.877777777777778)</f>
        <v>8.877777778</v>
      </c>
      <c r="J274" s="21">
        <f>IFERROR(__xludf.DUMMYFUNCTION("""COMPUTED_VALUE"""),72.0)</f>
        <v>72</v>
      </c>
      <c r="K274" s="23">
        <f>IFERROR(__xludf.DUMMYFUNCTION("""COMPUTED_VALUE"""),8.6)</f>
        <v>8.6</v>
      </c>
      <c r="L274" s="24">
        <f>IFERROR(__xludf.DUMMYFUNCTION("""COMPUTED_VALUE"""),8.0)</f>
        <v>8</v>
      </c>
      <c r="M274" s="25" t="str">
        <f>IFERROR(__xludf.DUMMYFUNCTION("""COMPUTED_VALUE"""),"Shooter")</f>
        <v>Shooter</v>
      </c>
      <c r="N274" s="25" t="str">
        <f>IFERROR(__xludf.DUMMYFUNCTION("""COMPUTED_VALUE"""),"PS3")</f>
        <v>PS3</v>
      </c>
      <c r="O274" s="26" t="str">
        <f>IFERROR(__xludf.DUMMYFUNCTION("""COMPUTED_VALUE"""),"Yes")</f>
        <v>Yes</v>
      </c>
      <c r="P274" s="26" t="str">
        <f>IFERROR(__xludf.DUMMYFUNCTION("""COMPUTED_VALUE"""),"")</f>
        <v/>
      </c>
    </row>
    <row r="275">
      <c r="A275" s="13" t="str">
        <f>IFERROR(__xludf.DUMMYFUNCTION("""COMPUTED_VALUE"""),"LocoRoco Cocoreccho!")</f>
        <v>LocoRoco Cocoreccho!</v>
      </c>
      <c r="B275" s="15" t="str">
        <f>IFERROR(__xludf.DUMMYFUNCTION("""COMPUTED_VALUE"""),"PS5/PS4")</f>
        <v>PS5/PS4</v>
      </c>
      <c r="C275" s="16" t="str">
        <f>IFERROR(__xludf.DUMMYFUNCTION("""COMPUTED_VALUE"""),"Premium (Streaming Only)")</f>
        <v>Premium (Streaming Only)</v>
      </c>
      <c r="D275" s="15" t="str">
        <f>IFERROR(__xludf.DUMMYFUNCTION("""COMPUTED_VALUE"""),"Active")</f>
        <v>Active</v>
      </c>
      <c r="E275" s="17">
        <f>IFERROR(__xludf.DUMMYFUNCTION("""COMPUTED_VALUE"""),42374.0)</f>
        <v>42374</v>
      </c>
      <c r="F275" s="54"/>
      <c r="G275" s="19">
        <f>IFERROR(__xludf.DUMMYFUNCTION("""COMPUTED_VALUE"""),129.03333333333333)</f>
        <v>129.0333333</v>
      </c>
      <c r="H275" s="17">
        <f>IFERROR(__xludf.DUMMYFUNCTION("""COMPUTED_VALUE"""),39326.0)</f>
        <v>39326</v>
      </c>
      <c r="I275" s="19">
        <f>IFERROR(__xludf.DUMMYFUNCTION("""COMPUTED_VALUE"""),8.344444444444445)</f>
        <v>8.344444444</v>
      </c>
      <c r="J275" s="21">
        <f>IFERROR(__xludf.DUMMYFUNCTION("""COMPUTED_VALUE"""),72.0)</f>
        <v>72</v>
      </c>
      <c r="K275" s="23">
        <f>IFERROR(__xludf.DUMMYFUNCTION("""COMPUTED_VALUE"""),7.3)</f>
        <v>7.3</v>
      </c>
      <c r="L275" s="24">
        <f>IFERROR(__xludf.DUMMYFUNCTION("""COMPUTED_VALUE"""),2.0)</f>
        <v>2</v>
      </c>
      <c r="M275" s="25" t="str">
        <f>IFERROR(__xludf.DUMMYFUNCTION("""COMPUTED_VALUE"""),"Platformer")</f>
        <v>Platformer</v>
      </c>
      <c r="N275" s="25" t="str">
        <f>IFERROR(__xludf.DUMMYFUNCTION("""COMPUTED_VALUE"""),"PS3")</f>
        <v>PS3</v>
      </c>
      <c r="O275" s="26" t="str">
        <f>IFERROR(__xludf.DUMMYFUNCTION("""COMPUTED_VALUE"""),"Yes")</f>
        <v>Yes</v>
      </c>
      <c r="P275" s="26" t="str">
        <f>IFERROR(__xludf.DUMMYFUNCTION("""COMPUTED_VALUE"""),"")</f>
        <v/>
      </c>
    </row>
    <row r="276">
      <c r="A276" s="13" t="str">
        <f>IFERROR(__xludf.DUMMYFUNCTION("""COMPUTED_VALUE"""),"rain")</f>
        <v>rain</v>
      </c>
      <c r="B276" s="15" t="str">
        <f>IFERROR(__xludf.DUMMYFUNCTION("""COMPUTED_VALUE"""),"PS5/PS4")</f>
        <v>PS5/PS4</v>
      </c>
      <c r="C276" s="16" t="str">
        <f>IFERROR(__xludf.DUMMYFUNCTION("""COMPUTED_VALUE"""),"Premium (Streaming Only)")</f>
        <v>Premium (Streaming Only)</v>
      </c>
      <c r="D276" s="15" t="str">
        <f>IFERROR(__xludf.DUMMYFUNCTION("""COMPUTED_VALUE"""),"Active")</f>
        <v>Active</v>
      </c>
      <c r="E276" s="17">
        <f>IFERROR(__xludf.DUMMYFUNCTION("""COMPUTED_VALUE"""),42374.0)</f>
        <v>42374</v>
      </c>
      <c r="F276" s="54"/>
      <c r="G276" s="19">
        <f>IFERROR(__xludf.DUMMYFUNCTION("""COMPUTED_VALUE"""),129.03333333333333)</f>
        <v>129.0333333</v>
      </c>
      <c r="H276" s="17">
        <f>IFERROR(__xludf.DUMMYFUNCTION("""COMPUTED_VALUE"""),41548.0)</f>
        <v>41548</v>
      </c>
      <c r="I276" s="19">
        <f>IFERROR(__xludf.DUMMYFUNCTION("""COMPUTED_VALUE"""),2.261111111111111)</f>
        <v>2.261111111</v>
      </c>
      <c r="J276" s="21">
        <f>IFERROR(__xludf.DUMMYFUNCTION("""COMPUTED_VALUE"""),72.0)</f>
        <v>72</v>
      </c>
      <c r="K276" s="23">
        <f>IFERROR(__xludf.DUMMYFUNCTION("""COMPUTED_VALUE"""),7.1)</f>
        <v>7.1</v>
      </c>
      <c r="L276" s="24">
        <f>IFERROR(__xludf.DUMMYFUNCTION("""COMPUTED_VALUE"""),3.0)</f>
        <v>3</v>
      </c>
      <c r="M276" s="25" t="str">
        <f>IFERROR(__xludf.DUMMYFUNCTION("""COMPUTED_VALUE"""),"Action-Adventure")</f>
        <v>Action-Adventure</v>
      </c>
      <c r="N276" s="25" t="str">
        <f>IFERROR(__xludf.DUMMYFUNCTION("""COMPUTED_VALUE"""),"PS3")</f>
        <v>PS3</v>
      </c>
      <c r="O276" s="26" t="str">
        <f>IFERROR(__xludf.DUMMYFUNCTION("""COMPUTED_VALUE"""),"Yes")</f>
        <v>Yes</v>
      </c>
      <c r="P276" s="26" t="str">
        <f>IFERROR(__xludf.DUMMYFUNCTION("""COMPUTED_VALUE"""),"")</f>
        <v/>
      </c>
    </row>
    <row r="277">
      <c r="A277" s="13" t="str">
        <f>IFERROR(__xludf.DUMMYFUNCTION("""COMPUTED_VALUE"""),"Trash Panic")</f>
        <v>Trash Panic</v>
      </c>
      <c r="B277" s="15" t="str">
        <f>IFERROR(__xludf.DUMMYFUNCTION("""COMPUTED_VALUE"""),"PS5/PS4")</f>
        <v>PS5/PS4</v>
      </c>
      <c r="C277" s="16" t="str">
        <f>IFERROR(__xludf.DUMMYFUNCTION("""COMPUTED_VALUE"""),"Premium (Streaming Only)")</f>
        <v>Premium (Streaming Only)</v>
      </c>
      <c r="D277" s="15" t="str">
        <f>IFERROR(__xludf.DUMMYFUNCTION("""COMPUTED_VALUE"""),"Active")</f>
        <v>Active</v>
      </c>
      <c r="E277" s="17">
        <f>IFERROR(__xludf.DUMMYFUNCTION("""COMPUTED_VALUE"""),42374.0)</f>
        <v>42374</v>
      </c>
      <c r="F277" s="54"/>
      <c r="G277" s="19">
        <f>IFERROR(__xludf.DUMMYFUNCTION("""COMPUTED_VALUE"""),129.03333333333333)</f>
        <v>129.0333333</v>
      </c>
      <c r="H277" s="17">
        <f>IFERROR(__xludf.DUMMYFUNCTION("""COMPUTED_VALUE"""),39965.0)</f>
        <v>39965</v>
      </c>
      <c r="I277" s="19">
        <f>IFERROR(__xludf.DUMMYFUNCTION("""COMPUTED_VALUE"""),6.594444444444444)</f>
        <v>6.594444444</v>
      </c>
      <c r="J277" s="21">
        <f>IFERROR(__xludf.DUMMYFUNCTION("""COMPUTED_VALUE"""),72.0)</f>
        <v>72</v>
      </c>
      <c r="K277" s="23">
        <f>IFERROR(__xludf.DUMMYFUNCTION("""COMPUTED_VALUE"""),7.2)</f>
        <v>7.2</v>
      </c>
      <c r="L277" s="24">
        <f>IFERROR(__xludf.DUMMYFUNCTION("""COMPUTED_VALUE"""),3.0)</f>
        <v>3</v>
      </c>
      <c r="M277" s="26" t="str">
        <f>IFERROR(__xludf.DUMMYFUNCTION("""COMPUTED_VALUE"""),"Puzzle")</f>
        <v>Puzzle</v>
      </c>
      <c r="N277" s="25" t="str">
        <f>IFERROR(__xludf.DUMMYFUNCTION("""COMPUTED_VALUE"""),"PS3")</f>
        <v>PS3</v>
      </c>
      <c r="O277" s="26" t="str">
        <f>IFERROR(__xludf.DUMMYFUNCTION("""COMPUTED_VALUE"""),"Yes")</f>
        <v>Yes</v>
      </c>
      <c r="P277" s="26" t="str">
        <f>IFERROR(__xludf.DUMMYFUNCTION("""COMPUTED_VALUE"""),"")</f>
        <v/>
      </c>
    </row>
    <row r="278">
      <c r="A278" s="13" t="str">
        <f>IFERROR(__xludf.DUMMYFUNCTION("""COMPUTED_VALUE"""),"Proteus")</f>
        <v>Proteus</v>
      </c>
      <c r="B278" s="15" t="str">
        <f>IFERROR(__xludf.DUMMYFUNCTION("""COMPUTED_VALUE"""),"PS5/PS4")</f>
        <v>PS5/PS4</v>
      </c>
      <c r="C278" s="16" t="str">
        <f>IFERROR(__xludf.DUMMYFUNCTION("""COMPUTED_VALUE"""),"Premium (Streaming Only)")</f>
        <v>Premium (Streaming Only)</v>
      </c>
      <c r="D278" s="15" t="str">
        <f>IFERROR(__xludf.DUMMYFUNCTION("""COMPUTED_VALUE"""),"Active")</f>
        <v>Active</v>
      </c>
      <c r="E278" s="17">
        <f>IFERROR(__xludf.DUMMYFUNCTION("""COMPUTED_VALUE"""),42311.0)</f>
        <v>42311</v>
      </c>
      <c r="F278" s="54"/>
      <c r="G278" s="19">
        <f>IFERROR(__xludf.DUMMYFUNCTION("""COMPUTED_VALUE"""),131.10000000000002)</f>
        <v>131.1</v>
      </c>
      <c r="H278" s="17">
        <f>IFERROR(__xludf.DUMMYFUNCTION("""COMPUTED_VALUE"""),41548.0)</f>
        <v>41548</v>
      </c>
      <c r="I278" s="19">
        <f>IFERROR(__xludf.DUMMYFUNCTION("""COMPUTED_VALUE"""),2.088888888888889)</f>
        <v>2.088888889</v>
      </c>
      <c r="J278" s="21">
        <f>IFERROR(__xludf.DUMMYFUNCTION("""COMPUTED_VALUE"""),72.0)</f>
        <v>72</v>
      </c>
      <c r="K278" s="23">
        <f>IFERROR(__xludf.DUMMYFUNCTION("""COMPUTED_VALUE"""),6.2)</f>
        <v>6.2</v>
      </c>
      <c r="L278" s="24">
        <f>IFERROR(__xludf.DUMMYFUNCTION("""COMPUTED_VALUE"""),1.0)</f>
        <v>1</v>
      </c>
      <c r="M278" s="25" t="str">
        <f>IFERROR(__xludf.DUMMYFUNCTION("""COMPUTED_VALUE"""),"Adventure")</f>
        <v>Adventure</v>
      </c>
      <c r="N278" s="25" t="str">
        <f>IFERROR(__xludf.DUMMYFUNCTION("""COMPUTED_VALUE"""),"PS3")</f>
        <v>PS3</v>
      </c>
      <c r="O278" s="26" t="str">
        <f>IFERROR(__xludf.DUMMYFUNCTION("""COMPUTED_VALUE"""),"Yes")</f>
        <v>Yes</v>
      </c>
      <c r="P278" s="26" t="str">
        <f>IFERROR(__xludf.DUMMYFUNCTION("""COMPUTED_VALUE"""),"")</f>
        <v/>
      </c>
    </row>
    <row r="279">
      <c r="A279" s="13" t="str">
        <f>IFERROR(__xludf.DUMMYFUNCTION("""COMPUTED_VALUE"""),"Warlords")</f>
        <v>Warlords</v>
      </c>
      <c r="B279" s="15" t="str">
        <f>IFERROR(__xludf.DUMMYFUNCTION("""COMPUTED_VALUE"""),"PS5/PS4")</f>
        <v>PS5/PS4</v>
      </c>
      <c r="C279" s="16" t="str">
        <f>IFERROR(__xludf.DUMMYFUNCTION("""COMPUTED_VALUE"""),"Premium (Streaming Only)")</f>
        <v>Premium (Streaming Only)</v>
      </c>
      <c r="D279" s="15" t="str">
        <f>IFERROR(__xludf.DUMMYFUNCTION("""COMPUTED_VALUE"""),"Active")</f>
        <v>Active</v>
      </c>
      <c r="E279" s="17">
        <f>IFERROR(__xludf.DUMMYFUNCTION("""COMPUTED_VALUE"""),42311.0)</f>
        <v>42311</v>
      </c>
      <c r="F279" s="54"/>
      <c r="G279" s="19">
        <f>IFERROR(__xludf.DUMMYFUNCTION("""COMPUTED_VALUE"""),131.10000000000002)</f>
        <v>131.1</v>
      </c>
      <c r="H279" s="17">
        <f>IFERROR(__xludf.DUMMYFUNCTION("""COMPUTED_VALUE"""),41183.0)</f>
        <v>41183</v>
      </c>
      <c r="I279" s="19">
        <f>IFERROR(__xludf.DUMMYFUNCTION("""COMPUTED_VALUE"""),3.088888888888889)</f>
        <v>3.088888889</v>
      </c>
      <c r="J279" s="21">
        <f>IFERROR(__xludf.DUMMYFUNCTION("""COMPUTED_VALUE"""),72.0)</f>
        <v>72</v>
      </c>
      <c r="K279" s="23">
        <f>IFERROR(__xludf.DUMMYFUNCTION("""COMPUTED_VALUE"""),7.0)</f>
        <v>7</v>
      </c>
      <c r="L279" s="24"/>
      <c r="M279" s="25" t="str">
        <f>IFERROR(__xludf.DUMMYFUNCTION("""COMPUTED_VALUE"""),"Strategy")</f>
        <v>Strategy</v>
      </c>
      <c r="N279" s="25" t="str">
        <f>IFERROR(__xludf.DUMMYFUNCTION("""COMPUTED_VALUE"""),"PS3")</f>
        <v>PS3</v>
      </c>
      <c r="O279" s="26" t="str">
        <f>IFERROR(__xludf.DUMMYFUNCTION("""COMPUTED_VALUE"""),"Yes")</f>
        <v>Yes</v>
      </c>
      <c r="P279" s="26" t="str">
        <f>IFERROR(__xludf.DUMMYFUNCTION("""COMPUTED_VALUE"""),"")</f>
        <v/>
      </c>
    </row>
    <row r="280">
      <c r="A280" s="13" t="str">
        <f>IFERROR(__xludf.DUMMYFUNCTION("""COMPUTED_VALUE"""),"Brink")</f>
        <v>Brink</v>
      </c>
      <c r="B280" s="15" t="str">
        <f>IFERROR(__xludf.DUMMYFUNCTION("""COMPUTED_VALUE"""),"PS5/PS4")</f>
        <v>PS5/PS4</v>
      </c>
      <c r="C280" s="16" t="str">
        <f>IFERROR(__xludf.DUMMYFUNCTION("""COMPUTED_VALUE"""),"Premium (Streaming Only)")</f>
        <v>Premium (Streaming Only)</v>
      </c>
      <c r="D280" s="15" t="str">
        <f>IFERROR(__xludf.DUMMYFUNCTION("""COMPUTED_VALUE"""),"Active")</f>
        <v>Active</v>
      </c>
      <c r="E280" s="17">
        <f>IFERROR(__xludf.DUMMYFUNCTION("""COMPUTED_VALUE"""),42017.0)</f>
        <v>42017</v>
      </c>
      <c r="F280" s="54"/>
      <c r="G280" s="19">
        <f>IFERROR(__xludf.DUMMYFUNCTION("""COMPUTED_VALUE"""),140.76666666666668)</f>
        <v>140.7666667</v>
      </c>
      <c r="H280" s="17">
        <f>IFERROR(__xludf.DUMMYFUNCTION("""COMPUTED_VALUE"""),40664.0)</f>
        <v>40664</v>
      </c>
      <c r="I280" s="19">
        <f>IFERROR(__xludf.DUMMYFUNCTION("""COMPUTED_VALUE"""),3.7)</f>
        <v>3.7</v>
      </c>
      <c r="J280" s="21">
        <f>IFERROR(__xludf.DUMMYFUNCTION("""COMPUTED_VALUE"""),72.0)</f>
        <v>72</v>
      </c>
      <c r="K280" s="23">
        <f>IFERROR(__xludf.DUMMYFUNCTION("""COMPUTED_VALUE"""),6.3)</f>
        <v>6.3</v>
      </c>
      <c r="L280" s="24">
        <f>IFERROR(__xludf.DUMMYFUNCTION("""COMPUTED_VALUE"""),7.0)</f>
        <v>7</v>
      </c>
      <c r="M280" s="25" t="str">
        <f>IFERROR(__xludf.DUMMYFUNCTION("""COMPUTED_VALUE"""),"Shooter")</f>
        <v>Shooter</v>
      </c>
      <c r="N280" s="25" t="str">
        <f>IFERROR(__xludf.DUMMYFUNCTION("""COMPUTED_VALUE"""),"PS3")</f>
        <v>PS3</v>
      </c>
      <c r="O280" s="26" t="str">
        <f>IFERROR(__xludf.DUMMYFUNCTION("""COMPUTED_VALUE"""),"Yes")</f>
        <v>Yes</v>
      </c>
      <c r="P280" s="26" t="str">
        <f>IFERROR(__xludf.DUMMYFUNCTION("""COMPUTED_VALUE"""),"")</f>
        <v/>
      </c>
    </row>
    <row r="281">
      <c r="A281" s="13" t="str">
        <f>IFERROR(__xludf.DUMMYFUNCTION("""COMPUTED_VALUE"""),"Dark Sector")</f>
        <v>Dark Sector</v>
      </c>
      <c r="B281" s="15" t="str">
        <f>IFERROR(__xludf.DUMMYFUNCTION("""COMPUTED_VALUE"""),"PS5/PS4")</f>
        <v>PS5/PS4</v>
      </c>
      <c r="C281" s="16" t="str">
        <f>IFERROR(__xludf.DUMMYFUNCTION("""COMPUTED_VALUE"""),"Premium (Streaming Only)")</f>
        <v>Premium (Streaming Only)</v>
      </c>
      <c r="D281" s="15" t="str">
        <f>IFERROR(__xludf.DUMMYFUNCTION("""COMPUTED_VALUE"""),"Active")</f>
        <v>Active</v>
      </c>
      <c r="E281" s="17">
        <f>IFERROR(__xludf.DUMMYFUNCTION("""COMPUTED_VALUE"""),42017.0)</f>
        <v>42017</v>
      </c>
      <c r="F281" s="54"/>
      <c r="G281" s="19">
        <f>IFERROR(__xludf.DUMMYFUNCTION("""COMPUTED_VALUE"""),140.76666666666668)</f>
        <v>140.7666667</v>
      </c>
      <c r="H281" s="17">
        <f>IFERROR(__xludf.DUMMYFUNCTION("""COMPUTED_VALUE"""),39508.0)</f>
        <v>39508</v>
      </c>
      <c r="I281" s="19">
        <f>IFERROR(__xludf.DUMMYFUNCTION("""COMPUTED_VALUE"""),6.866666666666666)</f>
        <v>6.866666667</v>
      </c>
      <c r="J281" s="21">
        <f>IFERROR(__xludf.DUMMYFUNCTION("""COMPUTED_VALUE"""),72.0)</f>
        <v>72</v>
      </c>
      <c r="K281" s="23">
        <f>IFERROR(__xludf.DUMMYFUNCTION("""COMPUTED_VALUE"""),7.4)</f>
        <v>7.4</v>
      </c>
      <c r="L281" s="24">
        <f>IFERROR(__xludf.DUMMYFUNCTION("""COMPUTED_VALUE"""),10.0)</f>
        <v>10</v>
      </c>
      <c r="M281" s="25" t="str">
        <f>IFERROR(__xludf.DUMMYFUNCTION("""COMPUTED_VALUE"""),"Action-Adventure")</f>
        <v>Action-Adventure</v>
      </c>
      <c r="N281" s="25" t="str">
        <f>IFERROR(__xludf.DUMMYFUNCTION("""COMPUTED_VALUE"""),"PS3")</f>
        <v>PS3</v>
      </c>
      <c r="O281" s="26" t="str">
        <f>IFERROR(__xludf.DUMMYFUNCTION("""COMPUTED_VALUE"""),"Yes")</f>
        <v>Yes</v>
      </c>
      <c r="P281" s="26" t="str">
        <f>IFERROR(__xludf.DUMMYFUNCTION("""COMPUTED_VALUE"""),"")</f>
        <v/>
      </c>
    </row>
    <row r="282">
      <c r="A282" s="13" t="str">
        <f>IFERROR(__xludf.DUMMYFUNCTION("""COMPUTED_VALUE"""),"Derrick the Deathfin")</f>
        <v>Derrick the Deathfin</v>
      </c>
      <c r="B282" s="15" t="str">
        <f>IFERROR(__xludf.DUMMYFUNCTION("""COMPUTED_VALUE"""),"PS5/PS4")</f>
        <v>PS5/PS4</v>
      </c>
      <c r="C282" s="16" t="str">
        <f>IFERROR(__xludf.DUMMYFUNCTION("""COMPUTED_VALUE"""),"Premium (Streaming Only)")</f>
        <v>Premium (Streaming Only)</v>
      </c>
      <c r="D282" s="15" t="str">
        <f>IFERROR(__xludf.DUMMYFUNCTION("""COMPUTED_VALUE"""),"Active")</f>
        <v>Active</v>
      </c>
      <c r="E282" s="17">
        <f>IFERROR(__xludf.DUMMYFUNCTION("""COMPUTED_VALUE"""),42017.0)</f>
        <v>42017</v>
      </c>
      <c r="F282" s="18"/>
      <c r="G282" s="19">
        <f>IFERROR(__xludf.DUMMYFUNCTION("""COMPUTED_VALUE"""),140.76666666666668)</f>
        <v>140.7666667</v>
      </c>
      <c r="H282" s="17">
        <f>IFERROR(__xludf.DUMMYFUNCTION("""COMPUTED_VALUE"""),41183.0)</f>
        <v>41183</v>
      </c>
      <c r="I282" s="19">
        <f>IFERROR(__xludf.DUMMYFUNCTION("""COMPUTED_VALUE"""),2.283333333333333)</f>
        <v>2.283333333</v>
      </c>
      <c r="J282" s="21">
        <f>IFERROR(__xludf.DUMMYFUNCTION("""COMPUTED_VALUE"""),72.0)</f>
        <v>72</v>
      </c>
      <c r="K282" s="23">
        <f>IFERROR(__xludf.DUMMYFUNCTION("""COMPUTED_VALUE"""),6.7)</f>
        <v>6.7</v>
      </c>
      <c r="L282" s="24">
        <f>IFERROR(__xludf.DUMMYFUNCTION("""COMPUTED_VALUE"""),3.0)</f>
        <v>3</v>
      </c>
      <c r="M282" s="25" t="str">
        <f>IFERROR(__xludf.DUMMYFUNCTION("""COMPUTED_VALUE"""),"Action-Adventure")</f>
        <v>Action-Adventure</v>
      </c>
      <c r="N282" s="25" t="str">
        <f>IFERROR(__xludf.DUMMYFUNCTION("""COMPUTED_VALUE"""),"PS3")</f>
        <v>PS3</v>
      </c>
      <c r="O282" s="26" t="str">
        <f>IFERROR(__xludf.DUMMYFUNCTION("""COMPUTED_VALUE"""),"Yes")</f>
        <v>Yes</v>
      </c>
      <c r="P282" s="26" t="str">
        <f>IFERROR(__xludf.DUMMYFUNCTION("""COMPUTED_VALUE"""),"")</f>
        <v/>
      </c>
    </row>
    <row r="283">
      <c r="A283" s="13" t="str">
        <f>IFERROR(__xludf.DUMMYFUNCTION("""COMPUTED_VALUE"""),"Papo &amp; Yo")</f>
        <v>Papo &amp; Yo</v>
      </c>
      <c r="B283" s="15" t="str">
        <f>IFERROR(__xludf.DUMMYFUNCTION("""COMPUTED_VALUE"""),"PS5/PS4")</f>
        <v>PS5/PS4</v>
      </c>
      <c r="C283" s="16" t="str">
        <f>IFERROR(__xludf.DUMMYFUNCTION("""COMPUTED_VALUE"""),"Premium (Streaming Only)")</f>
        <v>Premium (Streaming Only)</v>
      </c>
      <c r="D283" s="15" t="str">
        <f>IFERROR(__xludf.DUMMYFUNCTION("""COMPUTED_VALUE"""),"Active")</f>
        <v>Active</v>
      </c>
      <c r="E283" s="17">
        <f>IFERROR(__xludf.DUMMYFUNCTION("""COMPUTED_VALUE"""),42017.0)</f>
        <v>42017</v>
      </c>
      <c r="F283" s="54"/>
      <c r="G283" s="19">
        <f>IFERROR(__xludf.DUMMYFUNCTION("""COMPUTED_VALUE"""),140.76666666666668)</f>
        <v>140.7666667</v>
      </c>
      <c r="H283" s="17">
        <f>IFERROR(__xludf.DUMMYFUNCTION("""COMPUTED_VALUE"""),41122.0)</f>
        <v>41122</v>
      </c>
      <c r="I283" s="19">
        <f>IFERROR(__xludf.DUMMYFUNCTION("""COMPUTED_VALUE"""),2.45)</f>
        <v>2.45</v>
      </c>
      <c r="J283" s="21">
        <f>IFERROR(__xludf.DUMMYFUNCTION("""COMPUTED_VALUE"""),72.0)</f>
        <v>72</v>
      </c>
      <c r="K283" s="23">
        <f>IFERROR(__xludf.DUMMYFUNCTION("""COMPUTED_VALUE"""),7.4)</f>
        <v>7.4</v>
      </c>
      <c r="L283" s="24">
        <f>IFERROR(__xludf.DUMMYFUNCTION("""COMPUTED_VALUE"""),3.0)</f>
        <v>3</v>
      </c>
      <c r="M283" s="25" t="str">
        <f>IFERROR(__xludf.DUMMYFUNCTION("""COMPUTED_VALUE"""),"Action-Adventure")</f>
        <v>Action-Adventure</v>
      </c>
      <c r="N283" s="25" t="str">
        <f>IFERROR(__xludf.DUMMYFUNCTION("""COMPUTED_VALUE"""),"PS3")</f>
        <v>PS3</v>
      </c>
      <c r="O283" s="26" t="str">
        <f>IFERROR(__xludf.DUMMYFUNCTION("""COMPUTED_VALUE"""),"Yes")</f>
        <v>Yes</v>
      </c>
      <c r="P283" s="26" t="str">
        <f>IFERROR(__xludf.DUMMYFUNCTION("""COMPUTED_VALUE"""),"")</f>
        <v/>
      </c>
    </row>
    <row r="284">
      <c r="A284" s="13" t="str">
        <f>IFERROR(__xludf.DUMMYFUNCTION("""COMPUTED_VALUE"""),"Gods Eater: Burst")</f>
        <v>Gods Eater: Burst</v>
      </c>
      <c r="B284" s="15" t="str">
        <f>IFERROR(__xludf.DUMMYFUNCTION("""COMPUTED_VALUE"""),"PS5/PS4")</f>
        <v>PS5/PS4</v>
      </c>
      <c r="C284" s="16" t="str">
        <f>IFERROR(__xludf.DUMMYFUNCTION("""COMPUTED_VALUE"""),"Premium (Classics)")</f>
        <v>Premium (Classics)</v>
      </c>
      <c r="D284" s="15" t="str">
        <f>IFERROR(__xludf.DUMMYFUNCTION("""COMPUTED_VALUE"""),"Active")</f>
        <v>Active</v>
      </c>
      <c r="E284" s="17">
        <f>IFERROR(__xludf.DUMMYFUNCTION("""COMPUTED_VALUE"""),45370.0)</f>
        <v>45370</v>
      </c>
      <c r="F284" s="54"/>
      <c r="G284" s="19">
        <f>IFERROR(__xludf.DUMMYFUNCTION("""COMPUTED_VALUE"""),30.566666666666663)</f>
        <v>30.56666667</v>
      </c>
      <c r="H284" s="17">
        <f>IFERROR(__xludf.DUMMYFUNCTION("""COMPUTED_VALUE"""),40617.0)</f>
        <v>40617</v>
      </c>
      <c r="I284" s="19">
        <f>IFERROR(__xludf.DUMMYFUNCTION("""COMPUTED_VALUE"""),13.011111111111111)</f>
        <v>13.01111111</v>
      </c>
      <c r="J284" s="21">
        <f>IFERROR(__xludf.DUMMYFUNCTION("""COMPUTED_VALUE"""),71.0)</f>
        <v>71</v>
      </c>
      <c r="K284" s="23">
        <f>IFERROR(__xludf.DUMMYFUNCTION("""COMPUTED_VALUE"""),8.0)</f>
        <v>8</v>
      </c>
      <c r="L284" s="24">
        <f>IFERROR(__xludf.DUMMYFUNCTION("""COMPUTED_VALUE"""),38.0)</f>
        <v>38</v>
      </c>
      <c r="M284" s="25" t="str">
        <f>IFERROR(__xludf.DUMMYFUNCTION("""COMPUTED_VALUE"""),"RPG")</f>
        <v>RPG</v>
      </c>
      <c r="N284" s="25" t="str">
        <f>IFERROR(__xludf.DUMMYFUNCTION("""COMPUTED_VALUE"""),"PSP")</f>
        <v>PSP</v>
      </c>
      <c r="O284" s="26" t="str">
        <f>IFERROR(__xludf.DUMMYFUNCTION("""COMPUTED_VALUE"""),"Yes")</f>
        <v>Yes</v>
      </c>
      <c r="P284" s="26"/>
    </row>
    <row r="285">
      <c r="A285" s="13" t="str">
        <f>IFERROR(__xludf.DUMMYFUNCTION("""COMPUTED_VALUE"""),"Jak and Daxter: The Lost Frontier")</f>
        <v>Jak and Daxter: The Lost Frontier</v>
      </c>
      <c r="B285" s="15" t="str">
        <f>IFERROR(__xludf.DUMMYFUNCTION("""COMPUTED_VALUE"""),"PS5/PS4")</f>
        <v>PS5/PS4</v>
      </c>
      <c r="C285" s="16" t="str">
        <f>IFERROR(__xludf.DUMMYFUNCTION("""COMPUTED_VALUE"""),"Premium (Classics)")</f>
        <v>Premium (Classics)</v>
      </c>
      <c r="D285" s="15" t="str">
        <f>IFERROR(__xludf.DUMMYFUNCTION("""COMPUTED_VALUE"""),"Active")</f>
        <v>Active</v>
      </c>
      <c r="E285" s="17">
        <f>IFERROR(__xludf.DUMMYFUNCTION("""COMPUTED_VALUE"""),45370.0)</f>
        <v>45370</v>
      </c>
      <c r="F285" s="54"/>
      <c r="G285" s="19">
        <f>IFERROR(__xludf.DUMMYFUNCTION("""COMPUTED_VALUE"""),30.566666666666663)</f>
        <v>30.56666667</v>
      </c>
      <c r="H285" s="17">
        <f>IFERROR(__xludf.DUMMYFUNCTION("""COMPUTED_VALUE"""),40120.0)</f>
        <v>40120</v>
      </c>
      <c r="I285" s="19">
        <f>IFERROR(__xludf.DUMMYFUNCTION("""COMPUTED_VALUE"""),14.377777777777778)</f>
        <v>14.37777778</v>
      </c>
      <c r="J285" s="21">
        <f>IFERROR(__xludf.DUMMYFUNCTION("""COMPUTED_VALUE"""),71.0)</f>
        <v>71</v>
      </c>
      <c r="K285" s="23">
        <f>IFERROR(__xludf.DUMMYFUNCTION("""COMPUTED_VALUE"""),7.2)</f>
        <v>7.2</v>
      </c>
      <c r="L285" s="24">
        <f>IFERROR(__xludf.DUMMYFUNCTION("""COMPUTED_VALUE"""),8.0)</f>
        <v>8</v>
      </c>
      <c r="M285" s="25" t="str">
        <f>IFERROR(__xludf.DUMMYFUNCTION("""COMPUTED_VALUE"""),"Platformer")</f>
        <v>Platformer</v>
      </c>
      <c r="N285" s="25" t="str">
        <f>IFERROR(__xludf.DUMMYFUNCTION("""COMPUTED_VALUE"""),"PSP")</f>
        <v>PSP</v>
      </c>
      <c r="O285" s="26" t="str">
        <f>IFERROR(__xludf.DUMMYFUNCTION("""COMPUTED_VALUE"""),"Yes")</f>
        <v>Yes</v>
      </c>
      <c r="P285" s="26"/>
    </row>
    <row r="286">
      <c r="A286" s="13" t="str">
        <f>IFERROR(__xludf.DUMMYFUNCTION("""COMPUTED_VALUE"""),"No Heroes Allowed: No Puzzles Either!")</f>
        <v>No Heroes Allowed: No Puzzles Either!</v>
      </c>
      <c r="B286" s="15" t="str">
        <f>IFERROR(__xludf.DUMMYFUNCTION("""COMPUTED_VALUE"""),"PS5")</f>
        <v>PS5</v>
      </c>
      <c r="C286" s="16" t="str">
        <f>IFERROR(__xludf.DUMMYFUNCTION("""COMPUTED_VALUE"""),"Premium (Classics)")</f>
        <v>Premium (Classics)</v>
      </c>
      <c r="D286" s="15" t="str">
        <f>IFERROR(__xludf.DUMMYFUNCTION("""COMPUTED_VALUE"""),"Active")</f>
        <v>Active</v>
      </c>
      <c r="E286" s="17">
        <f>IFERROR(__xludf.DUMMYFUNCTION("""COMPUTED_VALUE"""),44761.0)</f>
        <v>44761</v>
      </c>
      <c r="F286" s="54"/>
      <c r="G286" s="19">
        <f>IFERROR(__xludf.DUMMYFUNCTION("""COMPUTED_VALUE"""),50.56666666666666)</f>
        <v>50.56666667</v>
      </c>
      <c r="H286" s="17">
        <f>IFERROR(__xludf.DUMMYFUNCTION("""COMPUTED_VALUE"""),40290.0)</f>
        <v>40290</v>
      </c>
      <c r="I286" s="19">
        <f>IFERROR(__xludf.DUMMYFUNCTION("""COMPUTED_VALUE"""),12.241666666666667)</f>
        <v>12.24166667</v>
      </c>
      <c r="J286" s="21">
        <f>IFERROR(__xludf.DUMMYFUNCTION("""COMPUTED_VALUE"""),71.0)</f>
        <v>71</v>
      </c>
      <c r="K286" s="23">
        <f>IFERROR(__xludf.DUMMYFUNCTION("""COMPUTED_VALUE"""),6.7)</f>
        <v>6.7</v>
      </c>
      <c r="L286" s="24">
        <f>IFERROR(__xludf.DUMMYFUNCTION("""COMPUTED_VALUE"""),6.0)</f>
        <v>6</v>
      </c>
      <c r="M286" s="25" t="str">
        <f>IFERROR(__xludf.DUMMYFUNCTION("""COMPUTED_VALUE"""),"Puzzle")</f>
        <v>Puzzle</v>
      </c>
      <c r="N286" s="25" t="str">
        <f>IFERROR(__xludf.DUMMYFUNCTION("""COMPUTED_VALUE"""),"PSP")</f>
        <v>PSP</v>
      </c>
      <c r="O286" s="26" t="str">
        <f>IFERROR(__xludf.DUMMYFUNCTION("""COMPUTED_VALUE"""),"No")</f>
        <v>No</v>
      </c>
      <c r="P286" s="26"/>
    </row>
    <row r="287">
      <c r="A287" s="13" t="str">
        <f>IFERROR(__xludf.DUMMYFUNCTION("""COMPUTED_VALUE"""),"Disney/PIXAR Brave")</f>
        <v>Disney/PIXAR Brave</v>
      </c>
      <c r="B287" s="15" t="str">
        <f>IFERROR(__xludf.DUMMYFUNCTION("""COMPUTED_VALUE"""),"PS5/PS4")</f>
        <v>PS5/PS4</v>
      </c>
      <c r="C287" s="16" t="str">
        <f>IFERROR(__xludf.DUMMYFUNCTION("""COMPUTED_VALUE"""),"Premium (Streaming Only)")</f>
        <v>Premium (Streaming Only)</v>
      </c>
      <c r="D287" s="15" t="str">
        <f>IFERROR(__xludf.DUMMYFUNCTION("""COMPUTED_VALUE"""),"Active")</f>
        <v>Active</v>
      </c>
      <c r="E287" s="17">
        <f>IFERROR(__xludf.DUMMYFUNCTION("""COMPUTED_VALUE"""),42895.0)</f>
        <v>42895</v>
      </c>
      <c r="F287" s="54"/>
      <c r="G287" s="19">
        <f>IFERROR(__xludf.DUMMYFUNCTION("""COMPUTED_VALUE"""),111.89999999999999)</f>
        <v>111.9</v>
      </c>
      <c r="H287" s="17">
        <f>IFERROR(__xludf.DUMMYFUNCTION("""COMPUTED_VALUE"""),41061.0)</f>
        <v>41061</v>
      </c>
      <c r="I287" s="19">
        <f>IFERROR(__xludf.DUMMYFUNCTION("""COMPUTED_VALUE"""),5.022222222222222)</f>
        <v>5.022222222</v>
      </c>
      <c r="J287" s="21">
        <f>IFERROR(__xludf.DUMMYFUNCTION("""COMPUTED_VALUE"""),71.0)</f>
        <v>71</v>
      </c>
      <c r="K287" s="23">
        <f>IFERROR(__xludf.DUMMYFUNCTION("""COMPUTED_VALUE"""),6.0)</f>
        <v>6</v>
      </c>
      <c r="L287" s="24">
        <f>IFERROR(__xludf.DUMMYFUNCTION("""COMPUTED_VALUE"""),6.0)</f>
        <v>6</v>
      </c>
      <c r="M287" s="25" t="str">
        <f>IFERROR(__xludf.DUMMYFUNCTION("""COMPUTED_VALUE"""),"Action-Adventure")</f>
        <v>Action-Adventure</v>
      </c>
      <c r="N287" s="25" t="str">
        <f>IFERROR(__xludf.DUMMYFUNCTION("""COMPUTED_VALUE"""),"PS3")</f>
        <v>PS3</v>
      </c>
      <c r="O287" s="26" t="str">
        <f>IFERROR(__xludf.DUMMYFUNCTION("""COMPUTED_VALUE"""),"Yes")</f>
        <v>Yes</v>
      </c>
      <c r="P287" s="26" t="str">
        <f>IFERROR(__xludf.DUMMYFUNCTION("""COMPUTED_VALUE"""),"")</f>
        <v/>
      </c>
    </row>
    <row r="288">
      <c r="A288" s="13" t="str">
        <f>IFERROR(__xludf.DUMMYFUNCTION("""COMPUTED_VALUE"""),"Big Sky Infinity")</f>
        <v>Big Sky Infinity</v>
      </c>
      <c r="B288" s="15" t="str">
        <f>IFERROR(__xludf.DUMMYFUNCTION("""COMPUTED_VALUE"""),"PS5/PS4")</f>
        <v>PS5/PS4</v>
      </c>
      <c r="C288" s="16" t="str">
        <f>IFERROR(__xludf.DUMMYFUNCTION("""COMPUTED_VALUE"""),"Premium (Streaming Only)")</f>
        <v>Premium (Streaming Only)</v>
      </c>
      <c r="D288" s="15" t="str">
        <f>IFERROR(__xludf.DUMMYFUNCTION("""COMPUTED_VALUE"""),"Active")</f>
        <v>Active</v>
      </c>
      <c r="E288" s="17">
        <f>IFERROR(__xludf.DUMMYFUNCTION("""COMPUTED_VALUE"""),42374.0)</f>
        <v>42374</v>
      </c>
      <c r="F288" s="54"/>
      <c r="G288" s="19">
        <f>IFERROR(__xludf.DUMMYFUNCTION("""COMPUTED_VALUE"""),129.03333333333333)</f>
        <v>129.0333333</v>
      </c>
      <c r="H288" s="17">
        <f>IFERROR(__xludf.DUMMYFUNCTION("""COMPUTED_VALUE"""),41244.0)</f>
        <v>41244</v>
      </c>
      <c r="I288" s="19">
        <f>IFERROR(__xludf.DUMMYFUNCTION("""COMPUTED_VALUE"""),3.0944444444444446)</f>
        <v>3.094444444</v>
      </c>
      <c r="J288" s="21">
        <f>IFERROR(__xludf.DUMMYFUNCTION("""COMPUTED_VALUE"""),71.0)</f>
        <v>71</v>
      </c>
      <c r="K288" s="23">
        <f>IFERROR(__xludf.DUMMYFUNCTION("""COMPUTED_VALUE"""),7.1)</f>
        <v>7.1</v>
      </c>
      <c r="L288" s="24"/>
      <c r="M288" s="25" t="str">
        <f>IFERROR(__xludf.DUMMYFUNCTION("""COMPUTED_VALUE"""),"Shooter")</f>
        <v>Shooter</v>
      </c>
      <c r="N288" s="25" t="str">
        <f>IFERROR(__xludf.DUMMYFUNCTION("""COMPUTED_VALUE"""),"PS3")</f>
        <v>PS3</v>
      </c>
      <c r="O288" s="26" t="str">
        <f>IFERROR(__xludf.DUMMYFUNCTION("""COMPUTED_VALUE"""),"Yes")</f>
        <v>Yes</v>
      </c>
      <c r="P288" s="26" t="str">
        <f>IFERROR(__xludf.DUMMYFUNCTION("""COMPUTED_VALUE"""),"Yes")</f>
        <v>Yes</v>
      </c>
    </row>
    <row r="289">
      <c r="A289" s="13" t="str">
        <f>IFERROR(__xludf.DUMMYFUNCTION("""COMPUTED_VALUE"""),"Mamorukun Curse!")</f>
        <v>Mamorukun Curse!</v>
      </c>
      <c r="B289" s="15" t="str">
        <f>IFERROR(__xludf.DUMMYFUNCTION("""COMPUTED_VALUE"""),"PS5/PS4")</f>
        <v>PS5/PS4</v>
      </c>
      <c r="C289" s="16" t="str">
        <f>IFERROR(__xludf.DUMMYFUNCTION("""COMPUTED_VALUE"""),"Premium (Streaming Only)")</f>
        <v>Premium (Streaming Only)</v>
      </c>
      <c r="D289" s="15" t="str">
        <f>IFERROR(__xludf.DUMMYFUNCTION("""COMPUTED_VALUE"""),"Active")</f>
        <v>Active</v>
      </c>
      <c r="E289" s="17">
        <f>IFERROR(__xludf.DUMMYFUNCTION("""COMPUTED_VALUE"""),42374.0)</f>
        <v>42374</v>
      </c>
      <c r="F289" s="54"/>
      <c r="G289" s="19">
        <f>IFERROR(__xludf.DUMMYFUNCTION("""COMPUTED_VALUE"""),129.03333333333333)</f>
        <v>129.0333333</v>
      </c>
      <c r="H289" s="17">
        <f>IFERROR(__xludf.DUMMYFUNCTION("""COMPUTED_VALUE"""),41456.0)</f>
        <v>41456</v>
      </c>
      <c r="I289" s="19">
        <f>IFERROR(__xludf.DUMMYFUNCTION("""COMPUTED_VALUE"""),2.511111111111111)</f>
        <v>2.511111111</v>
      </c>
      <c r="J289" s="21">
        <f>IFERROR(__xludf.DUMMYFUNCTION("""COMPUTED_VALUE"""),71.0)</f>
        <v>71</v>
      </c>
      <c r="K289" s="23">
        <f>IFERROR(__xludf.DUMMYFUNCTION("""COMPUTED_VALUE"""),7.2)</f>
        <v>7.2</v>
      </c>
      <c r="L289" s="24">
        <f>IFERROR(__xludf.DUMMYFUNCTION("""COMPUTED_VALUE"""),4.0)</f>
        <v>4</v>
      </c>
      <c r="M289" s="25" t="str">
        <f>IFERROR(__xludf.DUMMYFUNCTION("""COMPUTED_VALUE"""),"Shooter")</f>
        <v>Shooter</v>
      </c>
      <c r="N289" s="25" t="str">
        <f>IFERROR(__xludf.DUMMYFUNCTION("""COMPUTED_VALUE"""),"PS3")</f>
        <v>PS3</v>
      </c>
      <c r="O289" s="26" t="str">
        <f>IFERROR(__xludf.DUMMYFUNCTION("""COMPUTED_VALUE"""),"Yes")</f>
        <v>Yes</v>
      </c>
      <c r="P289" s="26" t="str">
        <f>IFERROR(__xludf.DUMMYFUNCTION("""COMPUTED_VALUE"""),"")</f>
        <v/>
      </c>
    </row>
    <row r="290">
      <c r="A290" s="13" t="str">
        <f>IFERROR(__xludf.DUMMYFUNCTION("""COMPUTED_VALUE"""),"Asura's Wrath")</f>
        <v>Asura's Wrath</v>
      </c>
      <c r="B290" s="15" t="str">
        <f>IFERROR(__xludf.DUMMYFUNCTION("""COMPUTED_VALUE"""),"PS5/PS4")</f>
        <v>PS5/PS4</v>
      </c>
      <c r="C290" s="16" t="str">
        <f>IFERROR(__xludf.DUMMYFUNCTION("""COMPUTED_VALUE"""),"Premium (Streaming Only)")</f>
        <v>Premium (Streaming Only)</v>
      </c>
      <c r="D290" s="15" t="str">
        <f>IFERROR(__xludf.DUMMYFUNCTION("""COMPUTED_VALUE"""),"Active")</f>
        <v>Active</v>
      </c>
      <c r="E290" s="17">
        <f>IFERROR(__xludf.DUMMYFUNCTION("""COMPUTED_VALUE"""),42311.0)</f>
        <v>42311</v>
      </c>
      <c r="F290" s="54"/>
      <c r="G290" s="19">
        <f>IFERROR(__xludf.DUMMYFUNCTION("""COMPUTED_VALUE"""),131.10000000000002)</f>
        <v>131.1</v>
      </c>
      <c r="H290" s="17">
        <f>IFERROR(__xludf.DUMMYFUNCTION("""COMPUTED_VALUE"""),40940.0)</f>
        <v>40940</v>
      </c>
      <c r="I290" s="19">
        <f>IFERROR(__xludf.DUMMYFUNCTION("""COMPUTED_VALUE"""),3.7555555555555555)</f>
        <v>3.755555556</v>
      </c>
      <c r="J290" s="21">
        <f>IFERROR(__xludf.DUMMYFUNCTION("""COMPUTED_VALUE"""),71.0)</f>
        <v>71</v>
      </c>
      <c r="K290" s="23">
        <f>IFERROR(__xludf.DUMMYFUNCTION("""COMPUTED_VALUE"""),8.0)</f>
        <v>8</v>
      </c>
      <c r="L290" s="24">
        <f>IFERROR(__xludf.DUMMYFUNCTION("""COMPUTED_VALUE"""),10.0)</f>
        <v>10</v>
      </c>
      <c r="M290" s="25" t="str">
        <f>IFERROR(__xludf.DUMMYFUNCTION("""COMPUTED_VALUE"""),"Action-Adventure")</f>
        <v>Action-Adventure</v>
      </c>
      <c r="N290" s="25" t="str">
        <f>IFERROR(__xludf.DUMMYFUNCTION("""COMPUTED_VALUE"""),"PS3")</f>
        <v>PS3</v>
      </c>
      <c r="O290" s="26" t="str">
        <f>IFERROR(__xludf.DUMMYFUNCTION("""COMPUTED_VALUE"""),"Yes")</f>
        <v>Yes</v>
      </c>
      <c r="P290" s="26" t="str">
        <f>IFERROR(__xludf.DUMMYFUNCTION("""COMPUTED_VALUE"""),"")</f>
        <v/>
      </c>
    </row>
    <row r="291">
      <c r="A291" s="13" t="str">
        <f>IFERROR(__xludf.DUMMYFUNCTION("""COMPUTED_VALUE"""),"Time Crisis")</f>
        <v>Time Crisis</v>
      </c>
      <c r="B291" s="15" t="str">
        <f>IFERROR(__xludf.DUMMYFUNCTION("""COMPUTED_VALUE"""),"PS5/PS4")</f>
        <v>PS5/PS4</v>
      </c>
      <c r="C291" s="16" t="str">
        <f>IFERROR(__xludf.DUMMYFUNCTION("""COMPUTED_VALUE"""),"Premium (Classics)")</f>
        <v>Premium (Classics)</v>
      </c>
      <c r="D291" s="15" t="str">
        <f>IFERROR(__xludf.DUMMYFUNCTION("""COMPUTED_VALUE"""),"Active")</f>
        <v>Active</v>
      </c>
      <c r="E291" s="17">
        <f>IFERROR(__xludf.DUMMYFUNCTION("""COMPUTED_VALUE"""),46161.0)</f>
        <v>46161</v>
      </c>
      <c r="F291" s="54"/>
      <c r="G291" s="19">
        <f>IFERROR(__xludf.DUMMYFUNCTION("""COMPUTED_VALUE"""),4.566666666666666)</f>
        <v>4.566666667</v>
      </c>
      <c r="H291" s="17">
        <f>IFERROR(__xludf.DUMMYFUNCTION("""COMPUTED_VALUE"""),34973.0)</f>
        <v>34973</v>
      </c>
      <c r="I291" s="19">
        <f>IFERROR(__xludf.DUMMYFUNCTION("""COMPUTED_VALUE"""),30.633333333333333)</f>
        <v>30.63333333</v>
      </c>
      <c r="J291" s="21">
        <f>IFERROR(__xludf.DUMMYFUNCTION("""COMPUTED_VALUE"""),70.0)</f>
        <v>70</v>
      </c>
      <c r="K291" s="23">
        <f>IFERROR(__xludf.DUMMYFUNCTION("""COMPUTED_VALUE"""),7.5)</f>
        <v>7.5</v>
      </c>
      <c r="L291" s="24">
        <f>IFERROR(__xludf.DUMMYFUNCTION("""COMPUTED_VALUE"""),1.0)</f>
        <v>1</v>
      </c>
      <c r="M291" s="25" t="str">
        <f>IFERROR(__xludf.DUMMYFUNCTION("""COMPUTED_VALUE"""),"Shooter")</f>
        <v>Shooter</v>
      </c>
      <c r="N291" s="25" t="str">
        <f>IFERROR(__xludf.DUMMYFUNCTION("""COMPUTED_VALUE"""),"PS1")</f>
        <v>PS1</v>
      </c>
      <c r="O291" s="26" t="str">
        <f>IFERROR(__xludf.DUMMYFUNCTION("""COMPUTED_VALUE"""),"No")</f>
        <v>No</v>
      </c>
      <c r="P291" s="26"/>
    </row>
    <row r="292">
      <c r="A292" s="13" t="str">
        <f>IFERROR(__xludf.DUMMYFUNCTION("""COMPUTED_VALUE"""),"Wild Arms 4")</f>
        <v>Wild Arms 4</v>
      </c>
      <c r="B292" s="15" t="str">
        <f>IFERROR(__xludf.DUMMYFUNCTION("""COMPUTED_VALUE"""),"PS5/PS4")</f>
        <v>PS5/PS4</v>
      </c>
      <c r="C292" s="16" t="str">
        <f>IFERROR(__xludf.DUMMYFUNCTION("""COMPUTED_VALUE"""),"Premium (Classics)")</f>
        <v>Premium (Classics)</v>
      </c>
      <c r="D292" s="15" t="str">
        <f>IFERROR(__xludf.DUMMYFUNCTION("""COMPUTED_VALUE"""),"Active")</f>
        <v>Active</v>
      </c>
      <c r="E292" s="17">
        <f>IFERROR(__xludf.DUMMYFUNCTION("""COMPUTED_VALUE"""),46133.0)</f>
        <v>46133</v>
      </c>
      <c r="F292" s="54"/>
      <c r="G292" s="19">
        <f>IFERROR(__xludf.DUMMYFUNCTION("""COMPUTED_VALUE"""),5.5)</f>
        <v>5.5</v>
      </c>
      <c r="H292" s="17">
        <f>IFERROR(__xludf.DUMMYFUNCTION("""COMPUTED_VALUE"""),38671.0)</f>
        <v>38671</v>
      </c>
      <c r="I292" s="19">
        <f>IFERROR(__xludf.DUMMYFUNCTION("""COMPUTED_VALUE"""),20.433333333333334)</f>
        <v>20.43333333</v>
      </c>
      <c r="J292" s="21">
        <f>IFERROR(__xludf.DUMMYFUNCTION("""COMPUTED_VALUE"""),70.0)</f>
        <v>70</v>
      </c>
      <c r="K292" s="23">
        <f>IFERROR(__xludf.DUMMYFUNCTION("""COMPUTED_VALUE"""),7.7)</f>
        <v>7.7</v>
      </c>
      <c r="L292" s="24">
        <f>IFERROR(__xludf.DUMMYFUNCTION("""COMPUTED_VALUE"""),33.0)</f>
        <v>33</v>
      </c>
      <c r="M292" s="25" t="str">
        <f>IFERROR(__xludf.DUMMYFUNCTION("""COMPUTED_VALUE"""),"RPG")</f>
        <v>RPG</v>
      </c>
      <c r="N292" s="25" t="str">
        <f>IFERROR(__xludf.DUMMYFUNCTION("""COMPUTED_VALUE"""),"PS2")</f>
        <v>PS2</v>
      </c>
      <c r="O292" s="26"/>
      <c r="P292" s="26"/>
    </row>
    <row r="293">
      <c r="A293" s="13" t="str">
        <f>IFERROR(__xludf.DUMMYFUNCTION("""COMPUTED_VALUE"""),"Thrillville: Off the Rails")</f>
        <v>Thrillville: Off the Rails</v>
      </c>
      <c r="B293" s="15" t="str">
        <f>IFERROR(__xludf.DUMMYFUNCTION("""COMPUTED_VALUE"""),"PS5/PS4")</f>
        <v>PS5/PS4</v>
      </c>
      <c r="C293" s="16" t="str">
        <f>IFERROR(__xludf.DUMMYFUNCTION("""COMPUTED_VALUE"""),"Premium (Classics)")</f>
        <v>Premium (Classics)</v>
      </c>
      <c r="D293" s="15" t="str">
        <f>IFERROR(__xludf.DUMMYFUNCTION("""COMPUTED_VALUE"""),"Active")</f>
        <v>Active</v>
      </c>
      <c r="E293" s="17">
        <f>IFERROR(__xludf.DUMMYFUNCTION("""COMPUTED_VALUE"""),45279.0)</f>
        <v>45279</v>
      </c>
      <c r="F293" s="54"/>
      <c r="G293" s="19">
        <f>IFERROR(__xludf.DUMMYFUNCTION("""COMPUTED_VALUE"""),33.56666666666666)</f>
        <v>33.56666667</v>
      </c>
      <c r="H293" s="17">
        <f>IFERROR(__xludf.DUMMYFUNCTION("""COMPUTED_VALUE"""),39364.0)</f>
        <v>39364</v>
      </c>
      <c r="I293" s="19">
        <f>IFERROR(__xludf.DUMMYFUNCTION("""COMPUTED_VALUE"""),16.194444444444443)</f>
        <v>16.19444444</v>
      </c>
      <c r="J293" s="21">
        <f>IFERROR(__xludf.DUMMYFUNCTION("""COMPUTED_VALUE"""),70.0)</f>
        <v>70</v>
      </c>
      <c r="K293" s="23">
        <f>IFERROR(__xludf.DUMMYFUNCTION("""COMPUTED_VALUE"""),2.9)</f>
        <v>2.9</v>
      </c>
      <c r="L293" s="24">
        <f>IFERROR(__xludf.DUMMYFUNCTION("""COMPUTED_VALUE"""),7.0)</f>
        <v>7</v>
      </c>
      <c r="M293" s="25" t="str">
        <f>IFERROR(__xludf.DUMMYFUNCTION("""COMPUTED_VALUE"""),"Strategy")</f>
        <v>Strategy</v>
      </c>
      <c r="N293" s="25" t="str">
        <f>IFERROR(__xludf.DUMMYFUNCTION("""COMPUTED_VALUE"""),"PS2")</f>
        <v>PS2</v>
      </c>
      <c r="O293" s="26" t="str">
        <f>IFERROR(__xludf.DUMMYFUNCTION("""COMPUTED_VALUE"""),"No")</f>
        <v>No</v>
      </c>
      <c r="P293" s="26"/>
    </row>
    <row r="294">
      <c r="A294" s="13" t="str">
        <f>IFERROR(__xludf.DUMMYFUNCTION("""COMPUTED_VALUE"""),"Jumping Flash!")</f>
        <v>Jumping Flash!</v>
      </c>
      <c r="B294" s="15" t="str">
        <f>IFERROR(__xludf.DUMMYFUNCTION("""COMPUTED_VALUE"""),"PS5/PS4")</f>
        <v>PS5/PS4</v>
      </c>
      <c r="C294" s="16" t="str">
        <f>IFERROR(__xludf.DUMMYFUNCTION("""COMPUTED_VALUE"""),"Premium (Classics)")</f>
        <v>Premium (Classics)</v>
      </c>
      <c r="D294" s="15" t="str">
        <f>IFERROR(__xludf.DUMMYFUNCTION("""COMPUTED_VALUE"""),"Active")</f>
        <v>Active</v>
      </c>
      <c r="E294" s="17">
        <f>IFERROR(__xludf.DUMMYFUNCTION("""COMPUTED_VALUE"""),44725.0)</f>
        <v>44725</v>
      </c>
      <c r="F294" s="54"/>
      <c r="G294" s="19">
        <f>IFERROR(__xludf.DUMMYFUNCTION("""COMPUTED_VALUE"""),51.766666666666666)</f>
        <v>51.76666667</v>
      </c>
      <c r="H294" s="17">
        <f>IFERROR(__xludf.DUMMYFUNCTION("""COMPUTED_VALUE"""),35004.0)</f>
        <v>35004</v>
      </c>
      <c r="I294" s="19">
        <f>IFERROR(__xludf.DUMMYFUNCTION("""COMPUTED_VALUE"""),26.616666666666667)</f>
        <v>26.61666667</v>
      </c>
      <c r="J294" s="21">
        <f>IFERROR(__xludf.DUMMYFUNCTION("""COMPUTED_VALUE"""),70.0)</f>
        <v>70</v>
      </c>
      <c r="K294" s="23">
        <f>IFERROR(__xludf.DUMMYFUNCTION("""COMPUTED_VALUE"""),7.9)</f>
        <v>7.9</v>
      </c>
      <c r="L294" s="24">
        <f>IFERROR(__xludf.DUMMYFUNCTION("""COMPUTED_VALUE"""),4.0)</f>
        <v>4</v>
      </c>
      <c r="M294" s="25" t="str">
        <f>IFERROR(__xludf.DUMMYFUNCTION("""COMPUTED_VALUE"""),"Platformer")</f>
        <v>Platformer</v>
      </c>
      <c r="N294" s="25" t="str">
        <f>IFERROR(__xludf.DUMMYFUNCTION("""COMPUTED_VALUE"""),"PS1")</f>
        <v>PS1</v>
      </c>
      <c r="O294" s="26" t="str">
        <f>IFERROR(__xludf.DUMMYFUNCTION("""COMPUTED_VALUE"""),"No")</f>
        <v>No</v>
      </c>
      <c r="P294" s="26" t="str">
        <f>IFERROR(__xludf.DUMMYFUNCTION("""COMPUTED_VALUE"""),"")</f>
        <v/>
      </c>
    </row>
    <row r="295">
      <c r="A295" s="13" t="str">
        <f>IFERROR(__xludf.DUMMYFUNCTION("""COMPUTED_VALUE"""),"Hot Shots Tennis")</f>
        <v>Hot Shots Tennis</v>
      </c>
      <c r="B295" s="15" t="str">
        <f>IFERROR(__xludf.DUMMYFUNCTION("""COMPUTED_VALUE"""),"PS4")</f>
        <v>PS4</v>
      </c>
      <c r="C295" s="16" t="str">
        <f>IFERROR(__xludf.DUMMYFUNCTION("""COMPUTED_VALUE"""),"Premium (Classics)")</f>
        <v>Premium (Classics)</v>
      </c>
      <c r="D295" s="15" t="str">
        <f>IFERROR(__xludf.DUMMYFUNCTION("""COMPUTED_VALUE"""),"Active")</f>
        <v>Active</v>
      </c>
      <c r="E295" s="17">
        <f>IFERROR(__xludf.DUMMYFUNCTION("""COMPUTED_VALUE"""),44725.0)</f>
        <v>44725</v>
      </c>
      <c r="F295" s="54"/>
      <c r="G295" s="19">
        <f>IFERROR(__xludf.DUMMYFUNCTION("""COMPUTED_VALUE"""),51.766666666666666)</f>
        <v>51.76666667</v>
      </c>
      <c r="H295" s="17">
        <f>IFERROR(__xludf.DUMMYFUNCTION("""COMPUTED_VALUE"""),39264.0)</f>
        <v>39264</v>
      </c>
      <c r="I295" s="19">
        <f>IFERROR(__xludf.DUMMYFUNCTION("""COMPUTED_VALUE"""),14.95)</f>
        <v>14.95</v>
      </c>
      <c r="J295" s="21">
        <f>IFERROR(__xludf.DUMMYFUNCTION("""COMPUTED_VALUE"""),70.0)</f>
        <v>70</v>
      </c>
      <c r="K295" s="23">
        <f>IFERROR(__xludf.DUMMYFUNCTION("""COMPUTED_VALUE"""),7.7)</f>
        <v>7.7</v>
      </c>
      <c r="L295" s="24">
        <f>IFERROR(__xludf.DUMMYFUNCTION("""COMPUTED_VALUE"""),6.5)</f>
        <v>6.5</v>
      </c>
      <c r="M295" s="25" t="str">
        <f>IFERROR(__xludf.DUMMYFUNCTION("""COMPUTED_VALUE"""),"Sports")</f>
        <v>Sports</v>
      </c>
      <c r="N295" s="25" t="str">
        <f>IFERROR(__xludf.DUMMYFUNCTION("""COMPUTED_VALUE"""),"PS2")</f>
        <v>PS2</v>
      </c>
      <c r="O295" s="26" t="str">
        <f>IFERROR(__xludf.DUMMYFUNCTION("""COMPUTED_VALUE"""),"Yes")</f>
        <v>Yes</v>
      </c>
      <c r="P295" s="26" t="str">
        <f>IFERROR(__xludf.DUMMYFUNCTION("""COMPUTED_VALUE"""),"")</f>
        <v/>
      </c>
    </row>
    <row r="296">
      <c r="A296" s="13" t="str">
        <f>IFERROR(__xludf.DUMMYFUNCTION("""COMPUTED_VALUE"""),"OKAGE: Shadow King")</f>
        <v>OKAGE: Shadow King</v>
      </c>
      <c r="B296" s="15" t="str">
        <f>IFERROR(__xludf.DUMMYFUNCTION("""COMPUTED_VALUE"""),"PS4")</f>
        <v>PS4</v>
      </c>
      <c r="C296" s="16" t="str">
        <f>IFERROR(__xludf.DUMMYFUNCTION("""COMPUTED_VALUE"""),"Premium (Classics)")</f>
        <v>Premium (Classics)</v>
      </c>
      <c r="D296" s="15" t="str">
        <f>IFERROR(__xludf.DUMMYFUNCTION("""COMPUTED_VALUE"""),"Active")</f>
        <v>Active</v>
      </c>
      <c r="E296" s="17">
        <f>IFERROR(__xludf.DUMMYFUNCTION("""COMPUTED_VALUE"""),44725.0)</f>
        <v>44725</v>
      </c>
      <c r="F296" s="54"/>
      <c r="G296" s="19">
        <f>IFERROR(__xludf.DUMMYFUNCTION("""COMPUTED_VALUE"""),51.766666666666666)</f>
        <v>51.76666667</v>
      </c>
      <c r="H296" s="17">
        <f>IFERROR(__xludf.DUMMYFUNCTION("""COMPUTED_VALUE"""),36951.0)</f>
        <v>36951</v>
      </c>
      <c r="I296" s="19">
        <f>IFERROR(__xludf.DUMMYFUNCTION("""COMPUTED_VALUE"""),21.283333333333335)</f>
        <v>21.28333333</v>
      </c>
      <c r="J296" s="21">
        <f>IFERROR(__xludf.DUMMYFUNCTION("""COMPUTED_VALUE"""),70.0)</f>
        <v>70</v>
      </c>
      <c r="K296" s="23">
        <f>IFERROR(__xludf.DUMMYFUNCTION("""COMPUTED_VALUE"""),8.1)</f>
        <v>8.1</v>
      </c>
      <c r="L296" s="24">
        <f>IFERROR(__xludf.DUMMYFUNCTION("""COMPUTED_VALUE"""),30.0)</f>
        <v>30</v>
      </c>
      <c r="M296" s="25" t="str">
        <f>IFERROR(__xludf.DUMMYFUNCTION("""COMPUTED_VALUE"""),"RPG")</f>
        <v>RPG</v>
      </c>
      <c r="N296" s="25" t="str">
        <f>IFERROR(__xludf.DUMMYFUNCTION("""COMPUTED_VALUE"""),"PS2")</f>
        <v>PS2</v>
      </c>
      <c r="O296" s="26" t="str">
        <f>IFERROR(__xludf.DUMMYFUNCTION("""COMPUTED_VALUE"""),"Yes")</f>
        <v>Yes</v>
      </c>
      <c r="P296" s="26" t="str">
        <f>IFERROR(__xludf.DUMMYFUNCTION("""COMPUTED_VALUE"""),"")</f>
        <v/>
      </c>
    </row>
    <row r="297">
      <c r="A297" s="13" t="str">
        <f>IFERROR(__xludf.DUMMYFUNCTION("""COMPUTED_VALUE"""),"Castlevania: Lords of Shadow - Mirror of Fate")</f>
        <v>Castlevania: Lords of Shadow - Mirror of Fate</v>
      </c>
      <c r="B297" s="15" t="str">
        <f>IFERROR(__xludf.DUMMYFUNCTION("""COMPUTED_VALUE"""),"PS5/PS4")</f>
        <v>PS5/PS4</v>
      </c>
      <c r="C297" s="16" t="str">
        <f>IFERROR(__xludf.DUMMYFUNCTION("""COMPUTED_VALUE"""),"Premium (Streaming Only)")</f>
        <v>Premium (Streaming Only)</v>
      </c>
      <c r="D297" s="15" t="str">
        <f>IFERROR(__xludf.DUMMYFUNCTION("""COMPUTED_VALUE"""),"Active")</f>
        <v>Active</v>
      </c>
      <c r="E297" s="17">
        <f>IFERROR(__xludf.DUMMYFUNCTION("""COMPUTED_VALUE"""),43683.0)</f>
        <v>43683</v>
      </c>
      <c r="F297" s="54"/>
      <c r="G297" s="19">
        <f>IFERROR(__xludf.DUMMYFUNCTION("""COMPUTED_VALUE"""),86.0)</f>
        <v>86</v>
      </c>
      <c r="H297" s="17">
        <f>IFERROR(__xludf.DUMMYFUNCTION("""COMPUTED_VALUE"""),41548.0)</f>
        <v>41548</v>
      </c>
      <c r="I297" s="19">
        <f>IFERROR(__xludf.DUMMYFUNCTION("""COMPUTED_VALUE"""),5.847222222222222)</f>
        <v>5.847222222</v>
      </c>
      <c r="J297" s="21">
        <f>IFERROR(__xludf.DUMMYFUNCTION("""COMPUTED_VALUE"""),70.0)</f>
        <v>70</v>
      </c>
      <c r="K297" s="23">
        <f>IFERROR(__xludf.DUMMYFUNCTION("""COMPUTED_VALUE"""),7.2)</f>
        <v>7.2</v>
      </c>
      <c r="L297" s="24">
        <f>IFERROR(__xludf.DUMMYFUNCTION("""COMPUTED_VALUE"""),10.0)</f>
        <v>10</v>
      </c>
      <c r="M297" s="25" t="str">
        <f>IFERROR(__xludf.DUMMYFUNCTION("""COMPUTED_VALUE"""),"Action-Adventure")</f>
        <v>Action-Adventure</v>
      </c>
      <c r="N297" s="25" t="str">
        <f>IFERROR(__xludf.DUMMYFUNCTION("""COMPUTED_VALUE"""),"PS3")</f>
        <v>PS3</v>
      </c>
      <c r="O297" s="26" t="str">
        <f>IFERROR(__xludf.DUMMYFUNCTION("""COMPUTED_VALUE"""),"Yes")</f>
        <v>Yes</v>
      </c>
      <c r="P297" s="26" t="str">
        <f>IFERROR(__xludf.DUMMYFUNCTION("""COMPUTED_VALUE"""),"")</f>
        <v/>
      </c>
    </row>
    <row r="298">
      <c r="A298" s="13" t="str">
        <f>IFERROR(__xludf.DUMMYFUNCTION("""COMPUTED_VALUE"""),"Atari Flashback Classics Vol. 1")</f>
        <v>Atari Flashback Classics Vol. 1</v>
      </c>
      <c r="B298" s="15" t="str">
        <f>IFERROR(__xludf.DUMMYFUNCTION("""COMPUTED_VALUE"""),"PS4")</f>
        <v>PS4</v>
      </c>
      <c r="C298" s="16" t="str">
        <f>IFERROR(__xludf.DUMMYFUNCTION("""COMPUTED_VALUE"""),"Premium (Remasters)")</f>
        <v>Premium (Remasters)</v>
      </c>
      <c r="D298" s="15" t="str">
        <f>IFERROR(__xludf.DUMMYFUNCTION("""COMPUTED_VALUE"""),"Active")</f>
        <v>Active</v>
      </c>
      <c r="E298" s="17">
        <f>IFERROR(__xludf.DUMMYFUNCTION("""COMPUTED_VALUE"""),43165.0)</f>
        <v>43165</v>
      </c>
      <c r="F298" s="54"/>
      <c r="G298" s="19">
        <f>IFERROR(__xludf.DUMMYFUNCTION("""COMPUTED_VALUE"""),103.0)</f>
        <v>103</v>
      </c>
      <c r="H298" s="17">
        <f>IFERROR(__xludf.DUMMYFUNCTION("""COMPUTED_VALUE"""),42644.0)</f>
        <v>42644</v>
      </c>
      <c r="I298" s="19">
        <f>IFERROR(__xludf.DUMMYFUNCTION("""COMPUTED_VALUE"""),1.4305555555555556)</f>
        <v>1.430555556</v>
      </c>
      <c r="J298" s="21">
        <f>IFERROR(__xludf.DUMMYFUNCTION("""COMPUTED_VALUE"""),70.0)</f>
        <v>70</v>
      </c>
      <c r="K298" s="23">
        <f>IFERROR(__xludf.DUMMYFUNCTION("""COMPUTED_VALUE"""),6.8)</f>
        <v>6.8</v>
      </c>
      <c r="L298" s="24"/>
      <c r="M298" s="25" t="str">
        <f>IFERROR(__xludf.DUMMYFUNCTION("""COMPUTED_VALUE"""),"Arcade")</f>
        <v>Arcade</v>
      </c>
      <c r="N298" s="25" t="str">
        <f>IFERROR(__xludf.DUMMYFUNCTION("""COMPUTED_VALUE"""),"Atari 2600 and Arcade")</f>
        <v>Atari 2600 and Arcade</v>
      </c>
      <c r="O298" s="26" t="str">
        <f>IFERROR(__xludf.DUMMYFUNCTION("""COMPUTED_VALUE"""),"Yes")</f>
        <v>Yes</v>
      </c>
      <c r="P298" s="26"/>
    </row>
    <row r="299">
      <c r="A299" s="13" t="str">
        <f>IFERROR(__xludf.DUMMYFUNCTION("""COMPUTED_VALUE"""),"Disney Universe")</f>
        <v>Disney Universe</v>
      </c>
      <c r="B299" s="15" t="str">
        <f>IFERROR(__xludf.DUMMYFUNCTION("""COMPUTED_VALUE"""),"PS5/PS4")</f>
        <v>PS5/PS4</v>
      </c>
      <c r="C299" s="16" t="str">
        <f>IFERROR(__xludf.DUMMYFUNCTION("""COMPUTED_VALUE"""),"Premium (Streaming Only)")</f>
        <v>Premium (Streaming Only)</v>
      </c>
      <c r="D299" s="15" t="str">
        <f>IFERROR(__xludf.DUMMYFUNCTION("""COMPUTED_VALUE"""),"Active")</f>
        <v>Active</v>
      </c>
      <c r="E299" s="17">
        <f>IFERROR(__xludf.DUMMYFUNCTION("""COMPUTED_VALUE"""),42895.0)</f>
        <v>42895</v>
      </c>
      <c r="F299" s="54"/>
      <c r="G299" s="19">
        <f>IFERROR(__xludf.DUMMYFUNCTION("""COMPUTED_VALUE"""),111.89999999999999)</f>
        <v>111.9</v>
      </c>
      <c r="H299" s="17">
        <f>IFERROR(__xludf.DUMMYFUNCTION("""COMPUTED_VALUE"""),40817.0)</f>
        <v>40817</v>
      </c>
      <c r="I299" s="19">
        <f>IFERROR(__xludf.DUMMYFUNCTION("""COMPUTED_VALUE"""),5.688888888888889)</f>
        <v>5.688888889</v>
      </c>
      <c r="J299" s="21">
        <f>IFERROR(__xludf.DUMMYFUNCTION("""COMPUTED_VALUE"""),70.0)</f>
        <v>70</v>
      </c>
      <c r="K299" s="23">
        <f>IFERROR(__xludf.DUMMYFUNCTION("""COMPUTED_VALUE"""),7.5)</f>
        <v>7.5</v>
      </c>
      <c r="L299" s="24">
        <f>IFERROR(__xludf.DUMMYFUNCTION("""COMPUTED_VALUE"""),10.0)</f>
        <v>10</v>
      </c>
      <c r="M299" s="25" t="str">
        <f>IFERROR(__xludf.DUMMYFUNCTION("""COMPUTED_VALUE"""),"Action-Adventure")</f>
        <v>Action-Adventure</v>
      </c>
      <c r="N299" s="25" t="str">
        <f>IFERROR(__xludf.DUMMYFUNCTION("""COMPUTED_VALUE"""),"PS3")</f>
        <v>PS3</v>
      </c>
      <c r="O299" s="26" t="str">
        <f>IFERROR(__xludf.DUMMYFUNCTION("""COMPUTED_VALUE"""),"Yes")</f>
        <v>Yes</v>
      </c>
      <c r="P299" s="26" t="str">
        <f>IFERROR(__xludf.DUMMYFUNCTION("""COMPUTED_VALUE"""),"")</f>
        <v/>
      </c>
    </row>
    <row r="300">
      <c r="A300" s="13" t="str">
        <f>IFERROR(__xludf.DUMMYFUNCTION("""COMPUTED_VALUE"""),"LEGO Indiana Jones 2: The Adventure Continues")</f>
        <v>LEGO Indiana Jones 2: The Adventure Continues</v>
      </c>
      <c r="B300" s="15" t="str">
        <f>IFERROR(__xludf.DUMMYFUNCTION("""COMPUTED_VALUE"""),"PS5/PS4")</f>
        <v>PS5/PS4</v>
      </c>
      <c r="C300" s="16" t="str">
        <f>IFERROR(__xludf.DUMMYFUNCTION("""COMPUTED_VALUE"""),"Premium (Streaming Only)")</f>
        <v>Premium (Streaming Only)</v>
      </c>
      <c r="D300" s="15" t="str">
        <f>IFERROR(__xludf.DUMMYFUNCTION("""COMPUTED_VALUE"""),"Active")</f>
        <v>Active</v>
      </c>
      <c r="E300" s="17">
        <f>IFERROR(__xludf.DUMMYFUNCTION("""COMPUTED_VALUE"""),42829.0)</f>
        <v>42829</v>
      </c>
      <c r="F300" s="54"/>
      <c r="G300" s="19">
        <f>IFERROR(__xludf.DUMMYFUNCTION("""COMPUTED_VALUE"""),114.06666666666668)</f>
        <v>114.0666667</v>
      </c>
      <c r="H300" s="17">
        <f>IFERROR(__xludf.DUMMYFUNCTION("""COMPUTED_VALUE"""),40118.0)</f>
        <v>40118</v>
      </c>
      <c r="I300" s="19">
        <f>IFERROR(__xludf.DUMMYFUNCTION("""COMPUTED_VALUE"""),7.425)</f>
        <v>7.425</v>
      </c>
      <c r="J300" s="21">
        <f>IFERROR(__xludf.DUMMYFUNCTION("""COMPUTED_VALUE"""),70.0)</f>
        <v>70</v>
      </c>
      <c r="K300" s="23">
        <f>IFERROR(__xludf.DUMMYFUNCTION("""COMPUTED_VALUE"""),7.5)</f>
        <v>7.5</v>
      </c>
      <c r="L300" s="24">
        <f>IFERROR(__xludf.DUMMYFUNCTION("""COMPUTED_VALUE"""),12.0)</f>
        <v>12</v>
      </c>
      <c r="M300" s="25" t="str">
        <f>IFERROR(__xludf.DUMMYFUNCTION("""COMPUTED_VALUE"""),"Action-Adventure")</f>
        <v>Action-Adventure</v>
      </c>
      <c r="N300" s="25" t="str">
        <f>IFERROR(__xludf.DUMMYFUNCTION("""COMPUTED_VALUE"""),"PS3")</f>
        <v>PS3</v>
      </c>
      <c r="O300" s="26" t="str">
        <f>IFERROR(__xludf.DUMMYFUNCTION("""COMPUTED_VALUE"""),"Yes")</f>
        <v>Yes</v>
      </c>
      <c r="P300" s="26" t="str">
        <f>IFERROR(__xludf.DUMMYFUNCTION("""COMPUTED_VALUE"""),"")</f>
        <v/>
      </c>
    </row>
    <row r="301">
      <c r="A301" s="13" t="str">
        <f>IFERROR(__xludf.DUMMYFUNCTION("""COMPUTED_VALUE"""),"WARRIORS OROCHI 3")</f>
        <v>WARRIORS OROCHI 3</v>
      </c>
      <c r="B301" s="15" t="str">
        <f>IFERROR(__xludf.DUMMYFUNCTION("""COMPUTED_VALUE"""),"PS5/PS4")</f>
        <v>PS5/PS4</v>
      </c>
      <c r="C301" s="16" t="str">
        <f>IFERROR(__xludf.DUMMYFUNCTION("""COMPUTED_VALUE"""),"Premium (Streaming Only)")</f>
        <v>Premium (Streaming Only)</v>
      </c>
      <c r="D301" s="15" t="str">
        <f>IFERROR(__xludf.DUMMYFUNCTION("""COMPUTED_VALUE"""),"Active")</f>
        <v>Active</v>
      </c>
      <c r="E301" s="17">
        <f>IFERROR(__xludf.DUMMYFUNCTION("""COMPUTED_VALUE"""),42773.0)</f>
        <v>42773</v>
      </c>
      <c r="F301" s="54"/>
      <c r="G301" s="19">
        <f>IFERROR(__xludf.DUMMYFUNCTION("""COMPUTED_VALUE"""),115.96666666666667)</f>
        <v>115.9666667</v>
      </c>
      <c r="H301" s="17">
        <f>IFERROR(__xludf.DUMMYFUNCTION("""COMPUTED_VALUE"""),40969.0)</f>
        <v>40969</v>
      </c>
      <c r="I301" s="19">
        <f>IFERROR(__xludf.DUMMYFUNCTION("""COMPUTED_VALUE"""),4.933333333333334)</f>
        <v>4.933333333</v>
      </c>
      <c r="J301" s="21">
        <f>IFERROR(__xludf.DUMMYFUNCTION("""COMPUTED_VALUE"""),70.0)</f>
        <v>70</v>
      </c>
      <c r="K301" s="23">
        <f>IFERROR(__xludf.DUMMYFUNCTION("""COMPUTED_VALUE"""),8.1)</f>
        <v>8.1</v>
      </c>
      <c r="L301" s="24">
        <f>IFERROR(__xludf.DUMMYFUNCTION("""COMPUTED_VALUE"""),30.0)</f>
        <v>30</v>
      </c>
      <c r="M301" s="25" t="str">
        <f>IFERROR(__xludf.DUMMYFUNCTION("""COMPUTED_VALUE"""),"Action-Adventure")</f>
        <v>Action-Adventure</v>
      </c>
      <c r="N301" s="25" t="str">
        <f>IFERROR(__xludf.DUMMYFUNCTION("""COMPUTED_VALUE"""),"PS3")</f>
        <v>PS3</v>
      </c>
      <c r="O301" s="26" t="str">
        <f>IFERROR(__xludf.DUMMYFUNCTION("""COMPUTED_VALUE"""),"Yes")</f>
        <v>Yes</v>
      </c>
      <c r="P301" s="26" t="str">
        <f>IFERROR(__xludf.DUMMYFUNCTION("""COMPUTED_VALUE"""),"")</f>
        <v/>
      </c>
    </row>
    <row r="302">
      <c r="A302" s="13" t="str">
        <f>IFERROR(__xludf.DUMMYFUNCTION("""COMPUTED_VALUE"""),"Injustice: Gods Among Us - Ultimate Edition")</f>
        <v>Injustice: Gods Among Us - Ultimate Edition</v>
      </c>
      <c r="B302" s="15" t="str">
        <f>IFERROR(__xludf.DUMMYFUNCTION("""COMPUTED_VALUE"""),"PS5/PS4")</f>
        <v>PS5/PS4</v>
      </c>
      <c r="C302" s="16" t="str">
        <f>IFERROR(__xludf.DUMMYFUNCTION("""COMPUTED_VALUE"""),"Premium (Streaming Only)")</f>
        <v>Premium (Streaming Only)</v>
      </c>
      <c r="D302" s="15" t="str">
        <f>IFERROR(__xludf.DUMMYFUNCTION("""COMPUTED_VALUE"""),"Active")</f>
        <v>Active</v>
      </c>
      <c r="E302" s="17">
        <f>IFERROR(__xludf.DUMMYFUNCTION("""COMPUTED_VALUE"""),42417.0)</f>
        <v>42417</v>
      </c>
      <c r="F302" s="54"/>
      <c r="G302" s="19">
        <f>IFERROR(__xludf.DUMMYFUNCTION("""COMPUTED_VALUE"""),127.63333333333333)</f>
        <v>127.6333333</v>
      </c>
      <c r="H302" s="17">
        <f>IFERROR(__xludf.DUMMYFUNCTION("""COMPUTED_VALUE"""),41609.0)</f>
        <v>41609</v>
      </c>
      <c r="I302" s="19">
        <f>IFERROR(__xludf.DUMMYFUNCTION("""COMPUTED_VALUE"""),2.2111111111111112)</f>
        <v>2.211111111</v>
      </c>
      <c r="J302" s="21">
        <f>IFERROR(__xludf.DUMMYFUNCTION("""COMPUTED_VALUE"""),70.0)</f>
        <v>70</v>
      </c>
      <c r="K302" s="23">
        <f>IFERROR(__xludf.DUMMYFUNCTION("""COMPUTED_VALUE"""),7.7)</f>
        <v>7.7</v>
      </c>
      <c r="L302" s="24">
        <f>IFERROR(__xludf.DUMMYFUNCTION("""COMPUTED_VALUE"""),5.0)</f>
        <v>5</v>
      </c>
      <c r="M302" s="25" t="str">
        <f>IFERROR(__xludf.DUMMYFUNCTION("""COMPUTED_VALUE"""),"Fighting")</f>
        <v>Fighting</v>
      </c>
      <c r="N302" s="25" t="str">
        <f>IFERROR(__xludf.DUMMYFUNCTION("""COMPUTED_VALUE"""),"PS3")</f>
        <v>PS3</v>
      </c>
      <c r="O302" s="26" t="str">
        <f>IFERROR(__xludf.DUMMYFUNCTION("""COMPUTED_VALUE"""),"Yes")</f>
        <v>Yes</v>
      </c>
      <c r="P302" s="26" t="str">
        <f>IFERROR(__xludf.DUMMYFUNCTION("""COMPUTED_VALUE"""),"")</f>
        <v/>
      </c>
    </row>
    <row r="303">
      <c r="A303" s="13" t="str">
        <f>IFERROR(__xludf.DUMMYFUNCTION("""COMPUTED_VALUE"""),"Numblast")</f>
        <v>Numblast</v>
      </c>
      <c r="B303" s="15" t="str">
        <f>IFERROR(__xludf.DUMMYFUNCTION("""COMPUTED_VALUE"""),"PS5/PS4")</f>
        <v>PS5/PS4</v>
      </c>
      <c r="C303" s="16" t="str">
        <f>IFERROR(__xludf.DUMMYFUNCTION("""COMPUTED_VALUE"""),"Premium (Streaming Only)")</f>
        <v>Premium (Streaming Only)</v>
      </c>
      <c r="D303" s="15" t="str">
        <f>IFERROR(__xludf.DUMMYFUNCTION("""COMPUTED_VALUE"""),"Active")</f>
        <v>Active</v>
      </c>
      <c r="E303" s="17">
        <f>IFERROR(__xludf.DUMMYFUNCTION("""COMPUTED_VALUE"""),42374.0)</f>
        <v>42374</v>
      </c>
      <c r="F303" s="54"/>
      <c r="G303" s="19">
        <f>IFERROR(__xludf.DUMMYFUNCTION("""COMPUTED_VALUE"""),129.03333333333333)</f>
        <v>129.0333333</v>
      </c>
      <c r="H303" s="17">
        <f>IFERROR(__xludf.DUMMYFUNCTION("""COMPUTED_VALUE"""),40118.0)</f>
        <v>40118</v>
      </c>
      <c r="I303" s="19">
        <f>IFERROR(__xludf.DUMMYFUNCTION("""COMPUTED_VALUE"""),6.177777777777778)</f>
        <v>6.177777778</v>
      </c>
      <c r="J303" s="21">
        <f>IFERROR(__xludf.DUMMYFUNCTION("""COMPUTED_VALUE"""),70.0)</f>
        <v>70</v>
      </c>
      <c r="K303" s="23">
        <f>IFERROR(__xludf.DUMMYFUNCTION("""COMPUTED_VALUE"""),7.1)</f>
        <v>7.1</v>
      </c>
      <c r="L303" s="24">
        <f>IFERROR(__xludf.DUMMYFUNCTION("""COMPUTED_VALUE"""),5.0)</f>
        <v>5</v>
      </c>
      <c r="M303" s="25" t="str">
        <f>IFERROR(__xludf.DUMMYFUNCTION("""COMPUTED_VALUE"""),"Puzzle")</f>
        <v>Puzzle</v>
      </c>
      <c r="N303" s="25" t="str">
        <f>IFERROR(__xludf.DUMMYFUNCTION("""COMPUTED_VALUE"""),"PS3")</f>
        <v>PS3</v>
      </c>
      <c r="O303" s="26" t="str">
        <f>IFERROR(__xludf.DUMMYFUNCTION("""COMPUTED_VALUE"""),"Yes")</f>
        <v>Yes</v>
      </c>
      <c r="P303" s="26" t="str">
        <f>IFERROR(__xludf.DUMMYFUNCTION("""COMPUTED_VALUE"""),"")</f>
        <v/>
      </c>
    </row>
    <row r="304">
      <c r="A304" s="13" t="str">
        <f>IFERROR(__xludf.DUMMYFUNCTION("""COMPUTED_VALUE"""),"Ratchet and Clank: All 4 One")</f>
        <v>Ratchet and Clank: All 4 One</v>
      </c>
      <c r="B304" s="15" t="str">
        <f>IFERROR(__xludf.DUMMYFUNCTION("""COMPUTED_VALUE"""),"PS5/PS4")</f>
        <v>PS5/PS4</v>
      </c>
      <c r="C304" s="16" t="str">
        <f>IFERROR(__xludf.DUMMYFUNCTION("""COMPUTED_VALUE"""),"Premium (Streaming Only)")</f>
        <v>Premium (Streaming Only)</v>
      </c>
      <c r="D304" s="15" t="str">
        <f>IFERROR(__xludf.DUMMYFUNCTION("""COMPUTED_VALUE"""),"Active")</f>
        <v>Active</v>
      </c>
      <c r="E304" s="17">
        <f>IFERROR(__xludf.DUMMYFUNCTION("""COMPUTED_VALUE"""),42374.0)</f>
        <v>42374</v>
      </c>
      <c r="F304" s="54"/>
      <c r="G304" s="19">
        <f>IFERROR(__xludf.DUMMYFUNCTION("""COMPUTED_VALUE"""),129.03333333333333)</f>
        <v>129.0333333</v>
      </c>
      <c r="H304" s="17">
        <f>IFERROR(__xludf.DUMMYFUNCTION("""COMPUTED_VALUE"""),40817.0)</f>
        <v>40817</v>
      </c>
      <c r="I304" s="19">
        <f>IFERROR(__xludf.DUMMYFUNCTION("""COMPUTED_VALUE"""),4.261111111111111)</f>
        <v>4.261111111</v>
      </c>
      <c r="J304" s="21">
        <f>IFERROR(__xludf.DUMMYFUNCTION("""COMPUTED_VALUE"""),70.0)</f>
        <v>70</v>
      </c>
      <c r="K304" s="23">
        <f>IFERROR(__xludf.DUMMYFUNCTION("""COMPUTED_VALUE"""),7.1)</f>
        <v>7.1</v>
      </c>
      <c r="L304" s="24">
        <f>IFERROR(__xludf.DUMMYFUNCTION("""COMPUTED_VALUE"""),9.0)</f>
        <v>9</v>
      </c>
      <c r="M304" s="25" t="str">
        <f>IFERROR(__xludf.DUMMYFUNCTION("""COMPUTED_VALUE"""),"Action-Adventure")</f>
        <v>Action-Adventure</v>
      </c>
      <c r="N304" s="25" t="str">
        <f>IFERROR(__xludf.DUMMYFUNCTION("""COMPUTED_VALUE"""),"PS3")</f>
        <v>PS3</v>
      </c>
      <c r="O304" s="26" t="str">
        <f>IFERROR(__xludf.DUMMYFUNCTION("""COMPUTED_VALUE"""),"Yes")</f>
        <v>Yes</v>
      </c>
      <c r="P304" s="26" t="str">
        <f>IFERROR(__xludf.DUMMYFUNCTION("""COMPUTED_VALUE"""),"")</f>
        <v/>
      </c>
    </row>
    <row r="305">
      <c r="A305" s="13" t="str">
        <f>IFERROR(__xludf.DUMMYFUNCTION("""COMPUTED_VALUE"""),"Pid")</f>
        <v>Pid</v>
      </c>
      <c r="B305" s="15" t="str">
        <f>IFERROR(__xludf.DUMMYFUNCTION("""COMPUTED_VALUE"""),"PS5/PS4")</f>
        <v>PS5/PS4</v>
      </c>
      <c r="C305" s="16" t="str">
        <f>IFERROR(__xludf.DUMMYFUNCTION("""COMPUTED_VALUE"""),"Premium (Streaming Only)")</f>
        <v>Premium (Streaming Only)</v>
      </c>
      <c r="D305" s="15" t="str">
        <f>IFERROR(__xludf.DUMMYFUNCTION("""COMPUTED_VALUE"""),"Active")</f>
        <v>Active</v>
      </c>
      <c r="E305" s="17">
        <f>IFERROR(__xludf.DUMMYFUNCTION("""COMPUTED_VALUE"""),42311.0)</f>
        <v>42311</v>
      </c>
      <c r="F305" s="54"/>
      <c r="G305" s="19">
        <f>IFERROR(__xludf.DUMMYFUNCTION("""COMPUTED_VALUE"""),131.10000000000002)</f>
        <v>131.1</v>
      </c>
      <c r="H305" s="17">
        <f>IFERROR(__xludf.DUMMYFUNCTION("""COMPUTED_VALUE"""),41214.0)</f>
        <v>41214</v>
      </c>
      <c r="I305" s="19">
        <f>IFERROR(__xludf.DUMMYFUNCTION("""COMPUTED_VALUE"""),3.0055555555555555)</f>
        <v>3.005555556</v>
      </c>
      <c r="J305" s="21">
        <f>IFERROR(__xludf.DUMMYFUNCTION("""COMPUTED_VALUE"""),70.0)</f>
        <v>70</v>
      </c>
      <c r="K305" s="23">
        <f>IFERROR(__xludf.DUMMYFUNCTION("""COMPUTED_VALUE"""),6.2)</f>
        <v>6.2</v>
      </c>
      <c r="L305" s="24">
        <f>IFERROR(__xludf.DUMMYFUNCTION("""COMPUTED_VALUE"""),5.0)</f>
        <v>5</v>
      </c>
      <c r="M305" s="25" t="str">
        <f>IFERROR(__xludf.DUMMYFUNCTION("""COMPUTED_VALUE"""),"Platformer")</f>
        <v>Platformer</v>
      </c>
      <c r="N305" s="25" t="str">
        <f>IFERROR(__xludf.DUMMYFUNCTION("""COMPUTED_VALUE"""),"PS3")</f>
        <v>PS3</v>
      </c>
      <c r="O305" s="26" t="str">
        <f>IFERROR(__xludf.DUMMYFUNCTION("""COMPUTED_VALUE"""),"Yes")</f>
        <v>Yes</v>
      </c>
      <c r="P305" s="26" t="str">
        <f>IFERROR(__xludf.DUMMYFUNCTION("""COMPUTED_VALUE"""),"")</f>
        <v/>
      </c>
    </row>
    <row r="306">
      <c r="A306" s="13" t="str">
        <f>IFERROR(__xludf.DUMMYFUNCTION("""COMPUTED_VALUE"""),"Rocket Knight")</f>
        <v>Rocket Knight</v>
      </c>
      <c r="B306" s="15" t="str">
        <f>IFERROR(__xludf.DUMMYFUNCTION("""COMPUTED_VALUE"""),"PS5/PS4")</f>
        <v>PS5/PS4</v>
      </c>
      <c r="C306" s="16" t="str">
        <f>IFERROR(__xludf.DUMMYFUNCTION("""COMPUTED_VALUE"""),"Premium (Streaming Only)")</f>
        <v>Premium (Streaming Only)</v>
      </c>
      <c r="D306" s="15" t="str">
        <f>IFERROR(__xludf.DUMMYFUNCTION("""COMPUTED_VALUE"""),"Active")</f>
        <v>Active</v>
      </c>
      <c r="E306" s="17">
        <f>IFERROR(__xludf.DUMMYFUNCTION("""COMPUTED_VALUE"""),42311.0)</f>
        <v>42311</v>
      </c>
      <c r="F306" s="54"/>
      <c r="G306" s="19">
        <f>IFERROR(__xludf.DUMMYFUNCTION("""COMPUTED_VALUE"""),131.10000000000002)</f>
        <v>131.1</v>
      </c>
      <c r="H306" s="17">
        <f>IFERROR(__xludf.DUMMYFUNCTION("""COMPUTED_VALUE"""),40299.0)</f>
        <v>40299</v>
      </c>
      <c r="I306" s="19">
        <f>IFERROR(__xludf.DUMMYFUNCTION("""COMPUTED_VALUE"""),5.5055555555555555)</f>
        <v>5.505555556</v>
      </c>
      <c r="J306" s="21">
        <f>IFERROR(__xludf.DUMMYFUNCTION("""COMPUTED_VALUE"""),70.0)</f>
        <v>70</v>
      </c>
      <c r="K306" s="23">
        <f>IFERROR(__xludf.DUMMYFUNCTION("""COMPUTED_VALUE"""),7.2)</f>
        <v>7.2</v>
      </c>
      <c r="L306" s="24">
        <f>IFERROR(__xludf.DUMMYFUNCTION("""COMPUTED_VALUE"""),4.0)</f>
        <v>4</v>
      </c>
      <c r="M306" s="25" t="str">
        <f>IFERROR(__xludf.DUMMYFUNCTION("""COMPUTED_VALUE"""),"Platformer")</f>
        <v>Platformer</v>
      </c>
      <c r="N306" s="25" t="str">
        <f>IFERROR(__xludf.DUMMYFUNCTION("""COMPUTED_VALUE"""),"PS3")</f>
        <v>PS3</v>
      </c>
      <c r="O306" s="26" t="str">
        <f>IFERROR(__xludf.DUMMYFUNCTION("""COMPUTED_VALUE"""),"Yes")</f>
        <v>Yes</v>
      </c>
      <c r="P306" s="26" t="str">
        <f>IFERROR(__xludf.DUMMYFUNCTION("""COMPUTED_VALUE"""),"")</f>
        <v/>
      </c>
    </row>
    <row r="307">
      <c r="A307" s="13" t="str">
        <f>IFERROR(__xludf.DUMMYFUNCTION("""COMPUTED_VALUE"""),"Atelier Ayesha: The Alchemist of Dusk")</f>
        <v>Atelier Ayesha: The Alchemist of Dusk</v>
      </c>
      <c r="B307" s="15" t="str">
        <f>IFERROR(__xludf.DUMMYFUNCTION("""COMPUTED_VALUE"""),"PS5/PS4")</f>
        <v>PS5/PS4</v>
      </c>
      <c r="C307" s="16" t="str">
        <f>IFERROR(__xludf.DUMMYFUNCTION("""COMPUTED_VALUE"""),"Premium (Streaming Only)")</f>
        <v>Premium (Streaming Only)</v>
      </c>
      <c r="D307" s="15" t="str">
        <f>IFERROR(__xludf.DUMMYFUNCTION("""COMPUTED_VALUE"""),"Active")</f>
        <v>Active</v>
      </c>
      <c r="E307" s="17">
        <f>IFERROR(__xludf.DUMMYFUNCTION("""COMPUTED_VALUE"""),42017.0)</f>
        <v>42017</v>
      </c>
      <c r="F307" s="54"/>
      <c r="G307" s="19">
        <f>IFERROR(__xludf.DUMMYFUNCTION("""COMPUTED_VALUE"""),140.76666666666668)</f>
        <v>140.7666667</v>
      </c>
      <c r="H307" s="17">
        <f>IFERROR(__xludf.DUMMYFUNCTION("""COMPUTED_VALUE"""),41061.0)</f>
        <v>41061</v>
      </c>
      <c r="I307" s="19">
        <f>IFERROR(__xludf.DUMMYFUNCTION("""COMPUTED_VALUE"""),2.6166666666666667)</f>
        <v>2.616666667</v>
      </c>
      <c r="J307" s="21">
        <f>IFERROR(__xludf.DUMMYFUNCTION("""COMPUTED_VALUE"""),70.0)</f>
        <v>70</v>
      </c>
      <c r="K307" s="23">
        <f>IFERROR(__xludf.DUMMYFUNCTION("""COMPUTED_VALUE"""),7.9)</f>
        <v>7.9</v>
      </c>
      <c r="L307" s="24">
        <f>IFERROR(__xludf.DUMMYFUNCTION("""COMPUTED_VALUE"""),45.0)</f>
        <v>45</v>
      </c>
      <c r="M307" s="25" t="str">
        <f>IFERROR(__xludf.DUMMYFUNCTION("""COMPUTED_VALUE"""),"RPG")</f>
        <v>RPG</v>
      </c>
      <c r="N307" s="25" t="str">
        <f>IFERROR(__xludf.DUMMYFUNCTION("""COMPUTED_VALUE"""),"PS3")</f>
        <v>PS3</v>
      </c>
      <c r="O307" s="26" t="str">
        <f>IFERROR(__xludf.DUMMYFUNCTION("""COMPUTED_VALUE"""),"Yes")</f>
        <v>Yes</v>
      </c>
      <c r="P307" s="26" t="str">
        <f>IFERROR(__xludf.DUMMYFUNCTION("""COMPUTED_VALUE"""),"")</f>
        <v/>
      </c>
    </row>
    <row r="308">
      <c r="A308" s="13" t="str">
        <f>IFERROR(__xludf.DUMMYFUNCTION("""COMPUTED_VALUE"""),"Deception IV: Blood Ties")</f>
        <v>Deception IV: Blood Ties</v>
      </c>
      <c r="B308" s="15" t="str">
        <f>IFERROR(__xludf.DUMMYFUNCTION("""COMPUTED_VALUE"""),"PS5/PS4")</f>
        <v>PS5/PS4</v>
      </c>
      <c r="C308" s="16" t="str">
        <f>IFERROR(__xludf.DUMMYFUNCTION("""COMPUTED_VALUE"""),"Premium (Streaming Only)")</f>
        <v>Premium (Streaming Only)</v>
      </c>
      <c r="D308" s="15" t="str">
        <f>IFERROR(__xludf.DUMMYFUNCTION("""COMPUTED_VALUE"""),"Active")</f>
        <v>Active</v>
      </c>
      <c r="E308" s="17">
        <f>IFERROR(__xludf.DUMMYFUNCTION("""COMPUTED_VALUE"""),42017.0)</f>
        <v>42017</v>
      </c>
      <c r="F308" s="54"/>
      <c r="G308" s="19">
        <f>IFERROR(__xludf.DUMMYFUNCTION("""COMPUTED_VALUE"""),140.76666666666668)</f>
        <v>140.7666667</v>
      </c>
      <c r="H308" s="17">
        <f>IFERROR(__xludf.DUMMYFUNCTION("""COMPUTED_VALUE"""),41671.0)</f>
        <v>41671</v>
      </c>
      <c r="I308" s="19">
        <f>IFERROR(__xludf.DUMMYFUNCTION("""COMPUTED_VALUE"""),0.95)</f>
        <v>0.95</v>
      </c>
      <c r="J308" s="21">
        <f>IFERROR(__xludf.DUMMYFUNCTION("""COMPUTED_VALUE"""),70.0)</f>
        <v>70</v>
      </c>
      <c r="K308" s="23">
        <f>IFERROR(__xludf.DUMMYFUNCTION("""COMPUTED_VALUE"""),7.4)</f>
        <v>7.4</v>
      </c>
      <c r="L308" s="24">
        <f>IFERROR(__xludf.DUMMYFUNCTION("""COMPUTED_VALUE"""),25.0)</f>
        <v>25</v>
      </c>
      <c r="M308" s="25" t="str">
        <f>IFERROR(__xludf.DUMMYFUNCTION("""COMPUTED_VALUE"""),"Strategy")</f>
        <v>Strategy</v>
      </c>
      <c r="N308" s="25" t="str">
        <f>IFERROR(__xludf.DUMMYFUNCTION("""COMPUTED_VALUE"""),"PS3")</f>
        <v>PS3</v>
      </c>
      <c r="O308" s="26" t="str">
        <f>IFERROR(__xludf.DUMMYFUNCTION("""COMPUTED_VALUE"""),"Yes")</f>
        <v>Yes</v>
      </c>
      <c r="P308" s="26" t="str">
        <f>IFERROR(__xludf.DUMMYFUNCTION("""COMPUTED_VALUE"""),"")</f>
        <v/>
      </c>
    </row>
    <row r="309">
      <c r="A309" s="13" t="str">
        <f>IFERROR(__xludf.DUMMYFUNCTION("""COMPUTED_VALUE"""),"Elefunk")</f>
        <v>Elefunk</v>
      </c>
      <c r="B309" s="15" t="str">
        <f>IFERROR(__xludf.DUMMYFUNCTION("""COMPUTED_VALUE"""),"PS5/PS4")</f>
        <v>PS5/PS4</v>
      </c>
      <c r="C309" s="16" t="str">
        <f>IFERROR(__xludf.DUMMYFUNCTION("""COMPUTED_VALUE"""),"Premium (Streaming Only)")</f>
        <v>Premium (Streaming Only)</v>
      </c>
      <c r="D309" s="15" t="str">
        <f>IFERROR(__xludf.DUMMYFUNCTION("""COMPUTED_VALUE"""),"Active")</f>
        <v>Active</v>
      </c>
      <c r="E309" s="17">
        <f>IFERROR(__xludf.DUMMYFUNCTION("""COMPUTED_VALUE"""),42017.0)</f>
        <v>42017</v>
      </c>
      <c r="F309" s="54"/>
      <c r="G309" s="19">
        <f>IFERROR(__xludf.DUMMYFUNCTION("""COMPUTED_VALUE"""),140.76666666666668)</f>
        <v>140.7666667</v>
      </c>
      <c r="H309" s="17">
        <f>IFERROR(__xludf.DUMMYFUNCTION("""COMPUTED_VALUE"""),39630.0)</f>
        <v>39630</v>
      </c>
      <c r="I309" s="19">
        <f>IFERROR(__xludf.DUMMYFUNCTION("""COMPUTED_VALUE"""),6.533333333333333)</f>
        <v>6.533333333</v>
      </c>
      <c r="J309" s="21">
        <f>IFERROR(__xludf.DUMMYFUNCTION("""COMPUTED_VALUE"""),70.0)</f>
        <v>70</v>
      </c>
      <c r="K309" s="23">
        <f>IFERROR(__xludf.DUMMYFUNCTION("""COMPUTED_VALUE"""),7.3)</f>
        <v>7.3</v>
      </c>
      <c r="L309" s="24">
        <f>IFERROR(__xludf.DUMMYFUNCTION("""COMPUTED_VALUE"""),4.0)</f>
        <v>4</v>
      </c>
      <c r="M309" s="25" t="str">
        <f>IFERROR(__xludf.DUMMYFUNCTION("""COMPUTED_VALUE"""),"Puzzle")</f>
        <v>Puzzle</v>
      </c>
      <c r="N309" s="25" t="str">
        <f>IFERROR(__xludf.DUMMYFUNCTION("""COMPUTED_VALUE"""),"PS3")</f>
        <v>PS3</v>
      </c>
      <c r="O309" s="26" t="str">
        <f>IFERROR(__xludf.DUMMYFUNCTION("""COMPUTED_VALUE"""),"Yes")</f>
        <v>Yes</v>
      </c>
      <c r="P309" s="26" t="str">
        <f>IFERROR(__xludf.DUMMYFUNCTION("""COMPUTED_VALUE"""),"")</f>
        <v/>
      </c>
    </row>
    <row r="310">
      <c r="A310" s="13" t="str">
        <f>IFERROR(__xludf.DUMMYFUNCTION("""COMPUTED_VALUE"""),"Piyotama")</f>
        <v>Piyotama</v>
      </c>
      <c r="B310" s="15" t="str">
        <f>IFERROR(__xludf.DUMMYFUNCTION("""COMPUTED_VALUE"""),"PS5/PS4")</f>
        <v>PS5/PS4</v>
      </c>
      <c r="C310" s="16" t="str">
        <f>IFERROR(__xludf.DUMMYFUNCTION("""COMPUTED_VALUE"""),"Premium (Streaming Only)")</f>
        <v>Premium (Streaming Only)</v>
      </c>
      <c r="D310" s="15" t="str">
        <f>IFERROR(__xludf.DUMMYFUNCTION("""COMPUTED_VALUE"""),"Active")</f>
        <v>Active</v>
      </c>
      <c r="E310" s="17">
        <f>IFERROR(__xludf.DUMMYFUNCTION("""COMPUTED_VALUE"""),42017.0)</f>
        <v>42017</v>
      </c>
      <c r="F310" s="54"/>
      <c r="G310" s="19">
        <f>IFERROR(__xludf.DUMMYFUNCTION("""COMPUTED_VALUE"""),140.76666666666668)</f>
        <v>140.7666667</v>
      </c>
      <c r="H310" s="17">
        <f>IFERROR(__xludf.DUMMYFUNCTION("""COMPUTED_VALUE"""),39295.0)</f>
        <v>39295</v>
      </c>
      <c r="I310" s="19">
        <f>IFERROR(__xludf.DUMMYFUNCTION("""COMPUTED_VALUE"""),7.45)</f>
        <v>7.45</v>
      </c>
      <c r="J310" s="21">
        <f>IFERROR(__xludf.DUMMYFUNCTION("""COMPUTED_VALUE"""),70.0)</f>
        <v>70</v>
      </c>
      <c r="K310" s="23">
        <f>IFERROR(__xludf.DUMMYFUNCTION("""COMPUTED_VALUE"""),7.4)</f>
        <v>7.4</v>
      </c>
      <c r="L310" s="24">
        <f>IFERROR(__xludf.DUMMYFUNCTION("""COMPUTED_VALUE"""),3.0)</f>
        <v>3</v>
      </c>
      <c r="M310" s="25" t="str">
        <f>IFERROR(__xludf.DUMMYFUNCTION("""COMPUTED_VALUE"""),"Puzzle")</f>
        <v>Puzzle</v>
      </c>
      <c r="N310" s="25" t="str">
        <f>IFERROR(__xludf.DUMMYFUNCTION("""COMPUTED_VALUE"""),"PS3")</f>
        <v>PS3</v>
      </c>
      <c r="O310" s="26" t="str">
        <f>IFERROR(__xludf.DUMMYFUNCTION("""COMPUTED_VALUE"""),"Yes")</f>
        <v>Yes</v>
      </c>
      <c r="P310" s="26" t="str">
        <f>IFERROR(__xludf.DUMMYFUNCTION("""COMPUTED_VALUE"""),"")</f>
        <v/>
      </c>
    </row>
    <row r="311">
      <c r="A311" s="13" t="str">
        <f>IFERROR(__xludf.DUMMYFUNCTION("""COMPUTED_VALUE"""),"Sniper Elite V2")</f>
        <v>Sniper Elite V2</v>
      </c>
      <c r="B311" s="15" t="str">
        <f>IFERROR(__xludf.DUMMYFUNCTION("""COMPUTED_VALUE"""),"PS5/PS4")</f>
        <v>PS5/PS4</v>
      </c>
      <c r="C311" s="16" t="str">
        <f>IFERROR(__xludf.DUMMYFUNCTION("""COMPUTED_VALUE"""),"Premium (Streaming Only)")</f>
        <v>Premium (Streaming Only)</v>
      </c>
      <c r="D311" s="15" t="str">
        <f>IFERROR(__xludf.DUMMYFUNCTION("""COMPUTED_VALUE"""),"Active")</f>
        <v>Active</v>
      </c>
      <c r="E311" s="17">
        <f>IFERROR(__xludf.DUMMYFUNCTION("""COMPUTED_VALUE"""),42017.0)</f>
        <v>42017</v>
      </c>
      <c r="F311" s="54"/>
      <c r="G311" s="19">
        <f>IFERROR(__xludf.DUMMYFUNCTION("""COMPUTED_VALUE"""),140.76666666666668)</f>
        <v>140.7666667</v>
      </c>
      <c r="H311" s="17">
        <f>IFERROR(__xludf.DUMMYFUNCTION("""COMPUTED_VALUE"""),41030.0)</f>
        <v>41030</v>
      </c>
      <c r="I311" s="19">
        <f>IFERROR(__xludf.DUMMYFUNCTION("""COMPUTED_VALUE"""),2.7)</f>
        <v>2.7</v>
      </c>
      <c r="J311" s="21">
        <f>IFERROR(__xludf.DUMMYFUNCTION("""COMPUTED_VALUE"""),70.0)</f>
        <v>70</v>
      </c>
      <c r="K311" s="23">
        <f>IFERROR(__xludf.DUMMYFUNCTION("""COMPUTED_VALUE"""),7.7)</f>
        <v>7.7</v>
      </c>
      <c r="L311" s="24">
        <f>IFERROR(__xludf.DUMMYFUNCTION("""COMPUTED_VALUE"""),10.0)</f>
        <v>10</v>
      </c>
      <c r="M311" s="25" t="str">
        <f>IFERROR(__xludf.DUMMYFUNCTION("""COMPUTED_VALUE"""),"Shooter")</f>
        <v>Shooter</v>
      </c>
      <c r="N311" s="25" t="str">
        <f>IFERROR(__xludf.DUMMYFUNCTION("""COMPUTED_VALUE"""),"PS3")</f>
        <v>PS3</v>
      </c>
      <c r="O311" s="26" t="str">
        <f>IFERROR(__xludf.DUMMYFUNCTION("""COMPUTED_VALUE"""),"Yes")</f>
        <v>Yes</v>
      </c>
      <c r="P311" s="26" t="str">
        <f>IFERROR(__xludf.DUMMYFUNCTION("""COMPUTED_VALUE"""),"")</f>
        <v/>
      </c>
    </row>
    <row r="312">
      <c r="A312" s="13" t="str">
        <f>IFERROR(__xludf.DUMMYFUNCTION("""COMPUTED_VALUE"""),"Mega Man X Command Mission")</f>
        <v>Mega Man X Command Mission</v>
      </c>
      <c r="B312" s="15" t="str">
        <f>IFERROR(__xludf.DUMMYFUNCTION("""COMPUTED_VALUE"""),"PS5/PS4")</f>
        <v>PS5/PS4</v>
      </c>
      <c r="C312" s="16" t="str">
        <f>IFERROR(__xludf.DUMMYFUNCTION("""COMPUTED_VALUE"""),"Premium (Classics)")</f>
        <v>Premium (Classics)</v>
      </c>
      <c r="D312" s="15" t="str">
        <f>IFERROR(__xludf.DUMMYFUNCTION("""COMPUTED_VALUE"""),"Active")</f>
        <v>Active</v>
      </c>
      <c r="E312" s="17">
        <f>IFERROR(__xludf.DUMMYFUNCTION("""COMPUTED_VALUE"""),46280.0)</f>
        <v>46280</v>
      </c>
      <c r="F312" s="54"/>
      <c r="G312" s="19">
        <f>IFERROR(__xludf.DUMMYFUNCTION("""COMPUTED_VALUE"""),0.7)</f>
        <v>0.7</v>
      </c>
      <c r="H312" s="17">
        <f>IFERROR(__xludf.DUMMYFUNCTION("""COMPUTED_VALUE"""),38251.0)</f>
        <v>38251</v>
      </c>
      <c r="I312" s="19">
        <f>IFERROR(__xludf.DUMMYFUNCTION("""COMPUTED_VALUE"""),21.983333333333334)</f>
        <v>21.98333333</v>
      </c>
      <c r="J312" s="21">
        <f>IFERROR(__xludf.DUMMYFUNCTION("""COMPUTED_VALUE"""),69.0)</f>
        <v>69</v>
      </c>
      <c r="K312" s="23">
        <f>IFERROR(__xludf.DUMMYFUNCTION("""COMPUTED_VALUE"""),7.0)</f>
        <v>7</v>
      </c>
      <c r="L312" s="24">
        <f>IFERROR(__xludf.DUMMYFUNCTION("""COMPUTED_VALUE"""),22.0)</f>
        <v>22</v>
      </c>
      <c r="M312" s="75" t="str">
        <f>IFERROR(__xludf.DUMMYFUNCTION("""COMPUTED_VALUE"""),"RPG")</f>
        <v>RPG</v>
      </c>
      <c r="N312" s="25" t="str">
        <f>IFERROR(__xludf.DUMMYFUNCTION("""COMPUTED_VALUE"""),"PS2")</f>
        <v>PS2</v>
      </c>
      <c r="O312" s="26"/>
      <c r="P312" s="26"/>
    </row>
    <row r="313">
      <c r="A313" s="13" t="str">
        <f>IFERROR(__xludf.DUMMYFUNCTION("""COMPUTED_VALUE"""),"Ghosthunter")</f>
        <v>Ghosthunter</v>
      </c>
      <c r="B313" s="15" t="str">
        <f>IFERROR(__xludf.DUMMYFUNCTION("""COMPUTED_VALUE"""),"PS5/PS4")</f>
        <v>PS5/PS4</v>
      </c>
      <c r="C313" s="16" t="str">
        <f>IFERROR(__xludf.DUMMYFUNCTION("""COMPUTED_VALUE"""),"Premium (Classics)")</f>
        <v>Premium (Classics)</v>
      </c>
      <c r="D313" s="15" t="str">
        <f>IFERROR(__xludf.DUMMYFUNCTION("""COMPUTED_VALUE"""),"Active")</f>
        <v>Active</v>
      </c>
      <c r="E313" s="17">
        <f>IFERROR(__xludf.DUMMYFUNCTION("""COMPUTED_VALUE"""),45461.0)</f>
        <v>45461</v>
      </c>
      <c r="F313" s="54"/>
      <c r="G313" s="19">
        <f>IFERROR(__xludf.DUMMYFUNCTION("""COMPUTED_VALUE"""),27.599999999999998)</f>
        <v>27.6</v>
      </c>
      <c r="H313" s="17">
        <f>IFERROR(__xludf.DUMMYFUNCTION("""COMPUTED_VALUE"""),38216.0)</f>
        <v>38216</v>
      </c>
      <c r="I313" s="19">
        <f>IFERROR(__xludf.DUMMYFUNCTION("""COMPUTED_VALUE"""),19.836111111111112)</f>
        <v>19.83611111</v>
      </c>
      <c r="J313" s="21">
        <f>IFERROR(__xludf.DUMMYFUNCTION("""COMPUTED_VALUE"""),69.0)</f>
        <v>69</v>
      </c>
      <c r="K313" s="23">
        <f>IFERROR(__xludf.DUMMYFUNCTION("""COMPUTED_VALUE"""),8.4)</f>
        <v>8.4</v>
      </c>
      <c r="L313" s="24">
        <f>IFERROR(__xludf.DUMMYFUNCTION("""COMPUTED_VALUE"""),10.0)</f>
        <v>10</v>
      </c>
      <c r="M313" s="25" t="str">
        <f>IFERROR(__xludf.DUMMYFUNCTION("""COMPUTED_VALUE"""),"Survival")</f>
        <v>Survival</v>
      </c>
      <c r="N313" s="25" t="str">
        <f>IFERROR(__xludf.DUMMYFUNCTION("""COMPUTED_VALUE"""),"PS2")</f>
        <v>PS2</v>
      </c>
      <c r="O313" s="26" t="str">
        <f>IFERROR(__xludf.DUMMYFUNCTION("""COMPUTED_VALUE"""),"Yes")</f>
        <v>Yes</v>
      </c>
      <c r="P313" s="26"/>
    </row>
    <row r="314">
      <c r="A314" s="13" t="str">
        <f>IFERROR(__xludf.DUMMYFUNCTION("""COMPUTED_VALUE"""),"Thrillville")</f>
        <v>Thrillville</v>
      </c>
      <c r="B314" s="15" t="str">
        <f>IFERROR(__xludf.DUMMYFUNCTION("""COMPUTED_VALUE"""),"PS5/PS4")</f>
        <v>PS5/PS4</v>
      </c>
      <c r="C314" s="16" t="str">
        <f>IFERROR(__xludf.DUMMYFUNCTION("""COMPUTED_VALUE"""),"Premium (Classics)")</f>
        <v>Premium (Classics)</v>
      </c>
      <c r="D314" s="15" t="str">
        <f>IFERROR(__xludf.DUMMYFUNCTION("""COMPUTED_VALUE"""),"Active")</f>
        <v>Active</v>
      </c>
      <c r="E314" s="17">
        <f>IFERROR(__xludf.DUMMYFUNCTION("""COMPUTED_VALUE"""),45279.0)</f>
        <v>45279</v>
      </c>
      <c r="F314" s="54"/>
      <c r="G314" s="19">
        <f>IFERROR(__xludf.DUMMYFUNCTION("""COMPUTED_VALUE"""),33.56666666666666)</f>
        <v>33.56666667</v>
      </c>
      <c r="H314" s="17">
        <f>IFERROR(__xludf.DUMMYFUNCTION("""COMPUTED_VALUE"""),39042.0)</f>
        <v>39042</v>
      </c>
      <c r="I314" s="19">
        <f>IFERROR(__xludf.DUMMYFUNCTION("""COMPUTED_VALUE"""),17.07777777777778)</f>
        <v>17.07777778</v>
      </c>
      <c r="J314" s="21">
        <f>IFERROR(__xludf.DUMMYFUNCTION("""COMPUTED_VALUE"""),69.0)</f>
        <v>69</v>
      </c>
      <c r="K314" s="23">
        <f>IFERROR(__xludf.DUMMYFUNCTION("""COMPUTED_VALUE"""),2.3)</f>
        <v>2.3</v>
      </c>
      <c r="L314" s="24">
        <f>IFERROR(__xludf.DUMMYFUNCTION("""COMPUTED_VALUE"""),6.0)</f>
        <v>6</v>
      </c>
      <c r="M314" s="25" t="str">
        <f>IFERROR(__xludf.DUMMYFUNCTION("""COMPUTED_VALUE"""),"Strategy")</f>
        <v>Strategy</v>
      </c>
      <c r="N314" s="25" t="str">
        <f>IFERROR(__xludf.DUMMYFUNCTION("""COMPUTED_VALUE"""),"PS2")</f>
        <v>PS2</v>
      </c>
      <c r="O314" s="26" t="str">
        <f>IFERROR(__xludf.DUMMYFUNCTION("""COMPUTED_VALUE"""),"Portal (PS5 + Premium)")</f>
        <v>Portal (PS5 + Premium)</v>
      </c>
      <c r="P314" s="26"/>
    </row>
    <row r="315">
      <c r="A315" s="13" t="str">
        <f>IFERROR(__xludf.DUMMYFUNCTION("""COMPUTED_VALUE"""),"Gravity Crash Portable")</f>
        <v>Gravity Crash Portable</v>
      </c>
      <c r="B315" s="15" t="str">
        <f>IFERROR(__xludf.DUMMYFUNCTION("""COMPUTED_VALUE"""),"PS5/PS4")</f>
        <v>PS5/PS4</v>
      </c>
      <c r="C315" s="16" t="str">
        <f>IFERROR(__xludf.DUMMYFUNCTION("""COMPUTED_VALUE"""),"Premium (Classics)")</f>
        <v>Premium (Classics)</v>
      </c>
      <c r="D315" s="15" t="str">
        <f>IFERROR(__xludf.DUMMYFUNCTION("""COMPUTED_VALUE"""),"Active")</f>
        <v>Active</v>
      </c>
      <c r="E315" s="17">
        <f>IFERROR(__xludf.DUMMYFUNCTION("""COMPUTED_VALUE"""),45125.0)</f>
        <v>45125</v>
      </c>
      <c r="F315" s="54"/>
      <c r="G315" s="19">
        <f>IFERROR(__xludf.DUMMYFUNCTION("""COMPUTED_VALUE"""),38.6)</f>
        <v>38.6</v>
      </c>
      <c r="H315" s="17">
        <f>IFERROR(__xludf.DUMMYFUNCTION("""COMPUTED_VALUE"""),40379.0)</f>
        <v>40379</v>
      </c>
      <c r="I315" s="19">
        <f>IFERROR(__xludf.DUMMYFUNCTION("""COMPUTED_VALUE"""),12.994444444444444)</f>
        <v>12.99444444</v>
      </c>
      <c r="J315" s="21">
        <f>IFERROR(__xludf.DUMMYFUNCTION("""COMPUTED_VALUE"""),69.0)</f>
        <v>69</v>
      </c>
      <c r="K315" s="23">
        <f>IFERROR(__xludf.DUMMYFUNCTION("""COMPUTED_VALUE"""),7.0)</f>
        <v>7</v>
      </c>
      <c r="L315" s="24">
        <f>IFERROR(__xludf.DUMMYFUNCTION("""COMPUTED_VALUE"""),8.0)</f>
        <v>8</v>
      </c>
      <c r="M315" s="25" t="str">
        <f>IFERROR(__xludf.DUMMYFUNCTION("""COMPUTED_VALUE"""),"Action-Adventure")</f>
        <v>Action-Adventure</v>
      </c>
      <c r="N315" s="25" t="str">
        <f>IFERROR(__xludf.DUMMYFUNCTION("""COMPUTED_VALUE"""),"PSP")</f>
        <v>PSP</v>
      </c>
      <c r="O315" s="26" t="str">
        <f>IFERROR(__xludf.DUMMYFUNCTION("""COMPUTED_VALUE"""),"Yes")</f>
        <v>Yes</v>
      </c>
      <c r="P315" s="26"/>
    </row>
    <row r="316">
      <c r="A316" s="13" t="str">
        <f>IFERROR(__xludf.DUMMYFUNCTION("""COMPUTED_VALUE"""),"Ape Academy 2")</f>
        <v>Ape Academy 2</v>
      </c>
      <c r="B316" s="15" t="str">
        <f>IFERROR(__xludf.DUMMYFUNCTION("""COMPUTED_VALUE"""),"PS5/PS4")</f>
        <v>PS5/PS4</v>
      </c>
      <c r="C316" s="16" t="str">
        <f>IFERROR(__xludf.DUMMYFUNCTION("""COMPUTED_VALUE"""),"Premium (Classics)")</f>
        <v>Premium (Classics)</v>
      </c>
      <c r="D316" s="15" t="str">
        <f>IFERROR(__xludf.DUMMYFUNCTION("""COMPUTED_VALUE"""),"Active")</f>
        <v>Active</v>
      </c>
      <c r="E316" s="17">
        <f>IFERROR(__xludf.DUMMYFUNCTION("""COMPUTED_VALUE"""),45006.0)</f>
        <v>45006</v>
      </c>
      <c r="F316" s="54"/>
      <c r="G316" s="19">
        <f>IFERROR(__xludf.DUMMYFUNCTION("""COMPUTED_VALUE"""),42.5)</f>
        <v>42.5</v>
      </c>
      <c r="H316" s="17">
        <f>IFERROR(__xludf.DUMMYFUNCTION("""COMPUTED_VALUE"""),38973.0)</f>
        <v>38973</v>
      </c>
      <c r="I316" s="19">
        <f>IFERROR(__xludf.DUMMYFUNCTION("""COMPUTED_VALUE"""),16.522222222222222)</f>
        <v>16.52222222</v>
      </c>
      <c r="J316" s="21">
        <f>IFERROR(__xludf.DUMMYFUNCTION("""COMPUTED_VALUE"""),69.0)</f>
        <v>69</v>
      </c>
      <c r="K316" s="23">
        <f>IFERROR(__xludf.DUMMYFUNCTION("""COMPUTED_VALUE"""),7.7)</f>
        <v>7.7</v>
      </c>
      <c r="L316" s="24">
        <f>IFERROR(__xludf.DUMMYFUNCTION("""COMPUTED_VALUE"""),4.0)</f>
        <v>4</v>
      </c>
      <c r="M316" s="25" t="str">
        <f>IFERROR(__xludf.DUMMYFUNCTION("""COMPUTED_VALUE"""),"Party")</f>
        <v>Party</v>
      </c>
      <c r="N316" s="25" t="str">
        <f>IFERROR(__xludf.DUMMYFUNCTION("""COMPUTED_VALUE"""),"PSP")</f>
        <v>PSP</v>
      </c>
      <c r="O316" s="26" t="str">
        <f>IFERROR(__xludf.DUMMYFUNCTION("""COMPUTED_VALUE"""),"Yes")</f>
        <v>Yes</v>
      </c>
      <c r="P316" s="26"/>
    </row>
    <row r="317">
      <c r="A317" s="13" t="str">
        <f>IFERROR(__xludf.DUMMYFUNCTION("""COMPUTED_VALUE"""),"Super Stardust Portable")</f>
        <v>Super Stardust Portable</v>
      </c>
      <c r="B317" s="15" t="str">
        <f>IFERROR(__xludf.DUMMYFUNCTION("""COMPUTED_VALUE"""),"PS5/PS4")</f>
        <v>PS5/PS4</v>
      </c>
      <c r="C317" s="16" t="str">
        <f>IFERROR(__xludf.DUMMYFUNCTION("""COMPUTED_VALUE"""),"Premium (Classics)")</f>
        <v>Premium (Classics)</v>
      </c>
      <c r="D317" s="15" t="str">
        <f>IFERROR(__xludf.DUMMYFUNCTION("""COMPUTED_VALUE"""),"Active")</f>
        <v>Active</v>
      </c>
      <c r="E317" s="17">
        <f>IFERROR(__xludf.DUMMYFUNCTION("""COMPUTED_VALUE"""),44725.0)</f>
        <v>44725</v>
      </c>
      <c r="F317" s="54"/>
      <c r="G317" s="19">
        <f>IFERROR(__xludf.DUMMYFUNCTION("""COMPUTED_VALUE"""),51.766666666666666)</f>
        <v>51.76666667</v>
      </c>
      <c r="H317" s="17">
        <f>IFERROR(__xludf.DUMMYFUNCTION("""COMPUTED_VALUE"""),39261.0)</f>
        <v>39261</v>
      </c>
      <c r="I317" s="19">
        <f>IFERROR(__xludf.DUMMYFUNCTION("""COMPUTED_VALUE"""),14.958333333333334)</f>
        <v>14.95833333</v>
      </c>
      <c r="J317" s="21">
        <f>IFERROR(__xludf.DUMMYFUNCTION("""COMPUTED_VALUE"""),69.0)</f>
        <v>69</v>
      </c>
      <c r="K317" s="23">
        <f>IFERROR(__xludf.DUMMYFUNCTION("""COMPUTED_VALUE"""),5.6)</f>
        <v>5.6</v>
      </c>
      <c r="L317" s="24">
        <f>IFERROR(__xludf.DUMMYFUNCTION("""COMPUTED_VALUE"""),3.0)</f>
        <v>3</v>
      </c>
      <c r="M317" s="25" t="str">
        <f>IFERROR(__xludf.DUMMYFUNCTION("""COMPUTED_VALUE"""),"Shooter")</f>
        <v>Shooter</v>
      </c>
      <c r="N317" s="25" t="str">
        <f>IFERROR(__xludf.DUMMYFUNCTION("""COMPUTED_VALUE"""),"PSP, PS4 version added 1/24 after PS5 version came 6/23/22")</f>
        <v>PSP, PS4 version added 1/24 after PS5 version came 6/23/22</v>
      </c>
      <c r="O317" s="26" t="str">
        <f>IFERROR(__xludf.DUMMYFUNCTION("""COMPUTED_VALUE"""),"No")</f>
        <v>No</v>
      </c>
      <c r="P317" s="26" t="str">
        <f>IFERROR(__xludf.DUMMYFUNCTION("""COMPUTED_VALUE"""),"")</f>
        <v/>
      </c>
    </row>
    <row r="318">
      <c r="A318" s="13" t="str">
        <f>IFERROR(__xludf.DUMMYFUNCTION("""COMPUTED_VALUE"""),"BloodRayne: Betrayal")</f>
        <v>BloodRayne: Betrayal</v>
      </c>
      <c r="B318" s="15" t="str">
        <f>IFERROR(__xludf.DUMMYFUNCTION("""COMPUTED_VALUE"""),"PS5/PS4")</f>
        <v>PS5/PS4</v>
      </c>
      <c r="C318" s="16" t="str">
        <f>IFERROR(__xludf.DUMMYFUNCTION("""COMPUTED_VALUE"""),"Premium (Streaming Only)")</f>
        <v>Premium (Streaming Only)</v>
      </c>
      <c r="D318" s="15" t="str">
        <f>IFERROR(__xludf.DUMMYFUNCTION("""COMPUTED_VALUE"""),"Active")</f>
        <v>Active</v>
      </c>
      <c r="E318" s="17">
        <f>IFERROR(__xludf.DUMMYFUNCTION("""COMPUTED_VALUE"""),42647.0)</f>
        <v>42647</v>
      </c>
      <c r="F318" s="54"/>
      <c r="G318" s="19">
        <f>IFERROR(__xludf.DUMMYFUNCTION("""COMPUTED_VALUE"""),120.06666666666668)</f>
        <v>120.0666667</v>
      </c>
      <c r="H318" s="17">
        <f>IFERROR(__xludf.DUMMYFUNCTION("""COMPUTED_VALUE"""),40787.0)</f>
        <v>40787</v>
      </c>
      <c r="I318" s="19">
        <f>IFERROR(__xludf.DUMMYFUNCTION("""COMPUTED_VALUE"""),5.091666666666667)</f>
        <v>5.091666667</v>
      </c>
      <c r="J318" s="21">
        <f>IFERROR(__xludf.DUMMYFUNCTION("""COMPUTED_VALUE"""),69.0)</f>
        <v>69</v>
      </c>
      <c r="K318" s="23">
        <f>IFERROR(__xludf.DUMMYFUNCTION("""COMPUTED_VALUE"""),6.4)</f>
        <v>6.4</v>
      </c>
      <c r="L318" s="24">
        <f>IFERROR(__xludf.DUMMYFUNCTION("""COMPUTED_VALUE"""),4.0)</f>
        <v>4</v>
      </c>
      <c r="M318" s="25" t="str">
        <f>IFERROR(__xludf.DUMMYFUNCTION("""COMPUTED_VALUE"""),"Platformer")</f>
        <v>Platformer</v>
      </c>
      <c r="N318" s="25" t="str">
        <f>IFERROR(__xludf.DUMMYFUNCTION("""COMPUTED_VALUE"""),"PS3")</f>
        <v>PS3</v>
      </c>
      <c r="O318" s="26" t="str">
        <f>IFERROR(__xludf.DUMMYFUNCTION("""COMPUTED_VALUE"""),"Yes")</f>
        <v>Yes</v>
      </c>
      <c r="P318" s="26" t="str">
        <f>IFERROR(__xludf.DUMMYFUNCTION("""COMPUTED_VALUE"""),"")</f>
        <v/>
      </c>
    </row>
    <row r="319">
      <c r="A319" s="13" t="str">
        <f>IFERROR(__xludf.DUMMYFUNCTION("""COMPUTED_VALUE"""),"Deception IV: The Nightmare Princess")</f>
        <v>Deception IV: The Nightmare Princess</v>
      </c>
      <c r="B319" s="15" t="str">
        <f>IFERROR(__xludf.DUMMYFUNCTION("""COMPUTED_VALUE"""),"PS5/PS4")</f>
        <v>PS5/PS4</v>
      </c>
      <c r="C319" s="16" t="str">
        <f>IFERROR(__xludf.DUMMYFUNCTION("""COMPUTED_VALUE"""),"Premium (Streaming Only)")</f>
        <v>Premium (Streaming Only)</v>
      </c>
      <c r="D319" s="15" t="str">
        <f>IFERROR(__xludf.DUMMYFUNCTION("""COMPUTED_VALUE"""),"Active")</f>
        <v>Active</v>
      </c>
      <c r="E319" s="17">
        <f>IFERROR(__xludf.DUMMYFUNCTION("""COMPUTED_VALUE"""),42647.0)</f>
        <v>42647</v>
      </c>
      <c r="F319" s="54"/>
      <c r="G319" s="19">
        <f>IFERROR(__xludf.DUMMYFUNCTION("""COMPUTED_VALUE"""),120.06666666666668)</f>
        <v>120.0666667</v>
      </c>
      <c r="H319" s="17">
        <f>IFERROR(__xludf.DUMMYFUNCTION("""COMPUTED_VALUE"""),42186.0)</f>
        <v>42186</v>
      </c>
      <c r="I319" s="19">
        <f>IFERROR(__xludf.DUMMYFUNCTION("""COMPUTED_VALUE"""),1.2583333333333333)</f>
        <v>1.258333333</v>
      </c>
      <c r="J319" s="21">
        <f>IFERROR(__xludf.DUMMYFUNCTION("""COMPUTED_VALUE"""),69.0)</f>
        <v>69</v>
      </c>
      <c r="K319" s="23">
        <f>IFERROR(__xludf.DUMMYFUNCTION("""COMPUTED_VALUE"""),7.8)</f>
        <v>7.8</v>
      </c>
      <c r="L319" s="24">
        <f>IFERROR(__xludf.DUMMYFUNCTION("""COMPUTED_VALUE"""),25.0)</f>
        <v>25</v>
      </c>
      <c r="M319" s="25" t="str">
        <f>IFERROR(__xludf.DUMMYFUNCTION("""COMPUTED_VALUE"""),"Strategy")</f>
        <v>Strategy</v>
      </c>
      <c r="N319" s="25" t="str">
        <f>IFERROR(__xludf.DUMMYFUNCTION("""COMPUTED_VALUE"""),"PS3")</f>
        <v>PS3</v>
      </c>
      <c r="O319" s="26" t="str">
        <f>IFERROR(__xludf.DUMMYFUNCTION("""COMPUTED_VALUE"""),"Yes")</f>
        <v>Yes</v>
      </c>
      <c r="P319" s="26" t="str">
        <f>IFERROR(__xludf.DUMMYFUNCTION("""COMPUTED_VALUE"""),"")</f>
        <v/>
      </c>
    </row>
    <row r="320">
      <c r="A320" s="13" t="str">
        <f>IFERROR(__xludf.DUMMYFUNCTION("""COMPUTED_VALUE"""),"Battle Princess of Arcadias")</f>
        <v>Battle Princess of Arcadias</v>
      </c>
      <c r="B320" s="15" t="str">
        <f>IFERROR(__xludf.DUMMYFUNCTION("""COMPUTED_VALUE"""),"PS5/PS4")</f>
        <v>PS5/PS4</v>
      </c>
      <c r="C320" s="16" t="str">
        <f>IFERROR(__xludf.DUMMYFUNCTION("""COMPUTED_VALUE"""),"Premium (Streaming Only)")</f>
        <v>Premium (Streaming Only)</v>
      </c>
      <c r="D320" s="15" t="str">
        <f>IFERROR(__xludf.DUMMYFUNCTION("""COMPUTED_VALUE"""),"Active")</f>
        <v>Active</v>
      </c>
      <c r="E320" s="17">
        <f>IFERROR(__xludf.DUMMYFUNCTION("""COMPUTED_VALUE"""),42584.0)</f>
        <v>42584</v>
      </c>
      <c r="F320" s="54"/>
      <c r="G320" s="19">
        <f>IFERROR(__xludf.DUMMYFUNCTION("""COMPUTED_VALUE"""),122.13333333333333)</f>
        <v>122.1333333</v>
      </c>
      <c r="H320" s="17">
        <f>IFERROR(__xludf.DUMMYFUNCTION("""COMPUTED_VALUE"""),41791.0)</f>
        <v>41791</v>
      </c>
      <c r="I320" s="19">
        <f>IFERROR(__xludf.DUMMYFUNCTION("""COMPUTED_VALUE"""),2.1694444444444443)</f>
        <v>2.169444444</v>
      </c>
      <c r="J320" s="21">
        <f>IFERROR(__xludf.DUMMYFUNCTION("""COMPUTED_VALUE"""),69.0)</f>
        <v>69</v>
      </c>
      <c r="K320" s="23">
        <f>IFERROR(__xludf.DUMMYFUNCTION("""COMPUTED_VALUE"""),6.6)</f>
        <v>6.6</v>
      </c>
      <c r="L320" s="24">
        <f>IFERROR(__xludf.DUMMYFUNCTION("""COMPUTED_VALUE"""),10.0)</f>
        <v>10</v>
      </c>
      <c r="M320" s="25" t="str">
        <f>IFERROR(__xludf.DUMMYFUNCTION("""COMPUTED_VALUE"""),"RPG")</f>
        <v>RPG</v>
      </c>
      <c r="N320" s="25" t="str">
        <f>IFERROR(__xludf.DUMMYFUNCTION("""COMPUTED_VALUE"""),"PS3")</f>
        <v>PS3</v>
      </c>
      <c r="O320" s="26" t="str">
        <f>IFERROR(__xludf.DUMMYFUNCTION("""COMPUTED_VALUE"""),"Yes")</f>
        <v>Yes</v>
      </c>
      <c r="P320" s="26" t="str">
        <f>IFERROR(__xludf.DUMMYFUNCTION("""COMPUTED_VALUE"""),"")</f>
        <v/>
      </c>
    </row>
    <row r="321">
      <c r="A321" s="13" t="str">
        <f>IFERROR(__xludf.DUMMYFUNCTION("""COMPUTED_VALUE"""),"Dragon's Lair II: Time Warp")</f>
        <v>Dragon's Lair II: Time Warp</v>
      </c>
      <c r="B321" s="15" t="str">
        <f>IFERROR(__xludf.DUMMYFUNCTION("""COMPUTED_VALUE"""),"PS5/PS4")</f>
        <v>PS5/PS4</v>
      </c>
      <c r="C321" s="16" t="str">
        <f>IFERROR(__xludf.DUMMYFUNCTION("""COMPUTED_VALUE"""),"Premium (Streaming Only)")</f>
        <v>Premium (Streaming Only)</v>
      </c>
      <c r="D321" s="15" t="str">
        <f>IFERROR(__xludf.DUMMYFUNCTION("""COMPUTED_VALUE"""),"Active")</f>
        <v>Active</v>
      </c>
      <c r="E321" s="17">
        <f>IFERROR(__xludf.DUMMYFUNCTION("""COMPUTED_VALUE"""),42311.0)</f>
        <v>42311</v>
      </c>
      <c r="F321" s="54"/>
      <c r="G321" s="19">
        <f>IFERROR(__xludf.DUMMYFUNCTION("""COMPUTED_VALUE"""),131.10000000000002)</f>
        <v>131.1</v>
      </c>
      <c r="H321" s="17">
        <f>IFERROR(__xludf.DUMMYFUNCTION("""COMPUTED_VALUE"""),40695.0)</f>
        <v>40695</v>
      </c>
      <c r="I321" s="19">
        <f>IFERROR(__xludf.DUMMYFUNCTION("""COMPUTED_VALUE"""),4.4222222222222225)</f>
        <v>4.422222222</v>
      </c>
      <c r="J321" s="21">
        <f>IFERROR(__xludf.DUMMYFUNCTION("""COMPUTED_VALUE"""),69.0)</f>
        <v>69</v>
      </c>
      <c r="K321" s="23">
        <f>IFERROR(__xludf.DUMMYFUNCTION("""COMPUTED_VALUE"""),6.2)</f>
        <v>6.2</v>
      </c>
      <c r="L321" s="24">
        <f>IFERROR(__xludf.DUMMYFUNCTION("""COMPUTED_VALUE"""),1.0)</f>
        <v>1</v>
      </c>
      <c r="M321" s="25" t="str">
        <f>IFERROR(__xludf.DUMMYFUNCTION("""COMPUTED_VALUE"""),"Action-Adventure")</f>
        <v>Action-Adventure</v>
      </c>
      <c r="N321" s="25" t="str">
        <f>IFERROR(__xludf.DUMMYFUNCTION("""COMPUTED_VALUE"""),"PS3")</f>
        <v>PS3</v>
      </c>
      <c r="O321" s="26" t="str">
        <f>IFERROR(__xludf.DUMMYFUNCTION("""COMPUTED_VALUE"""),"Yes")</f>
        <v>Yes</v>
      </c>
      <c r="P321" s="26" t="str">
        <f>IFERROR(__xludf.DUMMYFUNCTION("""COMPUTED_VALUE"""),"")</f>
        <v/>
      </c>
    </row>
    <row r="322">
      <c r="A322" s="13" t="str">
        <f>IFERROR(__xludf.DUMMYFUNCTION("""COMPUTED_VALUE"""),"Alone in the Dark: Inferno")</f>
        <v>Alone in the Dark: Inferno</v>
      </c>
      <c r="B322" s="15" t="str">
        <f>IFERROR(__xludf.DUMMYFUNCTION("""COMPUTED_VALUE"""),"PS5/PS4")</f>
        <v>PS5/PS4</v>
      </c>
      <c r="C322" s="16" t="str">
        <f>IFERROR(__xludf.DUMMYFUNCTION("""COMPUTED_VALUE"""),"Premium (Streaming Only)")</f>
        <v>Premium (Streaming Only)</v>
      </c>
      <c r="D322" s="15" t="str">
        <f>IFERROR(__xludf.DUMMYFUNCTION("""COMPUTED_VALUE"""),"Active")</f>
        <v>Active</v>
      </c>
      <c r="E322" s="17">
        <f>IFERROR(__xludf.DUMMYFUNCTION("""COMPUTED_VALUE"""),42066.0)</f>
        <v>42066</v>
      </c>
      <c r="F322" s="54"/>
      <c r="G322" s="19">
        <f>IFERROR(__xludf.DUMMYFUNCTION("""COMPUTED_VALUE"""),139.1)</f>
        <v>139.1</v>
      </c>
      <c r="H322" s="17">
        <f>IFERROR(__xludf.DUMMYFUNCTION("""COMPUTED_VALUE"""),39753.0)</f>
        <v>39753</v>
      </c>
      <c r="I322" s="19">
        <f>IFERROR(__xludf.DUMMYFUNCTION("""COMPUTED_VALUE"""),6.338888888888889)</f>
        <v>6.338888889</v>
      </c>
      <c r="J322" s="21">
        <f>IFERROR(__xludf.DUMMYFUNCTION("""COMPUTED_VALUE"""),69.0)</f>
        <v>69</v>
      </c>
      <c r="K322" s="23">
        <f>IFERROR(__xludf.DUMMYFUNCTION("""COMPUTED_VALUE"""),5.9)</f>
        <v>5.9</v>
      </c>
      <c r="L322" s="24">
        <f>IFERROR(__xludf.DUMMYFUNCTION("""COMPUTED_VALUE"""),12.0)</f>
        <v>12</v>
      </c>
      <c r="M322" s="25" t="str">
        <f>IFERROR(__xludf.DUMMYFUNCTION("""COMPUTED_VALUE"""),"Action-Adventure")</f>
        <v>Action-Adventure</v>
      </c>
      <c r="N322" s="25" t="str">
        <f>IFERROR(__xludf.DUMMYFUNCTION("""COMPUTED_VALUE"""),"PS3")</f>
        <v>PS3</v>
      </c>
      <c r="O322" s="26" t="str">
        <f>IFERROR(__xludf.DUMMYFUNCTION("""COMPUTED_VALUE"""),"Yes")</f>
        <v>Yes</v>
      </c>
      <c r="P322" s="26" t="str">
        <f>IFERROR(__xludf.DUMMYFUNCTION("""COMPUTED_VALUE"""),"")</f>
        <v/>
      </c>
    </row>
    <row r="323">
      <c r="A323" s="13" t="str">
        <f>IFERROR(__xludf.DUMMYFUNCTION("""COMPUTED_VALUE"""),"Earth Defense Force 2025")</f>
        <v>Earth Defense Force 2025</v>
      </c>
      <c r="B323" s="15" t="str">
        <f>IFERROR(__xludf.DUMMYFUNCTION("""COMPUTED_VALUE"""),"PS5/PS4")</f>
        <v>PS5/PS4</v>
      </c>
      <c r="C323" s="16" t="str">
        <f>IFERROR(__xludf.DUMMYFUNCTION("""COMPUTED_VALUE"""),"Premium (Streaming Only)")</f>
        <v>Premium (Streaming Only)</v>
      </c>
      <c r="D323" s="15" t="str">
        <f>IFERROR(__xludf.DUMMYFUNCTION("""COMPUTED_VALUE"""),"Active")</f>
        <v>Active</v>
      </c>
      <c r="E323" s="17">
        <f>IFERROR(__xludf.DUMMYFUNCTION("""COMPUTED_VALUE"""),42017.0)</f>
        <v>42017</v>
      </c>
      <c r="F323" s="54"/>
      <c r="G323" s="19">
        <f>IFERROR(__xludf.DUMMYFUNCTION("""COMPUTED_VALUE"""),140.76666666666668)</f>
        <v>140.7666667</v>
      </c>
      <c r="H323" s="17">
        <f>IFERROR(__xludf.DUMMYFUNCTION("""COMPUTED_VALUE"""),41671.0)</f>
        <v>41671</v>
      </c>
      <c r="I323" s="19">
        <f>IFERROR(__xludf.DUMMYFUNCTION("""COMPUTED_VALUE"""),0.95)</f>
        <v>0.95</v>
      </c>
      <c r="J323" s="21">
        <f>IFERROR(__xludf.DUMMYFUNCTION("""COMPUTED_VALUE"""),69.0)</f>
        <v>69</v>
      </c>
      <c r="K323" s="23">
        <f>IFERROR(__xludf.DUMMYFUNCTION("""COMPUTED_VALUE"""),7.8)</f>
        <v>7.8</v>
      </c>
      <c r="L323" s="24">
        <f>IFERROR(__xludf.DUMMYFUNCTION("""COMPUTED_VALUE"""),15.0)</f>
        <v>15</v>
      </c>
      <c r="M323" s="25" t="str">
        <f>IFERROR(__xludf.DUMMYFUNCTION("""COMPUTED_VALUE"""),"Shooter")</f>
        <v>Shooter</v>
      </c>
      <c r="N323" s="25" t="str">
        <f>IFERROR(__xludf.DUMMYFUNCTION("""COMPUTED_VALUE"""),"PS3")</f>
        <v>PS3</v>
      </c>
      <c r="O323" s="26" t="str">
        <f>IFERROR(__xludf.DUMMYFUNCTION("""COMPUTED_VALUE"""),"Yes")</f>
        <v>Yes</v>
      </c>
      <c r="P323" s="26" t="str">
        <f>IFERROR(__xludf.DUMMYFUNCTION("""COMPUTED_VALUE"""),"")</f>
        <v/>
      </c>
    </row>
    <row r="324">
      <c r="A324" s="13" t="str">
        <f>IFERROR(__xludf.DUMMYFUNCTION("""COMPUTED_VALUE"""),"Worms Pinball")</f>
        <v>Worms Pinball</v>
      </c>
      <c r="B324" s="15" t="str">
        <f>IFERROR(__xludf.DUMMYFUNCTION("""COMPUTED_VALUE"""),"PS5/PS4")</f>
        <v>PS5/PS4</v>
      </c>
      <c r="C324" s="16" t="str">
        <f>IFERROR(__xludf.DUMMYFUNCTION("""COMPUTED_VALUE"""),"Premium (Classics)")</f>
        <v>Premium (Classics)</v>
      </c>
      <c r="D324" s="15" t="str">
        <f>IFERROR(__xludf.DUMMYFUNCTION("""COMPUTED_VALUE"""),"Active")</f>
        <v>Active</v>
      </c>
      <c r="E324" s="17">
        <f>IFERROR(__xludf.DUMMYFUNCTION("""COMPUTED_VALUE"""),45433.0)</f>
        <v>45433</v>
      </c>
      <c r="F324" s="54"/>
      <c r="G324" s="19">
        <f>IFERROR(__xludf.DUMMYFUNCTION("""COMPUTED_VALUE"""),28.5)</f>
        <v>28.5</v>
      </c>
      <c r="H324" s="17">
        <f>IFERROR(__xludf.DUMMYFUNCTION("""COMPUTED_VALUE"""),36464.0)</f>
        <v>36464</v>
      </c>
      <c r="I324" s="19">
        <f>IFERROR(__xludf.DUMMYFUNCTION("""COMPUTED_VALUE"""),24.558333333333334)</f>
        <v>24.55833333</v>
      </c>
      <c r="J324" s="21">
        <f>IFERROR(__xludf.DUMMYFUNCTION("""COMPUTED_VALUE"""),68.0)</f>
        <v>68</v>
      </c>
      <c r="K324" s="23">
        <f>IFERROR(__xludf.DUMMYFUNCTION("""COMPUTED_VALUE"""),7.6)</f>
        <v>7.6</v>
      </c>
      <c r="L324" s="24">
        <f>IFERROR(__xludf.DUMMYFUNCTION("""COMPUTED_VALUE"""),1.0)</f>
        <v>1</v>
      </c>
      <c r="M324" s="25" t="str">
        <f>IFERROR(__xludf.DUMMYFUNCTION("""COMPUTED_VALUE"""),"Simulation")</f>
        <v>Simulation</v>
      </c>
      <c r="N324" s="25" t="str">
        <f>IFERROR(__xludf.DUMMYFUNCTION("""COMPUTED_VALUE"""),"PS1")</f>
        <v>PS1</v>
      </c>
      <c r="O324" s="26" t="str">
        <f>IFERROR(__xludf.DUMMYFUNCTION("""COMPUTED_VALUE"""),"Yes")</f>
        <v>Yes</v>
      </c>
      <c r="P324" s="26"/>
    </row>
    <row r="325">
      <c r="A325" s="13" t="str">
        <f>IFERROR(__xludf.DUMMYFUNCTION("""COMPUTED_VALUE"""),"Rise of the Kasai")</f>
        <v>Rise of the Kasai</v>
      </c>
      <c r="B325" s="15" t="str">
        <f>IFERROR(__xludf.DUMMYFUNCTION("""COMPUTED_VALUE"""),"PS4")</f>
        <v>PS4</v>
      </c>
      <c r="C325" s="16" t="str">
        <f>IFERROR(__xludf.DUMMYFUNCTION("""COMPUTED_VALUE"""),"Premium (Classics)")</f>
        <v>Premium (Classics)</v>
      </c>
      <c r="D325" s="15" t="str">
        <f>IFERROR(__xludf.DUMMYFUNCTION("""COMPUTED_VALUE"""),"Active")</f>
        <v>Active</v>
      </c>
      <c r="E325" s="17">
        <f>IFERROR(__xludf.DUMMYFUNCTION("""COMPUTED_VALUE"""),44725.0)</f>
        <v>44725</v>
      </c>
      <c r="F325" s="54"/>
      <c r="G325" s="19">
        <f>IFERROR(__xludf.DUMMYFUNCTION("""COMPUTED_VALUE"""),51.766666666666666)</f>
        <v>51.76666667</v>
      </c>
      <c r="H325" s="17">
        <f>IFERROR(__xludf.DUMMYFUNCTION("""COMPUTED_VALUE"""),38443.0)</f>
        <v>38443</v>
      </c>
      <c r="I325" s="19">
        <f>IFERROR(__xludf.DUMMYFUNCTION("""COMPUTED_VALUE"""),17.2)</f>
        <v>17.2</v>
      </c>
      <c r="J325" s="21">
        <f>IFERROR(__xludf.DUMMYFUNCTION("""COMPUTED_VALUE"""),68.0)</f>
        <v>68</v>
      </c>
      <c r="K325" s="23">
        <f>IFERROR(__xludf.DUMMYFUNCTION("""COMPUTED_VALUE"""),7.5)</f>
        <v>7.5</v>
      </c>
      <c r="L325" s="24">
        <f>IFERROR(__xludf.DUMMYFUNCTION("""COMPUTED_VALUE"""),12.0)</f>
        <v>12</v>
      </c>
      <c r="M325" s="25" t="str">
        <f>IFERROR(__xludf.DUMMYFUNCTION("""COMPUTED_VALUE"""),"Action-Adventure")</f>
        <v>Action-Adventure</v>
      </c>
      <c r="N325" s="25" t="str">
        <f>IFERROR(__xludf.DUMMYFUNCTION("""COMPUTED_VALUE"""),"PS2")</f>
        <v>PS2</v>
      </c>
      <c r="O325" s="26" t="str">
        <f>IFERROR(__xludf.DUMMYFUNCTION("""COMPUTED_VALUE"""),"No")</f>
        <v>No</v>
      </c>
      <c r="P325" s="26" t="str">
        <f>IFERROR(__xludf.DUMMYFUNCTION("""COMPUTED_VALUE"""),"")</f>
        <v/>
      </c>
    </row>
    <row r="326">
      <c r="A326" s="13" t="str">
        <f>IFERROR(__xludf.DUMMYFUNCTION("""COMPUTED_VALUE"""),"Atari Flashback Classics Vol. 2")</f>
        <v>Atari Flashback Classics Vol. 2</v>
      </c>
      <c r="B326" s="15" t="str">
        <f>IFERROR(__xludf.DUMMYFUNCTION("""COMPUTED_VALUE"""),"PS4")</f>
        <v>PS4</v>
      </c>
      <c r="C326" s="16" t="str">
        <f>IFERROR(__xludf.DUMMYFUNCTION("""COMPUTED_VALUE"""),"Premium (Remasters)")</f>
        <v>Premium (Remasters)</v>
      </c>
      <c r="D326" s="15" t="str">
        <f>IFERROR(__xludf.DUMMYFUNCTION("""COMPUTED_VALUE"""),"Active")</f>
        <v>Active</v>
      </c>
      <c r="E326" s="17">
        <f>IFERROR(__xludf.DUMMYFUNCTION("""COMPUTED_VALUE"""),43165.0)</f>
        <v>43165</v>
      </c>
      <c r="F326" s="54"/>
      <c r="G326" s="19">
        <f>IFERROR(__xludf.DUMMYFUNCTION("""COMPUTED_VALUE"""),103.0)</f>
        <v>103</v>
      </c>
      <c r="H326" s="17">
        <f>IFERROR(__xludf.DUMMYFUNCTION("""COMPUTED_VALUE"""),42644.0)</f>
        <v>42644</v>
      </c>
      <c r="I326" s="19">
        <f>IFERROR(__xludf.DUMMYFUNCTION("""COMPUTED_VALUE"""),1.4305555555555556)</f>
        <v>1.430555556</v>
      </c>
      <c r="J326" s="21">
        <f>IFERROR(__xludf.DUMMYFUNCTION("""COMPUTED_VALUE"""),68.0)</f>
        <v>68</v>
      </c>
      <c r="K326" s="23">
        <f>IFERROR(__xludf.DUMMYFUNCTION("""COMPUTED_VALUE"""),7.0)</f>
        <v>7</v>
      </c>
      <c r="L326" s="24"/>
      <c r="M326" s="25" t="str">
        <f>IFERROR(__xludf.DUMMYFUNCTION("""COMPUTED_VALUE"""),"Arcade")</f>
        <v>Arcade</v>
      </c>
      <c r="N326" s="25" t="str">
        <f>IFERROR(__xludf.DUMMYFUNCTION("""COMPUTED_VALUE"""),"Atari 2600 and Arcade")</f>
        <v>Atari 2600 and Arcade</v>
      </c>
      <c r="O326" s="26" t="str">
        <f>IFERROR(__xludf.DUMMYFUNCTION("""COMPUTED_VALUE"""),"Yes")</f>
        <v>Yes</v>
      </c>
      <c r="P326" s="26"/>
    </row>
    <row r="327">
      <c r="A327" s="13" t="str">
        <f>IFERROR(__xludf.DUMMYFUNCTION("""COMPUTED_VALUE"""),"Disney G-Force")</f>
        <v>Disney G-Force</v>
      </c>
      <c r="B327" s="15" t="str">
        <f>IFERROR(__xludf.DUMMYFUNCTION("""COMPUTED_VALUE"""),"PS5/PS4")</f>
        <v>PS5/PS4</v>
      </c>
      <c r="C327" s="16" t="str">
        <f>IFERROR(__xludf.DUMMYFUNCTION("""COMPUTED_VALUE"""),"Premium (Streaming Only)")</f>
        <v>Premium (Streaming Only)</v>
      </c>
      <c r="D327" s="15" t="str">
        <f>IFERROR(__xludf.DUMMYFUNCTION("""COMPUTED_VALUE"""),"Active")</f>
        <v>Active</v>
      </c>
      <c r="E327" s="17">
        <f>IFERROR(__xludf.DUMMYFUNCTION("""COMPUTED_VALUE"""),42895.0)</f>
        <v>42895</v>
      </c>
      <c r="F327" s="54"/>
      <c r="G327" s="19">
        <f>IFERROR(__xludf.DUMMYFUNCTION("""COMPUTED_VALUE"""),111.89999999999999)</f>
        <v>111.9</v>
      </c>
      <c r="H327" s="17">
        <f>IFERROR(__xludf.DUMMYFUNCTION("""COMPUTED_VALUE"""),39995.0)</f>
        <v>39995</v>
      </c>
      <c r="I327" s="19">
        <f>IFERROR(__xludf.DUMMYFUNCTION("""COMPUTED_VALUE"""),7.938888888888889)</f>
        <v>7.938888889</v>
      </c>
      <c r="J327" s="21">
        <f>IFERROR(__xludf.DUMMYFUNCTION("""COMPUTED_VALUE"""),68.0)</f>
        <v>68</v>
      </c>
      <c r="K327" s="23">
        <f>IFERROR(__xludf.DUMMYFUNCTION("""COMPUTED_VALUE"""),6.7)</f>
        <v>6.7</v>
      </c>
      <c r="L327" s="24">
        <f>IFERROR(__xludf.DUMMYFUNCTION("""COMPUTED_VALUE"""),6.0)</f>
        <v>6</v>
      </c>
      <c r="M327" s="25" t="str">
        <f>IFERROR(__xludf.DUMMYFUNCTION("""COMPUTED_VALUE"""),"Action-Adventure")</f>
        <v>Action-Adventure</v>
      </c>
      <c r="N327" s="25" t="str">
        <f>IFERROR(__xludf.DUMMYFUNCTION("""COMPUTED_VALUE"""),"PS3")</f>
        <v>PS3</v>
      </c>
      <c r="O327" s="26" t="str">
        <f>IFERROR(__xludf.DUMMYFUNCTION("""COMPUTED_VALUE"""),"Yes")</f>
        <v>Yes</v>
      </c>
      <c r="P327" s="26" t="str">
        <f>IFERROR(__xludf.DUMMYFUNCTION("""COMPUTED_VALUE"""),"")</f>
        <v/>
      </c>
    </row>
    <row r="328">
      <c r="A328" s="13" t="str">
        <f>IFERROR(__xludf.DUMMYFUNCTION("""COMPUTED_VALUE"""),"Dynasty Warriors 8: Xtreme Legends")</f>
        <v>Dynasty Warriors 8: Xtreme Legends</v>
      </c>
      <c r="B328" s="15" t="str">
        <f>IFERROR(__xludf.DUMMYFUNCTION("""COMPUTED_VALUE"""),"PS5/PS4")</f>
        <v>PS5/PS4</v>
      </c>
      <c r="C328" s="16" t="str">
        <f>IFERROR(__xludf.DUMMYFUNCTION("""COMPUTED_VALUE"""),"Premium (Streaming Only)")</f>
        <v>Premium (Streaming Only)</v>
      </c>
      <c r="D328" s="15" t="str">
        <f>IFERROR(__xludf.DUMMYFUNCTION("""COMPUTED_VALUE"""),"Active")</f>
        <v>Active</v>
      </c>
      <c r="E328" s="17">
        <f>IFERROR(__xludf.DUMMYFUNCTION("""COMPUTED_VALUE"""),42857.0)</f>
        <v>42857</v>
      </c>
      <c r="F328" s="54"/>
      <c r="G328" s="19">
        <f>IFERROR(__xludf.DUMMYFUNCTION("""COMPUTED_VALUE"""),113.13333333333333)</f>
        <v>113.1333333</v>
      </c>
      <c r="H328" s="17">
        <f>IFERROR(__xludf.DUMMYFUNCTION("""COMPUTED_VALUE"""),41760.0)</f>
        <v>41760</v>
      </c>
      <c r="I328" s="19">
        <f>IFERROR(__xludf.DUMMYFUNCTION("""COMPUTED_VALUE"""),3.0027777777777778)</f>
        <v>3.002777778</v>
      </c>
      <c r="J328" s="21">
        <f>IFERROR(__xludf.DUMMYFUNCTION("""COMPUTED_VALUE"""),68.0)</f>
        <v>68</v>
      </c>
      <c r="K328" s="23">
        <f>IFERROR(__xludf.DUMMYFUNCTION("""COMPUTED_VALUE"""),7.8)</f>
        <v>7.8</v>
      </c>
      <c r="L328" s="24">
        <f>IFERROR(__xludf.DUMMYFUNCTION("""COMPUTED_VALUE"""),25.0)</f>
        <v>25</v>
      </c>
      <c r="M328" s="25" t="str">
        <f>IFERROR(__xludf.DUMMYFUNCTION("""COMPUTED_VALUE"""),"Action-Adventure")</f>
        <v>Action-Adventure</v>
      </c>
      <c r="N328" s="25" t="str">
        <f>IFERROR(__xludf.DUMMYFUNCTION("""COMPUTED_VALUE"""),"PS3")</f>
        <v>PS3</v>
      </c>
      <c r="O328" s="26" t="str">
        <f>IFERROR(__xludf.DUMMYFUNCTION("""COMPUTED_VALUE"""),"Yes")</f>
        <v>Yes</v>
      </c>
      <c r="P328" s="26" t="str">
        <f>IFERROR(__xludf.DUMMYFUNCTION("""COMPUTED_VALUE"""),"")</f>
        <v/>
      </c>
    </row>
    <row r="329">
      <c r="A329" s="13" t="str">
        <f>IFERROR(__xludf.DUMMYFUNCTION("""COMPUTED_VALUE"""),"Castlevania: Harmony of Despair")</f>
        <v>Castlevania: Harmony of Despair</v>
      </c>
      <c r="B329" s="15" t="str">
        <f>IFERROR(__xludf.DUMMYFUNCTION("""COMPUTED_VALUE"""),"PS5/PS4")</f>
        <v>PS5/PS4</v>
      </c>
      <c r="C329" s="16" t="str">
        <f>IFERROR(__xludf.DUMMYFUNCTION("""COMPUTED_VALUE"""),"Premium (Streaming Only)")</f>
        <v>Premium (Streaming Only)</v>
      </c>
      <c r="D329" s="15" t="str">
        <f>IFERROR(__xludf.DUMMYFUNCTION("""COMPUTED_VALUE"""),"Active")</f>
        <v>Active</v>
      </c>
      <c r="E329" s="17">
        <f>IFERROR(__xludf.DUMMYFUNCTION("""COMPUTED_VALUE"""),42647.0)</f>
        <v>42647</v>
      </c>
      <c r="F329" s="54"/>
      <c r="G329" s="19">
        <f>IFERROR(__xludf.DUMMYFUNCTION("""COMPUTED_VALUE"""),120.06666666666668)</f>
        <v>120.0666667</v>
      </c>
      <c r="H329" s="17">
        <f>IFERROR(__xludf.DUMMYFUNCTION("""COMPUTED_VALUE"""),40787.0)</f>
        <v>40787</v>
      </c>
      <c r="I329" s="19">
        <f>IFERROR(__xludf.DUMMYFUNCTION("""COMPUTED_VALUE"""),5.091666666666667)</f>
        <v>5.091666667</v>
      </c>
      <c r="J329" s="21">
        <f>IFERROR(__xludf.DUMMYFUNCTION("""COMPUTED_VALUE"""),68.0)</f>
        <v>68</v>
      </c>
      <c r="K329" s="23">
        <f>IFERROR(__xludf.DUMMYFUNCTION("""COMPUTED_VALUE"""),7.7)</f>
        <v>7.7</v>
      </c>
      <c r="L329" s="24">
        <f>IFERROR(__xludf.DUMMYFUNCTION("""COMPUTED_VALUE"""),12.0)</f>
        <v>12</v>
      </c>
      <c r="M329" s="25" t="str">
        <f>IFERROR(__xludf.DUMMYFUNCTION("""COMPUTED_VALUE"""),"Action-Adventure")</f>
        <v>Action-Adventure</v>
      </c>
      <c r="N329" s="25" t="str">
        <f>IFERROR(__xludf.DUMMYFUNCTION("""COMPUTED_VALUE"""),"PS3")</f>
        <v>PS3</v>
      </c>
      <c r="O329" s="26" t="str">
        <f>IFERROR(__xludf.DUMMYFUNCTION("""COMPUTED_VALUE"""),"Yes")</f>
        <v>Yes</v>
      </c>
      <c r="P329" s="26" t="str">
        <f>IFERROR(__xludf.DUMMYFUNCTION("""COMPUTED_VALUE"""),"Yes")</f>
        <v>Yes</v>
      </c>
    </row>
    <row r="330">
      <c r="A330" s="13" t="str">
        <f>IFERROR(__xludf.DUMMYFUNCTION("""COMPUTED_VALUE"""),"Dragon Fin Soup")</f>
        <v>Dragon Fin Soup</v>
      </c>
      <c r="B330" s="15" t="str">
        <f>IFERROR(__xludf.DUMMYFUNCTION("""COMPUTED_VALUE"""),"PS5/PS4")</f>
        <v>PS5/PS4</v>
      </c>
      <c r="C330" s="16" t="str">
        <f>IFERROR(__xludf.DUMMYFUNCTION("""COMPUTED_VALUE"""),"Premium (Streaming Only)")</f>
        <v>Premium (Streaming Only)</v>
      </c>
      <c r="D330" s="15" t="str">
        <f>IFERROR(__xludf.DUMMYFUNCTION("""COMPUTED_VALUE"""),"Active")</f>
        <v>Active</v>
      </c>
      <c r="E330" s="17">
        <f>IFERROR(__xludf.DUMMYFUNCTION("""COMPUTED_VALUE"""),42584.0)</f>
        <v>42584</v>
      </c>
      <c r="F330" s="54"/>
      <c r="G330" s="19">
        <f>IFERROR(__xludf.DUMMYFUNCTION("""COMPUTED_VALUE"""),122.13333333333333)</f>
        <v>122.1333333</v>
      </c>
      <c r="H330" s="17">
        <f>IFERROR(__xludf.DUMMYFUNCTION("""COMPUTED_VALUE"""),42311.0)</f>
        <v>42311</v>
      </c>
      <c r="I330" s="19">
        <f>IFERROR(__xludf.DUMMYFUNCTION("""COMPUTED_VALUE"""),0.7472222222222222)</f>
        <v>0.7472222222</v>
      </c>
      <c r="J330" s="21">
        <f>IFERROR(__xludf.DUMMYFUNCTION("""COMPUTED_VALUE"""),68.0)</f>
        <v>68</v>
      </c>
      <c r="K330" s="23">
        <f>IFERROR(__xludf.DUMMYFUNCTION("""COMPUTED_VALUE"""),5.9)</f>
        <v>5.9</v>
      </c>
      <c r="L330" s="24">
        <f>IFERROR(__xludf.DUMMYFUNCTION("""COMPUTED_VALUE"""),15.0)</f>
        <v>15</v>
      </c>
      <c r="M330" s="25" t="str">
        <f>IFERROR(__xludf.DUMMYFUNCTION("""COMPUTED_VALUE"""),"RPG")</f>
        <v>RPG</v>
      </c>
      <c r="N330" s="25" t="str">
        <f>IFERROR(__xludf.DUMMYFUNCTION("""COMPUTED_VALUE"""),"PS3")</f>
        <v>PS3</v>
      </c>
      <c r="O330" s="26" t="str">
        <f>IFERROR(__xludf.DUMMYFUNCTION("""COMPUTED_VALUE"""),"Yes")</f>
        <v>Yes</v>
      </c>
      <c r="P330" s="26" t="str">
        <f>IFERROR(__xludf.DUMMYFUNCTION("""COMPUTED_VALUE"""),"")</f>
        <v/>
      </c>
    </row>
    <row r="331">
      <c r="A331" s="13" t="str">
        <f>IFERROR(__xludf.DUMMYFUNCTION("""COMPUTED_VALUE"""),"Lost Planet 2")</f>
        <v>Lost Planet 2</v>
      </c>
      <c r="B331" s="15" t="str">
        <f>IFERROR(__xludf.DUMMYFUNCTION("""COMPUTED_VALUE"""),"PS5/PS4")</f>
        <v>PS5/PS4</v>
      </c>
      <c r="C331" s="16" t="str">
        <f>IFERROR(__xludf.DUMMYFUNCTION("""COMPUTED_VALUE"""),"Premium (Streaming Only)")</f>
        <v>Premium (Streaming Only)</v>
      </c>
      <c r="D331" s="15" t="str">
        <f>IFERROR(__xludf.DUMMYFUNCTION("""COMPUTED_VALUE"""),"Active")</f>
        <v>Active</v>
      </c>
      <c r="E331" s="17">
        <f>IFERROR(__xludf.DUMMYFUNCTION("""COMPUTED_VALUE"""),42311.0)</f>
        <v>42311</v>
      </c>
      <c r="F331" s="54"/>
      <c r="G331" s="19">
        <f>IFERROR(__xludf.DUMMYFUNCTION("""COMPUTED_VALUE"""),131.10000000000002)</f>
        <v>131.1</v>
      </c>
      <c r="H331" s="17">
        <f>IFERROR(__xludf.DUMMYFUNCTION("""COMPUTED_VALUE"""),40299.0)</f>
        <v>40299</v>
      </c>
      <c r="I331" s="19">
        <f>IFERROR(__xludf.DUMMYFUNCTION("""COMPUTED_VALUE"""),5.5055555555555555)</f>
        <v>5.505555556</v>
      </c>
      <c r="J331" s="21">
        <f>IFERROR(__xludf.DUMMYFUNCTION("""COMPUTED_VALUE"""),68.0)</f>
        <v>68</v>
      </c>
      <c r="K331" s="23">
        <f>IFERROR(__xludf.DUMMYFUNCTION("""COMPUTED_VALUE"""),7.1)</f>
        <v>7.1</v>
      </c>
      <c r="L331" s="24">
        <f>IFERROR(__xludf.DUMMYFUNCTION("""COMPUTED_VALUE"""),10.0)</f>
        <v>10</v>
      </c>
      <c r="M331" s="25" t="str">
        <f>IFERROR(__xludf.DUMMYFUNCTION("""COMPUTED_VALUE"""),"Shooter")</f>
        <v>Shooter</v>
      </c>
      <c r="N331" s="25" t="str">
        <f>IFERROR(__xludf.DUMMYFUNCTION("""COMPUTED_VALUE"""),"PS3")</f>
        <v>PS3</v>
      </c>
      <c r="O331" s="26" t="str">
        <f>IFERROR(__xludf.DUMMYFUNCTION("""COMPUTED_VALUE"""),"Yes")</f>
        <v>Yes</v>
      </c>
      <c r="P331" s="26" t="str">
        <f>IFERROR(__xludf.DUMMYFUNCTION("""COMPUTED_VALUE"""),"")</f>
        <v/>
      </c>
    </row>
    <row r="332">
      <c r="A332" s="13" t="str">
        <f>IFERROR(__xludf.DUMMYFUNCTION("""COMPUTED_VALUE"""),"Aqua Panic!")</f>
        <v>Aqua Panic!</v>
      </c>
      <c r="B332" s="15" t="str">
        <f>IFERROR(__xludf.DUMMYFUNCTION("""COMPUTED_VALUE"""),"PS5/PS4")</f>
        <v>PS5/PS4</v>
      </c>
      <c r="C332" s="16" t="str">
        <f>IFERROR(__xludf.DUMMYFUNCTION("""COMPUTED_VALUE"""),"Premium (Streaming Only)")</f>
        <v>Premium (Streaming Only)</v>
      </c>
      <c r="D332" s="15" t="str">
        <f>IFERROR(__xludf.DUMMYFUNCTION("""COMPUTED_VALUE"""),"Active")</f>
        <v>Active</v>
      </c>
      <c r="E332" s="17">
        <f>IFERROR(__xludf.DUMMYFUNCTION("""COMPUTED_VALUE"""),42017.0)</f>
        <v>42017</v>
      </c>
      <c r="F332" s="54"/>
      <c r="G332" s="19">
        <f>IFERROR(__xludf.DUMMYFUNCTION("""COMPUTED_VALUE"""),140.76666666666668)</f>
        <v>140.7666667</v>
      </c>
      <c r="H332" s="17">
        <f>IFERROR(__xludf.DUMMYFUNCTION("""COMPUTED_VALUE"""),40452.0)</f>
        <v>40452</v>
      </c>
      <c r="I332" s="19">
        <f>IFERROR(__xludf.DUMMYFUNCTION("""COMPUTED_VALUE"""),4.283333333333333)</f>
        <v>4.283333333</v>
      </c>
      <c r="J332" s="21">
        <f>IFERROR(__xludf.DUMMYFUNCTION("""COMPUTED_VALUE"""),68.0)</f>
        <v>68</v>
      </c>
      <c r="K332" s="23">
        <f>IFERROR(__xludf.DUMMYFUNCTION("""COMPUTED_VALUE"""),6.8)</f>
        <v>6.8</v>
      </c>
      <c r="L332" s="24">
        <f>IFERROR(__xludf.DUMMYFUNCTION("""COMPUTED_VALUE"""),4.0)</f>
        <v>4</v>
      </c>
      <c r="M332" s="25" t="str">
        <f>IFERROR(__xludf.DUMMYFUNCTION("""COMPUTED_VALUE"""),"Puzzle")</f>
        <v>Puzzle</v>
      </c>
      <c r="N332" s="25" t="str">
        <f>IFERROR(__xludf.DUMMYFUNCTION("""COMPUTED_VALUE"""),"PS3")</f>
        <v>PS3</v>
      </c>
      <c r="O332" s="26" t="str">
        <f>IFERROR(__xludf.DUMMYFUNCTION("""COMPUTED_VALUE"""),"Yes")</f>
        <v>Yes</v>
      </c>
      <c r="P332" s="26" t="str">
        <f>IFERROR(__xludf.DUMMYFUNCTION("""COMPUTED_VALUE"""),"")</f>
        <v/>
      </c>
    </row>
    <row r="333">
      <c r="A333" s="13" t="str">
        <f>IFERROR(__xludf.DUMMYFUNCTION("""COMPUTED_VALUE"""),"Dynasty Warriors 7: Xtreme Legends")</f>
        <v>Dynasty Warriors 7: Xtreme Legends</v>
      </c>
      <c r="B333" s="15" t="str">
        <f>IFERROR(__xludf.DUMMYFUNCTION("""COMPUTED_VALUE"""),"PS5/PS4")</f>
        <v>PS5/PS4</v>
      </c>
      <c r="C333" s="16" t="str">
        <f>IFERROR(__xludf.DUMMYFUNCTION("""COMPUTED_VALUE"""),"Premium (Streaming Only)")</f>
        <v>Premium (Streaming Only)</v>
      </c>
      <c r="D333" s="15" t="str">
        <f>IFERROR(__xludf.DUMMYFUNCTION("""COMPUTED_VALUE"""),"Active")</f>
        <v>Active</v>
      </c>
      <c r="E333" s="17">
        <f>IFERROR(__xludf.DUMMYFUNCTION("""COMPUTED_VALUE"""),42017.0)</f>
        <v>42017</v>
      </c>
      <c r="F333" s="54"/>
      <c r="G333" s="19">
        <f>IFERROR(__xludf.DUMMYFUNCTION("""COMPUTED_VALUE"""),140.76666666666668)</f>
        <v>140.7666667</v>
      </c>
      <c r="H333" s="17">
        <f>IFERROR(__xludf.DUMMYFUNCTION("""COMPUTED_VALUE"""),40848.0)</f>
        <v>40848</v>
      </c>
      <c r="I333" s="19">
        <f>IFERROR(__xludf.DUMMYFUNCTION("""COMPUTED_VALUE"""),3.2)</f>
        <v>3.2</v>
      </c>
      <c r="J333" s="21">
        <f>IFERROR(__xludf.DUMMYFUNCTION("""COMPUTED_VALUE"""),68.0)</f>
        <v>68</v>
      </c>
      <c r="K333" s="23">
        <f>IFERROR(__xludf.DUMMYFUNCTION("""COMPUTED_VALUE"""),7.6)</f>
        <v>7.6</v>
      </c>
      <c r="L333" s="24">
        <f>IFERROR(__xludf.DUMMYFUNCTION("""COMPUTED_VALUE"""),25.0)</f>
        <v>25</v>
      </c>
      <c r="M333" s="25" t="str">
        <f>IFERROR(__xludf.DUMMYFUNCTION("""COMPUTED_VALUE"""),"Action-Adventure")</f>
        <v>Action-Adventure</v>
      </c>
      <c r="N333" s="25" t="str">
        <f>IFERROR(__xludf.DUMMYFUNCTION("""COMPUTED_VALUE"""),"PS3")</f>
        <v>PS3</v>
      </c>
      <c r="O333" s="26" t="str">
        <f>IFERROR(__xludf.DUMMYFUNCTION("""COMPUTED_VALUE"""),"Yes")</f>
        <v>Yes</v>
      </c>
      <c r="P333" s="26" t="str">
        <f>IFERROR(__xludf.DUMMYFUNCTION("""COMPUTED_VALUE"""),"")</f>
        <v/>
      </c>
    </row>
    <row r="334">
      <c r="A334" s="13" t="str">
        <f>IFERROR(__xludf.DUMMYFUNCTION("""COMPUTED_VALUE"""),"Dynasty Warriors 8")</f>
        <v>Dynasty Warriors 8</v>
      </c>
      <c r="B334" s="15" t="str">
        <f>IFERROR(__xludf.DUMMYFUNCTION("""COMPUTED_VALUE"""),"PS5/PS4")</f>
        <v>PS5/PS4</v>
      </c>
      <c r="C334" s="16" t="str">
        <f>IFERROR(__xludf.DUMMYFUNCTION("""COMPUTED_VALUE"""),"Premium (Streaming Only)")</f>
        <v>Premium (Streaming Only)</v>
      </c>
      <c r="D334" s="15" t="str">
        <f>IFERROR(__xludf.DUMMYFUNCTION("""COMPUTED_VALUE"""),"Active")</f>
        <v>Active</v>
      </c>
      <c r="E334" s="17">
        <f>IFERROR(__xludf.DUMMYFUNCTION("""COMPUTED_VALUE"""),42017.0)</f>
        <v>42017</v>
      </c>
      <c r="F334" s="54"/>
      <c r="G334" s="19">
        <f>IFERROR(__xludf.DUMMYFUNCTION("""COMPUTED_VALUE"""),140.76666666666668)</f>
        <v>140.7666667</v>
      </c>
      <c r="H334" s="17">
        <f>IFERROR(__xludf.DUMMYFUNCTION("""COMPUTED_VALUE"""),41456.0)</f>
        <v>41456</v>
      </c>
      <c r="I334" s="19">
        <f>IFERROR(__xludf.DUMMYFUNCTION("""COMPUTED_VALUE"""),1.5333333333333334)</f>
        <v>1.533333333</v>
      </c>
      <c r="J334" s="21">
        <f>IFERROR(__xludf.DUMMYFUNCTION("""COMPUTED_VALUE"""),68.0)</f>
        <v>68</v>
      </c>
      <c r="K334" s="23">
        <f>IFERROR(__xludf.DUMMYFUNCTION("""COMPUTED_VALUE"""),8.0)</f>
        <v>8</v>
      </c>
      <c r="L334" s="24">
        <f>IFERROR(__xludf.DUMMYFUNCTION("""COMPUTED_VALUE"""),25.0)</f>
        <v>25</v>
      </c>
      <c r="M334" s="25" t="str">
        <f>IFERROR(__xludf.DUMMYFUNCTION("""COMPUTED_VALUE"""),"Action-Adventure")</f>
        <v>Action-Adventure</v>
      </c>
      <c r="N334" s="25" t="str">
        <f>IFERROR(__xludf.DUMMYFUNCTION("""COMPUTED_VALUE"""),"PS3")</f>
        <v>PS3</v>
      </c>
      <c r="O334" s="26" t="str">
        <f>IFERROR(__xludf.DUMMYFUNCTION("""COMPUTED_VALUE"""),"Yes")</f>
        <v>Yes</v>
      </c>
      <c r="P334" s="26" t="str">
        <f>IFERROR(__xludf.DUMMYFUNCTION("""COMPUTED_VALUE"""),"")</f>
        <v/>
      </c>
    </row>
    <row r="335">
      <c r="A335" s="13" t="str">
        <f>IFERROR(__xludf.DUMMYFUNCTION("""COMPUTED_VALUE"""),"Hakuoki: Stories of the Shinsengumi")</f>
        <v>Hakuoki: Stories of the Shinsengumi</v>
      </c>
      <c r="B335" s="15" t="str">
        <f>IFERROR(__xludf.DUMMYFUNCTION("""COMPUTED_VALUE"""),"PS5/PS4")</f>
        <v>PS5/PS4</v>
      </c>
      <c r="C335" s="16" t="str">
        <f>IFERROR(__xludf.DUMMYFUNCTION("""COMPUTED_VALUE"""),"Premium (Streaming Only)")</f>
        <v>Premium (Streaming Only)</v>
      </c>
      <c r="D335" s="15" t="str">
        <f>IFERROR(__xludf.DUMMYFUNCTION("""COMPUTED_VALUE"""),"Active")</f>
        <v>Active</v>
      </c>
      <c r="E335" s="17">
        <f>IFERROR(__xludf.DUMMYFUNCTION("""COMPUTED_VALUE"""),42017.0)</f>
        <v>42017</v>
      </c>
      <c r="F335" s="54"/>
      <c r="G335" s="19">
        <f>IFERROR(__xludf.DUMMYFUNCTION("""COMPUTED_VALUE"""),140.76666666666668)</f>
        <v>140.7666667</v>
      </c>
      <c r="H335" s="17">
        <f>IFERROR(__xludf.DUMMYFUNCTION("""COMPUTED_VALUE"""),41536.0)</f>
        <v>41536</v>
      </c>
      <c r="I335" s="19">
        <f>IFERROR(__xludf.DUMMYFUNCTION("""COMPUTED_VALUE"""),1.3166666666666667)</f>
        <v>1.316666667</v>
      </c>
      <c r="J335" s="21">
        <f>IFERROR(__xludf.DUMMYFUNCTION("""COMPUTED_VALUE"""),68.0)</f>
        <v>68</v>
      </c>
      <c r="K335" s="23">
        <f>IFERROR(__xludf.DUMMYFUNCTION("""COMPUTED_VALUE"""),7.4)</f>
        <v>7.4</v>
      </c>
      <c r="L335" s="24">
        <f>IFERROR(__xludf.DUMMYFUNCTION("""COMPUTED_VALUE"""),50.0)</f>
        <v>50</v>
      </c>
      <c r="M335" s="25" t="str">
        <f>IFERROR(__xludf.DUMMYFUNCTION("""COMPUTED_VALUE"""),"Adventure")</f>
        <v>Adventure</v>
      </c>
      <c r="N335" s="25" t="str">
        <f>IFERROR(__xludf.DUMMYFUNCTION("""COMPUTED_VALUE"""),"PS3")</f>
        <v>PS3</v>
      </c>
      <c r="O335" s="26" t="str">
        <f>IFERROR(__xludf.DUMMYFUNCTION("""COMPUTED_VALUE"""),"Yes")</f>
        <v>Yes</v>
      </c>
      <c r="P335" s="26" t="str">
        <f>IFERROR(__xludf.DUMMYFUNCTION("""COMPUTED_VALUE"""),"")</f>
        <v/>
      </c>
    </row>
    <row r="336">
      <c r="A336" s="13" t="str">
        <f>IFERROR(__xludf.DUMMYFUNCTION("""COMPUTED_VALUE"""),"Lead and Gold: Gangs of the Wild West")</f>
        <v>Lead and Gold: Gangs of the Wild West</v>
      </c>
      <c r="B336" s="15" t="str">
        <f>IFERROR(__xludf.DUMMYFUNCTION("""COMPUTED_VALUE"""),"PS5/PS4")</f>
        <v>PS5/PS4</v>
      </c>
      <c r="C336" s="16" t="str">
        <f>IFERROR(__xludf.DUMMYFUNCTION("""COMPUTED_VALUE"""),"Premium (Streaming Only)")</f>
        <v>Premium (Streaming Only)</v>
      </c>
      <c r="D336" s="15" t="str">
        <f>IFERROR(__xludf.DUMMYFUNCTION("""COMPUTED_VALUE"""),"Active")</f>
        <v>Active</v>
      </c>
      <c r="E336" s="17">
        <f>IFERROR(__xludf.DUMMYFUNCTION("""COMPUTED_VALUE"""),42017.0)</f>
        <v>42017</v>
      </c>
      <c r="F336" s="54"/>
      <c r="G336" s="19">
        <f>IFERROR(__xludf.DUMMYFUNCTION("""COMPUTED_VALUE"""),140.76666666666668)</f>
        <v>140.7666667</v>
      </c>
      <c r="H336" s="17">
        <f>IFERROR(__xludf.DUMMYFUNCTION("""COMPUTED_VALUE"""),40299.0)</f>
        <v>40299</v>
      </c>
      <c r="I336" s="19">
        <f>IFERROR(__xludf.DUMMYFUNCTION("""COMPUTED_VALUE"""),4.7)</f>
        <v>4.7</v>
      </c>
      <c r="J336" s="21">
        <f>IFERROR(__xludf.DUMMYFUNCTION("""COMPUTED_VALUE"""),68.0)</f>
        <v>68</v>
      </c>
      <c r="K336" s="23">
        <f>IFERROR(__xludf.DUMMYFUNCTION("""COMPUTED_VALUE"""),7.0)</f>
        <v>7</v>
      </c>
      <c r="L336" s="24"/>
      <c r="M336" s="25" t="str">
        <f>IFERROR(__xludf.DUMMYFUNCTION("""COMPUTED_VALUE"""),"Shooter")</f>
        <v>Shooter</v>
      </c>
      <c r="N336" s="25" t="str">
        <f>IFERROR(__xludf.DUMMYFUNCTION("""COMPUTED_VALUE"""),"PS3")</f>
        <v>PS3</v>
      </c>
      <c r="O336" s="26" t="str">
        <f>IFERROR(__xludf.DUMMYFUNCTION("""COMPUTED_VALUE"""),"Yes")</f>
        <v>Yes</v>
      </c>
      <c r="P336" s="26" t="str">
        <f>IFERROR(__xludf.DUMMYFUNCTION("""COMPUTED_VALUE"""),"")</f>
        <v/>
      </c>
    </row>
    <row r="337">
      <c r="A337" s="13" t="str">
        <f>IFERROR(__xludf.DUMMYFUNCTION("""COMPUTED_VALUE"""),"Legasista")</f>
        <v>Legasista</v>
      </c>
      <c r="B337" s="15" t="str">
        <f>IFERROR(__xludf.DUMMYFUNCTION("""COMPUTED_VALUE"""),"PS5/PS4")</f>
        <v>PS5/PS4</v>
      </c>
      <c r="C337" s="16" t="str">
        <f>IFERROR(__xludf.DUMMYFUNCTION("""COMPUTED_VALUE"""),"Premium (Streaming Only)")</f>
        <v>Premium (Streaming Only)</v>
      </c>
      <c r="D337" s="15" t="str">
        <f>IFERROR(__xludf.DUMMYFUNCTION("""COMPUTED_VALUE"""),"Active")</f>
        <v>Active</v>
      </c>
      <c r="E337" s="17">
        <f>IFERROR(__xludf.DUMMYFUNCTION("""COMPUTED_VALUE"""),42017.0)</f>
        <v>42017</v>
      </c>
      <c r="F337" s="54"/>
      <c r="G337" s="19">
        <f>IFERROR(__xludf.DUMMYFUNCTION("""COMPUTED_VALUE"""),140.76666666666668)</f>
        <v>140.7666667</v>
      </c>
      <c r="H337" s="17">
        <f>IFERROR(__xludf.DUMMYFUNCTION("""COMPUTED_VALUE"""),41122.0)</f>
        <v>41122</v>
      </c>
      <c r="I337" s="19">
        <f>IFERROR(__xludf.DUMMYFUNCTION("""COMPUTED_VALUE"""),2.45)</f>
        <v>2.45</v>
      </c>
      <c r="J337" s="21">
        <f>IFERROR(__xludf.DUMMYFUNCTION("""COMPUTED_VALUE"""),68.0)</f>
        <v>68</v>
      </c>
      <c r="K337" s="23">
        <f>IFERROR(__xludf.DUMMYFUNCTION("""COMPUTED_VALUE"""),7.0)</f>
        <v>7</v>
      </c>
      <c r="L337" s="24">
        <f>IFERROR(__xludf.DUMMYFUNCTION("""COMPUTED_VALUE"""),35.0)</f>
        <v>35</v>
      </c>
      <c r="M337" s="25" t="str">
        <f>IFERROR(__xludf.DUMMYFUNCTION("""COMPUTED_VALUE"""),"RPG")</f>
        <v>RPG</v>
      </c>
      <c r="N337" s="25" t="str">
        <f>IFERROR(__xludf.DUMMYFUNCTION("""COMPUTED_VALUE"""),"PS3")</f>
        <v>PS3</v>
      </c>
      <c r="O337" s="26" t="str">
        <f>IFERROR(__xludf.DUMMYFUNCTION("""COMPUTED_VALUE"""),"Yes")</f>
        <v>Yes</v>
      </c>
      <c r="P337" s="26" t="str">
        <f>IFERROR(__xludf.DUMMYFUNCTION("""COMPUTED_VALUE"""),"")</f>
        <v/>
      </c>
    </row>
    <row r="338">
      <c r="A338" s="13" t="str">
        <f>IFERROR(__xludf.DUMMYFUNCTION("""COMPUTED_VALUE"""),"Planets Under Attack")</f>
        <v>Planets Under Attack</v>
      </c>
      <c r="B338" s="15" t="str">
        <f>IFERROR(__xludf.DUMMYFUNCTION("""COMPUTED_VALUE"""),"PS5/PS4")</f>
        <v>PS5/PS4</v>
      </c>
      <c r="C338" s="16" t="str">
        <f>IFERROR(__xludf.DUMMYFUNCTION("""COMPUTED_VALUE"""),"Premium (Streaming Only)")</f>
        <v>Premium (Streaming Only)</v>
      </c>
      <c r="D338" s="15" t="str">
        <f>IFERROR(__xludf.DUMMYFUNCTION("""COMPUTED_VALUE"""),"Active")</f>
        <v>Active</v>
      </c>
      <c r="E338" s="17">
        <f>IFERROR(__xludf.DUMMYFUNCTION("""COMPUTED_VALUE"""),42017.0)</f>
        <v>42017</v>
      </c>
      <c r="F338" s="18"/>
      <c r="G338" s="19">
        <f>IFERROR(__xludf.DUMMYFUNCTION("""COMPUTED_VALUE"""),140.76666666666668)</f>
        <v>140.7666667</v>
      </c>
      <c r="H338" s="17">
        <f>IFERROR(__xludf.DUMMYFUNCTION("""COMPUTED_VALUE"""),41214.0)</f>
        <v>41214</v>
      </c>
      <c r="I338" s="19">
        <f>IFERROR(__xludf.DUMMYFUNCTION("""COMPUTED_VALUE"""),2.2)</f>
        <v>2.2</v>
      </c>
      <c r="J338" s="21">
        <f>IFERROR(__xludf.DUMMYFUNCTION("""COMPUTED_VALUE"""),68.0)</f>
        <v>68</v>
      </c>
      <c r="K338" s="23">
        <f>IFERROR(__xludf.DUMMYFUNCTION("""COMPUTED_VALUE"""),6.8)</f>
        <v>6.8</v>
      </c>
      <c r="L338" s="24">
        <f>IFERROR(__xludf.DUMMYFUNCTION("""COMPUTED_VALUE"""),5.0)</f>
        <v>5</v>
      </c>
      <c r="M338" s="25" t="str">
        <f>IFERROR(__xludf.DUMMYFUNCTION("""COMPUTED_VALUE"""),"Strategy")</f>
        <v>Strategy</v>
      </c>
      <c r="N338" s="25" t="str">
        <f>IFERROR(__xludf.DUMMYFUNCTION("""COMPUTED_VALUE"""),"PS3")</f>
        <v>PS3</v>
      </c>
      <c r="O338" s="26" t="str">
        <f>IFERROR(__xludf.DUMMYFUNCTION("""COMPUTED_VALUE"""),"Yes")</f>
        <v>Yes</v>
      </c>
      <c r="P338" s="26" t="str">
        <f>IFERROR(__xludf.DUMMYFUNCTION("""COMPUTED_VALUE"""),"")</f>
        <v/>
      </c>
    </row>
    <row r="339">
      <c r="A339" s="13" t="str">
        <f>IFERROR(__xludf.DUMMYFUNCTION("""COMPUTED_VALUE"""),"Rag Doll Kung Fu: Fists of Plastic")</f>
        <v>Rag Doll Kung Fu: Fists of Plastic</v>
      </c>
      <c r="B339" s="15" t="str">
        <f>IFERROR(__xludf.DUMMYFUNCTION("""COMPUTED_VALUE"""),"PS5/PS4")</f>
        <v>PS5/PS4</v>
      </c>
      <c r="C339" s="16" t="str">
        <f>IFERROR(__xludf.DUMMYFUNCTION("""COMPUTED_VALUE"""),"Premium (Streaming Only)")</f>
        <v>Premium (Streaming Only)</v>
      </c>
      <c r="D339" s="15" t="str">
        <f>IFERROR(__xludf.DUMMYFUNCTION("""COMPUTED_VALUE"""),"Active")</f>
        <v>Active</v>
      </c>
      <c r="E339" s="17">
        <f>IFERROR(__xludf.DUMMYFUNCTION("""COMPUTED_VALUE"""),42017.0)</f>
        <v>42017</v>
      </c>
      <c r="F339" s="54"/>
      <c r="G339" s="19">
        <f>IFERROR(__xludf.DUMMYFUNCTION("""COMPUTED_VALUE"""),140.76666666666668)</f>
        <v>140.7666667</v>
      </c>
      <c r="H339" s="17">
        <f>IFERROR(__xludf.DUMMYFUNCTION("""COMPUTED_VALUE"""),39904.0)</f>
        <v>39904</v>
      </c>
      <c r="I339" s="19">
        <f>IFERROR(__xludf.DUMMYFUNCTION("""COMPUTED_VALUE"""),5.783333333333333)</f>
        <v>5.783333333</v>
      </c>
      <c r="J339" s="21">
        <f>IFERROR(__xludf.DUMMYFUNCTION("""COMPUTED_VALUE"""),68.0)</f>
        <v>68</v>
      </c>
      <c r="K339" s="23">
        <f>IFERROR(__xludf.DUMMYFUNCTION("""COMPUTED_VALUE"""),6.6)</f>
        <v>6.6</v>
      </c>
      <c r="L339" s="24">
        <f>IFERROR(__xludf.DUMMYFUNCTION("""COMPUTED_VALUE"""),3.0)</f>
        <v>3</v>
      </c>
      <c r="M339" s="25" t="str">
        <f>IFERROR(__xludf.DUMMYFUNCTION("""COMPUTED_VALUE"""),"Fighting")</f>
        <v>Fighting</v>
      </c>
      <c r="N339" s="25" t="str">
        <f>IFERROR(__xludf.DUMMYFUNCTION("""COMPUTED_VALUE"""),"PS3")</f>
        <v>PS3</v>
      </c>
      <c r="O339" s="26" t="str">
        <f>IFERROR(__xludf.DUMMYFUNCTION("""COMPUTED_VALUE"""),"Yes")</f>
        <v>Yes</v>
      </c>
      <c r="P339" s="26" t="str">
        <f>IFERROR(__xludf.DUMMYFUNCTION("""COMPUTED_VALUE"""),"")</f>
        <v/>
      </c>
    </row>
    <row r="340">
      <c r="A340" s="13" t="str">
        <f>IFERROR(__xludf.DUMMYFUNCTION("""COMPUTED_VALUE"""),"2Xtreme")</f>
        <v>2Xtreme</v>
      </c>
      <c r="B340" s="15" t="str">
        <f>IFERROR(__xludf.DUMMYFUNCTION("""COMPUTED_VALUE"""),"PS5/PS4")</f>
        <v>PS5/PS4</v>
      </c>
      <c r="C340" s="16" t="str">
        <f>IFERROR(__xludf.DUMMYFUNCTION("""COMPUTED_VALUE"""),"Premium (Classics)")</f>
        <v>Premium (Classics)</v>
      </c>
      <c r="D340" s="15" t="str">
        <f>IFERROR(__xludf.DUMMYFUNCTION("""COMPUTED_VALUE"""),"Active")</f>
        <v>Active</v>
      </c>
      <c r="E340" s="17">
        <f>IFERROR(__xludf.DUMMYFUNCTION("""COMPUTED_VALUE"""),45433.0)</f>
        <v>45433</v>
      </c>
      <c r="F340" s="54"/>
      <c r="G340" s="19">
        <f>IFERROR(__xludf.DUMMYFUNCTION("""COMPUTED_VALUE"""),28.5)</f>
        <v>28.5</v>
      </c>
      <c r="H340" s="17">
        <f>IFERROR(__xludf.DUMMYFUNCTION("""COMPUTED_VALUE"""),35370.0)</f>
        <v>35370</v>
      </c>
      <c r="I340" s="19">
        <f>IFERROR(__xludf.DUMMYFUNCTION("""COMPUTED_VALUE"""),27.555555555555557)</f>
        <v>27.55555556</v>
      </c>
      <c r="J340" s="21">
        <f>IFERROR(__xludf.DUMMYFUNCTION("""COMPUTED_VALUE"""),67.0)</f>
        <v>67</v>
      </c>
      <c r="K340" s="23">
        <f>IFERROR(__xludf.DUMMYFUNCTION("""COMPUTED_VALUE"""),7.5)</f>
        <v>7.5</v>
      </c>
      <c r="L340" s="24">
        <f>IFERROR(__xludf.DUMMYFUNCTION("""COMPUTED_VALUE"""),1.0)</f>
        <v>1</v>
      </c>
      <c r="M340" s="25" t="str">
        <f>IFERROR(__xludf.DUMMYFUNCTION("""COMPUTED_VALUE"""),"Racing")</f>
        <v>Racing</v>
      </c>
      <c r="N340" s="25" t="str">
        <f>IFERROR(__xludf.DUMMYFUNCTION("""COMPUTED_VALUE"""),"PS1")</f>
        <v>PS1</v>
      </c>
      <c r="O340" s="26" t="str">
        <f>IFERROR(__xludf.DUMMYFUNCTION("""COMPUTED_VALUE"""),"Yes")</f>
        <v>Yes</v>
      </c>
      <c r="P340" s="26"/>
    </row>
    <row r="341">
      <c r="A341" s="13" t="str">
        <f>IFERROR(__xludf.DUMMYFUNCTION("""COMPUTED_VALUE"""),"MediEvil")</f>
        <v>MediEvil</v>
      </c>
      <c r="B341" s="15" t="str">
        <f>IFERROR(__xludf.DUMMYFUNCTION("""COMPUTED_VALUE"""),"PS5/PS4")</f>
        <v>PS5/PS4</v>
      </c>
      <c r="C341" s="16" t="str">
        <f>IFERROR(__xludf.DUMMYFUNCTION("""COMPUTED_VALUE"""),"Premium (Classics)")</f>
        <v>Premium (Classics)</v>
      </c>
      <c r="D341" s="15" t="str">
        <f>IFERROR(__xludf.DUMMYFUNCTION("""COMPUTED_VALUE"""),"Active")</f>
        <v>Active</v>
      </c>
      <c r="E341" s="17">
        <f>IFERROR(__xludf.DUMMYFUNCTION("""COMPUTED_VALUE"""),45398.0)</f>
        <v>45398</v>
      </c>
      <c r="F341" s="54"/>
      <c r="G341" s="19">
        <f>IFERROR(__xludf.DUMMYFUNCTION("""COMPUTED_VALUE"""),29.666666666666668)</f>
        <v>29.66666667</v>
      </c>
      <c r="H341" s="17">
        <f>IFERROR(__xludf.DUMMYFUNCTION("""COMPUTED_VALUE"""),36069.0)</f>
        <v>36069</v>
      </c>
      <c r="I341" s="19">
        <f>IFERROR(__xludf.DUMMYFUNCTION("""COMPUTED_VALUE"""),25.541666666666668)</f>
        <v>25.54166667</v>
      </c>
      <c r="J341" s="21">
        <f>IFERROR(__xludf.DUMMYFUNCTION("""COMPUTED_VALUE"""),67.0)</f>
        <v>67</v>
      </c>
      <c r="K341" s="23">
        <f>IFERROR(__xludf.DUMMYFUNCTION("""COMPUTED_VALUE"""),8.0)</f>
        <v>8</v>
      </c>
      <c r="L341" s="24">
        <f>IFERROR(__xludf.DUMMYFUNCTION("""COMPUTED_VALUE"""),7.0)</f>
        <v>7</v>
      </c>
      <c r="M341" s="25" t="str">
        <f>IFERROR(__xludf.DUMMYFUNCTION("""COMPUTED_VALUE"""),"Action-Adventure")</f>
        <v>Action-Adventure</v>
      </c>
      <c r="N341" s="25" t="str">
        <f>IFERROR(__xludf.DUMMYFUNCTION("""COMPUTED_VALUE"""),"PS1")</f>
        <v>PS1</v>
      </c>
      <c r="O341" s="26" t="str">
        <f>IFERROR(__xludf.DUMMYFUNCTION("""COMPUTED_VALUE"""),"Yes")</f>
        <v>Yes</v>
      </c>
      <c r="P341" s="26"/>
    </row>
    <row r="342">
      <c r="A342" s="13" t="str">
        <f>IFERROR(__xludf.DUMMYFUNCTION("""COMPUTED_VALUE"""),"PaRappa the Rapper 2")</f>
        <v>PaRappa the Rapper 2</v>
      </c>
      <c r="B342" s="15" t="str">
        <f>IFERROR(__xludf.DUMMYFUNCTION("""COMPUTED_VALUE"""),"PS4")</f>
        <v>PS4</v>
      </c>
      <c r="C342" s="16" t="str">
        <f>IFERROR(__xludf.DUMMYFUNCTION("""COMPUTED_VALUE"""),"Premium (Classics)")</f>
        <v>Premium (Classics)</v>
      </c>
      <c r="D342" s="15" t="str">
        <f>IFERROR(__xludf.DUMMYFUNCTION("""COMPUTED_VALUE"""),"Active")</f>
        <v>Active</v>
      </c>
      <c r="E342" s="17">
        <f>IFERROR(__xludf.DUMMYFUNCTION("""COMPUTED_VALUE"""),45251.0)</f>
        <v>45251</v>
      </c>
      <c r="F342" s="54"/>
      <c r="G342" s="19">
        <f>IFERROR(__xludf.DUMMYFUNCTION("""COMPUTED_VALUE"""),34.5)</f>
        <v>34.5</v>
      </c>
      <c r="H342" s="17">
        <f>IFERROR(__xludf.DUMMYFUNCTION("""COMPUTED_VALUE"""),37279.0)</f>
        <v>37279</v>
      </c>
      <c r="I342" s="19">
        <f>IFERROR(__xludf.DUMMYFUNCTION("""COMPUTED_VALUE"""),21.82777777777778)</f>
        <v>21.82777778</v>
      </c>
      <c r="J342" s="21">
        <f>IFERROR(__xludf.DUMMYFUNCTION("""COMPUTED_VALUE"""),67.0)</f>
        <v>67</v>
      </c>
      <c r="K342" s="23">
        <f>IFERROR(__xludf.DUMMYFUNCTION("""COMPUTED_VALUE"""),8.0)</f>
        <v>8</v>
      </c>
      <c r="L342" s="24">
        <f>IFERROR(__xludf.DUMMYFUNCTION("""COMPUTED_VALUE"""),2.0)</f>
        <v>2</v>
      </c>
      <c r="M342" s="25" t="str">
        <f>IFERROR(__xludf.DUMMYFUNCTION("""COMPUTED_VALUE"""),"Rhythm")</f>
        <v>Rhythm</v>
      </c>
      <c r="N342" s="25" t="str">
        <f>IFERROR(__xludf.DUMMYFUNCTION("""COMPUTED_VALUE"""),"PS2")</f>
        <v>PS2</v>
      </c>
      <c r="O342" s="26" t="str">
        <f>IFERROR(__xludf.DUMMYFUNCTION("""COMPUTED_VALUE"""),"Yes")</f>
        <v>Yes</v>
      </c>
      <c r="P342" s="26"/>
    </row>
    <row r="343">
      <c r="A343" s="13" t="str">
        <f>IFERROR(__xludf.DUMMYFUNCTION("""COMPUTED_VALUE"""),"MX vs. ATV: Untamed")</f>
        <v>MX vs. ATV: Untamed</v>
      </c>
      <c r="B343" s="15" t="str">
        <f>IFERROR(__xludf.DUMMYFUNCTION("""COMPUTED_VALUE"""),"PS5/PS4")</f>
        <v>PS5/PS4</v>
      </c>
      <c r="C343" s="16" t="str">
        <f>IFERROR(__xludf.DUMMYFUNCTION("""COMPUTED_VALUE"""),"Premium (Streaming Only)")</f>
        <v>Premium (Streaming Only)</v>
      </c>
      <c r="D343" s="15" t="str">
        <f>IFERROR(__xludf.DUMMYFUNCTION("""COMPUTED_VALUE"""),"Active")</f>
        <v>Active</v>
      </c>
      <c r="E343" s="17">
        <f>IFERROR(__xludf.DUMMYFUNCTION("""COMPUTED_VALUE"""),44725.0)</f>
        <v>44725</v>
      </c>
      <c r="F343" s="54"/>
      <c r="G343" s="19">
        <f>IFERROR(__xludf.DUMMYFUNCTION("""COMPUTED_VALUE"""),51.766666666666666)</f>
        <v>51.76666667</v>
      </c>
      <c r="H343" s="17">
        <f>IFERROR(__xludf.DUMMYFUNCTION("""COMPUTED_VALUE"""),39417.0)</f>
        <v>39417</v>
      </c>
      <c r="I343" s="19">
        <f>IFERROR(__xludf.DUMMYFUNCTION("""COMPUTED_VALUE"""),14.533333333333333)</f>
        <v>14.53333333</v>
      </c>
      <c r="J343" s="21">
        <f>IFERROR(__xludf.DUMMYFUNCTION("""COMPUTED_VALUE"""),67.0)</f>
        <v>67</v>
      </c>
      <c r="K343" s="23">
        <f>IFERROR(__xludf.DUMMYFUNCTION("""COMPUTED_VALUE"""),7.3)</f>
        <v>7.3</v>
      </c>
      <c r="L343" s="24">
        <f>IFERROR(__xludf.DUMMYFUNCTION("""COMPUTED_VALUE"""),10.0)</f>
        <v>10</v>
      </c>
      <c r="M343" s="25" t="str">
        <f>IFERROR(__xludf.DUMMYFUNCTION("""COMPUTED_VALUE"""),"Racing")</f>
        <v>Racing</v>
      </c>
      <c r="N343" s="25" t="str">
        <f>IFERROR(__xludf.DUMMYFUNCTION("""COMPUTED_VALUE"""),"PS3")</f>
        <v>PS3</v>
      </c>
      <c r="O343" s="26" t="str">
        <f>IFERROR(__xludf.DUMMYFUNCTION("""COMPUTED_VALUE"""),"Yes")</f>
        <v>Yes</v>
      </c>
      <c r="P343" s="26" t="str">
        <f>IFERROR(__xludf.DUMMYFUNCTION("""COMPUTED_VALUE"""),"")</f>
        <v/>
      </c>
    </row>
    <row r="344">
      <c r="A344" s="13" t="str">
        <f>IFERROR(__xludf.DUMMYFUNCTION("""COMPUTED_VALUE"""),"NINJA GAIDEN 3: Razor's Edge")</f>
        <v>NINJA GAIDEN 3: Razor's Edge</v>
      </c>
      <c r="B344" s="15" t="str">
        <f>IFERROR(__xludf.DUMMYFUNCTION("""COMPUTED_VALUE"""),"PS5/PS4")</f>
        <v>PS5/PS4</v>
      </c>
      <c r="C344" s="16" t="str">
        <f>IFERROR(__xludf.DUMMYFUNCTION("""COMPUTED_VALUE"""),"Premium (Streaming Only)")</f>
        <v>Premium (Streaming Only)</v>
      </c>
      <c r="D344" s="15" t="str">
        <f>IFERROR(__xludf.DUMMYFUNCTION("""COMPUTED_VALUE"""),"Active")</f>
        <v>Active</v>
      </c>
      <c r="E344" s="17">
        <f>IFERROR(__xludf.DUMMYFUNCTION("""COMPUTED_VALUE"""),42773.0)</f>
        <v>42773</v>
      </c>
      <c r="F344" s="54"/>
      <c r="G344" s="19">
        <f>IFERROR(__xludf.DUMMYFUNCTION("""COMPUTED_VALUE"""),115.96666666666667)</f>
        <v>115.9666667</v>
      </c>
      <c r="H344" s="17">
        <f>IFERROR(__xludf.DUMMYFUNCTION("""COMPUTED_VALUE"""),41365.0)</f>
        <v>41365</v>
      </c>
      <c r="I344" s="19">
        <f>IFERROR(__xludf.DUMMYFUNCTION("""COMPUTED_VALUE"""),3.85)</f>
        <v>3.85</v>
      </c>
      <c r="J344" s="21">
        <f>IFERROR(__xludf.DUMMYFUNCTION("""COMPUTED_VALUE"""),67.0)</f>
        <v>67</v>
      </c>
      <c r="K344" s="23">
        <f>IFERROR(__xludf.DUMMYFUNCTION("""COMPUTED_VALUE"""),6.8)</f>
        <v>6.8</v>
      </c>
      <c r="L344" s="24">
        <f>IFERROR(__xludf.DUMMYFUNCTION("""COMPUTED_VALUE"""),13.0)</f>
        <v>13</v>
      </c>
      <c r="M344" s="25" t="str">
        <f>IFERROR(__xludf.DUMMYFUNCTION("""COMPUTED_VALUE"""),"Action-Adventure")</f>
        <v>Action-Adventure</v>
      </c>
      <c r="N344" s="25" t="str">
        <f>IFERROR(__xludf.DUMMYFUNCTION("""COMPUTED_VALUE"""),"PS3")</f>
        <v>PS3</v>
      </c>
      <c r="O344" s="26" t="str">
        <f>IFERROR(__xludf.DUMMYFUNCTION("""COMPUTED_VALUE"""),"Yes")</f>
        <v>Yes</v>
      </c>
      <c r="P344" s="26" t="str">
        <f>IFERROR(__xludf.DUMMYFUNCTION("""COMPUTED_VALUE"""),"")</f>
        <v/>
      </c>
    </row>
    <row r="345">
      <c r="A345" s="13" t="str">
        <f>IFERROR(__xludf.DUMMYFUNCTION("""COMPUTED_VALUE"""),"All Zombies Must Die!")</f>
        <v>All Zombies Must Die!</v>
      </c>
      <c r="B345" s="15" t="str">
        <f>IFERROR(__xludf.DUMMYFUNCTION("""COMPUTED_VALUE"""),"PS5/PS4")</f>
        <v>PS5/PS4</v>
      </c>
      <c r="C345" s="16" t="str">
        <f>IFERROR(__xludf.DUMMYFUNCTION("""COMPUTED_VALUE"""),"Premium (Streaming Only)")</f>
        <v>Premium (Streaming Only)</v>
      </c>
      <c r="D345" s="15" t="str">
        <f>IFERROR(__xludf.DUMMYFUNCTION("""COMPUTED_VALUE"""),"Active")</f>
        <v>Active</v>
      </c>
      <c r="E345" s="17">
        <f>IFERROR(__xludf.DUMMYFUNCTION("""COMPUTED_VALUE"""),42647.0)</f>
        <v>42647</v>
      </c>
      <c r="F345" s="54"/>
      <c r="G345" s="19">
        <f>IFERROR(__xludf.DUMMYFUNCTION("""COMPUTED_VALUE"""),120.06666666666668)</f>
        <v>120.0666667</v>
      </c>
      <c r="H345" s="17">
        <f>IFERROR(__xludf.DUMMYFUNCTION("""COMPUTED_VALUE"""),40878.0)</f>
        <v>40878</v>
      </c>
      <c r="I345" s="19">
        <f>IFERROR(__xludf.DUMMYFUNCTION("""COMPUTED_VALUE"""),4.841666666666667)</f>
        <v>4.841666667</v>
      </c>
      <c r="J345" s="21">
        <f>IFERROR(__xludf.DUMMYFUNCTION("""COMPUTED_VALUE"""),67.0)</f>
        <v>67</v>
      </c>
      <c r="K345" s="23">
        <f>IFERROR(__xludf.DUMMYFUNCTION("""COMPUTED_VALUE"""),6.4)</f>
        <v>6.4</v>
      </c>
      <c r="L345" s="24">
        <f>IFERROR(__xludf.DUMMYFUNCTION("""COMPUTED_VALUE"""),7.0)</f>
        <v>7</v>
      </c>
      <c r="M345" s="25" t="str">
        <f>IFERROR(__xludf.DUMMYFUNCTION("""COMPUTED_VALUE"""),"Action-Adventure")</f>
        <v>Action-Adventure</v>
      </c>
      <c r="N345" s="25" t="str">
        <f>IFERROR(__xludf.DUMMYFUNCTION("""COMPUTED_VALUE"""),"PS3")</f>
        <v>PS3</v>
      </c>
      <c r="O345" s="26" t="str">
        <f>IFERROR(__xludf.DUMMYFUNCTION("""COMPUTED_VALUE"""),"Yes")</f>
        <v>Yes</v>
      </c>
      <c r="P345" s="26" t="str">
        <f>IFERROR(__xludf.DUMMYFUNCTION("""COMPUTED_VALUE"""),"Yes")</f>
        <v>Yes</v>
      </c>
    </row>
    <row r="346">
      <c r="A346" s="13" t="str">
        <f>IFERROR(__xludf.DUMMYFUNCTION("""COMPUTED_VALUE"""),"Battle Fantasia")</f>
        <v>Battle Fantasia</v>
      </c>
      <c r="B346" s="15" t="str">
        <f>IFERROR(__xludf.DUMMYFUNCTION("""COMPUTED_VALUE"""),"PS5/PS4")</f>
        <v>PS5/PS4</v>
      </c>
      <c r="C346" s="16" t="str">
        <f>IFERROR(__xludf.DUMMYFUNCTION("""COMPUTED_VALUE"""),"Premium (Streaming Only)")</f>
        <v>Premium (Streaming Only)</v>
      </c>
      <c r="D346" s="15" t="str">
        <f>IFERROR(__xludf.DUMMYFUNCTION("""COMPUTED_VALUE"""),"Active")</f>
        <v>Active</v>
      </c>
      <c r="E346" s="17">
        <f>IFERROR(__xludf.DUMMYFUNCTION("""COMPUTED_VALUE"""),42311.0)</f>
        <v>42311</v>
      </c>
      <c r="F346" s="54"/>
      <c r="G346" s="19">
        <f>IFERROR(__xludf.DUMMYFUNCTION("""COMPUTED_VALUE"""),131.10000000000002)</f>
        <v>131.1</v>
      </c>
      <c r="H346" s="17">
        <f>IFERROR(__xludf.DUMMYFUNCTION("""COMPUTED_VALUE"""),40148.0)</f>
        <v>40148</v>
      </c>
      <c r="I346" s="19">
        <f>IFERROR(__xludf.DUMMYFUNCTION("""COMPUTED_VALUE"""),5.9222222222222225)</f>
        <v>5.922222222</v>
      </c>
      <c r="J346" s="21">
        <f>IFERROR(__xludf.DUMMYFUNCTION("""COMPUTED_VALUE"""),67.0)</f>
        <v>67</v>
      </c>
      <c r="K346" s="23">
        <f>IFERROR(__xludf.DUMMYFUNCTION("""COMPUTED_VALUE"""),7.3)</f>
        <v>7.3</v>
      </c>
      <c r="L346" s="24"/>
      <c r="M346" s="25" t="str">
        <f>IFERROR(__xludf.DUMMYFUNCTION("""COMPUTED_VALUE"""),"Fighting")</f>
        <v>Fighting</v>
      </c>
      <c r="N346" s="25" t="str">
        <f>IFERROR(__xludf.DUMMYFUNCTION("""COMPUTED_VALUE"""),"PS3")</f>
        <v>PS3</v>
      </c>
      <c r="O346" s="26" t="str">
        <f>IFERROR(__xludf.DUMMYFUNCTION("""COMPUTED_VALUE"""),"Yes")</f>
        <v>Yes</v>
      </c>
      <c r="P346" s="26" t="str">
        <f>IFERROR(__xludf.DUMMYFUNCTION("""COMPUTED_VALUE"""),"")</f>
        <v/>
      </c>
    </row>
    <row r="347">
      <c r="A347" s="13" t="str">
        <f>IFERROR(__xludf.DUMMYFUNCTION("""COMPUTED_VALUE"""),"Lost Planet: Extreme Condition")</f>
        <v>Lost Planet: Extreme Condition</v>
      </c>
      <c r="B347" s="15" t="str">
        <f>IFERROR(__xludf.DUMMYFUNCTION("""COMPUTED_VALUE"""),"PS5/PS4")</f>
        <v>PS5/PS4</v>
      </c>
      <c r="C347" s="16" t="str">
        <f>IFERROR(__xludf.DUMMYFUNCTION("""COMPUTED_VALUE"""),"Premium (Streaming Only)")</f>
        <v>Premium (Streaming Only)</v>
      </c>
      <c r="D347" s="15" t="str">
        <f>IFERROR(__xludf.DUMMYFUNCTION("""COMPUTED_VALUE"""),"Active")</f>
        <v>Active</v>
      </c>
      <c r="E347" s="17">
        <f>IFERROR(__xludf.DUMMYFUNCTION("""COMPUTED_VALUE"""),42311.0)</f>
        <v>42311</v>
      </c>
      <c r="F347" s="54"/>
      <c r="G347" s="19">
        <f>IFERROR(__xludf.DUMMYFUNCTION("""COMPUTED_VALUE"""),131.10000000000002)</f>
        <v>131.1</v>
      </c>
      <c r="H347" s="17">
        <f>IFERROR(__xludf.DUMMYFUNCTION("""COMPUTED_VALUE"""),39479.0)</f>
        <v>39479</v>
      </c>
      <c r="I347" s="19">
        <f>IFERROR(__xludf.DUMMYFUNCTION("""COMPUTED_VALUE"""),7.7555555555555555)</f>
        <v>7.755555556</v>
      </c>
      <c r="J347" s="21">
        <f>IFERROR(__xludf.DUMMYFUNCTION("""COMPUTED_VALUE"""),67.0)</f>
        <v>67</v>
      </c>
      <c r="K347" s="23">
        <f>IFERROR(__xludf.DUMMYFUNCTION("""COMPUTED_VALUE"""),7.5)</f>
        <v>7.5</v>
      </c>
      <c r="L347" s="24">
        <f>IFERROR(__xludf.DUMMYFUNCTION("""COMPUTED_VALUE"""),8.0)</f>
        <v>8</v>
      </c>
      <c r="M347" s="25" t="str">
        <f>IFERROR(__xludf.DUMMYFUNCTION("""COMPUTED_VALUE"""),"Shooter")</f>
        <v>Shooter</v>
      </c>
      <c r="N347" s="25" t="str">
        <f>IFERROR(__xludf.DUMMYFUNCTION("""COMPUTED_VALUE"""),"PS3")</f>
        <v>PS3</v>
      </c>
      <c r="O347" s="26" t="str">
        <f>IFERROR(__xludf.DUMMYFUNCTION("""COMPUTED_VALUE"""),"Yes")</f>
        <v>Yes</v>
      </c>
      <c r="P347" s="26" t="str">
        <f>IFERROR(__xludf.DUMMYFUNCTION("""COMPUTED_VALUE"""),"")</f>
        <v/>
      </c>
    </row>
    <row r="348">
      <c r="A348" s="13" t="str">
        <f>IFERROR(__xludf.DUMMYFUNCTION("""COMPUTED_VALUE"""),"Ar nosurge: Ode to an Unborn Star")</f>
        <v>Ar nosurge: Ode to an Unborn Star</v>
      </c>
      <c r="B348" s="15" t="str">
        <f>IFERROR(__xludf.DUMMYFUNCTION("""COMPUTED_VALUE"""),"PS5/PS4")</f>
        <v>PS5/PS4</v>
      </c>
      <c r="C348" s="16" t="str">
        <f>IFERROR(__xludf.DUMMYFUNCTION("""COMPUTED_VALUE"""),"Premium (Streaming Only)")</f>
        <v>Premium (Streaming Only)</v>
      </c>
      <c r="D348" s="15" t="str">
        <f>IFERROR(__xludf.DUMMYFUNCTION("""COMPUTED_VALUE"""),"Active")</f>
        <v>Active</v>
      </c>
      <c r="E348" s="17">
        <f>IFERROR(__xludf.DUMMYFUNCTION("""COMPUTED_VALUE"""),42017.0)</f>
        <v>42017</v>
      </c>
      <c r="F348" s="54"/>
      <c r="G348" s="19">
        <f>IFERROR(__xludf.DUMMYFUNCTION("""COMPUTED_VALUE"""),140.76666666666668)</f>
        <v>140.7666667</v>
      </c>
      <c r="H348" s="17">
        <f>IFERROR(__xludf.DUMMYFUNCTION("""COMPUTED_VALUE"""),41699.0)</f>
        <v>41699</v>
      </c>
      <c r="I348" s="19">
        <f>IFERROR(__xludf.DUMMYFUNCTION("""COMPUTED_VALUE"""),0.8666666666666667)</f>
        <v>0.8666666667</v>
      </c>
      <c r="J348" s="21">
        <f>IFERROR(__xludf.DUMMYFUNCTION("""COMPUTED_VALUE"""),67.0)</f>
        <v>67</v>
      </c>
      <c r="K348" s="23">
        <f>IFERROR(__xludf.DUMMYFUNCTION("""COMPUTED_VALUE"""),7.5)</f>
        <v>7.5</v>
      </c>
      <c r="L348" s="24">
        <f>IFERROR(__xludf.DUMMYFUNCTION("""COMPUTED_VALUE"""),40.0)</f>
        <v>40</v>
      </c>
      <c r="M348" s="25" t="str">
        <f>IFERROR(__xludf.DUMMYFUNCTION("""COMPUTED_VALUE"""),"RPG")</f>
        <v>RPG</v>
      </c>
      <c r="N348" s="25" t="str">
        <f>IFERROR(__xludf.DUMMYFUNCTION("""COMPUTED_VALUE"""),"PS3")</f>
        <v>PS3</v>
      </c>
      <c r="O348" s="26" t="str">
        <f>IFERROR(__xludf.DUMMYFUNCTION("""COMPUTED_VALUE"""),"Yes")</f>
        <v>Yes</v>
      </c>
      <c r="P348" s="26" t="str">
        <f>IFERROR(__xludf.DUMMYFUNCTION("""COMPUTED_VALUE"""),"")</f>
        <v/>
      </c>
    </row>
    <row r="349">
      <c r="A349" s="13" t="str">
        <f>IFERROR(__xludf.DUMMYFUNCTION("""COMPUTED_VALUE"""),"Jimmie Johnson's Anything With An Engine")</f>
        <v>Jimmie Johnson's Anything With An Engine</v>
      </c>
      <c r="B349" s="15" t="str">
        <f>IFERROR(__xludf.DUMMYFUNCTION("""COMPUTED_VALUE"""),"PS5/PS4")</f>
        <v>PS5/PS4</v>
      </c>
      <c r="C349" s="16" t="str">
        <f>IFERROR(__xludf.DUMMYFUNCTION("""COMPUTED_VALUE"""),"Premium (Streaming Only)")</f>
        <v>Premium (Streaming Only)</v>
      </c>
      <c r="D349" s="15" t="str">
        <f>IFERROR(__xludf.DUMMYFUNCTION("""COMPUTED_VALUE"""),"Active")</f>
        <v>Active</v>
      </c>
      <c r="E349" s="17">
        <f>IFERROR(__xludf.DUMMYFUNCTION("""COMPUTED_VALUE"""),42017.0)</f>
        <v>42017</v>
      </c>
      <c r="F349" s="54"/>
      <c r="G349" s="19">
        <f>IFERROR(__xludf.DUMMYFUNCTION("""COMPUTED_VALUE"""),140.76666666666668)</f>
        <v>140.7666667</v>
      </c>
      <c r="H349" s="17">
        <f>IFERROR(__xludf.DUMMYFUNCTION("""COMPUTED_VALUE"""),40848.0)</f>
        <v>40848</v>
      </c>
      <c r="I349" s="19">
        <f>IFERROR(__xludf.DUMMYFUNCTION("""COMPUTED_VALUE"""),3.2)</f>
        <v>3.2</v>
      </c>
      <c r="J349" s="21">
        <f>IFERROR(__xludf.DUMMYFUNCTION("""COMPUTED_VALUE"""),67.0)</f>
        <v>67</v>
      </c>
      <c r="K349" s="23">
        <f>IFERROR(__xludf.DUMMYFUNCTION("""COMPUTED_VALUE"""),5.4)</f>
        <v>5.4</v>
      </c>
      <c r="L349" s="24">
        <f>IFERROR(__xludf.DUMMYFUNCTION("""COMPUTED_VALUE"""),4.0)</f>
        <v>4</v>
      </c>
      <c r="M349" s="25" t="str">
        <f>IFERROR(__xludf.DUMMYFUNCTION("""COMPUTED_VALUE"""),"Racing")</f>
        <v>Racing</v>
      </c>
      <c r="N349" s="25" t="str">
        <f>IFERROR(__xludf.DUMMYFUNCTION("""COMPUTED_VALUE"""),"PS3")</f>
        <v>PS3</v>
      </c>
      <c r="O349" s="26" t="str">
        <f>IFERROR(__xludf.DUMMYFUNCTION("""COMPUTED_VALUE"""),"Yes")</f>
        <v>Yes</v>
      </c>
      <c r="P349" s="26" t="str">
        <f>IFERROR(__xludf.DUMMYFUNCTION("""COMPUTED_VALUE"""),"")</f>
        <v/>
      </c>
    </row>
    <row r="350">
      <c r="A350" s="13" t="str">
        <f>IFERROR(__xludf.DUMMYFUNCTION("""COMPUTED_VALUE"""),"Record of Agarest War")</f>
        <v>Record of Agarest War</v>
      </c>
      <c r="B350" s="15" t="str">
        <f>IFERROR(__xludf.DUMMYFUNCTION("""COMPUTED_VALUE"""),"PS5/PS4")</f>
        <v>PS5/PS4</v>
      </c>
      <c r="C350" s="16" t="str">
        <f>IFERROR(__xludf.DUMMYFUNCTION("""COMPUTED_VALUE"""),"Premium (Streaming Only)")</f>
        <v>Premium (Streaming Only)</v>
      </c>
      <c r="D350" s="15" t="str">
        <f>IFERROR(__xludf.DUMMYFUNCTION("""COMPUTED_VALUE"""),"Active")</f>
        <v>Active</v>
      </c>
      <c r="E350" s="17">
        <f>IFERROR(__xludf.DUMMYFUNCTION("""COMPUTED_VALUE"""),42017.0)</f>
        <v>42017</v>
      </c>
      <c r="F350" s="54"/>
      <c r="G350" s="19">
        <f>IFERROR(__xludf.DUMMYFUNCTION("""COMPUTED_VALUE"""),140.76666666666668)</f>
        <v>140.7666667</v>
      </c>
      <c r="H350" s="17">
        <f>IFERROR(__xludf.DUMMYFUNCTION("""COMPUTED_VALUE"""),40269.0)</f>
        <v>40269</v>
      </c>
      <c r="I350" s="19">
        <f>IFERROR(__xludf.DUMMYFUNCTION("""COMPUTED_VALUE"""),4.783333333333333)</f>
        <v>4.783333333</v>
      </c>
      <c r="J350" s="21">
        <f>IFERROR(__xludf.DUMMYFUNCTION("""COMPUTED_VALUE"""),67.0)</f>
        <v>67</v>
      </c>
      <c r="K350" s="23">
        <f>IFERROR(__xludf.DUMMYFUNCTION("""COMPUTED_VALUE"""),7.0)</f>
        <v>7</v>
      </c>
      <c r="L350" s="24">
        <f>IFERROR(__xludf.DUMMYFUNCTION("""COMPUTED_VALUE"""),55.0)</f>
        <v>55</v>
      </c>
      <c r="M350" s="25" t="str">
        <f>IFERROR(__xludf.DUMMYFUNCTION("""COMPUTED_VALUE"""),"RPG")</f>
        <v>RPG</v>
      </c>
      <c r="N350" s="25" t="str">
        <f>IFERROR(__xludf.DUMMYFUNCTION("""COMPUTED_VALUE"""),"PS3")</f>
        <v>PS3</v>
      </c>
      <c r="O350" s="26" t="str">
        <f>IFERROR(__xludf.DUMMYFUNCTION("""COMPUTED_VALUE"""),"Yes")</f>
        <v>Yes</v>
      </c>
      <c r="P350" s="26" t="str">
        <f>IFERROR(__xludf.DUMMYFUNCTION("""COMPUTED_VALUE"""),"")</f>
        <v/>
      </c>
    </row>
    <row r="351">
      <c r="A351" s="13" t="str">
        <f>IFERROR(__xludf.DUMMYFUNCTION("""COMPUTED_VALUE"""),"Red Johnson's Chronicles")</f>
        <v>Red Johnson's Chronicles</v>
      </c>
      <c r="B351" s="15" t="str">
        <f>IFERROR(__xludf.DUMMYFUNCTION("""COMPUTED_VALUE"""),"PS5/PS4")</f>
        <v>PS5/PS4</v>
      </c>
      <c r="C351" s="16" t="str">
        <f>IFERROR(__xludf.DUMMYFUNCTION("""COMPUTED_VALUE"""),"Premium (Streaming Only)")</f>
        <v>Premium (Streaming Only)</v>
      </c>
      <c r="D351" s="15" t="str">
        <f>IFERROR(__xludf.DUMMYFUNCTION("""COMPUTED_VALUE"""),"Active")</f>
        <v>Active</v>
      </c>
      <c r="E351" s="17">
        <f>IFERROR(__xludf.DUMMYFUNCTION("""COMPUTED_VALUE"""),42017.0)</f>
        <v>42017</v>
      </c>
      <c r="F351" s="54"/>
      <c r="G351" s="19">
        <f>IFERROR(__xludf.DUMMYFUNCTION("""COMPUTED_VALUE"""),140.76666666666668)</f>
        <v>140.7666667</v>
      </c>
      <c r="H351" s="17">
        <f>IFERROR(__xludf.DUMMYFUNCTION("""COMPUTED_VALUE"""),40664.0)</f>
        <v>40664</v>
      </c>
      <c r="I351" s="19">
        <f>IFERROR(__xludf.DUMMYFUNCTION("""COMPUTED_VALUE"""),3.7)</f>
        <v>3.7</v>
      </c>
      <c r="J351" s="21">
        <f>IFERROR(__xludf.DUMMYFUNCTION("""COMPUTED_VALUE"""),67.0)</f>
        <v>67</v>
      </c>
      <c r="K351" s="23">
        <f>IFERROR(__xludf.DUMMYFUNCTION("""COMPUTED_VALUE"""),6.2)</f>
        <v>6.2</v>
      </c>
      <c r="L351" s="24">
        <f>IFERROR(__xludf.DUMMYFUNCTION("""COMPUTED_VALUE"""),4.0)</f>
        <v>4</v>
      </c>
      <c r="M351" s="25" t="str">
        <f>IFERROR(__xludf.DUMMYFUNCTION("""COMPUTED_VALUE"""),"Adventure")</f>
        <v>Adventure</v>
      </c>
      <c r="N351" s="25" t="str">
        <f>IFERROR(__xludf.DUMMYFUNCTION("""COMPUTED_VALUE"""),"PS3")</f>
        <v>PS3</v>
      </c>
      <c r="O351" s="26" t="str">
        <f>IFERROR(__xludf.DUMMYFUNCTION("""COMPUTED_VALUE"""),"Yes")</f>
        <v>Yes</v>
      </c>
      <c r="P351" s="26" t="str">
        <f>IFERROR(__xludf.DUMMYFUNCTION("""COMPUTED_VALUE"""),"")</f>
        <v/>
      </c>
    </row>
    <row r="352">
      <c r="A352" s="13" t="str">
        <f>IFERROR(__xludf.DUMMYFUNCTION("""COMPUTED_VALUE"""),"Alone in the Dark: The New Nightmare")</f>
        <v>Alone in the Dark: The New Nightmare</v>
      </c>
      <c r="B352" s="15" t="str">
        <f>IFERROR(__xludf.DUMMYFUNCTION("""COMPUTED_VALUE"""),"PS5/PS4")</f>
        <v>PS5/PS4</v>
      </c>
      <c r="C352" s="16" t="str">
        <f>IFERROR(__xludf.DUMMYFUNCTION("""COMPUTED_VALUE"""),"Premium (Classics)")</f>
        <v>Premium (Classics)</v>
      </c>
      <c r="D352" s="15" t="str">
        <f>IFERROR(__xludf.DUMMYFUNCTION("""COMPUTED_VALUE"""),"Active")</f>
        <v>Active</v>
      </c>
      <c r="E352" s="17">
        <f>IFERROR(__xludf.DUMMYFUNCTION("""COMPUTED_VALUE"""),45398.0)</f>
        <v>45398</v>
      </c>
      <c r="F352" s="54"/>
      <c r="G352" s="19">
        <f>IFERROR(__xludf.DUMMYFUNCTION("""COMPUTED_VALUE"""),29.666666666666668)</f>
        <v>29.66666667</v>
      </c>
      <c r="H352" s="17">
        <f>IFERROR(__xludf.DUMMYFUNCTION("""COMPUTED_VALUE"""),37067.0)</f>
        <v>37067</v>
      </c>
      <c r="I352" s="19">
        <f>IFERROR(__xludf.DUMMYFUNCTION("""COMPUTED_VALUE"""),22.808333333333334)</f>
        <v>22.80833333</v>
      </c>
      <c r="J352" s="21">
        <f>IFERROR(__xludf.DUMMYFUNCTION("""COMPUTED_VALUE"""),66.0)</f>
        <v>66</v>
      </c>
      <c r="K352" s="23">
        <f>IFERROR(__xludf.DUMMYFUNCTION("""COMPUTED_VALUE"""),7.9)</f>
        <v>7.9</v>
      </c>
      <c r="L352" s="24">
        <f>IFERROR(__xludf.DUMMYFUNCTION("""COMPUTED_VALUE"""),8.0)</f>
        <v>8</v>
      </c>
      <c r="M352" s="25" t="str">
        <f>IFERROR(__xludf.DUMMYFUNCTION("""COMPUTED_VALUE"""),"Survival")</f>
        <v>Survival</v>
      </c>
      <c r="N352" s="25" t="str">
        <f>IFERROR(__xludf.DUMMYFUNCTION("""COMPUTED_VALUE"""),"PS1")</f>
        <v>PS1</v>
      </c>
      <c r="O352" s="26" t="str">
        <f>IFERROR(__xludf.DUMMYFUNCTION("""COMPUTED_VALUE"""),"Yes")</f>
        <v>Yes</v>
      </c>
      <c r="P352" s="26"/>
    </row>
    <row r="353">
      <c r="A353" s="13" t="str">
        <f>IFERROR(__xludf.DUMMYFUNCTION("""COMPUTED_VALUE"""),"Ape Escape: On the Loose")</f>
        <v>Ape Escape: On the Loose</v>
      </c>
      <c r="B353" s="15" t="str">
        <f>IFERROR(__xludf.DUMMYFUNCTION("""COMPUTED_VALUE"""),"PS5/PS4")</f>
        <v>PS5/PS4</v>
      </c>
      <c r="C353" s="16" t="str">
        <f>IFERROR(__xludf.DUMMYFUNCTION("""COMPUTED_VALUE"""),"Premium (Classics)")</f>
        <v>Premium (Classics)</v>
      </c>
      <c r="D353" s="15" t="str">
        <f>IFERROR(__xludf.DUMMYFUNCTION("""COMPUTED_VALUE"""),"Active")</f>
        <v>Active</v>
      </c>
      <c r="E353" s="17">
        <f>IFERROR(__xludf.DUMMYFUNCTION("""COMPUTED_VALUE"""),45153.0)</f>
        <v>45153</v>
      </c>
      <c r="F353" s="54"/>
      <c r="G353" s="19">
        <f>IFERROR(__xludf.DUMMYFUNCTION("""COMPUTED_VALUE"""),37.7)</f>
        <v>37.7</v>
      </c>
      <c r="H353" s="17">
        <f>IFERROR(__xludf.DUMMYFUNCTION("""COMPUTED_VALUE"""),38433.0)</f>
        <v>38433</v>
      </c>
      <c r="I353" s="19">
        <f>IFERROR(__xludf.DUMMYFUNCTION("""COMPUTED_VALUE"""),18.397222222222222)</f>
        <v>18.39722222</v>
      </c>
      <c r="J353" s="21">
        <f>IFERROR(__xludf.DUMMYFUNCTION("""COMPUTED_VALUE"""),66.0)</f>
        <v>66</v>
      </c>
      <c r="K353" s="23">
        <f>IFERROR(__xludf.DUMMYFUNCTION("""COMPUTED_VALUE"""),7.0)</f>
        <v>7</v>
      </c>
      <c r="L353" s="24">
        <f>IFERROR(__xludf.DUMMYFUNCTION("""COMPUTED_VALUE"""),7.0)</f>
        <v>7</v>
      </c>
      <c r="M353" s="25" t="str">
        <f>IFERROR(__xludf.DUMMYFUNCTION("""COMPUTED_VALUE"""),"Platformer")</f>
        <v>Platformer</v>
      </c>
      <c r="N353" s="25" t="str">
        <f>IFERROR(__xludf.DUMMYFUNCTION("""COMPUTED_VALUE"""),"PSP")</f>
        <v>PSP</v>
      </c>
      <c r="O353" s="26" t="str">
        <f>IFERROR(__xludf.DUMMYFUNCTION("""COMPUTED_VALUE"""),"Yes")</f>
        <v>Yes</v>
      </c>
      <c r="P353" s="26"/>
    </row>
    <row r="354">
      <c r="A354" s="13" t="str">
        <f>IFERROR(__xludf.DUMMYFUNCTION("""COMPUTED_VALUE"""),"MediEvil: Resurrection")</f>
        <v>MediEvil: Resurrection</v>
      </c>
      <c r="B354" s="15" t="str">
        <f>IFERROR(__xludf.DUMMYFUNCTION("""COMPUTED_VALUE"""),"PS5/PS4")</f>
        <v>PS5/PS4</v>
      </c>
      <c r="C354" s="16" t="str">
        <f>IFERROR(__xludf.DUMMYFUNCTION("""COMPUTED_VALUE"""),"Premium (Classics)")</f>
        <v>Premium (Classics)</v>
      </c>
      <c r="D354" s="15" t="str">
        <f>IFERROR(__xludf.DUMMYFUNCTION("""COMPUTED_VALUE"""),"Active")</f>
        <v>Active</v>
      </c>
      <c r="E354" s="17">
        <f>IFERROR(__xludf.DUMMYFUNCTION("""COMPUTED_VALUE"""),45153.0)</f>
        <v>45153</v>
      </c>
      <c r="F354" s="18"/>
      <c r="G354" s="19">
        <f>IFERROR(__xludf.DUMMYFUNCTION("""COMPUTED_VALUE"""),37.7)</f>
        <v>37.7</v>
      </c>
      <c r="H354" s="17">
        <f>IFERROR(__xludf.DUMMYFUNCTION("""COMPUTED_VALUE"""),38608.0)</f>
        <v>38608</v>
      </c>
      <c r="I354" s="19">
        <f>IFERROR(__xludf.DUMMYFUNCTION("""COMPUTED_VALUE"""),17.92222222222222)</f>
        <v>17.92222222</v>
      </c>
      <c r="J354" s="21">
        <f>IFERROR(__xludf.DUMMYFUNCTION("""COMPUTED_VALUE"""),66.0)</f>
        <v>66</v>
      </c>
      <c r="K354" s="23">
        <f>IFERROR(__xludf.DUMMYFUNCTION("""COMPUTED_VALUE"""),8.5)</f>
        <v>8.5</v>
      </c>
      <c r="L354" s="24">
        <f>IFERROR(__xludf.DUMMYFUNCTION("""COMPUTED_VALUE"""),10.0)</f>
        <v>10</v>
      </c>
      <c r="M354" s="25" t="str">
        <f>IFERROR(__xludf.DUMMYFUNCTION("""COMPUTED_VALUE"""),"Action-Adventure")</f>
        <v>Action-Adventure</v>
      </c>
      <c r="N354" s="25" t="str">
        <f>IFERROR(__xludf.DUMMYFUNCTION("""COMPUTED_VALUE"""),"PSP")</f>
        <v>PSP</v>
      </c>
      <c r="O354" s="26" t="str">
        <f>IFERROR(__xludf.DUMMYFUNCTION("""COMPUTED_VALUE"""),"Yes")</f>
        <v>Yes</v>
      </c>
      <c r="P354" s="26"/>
    </row>
    <row r="355">
      <c r="A355" s="13" t="str">
        <f>IFERROR(__xludf.DUMMYFUNCTION("""COMPUTED_VALUE"""),"Ghostbusters: The Video Game - Remastered")</f>
        <v>Ghostbusters: The Video Game - Remastered</v>
      </c>
      <c r="B355" s="15" t="str">
        <f>IFERROR(__xludf.DUMMYFUNCTION("""COMPUTED_VALUE"""),"PS4")</f>
        <v>PS4</v>
      </c>
      <c r="C355" s="16" t="str">
        <f>IFERROR(__xludf.DUMMYFUNCTION("""COMPUTED_VALUE"""),"Premium (Remasters)")</f>
        <v>Premium (Remasters)</v>
      </c>
      <c r="D355" s="15" t="str">
        <f>IFERROR(__xludf.DUMMYFUNCTION("""COMPUTED_VALUE"""),"Active")</f>
        <v>Active</v>
      </c>
      <c r="E355" s="17">
        <f>IFERROR(__xludf.DUMMYFUNCTION("""COMPUTED_VALUE"""),45062.0)</f>
        <v>45062</v>
      </c>
      <c r="F355" s="54"/>
      <c r="G355" s="19">
        <f>IFERROR(__xludf.DUMMYFUNCTION("""COMPUTED_VALUE"""),40.666666666666664)</f>
        <v>40.66666667</v>
      </c>
      <c r="H355" s="17">
        <f>IFERROR(__xludf.DUMMYFUNCTION("""COMPUTED_VALUE"""),43742.0)</f>
        <v>43742</v>
      </c>
      <c r="I355" s="19">
        <f>IFERROR(__xludf.DUMMYFUNCTION("""COMPUTED_VALUE"""),3.6166666666666667)</f>
        <v>3.616666667</v>
      </c>
      <c r="J355" s="21">
        <f>IFERROR(__xludf.DUMMYFUNCTION("""COMPUTED_VALUE"""),66.0)</f>
        <v>66</v>
      </c>
      <c r="K355" s="23">
        <f>IFERROR(__xludf.DUMMYFUNCTION("""COMPUTED_VALUE"""),7.1)</f>
        <v>7.1</v>
      </c>
      <c r="L355" s="24">
        <f>IFERROR(__xludf.DUMMYFUNCTION("""COMPUTED_VALUE"""),8.0)</f>
        <v>8</v>
      </c>
      <c r="M355" s="25" t="str">
        <f>IFERROR(__xludf.DUMMYFUNCTION("""COMPUTED_VALUE"""),"Action-Adventure")</f>
        <v>Action-Adventure</v>
      </c>
      <c r="N355" s="25" t="str">
        <f>IFERROR(__xludf.DUMMYFUNCTION("""COMPUTED_VALUE"""),"PS2")</f>
        <v>PS2</v>
      </c>
      <c r="O355" s="26" t="str">
        <f>IFERROR(__xludf.DUMMYFUNCTION("""COMPUTED_VALUE"""),"Yes")</f>
        <v>Yes</v>
      </c>
      <c r="P355" s="26"/>
    </row>
    <row r="356">
      <c r="A356" s="13" t="str">
        <f>IFERROR(__xludf.DUMMYFUNCTION("""COMPUTED_VALUE"""),"Black Knight Sword")</f>
        <v>Black Knight Sword</v>
      </c>
      <c r="B356" s="15" t="str">
        <f>IFERROR(__xludf.DUMMYFUNCTION("""COMPUTED_VALUE"""),"PS5/PS4")</f>
        <v>PS5/PS4</v>
      </c>
      <c r="C356" s="16" t="str">
        <f>IFERROR(__xludf.DUMMYFUNCTION("""COMPUTED_VALUE"""),"Premium (Streaming Only)")</f>
        <v>Premium (Streaming Only)</v>
      </c>
      <c r="D356" s="15" t="str">
        <f>IFERROR(__xludf.DUMMYFUNCTION("""COMPUTED_VALUE"""),"Active")</f>
        <v>Active</v>
      </c>
      <c r="E356" s="17">
        <f>IFERROR(__xludf.DUMMYFUNCTION("""COMPUTED_VALUE"""),43529.0)</f>
        <v>43529</v>
      </c>
      <c r="F356" s="18"/>
      <c r="G356" s="19">
        <f>IFERROR(__xludf.DUMMYFUNCTION("""COMPUTED_VALUE"""),91.03333333333333)</f>
        <v>91.03333333</v>
      </c>
      <c r="H356" s="17">
        <f>IFERROR(__xludf.DUMMYFUNCTION("""COMPUTED_VALUE"""),41244.0)</f>
        <v>41244</v>
      </c>
      <c r="I356" s="19">
        <f>IFERROR(__xludf.DUMMYFUNCTION("""COMPUTED_VALUE"""),6.261111111111111)</f>
        <v>6.261111111</v>
      </c>
      <c r="J356" s="21">
        <f>IFERROR(__xludf.DUMMYFUNCTION("""COMPUTED_VALUE"""),66.0)</f>
        <v>66</v>
      </c>
      <c r="K356" s="23">
        <f>IFERROR(__xludf.DUMMYFUNCTION("""COMPUTED_VALUE"""),6.8)</f>
        <v>6.8</v>
      </c>
      <c r="L356" s="24">
        <f>IFERROR(__xludf.DUMMYFUNCTION("""COMPUTED_VALUE"""),3.0)</f>
        <v>3</v>
      </c>
      <c r="M356" s="25" t="str">
        <f>IFERROR(__xludf.DUMMYFUNCTION("""COMPUTED_VALUE"""),"Platformer")</f>
        <v>Platformer</v>
      </c>
      <c r="N356" s="25" t="str">
        <f>IFERROR(__xludf.DUMMYFUNCTION("""COMPUTED_VALUE"""),"PS3")</f>
        <v>PS3</v>
      </c>
      <c r="O356" s="26" t="str">
        <f>IFERROR(__xludf.DUMMYFUNCTION("""COMPUTED_VALUE"""),"Yes")</f>
        <v>Yes</v>
      </c>
      <c r="P356" s="26" t="str">
        <f>IFERROR(__xludf.DUMMYFUNCTION("""COMPUTED_VALUE"""),"")</f>
        <v/>
      </c>
    </row>
    <row r="357">
      <c r="A357" s="13" t="str">
        <f>IFERROR(__xludf.DUMMYFUNCTION("""COMPUTED_VALUE"""),"Magic Orbz")</f>
        <v>Magic Orbz</v>
      </c>
      <c r="B357" s="15" t="str">
        <f>IFERROR(__xludf.DUMMYFUNCTION("""COMPUTED_VALUE"""),"PS5/PS4")</f>
        <v>PS5/PS4</v>
      </c>
      <c r="C357" s="16" t="str">
        <f>IFERROR(__xludf.DUMMYFUNCTION("""COMPUTED_VALUE"""),"Premium (Streaming Only)")</f>
        <v>Premium (Streaming Only)</v>
      </c>
      <c r="D357" s="15" t="str">
        <f>IFERROR(__xludf.DUMMYFUNCTION("""COMPUTED_VALUE"""),"Active")</f>
        <v>Active</v>
      </c>
      <c r="E357" s="17">
        <f>IFERROR(__xludf.DUMMYFUNCTION("""COMPUTED_VALUE"""),42493.0)</f>
        <v>42493</v>
      </c>
      <c r="F357" s="54"/>
      <c r="G357" s="19">
        <f>IFERROR(__xludf.DUMMYFUNCTION("""COMPUTED_VALUE"""),125.10000000000001)</f>
        <v>125.1</v>
      </c>
      <c r="H357" s="17">
        <f>IFERROR(__xludf.DUMMYFUNCTION("""COMPUTED_VALUE"""),39814.0)</f>
        <v>39814</v>
      </c>
      <c r="I357" s="19">
        <f>IFERROR(__xludf.DUMMYFUNCTION("""COMPUTED_VALUE"""),7.338888888888889)</f>
        <v>7.338888889</v>
      </c>
      <c r="J357" s="21">
        <f>IFERROR(__xludf.DUMMYFUNCTION("""COMPUTED_VALUE"""),66.0)</f>
        <v>66</v>
      </c>
      <c r="K357" s="23">
        <f>IFERROR(__xludf.DUMMYFUNCTION("""COMPUTED_VALUE"""),6.9)</f>
        <v>6.9</v>
      </c>
      <c r="L357" s="24">
        <f>IFERROR(__xludf.DUMMYFUNCTION("""COMPUTED_VALUE"""),3.0)</f>
        <v>3</v>
      </c>
      <c r="M357" s="25" t="str">
        <f>IFERROR(__xludf.DUMMYFUNCTION("""COMPUTED_VALUE"""),"Arcade")</f>
        <v>Arcade</v>
      </c>
      <c r="N357" s="25" t="str">
        <f>IFERROR(__xludf.DUMMYFUNCTION("""COMPUTED_VALUE"""),"PS3")</f>
        <v>PS3</v>
      </c>
      <c r="O357" s="26" t="str">
        <f>IFERROR(__xludf.DUMMYFUNCTION("""COMPUTED_VALUE"""),"Yes")</f>
        <v>Yes</v>
      </c>
      <c r="P357" s="26" t="str">
        <f>IFERROR(__xludf.DUMMYFUNCTION("""COMPUTED_VALUE"""),"")</f>
        <v/>
      </c>
    </row>
    <row r="358">
      <c r="A358" s="13" t="str">
        <f>IFERROR(__xludf.DUMMYFUNCTION("""COMPUTED_VALUE"""),"PixelJunk Racers 2nd Lap")</f>
        <v>PixelJunk Racers 2nd Lap</v>
      </c>
      <c r="B358" s="15" t="str">
        <f>IFERROR(__xludf.DUMMYFUNCTION("""COMPUTED_VALUE"""),"PS5/PS4")</f>
        <v>PS5/PS4</v>
      </c>
      <c r="C358" s="16" t="str">
        <f>IFERROR(__xludf.DUMMYFUNCTION("""COMPUTED_VALUE"""),"Premium (Streaming Only)")</f>
        <v>Premium (Streaming Only)</v>
      </c>
      <c r="D358" s="15" t="str">
        <f>IFERROR(__xludf.DUMMYFUNCTION("""COMPUTED_VALUE"""),"Active")</f>
        <v>Active</v>
      </c>
      <c r="E358" s="17">
        <f>IFERROR(__xludf.DUMMYFUNCTION("""COMPUTED_VALUE"""),42374.0)</f>
        <v>42374</v>
      </c>
      <c r="F358" s="54"/>
      <c r="G358" s="19">
        <f>IFERROR(__xludf.DUMMYFUNCTION("""COMPUTED_VALUE"""),129.03333333333333)</f>
        <v>129.0333333</v>
      </c>
      <c r="H358" s="17">
        <f>IFERROR(__xludf.DUMMYFUNCTION("""COMPUTED_VALUE"""),40391.0)</f>
        <v>40391</v>
      </c>
      <c r="I358" s="19">
        <f>IFERROR(__xludf.DUMMYFUNCTION("""COMPUTED_VALUE"""),5.427777777777778)</f>
        <v>5.427777778</v>
      </c>
      <c r="J358" s="21">
        <f>IFERROR(__xludf.DUMMYFUNCTION("""COMPUTED_VALUE"""),66.0)</f>
        <v>66</v>
      </c>
      <c r="K358" s="23">
        <f>IFERROR(__xludf.DUMMYFUNCTION("""COMPUTED_VALUE"""),6.8)</f>
        <v>6.8</v>
      </c>
      <c r="L358" s="24">
        <f>IFERROR(__xludf.DUMMYFUNCTION("""COMPUTED_VALUE"""),2.0)</f>
        <v>2</v>
      </c>
      <c r="M358" s="25" t="str">
        <f>IFERROR(__xludf.DUMMYFUNCTION("""COMPUTED_VALUE"""),"Racing")</f>
        <v>Racing</v>
      </c>
      <c r="N358" s="25" t="str">
        <f>IFERROR(__xludf.DUMMYFUNCTION("""COMPUTED_VALUE"""),"PS3")</f>
        <v>PS3</v>
      </c>
      <c r="O358" s="26" t="str">
        <f>IFERROR(__xludf.DUMMYFUNCTION("""COMPUTED_VALUE"""),"Yes")</f>
        <v>Yes</v>
      </c>
      <c r="P358" s="26" t="str">
        <f>IFERROR(__xludf.DUMMYFUNCTION("""COMPUTED_VALUE"""),"")</f>
        <v/>
      </c>
    </row>
    <row r="359">
      <c r="A359" s="13" t="str">
        <f>IFERROR(__xludf.DUMMYFUNCTION("""COMPUTED_VALUE"""),"Double Dragon Neon")</f>
        <v>Double Dragon Neon</v>
      </c>
      <c r="B359" s="15" t="str">
        <f>IFERROR(__xludf.DUMMYFUNCTION("""COMPUTED_VALUE"""),"PS5/PS4")</f>
        <v>PS5/PS4</v>
      </c>
      <c r="C359" s="16" t="str">
        <f>IFERROR(__xludf.DUMMYFUNCTION("""COMPUTED_VALUE"""),"Premium (Streaming Only)")</f>
        <v>Premium (Streaming Only)</v>
      </c>
      <c r="D359" s="15" t="str">
        <f>IFERROR(__xludf.DUMMYFUNCTION("""COMPUTED_VALUE"""),"Active")</f>
        <v>Active</v>
      </c>
      <c r="E359" s="17">
        <f>IFERROR(__xludf.DUMMYFUNCTION("""COMPUTED_VALUE"""),42311.0)</f>
        <v>42311</v>
      </c>
      <c r="F359" s="54"/>
      <c r="G359" s="19">
        <f>IFERROR(__xludf.DUMMYFUNCTION("""COMPUTED_VALUE"""),131.10000000000002)</f>
        <v>131.1</v>
      </c>
      <c r="H359" s="17">
        <f>IFERROR(__xludf.DUMMYFUNCTION("""COMPUTED_VALUE"""),41163.0)</f>
        <v>41163</v>
      </c>
      <c r="I359" s="19">
        <f>IFERROR(__xludf.DUMMYFUNCTION("""COMPUTED_VALUE"""),3.1444444444444444)</f>
        <v>3.144444444</v>
      </c>
      <c r="J359" s="21">
        <f>IFERROR(__xludf.DUMMYFUNCTION("""COMPUTED_VALUE"""),66.0)</f>
        <v>66</v>
      </c>
      <c r="K359" s="23">
        <f>IFERROR(__xludf.DUMMYFUNCTION("""COMPUTED_VALUE"""),7.4)</f>
        <v>7.4</v>
      </c>
      <c r="L359" s="24">
        <f>IFERROR(__xludf.DUMMYFUNCTION("""COMPUTED_VALUE"""),3.5)</f>
        <v>3.5</v>
      </c>
      <c r="M359" s="25" t="str">
        <f>IFERROR(__xludf.DUMMYFUNCTION("""COMPUTED_VALUE"""),"Action-Adventure")</f>
        <v>Action-Adventure</v>
      </c>
      <c r="N359" s="25" t="str">
        <f>IFERROR(__xludf.DUMMYFUNCTION("""COMPUTED_VALUE"""),"PS3")</f>
        <v>PS3</v>
      </c>
      <c r="O359" s="26" t="str">
        <f>IFERROR(__xludf.DUMMYFUNCTION("""COMPUTED_VALUE"""),"Yes")</f>
        <v>Yes</v>
      </c>
      <c r="P359" s="26"/>
    </row>
    <row r="360">
      <c r="A360" s="13" t="str">
        <f>IFERROR(__xludf.DUMMYFUNCTION("""COMPUTED_VALUE"""),"Rotastic")</f>
        <v>Rotastic</v>
      </c>
      <c r="B360" s="15" t="str">
        <f>IFERROR(__xludf.DUMMYFUNCTION("""COMPUTED_VALUE"""),"PS5/PS4")</f>
        <v>PS5/PS4</v>
      </c>
      <c r="C360" s="16" t="str">
        <f>IFERROR(__xludf.DUMMYFUNCTION("""COMPUTED_VALUE"""),"Premium (Streaming Only)")</f>
        <v>Premium (Streaming Only)</v>
      </c>
      <c r="D360" s="15" t="str">
        <f>IFERROR(__xludf.DUMMYFUNCTION("""COMPUTED_VALUE"""),"Active")</f>
        <v>Active</v>
      </c>
      <c r="E360" s="17">
        <f>IFERROR(__xludf.DUMMYFUNCTION("""COMPUTED_VALUE"""),42311.0)</f>
        <v>42311</v>
      </c>
      <c r="F360" s="18"/>
      <c r="G360" s="19">
        <f>IFERROR(__xludf.DUMMYFUNCTION("""COMPUTED_VALUE"""),131.10000000000002)</f>
        <v>131.1</v>
      </c>
      <c r="H360" s="17">
        <f>IFERROR(__xludf.DUMMYFUNCTION("""COMPUTED_VALUE"""),40787.0)</f>
        <v>40787</v>
      </c>
      <c r="I360" s="19">
        <f>IFERROR(__xludf.DUMMYFUNCTION("""COMPUTED_VALUE"""),4.1722222222222225)</f>
        <v>4.172222222</v>
      </c>
      <c r="J360" s="21">
        <f>IFERROR(__xludf.DUMMYFUNCTION("""COMPUTED_VALUE"""),66.0)</f>
        <v>66</v>
      </c>
      <c r="K360" s="23">
        <f>IFERROR(__xludf.DUMMYFUNCTION("""COMPUTED_VALUE"""),7.0)</f>
        <v>7</v>
      </c>
      <c r="L360" s="24">
        <f>IFERROR(__xludf.DUMMYFUNCTION("""COMPUTED_VALUE"""),4.0)</f>
        <v>4</v>
      </c>
      <c r="M360" s="25" t="str">
        <f>IFERROR(__xludf.DUMMYFUNCTION("""COMPUTED_VALUE"""),"Action-Adventure")</f>
        <v>Action-Adventure</v>
      </c>
      <c r="N360" s="25" t="str">
        <f>IFERROR(__xludf.DUMMYFUNCTION("""COMPUTED_VALUE"""),"PS3")</f>
        <v>PS3</v>
      </c>
      <c r="O360" s="26" t="str">
        <f>IFERROR(__xludf.DUMMYFUNCTION("""COMPUTED_VALUE"""),"Yes")</f>
        <v>Yes</v>
      </c>
      <c r="P360" s="26" t="str">
        <f>IFERROR(__xludf.DUMMYFUNCTION("""COMPUTED_VALUE"""),"")</f>
        <v/>
      </c>
    </row>
    <row r="361">
      <c r="A361" s="13" t="str">
        <f>IFERROR(__xludf.DUMMYFUNCTION("""COMPUTED_VALUE"""),"Atelier Meruru: The Alchemist of Arland")</f>
        <v>Atelier Meruru: The Alchemist of Arland</v>
      </c>
      <c r="B361" s="15" t="str">
        <f>IFERROR(__xludf.DUMMYFUNCTION("""COMPUTED_VALUE"""),"PS5/PS4")</f>
        <v>PS5/PS4</v>
      </c>
      <c r="C361" s="16" t="str">
        <f>IFERROR(__xludf.DUMMYFUNCTION("""COMPUTED_VALUE"""),"Premium (Streaming Only)")</f>
        <v>Premium (Streaming Only)</v>
      </c>
      <c r="D361" s="15" t="str">
        <f>IFERROR(__xludf.DUMMYFUNCTION("""COMPUTED_VALUE"""),"Active")</f>
        <v>Active</v>
      </c>
      <c r="E361" s="17">
        <f>IFERROR(__xludf.DUMMYFUNCTION("""COMPUTED_VALUE"""),42017.0)</f>
        <v>42017</v>
      </c>
      <c r="F361" s="54"/>
      <c r="G361" s="19">
        <f>IFERROR(__xludf.DUMMYFUNCTION("""COMPUTED_VALUE"""),140.76666666666668)</f>
        <v>140.7666667</v>
      </c>
      <c r="H361" s="17">
        <f>IFERROR(__xludf.DUMMYFUNCTION("""COMPUTED_VALUE"""),40695.0)</f>
        <v>40695</v>
      </c>
      <c r="I361" s="19">
        <f>IFERROR(__xludf.DUMMYFUNCTION("""COMPUTED_VALUE"""),3.6166666666666667)</f>
        <v>3.616666667</v>
      </c>
      <c r="J361" s="21">
        <f>IFERROR(__xludf.DUMMYFUNCTION("""COMPUTED_VALUE"""),66.0)</f>
        <v>66</v>
      </c>
      <c r="K361" s="23">
        <f>IFERROR(__xludf.DUMMYFUNCTION("""COMPUTED_VALUE"""),8.0)</f>
        <v>8</v>
      </c>
      <c r="L361" s="24">
        <f>IFERROR(__xludf.DUMMYFUNCTION("""COMPUTED_VALUE"""),45.0)</f>
        <v>45</v>
      </c>
      <c r="M361" s="25" t="str">
        <f>IFERROR(__xludf.DUMMYFUNCTION("""COMPUTED_VALUE"""),"RPG")</f>
        <v>RPG</v>
      </c>
      <c r="N361" s="25" t="str">
        <f>IFERROR(__xludf.DUMMYFUNCTION("""COMPUTED_VALUE"""),"PS3")</f>
        <v>PS3</v>
      </c>
      <c r="O361" s="26" t="str">
        <f>IFERROR(__xludf.DUMMYFUNCTION("""COMPUTED_VALUE"""),"Yes")</f>
        <v>Yes</v>
      </c>
      <c r="P361" s="26" t="str">
        <f>IFERROR(__xludf.DUMMYFUNCTION("""COMPUTED_VALUE"""),"")</f>
        <v/>
      </c>
    </row>
    <row r="362">
      <c r="A362" s="13" t="str">
        <f>IFERROR(__xludf.DUMMYFUNCTION("""COMPUTED_VALUE"""),"Planet Minigolf")</f>
        <v>Planet Minigolf</v>
      </c>
      <c r="B362" s="15" t="str">
        <f>IFERROR(__xludf.DUMMYFUNCTION("""COMPUTED_VALUE"""),"PS5/PS4")</f>
        <v>PS5/PS4</v>
      </c>
      <c r="C362" s="16" t="str">
        <f>IFERROR(__xludf.DUMMYFUNCTION("""COMPUTED_VALUE"""),"Premium (Streaming Only)")</f>
        <v>Premium (Streaming Only)</v>
      </c>
      <c r="D362" s="15" t="str">
        <f>IFERROR(__xludf.DUMMYFUNCTION("""COMPUTED_VALUE"""),"Active")</f>
        <v>Active</v>
      </c>
      <c r="E362" s="17">
        <f>IFERROR(__xludf.DUMMYFUNCTION("""COMPUTED_VALUE"""),42017.0)</f>
        <v>42017</v>
      </c>
      <c r="F362" s="54"/>
      <c r="G362" s="19">
        <f>IFERROR(__xludf.DUMMYFUNCTION("""COMPUTED_VALUE"""),140.76666666666668)</f>
        <v>140.7666667</v>
      </c>
      <c r="H362" s="17">
        <f>IFERROR(__xludf.DUMMYFUNCTION("""COMPUTED_VALUE"""),40330.0)</f>
        <v>40330</v>
      </c>
      <c r="I362" s="19">
        <f>IFERROR(__xludf.DUMMYFUNCTION("""COMPUTED_VALUE"""),4.616666666666666)</f>
        <v>4.616666667</v>
      </c>
      <c r="J362" s="21">
        <f>IFERROR(__xludf.DUMMYFUNCTION("""COMPUTED_VALUE"""),66.0)</f>
        <v>66</v>
      </c>
      <c r="K362" s="23">
        <f>IFERROR(__xludf.DUMMYFUNCTION("""COMPUTED_VALUE"""),6.8)</f>
        <v>6.8</v>
      </c>
      <c r="L362" s="24"/>
      <c r="M362" s="25" t="str">
        <f>IFERROR(__xludf.DUMMYFUNCTION("""COMPUTED_VALUE"""),"Sports")</f>
        <v>Sports</v>
      </c>
      <c r="N362" s="25" t="str">
        <f>IFERROR(__xludf.DUMMYFUNCTION("""COMPUTED_VALUE"""),"PS3")</f>
        <v>PS3</v>
      </c>
      <c r="O362" s="26" t="str">
        <f>IFERROR(__xludf.DUMMYFUNCTION("""COMPUTED_VALUE"""),"Yes")</f>
        <v>Yes</v>
      </c>
      <c r="P362" s="26" t="str">
        <f>IFERROR(__xludf.DUMMYFUNCTION("""COMPUTED_VALUE"""),"")</f>
        <v/>
      </c>
    </row>
    <row r="363">
      <c r="A363" s="13" t="str">
        <f>IFERROR(__xludf.DUMMYFUNCTION("""COMPUTED_VALUE"""),"Puzzle Agent")</f>
        <v>Puzzle Agent</v>
      </c>
      <c r="B363" s="15" t="str">
        <f>IFERROR(__xludf.DUMMYFUNCTION("""COMPUTED_VALUE"""),"PS5/PS4")</f>
        <v>PS5/PS4</v>
      </c>
      <c r="C363" s="16" t="str">
        <f>IFERROR(__xludf.DUMMYFUNCTION("""COMPUTED_VALUE"""),"Premium (Streaming Only)")</f>
        <v>Premium (Streaming Only)</v>
      </c>
      <c r="D363" s="15" t="str">
        <f>IFERROR(__xludf.DUMMYFUNCTION("""COMPUTED_VALUE"""),"Active")</f>
        <v>Active</v>
      </c>
      <c r="E363" s="17">
        <f>IFERROR(__xludf.DUMMYFUNCTION("""COMPUTED_VALUE"""),42017.0)</f>
        <v>42017</v>
      </c>
      <c r="F363" s="54"/>
      <c r="G363" s="19">
        <f>IFERROR(__xludf.DUMMYFUNCTION("""COMPUTED_VALUE"""),140.76666666666668)</f>
        <v>140.7666667</v>
      </c>
      <c r="H363" s="17">
        <f>IFERROR(__xludf.DUMMYFUNCTION("""COMPUTED_VALUE"""),40330.0)</f>
        <v>40330</v>
      </c>
      <c r="I363" s="19">
        <f>IFERROR(__xludf.DUMMYFUNCTION("""COMPUTED_VALUE"""),4.616666666666666)</f>
        <v>4.616666667</v>
      </c>
      <c r="J363" s="21">
        <f>IFERROR(__xludf.DUMMYFUNCTION("""COMPUTED_VALUE"""),66.0)</f>
        <v>66</v>
      </c>
      <c r="K363" s="23">
        <f>IFERROR(__xludf.DUMMYFUNCTION("""COMPUTED_VALUE"""),7.5)</f>
        <v>7.5</v>
      </c>
      <c r="L363" s="24">
        <f>IFERROR(__xludf.DUMMYFUNCTION("""COMPUTED_VALUE"""),3.0)</f>
        <v>3</v>
      </c>
      <c r="M363" s="25" t="str">
        <f>IFERROR(__xludf.DUMMYFUNCTION("""COMPUTED_VALUE"""),"Puzzle")</f>
        <v>Puzzle</v>
      </c>
      <c r="N363" s="25" t="str">
        <f>IFERROR(__xludf.DUMMYFUNCTION("""COMPUTED_VALUE"""),"PS3")</f>
        <v>PS3</v>
      </c>
      <c r="O363" s="26" t="str">
        <f>IFERROR(__xludf.DUMMYFUNCTION("""COMPUTED_VALUE"""),"Yes")</f>
        <v>Yes</v>
      </c>
      <c r="P363" s="26" t="str">
        <f>IFERROR(__xludf.DUMMYFUNCTION("""COMPUTED_VALUE"""),"")</f>
        <v/>
      </c>
    </row>
    <row r="364">
      <c r="A364" s="13" t="str">
        <f>IFERROR(__xludf.DUMMYFUNCTION("""COMPUTED_VALUE"""),"Mister Mosquito")</f>
        <v>Mister Mosquito</v>
      </c>
      <c r="B364" s="15" t="str">
        <f>IFERROR(__xludf.DUMMYFUNCTION("""COMPUTED_VALUE"""),"PS5/PS4")</f>
        <v>PS5/PS4</v>
      </c>
      <c r="C364" s="16" t="str">
        <f>IFERROR(__xludf.DUMMYFUNCTION("""COMPUTED_VALUE"""),"Premium (Classics)")</f>
        <v>Premium (Classics)</v>
      </c>
      <c r="D364" s="15" t="str">
        <f>IFERROR(__xludf.DUMMYFUNCTION("""COMPUTED_VALUE"""),"Active")</f>
        <v>Active</v>
      </c>
      <c r="E364" s="17">
        <f>IFERROR(__xludf.DUMMYFUNCTION("""COMPUTED_VALUE"""),45552.0)</f>
        <v>45552</v>
      </c>
      <c r="F364" s="54"/>
      <c r="G364" s="19">
        <f>IFERROR(__xludf.DUMMYFUNCTION("""COMPUTED_VALUE"""),24.633333333333333)</f>
        <v>24.63333333</v>
      </c>
      <c r="H364" s="17">
        <f>IFERROR(__xludf.DUMMYFUNCTION("""COMPUTED_VALUE"""),37327.0)</f>
        <v>37327</v>
      </c>
      <c r="I364" s="19">
        <f>IFERROR(__xludf.DUMMYFUNCTION("""COMPUTED_VALUE"""),22.51388888888889)</f>
        <v>22.51388889</v>
      </c>
      <c r="J364" s="21">
        <f>IFERROR(__xludf.DUMMYFUNCTION("""COMPUTED_VALUE"""),65.0)</f>
        <v>65</v>
      </c>
      <c r="K364" s="23">
        <f>IFERROR(__xludf.DUMMYFUNCTION("""COMPUTED_VALUE"""),6.2)</f>
        <v>6.2</v>
      </c>
      <c r="L364" s="24">
        <f>IFERROR(__xludf.DUMMYFUNCTION("""COMPUTED_VALUE"""),3.0)</f>
        <v>3</v>
      </c>
      <c r="M364" s="25" t="str">
        <f>IFERROR(__xludf.DUMMYFUNCTION("""COMPUTED_VALUE"""),"Action-Adventure")</f>
        <v>Action-Adventure</v>
      </c>
      <c r="N364" s="25" t="str">
        <f>IFERROR(__xludf.DUMMYFUNCTION("""COMPUTED_VALUE"""),"PS2")</f>
        <v>PS2</v>
      </c>
      <c r="O364" s="26" t="str">
        <f>IFERROR(__xludf.DUMMYFUNCTION("""COMPUTED_VALUE"""),"Yes")</f>
        <v>Yes</v>
      </c>
      <c r="P364" s="26"/>
    </row>
    <row r="365">
      <c r="A365" s="13" t="str">
        <f>IFERROR(__xludf.DUMMYFUNCTION("""COMPUTED_VALUE"""),"Star Wars Rebel Assault II: The Hidden Empire")</f>
        <v>Star Wars Rebel Assault II: The Hidden Empire</v>
      </c>
      <c r="B365" s="15" t="str">
        <f>IFERROR(__xludf.DUMMYFUNCTION("""COMPUTED_VALUE"""),"PS5/PS4")</f>
        <v>PS5/PS4</v>
      </c>
      <c r="C365" s="16" t="str">
        <f>IFERROR(__xludf.DUMMYFUNCTION("""COMPUTED_VALUE"""),"Premium (Classics)")</f>
        <v>Premium (Classics)</v>
      </c>
      <c r="D365" s="15" t="str">
        <f>IFERROR(__xludf.DUMMYFUNCTION("""COMPUTED_VALUE"""),"Active")</f>
        <v>Active</v>
      </c>
      <c r="E365" s="17">
        <f>IFERROR(__xludf.DUMMYFUNCTION("""COMPUTED_VALUE"""),45398.0)</f>
        <v>45398</v>
      </c>
      <c r="F365" s="54"/>
      <c r="G365" s="19">
        <f>IFERROR(__xludf.DUMMYFUNCTION("""COMPUTED_VALUE"""),29.666666666666668)</f>
        <v>29.66666667</v>
      </c>
      <c r="H365" s="17">
        <f>IFERROR(__xludf.DUMMYFUNCTION("""COMPUTED_VALUE"""),35010.0)</f>
        <v>35010</v>
      </c>
      <c r="I365" s="19">
        <f>IFERROR(__xludf.DUMMYFUNCTION("""COMPUTED_VALUE"""),28.441666666666666)</f>
        <v>28.44166667</v>
      </c>
      <c r="J365" s="21">
        <f>IFERROR(__xludf.DUMMYFUNCTION("""COMPUTED_VALUE"""),65.0)</f>
        <v>65</v>
      </c>
      <c r="K365" s="23">
        <f>IFERROR(__xludf.DUMMYFUNCTION("""COMPUTED_VALUE"""),7.7)</f>
        <v>7.7</v>
      </c>
      <c r="L365" s="24">
        <f>IFERROR(__xludf.DUMMYFUNCTION("""COMPUTED_VALUE"""),6.0)</f>
        <v>6</v>
      </c>
      <c r="M365" s="25" t="str">
        <f>IFERROR(__xludf.DUMMYFUNCTION("""COMPUTED_VALUE"""),"Shooter")</f>
        <v>Shooter</v>
      </c>
      <c r="N365" s="25" t="str">
        <f>IFERROR(__xludf.DUMMYFUNCTION("""COMPUTED_VALUE"""),"PS1")</f>
        <v>PS1</v>
      </c>
      <c r="O365" s="26" t="str">
        <f>IFERROR(__xludf.DUMMYFUNCTION("""COMPUTED_VALUE"""),"Yes")</f>
        <v>Yes</v>
      </c>
      <c r="P365" s="26"/>
    </row>
    <row r="366">
      <c r="A366" s="13" t="str">
        <f>IFERROR(__xludf.DUMMYFUNCTION("""COMPUTED_VALUE"""),"Disney/PIXAR Up")</f>
        <v>Disney/PIXAR Up</v>
      </c>
      <c r="B366" s="15" t="str">
        <f>IFERROR(__xludf.DUMMYFUNCTION("""COMPUTED_VALUE"""),"PS5/PS4")</f>
        <v>PS5/PS4</v>
      </c>
      <c r="C366" s="16" t="str">
        <f>IFERROR(__xludf.DUMMYFUNCTION("""COMPUTED_VALUE"""),"Premium (Classics)")</f>
        <v>Premium (Classics)</v>
      </c>
      <c r="D366" s="15" t="str">
        <f>IFERROR(__xludf.DUMMYFUNCTION("""COMPUTED_VALUE"""),"Active")</f>
        <v>Active</v>
      </c>
      <c r="E366" s="17">
        <f>IFERROR(__xludf.DUMMYFUNCTION("""COMPUTED_VALUE"""),45251.0)</f>
        <v>45251</v>
      </c>
      <c r="F366" s="54"/>
      <c r="G366" s="19">
        <f>IFERROR(__xludf.DUMMYFUNCTION("""COMPUTED_VALUE"""),34.5)</f>
        <v>34.5</v>
      </c>
      <c r="H366" s="17">
        <f>IFERROR(__xludf.DUMMYFUNCTION("""COMPUTED_VALUE"""),39959.0)</f>
        <v>39959</v>
      </c>
      <c r="I366" s="19">
        <f>IFERROR(__xludf.DUMMYFUNCTION("""COMPUTED_VALUE"""),14.48611111111111)</f>
        <v>14.48611111</v>
      </c>
      <c r="J366" s="21">
        <f>IFERROR(__xludf.DUMMYFUNCTION("""COMPUTED_VALUE"""),65.0)</f>
        <v>65</v>
      </c>
      <c r="K366" s="23">
        <f>IFERROR(__xludf.DUMMYFUNCTION("""COMPUTED_VALUE"""),6.8)</f>
        <v>6.8</v>
      </c>
      <c r="L366" s="24">
        <f>IFERROR(__xludf.DUMMYFUNCTION("""COMPUTED_VALUE"""),5.0)</f>
        <v>5</v>
      </c>
      <c r="M366" s="25" t="str">
        <f>IFERROR(__xludf.DUMMYFUNCTION("""COMPUTED_VALUE"""),"Action-Adventure")</f>
        <v>Action-Adventure</v>
      </c>
      <c r="N366" s="25" t="str">
        <f>IFERROR(__xludf.DUMMYFUNCTION("""COMPUTED_VALUE"""),"PSP")</f>
        <v>PSP</v>
      </c>
      <c r="O366" s="26" t="str">
        <f>IFERROR(__xludf.DUMMYFUNCTION("""COMPUTED_VALUE"""),"Yes")</f>
        <v>Yes</v>
      </c>
      <c r="P366" s="26"/>
    </row>
    <row r="367">
      <c r="A367" s="13" t="str">
        <f>IFERROR(__xludf.DUMMYFUNCTION("""COMPUTED_VALUE"""),"Star Wars: Bounty Hunter")</f>
        <v>Star Wars: Bounty Hunter</v>
      </c>
      <c r="B367" s="15" t="str">
        <f>IFERROR(__xludf.DUMMYFUNCTION("""COMPUTED_VALUE"""),"PS4")</f>
        <v>PS4</v>
      </c>
      <c r="C367" s="16" t="str">
        <f>IFERROR(__xludf.DUMMYFUNCTION("""COMPUTED_VALUE"""),"Premium (Classics)")</f>
        <v>Premium (Classics)</v>
      </c>
      <c r="D367" s="15" t="str">
        <f>IFERROR(__xludf.DUMMYFUNCTION("""COMPUTED_VALUE"""),"Active")</f>
        <v>Active</v>
      </c>
      <c r="E367" s="17">
        <f>IFERROR(__xludf.DUMMYFUNCTION("""COMPUTED_VALUE"""),44725.0)</f>
        <v>44725</v>
      </c>
      <c r="F367" s="54"/>
      <c r="G367" s="19">
        <f>IFERROR(__xludf.DUMMYFUNCTION("""COMPUTED_VALUE"""),51.766666666666666)</f>
        <v>51.76666667</v>
      </c>
      <c r="H367" s="17">
        <f>IFERROR(__xludf.DUMMYFUNCTION("""COMPUTED_VALUE"""),37561.0)</f>
        <v>37561</v>
      </c>
      <c r="I367" s="19">
        <f>IFERROR(__xludf.DUMMYFUNCTION("""COMPUTED_VALUE"""),19.616666666666667)</f>
        <v>19.61666667</v>
      </c>
      <c r="J367" s="21">
        <f>IFERROR(__xludf.DUMMYFUNCTION("""COMPUTED_VALUE"""),65.0)</f>
        <v>65</v>
      </c>
      <c r="K367" s="23">
        <f>IFERROR(__xludf.DUMMYFUNCTION("""COMPUTED_VALUE"""),7.6)</f>
        <v>7.6</v>
      </c>
      <c r="L367" s="24">
        <f>IFERROR(__xludf.DUMMYFUNCTION("""COMPUTED_VALUE"""),10.0)</f>
        <v>10</v>
      </c>
      <c r="M367" s="25" t="str">
        <f>IFERROR(__xludf.DUMMYFUNCTION("""COMPUTED_VALUE"""),"Action-Adventure")</f>
        <v>Action-Adventure</v>
      </c>
      <c r="N367" s="25" t="str">
        <f>IFERROR(__xludf.DUMMYFUNCTION("""COMPUTED_VALUE"""),"PS2")</f>
        <v>PS2</v>
      </c>
      <c r="O367" s="26" t="str">
        <f>IFERROR(__xludf.DUMMYFUNCTION("""COMPUTED_VALUE"""),"Yes")</f>
        <v>Yes</v>
      </c>
      <c r="P367" s="26" t="str">
        <f>IFERROR(__xludf.DUMMYFUNCTION("""COMPUTED_VALUE"""),"")</f>
        <v/>
      </c>
    </row>
    <row r="368">
      <c r="A368" s="13" t="str">
        <f>IFERROR(__xludf.DUMMYFUNCTION("""COMPUTED_VALUE"""),"The Awakened Fate: Ultimatum")</f>
        <v>The Awakened Fate: Ultimatum</v>
      </c>
      <c r="B368" s="15" t="str">
        <f>IFERROR(__xludf.DUMMYFUNCTION("""COMPUTED_VALUE"""),"PS5/PS4")</f>
        <v>PS5/PS4</v>
      </c>
      <c r="C368" s="16" t="str">
        <f>IFERROR(__xludf.DUMMYFUNCTION("""COMPUTED_VALUE"""),"Premium (Streaming Only)")</f>
        <v>Premium (Streaming Only)</v>
      </c>
      <c r="D368" s="15" t="str">
        <f>IFERROR(__xludf.DUMMYFUNCTION("""COMPUTED_VALUE"""),"Active")</f>
        <v>Active</v>
      </c>
      <c r="E368" s="17">
        <f>IFERROR(__xludf.DUMMYFUNCTION("""COMPUTED_VALUE"""),44725.0)</f>
        <v>44725</v>
      </c>
      <c r="F368" s="54"/>
      <c r="G368" s="19">
        <f>IFERROR(__xludf.DUMMYFUNCTION("""COMPUTED_VALUE"""),51.766666666666666)</f>
        <v>51.76666667</v>
      </c>
      <c r="H368" s="17">
        <f>IFERROR(__xludf.DUMMYFUNCTION("""COMPUTED_VALUE"""),42064.0)</f>
        <v>42064</v>
      </c>
      <c r="I368" s="19">
        <f>IFERROR(__xludf.DUMMYFUNCTION("""COMPUTED_VALUE"""),7.283333333333333)</f>
        <v>7.283333333</v>
      </c>
      <c r="J368" s="21">
        <f>IFERROR(__xludf.DUMMYFUNCTION("""COMPUTED_VALUE"""),65.0)</f>
        <v>65</v>
      </c>
      <c r="K368" s="23">
        <f>IFERROR(__xludf.DUMMYFUNCTION("""COMPUTED_VALUE"""),7.4)</f>
        <v>7.4</v>
      </c>
      <c r="L368" s="24">
        <f>IFERROR(__xludf.DUMMYFUNCTION("""COMPUTED_VALUE"""),30.0)</f>
        <v>30</v>
      </c>
      <c r="M368" s="25" t="str">
        <f>IFERROR(__xludf.DUMMYFUNCTION("""COMPUTED_VALUE"""),"RPG")</f>
        <v>RPG</v>
      </c>
      <c r="N368" s="25" t="str">
        <f>IFERROR(__xludf.DUMMYFUNCTION("""COMPUTED_VALUE"""),"PS3")</f>
        <v>PS3</v>
      </c>
      <c r="O368" s="26" t="str">
        <f>IFERROR(__xludf.DUMMYFUNCTION("""COMPUTED_VALUE"""),"Yes")</f>
        <v>Yes</v>
      </c>
      <c r="P368" s="26" t="str">
        <f>IFERROR(__xludf.DUMMYFUNCTION("""COMPUTED_VALUE"""),"")</f>
        <v/>
      </c>
    </row>
    <row r="369">
      <c r="A369" s="13" t="str">
        <f>IFERROR(__xludf.DUMMYFUNCTION("""COMPUTED_VALUE"""),"Snakeball")</f>
        <v>Snakeball</v>
      </c>
      <c r="B369" s="15" t="str">
        <f>IFERROR(__xludf.DUMMYFUNCTION("""COMPUTED_VALUE"""),"PS5/PS4")</f>
        <v>PS5/PS4</v>
      </c>
      <c r="C369" s="16" t="str">
        <f>IFERROR(__xludf.DUMMYFUNCTION("""COMPUTED_VALUE"""),"Premium (Streaming Only)")</f>
        <v>Premium (Streaming Only)</v>
      </c>
      <c r="D369" s="15" t="str">
        <f>IFERROR(__xludf.DUMMYFUNCTION("""COMPUTED_VALUE"""),"Active")</f>
        <v>Active</v>
      </c>
      <c r="E369" s="17">
        <f>IFERROR(__xludf.DUMMYFUNCTION("""COMPUTED_VALUE"""),42374.0)</f>
        <v>42374</v>
      </c>
      <c r="F369" s="54"/>
      <c r="G369" s="19">
        <f>IFERROR(__xludf.DUMMYFUNCTION("""COMPUTED_VALUE"""),129.03333333333333)</f>
        <v>129.0333333</v>
      </c>
      <c r="H369" s="17">
        <f>IFERROR(__xludf.DUMMYFUNCTION("""COMPUTED_VALUE"""),39417.0)</f>
        <v>39417</v>
      </c>
      <c r="I369" s="19">
        <f>IFERROR(__xludf.DUMMYFUNCTION("""COMPUTED_VALUE"""),8.094444444444445)</f>
        <v>8.094444444</v>
      </c>
      <c r="J369" s="21">
        <f>IFERROR(__xludf.DUMMYFUNCTION("""COMPUTED_VALUE"""),65.0)</f>
        <v>65</v>
      </c>
      <c r="K369" s="23">
        <f>IFERROR(__xludf.DUMMYFUNCTION("""COMPUTED_VALUE"""),6.8)</f>
        <v>6.8</v>
      </c>
      <c r="L369" s="24">
        <f>IFERROR(__xludf.DUMMYFUNCTION("""COMPUTED_VALUE"""),3.0)</f>
        <v>3</v>
      </c>
      <c r="M369" s="25" t="str">
        <f>IFERROR(__xludf.DUMMYFUNCTION("""COMPUTED_VALUE"""),"Arcade")</f>
        <v>Arcade</v>
      </c>
      <c r="N369" s="25" t="str">
        <f>IFERROR(__xludf.DUMMYFUNCTION("""COMPUTED_VALUE"""),"PS3")</f>
        <v>PS3</v>
      </c>
      <c r="O369" s="26" t="str">
        <f>IFERROR(__xludf.DUMMYFUNCTION("""COMPUTED_VALUE"""),"Yes")</f>
        <v>Yes</v>
      </c>
      <c r="P369" s="26" t="str">
        <f>IFERROR(__xludf.DUMMYFUNCTION("""COMPUTED_VALUE"""),"")</f>
        <v/>
      </c>
    </row>
    <row r="370">
      <c r="A370" s="13" t="str">
        <f>IFERROR(__xludf.DUMMYFUNCTION("""COMPUTED_VALUE"""),"Divekick")</f>
        <v>Divekick</v>
      </c>
      <c r="B370" s="15" t="str">
        <f>IFERROR(__xludf.DUMMYFUNCTION("""COMPUTED_VALUE"""),"PS5/PS4")</f>
        <v>PS5/PS4</v>
      </c>
      <c r="C370" s="16" t="str">
        <f>IFERROR(__xludf.DUMMYFUNCTION("""COMPUTED_VALUE"""),"Premium (Streaming Only)")</f>
        <v>Premium (Streaming Only)</v>
      </c>
      <c r="D370" s="15" t="str">
        <f>IFERROR(__xludf.DUMMYFUNCTION("""COMPUTED_VALUE"""),"Active")</f>
        <v>Active</v>
      </c>
      <c r="E370" s="17">
        <f>IFERROR(__xludf.DUMMYFUNCTION("""COMPUTED_VALUE"""),42311.0)</f>
        <v>42311</v>
      </c>
      <c r="F370" s="54"/>
      <c r="G370" s="19">
        <f>IFERROR(__xludf.DUMMYFUNCTION("""COMPUTED_VALUE"""),131.10000000000002)</f>
        <v>131.1</v>
      </c>
      <c r="H370" s="17">
        <f>IFERROR(__xludf.DUMMYFUNCTION("""COMPUTED_VALUE"""),41487.0)</f>
        <v>41487</v>
      </c>
      <c r="I370" s="19">
        <f>IFERROR(__xludf.DUMMYFUNCTION("""COMPUTED_VALUE"""),2.2555555555555555)</f>
        <v>2.255555556</v>
      </c>
      <c r="J370" s="21">
        <f>IFERROR(__xludf.DUMMYFUNCTION("""COMPUTED_VALUE"""),65.0)</f>
        <v>65</v>
      </c>
      <c r="K370" s="23">
        <f>IFERROR(__xludf.DUMMYFUNCTION("""COMPUTED_VALUE"""),7.1)</f>
        <v>7.1</v>
      </c>
      <c r="L370" s="24"/>
      <c r="M370" s="25" t="str">
        <f>IFERROR(__xludf.DUMMYFUNCTION("""COMPUTED_VALUE"""),"Fighting")</f>
        <v>Fighting</v>
      </c>
      <c r="N370" s="25" t="str">
        <f>IFERROR(__xludf.DUMMYFUNCTION("""COMPUTED_VALUE"""),"PS3")</f>
        <v>PS3</v>
      </c>
      <c r="O370" s="26" t="str">
        <f>IFERROR(__xludf.DUMMYFUNCTION("""COMPUTED_VALUE"""),"Yes")</f>
        <v>Yes</v>
      </c>
      <c r="P370" s="26" t="str">
        <f>IFERROR(__xludf.DUMMYFUNCTION("""COMPUTED_VALUE"""),"")</f>
        <v/>
      </c>
    </row>
    <row r="371">
      <c r="A371" s="13" t="str">
        <f>IFERROR(__xludf.DUMMYFUNCTION("""COMPUTED_VALUE"""),"Matt Hazard: Blood Bath and Beyond")</f>
        <v>Matt Hazard: Blood Bath and Beyond</v>
      </c>
      <c r="B371" s="15" t="str">
        <f>IFERROR(__xludf.DUMMYFUNCTION("""COMPUTED_VALUE"""),"PS5/PS4")</f>
        <v>PS5/PS4</v>
      </c>
      <c r="C371" s="16" t="str">
        <f>IFERROR(__xludf.DUMMYFUNCTION("""COMPUTED_VALUE"""),"Premium (Streaming Only)")</f>
        <v>Premium (Streaming Only)</v>
      </c>
      <c r="D371" s="15" t="str">
        <f>IFERROR(__xludf.DUMMYFUNCTION("""COMPUTED_VALUE"""),"Active")</f>
        <v>Active</v>
      </c>
      <c r="E371" s="17">
        <f>IFERROR(__xludf.DUMMYFUNCTION("""COMPUTED_VALUE"""),42311.0)</f>
        <v>42311</v>
      </c>
      <c r="F371" s="54"/>
      <c r="G371" s="19">
        <f>IFERROR(__xludf.DUMMYFUNCTION("""COMPUTED_VALUE"""),131.10000000000002)</f>
        <v>131.1</v>
      </c>
      <c r="H371" s="17">
        <f>IFERROR(__xludf.DUMMYFUNCTION("""COMPUTED_VALUE"""),40179.0)</f>
        <v>40179</v>
      </c>
      <c r="I371" s="19">
        <f>IFERROR(__xludf.DUMMYFUNCTION("""COMPUTED_VALUE"""),5.838888888888889)</f>
        <v>5.838888889</v>
      </c>
      <c r="J371" s="21">
        <f>IFERROR(__xludf.DUMMYFUNCTION("""COMPUTED_VALUE"""),65.0)</f>
        <v>65</v>
      </c>
      <c r="K371" s="23">
        <f>IFERROR(__xludf.DUMMYFUNCTION("""COMPUTED_VALUE"""),6.3)</f>
        <v>6.3</v>
      </c>
      <c r="L371" s="24">
        <f>IFERROR(__xludf.DUMMYFUNCTION("""COMPUTED_VALUE"""),4.0)</f>
        <v>4</v>
      </c>
      <c r="M371" s="25" t="str">
        <f>IFERROR(__xludf.DUMMYFUNCTION("""COMPUTED_VALUE"""),"Shooter")</f>
        <v>Shooter</v>
      </c>
      <c r="N371" s="25" t="str">
        <f>IFERROR(__xludf.DUMMYFUNCTION("""COMPUTED_VALUE"""),"PS3")</f>
        <v>PS3</v>
      </c>
      <c r="O371" s="26" t="str">
        <f>IFERROR(__xludf.DUMMYFUNCTION("""COMPUTED_VALUE"""),"Yes")</f>
        <v>Yes</v>
      </c>
      <c r="P371" s="26" t="str">
        <f>IFERROR(__xludf.DUMMYFUNCTION("""COMPUTED_VALUE"""),"")</f>
        <v/>
      </c>
    </row>
    <row r="372">
      <c r="A372" s="13" t="str">
        <f>IFERROR(__xludf.DUMMYFUNCTION("""COMPUTED_VALUE"""),"Eat Them!")</f>
        <v>Eat Them!</v>
      </c>
      <c r="B372" s="15" t="str">
        <f>IFERROR(__xludf.DUMMYFUNCTION("""COMPUTED_VALUE"""),"PS5/PS4")</f>
        <v>PS5/PS4</v>
      </c>
      <c r="C372" s="16" t="str">
        <f>IFERROR(__xludf.DUMMYFUNCTION("""COMPUTED_VALUE"""),"Premium (Streaming Only)")</f>
        <v>Premium (Streaming Only)</v>
      </c>
      <c r="D372" s="15" t="str">
        <f>IFERROR(__xludf.DUMMYFUNCTION("""COMPUTED_VALUE"""),"Active")</f>
        <v>Active</v>
      </c>
      <c r="E372" s="17">
        <f>IFERROR(__xludf.DUMMYFUNCTION("""COMPUTED_VALUE"""),42017.0)</f>
        <v>42017</v>
      </c>
      <c r="F372" s="54"/>
      <c r="G372" s="19">
        <f>IFERROR(__xludf.DUMMYFUNCTION("""COMPUTED_VALUE"""),140.76666666666668)</f>
        <v>140.7666667</v>
      </c>
      <c r="H372" s="17">
        <f>IFERROR(__xludf.DUMMYFUNCTION("""COMPUTED_VALUE"""),40513.0)</f>
        <v>40513</v>
      </c>
      <c r="I372" s="19">
        <f>IFERROR(__xludf.DUMMYFUNCTION("""COMPUTED_VALUE"""),4.116666666666666)</f>
        <v>4.116666667</v>
      </c>
      <c r="J372" s="21">
        <f>IFERROR(__xludf.DUMMYFUNCTION("""COMPUTED_VALUE"""),65.0)</f>
        <v>65</v>
      </c>
      <c r="K372" s="23">
        <f>IFERROR(__xludf.DUMMYFUNCTION("""COMPUTED_VALUE"""),7.2)</f>
        <v>7.2</v>
      </c>
      <c r="L372" s="24">
        <f>IFERROR(__xludf.DUMMYFUNCTION("""COMPUTED_VALUE"""),6.0)</f>
        <v>6</v>
      </c>
      <c r="M372" s="25" t="str">
        <f>IFERROR(__xludf.DUMMYFUNCTION("""COMPUTED_VALUE"""),"Action-Adventure")</f>
        <v>Action-Adventure</v>
      </c>
      <c r="N372" s="25" t="str">
        <f>IFERROR(__xludf.DUMMYFUNCTION("""COMPUTED_VALUE"""),"PS3")</f>
        <v>PS3</v>
      </c>
      <c r="O372" s="26" t="str">
        <f>IFERROR(__xludf.DUMMYFUNCTION("""COMPUTED_VALUE"""),"Yes")</f>
        <v>Yes</v>
      </c>
      <c r="P372" s="26" t="str">
        <f>IFERROR(__xludf.DUMMYFUNCTION("""COMPUTED_VALUE"""),"")</f>
        <v/>
      </c>
    </row>
    <row r="373">
      <c r="A373" s="13" t="str">
        <f>IFERROR(__xludf.DUMMYFUNCTION("""COMPUTED_VALUE"""),"Resident Evil Code: Veronica X")</f>
        <v>Resident Evil Code: Veronica X</v>
      </c>
      <c r="B373" s="15" t="str">
        <f>IFERROR(__xludf.DUMMYFUNCTION("""COMPUTED_VALUE"""),"PS5/PS4")</f>
        <v>PS5/PS4</v>
      </c>
      <c r="C373" s="16" t="str">
        <f>IFERROR(__xludf.DUMMYFUNCTION("""COMPUTED_VALUE"""),"Premium (Streaming Only)")</f>
        <v>Premium (Streaming Only)</v>
      </c>
      <c r="D373" s="15" t="str">
        <f>IFERROR(__xludf.DUMMYFUNCTION("""COMPUTED_VALUE"""),"Active")</f>
        <v>Active</v>
      </c>
      <c r="E373" s="17">
        <f>IFERROR(__xludf.DUMMYFUNCTION("""COMPUTED_VALUE"""),42017.0)</f>
        <v>42017</v>
      </c>
      <c r="F373" s="54"/>
      <c r="G373" s="19">
        <f>IFERROR(__xludf.DUMMYFUNCTION("""COMPUTED_VALUE"""),140.76666666666668)</f>
        <v>140.7666667</v>
      </c>
      <c r="H373" s="17">
        <f>IFERROR(__xludf.DUMMYFUNCTION("""COMPUTED_VALUE"""),40787.0)</f>
        <v>40787</v>
      </c>
      <c r="I373" s="19">
        <f>IFERROR(__xludf.DUMMYFUNCTION("""COMPUTED_VALUE"""),3.3666666666666667)</f>
        <v>3.366666667</v>
      </c>
      <c r="J373" s="21">
        <f>IFERROR(__xludf.DUMMYFUNCTION("""COMPUTED_VALUE"""),65.0)</f>
        <v>65</v>
      </c>
      <c r="K373" s="23">
        <f>IFERROR(__xludf.DUMMYFUNCTION("""COMPUTED_VALUE"""),8.4)</f>
        <v>8.4</v>
      </c>
      <c r="L373" s="24">
        <f>IFERROR(__xludf.DUMMYFUNCTION("""COMPUTED_VALUE"""),11.0)</f>
        <v>11</v>
      </c>
      <c r="M373" s="25" t="str">
        <f>IFERROR(__xludf.DUMMYFUNCTION("""COMPUTED_VALUE"""),"Action-Adventure")</f>
        <v>Action-Adventure</v>
      </c>
      <c r="N373" s="25" t="str">
        <f>IFERROR(__xludf.DUMMYFUNCTION("""COMPUTED_VALUE"""),"PS3")</f>
        <v>PS3</v>
      </c>
      <c r="O373" s="26" t="str">
        <f>IFERROR(__xludf.DUMMYFUNCTION("""COMPUTED_VALUE"""),"Yes")</f>
        <v>Yes</v>
      </c>
      <c r="P373" s="26" t="str">
        <f>IFERROR(__xludf.DUMMYFUNCTION("""COMPUTED_VALUE"""),"")</f>
        <v/>
      </c>
    </row>
    <row r="374">
      <c r="A374" s="13" t="str">
        <f>IFERROR(__xludf.DUMMYFUNCTION("""COMPUTED_VALUE"""),"Star Wars: The Force Unleashed - Ultimate Sith Edition")</f>
        <v>Star Wars: The Force Unleashed - Ultimate Sith Edition</v>
      </c>
      <c r="B374" s="15" t="str">
        <f>IFERROR(__xludf.DUMMYFUNCTION("""COMPUTED_VALUE"""),"PS5/PS4")</f>
        <v>PS5/PS4</v>
      </c>
      <c r="C374" s="16" t="str">
        <f>IFERROR(__xludf.DUMMYFUNCTION("""COMPUTED_VALUE"""),"Premium (Streaming Only)")</f>
        <v>Premium (Streaming Only)</v>
      </c>
      <c r="D374" s="15" t="str">
        <f>IFERROR(__xludf.DUMMYFUNCTION("""COMPUTED_VALUE"""),"Active")</f>
        <v>Active</v>
      </c>
      <c r="E374" s="17">
        <f>IFERROR(__xludf.DUMMYFUNCTION("""COMPUTED_VALUE"""),42017.0)</f>
        <v>42017</v>
      </c>
      <c r="F374" s="54"/>
      <c r="G374" s="19">
        <f>IFERROR(__xludf.DUMMYFUNCTION("""COMPUTED_VALUE"""),140.76666666666668)</f>
        <v>140.7666667</v>
      </c>
      <c r="H374" s="17">
        <f>IFERROR(__xludf.DUMMYFUNCTION("""COMPUTED_VALUE"""),39692.0)</f>
        <v>39692</v>
      </c>
      <c r="I374" s="19">
        <f>IFERROR(__xludf.DUMMYFUNCTION("""COMPUTED_VALUE"""),6.366666666666666)</f>
        <v>6.366666667</v>
      </c>
      <c r="J374" s="21">
        <f>IFERROR(__xludf.DUMMYFUNCTION("""COMPUTED_VALUE"""),65.0)</f>
        <v>65</v>
      </c>
      <c r="K374" s="23">
        <f>IFERROR(__xludf.DUMMYFUNCTION("""COMPUTED_VALUE"""),7.0)</f>
        <v>7</v>
      </c>
      <c r="L374" s="24">
        <f>IFERROR(__xludf.DUMMYFUNCTION("""COMPUTED_VALUE"""),8.0)</f>
        <v>8</v>
      </c>
      <c r="M374" s="25" t="str">
        <f>IFERROR(__xludf.DUMMYFUNCTION("""COMPUTED_VALUE"""),"Action-Adventure")</f>
        <v>Action-Adventure</v>
      </c>
      <c r="N374" s="25" t="str">
        <f>IFERROR(__xludf.DUMMYFUNCTION("""COMPUTED_VALUE"""),"PS3")</f>
        <v>PS3</v>
      </c>
      <c r="O374" s="26" t="str">
        <f>IFERROR(__xludf.DUMMYFUNCTION("""COMPUTED_VALUE"""),"Yes")</f>
        <v>Yes</v>
      </c>
      <c r="P374" s="26" t="str">
        <f>IFERROR(__xludf.DUMMYFUNCTION("""COMPUTED_VALUE"""),"")</f>
        <v/>
      </c>
    </row>
    <row r="375">
      <c r="A375" s="13" t="str">
        <f>IFERROR(__xludf.DUMMYFUNCTION("""COMPUTED_VALUE"""),"Urban Trial Freestyle")</f>
        <v>Urban Trial Freestyle</v>
      </c>
      <c r="B375" s="15" t="str">
        <f>IFERROR(__xludf.DUMMYFUNCTION("""COMPUTED_VALUE"""),"PS5/PS4")</f>
        <v>PS5/PS4</v>
      </c>
      <c r="C375" s="16" t="str">
        <f>IFERROR(__xludf.DUMMYFUNCTION("""COMPUTED_VALUE"""),"Premium (Streaming Only)")</f>
        <v>Premium (Streaming Only)</v>
      </c>
      <c r="D375" s="15" t="str">
        <f>IFERROR(__xludf.DUMMYFUNCTION("""COMPUTED_VALUE"""),"Active")</f>
        <v>Active</v>
      </c>
      <c r="E375" s="17">
        <f>IFERROR(__xludf.DUMMYFUNCTION("""COMPUTED_VALUE"""),44725.0)</f>
        <v>44725</v>
      </c>
      <c r="F375" s="54"/>
      <c r="G375" s="19">
        <f>IFERROR(__xludf.DUMMYFUNCTION("""COMPUTED_VALUE"""),51.766666666666666)</f>
        <v>51.76666667</v>
      </c>
      <c r="H375" s="17">
        <f>IFERROR(__xludf.DUMMYFUNCTION("""COMPUTED_VALUE"""),41306.0)</f>
        <v>41306</v>
      </c>
      <c r="I375" s="19">
        <f>IFERROR(__xludf.DUMMYFUNCTION("""COMPUTED_VALUE"""),9.366666666666667)</f>
        <v>9.366666667</v>
      </c>
      <c r="J375" s="21">
        <f>IFERROR(__xludf.DUMMYFUNCTION("""COMPUTED_VALUE"""),64.0)</f>
        <v>64</v>
      </c>
      <c r="K375" s="23">
        <f>IFERROR(__xludf.DUMMYFUNCTION("""COMPUTED_VALUE"""),6.4)</f>
        <v>6.4</v>
      </c>
      <c r="L375" s="24">
        <f>IFERROR(__xludf.DUMMYFUNCTION("""COMPUTED_VALUE"""),3.0)</f>
        <v>3</v>
      </c>
      <c r="M375" s="25" t="str">
        <f>IFERROR(__xludf.DUMMYFUNCTION("""COMPUTED_VALUE"""),"Racing")</f>
        <v>Racing</v>
      </c>
      <c r="N375" s="25" t="str">
        <f>IFERROR(__xludf.DUMMYFUNCTION("""COMPUTED_VALUE"""),"PS3")</f>
        <v>PS3</v>
      </c>
      <c r="O375" s="26" t="str">
        <f>IFERROR(__xludf.DUMMYFUNCTION("""COMPUTED_VALUE"""),"Yes")</f>
        <v>Yes</v>
      </c>
      <c r="P375" s="26" t="str">
        <f>IFERROR(__xludf.DUMMYFUNCTION("""COMPUTED_VALUE"""),"")</f>
        <v/>
      </c>
    </row>
    <row r="376">
      <c r="A376" s="13" t="str">
        <f>IFERROR(__xludf.DUMMYFUNCTION("""COMPUTED_VALUE"""),"White Knight Chronicles: International Edition")</f>
        <v>White Knight Chronicles: International Edition</v>
      </c>
      <c r="B376" s="15" t="str">
        <f>IFERROR(__xludf.DUMMYFUNCTION("""COMPUTED_VALUE"""),"PS5/PS4")</f>
        <v>PS5/PS4</v>
      </c>
      <c r="C376" s="16" t="str">
        <f>IFERROR(__xludf.DUMMYFUNCTION("""COMPUTED_VALUE"""),"Premium (Streaming Only)")</f>
        <v>Premium (Streaming Only)</v>
      </c>
      <c r="D376" s="15" t="str">
        <f>IFERROR(__xludf.DUMMYFUNCTION("""COMPUTED_VALUE"""),"Active")</f>
        <v>Active</v>
      </c>
      <c r="E376" s="17">
        <f>IFERROR(__xludf.DUMMYFUNCTION("""COMPUTED_VALUE"""),42374.0)</f>
        <v>42374</v>
      </c>
      <c r="F376" s="54"/>
      <c r="G376" s="19">
        <f>IFERROR(__xludf.DUMMYFUNCTION("""COMPUTED_VALUE"""),129.03333333333333)</f>
        <v>129.0333333</v>
      </c>
      <c r="H376" s="17">
        <f>IFERROR(__xludf.DUMMYFUNCTION("""COMPUTED_VALUE"""),40210.0)</f>
        <v>40210</v>
      </c>
      <c r="I376" s="19">
        <f>IFERROR(__xludf.DUMMYFUNCTION("""COMPUTED_VALUE"""),5.927777777777778)</f>
        <v>5.927777778</v>
      </c>
      <c r="J376" s="21">
        <f>IFERROR(__xludf.DUMMYFUNCTION("""COMPUTED_VALUE"""),64.0)</f>
        <v>64</v>
      </c>
      <c r="K376" s="23">
        <f>IFERROR(__xludf.DUMMYFUNCTION("""COMPUTED_VALUE"""),6.5)</f>
        <v>6.5</v>
      </c>
      <c r="L376" s="24">
        <f>IFERROR(__xludf.DUMMYFUNCTION("""COMPUTED_VALUE"""),45.0)</f>
        <v>45</v>
      </c>
      <c r="M376" s="25" t="str">
        <f>IFERROR(__xludf.DUMMYFUNCTION("""COMPUTED_VALUE"""),"RPG")</f>
        <v>RPG</v>
      </c>
      <c r="N376" s="25" t="str">
        <f>IFERROR(__xludf.DUMMYFUNCTION("""COMPUTED_VALUE"""),"PS3")</f>
        <v>PS3</v>
      </c>
      <c r="O376" s="26" t="str">
        <f>IFERROR(__xludf.DUMMYFUNCTION("""COMPUTED_VALUE"""),"Yes")</f>
        <v>Yes</v>
      </c>
      <c r="P376" s="26" t="str">
        <f>IFERROR(__xludf.DUMMYFUNCTION("""COMPUTED_VALUE"""),"")</f>
        <v/>
      </c>
    </row>
    <row r="377">
      <c r="A377" s="13" t="str">
        <f>IFERROR(__xludf.DUMMYFUNCTION("""COMPUTED_VALUE"""),"Dynasty Warriors Strikeforce")</f>
        <v>Dynasty Warriors Strikeforce</v>
      </c>
      <c r="B377" s="15" t="str">
        <f>IFERROR(__xludf.DUMMYFUNCTION("""COMPUTED_VALUE"""),"PS5/PS4")</f>
        <v>PS5/PS4</v>
      </c>
      <c r="C377" s="16" t="str">
        <f>IFERROR(__xludf.DUMMYFUNCTION("""COMPUTED_VALUE"""),"Premium (Streaming Only)")</f>
        <v>Premium (Streaming Only)</v>
      </c>
      <c r="D377" s="15" t="str">
        <f>IFERROR(__xludf.DUMMYFUNCTION("""COMPUTED_VALUE"""),"Active")</f>
        <v>Active</v>
      </c>
      <c r="E377" s="17">
        <f>IFERROR(__xludf.DUMMYFUNCTION("""COMPUTED_VALUE"""),42017.0)</f>
        <v>42017</v>
      </c>
      <c r="F377" s="54"/>
      <c r="G377" s="19">
        <f>IFERROR(__xludf.DUMMYFUNCTION("""COMPUTED_VALUE"""),140.76666666666668)</f>
        <v>140.7666667</v>
      </c>
      <c r="H377" s="17">
        <f>IFERROR(__xludf.DUMMYFUNCTION("""COMPUTED_VALUE"""),40210.0)</f>
        <v>40210</v>
      </c>
      <c r="I377" s="19">
        <f>IFERROR(__xludf.DUMMYFUNCTION("""COMPUTED_VALUE"""),4.95)</f>
        <v>4.95</v>
      </c>
      <c r="J377" s="21">
        <f>IFERROR(__xludf.DUMMYFUNCTION("""COMPUTED_VALUE"""),64.0)</f>
        <v>64</v>
      </c>
      <c r="K377" s="23">
        <f>IFERROR(__xludf.DUMMYFUNCTION("""COMPUTED_VALUE"""),7.4)</f>
        <v>7.4</v>
      </c>
      <c r="L377" s="24">
        <f>IFERROR(__xludf.DUMMYFUNCTION("""COMPUTED_VALUE"""),20.0)</f>
        <v>20</v>
      </c>
      <c r="M377" s="25" t="str">
        <f>IFERROR(__xludf.DUMMYFUNCTION("""COMPUTED_VALUE"""),"Action-Adventure")</f>
        <v>Action-Adventure</v>
      </c>
      <c r="N377" s="25" t="str">
        <f>IFERROR(__xludf.DUMMYFUNCTION("""COMPUTED_VALUE"""),"PS3")</f>
        <v>PS3</v>
      </c>
      <c r="O377" s="26" t="str">
        <f>IFERROR(__xludf.DUMMYFUNCTION("""COMPUTED_VALUE"""),"Yes")</f>
        <v>Yes</v>
      </c>
      <c r="P377" s="26" t="str">
        <f>IFERROR(__xludf.DUMMYFUNCTION("""COMPUTED_VALUE"""),"")</f>
        <v/>
      </c>
    </row>
    <row r="378">
      <c r="A378" s="13" t="str">
        <f>IFERROR(__xludf.DUMMYFUNCTION("""COMPUTED_VALUE"""),"Ratchet and Clank: Full Frontal Assault")</f>
        <v>Ratchet and Clank: Full Frontal Assault</v>
      </c>
      <c r="B378" s="15" t="str">
        <f>IFERROR(__xludf.DUMMYFUNCTION("""COMPUTED_VALUE"""),"PS5/PS4")</f>
        <v>PS5/PS4</v>
      </c>
      <c r="C378" s="16" t="str">
        <f>IFERROR(__xludf.DUMMYFUNCTION("""COMPUTED_VALUE"""),"Premium (Streaming Only)")</f>
        <v>Premium (Streaming Only)</v>
      </c>
      <c r="D378" s="15" t="str">
        <f>IFERROR(__xludf.DUMMYFUNCTION("""COMPUTED_VALUE"""),"Active")</f>
        <v>Active</v>
      </c>
      <c r="E378" s="17">
        <f>IFERROR(__xludf.DUMMYFUNCTION("""COMPUTED_VALUE"""),42017.0)</f>
        <v>42017</v>
      </c>
      <c r="F378" s="54"/>
      <c r="G378" s="19">
        <f>IFERROR(__xludf.DUMMYFUNCTION("""COMPUTED_VALUE"""),140.76666666666668)</f>
        <v>140.7666667</v>
      </c>
      <c r="H378" s="17">
        <f>IFERROR(__xludf.DUMMYFUNCTION("""COMPUTED_VALUE"""),41214.0)</f>
        <v>41214</v>
      </c>
      <c r="I378" s="19">
        <f>IFERROR(__xludf.DUMMYFUNCTION("""COMPUTED_VALUE"""),2.2)</f>
        <v>2.2</v>
      </c>
      <c r="J378" s="21">
        <f>IFERROR(__xludf.DUMMYFUNCTION("""COMPUTED_VALUE"""),64.0)</f>
        <v>64</v>
      </c>
      <c r="K378" s="23">
        <f>IFERROR(__xludf.DUMMYFUNCTION("""COMPUTED_VALUE"""),6.6)</f>
        <v>6.6</v>
      </c>
      <c r="L378" s="24">
        <f>IFERROR(__xludf.DUMMYFUNCTION("""COMPUTED_VALUE"""),4.0)</f>
        <v>4</v>
      </c>
      <c r="M378" s="25" t="str">
        <f>IFERROR(__xludf.DUMMYFUNCTION("""COMPUTED_VALUE"""),"Action-Adventure")</f>
        <v>Action-Adventure</v>
      </c>
      <c r="N378" s="25" t="str">
        <f>IFERROR(__xludf.DUMMYFUNCTION("""COMPUTED_VALUE"""),"PS3")</f>
        <v>PS3</v>
      </c>
      <c r="O378" s="26" t="str">
        <f>IFERROR(__xludf.DUMMYFUNCTION("""COMPUTED_VALUE"""),"Yes")</f>
        <v>Yes</v>
      </c>
      <c r="P378" s="26" t="str">
        <f>IFERROR(__xludf.DUMMYFUNCTION("""COMPUTED_VALUE"""),"")</f>
        <v/>
      </c>
    </row>
    <row r="379">
      <c r="A379" s="13" t="str">
        <f>IFERROR(__xludf.DUMMYFUNCTION("""COMPUTED_VALUE"""),"StarDrone")</f>
        <v>StarDrone</v>
      </c>
      <c r="B379" s="15" t="str">
        <f>IFERROR(__xludf.DUMMYFUNCTION("""COMPUTED_VALUE"""),"PS5/PS4")</f>
        <v>PS5/PS4</v>
      </c>
      <c r="C379" s="16" t="str">
        <f>IFERROR(__xludf.DUMMYFUNCTION("""COMPUTED_VALUE"""),"Premium (Streaming Only)")</f>
        <v>Premium (Streaming Only)</v>
      </c>
      <c r="D379" s="15" t="str">
        <f>IFERROR(__xludf.DUMMYFUNCTION("""COMPUTED_VALUE"""),"Active")</f>
        <v>Active</v>
      </c>
      <c r="E379" s="17">
        <f>IFERROR(__xludf.DUMMYFUNCTION("""COMPUTED_VALUE"""),42017.0)</f>
        <v>42017</v>
      </c>
      <c r="F379" s="54"/>
      <c r="G379" s="19">
        <f>IFERROR(__xludf.DUMMYFUNCTION("""COMPUTED_VALUE"""),140.76666666666668)</f>
        <v>140.7666667</v>
      </c>
      <c r="H379" s="17">
        <f>IFERROR(__xludf.DUMMYFUNCTION("""COMPUTED_VALUE"""),40631.0)</f>
        <v>40631</v>
      </c>
      <c r="I379" s="19">
        <f>IFERROR(__xludf.DUMMYFUNCTION("""COMPUTED_VALUE"""),3.7888888888888888)</f>
        <v>3.788888889</v>
      </c>
      <c r="J379" s="21">
        <f>IFERROR(__xludf.DUMMYFUNCTION("""COMPUTED_VALUE"""),64.0)</f>
        <v>64</v>
      </c>
      <c r="K379" s="23">
        <f>IFERROR(__xludf.DUMMYFUNCTION("""COMPUTED_VALUE"""),6.8)</f>
        <v>6.8</v>
      </c>
      <c r="L379" s="24">
        <f>IFERROR(__xludf.DUMMYFUNCTION("""COMPUTED_VALUE"""),6.0)</f>
        <v>6</v>
      </c>
      <c r="M379" s="25" t="str">
        <f>IFERROR(__xludf.DUMMYFUNCTION("""COMPUTED_VALUE"""),"Arcade")</f>
        <v>Arcade</v>
      </c>
      <c r="N379" s="25" t="str">
        <f>IFERROR(__xludf.DUMMYFUNCTION("""COMPUTED_VALUE"""),"PS3")</f>
        <v>PS3</v>
      </c>
      <c r="O379" s="26" t="str">
        <f>IFERROR(__xludf.DUMMYFUNCTION("""COMPUTED_VALUE"""),"Yes")</f>
        <v>Yes</v>
      </c>
      <c r="P379" s="26" t="str">
        <f>IFERROR(__xludf.DUMMYFUNCTION("""COMPUTED_VALUE"""),"")</f>
        <v/>
      </c>
    </row>
    <row r="380">
      <c r="A380" s="13" t="str">
        <f>IFERROR(__xludf.DUMMYFUNCTION("""COMPUTED_VALUE"""),"Star Wars Demolition")</f>
        <v>Star Wars Demolition</v>
      </c>
      <c r="B380" s="15" t="str">
        <f>IFERROR(__xludf.DUMMYFUNCTION("""COMPUTED_VALUE"""),"PS5/PS4")</f>
        <v>PS5/PS4</v>
      </c>
      <c r="C380" s="16" t="str">
        <f>IFERROR(__xludf.DUMMYFUNCTION("""COMPUTED_VALUE"""),"Premium (Classics)")</f>
        <v>Premium (Classics)</v>
      </c>
      <c r="D380" s="15" t="str">
        <f>IFERROR(__xludf.DUMMYFUNCTION("""COMPUTED_VALUE"""),"Active")</f>
        <v>Active</v>
      </c>
      <c r="E380" s="17">
        <f>IFERROR(__xludf.DUMMYFUNCTION("""COMPUTED_VALUE"""),44943.0)</f>
        <v>44943</v>
      </c>
      <c r="F380" s="54"/>
      <c r="G380" s="19">
        <f>IFERROR(__xludf.DUMMYFUNCTION("""COMPUTED_VALUE"""),44.63333333333333)</f>
        <v>44.63333333</v>
      </c>
      <c r="H380" s="17">
        <f>IFERROR(__xludf.DUMMYFUNCTION("""COMPUTED_VALUE"""),36842.0)</f>
        <v>36842</v>
      </c>
      <c r="I380" s="19">
        <f>IFERROR(__xludf.DUMMYFUNCTION("""COMPUTED_VALUE"""),22.180555555555557)</f>
        <v>22.18055556</v>
      </c>
      <c r="J380" s="21">
        <f>IFERROR(__xludf.DUMMYFUNCTION("""COMPUTED_VALUE"""),63.0)</f>
        <v>63</v>
      </c>
      <c r="K380" s="23">
        <f>IFERROR(__xludf.DUMMYFUNCTION("""COMPUTED_VALUE"""),7.1)</f>
        <v>7.1</v>
      </c>
      <c r="L380" s="24">
        <f>IFERROR(__xludf.DUMMYFUNCTION("""COMPUTED_VALUE"""),20.0)</f>
        <v>20</v>
      </c>
      <c r="M380" s="25" t="str">
        <f>IFERROR(__xludf.DUMMYFUNCTION("""COMPUTED_VALUE"""),"Action-Adventure")</f>
        <v>Action-Adventure</v>
      </c>
      <c r="N380" s="25" t="str">
        <f>IFERROR(__xludf.DUMMYFUNCTION("""COMPUTED_VALUE"""),"PS1")</f>
        <v>PS1</v>
      </c>
      <c r="O380" s="26" t="str">
        <f>IFERROR(__xludf.DUMMYFUNCTION("""COMPUTED_VALUE"""),"Yes")</f>
        <v>Yes</v>
      </c>
      <c r="P380" s="26"/>
    </row>
    <row r="381">
      <c r="A381" s="13" t="str">
        <f>IFERROR(__xludf.DUMMYFUNCTION("""COMPUTED_VALUE"""),"XBlaze Lost: Memories")</f>
        <v>XBlaze Lost: Memories</v>
      </c>
      <c r="B381" s="15" t="str">
        <f>IFERROR(__xludf.DUMMYFUNCTION("""COMPUTED_VALUE"""),"PS5/PS4")</f>
        <v>PS5/PS4</v>
      </c>
      <c r="C381" s="16" t="str">
        <f>IFERROR(__xludf.DUMMYFUNCTION("""COMPUTED_VALUE"""),"Premium (Streaming Only)")</f>
        <v>Premium (Streaming Only)</v>
      </c>
      <c r="D381" s="15" t="str">
        <f>IFERROR(__xludf.DUMMYFUNCTION("""COMPUTED_VALUE"""),"Active")</f>
        <v>Active</v>
      </c>
      <c r="E381" s="17">
        <f>IFERROR(__xludf.DUMMYFUNCTION("""COMPUTED_VALUE"""),44725.0)</f>
        <v>44725</v>
      </c>
      <c r="F381" s="54"/>
      <c r="G381" s="19">
        <f>IFERROR(__xludf.DUMMYFUNCTION("""COMPUTED_VALUE"""),51.766666666666666)</f>
        <v>51.76666667</v>
      </c>
      <c r="H381" s="17">
        <f>IFERROR(__xludf.DUMMYFUNCTION("""COMPUTED_VALUE"""),42095.0)</f>
        <v>42095</v>
      </c>
      <c r="I381" s="19">
        <f>IFERROR(__xludf.DUMMYFUNCTION("""COMPUTED_VALUE"""),7.2)</f>
        <v>7.2</v>
      </c>
      <c r="J381" s="21">
        <f>IFERROR(__xludf.DUMMYFUNCTION("""COMPUTED_VALUE"""),63.0)</f>
        <v>63</v>
      </c>
      <c r="K381" s="23">
        <f>IFERROR(__xludf.DUMMYFUNCTION("""COMPUTED_VALUE"""),7.0)</f>
        <v>7</v>
      </c>
      <c r="L381" s="24">
        <f>IFERROR(__xludf.DUMMYFUNCTION("""COMPUTED_VALUE"""),10.0)</f>
        <v>10</v>
      </c>
      <c r="M381" s="25" t="str">
        <f>IFERROR(__xludf.DUMMYFUNCTION("""COMPUTED_VALUE"""),"Visual Novel")</f>
        <v>Visual Novel</v>
      </c>
      <c r="N381" s="25" t="str">
        <f>IFERROR(__xludf.DUMMYFUNCTION("""COMPUTED_VALUE"""),"PS3")</f>
        <v>PS3</v>
      </c>
      <c r="O381" s="26" t="str">
        <f>IFERROR(__xludf.DUMMYFUNCTION("""COMPUTED_VALUE"""),"Yes")</f>
        <v>Yes</v>
      </c>
      <c r="P381" s="26" t="str">
        <f>IFERROR(__xludf.DUMMYFUNCTION("""COMPUTED_VALUE"""),"")</f>
        <v/>
      </c>
    </row>
    <row r="382">
      <c r="A382" s="13" t="str">
        <f>IFERROR(__xludf.DUMMYFUNCTION("""COMPUTED_VALUE"""),"Castlevania: Lords of Shadow 2")</f>
        <v>Castlevania: Lords of Shadow 2</v>
      </c>
      <c r="B382" s="15" t="str">
        <f>IFERROR(__xludf.DUMMYFUNCTION("""COMPUTED_VALUE"""),"PS5/PS4")</f>
        <v>PS5/PS4</v>
      </c>
      <c r="C382" s="16" t="str">
        <f>IFERROR(__xludf.DUMMYFUNCTION("""COMPUTED_VALUE"""),"Premium (Streaming Only)")</f>
        <v>Premium (Streaming Only)</v>
      </c>
      <c r="D382" s="15" t="str">
        <f>IFERROR(__xludf.DUMMYFUNCTION("""COMPUTED_VALUE"""),"Active")</f>
        <v>Active</v>
      </c>
      <c r="E382" s="17">
        <f>IFERROR(__xludf.DUMMYFUNCTION("""COMPUTED_VALUE"""),43683.0)</f>
        <v>43683</v>
      </c>
      <c r="F382" s="54"/>
      <c r="G382" s="19">
        <f>IFERROR(__xludf.DUMMYFUNCTION("""COMPUTED_VALUE"""),86.0)</f>
        <v>86</v>
      </c>
      <c r="H382" s="17">
        <f>IFERROR(__xludf.DUMMYFUNCTION("""COMPUTED_VALUE"""),41699.0)</f>
        <v>41699</v>
      </c>
      <c r="I382" s="19">
        <f>IFERROR(__xludf.DUMMYFUNCTION("""COMPUTED_VALUE"""),5.430555555555555)</f>
        <v>5.430555556</v>
      </c>
      <c r="J382" s="21">
        <f>IFERROR(__xludf.DUMMYFUNCTION("""COMPUTED_VALUE"""),63.0)</f>
        <v>63</v>
      </c>
      <c r="K382" s="23">
        <f>IFERROR(__xludf.DUMMYFUNCTION("""COMPUTED_VALUE"""),6.4)</f>
        <v>6.4</v>
      </c>
      <c r="L382" s="24">
        <f>IFERROR(__xludf.DUMMYFUNCTION("""COMPUTED_VALUE"""),16.0)</f>
        <v>16</v>
      </c>
      <c r="M382" s="25" t="str">
        <f>IFERROR(__xludf.DUMMYFUNCTION("""COMPUTED_VALUE"""),"Action-Adventure")</f>
        <v>Action-Adventure</v>
      </c>
      <c r="N382" s="25" t="str">
        <f>IFERROR(__xludf.DUMMYFUNCTION("""COMPUTED_VALUE"""),"PS3")</f>
        <v>PS3</v>
      </c>
      <c r="O382" s="26" t="str">
        <f>IFERROR(__xludf.DUMMYFUNCTION("""COMPUTED_VALUE"""),"Yes")</f>
        <v>Yes</v>
      </c>
      <c r="P382" s="26" t="str">
        <f>IFERROR(__xludf.DUMMYFUNCTION("""COMPUTED_VALUE"""),"")</f>
        <v/>
      </c>
    </row>
    <row r="383">
      <c r="A383" s="13" t="str">
        <f>IFERROR(__xludf.DUMMYFUNCTION("""COMPUTED_VALUE"""),"Cars Mater-National Championship")</f>
        <v>Cars Mater-National Championship</v>
      </c>
      <c r="B383" s="15" t="str">
        <f>IFERROR(__xludf.DUMMYFUNCTION("""COMPUTED_VALUE"""),"PS5/PS4")</f>
        <v>PS5/PS4</v>
      </c>
      <c r="C383" s="16" t="str">
        <f>IFERROR(__xludf.DUMMYFUNCTION("""COMPUTED_VALUE"""),"Premium (Streaming Only)")</f>
        <v>Premium (Streaming Only)</v>
      </c>
      <c r="D383" s="15" t="str">
        <f>IFERROR(__xludf.DUMMYFUNCTION("""COMPUTED_VALUE"""),"Active")</f>
        <v>Active</v>
      </c>
      <c r="E383" s="17">
        <f>IFERROR(__xludf.DUMMYFUNCTION("""COMPUTED_VALUE"""),42895.0)</f>
        <v>42895</v>
      </c>
      <c r="F383" s="54"/>
      <c r="G383" s="19">
        <f>IFERROR(__xludf.DUMMYFUNCTION("""COMPUTED_VALUE"""),111.89999999999999)</f>
        <v>111.9</v>
      </c>
      <c r="H383" s="17">
        <f>IFERROR(__xludf.DUMMYFUNCTION("""COMPUTED_VALUE"""),39356.0)</f>
        <v>39356</v>
      </c>
      <c r="I383" s="19">
        <f>IFERROR(__xludf.DUMMYFUNCTION("""COMPUTED_VALUE"""),9.688888888888888)</f>
        <v>9.688888889</v>
      </c>
      <c r="J383" s="21">
        <f>IFERROR(__xludf.DUMMYFUNCTION("""COMPUTED_VALUE"""),63.0)</f>
        <v>63</v>
      </c>
      <c r="K383" s="23">
        <f>IFERROR(__xludf.DUMMYFUNCTION("""COMPUTED_VALUE"""),7.1)</f>
        <v>7.1</v>
      </c>
      <c r="L383" s="24">
        <f>IFERROR(__xludf.DUMMYFUNCTION("""COMPUTED_VALUE"""),7.0)</f>
        <v>7</v>
      </c>
      <c r="M383" s="25" t="str">
        <f>IFERROR(__xludf.DUMMYFUNCTION("""COMPUTED_VALUE"""),"Racing")</f>
        <v>Racing</v>
      </c>
      <c r="N383" s="25" t="str">
        <f>IFERROR(__xludf.DUMMYFUNCTION("""COMPUTED_VALUE"""),"PS3")</f>
        <v>PS3</v>
      </c>
      <c r="O383" s="26" t="str">
        <f>IFERROR(__xludf.DUMMYFUNCTION("""COMPUTED_VALUE"""),"Yes")</f>
        <v>Yes</v>
      </c>
      <c r="P383" s="26" t="str">
        <f>IFERROR(__xludf.DUMMYFUNCTION("""COMPUTED_VALUE"""),"")</f>
        <v/>
      </c>
    </row>
    <row r="384">
      <c r="A384" s="13" t="str">
        <f>IFERROR(__xludf.DUMMYFUNCTION("""COMPUTED_VALUE"""),"Phineas and Ferb: Across the 2nd Dimension")</f>
        <v>Phineas and Ferb: Across the 2nd Dimension</v>
      </c>
      <c r="B384" s="15" t="str">
        <f>IFERROR(__xludf.DUMMYFUNCTION("""COMPUTED_VALUE"""),"PS5/PS4")</f>
        <v>PS5/PS4</v>
      </c>
      <c r="C384" s="16" t="str">
        <f>IFERROR(__xludf.DUMMYFUNCTION("""COMPUTED_VALUE"""),"Premium (Streaming Only)")</f>
        <v>Premium (Streaming Only)</v>
      </c>
      <c r="D384" s="15" t="str">
        <f>IFERROR(__xludf.DUMMYFUNCTION("""COMPUTED_VALUE"""),"Active")</f>
        <v>Active</v>
      </c>
      <c r="E384" s="17">
        <f>IFERROR(__xludf.DUMMYFUNCTION("""COMPUTED_VALUE"""),42895.0)</f>
        <v>42895</v>
      </c>
      <c r="F384" s="54"/>
      <c r="G384" s="19">
        <f>IFERROR(__xludf.DUMMYFUNCTION("""COMPUTED_VALUE"""),111.89999999999999)</f>
        <v>111.9</v>
      </c>
      <c r="H384" s="17">
        <f>IFERROR(__xludf.DUMMYFUNCTION("""COMPUTED_VALUE"""),40756.0)</f>
        <v>40756</v>
      </c>
      <c r="I384" s="19">
        <f>IFERROR(__xludf.DUMMYFUNCTION("""COMPUTED_VALUE"""),5.855555555555555)</f>
        <v>5.855555556</v>
      </c>
      <c r="J384" s="21">
        <f>IFERROR(__xludf.DUMMYFUNCTION("""COMPUTED_VALUE"""),63.0)</f>
        <v>63</v>
      </c>
      <c r="K384" s="23">
        <f>IFERROR(__xludf.DUMMYFUNCTION("""COMPUTED_VALUE"""),6.8)</f>
        <v>6.8</v>
      </c>
      <c r="L384" s="24">
        <f>IFERROR(__xludf.DUMMYFUNCTION("""COMPUTED_VALUE"""),6.0)</f>
        <v>6</v>
      </c>
      <c r="M384" s="25" t="str">
        <f>IFERROR(__xludf.DUMMYFUNCTION("""COMPUTED_VALUE"""),"Action-Adventure")</f>
        <v>Action-Adventure</v>
      </c>
      <c r="N384" s="25" t="str">
        <f>IFERROR(__xludf.DUMMYFUNCTION("""COMPUTED_VALUE"""),"PS3")</f>
        <v>PS3</v>
      </c>
      <c r="O384" s="26" t="str">
        <f>IFERROR(__xludf.DUMMYFUNCTION("""COMPUTED_VALUE"""),"Yes")</f>
        <v>Yes</v>
      </c>
      <c r="P384" s="26" t="str">
        <f>IFERROR(__xludf.DUMMYFUNCTION("""COMPUTED_VALUE"""),"")</f>
        <v/>
      </c>
    </row>
    <row r="385">
      <c r="A385" s="13" t="str">
        <f>IFERROR(__xludf.DUMMYFUNCTION("""COMPUTED_VALUE"""),"Sacred Citadel")</f>
        <v>Sacred Citadel</v>
      </c>
      <c r="B385" s="15" t="str">
        <f>IFERROR(__xludf.DUMMYFUNCTION("""COMPUTED_VALUE"""),"PS5/PS4")</f>
        <v>PS5/PS4</v>
      </c>
      <c r="C385" s="16" t="str">
        <f>IFERROR(__xludf.DUMMYFUNCTION("""COMPUTED_VALUE"""),"Premium (Streaming Only)")</f>
        <v>Premium (Streaming Only)</v>
      </c>
      <c r="D385" s="15" t="str">
        <f>IFERROR(__xludf.DUMMYFUNCTION("""COMPUTED_VALUE"""),"Active")</f>
        <v>Active</v>
      </c>
      <c r="E385" s="17">
        <f>IFERROR(__xludf.DUMMYFUNCTION("""COMPUTED_VALUE"""),42402.0)</f>
        <v>42402</v>
      </c>
      <c r="F385" s="54"/>
      <c r="G385" s="19">
        <f>IFERROR(__xludf.DUMMYFUNCTION("""COMPUTED_VALUE"""),128.13333333333333)</f>
        <v>128.1333333</v>
      </c>
      <c r="H385" s="17">
        <f>IFERROR(__xludf.DUMMYFUNCTION("""COMPUTED_VALUE"""),41381.0)</f>
        <v>41381</v>
      </c>
      <c r="I385" s="19">
        <f>IFERROR(__xludf.DUMMYFUNCTION("""COMPUTED_VALUE"""),2.7916666666666665)</f>
        <v>2.791666667</v>
      </c>
      <c r="J385" s="21">
        <f>IFERROR(__xludf.DUMMYFUNCTION("""COMPUTED_VALUE"""),63.0)</f>
        <v>63</v>
      </c>
      <c r="K385" s="23">
        <f>IFERROR(__xludf.DUMMYFUNCTION("""COMPUTED_VALUE"""),6.3)</f>
        <v>6.3</v>
      </c>
      <c r="L385" s="24">
        <f>IFERROR(__xludf.DUMMYFUNCTION("""COMPUTED_VALUE"""),5.0)</f>
        <v>5</v>
      </c>
      <c r="M385" s="25" t="str">
        <f>IFERROR(__xludf.DUMMYFUNCTION("""COMPUTED_VALUE"""),"Action-Adventure")</f>
        <v>Action-Adventure</v>
      </c>
      <c r="N385" s="25" t="str">
        <f>IFERROR(__xludf.DUMMYFUNCTION("""COMPUTED_VALUE"""),"PS3")</f>
        <v>PS3</v>
      </c>
      <c r="O385" s="26" t="str">
        <f>IFERROR(__xludf.DUMMYFUNCTION("""COMPUTED_VALUE"""),"Yes")</f>
        <v>Yes</v>
      </c>
      <c r="P385" s="26"/>
    </row>
    <row r="386">
      <c r="A386" s="13" t="str">
        <f>IFERROR(__xludf.DUMMYFUNCTION("""COMPUTED_VALUE"""),"Wakeboarding HD")</f>
        <v>Wakeboarding HD</v>
      </c>
      <c r="B386" s="15" t="str">
        <f>IFERROR(__xludf.DUMMYFUNCTION("""COMPUTED_VALUE"""),"PS5/PS4")</f>
        <v>PS5/PS4</v>
      </c>
      <c r="C386" s="16" t="str">
        <f>IFERROR(__xludf.DUMMYFUNCTION("""COMPUTED_VALUE"""),"Premium (Streaming Only)")</f>
        <v>Premium (Streaming Only)</v>
      </c>
      <c r="D386" s="15" t="str">
        <f>IFERROR(__xludf.DUMMYFUNCTION("""COMPUTED_VALUE"""),"Active")</f>
        <v>Active</v>
      </c>
      <c r="E386" s="17">
        <f>IFERROR(__xludf.DUMMYFUNCTION("""COMPUTED_VALUE"""),42374.0)</f>
        <v>42374</v>
      </c>
      <c r="F386" s="54"/>
      <c r="G386" s="19">
        <f>IFERROR(__xludf.DUMMYFUNCTION("""COMPUTED_VALUE"""),129.03333333333333)</f>
        <v>129.0333333</v>
      </c>
      <c r="H386" s="17">
        <f>IFERROR(__xludf.DUMMYFUNCTION("""COMPUTED_VALUE"""),41506.0)</f>
        <v>41506</v>
      </c>
      <c r="I386" s="19">
        <f>IFERROR(__xludf.DUMMYFUNCTION("""COMPUTED_VALUE"""),2.375)</f>
        <v>2.375</v>
      </c>
      <c r="J386" s="21">
        <f>IFERROR(__xludf.DUMMYFUNCTION("""COMPUTED_VALUE"""),63.0)</f>
        <v>63</v>
      </c>
      <c r="K386" s="23"/>
      <c r="L386" s="24">
        <f>IFERROR(__xludf.DUMMYFUNCTION("""COMPUTED_VALUE"""),3.0)</f>
        <v>3</v>
      </c>
      <c r="M386" s="25" t="str">
        <f>IFERROR(__xludf.DUMMYFUNCTION("""COMPUTED_VALUE"""),"Sports")</f>
        <v>Sports</v>
      </c>
      <c r="N386" s="25" t="str">
        <f>IFERROR(__xludf.DUMMYFUNCTION("""COMPUTED_VALUE"""),"PS3")</f>
        <v>PS3</v>
      </c>
      <c r="O386" s="26" t="str">
        <f>IFERROR(__xludf.DUMMYFUNCTION("""COMPUTED_VALUE"""),"Yes")</f>
        <v>Yes</v>
      </c>
      <c r="P386" s="26" t="str">
        <f>IFERROR(__xludf.DUMMYFUNCTION("""COMPUTED_VALUE"""),"")</f>
        <v/>
      </c>
    </row>
    <row r="387">
      <c r="A387" s="13" t="str">
        <f>IFERROR(__xludf.DUMMYFUNCTION("""COMPUTED_VALUE"""),"Zombie Tycoon 2: Brainhov's Revenge")</f>
        <v>Zombie Tycoon 2: Brainhov's Revenge</v>
      </c>
      <c r="B387" s="15" t="str">
        <f>IFERROR(__xludf.DUMMYFUNCTION("""COMPUTED_VALUE"""),"PS5/PS4")</f>
        <v>PS5/PS4</v>
      </c>
      <c r="C387" s="16" t="str">
        <f>IFERROR(__xludf.DUMMYFUNCTION("""COMPUTED_VALUE"""),"Premium (Streaming Only)")</f>
        <v>Premium (Streaming Only)</v>
      </c>
      <c r="D387" s="15" t="str">
        <f>IFERROR(__xludf.DUMMYFUNCTION("""COMPUTED_VALUE"""),"Active")</f>
        <v>Active</v>
      </c>
      <c r="E387" s="17">
        <f>IFERROR(__xludf.DUMMYFUNCTION("""COMPUTED_VALUE"""),42374.0)</f>
        <v>42374</v>
      </c>
      <c r="F387" s="54"/>
      <c r="G387" s="19">
        <f>IFERROR(__xludf.DUMMYFUNCTION("""COMPUTED_VALUE"""),129.03333333333333)</f>
        <v>129.0333333</v>
      </c>
      <c r="H387" s="17">
        <f>IFERROR(__xludf.DUMMYFUNCTION("""COMPUTED_VALUE"""),41365.0)</f>
        <v>41365</v>
      </c>
      <c r="I387" s="19">
        <f>IFERROR(__xludf.DUMMYFUNCTION("""COMPUTED_VALUE"""),2.761111111111111)</f>
        <v>2.761111111</v>
      </c>
      <c r="J387" s="21">
        <f>IFERROR(__xludf.DUMMYFUNCTION("""COMPUTED_VALUE"""),63.0)</f>
        <v>63</v>
      </c>
      <c r="K387" s="23">
        <f>IFERROR(__xludf.DUMMYFUNCTION("""COMPUTED_VALUE"""),7.2)</f>
        <v>7.2</v>
      </c>
      <c r="L387" s="24">
        <f>IFERROR(__xludf.DUMMYFUNCTION("""COMPUTED_VALUE"""),5.0)</f>
        <v>5</v>
      </c>
      <c r="M387" s="25" t="str">
        <f>IFERROR(__xludf.DUMMYFUNCTION("""COMPUTED_VALUE"""),"Strategy")</f>
        <v>Strategy</v>
      </c>
      <c r="N387" s="25" t="str">
        <f>IFERROR(__xludf.DUMMYFUNCTION("""COMPUTED_VALUE"""),"PS3")</f>
        <v>PS3</v>
      </c>
      <c r="O387" s="26" t="str">
        <f>IFERROR(__xludf.DUMMYFUNCTION("""COMPUTED_VALUE"""),"Yes")</f>
        <v>Yes</v>
      </c>
      <c r="P387" s="26" t="str">
        <f>IFERROR(__xludf.DUMMYFUNCTION("""COMPUTED_VALUE"""),"")</f>
        <v/>
      </c>
    </row>
    <row r="388">
      <c r="A388" s="13" t="str">
        <f>IFERROR(__xludf.DUMMYFUNCTION("""COMPUTED_VALUE"""),"Bionic Commando: Rearmed 2")</f>
        <v>Bionic Commando: Rearmed 2</v>
      </c>
      <c r="B388" s="15" t="str">
        <f>IFERROR(__xludf.DUMMYFUNCTION("""COMPUTED_VALUE"""),"PS5/PS4")</f>
        <v>PS5/PS4</v>
      </c>
      <c r="C388" s="16" t="str">
        <f>IFERROR(__xludf.DUMMYFUNCTION("""COMPUTED_VALUE"""),"Premium (Streaming Only)")</f>
        <v>Premium (Streaming Only)</v>
      </c>
      <c r="D388" s="15" t="str">
        <f>IFERROR(__xludf.DUMMYFUNCTION("""COMPUTED_VALUE"""),"Active")</f>
        <v>Active</v>
      </c>
      <c r="E388" s="17">
        <f>IFERROR(__xludf.DUMMYFUNCTION("""COMPUTED_VALUE"""),42311.0)</f>
        <v>42311</v>
      </c>
      <c r="F388" s="54"/>
      <c r="G388" s="19">
        <f>IFERROR(__xludf.DUMMYFUNCTION("""COMPUTED_VALUE"""),131.10000000000002)</f>
        <v>131.1</v>
      </c>
      <c r="H388" s="17">
        <f>IFERROR(__xludf.DUMMYFUNCTION("""COMPUTED_VALUE"""),40575.0)</f>
        <v>40575</v>
      </c>
      <c r="I388" s="19">
        <f>IFERROR(__xludf.DUMMYFUNCTION("""COMPUTED_VALUE"""),4.7555555555555555)</f>
        <v>4.755555556</v>
      </c>
      <c r="J388" s="21">
        <f>IFERROR(__xludf.DUMMYFUNCTION("""COMPUTED_VALUE"""),63.0)</f>
        <v>63</v>
      </c>
      <c r="K388" s="23">
        <f>IFERROR(__xludf.DUMMYFUNCTION("""COMPUTED_VALUE"""),5.7)</f>
        <v>5.7</v>
      </c>
      <c r="L388" s="24">
        <f>IFERROR(__xludf.DUMMYFUNCTION("""COMPUTED_VALUE"""),5.0)</f>
        <v>5</v>
      </c>
      <c r="M388" s="25" t="str">
        <f>IFERROR(__xludf.DUMMYFUNCTION("""COMPUTED_VALUE"""),"Platformer")</f>
        <v>Platformer</v>
      </c>
      <c r="N388" s="25" t="str">
        <f>IFERROR(__xludf.DUMMYFUNCTION("""COMPUTED_VALUE"""),"PS3")</f>
        <v>PS3</v>
      </c>
      <c r="O388" s="26" t="str">
        <f>IFERROR(__xludf.DUMMYFUNCTION("""COMPUTED_VALUE"""),"Yes")</f>
        <v>Yes</v>
      </c>
      <c r="P388" s="26" t="str">
        <f>IFERROR(__xludf.DUMMYFUNCTION("""COMPUTED_VALUE"""),"Yes")</f>
        <v>Yes</v>
      </c>
    </row>
    <row r="389">
      <c r="A389" s="13" t="str">
        <f>IFERROR(__xludf.DUMMYFUNCTION("""COMPUTED_VALUE"""),"AFRIKA")</f>
        <v>AFRIKA</v>
      </c>
      <c r="B389" s="15" t="str">
        <f>IFERROR(__xludf.DUMMYFUNCTION("""COMPUTED_VALUE"""),"PS5/PS4")</f>
        <v>PS5/PS4</v>
      </c>
      <c r="C389" s="16" t="str">
        <f>IFERROR(__xludf.DUMMYFUNCTION("""COMPUTED_VALUE"""),"Premium (Streaming Only)")</f>
        <v>Premium (Streaming Only)</v>
      </c>
      <c r="D389" s="15" t="str">
        <f>IFERROR(__xludf.DUMMYFUNCTION("""COMPUTED_VALUE"""),"Active")</f>
        <v>Active</v>
      </c>
      <c r="E389" s="17">
        <f>IFERROR(__xludf.DUMMYFUNCTION("""COMPUTED_VALUE"""),42017.0)</f>
        <v>42017</v>
      </c>
      <c r="F389" s="54"/>
      <c r="G389" s="19">
        <f>IFERROR(__xludf.DUMMYFUNCTION("""COMPUTED_VALUE"""),140.76666666666668)</f>
        <v>140.7666667</v>
      </c>
      <c r="H389" s="17">
        <f>IFERROR(__xludf.DUMMYFUNCTION("""COMPUTED_VALUE"""),39661.0)</f>
        <v>39661</v>
      </c>
      <c r="I389" s="19">
        <f>IFERROR(__xludf.DUMMYFUNCTION("""COMPUTED_VALUE"""),6.45)</f>
        <v>6.45</v>
      </c>
      <c r="J389" s="21">
        <f>IFERROR(__xludf.DUMMYFUNCTION("""COMPUTED_VALUE"""),63.0)</f>
        <v>63</v>
      </c>
      <c r="K389" s="23">
        <f>IFERROR(__xludf.DUMMYFUNCTION("""COMPUTED_VALUE"""),6.2)</f>
        <v>6.2</v>
      </c>
      <c r="L389" s="24">
        <f>IFERROR(__xludf.DUMMYFUNCTION("""COMPUTED_VALUE"""),10.0)</f>
        <v>10</v>
      </c>
      <c r="M389" s="25" t="str">
        <f>IFERROR(__xludf.DUMMYFUNCTION("""COMPUTED_VALUE"""),"Simulation")</f>
        <v>Simulation</v>
      </c>
      <c r="N389" s="25" t="str">
        <f>IFERROR(__xludf.DUMMYFUNCTION("""COMPUTED_VALUE"""),"PS3")</f>
        <v>PS3</v>
      </c>
      <c r="O389" s="26" t="str">
        <f>IFERROR(__xludf.DUMMYFUNCTION("""COMPUTED_VALUE"""),"Yes")</f>
        <v>Yes</v>
      </c>
      <c r="P389" s="26" t="str">
        <f>IFERROR(__xludf.DUMMYFUNCTION("""COMPUTED_VALUE"""),"")</f>
        <v/>
      </c>
    </row>
    <row r="390">
      <c r="A390" s="13" t="str">
        <f>IFERROR(__xludf.DUMMYFUNCTION("""COMPUTED_VALUE"""),"Dynasty Warriors 7: Empires")</f>
        <v>Dynasty Warriors 7: Empires</v>
      </c>
      <c r="B390" s="15" t="str">
        <f>IFERROR(__xludf.DUMMYFUNCTION("""COMPUTED_VALUE"""),"PS5/PS4")</f>
        <v>PS5/PS4</v>
      </c>
      <c r="C390" s="16" t="str">
        <f>IFERROR(__xludf.DUMMYFUNCTION("""COMPUTED_VALUE"""),"Premium (Streaming Only)")</f>
        <v>Premium (Streaming Only)</v>
      </c>
      <c r="D390" s="15" t="str">
        <f>IFERROR(__xludf.DUMMYFUNCTION("""COMPUTED_VALUE"""),"Active")</f>
        <v>Active</v>
      </c>
      <c r="E390" s="17">
        <f>IFERROR(__xludf.DUMMYFUNCTION("""COMPUTED_VALUE"""),42017.0)</f>
        <v>42017</v>
      </c>
      <c r="F390" s="54"/>
      <c r="G390" s="19">
        <f>IFERROR(__xludf.DUMMYFUNCTION("""COMPUTED_VALUE"""),140.76666666666668)</f>
        <v>140.7666667</v>
      </c>
      <c r="H390" s="17">
        <f>IFERROR(__xludf.DUMMYFUNCTION("""COMPUTED_VALUE"""),41306.0)</f>
        <v>41306</v>
      </c>
      <c r="I390" s="19">
        <f>IFERROR(__xludf.DUMMYFUNCTION("""COMPUTED_VALUE"""),1.95)</f>
        <v>1.95</v>
      </c>
      <c r="J390" s="21">
        <f>IFERROR(__xludf.DUMMYFUNCTION("""COMPUTED_VALUE"""),63.0)</f>
        <v>63</v>
      </c>
      <c r="K390" s="23">
        <f>IFERROR(__xludf.DUMMYFUNCTION("""COMPUTED_VALUE"""),7.5)</f>
        <v>7.5</v>
      </c>
      <c r="L390" s="24">
        <f>IFERROR(__xludf.DUMMYFUNCTION("""COMPUTED_VALUE"""),25.0)</f>
        <v>25</v>
      </c>
      <c r="M390" s="25" t="str">
        <f>IFERROR(__xludf.DUMMYFUNCTION("""COMPUTED_VALUE"""),"Action-Adventure")</f>
        <v>Action-Adventure</v>
      </c>
      <c r="N390" s="25" t="str">
        <f>IFERROR(__xludf.DUMMYFUNCTION("""COMPUTED_VALUE"""),"PS3")</f>
        <v>PS3</v>
      </c>
      <c r="O390" s="26" t="str">
        <f>IFERROR(__xludf.DUMMYFUNCTION("""COMPUTED_VALUE"""),"Yes")</f>
        <v>Yes</v>
      </c>
      <c r="P390" s="26" t="str">
        <f>IFERROR(__xludf.DUMMYFUNCTION("""COMPUTED_VALUE"""),"")</f>
        <v/>
      </c>
    </row>
    <row r="391">
      <c r="A391" s="13" t="str">
        <f>IFERROR(__xludf.DUMMYFUNCTION("""COMPUTED_VALUE"""),"Earth Defense Force: Insect Armageddon")</f>
        <v>Earth Defense Force: Insect Armageddon</v>
      </c>
      <c r="B391" s="15" t="str">
        <f>IFERROR(__xludf.DUMMYFUNCTION("""COMPUTED_VALUE"""),"PS5/PS4")</f>
        <v>PS5/PS4</v>
      </c>
      <c r="C391" s="16" t="str">
        <f>IFERROR(__xludf.DUMMYFUNCTION("""COMPUTED_VALUE"""),"Premium (Streaming Only)")</f>
        <v>Premium (Streaming Only)</v>
      </c>
      <c r="D391" s="15" t="str">
        <f>IFERROR(__xludf.DUMMYFUNCTION("""COMPUTED_VALUE"""),"Active")</f>
        <v>Active</v>
      </c>
      <c r="E391" s="17">
        <f>IFERROR(__xludf.DUMMYFUNCTION("""COMPUTED_VALUE"""),42017.0)</f>
        <v>42017</v>
      </c>
      <c r="F391" s="54"/>
      <c r="G391" s="19">
        <f>IFERROR(__xludf.DUMMYFUNCTION("""COMPUTED_VALUE"""),140.76666666666668)</f>
        <v>140.7666667</v>
      </c>
      <c r="H391" s="17">
        <f>IFERROR(__xludf.DUMMYFUNCTION("""COMPUTED_VALUE"""),40725.0)</f>
        <v>40725</v>
      </c>
      <c r="I391" s="19">
        <f>IFERROR(__xludf.DUMMYFUNCTION("""COMPUTED_VALUE"""),3.533333333333333)</f>
        <v>3.533333333</v>
      </c>
      <c r="J391" s="21">
        <f>IFERROR(__xludf.DUMMYFUNCTION("""COMPUTED_VALUE"""),63.0)</f>
        <v>63</v>
      </c>
      <c r="K391" s="23">
        <f>IFERROR(__xludf.DUMMYFUNCTION("""COMPUTED_VALUE"""),7.7)</f>
        <v>7.7</v>
      </c>
      <c r="L391" s="24">
        <f>IFERROR(__xludf.DUMMYFUNCTION("""COMPUTED_VALUE"""),7.0)</f>
        <v>7</v>
      </c>
      <c r="M391" s="25" t="str">
        <f>IFERROR(__xludf.DUMMYFUNCTION("""COMPUTED_VALUE"""),"Shooter")</f>
        <v>Shooter</v>
      </c>
      <c r="N391" s="25" t="str">
        <f>IFERROR(__xludf.DUMMYFUNCTION("""COMPUTED_VALUE"""),"PS3")</f>
        <v>PS3</v>
      </c>
      <c r="O391" s="26" t="str">
        <f>IFERROR(__xludf.DUMMYFUNCTION("""COMPUTED_VALUE"""),"Yes")</f>
        <v>Yes</v>
      </c>
      <c r="P391" s="26" t="str">
        <f>IFERROR(__xludf.DUMMYFUNCTION("""COMPUTED_VALUE"""),"")</f>
        <v/>
      </c>
    </row>
    <row r="392">
      <c r="A392" s="13" t="str">
        <f>IFERROR(__xludf.DUMMYFUNCTION("""COMPUTED_VALUE"""),"Judge Dee: The City God Case")</f>
        <v>Judge Dee: The City God Case</v>
      </c>
      <c r="B392" s="15" t="str">
        <f>IFERROR(__xludf.DUMMYFUNCTION("""COMPUTED_VALUE"""),"PS5/PS4")</f>
        <v>PS5/PS4</v>
      </c>
      <c r="C392" s="16" t="str">
        <f>IFERROR(__xludf.DUMMYFUNCTION("""COMPUTED_VALUE"""),"Premium (Streaming Only)")</f>
        <v>Premium (Streaming Only)</v>
      </c>
      <c r="D392" s="15" t="str">
        <f>IFERROR(__xludf.DUMMYFUNCTION("""COMPUTED_VALUE"""),"Active")</f>
        <v>Active</v>
      </c>
      <c r="E392" s="17">
        <f>IFERROR(__xludf.DUMMYFUNCTION("""COMPUTED_VALUE"""),42017.0)</f>
        <v>42017</v>
      </c>
      <c r="F392" s="54"/>
      <c r="G392" s="19">
        <f>IFERROR(__xludf.DUMMYFUNCTION("""COMPUTED_VALUE"""),140.76666666666668)</f>
        <v>140.7666667</v>
      </c>
      <c r="H392" s="17">
        <f>IFERROR(__xludf.DUMMYFUNCTION("""COMPUTED_VALUE"""),41928.0)</f>
        <v>41928</v>
      </c>
      <c r="I392" s="19">
        <f>IFERROR(__xludf.DUMMYFUNCTION("""COMPUTED_VALUE"""),0.24166666666666667)</f>
        <v>0.2416666667</v>
      </c>
      <c r="J392" s="21">
        <f>IFERROR(__xludf.DUMMYFUNCTION("""COMPUTED_VALUE"""),63.0)</f>
        <v>63</v>
      </c>
      <c r="K392" s="23">
        <f>IFERROR(__xludf.DUMMYFUNCTION("""COMPUTED_VALUE"""),6.5)</f>
        <v>6.5</v>
      </c>
      <c r="L392" s="24">
        <f>IFERROR(__xludf.DUMMYFUNCTION("""COMPUTED_VALUE"""),5.0)</f>
        <v>5</v>
      </c>
      <c r="M392" s="25" t="str">
        <f>IFERROR(__xludf.DUMMYFUNCTION("""COMPUTED_VALUE"""),"Adventure")</f>
        <v>Adventure</v>
      </c>
      <c r="N392" s="25" t="str">
        <f>IFERROR(__xludf.DUMMYFUNCTION("""COMPUTED_VALUE"""),"PS3")</f>
        <v>PS3</v>
      </c>
      <c r="O392" s="26" t="str">
        <f>IFERROR(__xludf.DUMMYFUNCTION("""COMPUTED_VALUE"""),"Yes")</f>
        <v>Yes</v>
      </c>
      <c r="P392" s="26" t="str">
        <f>IFERROR(__xludf.DUMMYFUNCTION("""COMPUTED_VALUE"""),"")</f>
        <v/>
      </c>
    </row>
    <row r="393">
      <c r="A393" s="13" t="str">
        <f>IFERROR(__xludf.DUMMYFUNCTION("""COMPUTED_VALUE"""),"Resident Evil 6")</f>
        <v>Resident Evil 6</v>
      </c>
      <c r="B393" s="15" t="str">
        <f>IFERROR(__xludf.DUMMYFUNCTION("""COMPUTED_VALUE"""),"PS5/PS4")</f>
        <v>PS5/PS4</v>
      </c>
      <c r="C393" s="16" t="str">
        <f>IFERROR(__xludf.DUMMYFUNCTION("""COMPUTED_VALUE"""),"Premium (Streaming Only)")</f>
        <v>Premium (Streaming Only)</v>
      </c>
      <c r="D393" s="15" t="str">
        <f>IFERROR(__xludf.DUMMYFUNCTION("""COMPUTED_VALUE"""),"Active")</f>
        <v>Active</v>
      </c>
      <c r="E393" s="17">
        <f>IFERROR(__xludf.DUMMYFUNCTION("""COMPUTED_VALUE"""),42017.0)</f>
        <v>42017</v>
      </c>
      <c r="F393" s="54"/>
      <c r="G393" s="19">
        <f>IFERROR(__xludf.DUMMYFUNCTION("""COMPUTED_VALUE"""),140.76666666666668)</f>
        <v>140.7666667</v>
      </c>
      <c r="H393" s="17">
        <f>IFERROR(__xludf.DUMMYFUNCTION("""COMPUTED_VALUE"""),41184.0)</f>
        <v>41184</v>
      </c>
      <c r="I393" s="19">
        <f>IFERROR(__xludf.DUMMYFUNCTION("""COMPUTED_VALUE"""),2.2805555555555554)</f>
        <v>2.280555556</v>
      </c>
      <c r="J393" s="21">
        <f>IFERROR(__xludf.DUMMYFUNCTION("""COMPUTED_VALUE"""),63.0)</f>
        <v>63</v>
      </c>
      <c r="K393" s="23">
        <f>IFERROR(__xludf.DUMMYFUNCTION("""COMPUTED_VALUE"""),6.1)</f>
        <v>6.1</v>
      </c>
      <c r="L393" s="24">
        <f>IFERROR(__xludf.DUMMYFUNCTION("""COMPUTED_VALUE"""),21.5)</f>
        <v>21.5</v>
      </c>
      <c r="M393" s="25" t="str">
        <f>IFERROR(__xludf.DUMMYFUNCTION("""COMPUTED_VALUE"""),"Shooter")</f>
        <v>Shooter</v>
      </c>
      <c r="N393" s="25" t="str">
        <f>IFERROR(__xludf.DUMMYFUNCTION("""COMPUTED_VALUE"""),"PS3")</f>
        <v>PS3</v>
      </c>
      <c r="O393" s="26" t="str">
        <f>IFERROR(__xludf.DUMMYFUNCTION("""COMPUTED_VALUE"""),"Yes")</f>
        <v>Yes</v>
      </c>
      <c r="P393" s="26"/>
    </row>
    <row r="394">
      <c r="A394" s="13" t="str">
        <f>IFERROR(__xludf.DUMMYFUNCTION("""COMPUTED_VALUE"""),"Soldner-X: Himmelssturmer")</f>
        <v>Soldner-X: Himmelssturmer</v>
      </c>
      <c r="B394" s="15" t="str">
        <f>IFERROR(__xludf.DUMMYFUNCTION("""COMPUTED_VALUE"""),"PS5/PS4")</f>
        <v>PS5/PS4</v>
      </c>
      <c r="C394" s="16" t="str">
        <f>IFERROR(__xludf.DUMMYFUNCTION("""COMPUTED_VALUE"""),"Premium (Streaming Only)")</f>
        <v>Premium (Streaming Only)</v>
      </c>
      <c r="D394" s="15" t="str">
        <f>IFERROR(__xludf.DUMMYFUNCTION("""COMPUTED_VALUE"""),"Active")</f>
        <v>Active</v>
      </c>
      <c r="E394" s="17">
        <f>IFERROR(__xludf.DUMMYFUNCTION("""COMPUTED_VALUE"""),42017.0)</f>
        <v>42017</v>
      </c>
      <c r="F394" s="54"/>
      <c r="G394" s="19">
        <f>IFERROR(__xludf.DUMMYFUNCTION("""COMPUTED_VALUE"""),140.76666666666668)</f>
        <v>140.7666667</v>
      </c>
      <c r="H394" s="17">
        <f>IFERROR(__xludf.DUMMYFUNCTION("""COMPUTED_VALUE"""),39783.0)</f>
        <v>39783</v>
      </c>
      <c r="I394" s="19">
        <f>IFERROR(__xludf.DUMMYFUNCTION("""COMPUTED_VALUE"""),6.116666666666666)</f>
        <v>6.116666667</v>
      </c>
      <c r="J394" s="21">
        <f>IFERROR(__xludf.DUMMYFUNCTION("""COMPUTED_VALUE"""),63.0)</f>
        <v>63</v>
      </c>
      <c r="K394" s="23">
        <f>IFERROR(__xludf.DUMMYFUNCTION("""COMPUTED_VALUE"""),7.4)</f>
        <v>7.4</v>
      </c>
      <c r="L394" s="24">
        <f>IFERROR(__xludf.DUMMYFUNCTION("""COMPUTED_VALUE"""),5.0)</f>
        <v>5</v>
      </c>
      <c r="M394" s="25" t="str">
        <f>IFERROR(__xludf.DUMMYFUNCTION("""COMPUTED_VALUE"""),"Shooter")</f>
        <v>Shooter</v>
      </c>
      <c r="N394" s="25" t="str">
        <f>IFERROR(__xludf.DUMMYFUNCTION("""COMPUTED_VALUE"""),"PS3")</f>
        <v>PS3</v>
      </c>
      <c r="O394" s="26" t="str">
        <f>IFERROR(__xludf.DUMMYFUNCTION("""COMPUTED_VALUE"""),"Yes")</f>
        <v>Yes</v>
      </c>
      <c r="P394" s="26" t="str">
        <f>IFERROR(__xludf.DUMMYFUNCTION("""COMPUTED_VALUE"""),"")</f>
        <v/>
      </c>
    </row>
    <row r="395">
      <c r="A395" s="13" t="str">
        <f>IFERROR(__xludf.DUMMYFUNCTION("""COMPUTED_VALUE"""),"Star Wars: The Force Unleashed II")</f>
        <v>Star Wars: The Force Unleashed II</v>
      </c>
      <c r="B395" s="15" t="str">
        <f>IFERROR(__xludf.DUMMYFUNCTION("""COMPUTED_VALUE"""),"PS5/PS4")</f>
        <v>PS5/PS4</v>
      </c>
      <c r="C395" s="16" t="str">
        <f>IFERROR(__xludf.DUMMYFUNCTION("""COMPUTED_VALUE"""),"Premium (Streaming Only)")</f>
        <v>Premium (Streaming Only)</v>
      </c>
      <c r="D395" s="15" t="str">
        <f>IFERROR(__xludf.DUMMYFUNCTION("""COMPUTED_VALUE"""),"Active")</f>
        <v>Active</v>
      </c>
      <c r="E395" s="17">
        <f>IFERROR(__xludf.DUMMYFUNCTION("""COMPUTED_VALUE"""),42017.0)</f>
        <v>42017</v>
      </c>
      <c r="F395" s="54"/>
      <c r="G395" s="19">
        <f>IFERROR(__xludf.DUMMYFUNCTION("""COMPUTED_VALUE"""),140.76666666666668)</f>
        <v>140.7666667</v>
      </c>
      <c r="H395" s="17">
        <f>IFERROR(__xludf.DUMMYFUNCTION("""COMPUTED_VALUE"""),40452.0)</f>
        <v>40452</v>
      </c>
      <c r="I395" s="19">
        <f>IFERROR(__xludf.DUMMYFUNCTION("""COMPUTED_VALUE"""),4.283333333333333)</f>
        <v>4.283333333</v>
      </c>
      <c r="J395" s="21">
        <f>IFERROR(__xludf.DUMMYFUNCTION("""COMPUTED_VALUE"""),63.0)</f>
        <v>63</v>
      </c>
      <c r="K395" s="23">
        <f>IFERROR(__xludf.DUMMYFUNCTION("""COMPUTED_VALUE"""),5.4)</f>
        <v>5.4</v>
      </c>
      <c r="L395" s="24">
        <f>IFERROR(__xludf.DUMMYFUNCTION("""COMPUTED_VALUE"""),5.0)</f>
        <v>5</v>
      </c>
      <c r="M395" s="25" t="str">
        <f>IFERROR(__xludf.DUMMYFUNCTION("""COMPUTED_VALUE"""),"Action-Adventure")</f>
        <v>Action-Adventure</v>
      </c>
      <c r="N395" s="25" t="str">
        <f>IFERROR(__xludf.DUMMYFUNCTION("""COMPUTED_VALUE"""),"PS3")</f>
        <v>PS3</v>
      </c>
      <c r="O395" s="26" t="str">
        <f>IFERROR(__xludf.DUMMYFUNCTION("""COMPUTED_VALUE"""),"Yes")</f>
        <v>Yes</v>
      </c>
      <c r="P395" s="26" t="str">
        <f>IFERROR(__xludf.DUMMYFUNCTION("""COMPUTED_VALUE"""),"")</f>
        <v/>
      </c>
    </row>
    <row r="396">
      <c r="A396" s="13" t="str">
        <f>IFERROR(__xludf.DUMMYFUNCTION("""COMPUTED_VALUE"""),"The UnderGarden")</f>
        <v>The UnderGarden</v>
      </c>
      <c r="B396" s="15" t="str">
        <f>IFERROR(__xludf.DUMMYFUNCTION("""COMPUTED_VALUE"""),"PS5/PS4")</f>
        <v>PS5/PS4</v>
      </c>
      <c r="C396" s="16" t="str">
        <f>IFERROR(__xludf.DUMMYFUNCTION("""COMPUTED_VALUE"""),"Premium (Streaming Only)")</f>
        <v>Premium (Streaming Only)</v>
      </c>
      <c r="D396" s="15" t="str">
        <f>IFERROR(__xludf.DUMMYFUNCTION("""COMPUTED_VALUE"""),"Active")</f>
        <v>Active</v>
      </c>
      <c r="E396" s="17">
        <f>IFERROR(__xludf.DUMMYFUNCTION("""COMPUTED_VALUE"""),42017.0)</f>
        <v>42017</v>
      </c>
      <c r="F396" s="54"/>
      <c r="G396" s="19">
        <f>IFERROR(__xludf.DUMMYFUNCTION("""COMPUTED_VALUE"""),140.76666666666668)</f>
        <v>140.7666667</v>
      </c>
      <c r="H396" s="17">
        <f>IFERROR(__xludf.DUMMYFUNCTION("""COMPUTED_VALUE"""),40575.0)</f>
        <v>40575</v>
      </c>
      <c r="I396" s="19">
        <f>IFERROR(__xludf.DUMMYFUNCTION("""COMPUTED_VALUE"""),3.95)</f>
        <v>3.95</v>
      </c>
      <c r="J396" s="21">
        <f>IFERROR(__xludf.DUMMYFUNCTION("""COMPUTED_VALUE"""),63.0)</f>
        <v>63</v>
      </c>
      <c r="K396" s="23">
        <f>IFERROR(__xludf.DUMMYFUNCTION("""COMPUTED_VALUE"""),7.0)</f>
        <v>7</v>
      </c>
      <c r="L396" s="24">
        <f>IFERROR(__xludf.DUMMYFUNCTION("""COMPUTED_VALUE"""),4.0)</f>
        <v>4</v>
      </c>
      <c r="M396" s="25" t="str">
        <f>IFERROR(__xludf.DUMMYFUNCTION("""COMPUTED_VALUE"""),"Puzzle")</f>
        <v>Puzzle</v>
      </c>
      <c r="N396" s="25" t="str">
        <f>IFERROR(__xludf.DUMMYFUNCTION("""COMPUTED_VALUE"""),"PS3")</f>
        <v>PS3</v>
      </c>
      <c r="O396" s="26" t="str">
        <f>IFERROR(__xludf.DUMMYFUNCTION("""COMPUTED_VALUE"""),"Yes")</f>
        <v>Yes</v>
      </c>
      <c r="P396" s="26" t="str">
        <f>IFERROR(__xludf.DUMMYFUNCTION("""COMPUTED_VALUE"""),"")</f>
        <v/>
      </c>
    </row>
    <row r="397">
      <c r="A397" s="13" t="str">
        <f>IFERROR(__xludf.DUMMYFUNCTION("""COMPUTED_VALUE"""),"Star Wars Episode I: The Phantom Menace")</f>
        <v>Star Wars Episode I: The Phantom Menace</v>
      </c>
      <c r="B397" s="15" t="str">
        <f>IFERROR(__xludf.DUMMYFUNCTION("""COMPUTED_VALUE"""),"PS5/PS4")</f>
        <v>PS5/PS4</v>
      </c>
      <c r="C397" s="16" t="str">
        <f>IFERROR(__xludf.DUMMYFUNCTION("""COMPUTED_VALUE"""),"Premium (Classics)")</f>
        <v>Premium (Classics)</v>
      </c>
      <c r="D397" s="15" t="str">
        <f>IFERROR(__xludf.DUMMYFUNCTION("""COMPUTED_VALUE"""),"Active")</f>
        <v>Active</v>
      </c>
      <c r="E397" s="17">
        <f>IFERROR(__xludf.DUMMYFUNCTION("""COMPUTED_VALUE"""),45307.0)</f>
        <v>45307</v>
      </c>
      <c r="F397" s="54"/>
      <c r="G397" s="19">
        <f>IFERROR(__xludf.DUMMYFUNCTION("""COMPUTED_VALUE"""),32.66666666666667)</f>
        <v>32.66666667</v>
      </c>
      <c r="H397" s="17">
        <f>IFERROR(__xludf.DUMMYFUNCTION("""COMPUTED_VALUE"""),36311.0)</f>
        <v>36311</v>
      </c>
      <c r="I397" s="19">
        <f>IFERROR(__xludf.DUMMYFUNCTION("""COMPUTED_VALUE"""),24.627777777777776)</f>
        <v>24.62777778</v>
      </c>
      <c r="J397" s="21">
        <f>IFERROR(__xludf.DUMMYFUNCTION("""COMPUTED_VALUE"""),62.0)</f>
        <v>62</v>
      </c>
      <c r="K397" s="23">
        <f>IFERROR(__xludf.DUMMYFUNCTION("""COMPUTED_VALUE"""),7.4)</f>
        <v>7.4</v>
      </c>
      <c r="L397" s="24">
        <f>IFERROR(__xludf.DUMMYFUNCTION("""COMPUTED_VALUE"""),8.0)</f>
        <v>8</v>
      </c>
      <c r="M397" s="25" t="str">
        <f>IFERROR(__xludf.DUMMYFUNCTION("""COMPUTED_VALUE"""),"Action-Adventure")</f>
        <v>Action-Adventure</v>
      </c>
      <c r="N397" s="25" t="str">
        <f>IFERROR(__xludf.DUMMYFUNCTION("""COMPUTED_VALUE"""),"PS1")</f>
        <v>PS1</v>
      </c>
      <c r="O397" s="26" t="str">
        <f>IFERROR(__xludf.DUMMYFUNCTION("""COMPUTED_VALUE"""),"Yes")</f>
        <v>Yes</v>
      </c>
      <c r="P397" s="26"/>
    </row>
    <row r="398">
      <c r="A398" s="13" t="str">
        <f>IFERROR(__xludf.DUMMYFUNCTION("""COMPUTED_VALUE"""),"Dynasty Warriors 6: Empires")</f>
        <v>Dynasty Warriors 6: Empires</v>
      </c>
      <c r="B398" s="15" t="str">
        <f>IFERROR(__xludf.DUMMYFUNCTION("""COMPUTED_VALUE"""),"PS5/PS4")</f>
        <v>PS5/PS4</v>
      </c>
      <c r="C398" s="16" t="str">
        <f>IFERROR(__xludf.DUMMYFUNCTION("""COMPUTED_VALUE"""),"Premium (Streaming Only)")</f>
        <v>Premium (Streaming Only)</v>
      </c>
      <c r="D398" s="15" t="str">
        <f>IFERROR(__xludf.DUMMYFUNCTION("""COMPUTED_VALUE"""),"Active")</f>
        <v>Active</v>
      </c>
      <c r="E398" s="17">
        <f>IFERROR(__xludf.DUMMYFUNCTION("""COMPUTED_VALUE"""),42773.0)</f>
        <v>42773</v>
      </c>
      <c r="F398" s="54"/>
      <c r="G398" s="19">
        <f>IFERROR(__xludf.DUMMYFUNCTION("""COMPUTED_VALUE"""),115.96666666666667)</f>
        <v>115.9666667</v>
      </c>
      <c r="H398" s="17">
        <f>IFERROR(__xludf.DUMMYFUNCTION("""COMPUTED_VALUE"""),39965.0)</f>
        <v>39965</v>
      </c>
      <c r="I398" s="19">
        <f>IFERROR(__xludf.DUMMYFUNCTION("""COMPUTED_VALUE"""),7.683333333333334)</f>
        <v>7.683333333</v>
      </c>
      <c r="J398" s="21">
        <f>IFERROR(__xludf.DUMMYFUNCTION("""COMPUTED_VALUE"""),62.0)</f>
        <v>62</v>
      </c>
      <c r="K398" s="23">
        <f>IFERROR(__xludf.DUMMYFUNCTION("""COMPUTED_VALUE"""),7.2)</f>
        <v>7.2</v>
      </c>
      <c r="L398" s="24">
        <f>IFERROR(__xludf.DUMMYFUNCTION("""COMPUTED_VALUE"""),25.0)</f>
        <v>25</v>
      </c>
      <c r="M398" s="25" t="str">
        <f>IFERROR(__xludf.DUMMYFUNCTION("""COMPUTED_VALUE"""),"Action-Adventure")</f>
        <v>Action-Adventure</v>
      </c>
      <c r="N398" s="25" t="str">
        <f>IFERROR(__xludf.DUMMYFUNCTION("""COMPUTED_VALUE"""),"PS3")</f>
        <v>PS3</v>
      </c>
      <c r="O398" s="26" t="str">
        <f>IFERROR(__xludf.DUMMYFUNCTION("""COMPUTED_VALUE"""),"Yes")</f>
        <v>Yes</v>
      </c>
      <c r="P398" s="26" t="str">
        <f>IFERROR(__xludf.DUMMYFUNCTION("""COMPUTED_VALUE"""),"")</f>
        <v/>
      </c>
    </row>
    <row r="399">
      <c r="A399" s="13" t="str">
        <f>IFERROR(__xludf.DUMMYFUNCTION("""COMPUTED_VALUE"""),"Armageddon Riders")</f>
        <v>Armageddon Riders</v>
      </c>
      <c r="B399" s="15" t="str">
        <f>IFERROR(__xludf.DUMMYFUNCTION("""COMPUTED_VALUE"""),"PS5/PS4")</f>
        <v>PS5/PS4</v>
      </c>
      <c r="C399" s="16" t="str">
        <f>IFERROR(__xludf.DUMMYFUNCTION("""COMPUTED_VALUE"""),"Premium (Streaming Only)")</f>
        <v>Premium (Streaming Only)</v>
      </c>
      <c r="D399" s="15" t="str">
        <f>IFERROR(__xludf.DUMMYFUNCTION("""COMPUTED_VALUE"""),"Active")</f>
        <v>Active</v>
      </c>
      <c r="E399" s="17">
        <f>IFERROR(__xludf.DUMMYFUNCTION("""COMPUTED_VALUE"""),42374.0)</f>
        <v>42374</v>
      </c>
      <c r="F399" s="54"/>
      <c r="G399" s="19">
        <f>IFERROR(__xludf.DUMMYFUNCTION("""COMPUTED_VALUE"""),129.03333333333333)</f>
        <v>129.0333333</v>
      </c>
      <c r="H399" s="17">
        <f>IFERROR(__xludf.DUMMYFUNCTION("""COMPUTED_VALUE"""),40078.0)</f>
        <v>40078</v>
      </c>
      <c r="I399" s="19">
        <f>IFERROR(__xludf.DUMMYFUNCTION("""COMPUTED_VALUE"""),6.286111111111111)</f>
        <v>6.286111111</v>
      </c>
      <c r="J399" s="21">
        <f>IFERROR(__xludf.DUMMYFUNCTION("""COMPUTED_VALUE"""),62.0)</f>
        <v>62</v>
      </c>
      <c r="K399" s="23"/>
      <c r="L399" s="24"/>
      <c r="M399" s="25" t="str">
        <f>IFERROR(__xludf.DUMMYFUNCTION("""COMPUTED_VALUE"""),"Racing")</f>
        <v>Racing</v>
      </c>
      <c r="N399" s="25" t="str">
        <f>IFERROR(__xludf.DUMMYFUNCTION("""COMPUTED_VALUE"""),"PS3")</f>
        <v>PS3</v>
      </c>
      <c r="O399" s="26" t="str">
        <f>IFERROR(__xludf.DUMMYFUNCTION("""COMPUTED_VALUE"""),"Yes")</f>
        <v>Yes</v>
      </c>
      <c r="P399" s="26" t="str">
        <f>IFERROR(__xludf.DUMMYFUNCTION("""COMPUTED_VALUE"""),"Yes")</f>
        <v>Yes</v>
      </c>
    </row>
    <row r="400">
      <c r="A400" s="13" t="str">
        <f>IFERROR(__xludf.DUMMYFUNCTION("""COMPUTED_VALUE"""),"Thunder Wolves")</f>
        <v>Thunder Wolves</v>
      </c>
      <c r="B400" s="15" t="str">
        <f>IFERROR(__xludf.DUMMYFUNCTION("""COMPUTED_VALUE"""),"PS5/PS4")</f>
        <v>PS5/PS4</v>
      </c>
      <c r="C400" s="16" t="str">
        <f>IFERROR(__xludf.DUMMYFUNCTION("""COMPUTED_VALUE"""),"Premium (Streaming Only)")</f>
        <v>Premium (Streaming Only)</v>
      </c>
      <c r="D400" s="15" t="str">
        <f>IFERROR(__xludf.DUMMYFUNCTION("""COMPUTED_VALUE"""),"Active")</f>
        <v>Active</v>
      </c>
      <c r="E400" s="17">
        <f>IFERROR(__xludf.DUMMYFUNCTION("""COMPUTED_VALUE"""),42311.0)</f>
        <v>42311</v>
      </c>
      <c r="F400" s="54"/>
      <c r="G400" s="19">
        <f>IFERROR(__xludf.DUMMYFUNCTION("""COMPUTED_VALUE"""),131.10000000000002)</f>
        <v>131.1</v>
      </c>
      <c r="H400" s="17">
        <f>IFERROR(__xludf.DUMMYFUNCTION("""COMPUTED_VALUE"""),41487.0)</f>
        <v>41487</v>
      </c>
      <c r="I400" s="19">
        <f>IFERROR(__xludf.DUMMYFUNCTION("""COMPUTED_VALUE"""),2.2555555555555555)</f>
        <v>2.255555556</v>
      </c>
      <c r="J400" s="21">
        <f>IFERROR(__xludf.DUMMYFUNCTION("""COMPUTED_VALUE"""),62.0)</f>
        <v>62</v>
      </c>
      <c r="K400" s="23">
        <f>IFERROR(__xludf.DUMMYFUNCTION("""COMPUTED_VALUE"""),6.0)</f>
        <v>6</v>
      </c>
      <c r="L400" s="24">
        <f>IFERROR(__xludf.DUMMYFUNCTION("""COMPUTED_VALUE"""),4.0)</f>
        <v>4</v>
      </c>
      <c r="M400" s="25" t="str">
        <f>IFERROR(__xludf.DUMMYFUNCTION("""COMPUTED_VALUE"""),"Shooter")</f>
        <v>Shooter</v>
      </c>
      <c r="N400" s="25" t="str">
        <f>IFERROR(__xludf.DUMMYFUNCTION("""COMPUTED_VALUE"""),"PS3")</f>
        <v>PS3</v>
      </c>
      <c r="O400" s="26" t="str">
        <f>IFERROR(__xludf.DUMMYFUNCTION("""COMPUTED_VALUE"""),"Yes")</f>
        <v>Yes</v>
      </c>
      <c r="P400" s="26" t="str">
        <f>IFERROR(__xludf.DUMMYFUNCTION("""COMPUTED_VALUE"""),"")</f>
        <v/>
      </c>
    </row>
    <row r="401">
      <c r="A401" s="13" t="str">
        <f>IFERROR(__xludf.DUMMYFUNCTION("""COMPUTED_VALUE"""),"Skydive: Proximity Flight")</f>
        <v>Skydive: Proximity Flight</v>
      </c>
      <c r="B401" s="15" t="str">
        <f>IFERROR(__xludf.DUMMYFUNCTION("""COMPUTED_VALUE"""),"PS5/PS4")</f>
        <v>PS5/PS4</v>
      </c>
      <c r="C401" s="16" t="str">
        <f>IFERROR(__xludf.DUMMYFUNCTION("""COMPUTED_VALUE"""),"Premium (Streaming Only)")</f>
        <v>Premium (Streaming Only)</v>
      </c>
      <c r="D401" s="15" t="str">
        <f>IFERROR(__xludf.DUMMYFUNCTION("""COMPUTED_VALUE"""),"Active")</f>
        <v>Active</v>
      </c>
      <c r="E401" s="17">
        <f>IFERROR(__xludf.DUMMYFUNCTION("""COMPUTED_VALUE"""),42017.0)</f>
        <v>42017</v>
      </c>
      <c r="F401" s="54"/>
      <c r="G401" s="19">
        <f>IFERROR(__xludf.DUMMYFUNCTION("""COMPUTED_VALUE"""),140.76666666666668)</f>
        <v>140.7666667</v>
      </c>
      <c r="H401" s="17">
        <f>IFERROR(__xludf.DUMMYFUNCTION("""COMPUTED_VALUE"""),41548.0)</f>
        <v>41548</v>
      </c>
      <c r="I401" s="19">
        <f>IFERROR(__xludf.DUMMYFUNCTION("""COMPUTED_VALUE"""),1.2833333333333334)</f>
        <v>1.283333333</v>
      </c>
      <c r="J401" s="21">
        <f>IFERROR(__xludf.DUMMYFUNCTION("""COMPUTED_VALUE"""),62.0)</f>
        <v>62</v>
      </c>
      <c r="K401" s="23">
        <f>IFERROR(__xludf.DUMMYFUNCTION("""COMPUTED_VALUE"""),6.4)</f>
        <v>6.4</v>
      </c>
      <c r="L401" s="24">
        <f>IFERROR(__xludf.DUMMYFUNCTION("""COMPUTED_VALUE"""),3.0)</f>
        <v>3</v>
      </c>
      <c r="M401" s="25" t="str">
        <f>IFERROR(__xludf.DUMMYFUNCTION("""COMPUTED_VALUE"""),"Sports")</f>
        <v>Sports</v>
      </c>
      <c r="N401" s="25" t="str">
        <f>IFERROR(__xludf.DUMMYFUNCTION("""COMPUTED_VALUE"""),"PS3")</f>
        <v>PS3</v>
      </c>
      <c r="O401" s="26" t="str">
        <f>IFERROR(__xludf.DUMMYFUNCTION("""COMPUTED_VALUE"""),"Yes")</f>
        <v>Yes</v>
      </c>
      <c r="P401" s="26" t="str">
        <f>IFERROR(__xludf.DUMMYFUNCTION("""COMPUTED_VALUE"""),"")</f>
        <v/>
      </c>
    </row>
    <row r="402">
      <c r="A402" s="13" t="str">
        <f>IFERROR(__xludf.DUMMYFUNCTION("""COMPUTED_VALUE"""),"Outcast: Second Contact")</f>
        <v>Outcast: Second Contact</v>
      </c>
      <c r="B402" s="15" t="str">
        <f>IFERROR(__xludf.DUMMYFUNCTION("""COMPUTED_VALUE"""),"PS4")</f>
        <v>PS4</v>
      </c>
      <c r="C402" s="16" t="str">
        <f>IFERROR(__xludf.DUMMYFUNCTION("""COMPUTED_VALUE"""),"Premium (Remasters)")</f>
        <v>Premium (Remasters)</v>
      </c>
      <c r="D402" s="15" t="str">
        <f>IFERROR(__xludf.DUMMYFUNCTION("""COMPUTED_VALUE"""),"Active")</f>
        <v>Active</v>
      </c>
      <c r="E402" s="17">
        <f>IFERROR(__xludf.DUMMYFUNCTION("""COMPUTED_VALUE"""),44725.0)</f>
        <v>44725</v>
      </c>
      <c r="F402" s="54"/>
      <c r="G402" s="19">
        <f>IFERROR(__xludf.DUMMYFUNCTION("""COMPUTED_VALUE"""),51.766666666666666)</f>
        <v>51.76666667</v>
      </c>
      <c r="H402" s="17">
        <f>IFERROR(__xludf.DUMMYFUNCTION("""COMPUTED_VALUE"""),43040.0)</f>
        <v>43040</v>
      </c>
      <c r="I402" s="19">
        <f>IFERROR(__xludf.DUMMYFUNCTION("""COMPUTED_VALUE"""),4.616666666666666)</f>
        <v>4.616666667</v>
      </c>
      <c r="J402" s="21">
        <f>IFERROR(__xludf.DUMMYFUNCTION("""COMPUTED_VALUE"""),61.0)</f>
        <v>61</v>
      </c>
      <c r="K402" s="23">
        <f>IFERROR(__xludf.DUMMYFUNCTION("""COMPUTED_VALUE"""),6.6)</f>
        <v>6.6</v>
      </c>
      <c r="L402" s="24">
        <f>IFERROR(__xludf.DUMMYFUNCTION("""COMPUTED_VALUE"""),15.0)</f>
        <v>15</v>
      </c>
      <c r="M402" s="25" t="str">
        <f>IFERROR(__xludf.DUMMYFUNCTION("""COMPUTED_VALUE"""),"Action-Adventure")</f>
        <v>Action-Adventure</v>
      </c>
      <c r="N402" s="25" t="str">
        <f>IFERROR(__xludf.DUMMYFUNCTION("""COMPUTED_VALUE"""),"Windows")</f>
        <v>Windows</v>
      </c>
      <c r="O402" s="26" t="str">
        <f>IFERROR(__xludf.DUMMYFUNCTION("""COMPUTED_VALUE"""),"Yes")</f>
        <v>Yes</v>
      </c>
      <c r="P402" s="26"/>
    </row>
    <row r="403">
      <c r="A403" s="13" t="str">
        <f>IFERROR(__xludf.DUMMYFUNCTION("""COMPUTED_VALUE"""),"MX vs. ATV: Alive")</f>
        <v>MX vs. ATV: Alive</v>
      </c>
      <c r="B403" s="15" t="str">
        <f>IFERROR(__xludf.DUMMYFUNCTION("""COMPUTED_VALUE"""),"PS5/PS4")</f>
        <v>PS5/PS4</v>
      </c>
      <c r="C403" s="16" t="str">
        <f>IFERROR(__xludf.DUMMYFUNCTION("""COMPUTED_VALUE"""),"Premium (Streaming Only)")</f>
        <v>Premium (Streaming Only)</v>
      </c>
      <c r="D403" s="15" t="str">
        <f>IFERROR(__xludf.DUMMYFUNCTION("""COMPUTED_VALUE"""),"Active")</f>
        <v>Active</v>
      </c>
      <c r="E403" s="17">
        <f>IFERROR(__xludf.DUMMYFUNCTION("""COMPUTED_VALUE"""),44725.0)</f>
        <v>44725</v>
      </c>
      <c r="F403" s="54"/>
      <c r="G403" s="19">
        <f>IFERROR(__xludf.DUMMYFUNCTION("""COMPUTED_VALUE"""),51.766666666666666)</f>
        <v>51.76666667</v>
      </c>
      <c r="H403" s="17">
        <f>IFERROR(__xludf.DUMMYFUNCTION("""COMPUTED_VALUE"""),40664.0)</f>
        <v>40664</v>
      </c>
      <c r="I403" s="19">
        <f>IFERROR(__xludf.DUMMYFUNCTION("""COMPUTED_VALUE"""),11.116666666666667)</f>
        <v>11.11666667</v>
      </c>
      <c r="J403" s="21">
        <f>IFERROR(__xludf.DUMMYFUNCTION("""COMPUTED_VALUE"""),61.0)</f>
        <v>61</v>
      </c>
      <c r="K403" s="23">
        <f>IFERROR(__xludf.DUMMYFUNCTION("""COMPUTED_VALUE"""),6.8)</f>
        <v>6.8</v>
      </c>
      <c r="L403" s="24">
        <f>IFERROR(__xludf.DUMMYFUNCTION("""COMPUTED_VALUE"""),10.0)</f>
        <v>10</v>
      </c>
      <c r="M403" s="25" t="str">
        <f>IFERROR(__xludf.DUMMYFUNCTION("""COMPUTED_VALUE"""),"Racing")</f>
        <v>Racing</v>
      </c>
      <c r="N403" s="25" t="str">
        <f>IFERROR(__xludf.DUMMYFUNCTION("""COMPUTED_VALUE"""),"PS3")</f>
        <v>PS3</v>
      </c>
      <c r="O403" s="26" t="str">
        <f>IFERROR(__xludf.DUMMYFUNCTION("""COMPUTED_VALUE"""),"Yes")</f>
        <v>Yes</v>
      </c>
      <c r="P403" s="26" t="str">
        <f>IFERROR(__xludf.DUMMYFUNCTION("""COMPUTED_VALUE"""),"")</f>
        <v/>
      </c>
    </row>
    <row r="404">
      <c r="A404" s="13" t="str">
        <f>IFERROR(__xludf.DUMMYFUNCTION("""COMPUTED_VALUE"""),"Cars Race-O-Rama")</f>
        <v>Cars Race-O-Rama</v>
      </c>
      <c r="B404" s="15" t="str">
        <f>IFERROR(__xludf.DUMMYFUNCTION("""COMPUTED_VALUE"""),"PS5/PS4")</f>
        <v>PS5/PS4</v>
      </c>
      <c r="C404" s="16" t="str">
        <f>IFERROR(__xludf.DUMMYFUNCTION("""COMPUTED_VALUE"""),"Premium (Streaming Only)")</f>
        <v>Premium (Streaming Only)</v>
      </c>
      <c r="D404" s="15" t="str">
        <f>IFERROR(__xludf.DUMMYFUNCTION("""COMPUTED_VALUE"""),"Active")</f>
        <v>Active</v>
      </c>
      <c r="E404" s="17">
        <f>IFERROR(__xludf.DUMMYFUNCTION("""COMPUTED_VALUE"""),42895.0)</f>
        <v>42895</v>
      </c>
      <c r="F404" s="54"/>
      <c r="G404" s="19">
        <f>IFERROR(__xludf.DUMMYFUNCTION("""COMPUTED_VALUE"""),111.89999999999999)</f>
        <v>111.9</v>
      </c>
      <c r="H404" s="17">
        <f>IFERROR(__xludf.DUMMYFUNCTION("""COMPUTED_VALUE"""),40087.0)</f>
        <v>40087</v>
      </c>
      <c r="I404" s="19">
        <f>IFERROR(__xludf.DUMMYFUNCTION("""COMPUTED_VALUE"""),7.688888888888889)</f>
        <v>7.688888889</v>
      </c>
      <c r="J404" s="21">
        <f>IFERROR(__xludf.DUMMYFUNCTION("""COMPUTED_VALUE"""),61.0)</f>
        <v>61</v>
      </c>
      <c r="K404" s="23">
        <f>IFERROR(__xludf.DUMMYFUNCTION("""COMPUTED_VALUE"""),6.8)</f>
        <v>6.8</v>
      </c>
      <c r="L404" s="24">
        <f>IFERROR(__xludf.DUMMYFUNCTION("""COMPUTED_VALUE"""),7.0)</f>
        <v>7</v>
      </c>
      <c r="M404" s="25" t="str">
        <f>IFERROR(__xludf.DUMMYFUNCTION("""COMPUTED_VALUE"""),"Racing")</f>
        <v>Racing</v>
      </c>
      <c r="N404" s="25" t="str">
        <f>IFERROR(__xludf.DUMMYFUNCTION("""COMPUTED_VALUE"""),"PS3")</f>
        <v>PS3</v>
      </c>
      <c r="O404" s="26" t="str">
        <f>IFERROR(__xludf.DUMMYFUNCTION("""COMPUTED_VALUE"""),"Yes")</f>
        <v>Yes</v>
      </c>
      <c r="P404" s="26" t="str">
        <f>IFERROR(__xludf.DUMMYFUNCTION("""COMPUTED_VALUE"""),"")</f>
        <v/>
      </c>
    </row>
    <row r="405">
      <c r="A405" s="13" t="str">
        <f>IFERROR(__xludf.DUMMYFUNCTION("""COMPUTED_VALUE"""),"Hamsterball")</f>
        <v>Hamsterball</v>
      </c>
      <c r="B405" s="15" t="str">
        <f>IFERROR(__xludf.DUMMYFUNCTION("""COMPUTED_VALUE"""),"PS5/PS4")</f>
        <v>PS5/PS4</v>
      </c>
      <c r="C405" s="16" t="str">
        <f>IFERROR(__xludf.DUMMYFUNCTION("""COMPUTED_VALUE"""),"Premium (Streaming Only)")</f>
        <v>Premium (Streaming Only)</v>
      </c>
      <c r="D405" s="15" t="str">
        <f>IFERROR(__xludf.DUMMYFUNCTION("""COMPUTED_VALUE"""),"Active")</f>
        <v>Active</v>
      </c>
      <c r="E405" s="17">
        <f>IFERROR(__xludf.DUMMYFUNCTION("""COMPUTED_VALUE"""),42493.0)</f>
        <v>42493</v>
      </c>
      <c r="F405" s="54"/>
      <c r="G405" s="19">
        <f>IFERROR(__xludf.DUMMYFUNCTION("""COMPUTED_VALUE"""),125.10000000000001)</f>
        <v>125.1</v>
      </c>
      <c r="H405" s="17">
        <f>IFERROR(__xludf.DUMMYFUNCTION("""COMPUTED_VALUE"""),40238.0)</f>
        <v>40238</v>
      </c>
      <c r="I405" s="19">
        <f>IFERROR(__xludf.DUMMYFUNCTION("""COMPUTED_VALUE"""),6.1722222222222225)</f>
        <v>6.172222222</v>
      </c>
      <c r="J405" s="21">
        <f>IFERROR(__xludf.DUMMYFUNCTION("""COMPUTED_VALUE"""),61.0)</f>
        <v>61</v>
      </c>
      <c r="K405" s="23">
        <f>IFERROR(__xludf.DUMMYFUNCTION("""COMPUTED_VALUE"""),7.1)</f>
        <v>7.1</v>
      </c>
      <c r="L405" s="24">
        <f>IFERROR(__xludf.DUMMYFUNCTION("""COMPUTED_VALUE"""),3.0)</f>
        <v>3</v>
      </c>
      <c r="M405" s="25" t="str">
        <f>IFERROR(__xludf.DUMMYFUNCTION("""COMPUTED_VALUE"""),"Arcade")</f>
        <v>Arcade</v>
      </c>
      <c r="N405" s="25" t="str">
        <f>IFERROR(__xludf.DUMMYFUNCTION("""COMPUTED_VALUE"""),"PS3")</f>
        <v>PS3</v>
      </c>
      <c r="O405" s="26" t="str">
        <f>IFERROR(__xludf.DUMMYFUNCTION("""COMPUTED_VALUE"""),"Yes")</f>
        <v>Yes</v>
      </c>
      <c r="P405" s="26" t="str">
        <f>IFERROR(__xludf.DUMMYFUNCTION("""COMPUTED_VALUE"""),"")</f>
        <v/>
      </c>
    </row>
    <row r="406">
      <c r="A406" s="13" t="str">
        <f>IFERROR(__xludf.DUMMYFUNCTION("""COMPUTED_VALUE"""),"Ragnarok Odyssey ACE")</f>
        <v>Ragnarok Odyssey ACE</v>
      </c>
      <c r="B406" s="15" t="str">
        <f>IFERROR(__xludf.DUMMYFUNCTION("""COMPUTED_VALUE"""),"PS5/PS4")</f>
        <v>PS5/PS4</v>
      </c>
      <c r="C406" s="16" t="str">
        <f>IFERROR(__xludf.DUMMYFUNCTION("""COMPUTED_VALUE"""),"Premium (Streaming Only)")</f>
        <v>Premium (Streaming Only)</v>
      </c>
      <c r="D406" s="15" t="str">
        <f>IFERROR(__xludf.DUMMYFUNCTION("""COMPUTED_VALUE"""),"Active")</f>
        <v>Active</v>
      </c>
      <c r="E406" s="17">
        <f>IFERROR(__xludf.DUMMYFUNCTION("""COMPUTED_VALUE"""),42374.0)</f>
        <v>42374</v>
      </c>
      <c r="F406" s="54"/>
      <c r="G406" s="19">
        <f>IFERROR(__xludf.DUMMYFUNCTION("""COMPUTED_VALUE"""),129.03333333333333)</f>
        <v>129.0333333</v>
      </c>
      <c r="H406" s="17">
        <f>IFERROR(__xludf.DUMMYFUNCTION("""COMPUTED_VALUE"""),41730.0)</f>
        <v>41730</v>
      </c>
      <c r="I406" s="19">
        <f>IFERROR(__xludf.DUMMYFUNCTION("""COMPUTED_VALUE"""),1.761111111111111)</f>
        <v>1.761111111</v>
      </c>
      <c r="J406" s="21">
        <f>IFERROR(__xludf.DUMMYFUNCTION("""COMPUTED_VALUE"""),61.0)</f>
        <v>61</v>
      </c>
      <c r="K406" s="23">
        <f>IFERROR(__xludf.DUMMYFUNCTION("""COMPUTED_VALUE"""),7.2)</f>
        <v>7.2</v>
      </c>
      <c r="L406" s="24">
        <f>IFERROR(__xludf.DUMMYFUNCTION("""COMPUTED_VALUE"""),30.0)</f>
        <v>30</v>
      </c>
      <c r="M406" s="25" t="str">
        <f>IFERROR(__xludf.DUMMYFUNCTION("""COMPUTED_VALUE"""),"RPG")</f>
        <v>RPG</v>
      </c>
      <c r="N406" s="25" t="str">
        <f>IFERROR(__xludf.DUMMYFUNCTION("""COMPUTED_VALUE"""),"PS3")</f>
        <v>PS3</v>
      </c>
      <c r="O406" s="26" t="str">
        <f>IFERROR(__xludf.DUMMYFUNCTION("""COMPUTED_VALUE"""),"Yes")</f>
        <v>Yes</v>
      </c>
      <c r="P406" s="26" t="str">
        <f>IFERROR(__xludf.DUMMYFUNCTION("""COMPUTED_VALUE"""),"")</f>
        <v/>
      </c>
    </row>
    <row r="407">
      <c r="A407" s="13" t="str">
        <f>IFERROR(__xludf.DUMMYFUNCTION("""COMPUTED_VALUE"""),"Smash Cars")</f>
        <v>Smash Cars</v>
      </c>
      <c r="B407" s="15" t="str">
        <f>IFERROR(__xludf.DUMMYFUNCTION("""COMPUTED_VALUE"""),"PS5/PS4")</f>
        <v>PS5/PS4</v>
      </c>
      <c r="C407" s="16" t="str">
        <f>IFERROR(__xludf.DUMMYFUNCTION("""COMPUTED_VALUE"""),"Premium (Streaming Only)")</f>
        <v>Premium (Streaming Only)</v>
      </c>
      <c r="D407" s="15" t="str">
        <f>IFERROR(__xludf.DUMMYFUNCTION("""COMPUTED_VALUE"""),"Active")</f>
        <v>Active</v>
      </c>
      <c r="E407" s="17">
        <f>IFERROR(__xludf.DUMMYFUNCTION("""COMPUTED_VALUE"""),42374.0)</f>
        <v>42374</v>
      </c>
      <c r="F407" s="54"/>
      <c r="G407" s="19">
        <f>IFERROR(__xludf.DUMMYFUNCTION("""COMPUTED_VALUE"""),129.03333333333333)</f>
        <v>129.0333333</v>
      </c>
      <c r="H407" s="17">
        <f>IFERROR(__xludf.DUMMYFUNCTION("""COMPUTED_VALUE"""),40026.0)</f>
        <v>40026</v>
      </c>
      <c r="I407" s="19">
        <f>IFERROR(__xludf.DUMMYFUNCTION("""COMPUTED_VALUE"""),6.427777777777778)</f>
        <v>6.427777778</v>
      </c>
      <c r="J407" s="21">
        <f>IFERROR(__xludf.DUMMYFUNCTION("""COMPUTED_VALUE"""),61.0)</f>
        <v>61</v>
      </c>
      <c r="K407" s="23">
        <f>IFERROR(__xludf.DUMMYFUNCTION("""COMPUTED_VALUE"""),6.8)</f>
        <v>6.8</v>
      </c>
      <c r="L407" s="24">
        <f>IFERROR(__xludf.DUMMYFUNCTION("""COMPUTED_VALUE"""),4.0)</f>
        <v>4</v>
      </c>
      <c r="M407" s="25" t="str">
        <f>IFERROR(__xludf.DUMMYFUNCTION("""COMPUTED_VALUE"""),"Racing")</f>
        <v>Racing</v>
      </c>
      <c r="N407" s="25" t="str">
        <f>IFERROR(__xludf.DUMMYFUNCTION("""COMPUTED_VALUE"""),"PS3")</f>
        <v>PS3</v>
      </c>
      <c r="O407" s="26" t="str">
        <f>IFERROR(__xludf.DUMMYFUNCTION("""COMPUTED_VALUE"""),"Yes")</f>
        <v>Yes</v>
      </c>
      <c r="P407" s="26" t="str">
        <f>IFERROR(__xludf.DUMMYFUNCTION("""COMPUTED_VALUE"""),"")</f>
        <v/>
      </c>
    </row>
    <row r="408">
      <c r="A408" s="13" t="str">
        <f>IFERROR(__xludf.DUMMYFUNCTION("""COMPUTED_VALUE"""),"Lost Planet 3")</f>
        <v>Lost Planet 3</v>
      </c>
      <c r="B408" s="15" t="str">
        <f>IFERROR(__xludf.DUMMYFUNCTION("""COMPUTED_VALUE"""),"PS5/PS4")</f>
        <v>PS5/PS4</v>
      </c>
      <c r="C408" s="16" t="str">
        <f>IFERROR(__xludf.DUMMYFUNCTION("""COMPUTED_VALUE"""),"Premium (Streaming Only)")</f>
        <v>Premium (Streaming Only)</v>
      </c>
      <c r="D408" s="15" t="str">
        <f>IFERROR(__xludf.DUMMYFUNCTION("""COMPUTED_VALUE"""),"Active")</f>
        <v>Active</v>
      </c>
      <c r="E408" s="17">
        <f>IFERROR(__xludf.DUMMYFUNCTION("""COMPUTED_VALUE"""),42311.0)</f>
        <v>42311</v>
      </c>
      <c r="F408" s="54"/>
      <c r="G408" s="19">
        <f>IFERROR(__xludf.DUMMYFUNCTION("""COMPUTED_VALUE"""),131.10000000000002)</f>
        <v>131.1</v>
      </c>
      <c r="H408" s="17">
        <f>IFERROR(__xludf.DUMMYFUNCTION("""COMPUTED_VALUE"""),41487.0)</f>
        <v>41487</v>
      </c>
      <c r="I408" s="19">
        <f>IFERROR(__xludf.DUMMYFUNCTION("""COMPUTED_VALUE"""),2.2555555555555555)</f>
        <v>2.255555556</v>
      </c>
      <c r="J408" s="21">
        <f>IFERROR(__xludf.DUMMYFUNCTION("""COMPUTED_VALUE"""),61.0)</f>
        <v>61</v>
      </c>
      <c r="K408" s="23">
        <f>IFERROR(__xludf.DUMMYFUNCTION("""COMPUTED_VALUE"""),6.5)</f>
        <v>6.5</v>
      </c>
      <c r="L408" s="24">
        <f>IFERROR(__xludf.DUMMYFUNCTION("""COMPUTED_VALUE"""),11.0)</f>
        <v>11</v>
      </c>
      <c r="M408" s="25" t="str">
        <f>IFERROR(__xludf.DUMMYFUNCTION("""COMPUTED_VALUE"""),"Shooter")</f>
        <v>Shooter</v>
      </c>
      <c r="N408" s="25" t="str">
        <f>IFERROR(__xludf.DUMMYFUNCTION("""COMPUTED_VALUE"""),"PS3")</f>
        <v>PS3</v>
      </c>
      <c r="O408" s="26" t="str">
        <f>IFERROR(__xludf.DUMMYFUNCTION("""COMPUTED_VALUE"""),"Yes")</f>
        <v>Yes</v>
      </c>
      <c r="P408" s="26" t="str">
        <f>IFERROR(__xludf.DUMMYFUNCTION("""COMPUTED_VALUE"""),"")</f>
        <v/>
      </c>
    </row>
    <row r="409">
      <c r="A409" s="13" t="str">
        <f>IFERROR(__xludf.DUMMYFUNCTION("""COMPUTED_VALUE"""),"Blade Dancer: Lineage of Light")</f>
        <v>Blade Dancer: Lineage of Light</v>
      </c>
      <c r="B409" s="15" t="str">
        <f>IFERROR(__xludf.DUMMYFUNCTION("""COMPUTED_VALUE"""),"PS5/PS4")</f>
        <v>PS5/PS4</v>
      </c>
      <c r="C409" s="16" t="str">
        <f>IFERROR(__xludf.DUMMYFUNCTION("""COMPUTED_VALUE"""),"Premium (Classics)")</f>
        <v>Premium (Classics)</v>
      </c>
      <c r="D409" s="15" t="str">
        <f>IFERROR(__xludf.DUMMYFUNCTION("""COMPUTED_VALUE"""),"Active")</f>
        <v>Active</v>
      </c>
      <c r="E409" s="17">
        <f>IFERROR(__xludf.DUMMYFUNCTION("""COMPUTED_VALUE"""),45062.0)</f>
        <v>45062</v>
      </c>
      <c r="F409" s="54"/>
      <c r="G409" s="19">
        <f>IFERROR(__xludf.DUMMYFUNCTION("""COMPUTED_VALUE"""),40.666666666666664)</f>
        <v>40.66666667</v>
      </c>
      <c r="H409" s="17">
        <f>IFERROR(__xludf.DUMMYFUNCTION("""COMPUTED_VALUE"""),38899.0)</f>
        <v>38899</v>
      </c>
      <c r="I409" s="19">
        <f>IFERROR(__xludf.DUMMYFUNCTION("""COMPUTED_VALUE"""),16.875)</f>
        <v>16.875</v>
      </c>
      <c r="J409" s="21">
        <f>IFERROR(__xludf.DUMMYFUNCTION("""COMPUTED_VALUE"""),60.0)</f>
        <v>60</v>
      </c>
      <c r="K409" s="23">
        <f>IFERROR(__xludf.DUMMYFUNCTION("""COMPUTED_VALUE"""),6.5)</f>
        <v>6.5</v>
      </c>
      <c r="L409" s="24">
        <f>IFERROR(__xludf.DUMMYFUNCTION("""COMPUTED_VALUE"""),28.0)</f>
        <v>28</v>
      </c>
      <c r="M409" s="25" t="str">
        <f>IFERROR(__xludf.DUMMYFUNCTION("""COMPUTED_VALUE"""),"RPG")</f>
        <v>RPG</v>
      </c>
      <c r="N409" s="25" t="str">
        <f>IFERROR(__xludf.DUMMYFUNCTION("""COMPUTED_VALUE"""),"PSP")</f>
        <v>PSP</v>
      </c>
      <c r="O409" s="26" t="str">
        <f>IFERROR(__xludf.DUMMYFUNCTION("""COMPUTED_VALUE"""),"Yes")</f>
        <v>Yes</v>
      </c>
      <c r="P409" s="26"/>
    </row>
    <row r="410">
      <c r="A410" s="13" t="str">
        <f>IFERROR(__xludf.DUMMYFUNCTION("""COMPUTED_VALUE"""),"Zack Zero")</f>
        <v>Zack Zero</v>
      </c>
      <c r="B410" s="15" t="str">
        <f>IFERROR(__xludf.DUMMYFUNCTION("""COMPUTED_VALUE"""),"PS5/PS4")</f>
        <v>PS5/PS4</v>
      </c>
      <c r="C410" s="16" t="str">
        <f>IFERROR(__xludf.DUMMYFUNCTION("""COMPUTED_VALUE"""),"Premium (Streaming Only)")</f>
        <v>Premium (Streaming Only)</v>
      </c>
      <c r="D410" s="15" t="str">
        <f>IFERROR(__xludf.DUMMYFUNCTION("""COMPUTED_VALUE"""),"Active")</f>
        <v>Active</v>
      </c>
      <c r="E410" s="17">
        <f>IFERROR(__xludf.DUMMYFUNCTION("""COMPUTED_VALUE"""),42374.0)</f>
        <v>42374</v>
      </c>
      <c r="F410" s="54"/>
      <c r="G410" s="19">
        <f>IFERROR(__xludf.DUMMYFUNCTION("""COMPUTED_VALUE"""),129.03333333333333)</f>
        <v>129.0333333</v>
      </c>
      <c r="H410" s="17">
        <f>IFERROR(__xludf.DUMMYFUNCTION("""COMPUTED_VALUE"""),40909.0)</f>
        <v>40909</v>
      </c>
      <c r="I410" s="19">
        <f>IFERROR(__xludf.DUMMYFUNCTION("""COMPUTED_VALUE"""),4.011111111111111)</f>
        <v>4.011111111</v>
      </c>
      <c r="J410" s="21">
        <f>IFERROR(__xludf.DUMMYFUNCTION("""COMPUTED_VALUE"""),60.0)</f>
        <v>60</v>
      </c>
      <c r="K410" s="23">
        <f>IFERROR(__xludf.DUMMYFUNCTION("""COMPUTED_VALUE"""),6.9)</f>
        <v>6.9</v>
      </c>
      <c r="L410" s="24">
        <f>IFERROR(__xludf.DUMMYFUNCTION("""COMPUTED_VALUE"""),4.0)</f>
        <v>4</v>
      </c>
      <c r="M410" s="25" t="str">
        <f>IFERROR(__xludf.DUMMYFUNCTION("""COMPUTED_VALUE"""),"Platformer")</f>
        <v>Platformer</v>
      </c>
      <c r="N410" s="25" t="str">
        <f>IFERROR(__xludf.DUMMYFUNCTION("""COMPUTED_VALUE"""),"PS3")</f>
        <v>PS3</v>
      </c>
      <c r="O410" s="26" t="str">
        <f>IFERROR(__xludf.DUMMYFUNCTION("""COMPUTED_VALUE"""),"Yes")</f>
        <v>Yes</v>
      </c>
      <c r="P410" s="26" t="str">
        <f>IFERROR(__xludf.DUMMYFUNCTION("""COMPUTED_VALUE"""),"")</f>
        <v/>
      </c>
    </row>
    <row r="411">
      <c r="A411" s="13" t="str">
        <f>IFERROR(__xludf.DUMMYFUNCTION("""COMPUTED_VALUE"""),"Final Exam")</f>
        <v>Final Exam</v>
      </c>
      <c r="B411" s="15" t="str">
        <f>IFERROR(__xludf.DUMMYFUNCTION("""COMPUTED_VALUE"""),"PS5/PS4")</f>
        <v>PS5/PS4</v>
      </c>
      <c r="C411" s="16" t="str">
        <f>IFERROR(__xludf.DUMMYFUNCTION("""COMPUTED_VALUE"""),"Premium (Streaming Only)")</f>
        <v>Premium (Streaming Only)</v>
      </c>
      <c r="D411" s="15" t="str">
        <f>IFERROR(__xludf.DUMMYFUNCTION("""COMPUTED_VALUE"""),"Active")</f>
        <v>Active</v>
      </c>
      <c r="E411" s="17">
        <f>IFERROR(__xludf.DUMMYFUNCTION("""COMPUTED_VALUE"""),42017.0)</f>
        <v>42017</v>
      </c>
      <c r="F411" s="54"/>
      <c r="G411" s="19">
        <f>IFERROR(__xludf.DUMMYFUNCTION("""COMPUTED_VALUE"""),140.76666666666668)</f>
        <v>140.7666667</v>
      </c>
      <c r="H411" s="17">
        <f>IFERROR(__xludf.DUMMYFUNCTION("""COMPUTED_VALUE"""),41579.0)</f>
        <v>41579</v>
      </c>
      <c r="I411" s="19">
        <f>IFERROR(__xludf.DUMMYFUNCTION("""COMPUTED_VALUE"""),1.2)</f>
        <v>1.2</v>
      </c>
      <c r="J411" s="21">
        <f>IFERROR(__xludf.DUMMYFUNCTION("""COMPUTED_VALUE"""),60.0)</f>
        <v>60</v>
      </c>
      <c r="K411" s="23">
        <f>IFERROR(__xludf.DUMMYFUNCTION("""COMPUTED_VALUE"""),5.8)</f>
        <v>5.8</v>
      </c>
      <c r="L411" s="24">
        <f>IFERROR(__xludf.DUMMYFUNCTION("""COMPUTED_VALUE"""),5.0)</f>
        <v>5</v>
      </c>
      <c r="M411" s="25" t="str">
        <f>IFERROR(__xludf.DUMMYFUNCTION("""COMPUTED_VALUE"""),"Action-Adventure")</f>
        <v>Action-Adventure</v>
      </c>
      <c r="N411" s="25" t="str">
        <f>IFERROR(__xludf.DUMMYFUNCTION("""COMPUTED_VALUE"""),"PS3")</f>
        <v>PS3</v>
      </c>
      <c r="O411" s="26" t="str">
        <f>IFERROR(__xludf.DUMMYFUNCTION("""COMPUTED_VALUE"""),"Yes")</f>
        <v>Yes</v>
      </c>
      <c r="P411" s="26" t="str">
        <f>IFERROR(__xludf.DUMMYFUNCTION("""COMPUTED_VALUE"""),"")</f>
        <v/>
      </c>
    </row>
    <row r="412">
      <c r="A412" s="13" t="str">
        <f>IFERROR(__xludf.DUMMYFUNCTION("""COMPUTED_VALUE"""),"Crysis: Remastered")</f>
        <v>Crysis: Remastered</v>
      </c>
      <c r="B412" s="15" t="str">
        <f>IFERROR(__xludf.DUMMYFUNCTION("""COMPUTED_VALUE"""),"PS4")</f>
        <v>PS4</v>
      </c>
      <c r="C412" s="16" t="str">
        <f>IFERROR(__xludf.DUMMYFUNCTION("""COMPUTED_VALUE"""),"Premium (Remasters)")</f>
        <v>Premium (Remasters)</v>
      </c>
      <c r="D412" s="15" t="str">
        <f>IFERROR(__xludf.DUMMYFUNCTION("""COMPUTED_VALUE"""),"Active")</f>
        <v>Active</v>
      </c>
      <c r="E412" s="17">
        <f>IFERROR(__xludf.DUMMYFUNCTION("""COMPUTED_VALUE"""),45097.0)</f>
        <v>45097</v>
      </c>
      <c r="F412" s="54"/>
      <c r="G412" s="19">
        <f>IFERROR(__xludf.DUMMYFUNCTION("""COMPUTED_VALUE"""),39.53333333333333)</f>
        <v>39.53333333</v>
      </c>
      <c r="H412" s="17">
        <f>IFERROR(__xludf.DUMMYFUNCTION("""COMPUTED_VALUE"""),44075.0)</f>
        <v>44075</v>
      </c>
      <c r="I412" s="19">
        <f>IFERROR(__xludf.DUMMYFUNCTION("""COMPUTED_VALUE"""),2.8027777777777776)</f>
        <v>2.802777778</v>
      </c>
      <c r="J412" s="21">
        <f>IFERROR(__xludf.DUMMYFUNCTION("""COMPUTED_VALUE"""),59.0)</f>
        <v>59</v>
      </c>
      <c r="K412" s="23">
        <f>IFERROR(__xludf.DUMMYFUNCTION("""COMPUTED_VALUE"""),7.5)</f>
        <v>7.5</v>
      </c>
      <c r="L412" s="24">
        <f>IFERROR(__xludf.DUMMYFUNCTION("""COMPUTED_VALUE"""),10.0)</f>
        <v>10</v>
      </c>
      <c r="M412" s="25" t="str">
        <f>IFERROR(__xludf.DUMMYFUNCTION("""COMPUTED_VALUE"""),"Shooter")</f>
        <v>Shooter</v>
      </c>
      <c r="N412" s="25" t="str">
        <f>IFERROR(__xludf.DUMMYFUNCTION("""COMPUTED_VALUE"""),"Windows")</f>
        <v>Windows</v>
      </c>
      <c r="O412" s="26" t="str">
        <f>IFERROR(__xludf.DUMMYFUNCTION("""COMPUTED_VALUE"""),"Yes")</f>
        <v>Yes</v>
      </c>
      <c r="P412" s="26"/>
    </row>
    <row r="413">
      <c r="A413" s="13" t="str">
        <f>IFERROR(__xludf.DUMMYFUNCTION("""COMPUTED_VALUE"""),"Bolt")</f>
        <v>Bolt</v>
      </c>
      <c r="B413" s="15" t="str">
        <f>IFERROR(__xludf.DUMMYFUNCTION("""COMPUTED_VALUE"""),"PS5/PS4")</f>
        <v>PS5/PS4</v>
      </c>
      <c r="C413" s="16" t="str">
        <f>IFERROR(__xludf.DUMMYFUNCTION("""COMPUTED_VALUE"""),"Premium (Streaming Only)")</f>
        <v>Premium (Streaming Only)</v>
      </c>
      <c r="D413" s="15" t="str">
        <f>IFERROR(__xludf.DUMMYFUNCTION("""COMPUTED_VALUE"""),"Active")</f>
        <v>Active</v>
      </c>
      <c r="E413" s="17">
        <f>IFERROR(__xludf.DUMMYFUNCTION("""COMPUTED_VALUE"""),42895.0)</f>
        <v>42895</v>
      </c>
      <c r="F413" s="54"/>
      <c r="G413" s="19">
        <f>IFERROR(__xludf.DUMMYFUNCTION("""COMPUTED_VALUE"""),111.89999999999999)</f>
        <v>111.9</v>
      </c>
      <c r="H413" s="17">
        <f>IFERROR(__xludf.DUMMYFUNCTION("""COMPUTED_VALUE"""),39753.0)</f>
        <v>39753</v>
      </c>
      <c r="I413" s="19">
        <f>IFERROR(__xludf.DUMMYFUNCTION("""COMPUTED_VALUE"""),8.605555555555556)</f>
        <v>8.605555556</v>
      </c>
      <c r="J413" s="21">
        <f>IFERROR(__xludf.DUMMYFUNCTION("""COMPUTED_VALUE"""),59.0)</f>
        <v>59</v>
      </c>
      <c r="K413" s="23">
        <f>IFERROR(__xludf.DUMMYFUNCTION("""COMPUTED_VALUE"""),6.0)</f>
        <v>6</v>
      </c>
      <c r="L413" s="24">
        <f>IFERROR(__xludf.DUMMYFUNCTION("""COMPUTED_VALUE"""),7.0)</f>
        <v>7</v>
      </c>
      <c r="M413" s="25" t="str">
        <f>IFERROR(__xludf.DUMMYFUNCTION("""COMPUTED_VALUE"""),"Action-Adventure")</f>
        <v>Action-Adventure</v>
      </c>
      <c r="N413" s="25" t="str">
        <f>IFERROR(__xludf.DUMMYFUNCTION("""COMPUTED_VALUE"""),"PS3")</f>
        <v>PS3</v>
      </c>
      <c r="O413" s="26" t="str">
        <f>IFERROR(__xludf.DUMMYFUNCTION("""COMPUTED_VALUE"""),"Yes")</f>
        <v>Yes</v>
      </c>
      <c r="P413" s="26" t="str">
        <f>IFERROR(__xludf.DUMMYFUNCTION("""COMPUTED_VALUE"""),"")</f>
        <v/>
      </c>
    </row>
    <row r="414">
      <c r="A414" s="13" t="str">
        <f>IFERROR(__xludf.DUMMYFUNCTION("""COMPUTED_VALUE"""),"Disney Epic Mickey 2: The Power of Two")</f>
        <v>Disney Epic Mickey 2: The Power of Two</v>
      </c>
      <c r="B414" s="15" t="str">
        <f>IFERROR(__xludf.DUMMYFUNCTION("""COMPUTED_VALUE"""),"PS5/PS4")</f>
        <v>PS5/PS4</v>
      </c>
      <c r="C414" s="16" t="str">
        <f>IFERROR(__xludf.DUMMYFUNCTION("""COMPUTED_VALUE"""),"Premium (Streaming Only)")</f>
        <v>Premium (Streaming Only)</v>
      </c>
      <c r="D414" s="15" t="str">
        <f>IFERROR(__xludf.DUMMYFUNCTION("""COMPUTED_VALUE"""),"Active")</f>
        <v>Active</v>
      </c>
      <c r="E414" s="17">
        <f>IFERROR(__xludf.DUMMYFUNCTION("""COMPUTED_VALUE"""),42895.0)</f>
        <v>42895</v>
      </c>
      <c r="F414" s="54"/>
      <c r="G414" s="19">
        <f>IFERROR(__xludf.DUMMYFUNCTION("""COMPUTED_VALUE"""),111.89999999999999)</f>
        <v>111.9</v>
      </c>
      <c r="H414" s="17">
        <f>IFERROR(__xludf.DUMMYFUNCTION("""COMPUTED_VALUE"""),41231.0)</f>
        <v>41231</v>
      </c>
      <c r="I414" s="19">
        <f>IFERROR(__xludf.DUMMYFUNCTION("""COMPUTED_VALUE"""),4.558333333333334)</f>
        <v>4.558333333</v>
      </c>
      <c r="J414" s="21">
        <f>IFERROR(__xludf.DUMMYFUNCTION("""COMPUTED_VALUE"""),59.0)</f>
        <v>59</v>
      </c>
      <c r="K414" s="23">
        <f>IFERROR(__xludf.DUMMYFUNCTION("""COMPUTED_VALUE"""),6.5)</f>
        <v>6.5</v>
      </c>
      <c r="L414" s="24">
        <f>IFERROR(__xludf.DUMMYFUNCTION("""COMPUTED_VALUE"""),9.0)</f>
        <v>9</v>
      </c>
      <c r="M414" s="25" t="str">
        <f>IFERROR(__xludf.DUMMYFUNCTION("""COMPUTED_VALUE"""),"Platformer")</f>
        <v>Platformer</v>
      </c>
      <c r="N414" s="25" t="str">
        <f>IFERROR(__xludf.DUMMYFUNCTION("""COMPUTED_VALUE"""),"PS3")</f>
        <v>PS3</v>
      </c>
      <c r="O414" s="26" t="str">
        <f>IFERROR(__xludf.DUMMYFUNCTION("""COMPUTED_VALUE"""),"Yes")</f>
        <v>Yes</v>
      </c>
      <c r="P414" s="26"/>
    </row>
    <row r="415">
      <c r="A415" s="13" t="str">
        <f>IFERROR(__xludf.DUMMYFUNCTION("""COMPUTED_VALUE"""),"Dogfight 1942")</f>
        <v>Dogfight 1942</v>
      </c>
      <c r="B415" s="15" t="str">
        <f>IFERROR(__xludf.DUMMYFUNCTION("""COMPUTED_VALUE"""),"PS5/PS4")</f>
        <v>PS5/PS4</v>
      </c>
      <c r="C415" s="16" t="str">
        <f>IFERROR(__xludf.DUMMYFUNCTION("""COMPUTED_VALUE"""),"Premium (Streaming Only)")</f>
        <v>Premium (Streaming Only)</v>
      </c>
      <c r="D415" s="15" t="str">
        <f>IFERROR(__xludf.DUMMYFUNCTION("""COMPUTED_VALUE"""),"Active")</f>
        <v>Active</v>
      </c>
      <c r="E415" s="17">
        <f>IFERROR(__xludf.DUMMYFUNCTION("""COMPUTED_VALUE"""),42528.0)</f>
        <v>42528</v>
      </c>
      <c r="F415" s="54"/>
      <c r="G415" s="19">
        <f>IFERROR(__xludf.DUMMYFUNCTION("""COMPUTED_VALUE"""),123.96666666666667)</f>
        <v>123.9666667</v>
      </c>
      <c r="H415" s="17">
        <f>IFERROR(__xludf.DUMMYFUNCTION("""COMPUTED_VALUE"""),41153.0)</f>
        <v>41153</v>
      </c>
      <c r="I415" s="19">
        <f>IFERROR(__xludf.DUMMYFUNCTION("""COMPUTED_VALUE"""),3.7666666666666666)</f>
        <v>3.766666667</v>
      </c>
      <c r="J415" s="21">
        <f>IFERROR(__xludf.DUMMYFUNCTION("""COMPUTED_VALUE"""),59.0)</f>
        <v>59</v>
      </c>
      <c r="K415" s="23">
        <f>IFERROR(__xludf.DUMMYFUNCTION("""COMPUTED_VALUE"""),5.8)</f>
        <v>5.8</v>
      </c>
      <c r="L415" s="24">
        <f>IFERROR(__xludf.DUMMYFUNCTION("""COMPUTED_VALUE"""),4.0)</f>
        <v>4</v>
      </c>
      <c r="M415" s="25" t="str">
        <f>IFERROR(__xludf.DUMMYFUNCTION("""COMPUTED_VALUE"""),"Shooter")</f>
        <v>Shooter</v>
      </c>
      <c r="N415" s="25" t="str">
        <f>IFERROR(__xludf.DUMMYFUNCTION("""COMPUTED_VALUE"""),"PS3")</f>
        <v>PS3</v>
      </c>
      <c r="O415" s="26" t="str">
        <f>IFERROR(__xludf.DUMMYFUNCTION("""COMPUTED_VALUE"""),"Yes")</f>
        <v>Yes</v>
      </c>
      <c r="P415" s="26" t="str">
        <f>IFERROR(__xludf.DUMMYFUNCTION("""COMPUTED_VALUE"""),"")</f>
        <v/>
      </c>
    </row>
    <row r="416">
      <c r="A416" s="13" t="str">
        <f>IFERROR(__xludf.DUMMYFUNCTION("""COMPUTED_VALUE"""),"Dark Void")</f>
        <v>Dark Void</v>
      </c>
      <c r="B416" s="15" t="str">
        <f>IFERROR(__xludf.DUMMYFUNCTION("""COMPUTED_VALUE"""),"PS5/PS4")</f>
        <v>PS5/PS4</v>
      </c>
      <c r="C416" s="16" t="str">
        <f>IFERROR(__xludf.DUMMYFUNCTION("""COMPUTED_VALUE"""),"Premium (Streaming Only)")</f>
        <v>Premium (Streaming Only)</v>
      </c>
      <c r="D416" s="15" t="str">
        <f>IFERROR(__xludf.DUMMYFUNCTION("""COMPUTED_VALUE"""),"Active")</f>
        <v>Active</v>
      </c>
      <c r="E416" s="17">
        <f>IFERROR(__xludf.DUMMYFUNCTION("""COMPUTED_VALUE"""),42466.0)</f>
        <v>42466</v>
      </c>
      <c r="F416" s="54"/>
      <c r="G416" s="19">
        <f>IFERROR(__xludf.DUMMYFUNCTION("""COMPUTED_VALUE"""),126.0)</f>
        <v>126</v>
      </c>
      <c r="H416" s="17">
        <f>IFERROR(__xludf.DUMMYFUNCTION("""COMPUTED_VALUE"""),40193.0)</f>
        <v>40193</v>
      </c>
      <c r="I416" s="19">
        <f>IFERROR(__xludf.DUMMYFUNCTION("""COMPUTED_VALUE"""),6.225)</f>
        <v>6.225</v>
      </c>
      <c r="J416" s="21">
        <f>IFERROR(__xludf.DUMMYFUNCTION("""COMPUTED_VALUE"""),59.0)</f>
        <v>59</v>
      </c>
      <c r="K416" s="23">
        <f>IFERROR(__xludf.DUMMYFUNCTION("""COMPUTED_VALUE"""),6.0)</f>
        <v>6</v>
      </c>
      <c r="L416" s="24">
        <f>IFERROR(__xludf.DUMMYFUNCTION("""COMPUTED_VALUE"""),7.5)</f>
        <v>7.5</v>
      </c>
      <c r="M416" s="25" t="str">
        <f>IFERROR(__xludf.DUMMYFUNCTION("""COMPUTED_VALUE"""),"Shooter")</f>
        <v>Shooter</v>
      </c>
      <c r="N416" s="25" t="str">
        <f>IFERROR(__xludf.DUMMYFUNCTION("""COMPUTED_VALUE"""),"PS3")</f>
        <v>PS3</v>
      </c>
      <c r="O416" s="26" t="str">
        <f>IFERROR(__xludf.DUMMYFUNCTION("""COMPUTED_VALUE"""),"Yes")</f>
        <v>Yes</v>
      </c>
      <c r="P416" s="26"/>
    </row>
    <row r="417">
      <c r="A417" s="13" t="str">
        <f>IFERROR(__xludf.DUMMYFUNCTION("""COMPUTED_VALUE"""),"Anarchy: Rush Hour")</f>
        <v>Anarchy: Rush Hour</v>
      </c>
      <c r="B417" s="15" t="str">
        <f>IFERROR(__xludf.DUMMYFUNCTION("""COMPUTED_VALUE"""),"PS5/PS4")</f>
        <v>PS5/PS4</v>
      </c>
      <c r="C417" s="16" t="str">
        <f>IFERROR(__xludf.DUMMYFUNCTION("""COMPUTED_VALUE"""),"Premium (Streaming Only)")</f>
        <v>Premium (Streaming Only)</v>
      </c>
      <c r="D417" s="15" t="str">
        <f>IFERROR(__xludf.DUMMYFUNCTION("""COMPUTED_VALUE"""),"Active")</f>
        <v>Active</v>
      </c>
      <c r="E417" s="17">
        <f>IFERROR(__xludf.DUMMYFUNCTION("""COMPUTED_VALUE"""),42374.0)</f>
        <v>42374</v>
      </c>
      <c r="F417" s="54"/>
      <c r="G417" s="19">
        <f>IFERROR(__xludf.DUMMYFUNCTION("""COMPUTED_VALUE"""),129.03333333333333)</f>
        <v>129.0333333</v>
      </c>
      <c r="H417" s="17">
        <f>IFERROR(__xludf.DUMMYFUNCTION("""COMPUTED_VALUE"""),40436.0)</f>
        <v>40436</v>
      </c>
      <c r="I417" s="19">
        <f>IFERROR(__xludf.DUMMYFUNCTION("""COMPUTED_VALUE"""),5.305555555555555)</f>
        <v>5.305555556</v>
      </c>
      <c r="J417" s="21">
        <f>IFERROR(__xludf.DUMMYFUNCTION("""COMPUTED_VALUE"""),59.0)</f>
        <v>59</v>
      </c>
      <c r="K417" s="23"/>
      <c r="L417" s="24"/>
      <c r="M417" s="25" t="str">
        <f>IFERROR(__xludf.DUMMYFUNCTION("""COMPUTED_VALUE"""),"Racing")</f>
        <v>Racing</v>
      </c>
      <c r="N417" s="25" t="str">
        <f>IFERROR(__xludf.DUMMYFUNCTION("""COMPUTED_VALUE"""),"PS3")</f>
        <v>PS3</v>
      </c>
      <c r="O417" s="26" t="str">
        <f>IFERROR(__xludf.DUMMYFUNCTION("""COMPUTED_VALUE"""),"Yes")</f>
        <v>Yes</v>
      </c>
      <c r="P417" s="26" t="str">
        <f>IFERROR(__xludf.DUMMYFUNCTION("""COMPUTED_VALUE"""),"")</f>
        <v/>
      </c>
    </row>
    <row r="418">
      <c r="A418" s="13" t="str">
        <f>IFERROR(__xludf.DUMMYFUNCTION("""COMPUTED_VALUE"""),"Linger in Shadows")</f>
        <v>Linger in Shadows</v>
      </c>
      <c r="B418" s="15" t="str">
        <f>IFERROR(__xludf.DUMMYFUNCTION("""COMPUTED_VALUE"""),"PS5/PS4")</f>
        <v>PS5/PS4</v>
      </c>
      <c r="C418" s="16" t="str">
        <f>IFERROR(__xludf.DUMMYFUNCTION("""COMPUTED_VALUE"""),"Premium (Streaming Only)")</f>
        <v>Premium (Streaming Only)</v>
      </c>
      <c r="D418" s="15" t="str">
        <f>IFERROR(__xludf.DUMMYFUNCTION("""COMPUTED_VALUE"""),"Active")</f>
        <v>Active</v>
      </c>
      <c r="E418" s="17">
        <f>IFERROR(__xludf.DUMMYFUNCTION("""COMPUTED_VALUE"""),42374.0)</f>
        <v>42374</v>
      </c>
      <c r="F418" s="54"/>
      <c r="G418" s="19">
        <f>IFERROR(__xludf.DUMMYFUNCTION("""COMPUTED_VALUE"""),129.03333333333333)</f>
        <v>129.0333333</v>
      </c>
      <c r="H418" s="17">
        <f>IFERROR(__xludf.DUMMYFUNCTION("""COMPUTED_VALUE"""),39722.0)</f>
        <v>39722</v>
      </c>
      <c r="I418" s="19">
        <f>IFERROR(__xludf.DUMMYFUNCTION("""COMPUTED_VALUE"""),7.261111111111111)</f>
        <v>7.261111111</v>
      </c>
      <c r="J418" s="21">
        <f>IFERROR(__xludf.DUMMYFUNCTION("""COMPUTED_VALUE"""),59.0)</f>
        <v>59</v>
      </c>
      <c r="K418" s="23">
        <f>IFERROR(__xludf.DUMMYFUNCTION("""COMPUTED_VALUE"""),6.4)</f>
        <v>6.4</v>
      </c>
      <c r="L418" s="24">
        <f>IFERROR(__xludf.DUMMYFUNCTION("""COMPUTED_VALUE"""),1.0)</f>
        <v>1</v>
      </c>
      <c r="M418" s="25" t="str">
        <f>IFERROR(__xludf.DUMMYFUNCTION("""COMPUTED_VALUE"""),"Interactive")</f>
        <v>Interactive</v>
      </c>
      <c r="N418" s="25" t="str">
        <f>IFERROR(__xludf.DUMMYFUNCTION("""COMPUTED_VALUE"""),"PS3")</f>
        <v>PS3</v>
      </c>
      <c r="O418" s="26" t="str">
        <f>IFERROR(__xludf.DUMMYFUNCTION("""COMPUTED_VALUE"""),"Yes")</f>
        <v>Yes</v>
      </c>
      <c r="P418" s="26" t="str">
        <f>IFERROR(__xludf.DUMMYFUNCTION("""COMPUTED_VALUE"""),"")</f>
        <v/>
      </c>
    </row>
    <row r="419">
      <c r="A419" s="13" t="str">
        <f>IFERROR(__xludf.DUMMYFUNCTION("""COMPUTED_VALUE"""),"OKABU")</f>
        <v>OKABU</v>
      </c>
      <c r="B419" s="15" t="str">
        <f>IFERROR(__xludf.DUMMYFUNCTION("""COMPUTED_VALUE"""),"PS5/PS4")</f>
        <v>PS5/PS4</v>
      </c>
      <c r="C419" s="16" t="str">
        <f>IFERROR(__xludf.DUMMYFUNCTION("""COMPUTED_VALUE"""),"Premium (Streaming Only)")</f>
        <v>Premium (Streaming Only)</v>
      </c>
      <c r="D419" s="15" t="str">
        <f>IFERROR(__xludf.DUMMYFUNCTION("""COMPUTED_VALUE"""),"Active")</f>
        <v>Active</v>
      </c>
      <c r="E419" s="17">
        <f>IFERROR(__xludf.DUMMYFUNCTION("""COMPUTED_VALUE"""),42374.0)</f>
        <v>42374</v>
      </c>
      <c r="F419" s="54"/>
      <c r="G419" s="19">
        <f>IFERROR(__xludf.DUMMYFUNCTION("""COMPUTED_VALUE"""),129.03333333333333)</f>
        <v>129.0333333</v>
      </c>
      <c r="H419" s="17">
        <f>IFERROR(__xludf.DUMMYFUNCTION("""COMPUTED_VALUE"""),40834.0)</f>
        <v>40834</v>
      </c>
      <c r="I419" s="19">
        <f>IFERROR(__xludf.DUMMYFUNCTION("""COMPUTED_VALUE"""),4.213888888888889)</f>
        <v>4.213888889</v>
      </c>
      <c r="J419" s="21">
        <f>IFERROR(__xludf.DUMMYFUNCTION("""COMPUTED_VALUE"""),59.0)</f>
        <v>59</v>
      </c>
      <c r="K419" s="23"/>
      <c r="L419" s="24">
        <f>IFERROR(__xludf.DUMMYFUNCTION("""COMPUTED_VALUE"""),3.0)</f>
        <v>3</v>
      </c>
      <c r="M419" s="25" t="str">
        <f>IFERROR(__xludf.DUMMYFUNCTION("""COMPUTED_VALUE"""),"Action-Adventure")</f>
        <v>Action-Adventure</v>
      </c>
      <c r="N419" s="25" t="str">
        <f>IFERROR(__xludf.DUMMYFUNCTION("""COMPUTED_VALUE"""),"PS3")</f>
        <v>PS3</v>
      </c>
      <c r="O419" s="26" t="str">
        <f>IFERROR(__xludf.DUMMYFUNCTION("""COMPUTED_VALUE"""),"Yes")</f>
        <v>Yes</v>
      </c>
      <c r="P419" s="26" t="str">
        <f>IFERROR(__xludf.DUMMYFUNCTION("""COMPUTED_VALUE"""),"")</f>
        <v/>
      </c>
    </row>
    <row r="420">
      <c r="A420" s="13" t="str">
        <f>IFERROR(__xludf.DUMMYFUNCTION("""COMPUTED_VALUE"""),"Dynasty Warriors 6")</f>
        <v>Dynasty Warriors 6</v>
      </c>
      <c r="B420" s="15" t="str">
        <f>IFERROR(__xludf.DUMMYFUNCTION("""COMPUTED_VALUE"""),"PS5/PS4")</f>
        <v>PS5/PS4</v>
      </c>
      <c r="C420" s="16" t="str">
        <f>IFERROR(__xludf.DUMMYFUNCTION("""COMPUTED_VALUE"""),"Premium (Streaming Only)")</f>
        <v>Premium (Streaming Only)</v>
      </c>
      <c r="D420" s="15" t="str">
        <f>IFERROR(__xludf.DUMMYFUNCTION("""COMPUTED_VALUE"""),"Active")</f>
        <v>Active</v>
      </c>
      <c r="E420" s="17">
        <f>IFERROR(__xludf.DUMMYFUNCTION("""COMPUTED_VALUE"""),42178.0)</f>
        <v>42178</v>
      </c>
      <c r="F420" s="54"/>
      <c r="G420" s="19">
        <f>IFERROR(__xludf.DUMMYFUNCTION("""COMPUTED_VALUE"""),135.43333333333334)</f>
        <v>135.4333333</v>
      </c>
      <c r="H420" s="17">
        <f>IFERROR(__xludf.DUMMYFUNCTION("""COMPUTED_VALUE"""),39479.0)</f>
        <v>39479</v>
      </c>
      <c r="I420" s="19">
        <f>IFERROR(__xludf.DUMMYFUNCTION("""COMPUTED_VALUE"""),7.394444444444445)</f>
        <v>7.394444444</v>
      </c>
      <c r="J420" s="21">
        <f>IFERROR(__xludf.DUMMYFUNCTION("""COMPUTED_VALUE"""),59.0)</f>
        <v>59</v>
      </c>
      <c r="K420" s="23">
        <f>IFERROR(__xludf.DUMMYFUNCTION("""COMPUTED_VALUE"""),7.2)</f>
        <v>7.2</v>
      </c>
      <c r="L420" s="24">
        <f>IFERROR(__xludf.DUMMYFUNCTION("""COMPUTED_VALUE"""),20.0)</f>
        <v>20</v>
      </c>
      <c r="M420" s="25" t="str">
        <f>IFERROR(__xludf.DUMMYFUNCTION("""COMPUTED_VALUE"""),"Action-Adventure")</f>
        <v>Action-Adventure</v>
      </c>
      <c r="N420" s="25" t="str">
        <f>IFERROR(__xludf.DUMMYFUNCTION("""COMPUTED_VALUE"""),"PS3")</f>
        <v>PS3</v>
      </c>
      <c r="O420" s="26" t="str">
        <f>IFERROR(__xludf.DUMMYFUNCTION("""COMPUTED_VALUE"""),"Yes")</f>
        <v>Yes</v>
      </c>
      <c r="P420" s="26" t="str">
        <f>IFERROR(__xludf.DUMMYFUNCTION("""COMPUTED_VALUE"""),"")</f>
        <v/>
      </c>
    </row>
    <row r="421">
      <c r="A421" s="13" t="str">
        <f>IFERROR(__xludf.DUMMYFUNCTION("""COMPUTED_VALUE"""),"Mars: War Logs")</f>
        <v>Mars: War Logs</v>
      </c>
      <c r="B421" s="15" t="str">
        <f>IFERROR(__xludf.DUMMYFUNCTION("""COMPUTED_VALUE"""),"PS5/PS4")</f>
        <v>PS5/PS4</v>
      </c>
      <c r="C421" s="16" t="str">
        <f>IFERROR(__xludf.DUMMYFUNCTION("""COMPUTED_VALUE"""),"Premium (Streaming Only)")</f>
        <v>Premium (Streaming Only)</v>
      </c>
      <c r="D421" s="15" t="str">
        <f>IFERROR(__xludf.DUMMYFUNCTION("""COMPUTED_VALUE"""),"Active")</f>
        <v>Active</v>
      </c>
      <c r="E421" s="17">
        <f>IFERROR(__xludf.DUMMYFUNCTION("""COMPUTED_VALUE"""),42017.0)</f>
        <v>42017</v>
      </c>
      <c r="F421" s="54"/>
      <c r="G421" s="19">
        <f>IFERROR(__xludf.DUMMYFUNCTION("""COMPUTED_VALUE"""),140.76666666666668)</f>
        <v>140.7666667</v>
      </c>
      <c r="H421" s="17">
        <f>IFERROR(__xludf.DUMMYFUNCTION("""COMPUTED_VALUE"""),41456.0)</f>
        <v>41456</v>
      </c>
      <c r="I421" s="19">
        <f>IFERROR(__xludf.DUMMYFUNCTION("""COMPUTED_VALUE"""),1.5333333333333334)</f>
        <v>1.533333333</v>
      </c>
      <c r="J421" s="21">
        <f>IFERROR(__xludf.DUMMYFUNCTION("""COMPUTED_VALUE"""),59.0)</f>
        <v>59</v>
      </c>
      <c r="K421" s="23">
        <f>IFERROR(__xludf.DUMMYFUNCTION("""COMPUTED_VALUE"""),6.5)</f>
        <v>6.5</v>
      </c>
      <c r="L421" s="24">
        <f>IFERROR(__xludf.DUMMYFUNCTION("""COMPUTED_VALUE"""),18.0)</f>
        <v>18</v>
      </c>
      <c r="M421" s="25" t="str">
        <f>IFERROR(__xludf.DUMMYFUNCTION("""COMPUTED_VALUE"""),"RPG")</f>
        <v>RPG</v>
      </c>
      <c r="N421" s="25" t="str">
        <f>IFERROR(__xludf.DUMMYFUNCTION("""COMPUTED_VALUE"""),"PS3")</f>
        <v>PS3</v>
      </c>
      <c r="O421" s="26" t="str">
        <f>IFERROR(__xludf.DUMMYFUNCTION("""COMPUTED_VALUE"""),"Yes")</f>
        <v>Yes</v>
      </c>
      <c r="P421" s="26" t="str">
        <f>IFERROR(__xludf.DUMMYFUNCTION("""COMPUTED_VALUE"""),"")</f>
        <v/>
      </c>
    </row>
    <row r="422">
      <c r="A422" s="13" t="str">
        <f>IFERROR(__xludf.DUMMYFUNCTION("""COMPUTED_VALUE"""),"Way of the Samurai 4: Plus")</f>
        <v>Way of the Samurai 4: Plus</v>
      </c>
      <c r="B422" s="15" t="str">
        <f>IFERROR(__xludf.DUMMYFUNCTION("""COMPUTED_VALUE"""),"PS5/PS4")</f>
        <v>PS5/PS4</v>
      </c>
      <c r="C422" s="16" t="str">
        <f>IFERROR(__xludf.DUMMYFUNCTION("""COMPUTED_VALUE"""),"Premium (Streaming Only)")</f>
        <v>Premium (Streaming Only)</v>
      </c>
      <c r="D422" s="15" t="str">
        <f>IFERROR(__xludf.DUMMYFUNCTION("""COMPUTED_VALUE"""),"Active")</f>
        <v>Active</v>
      </c>
      <c r="E422" s="17">
        <f>IFERROR(__xludf.DUMMYFUNCTION("""COMPUTED_VALUE"""),44725.0)</f>
        <v>44725</v>
      </c>
      <c r="F422" s="54"/>
      <c r="G422" s="19">
        <f>IFERROR(__xludf.DUMMYFUNCTION("""COMPUTED_VALUE"""),51.766666666666666)</f>
        <v>51.76666667</v>
      </c>
      <c r="H422" s="17">
        <f>IFERROR(__xludf.DUMMYFUNCTION("""COMPUTED_VALUE"""),41122.0)</f>
        <v>41122</v>
      </c>
      <c r="I422" s="19">
        <f>IFERROR(__xludf.DUMMYFUNCTION("""COMPUTED_VALUE"""),9.866666666666667)</f>
        <v>9.866666667</v>
      </c>
      <c r="J422" s="21">
        <f>IFERROR(__xludf.DUMMYFUNCTION("""COMPUTED_VALUE"""),58.0)</f>
        <v>58</v>
      </c>
      <c r="K422" s="23">
        <f>IFERROR(__xludf.DUMMYFUNCTION("""COMPUTED_VALUE"""),6.8)</f>
        <v>6.8</v>
      </c>
      <c r="L422" s="24">
        <f>IFERROR(__xludf.DUMMYFUNCTION("""COMPUTED_VALUE"""),15.0)</f>
        <v>15</v>
      </c>
      <c r="M422" s="25" t="str">
        <f>IFERROR(__xludf.DUMMYFUNCTION("""COMPUTED_VALUE"""),"Action-Adventure")</f>
        <v>Action-Adventure</v>
      </c>
      <c r="N422" s="25" t="str">
        <f>IFERROR(__xludf.DUMMYFUNCTION("""COMPUTED_VALUE"""),"PS3")</f>
        <v>PS3</v>
      </c>
      <c r="O422" s="26" t="str">
        <f>IFERROR(__xludf.DUMMYFUNCTION("""COMPUTED_VALUE"""),"Yes")</f>
        <v>Yes</v>
      </c>
      <c r="P422" s="26" t="str">
        <f>IFERROR(__xludf.DUMMYFUNCTION("""COMPUTED_VALUE"""),"")</f>
        <v/>
      </c>
    </row>
    <row r="423">
      <c r="A423" s="13" t="str">
        <f>IFERROR(__xludf.DUMMYFUNCTION("""COMPUTED_VALUE"""),"Tron: Evolution")</f>
        <v>Tron: Evolution</v>
      </c>
      <c r="B423" s="15" t="str">
        <f>IFERROR(__xludf.DUMMYFUNCTION("""COMPUTED_VALUE"""),"PS5/PS4")</f>
        <v>PS5/PS4</v>
      </c>
      <c r="C423" s="16" t="str">
        <f>IFERROR(__xludf.DUMMYFUNCTION("""COMPUTED_VALUE"""),"Premium (Streaming Only)")</f>
        <v>Premium (Streaming Only)</v>
      </c>
      <c r="D423" s="15" t="str">
        <f>IFERROR(__xludf.DUMMYFUNCTION("""COMPUTED_VALUE"""),"Active")</f>
        <v>Active</v>
      </c>
      <c r="E423" s="17">
        <f>IFERROR(__xludf.DUMMYFUNCTION("""COMPUTED_VALUE"""),42895.0)</f>
        <v>42895</v>
      </c>
      <c r="F423" s="54"/>
      <c r="G423" s="19">
        <f>IFERROR(__xludf.DUMMYFUNCTION("""COMPUTED_VALUE"""),111.89999999999999)</f>
        <v>111.9</v>
      </c>
      <c r="H423" s="17">
        <f>IFERROR(__xludf.DUMMYFUNCTION("""COMPUTED_VALUE"""),40513.0)</f>
        <v>40513</v>
      </c>
      <c r="I423" s="19">
        <f>IFERROR(__xludf.DUMMYFUNCTION("""COMPUTED_VALUE"""),6.522222222222222)</f>
        <v>6.522222222</v>
      </c>
      <c r="J423" s="21">
        <f>IFERROR(__xludf.DUMMYFUNCTION("""COMPUTED_VALUE"""),58.0)</f>
        <v>58</v>
      </c>
      <c r="K423" s="23">
        <f>IFERROR(__xludf.DUMMYFUNCTION("""COMPUTED_VALUE"""),5.7)</f>
        <v>5.7</v>
      </c>
      <c r="L423" s="24">
        <f>IFERROR(__xludf.DUMMYFUNCTION("""COMPUTED_VALUE"""),8.0)</f>
        <v>8</v>
      </c>
      <c r="M423" s="25" t="str">
        <f>IFERROR(__xludf.DUMMYFUNCTION("""COMPUTED_VALUE"""),"Action-Adventure")</f>
        <v>Action-Adventure</v>
      </c>
      <c r="N423" s="25" t="str">
        <f>IFERROR(__xludf.DUMMYFUNCTION("""COMPUTED_VALUE"""),"PS3")</f>
        <v>PS3</v>
      </c>
      <c r="O423" s="26" t="str">
        <f>IFERROR(__xludf.DUMMYFUNCTION("""COMPUTED_VALUE"""),"Yes")</f>
        <v>Yes</v>
      </c>
      <c r="P423" s="26" t="str">
        <f>IFERROR(__xludf.DUMMYFUNCTION("""COMPUTED_VALUE"""),"")</f>
        <v/>
      </c>
    </row>
    <row r="424">
      <c r="A424" s="13" t="str">
        <f>IFERROR(__xludf.DUMMYFUNCTION("""COMPUTED_VALUE"""),"NINJA GAIDEN 3")</f>
        <v>NINJA GAIDEN 3</v>
      </c>
      <c r="B424" s="15" t="str">
        <f>IFERROR(__xludf.DUMMYFUNCTION("""COMPUTED_VALUE"""),"PS5/PS4")</f>
        <v>PS5/PS4</v>
      </c>
      <c r="C424" s="16" t="str">
        <f>IFERROR(__xludf.DUMMYFUNCTION("""COMPUTED_VALUE"""),"Premium (Streaming Only)")</f>
        <v>Premium (Streaming Only)</v>
      </c>
      <c r="D424" s="15" t="str">
        <f>IFERROR(__xludf.DUMMYFUNCTION("""COMPUTED_VALUE"""),"Active")</f>
        <v>Active</v>
      </c>
      <c r="E424" s="17">
        <f>IFERROR(__xludf.DUMMYFUNCTION("""COMPUTED_VALUE"""),42773.0)</f>
        <v>42773</v>
      </c>
      <c r="F424" s="54"/>
      <c r="G424" s="19">
        <f>IFERROR(__xludf.DUMMYFUNCTION("""COMPUTED_VALUE"""),115.96666666666667)</f>
        <v>115.9666667</v>
      </c>
      <c r="H424" s="17">
        <f>IFERROR(__xludf.DUMMYFUNCTION("""COMPUTED_VALUE"""),40969.0)</f>
        <v>40969</v>
      </c>
      <c r="I424" s="19">
        <f>IFERROR(__xludf.DUMMYFUNCTION("""COMPUTED_VALUE"""),4.933333333333334)</f>
        <v>4.933333333</v>
      </c>
      <c r="J424" s="21">
        <f>IFERROR(__xludf.DUMMYFUNCTION("""COMPUTED_VALUE"""),58.0)</f>
        <v>58</v>
      </c>
      <c r="K424" s="23">
        <f>IFERROR(__xludf.DUMMYFUNCTION("""COMPUTED_VALUE"""),6.1)</f>
        <v>6.1</v>
      </c>
      <c r="L424" s="24">
        <f>IFERROR(__xludf.DUMMYFUNCTION("""COMPUTED_VALUE"""),11.0)</f>
        <v>11</v>
      </c>
      <c r="M424" s="25" t="str">
        <f>IFERROR(__xludf.DUMMYFUNCTION("""COMPUTED_VALUE"""),"Action-Adventure")</f>
        <v>Action-Adventure</v>
      </c>
      <c r="N424" s="25" t="str">
        <f>IFERROR(__xludf.DUMMYFUNCTION("""COMPUTED_VALUE"""),"PS3")</f>
        <v>PS3</v>
      </c>
      <c r="O424" s="26" t="str">
        <f>IFERROR(__xludf.DUMMYFUNCTION("""COMPUTED_VALUE"""),"Yes")</f>
        <v>Yes</v>
      </c>
      <c r="P424" s="26" t="str">
        <f>IFERROR(__xludf.DUMMYFUNCTION("""COMPUTED_VALUE"""),"")</f>
        <v/>
      </c>
    </row>
    <row r="425">
      <c r="A425" s="13" t="str">
        <f>IFERROR(__xludf.DUMMYFUNCTION("""COMPUTED_VALUE"""),"Bladestorm: Nightmare")</f>
        <v>Bladestorm: Nightmare</v>
      </c>
      <c r="B425" s="15" t="str">
        <f>IFERROR(__xludf.DUMMYFUNCTION("""COMPUTED_VALUE"""),"PS5/PS4")</f>
        <v>PS5/PS4</v>
      </c>
      <c r="C425" s="16" t="str">
        <f>IFERROR(__xludf.DUMMYFUNCTION("""COMPUTED_VALUE"""),"Premium (Streaming Only)")</f>
        <v>Premium (Streaming Only)</v>
      </c>
      <c r="D425" s="15" t="str">
        <f>IFERROR(__xludf.DUMMYFUNCTION("""COMPUTED_VALUE"""),"Active")</f>
        <v>Active</v>
      </c>
      <c r="E425" s="17">
        <f>IFERROR(__xludf.DUMMYFUNCTION("""COMPUTED_VALUE"""),42647.0)</f>
        <v>42647</v>
      </c>
      <c r="F425" s="54"/>
      <c r="G425" s="19">
        <f>IFERROR(__xludf.DUMMYFUNCTION("""COMPUTED_VALUE"""),120.06666666666668)</f>
        <v>120.0666667</v>
      </c>
      <c r="H425" s="17">
        <f>IFERROR(__xludf.DUMMYFUNCTION("""COMPUTED_VALUE"""),42064.0)</f>
        <v>42064</v>
      </c>
      <c r="I425" s="19">
        <f>IFERROR(__xludf.DUMMYFUNCTION("""COMPUTED_VALUE"""),1.5916666666666666)</f>
        <v>1.591666667</v>
      </c>
      <c r="J425" s="21">
        <f>IFERROR(__xludf.DUMMYFUNCTION("""COMPUTED_VALUE"""),58.0)</f>
        <v>58</v>
      </c>
      <c r="K425" s="23">
        <f>IFERROR(__xludf.DUMMYFUNCTION("""COMPUTED_VALUE"""),6.4)</f>
        <v>6.4</v>
      </c>
      <c r="L425" s="24">
        <f>IFERROR(__xludf.DUMMYFUNCTION("""COMPUTED_VALUE"""),25.0)</f>
        <v>25</v>
      </c>
      <c r="M425" s="25" t="str">
        <f>IFERROR(__xludf.DUMMYFUNCTION("""COMPUTED_VALUE"""),"RPG")</f>
        <v>RPG</v>
      </c>
      <c r="N425" s="25" t="str">
        <f>IFERROR(__xludf.DUMMYFUNCTION("""COMPUTED_VALUE"""),"PS3")</f>
        <v>PS3</v>
      </c>
      <c r="O425" s="26" t="str">
        <f>IFERROR(__xludf.DUMMYFUNCTION("""COMPUTED_VALUE"""),"Yes")</f>
        <v>Yes</v>
      </c>
      <c r="P425" s="26" t="str">
        <f>IFERROR(__xludf.DUMMYFUNCTION("""COMPUTED_VALUE"""),"")</f>
        <v/>
      </c>
    </row>
    <row r="426">
      <c r="A426" s="13" t="str">
        <f>IFERROR(__xludf.DUMMYFUNCTION("""COMPUTED_VALUE"""),"Cel Damage HD")</f>
        <v>Cel Damage HD</v>
      </c>
      <c r="B426" s="15" t="str">
        <f>IFERROR(__xludf.DUMMYFUNCTION("""COMPUTED_VALUE"""),"PS5/PS4")</f>
        <v>PS5/PS4</v>
      </c>
      <c r="C426" s="16" t="str">
        <f>IFERROR(__xludf.DUMMYFUNCTION("""COMPUTED_VALUE"""),"Premium (Streaming Only)")</f>
        <v>Premium (Streaming Only)</v>
      </c>
      <c r="D426" s="15" t="str">
        <f>IFERROR(__xludf.DUMMYFUNCTION("""COMPUTED_VALUE"""),"Active")</f>
        <v>Active</v>
      </c>
      <c r="E426" s="17">
        <f>IFERROR(__xludf.DUMMYFUNCTION("""COMPUTED_VALUE"""),42311.0)</f>
        <v>42311</v>
      </c>
      <c r="F426" s="54"/>
      <c r="G426" s="19">
        <f>IFERROR(__xludf.DUMMYFUNCTION("""COMPUTED_VALUE"""),131.10000000000002)</f>
        <v>131.1</v>
      </c>
      <c r="H426" s="17">
        <f>IFERROR(__xludf.DUMMYFUNCTION("""COMPUTED_VALUE"""),41730.0)</f>
        <v>41730</v>
      </c>
      <c r="I426" s="19">
        <f>IFERROR(__xludf.DUMMYFUNCTION("""COMPUTED_VALUE"""),1.5888888888888888)</f>
        <v>1.588888889</v>
      </c>
      <c r="J426" s="21">
        <f>IFERROR(__xludf.DUMMYFUNCTION("""COMPUTED_VALUE"""),58.0)</f>
        <v>58</v>
      </c>
      <c r="K426" s="23">
        <f>IFERROR(__xludf.DUMMYFUNCTION("""COMPUTED_VALUE"""),6.7)</f>
        <v>6.7</v>
      </c>
      <c r="L426" s="24"/>
      <c r="M426" s="25" t="str">
        <f>IFERROR(__xludf.DUMMYFUNCTION("""COMPUTED_VALUE"""),"Racing")</f>
        <v>Racing</v>
      </c>
      <c r="N426" s="25" t="str">
        <f>IFERROR(__xludf.DUMMYFUNCTION("""COMPUTED_VALUE"""),"PS3")</f>
        <v>PS3</v>
      </c>
      <c r="O426" s="26" t="str">
        <f>IFERROR(__xludf.DUMMYFUNCTION("""COMPUTED_VALUE"""),"Yes")</f>
        <v>Yes</v>
      </c>
      <c r="P426" s="26" t="str">
        <f>IFERROR(__xludf.DUMMYFUNCTION("""COMPUTED_VALUE"""),"")</f>
        <v/>
      </c>
    </row>
    <row r="427">
      <c r="A427" s="13" t="str">
        <f>IFERROR(__xludf.DUMMYFUNCTION("""COMPUTED_VALUE"""),"Bang Bang Racing")</f>
        <v>Bang Bang Racing</v>
      </c>
      <c r="B427" s="15" t="str">
        <f>IFERROR(__xludf.DUMMYFUNCTION("""COMPUTED_VALUE"""),"PS5/PS4")</f>
        <v>PS5/PS4</v>
      </c>
      <c r="C427" s="16" t="str">
        <f>IFERROR(__xludf.DUMMYFUNCTION("""COMPUTED_VALUE"""),"Premium (Streaming Only)")</f>
        <v>Premium (Streaming Only)</v>
      </c>
      <c r="D427" s="15" t="str">
        <f>IFERROR(__xludf.DUMMYFUNCTION("""COMPUTED_VALUE"""),"Active")</f>
        <v>Active</v>
      </c>
      <c r="E427" s="17">
        <f>IFERROR(__xludf.DUMMYFUNCTION("""COMPUTED_VALUE"""),42017.0)</f>
        <v>42017</v>
      </c>
      <c r="F427" s="54"/>
      <c r="G427" s="19">
        <f>IFERROR(__xludf.DUMMYFUNCTION("""COMPUTED_VALUE"""),140.76666666666668)</f>
        <v>140.7666667</v>
      </c>
      <c r="H427" s="17">
        <f>IFERROR(__xludf.DUMMYFUNCTION("""COMPUTED_VALUE"""),41061.0)</f>
        <v>41061</v>
      </c>
      <c r="I427" s="19">
        <f>IFERROR(__xludf.DUMMYFUNCTION("""COMPUTED_VALUE"""),2.6166666666666667)</f>
        <v>2.616666667</v>
      </c>
      <c r="J427" s="21">
        <f>IFERROR(__xludf.DUMMYFUNCTION("""COMPUTED_VALUE"""),58.0)</f>
        <v>58</v>
      </c>
      <c r="K427" s="23">
        <f>IFERROR(__xludf.DUMMYFUNCTION("""COMPUTED_VALUE"""),6.5)</f>
        <v>6.5</v>
      </c>
      <c r="L427" s="24"/>
      <c r="M427" s="25" t="str">
        <f>IFERROR(__xludf.DUMMYFUNCTION("""COMPUTED_VALUE"""),"Racing")</f>
        <v>Racing</v>
      </c>
      <c r="N427" s="25" t="str">
        <f>IFERROR(__xludf.DUMMYFUNCTION("""COMPUTED_VALUE"""),"PS3")</f>
        <v>PS3</v>
      </c>
      <c r="O427" s="26" t="str">
        <f>IFERROR(__xludf.DUMMYFUNCTION("""COMPUTED_VALUE"""),"Yes")</f>
        <v>Yes</v>
      </c>
      <c r="P427" s="26" t="str">
        <f>IFERROR(__xludf.DUMMYFUNCTION("""COMPUTED_VALUE"""),"Yes")</f>
        <v>Yes</v>
      </c>
    </row>
    <row r="428">
      <c r="A428" s="13" t="str">
        <f>IFERROR(__xludf.DUMMYFUNCTION("""COMPUTED_VALUE"""),"Bladestorm: The Hundred Years' War")</f>
        <v>Bladestorm: The Hundred Years' War</v>
      </c>
      <c r="B428" s="15" t="str">
        <f>IFERROR(__xludf.DUMMYFUNCTION("""COMPUTED_VALUE"""),"PS5/PS4")</f>
        <v>PS5/PS4</v>
      </c>
      <c r="C428" s="16" t="str">
        <f>IFERROR(__xludf.DUMMYFUNCTION("""COMPUTED_VALUE"""),"Premium (Streaming Only)")</f>
        <v>Premium (Streaming Only)</v>
      </c>
      <c r="D428" s="15" t="str">
        <f>IFERROR(__xludf.DUMMYFUNCTION("""COMPUTED_VALUE"""),"Active")</f>
        <v>Active</v>
      </c>
      <c r="E428" s="17">
        <f>IFERROR(__xludf.DUMMYFUNCTION("""COMPUTED_VALUE"""),42017.0)</f>
        <v>42017</v>
      </c>
      <c r="F428" s="54"/>
      <c r="G428" s="19">
        <f>IFERROR(__xludf.DUMMYFUNCTION("""COMPUTED_VALUE"""),140.76666666666668)</f>
        <v>140.7666667</v>
      </c>
      <c r="H428" s="17">
        <f>IFERROR(__xludf.DUMMYFUNCTION("""COMPUTED_VALUE"""),39387.0)</f>
        <v>39387</v>
      </c>
      <c r="I428" s="19">
        <f>IFERROR(__xludf.DUMMYFUNCTION("""COMPUTED_VALUE"""),7.2)</f>
        <v>7.2</v>
      </c>
      <c r="J428" s="21">
        <f>IFERROR(__xludf.DUMMYFUNCTION("""COMPUTED_VALUE"""),58.0)</f>
        <v>58</v>
      </c>
      <c r="K428" s="23">
        <f>IFERROR(__xludf.DUMMYFUNCTION("""COMPUTED_VALUE"""),7.3)</f>
        <v>7.3</v>
      </c>
      <c r="L428" s="24">
        <f>IFERROR(__xludf.DUMMYFUNCTION("""COMPUTED_VALUE"""),25.0)</f>
        <v>25</v>
      </c>
      <c r="M428" s="25" t="str">
        <f>IFERROR(__xludf.DUMMYFUNCTION("""COMPUTED_VALUE"""),"RPG")</f>
        <v>RPG</v>
      </c>
      <c r="N428" s="25" t="str">
        <f>IFERROR(__xludf.DUMMYFUNCTION("""COMPUTED_VALUE"""),"PS3")</f>
        <v>PS3</v>
      </c>
      <c r="O428" s="26" t="str">
        <f>IFERROR(__xludf.DUMMYFUNCTION("""COMPUTED_VALUE"""),"Yes")</f>
        <v>Yes</v>
      </c>
      <c r="P428" s="26" t="str">
        <f>IFERROR(__xludf.DUMMYFUNCTION("""COMPUTED_VALUE"""),"")</f>
        <v/>
      </c>
    </row>
    <row r="429">
      <c r="A429" s="13" t="str">
        <f>IFERROR(__xludf.DUMMYFUNCTION("""COMPUTED_VALUE"""),"Way of the Samurai 3: Plus")</f>
        <v>Way of the Samurai 3: Plus</v>
      </c>
      <c r="B429" s="15" t="str">
        <f>IFERROR(__xludf.DUMMYFUNCTION("""COMPUTED_VALUE"""),"PS5/PS4")</f>
        <v>PS5/PS4</v>
      </c>
      <c r="C429" s="16" t="str">
        <f>IFERROR(__xludf.DUMMYFUNCTION("""COMPUTED_VALUE"""),"Premium (Streaming Only)")</f>
        <v>Premium (Streaming Only)</v>
      </c>
      <c r="D429" s="15" t="str">
        <f>IFERROR(__xludf.DUMMYFUNCTION("""COMPUTED_VALUE"""),"Active")</f>
        <v>Active</v>
      </c>
      <c r="E429" s="17">
        <f>IFERROR(__xludf.DUMMYFUNCTION("""COMPUTED_VALUE"""),42017.0)</f>
        <v>42017</v>
      </c>
      <c r="F429" s="54"/>
      <c r="G429" s="19">
        <f>IFERROR(__xludf.DUMMYFUNCTION("""COMPUTED_VALUE"""),140.76666666666668)</f>
        <v>140.7666667</v>
      </c>
      <c r="H429" s="17">
        <f>IFERROR(__xludf.DUMMYFUNCTION("""COMPUTED_VALUE"""),40087.0)</f>
        <v>40087</v>
      </c>
      <c r="I429" s="19">
        <f>IFERROR(__xludf.DUMMYFUNCTION("""COMPUTED_VALUE"""),5.283333333333333)</f>
        <v>5.283333333</v>
      </c>
      <c r="J429" s="21">
        <f>IFERROR(__xludf.DUMMYFUNCTION("""COMPUTED_VALUE"""),58.0)</f>
        <v>58</v>
      </c>
      <c r="K429" s="23">
        <f>IFERROR(__xludf.DUMMYFUNCTION("""COMPUTED_VALUE"""),7.0)</f>
        <v>7</v>
      </c>
      <c r="L429" s="24">
        <f>IFERROR(__xludf.DUMMYFUNCTION("""COMPUTED_VALUE"""),15.0)</f>
        <v>15</v>
      </c>
      <c r="M429" s="25" t="str">
        <f>IFERROR(__xludf.DUMMYFUNCTION("""COMPUTED_VALUE"""),"Action-Adventure")</f>
        <v>Action-Adventure</v>
      </c>
      <c r="N429" s="25" t="str">
        <f>IFERROR(__xludf.DUMMYFUNCTION("""COMPUTED_VALUE"""),"PS3")</f>
        <v>PS3</v>
      </c>
      <c r="O429" s="26" t="str">
        <f>IFERROR(__xludf.DUMMYFUNCTION("""COMPUTED_VALUE"""),"Yes")</f>
        <v>Yes</v>
      </c>
      <c r="P429" s="26" t="str">
        <f>IFERROR(__xludf.DUMMYFUNCTION("""COMPUTED_VALUE"""),"")</f>
        <v/>
      </c>
    </row>
    <row r="430">
      <c r="A430" s="13" t="str">
        <f>IFERROR(__xludf.DUMMYFUNCTION("""COMPUTED_VALUE"""),"HUNTED: THE DEMON'S FORGE")</f>
        <v>HUNTED: THE DEMON'S FORGE</v>
      </c>
      <c r="B430" s="15" t="str">
        <f>IFERROR(__xludf.DUMMYFUNCTION("""COMPUTED_VALUE"""),"PS5/PS4")</f>
        <v>PS5/PS4</v>
      </c>
      <c r="C430" s="16" t="str">
        <f>IFERROR(__xludf.DUMMYFUNCTION("""COMPUTED_VALUE"""),"Premium (Streaming Only)")</f>
        <v>Premium (Streaming Only)</v>
      </c>
      <c r="D430" s="15" t="str">
        <f>IFERROR(__xludf.DUMMYFUNCTION("""COMPUTED_VALUE"""),"Active")</f>
        <v>Active</v>
      </c>
      <c r="E430" s="17">
        <f>IFERROR(__xludf.DUMMYFUNCTION("""COMPUTED_VALUE"""),42983.0)</f>
        <v>42983</v>
      </c>
      <c r="F430" s="54"/>
      <c r="G430" s="19">
        <f>IFERROR(__xludf.DUMMYFUNCTION("""COMPUTED_VALUE"""),109.03333333333333)</f>
        <v>109.0333333</v>
      </c>
      <c r="H430" s="17">
        <f>IFERROR(__xludf.DUMMYFUNCTION("""COMPUTED_VALUE"""),40664.0)</f>
        <v>40664</v>
      </c>
      <c r="I430" s="19">
        <f>IFERROR(__xludf.DUMMYFUNCTION("""COMPUTED_VALUE"""),6.344444444444444)</f>
        <v>6.344444444</v>
      </c>
      <c r="J430" s="21">
        <f>IFERROR(__xludf.DUMMYFUNCTION("""COMPUTED_VALUE"""),57.0)</f>
        <v>57</v>
      </c>
      <c r="K430" s="23">
        <f>IFERROR(__xludf.DUMMYFUNCTION("""COMPUTED_VALUE"""),6.4)</f>
        <v>6.4</v>
      </c>
      <c r="L430" s="24">
        <f>IFERROR(__xludf.DUMMYFUNCTION("""COMPUTED_VALUE"""),10.0)</f>
        <v>10</v>
      </c>
      <c r="M430" s="25" t="str">
        <f>IFERROR(__xludf.DUMMYFUNCTION("""COMPUTED_VALUE"""),"Action-Adventure")</f>
        <v>Action-Adventure</v>
      </c>
      <c r="N430" s="25" t="str">
        <f>IFERROR(__xludf.DUMMYFUNCTION("""COMPUTED_VALUE"""),"PS3")</f>
        <v>PS3</v>
      </c>
      <c r="O430" s="26" t="str">
        <f>IFERROR(__xludf.DUMMYFUNCTION("""COMPUTED_VALUE"""),"Yes")</f>
        <v>Yes</v>
      </c>
      <c r="P430" s="26" t="str">
        <f>IFERROR(__xludf.DUMMYFUNCTION("""COMPUTED_VALUE"""),"")</f>
        <v/>
      </c>
    </row>
    <row r="431">
      <c r="A431" s="13" t="str">
        <f>IFERROR(__xludf.DUMMYFUNCTION("""COMPUTED_VALUE"""),"AKIBA'S TRIP: Undead &amp; Undressed")</f>
        <v>AKIBA'S TRIP: Undead &amp; Undressed</v>
      </c>
      <c r="B431" s="15" t="str">
        <f>IFERROR(__xludf.DUMMYFUNCTION("""COMPUTED_VALUE"""),"PS5/PS4")</f>
        <v>PS5/PS4</v>
      </c>
      <c r="C431" s="16" t="str">
        <f>IFERROR(__xludf.DUMMYFUNCTION("""COMPUTED_VALUE"""),"Premium (Streaming Only)")</f>
        <v>Premium (Streaming Only)</v>
      </c>
      <c r="D431" s="15" t="str">
        <f>IFERROR(__xludf.DUMMYFUNCTION("""COMPUTED_VALUE"""),"Active")</f>
        <v>Active</v>
      </c>
      <c r="E431" s="17">
        <f>IFERROR(__xludf.DUMMYFUNCTION("""COMPUTED_VALUE"""),42647.0)</f>
        <v>42647</v>
      </c>
      <c r="F431" s="54"/>
      <c r="G431" s="19">
        <f>IFERROR(__xludf.DUMMYFUNCTION("""COMPUTED_VALUE"""),120.06666666666668)</f>
        <v>120.0666667</v>
      </c>
      <c r="H431" s="17">
        <f>IFERROR(__xludf.DUMMYFUNCTION("""COMPUTED_VALUE"""),41944.0)</f>
        <v>41944</v>
      </c>
      <c r="I431" s="19">
        <f>IFERROR(__xludf.DUMMYFUNCTION("""COMPUTED_VALUE"""),1.925)</f>
        <v>1.925</v>
      </c>
      <c r="J431" s="21">
        <f>IFERROR(__xludf.DUMMYFUNCTION("""COMPUTED_VALUE"""),57.0)</f>
        <v>57</v>
      </c>
      <c r="K431" s="23">
        <f>IFERROR(__xludf.DUMMYFUNCTION("""COMPUTED_VALUE"""),7.1)</f>
        <v>7.1</v>
      </c>
      <c r="L431" s="24">
        <f>IFERROR(__xludf.DUMMYFUNCTION("""COMPUTED_VALUE"""),12.0)</f>
        <v>12</v>
      </c>
      <c r="M431" s="25" t="str">
        <f>IFERROR(__xludf.DUMMYFUNCTION("""COMPUTED_VALUE"""),"Action-Adventure")</f>
        <v>Action-Adventure</v>
      </c>
      <c r="N431" s="25" t="str">
        <f>IFERROR(__xludf.DUMMYFUNCTION("""COMPUTED_VALUE"""),"PS3")</f>
        <v>PS3</v>
      </c>
      <c r="O431" s="26" t="str">
        <f>IFERROR(__xludf.DUMMYFUNCTION("""COMPUTED_VALUE"""),"Yes")</f>
        <v>Yes</v>
      </c>
      <c r="P431" s="26" t="str">
        <f>IFERROR(__xludf.DUMMYFUNCTION("""COMPUTED_VALUE"""),"")</f>
        <v/>
      </c>
    </row>
    <row r="432">
      <c r="A432" s="13" t="str">
        <f>IFERROR(__xludf.DUMMYFUNCTION("""COMPUTED_VALUE"""),"Toy Home")</f>
        <v>Toy Home</v>
      </c>
      <c r="B432" s="15" t="str">
        <f>IFERROR(__xludf.DUMMYFUNCTION("""COMPUTED_VALUE"""),"PS5/PS4")</f>
        <v>PS5/PS4</v>
      </c>
      <c r="C432" s="16" t="str">
        <f>IFERROR(__xludf.DUMMYFUNCTION("""COMPUTED_VALUE"""),"Premium (Streaming Only)")</f>
        <v>Premium (Streaming Only)</v>
      </c>
      <c r="D432" s="15" t="str">
        <f>IFERROR(__xludf.DUMMYFUNCTION("""COMPUTED_VALUE"""),"Active")</f>
        <v>Active</v>
      </c>
      <c r="E432" s="17">
        <f>IFERROR(__xludf.DUMMYFUNCTION("""COMPUTED_VALUE"""),42374.0)</f>
        <v>42374</v>
      </c>
      <c r="F432" s="54"/>
      <c r="G432" s="19">
        <f>IFERROR(__xludf.DUMMYFUNCTION("""COMPUTED_VALUE"""),129.03333333333333)</f>
        <v>129.0333333</v>
      </c>
      <c r="H432" s="17">
        <f>IFERROR(__xludf.DUMMYFUNCTION("""COMPUTED_VALUE"""),39417.0)</f>
        <v>39417</v>
      </c>
      <c r="I432" s="19">
        <f>IFERROR(__xludf.DUMMYFUNCTION("""COMPUTED_VALUE"""),8.094444444444445)</f>
        <v>8.094444444</v>
      </c>
      <c r="J432" s="21">
        <f>IFERROR(__xludf.DUMMYFUNCTION("""COMPUTED_VALUE"""),57.0)</f>
        <v>57</v>
      </c>
      <c r="K432" s="23">
        <f>IFERROR(__xludf.DUMMYFUNCTION("""COMPUTED_VALUE"""),6.9)</f>
        <v>6.9</v>
      </c>
      <c r="L432" s="24">
        <f>IFERROR(__xludf.DUMMYFUNCTION("""COMPUTED_VALUE"""),3.0)</f>
        <v>3</v>
      </c>
      <c r="M432" s="25" t="str">
        <f>IFERROR(__xludf.DUMMYFUNCTION("""COMPUTED_VALUE"""),"Racing")</f>
        <v>Racing</v>
      </c>
      <c r="N432" s="25" t="str">
        <f>IFERROR(__xludf.DUMMYFUNCTION("""COMPUTED_VALUE"""),"PS3")</f>
        <v>PS3</v>
      </c>
      <c r="O432" s="26" t="str">
        <f>IFERROR(__xludf.DUMMYFUNCTION("""COMPUTED_VALUE"""),"Yes")</f>
        <v>Yes</v>
      </c>
      <c r="P432" s="26" t="str">
        <f>IFERROR(__xludf.DUMMYFUNCTION("""COMPUTED_VALUE"""),"")</f>
        <v/>
      </c>
    </row>
    <row r="433">
      <c r="A433" s="13" t="str">
        <f>IFERROR(__xludf.DUMMYFUNCTION("""COMPUTED_VALUE"""),"Voodoo Chronicles: The First Sign")</f>
        <v>Voodoo Chronicles: The First Sign</v>
      </c>
      <c r="B433" s="15" t="str">
        <f>IFERROR(__xludf.DUMMYFUNCTION("""COMPUTED_VALUE"""),"PS5/PS4")</f>
        <v>PS5/PS4</v>
      </c>
      <c r="C433" s="16" t="str">
        <f>IFERROR(__xludf.DUMMYFUNCTION("""COMPUTED_VALUE"""),"Premium (Streaming Only)")</f>
        <v>Premium (Streaming Only)</v>
      </c>
      <c r="D433" s="15" t="str">
        <f>IFERROR(__xludf.DUMMYFUNCTION("""COMPUTED_VALUE"""),"Active")</f>
        <v>Active</v>
      </c>
      <c r="E433" s="17">
        <f>IFERROR(__xludf.DUMMYFUNCTION("""COMPUTED_VALUE"""),42311.0)</f>
        <v>42311</v>
      </c>
      <c r="F433" s="54"/>
      <c r="G433" s="19">
        <f>IFERROR(__xludf.DUMMYFUNCTION("""COMPUTED_VALUE"""),131.10000000000002)</f>
        <v>131.1</v>
      </c>
      <c r="H433" s="17">
        <f>IFERROR(__xludf.DUMMYFUNCTION("""COMPUTED_VALUE"""),41254.0)</f>
        <v>41254</v>
      </c>
      <c r="I433" s="19">
        <f>IFERROR(__xludf.DUMMYFUNCTION("""COMPUTED_VALUE"""),2.8944444444444444)</f>
        <v>2.894444444</v>
      </c>
      <c r="J433" s="21">
        <f>IFERROR(__xludf.DUMMYFUNCTION("""COMPUTED_VALUE"""),57.0)</f>
        <v>57</v>
      </c>
      <c r="K433" s="23"/>
      <c r="L433" s="24">
        <f>IFERROR(__xludf.DUMMYFUNCTION("""COMPUTED_VALUE"""),8.0)</f>
        <v>8</v>
      </c>
      <c r="M433" s="25" t="str">
        <f>IFERROR(__xludf.DUMMYFUNCTION("""COMPUTED_VALUE"""),"Adventure")</f>
        <v>Adventure</v>
      </c>
      <c r="N433" s="25" t="str">
        <f>IFERROR(__xludf.DUMMYFUNCTION("""COMPUTED_VALUE"""),"PS3")</f>
        <v>PS3</v>
      </c>
      <c r="O433" s="26" t="str">
        <f>IFERROR(__xludf.DUMMYFUNCTION("""COMPUTED_VALUE"""),"Yes")</f>
        <v>Yes</v>
      </c>
      <c r="P433" s="26" t="str">
        <f>IFERROR(__xludf.DUMMYFUNCTION("""COMPUTED_VALUE"""),"")</f>
        <v/>
      </c>
    </row>
    <row r="434">
      <c r="A434" s="13" t="str">
        <f>IFERROR(__xludf.DUMMYFUNCTION("""COMPUTED_VALUE"""),"Dynasty Warriors 7")</f>
        <v>Dynasty Warriors 7</v>
      </c>
      <c r="B434" s="15" t="str">
        <f>IFERROR(__xludf.DUMMYFUNCTION("""COMPUTED_VALUE"""),"PS5/PS4")</f>
        <v>PS5/PS4</v>
      </c>
      <c r="C434" s="16" t="str">
        <f>IFERROR(__xludf.DUMMYFUNCTION("""COMPUTED_VALUE"""),"Premium (Streaming Only)")</f>
        <v>Premium (Streaming Only)</v>
      </c>
      <c r="D434" s="15" t="str">
        <f>IFERROR(__xludf.DUMMYFUNCTION("""COMPUTED_VALUE"""),"Active")</f>
        <v>Active</v>
      </c>
      <c r="E434" s="17">
        <f>IFERROR(__xludf.DUMMYFUNCTION("""COMPUTED_VALUE"""),42017.0)</f>
        <v>42017</v>
      </c>
      <c r="F434" s="54"/>
      <c r="G434" s="19">
        <f>IFERROR(__xludf.DUMMYFUNCTION("""COMPUTED_VALUE"""),140.76666666666668)</f>
        <v>140.7666667</v>
      </c>
      <c r="H434" s="17">
        <f>IFERROR(__xludf.DUMMYFUNCTION("""COMPUTED_VALUE"""),40603.0)</f>
        <v>40603</v>
      </c>
      <c r="I434" s="19">
        <f>IFERROR(__xludf.DUMMYFUNCTION("""COMPUTED_VALUE"""),3.8666666666666667)</f>
        <v>3.866666667</v>
      </c>
      <c r="J434" s="21">
        <f>IFERROR(__xludf.DUMMYFUNCTION("""COMPUTED_VALUE"""),57.0)</f>
        <v>57</v>
      </c>
      <c r="K434" s="23">
        <f>IFERROR(__xludf.DUMMYFUNCTION("""COMPUTED_VALUE"""),7.6)</f>
        <v>7.6</v>
      </c>
      <c r="L434" s="24">
        <f>IFERROR(__xludf.DUMMYFUNCTION("""COMPUTED_VALUE"""),20.0)</f>
        <v>20</v>
      </c>
      <c r="M434" s="25" t="str">
        <f>IFERROR(__xludf.DUMMYFUNCTION("""COMPUTED_VALUE"""),"Action-Adventure")</f>
        <v>Action-Adventure</v>
      </c>
      <c r="N434" s="25" t="str">
        <f>IFERROR(__xludf.DUMMYFUNCTION("""COMPUTED_VALUE"""),"PS3")</f>
        <v>PS3</v>
      </c>
      <c r="O434" s="26" t="str">
        <f>IFERROR(__xludf.DUMMYFUNCTION("""COMPUTED_VALUE"""),"Yes")</f>
        <v>Yes</v>
      </c>
      <c r="P434" s="26" t="str">
        <f>IFERROR(__xludf.DUMMYFUNCTION("""COMPUTED_VALUE"""),"")</f>
        <v/>
      </c>
    </row>
    <row r="435">
      <c r="A435" s="13" t="str">
        <f>IFERROR(__xludf.DUMMYFUNCTION("""COMPUTED_VALUE"""),"Faery: Legends of Avalon")</f>
        <v>Faery: Legends of Avalon</v>
      </c>
      <c r="B435" s="15" t="str">
        <f>IFERROR(__xludf.DUMMYFUNCTION("""COMPUTED_VALUE"""),"PS5/PS4")</f>
        <v>PS5/PS4</v>
      </c>
      <c r="C435" s="16" t="str">
        <f>IFERROR(__xludf.DUMMYFUNCTION("""COMPUTED_VALUE"""),"Premium (Streaming Only)")</f>
        <v>Premium (Streaming Only)</v>
      </c>
      <c r="D435" s="15" t="str">
        <f>IFERROR(__xludf.DUMMYFUNCTION("""COMPUTED_VALUE"""),"Active")</f>
        <v>Active</v>
      </c>
      <c r="E435" s="17">
        <f>IFERROR(__xludf.DUMMYFUNCTION("""COMPUTED_VALUE"""),42017.0)</f>
        <v>42017</v>
      </c>
      <c r="F435" s="54"/>
      <c r="G435" s="19">
        <f>IFERROR(__xludf.DUMMYFUNCTION("""COMPUTED_VALUE"""),140.76666666666668)</f>
        <v>140.7666667</v>
      </c>
      <c r="H435" s="17">
        <f>IFERROR(__xludf.DUMMYFUNCTION("""COMPUTED_VALUE"""),40544.0)</f>
        <v>40544</v>
      </c>
      <c r="I435" s="19">
        <f>IFERROR(__xludf.DUMMYFUNCTION("""COMPUTED_VALUE"""),4.033333333333333)</f>
        <v>4.033333333</v>
      </c>
      <c r="J435" s="21">
        <f>IFERROR(__xludf.DUMMYFUNCTION("""COMPUTED_VALUE"""),57.0)</f>
        <v>57</v>
      </c>
      <c r="K435" s="23">
        <f>IFERROR(__xludf.DUMMYFUNCTION("""COMPUTED_VALUE"""),6.8)</f>
        <v>6.8</v>
      </c>
      <c r="L435" s="24">
        <f>IFERROR(__xludf.DUMMYFUNCTION("""COMPUTED_VALUE"""),10.0)</f>
        <v>10</v>
      </c>
      <c r="M435" s="25" t="str">
        <f>IFERROR(__xludf.DUMMYFUNCTION("""COMPUTED_VALUE"""),"RPG")</f>
        <v>RPG</v>
      </c>
      <c r="N435" s="25" t="str">
        <f>IFERROR(__xludf.DUMMYFUNCTION("""COMPUTED_VALUE"""),"PS3")</f>
        <v>PS3</v>
      </c>
      <c r="O435" s="26" t="str">
        <f>IFERROR(__xludf.DUMMYFUNCTION("""COMPUTED_VALUE"""),"Yes")</f>
        <v>Yes</v>
      </c>
      <c r="P435" s="26" t="str">
        <f>IFERROR(__xludf.DUMMYFUNCTION("""COMPUTED_VALUE"""),"")</f>
        <v/>
      </c>
    </row>
    <row r="436">
      <c r="A436" s="13" t="str">
        <f>IFERROR(__xludf.DUMMYFUNCTION("""COMPUTED_VALUE"""),"Wizardry: Labyrinth of Lost Souls")</f>
        <v>Wizardry: Labyrinth of Lost Souls</v>
      </c>
      <c r="B436" s="15" t="str">
        <f>IFERROR(__xludf.DUMMYFUNCTION("""COMPUTED_VALUE"""),"PS5/PS4")</f>
        <v>PS5/PS4</v>
      </c>
      <c r="C436" s="16" t="str">
        <f>IFERROR(__xludf.DUMMYFUNCTION("""COMPUTED_VALUE"""),"Premium (Streaming Only)")</f>
        <v>Premium (Streaming Only)</v>
      </c>
      <c r="D436" s="15" t="str">
        <f>IFERROR(__xludf.DUMMYFUNCTION("""COMPUTED_VALUE"""),"Active")</f>
        <v>Active</v>
      </c>
      <c r="E436" s="17">
        <f>IFERROR(__xludf.DUMMYFUNCTION("""COMPUTED_VALUE"""),42017.0)</f>
        <v>42017</v>
      </c>
      <c r="F436" s="54"/>
      <c r="G436" s="19">
        <f>IFERROR(__xludf.DUMMYFUNCTION("""COMPUTED_VALUE"""),140.76666666666668)</f>
        <v>140.7666667</v>
      </c>
      <c r="H436" s="17">
        <f>IFERROR(__xludf.DUMMYFUNCTION("""COMPUTED_VALUE"""),40664.0)</f>
        <v>40664</v>
      </c>
      <c r="I436" s="19">
        <f>IFERROR(__xludf.DUMMYFUNCTION("""COMPUTED_VALUE"""),3.7)</f>
        <v>3.7</v>
      </c>
      <c r="J436" s="21">
        <f>IFERROR(__xludf.DUMMYFUNCTION("""COMPUTED_VALUE"""),57.0)</f>
        <v>57</v>
      </c>
      <c r="K436" s="23">
        <f>IFERROR(__xludf.DUMMYFUNCTION("""COMPUTED_VALUE"""),7.4)</f>
        <v>7.4</v>
      </c>
      <c r="L436" s="24">
        <f>IFERROR(__xludf.DUMMYFUNCTION("""COMPUTED_VALUE"""),30.0)</f>
        <v>30</v>
      </c>
      <c r="M436" s="25" t="str">
        <f>IFERROR(__xludf.DUMMYFUNCTION("""COMPUTED_VALUE"""),"RPG")</f>
        <v>RPG</v>
      </c>
      <c r="N436" s="25" t="str">
        <f>IFERROR(__xludf.DUMMYFUNCTION("""COMPUTED_VALUE"""),"PS3")</f>
        <v>PS3</v>
      </c>
      <c r="O436" s="26" t="str">
        <f>IFERROR(__xludf.DUMMYFUNCTION("""COMPUTED_VALUE"""),"Yes")</f>
        <v>Yes</v>
      </c>
      <c r="P436" s="26" t="str">
        <f>IFERROR(__xludf.DUMMYFUNCTION("""COMPUTED_VALUE"""),"")</f>
        <v/>
      </c>
    </row>
    <row r="437">
      <c r="A437" s="13" t="str">
        <f>IFERROR(__xludf.DUMMYFUNCTION("""COMPUTED_VALUE"""),"Deadliest Warrior: Legends")</f>
        <v>Deadliest Warrior: Legends</v>
      </c>
      <c r="B437" s="15" t="str">
        <f>IFERROR(__xludf.DUMMYFUNCTION("""COMPUTED_VALUE"""),"PS5/PS4")</f>
        <v>PS5/PS4</v>
      </c>
      <c r="C437" s="16" t="str">
        <f>IFERROR(__xludf.DUMMYFUNCTION("""COMPUTED_VALUE"""),"Premium (Streaming Only)")</f>
        <v>Premium (Streaming Only)</v>
      </c>
      <c r="D437" s="15" t="str">
        <f>IFERROR(__xludf.DUMMYFUNCTION("""COMPUTED_VALUE"""),"Active")</f>
        <v>Active</v>
      </c>
      <c r="E437" s="17">
        <f>IFERROR(__xludf.DUMMYFUNCTION("""COMPUTED_VALUE"""),42556.0)</f>
        <v>42556</v>
      </c>
      <c r="F437" s="54"/>
      <c r="G437" s="19">
        <f>IFERROR(__xludf.DUMMYFUNCTION("""COMPUTED_VALUE"""),123.03333333333333)</f>
        <v>123.0333333</v>
      </c>
      <c r="H437" s="17">
        <f>IFERROR(__xludf.DUMMYFUNCTION("""COMPUTED_VALUE"""),40695.0)</f>
        <v>40695</v>
      </c>
      <c r="I437" s="19">
        <f>IFERROR(__xludf.DUMMYFUNCTION("""COMPUTED_VALUE"""),5.094444444444444)</f>
        <v>5.094444444</v>
      </c>
      <c r="J437" s="21">
        <f>IFERROR(__xludf.DUMMYFUNCTION("""COMPUTED_VALUE"""),56.0)</f>
        <v>56</v>
      </c>
      <c r="K437" s="23">
        <f>IFERROR(__xludf.DUMMYFUNCTION("""COMPUTED_VALUE"""),7.3)</f>
        <v>7.3</v>
      </c>
      <c r="L437" s="24"/>
      <c r="M437" s="25" t="str">
        <f>IFERROR(__xludf.DUMMYFUNCTION("""COMPUTED_VALUE"""),"Fighting")</f>
        <v>Fighting</v>
      </c>
      <c r="N437" s="25" t="str">
        <f>IFERROR(__xludf.DUMMYFUNCTION("""COMPUTED_VALUE"""),"PS3")</f>
        <v>PS3</v>
      </c>
      <c r="O437" s="26" t="str">
        <f>IFERROR(__xludf.DUMMYFUNCTION("""COMPUTED_VALUE"""),"Yes")</f>
        <v>Yes</v>
      </c>
      <c r="P437" s="26" t="str">
        <f>IFERROR(__xludf.DUMMYFUNCTION("""COMPUTED_VALUE"""),"")</f>
        <v/>
      </c>
    </row>
    <row r="438">
      <c r="A438" s="13" t="str">
        <f>IFERROR(__xludf.DUMMYFUNCTION("""COMPUTED_VALUE"""),"Deadliest Warrior: The Game")</f>
        <v>Deadliest Warrior: The Game</v>
      </c>
      <c r="B438" s="15" t="str">
        <f>IFERROR(__xludf.DUMMYFUNCTION("""COMPUTED_VALUE"""),"PS5/PS4")</f>
        <v>PS5/PS4</v>
      </c>
      <c r="C438" s="16" t="str">
        <f>IFERROR(__xludf.DUMMYFUNCTION("""COMPUTED_VALUE"""),"Premium (Streaming Only)")</f>
        <v>Premium (Streaming Only)</v>
      </c>
      <c r="D438" s="15" t="str">
        <f>IFERROR(__xludf.DUMMYFUNCTION("""COMPUTED_VALUE"""),"Active")</f>
        <v>Active</v>
      </c>
      <c r="E438" s="17">
        <f>IFERROR(__xludf.DUMMYFUNCTION("""COMPUTED_VALUE"""),42556.0)</f>
        <v>42556</v>
      </c>
      <c r="F438" s="54"/>
      <c r="G438" s="19">
        <f>IFERROR(__xludf.DUMMYFUNCTION("""COMPUTED_VALUE"""),123.03333333333333)</f>
        <v>123.0333333</v>
      </c>
      <c r="H438" s="17">
        <f>IFERROR(__xludf.DUMMYFUNCTION("""COMPUTED_VALUE"""),40360.0)</f>
        <v>40360</v>
      </c>
      <c r="I438" s="19">
        <f>IFERROR(__xludf.DUMMYFUNCTION("""COMPUTED_VALUE"""),6.011111111111111)</f>
        <v>6.011111111</v>
      </c>
      <c r="J438" s="21">
        <f>IFERROR(__xludf.DUMMYFUNCTION("""COMPUTED_VALUE"""),56.0)</f>
        <v>56</v>
      </c>
      <c r="K438" s="23">
        <f>IFERROR(__xludf.DUMMYFUNCTION("""COMPUTED_VALUE"""),7.4)</f>
        <v>7.4</v>
      </c>
      <c r="L438" s="24"/>
      <c r="M438" s="25" t="str">
        <f>IFERROR(__xludf.DUMMYFUNCTION("""COMPUTED_VALUE"""),"Fighting")</f>
        <v>Fighting</v>
      </c>
      <c r="N438" s="25" t="str">
        <f>IFERROR(__xludf.DUMMYFUNCTION("""COMPUTED_VALUE"""),"PS3")</f>
        <v>PS3</v>
      </c>
      <c r="O438" s="26" t="str">
        <f>IFERROR(__xludf.DUMMYFUNCTION("""COMPUTED_VALUE"""),"Yes")</f>
        <v>Yes</v>
      </c>
      <c r="P438" s="26" t="str">
        <f>IFERROR(__xludf.DUMMYFUNCTION("""COMPUTED_VALUE"""),"")</f>
        <v/>
      </c>
    </row>
    <row r="439">
      <c r="A439" s="13" t="str">
        <f>IFERROR(__xludf.DUMMYFUNCTION("""COMPUTED_VALUE"""),"Sacred 3: Gold Edition")</f>
        <v>Sacred 3: Gold Edition</v>
      </c>
      <c r="B439" s="15" t="str">
        <f>IFERROR(__xludf.DUMMYFUNCTION("""COMPUTED_VALUE"""),"PS5/PS4")</f>
        <v>PS5/PS4</v>
      </c>
      <c r="C439" s="16" t="str">
        <f>IFERROR(__xludf.DUMMYFUNCTION("""COMPUTED_VALUE"""),"Premium (Streaming Only)")</f>
        <v>Premium (Streaming Only)</v>
      </c>
      <c r="D439" s="15" t="str">
        <f>IFERROR(__xludf.DUMMYFUNCTION("""COMPUTED_VALUE"""),"Active")</f>
        <v>Active</v>
      </c>
      <c r="E439" s="17">
        <f>IFERROR(__xludf.DUMMYFUNCTION("""COMPUTED_VALUE"""),42402.0)</f>
        <v>42402</v>
      </c>
      <c r="F439" s="54"/>
      <c r="G439" s="19">
        <f>IFERROR(__xludf.DUMMYFUNCTION("""COMPUTED_VALUE"""),128.13333333333333)</f>
        <v>128.1333333</v>
      </c>
      <c r="H439" s="17">
        <f>IFERROR(__xludf.DUMMYFUNCTION("""COMPUTED_VALUE"""),41852.0)</f>
        <v>41852</v>
      </c>
      <c r="I439" s="19">
        <f>IFERROR(__xludf.DUMMYFUNCTION("""COMPUTED_VALUE"""),1.5027777777777778)</f>
        <v>1.502777778</v>
      </c>
      <c r="J439" s="21">
        <f>IFERROR(__xludf.DUMMYFUNCTION("""COMPUTED_VALUE"""),56.0)</f>
        <v>56</v>
      </c>
      <c r="K439" s="23">
        <f>IFERROR(__xludf.DUMMYFUNCTION("""COMPUTED_VALUE"""),5.1)</f>
        <v>5.1</v>
      </c>
      <c r="L439" s="24">
        <f>IFERROR(__xludf.DUMMYFUNCTION("""COMPUTED_VALUE"""),10.0)</f>
        <v>10</v>
      </c>
      <c r="M439" s="25" t="str">
        <f>IFERROR(__xludf.DUMMYFUNCTION("""COMPUTED_VALUE"""),"Action-Adventure")</f>
        <v>Action-Adventure</v>
      </c>
      <c r="N439" s="25" t="str">
        <f>IFERROR(__xludf.DUMMYFUNCTION("""COMPUTED_VALUE"""),"PS3")</f>
        <v>PS3</v>
      </c>
      <c r="O439" s="26" t="str">
        <f>IFERROR(__xludf.DUMMYFUNCTION("""COMPUTED_VALUE"""),"Yes")</f>
        <v>Yes</v>
      </c>
      <c r="P439" s="26" t="str">
        <f>IFERROR(__xludf.DUMMYFUNCTION("""COMPUTED_VALUE"""),"")</f>
        <v/>
      </c>
    </row>
    <row r="440">
      <c r="A440" s="13" t="str">
        <f>IFERROR(__xludf.DUMMYFUNCTION("""COMPUTED_VALUE"""),"Spelunker HD")</f>
        <v>Spelunker HD</v>
      </c>
      <c r="B440" s="15" t="str">
        <f>IFERROR(__xludf.DUMMYFUNCTION("""COMPUTED_VALUE"""),"PS5/PS4")</f>
        <v>PS5/PS4</v>
      </c>
      <c r="C440" s="16" t="str">
        <f>IFERROR(__xludf.DUMMYFUNCTION("""COMPUTED_VALUE"""),"Premium (Streaming Only)")</f>
        <v>Premium (Streaming Only)</v>
      </c>
      <c r="D440" s="15" t="str">
        <f>IFERROR(__xludf.DUMMYFUNCTION("""COMPUTED_VALUE"""),"Active")</f>
        <v>Active</v>
      </c>
      <c r="E440" s="17">
        <f>IFERROR(__xludf.DUMMYFUNCTION("""COMPUTED_VALUE"""),42374.0)</f>
        <v>42374</v>
      </c>
      <c r="F440" s="54"/>
      <c r="G440" s="19">
        <f>IFERROR(__xludf.DUMMYFUNCTION("""COMPUTED_VALUE"""),129.03333333333333)</f>
        <v>129.0333333</v>
      </c>
      <c r="H440" s="17">
        <f>IFERROR(__xludf.DUMMYFUNCTION("""COMPUTED_VALUE"""),40483.0)</f>
        <v>40483</v>
      </c>
      <c r="I440" s="19">
        <f>IFERROR(__xludf.DUMMYFUNCTION("""COMPUTED_VALUE"""),5.177777777777778)</f>
        <v>5.177777778</v>
      </c>
      <c r="J440" s="21">
        <f>IFERROR(__xludf.DUMMYFUNCTION("""COMPUTED_VALUE"""),56.0)</f>
        <v>56</v>
      </c>
      <c r="K440" s="23">
        <f>IFERROR(__xludf.DUMMYFUNCTION("""COMPUTED_VALUE"""),6.8)</f>
        <v>6.8</v>
      </c>
      <c r="L440" s="24">
        <f>IFERROR(__xludf.DUMMYFUNCTION("""COMPUTED_VALUE"""),5.0)</f>
        <v>5</v>
      </c>
      <c r="M440" s="25" t="str">
        <f>IFERROR(__xludf.DUMMYFUNCTION("""COMPUTED_VALUE"""),"Platformer")</f>
        <v>Platformer</v>
      </c>
      <c r="N440" s="25" t="str">
        <f>IFERROR(__xludf.DUMMYFUNCTION("""COMPUTED_VALUE"""),"PS3")</f>
        <v>PS3</v>
      </c>
      <c r="O440" s="26" t="str">
        <f>IFERROR(__xludf.DUMMYFUNCTION("""COMPUTED_VALUE"""),"Yes")</f>
        <v>Yes</v>
      </c>
      <c r="P440" s="26" t="str">
        <f>IFERROR(__xludf.DUMMYFUNCTION("""COMPUTED_VALUE"""),"")</f>
        <v/>
      </c>
    </row>
    <row r="441">
      <c r="A441" s="13" t="str">
        <f>IFERROR(__xludf.DUMMYFUNCTION("""COMPUTED_VALUE"""),"Record of Agarest War 2")</f>
        <v>Record of Agarest War 2</v>
      </c>
      <c r="B441" s="15" t="str">
        <f>IFERROR(__xludf.DUMMYFUNCTION("""COMPUTED_VALUE"""),"PS5/PS4")</f>
        <v>PS5/PS4</v>
      </c>
      <c r="C441" s="16" t="str">
        <f>IFERROR(__xludf.DUMMYFUNCTION("""COMPUTED_VALUE"""),"Premium (Streaming Only)")</f>
        <v>Premium (Streaming Only)</v>
      </c>
      <c r="D441" s="15" t="str">
        <f>IFERROR(__xludf.DUMMYFUNCTION("""COMPUTED_VALUE"""),"Active")</f>
        <v>Active</v>
      </c>
      <c r="E441" s="17">
        <f>IFERROR(__xludf.DUMMYFUNCTION("""COMPUTED_VALUE"""),42017.0)</f>
        <v>42017</v>
      </c>
      <c r="F441" s="54"/>
      <c r="G441" s="19">
        <f>IFERROR(__xludf.DUMMYFUNCTION("""COMPUTED_VALUE"""),140.76666666666668)</f>
        <v>140.7666667</v>
      </c>
      <c r="H441" s="17">
        <f>IFERROR(__xludf.DUMMYFUNCTION("""COMPUTED_VALUE"""),41061.0)</f>
        <v>41061</v>
      </c>
      <c r="I441" s="19">
        <f>IFERROR(__xludf.DUMMYFUNCTION("""COMPUTED_VALUE"""),2.6166666666666667)</f>
        <v>2.616666667</v>
      </c>
      <c r="J441" s="21">
        <f>IFERROR(__xludf.DUMMYFUNCTION("""COMPUTED_VALUE"""),56.0)</f>
        <v>56</v>
      </c>
      <c r="K441" s="23">
        <f>IFERROR(__xludf.DUMMYFUNCTION("""COMPUTED_VALUE"""),6.7)</f>
        <v>6.7</v>
      </c>
      <c r="L441" s="24">
        <f>IFERROR(__xludf.DUMMYFUNCTION("""COMPUTED_VALUE"""),55.0)</f>
        <v>55</v>
      </c>
      <c r="M441" s="25" t="str">
        <f>IFERROR(__xludf.DUMMYFUNCTION("""COMPUTED_VALUE"""),"RPG")</f>
        <v>RPG</v>
      </c>
      <c r="N441" s="25" t="str">
        <f>IFERROR(__xludf.DUMMYFUNCTION("""COMPUTED_VALUE"""),"PS3")</f>
        <v>PS3</v>
      </c>
      <c r="O441" s="26" t="str">
        <f>IFERROR(__xludf.DUMMYFUNCTION("""COMPUTED_VALUE"""),"Yes")</f>
        <v>Yes</v>
      </c>
      <c r="P441" s="26" t="str">
        <f>IFERROR(__xludf.DUMMYFUNCTION("""COMPUTED_VALUE"""),"")</f>
        <v/>
      </c>
    </row>
    <row r="442">
      <c r="A442" s="13" t="str">
        <f>IFERROR(__xludf.DUMMYFUNCTION("""COMPUTED_VALUE"""),"Red Johnson's Chronicles: One Against All")</f>
        <v>Red Johnson's Chronicles: One Against All</v>
      </c>
      <c r="B442" s="15" t="str">
        <f>IFERROR(__xludf.DUMMYFUNCTION("""COMPUTED_VALUE"""),"PS5/PS4")</f>
        <v>PS5/PS4</v>
      </c>
      <c r="C442" s="16" t="str">
        <f>IFERROR(__xludf.DUMMYFUNCTION("""COMPUTED_VALUE"""),"Premium (Streaming Only)")</f>
        <v>Premium (Streaming Only)</v>
      </c>
      <c r="D442" s="15" t="str">
        <f>IFERROR(__xludf.DUMMYFUNCTION("""COMPUTED_VALUE"""),"Active")</f>
        <v>Active</v>
      </c>
      <c r="E442" s="17">
        <f>IFERROR(__xludf.DUMMYFUNCTION("""COMPUTED_VALUE"""),42017.0)</f>
        <v>42017</v>
      </c>
      <c r="F442" s="54"/>
      <c r="G442" s="19">
        <f>IFERROR(__xludf.DUMMYFUNCTION("""COMPUTED_VALUE"""),140.76666666666668)</f>
        <v>140.7666667</v>
      </c>
      <c r="H442" s="17">
        <f>IFERROR(__xludf.DUMMYFUNCTION("""COMPUTED_VALUE"""),41153.0)</f>
        <v>41153</v>
      </c>
      <c r="I442" s="19">
        <f>IFERROR(__xludf.DUMMYFUNCTION("""COMPUTED_VALUE"""),2.3666666666666667)</f>
        <v>2.366666667</v>
      </c>
      <c r="J442" s="21">
        <f>IFERROR(__xludf.DUMMYFUNCTION("""COMPUTED_VALUE"""),56.0)</f>
        <v>56</v>
      </c>
      <c r="K442" s="23">
        <f>IFERROR(__xludf.DUMMYFUNCTION("""COMPUTED_VALUE"""),6.3)</f>
        <v>6.3</v>
      </c>
      <c r="L442" s="24">
        <f>IFERROR(__xludf.DUMMYFUNCTION("""COMPUTED_VALUE"""),5.0)</f>
        <v>5</v>
      </c>
      <c r="M442" s="25" t="str">
        <f>IFERROR(__xludf.DUMMYFUNCTION("""COMPUTED_VALUE"""),"Adventure")</f>
        <v>Adventure</v>
      </c>
      <c r="N442" s="25" t="str">
        <f>IFERROR(__xludf.DUMMYFUNCTION("""COMPUTED_VALUE"""),"PS3")</f>
        <v>PS3</v>
      </c>
      <c r="O442" s="26" t="str">
        <f>IFERROR(__xludf.DUMMYFUNCTION("""COMPUTED_VALUE"""),"Yes")</f>
        <v>Yes</v>
      </c>
      <c r="P442" s="26" t="str">
        <f>IFERROR(__xludf.DUMMYFUNCTION("""COMPUTED_VALUE"""),"")</f>
        <v/>
      </c>
    </row>
    <row r="443">
      <c r="A443" s="13" t="str">
        <f>IFERROR(__xludf.DUMMYFUNCTION("""COMPUTED_VALUE"""),"Indiana Jones and the Staff of Kings")</f>
        <v>Indiana Jones and the Staff of Kings</v>
      </c>
      <c r="B443" s="15" t="str">
        <f>IFERROR(__xludf.DUMMYFUNCTION("""COMPUTED_VALUE"""),"PS5/PS4")</f>
        <v>PS5/PS4</v>
      </c>
      <c r="C443" s="16" t="str">
        <f>IFERROR(__xludf.DUMMYFUNCTION("""COMPUTED_VALUE"""),"Premium (Classics)")</f>
        <v>Premium (Classics)</v>
      </c>
      <c r="D443" s="15" t="str">
        <f>IFERROR(__xludf.DUMMYFUNCTION("""COMPUTED_VALUE"""),"Active")</f>
        <v>Active</v>
      </c>
      <c r="E443" s="17">
        <f>IFERROR(__xludf.DUMMYFUNCTION("""COMPUTED_VALUE"""),45678.0)</f>
        <v>45678</v>
      </c>
      <c r="F443" s="54"/>
      <c r="G443" s="19">
        <f>IFERROR(__xludf.DUMMYFUNCTION("""COMPUTED_VALUE"""),20.5)</f>
        <v>20.5</v>
      </c>
      <c r="H443" s="17">
        <f>IFERROR(__xludf.DUMMYFUNCTION("""COMPUTED_VALUE"""),39973.0)</f>
        <v>39973</v>
      </c>
      <c r="I443" s="19">
        <f>IFERROR(__xludf.DUMMYFUNCTION("""COMPUTED_VALUE"""),15.616666666666667)</f>
        <v>15.61666667</v>
      </c>
      <c r="J443" s="21">
        <f>IFERROR(__xludf.DUMMYFUNCTION("""COMPUTED_VALUE"""),55.0)</f>
        <v>55</v>
      </c>
      <c r="K443" s="23">
        <f>IFERROR(__xludf.DUMMYFUNCTION("""COMPUTED_VALUE"""),7.3)</f>
        <v>7.3</v>
      </c>
      <c r="L443" s="24">
        <f>IFERROR(__xludf.DUMMYFUNCTION("""COMPUTED_VALUE"""),8.0)</f>
        <v>8</v>
      </c>
      <c r="M443" s="25" t="str">
        <f>IFERROR(__xludf.DUMMYFUNCTION("""COMPUTED_VALUE"""),"Action-Adventure")</f>
        <v>Action-Adventure</v>
      </c>
      <c r="N443" s="25" t="str">
        <f>IFERROR(__xludf.DUMMYFUNCTION("""COMPUTED_VALUE"""),"PS2")</f>
        <v>PS2</v>
      </c>
      <c r="O443" s="26" t="str">
        <f>IFERROR(__xludf.DUMMYFUNCTION("""COMPUTED_VALUE"""),"Yes")</f>
        <v>Yes</v>
      </c>
      <c r="P443" s="26"/>
    </row>
    <row r="444">
      <c r="A444" s="13" t="str">
        <f>IFERROR(__xludf.DUMMYFUNCTION("""COMPUTED_VALUE"""),"Rune Factory: Tides of Destiny")</f>
        <v>Rune Factory: Tides of Destiny</v>
      </c>
      <c r="B444" s="15" t="str">
        <f>IFERROR(__xludf.DUMMYFUNCTION("""COMPUTED_VALUE"""),"PS5/PS4")</f>
        <v>PS5/PS4</v>
      </c>
      <c r="C444" s="16" t="str">
        <f>IFERROR(__xludf.DUMMYFUNCTION("""COMPUTED_VALUE"""),"Premium (Streaming Only)")</f>
        <v>Premium (Streaming Only)</v>
      </c>
      <c r="D444" s="15" t="str">
        <f>IFERROR(__xludf.DUMMYFUNCTION("""COMPUTED_VALUE"""),"Active")</f>
        <v>Active</v>
      </c>
      <c r="E444" s="17">
        <f>IFERROR(__xludf.DUMMYFUNCTION("""COMPUTED_VALUE"""),44725.0)</f>
        <v>44725</v>
      </c>
      <c r="F444" s="54"/>
      <c r="G444" s="19">
        <f>IFERROR(__xludf.DUMMYFUNCTION("""COMPUTED_VALUE"""),51.766666666666666)</f>
        <v>51.76666667</v>
      </c>
      <c r="H444" s="17">
        <f>IFERROR(__xludf.DUMMYFUNCTION("""COMPUTED_VALUE"""),40817.0)</f>
        <v>40817</v>
      </c>
      <c r="I444" s="19">
        <f>IFERROR(__xludf.DUMMYFUNCTION("""COMPUTED_VALUE"""),10.7)</f>
        <v>10.7</v>
      </c>
      <c r="J444" s="21">
        <f>IFERROR(__xludf.DUMMYFUNCTION("""COMPUTED_VALUE"""),55.0)</f>
        <v>55</v>
      </c>
      <c r="K444" s="23">
        <f>IFERROR(__xludf.DUMMYFUNCTION("""COMPUTED_VALUE"""),8.1)</f>
        <v>8.1</v>
      </c>
      <c r="L444" s="24">
        <f>IFERROR(__xludf.DUMMYFUNCTION("""COMPUTED_VALUE"""),35.0)</f>
        <v>35</v>
      </c>
      <c r="M444" s="25" t="str">
        <f>IFERROR(__xludf.DUMMYFUNCTION("""COMPUTED_VALUE"""),"RPG")</f>
        <v>RPG</v>
      </c>
      <c r="N444" s="25" t="str">
        <f>IFERROR(__xludf.DUMMYFUNCTION("""COMPUTED_VALUE"""),"PS3")</f>
        <v>PS3</v>
      </c>
      <c r="O444" s="26" t="str">
        <f>IFERROR(__xludf.DUMMYFUNCTION("""COMPUTED_VALUE"""),"Yes")</f>
        <v>Yes</v>
      </c>
      <c r="P444" s="26" t="str">
        <f>IFERROR(__xludf.DUMMYFUNCTION("""COMPUTED_VALUE"""),"")</f>
        <v/>
      </c>
    </row>
    <row r="445">
      <c r="A445" s="13" t="str">
        <f>IFERROR(__xludf.DUMMYFUNCTION("""COMPUTED_VALUE"""),"Pirates of the Caribbean: At World's End")</f>
        <v>Pirates of the Caribbean: At World's End</v>
      </c>
      <c r="B445" s="15" t="str">
        <f>IFERROR(__xludf.DUMMYFUNCTION("""COMPUTED_VALUE"""),"PS5/PS4")</f>
        <v>PS5/PS4</v>
      </c>
      <c r="C445" s="16" t="str">
        <f>IFERROR(__xludf.DUMMYFUNCTION("""COMPUTED_VALUE"""),"Premium (Streaming Only)")</f>
        <v>Premium (Streaming Only)</v>
      </c>
      <c r="D445" s="15" t="str">
        <f>IFERROR(__xludf.DUMMYFUNCTION("""COMPUTED_VALUE"""),"Active")</f>
        <v>Active</v>
      </c>
      <c r="E445" s="17">
        <f>IFERROR(__xludf.DUMMYFUNCTION("""COMPUTED_VALUE"""),42895.0)</f>
        <v>42895</v>
      </c>
      <c r="F445" s="54"/>
      <c r="G445" s="19">
        <f>IFERROR(__xludf.DUMMYFUNCTION("""COMPUTED_VALUE"""),111.89999999999999)</f>
        <v>111.9</v>
      </c>
      <c r="H445" s="17">
        <f>IFERROR(__xludf.DUMMYFUNCTION("""COMPUTED_VALUE"""),39142.0)</f>
        <v>39142</v>
      </c>
      <c r="I445" s="19">
        <f>IFERROR(__xludf.DUMMYFUNCTION("""COMPUTED_VALUE"""),10.272222222222222)</f>
        <v>10.27222222</v>
      </c>
      <c r="J445" s="21">
        <f>IFERROR(__xludf.DUMMYFUNCTION("""COMPUTED_VALUE"""),55.0)</f>
        <v>55</v>
      </c>
      <c r="K445" s="23">
        <f>IFERROR(__xludf.DUMMYFUNCTION("""COMPUTED_VALUE"""),7.0)</f>
        <v>7</v>
      </c>
      <c r="L445" s="24">
        <f>IFERROR(__xludf.DUMMYFUNCTION("""COMPUTED_VALUE"""),9.0)</f>
        <v>9</v>
      </c>
      <c r="M445" s="25" t="str">
        <f>IFERROR(__xludf.DUMMYFUNCTION("""COMPUTED_VALUE"""),"Action-Adventure")</f>
        <v>Action-Adventure</v>
      </c>
      <c r="N445" s="25" t="str">
        <f>IFERROR(__xludf.DUMMYFUNCTION("""COMPUTED_VALUE"""),"PS3")</f>
        <v>PS3</v>
      </c>
      <c r="O445" s="26" t="str">
        <f>IFERROR(__xludf.DUMMYFUNCTION("""COMPUTED_VALUE"""),"Yes")</f>
        <v>Yes</v>
      </c>
      <c r="P445" s="26" t="str">
        <f>IFERROR(__xludf.DUMMYFUNCTION("""COMPUTED_VALUE"""),"")</f>
        <v/>
      </c>
    </row>
    <row r="446">
      <c r="A446" s="13" t="str">
        <f>IFERROR(__xludf.DUMMYFUNCTION("""COMPUTED_VALUE"""),"Disney/PIXAR Ratatouille")</f>
        <v>Disney/PIXAR Ratatouille</v>
      </c>
      <c r="B446" s="15" t="str">
        <f>IFERROR(__xludf.DUMMYFUNCTION("""COMPUTED_VALUE"""),"PS5/PS4")</f>
        <v>PS5/PS4</v>
      </c>
      <c r="C446" s="16" t="str">
        <f>IFERROR(__xludf.DUMMYFUNCTION("""COMPUTED_VALUE"""),"Premium (Streaming Only)")</f>
        <v>Premium (Streaming Only)</v>
      </c>
      <c r="D446" s="15" t="str">
        <f>IFERROR(__xludf.DUMMYFUNCTION("""COMPUTED_VALUE"""),"Active")</f>
        <v>Active</v>
      </c>
      <c r="E446" s="17">
        <f>IFERROR(__xludf.DUMMYFUNCTION("""COMPUTED_VALUE"""),42895.0)</f>
        <v>42895</v>
      </c>
      <c r="F446" s="54"/>
      <c r="G446" s="19">
        <f>IFERROR(__xludf.DUMMYFUNCTION("""COMPUTED_VALUE"""),111.89999999999999)</f>
        <v>111.9</v>
      </c>
      <c r="H446" s="17">
        <f>IFERROR(__xludf.DUMMYFUNCTION("""COMPUTED_VALUE"""),39356.0)</f>
        <v>39356</v>
      </c>
      <c r="I446" s="19">
        <f>IFERROR(__xludf.DUMMYFUNCTION("""COMPUTED_VALUE"""),9.688888888888888)</f>
        <v>9.688888889</v>
      </c>
      <c r="J446" s="21">
        <f>IFERROR(__xludf.DUMMYFUNCTION("""COMPUTED_VALUE"""),55.0)</f>
        <v>55</v>
      </c>
      <c r="K446" s="23">
        <f>IFERROR(__xludf.DUMMYFUNCTION("""COMPUTED_VALUE"""),6.5)</f>
        <v>6.5</v>
      </c>
      <c r="L446" s="24">
        <f>IFERROR(__xludf.DUMMYFUNCTION("""COMPUTED_VALUE"""),7.0)</f>
        <v>7</v>
      </c>
      <c r="M446" s="25" t="str">
        <f>IFERROR(__xludf.DUMMYFUNCTION("""COMPUTED_VALUE"""),"Action-Adventure")</f>
        <v>Action-Adventure</v>
      </c>
      <c r="N446" s="25" t="str">
        <f>IFERROR(__xludf.DUMMYFUNCTION("""COMPUTED_VALUE"""),"PS3")</f>
        <v>PS3</v>
      </c>
      <c r="O446" s="26" t="str">
        <f>IFERROR(__xludf.DUMMYFUNCTION("""COMPUTED_VALUE"""),"Yes")</f>
        <v>Yes</v>
      </c>
      <c r="P446" s="26" t="str">
        <f>IFERROR(__xludf.DUMMYFUNCTION("""COMPUTED_VALUE"""),"")</f>
        <v/>
      </c>
    </row>
    <row r="447">
      <c r="A447" s="13" t="str">
        <f>IFERROR(__xludf.DUMMYFUNCTION("""COMPUTED_VALUE"""),"Genji: Days of the Blade")</f>
        <v>Genji: Days of the Blade</v>
      </c>
      <c r="B447" s="15" t="str">
        <f>IFERROR(__xludf.DUMMYFUNCTION("""COMPUTED_VALUE"""),"PS5/PS4")</f>
        <v>PS5/PS4</v>
      </c>
      <c r="C447" s="16" t="str">
        <f>IFERROR(__xludf.DUMMYFUNCTION("""COMPUTED_VALUE"""),"Premium (Streaming Only)")</f>
        <v>Premium (Streaming Only)</v>
      </c>
      <c r="D447" s="15" t="str">
        <f>IFERROR(__xludf.DUMMYFUNCTION("""COMPUTED_VALUE"""),"Active")</f>
        <v>Active</v>
      </c>
      <c r="E447" s="17">
        <f>IFERROR(__xludf.DUMMYFUNCTION("""COMPUTED_VALUE"""),42556.0)</f>
        <v>42556</v>
      </c>
      <c r="F447" s="54"/>
      <c r="G447" s="19">
        <f>IFERROR(__xludf.DUMMYFUNCTION("""COMPUTED_VALUE"""),123.03333333333333)</f>
        <v>123.0333333</v>
      </c>
      <c r="H447" s="17">
        <f>IFERROR(__xludf.DUMMYFUNCTION("""COMPUTED_VALUE"""),39022.0)</f>
        <v>39022</v>
      </c>
      <c r="I447" s="19">
        <f>IFERROR(__xludf.DUMMYFUNCTION("""COMPUTED_VALUE"""),9.677777777777777)</f>
        <v>9.677777778</v>
      </c>
      <c r="J447" s="21">
        <f>IFERROR(__xludf.DUMMYFUNCTION("""COMPUTED_VALUE"""),55.0)</f>
        <v>55</v>
      </c>
      <c r="K447" s="23">
        <f>IFERROR(__xludf.DUMMYFUNCTION("""COMPUTED_VALUE"""),6.7)</f>
        <v>6.7</v>
      </c>
      <c r="L447" s="24">
        <f>IFERROR(__xludf.DUMMYFUNCTION("""COMPUTED_VALUE"""),10.0)</f>
        <v>10</v>
      </c>
      <c r="M447" s="25" t="str">
        <f>IFERROR(__xludf.DUMMYFUNCTION("""COMPUTED_VALUE"""),"Action-Adventure")</f>
        <v>Action-Adventure</v>
      </c>
      <c r="N447" s="25" t="str">
        <f>IFERROR(__xludf.DUMMYFUNCTION("""COMPUTED_VALUE"""),"PS3")</f>
        <v>PS3</v>
      </c>
      <c r="O447" s="26" t="str">
        <f>IFERROR(__xludf.DUMMYFUNCTION("""COMPUTED_VALUE"""),"Yes")</f>
        <v>Yes</v>
      </c>
      <c r="P447" s="26" t="str">
        <f>IFERROR(__xludf.DUMMYFUNCTION("""COMPUTED_VALUE"""),"")</f>
        <v/>
      </c>
    </row>
    <row r="448">
      <c r="A448" s="13" t="str">
        <f>IFERROR(__xludf.DUMMYFUNCTION("""COMPUTED_VALUE"""),"Narco Terror")</f>
        <v>Narco Terror</v>
      </c>
      <c r="B448" s="15" t="str">
        <f>IFERROR(__xludf.DUMMYFUNCTION("""COMPUTED_VALUE"""),"PS5/PS4")</f>
        <v>PS5/PS4</v>
      </c>
      <c r="C448" s="16" t="str">
        <f>IFERROR(__xludf.DUMMYFUNCTION("""COMPUTED_VALUE"""),"Premium (Streaming Only)")</f>
        <v>Premium (Streaming Only)</v>
      </c>
      <c r="D448" s="15" t="str">
        <f>IFERROR(__xludf.DUMMYFUNCTION("""COMPUTED_VALUE"""),"Active")</f>
        <v>Active</v>
      </c>
      <c r="E448" s="17">
        <f>IFERROR(__xludf.DUMMYFUNCTION("""COMPUTED_VALUE"""),42402.0)</f>
        <v>42402</v>
      </c>
      <c r="F448" s="54"/>
      <c r="G448" s="19">
        <f>IFERROR(__xludf.DUMMYFUNCTION("""COMPUTED_VALUE"""),128.13333333333333)</f>
        <v>128.1333333</v>
      </c>
      <c r="H448" s="17">
        <f>IFERROR(__xludf.DUMMYFUNCTION("""COMPUTED_VALUE"""),41456.0)</f>
        <v>41456</v>
      </c>
      <c r="I448" s="19">
        <f>IFERROR(__xludf.DUMMYFUNCTION("""COMPUTED_VALUE"""),2.5861111111111112)</f>
        <v>2.586111111</v>
      </c>
      <c r="J448" s="21">
        <f>IFERROR(__xludf.DUMMYFUNCTION("""COMPUTED_VALUE"""),55.0)</f>
        <v>55</v>
      </c>
      <c r="K448" s="23">
        <f>IFERROR(__xludf.DUMMYFUNCTION("""COMPUTED_VALUE"""),6.0)</f>
        <v>6</v>
      </c>
      <c r="L448" s="24">
        <f>IFERROR(__xludf.DUMMYFUNCTION("""COMPUTED_VALUE"""),3.0)</f>
        <v>3</v>
      </c>
      <c r="M448" s="25" t="str">
        <f>IFERROR(__xludf.DUMMYFUNCTION("""COMPUTED_VALUE"""),"Shooter")</f>
        <v>Shooter</v>
      </c>
      <c r="N448" s="25" t="str">
        <f>IFERROR(__xludf.DUMMYFUNCTION("""COMPUTED_VALUE"""),"PS3")</f>
        <v>PS3</v>
      </c>
      <c r="O448" s="26" t="str">
        <f>IFERROR(__xludf.DUMMYFUNCTION("""COMPUTED_VALUE"""),"Yes")</f>
        <v>Yes</v>
      </c>
      <c r="P448" s="26" t="str">
        <f>IFERROR(__xludf.DUMMYFUNCTION("""COMPUTED_VALUE"""),"")</f>
        <v/>
      </c>
    </row>
    <row r="449">
      <c r="A449" s="13" t="str">
        <f>IFERROR(__xludf.DUMMYFUNCTION("""COMPUTED_VALUE"""),"TRINITY: Souls of Zill O'll")</f>
        <v>TRINITY: Souls of Zill O'll</v>
      </c>
      <c r="B449" s="15" t="str">
        <f>IFERROR(__xludf.DUMMYFUNCTION("""COMPUTED_VALUE"""),"PS5/PS4")</f>
        <v>PS5/PS4</v>
      </c>
      <c r="C449" s="16" t="str">
        <f>IFERROR(__xludf.DUMMYFUNCTION("""COMPUTED_VALUE"""),"Premium (Streaming Only)")</f>
        <v>Premium (Streaming Only)</v>
      </c>
      <c r="D449" s="15" t="str">
        <f>IFERROR(__xludf.DUMMYFUNCTION("""COMPUTED_VALUE"""),"Active")</f>
        <v>Active</v>
      </c>
      <c r="E449" s="17">
        <f>IFERROR(__xludf.DUMMYFUNCTION("""COMPUTED_VALUE"""),42374.0)</f>
        <v>42374</v>
      </c>
      <c r="F449" s="54"/>
      <c r="G449" s="19">
        <f>IFERROR(__xludf.DUMMYFUNCTION("""COMPUTED_VALUE"""),129.03333333333333)</f>
        <v>129.0333333</v>
      </c>
      <c r="H449" s="17">
        <f>IFERROR(__xludf.DUMMYFUNCTION("""COMPUTED_VALUE"""),40575.0)</f>
        <v>40575</v>
      </c>
      <c r="I449" s="19">
        <f>IFERROR(__xludf.DUMMYFUNCTION("""COMPUTED_VALUE"""),4.927777777777778)</f>
        <v>4.927777778</v>
      </c>
      <c r="J449" s="21">
        <f>IFERROR(__xludf.DUMMYFUNCTION("""COMPUTED_VALUE"""),55.0)</f>
        <v>55</v>
      </c>
      <c r="K449" s="23">
        <f>IFERROR(__xludf.DUMMYFUNCTION("""COMPUTED_VALUE"""),6.5)</f>
        <v>6.5</v>
      </c>
      <c r="L449" s="24">
        <f>IFERROR(__xludf.DUMMYFUNCTION("""COMPUTED_VALUE"""),40.0)</f>
        <v>40</v>
      </c>
      <c r="M449" s="25" t="str">
        <f>IFERROR(__xludf.DUMMYFUNCTION("""COMPUTED_VALUE"""),"RPG")</f>
        <v>RPG</v>
      </c>
      <c r="N449" s="25" t="str">
        <f>IFERROR(__xludf.DUMMYFUNCTION("""COMPUTED_VALUE"""),"PS3")</f>
        <v>PS3</v>
      </c>
      <c r="O449" s="26" t="str">
        <f>IFERROR(__xludf.DUMMYFUNCTION("""COMPUTED_VALUE"""),"Yes")</f>
        <v>Yes</v>
      </c>
      <c r="P449" s="26" t="str">
        <f>IFERROR(__xludf.DUMMYFUNCTION("""COMPUTED_VALUE"""),"")</f>
        <v/>
      </c>
    </row>
    <row r="450">
      <c r="A450" s="13" t="str">
        <f>IFERROR(__xludf.DUMMYFUNCTION("""COMPUTED_VALUE"""),"Alien Spidy")</f>
        <v>Alien Spidy</v>
      </c>
      <c r="B450" s="15" t="str">
        <f>IFERROR(__xludf.DUMMYFUNCTION("""COMPUTED_VALUE"""),"PS5/PS4")</f>
        <v>PS5/PS4</v>
      </c>
      <c r="C450" s="16" t="str">
        <f>IFERROR(__xludf.DUMMYFUNCTION("""COMPUTED_VALUE"""),"Premium (Streaming Only)")</f>
        <v>Premium (Streaming Only)</v>
      </c>
      <c r="D450" s="15" t="str">
        <f>IFERROR(__xludf.DUMMYFUNCTION("""COMPUTED_VALUE"""),"Active")</f>
        <v>Active</v>
      </c>
      <c r="E450" s="17">
        <f>IFERROR(__xludf.DUMMYFUNCTION("""COMPUTED_VALUE"""),42311.0)</f>
        <v>42311</v>
      </c>
      <c r="F450" s="54"/>
      <c r="G450" s="19">
        <f>IFERROR(__xludf.DUMMYFUNCTION("""COMPUTED_VALUE"""),131.10000000000002)</f>
        <v>131.1</v>
      </c>
      <c r="H450" s="17">
        <f>IFERROR(__xludf.DUMMYFUNCTION("""COMPUTED_VALUE"""),41456.0)</f>
        <v>41456</v>
      </c>
      <c r="I450" s="19">
        <f>IFERROR(__xludf.DUMMYFUNCTION("""COMPUTED_VALUE"""),2.338888888888889)</f>
        <v>2.338888889</v>
      </c>
      <c r="J450" s="21">
        <f>IFERROR(__xludf.DUMMYFUNCTION("""COMPUTED_VALUE"""),55.0)</f>
        <v>55</v>
      </c>
      <c r="K450" s="23">
        <f>IFERROR(__xludf.DUMMYFUNCTION("""COMPUTED_VALUE"""),5.5)</f>
        <v>5.5</v>
      </c>
      <c r="L450" s="24">
        <f>IFERROR(__xludf.DUMMYFUNCTION("""COMPUTED_VALUE"""),3.0)</f>
        <v>3</v>
      </c>
      <c r="M450" s="25" t="str">
        <f>IFERROR(__xludf.DUMMYFUNCTION("""COMPUTED_VALUE"""),"Platformer")</f>
        <v>Platformer</v>
      </c>
      <c r="N450" s="25" t="str">
        <f>IFERROR(__xludf.DUMMYFUNCTION("""COMPUTED_VALUE"""),"PS3")</f>
        <v>PS3</v>
      </c>
      <c r="O450" s="26" t="str">
        <f>IFERROR(__xludf.DUMMYFUNCTION("""COMPUTED_VALUE"""),"Yes")</f>
        <v>Yes</v>
      </c>
      <c r="P450" s="26" t="str">
        <f>IFERROR(__xludf.DUMMYFUNCTION("""COMPUTED_VALUE"""),"")</f>
        <v/>
      </c>
    </row>
    <row r="451">
      <c r="A451" s="13" t="str">
        <f>IFERROR(__xludf.DUMMYFUNCTION("""COMPUTED_VALUE"""),"Disney/Pixar Buzz Lightyear of Star Command")</f>
        <v>Disney/Pixar Buzz Lightyear of Star Command</v>
      </c>
      <c r="B451" s="15" t="str">
        <f>IFERROR(__xludf.DUMMYFUNCTION("""COMPUTED_VALUE"""),"PS5/PS4")</f>
        <v>PS5/PS4</v>
      </c>
      <c r="C451" s="16" t="str">
        <f>IFERROR(__xludf.DUMMYFUNCTION("""COMPUTED_VALUE"""),"Premium (Classics)")</f>
        <v>Premium (Classics)</v>
      </c>
      <c r="D451" s="15" t="str">
        <f>IFERROR(__xludf.DUMMYFUNCTION("""COMPUTED_VALUE"""),"Active")</f>
        <v>Active</v>
      </c>
      <c r="E451" s="17">
        <f>IFERROR(__xludf.DUMMYFUNCTION("""COMPUTED_VALUE"""),45279.0)</f>
        <v>45279</v>
      </c>
      <c r="F451" s="54"/>
      <c r="G451" s="19">
        <f>IFERROR(__xludf.DUMMYFUNCTION("""COMPUTED_VALUE"""),33.56666666666666)</f>
        <v>33.56666667</v>
      </c>
      <c r="H451" s="17">
        <f>IFERROR(__xludf.DUMMYFUNCTION("""COMPUTED_VALUE"""),36795.0)</f>
        <v>36795</v>
      </c>
      <c r="I451" s="19">
        <f>IFERROR(__xludf.DUMMYFUNCTION("""COMPUTED_VALUE"""),23.230555555555554)</f>
        <v>23.23055556</v>
      </c>
      <c r="J451" s="21">
        <f>IFERROR(__xludf.DUMMYFUNCTION("""COMPUTED_VALUE"""),54.0)</f>
        <v>54</v>
      </c>
      <c r="K451" s="23">
        <f>IFERROR(__xludf.DUMMYFUNCTION("""COMPUTED_VALUE"""),8.3)</f>
        <v>8.3</v>
      </c>
      <c r="L451" s="24">
        <f>IFERROR(__xludf.DUMMYFUNCTION("""COMPUTED_VALUE"""),7.0)</f>
        <v>7</v>
      </c>
      <c r="M451" s="25" t="str">
        <f>IFERROR(__xludf.DUMMYFUNCTION("""COMPUTED_VALUE"""),"Action-Adventure")</f>
        <v>Action-Adventure</v>
      </c>
      <c r="N451" s="25" t="str">
        <f>IFERROR(__xludf.DUMMYFUNCTION("""COMPUTED_VALUE"""),"PS1")</f>
        <v>PS1</v>
      </c>
      <c r="O451" s="26" t="str">
        <f>IFERROR(__xludf.DUMMYFUNCTION("""COMPUTED_VALUE"""),"Portal (PS5 + Premium)")</f>
        <v>Portal (PS5 + Premium)</v>
      </c>
      <c r="P451" s="26"/>
    </row>
    <row r="452">
      <c r="A452" s="13" t="str">
        <f>IFERROR(__xludf.DUMMYFUNCTION("""COMPUTED_VALUE"""),"Doc Clock: The Toasted Sandwich of Time")</f>
        <v>Doc Clock: The Toasted Sandwich of Time</v>
      </c>
      <c r="B452" s="15" t="str">
        <f>IFERROR(__xludf.DUMMYFUNCTION("""COMPUTED_VALUE"""),"PS5/PS4")</f>
        <v>PS5/PS4</v>
      </c>
      <c r="C452" s="16" t="str">
        <f>IFERROR(__xludf.DUMMYFUNCTION("""COMPUTED_VALUE"""),"Premium (Streaming Only)")</f>
        <v>Premium (Streaming Only)</v>
      </c>
      <c r="D452" s="15" t="str">
        <f>IFERROR(__xludf.DUMMYFUNCTION("""COMPUTED_VALUE"""),"Active")</f>
        <v>Active</v>
      </c>
      <c r="E452" s="17">
        <f>IFERROR(__xludf.DUMMYFUNCTION("""COMPUTED_VALUE"""),42493.0)</f>
        <v>42493</v>
      </c>
      <c r="F452" s="54"/>
      <c r="G452" s="19">
        <f>IFERROR(__xludf.DUMMYFUNCTION("""COMPUTED_VALUE"""),125.10000000000001)</f>
        <v>125.1</v>
      </c>
      <c r="H452" s="17">
        <f>IFERROR(__xludf.DUMMYFUNCTION("""COMPUTED_VALUE"""),41030.0)</f>
        <v>41030</v>
      </c>
      <c r="I452" s="19">
        <f>IFERROR(__xludf.DUMMYFUNCTION("""COMPUTED_VALUE"""),4.0055555555555555)</f>
        <v>4.005555556</v>
      </c>
      <c r="J452" s="21">
        <f>IFERROR(__xludf.DUMMYFUNCTION("""COMPUTED_VALUE"""),54.0)</f>
        <v>54</v>
      </c>
      <c r="K452" s="23">
        <f>IFERROR(__xludf.DUMMYFUNCTION("""COMPUTED_VALUE"""),6.4)</f>
        <v>6.4</v>
      </c>
      <c r="L452" s="24">
        <f>IFERROR(__xludf.DUMMYFUNCTION("""COMPUTED_VALUE"""),5.0)</f>
        <v>5</v>
      </c>
      <c r="M452" s="25" t="str">
        <f>IFERROR(__xludf.DUMMYFUNCTION("""COMPUTED_VALUE"""),"Puzzle")</f>
        <v>Puzzle</v>
      </c>
      <c r="N452" s="25" t="str">
        <f>IFERROR(__xludf.DUMMYFUNCTION("""COMPUTED_VALUE"""),"PS3")</f>
        <v>PS3</v>
      </c>
      <c r="O452" s="26" t="str">
        <f>IFERROR(__xludf.DUMMYFUNCTION("""COMPUTED_VALUE"""),"Yes")</f>
        <v>Yes</v>
      </c>
      <c r="P452" s="26" t="str">
        <f>IFERROR(__xludf.DUMMYFUNCTION("""COMPUTED_VALUE"""),"")</f>
        <v/>
      </c>
    </row>
    <row r="453">
      <c r="A453" s="13" t="str">
        <f>IFERROR(__xludf.DUMMYFUNCTION("""COMPUTED_VALUE"""),"Port Royale 3: Pirates &amp; Merchants - Gold Edition")</f>
        <v>Port Royale 3: Pirates &amp; Merchants - Gold Edition</v>
      </c>
      <c r="B453" s="15" t="str">
        <f>IFERROR(__xludf.DUMMYFUNCTION("""COMPUTED_VALUE"""),"PS5/PS4")</f>
        <v>PS5/PS4</v>
      </c>
      <c r="C453" s="16" t="str">
        <f>IFERROR(__xludf.DUMMYFUNCTION("""COMPUTED_VALUE"""),"Premium (Streaming Only)")</f>
        <v>Premium (Streaming Only)</v>
      </c>
      <c r="D453" s="15" t="str">
        <f>IFERROR(__xludf.DUMMYFUNCTION("""COMPUTED_VALUE"""),"Active")</f>
        <v>Active</v>
      </c>
      <c r="E453" s="17">
        <f>IFERROR(__xludf.DUMMYFUNCTION("""COMPUTED_VALUE"""),42017.0)</f>
        <v>42017</v>
      </c>
      <c r="F453" s="54"/>
      <c r="G453" s="19">
        <f>IFERROR(__xludf.DUMMYFUNCTION("""COMPUTED_VALUE"""),140.76666666666668)</f>
        <v>140.7666667</v>
      </c>
      <c r="H453" s="17">
        <f>IFERROR(__xludf.DUMMYFUNCTION("""COMPUTED_VALUE"""),41518.0)</f>
        <v>41518</v>
      </c>
      <c r="I453" s="19">
        <f>IFERROR(__xludf.DUMMYFUNCTION("""COMPUTED_VALUE"""),1.3666666666666667)</f>
        <v>1.366666667</v>
      </c>
      <c r="J453" s="21">
        <f>IFERROR(__xludf.DUMMYFUNCTION("""COMPUTED_VALUE"""),54.0)</f>
        <v>54</v>
      </c>
      <c r="K453" s="23">
        <f>IFERROR(__xludf.DUMMYFUNCTION("""COMPUTED_VALUE"""),6.8)</f>
        <v>6.8</v>
      </c>
      <c r="L453" s="24">
        <f>IFERROR(__xludf.DUMMYFUNCTION("""COMPUTED_VALUE"""),30.0)</f>
        <v>30</v>
      </c>
      <c r="M453" s="25" t="str">
        <f>IFERROR(__xludf.DUMMYFUNCTION("""COMPUTED_VALUE"""),"Strategy")</f>
        <v>Strategy</v>
      </c>
      <c r="N453" s="25" t="str">
        <f>IFERROR(__xludf.DUMMYFUNCTION("""COMPUTED_VALUE"""),"PS3")</f>
        <v>PS3</v>
      </c>
      <c r="O453" s="26" t="str">
        <f>IFERROR(__xludf.DUMMYFUNCTION("""COMPUTED_VALUE"""),"Yes")</f>
        <v>Yes</v>
      </c>
      <c r="P453" s="26" t="str">
        <f>IFERROR(__xludf.DUMMYFUNCTION("""COMPUTED_VALUE"""),"")</f>
        <v/>
      </c>
    </row>
    <row r="454">
      <c r="A454" s="13" t="str">
        <f>IFERROR(__xludf.DUMMYFUNCTION("""COMPUTED_VALUE"""),"Death Track: Resurrection")</f>
        <v>Death Track: Resurrection</v>
      </c>
      <c r="B454" s="15" t="str">
        <f>IFERROR(__xludf.DUMMYFUNCTION("""COMPUTED_VALUE"""),"PS5/PS4")</f>
        <v>PS5/PS4</v>
      </c>
      <c r="C454" s="16" t="str">
        <f>IFERROR(__xludf.DUMMYFUNCTION("""COMPUTED_VALUE"""),"Premium (Streaming Only)")</f>
        <v>Premium (Streaming Only)</v>
      </c>
      <c r="D454" s="15" t="str">
        <f>IFERROR(__xludf.DUMMYFUNCTION("""COMPUTED_VALUE"""),"Active")</f>
        <v>Active</v>
      </c>
      <c r="E454" s="17">
        <f>IFERROR(__xludf.DUMMYFUNCTION("""COMPUTED_VALUE"""),42311.0)</f>
        <v>42311</v>
      </c>
      <c r="F454" s="54"/>
      <c r="G454" s="19">
        <f>IFERROR(__xludf.DUMMYFUNCTION("""COMPUTED_VALUE"""),131.10000000000002)</f>
        <v>131.1</v>
      </c>
      <c r="H454" s="17">
        <f>IFERROR(__xludf.DUMMYFUNCTION("""COMPUTED_VALUE"""),39479.0)</f>
        <v>39479</v>
      </c>
      <c r="I454" s="19">
        <f>IFERROR(__xludf.DUMMYFUNCTION("""COMPUTED_VALUE"""),7.7555555555555555)</f>
        <v>7.755555556</v>
      </c>
      <c r="J454" s="21">
        <f>IFERROR(__xludf.DUMMYFUNCTION("""COMPUTED_VALUE"""),53.0)</f>
        <v>53</v>
      </c>
      <c r="K454" s="23">
        <f>IFERROR(__xludf.DUMMYFUNCTION("""COMPUTED_VALUE"""),5.8)</f>
        <v>5.8</v>
      </c>
      <c r="L454" s="24"/>
      <c r="M454" s="25" t="str">
        <f>IFERROR(__xludf.DUMMYFUNCTION("""COMPUTED_VALUE"""),"Racing")</f>
        <v>Racing</v>
      </c>
      <c r="N454" s="25" t="str">
        <f>IFERROR(__xludf.DUMMYFUNCTION("""COMPUTED_VALUE"""),"PS3")</f>
        <v>PS3</v>
      </c>
      <c r="O454" s="26" t="str">
        <f>IFERROR(__xludf.DUMMYFUNCTION("""COMPUTED_VALUE"""),"Yes")</f>
        <v>Yes</v>
      </c>
      <c r="P454" s="26" t="str">
        <f>IFERROR(__xludf.DUMMYFUNCTION("""COMPUTED_VALUE"""),"")</f>
        <v/>
      </c>
    </row>
    <row r="455">
      <c r="A455" s="13" t="str">
        <f>IFERROR(__xludf.DUMMYFUNCTION("""COMPUTED_VALUE"""),"Resident Evil Operation Raccoon City")</f>
        <v>Resident Evil Operation Raccoon City</v>
      </c>
      <c r="B455" s="15" t="str">
        <f>IFERROR(__xludf.DUMMYFUNCTION("""COMPUTED_VALUE"""),"PS5/PS4")</f>
        <v>PS5/PS4</v>
      </c>
      <c r="C455" s="16" t="str">
        <f>IFERROR(__xludf.DUMMYFUNCTION("""COMPUTED_VALUE"""),"Premium (Streaming Only)")</f>
        <v>Premium (Streaming Only)</v>
      </c>
      <c r="D455" s="15" t="str">
        <f>IFERROR(__xludf.DUMMYFUNCTION("""COMPUTED_VALUE"""),"Active")</f>
        <v>Active</v>
      </c>
      <c r="E455" s="17">
        <f>IFERROR(__xludf.DUMMYFUNCTION("""COMPUTED_VALUE"""),42472.0)</f>
        <v>42472</v>
      </c>
      <c r="F455" s="54"/>
      <c r="G455" s="19">
        <f>IFERROR(__xludf.DUMMYFUNCTION("""COMPUTED_VALUE"""),125.79999999999998)</f>
        <v>125.8</v>
      </c>
      <c r="H455" s="17">
        <f>IFERROR(__xludf.DUMMYFUNCTION("""COMPUTED_VALUE"""),41030.0)</f>
        <v>41030</v>
      </c>
      <c r="I455" s="19">
        <f>IFERROR(__xludf.DUMMYFUNCTION("""COMPUTED_VALUE"""),3.9472222222222224)</f>
        <v>3.947222222</v>
      </c>
      <c r="J455" s="21">
        <f>IFERROR(__xludf.DUMMYFUNCTION("""COMPUTED_VALUE"""),52.0)</f>
        <v>52</v>
      </c>
      <c r="K455" s="23">
        <f>IFERROR(__xludf.DUMMYFUNCTION("""COMPUTED_VALUE"""),5.5)</f>
        <v>5.5</v>
      </c>
      <c r="L455" s="24">
        <f>IFERROR(__xludf.DUMMYFUNCTION("""COMPUTED_VALUE"""),6.0)</f>
        <v>6</v>
      </c>
      <c r="M455" s="25" t="str">
        <f>IFERROR(__xludf.DUMMYFUNCTION("""COMPUTED_VALUE"""),"Shooter")</f>
        <v>Shooter</v>
      </c>
      <c r="N455" s="25" t="str">
        <f>IFERROR(__xludf.DUMMYFUNCTION("""COMPUTED_VALUE"""),"PS3")</f>
        <v>PS3</v>
      </c>
      <c r="O455" s="26" t="str">
        <f>IFERROR(__xludf.DUMMYFUNCTION("""COMPUTED_VALUE"""),"Yes")</f>
        <v>Yes</v>
      </c>
      <c r="P455" s="26" t="str">
        <f>IFERROR(__xludf.DUMMYFUNCTION("""COMPUTED_VALUE"""),"")</f>
        <v/>
      </c>
    </row>
    <row r="456">
      <c r="A456" s="13" t="str">
        <f>IFERROR(__xludf.DUMMYFUNCTION("""COMPUTED_VALUE"""),"Realms Of Ancient War")</f>
        <v>Realms Of Ancient War</v>
      </c>
      <c r="B456" s="15" t="str">
        <f>IFERROR(__xludf.DUMMYFUNCTION("""COMPUTED_VALUE"""),"PS5/PS4")</f>
        <v>PS5/PS4</v>
      </c>
      <c r="C456" s="16" t="str">
        <f>IFERROR(__xludf.DUMMYFUNCTION("""COMPUTED_VALUE"""),"Premium (Streaming Only)")</f>
        <v>Premium (Streaming Only)</v>
      </c>
      <c r="D456" s="15" t="str">
        <f>IFERROR(__xludf.DUMMYFUNCTION("""COMPUTED_VALUE"""),"Active")</f>
        <v>Active</v>
      </c>
      <c r="E456" s="17">
        <f>IFERROR(__xludf.DUMMYFUNCTION("""COMPUTED_VALUE"""),42017.0)</f>
        <v>42017</v>
      </c>
      <c r="F456" s="54"/>
      <c r="G456" s="19">
        <f>IFERROR(__xludf.DUMMYFUNCTION("""COMPUTED_VALUE"""),140.76666666666668)</f>
        <v>140.7666667</v>
      </c>
      <c r="H456" s="17">
        <f>IFERROR(__xludf.DUMMYFUNCTION("""COMPUTED_VALUE"""),41153.0)</f>
        <v>41153</v>
      </c>
      <c r="I456" s="19">
        <f>IFERROR(__xludf.DUMMYFUNCTION("""COMPUTED_VALUE"""),2.3666666666666667)</f>
        <v>2.366666667</v>
      </c>
      <c r="J456" s="21">
        <f>IFERROR(__xludf.DUMMYFUNCTION("""COMPUTED_VALUE"""),52.0)</f>
        <v>52</v>
      </c>
      <c r="K456" s="23">
        <f>IFERROR(__xludf.DUMMYFUNCTION("""COMPUTED_VALUE"""),6.9)</f>
        <v>6.9</v>
      </c>
      <c r="L456" s="24">
        <f>IFERROR(__xludf.DUMMYFUNCTION("""COMPUTED_VALUE"""),15.0)</f>
        <v>15</v>
      </c>
      <c r="M456" s="25" t="str">
        <f>IFERROR(__xludf.DUMMYFUNCTION("""COMPUTED_VALUE"""),"RPG")</f>
        <v>RPG</v>
      </c>
      <c r="N456" s="25" t="str">
        <f>IFERROR(__xludf.DUMMYFUNCTION("""COMPUTED_VALUE"""),"PS3")</f>
        <v>PS3</v>
      </c>
      <c r="O456" s="26" t="str">
        <f>IFERROR(__xludf.DUMMYFUNCTION("""COMPUTED_VALUE"""),"Yes")</f>
        <v>Yes</v>
      </c>
      <c r="P456" s="26" t="str">
        <f>IFERROR(__xludf.DUMMYFUNCTION("""COMPUTED_VALUE"""),"")</f>
        <v/>
      </c>
    </row>
    <row r="457">
      <c r="A457" s="13" t="str">
        <f>IFERROR(__xludf.DUMMYFUNCTION("""COMPUTED_VALUE"""),"Ape Escape Academy")</f>
        <v>Ape Escape Academy</v>
      </c>
      <c r="B457" s="15" t="str">
        <f>IFERROR(__xludf.DUMMYFUNCTION("""COMPUTED_VALUE"""),"PS5/PS4")</f>
        <v>PS5/PS4</v>
      </c>
      <c r="C457" s="16" t="str">
        <f>IFERROR(__xludf.DUMMYFUNCTION("""COMPUTED_VALUE"""),"Premium (Classics)")</f>
        <v>Premium (Classics)</v>
      </c>
      <c r="D457" s="15" t="str">
        <f>IFERROR(__xludf.DUMMYFUNCTION("""COMPUTED_VALUE"""),"Active")</f>
        <v>Active</v>
      </c>
      <c r="E457" s="17">
        <f>IFERROR(__xludf.DUMMYFUNCTION("""COMPUTED_VALUE"""),45216.0)</f>
        <v>45216</v>
      </c>
      <c r="F457" s="54"/>
      <c r="G457" s="19">
        <f>IFERROR(__xludf.DUMMYFUNCTION("""COMPUTED_VALUE"""),35.63333333333333)</f>
        <v>35.63333333</v>
      </c>
      <c r="H457" s="17">
        <f>IFERROR(__xludf.DUMMYFUNCTION("""COMPUTED_VALUE"""),38734.0)</f>
        <v>38734</v>
      </c>
      <c r="I457" s="19">
        <f>IFERROR(__xludf.DUMMYFUNCTION("""COMPUTED_VALUE"""),17.75)</f>
        <v>17.75</v>
      </c>
      <c r="J457" s="21">
        <f>IFERROR(__xludf.DUMMYFUNCTION("""COMPUTED_VALUE"""),51.0)</f>
        <v>51</v>
      </c>
      <c r="K457" s="23">
        <f>IFERROR(__xludf.DUMMYFUNCTION("""COMPUTED_VALUE"""),5.7)</f>
        <v>5.7</v>
      </c>
      <c r="L457" s="24">
        <f>IFERROR(__xludf.DUMMYFUNCTION("""COMPUTED_VALUE"""),3.0)</f>
        <v>3</v>
      </c>
      <c r="M457" s="25" t="str">
        <f>IFERROR(__xludf.DUMMYFUNCTION("""COMPUTED_VALUE"""),"Party")</f>
        <v>Party</v>
      </c>
      <c r="N457" s="25" t="str">
        <f>IFERROR(__xludf.DUMMYFUNCTION("""COMPUTED_VALUE"""),"PSP")</f>
        <v>PSP</v>
      </c>
      <c r="O457" s="26" t="str">
        <f>IFERROR(__xludf.DUMMYFUNCTION("""COMPUTED_VALUE"""),"Yes")</f>
        <v>Yes</v>
      </c>
      <c r="P457" s="26"/>
    </row>
    <row r="458">
      <c r="A458" s="13" t="str">
        <f>IFERROR(__xludf.DUMMYFUNCTION("""COMPUTED_VALUE"""),"Carmageddon: Max Damage")</f>
        <v>Carmageddon: Max Damage</v>
      </c>
      <c r="B458" s="15" t="str">
        <f>IFERROR(__xludf.DUMMYFUNCTION("""COMPUTED_VALUE"""),"PS5/PS4")</f>
        <v>PS5/PS4</v>
      </c>
      <c r="C458" s="16" t="str">
        <f>IFERROR(__xludf.DUMMYFUNCTION("""COMPUTED_VALUE"""),"Premium (Streaming Only)")</f>
        <v>Premium (Streaming Only)</v>
      </c>
      <c r="D458" s="15" t="str">
        <f>IFERROR(__xludf.DUMMYFUNCTION("""COMPUTED_VALUE"""),"Active")</f>
        <v>Active</v>
      </c>
      <c r="E458" s="17">
        <f>IFERROR(__xludf.DUMMYFUNCTION("""COMPUTED_VALUE"""),43378.0)</f>
        <v>43378</v>
      </c>
      <c r="F458" s="54"/>
      <c r="G458" s="19">
        <f>IFERROR(__xludf.DUMMYFUNCTION("""COMPUTED_VALUE"""),96.03333333333333)</f>
        <v>96.03333333</v>
      </c>
      <c r="H458" s="17">
        <f>IFERROR(__xludf.DUMMYFUNCTION("""COMPUTED_VALUE"""),42552.0)</f>
        <v>42552</v>
      </c>
      <c r="I458" s="19">
        <f>IFERROR(__xludf.DUMMYFUNCTION("""COMPUTED_VALUE"""),2.261111111111111)</f>
        <v>2.261111111</v>
      </c>
      <c r="J458" s="21">
        <f>IFERROR(__xludf.DUMMYFUNCTION("""COMPUTED_VALUE"""),51.0)</f>
        <v>51</v>
      </c>
      <c r="K458" s="23">
        <f>IFERROR(__xludf.DUMMYFUNCTION("""COMPUTED_VALUE"""),5.3)</f>
        <v>5.3</v>
      </c>
      <c r="L458" s="24"/>
      <c r="M458" s="25" t="str">
        <f>IFERROR(__xludf.DUMMYFUNCTION("""COMPUTED_VALUE"""),"Racing")</f>
        <v>Racing</v>
      </c>
      <c r="N458" s="25" t="str">
        <f>IFERROR(__xludf.DUMMYFUNCTION("""COMPUTED_VALUE"""),"PS3")</f>
        <v>PS3</v>
      </c>
      <c r="O458" s="26" t="str">
        <f>IFERROR(__xludf.DUMMYFUNCTION("""COMPUTED_VALUE"""),"Yes")</f>
        <v>Yes</v>
      </c>
      <c r="P458" s="26" t="str">
        <f>IFERROR(__xludf.DUMMYFUNCTION("""COMPUTED_VALUE"""),"")</f>
        <v/>
      </c>
    </row>
    <row r="459">
      <c r="A459" s="13" t="str">
        <f>IFERROR(__xludf.DUMMYFUNCTION("""COMPUTED_VALUE"""),"Air Conflicts: Secret Wars")</f>
        <v>Air Conflicts: Secret Wars</v>
      </c>
      <c r="B459" s="15" t="str">
        <f>IFERROR(__xludf.DUMMYFUNCTION("""COMPUTED_VALUE"""),"PS5/PS4")</f>
        <v>PS5/PS4</v>
      </c>
      <c r="C459" s="16" t="str">
        <f>IFERROR(__xludf.DUMMYFUNCTION("""COMPUTED_VALUE"""),"Premium (Streaming Only)")</f>
        <v>Premium (Streaming Only)</v>
      </c>
      <c r="D459" s="15" t="str">
        <f>IFERROR(__xludf.DUMMYFUNCTION("""COMPUTED_VALUE"""),"Active")</f>
        <v>Active</v>
      </c>
      <c r="E459" s="17">
        <f>IFERROR(__xludf.DUMMYFUNCTION("""COMPUTED_VALUE"""),42528.0)</f>
        <v>42528</v>
      </c>
      <c r="F459" s="54"/>
      <c r="G459" s="19">
        <f>IFERROR(__xludf.DUMMYFUNCTION("""COMPUTED_VALUE"""),123.96666666666667)</f>
        <v>123.9666667</v>
      </c>
      <c r="H459" s="17">
        <f>IFERROR(__xludf.DUMMYFUNCTION("""COMPUTED_VALUE"""),40724.0)</f>
        <v>40724</v>
      </c>
      <c r="I459" s="19">
        <f>IFERROR(__xludf.DUMMYFUNCTION("""COMPUTED_VALUE"""),4.936111111111111)</f>
        <v>4.936111111</v>
      </c>
      <c r="J459" s="21">
        <f>IFERROR(__xludf.DUMMYFUNCTION("""COMPUTED_VALUE"""),51.0)</f>
        <v>51</v>
      </c>
      <c r="K459" s="23">
        <f>IFERROR(__xludf.DUMMYFUNCTION("""COMPUTED_VALUE"""),4.8)</f>
        <v>4.8</v>
      </c>
      <c r="L459" s="24">
        <f>IFERROR(__xludf.DUMMYFUNCTION("""COMPUTED_VALUE"""),7.0)</f>
        <v>7</v>
      </c>
      <c r="M459" s="25" t="str">
        <f>IFERROR(__xludf.DUMMYFUNCTION("""COMPUTED_VALUE"""),"Shooter")</f>
        <v>Shooter</v>
      </c>
      <c r="N459" s="25" t="str">
        <f>IFERROR(__xludf.DUMMYFUNCTION("""COMPUTED_VALUE"""),"PS3")</f>
        <v>PS3</v>
      </c>
      <c r="O459" s="26" t="str">
        <f>IFERROR(__xludf.DUMMYFUNCTION("""COMPUTED_VALUE"""),"Yes")</f>
        <v>Yes</v>
      </c>
      <c r="P459" s="26" t="str">
        <f>IFERROR(__xludf.DUMMYFUNCTION("""COMPUTED_VALUE"""),"")</f>
        <v/>
      </c>
    </row>
    <row r="460">
      <c r="A460" s="13" t="str">
        <f>IFERROR(__xludf.DUMMYFUNCTION("""COMPUTED_VALUE"""),"Duke Nukem: Forever")</f>
        <v>Duke Nukem: Forever</v>
      </c>
      <c r="B460" s="15" t="str">
        <f>IFERROR(__xludf.DUMMYFUNCTION("""COMPUTED_VALUE"""),"PS5/PS4")</f>
        <v>PS5/PS4</v>
      </c>
      <c r="C460" s="16" t="str">
        <f>IFERROR(__xludf.DUMMYFUNCTION("""COMPUTED_VALUE"""),"Premium (Streaming Only)")</f>
        <v>Premium (Streaming Only)</v>
      </c>
      <c r="D460" s="15" t="str">
        <f>IFERROR(__xludf.DUMMYFUNCTION("""COMPUTED_VALUE"""),"Active")</f>
        <v>Active</v>
      </c>
      <c r="E460" s="17">
        <f>IFERROR(__xludf.DUMMYFUNCTION("""COMPUTED_VALUE"""),42528.0)</f>
        <v>42528</v>
      </c>
      <c r="F460" s="54"/>
      <c r="G460" s="19">
        <f>IFERROR(__xludf.DUMMYFUNCTION("""COMPUTED_VALUE"""),123.96666666666667)</f>
        <v>123.9666667</v>
      </c>
      <c r="H460" s="17">
        <f>IFERROR(__xludf.DUMMYFUNCTION("""COMPUTED_VALUE"""),40695.0)</f>
        <v>40695</v>
      </c>
      <c r="I460" s="19">
        <f>IFERROR(__xludf.DUMMYFUNCTION("""COMPUTED_VALUE"""),5.016666666666667)</f>
        <v>5.016666667</v>
      </c>
      <c r="J460" s="21">
        <f>IFERROR(__xludf.DUMMYFUNCTION("""COMPUTED_VALUE"""),51.0)</f>
        <v>51</v>
      </c>
      <c r="K460" s="23">
        <f>IFERROR(__xludf.DUMMYFUNCTION("""COMPUTED_VALUE"""),3.2)</f>
        <v>3.2</v>
      </c>
      <c r="L460" s="24">
        <f>IFERROR(__xludf.DUMMYFUNCTION("""COMPUTED_VALUE"""),10.0)</f>
        <v>10</v>
      </c>
      <c r="M460" s="25" t="str">
        <f>IFERROR(__xludf.DUMMYFUNCTION("""COMPUTED_VALUE"""),"Shooter")</f>
        <v>Shooter</v>
      </c>
      <c r="N460" s="25" t="str">
        <f>IFERROR(__xludf.DUMMYFUNCTION("""COMPUTED_VALUE"""),"PS3")</f>
        <v>PS3</v>
      </c>
      <c r="O460" s="26" t="str">
        <f>IFERROR(__xludf.DUMMYFUNCTION("""COMPUTED_VALUE"""),"Yes")</f>
        <v>Yes</v>
      </c>
      <c r="P460" s="26" t="str">
        <f>IFERROR(__xludf.DUMMYFUNCTION("""COMPUTED_VALUE"""),"")</f>
        <v/>
      </c>
    </row>
    <row r="461">
      <c r="A461" s="13" t="str">
        <f>IFERROR(__xludf.DUMMYFUNCTION("""COMPUTED_VALUE"""),"Fuel Overdose")</f>
        <v>Fuel Overdose</v>
      </c>
      <c r="B461" s="15" t="str">
        <f>IFERROR(__xludf.DUMMYFUNCTION("""COMPUTED_VALUE"""),"PS5/PS4")</f>
        <v>PS5/PS4</v>
      </c>
      <c r="C461" s="16" t="str">
        <f>IFERROR(__xludf.DUMMYFUNCTION("""COMPUTED_VALUE"""),"Premium (Streaming Only)")</f>
        <v>Premium (Streaming Only)</v>
      </c>
      <c r="D461" s="15" t="str">
        <f>IFERROR(__xludf.DUMMYFUNCTION("""COMPUTED_VALUE"""),"Active")</f>
        <v>Active</v>
      </c>
      <c r="E461" s="17">
        <f>IFERROR(__xludf.DUMMYFUNCTION("""COMPUTED_VALUE"""),42311.0)</f>
        <v>42311</v>
      </c>
      <c r="F461" s="54"/>
      <c r="G461" s="19">
        <f>IFERROR(__xludf.DUMMYFUNCTION("""COMPUTED_VALUE"""),131.10000000000002)</f>
        <v>131.1</v>
      </c>
      <c r="H461" s="17">
        <f>IFERROR(__xludf.DUMMYFUNCTION("""COMPUTED_VALUE"""),41334.0)</f>
        <v>41334</v>
      </c>
      <c r="I461" s="19">
        <f>IFERROR(__xludf.DUMMYFUNCTION("""COMPUTED_VALUE"""),2.672222222222222)</f>
        <v>2.672222222</v>
      </c>
      <c r="J461" s="21">
        <f>IFERROR(__xludf.DUMMYFUNCTION("""COMPUTED_VALUE"""),51.0)</f>
        <v>51</v>
      </c>
      <c r="K461" s="23">
        <f>IFERROR(__xludf.DUMMYFUNCTION("""COMPUTED_VALUE"""),5.2)</f>
        <v>5.2</v>
      </c>
      <c r="L461" s="24"/>
      <c r="M461" s="25" t="str">
        <f>IFERROR(__xludf.DUMMYFUNCTION("""COMPUTED_VALUE"""),"Racing")</f>
        <v>Racing</v>
      </c>
      <c r="N461" s="25" t="str">
        <f>IFERROR(__xludf.DUMMYFUNCTION("""COMPUTED_VALUE"""),"PS3")</f>
        <v>PS3</v>
      </c>
      <c r="O461" s="26" t="str">
        <f>IFERROR(__xludf.DUMMYFUNCTION("""COMPUTED_VALUE"""),"Yes")</f>
        <v>Yes</v>
      </c>
      <c r="P461" s="26" t="str">
        <f>IFERROR(__xludf.DUMMYFUNCTION("""COMPUTED_VALUE"""),"")</f>
        <v/>
      </c>
    </row>
    <row r="462">
      <c r="A462" s="13" t="str">
        <f>IFERROR(__xludf.DUMMYFUNCTION("""COMPUTED_VALUE"""),"Eat Lead: The Return of Matt Hazard")</f>
        <v>Eat Lead: The Return of Matt Hazard</v>
      </c>
      <c r="B462" s="15" t="str">
        <f>IFERROR(__xludf.DUMMYFUNCTION("""COMPUTED_VALUE"""),"PS5/PS4")</f>
        <v>PS5/PS4</v>
      </c>
      <c r="C462" s="16" t="str">
        <f>IFERROR(__xludf.DUMMYFUNCTION("""COMPUTED_VALUE"""),"Premium (Streaming Only)")</f>
        <v>Premium (Streaming Only)</v>
      </c>
      <c r="D462" s="15" t="str">
        <f>IFERROR(__xludf.DUMMYFUNCTION("""COMPUTED_VALUE"""),"Active")</f>
        <v>Active</v>
      </c>
      <c r="E462" s="17">
        <f>IFERROR(__xludf.DUMMYFUNCTION("""COMPUTED_VALUE"""),42017.0)</f>
        <v>42017</v>
      </c>
      <c r="F462" s="54"/>
      <c r="G462" s="19">
        <f>IFERROR(__xludf.DUMMYFUNCTION("""COMPUTED_VALUE"""),140.76666666666668)</f>
        <v>140.7666667</v>
      </c>
      <c r="H462" s="17">
        <f>IFERROR(__xludf.DUMMYFUNCTION("""COMPUTED_VALUE"""),39845.0)</f>
        <v>39845</v>
      </c>
      <c r="I462" s="19">
        <f>IFERROR(__xludf.DUMMYFUNCTION("""COMPUTED_VALUE"""),5.95)</f>
        <v>5.95</v>
      </c>
      <c r="J462" s="21">
        <f>IFERROR(__xludf.DUMMYFUNCTION("""COMPUTED_VALUE"""),51.0)</f>
        <v>51</v>
      </c>
      <c r="K462" s="23">
        <f>IFERROR(__xludf.DUMMYFUNCTION("""COMPUTED_VALUE"""),5.6)</f>
        <v>5.6</v>
      </c>
      <c r="L462" s="24">
        <f>IFERROR(__xludf.DUMMYFUNCTION("""COMPUTED_VALUE"""),7.0)</f>
        <v>7</v>
      </c>
      <c r="M462" s="25" t="str">
        <f>IFERROR(__xludf.DUMMYFUNCTION("""COMPUTED_VALUE"""),"Shooter")</f>
        <v>Shooter</v>
      </c>
      <c r="N462" s="25" t="str">
        <f>IFERROR(__xludf.DUMMYFUNCTION("""COMPUTED_VALUE"""),"PS3")</f>
        <v>PS3</v>
      </c>
      <c r="O462" s="26" t="str">
        <f>IFERROR(__xludf.DUMMYFUNCTION("""COMPUTED_VALUE"""),"Yes")</f>
        <v>Yes</v>
      </c>
      <c r="P462" s="26" t="str">
        <f>IFERROR(__xludf.DUMMYFUNCTION("""COMPUTED_VALUE"""),"")</f>
        <v/>
      </c>
    </row>
    <row r="463">
      <c r="A463" s="13" t="str">
        <f>IFERROR(__xludf.DUMMYFUNCTION("""COMPUTED_VALUE"""),"Disney Pixar Wall-E")</f>
        <v>Disney Pixar Wall-E</v>
      </c>
      <c r="B463" s="15" t="str">
        <f>IFERROR(__xludf.DUMMYFUNCTION("""COMPUTED_VALUE"""),"PS5/PS4")</f>
        <v>PS5/PS4</v>
      </c>
      <c r="C463" s="16" t="str">
        <f>IFERROR(__xludf.DUMMYFUNCTION("""COMPUTED_VALUE"""),"Premium (Classics)")</f>
        <v>Premium (Classics)</v>
      </c>
      <c r="D463" s="15" t="str">
        <f>IFERROR(__xludf.DUMMYFUNCTION("""COMPUTED_VALUE"""),"Active")</f>
        <v>Active</v>
      </c>
      <c r="E463" s="17">
        <f>IFERROR(__xludf.DUMMYFUNCTION("""COMPUTED_VALUE"""),46070.0)</f>
        <v>46070</v>
      </c>
      <c r="F463" s="54"/>
      <c r="G463" s="19">
        <f>IFERROR(__xludf.DUMMYFUNCTION("""COMPUTED_VALUE"""),7.633333333333333)</f>
        <v>7.633333333</v>
      </c>
      <c r="H463" s="17">
        <f>IFERROR(__xludf.DUMMYFUNCTION("""COMPUTED_VALUE"""),39623.0)</f>
        <v>39623</v>
      </c>
      <c r="I463" s="19">
        <f>IFERROR(__xludf.DUMMYFUNCTION("""COMPUTED_VALUE"""),17.647222222222222)</f>
        <v>17.64722222</v>
      </c>
      <c r="J463" s="21">
        <f>IFERROR(__xludf.DUMMYFUNCTION("""COMPUTED_VALUE"""),50.0)</f>
        <v>50</v>
      </c>
      <c r="K463" s="23">
        <f>IFERROR(__xludf.DUMMYFUNCTION("""COMPUTED_VALUE"""),6.8)</f>
        <v>6.8</v>
      </c>
      <c r="L463" s="24">
        <f>IFERROR(__xludf.DUMMYFUNCTION("""COMPUTED_VALUE"""),8.0)</f>
        <v>8</v>
      </c>
      <c r="M463" s="25" t="str">
        <f>IFERROR(__xludf.DUMMYFUNCTION("""COMPUTED_VALUE"""),"Action-Adventure")</f>
        <v>Action-Adventure</v>
      </c>
      <c r="N463" s="25" t="str">
        <f>IFERROR(__xludf.DUMMYFUNCTION("""COMPUTED_VALUE"""),"PS2")</f>
        <v>PS2</v>
      </c>
      <c r="O463" s="26"/>
      <c r="P463" s="26"/>
    </row>
    <row r="464">
      <c r="A464" s="13" t="str">
        <f>IFERROR(__xludf.DUMMYFUNCTION("""COMPUTED_VALUE"""),"Invizimals: The Lost Kingdom")</f>
        <v>Invizimals: The Lost Kingdom</v>
      </c>
      <c r="B464" s="15" t="str">
        <f>IFERROR(__xludf.DUMMYFUNCTION("""COMPUTED_VALUE"""),"PS5/PS4")</f>
        <v>PS5/PS4</v>
      </c>
      <c r="C464" s="16" t="str">
        <f>IFERROR(__xludf.DUMMYFUNCTION("""COMPUTED_VALUE"""),"Premium (Streaming Only)")</f>
        <v>Premium (Streaming Only)</v>
      </c>
      <c r="D464" s="15" t="str">
        <f>IFERROR(__xludf.DUMMYFUNCTION("""COMPUTED_VALUE"""),"Active")</f>
        <v>Active</v>
      </c>
      <c r="E464" s="17">
        <f>IFERROR(__xludf.DUMMYFUNCTION("""COMPUTED_VALUE"""),42374.0)</f>
        <v>42374</v>
      </c>
      <c r="F464" s="54"/>
      <c r="G464" s="19">
        <f>IFERROR(__xludf.DUMMYFUNCTION("""COMPUTED_VALUE"""),129.03333333333333)</f>
        <v>129.0333333</v>
      </c>
      <c r="H464" s="17">
        <f>IFERROR(__xludf.DUMMYFUNCTION("""COMPUTED_VALUE"""),41883.0)</f>
        <v>41883</v>
      </c>
      <c r="I464" s="19">
        <f>IFERROR(__xludf.DUMMYFUNCTION("""COMPUTED_VALUE"""),1.3444444444444446)</f>
        <v>1.344444444</v>
      </c>
      <c r="J464" s="21">
        <f>IFERROR(__xludf.DUMMYFUNCTION("""COMPUTED_VALUE"""),50.0)</f>
        <v>50</v>
      </c>
      <c r="K464" s="23">
        <f>IFERROR(__xludf.DUMMYFUNCTION("""COMPUTED_VALUE"""),6.2)</f>
        <v>6.2</v>
      </c>
      <c r="L464" s="24">
        <f>IFERROR(__xludf.DUMMYFUNCTION("""COMPUTED_VALUE"""),8.0)</f>
        <v>8</v>
      </c>
      <c r="M464" s="25" t="str">
        <f>IFERROR(__xludf.DUMMYFUNCTION("""COMPUTED_VALUE"""),"Action-Adventure")</f>
        <v>Action-Adventure</v>
      </c>
      <c r="N464" s="25" t="str">
        <f>IFERROR(__xludf.DUMMYFUNCTION("""COMPUTED_VALUE"""),"PS3")</f>
        <v>PS3</v>
      </c>
      <c r="O464" s="26" t="str">
        <f>IFERROR(__xludf.DUMMYFUNCTION("""COMPUTED_VALUE"""),"Yes")</f>
        <v>Yes</v>
      </c>
      <c r="P464" s="26" t="str">
        <f>IFERROR(__xludf.DUMMYFUNCTION("""COMPUTED_VALUE"""),"")</f>
        <v/>
      </c>
    </row>
    <row r="465">
      <c r="A465" s="13" t="str">
        <f>IFERROR(__xludf.DUMMYFUNCTION("""COMPUTED_VALUE"""),"Record of Agarest War Zero")</f>
        <v>Record of Agarest War Zero</v>
      </c>
      <c r="B465" s="15" t="str">
        <f>IFERROR(__xludf.DUMMYFUNCTION("""COMPUTED_VALUE"""),"PS5/PS4")</f>
        <v>PS5/PS4</v>
      </c>
      <c r="C465" s="16" t="str">
        <f>IFERROR(__xludf.DUMMYFUNCTION("""COMPUTED_VALUE"""),"Premium (Streaming Only)")</f>
        <v>Premium (Streaming Only)</v>
      </c>
      <c r="D465" s="15" t="str">
        <f>IFERROR(__xludf.DUMMYFUNCTION("""COMPUTED_VALUE"""),"Active")</f>
        <v>Active</v>
      </c>
      <c r="E465" s="17">
        <f>IFERROR(__xludf.DUMMYFUNCTION("""COMPUTED_VALUE"""),42017.0)</f>
        <v>42017</v>
      </c>
      <c r="F465" s="54"/>
      <c r="G465" s="19">
        <f>IFERROR(__xludf.DUMMYFUNCTION("""COMPUTED_VALUE"""),140.76666666666668)</f>
        <v>140.7666667</v>
      </c>
      <c r="H465" s="17">
        <f>IFERROR(__xludf.DUMMYFUNCTION("""COMPUTED_VALUE"""),40695.0)</f>
        <v>40695</v>
      </c>
      <c r="I465" s="19">
        <f>IFERROR(__xludf.DUMMYFUNCTION("""COMPUTED_VALUE"""),3.6166666666666667)</f>
        <v>3.616666667</v>
      </c>
      <c r="J465" s="21">
        <f>IFERROR(__xludf.DUMMYFUNCTION("""COMPUTED_VALUE"""),50.0)</f>
        <v>50</v>
      </c>
      <c r="K465" s="23">
        <f>IFERROR(__xludf.DUMMYFUNCTION("""COMPUTED_VALUE"""),6.9)</f>
        <v>6.9</v>
      </c>
      <c r="L465" s="24">
        <f>IFERROR(__xludf.DUMMYFUNCTION("""COMPUTED_VALUE"""),55.0)</f>
        <v>55</v>
      </c>
      <c r="M465" s="25" t="str">
        <f>IFERROR(__xludf.DUMMYFUNCTION("""COMPUTED_VALUE"""),"RPG")</f>
        <v>RPG</v>
      </c>
      <c r="N465" s="25" t="str">
        <f>IFERROR(__xludf.DUMMYFUNCTION("""COMPUTED_VALUE"""),"PS3")</f>
        <v>PS3</v>
      </c>
      <c r="O465" s="26" t="str">
        <f>IFERROR(__xludf.DUMMYFUNCTION("""COMPUTED_VALUE"""),"Yes")</f>
        <v>Yes</v>
      </c>
      <c r="P465" s="26" t="str">
        <f>IFERROR(__xludf.DUMMYFUNCTION("""COMPUTED_VALUE"""),"")</f>
        <v/>
      </c>
    </row>
    <row r="466">
      <c r="A466" s="13" t="str">
        <f>IFERROR(__xludf.DUMMYFUNCTION("""COMPUTED_VALUE"""),"Red Faction: Battlegrounds")</f>
        <v>Red Faction: Battlegrounds</v>
      </c>
      <c r="B466" s="15" t="str">
        <f>IFERROR(__xludf.DUMMYFUNCTION("""COMPUTED_VALUE"""),"PS5/PS4")</f>
        <v>PS5/PS4</v>
      </c>
      <c r="C466" s="16" t="str">
        <f>IFERROR(__xludf.DUMMYFUNCTION("""COMPUTED_VALUE"""),"Premium (Streaming Only)")</f>
        <v>Premium (Streaming Only)</v>
      </c>
      <c r="D466" s="15" t="str">
        <f>IFERROR(__xludf.DUMMYFUNCTION("""COMPUTED_VALUE"""),"Active")</f>
        <v>Active</v>
      </c>
      <c r="E466" s="17">
        <f>IFERROR(__xludf.DUMMYFUNCTION("""COMPUTED_VALUE"""),42374.0)</f>
        <v>42374</v>
      </c>
      <c r="F466" s="54"/>
      <c r="G466" s="19">
        <f>IFERROR(__xludf.DUMMYFUNCTION("""COMPUTED_VALUE"""),129.03333333333333)</f>
        <v>129.0333333</v>
      </c>
      <c r="H466" s="17">
        <f>IFERROR(__xludf.DUMMYFUNCTION("""COMPUTED_VALUE"""),40634.0)</f>
        <v>40634</v>
      </c>
      <c r="I466" s="19">
        <f>IFERROR(__xludf.DUMMYFUNCTION("""COMPUTED_VALUE"""),4.761111111111111)</f>
        <v>4.761111111</v>
      </c>
      <c r="J466" s="21">
        <f>IFERROR(__xludf.DUMMYFUNCTION("""COMPUTED_VALUE"""),49.0)</f>
        <v>49</v>
      </c>
      <c r="K466" s="23">
        <f>IFERROR(__xludf.DUMMYFUNCTION("""COMPUTED_VALUE"""),5.9)</f>
        <v>5.9</v>
      </c>
      <c r="L466" s="24">
        <f>IFERROR(__xludf.DUMMYFUNCTION("""COMPUTED_VALUE"""),3.0)</f>
        <v>3</v>
      </c>
      <c r="M466" s="25" t="str">
        <f>IFERROR(__xludf.DUMMYFUNCTION("""COMPUTED_VALUE"""),"Shooter")</f>
        <v>Shooter</v>
      </c>
      <c r="N466" s="25" t="str">
        <f>IFERROR(__xludf.DUMMYFUNCTION("""COMPUTED_VALUE"""),"PS3")</f>
        <v>PS3</v>
      </c>
      <c r="O466" s="26" t="str">
        <f>IFERROR(__xludf.DUMMYFUNCTION("""COMPUTED_VALUE"""),"Yes")</f>
        <v>Yes</v>
      </c>
      <c r="P466" s="26" t="str">
        <f>IFERROR(__xludf.DUMMYFUNCTION("""COMPUTED_VALUE"""),"")</f>
        <v/>
      </c>
    </row>
    <row r="467">
      <c r="A467" s="13" t="str">
        <f>IFERROR(__xludf.DUMMYFUNCTION("""COMPUTED_VALUE"""),"Slender: The Arrival")</f>
        <v>Slender: The Arrival</v>
      </c>
      <c r="B467" s="15" t="str">
        <f>IFERROR(__xludf.DUMMYFUNCTION("""COMPUTED_VALUE"""),"PS5/PS4")</f>
        <v>PS5/PS4</v>
      </c>
      <c r="C467" s="16" t="str">
        <f>IFERROR(__xludf.DUMMYFUNCTION("""COMPUTED_VALUE"""),"Premium (Streaming Only)")</f>
        <v>Premium (Streaming Only)</v>
      </c>
      <c r="D467" s="15" t="str">
        <f>IFERROR(__xludf.DUMMYFUNCTION("""COMPUTED_VALUE"""),"Active")</f>
        <v>Active</v>
      </c>
      <c r="E467" s="17">
        <f>IFERROR(__xludf.DUMMYFUNCTION("""COMPUTED_VALUE"""),42374.0)</f>
        <v>42374</v>
      </c>
      <c r="F467" s="54"/>
      <c r="G467" s="19">
        <f>IFERROR(__xludf.DUMMYFUNCTION("""COMPUTED_VALUE"""),129.03333333333333)</f>
        <v>129.0333333</v>
      </c>
      <c r="H467" s="17">
        <f>IFERROR(__xludf.DUMMYFUNCTION("""COMPUTED_VALUE"""),42064.0)</f>
        <v>42064</v>
      </c>
      <c r="I467" s="19">
        <f>IFERROR(__xludf.DUMMYFUNCTION("""COMPUTED_VALUE"""),0.8444444444444444)</f>
        <v>0.8444444444</v>
      </c>
      <c r="J467" s="21">
        <f>IFERROR(__xludf.DUMMYFUNCTION("""COMPUTED_VALUE"""),48.0)</f>
        <v>48</v>
      </c>
      <c r="K467" s="23">
        <f>IFERROR(__xludf.DUMMYFUNCTION("""COMPUTED_VALUE"""),6.4)</f>
        <v>6.4</v>
      </c>
      <c r="L467" s="24">
        <f>IFERROR(__xludf.DUMMYFUNCTION("""COMPUTED_VALUE"""),3.0)</f>
        <v>3</v>
      </c>
      <c r="M467" s="25" t="str">
        <f>IFERROR(__xludf.DUMMYFUNCTION("""COMPUTED_VALUE"""),"Horror")</f>
        <v>Horror</v>
      </c>
      <c r="N467" s="25" t="str">
        <f>IFERROR(__xludf.DUMMYFUNCTION("""COMPUTED_VALUE"""),"PS3")</f>
        <v>PS3</v>
      </c>
      <c r="O467" s="26" t="str">
        <f>IFERROR(__xludf.DUMMYFUNCTION("""COMPUTED_VALUE"""),"Yes")</f>
        <v>Yes</v>
      </c>
      <c r="P467" s="26" t="str">
        <f>IFERROR(__xludf.DUMMYFUNCTION("""COMPUTED_VALUE"""),"")</f>
        <v/>
      </c>
    </row>
    <row r="468">
      <c r="A468" s="13" t="str">
        <f>IFERROR(__xludf.DUMMYFUNCTION("""COMPUTED_VALUE"""),"Champion Jockey: G1 Jockey &amp; Gallop Racer")</f>
        <v>Champion Jockey: G1 Jockey &amp; Gallop Racer</v>
      </c>
      <c r="B468" s="15" t="str">
        <f>IFERROR(__xludf.DUMMYFUNCTION("""COMPUTED_VALUE"""),"PS5/PS4")</f>
        <v>PS5/PS4</v>
      </c>
      <c r="C468" s="16" t="str">
        <f>IFERROR(__xludf.DUMMYFUNCTION("""COMPUTED_VALUE"""),"Premium (Streaming Only)")</f>
        <v>Premium (Streaming Only)</v>
      </c>
      <c r="D468" s="15" t="str">
        <f>IFERROR(__xludf.DUMMYFUNCTION("""COMPUTED_VALUE"""),"Active")</f>
        <v>Active</v>
      </c>
      <c r="E468" s="17">
        <f>IFERROR(__xludf.DUMMYFUNCTION("""COMPUTED_VALUE"""),42190.0)</f>
        <v>42190</v>
      </c>
      <c r="F468" s="54"/>
      <c r="G468" s="19">
        <f>IFERROR(__xludf.DUMMYFUNCTION("""COMPUTED_VALUE"""),135.03333333333333)</f>
        <v>135.0333333</v>
      </c>
      <c r="H468" s="17">
        <f>IFERROR(__xludf.DUMMYFUNCTION("""COMPUTED_VALUE"""),40808.0)</f>
        <v>40808</v>
      </c>
      <c r="I468" s="19">
        <f>IFERROR(__xludf.DUMMYFUNCTION("""COMPUTED_VALUE"""),3.786111111111111)</f>
        <v>3.786111111</v>
      </c>
      <c r="J468" s="21">
        <f>IFERROR(__xludf.DUMMYFUNCTION("""COMPUTED_VALUE"""),48.0)</f>
        <v>48</v>
      </c>
      <c r="K468" s="23"/>
      <c r="L468" s="24"/>
      <c r="M468" s="25" t="str">
        <f>IFERROR(__xludf.DUMMYFUNCTION("""COMPUTED_VALUE"""),"Sports")</f>
        <v>Sports</v>
      </c>
      <c r="N468" s="25" t="str">
        <f>IFERROR(__xludf.DUMMYFUNCTION("""COMPUTED_VALUE"""),"PS3")</f>
        <v>PS3</v>
      </c>
      <c r="O468" s="26" t="str">
        <f>IFERROR(__xludf.DUMMYFUNCTION("""COMPUTED_VALUE"""),"Yes")</f>
        <v>Yes</v>
      </c>
      <c r="P468" s="26" t="str">
        <f>IFERROR(__xludf.DUMMYFUNCTION("""COMPUTED_VALUE"""),"")</f>
        <v/>
      </c>
    </row>
    <row r="469">
      <c r="A469" s="13" t="str">
        <f>IFERROR(__xludf.DUMMYFUNCTION("""COMPUTED_VALUE"""),"Interpol: The Trail of Dr. Chaos")</f>
        <v>Interpol: The Trail of Dr. Chaos</v>
      </c>
      <c r="B469" s="15" t="str">
        <f>IFERROR(__xludf.DUMMYFUNCTION("""COMPUTED_VALUE"""),"PS5/PS4")</f>
        <v>PS5/PS4</v>
      </c>
      <c r="C469" s="16" t="str">
        <f>IFERROR(__xludf.DUMMYFUNCTION("""COMPUTED_VALUE"""),"Premium (Streaming Only)")</f>
        <v>Premium (Streaming Only)</v>
      </c>
      <c r="D469" s="15" t="str">
        <f>IFERROR(__xludf.DUMMYFUNCTION("""COMPUTED_VALUE"""),"Active")</f>
        <v>Active</v>
      </c>
      <c r="E469" s="17">
        <f>IFERROR(__xludf.DUMMYFUNCTION("""COMPUTED_VALUE"""),42017.0)</f>
        <v>42017</v>
      </c>
      <c r="F469" s="54"/>
      <c r="G469" s="19">
        <f>IFERROR(__xludf.DUMMYFUNCTION("""COMPUTED_VALUE"""),140.76666666666668)</f>
        <v>140.7666667</v>
      </c>
      <c r="H469" s="17">
        <f>IFERROR(__xludf.DUMMYFUNCTION("""COMPUTED_VALUE"""),39814.0)</f>
        <v>39814</v>
      </c>
      <c r="I469" s="19">
        <f>IFERROR(__xludf.DUMMYFUNCTION("""COMPUTED_VALUE"""),6.033333333333333)</f>
        <v>6.033333333</v>
      </c>
      <c r="J469" s="21">
        <f>IFERROR(__xludf.DUMMYFUNCTION("""COMPUTED_VALUE"""),48.0)</f>
        <v>48</v>
      </c>
      <c r="K469" s="23">
        <f>IFERROR(__xludf.DUMMYFUNCTION("""COMPUTED_VALUE"""),7.2)</f>
        <v>7.2</v>
      </c>
      <c r="L469" s="24">
        <f>IFERROR(__xludf.DUMMYFUNCTION("""COMPUTED_VALUE"""),3.0)</f>
        <v>3</v>
      </c>
      <c r="M469" s="25" t="str">
        <f>IFERROR(__xludf.DUMMYFUNCTION("""COMPUTED_VALUE"""),"Puzzle")</f>
        <v>Puzzle</v>
      </c>
      <c r="N469" s="25" t="str">
        <f>IFERROR(__xludf.DUMMYFUNCTION("""COMPUTED_VALUE"""),"PS3")</f>
        <v>PS3</v>
      </c>
      <c r="O469" s="26" t="str">
        <f>IFERROR(__xludf.DUMMYFUNCTION("""COMPUTED_VALUE"""),"Yes")</f>
        <v>Yes</v>
      </c>
      <c r="P469" s="26" t="str">
        <f>IFERROR(__xludf.DUMMYFUNCTION("""COMPUTED_VALUE"""),"")</f>
        <v/>
      </c>
    </row>
    <row r="470">
      <c r="A470" s="13" t="str">
        <f>IFERROR(__xludf.DUMMYFUNCTION("""COMPUTED_VALUE"""),"Dragon's Lair")</f>
        <v>Dragon's Lair</v>
      </c>
      <c r="B470" s="15" t="str">
        <f>IFERROR(__xludf.DUMMYFUNCTION("""COMPUTED_VALUE"""),"PS5/PS4")</f>
        <v>PS5/PS4</v>
      </c>
      <c r="C470" s="16" t="str">
        <f>IFERROR(__xludf.DUMMYFUNCTION("""COMPUTED_VALUE"""),"Premium (Streaming Only)")</f>
        <v>Premium (Streaming Only)</v>
      </c>
      <c r="D470" s="15" t="str">
        <f>IFERROR(__xludf.DUMMYFUNCTION("""COMPUTED_VALUE"""),"Active")</f>
        <v>Active</v>
      </c>
      <c r="E470" s="17">
        <f>IFERROR(__xludf.DUMMYFUNCTION("""COMPUTED_VALUE"""),42311.0)</f>
        <v>42311</v>
      </c>
      <c r="F470" s="54"/>
      <c r="G470" s="19">
        <f>IFERROR(__xludf.DUMMYFUNCTION("""COMPUTED_VALUE"""),131.10000000000002)</f>
        <v>131.1</v>
      </c>
      <c r="H470" s="17">
        <f>IFERROR(__xludf.DUMMYFUNCTION("""COMPUTED_VALUE"""),41030.0)</f>
        <v>41030</v>
      </c>
      <c r="I470" s="19">
        <f>IFERROR(__xludf.DUMMYFUNCTION("""COMPUTED_VALUE"""),3.5055555555555555)</f>
        <v>3.505555556</v>
      </c>
      <c r="J470" s="21">
        <f>IFERROR(__xludf.DUMMYFUNCTION("""COMPUTED_VALUE"""),47.0)</f>
        <v>47</v>
      </c>
      <c r="K470" s="23">
        <f>IFERROR(__xludf.DUMMYFUNCTION("""COMPUTED_VALUE"""),6.2)</f>
        <v>6.2</v>
      </c>
      <c r="L470" s="24">
        <f>IFERROR(__xludf.DUMMYFUNCTION("""COMPUTED_VALUE"""),1.0)</f>
        <v>1</v>
      </c>
      <c r="M470" s="25" t="str">
        <f>IFERROR(__xludf.DUMMYFUNCTION("""COMPUTED_VALUE"""),"Action-Adventure")</f>
        <v>Action-Adventure</v>
      </c>
      <c r="N470" s="25" t="str">
        <f>IFERROR(__xludf.DUMMYFUNCTION("""COMPUTED_VALUE"""),"PS3")</f>
        <v>PS3</v>
      </c>
      <c r="O470" s="26" t="str">
        <f>IFERROR(__xludf.DUMMYFUNCTION("""COMPUTED_VALUE"""),"Yes")</f>
        <v>Yes</v>
      </c>
      <c r="P470" s="26" t="str">
        <f>IFERROR(__xludf.DUMMYFUNCTION("""COMPUTED_VALUE"""),"")</f>
        <v/>
      </c>
    </row>
    <row r="471">
      <c r="A471" s="13" t="str">
        <f>IFERROR(__xludf.DUMMYFUNCTION("""COMPUTED_VALUE"""),"Alien Rage")</f>
        <v>Alien Rage</v>
      </c>
      <c r="B471" s="15" t="str">
        <f>IFERROR(__xludf.DUMMYFUNCTION("""COMPUTED_VALUE"""),"PS5/PS4")</f>
        <v>PS5/PS4</v>
      </c>
      <c r="C471" s="16" t="str">
        <f>IFERROR(__xludf.DUMMYFUNCTION("""COMPUTED_VALUE"""),"Premium (Streaming Only)")</f>
        <v>Premium (Streaming Only)</v>
      </c>
      <c r="D471" s="15" t="str">
        <f>IFERROR(__xludf.DUMMYFUNCTION("""COMPUTED_VALUE"""),"Active")</f>
        <v>Active</v>
      </c>
      <c r="E471" s="17">
        <f>IFERROR(__xludf.DUMMYFUNCTION("""COMPUTED_VALUE"""),42682.0)</f>
        <v>42682</v>
      </c>
      <c r="F471" s="54"/>
      <c r="G471" s="19">
        <f>IFERROR(__xludf.DUMMYFUNCTION("""COMPUTED_VALUE"""),118.93333333333334)</f>
        <v>118.9333333</v>
      </c>
      <c r="H471" s="17">
        <f>IFERROR(__xludf.DUMMYFUNCTION("""COMPUTED_VALUE"""),41548.0)</f>
        <v>41548</v>
      </c>
      <c r="I471" s="19">
        <f>IFERROR(__xludf.DUMMYFUNCTION("""COMPUTED_VALUE"""),3.102777777777778)</f>
        <v>3.102777778</v>
      </c>
      <c r="J471" s="21">
        <f>IFERROR(__xludf.DUMMYFUNCTION("""COMPUTED_VALUE"""),46.0)</f>
        <v>46</v>
      </c>
      <c r="K471" s="23">
        <f>IFERROR(__xludf.DUMMYFUNCTION("""COMPUTED_VALUE"""),5.4)</f>
        <v>5.4</v>
      </c>
      <c r="L471" s="24">
        <f>IFERROR(__xludf.DUMMYFUNCTION("""COMPUTED_VALUE"""),5.0)</f>
        <v>5</v>
      </c>
      <c r="M471" s="25" t="str">
        <f>IFERROR(__xludf.DUMMYFUNCTION("""COMPUTED_VALUE"""),"Shooter")</f>
        <v>Shooter</v>
      </c>
      <c r="N471" s="25" t="str">
        <f>IFERROR(__xludf.DUMMYFUNCTION("""COMPUTED_VALUE"""),"PS3")</f>
        <v>PS3</v>
      </c>
      <c r="O471" s="26" t="str">
        <f>IFERROR(__xludf.DUMMYFUNCTION("""COMPUTED_VALUE"""),"Yes")</f>
        <v>Yes</v>
      </c>
      <c r="P471" s="26" t="str">
        <f>IFERROR(__xludf.DUMMYFUNCTION("""COMPUTED_VALUE"""),"")</f>
        <v/>
      </c>
    </row>
    <row r="472">
      <c r="A472" s="13" t="str">
        <f>IFERROR(__xludf.DUMMYFUNCTION("""COMPUTED_VALUE"""),"Greg Hastings Paintball 2")</f>
        <v>Greg Hastings Paintball 2</v>
      </c>
      <c r="B472" s="15" t="str">
        <f>IFERROR(__xludf.DUMMYFUNCTION("""COMPUTED_VALUE"""),"PS5/PS4")</f>
        <v>PS5/PS4</v>
      </c>
      <c r="C472" s="16" t="str">
        <f>IFERROR(__xludf.DUMMYFUNCTION("""COMPUTED_VALUE"""),"Premium (Streaming Only)")</f>
        <v>Premium (Streaming Only)</v>
      </c>
      <c r="D472" s="15" t="str">
        <f>IFERROR(__xludf.DUMMYFUNCTION("""COMPUTED_VALUE"""),"Active")</f>
        <v>Active</v>
      </c>
      <c r="E472" s="17">
        <f>IFERROR(__xludf.DUMMYFUNCTION("""COMPUTED_VALUE"""),42682.0)</f>
        <v>42682</v>
      </c>
      <c r="F472" s="54"/>
      <c r="G472" s="19">
        <f>IFERROR(__xludf.DUMMYFUNCTION("""COMPUTED_VALUE"""),118.93333333333334)</f>
        <v>118.9333333</v>
      </c>
      <c r="H472" s="17">
        <f>IFERROR(__xludf.DUMMYFUNCTION("""COMPUTED_VALUE"""),40695.0)</f>
        <v>40695</v>
      </c>
      <c r="I472" s="19">
        <f>IFERROR(__xludf.DUMMYFUNCTION("""COMPUTED_VALUE"""),5.436111111111111)</f>
        <v>5.436111111</v>
      </c>
      <c r="J472" s="21">
        <f>IFERROR(__xludf.DUMMYFUNCTION("""COMPUTED_VALUE"""),46.0)</f>
        <v>46</v>
      </c>
      <c r="K472" s="23">
        <f>IFERROR(__xludf.DUMMYFUNCTION("""COMPUTED_VALUE"""),6.8)</f>
        <v>6.8</v>
      </c>
      <c r="L472" s="24">
        <f>IFERROR(__xludf.DUMMYFUNCTION("""COMPUTED_VALUE"""),7.0)</f>
        <v>7</v>
      </c>
      <c r="M472" s="25" t="str">
        <f>IFERROR(__xludf.DUMMYFUNCTION("""COMPUTED_VALUE"""),"Shooter")</f>
        <v>Shooter</v>
      </c>
      <c r="N472" s="25" t="str">
        <f>IFERROR(__xludf.DUMMYFUNCTION("""COMPUTED_VALUE"""),"PS3")</f>
        <v>PS3</v>
      </c>
      <c r="O472" s="26" t="str">
        <f>IFERROR(__xludf.DUMMYFUNCTION("""COMPUTED_VALUE"""),"Yes")</f>
        <v>Yes</v>
      </c>
      <c r="P472" s="26" t="str">
        <f>IFERROR(__xludf.DUMMYFUNCTION("""COMPUTED_VALUE"""),"")</f>
        <v/>
      </c>
    </row>
    <row r="473">
      <c r="A473" s="13" t="str">
        <f>IFERROR(__xludf.DUMMYFUNCTION("""COMPUTED_VALUE"""),".detuned")</f>
        <v>.detuned</v>
      </c>
      <c r="B473" s="15" t="str">
        <f>IFERROR(__xludf.DUMMYFUNCTION("""COMPUTED_VALUE"""),"PS5/PS4")</f>
        <v>PS5/PS4</v>
      </c>
      <c r="C473" s="16" t="str">
        <f>IFERROR(__xludf.DUMMYFUNCTION("""COMPUTED_VALUE"""),"Premium (Streaming Only)")</f>
        <v>Premium (Streaming Only)</v>
      </c>
      <c r="D473" s="15" t="str">
        <f>IFERROR(__xludf.DUMMYFUNCTION("""COMPUTED_VALUE"""),"Active")</f>
        <v>Active</v>
      </c>
      <c r="E473" s="17">
        <f>IFERROR(__xludf.DUMMYFUNCTION("""COMPUTED_VALUE"""),42374.0)</f>
        <v>42374</v>
      </c>
      <c r="F473" s="54"/>
      <c r="G473" s="19">
        <f>IFERROR(__xludf.DUMMYFUNCTION("""COMPUTED_VALUE"""),129.03333333333333)</f>
        <v>129.0333333</v>
      </c>
      <c r="H473" s="17">
        <f>IFERROR(__xludf.DUMMYFUNCTION("""COMPUTED_VALUE"""),40087.0)</f>
        <v>40087</v>
      </c>
      <c r="I473" s="19">
        <f>IFERROR(__xludf.DUMMYFUNCTION("""COMPUTED_VALUE"""),6.261111111111111)</f>
        <v>6.261111111</v>
      </c>
      <c r="J473" s="21">
        <f>IFERROR(__xludf.DUMMYFUNCTION("""COMPUTED_VALUE"""),46.0)</f>
        <v>46</v>
      </c>
      <c r="K473" s="23">
        <f>IFERROR(__xludf.DUMMYFUNCTION("""COMPUTED_VALUE"""),3.5)</f>
        <v>3.5</v>
      </c>
      <c r="L473" s="24"/>
      <c r="M473" s="25" t="str">
        <f>IFERROR(__xludf.DUMMYFUNCTION("""COMPUTED_VALUE"""),"Rhythm")</f>
        <v>Rhythm</v>
      </c>
      <c r="N473" s="25" t="str">
        <f>IFERROR(__xludf.DUMMYFUNCTION("""COMPUTED_VALUE"""),"PS3")</f>
        <v>PS3</v>
      </c>
      <c r="O473" s="26" t="str">
        <f>IFERROR(__xludf.DUMMYFUNCTION("""COMPUTED_VALUE"""),"Yes")</f>
        <v>Yes</v>
      </c>
      <c r="P473" s="26" t="str">
        <f>IFERROR(__xludf.DUMMYFUNCTION("""COMPUTED_VALUE"""),"")</f>
        <v/>
      </c>
    </row>
    <row r="474">
      <c r="A474" s="13" t="str">
        <f>IFERROR(__xludf.DUMMYFUNCTION("""COMPUTED_VALUE"""),"Ricochet HD")</f>
        <v>Ricochet HD</v>
      </c>
      <c r="B474" s="15" t="str">
        <f>IFERROR(__xludf.DUMMYFUNCTION("""COMPUTED_VALUE"""),"PS5/PS4")</f>
        <v>PS5/PS4</v>
      </c>
      <c r="C474" s="16" t="str">
        <f>IFERROR(__xludf.DUMMYFUNCTION("""COMPUTED_VALUE"""),"Premium (Streaming Only)")</f>
        <v>Premium (Streaming Only)</v>
      </c>
      <c r="D474" s="15" t="str">
        <f>IFERROR(__xludf.DUMMYFUNCTION("""COMPUTED_VALUE"""),"Active")</f>
        <v>Active</v>
      </c>
      <c r="E474" s="17">
        <f>IFERROR(__xludf.DUMMYFUNCTION("""COMPUTED_VALUE"""),42374.0)</f>
        <v>42374</v>
      </c>
      <c r="F474" s="54"/>
      <c r="G474" s="19">
        <f>IFERROR(__xludf.DUMMYFUNCTION("""COMPUTED_VALUE"""),129.03333333333333)</f>
        <v>129.0333333</v>
      </c>
      <c r="H474" s="17">
        <f>IFERROR(__xludf.DUMMYFUNCTION("""COMPUTED_VALUE"""),40544.0)</f>
        <v>40544</v>
      </c>
      <c r="I474" s="19">
        <f>IFERROR(__xludf.DUMMYFUNCTION("""COMPUTED_VALUE"""),5.011111111111111)</f>
        <v>5.011111111</v>
      </c>
      <c r="J474" s="21">
        <f>IFERROR(__xludf.DUMMYFUNCTION("""COMPUTED_VALUE"""),45.0)</f>
        <v>45</v>
      </c>
      <c r="K474" s="23">
        <f>IFERROR(__xludf.DUMMYFUNCTION("""COMPUTED_VALUE"""),6.6)</f>
        <v>6.6</v>
      </c>
      <c r="L474" s="24">
        <f>IFERROR(__xludf.DUMMYFUNCTION("""COMPUTED_VALUE"""),3.0)</f>
        <v>3</v>
      </c>
      <c r="M474" s="25" t="str">
        <f>IFERROR(__xludf.DUMMYFUNCTION("""COMPUTED_VALUE"""),"Arcade")</f>
        <v>Arcade</v>
      </c>
      <c r="N474" s="25" t="str">
        <f>IFERROR(__xludf.DUMMYFUNCTION("""COMPUTED_VALUE"""),"PS3")</f>
        <v>PS3</v>
      </c>
      <c r="O474" s="26" t="str">
        <f>IFERROR(__xludf.DUMMYFUNCTION("""COMPUTED_VALUE"""),"Yes")</f>
        <v>Yes</v>
      </c>
      <c r="P474" s="26" t="str">
        <f>IFERROR(__xludf.DUMMYFUNCTION("""COMPUTED_VALUE"""),"")</f>
        <v/>
      </c>
    </row>
    <row r="475">
      <c r="A475" s="13" t="str">
        <f>IFERROR(__xludf.DUMMYFUNCTION("""COMPUTED_VALUE"""),"Q*Bert: Rebooted")</f>
        <v>Q*Bert: Rebooted</v>
      </c>
      <c r="B475" s="15" t="str">
        <f>IFERROR(__xludf.DUMMYFUNCTION("""COMPUTED_VALUE"""),"PS4")</f>
        <v>PS4</v>
      </c>
      <c r="C475" s="16" t="str">
        <f>IFERROR(__xludf.DUMMYFUNCTION("""COMPUTED_VALUE"""),"Premium (Remasters)")</f>
        <v>Premium (Remasters)</v>
      </c>
      <c r="D475" s="15" t="str">
        <f>IFERROR(__xludf.DUMMYFUNCTION("""COMPUTED_VALUE"""),"Active")</f>
        <v>Active</v>
      </c>
      <c r="E475" s="17">
        <f>IFERROR(__xludf.DUMMYFUNCTION("""COMPUTED_VALUE"""),42922.0)</f>
        <v>42922</v>
      </c>
      <c r="F475" s="54"/>
      <c r="G475" s="19">
        <f>IFERROR(__xludf.DUMMYFUNCTION("""COMPUTED_VALUE"""),111.0)</f>
        <v>111</v>
      </c>
      <c r="H475" s="17">
        <f>IFERROR(__xludf.DUMMYFUNCTION("""COMPUTED_VALUE"""),41821.0)</f>
        <v>41821</v>
      </c>
      <c r="I475" s="19">
        <f>IFERROR(__xludf.DUMMYFUNCTION("""COMPUTED_VALUE"""),3.013888888888889)</f>
        <v>3.013888889</v>
      </c>
      <c r="J475" s="21">
        <f>IFERROR(__xludf.DUMMYFUNCTION("""COMPUTED_VALUE"""),44.0)</f>
        <v>44</v>
      </c>
      <c r="K475" s="23">
        <f>IFERROR(__xludf.DUMMYFUNCTION("""COMPUTED_VALUE"""),4.7)</f>
        <v>4.7</v>
      </c>
      <c r="L475" s="24"/>
      <c r="M475" s="25" t="str">
        <f>IFERROR(__xludf.DUMMYFUNCTION("""COMPUTED_VALUE"""),"Arcade")</f>
        <v>Arcade</v>
      </c>
      <c r="N475" s="25" t="str">
        <f>IFERROR(__xludf.DUMMYFUNCTION("""COMPUTED_VALUE"""),"Arcade")</f>
        <v>Arcade</v>
      </c>
      <c r="O475" s="26" t="str">
        <f>IFERROR(__xludf.DUMMYFUNCTION("""COMPUTED_VALUE"""),"Yes")</f>
        <v>Yes</v>
      </c>
      <c r="P475" s="26" t="str">
        <f>IFERROR(__xludf.DUMMYFUNCTION("""COMPUTED_VALUE"""),"Yes")</f>
        <v>Yes</v>
      </c>
    </row>
    <row r="476">
      <c r="A476" s="13" t="str">
        <f>IFERROR(__xludf.DUMMYFUNCTION("""COMPUTED_VALUE"""),"Warriors: Legends of Troy")</f>
        <v>Warriors: Legends of Troy</v>
      </c>
      <c r="B476" s="15" t="str">
        <f>IFERROR(__xludf.DUMMYFUNCTION("""COMPUTED_VALUE"""),"PS5/PS4")</f>
        <v>PS5/PS4</v>
      </c>
      <c r="C476" s="16" t="str">
        <f>IFERROR(__xludf.DUMMYFUNCTION("""COMPUTED_VALUE"""),"Premium (Streaming Only)")</f>
        <v>Premium (Streaming Only)</v>
      </c>
      <c r="D476" s="15" t="str">
        <f>IFERROR(__xludf.DUMMYFUNCTION("""COMPUTED_VALUE"""),"Active")</f>
        <v>Active</v>
      </c>
      <c r="E476" s="17">
        <f>IFERROR(__xludf.DUMMYFUNCTION("""COMPUTED_VALUE"""),42773.0)</f>
        <v>42773</v>
      </c>
      <c r="F476" s="54"/>
      <c r="G476" s="19">
        <f>IFERROR(__xludf.DUMMYFUNCTION("""COMPUTED_VALUE"""),115.96666666666667)</f>
        <v>115.9666667</v>
      </c>
      <c r="H476" s="17">
        <f>IFERROR(__xludf.DUMMYFUNCTION("""COMPUTED_VALUE"""),40603.0)</f>
        <v>40603</v>
      </c>
      <c r="I476" s="19">
        <f>IFERROR(__xludf.DUMMYFUNCTION("""COMPUTED_VALUE"""),5.933333333333334)</f>
        <v>5.933333333</v>
      </c>
      <c r="J476" s="21">
        <f>IFERROR(__xludf.DUMMYFUNCTION("""COMPUTED_VALUE"""),44.0)</f>
        <v>44</v>
      </c>
      <c r="K476" s="23">
        <f>IFERROR(__xludf.DUMMYFUNCTION("""COMPUTED_VALUE"""),6.5)</f>
        <v>6.5</v>
      </c>
      <c r="L476" s="24">
        <f>IFERROR(__xludf.DUMMYFUNCTION("""COMPUTED_VALUE"""),12.0)</f>
        <v>12</v>
      </c>
      <c r="M476" s="25" t="str">
        <f>IFERROR(__xludf.DUMMYFUNCTION("""COMPUTED_VALUE"""),"Action-Adventure")</f>
        <v>Action-Adventure</v>
      </c>
      <c r="N476" s="25" t="str">
        <f>IFERROR(__xludf.DUMMYFUNCTION("""COMPUTED_VALUE"""),"PS3")</f>
        <v>PS3</v>
      </c>
      <c r="O476" s="26" t="str">
        <f>IFERROR(__xludf.DUMMYFUNCTION("""COMPUTED_VALUE"""),"Yes")</f>
        <v>Yes</v>
      </c>
      <c r="P476" s="26" t="str">
        <f>IFERROR(__xludf.DUMMYFUNCTION("""COMPUTED_VALUE"""),"")</f>
        <v/>
      </c>
    </row>
    <row r="477">
      <c r="A477" s="13" t="str">
        <f>IFERROR(__xludf.DUMMYFUNCTION("""COMPUTED_VALUE"""),"Bellator MMA Onslaught")</f>
        <v>Bellator MMA Onslaught</v>
      </c>
      <c r="B477" s="15" t="str">
        <f>IFERROR(__xludf.DUMMYFUNCTION("""COMPUTED_VALUE"""),"PS5/PS4")</f>
        <v>PS5/PS4</v>
      </c>
      <c r="C477" s="16" t="str">
        <f>IFERROR(__xludf.DUMMYFUNCTION("""COMPUTED_VALUE"""),"Premium (Streaming Only)")</f>
        <v>Premium (Streaming Only)</v>
      </c>
      <c r="D477" s="15" t="str">
        <f>IFERROR(__xludf.DUMMYFUNCTION("""COMPUTED_VALUE"""),"Active")</f>
        <v>Active</v>
      </c>
      <c r="E477" s="17">
        <f>IFERROR(__xludf.DUMMYFUNCTION("""COMPUTED_VALUE"""),42556.0)</f>
        <v>42556</v>
      </c>
      <c r="F477" s="54"/>
      <c r="G477" s="19">
        <f>IFERROR(__xludf.DUMMYFUNCTION("""COMPUTED_VALUE"""),123.03333333333333)</f>
        <v>123.0333333</v>
      </c>
      <c r="H477" s="17">
        <f>IFERROR(__xludf.DUMMYFUNCTION("""COMPUTED_VALUE"""),41079.0)</f>
        <v>41079</v>
      </c>
      <c r="I477" s="19">
        <f>IFERROR(__xludf.DUMMYFUNCTION("""COMPUTED_VALUE"""),4.044444444444444)</f>
        <v>4.044444444</v>
      </c>
      <c r="J477" s="21">
        <f>IFERROR(__xludf.DUMMYFUNCTION("""COMPUTED_VALUE"""),44.0)</f>
        <v>44</v>
      </c>
      <c r="K477" s="23">
        <f>IFERROR(__xludf.DUMMYFUNCTION("""COMPUTED_VALUE"""),5.4)</f>
        <v>5.4</v>
      </c>
      <c r="L477" s="24"/>
      <c r="M477" s="25" t="str">
        <f>IFERROR(__xludf.DUMMYFUNCTION("""COMPUTED_VALUE"""),"Fighting")</f>
        <v>Fighting</v>
      </c>
      <c r="N477" s="25" t="str">
        <f>IFERROR(__xludf.DUMMYFUNCTION("""COMPUTED_VALUE"""),"PS3")</f>
        <v>PS3</v>
      </c>
      <c r="O477" s="26" t="str">
        <f>IFERROR(__xludf.DUMMYFUNCTION("""COMPUTED_VALUE"""),"Yes")</f>
        <v>Yes</v>
      </c>
      <c r="P477" s="26" t="str">
        <f>IFERROR(__xludf.DUMMYFUNCTION("""COMPUTED_VALUE"""),"")</f>
        <v/>
      </c>
    </row>
    <row r="478">
      <c r="A478" s="13" t="str">
        <f>IFERROR(__xludf.DUMMYFUNCTION("""COMPUTED_VALUE"""),"Ethan: Meteor Hunter")</f>
        <v>Ethan: Meteor Hunter</v>
      </c>
      <c r="B478" s="15" t="str">
        <f>IFERROR(__xludf.DUMMYFUNCTION("""COMPUTED_VALUE"""),"PS5/PS4")</f>
        <v>PS5/PS4</v>
      </c>
      <c r="C478" s="16" t="str">
        <f>IFERROR(__xludf.DUMMYFUNCTION("""COMPUTED_VALUE"""),"Premium (Streaming Only)")</f>
        <v>Premium (Streaming Only)</v>
      </c>
      <c r="D478" s="15" t="str">
        <f>IFERROR(__xludf.DUMMYFUNCTION("""COMPUTED_VALUE"""),"Active")</f>
        <v>Active</v>
      </c>
      <c r="E478" s="17">
        <f>IFERROR(__xludf.DUMMYFUNCTION("""COMPUTED_VALUE"""),42311.0)</f>
        <v>42311</v>
      </c>
      <c r="F478" s="54"/>
      <c r="G478" s="19">
        <f>IFERROR(__xludf.DUMMYFUNCTION("""COMPUTED_VALUE"""),131.10000000000002)</f>
        <v>131.1</v>
      </c>
      <c r="H478" s="17">
        <f>IFERROR(__xludf.DUMMYFUNCTION("""COMPUTED_VALUE"""),41548.0)</f>
        <v>41548</v>
      </c>
      <c r="I478" s="19">
        <f>IFERROR(__xludf.DUMMYFUNCTION("""COMPUTED_VALUE"""),2.088888888888889)</f>
        <v>2.088888889</v>
      </c>
      <c r="J478" s="21">
        <f>IFERROR(__xludf.DUMMYFUNCTION("""COMPUTED_VALUE"""),44.0)</f>
        <v>44</v>
      </c>
      <c r="K478" s="23">
        <f>IFERROR(__xludf.DUMMYFUNCTION("""COMPUTED_VALUE"""),6.6)</f>
        <v>6.6</v>
      </c>
      <c r="L478" s="24">
        <f>IFERROR(__xludf.DUMMYFUNCTION("""COMPUTED_VALUE"""),5.0)</f>
        <v>5</v>
      </c>
      <c r="M478" s="25" t="str">
        <f>IFERROR(__xludf.DUMMYFUNCTION("""COMPUTED_VALUE"""),"Platformer")</f>
        <v>Platformer</v>
      </c>
      <c r="N478" s="25" t="str">
        <f>IFERROR(__xludf.DUMMYFUNCTION("""COMPUTED_VALUE"""),"PS3")</f>
        <v>PS3</v>
      </c>
      <c r="O478" s="26" t="str">
        <f>IFERROR(__xludf.DUMMYFUNCTION("""COMPUTED_VALUE"""),"Yes")</f>
        <v>Yes</v>
      </c>
      <c r="P478" s="26" t="str">
        <f>IFERROR(__xludf.DUMMYFUNCTION("""COMPUTED_VALUE"""),"")</f>
        <v/>
      </c>
    </row>
    <row r="479">
      <c r="A479" s="13" t="str">
        <f>IFERROR(__xludf.DUMMYFUNCTION("""COMPUTED_VALUE"""),"Frogger Returns")</f>
        <v>Frogger Returns</v>
      </c>
      <c r="B479" s="15" t="str">
        <f>IFERROR(__xludf.DUMMYFUNCTION("""COMPUTED_VALUE"""),"PS5/PS4")</f>
        <v>PS5/PS4</v>
      </c>
      <c r="C479" s="16" t="str">
        <f>IFERROR(__xludf.DUMMYFUNCTION("""COMPUTED_VALUE"""),"Premium (Streaming Only)")</f>
        <v>Premium (Streaming Only)</v>
      </c>
      <c r="D479" s="15" t="str">
        <f>IFERROR(__xludf.DUMMYFUNCTION("""COMPUTED_VALUE"""),"Active")</f>
        <v>Active</v>
      </c>
      <c r="E479" s="17">
        <f>IFERROR(__xludf.DUMMYFUNCTION("""COMPUTED_VALUE"""),42311.0)</f>
        <v>42311</v>
      </c>
      <c r="F479" s="54"/>
      <c r="G479" s="19">
        <f>IFERROR(__xludf.DUMMYFUNCTION("""COMPUTED_VALUE"""),131.10000000000002)</f>
        <v>131.1</v>
      </c>
      <c r="H479" s="17">
        <f>IFERROR(__xludf.DUMMYFUNCTION("""COMPUTED_VALUE"""),40148.0)</f>
        <v>40148</v>
      </c>
      <c r="I479" s="19">
        <f>IFERROR(__xludf.DUMMYFUNCTION("""COMPUTED_VALUE"""),5.9222222222222225)</f>
        <v>5.922222222</v>
      </c>
      <c r="J479" s="21">
        <f>IFERROR(__xludf.DUMMYFUNCTION("""COMPUTED_VALUE"""),44.0)</f>
        <v>44</v>
      </c>
      <c r="K479" s="23">
        <f>IFERROR(__xludf.DUMMYFUNCTION("""COMPUTED_VALUE"""),4.4)</f>
        <v>4.4</v>
      </c>
      <c r="L479" s="24">
        <f>IFERROR(__xludf.DUMMYFUNCTION("""COMPUTED_VALUE"""),2.0)</f>
        <v>2</v>
      </c>
      <c r="M479" s="25" t="str">
        <f>IFERROR(__xludf.DUMMYFUNCTION("""COMPUTED_VALUE"""),"Arcade")</f>
        <v>Arcade</v>
      </c>
      <c r="N479" s="25" t="str">
        <f>IFERROR(__xludf.DUMMYFUNCTION("""COMPUTED_VALUE"""),"PS3")</f>
        <v>PS3</v>
      </c>
      <c r="O479" s="26" t="str">
        <f>IFERROR(__xludf.DUMMYFUNCTION("""COMPUTED_VALUE"""),"Yes")</f>
        <v>Yes</v>
      </c>
      <c r="P479" s="26" t="str">
        <f>IFERROR(__xludf.DUMMYFUNCTION("""COMPUTED_VALUE"""),"")</f>
        <v/>
      </c>
    </row>
    <row r="480">
      <c r="A480" s="13" t="str">
        <f>IFERROR(__xludf.DUMMYFUNCTION("""COMPUTED_VALUE"""),"Last Rebellion")</f>
        <v>Last Rebellion</v>
      </c>
      <c r="B480" s="15" t="str">
        <f>IFERROR(__xludf.DUMMYFUNCTION("""COMPUTED_VALUE"""),"PS5/PS4")</f>
        <v>PS5/PS4</v>
      </c>
      <c r="C480" s="16" t="str">
        <f>IFERROR(__xludf.DUMMYFUNCTION("""COMPUTED_VALUE"""),"Premium (Streaming Only)")</f>
        <v>Premium (Streaming Only)</v>
      </c>
      <c r="D480" s="15" t="str">
        <f>IFERROR(__xludf.DUMMYFUNCTION("""COMPUTED_VALUE"""),"Active")</f>
        <v>Active</v>
      </c>
      <c r="E480" s="17">
        <f>IFERROR(__xludf.DUMMYFUNCTION("""COMPUTED_VALUE"""),42017.0)</f>
        <v>42017</v>
      </c>
      <c r="F480" s="54"/>
      <c r="G480" s="19">
        <f>IFERROR(__xludf.DUMMYFUNCTION("""COMPUTED_VALUE"""),140.76666666666668)</f>
        <v>140.7666667</v>
      </c>
      <c r="H480" s="17">
        <f>IFERROR(__xludf.DUMMYFUNCTION("""COMPUTED_VALUE"""),40179.0)</f>
        <v>40179</v>
      </c>
      <c r="I480" s="19">
        <f>IFERROR(__xludf.DUMMYFUNCTION("""COMPUTED_VALUE"""),5.033333333333333)</f>
        <v>5.033333333</v>
      </c>
      <c r="J480" s="21">
        <f>IFERROR(__xludf.DUMMYFUNCTION("""COMPUTED_VALUE"""),44.0)</f>
        <v>44</v>
      </c>
      <c r="K480" s="23">
        <f>IFERROR(__xludf.DUMMYFUNCTION("""COMPUTED_VALUE"""),5.7)</f>
        <v>5.7</v>
      </c>
      <c r="L480" s="24">
        <f>IFERROR(__xludf.DUMMYFUNCTION("""COMPUTED_VALUE"""),17.0)</f>
        <v>17</v>
      </c>
      <c r="M480" s="25" t="str">
        <f>IFERROR(__xludf.DUMMYFUNCTION("""COMPUTED_VALUE"""),"RPG")</f>
        <v>RPG</v>
      </c>
      <c r="N480" s="25" t="str">
        <f>IFERROR(__xludf.DUMMYFUNCTION("""COMPUTED_VALUE"""),"PS3")</f>
        <v>PS3</v>
      </c>
      <c r="O480" s="26" t="str">
        <f>IFERROR(__xludf.DUMMYFUNCTION("""COMPUTED_VALUE"""),"Yes")</f>
        <v>Yes</v>
      </c>
      <c r="P480" s="26" t="str">
        <f>IFERROR(__xludf.DUMMYFUNCTION("""COMPUTED_VALUE"""),"")</f>
        <v/>
      </c>
    </row>
    <row r="481">
      <c r="A481" s="13" t="str">
        <f>IFERROR(__xludf.DUMMYFUNCTION("""COMPUTED_VALUE"""),"QUANTUM THEORY")</f>
        <v>QUANTUM THEORY</v>
      </c>
      <c r="B481" s="15" t="str">
        <f>IFERROR(__xludf.DUMMYFUNCTION("""COMPUTED_VALUE"""),"PS5/PS4")</f>
        <v>PS5/PS4</v>
      </c>
      <c r="C481" s="16" t="str">
        <f>IFERROR(__xludf.DUMMYFUNCTION("""COMPUTED_VALUE"""),"Premium (Streaming Only)")</f>
        <v>Premium (Streaming Only)</v>
      </c>
      <c r="D481" s="15" t="str">
        <f>IFERROR(__xludf.DUMMYFUNCTION("""COMPUTED_VALUE"""),"Active")</f>
        <v>Active</v>
      </c>
      <c r="E481" s="17">
        <f>IFERROR(__xludf.DUMMYFUNCTION("""COMPUTED_VALUE"""),42773.0)</f>
        <v>42773</v>
      </c>
      <c r="F481" s="54"/>
      <c r="G481" s="19">
        <f>IFERROR(__xludf.DUMMYFUNCTION("""COMPUTED_VALUE"""),115.96666666666667)</f>
        <v>115.9666667</v>
      </c>
      <c r="H481" s="17">
        <f>IFERROR(__xludf.DUMMYFUNCTION("""COMPUTED_VALUE"""),40422.0)</f>
        <v>40422</v>
      </c>
      <c r="I481" s="19">
        <f>IFERROR(__xludf.DUMMYFUNCTION("""COMPUTED_VALUE"""),6.433333333333334)</f>
        <v>6.433333333</v>
      </c>
      <c r="J481" s="21">
        <f>IFERROR(__xludf.DUMMYFUNCTION("""COMPUTED_VALUE"""),43.0)</f>
        <v>43</v>
      </c>
      <c r="K481" s="23">
        <f>IFERROR(__xludf.DUMMYFUNCTION("""COMPUTED_VALUE"""),5.5)</f>
        <v>5.5</v>
      </c>
      <c r="L481" s="24">
        <f>IFERROR(__xludf.DUMMYFUNCTION("""COMPUTED_VALUE"""),7.0)</f>
        <v>7</v>
      </c>
      <c r="M481" s="25" t="str">
        <f>IFERROR(__xludf.DUMMYFUNCTION("""COMPUTED_VALUE"""),"Shooter")</f>
        <v>Shooter</v>
      </c>
      <c r="N481" s="25" t="str">
        <f>IFERROR(__xludf.DUMMYFUNCTION("""COMPUTED_VALUE"""),"PS3")</f>
        <v>PS3</v>
      </c>
      <c r="O481" s="26" t="str">
        <f>IFERROR(__xludf.DUMMYFUNCTION("""COMPUTED_VALUE"""),"Yes")</f>
        <v>Yes</v>
      </c>
      <c r="P481" s="26" t="str">
        <f>IFERROR(__xludf.DUMMYFUNCTION("""COMPUTED_VALUE"""),"")</f>
        <v/>
      </c>
    </row>
    <row r="482">
      <c r="A482" s="13" t="str">
        <f>IFERROR(__xludf.DUMMYFUNCTION("""COMPUTED_VALUE"""),"YAIBA: NINJA GAIDEN Z")</f>
        <v>YAIBA: NINJA GAIDEN Z</v>
      </c>
      <c r="B482" s="15" t="str">
        <f>IFERROR(__xludf.DUMMYFUNCTION("""COMPUTED_VALUE"""),"PS5/PS4")</f>
        <v>PS5/PS4</v>
      </c>
      <c r="C482" s="16" t="str">
        <f>IFERROR(__xludf.DUMMYFUNCTION("""COMPUTED_VALUE"""),"Premium (Streaming Only)")</f>
        <v>Premium (Streaming Only)</v>
      </c>
      <c r="D482" s="15" t="str">
        <f>IFERROR(__xludf.DUMMYFUNCTION("""COMPUTED_VALUE"""),"Active")</f>
        <v>Active</v>
      </c>
      <c r="E482" s="17">
        <f>IFERROR(__xludf.DUMMYFUNCTION("""COMPUTED_VALUE"""),42773.0)</f>
        <v>42773</v>
      </c>
      <c r="F482" s="54"/>
      <c r="G482" s="19">
        <f>IFERROR(__xludf.DUMMYFUNCTION("""COMPUTED_VALUE"""),115.96666666666667)</f>
        <v>115.9666667</v>
      </c>
      <c r="H482" s="17">
        <f>IFERROR(__xludf.DUMMYFUNCTION("""COMPUTED_VALUE"""),41699.0)</f>
        <v>41699</v>
      </c>
      <c r="I482" s="19">
        <f>IFERROR(__xludf.DUMMYFUNCTION("""COMPUTED_VALUE"""),2.933333333333333)</f>
        <v>2.933333333</v>
      </c>
      <c r="J482" s="21">
        <f>IFERROR(__xludf.DUMMYFUNCTION("""COMPUTED_VALUE"""),43.0)</f>
        <v>43</v>
      </c>
      <c r="K482" s="23">
        <f>IFERROR(__xludf.DUMMYFUNCTION("""COMPUTED_VALUE"""),6.1)</f>
        <v>6.1</v>
      </c>
      <c r="L482" s="24">
        <f>IFERROR(__xludf.DUMMYFUNCTION("""COMPUTED_VALUE"""),8.0)</f>
        <v>8</v>
      </c>
      <c r="M482" s="25" t="str">
        <f>IFERROR(__xludf.DUMMYFUNCTION("""COMPUTED_VALUE"""),"Action-Adventure")</f>
        <v>Action-Adventure</v>
      </c>
      <c r="N482" s="25" t="str">
        <f>IFERROR(__xludf.DUMMYFUNCTION("""COMPUTED_VALUE"""),"PS3")</f>
        <v>PS3</v>
      </c>
      <c r="O482" s="26" t="str">
        <f>IFERROR(__xludf.DUMMYFUNCTION("""COMPUTED_VALUE"""),"Yes")</f>
        <v>Yes</v>
      </c>
      <c r="P482" s="26" t="str">
        <f>IFERROR(__xludf.DUMMYFUNCTION("""COMPUTED_VALUE"""),"")</f>
        <v/>
      </c>
    </row>
    <row r="483">
      <c r="A483" s="13" t="str">
        <f>IFERROR(__xludf.DUMMYFUNCTION("""COMPUTED_VALUE"""),"Enemy Front")</f>
        <v>Enemy Front</v>
      </c>
      <c r="B483" s="15" t="str">
        <f>IFERROR(__xludf.DUMMYFUNCTION("""COMPUTED_VALUE"""),"PS5/PS4")</f>
        <v>PS5/PS4</v>
      </c>
      <c r="C483" s="16" t="str">
        <f>IFERROR(__xludf.DUMMYFUNCTION("""COMPUTED_VALUE"""),"Premium (Streaming Only)")</f>
        <v>Premium (Streaming Only)</v>
      </c>
      <c r="D483" s="15" t="str">
        <f>IFERROR(__xludf.DUMMYFUNCTION("""COMPUTED_VALUE"""),"Active")</f>
        <v>Active</v>
      </c>
      <c r="E483" s="17">
        <f>IFERROR(__xludf.DUMMYFUNCTION("""COMPUTED_VALUE"""),42682.0)</f>
        <v>42682</v>
      </c>
      <c r="F483" s="54"/>
      <c r="G483" s="19">
        <f>IFERROR(__xludf.DUMMYFUNCTION("""COMPUTED_VALUE"""),118.93333333333334)</f>
        <v>118.9333333</v>
      </c>
      <c r="H483" s="17">
        <f>IFERROR(__xludf.DUMMYFUNCTION("""COMPUTED_VALUE"""),41791.0)</f>
        <v>41791</v>
      </c>
      <c r="I483" s="19">
        <f>IFERROR(__xludf.DUMMYFUNCTION("""COMPUTED_VALUE"""),2.436111111111111)</f>
        <v>2.436111111</v>
      </c>
      <c r="J483" s="21">
        <f>IFERROR(__xludf.DUMMYFUNCTION("""COMPUTED_VALUE"""),43.0)</f>
        <v>43</v>
      </c>
      <c r="K483" s="23">
        <f>IFERROR(__xludf.DUMMYFUNCTION("""COMPUTED_VALUE"""),5.7)</f>
        <v>5.7</v>
      </c>
      <c r="L483" s="24">
        <f>IFERROR(__xludf.DUMMYFUNCTION("""COMPUTED_VALUE"""),7.0)</f>
        <v>7</v>
      </c>
      <c r="M483" s="25" t="str">
        <f>IFERROR(__xludf.DUMMYFUNCTION("""COMPUTED_VALUE"""),"Shooter")</f>
        <v>Shooter</v>
      </c>
      <c r="N483" s="25" t="str">
        <f>IFERROR(__xludf.DUMMYFUNCTION("""COMPUTED_VALUE"""),"PS3")</f>
        <v>PS3</v>
      </c>
      <c r="O483" s="26" t="str">
        <f>IFERROR(__xludf.DUMMYFUNCTION("""COMPUTED_VALUE"""),"Yes")</f>
        <v>Yes</v>
      </c>
      <c r="P483" s="26" t="str">
        <f>IFERROR(__xludf.DUMMYFUNCTION("""COMPUTED_VALUE"""),"")</f>
        <v/>
      </c>
    </row>
    <row r="484">
      <c r="A484" s="13" t="str">
        <f>IFERROR(__xludf.DUMMYFUNCTION("""COMPUTED_VALUE"""),"XBLAZE Code: Embryo")</f>
        <v>XBLAZE Code: Embryo</v>
      </c>
      <c r="B484" s="15" t="str">
        <f>IFERROR(__xludf.DUMMYFUNCTION("""COMPUTED_VALUE"""),"PS5/PS4")</f>
        <v>PS5/PS4</v>
      </c>
      <c r="C484" s="16" t="str">
        <f>IFERROR(__xludf.DUMMYFUNCTION("""COMPUTED_VALUE"""),"Premium (Streaming Only)")</f>
        <v>Premium (Streaming Only)</v>
      </c>
      <c r="D484" s="15" t="str">
        <f>IFERROR(__xludf.DUMMYFUNCTION("""COMPUTED_VALUE"""),"Active")</f>
        <v>Active</v>
      </c>
      <c r="E484" s="17">
        <f>IFERROR(__xludf.DUMMYFUNCTION("""COMPUTED_VALUE"""),42374.0)</f>
        <v>42374</v>
      </c>
      <c r="F484" s="54"/>
      <c r="G484" s="19">
        <f>IFERROR(__xludf.DUMMYFUNCTION("""COMPUTED_VALUE"""),129.03333333333333)</f>
        <v>129.0333333</v>
      </c>
      <c r="H484" s="17">
        <f>IFERROR(__xludf.DUMMYFUNCTION("""COMPUTED_VALUE"""),41791.0)</f>
        <v>41791</v>
      </c>
      <c r="I484" s="19">
        <f>IFERROR(__xludf.DUMMYFUNCTION("""COMPUTED_VALUE"""),1.5944444444444446)</f>
        <v>1.594444444</v>
      </c>
      <c r="J484" s="21">
        <f>IFERROR(__xludf.DUMMYFUNCTION("""COMPUTED_VALUE"""),43.0)</f>
        <v>43</v>
      </c>
      <c r="K484" s="23">
        <f>IFERROR(__xludf.DUMMYFUNCTION("""COMPUTED_VALUE"""),6.7)</f>
        <v>6.7</v>
      </c>
      <c r="L484" s="24">
        <f>IFERROR(__xludf.DUMMYFUNCTION("""COMPUTED_VALUE"""),15.0)</f>
        <v>15</v>
      </c>
      <c r="M484" s="25" t="str">
        <f>IFERROR(__xludf.DUMMYFUNCTION("""COMPUTED_VALUE"""),"Visual Novel")</f>
        <v>Visual Novel</v>
      </c>
      <c r="N484" s="25" t="str">
        <f>IFERROR(__xludf.DUMMYFUNCTION("""COMPUTED_VALUE"""),"PS3")</f>
        <v>PS3</v>
      </c>
      <c r="O484" s="26" t="str">
        <f>IFERROR(__xludf.DUMMYFUNCTION("""COMPUTED_VALUE"""),"Yes")</f>
        <v>Yes</v>
      </c>
      <c r="P484" s="26" t="str">
        <f>IFERROR(__xludf.DUMMYFUNCTION("""COMPUTED_VALUE"""),"")</f>
        <v/>
      </c>
    </row>
    <row r="485">
      <c r="A485" s="13" t="str">
        <f>IFERROR(__xludf.DUMMYFUNCTION("""COMPUTED_VALUE"""),"Blood Knights")</f>
        <v>Blood Knights</v>
      </c>
      <c r="B485" s="15" t="str">
        <f>IFERROR(__xludf.DUMMYFUNCTION("""COMPUTED_VALUE"""),"PS5/PS4")</f>
        <v>PS5/PS4</v>
      </c>
      <c r="C485" s="16" t="str">
        <f>IFERROR(__xludf.DUMMYFUNCTION("""COMPUTED_VALUE"""),"Premium (Streaming Only)")</f>
        <v>Premium (Streaming Only)</v>
      </c>
      <c r="D485" s="15" t="str">
        <f>IFERROR(__xludf.DUMMYFUNCTION("""COMPUTED_VALUE"""),"Active")</f>
        <v>Active</v>
      </c>
      <c r="E485" s="17">
        <f>IFERROR(__xludf.DUMMYFUNCTION("""COMPUTED_VALUE"""),42017.0)</f>
        <v>42017</v>
      </c>
      <c r="F485" s="54"/>
      <c r="G485" s="19">
        <f>IFERROR(__xludf.DUMMYFUNCTION("""COMPUTED_VALUE"""),140.76666666666668)</f>
        <v>140.7666667</v>
      </c>
      <c r="H485" s="17">
        <f>IFERROR(__xludf.DUMMYFUNCTION("""COMPUTED_VALUE"""),41579.0)</f>
        <v>41579</v>
      </c>
      <c r="I485" s="19">
        <f>IFERROR(__xludf.DUMMYFUNCTION("""COMPUTED_VALUE"""),1.2)</f>
        <v>1.2</v>
      </c>
      <c r="J485" s="21">
        <f>IFERROR(__xludf.DUMMYFUNCTION("""COMPUTED_VALUE"""),43.0)</f>
        <v>43</v>
      </c>
      <c r="K485" s="23">
        <f>IFERROR(__xludf.DUMMYFUNCTION("""COMPUTED_VALUE"""),5.6)</f>
        <v>5.6</v>
      </c>
      <c r="L485" s="24">
        <f>IFERROR(__xludf.DUMMYFUNCTION("""COMPUTED_VALUE"""),5.0)</f>
        <v>5</v>
      </c>
      <c r="M485" s="25" t="str">
        <f>IFERROR(__xludf.DUMMYFUNCTION("""COMPUTED_VALUE"""),"Action-Adventure")</f>
        <v>Action-Adventure</v>
      </c>
      <c r="N485" s="25" t="str">
        <f>IFERROR(__xludf.DUMMYFUNCTION("""COMPUTED_VALUE"""),"PS3")</f>
        <v>PS3</v>
      </c>
      <c r="O485" s="26" t="str">
        <f>IFERROR(__xludf.DUMMYFUNCTION("""COMPUTED_VALUE"""),"Yes")</f>
        <v>Yes</v>
      </c>
      <c r="P485" s="26" t="str">
        <f>IFERROR(__xludf.DUMMYFUNCTION("""COMPUTED_VALUE"""),"Yes")</f>
        <v>Yes</v>
      </c>
    </row>
    <row r="486">
      <c r="A486" s="13" t="str">
        <f>IFERROR(__xludf.DUMMYFUNCTION("""COMPUTED_VALUE"""),"Ghostbusters: Sanctum of Slime")</f>
        <v>Ghostbusters: Sanctum of Slime</v>
      </c>
      <c r="B486" s="15" t="str">
        <f>IFERROR(__xludf.DUMMYFUNCTION("""COMPUTED_VALUE"""),"PS5/PS4")</f>
        <v>PS5/PS4</v>
      </c>
      <c r="C486" s="16" t="str">
        <f>IFERROR(__xludf.DUMMYFUNCTION("""COMPUTED_VALUE"""),"Premium (Streaming Only)")</f>
        <v>Premium (Streaming Only)</v>
      </c>
      <c r="D486" s="15" t="str">
        <f>IFERROR(__xludf.DUMMYFUNCTION("""COMPUTED_VALUE"""),"Active")</f>
        <v>Active</v>
      </c>
      <c r="E486" s="17">
        <f>IFERROR(__xludf.DUMMYFUNCTION("""COMPUTED_VALUE"""),42017.0)</f>
        <v>42017</v>
      </c>
      <c r="F486" s="54"/>
      <c r="G486" s="19">
        <f>IFERROR(__xludf.DUMMYFUNCTION("""COMPUTED_VALUE"""),140.76666666666668)</f>
        <v>140.7666667</v>
      </c>
      <c r="H486" s="17">
        <f>IFERROR(__xludf.DUMMYFUNCTION("""COMPUTED_VALUE"""),40603.0)</f>
        <v>40603</v>
      </c>
      <c r="I486" s="19">
        <f>IFERROR(__xludf.DUMMYFUNCTION("""COMPUTED_VALUE"""),3.8666666666666667)</f>
        <v>3.866666667</v>
      </c>
      <c r="J486" s="21">
        <f>IFERROR(__xludf.DUMMYFUNCTION("""COMPUTED_VALUE"""),42.0)</f>
        <v>42</v>
      </c>
      <c r="K486" s="23">
        <f>IFERROR(__xludf.DUMMYFUNCTION("""COMPUTED_VALUE"""),3.6)</f>
        <v>3.6</v>
      </c>
      <c r="L486" s="24">
        <f>IFERROR(__xludf.DUMMYFUNCTION("""COMPUTED_VALUE"""),4.0)</f>
        <v>4</v>
      </c>
      <c r="M486" s="25" t="str">
        <f>IFERROR(__xludf.DUMMYFUNCTION("""COMPUTED_VALUE"""),"Action-Adventure")</f>
        <v>Action-Adventure</v>
      </c>
      <c r="N486" s="25" t="str">
        <f>IFERROR(__xludf.DUMMYFUNCTION("""COMPUTED_VALUE"""),"PS3")</f>
        <v>PS3</v>
      </c>
      <c r="O486" s="26" t="str">
        <f>IFERROR(__xludf.DUMMYFUNCTION("""COMPUTED_VALUE"""),"Yes")</f>
        <v>Yes</v>
      </c>
      <c r="P486" s="26" t="str">
        <f>IFERROR(__xludf.DUMMYFUNCTION("""COMPUTED_VALUE"""),"")</f>
        <v/>
      </c>
    </row>
    <row r="487">
      <c r="A487" s="13" t="str">
        <f>IFERROR(__xludf.DUMMYFUNCTION("""COMPUTED_VALUE"""),"Escape Dead Island")</f>
        <v>Escape Dead Island</v>
      </c>
      <c r="B487" s="15" t="str">
        <f>IFERROR(__xludf.DUMMYFUNCTION("""COMPUTED_VALUE"""),"PS5/PS4")</f>
        <v>PS5/PS4</v>
      </c>
      <c r="C487" s="16" t="str">
        <f>IFERROR(__xludf.DUMMYFUNCTION("""COMPUTED_VALUE"""),"Premium (Streaming Only)")</f>
        <v>Premium (Streaming Only)</v>
      </c>
      <c r="D487" s="15" t="str">
        <f>IFERROR(__xludf.DUMMYFUNCTION("""COMPUTED_VALUE"""),"Active")</f>
        <v>Active</v>
      </c>
      <c r="E487" s="17">
        <f>IFERROR(__xludf.DUMMYFUNCTION("""COMPUTED_VALUE"""),42402.0)</f>
        <v>42402</v>
      </c>
      <c r="F487" s="54"/>
      <c r="G487" s="19">
        <f>IFERROR(__xludf.DUMMYFUNCTION("""COMPUTED_VALUE"""),128.13333333333333)</f>
        <v>128.1333333</v>
      </c>
      <c r="H487" s="17">
        <f>IFERROR(__xludf.DUMMYFUNCTION("""COMPUTED_VALUE"""),41944.0)</f>
        <v>41944</v>
      </c>
      <c r="I487" s="19">
        <f>IFERROR(__xludf.DUMMYFUNCTION("""COMPUTED_VALUE"""),1.2527777777777778)</f>
        <v>1.252777778</v>
      </c>
      <c r="J487" s="21">
        <f>IFERROR(__xludf.DUMMYFUNCTION("""COMPUTED_VALUE"""),40.0)</f>
        <v>40</v>
      </c>
      <c r="K487" s="23">
        <f>IFERROR(__xludf.DUMMYFUNCTION("""COMPUTED_VALUE"""),4.9)</f>
        <v>4.9</v>
      </c>
      <c r="L487" s="24">
        <f>IFERROR(__xludf.DUMMYFUNCTION("""COMPUTED_VALUE"""),8.0)</f>
        <v>8</v>
      </c>
      <c r="M487" s="25" t="str">
        <f>IFERROR(__xludf.DUMMYFUNCTION("""COMPUTED_VALUE"""),"Action-Adventure")</f>
        <v>Action-Adventure</v>
      </c>
      <c r="N487" s="25" t="str">
        <f>IFERROR(__xludf.DUMMYFUNCTION("""COMPUTED_VALUE"""),"PS3")</f>
        <v>PS3</v>
      </c>
      <c r="O487" s="26" t="str">
        <f>IFERROR(__xludf.DUMMYFUNCTION("""COMPUTED_VALUE"""),"Yes")</f>
        <v>Yes</v>
      </c>
      <c r="P487" s="26" t="str">
        <f>IFERROR(__xludf.DUMMYFUNCTION("""COMPUTED_VALUE"""),"")</f>
        <v/>
      </c>
    </row>
    <row r="488">
      <c r="A488" s="13" t="str">
        <f>IFERROR(__xludf.DUMMYFUNCTION("""COMPUTED_VALUE"""),"Class of Heroes 2G")</f>
        <v>Class of Heroes 2G</v>
      </c>
      <c r="B488" s="15" t="str">
        <f>IFERROR(__xludf.DUMMYFUNCTION("""COMPUTED_VALUE"""),"PS5/PS4")</f>
        <v>PS5/PS4</v>
      </c>
      <c r="C488" s="16" t="str">
        <f>IFERROR(__xludf.DUMMYFUNCTION("""COMPUTED_VALUE"""),"Premium (Streaming Only)")</f>
        <v>Premium (Streaming Only)</v>
      </c>
      <c r="D488" s="15" t="str">
        <f>IFERROR(__xludf.DUMMYFUNCTION("""COMPUTED_VALUE"""),"Active")</f>
        <v>Active</v>
      </c>
      <c r="E488" s="17">
        <f>IFERROR(__xludf.DUMMYFUNCTION("""COMPUTED_VALUE"""),42374.0)</f>
        <v>42374</v>
      </c>
      <c r="F488" s="54"/>
      <c r="G488" s="19">
        <f>IFERROR(__xludf.DUMMYFUNCTION("""COMPUTED_VALUE"""),129.03333333333333)</f>
        <v>129.0333333</v>
      </c>
      <c r="H488" s="17">
        <f>IFERROR(__xludf.DUMMYFUNCTION("""COMPUTED_VALUE"""),41974.0)</f>
        <v>41974</v>
      </c>
      <c r="I488" s="19">
        <f>IFERROR(__xludf.DUMMYFUNCTION("""COMPUTED_VALUE"""),1.0944444444444446)</f>
        <v>1.094444444</v>
      </c>
      <c r="J488" s="21">
        <f>IFERROR(__xludf.DUMMYFUNCTION("""COMPUTED_VALUE"""),40.0)</f>
        <v>40</v>
      </c>
      <c r="K488" s="23">
        <f>IFERROR(__xludf.DUMMYFUNCTION("""COMPUTED_VALUE"""),7.2)</f>
        <v>7.2</v>
      </c>
      <c r="L488" s="24">
        <f>IFERROR(__xludf.DUMMYFUNCTION("""COMPUTED_VALUE"""),45.0)</f>
        <v>45</v>
      </c>
      <c r="M488" s="25" t="str">
        <f>IFERROR(__xludf.DUMMYFUNCTION("""COMPUTED_VALUE"""),"RPG")</f>
        <v>RPG</v>
      </c>
      <c r="N488" s="25" t="str">
        <f>IFERROR(__xludf.DUMMYFUNCTION("""COMPUTED_VALUE"""),"PS3")</f>
        <v>PS3</v>
      </c>
      <c r="O488" s="26" t="str">
        <f>IFERROR(__xludf.DUMMYFUNCTION("""COMPUTED_VALUE"""),"Yes")</f>
        <v>Yes</v>
      </c>
      <c r="P488" s="26" t="str">
        <f>IFERROR(__xludf.DUMMYFUNCTION("""COMPUTED_VALUE"""),"Yes")</f>
        <v>Yes</v>
      </c>
    </row>
    <row r="489">
      <c r="A489" s="13" t="str">
        <f>IFERROR(__xludf.DUMMYFUNCTION("""COMPUTED_VALUE"""),"Heavy Fire: Afghanistan")</f>
        <v>Heavy Fire: Afghanistan</v>
      </c>
      <c r="B489" s="15" t="str">
        <f>IFERROR(__xludf.DUMMYFUNCTION("""COMPUTED_VALUE"""),"PS5/PS4")</f>
        <v>PS5/PS4</v>
      </c>
      <c r="C489" s="16" t="str">
        <f>IFERROR(__xludf.DUMMYFUNCTION("""COMPUTED_VALUE"""),"Premium (Streaming Only)")</f>
        <v>Premium (Streaming Only)</v>
      </c>
      <c r="D489" s="15" t="str">
        <f>IFERROR(__xludf.DUMMYFUNCTION("""COMPUTED_VALUE"""),"Active")</f>
        <v>Active</v>
      </c>
      <c r="E489" s="17">
        <f>IFERROR(__xludf.DUMMYFUNCTION("""COMPUTED_VALUE"""),42017.0)</f>
        <v>42017</v>
      </c>
      <c r="F489" s="54"/>
      <c r="G489" s="19">
        <f>IFERROR(__xludf.DUMMYFUNCTION("""COMPUTED_VALUE"""),140.76666666666668)</f>
        <v>140.7666667</v>
      </c>
      <c r="H489" s="17">
        <f>IFERROR(__xludf.DUMMYFUNCTION("""COMPUTED_VALUE"""),40848.0)</f>
        <v>40848</v>
      </c>
      <c r="I489" s="19">
        <f>IFERROR(__xludf.DUMMYFUNCTION("""COMPUTED_VALUE"""),3.2)</f>
        <v>3.2</v>
      </c>
      <c r="J489" s="21">
        <f>IFERROR(__xludf.DUMMYFUNCTION("""COMPUTED_VALUE"""),39.0)</f>
        <v>39</v>
      </c>
      <c r="K489" s="23">
        <f>IFERROR(__xludf.DUMMYFUNCTION("""COMPUTED_VALUE"""),3.8)</f>
        <v>3.8</v>
      </c>
      <c r="L489" s="24">
        <f>IFERROR(__xludf.DUMMYFUNCTION("""COMPUTED_VALUE"""),3.0)</f>
        <v>3</v>
      </c>
      <c r="M489" s="25" t="str">
        <f>IFERROR(__xludf.DUMMYFUNCTION("""COMPUTED_VALUE"""),"Shooter")</f>
        <v>Shooter</v>
      </c>
      <c r="N489" s="25" t="str">
        <f>IFERROR(__xludf.DUMMYFUNCTION("""COMPUTED_VALUE"""),"PS3")</f>
        <v>PS3</v>
      </c>
      <c r="O489" s="26" t="str">
        <f>IFERROR(__xludf.DUMMYFUNCTION("""COMPUTED_VALUE"""),"Yes")</f>
        <v>Yes</v>
      </c>
      <c r="P489" s="26" t="str">
        <f>IFERROR(__xludf.DUMMYFUNCTION("""COMPUTED_VALUE"""),"")</f>
        <v/>
      </c>
    </row>
    <row r="490">
      <c r="A490" s="13" t="str">
        <f>IFERROR(__xludf.DUMMYFUNCTION("""COMPUTED_VALUE"""),"Heavy Fire: Shattered Spear")</f>
        <v>Heavy Fire: Shattered Spear</v>
      </c>
      <c r="B490" s="15" t="str">
        <f>IFERROR(__xludf.DUMMYFUNCTION("""COMPUTED_VALUE"""),"PS5/PS4")</f>
        <v>PS5/PS4</v>
      </c>
      <c r="C490" s="16" t="str">
        <f>IFERROR(__xludf.DUMMYFUNCTION("""COMPUTED_VALUE"""),"Premium (Streaming Only)")</f>
        <v>Premium (Streaming Only)</v>
      </c>
      <c r="D490" s="15" t="str">
        <f>IFERROR(__xludf.DUMMYFUNCTION("""COMPUTED_VALUE"""),"Active")</f>
        <v>Active</v>
      </c>
      <c r="E490" s="17">
        <f>IFERROR(__xludf.DUMMYFUNCTION("""COMPUTED_VALUE"""),42017.0)</f>
        <v>42017</v>
      </c>
      <c r="F490" s="54"/>
      <c r="G490" s="19">
        <f>IFERROR(__xludf.DUMMYFUNCTION("""COMPUTED_VALUE"""),140.76666666666668)</f>
        <v>140.7666667</v>
      </c>
      <c r="H490" s="17">
        <f>IFERROR(__xludf.DUMMYFUNCTION("""COMPUTED_VALUE"""),41303.0)</f>
        <v>41303</v>
      </c>
      <c r="I490" s="19">
        <f>IFERROR(__xludf.DUMMYFUNCTION("""COMPUTED_VALUE"""),1.9555555555555555)</f>
        <v>1.955555556</v>
      </c>
      <c r="J490" s="21">
        <f>IFERROR(__xludf.DUMMYFUNCTION("""COMPUTED_VALUE"""),38.0)</f>
        <v>38</v>
      </c>
      <c r="K490" s="23">
        <f>IFERROR(__xludf.DUMMYFUNCTION("""COMPUTED_VALUE"""),4.8)</f>
        <v>4.8</v>
      </c>
      <c r="L490" s="24">
        <f>IFERROR(__xludf.DUMMYFUNCTION("""COMPUTED_VALUE"""),3.0)</f>
        <v>3</v>
      </c>
      <c r="M490" s="25" t="str">
        <f>IFERROR(__xludf.DUMMYFUNCTION("""COMPUTED_VALUE"""),"Shooter")</f>
        <v>Shooter</v>
      </c>
      <c r="N490" s="25" t="str">
        <f>IFERROR(__xludf.DUMMYFUNCTION("""COMPUTED_VALUE"""),"PS3")</f>
        <v>PS3</v>
      </c>
      <c r="O490" s="26" t="str">
        <f>IFERROR(__xludf.DUMMYFUNCTION("""COMPUTED_VALUE"""),"Yes")</f>
        <v>Yes</v>
      </c>
      <c r="P490" s="26" t="str">
        <f>IFERROR(__xludf.DUMMYFUNCTION("""COMPUTED_VALUE"""),"")</f>
        <v/>
      </c>
    </row>
    <row r="491">
      <c r="A491" s="13" t="str">
        <f>IFERROR(__xludf.DUMMYFUNCTION("""COMPUTED_VALUE"""),"Star Raiders")</f>
        <v>Star Raiders</v>
      </c>
      <c r="B491" s="15" t="str">
        <f>IFERROR(__xludf.DUMMYFUNCTION("""COMPUTED_VALUE"""),"PS5/PS4")</f>
        <v>PS5/PS4</v>
      </c>
      <c r="C491" s="16" t="str">
        <f>IFERROR(__xludf.DUMMYFUNCTION("""COMPUTED_VALUE"""),"Premium (Streaming Only)")</f>
        <v>Premium (Streaming Only)</v>
      </c>
      <c r="D491" s="15" t="str">
        <f>IFERROR(__xludf.DUMMYFUNCTION("""COMPUTED_VALUE"""),"Active")</f>
        <v>Active</v>
      </c>
      <c r="E491" s="17">
        <f>IFERROR(__xludf.DUMMYFUNCTION("""COMPUTED_VALUE"""),44725.0)</f>
        <v>44725</v>
      </c>
      <c r="F491" s="54"/>
      <c r="G491" s="19">
        <f>IFERROR(__xludf.DUMMYFUNCTION("""COMPUTED_VALUE"""),51.766666666666666)</f>
        <v>51.76666667</v>
      </c>
      <c r="H491" s="17">
        <f>IFERROR(__xludf.DUMMYFUNCTION("""COMPUTED_VALUE"""),40664.0)</f>
        <v>40664</v>
      </c>
      <c r="I491" s="19">
        <f>IFERROR(__xludf.DUMMYFUNCTION("""COMPUTED_VALUE"""),11.116666666666667)</f>
        <v>11.11666667</v>
      </c>
      <c r="J491" s="21">
        <f>IFERROR(__xludf.DUMMYFUNCTION("""COMPUTED_VALUE"""),35.0)</f>
        <v>35</v>
      </c>
      <c r="K491" s="23">
        <f>IFERROR(__xludf.DUMMYFUNCTION("""COMPUTED_VALUE"""),5.7)</f>
        <v>5.7</v>
      </c>
      <c r="L491" s="24">
        <f>IFERROR(__xludf.DUMMYFUNCTION("""COMPUTED_VALUE"""),5.0)</f>
        <v>5</v>
      </c>
      <c r="M491" s="25" t="str">
        <f>IFERROR(__xludf.DUMMYFUNCTION("""COMPUTED_VALUE"""),"Shooter")</f>
        <v>Shooter</v>
      </c>
      <c r="N491" s="25" t="str">
        <f>IFERROR(__xludf.DUMMYFUNCTION("""COMPUTED_VALUE"""),"PS3")</f>
        <v>PS3</v>
      </c>
      <c r="O491" s="26" t="str">
        <f>IFERROR(__xludf.DUMMYFUNCTION("""COMPUTED_VALUE"""),"Yes")</f>
        <v>Yes</v>
      </c>
      <c r="P491" s="26" t="str">
        <f>IFERROR(__xludf.DUMMYFUNCTION("""COMPUTED_VALUE"""),"")</f>
        <v/>
      </c>
    </row>
    <row r="492">
      <c r="A492" s="13" t="str">
        <f>IFERROR(__xludf.DUMMYFUNCTION("""COMPUTED_VALUE"""),"Disney/PIXAR Toy Story Mania!")</f>
        <v>Disney/PIXAR Toy Story Mania!</v>
      </c>
      <c r="B492" s="15" t="str">
        <f>IFERROR(__xludf.DUMMYFUNCTION("""COMPUTED_VALUE"""),"PS5/PS4")</f>
        <v>PS5/PS4</v>
      </c>
      <c r="C492" s="16" t="str">
        <f>IFERROR(__xludf.DUMMYFUNCTION("""COMPUTED_VALUE"""),"Premium (Streaming Only)")</f>
        <v>Premium (Streaming Only)</v>
      </c>
      <c r="D492" s="15" t="str">
        <f>IFERROR(__xludf.DUMMYFUNCTION("""COMPUTED_VALUE"""),"Active")</f>
        <v>Active</v>
      </c>
      <c r="E492" s="17">
        <f>IFERROR(__xludf.DUMMYFUNCTION("""COMPUTED_VALUE"""),42895.0)</f>
        <v>42895</v>
      </c>
      <c r="F492" s="54"/>
      <c r="G492" s="19">
        <f>IFERROR(__xludf.DUMMYFUNCTION("""COMPUTED_VALUE"""),111.89999999999999)</f>
        <v>111.9</v>
      </c>
      <c r="H492" s="17">
        <f>IFERROR(__xludf.DUMMYFUNCTION("""COMPUTED_VALUE"""),41913.0)</f>
        <v>41913</v>
      </c>
      <c r="I492" s="19">
        <f>IFERROR(__xludf.DUMMYFUNCTION("""COMPUTED_VALUE"""),2.688888888888889)</f>
        <v>2.688888889</v>
      </c>
      <c r="J492" s="21">
        <f>IFERROR(__xludf.DUMMYFUNCTION("""COMPUTED_VALUE"""),33.0)</f>
        <v>33</v>
      </c>
      <c r="K492" s="23">
        <f>IFERROR(__xludf.DUMMYFUNCTION("""COMPUTED_VALUE"""),6.7)</f>
        <v>6.7</v>
      </c>
      <c r="L492" s="24">
        <f>IFERROR(__xludf.DUMMYFUNCTION("""COMPUTED_VALUE"""),3.0)</f>
        <v>3</v>
      </c>
      <c r="M492" s="25" t="str">
        <f>IFERROR(__xludf.DUMMYFUNCTION("""COMPUTED_VALUE"""),"Party")</f>
        <v>Party</v>
      </c>
      <c r="N492" s="25" t="str">
        <f>IFERROR(__xludf.DUMMYFUNCTION("""COMPUTED_VALUE"""),"PS3")</f>
        <v>PS3</v>
      </c>
      <c r="O492" s="26" t="str">
        <f>IFERROR(__xludf.DUMMYFUNCTION("""COMPUTED_VALUE"""),"Yes")</f>
        <v>Yes</v>
      </c>
      <c r="P492" s="26" t="str">
        <f>IFERROR(__xludf.DUMMYFUNCTION("""COMPUTED_VALUE"""),"")</f>
        <v/>
      </c>
    </row>
    <row r="493">
      <c r="A493" s="13" t="str">
        <f>IFERROR(__xludf.DUMMYFUNCTION("""COMPUTED_VALUE"""),"Space Ace")</f>
        <v>Space Ace</v>
      </c>
      <c r="B493" s="15" t="str">
        <f>IFERROR(__xludf.DUMMYFUNCTION("""COMPUTED_VALUE"""),"PS5/PS4")</f>
        <v>PS5/PS4</v>
      </c>
      <c r="C493" s="16" t="str">
        <f>IFERROR(__xludf.DUMMYFUNCTION("""COMPUTED_VALUE"""),"Premium (Streaming Only)")</f>
        <v>Premium (Streaming Only)</v>
      </c>
      <c r="D493" s="15" t="str">
        <f>IFERROR(__xludf.DUMMYFUNCTION("""COMPUTED_VALUE"""),"Active")</f>
        <v>Active</v>
      </c>
      <c r="E493" s="17">
        <f>IFERROR(__xludf.DUMMYFUNCTION("""COMPUTED_VALUE"""),42311.0)</f>
        <v>42311</v>
      </c>
      <c r="F493" s="54"/>
      <c r="G493" s="19">
        <f>IFERROR(__xludf.DUMMYFUNCTION("""COMPUTED_VALUE"""),131.10000000000002)</f>
        <v>131.1</v>
      </c>
      <c r="H493" s="17">
        <f>IFERROR(__xludf.DUMMYFUNCTION("""COMPUTED_VALUE"""),41579.0)</f>
        <v>41579</v>
      </c>
      <c r="I493" s="19">
        <f>IFERROR(__xludf.DUMMYFUNCTION("""COMPUTED_VALUE"""),2.0055555555555555)</f>
        <v>2.005555556</v>
      </c>
      <c r="J493" s="21">
        <f>IFERROR(__xludf.DUMMYFUNCTION("""COMPUTED_VALUE"""),33.0)</f>
        <v>33</v>
      </c>
      <c r="K493" s="23"/>
      <c r="L493" s="24">
        <f>IFERROR(__xludf.DUMMYFUNCTION("""COMPUTED_VALUE"""),1.0)</f>
        <v>1</v>
      </c>
      <c r="M493" s="25" t="str">
        <f>IFERROR(__xludf.DUMMYFUNCTION("""COMPUTED_VALUE"""),"Adventure")</f>
        <v>Adventure</v>
      </c>
      <c r="N493" s="25" t="str">
        <f>IFERROR(__xludf.DUMMYFUNCTION("""COMPUTED_VALUE"""),"PS3")</f>
        <v>PS3</v>
      </c>
      <c r="O493" s="26" t="str">
        <f>IFERROR(__xludf.DUMMYFUNCTION("""COMPUTED_VALUE"""),"Yes")</f>
        <v>Yes</v>
      </c>
      <c r="P493" s="26" t="str">
        <f>IFERROR(__xludf.DUMMYFUNCTION("""COMPUTED_VALUE"""),"")</f>
        <v/>
      </c>
    </row>
    <row r="494">
      <c r="A494" s="13" t="str">
        <f>IFERROR(__xludf.DUMMYFUNCTION("""COMPUTED_VALUE"""),"Magus")</f>
        <v>Magus</v>
      </c>
      <c r="B494" s="15" t="str">
        <f>IFERROR(__xludf.DUMMYFUNCTION("""COMPUTED_VALUE"""),"PS5/PS4")</f>
        <v>PS5/PS4</v>
      </c>
      <c r="C494" s="16" t="str">
        <f>IFERROR(__xludf.DUMMYFUNCTION("""COMPUTED_VALUE"""),"Premium (Streaming Only)")</f>
        <v>Premium (Streaming Only)</v>
      </c>
      <c r="D494" s="15" t="str">
        <f>IFERROR(__xludf.DUMMYFUNCTION("""COMPUTED_VALUE"""),"Active")</f>
        <v>Active</v>
      </c>
      <c r="E494" s="17">
        <f>IFERROR(__xludf.DUMMYFUNCTION("""COMPUTED_VALUE"""),42374.0)</f>
        <v>42374</v>
      </c>
      <c r="F494" s="54"/>
      <c r="G494" s="19">
        <f>IFERROR(__xludf.DUMMYFUNCTION("""COMPUTED_VALUE"""),129.03333333333333)</f>
        <v>129.0333333</v>
      </c>
      <c r="H494" s="17">
        <f>IFERROR(__xludf.DUMMYFUNCTION("""COMPUTED_VALUE"""),41671.0)</f>
        <v>41671</v>
      </c>
      <c r="I494" s="19">
        <f>IFERROR(__xludf.DUMMYFUNCTION("""COMPUTED_VALUE"""),1.9277777777777778)</f>
        <v>1.927777778</v>
      </c>
      <c r="J494" s="21">
        <f>IFERROR(__xludf.DUMMYFUNCTION("""COMPUTED_VALUE"""),32.0)</f>
        <v>32</v>
      </c>
      <c r="K494" s="23">
        <f>IFERROR(__xludf.DUMMYFUNCTION("""COMPUTED_VALUE"""),4.0)</f>
        <v>4</v>
      </c>
      <c r="L494" s="24">
        <f>IFERROR(__xludf.DUMMYFUNCTION("""COMPUTED_VALUE"""),10.0)</f>
        <v>10</v>
      </c>
      <c r="M494" s="25" t="str">
        <f>IFERROR(__xludf.DUMMYFUNCTION("""COMPUTED_VALUE"""),"RPG")</f>
        <v>RPG</v>
      </c>
      <c r="N494" s="25" t="str">
        <f>IFERROR(__xludf.DUMMYFUNCTION("""COMPUTED_VALUE"""),"PS3")</f>
        <v>PS3</v>
      </c>
      <c r="O494" s="26" t="str">
        <f>IFERROR(__xludf.DUMMYFUNCTION("""COMPUTED_VALUE"""),"Yes")</f>
        <v>Yes</v>
      </c>
      <c r="P494" s="26" t="str">
        <f>IFERROR(__xludf.DUMMYFUNCTION("""COMPUTED_VALUE"""),"")</f>
        <v/>
      </c>
    </row>
    <row r="495">
      <c r="A495" s="13" t="str">
        <f>IFERROR(__xludf.DUMMYFUNCTION("""COMPUTED_VALUE"""),"Air Conflicts: Vietnam")</f>
        <v>Air Conflicts: Vietnam</v>
      </c>
      <c r="B495" s="15" t="str">
        <f>IFERROR(__xludf.DUMMYFUNCTION("""COMPUTED_VALUE"""),"PS5/PS4")</f>
        <v>PS5/PS4</v>
      </c>
      <c r="C495" s="16" t="str">
        <f>IFERROR(__xludf.DUMMYFUNCTION("""COMPUTED_VALUE"""),"Premium (Streaming Only)")</f>
        <v>Premium (Streaming Only)</v>
      </c>
      <c r="D495" s="15" t="str">
        <f>IFERROR(__xludf.DUMMYFUNCTION("""COMPUTED_VALUE"""),"Active")</f>
        <v>Active</v>
      </c>
      <c r="E495" s="17">
        <f>IFERROR(__xludf.DUMMYFUNCTION("""COMPUTED_VALUE"""),42528.0)</f>
        <v>42528</v>
      </c>
      <c r="F495" s="54"/>
      <c r="G495" s="19">
        <f>IFERROR(__xludf.DUMMYFUNCTION("""COMPUTED_VALUE"""),123.96666666666667)</f>
        <v>123.9666667</v>
      </c>
      <c r="H495" s="17">
        <f>IFERROR(__xludf.DUMMYFUNCTION("""COMPUTED_VALUE"""),41549.0)</f>
        <v>41549</v>
      </c>
      <c r="I495" s="19">
        <f>IFERROR(__xludf.DUMMYFUNCTION("""COMPUTED_VALUE"""),2.6805555555555554)</f>
        <v>2.680555556</v>
      </c>
      <c r="J495" s="21">
        <f>IFERROR(__xludf.DUMMYFUNCTION("""COMPUTED_VALUE"""),30.0)</f>
        <v>30</v>
      </c>
      <c r="K495" s="23">
        <f>IFERROR(__xludf.DUMMYFUNCTION("""COMPUTED_VALUE"""),4.8)</f>
        <v>4.8</v>
      </c>
      <c r="L495" s="24">
        <f>IFERROR(__xludf.DUMMYFUNCTION("""COMPUTED_VALUE"""),7.0)</f>
        <v>7</v>
      </c>
      <c r="M495" s="25" t="str">
        <f>IFERROR(__xludf.DUMMYFUNCTION("""COMPUTED_VALUE"""),"Shooter")</f>
        <v>Shooter</v>
      </c>
      <c r="N495" s="25" t="str">
        <f>IFERROR(__xludf.DUMMYFUNCTION("""COMPUTED_VALUE"""),"PS3")</f>
        <v>PS3</v>
      </c>
      <c r="O495" s="26" t="str">
        <f>IFERROR(__xludf.DUMMYFUNCTION("""COMPUTED_VALUE"""),"Yes")</f>
        <v>Yes</v>
      </c>
      <c r="P495" s="26" t="str">
        <f>IFERROR(__xludf.DUMMYFUNCTION("""COMPUTED_VALUE"""),"")</f>
        <v/>
      </c>
    </row>
    <row r="496">
      <c r="A496" s="13" t="str">
        <f>IFERROR(__xludf.DUMMYFUNCTION("""COMPUTED_VALUE"""),"Rogue Warrior")</f>
        <v>Rogue Warrior</v>
      </c>
      <c r="B496" s="15" t="str">
        <f>IFERROR(__xludf.DUMMYFUNCTION("""COMPUTED_VALUE"""),"PS5/PS4")</f>
        <v>PS5/PS4</v>
      </c>
      <c r="C496" s="16" t="str">
        <f>IFERROR(__xludf.DUMMYFUNCTION("""COMPUTED_VALUE"""),"Premium (Streaming Only)")</f>
        <v>Premium (Streaming Only)</v>
      </c>
      <c r="D496" s="15" t="str">
        <f>IFERROR(__xludf.DUMMYFUNCTION("""COMPUTED_VALUE"""),"Active")</f>
        <v>Active</v>
      </c>
      <c r="E496" s="17">
        <f>IFERROR(__xludf.DUMMYFUNCTION("""COMPUTED_VALUE"""),42311.0)</f>
        <v>42311</v>
      </c>
      <c r="F496" s="54"/>
      <c r="G496" s="19">
        <f>IFERROR(__xludf.DUMMYFUNCTION("""COMPUTED_VALUE"""),131.10000000000002)</f>
        <v>131.1</v>
      </c>
      <c r="H496" s="17">
        <f>IFERROR(__xludf.DUMMYFUNCTION("""COMPUTED_VALUE"""),40148.0)</f>
        <v>40148</v>
      </c>
      <c r="I496" s="19">
        <f>IFERROR(__xludf.DUMMYFUNCTION("""COMPUTED_VALUE"""),5.9222222222222225)</f>
        <v>5.922222222</v>
      </c>
      <c r="J496" s="21">
        <f>IFERROR(__xludf.DUMMYFUNCTION("""COMPUTED_VALUE"""),27.0)</f>
        <v>27</v>
      </c>
      <c r="K496" s="23">
        <f>IFERROR(__xludf.DUMMYFUNCTION("""COMPUTED_VALUE"""),4.0)</f>
        <v>4</v>
      </c>
      <c r="L496" s="24">
        <f>IFERROR(__xludf.DUMMYFUNCTION("""COMPUTED_VALUE"""),3.0)</f>
        <v>3</v>
      </c>
      <c r="M496" s="25" t="str">
        <f>IFERROR(__xludf.DUMMYFUNCTION("""COMPUTED_VALUE"""),"Shooter")</f>
        <v>Shooter</v>
      </c>
      <c r="N496" s="25" t="str">
        <f>IFERROR(__xludf.DUMMYFUNCTION("""COMPUTED_VALUE"""),"PS3")</f>
        <v>PS3</v>
      </c>
      <c r="O496" s="26" t="str">
        <f>IFERROR(__xludf.DUMMYFUNCTION("""COMPUTED_VALUE"""),"Yes")</f>
        <v>Yes</v>
      </c>
      <c r="P496" s="26" t="str">
        <f>IFERROR(__xludf.DUMMYFUNCTION("""COMPUTED_VALUE"""),"")</f>
        <v/>
      </c>
    </row>
    <row r="497">
      <c r="A497" s="13" t="str">
        <f>IFERROR(__xludf.DUMMYFUNCTION("""COMPUTED_VALUE"""),"Go! Sports Ski")</f>
        <v>Go! Sports Ski</v>
      </c>
      <c r="B497" s="15" t="str">
        <f>IFERROR(__xludf.DUMMYFUNCTION("""COMPUTED_VALUE"""),"PS5/PS4")</f>
        <v>PS5/PS4</v>
      </c>
      <c r="C497" s="16" t="str">
        <f>IFERROR(__xludf.DUMMYFUNCTION("""COMPUTED_VALUE"""),"Premium (Streaming Only)")</f>
        <v>Premium (Streaming Only)</v>
      </c>
      <c r="D497" s="15" t="str">
        <f>IFERROR(__xludf.DUMMYFUNCTION("""COMPUTED_VALUE"""),"Active")</f>
        <v>Active</v>
      </c>
      <c r="E497" s="17">
        <f>IFERROR(__xludf.DUMMYFUNCTION("""COMPUTED_VALUE"""),42682.0)</f>
        <v>42682</v>
      </c>
      <c r="F497" s="54"/>
      <c r="G497" s="19">
        <f>IFERROR(__xludf.DUMMYFUNCTION("""COMPUTED_VALUE"""),118.93333333333334)</f>
        <v>118.9333333</v>
      </c>
      <c r="H497" s="17">
        <f>IFERROR(__xludf.DUMMYFUNCTION("""COMPUTED_VALUE"""),39356.0)</f>
        <v>39356</v>
      </c>
      <c r="I497" s="19">
        <f>IFERROR(__xludf.DUMMYFUNCTION("""COMPUTED_VALUE"""),9.102777777777778)</f>
        <v>9.102777778</v>
      </c>
      <c r="J497" s="21">
        <f>IFERROR(__xludf.DUMMYFUNCTION("""COMPUTED_VALUE"""),25.0)</f>
        <v>25</v>
      </c>
      <c r="K497" s="23">
        <f>IFERROR(__xludf.DUMMYFUNCTION("""COMPUTED_VALUE"""),6.7)</f>
        <v>6.7</v>
      </c>
      <c r="L497" s="24">
        <f>IFERROR(__xludf.DUMMYFUNCTION("""COMPUTED_VALUE"""),3.0)</f>
        <v>3</v>
      </c>
      <c r="M497" s="25" t="str">
        <f>IFERROR(__xludf.DUMMYFUNCTION("""COMPUTED_VALUE"""),"Sports")</f>
        <v>Sports</v>
      </c>
      <c r="N497" s="25" t="str">
        <f>IFERROR(__xludf.DUMMYFUNCTION("""COMPUTED_VALUE"""),"PS3")</f>
        <v>PS3</v>
      </c>
      <c r="O497" s="26" t="str">
        <f>IFERROR(__xludf.DUMMYFUNCTION("""COMPUTED_VALUE"""),"Yes")</f>
        <v>Yes</v>
      </c>
      <c r="P497" s="26" t="str">
        <f>IFERROR(__xludf.DUMMYFUNCTION("""COMPUTED_VALUE"""),"")</f>
        <v/>
      </c>
    </row>
    <row r="498">
      <c r="A498" s="13" t="str">
        <f>IFERROR(__xludf.DUMMYFUNCTION("""COMPUTED_VALUE"""),"Twisted Metal 4")</f>
        <v>Twisted Metal 4</v>
      </c>
      <c r="B498" s="15" t="str">
        <f>IFERROR(__xludf.DUMMYFUNCTION("""COMPUTED_VALUE"""),"PS5/PS4")</f>
        <v>PS5/PS4</v>
      </c>
      <c r="C498" s="16" t="str">
        <f>IFERROR(__xludf.DUMMYFUNCTION("""COMPUTED_VALUE"""),"Premium (Classics)")</f>
        <v>Premium (Classics)</v>
      </c>
      <c r="D498" s="15" t="str">
        <f>IFERROR(__xludf.DUMMYFUNCTION("""COMPUTED_VALUE"""),"Active")</f>
        <v>Active</v>
      </c>
      <c r="E498" s="17">
        <f>IFERROR(__xludf.DUMMYFUNCTION("""COMPUTED_VALUE"""),45853.0)</f>
        <v>45853</v>
      </c>
      <c r="F498" s="54"/>
      <c r="G498" s="19">
        <f>IFERROR(__xludf.DUMMYFUNCTION("""COMPUTED_VALUE"""),14.700000000000001)</f>
        <v>14.7</v>
      </c>
      <c r="H498" s="17">
        <f>IFERROR(__xludf.DUMMYFUNCTION("""COMPUTED_VALUE"""),36479.0)</f>
        <v>36479</v>
      </c>
      <c r="I498" s="19">
        <f>IFERROR(__xludf.DUMMYFUNCTION("""COMPUTED_VALUE"""),25.666666666666668)</f>
        <v>25.66666667</v>
      </c>
      <c r="J498" s="21">
        <f>IFERROR(__xludf.DUMMYFUNCTION("""COMPUTED_VALUE"""),8.0)</f>
        <v>8</v>
      </c>
      <c r="K498" s="23">
        <f>IFERROR(__xludf.DUMMYFUNCTION("""COMPUTED_VALUE"""),7.1)</f>
        <v>7.1</v>
      </c>
      <c r="L498" s="24">
        <f>IFERROR(__xludf.DUMMYFUNCTION("""COMPUTED_VALUE"""),4.0)</f>
        <v>4</v>
      </c>
      <c r="M498" s="25" t="str">
        <f>IFERROR(__xludf.DUMMYFUNCTION("""COMPUTED_VALUE"""),"Simulation")</f>
        <v>Simulation</v>
      </c>
      <c r="N498" s="25" t="str">
        <f>IFERROR(__xludf.DUMMYFUNCTION("""COMPUTED_VALUE"""),"PS1")</f>
        <v>PS1</v>
      </c>
      <c r="O498" s="26"/>
      <c r="P498" s="26"/>
    </row>
    <row r="499">
      <c r="A499" s="13" t="str">
        <f>IFERROR(__xludf.DUMMYFUNCTION("""COMPUTED_VALUE"""),"Twisted Metal III")</f>
        <v>Twisted Metal III</v>
      </c>
      <c r="B499" s="15" t="str">
        <f>IFERROR(__xludf.DUMMYFUNCTION("""COMPUTED_VALUE"""),"PS5/PS4")</f>
        <v>PS5/PS4</v>
      </c>
      <c r="C499" s="16" t="str">
        <f>IFERROR(__xludf.DUMMYFUNCTION("""COMPUTED_VALUE"""),"Premium (Classics)")</f>
        <v>Premium (Classics)</v>
      </c>
      <c r="D499" s="15" t="str">
        <f>IFERROR(__xludf.DUMMYFUNCTION("""COMPUTED_VALUE"""),"Active")</f>
        <v>Active</v>
      </c>
      <c r="E499" s="17">
        <f>IFERROR(__xludf.DUMMYFUNCTION("""COMPUTED_VALUE"""),45853.0)</f>
        <v>45853</v>
      </c>
      <c r="F499" s="54"/>
      <c r="G499" s="19">
        <f>IFERROR(__xludf.DUMMYFUNCTION("""COMPUTED_VALUE"""),14.700000000000001)</f>
        <v>14.7</v>
      </c>
      <c r="H499" s="17">
        <f>IFERROR(__xludf.DUMMYFUNCTION("""COMPUTED_VALUE"""),36109.0)</f>
        <v>36109</v>
      </c>
      <c r="I499" s="19">
        <f>IFERROR(__xludf.DUMMYFUNCTION("""COMPUTED_VALUE"""),26.680555555555557)</f>
        <v>26.68055556</v>
      </c>
      <c r="J499" s="21"/>
      <c r="K499" s="23">
        <f>IFERROR(__xludf.DUMMYFUNCTION("""COMPUTED_VALUE"""),6.1)</f>
        <v>6.1</v>
      </c>
      <c r="L499" s="24">
        <f>IFERROR(__xludf.DUMMYFUNCTION("""COMPUTED_VALUE"""),4.0)</f>
        <v>4</v>
      </c>
      <c r="M499" s="25" t="str">
        <f>IFERROR(__xludf.DUMMYFUNCTION("""COMPUTED_VALUE"""),"Driving")</f>
        <v>Driving</v>
      </c>
      <c r="N499" s="25" t="str">
        <f>IFERROR(__xludf.DUMMYFUNCTION("""COMPUTED_VALUE"""),"PS1")</f>
        <v>PS1</v>
      </c>
      <c r="O499" s="26"/>
      <c r="P499" s="26"/>
    </row>
    <row r="500">
      <c r="A500" s="13" t="str">
        <f>IFERROR(__xludf.DUMMYFUNCTION("""COMPUTED_VALUE"""),"Jet Moto")</f>
        <v>Jet Moto</v>
      </c>
      <c r="B500" s="15" t="str">
        <f>IFERROR(__xludf.DUMMYFUNCTION("""COMPUTED_VALUE"""),"PS5/PS4")</f>
        <v>PS5/PS4</v>
      </c>
      <c r="C500" s="16" t="str">
        <f>IFERROR(__xludf.DUMMYFUNCTION("""COMPUTED_VALUE"""),"Premium (Classics)")</f>
        <v>Premium (Classics)</v>
      </c>
      <c r="D500" s="15" t="str">
        <f>IFERROR(__xludf.DUMMYFUNCTION("""COMPUTED_VALUE"""),"Active")</f>
        <v>Active</v>
      </c>
      <c r="E500" s="17">
        <f>IFERROR(__xludf.DUMMYFUNCTION("""COMPUTED_VALUE"""),45251.0)</f>
        <v>45251</v>
      </c>
      <c r="F500" s="54"/>
      <c r="G500" s="19">
        <f>IFERROR(__xludf.DUMMYFUNCTION("""COMPUTED_VALUE"""),34.5)</f>
        <v>34.5</v>
      </c>
      <c r="H500" s="17">
        <f>IFERROR(__xludf.DUMMYFUNCTION("""COMPUTED_VALUE"""),35764.0)</f>
        <v>35764</v>
      </c>
      <c r="I500" s="19">
        <f>IFERROR(__xludf.DUMMYFUNCTION("""COMPUTED_VALUE"""),25.975)</f>
        <v>25.975</v>
      </c>
      <c r="J500" s="21"/>
      <c r="K500" s="23">
        <f>IFERROR(__xludf.DUMMYFUNCTION("""COMPUTED_VALUE"""),7.6)</f>
        <v>7.6</v>
      </c>
      <c r="L500" s="24">
        <f>IFERROR(__xludf.DUMMYFUNCTION("""COMPUTED_VALUE"""),6.0)</f>
        <v>6</v>
      </c>
      <c r="M500" s="25" t="str">
        <f>IFERROR(__xludf.DUMMYFUNCTION("""COMPUTED_VALUE"""),"Racing")</f>
        <v>Racing</v>
      </c>
      <c r="N500" s="25" t="str">
        <f>IFERROR(__xludf.DUMMYFUNCTION("""COMPUTED_VALUE"""),"PS1")</f>
        <v>PS1</v>
      </c>
      <c r="O500" s="26" t="str">
        <f>IFERROR(__xludf.DUMMYFUNCTION("""COMPUTED_VALUE"""),"Yes")</f>
        <v>Yes</v>
      </c>
      <c r="P500" s="26"/>
    </row>
    <row r="501">
      <c r="A501" s="13" t="str">
        <f>IFERROR(__xludf.DUMMYFUNCTION("""COMPUTED_VALUE"""),"IQ Final")</f>
        <v>IQ Final</v>
      </c>
      <c r="B501" s="15" t="str">
        <f>IFERROR(__xludf.DUMMYFUNCTION("""COMPUTED_VALUE"""),"PS5/PS4")</f>
        <v>PS5/PS4</v>
      </c>
      <c r="C501" s="16" t="str">
        <f>IFERROR(__xludf.DUMMYFUNCTION("""COMPUTED_VALUE"""),"Premium (Classics)")</f>
        <v>Premium (Classics)</v>
      </c>
      <c r="D501" s="15" t="str">
        <f>IFERROR(__xludf.DUMMYFUNCTION("""COMPUTED_VALUE"""),"Active")</f>
        <v>Active</v>
      </c>
      <c r="E501" s="17">
        <f>IFERROR(__xludf.DUMMYFUNCTION("""COMPUTED_VALUE"""),45216.0)</f>
        <v>45216</v>
      </c>
      <c r="F501" s="54"/>
      <c r="G501" s="19">
        <f>IFERROR(__xludf.DUMMYFUNCTION("""COMPUTED_VALUE"""),35.63333333333333)</f>
        <v>35.63333333</v>
      </c>
      <c r="H501" s="17">
        <f>IFERROR(__xludf.DUMMYFUNCTION("""COMPUTED_VALUE"""),36152.0)</f>
        <v>36152</v>
      </c>
      <c r="I501" s="19">
        <f>IFERROR(__xludf.DUMMYFUNCTION("""COMPUTED_VALUE"""),24.816666666666666)</f>
        <v>24.81666667</v>
      </c>
      <c r="J501" s="21"/>
      <c r="K501" s="23"/>
      <c r="L501" s="24">
        <f>IFERROR(__xludf.DUMMYFUNCTION("""COMPUTED_VALUE"""),2.0)</f>
        <v>2</v>
      </c>
      <c r="M501" s="25" t="str">
        <f>IFERROR(__xludf.DUMMYFUNCTION("""COMPUTED_VALUE"""),"Puzzle")</f>
        <v>Puzzle</v>
      </c>
      <c r="N501" s="25" t="str">
        <f>IFERROR(__xludf.DUMMYFUNCTION("""COMPUTED_VALUE"""),"PSP")</f>
        <v>PSP</v>
      </c>
      <c r="O501" s="26" t="str">
        <f>IFERROR(__xludf.DUMMYFUNCTION("""COMPUTED_VALUE"""),"No")</f>
        <v>No</v>
      </c>
      <c r="P501" s="26"/>
    </row>
    <row r="502">
      <c r="A502" s="13" t="str">
        <f>IFERROR(__xludf.DUMMYFUNCTION("""COMPUTED_VALUE"""),"SAMURAI WARRIORS 2: Empires - HD Version")</f>
        <v>SAMURAI WARRIORS 2: Empires - HD Version</v>
      </c>
      <c r="B502" s="15" t="str">
        <f>IFERROR(__xludf.DUMMYFUNCTION("""COMPUTED_VALUE"""),"PS5/PS4")</f>
        <v>PS5/PS4</v>
      </c>
      <c r="C502" s="16" t="str">
        <f>IFERROR(__xludf.DUMMYFUNCTION("""COMPUTED_VALUE"""),"Premium (Streaming Only)")</f>
        <v>Premium (Streaming Only)</v>
      </c>
      <c r="D502" s="15" t="str">
        <f>IFERROR(__xludf.DUMMYFUNCTION("""COMPUTED_VALUE"""),"Active")</f>
        <v>Active</v>
      </c>
      <c r="E502" s="17">
        <f>IFERROR(__xludf.DUMMYFUNCTION("""COMPUTED_VALUE"""),42773.0)</f>
        <v>42773</v>
      </c>
      <c r="F502" s="54"/>
      <c r="G502" s="19">
        <f>IFERROR(__xludf.DUMMYFUNCTION("""COMPUTED_VALUE"""),115.96666666666667)</f>
        <v>115.9666667</v>
      </c>
      <c r="H502" s="17">
        <f>IFERROR(__xludf.DUMMYFUNCTION("""COMPUTED_VALUE"""),42059.0)</f>
        <v>42059</v>
      </c>
      <c r="I502" s="19">
        <f>IFERROR(__xludf.DUMMYFUNCTION("""COMPUTED_VALUE"""),1.9527777777777777)</f>
        <v>1.952777778</v>
      </c>
      <c r="J502" s="21"/>
      <c r="K502" s="23"/>
      <c r="L502" s="24">
        <f>IFERROR(__xludf.DUMMYFUNCTION("""COMPUTED_VALUE"""),20.0)</f>
        <v>20</v>
      </c>
      <c r="M502" s="25" t="str">
        <f>IFERROR(__xludf.DUMMYFUNCTION("""COMPUTED_VALUE"""),"Action-Adventure")</f>
        <v>Action-Adventure</v>
      </c>
      <c r="N502" s="25" t="str">
        <f>IFERROR(__xludf.DUMMYFUNCTION("""COMPUTED_VALUE"""),"PS3")</f>
        <v>PS3</v>
      </c>
      <c r="O502" s="26" t="str">
        <f>IFERROR(__xludf.DUMMYFUNCTION("""COMPUTED_VALUE"""),"Yes")</f>
        <v>Yes</v>
      </c>
      <c r="P502" s="26" t="str">
        <f>IFERROR(__xludf.DUMMYFUNCTION("""COMPUTED_VALUE"""),"")</f>
        <v/>
      </c>
    </row>
    <row r="503">
      <c r="A503" s="13" t="str">
        <f>IFERROR(__xludf.DUMMYFUNCTION("""COMPUTED_VALUE"""),"SAMURAI WARRIORS 3: Empires")</f>
        <v>SAMURAI WARRIORS 3: Empires</v>
      </c>
      <c r="B503" s="15" t="str">
        <f>IFERROR(__xludf.DUMMYFUNCTION("""COMPUTED_VALUE"""),"PS5/PS4")</f>
        <v>PS5/PS4</v>
      </c>
      <c r="C503" s="16" t="str">
        <f>IFERROR(__xludf.DUMMYFUNCTION("""COMPUTED_VALUE"""),"Premium (Streaming Only)")</f>
        <v>Premium (Streaming Only)</v>
      </c>
      <c r="D503" s="15" t="str">
        <f>IFERROR(__xludf.DUMMYFUNCTION("""COMPUTED_VALUE"""),"Active")</f>
        <v>Active</v>
      </c>
      <c r="E503" s="17">
        <f>IFERROR(__xludf.DUMMYFUNCTION("""COMPUTED_VALUE"""),42773.0)</f>
        <v>42773</v>
      </c>
      <c r="F503" s="54"/>
      <c r="G503" s="19">
        <f>IFERROR(__xludf.DUMMYFUNCTION("""COMPUTED_VALUE"""),115.96666666666667)</f>
        <v>115.9666667</v>
      </c>
      <c r="H503" s="17">
        <f>IFERROR(__xludf.DUMMYFUNCTION("""COMPUTED_VALUE"""),42045.0)</f>
        <v>42045</v>
      </c>
      <c r="I503" s="19">
        <f>IFERROR(__xludf.DUMMYFUNCTION("""COMPUTED_VALUE"""),1.9916666666666667)</f>
        <v>1.991666667</v>
      </c>
      <c r="J503" s="21"/>
      <c r="K503" s="23"/>
      <c r="L503" s="24">
        <f>IFERROR(__xludf.DUMMYFUNCTION("""COMPUTED_VALUE"""),25.0)</f>
        <v>25</v>
      </c>
      <c r="M503" s="25" t="str">
        <f>IFERROR(__xludf.DUMMYFUNCTION("""COMPUTED_VALUE"""),"Action-Adventure")</f>
        <v>Action-Adventure</v>
      </c>
      <c r="N503" s="25" t="str">
        <f>IFERROR(__xludf.DUMMYFUNCTION("""COMPUTED_VALUE"""),"PS3")</f>
        <v>PS3</v>
      </c>
      <c r="O503" s="26" t="str">
        <f>IFERROR(__xludf.DUMMYFUNCTION("""COMPUTED_VALUE"""),"Yes")</f>
        <v>Yes</v>
      </c>
      <c r="P503" s="26" t="str">
        <f>IFERROR(__xludf.DUMMYFUNCTION("""COMPUTED_VALUE"""),"")</f>
        <v/>
      </c>
    </row>
    <row r="504">
      <c r="A504" s="13" t="str">
        <f>IFERROR(__xludf.DUMMYFUNCTION("""COMPUTED_VALUE"""),"BATTLE OF TILES EX")</f>
        <v>BATTLE OF TILES EX</v>
      </c>
      <c r="B504" s="15" t="str">
        <f>IFERROR(__xludf.DUMMYFUNCTION("""COMPUTED_VALUE"""),"PS5/PS4")</f>
        <v>PS5/PS4</v>
      </c>
      <c r="C504" s="16" t="str">
        <f>IFERROR(__xludf.DUMMYFUNCTION("""COMPUTED_VALUE"""),"Premium (Streaming Only)")</f>
        <v>Premium (Streaming Only)</v>
      </c>
      <c r="D504" s="15" t="str">
        <f>IFERROR(__xludf.DUMMYFUNCTION("""COMPUTED_VALUE"""),"Active")</f>
        <v>Active</v>
      </c>
      <c r="E504" s="17">
        <f>IFERROR(__xludf.DUMMYFUNCTION("""COMPUTED_VALUE"""),42528.0)</f>
        <v>42528</v>
      </c>
      <c r="F504" s="54"/>
      <c r="G504" s="19">
        <f>IFERROR(__xludf.DUMMYFUNCTION("""COMPUTED_VALUE"""),123.96666666666667)</f>
        <v>123.9666667</v>
      </c>
      <c r="H504" s="17">
        <f>IFERROR(__xludf.DUMMYFUNCTION("""COMPUTED_VALUE"""),41486.0)</f>
        <v>41486</v>
      </c>
      <c r="I504" s="19">
        <f>IFERROR(__xludf.DUMMYFUNCTION("""COMPUTED_VALUE"""),2.852777777777778)</f>
        <v>2.852777778</v>
      </c>
      <c r="J504" s="21"/>
      <c r="K504" s="23">
        <f>IFERROR(__xludf.DUMMYFUNCTION("""COMPUTED_VALUE"""),6.7)</f>
        <v>6.7</v>
      </c>
      <c r="L504" s="24"/>
      <c r="M504" s="25" t="str">
        <f>IFERROR(__xludf.DUMMYFUNCTION("""COMPUTED_VALUE"""),"Strategy")</f>
        <v>Strategy</v>
      </c>
      <c r="N504" s="25" t="str">
        <f>IFERROR(__xludf.DUMMYFUNCTION("""COMPUTED_VALUE"""),"PS3")</f>
        <v>PS3</v>
      </c>
      <c r="O504" s="26" t="str">
        <f>IFERROR(__xludf.DUMMYFUNCTION("""COMPUTED_VALUE"""),"Yes")</f>
        <v>Yes</v>
      </c>
      <c r="P504" s="26" t="str">
        <f>IFERROR(__xludf.DUMMYFUNCTION("""COMPUTED_VALUE"""),"")</f>
        <v/>
      </c>
    </row>
    <row r="505">
      <c r="A505" s="13" t="str">
        <f>IFERROR(__xludf.DUMMYFUNCTION("""COMPUTED_VALUE"""),"Prismatic Solid")</f>
        <v>Prismatic Solid</v>
      </c>
      <c r="B505" s="15" t="str">
        <f>IFERROR(__xludf.DUMMYFUNCTION("""COMPUTED_VALUE"""),"PS5/PS4")</f>
        <v>PS5/PS4</v>
      </c>
      <c r="C505" s="16" t="str">
        <f>IFERROR(__xludf.DUMMYFUNCTION("""COMPUTED_VALUE"""),"Premium (Streaming Only)")</f>
        <v>Premium (Streaming Only)</v>
      </c>
      <c r="D505" s="15" t="str">
        <f>IFERROR(__xludf.DUMMYFUNCTION("""COMPUTED_VALUE"""),"Active")</f>
        <v>Active</v>
      </c>
      <c r="E505" s="17">
        <f>IFERROR(__xludf.DUMMYFUNCTION("""COMPUTED_VALUE"""),42374.0)</f>
        <v>42374</v>
      </c>
      <c r="F505" s="54"/>
      <c r="G505" s="19">
        <f>IFERROR(__xludf.DUMMYFUNCTION("""COMPUTED_VALUE"""),129.03333333333333)</f>
        <v>129.0333333</v>
      </c>
      <c r="H505" s="17">
        <f>IFERROR(__xludf.DUMMYFUNCTION("""COMPUTED_VALUE"""),40891.0)</f>
        <v>40891</v>
      </c>
      <c r="I505" s="19">
        <f>IFERROR(__xludf.DUMMYFUNCTION("""COMPUTED_VALUE"""),4.058333333333334)</f>
        <v>4.058333333</v>
      </c>
      <c r="J505" s="21"/>
      <c r="K505" s="23">
        <f>IFERROR(__xludf.DUMMYFUNCTION("""COMPUTED_VALUE"""),4.8)</f>
        <v>4.8</v>
      </c>
      <c r="L505" s="24">
        <f>IFERROR(__xludf.DUMMYFUNCTION("""COMPUTED_VALUE"""),1.0)</f>
        <v>1</v>
      </c>
      <c r="M505" s="25" t="str">
        <f>IFERROR(__xludf.DUMMYFUNCTION("""COMPUTED_VALUE"""),"Shooter")</f>
        <v>Shooter</v>
      </c>
      <c r="N505" s="25" t="str">
        <f>IFERROR(__xludf.DUMMYFUNCTION("""COMPUTED_VALUE"""),"PS3")</f>
        <v>PS3</v>
      </c>
      <c r="O505" s="26" t="str">
        <f>IFERROR(__xludf.DUMMYFUNCTION("""COMPUTED_VALUE"""),"Yes")</f>
        <v>Yes</v>
      </c>
      <c r="P505" s="26" t="str">
        <f>IFERROR(__xludf.DUMMYFUNCTION("""COMPUTED_VALUE"""),"")</f>
        <v/>
      </c>
    </row>
    <row r="506">
      <c r="A506" s="13" t="str">
        <f>IFERROR(__xludf.DUMMYFUNCTION("""COMPUTED_VALUE"""),"Spelunker Collection")</f>
        <v>Spelunker Collection</v>
      </c>
      <c r="B506" s="15" t="str">
        <f>IFERROR(__xludf.DUMMYFUNCTION("""COMPUTED_VALUE"""),"PS5/PS4")</f>
        <v>PS5/PS4</v>
      </c>
      <c r="C506" s="16" t="str">
        <f>IFERROR(__xludf.DUMMYFUNCTION("""COMPUTED_VALUE"""),"Premium (Streaming Only)")</f>
        <v>Premium (Streaming Only)</v>
      </c>
      <c r="D506" s="15" t="str">
        <f>IFERROR(__xludf.DUMMYFUNCTION("""COMPUTED_VALUE"""),"Active")</f>
        <v>Active</v>
      </c>
      <c r="E506" s="17">
        <f>IFERROR(__xludf.DUMMYFUNCTION("""COMPUTED_VALUE"""),42374.0)</f>
        <v>42374</v>
      </c>
      <c r="F506" s="54"/>
      <c r="G506" s="19">
        <f>IFERROR(__xludf.DUMMYFUNCTION("""COMPUTED_VALUE"""),129.03333333333333)</f>
        <v>129.0333333</v>
      </c>
      <c r="H506" s="17">
        <f>IFERROR(__xludf.DUMMYFUNCTION("""COMPUTED_VALUE"""),41485.0)</f>
        <v>41485</v>
      </c>
      <c r="I506" s="19">
        <f>IFERROR(__xludf.DUMMYFUNCTION("""COMPUTED_VALUE"""),2.4305555555555554)</f>
        <v>2.430555556</v>
      </c>
      <c r="J506" s="21"/>
      <c r="K506" s="23"/>
      <c r="L506" s="24">
        <f>IFERROR(__xludf.DUMMYFUNCTION("""COMPUTED_VALUE"""),5.0)</f>
        <v>5</v>
      </c>
      <c r="M506" s="25" t="str">
        <f>IFERROR(__xludf.DUMMYFUNCTION("""COMPUTED_VALUE"""),"Platformer")</f>
        <v>Platformer</v>
      </c>
      <c r="N506" s="25" t="str">
        <f>IFERROR(__xludf.DUMMYFUNCTION("""COMPUTED_VALUE"""),"PS3")</f>
        <v>PS3</v>
      </c>
      <c r="O506" s="26" t="str">
        <f>IFERROR(__xludf.DUMMYFUNCTION("""COMPUTED_VALUE"""),"Yes")</f>
        <v>Yes</v>
      </c>
      <c r="P506" s="26" t="str">
        <f>IFERROR(__xludf.DUMMYFUNCTION("""COMPUTED_VALUE"""),"")</f>
        <v/>
      </c>
    </row>
    <row r="507">
      <c r="A507" s="13" t="str">
        <f>IFERROR(__xludf.DUMMYFUNCTION("""COMPUTED_VALUE"""),"CAPCOM ARCADE CABINET: ALL-IN-ONE PACK")</f>
        <v>CAPCOM ARCADE CABINET: ALL-IN-ONE PACK</v>
      </c>
      <c r="B507" s="15" t="str">
        <f>IFERROR(__xludf.DUMMYFUNCTION("""COMPUTED_VALUE"""),"PS5/PS4")</f>
        <v>PS5/PS4</v>
      </c>
      <c r="C507" s="16" t="str">
        <f>IFERROR(__xludf.DUMMYFUNCTION("""COMPUTED_VALUE"""),"Premium (Streaming Only)")</f>
        <v>Premium (Streaming Only)</v>
      </c>
      <c r="D507" s="15" t="str">
        <f>IFERROR(__xludf.DUMMYFUNCTION("""COMPUTED_VALUE"""),"Active")</f>
        <v>Active</v>
      </c>
      <c r="E507" s="17">
        <f>IFERROR(__xludf.DUMMYFUNCTION("""COMPUTED_VALUE"""),42311.0)</f>
        <v>42311</v>
      </c>
      <c r="F507" s="54"/>
      <c r="G507" s="19">
        <f>IFERROR(__xludf.DUMMYFUNCTION("""COMPUTED_VALUE"""),131.10000000000002)</f>
        <v>131.1</v>
      </c>
      <c r="H507" s="17">
        <f>IFERROR(__xludf.DUMMYFUNCTION("""COMPUTED_VALUE"""),41324.0)</f>
        <v>41324</v>
      </c>
      <c r="I507" s="19">
        <f>IFERROR(__xludf.DUMMYFUNCTION("""COMPUTED_VALUE"""),2.7055555555555557)</f>
        <v>2.705555556</v>
      </c>
      <c r="J507" s="21"/>
      <c r="K507" s="23"/>
      <c r="L507" s="24"/>
      <c r="M507" s="25" t="str">
        <f>IFERROR(__xludf.DUMMYFUNCTION("""COMPUTED_VALUE"""),"Compilation")</f>
        <v>Compilation</v>
      </c>
      <c r="N507" s="25" t="str">
        <f>IFERROR(__xludf.DUMMYFUNCTION("""COMPUTED_VALUE"""),"PS3")</f>
        <v>PS3</v>
      </c>
      <c r="O507" s="26" t="str">
        <f>IFERROR(__xludf.DUMMYFUNCTION("""COMPUTED_VALUE"""),"Yes")</f>
        <v>Yes</v>
      </c>
      <c r="P507" s="26" t="str">
        <f>IFERROR(__xludf.DUMMYFUNCTION("""COMPUTED_VALUE"""),"")</f>
        <v/>
      </c>
    </row>
    <row r="508">
      <c r="A508" s="13" t="str">
        <f>IFERROR(__xludf.DUMMYFUNCTION("""COMPUTED_VALUE"""),"Comet Crash: Bionic Bundle")</f>
        <v>Comet Crash: Bionic Bundle</v>
      </c>
      <c r="B508" s="15" t="str">
        <f>IFERROR(__xludf.DUMMYFUNCTION("""COMPUTED_VALUE"""),"PS5/PS4")</f>
        <v>PS5/PS4</v>
      </c>
      <c r="C508" s="16" t="str">
        <f>IFERROR(__xludf.DUMMYFUNCTION("""COMPUTED_VALUE"""),"Premium (Streaming Only)")</f>
        <v>Premium (Streaming Only)</v>
      </c>
      <c r="D508" s="15" t="str">
        <f>IFERROR(__xludf.DUMMYFUNCTION("""COMPUTED_VALUE"""),"Active")</f>
        <v>Active</v>
      </c>
      <c r="E508" s="17">
        <f>IFERROR(__xludf.DUMMYFUNCTION("""COMPUTED_VALUE"""),42311.0)</f>
        <v>42311</v>
      </c>
      <c r="F508" s="54"/>
      <c r="G508" s="19">
        <f>IFERROR(__xludf.DUMMYFUNCTION("""COMPUTED_VALUE"""),131.10000000000002)</f>
        <v>131.1</v>
      </c>
      <c r="H508" s="17">
        <f>IFERROR(__xludf.DUMMYFUNCTION("""COMPUTED_VALUE"""),41492.0)</f>
        <v>41492</v>
      </c>
      <c r="I508" s="19">
        <f>IFERROR(__xludf.DUMMYFUNCTION("""COMPUTED_VALUE"""),2.2416666666666667)</f>
        <v>2.241666667</v>
      </c>
      <c r="J508" s="21"/>
      <c r="K508" s="23"/>
      <c r="L508" s="24"/>
      <c r="M508" s="25" t="str">
        <f>IFERROR(__xludf.DUMMYFUNCTION("""COMPUTED_VALUE"""),"Strategy")</f>
        <v>Strategy</v>
      </c>
      <c r="N508" s="25" t="str">
        <f>IFERROR(__xludf.DUMMYFUNCTION("""COMPUTED_VALUE"""),"PS3")</f>
        <v>PS3</v>
      </c>
      <c r="O508" s="26" t="str">
        <f>IFERROR(__xludf.DUMMYFUNCTION("""COMPUTED_VALUE"""),"Yes")</f>
        <v>Yes</v>
      </c>
      <c r="P508" s="26" t="str">
        <f>IFERROR(__xludf.DUMMYFUNCTION("""COMPUTED_VALUE"""),"Yes")</f>
        <v>Yes</v>
      </c>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17.71"/>
    <col customWidth="1" min="13" max="13" width="15.71"/>
    <col customWidth="1" min="14" max="16" width="16.43"/>
  </cols>
  <sheetData>
    <row r="1">
      <c r="A1" s="1" t="s">
        <v>0</v>
      </c>
      <c r="B1" s="2">
        <f>COUNTIF(D2:D779,"Active")+COUNTIF(D2:D779,"Leaving Soon")</f>
        <v>13</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List'!B2:B779, ""VR""), NOT(REGEXMATCH('Master List'!D2:D779, ""Removed"")) ), 3, false)"),"WipEout: Omega Collection")</f>
        <v>WipEout: Omega Collection</v>
      </c>
      <c r="B3" s="15" t="str">
        <f>IFERROR(__xludf.DUMMYFUNCTION("""COMPUTED_VALUE"""),"PS4/PSVR")</f>
        <v>PS4/PSVR</v>
      </c>
      <c r="C3" s="16" t="str">
        <f>IFERROR(__xludf.DUMMYFUNCTION("""COMPUTED_VALUE"""),"Premium (Remasters)")</f>
        <v>Premium (Remasters)</v>
      </c>
      <c r="D3" s="15" t="str">
        <f>IFERROR(__xludf.DUMMYFUNCTION("""COMPUTED_VALUE"""),"Active")</f>
        <v>Active</v>
      </c>
      <c r="E3" s="17">
        <f>IFERROR(__xludf.DUMMYFUNCTION("""COMPUTED_VALUE"""),43683.0)</f>
        <v>43683</v>
      </c>
      <c r="F3" s="18"/>
      <c r="G3" s="19">
        <f>IFERROR(__xludf.DUMMYFUNCTION("""COMPUTED_VALUE"""),86.0)</f>
        <v>86</v>
      </c>
      <c r="H3" s="17">
        <f>IFERROR(__xludf.DUMMYFUNCTION("""COMPUTED_VALUE"""),41365.0)</f>
        <v>41365</v>
      </c>
      <c r="I3" s="19">
        <f>IFERROR(__xludf.DUMMYFUNCTION("""COMPUTED_VALUE"""),6.347222222222222)</f>
        <v>6.347222222</v>
      </c>
      <c r="J3" s="21">
        <f>IFERROR(__xludf.DUMMYFUNCTION("""COMPUTED_VALUE"""),85.0)</f>
        <v>85</v>
      </c>
      <c r="K3" s="23">
        <f>IFERROR(__xludf.DUMMYFUNCTION("""COMPUTED_VALUE"""),8.2)</f>
        <v>8.2</v>
      </c>
      <c r="L3" s="24">
        <f>IFERROR(__xludf.DUMMYFUNCTION("""COMPUTED_VALUE"""),8.0)</f>
        <v>8</v>
      </c>
      <c r="M3" s="25" t="str">
        <f>IFERROR(__xludf.DUMMYFUNCTION("""COMPUTED_VALUE"""),"Racing")</f>
        <v>Racing</v>
      </c>
      <c r="N3" s="25" t="str">
        <f>IFERROR(__xludf.DUMMYFUNCTION("""COMPUTED_VALUE"""),"PS3")</f>
        <v>PS3</v>
      </c>
      <c r="O3" s="26" t="str">
        <f>IFERROR(__xludf.DUMMYFUNCTION("""COMPUTED_VALUE"""),"No")</f>
        <v>No</v>
      </c>
      <c r="P3" s="26" t="str">
        <f>IFERROR(__xludf.DUMMYFUNCTION("""COMPUTED_VALUE"""),"Yes")</f>
        <v>Yes</v>
      </c>
    </row>
    <row r="4">
      <c r="A4" s="35" t="str">
        <f>IFERROR(__xludf.DUMMYFUNCTION("""COMPUTED_VALUE"""),"Space Junkies")</f>
        <v>Space Junkies</v>
      </c>
      <c r="B4" s="15" t="str">
        <f>IFERROR(__xludf.DUMMYFUNCTION("""COMPUTED_VALUE"""),"PS4/PSVR")</f>
        <v>PS4/PSVR</v>
      </c>
      <c r="C4" s="16" t="str">
        <f>IFERROR(__xludf.DUMMYFUNCTION("""COMPUTED_VALUE"""),"Extra (Ubisoft+ Classics)")</f>
        <v>Extra (Ubisoft+ Classics)</v>
      </c>
      <c r="D4" s="15" t="str">
        <f>IFERROR(__xludf.DUMMYFUNCTION("""COMPUTED_VALUE"""),"Active")</f>
        <v>Active</v>
      </c>
      <c r="E4" s="17">
        <f>IFERROR(__xludf.DUMMYFUNCTION("""COMPUTED_VALUE"""),44725.0)</f>
        <v>44725</v>
      </c>
      <c r="F4" s="18"/>
      <c r="G4" s="19">
        <f>IFERROR(__xludf.DUMMYFUNCTION("""COMPUTED_VALUE"""),51.766666666666666)</f>
        <v>51.76666667</v>
      </c>
      <c r="H4" s="17">
        <f>IFERROR(__xludf.DUMMYFUNCTION("""COMPUTED_VALUE"""),43557.0)</f>
        <v>43557</v>
      </c>
      <c r="I4" s="19">
        <f>IFERROR(__xludf.DUMMYFUNCTION("""COMPUTED_VALUE"""),3.1972222222222224)</f>
        <v>3.197222222</v>
      </c>
      <c r="J4" s="21">
        <f>IFERROR(__xludf.DUMMYFUNCTION("""COMPUTED_VALUE"""),66.0)</f>
        <v>66</v>
      </c>
      <c r="K4" s="23">
        <f>IFERROR(__xludf.DUMMYFUNCTION("""COMPUTED_VALUE"""),6.5)</f>
        <v>6.5</v>
      </c>
      <c r="L4" s="24"/>
      <c r="M4" s="25" t="str">
        <f>IFERROR(__xludf.DUMMYFUNCTION("""COMPUTED_VALUE"""),"Shooter")</f>
        <v>Shooter</v>
      </c>
      <c r="N4" s="25"/>
      <c r="O4" s="26" t="str">
        <f>IFERROR(__xludf.DUMMYFUNCTION("""COMPUTED_VALUE"""),"No")</f>
        <v>No</v>
      </c>
      <c r="P4" s="26"/>
    </row>
    <row r="5">
      <c r="A5" s="13" t="str">
        <f>IFERROR(__xludf.DUMMYFUNCTION("""COMPUTED_VALUE"""),"Transference")</f>
        <v>Transference</v>
      </c>
      <c r="B5" s="15" t="str">
        <f>IFERROR(__xludf.DUMMYFUNCTION("""COMPUTED_VALUE"""),"PS4/PSVR")</f>
        <v>PS4/PSVR</v>
      </c>
      <c r="C5" s="16" t="str">
        <f>IFERROR(__xludf.DUMMYFUNCTION("""COMPUTED_VALUE"""),"Extra (Ubisoft+ Classics)")</f>
        <v>Extra (Ubisoft+ Classics)</v>
      </c>
      <c r="D5" s="15" t="str">
        <f>IFERROR(__xludf.DUMMYFUNCTION("""COMPUTED_VALUE"""),"Active")</f>
        <v>Active</v>
      </c>
      <c r="E5" s="17">
        <f>IFERROR(__xludf.DUMMYFUNCTION("""COMPUTED_VALUE"""),44725.0)</f>
        <v>44725</v>
      </c>
      <c r="F5" s="18"/>
      <c r="G5" s="19">
        <f>IFERROR(__xludf.DUMMYFUNCTION("""COMPUTED_VALUE"""),51.766666666666666)</f>
        <v>51.76666667</v>
      </c>
      <c r="H5" s="17">
        <f>IFERROR(__xludf.DUMMYFUNCTION("""COMPUTED_VALUE"""),43361.0)</f>
        <v>43361</v>
      </c>
      <c r="I5" s="19">
        <f>IFERROR(__xludf.DUMMYFUNCTION("""COMPUTED_VALUE"""),3.736111111111111)</f>
        <v>3.736111111</v>
      </c>
      <c r="J5" s="21">
        <f>IFERROR(__xludf.DUMMYFUNCTION("""COMPUTED_VALUE"""),69.0)</f>
        <v>69</v>
      </c>
      <c r="K5" s="23">
        <f>IFERROR(__xludf.DUMMYFUNCTION("""COMPUTED_VALUE"""),7.0)</f>
        <v>7</v>
      </c>
      <c r="L5" s="24">
        <f>IFERROR(__xludf.DUMMYFUNCTION("""COMPUTED_VALUE"""),4.0)</f>
        <v>4</v>
      </c>
      <c r="M5" s="25" t="str">
        <f>IFERROR(__xludf.DUMMYFUNCTION("""COMPUTED_VALUE"""),"Horror")</f>
        <v>Horror</v>
      </c>
      <c r="N5" s="25"/>
      <c r="O5" s="26" t="str">
        <f>IFERROR(__xludf.DUMMYFUNCTION("""COMPUTED_VALUE"""),"No")</f>
        <v>No</v>
      </c>
      <c r="P5" s="26"/>
    </row>
    <row r="6">
      <c r="A6" s="13" t="str">
        <f>IFERROR(__xludf.DUMMYFUNCTION("""COMPUTED_VALUE"""),"Eagle Flight")</f>
        <v>Eagle Flight</v>
      </c>
      <c r="B6" s="15" t="str">
        <f>IFERROR(__xludf.DUMMYFUNCTION("""COMPUTED_VALUE"""),"PS4/PSVR")</f>
        <v>PS4/PSVR</v>
      </c>
      <c r="C6" s="16" t="str">
        <f>IFERROR(__xludf.DUMMYFUNCTION("""COMPUTED_VALUE"""),"Extra (Ubisoft+ Classics)")</f>
        <v>Extra (Ubisoft+ Classics)</v>
      </c>
      <c r="D6" s="15" t="str">
        <f>IFERROR(__xludf.DUMMYFUNCTION("""COMPUTED_VALUE"""),"Active")</f>
        <v>Active</v>
      </c>
      <c r="E6" s="17">
        <f>IFERROR(__xludf.DUMMYFUNCTION("""COMPUTED_VALUE"""),44725.0)</f>
        <v>44725</v>
      </c>
      <c r="F6" s="18"/>
      <c r="G6" s="19">
        <f>IFERROR(__xludf.DUMMYFUNCTION("""COMPUTED_VALUE"""),51.766666666666666)</f>
        <v>51.76666667</v>
      </c>
      <c r="H6" s="17">
        <f>IFERROR(__xludf.DUMMYFUNCTION("""COMPUTED_VALUE"""),42682.0)</f>
        <v>42682</v>
      </c>
      <c r="I6" s="19">
        <f>IFERROR(__xludf.DUMMYFUNCTION("""COMPUTED_VALUE"""),5.597222222222222)</f>
        <v>5.597222222</v>
      </c>
      <c r="J6" s="21">
        <f>IFERROR(__xludf.DUMMYFUNCTION("""COMPUTED_VALUE"""),69.0)</f>
        <v>69</v>
      </c>
      <c r="K6" s="23">
        <f>IFERROR(__xludf.DUMMYFUNCTION("""COMPUTED_VALUE"""),6.6)</f>
        <v>6.6</v>
      </c>
      <c r="L6" s="24">
        <f>IFERROR(__xludf.DUMMYFUNCTION("""COMPUTED_VALUE"""),3.0)</f>
        <v>3</v>
      </c>
      <c r="M6" s="25" t="str">
        <f>IFERROR(__xludf.DUMMYFUNCTION("""COMPUTED_VALUE"""),"Simulation")</f>
        <v>Simulation</v>
      </c>
      <c r="N6" s="25"/>
      <c r="O6" s="26" t="str">
        <f>IFERROR(__xludf.DUMMYFUNCTION("""COMPUTED_VALUE"""),"No")</f>
        <v>No</v>
      </c>
      <c r="P6" s="26" t="str">
        <f>IFERROR(__xludf.DUMMYFUNCTION("""COMPUTED_VALUE"""),"Yes")</f>
        <v>Yes</v>
      </c>
    </row>
    <row r="7">
      <c r="A7" s="13" t="str">
        <f>IFERROR(__xludf.DUMMYFUNCTION("""COMPUTED_VALUE"""),"Werewolves Within")</f>
        <v>Werewolves Within</v>
      </c>
      <c r="B7" s="15" t="str">
        <f>IFERROR(__xludf.DUMMYFUNCTION("""COMPUTED_VALUE"""),"PS4/PSVR")</f>
        <v>PS4/PSVR</v>
      </c>
      <c r="C7" s="16" t="str">
        <f>IFERROR(__xludf.DUMMYFUNCTION("""COMPUTED_VALUE"""),"Extra (Ubisoft+ Classics)")</f>
        <v>Extra (Ubisoft+ Classics)</v>
      </c>
      <c r="D7" s="15" t="str">
        <f>IFERROR(__xludf.DUMMYFUNCTION("""COMPUTED_VALUE"""),"Active")</f>
        <v>Active</v>
      </c>
      <c r="E7" s="17">
        <f>IFERROR(__xludf.DUMMYFUNCTION("""COMPUTED_VALUE"""),44725.0)</f>
        <v>44725</v>
      </c>
      <c r="F7" s="18"/>
      <c r="G7" s="19">
        <f>IFERROR(__xludf.DUMMYFUNCTION("""COMPUTED_VALUE"""),51.766666666666666)</f>
        <v>51.76666667</v>
      </c>
      <c r="H7" s="17">
        <f>IFERROR(__xludf.DUMMYFUNCTION("""COMPUTED_VALUE"""),42710.0)</f>
        <v>42710</v>
      </c>
      <c r="I7" s="19">
        <f>IFERROR(__xludf.DUMMYFUNCTION("""COMPUTED_VALUE"""),5.519444444444445)</f>
        <v>5.519444444</v>
      </c>
      <c r="J7" s="21">
        <f>IFERROR(__xludf.DUMMYFUNCTION("""COMPUTED_VALUE"""),66.0)</f>
        <v>66</v>
      </c>
      <c r="K7" s="23">
        <f>IFERROR(__xludf.DUMMYFUNCTION("""COMPUTED_VALUE"""),7.1)</f>
        <v>7.1</v>
      </c>
      <c r="L7" s="24">
        <f>IFERROR(__xludf.DUMMYFUNCTION("""COMPUTED_VALUE"""),2.0)</f>
        <v>2</v>
      </c>
      <c r="M7" s="25" t="str">
        <f>IFERROR(__xludf.DUMMYFUNCTION("""COMPUTED_VALUE"""),"Party")</f>
        <v>Party</v>
      </c>
      <c r="N7" s="25"/>
      <c r="O7" s="26" t="str">
        <f>IFERROR(__xludf.DUMMYFUNCTION("""COMPUTED_VALUE"""),"No")</f>
        <v>No</v>
      </c>
      <c r="P7" s="26"/>
    </row>
    <row r="8">
      <c r="A8" s="13" t="str">
        <f>IFERROR(__xludf.DUMMYFUNCTION("""COMPUTED_VALUE"""),"Trackmania Turbo")</f>
        <v>Trackmania Turbo</v>
      </c>
      <c r="B8" s="15" t="str">
        <f>IFERROR(__xludf.DUMMYFUNCTION("""COMPUTED_VALUE"""),"PS4/PSVR")</f>
        <v>PS4/PSVR</v>
      </c>
      <c r="C8" s="16" t="str">
        <f>IFERROR(__xludf.DUMMYFUNCTION("""COMPUTED_VALUE"""),"Extra (Ubisoft+ Classics)")</f>
        <v>Extra (Ubisoft+ Classics)</v>
      </c>
      <c r="D8" s="15" t="str">
        <f>IFERROR(__xludf.DUMMYFUNCTION("""COMPUTED_VALUE"""),"Active")</f>
        <v>Active</v>
      </c>
      <c r="E8" s="17">
        <f>IFERROR(__xludf.DUMMYFUNCTION("""COMPUTED_VALUE"""),44725.0)</f>
        <v>44725</v>
      </c>
      <c r="F8" s="18"/>
      <c r="G8" s="19">
        <f>IFERROR(__xludf.DUMMYFUNCTION("""COMPUTED_VALUE"""),51.766666666666666)</f>
        <v>51.76666667</v>
      </c>
      <c r="H8" s="17">
        <f>IFERROR(__xludf.DUMMYFUNCTION("""COMPUTED_VALUE"""),42451.0)</f>
        <v>42451</v>
      </c>
      <c r="I8" s="19">
        <f>IFERROR(__xludf.DUMMYFUNCTION("""COMPUTED_VALUE"""),6.225)</f>
        <v>6.225</v>
      </c>
      <c r="J8" s="21">
        <f>IFERROR(__xludf.DUMMYFUNCTION("""COMPUTED_VALUE"""),81.0)</f>
        <v>81</v>
      </c>
      <c r="K8" s="23">
        <f>IFERROR(__xludf.DUMMYFUNCTION("""COMPUTED_VALUE"""),7.5)</f>
        <v>7.5</v>
      </c>
      <c r="L8" s="24">
        <f>IFERROR(__xludf.DUMMYFUNCTION("""COMPUTED_VALUE"""),14.0)</f>
        <v>14</v>
      </c>
      <c r="M8" s="25" t="str">
        <f>IFERROR(__xludf.DUMMYFUNCTION("""COMPUTED_VALUE"""),"Racing")</f>
        <v>Racing</v>
      </c>
      <c r="N8" s="25"/>
      <c r="O8" s="26" t="str">
        <f>IFERROR(__xludf.DUMMYFUNCTION("""COMPUTED_VALUE"""),"Yes")</f>
        <v>Yes</v>
      </c>
      <c r="P8" s="26" t="str">
        <f>IFERROR(__xludf.DUMMYFUNCTION("""COMPUTED_VALUE"""),"Yes")</f>
        <v>Yes</v>
      </c>
    </row>
    <row r="9">
      <c r="A9" s="35" t="str">
        <f>IFERROR(__xludf.DUMMYFUNCTION("""COMPUTED_VALUE"""),"Tin Hearts")</f>
        <v>Tin Hearts</v>
      </c>
      <c r="B9" s="15" t="str">
        <f>IFERROR(__xludf.DUMMYFUNCTION("""COMPUTED_VALUE"""),"PS5/PSVR2")</f>
        <v>PS5/PSVR2</v>
      </c>
      <c r="C9" s="16" t="str">
        <f>IFERROR(__xludf.DUMMYFUNCTION("""COMPUTED_VALUE"""),"Extra")</f>
        <v>Extra</v>
      </c>
      <c r="D9" s="15" t="str">
        <f>IFERROR(__xludf.DUMMYFUNCTION("""COMPUTED_VALUE"""),"Active")</f>
        <v>Active</v>
      </c>
      <c r="E9" s="17">
        <f>IFERROR(__xludf.DUMMYFUNCTION("""COMPUTED_VALUE"""),45705.0)</f>
        <v>45705</v>
      </c>
      <c r="F9" s="18"/>
      <c r="G9" s="19">
        <f>IFERROR(__xludf.DUMMYFUNCTION("""COMPUTED_VALUE"""),19.633333333333333)</f>
        <v>19.63333333</v>
      </c>
      <c r="H9" s="17">
        <f>IFERROR(__xludf.DUMMYFUNCTION("""COMPUTED_VALUE"""),45062.0)</f>
        <v>45062</v>
      </c>
      <c r="I9" s="19">
        <f>IFERROR(__xludf.DUMMYFUNCTION("""COMPUTED_VALUE"""),1.7527777777777778)</f>
        <v>1.752777778</v>
      </c>
      <c r="J9" s="21">
        <f>IFERROR(__xludf.DUMMYFUNCTION("""COMPUTED_VALUE"""),66.0)</f>
        <v>66</v>
      </c>
      <c r="K9" s="23">
        <f>IFERROR(__xludf.DUMMYFUNCTION("""COMPUTED_VALUE"""),8.3)</f>
        <v>8.3</v>
      </c>
      <c r="L9" s="24">
        <f>IFERROR(__xludf.DUMMYFUNCTION("""COMPUTED_VALUE"""),16.0)</f>
        <v>16</v>
      </c>
      <c r="M9" s="25" t="str">
        <f>IFERROR(__xludf.DUMMYFUNCTION("""COMPUTED_VALUE"""),"Puzzle")</f>
        <v>Puzzle</v>
      </c>
      <c r="N9" s="25"/>
      <c r="O9" s="26" t="str">
        <f>IFERROR(__xludf.DUMMYFUNCTION("""COMPUTED_VALUE"""),"No")</f>
        <v>No</v>
      </c>
      <c r="P9" s="26"/>
    </row>
    <row r="10">
      <c r="A10" s="13" t="str">
        <f>IFERROR(__xludf.DUMMYFUNCTION("""COMPUTED_VALUE"""),"Dreams")</f>
        <v>Dreams</v>
      </c>
      <c r="B10" s="15" t="str">
        <f>IFERROR(__xludf.DUMMYFUNCTION("""COMPUTED_VALUE"""),"PS4/PSVR")</f>
        <v>PS4/PSVR</v>
      </c>
      <c r="C10" s="16" t="str">
        <f>IFERROR(__xludf.DUMMYFUNCTION("""COMPUTED_VALUE"""),"Extra")</f>
        <v>Extra</v>
      </c>
      <c r="D10" s="15" t="str">
        <f>IFERROR(__xludf.DUMMYFUNCTION("""COMPUTED_VALUE"""),"Active")</f>
        <v>Active</v>
      </c>
      <c r="E10" s="17">
        <f>IFERROR(__xludf.DUMMYFUNCTION("""COMPUTED_VALUE"""),45153.0)</f>
        <v>45153</v>
      </c>
      <c r="F10" s="18"/>
      <c r="G10" s="19">
        <f>IFERROR(__xludf.DUMMYFUNCTION("""COMPUTED_VALUE"""),37.7)</f>
        <v>37.7</v>
      </c>
      <c r="H10" s="17">
        <f>IFERROR(__xludf.DUMMYFUNCTION("""COMPUTED_VALUE"""),43875.0)</f>
        <v>43875</v>
      </c>
      <c r="I10" s="19">
        <f>IFERROR(__xludf.DUMMYFUNCTION("""COMPUTED_VALUE"""),3.5027777777777778)</f>
        <v>3.502777778</v>
      </c>
      <c r="J10" s="21">
        <f>IFERROR(__xludf.DUMMYFUNCTION("""COMPUTED_VALUE"""),89.0)</f>
        <v>89</v>
      </c>
      <c r="K10" s="23">
        <f>IFERROR(__xludf.DUMMYFUNCTION("""COMPUTED_VALUE"""),8.7)</f>
        <v>8.7</v>
      </c>
      <c r="L10" s="24">
        <f>IFERROR(__xludf.DUMMYFUNCTION("""COMPUTED_VALUE"""),3.0)</f>
        <v>3</v>
      </c>
      <c r="M10" s="25" t="str">
        <f>IFERROR(__xludf.DUMMYFUNCTION("""COMPUTED_VALUE"""),"Action-Adventure")</f>
        <v>Action-Adventure</v>
      </c>
      <c r="N10" s="25"/>
      <c r="O10" s="26" t="str">
        <f>IFERROR(__xludf.DUMMYFUNCTION("""COMPUTED_VALUE"""),"Yes")</f>
        <v>Yes</v>
      </c>
      <c r="P10" s="26"/>
    </row>
    <row r="11">
      <c r="A11" s="13" t="str">
        <f>IFERROR(__xludf.DUMMYFUNCTION("""COMPUTED_VALUE"""),"Rise of the Tomb Raider: 20 Year Celebration")</f>
        <v>Rise of the Tomb Raider: 20 Year Celebration</v>
      </c>
      <c r="B11" s="15" t="str">
        <f>IFERROR(__xludf.DUMMYFUNCTION("""COMPUTED_VALUE"""),"PS4/PSVR")</f>
        <v>PS4/PSVR</v>
      </c>
      <c r="C11" s="16" t="str">
        <f>IFERROR(__xludf.DUMMYFUNCTION("""COMPUTED_VALUE"""),"Extra")</f>
        <v>Extra</v>
      </c>
      <c r="D11" s="15" t="str">
        <f>IFERROR(__xludf.DUMMYFUNCTION("""COMPUTED_VALUE"""),"Active")</f>
        <v>Active</v>
      </c>
      <c r="E11" s="17">
        <f>IFERROR(__xludf.DUMMYFUNCTION("""COMPUTED_VALUE"""),45062.0)</f>
        <v>45062</v>
      </c>
      <c r="F11" s="18"/>
      <c r="G11" s="19">
        <f>IFERROR(__xludf.DUMMYFUNCTION("""COMPUTED_VALUE"""),40.666666666666664)</f>
        <v>40.66666667</v>
      </c>
      <c r="H11" s="17">
        <f>IFERROR(__xludf.DUMMYFUNCTION("""COMPUTED_VALUE"""),42654.0)</f>
        <v>42654</v>
      </c>
      <c r="I11" s="19">
        <f>IFERROR(__xludf.DUMMYFUNCTION("""COMPUTED_VALUE"""),6.597222222222222)</f>
        <v>6.597222222</v>
      </c>
      <c r="J11" s="21">
        <f>IFERROR(__xludf.DUMMYFUNCTION("""COMPUTED_VALUE"""),88.0)</f>
        <v>88</v>
      </c>
      <c r="K11" s="23">
        <f>IFERROR(__xludf.DUMMYFUNCTION("""COMPUTED_VALUE"""),8.0)</f>
        <v>8</v>
      </c>
      <c r="L11" s="24">
        <f>IFERROR(__xludf.DUMMYFUNCTION("""COMPUTED_VALUE"""),15.0)</f>
        <v>15</v>
      </c>
      <c r="M11" s="25" t="str">
        <f>IFERROR(__xludf.DUMMYFUNCTION("""COMPUTED_VALUE"""),"Action-Adventure")</f>
        <v>Action-Adventure</v>
      </c>
      <c r="N11" s="25"/>
      <c r="O11" s="26" t="str">
        <f>IFERROR(__xludf.DUMMYFUNCTION("""COMPUTED_VALUE"""),"Yes")</f>
        <v>Yes</v>
      </c>
      <c r="P11" s="26"/>
    </row>
    <row r="12">
      <c r="A12" s="35" t="str">
        <f>IFERROR(__xludf.DUMMYFUNCTION("""COMPUTED_VALUE"""),"Skate")</f>
        <v>Skate</v>
      </c>
      <c r="B12" s="15" t="str">
        <f>IFERROR(__xludf.DUMMYFUNCTION("""COMPUTED_VALUE"""),"PS4/PSVR")</f>
        <v>PS4/PSVR</v>
      </c>
      <c r="C12" s="16" t="str">
        <f>IFERROR(__xludf.DUMMYFUNCTION("""COMPUTED_VALUE"""),"Extra")</f>
        <v>Extra</v>
      </c>
      <c r="D12" s="15" t="str">
        <f>IFERROR(__xludf.DUMMYFUNCTION("""COMPUTED_VALUE"""),"Active")</f>
        <v>Active</v>
      </c>
      <c r="E12" s="53">
        <f>IFERROR(__xludf.DUMMYFUNCTION("""COMPUTED_VALUE"""),44725.0)</f>
        <v>44725</v>
      </c>
      <c r="F12" s="54"/>
      <c r="G12" s="19">
        <f>IFERROR(__xludf.DUMMYFUNCTION("""COMPUTED_VALUE"""),51.766666666666666)</f>
        <v>51.76666667</v>
      </c>
      <c r="H12" s="17">
        <f>IFERROR(__xludf.DUMMYFUNCTION("""COMPUTED_VALUE"""),42583.0)</f>
        <v>42583</v>
      </c>
      <c r="I12" s="19">
        <f>IFERROR(__xludf.DUMMYFUNCTION("""COMPUTED_VALUE"""),5.866666666666666)</f>
        <v>5.866666667</v>
      </c>
      <c r="J12" s="21">
        <f>IFERROR(__xludf.DUMMYFUNCTION("""COMPUTED_VALUE"""),72.0)</f>
        <v>72</v>
      </c>
      <c r="K12" s="23">
        <f>IFERROR(__xludf.DUMMYFUNCTION("""COMPUTED_VALUE"""),8.0)</f>
        <v>8</v>
      </c>
      <c r="L12" s="24">
        <f>IFERROR(__xludf.DUMMYFUNCTION("""COMPUTED_VALUE"""),2.0)</f>
        <v>2</v>
      </c>
      <c r="M12" s="25" t="str">
        <f>IFERROR(__xludf.DUMMYFUNCTION("""COMPUTED_VALUE"""),"Platformer")</f>
        <v>Platformer</v>
      </c>
      <c r="N12" s="25"/>
      <c r="O12" s="26" t="str">
        <f>IFERROR(__xludf.DUMMYFUNCTION("""COMPUTED_VALUE"""),"No")</f>
        <v>No</v>
      </c>
      <c r="P12" s="26"/>
    </row>
    <row r="13">
      <c r="A13" s="13" t="str">
        <f>IFERROR(__xludf.DUMMYFUNCTION("""COMPUTED_VALUE"""),"Chess Ultra")</f>
        <v>Chess Ultra</v>
      </c>
      <c r="B13" s="15" t="str">
        <f>IFERROR(__xludf.DUMMYFUNCTION("""COMPUTED_VALUE"""),"PS4/PSVR")</f>
        <v>PS4/PSVR</v>
      </c>
      <c r="C13" s="16" t="str">
        <f>IFERROR(__xludf.DUMMYFUNCTION("""COMPUTED_VALUE"""),"Extra")</f>
        <v>Extra</v>
      </c>
      <c r="D13" s="15" t="str">
        <f>IFERROR(__xludf.DUMMYFUNCTION("""COMPUTED_VALUE"""),"Active")</f>
        <v>Active</v>
      </c>
      <c r="E13" s="17">
        <f>IFERROR(__xludf.DUMMYFUNCTION("""COMPUTED_VALUE"""),44725.0)</f>
        <v>44725</v>
      </c>
      <c r="F13" s="54"/>
      <c r="G13" s="19">
        <f>IFERROR(__xludf.DUMMYFUNCTION("""COMPUTED_VALUE"""),51.766666666666666)</f>
        <v>51.76666667</v>
      </c>
      <c r="H13" s="17">
        <f>IFERROR(__xludf.DUMMYFUNCTION("""COMPUTED_VALUE"""),42887.0)</f>
        <v>42887</v>
      </c>
      <c r="I13" s="19">
        <f>IFERROR(__xludf.DUMMYFUNCTION("""COMPUTED_VALUE"""),5.033333333333333)</f>
        <v>5.033333333</v>
      </c>
      <c r="J13" s="21">
        <f>IFERROR(__xludf.DUMMYFUNCTION("""COMPUTED_VALUE"""),83.0)</f>
        <v>83</v>
      </c>
      <c r="K13" s="23">
        <f>IFERROR(__xludf.DUMMYFUNCTION("""COMPUTED_VALUE"""),7.1)</f>
        <v>7.1</v>
      </c>
      <c r="L13" s="24">
        <f>IFERROR(__xludf.DUMMYFUNCTION("""COMPUTED_VALUE"""),2.0)</f>
        <v>2</v>
      </c>
      <c r="M13" s="25" t="str">
        <f>IFERROR(__xludf.DUMMYFUNCTION("""COMPUTED_VALUE"""),"Simulation")</f>
        <v>Simulation</v>
      </c>
      <c r="N13" s="25"/>
      <c r="O13" s="26" t="str">
        <f>IFERROR(__xludf.DUMMYFUNCTION("""COMPUTED_VALUE"""),"Yes")</f>
        <v>Yes</v>
      </c>
      <c r="P13" s="26" t="str">
        <f>IFERROR(__xludf.DUMMYFUNCTION("""COMPUTED_VALUE"""),"Yes")</f>
        <v>Yes</v>
      </c>
    </row>
    <row r="14">
      <c r="A14" s="13" t="str">
        <f>IFERROR(__xludf.DUMMYFUNCTION("""COMPUTED_VALUE"""),"Tetris Effect: Connected")</f>
        <v>Tetris Effect: Connected</v>
      </c>
      <c r="B14" s="15" t="str">
        <f>IFERROR(__xludf.DUMMYFUNCTION("""COMPUTED_VALUE"""),"PS4/PSVR")</f>
        <v>PS4/PSVR</v>
      </c>
      <c r="C14" s="16" t="str">
        <f>IFERROR(__xludf.DUMMYFUNCTION("""COMPUTED_VALUE"""),"Extra")</f>
        <v>Extra</v>
      </c>
      <c r="D14" s="15" t="str">
        <f>IFERROR(__xludf.DUMMYFUNCTION("""COMPUTED_VALUE"""),"Active")</f>
        <v>Active</v>
      </c>
      <c r="E14" s="17">
        <f>IFERROR(__xludf.DUMMYFUNCTION("""COMPUTED_VALUE"""),44725.0)</f>
        <v>44725</v>
      </c>
      <c r="F14" s="54"/>
      <c r="G14" s="19">
        <f>IFERROR(__xludf.DUMMYFUNCTION("""COMPUTED_VALUE"""),51.766666666666666)</f>
        <v>51.76666667</v>
      </c>
      <c r="H14" s="17">
        <f>IFERROR(__xludf.DUMMYFUNCTION("""COMPUTED_VALUE"""),44145.0)</f>
        <v>44145</v>
      </c>
      <c r="I14" s="19">
        <f>IFERROR(__xludf.DUMMYFUNCTION("""COMPUTED_VALUE"""),1.5916666666666666)</f>
        <v>1.591666667</v>
      </c>
      <c r="J14" s="21">
        <f>IFERROR(__xludf.DUMMYFUNCTION("""COMPUTED_VALUE"""),90.0)</f>
        <v>90</v>
      </c>
      <c r="K14" s="23">
        <f>IFERROR(__xludf.DUMMYFUNCTION("""COMPUTED_VALUE"""),7.4)</f>
        <v>7.4</v>
      </c>
      <c r="L14" s="24">
        <f>IFERROR(__xludf.DUMMYFUNCTION("""COMPUTED_VALUE"""),3.0)</f>
        <v>3</v>
      </c>
      <c r="M14" s="25" t="str">
        <f>IFERROR(__xludf.DUMMYFUNCTION("""COMPUTED_VALUE"""),"Puzzle")</f>
        <v>Puzzle</v>
      </c>
      <c r="N14" s="25"/>
      <c r="O14" s="26" t="str">
        <f>IFERROR(__xludf.DUMMYFUNCTION("""COMPUTED_VALUE"""),"No")</f>
        <v>No</v>
      </c>
      <c r="P14" s="26" t="str">
        <f>IFERROR(__xludf.DUMMYFUNCTION("""COMPUTED_VALUE"""),"Yes")</f>
        <v>Yes</v>
      </c>
    </row>
    <row r="15">
      <c r="A15" s="13" t="str">
        <f>IFERROR(__xludf.DUMMYFUNCTION("""COMPUTED_VALUE"""),"Concrete Genie: Digital Deluxe Edition")</f>
        <v>Concrete Genie: Digital Deluxe Edition</v>
      </c>
      <c r="B15" s="15" t="str">
        <f>IFERROR(__xludf.DUMMYFUNCTION("""COMPUTED_VALUE"""),"PS4/PSVR")</f>
        <v>PS4/PSVR</v>
      </c>
      <c r="C15" s="16" t="str">
        <f>IFERROR(__xludf.DUMMYFUNCTION("""COMPUTED_VALUE"""),"Extra")</f>
        <v>Extra</v>
      </c>
      <c r="D15" s="15" t="str">
        <f>IFERROR(__xludf.DUMMYFUNCTION("""COMPUTED_VALUE"""),"Active")</f>
        <v>Active</v>
      </c>
      <c r="E15" s="17">
        <f>IFERROR(__xludf.DUMMYFUNCTION("""COMPUTED_VALUE"""),44229.0)</f>
        <v>44229</v>
      </c>
      <c r="F15" s="54"/>
      <c r="G15" s="19">
        <f>IFERROR(__xludf.DUMMYFUNCTION("""COMPUTED_VALUE"""),68.13333333333334)</f>
        <v>68.13333333</v>
      </c>
      <c r="H15" s="17">
        <f>IFERROR(__xludf.DUMMYFUNCTION("""COMPUTED_VALUE"""),43746.0)</f>
        <v>43746</v>
      </c>
      <c r="I15" s="19">
        <f>IFERROR(__xludf.DUMMYFUNCTION("""COMPUTED_VALUE"""),1.3166666666666667)</f>
        <v>1.316666667</v>
      </c>
      <c r="J15" s="21">
        <f>IFERROR(__xludf.DUMMYFUNCTION("""COMPUTED_VALUE"""),78.0)</f>
        <v>78</v>
      </c>
      <c r="K15" s="23">
        <f>IFERROR(__xludf.DUMMYFUNCTION("""COMPUTED_VALUE"""),7.9)</f>
        <v>7.9</v>
      </c>
      <c r="L15" s="24">
        <f>IFERROR(__xludf.DUMMYFUNCTION("""COMPUTED_VALUE"""),5.0)</f>
        <v>5</v>
      </c>
      <c r="M15" s="25" t="str">
        <f>IFERROR(__xludf.DUMMYFUNCTION("""COMPUTED_VALUE"""),"Action-Adventure")</f>
        <v>Action-Adventure</v>
      </c>
      <c r="N15" s="25"/>
      <c r="O15" s="26" t="str">
        <f>IFERROR(__xludf.DUMMYFUNCTION("""COMPUTED_VALUE"""),"Yes")</f>
        <v>Yes</v>
      </c>
      <c r="P15" s="26"/>
    </row>
    <row r="16">
      <c r="A16" s="52"/>
      <c r="B16" s="15"/>
      <c r="C16" s="16"/>
      <c r="D16" s="15"/>
      <c r="E16" s="17"/>
      <c r="F16" s="54"/>
      <c r="G16" s="19"/>
      <c r="H16" s="17"/>
      <c r="I16" s="19"/>
      <c r="J16" s="21"/>
      <c r="K16" s="57"/>
      <c r="L16" s="24"/>
      <c r="M16" s="25"/>
      <c r="N16" s="25"/>
      <c r="O16" s="26"/>
      <c r="P16" s="26"/>
    </row>
    <row r="17">
      <c r="A17" s="52"/>
      <c r="B17" s="15"/>
      <c r="C17" s="16"/>
      <c r="D17" s="15"/>
      <c r="E17" s="17"/>
      <c r="F17" s="54"/>
      <c r="G17" s="19"/>
      <c r="H17" s="17"/>
      <c r="I17" s="19"/>
      <c r="J17" s="21"/>
      <c r="K17" s="57"/>
      <c r="L17" s="24"/>
      <c r="M17" s="25"/>
      <c r="N17" s="25"/>
      <c r="O17" s="26"/>
      <c r="P17" s="26"/>
    </row>
    <row r="18">
      <c r="A18" s="52"/>
      <c r="B18" s="15"/>
      <c r="C18" s="16"/>
      <c r="D18" s="15"/>
      <c r="E18" s="17"/>
      <c r="F18" s="54"/>
      <c r="G18" s="19"/>
      <c r="H18" s="17"/>
      <c r="I18" s="19"/>
      <c r="J18" s="21"/>
      <c r="K18" s="57"/>
      <c r="L18" s="24"/>
      <c r="M18" s="25"/>
      <c r="N18" s="25"/>
      <c r="O18" s="26"/>
      <c r="P18" s="26"/>
    </row>
    <row r="19">
      <c r="A19" s="52"/>
      <c r="B19" s="15"/>
      <c r="C19" s="16"/>
      <c r="D19" s="15"/>
      <c r="E19" s="17"/>
      <c r="F19" s="54"/>
      <c r="G19" s="19"/>
      <c r="H19" s="17"/>
      <c r="I19" s="19"/>
      <c r="J19" s="21"/>
      <c r="K19" s="57"/>
      <c r="L19" s="24"/>
      <c r="M19" s="25"/>
      <c r="N19" s="25"/>
      <c r="O19" s="26"/>
      <c r="P19" s="26"/>
    </row>
    <row r="20">
      <c r="A20" s="52"/>
      <c r="B20" s="15"/>
      <c r="C20" s="16"/>
      <c r="D20" s="15"/>
      <c r="E20" s="17"/>
      <c r="F20" s="54"/>
      <c r="G20" s="19"/>
      <c r="H20" s="17"/>
      <c r="I20" s="19"/>
      <c r="J20" s="21"/>
      <c r="K20" s="57"/>
      <c r="L20" s="24"/>
      <c r="M20" s="25"/>
      <c r="N20" s="25"/>
      <c r="O20" s="26"/>
      <c r="P20" s="26"/>
    </row>
    <row r="21">
      <c r="A21" s="52"/>
      <c r="B21" s="15"/>
      <c r="C21" s="16"/>
      <c r="D21" s="15"/>
      <c r="E21" s="17"/>
      <c r="F21" s="18"/>
      <c r="G21" s="19"/>
      <c r="H21" s="17"/>
      <c r="I21" s="19"/>
      <c r="J21" s="21"/>
      <c r="K21" s="57"/>
      <c r="L21" s="24"/>
      <c r="M21" s="25"/>
      <c r="N21" s="25"/>
      <c r="O21" s="26"/>
      <c r="P21" s="26"/>
    </row>
    <row r="22">
      <c r="A22" s="52"/>
      <c r="B22" s="15"/>
      <c r="C22" s="16"/>
      <c r="D22" s="15"/>
      <c r="E22" s="17"/>
      <c r="F22" s="54"/>
      <c r="G22" s="19"/>
      <c r="H22" s="17"/>
      <c r="I22" s="19"/>
      <c r="J22" s="21"/>
      <c r="K22" s="57"/>
      <c r="L22" s="24"/>
      <c r="M22" s="25"/>
      <c r="N22" s="25"/>
      <c r="O22" s="26"/>
      <c r="P22" s="26"/>
    </row>
    <row r="23">
      <c r="A23" s="52"/>
      <c r="B23" s="15"/>
      <c r="C23" s="16"/>
      <c r="D23" s="15"/>
      <c r="E23" s="17"/>
      <c r="F23" s="18"/>
      <c r="G23" s="19"/>
      <c r="H23" s="17"/>
      <c r="I23" s="19"/>
      <c r="J23" s="21"/>
      <c r="K23" s="57"/>
      <c r="L23" s="24"/>
      <c r="M23" s="25"/>
      <c r="N23" s="25"/>
      <c r="O23" s="26"/>
      <c r="P23" s="26"/>
    </row>
    <row r="24">
      <c r="A24" s="62"/>
      <c r="B24" s="15"/>
      <c r="C24" s="16"/>
      <c r="D24" s="15"/>
      <c r="E24" s="17"/>
      <c r="F24" s="18"/>
      <c r="G24" s="19"/>
      <c r="H24" s="17"/>
      <c r="I24" s="19"/>
      <c r="J24" s="21"/>
      <c r="K24" s="57"/>
      <c r="L24" s="24"/>
      <c r="M24" s="25"/>
      <c r="N24" s="25"/>
      <c r="O24" s="26"/>
      <c r="P24" s="26"/>
    </row>
    <row r="25">
      <c r="A25" s="52"/>
      <c r="B25" s="15"/>
      <c r="C25" s="16"/>
      <c r="D25" s="15"/>
      <c r="E25" s="17"/>
      <c r="F25" s="54"/>
      <c r="G25" s="19"/>
      <c r="H25" s="17"/>
      <c r="I25" s="19"/>
      <c r="J25" s="21"/>
      <c r="K25" s="57"/>
      <c r="L25" s="24"/>
      <c r="M25" s="25"/>
      <c r="N25" s="25"/>
      <c r="O25" s="26"/>
      <c r="P25" s="26"/>
    </row>
    <row r="26">
      <c r="A26" s="52"/>
      <c r="B26" s="15"/>
      <c r="C26" s="16"/>
      <c r="D26" s="15"/>
      <c r="E26" s="17"/>
      <c r="F26" s="54"/>
      <c r="G26" s="19"/>
      <c r="H26" s="17"/>
      <c r="I26" s="19"/>
      <c r="J26" s="21"/>
      <c r="K26" s="57"/>
      <c r="L26" s="24"/>
      <c r="M26" s="25"/>
      <c r="N26" s="25"/>
      <c r="O26" s="26"/>
      <c r="P26" s="26"/>
    </row>
    <row r="27">
      <c r="A27" s="52"/>
      <c r="B27" s="15"/>
      <c r="C27" s="16"/>
      <c r="D27" s="15"/>
      <c r="E27" s="17"/>
      <c r="F27" s="54"/>
      <c r="G27" s="19"/>
      <c r="H27" s="17"/>
      <c r="I27" s="19"/>
      <c r="J27" s="21"/>
      <c r="K27" s="57"/>
      <c r="L27" s="24"/>
      <c r="M27" s="25"/>
      <c r="N27" s="25"/>
      <c r="O27" s="26"/>
      <c r="P27" s="26"/>
    </row>
    <row r="28">
      <c r="A28" s="52"/>
      <c r="B28" s="15"/>
      <c r="C28" s="16"/>
      <c r="D28" s="15"/>
      <c r="E28" s="17"/>
      <c r="F28" s="54"/>
      <c r="G28" s="19"/>
      <c r="H28" s="17"/>
      <c r="I28" s="19"/>
      <c r="J28" s="21"/>
      <c r="K28" s="57"/>
      <c r="L28" s="24"/>
      <c r="M28" s="25"/>
      <c r="N28" s="25"/>
      <c r="O28" s="26"/>
      <c r="P28" s="26"/>
    </row>
    <row r="29">
      <c r="A29" s="52"/>
      <c r="B29" s="15"/>
      <c r="C29" s="16"/>
      <c r="D29" s="15"/>
      <c r="E29" s="17"/>
      <c r="F29" s="54"/>
      <c r="G29" s="19"/>
      <c r="H29" s="17"/>
      <c r="I29" s="19"/>
      <c r="J29" s="21"/>
      <c r="K29" s="57"/>
      <c r="L29" s="24"/>
      <c r="M29" s="25"/>
      <c r="N29" s="25"/>
      <c r="O29" s="26"/>
      <c r="P29" s="26"/>
    </row>
    <row r="30">
      <c r="A30" s="52"/>
      <c r="B30" s="15"/>
      <c r="C30" s="16"/>
      <c r="D30" s="15"/>
      <c r="E30" s="17"/>
      <c r="F30" s="54"/>
      <c r="G30" s="19"/>
      <c r="H30" s="17"/>
      <c r="I30" s="19"/>
      <c r="J30" s="21"/>
      <c r="K30" s="57"/>
      <c r="L30" s="24"/>
      <c r="M30" s="25"/>
      <c r="N30" s="25"/>
      <c r="O30" s="26"/>
      <c r="P30" s="26"/>
    </row>
    <row r="31">
      <c r="A31" s="52"/>
      <c r="B31" s="15"/>
      <c r="C31" s="16"/>
      <c r="D31" s="15"/>
      <c r="E31" s="17"/>
      <c r="F31" s="54"/>
      <c r="G31" s="19"/>
      <c r="H31" s="17"/>
      <c r="I31" s="19"/>
      <c r="J31" s="21"/>
      <c r="K31" s="57"/>
      <c r="L31" s="24"/>
      <c r="M31" s="25"/>
      <c r="N31" s="25"/>
      <c r="O31" s="26"/>
      <c r="P31" s="26"/>
    </row>
    <row r="32">
      <c r="A32" s="52"/>
      <c r="B32" s="15"/>
      <c r="C32" s="16"/>
      <c r="D32" s="15"/>
      <c r="E32" s="17"/>
      <c r="F32" s="54"/>
      <c r="G32" s="19"/>
      <c r="H32" s="17"/>
      <c r="I32" s="19"/>
      <c r="J32" s="21"/>
      <c r="K32" s="57"/>
      <c r="L32" s="24"/>
      <c r="M32" s="25"/>
      <c r="N32" s="25"/>
      <c r="O32" s="26"/>
      <c r="P32" s="26"/>
    </row>
    <row r="33">
      <c r="A33" s="52"/>
      <c r="B33" s="15"/>
      <c r="C33" s="16"/>
      <c r="D33" s="15"/>
      <c r="E33" s="17"/>
      <c r="F33" s="54"/>
      <c r="G33" s="19"/>
      <c r="H33" s="17"/>
      <c r="I33" s="19"/>
      <c r="J33" s="21"/>
      <c r="K33" s="57"/>
      <c r="L33" s="24"/>
      <c r="M33" s="25"/>
      <c r="N33" s="25"/>
      <c r="O33" s="26"/>
      <c r="P33" s="26"/>
    </row>
    <row r="34">
      <c r="A34" s="52"/>
      <c r="B34" s="15"/>
      <c r="C34" s="16"/>
      <c r="D34" s="15"/>
      <c r="E34" s="17"/>
      <c r="F34" s="54"/>
      <c r="G34" s="19"/>
      <c r="H34" s="17"/>
      <c r="I34" s="19"/>
      <c r="J34" s="21"/>
      <c r="K34" s="57"/>
      <c r="L34" s="24"/>
      <c r="M34" s="25"/>
      <c r="N34" s="25"/>
      <c r="O34" s="26"/>
      <c r="P34" s="26"/>
    </row>
    <row r="35">
      <c r="A35" s="52"/>
      <c r="B35" s="15"/>
      <c r="C35" s="16"/>
      <c r="D35" s="15"/>
      <c r="E35" s="17"/>
      <c r="F35" s="54"/>
      <c r="G35" s="19"/>
      <c r="H35" s="17"/>
      <c r="I35" s="19"/>
      <c r="J35" s="21"/>
      <c r="K35" s="57"/>
      <c r="L35" s="24"/>
      <c r="M35" s="25"/>
      <c r="N35" s="25"/>
      <c r="O35" s="26"/>
      <c r="P35" s="26"/>
    </row>
    <row r="36">
      <c r="A36" s="52"/>
      <c r="B36" s="15"/>
      <c r="C36" s="16"/>
      <c r="D36" s="15"/>
      <c r="E36" s="17"/>
      <c r="F36" s="54"/>
      <c r="G36" s="19"/>
      <c r="H36" s="17"/>
      <c r="I36" s="19"/>
      <c r="J36" s="21"/>
      <c r="K36" s="57"/>
      <c r="L36" s="24"/>
      <c r="M36" s="25"/>
      <c r="N36" s="25"/>
      <c r="O36" s="26"/>
      <c r="P36" s="26"/>
    </row>
    <row r="37">
      <c r="A37" s="52"/>
      <c r="B37" s="15"/>
      <c r="C37" s="16"/>
      <c r="D37" s="15"/>
      <c r="E37" s="17"/>
      <c r="F37" s="54"/>
      <c r="G37" s="19"/>
      <c r="H37" s="17"/>
      <c r="I37" s="19"/>
      <c r="J37" s="21"/>
      <c r="K37" s="57"/>
      <c r="L37" s="24"/>
      <c r="M37" s="25"/>
      <c r="N37" s="25"/>
      <c r="O37" s="26"/>
      <c r="P37" s="26"/>
    </row>
    <row r="38">
      <c r="A38" s="52"/>
      <c r="B38" s="15"/>
      <c r="C38" s="16"/>
      <c r="D38" s="15"/>
      <c r="E38" s="17"/>
      <c r="F38" s="54"/>
      <c r="G38" s="19"/>
      <c r="H38" s="17"/>
      <c r="I38" s="19"/>
      <c r="J38" s="21"/>
      <c r="K38" s="57"/>
      <c r="L38" s="24"/>
      <c r="M38" s="25"/>
      <c r="N38" s="25"/>
      <c r="O38" s="26"/>
      <c r="P38" s="26"/>
    </row>
    <row r="39">
      <c r="A39" s="52"/>
      <c r="B39" s="15"/>
      <c r="C39" s="16"/>
      <c r="D39" s="15"/>
      <c r="E39" s="17"/>
      <c r="F39" s="54"/>
      <c r="G39" s="19"/>
      <c r="H39" s="17"/>
      <c r="I39" s="19"/>
      <c r="J39" s="21"/>
      <c r="K39" s="57"/>
      <c r="L39" s="24"/>
      <c r="M39" s="25"/>
      <c r="N39" s="25"/>
      <c r="O39" s="26"/>
      <c r="P39" s="26"/>
    </row>
    <row r="40">
      <c r="A40" s="52"/>
      <c r="B40" s="15"/>
      <c r="C40" s="16"/>
      <c r="D40" s="15"/>
      <c r="E40" s="17"/>
      <c r="F40" s="54"/>
      <c r="G40" s="19"/>
      <c r="H40" s="17"/>
      <c r="I40" s="19"/>
      <c r="J40" s="21"/>
      <c r="K40" s="57"/>
      <c r="L40" s="24"/>
      <c r="M40" s="25"/>
      <c r="N40" s="25"/>
      <c r="O40" s="26"/>
      <c r="P40" s="26"/>
    </row>
    <row r="41">
      <c r="A41" s="52"/>
      <c r="B41" s="15"/>
      <c r="C41" s="16"/>
      <c r="D41" s="15"/>
      <c r="E41" s="17"/>
      <c r="F41" s="54"/>
      <c r="G41" s="19"/>
      <c r="H41" s="17"/>
      <c r="I41" s="19"/>
      <c r="J41" s="21"/>
      <c r="K41" s="57"/>
      <c r="L41" s="24"/>
      <c r="M41" s="25"/>
      <c r="N41" s="25"/>
      <c r="O41" s="26"/>
      <c r="P41" s="26"/>
    </row>
    <row r="42">
      <c r="A42" s="52"/>
      <c r="B42" s="15"/>
      <c r="C42" s="16"/>
      <c r="D42" s="15"/>
      <c r="E42" s="17"/>
      <c r="F42" s="54"/>
      <c r="G42" s="19"/>
      <c r="H42" s="17"/>
      <c r="I42" s="19"/>
      <c r="J42" s="21"/>
      <c r="K42" s="57"/>
      <c r="L42" s="24"/>
      <c r="M42" s="25"/>
      <c r="N42" s="25"/>
      <c r="O42" s="26"/>
      <c r="P42" s="26"/>
    </row>
    <row r="43">
      <c r="A43" s="52"/>
      <c r="B43" s="15"/>
      <c r="C43" s="16"/>
      <c r="D43" s="15"/>
      <c r="E43" s="17"/>
      <c r="F43" s="54"/>
      <c r="G43" s="19"/>
      <c r="H43" s="17"/>
      <c r="I43" s="19"/>
      <c r="J43" s="21"/>
      <c r="K43" s="57"/>
      <c r="L43" s="24"/>
      <c r="M43" s="25"/>
      <c r="N43" s="25"/>
      <c r="O43" s="26"/>
      <c r="P43" s="26"/>
    </row>
    <row r="44">
      <c r="A44" s="52"/>
      <c r="B44" s="15"/>
      <c r="C44" s="16"/>
      <c r="D44" s="15"/>
      <c r="E44" s="17"/>
      <c r="F44" s="54"/>
      <c r="G44" s="19"/>
      <c r="H44" s="17"/>
      <c r="I44" s="19"/>
      <c r="J44" s="21"/>
      <c r="K44" s="57"/>
      <c r="L44" s="24"/>
      <c r="M44" s="25"/>
      <c r="N44" s="25"/>
      <c r="O44" s="26"/>
      <c r="P44" s="26"/>
    </row>
    <row r="45">
      <c r="A45" s="52"/>
      <c r="B45" s="15"/>
      <c r="C45" s="16"/>
      <c r="D45" s="15"/>
      <c r="E45" s="17"/>
      <c r="F45" s="54"/>
      <c r="G45" s="19"/>
      <c r="H45" s="17"/>
      <c r="I45" s="19"/>
      <c r="J45" s="21"/>
      <c r="K45" s="57"/>
      <c r="L45" s="24"/>
      <c r="M45" s="25"/>
      <c r="N45" s="25"/>
      <c r="O45" s="26"/>
      <c r="P45" s="26"/>
    </row>
    <row r="46">
      <c r="A46" s="52"/>
      <c r="B46" s="15"/>
      <c r="C46" s="16"/>
      <c r="D46" s="15"/>
      <c r="E46" s="17"/>
      <c r="F46" s="54"/>
      <c r="G46" s="19"/>
      <c r="H46" s="17"/>
      <c r="I46" s="19"/>
      <c r="J46" s="21"/>
      <c r="K46" s="57"/>
      <c r="L46" s="24"/>
      <c r="M46" s="25"/>
      <c r="N46" s="25"/>
      <c r="O46" s="26"/>
      <c r="P46" s="26"/>
    </row>
    <row r="47">
      <c r="A47" s="52"/>
      <c r="B47" s="15"/>
      <c r="C47" s="16"/>
      <c r="D47" s="15"/>
      <c r="E47" s="17"/>
      <c r="F47" s="54"/>
      <c r="G47" s="19"/>
      <c r="H47" s="17"/>
      <c r="I47" s="19"/>
      <c r="J47" s="21"/>
      <c r="K47" s="57"/>
      <c r="L47" s="24"/>
      <c r="M47" s="25"/>
      <c r="N47" s="25"/>
      <c r="O47" s="26"/>
      <c r="P47" s="26"/>
    </row>
    <row r="48">
      <c r="A48" s="52"/>
      <c r="B48" s="15"/>
      <c r="C48" s="16"/>
      <c r="D48" s="15"/>
      <c r="E48" s="17"/>
      <c r="F48" s="18"/>
      <c r="G48" s="19"/>
      <c r="H48" s="17"/>
      <c r="I48" s="19"/>
      <c r="J48" s="21"/>
      <c r="K48" s="57"/>
      <c r="L48" s="24"/>
      <c r="M48" s="25"/>
      <c r="N48" s="25"/>
      <c r="O48" s="26"/>
      <c r="P48" s="26"/>
    </row>
    <row r="49">
      <c r="A49" s="52"/>
      <c r="B49" s="15"/>
      <c r="C49" s="16"/>
      <c r="D49" s="15"/>
      <c r="E49" s="17"/>
      <c r="F49" s="18"/>
      <c r="G49" s="19"/>
      <c r="H49" s="17"/>
      <c r="I49" s="19"/>
      <c r="J49" s="21"/>
      <c r="K49" s="57"/>
      <c r="L49" s="24"/>
      <c r="M49" s="25"/>
      <c r="N49" s="25"/>
      <c r="O49" s="26"/>
      <c r="P49" s="26"/>
    </row>
    <row r="50">
      <c r="A50" s="52"/>
      <c r="B50" s="15"/>
      <c r="C50" s="16"/>
      <c r="D50" s="15"/>
      <c r="E50" s="17"/>
      <c r="F50" s="54"/>
      <c r="G50" s="19"/>
      <c r="H50" s="17"/>
      <c r="I50" s="19"/>
      <c r="J50" s="21"/>
      <c r="K50" s="57"/>
      <c r="L50" s="24"/>
      <c r="M50" s="25"/>
      <c r="N50" s="25"/>
      <c r="O50" s="26"/>
      <c r="P50" s="26"/>
    </row>
    <row r="51">
      <c r="A51" s="52"/>
      <c r="B51" s="15"/>
      <c r="C51" s="16"/>
      <c r="D51" s="15"/>
      <c r="E51" s="17"/>
      <c r="F51" s="54"/>
      <c r="G51" s="19"/>
      <c r="H51" s="17"/>
      <c r="I51" s="19"/>
      <c r="J51" s="21"/>
      <c r="K51" s="57"/>
      <c r="L51" s="24"/>
      <c r="M51" s="25"/>
      <c r="N51" s="25"/>
      <c r="O51" s="26"/>
      <c r="P51" s="26"/>
    </row>
    <row r="52">
      <c r="A52" s="52"/>
      <c r="B52" s="15"/>
      <c r="C52" s="16"/>
      <c r="D52" s="15"/>
      <c r="E52" s="17"/>
      <c r="F52" s="54"/>
      <c r="G52" s="19"/>
      <c r="H52" s="17"/>
      <c r="I52" s="19"/>
      <c r="J52" s="21"/>
      <c r="K52" s="57"/>
      <c r="L52" s="24"/>
      <c r="M52" s="25"/>
      <c r="N52" s="25"/>
      <c r="O52" s="26"/>
      <c r="P52" s="26"/>
    </row>
    <row r="53">
      <c r="A53" s="52"/>
      <c r="B53" s="15"/>
      <c r="C53" s="16"/>
      <c r="D53" s="15"/>
      <c r="E53" s="17"/>
      <c r="F53" s="54"/>
      <c r="G53" s="19"/>
      <c r="H53" s="17"/>
      <c r="I53" s="19"/>
      <c r="J53" s="21"/>
      <c r="K53" s="57"/>
      <c r="L53" s="24"/>
      <c r="M53" s="25"/>
      <c r="N53" s="25"/>
      <c r="O53" s="26"/>
      <c r="P53" s="26"/>
    </row>
    <row r="54">
      <c r="A54" s="52"/>
      <c r="B54" s="15"/>
      <c r="C54" s="16"/>
      <c r="D54" s="15"/>
      <c r="E54" s="17"/>
      <c r="F54" s="54"/>
      <c r="G54" s="19"/>
      <c r="H54" s="17"/>
      <c r="I54" s="19"/>
      <c r="J54" s="21"/>
      <c r="K54" s="57"/>
      <c r="L54" s="24"/>
      <c r="M54" s="25"/>
      <c r="N54" s="25"/>
      <c r="O54" s="26"/>
      <c r="P54" s="26"/>
    </row>
    <row r="55">
      <c r="A55" s="52"/>
      <c r="B55" s="15"/>
      <c r="C55" s="16"/>
      <c r="D55" s="15"/>
      <c r="E55" s="17"/>
      <c r="F55" s="54"/>
      <c r="G55" s="19"/>
      <c r="H55" s="17"/>
      <c r="I55" s="19"/>
      <c r="J55" s="21"/>
      <c r="K55" s="57"/>
      <c r="L55" s="24"/>
      <c r="M55" s="25"/>
      <c r="N55" s="25"/>
      <c r="O55" s="26"/>
      <c r="P55" s="26"/>
    </row>
    <row r="56">
      <c r="A56" s="52"/>
      <c r="B56" s="15"/>
      <c r="C56" s="16"/>
      <c r="D56" s="15"/>
      <c r="E56" s="17"/>
      <c r="F56" s="54"/>
      <c r="G56" s="19"/>
      <c r="H56" s="17"/>
      <c r="I56" s="19"/>
      <c r="J56" s="21"/>
      <c r="K56" s="57"/>
      <c r="L56" s="24"/>
      <c r="M56" s="25"/>
      <c r="N56" s="25"/>
      <c r="O56" s="26"/>
      <c r="P56" s="26"/>
    </row>
    <row r="57">
      <c r="A57" s="52"/>
      <c r="B57" s="15"/>
      <c r="C57" s="16"/>
      <c r="D57" s="15"/>
      <c r="E57" s="17"/>
      <c r="F57" s="54"/>
      <c r="G57" s="19"/>
      <c r="H57" s="17"/>
      <c r="I57" s="19"/>
      <c r="J57" s="21"/>
      <c r="K57" s="57"/>
      <c r="L57" s="24"/>
      <c r="M57" s="25"/>
      <c r="N57" s="25"/>
      <c r="O57" s="26"/>
      <c r="P57" s="26"/>
    </row>
    <row r="58">
      <c r="A58" s="52"/>
      <c r="B58" s="15"/>
      <c r="C58" s="16"/>
      <c r="D58" s="15"/>
      <c r="E58" s="17"/>
      <c r="F58" s="54"/>
      <c r="G58" s="19"/>
      <c r="H58" s="17"/>
      <c r="I58" s="19"/>
      <c r="J58" s="21"/>
      <c r="K58" s="57"/>
      <c r="L58" s="24"/>
      <c r="M58" s="25"/>
      <c r="N58" s="25"/>
      <c r="O58" s="26"/>
      <c r="P58" s="26"/>
    </row>
    <row r="59">
      <c r="A59" s="52"/>
      <c r="B59" s="15"/>
      <c r="C59" s="16"/>
      <c r="D59" s="15"/>
      <c r="E59" s="17"/>
      <c r="F59" s="54"/>
      <c r="G59" s="19"/>
      <c r="H59" s="17"/>
      <c r="I59" s="19"/>
      <c r="J59" s="21"/>
      <c r="K59" s="57"/>
      <c r="L59" s="24"/>
      <c r="M59" s="25"/>
      <c r="N59" s="25"/>
      <c r="O59" s="26"/>
      <c r="P59" s="26"/>
    </row>
    <row r="60">
      <c r="A60" s="52"/>
      <c r="B60" s="15"/>
      <c r="C60" s="16"/>
      <c r="D60" s="15"/>
      <c r="E60" s="17"/>
      <c r="F60" s="54"/>
      <c r="G60" s="19"/>
      <c r="H60" s="17"/>
      <c r="I60" s="19"/>
      <c r="J60" s="21"/>
      <c r="K60" s="57"/>
      <c r="L60" s="24"/>
      <c r="M60" s="25"/>
      <c r="N60" s="25"/>
      <c r="O60" s="26"/>
      <c r="P60" s="26"/>
    </row>
    <row r="61">
      <c r="A61" s="52"/>
      <c r="B61" s="15"/>
      <c r="C61" s="16"/>
      <c r="D61" s="15"/>
      <c r="E61" s="17"/>
      <c r="F61" s="54"/>
      <c r="G61" s="19"/>
      <c r="H61" s="17"/>
      <c r="I61" s="19"/>
      <c r="J61" s="21"/>
      <c r="K61" s="57"/>
      <c r="L61" s="24"/>
      <c r="M61" s="25"/>
      <c r="N61" s="25"/>
      <c r="O61" s="26"/>
      <c r="P61" s="26"/>
    </row>
    <row r="62">
      <c r="A62" s="52"/>
      <c r="B62" s="15"/>
      <c r="C62" s="16"/>
      <c r="D62" s="15"/>
      <c r="E62" s="17"/>
      <c r="F62" s="54"/>
      <c r="G62" s="19"/>
      <c r="H62" s="17"/>
      <c r="I62" s="19"/>
      <c r="J62" s="21"/>
      <c r="K62" s="57"/>
      <c r="L62" s="24"/>
      <c r="M62" s="25"/>
      <c r="N62" s="25"/>
      <c r="O62" s="26"/>
      <c r="P62" s="26"/>
    </row>
    <row r="63">
      <c r="A63" s="52"/>
      <c r="B63" s="15"/>
      <c r="C63" s="16"/>
      <c r="D63" s="15"/>
      <c r="E63" s="17"/>
      <c r="F63" s="54"/>
      <c r="G63" s="19"/>
      <c r="H63" s="17"/>
      <c r="I63" s="19"/>
      <c r="J63" s="21"/>
      <c r="K63" s="57"/>
      <c r="L63" s="24"/>
      <c r="M63" s="25"/>
      <c r="N63" s="25"/>
      <c r="O63" s="26"/>
      <c r="P63" s="26"/>
    </row>
    <row r="64">
      <c r="A64" s="52"/>
      <c r="B64" s="15"/>
      <c r="C64" s="16"/>
      <c r="D64" s="15"/>
      <c r="E64" s="17"/>
      <c r="F64" s="54"/>
      <c r="G64" s="19"/>
      <c r="H64" s="17"/>
      <c r="I64" s="19"/>
      <c r="J64" s="21"/>
      <c r="K64" s="57"/>
      <c r="L64" s="24"/>
      <c r="M64" s="25"/>
      <c r="N64" s="25"/>
      <c r="O64" s="26"/>
      <c r="P64" s="26"/>
    </row>
    <row r="65">
      <c r="A65" s="52"/>
      <c r="B65" s="15"/>
      <c r="C65" s="16"/>
      <c r="D65" s="15"/>
      <c r="E65" s="17"/>
      <c r="F65" s="54"/>
      <c r="G65" s="19"/>
      <c r="H65" s="17"/>
      <c r="I65" s="19"/>
      <c r="J65" s="21"/>
      <c r="K65" s="57"/>
      <c r="L65" s="24"/>
      <c r="M65" s="25"/>
      <c r="N65" s="25"/>
      <c r="O65" s="26"/>
      <c r="P65" s="26"/>
    </row>
    <row r="66">
      <c r="A66" s="52"/>
      <c r="B66" s="15"/>
      <c r="C66" s="16"/>
      <c r="D66" s="15"/>
      <c r="E66" s="17"/>
      <c r="F66" s="54"/>
      <c r="G66" s="19"/>
      <c r="H66" s="17"/>
      <c r="I66" s="19"/>
      <c r="J66" s="21"/>
      <c r="K66" s="57"/>
      <c r="L66" s="24"/>
      <c r="M66" s="25"/>
      <c r="N66" s="25"/>
      <c r="O66" s="26"/>
      <c r="P66" s="26"/>
    </row>
    <row r="67">
      <c r="A67" s="52"/>
      <c r="B67" s="15"/>
      <c r="C67" s="16"/>
      <c r="D67" s="15"/>
      <c r="E67" s="17"/>
      <c r="F67" s="54"/>
      <c r="G67" s="19"/>
      <c r="H67" s="17"/>
      <c r="I67" s="19"/>
      <c r="J67" s="21"/>
      <c r="K67" s="57"/>
      <c r="L67" s="24"/>
      <c r="M67" s="25"/>
      <c r="N67" s="25"/>
      <c r="O67" s="26"/>
      <c r="P67" s="26"/>
    </row>
    <row r="68">
      <c r="A68" s="52"/>
      <c r="B68" s="15"/>
      <c r="C68" s="16"/>
      <c r="D68" s="15"/>
      <c r="E68" s="17"/>
      <c r="F68" s="54"/>
      <c r="G68" s="19"/>
      <c r="H68" s="17"/>
      <c r="I68" s="19"/>
      <c r="J68" s="21"/>
      <c r="K68" s="57"/>
      <c r="L68" s="24"/>
      <c r="M68" s="25"/>
      <c r="N68" s="25"/>
      <c r="O68" s="26"/>
      <c r="P68" s="26"/>
    </row>
    <row r="69">
      <c r="A69" s="52"/>
      <c r="B69" s="15"/>
      <c r="C69" s="16"/>
      <c r="D69" s="15"/>
      <c r="E69" s="17"/>
      <c r="F69" s="54"/>
      <c r="G69" s="19"/>
      <c r="H69" s="17"/>
      <c r="I69" s="19"/>
      <c r="J69" s="21"/>
      <c r="K69" s="57"/>
      <c r="L69" s="24"/>
      <c r="M69" s="25"/>
      <c r="N69" s="25"/>
      <c r="O69" s="26"/>
      <c r="P69" s="26"/>
    </row>
    <row r="70">
      <c r="A70" s="52"/>
      <c r="B70" s="15"/>
      <c r="C70" s="16"/>
      <c r="D70" s="15"/>
      <c r="E70" s="17"/>
      <c r="F70" s="54"/>
      <c r="G70" s="19"/>
      <c r="H70" s="17"/>
      <c r="I70" s="19"/>
      <c r="J70" s="21"/>
      <c r="K70" s="57"/>
      <c r="L70" s="24"/>
      <c r="M70" s="25"/>
      <c r="N70" s="25"/>
      <c r="O70" s="26"/>
      <c r="P70" s="26"/>
    </row>
    <row r="71">
      <c r="A71" s="52"/>
      <c r="B71" s="15"/>
      <c r="C71" s="16"/>
      <c r="D71" s="15"/>
      <c r="E71" s="17"/>
      <c r="F71" s="54"/>
      <c r="G71" s="19"/>
      <c r="H71" s="17"/>
      <c r="I71" s="19"/>
      <c r="J71" s="21"/>
      <c r="K71" s="57"/>
      <c r="L71" s="24"/>
      <c r="M71" s="26"/>
      <c r="N71" s="25"/>
      <c r="O71" s="26"/>
      <c r="P71" s="26"/>
    </row>
    <row r="72">
      <c r="A72" s="52"/>
      <c r="B72" s="15"/>
      <c r="C72" s="16"/>
      <c r="D72" s="15"/>
      <c r="E72" s="17"/>
      <c r="F72" s="54"/>
      <c r="G72" s="19"/>
      <c r="H72" s="17"/>
      <c r="I72" s="19"/>
      <c r="J72" s="21"/>
      <c r="K72" s="57"/>
      <c r="L72" s="24"/>
      <c r="M72" s="25"/>
      <c r="N72" s="25"/>
      <c r="O72" s="26"/>
      <c r="P72" s="26"/>
    </row>
    <row r="73">
      <c r="A73" s="52"/>
      <c r="B73" s="15"/>
      <c r="C73" s="16"/>
      <c r="D73" s="15"/>
      <c r="E73" s="17"/>
      <c r="F73" s="54"/>
      <c r="G73" s="19"/>
      <c r="H73" s="17"/>
      <c r="I73" s="19"/>
      <c r="J73" s="21"/>
      <c r="K73" s="57"/>
      <c r="L73" s="24"/>
      <c r="M73" s="25"/>
      <c r="N73" s="25"/>
      <c r="O73" s="26"/>
      <c r="P73" s="26"/>
    </row>
    <row r="74">
      <c r="A74" s="52"/>
      <c r="B74" s="15"/>
      <c r="C74" s="16"/>
      <c r="D74" s="15"/>
      <c r="E74" s="17"/>
      <c r="F74" s="54"/>
      <c r="G74" s="19"/>
      <c r="H74" s="17"/>
      <c r="I74" s="19"/>
      <c r="J74" s="21"/>
      <c r="K74" s="57"/>
      <c r="L74" s="24"/>
      <c r="M74" s="25"/>
      <c r="N74" s="25"/>
      <c r="O74" s="26"/>
      <c r="P74" s="26"/>
    </row>
    <row r="75">
      <c r="A75" s="52"/>
      <c r="B75" s="15"/>
      <c r="C75" s="16"/>
      <c r="D75" s="15"/>
      <c r="E75" s="17"/>
      <c r="F75" s="54"/>
      <c r="G75" s="19"/>
      <c r="H75" s="17"/>
      <c r="I75" s="19"/>
      <c r="J75" s="21"/>
      <c r="K75" s="57"/>
      <c r="L75" s="24"/>
      <c r="M75" s="25"/>
      <c r="N75" s="25"/>
      <c r="O75" s="26"/>
      <c r="P75" s="26"/>
    </row>
    <row r="76">
      <c r="A76" s="52"/>
      <c r="B76" s="15"/>
      <c r="C76" s="16"/>
      <c r="D76" s="15"/>
      <c r="E76" s="17"/>
      <c r="F76" s="54"/>
      <c r="G76" s="19"/>
      <c r="H76" s="17"/>
      <c r="I76" s="19"/>
      <c r="J76" s="21"/>
      <c r="K76" s="57"/>
      <c r="L76" s="24"/>
      <c r="M76" s="25"/>
      <c r="N76" s="25"/>
      <c r="O76" s="26"/>
      <c r="P76" s="26"/>
    </row>
    <row r="77">
      <c r="A77" s="52"/>
      <c r="B77" s="15"/>
      <c r="C77" s="16"/>
      <c r="D77" s="15"/>
      <c r="E77" s="17"/>
      <c r="F77" s="54"/>
      <c r="G77" s="19"/>
      <c r="H77" s="17"/>
      <c r="I77" s="19"/>
      <c r="J77" s="21"/>
      <c r="K77" s="57"/>
      <c r="L77" s="24"/>
      <c r="M77" s="25"/>
      <c r="N77" s="25"/>
      <c r="O77" s="26"/>
      <c r="P77" s="26"/>
    </row>
    <row r="78">
      <c r="A78" s="52"/>
      <c r="B78" s="15"/>
      <c r="C78" s="16"/>
      <c r="D78" s="15"/>
      <c r="E78" s="17"/>
      <c r="F78" s="54"/>
      <c r="G78" s="19"/>
      <c r="H78" s="17"/>
      <c r="I78" s="19"/>
      <c r="J78" s="21"/>
      <c r="K78" s="57"/>
      <c r="L78" s="24"/>
      <c r="M78" s="25"/>
      <c r="N78" s="25"/>
      <c r="O78" s="26"/>
      <c r="P78" s="26"/>
    </row>
    <row r="79">
      <c r="A79" s="52"/>
      <c r="B79" s="15"/>
      <c r="C79" s="16"/>
      <c r="D79" s="15"/>
      <c r="E79" s="17"/>
      <c r="F79" s="54"/>
      <c r="G79" s="19"/>
      <c r="H79" s="17"/>
      <c r="I79" s="19"/>
      <c r="J79" s="21"/>
      <c r="K79" s="57"/>
      <c r="L79" s="24"/>
      <c r="M79" s="25"/>
      <c r="N79" s="25"/>
      <c r="O79" s="26"/>
      <c r="P79" s="26"/>
    </row>
    <row r="80">
      <c r="A80" s="52"/>
      <c r="B80" s="15"/>
      <c r="C80" s="16"/>
      <c r="D80" s="15"/>
      <c r="E80" s="17"/>
      <c r="F80" s="54"/>
      <c r="G80" s="19"/>
      <c r="H80" s="17"/>
      <c r="I80" s="19"/>
      <c r="J80" s="21"/>
      <c r="K80" s="57"/>
      <c r="L80" s="24"/>
      <c r="M80" s="25"/>
      <c r="N80" s="25"/>
      <c r="O80" s="26"/>
      <c r="P80" s="26"/>
    </row>
    <row r="81">
      <c r="A81" s="52"/>
      <c r="B81" s="15"/>
      <c r="C81" s="16"/>
      <c r="D81" s="15"/>
      <c r="E81" s="17"/>
      <c r="F81" s="54"/>
      <c r="G81" s="19"/>
      <c r="H81" s="17"/>
      <c r="I81" s="19"/>
      <c r="J81" s="21"/>
      <c r="K81" s="57"/>
      <c r="L81" s="24"/>
      <c r="M81" s="25"/>
      <c r="N81" s="25"/>
      <c r="O81" s="26"/>
      <c r="P81" s="26"/>
    </row>
    <row r="82">
      <c r="A82" s="52"/>
      <c r="B82" s="15"/>
      <c r="C82" s="16"/>
      <c r="D82" s="15"/>
      <c r="E82" s="17"/>
      <c r="F82" s="54"/>
      <c r="G82" s="19"/>
      <c r="H82" s="17"/>
      <c r="I82" s="19"/>
      <c r="J82" s="21"/>
      <c r="K82" s="57"/>
      <c r="L82" s="24"/>
      <c r="M82" s="25"/>
      <c r="N82" s="25"/>
      <c r="O82" s="26"/>
      <c r="P82" s="26"/>
    </row>
    <row r="83">
      <c r="A83" s="52"/>
      <c r="B83" s="15"/>
      <c r="C83" s="16"/>
      <c r="D83" s="15"/>
      <c r="E83" s="17"/>
      <c r="F83" s="54"/>
      <c r="G83" s="19"/>
      <c r="H83" s="17"/>
      <c r="I83" s="19"/>
      <c r="J83" s="21"/>
      <c r="K83" s="57"/>
      <c r="L83" s="24"/>
      <c r="M83" s="25"/>
      <c r="N83" s="25"/>
      <c r="O83" s="26"/>
      <c r="P83" s="26"/>
    </row>
    <row r="84">
      <c r="A84" s="52"/>
      <c r="B84" s="15"/>
      <c r="C84" s="16"/>
      <c r="D84" s="15"/>
      <c r="E84" s="17"/>
      <c r="F84" s="54"/>
      <c r="G84" s="19"/>
      <c r="H84" s="17"/>
      <c r="I84" s="19"/>
      <c r="J84" s="21"/>
      <c r="K84" s="57"/>
      <c r="L84" s="24"/>
      <c r="M84" s="25"/>
      <c r="N84" s="25"/>
      <c r="O84" s="26"/>
      <c r="P84" s="26"/>
    </row>
    <row r="85">
      <c r="A85" s="52"/>
      <c r="B85" s="15"/>
      <c r="C85" s="16"/>
      <c r="D85" s="15"/>
      <c r="E85" s="17"/>
      <c r="F85" s="54"/>
      <c r="G85" s="19"/>
      <c r="H85" s="17"/>
      <c r="I85" s="19"/>
      <c r="J85" s="21"/>
      <c r="K85" s="57"/>
      <c r="L85" s="24"/>
      <c r="M85" s="25"/>
      <c r="N85" s="25"/>
      <c r="O85" s="26"/>
      <c r="P85" s="26"/>
    </row>
    <row r="86">
      <c r="A86" s="52"/>
      <c r="B86" s="15"/>
      <c r="C86" s="16"/>
      <c r="D86" s="15"/>
      <c r="E86" s="17"/>
      <c r="F86" s="54"/>
      <c r="G86" s="19"/>
      <c r="H86" s="17"/>
      <c r="I86" s="19"/>
      <c r="J86" s="21"/>
      <c r="K86" s="57"/>
      <c r="L86" s="24"/>
      <c r="M86" s="25"/>
      <c r="N86" s="25"/>
      <c r="O86" s="26"/>
      <c r="P86" s="26"/>
    </row>
    <row r="87">
      <c r="A87" s="52"/>
      <c r="B87" s="15"/>
      <c r="C87" s="16"/>
      <c r="D87" s="15"/>
      <c r="E87" s="17"/>
      <c r="F87" s="54"/>
      <c r="G87" s="19"/>
      <c r="H87" s="17"/>
      <c r="I87" s="19"/>
      <c r="J87" s="21"/>
      <c r="K87" s="57"/>
      <c r="L87" s="24"/>
      <c r="M87" s="25"/>
      <c r="N87" s="25"/>
      <c r="O87" s="26"/>
      <c r="P87" s="26"/>
    </row>
    <row r="88">
      <c r="A88" s="52"/>
      <c r="B88" s="15"/>
      <c r="C88" s="16"/>
      <c r="D88" s="15"/>
      <c r="E88" s="17"/>
      <c r="F88" s="54"/>
      <c r="G88" s="19"/>
      <c r="H88" s="17"/>
      <c r="I88" s="19"/>
      <c r="J88" s="21"/>
      <c r="K88" s="57"/>
      <c r="L88" s="24"/>
      <c r="M88" s="25"/>
      <c r="N88" s="25"/>
      <c r="O88" s="26"/>
      <c r="P88" s="26"/>
    </row>
    <row r="89">
      <c r="A89" s="52"/>
      <c r="B89" s="15"/>
      <c r="C89" s="16"/>
      <c r="D89" s="15"/>
      <c r="E89" s="17"/>
      <c r="F89" s="54"/>
      <c r="G89" s="19"/>
      <c r="H89" s="17"/>
      <c r="I89" s="19"/>
      <c r="J89" s="21"/>
      <c r="K89" s="57"/>
      <c r="L89" s="24"/>
      <c r="M89" s="25"/>
      <c r="N89" s="25"/>
      <c r="O89" s="26"/>
      <c r="P89" s="26"/>
    </row>
    <row r="90">
      <c r="A90" s="52"/>
      <c r="B90" s="15"/>
      <c r="C90" s="16"/>
      <c r="D90" s="15"/>
      <c r="E90" s="17"/>
      <c r="F90" s="54"/>
      <c r="G90" s="19"/>
      <c r="H90" s="17"/>
      <c r="I90" s="19"/>
      <c r="J90" s="21"/>
      <c r="K90" s="57"/>
      <c r="L90" s="24"/>
      <c r="M90" s="25"/>
      <c r="N90" s="25"/>
      <c r="O90" s="26"/>
      <c r="P90" s="26"/>
    </row>
    <row r="91">
      <c r="A91" s="52"/>
      <c r="B91" s="15"/>
      <c r="C91" s="16"/>
      <c r="D91" s="15"/>
      <c r="E91" s="17"/>
      <c r="F91" s="54"/>
      <c r="G91" s="19"/>
      <c r="H91" s="17"/>
      <c r="I91" s="19"/>
      <c r="J91" s="21"/>
      <c r="K91" s="57"/>
      <c r="L91" s="24"/>
      <c r="M91" s="25"/>
      <c r="N91" s="25"/>
      <c r="O91" s="26"/>
      <c r="P91" s="26"/>
    </row>
    <row r="92">
      <c r="A92" s="52"/>
      <c r="B92" s="15"/>
      <c r="C92" s="16"/>
      <c r="D92" s="15"/>
      <c r="E92" s="17"/>
      <c r="F92" s="54"/>
      <c r="G92" s="19"/>
      <c r="H92" s="17"/>
      <c r="I92" s="19"/>
      <c r="J92" s="21"/>
      <c r="K92" s="57"/>
      <c r="L92" s="24"/>
      <c r="M92" s="25"/>
      <c r="N92" s="25"/>
      <c r="O92" s="26"/>
      <c r="P92" s="26"/>
    </row>
    <row r="93">
      <c r="A93" s="52"/>
      <c r="B93" s="15"/>
      <c r="C93" s="16"/>
      <c r="D93" s="15"/>
      <c r="E93" s="17"/>
      <c r="F93" s="18"/>
      <c r="G93" s="19"/>
      <c r="H93" s="17"/>
      <c r="I93" s="19"/>
      <c r="J93" s="21"/>
      <c r="K93" s="57"/>
      <c r="L93" s="17"/>
      <c r="M93" s="25"/>
      <c r="N93" s="25"/>
      <c r="O93" s="26"/>
      <c r="P93" s="26"/>
    </row>
    <row r="94">
      <c r="A94" s="52"/>
      <c r="B94" s="15"/>
      <c r="C94" s="16"/>
      <c r="D94" s="15"/>
      <c r="E94" s="17"/>
      <c r="F94" s="18"/>
      <c r="G94" s="19"/>
      <c r="H94" s="17"/>
      <c r="I94" s="19"/>
      <c r="J94" s="21"/>
      <c r="K94" s="57"/>
      <c r="L94" s="24"/>
      <c r="M94" s="25"/>
      <c r="N94" s="25"/>
      <c r="O94" s="26"/>
      <c r="P94" s="26"/>
    </row>
    <row r="95">
      <c r="A95" s="52"/>
      <c r="B95" s="15"/>
      <c r="C95" s="16"/>
      <c r="D95" s="15"/>
      <c r="E95" s="17"/>
      <c r="F95" s="18"/>
      <c r="G95" s="19"/>
      <c r="H95" s="17"/>
      <c r="I95" s="19"/>
      <c r="J95" s="21"/>
      <c r="K95" s="57"/>
      <c r="L95" s="24"/>
      <c r="M95" s="25"/>
      <c r="N95" s="25"/>
      <c r="O95" s="26"/>
      <c r="P95" s="26"/>
    </row>
    <row r="96">
      <c r="A96" s="52"/>
      <c r="B96" s="15"/>
      <c r="C96" s="16"/>
      <c r="D96" s="15"/>
      <c r="E96" s="17"/>
      <c r="F96" s="54"/>
      <c r="G96" s="19"/>
      <c r="H96" s="17"/>
      <c r="I96" s="19"/>
      <c r="J96" s="21"/>
      <c r="K96" s="57"/>
      <c r="L96" s="24"/>
      <c r="M96" s="25"/>
      <c r="N96" s="25"/>
      <c r="O96" s="26"/>
      <c r="P96" s="26"/>
    </row>
    <row r="97">
      <c r="A97" s="52"/>
      <c r="B97" s="15"/>
      <c r="C97" s="16"/>
      <c r="D97" s="15"/>
      <c r="E97" s="17"/>
      <c r="F97" s="54"/>
      <c r="G97" s="19"/>
      <c r="H97" s="17"/>
      <c r="I97" s="19"/>
      <c r="J97" s="21"/>
      <c r="K97" s="57"/>
      <c r="L97" s="24"/>
      <c r="M97" s="25"/>
      <c r="N97" s="25"/>
      <c r="O97" s="26"/>
      <c r="P97" s="26"/>
    </row>
    <row r="98">
      <c r="A98" s="52"/>
      <c r="B98" s="15"/>
      <c r="C98" s="16"/>
      <c r="D98" s="15"/>
      <c r="E98" s="17"/>
      <c r="F98" s="54"/>
      <c r="G98" s="19"/>
      <c r="H98" s="17"/>
      <c r="I98" s="19"/>
      <c r="J98" s="21"/>
      <c r="K98" s="57"/>
      <c r="L98" s="24"/>
      <c r="M98" s="25"/>
      <c r="N98" s="25"/>
      <c r="O98" s="26"/>
      <c r="P98" s="26"/>
    </row>
    <row r="99">
      <c r="A99" s="52"/>
      <c r="B99" s="15"/>
      <c r="C99" s="16"/>
      <c r="D99" s="15"/>
      <c r="E99" s="17"/>
      <c r="F99" s="54"/>
      <c r="G99" s="19"/>
      <c r="H99" s="17"/>
      <c r="I99" s="19"/>
      <c r="J99" s="21"/>
      <c r="K99" s="57"/>
      <c r="L99" s="24"/>
      <c r="M99" s="25"/>
      <c r="N99" s="25"/>
      <c r="O99" s="26"/>
      <c r="P99" s="26"/>
    </row>
    <row r="100">
      <c r="A100" s="52"/>
      <c r="B100" s="15"/>
      <c r="C100" s="16"/>
      <c r="D100" s="15"/>
      <c r="E100" s="17"/>
      <c r="F100" s="54"/>
      <c r="G100" s="19"/>
      <c r="H100" s="17"/>
      <c r="I100" s="19"/>
      <c r="J100" s="21"/>
      <c r="K100" s="57"/>
      <c r="L100" s="24"/>
      <c r="M100" s="25"/>
      <c r="N100" s="25"/>
      <c r="O100" s="26"/>
      <c r="P100" s="26"/>
    </row>
    <row r="101">
      <c r="A101" s="52"/>
      <c r="B101" s="15"/>
      <c r="C101" s="16"/>
      <c r="D101" s="15"/>
      <c r="E101" s="17"/>
      <c r="F101" s="54"/>
      <c r="G101" s="19"/>
      <c r="H101" s="17"/>
      <c r="I101" s="19"/>
      <c r="J101" s="21"/>
      <c r="K101" s="57"/>
      <c r="L101" s="24"/>
      <c r="M101" s="25"/>
      <c r="N101" s="25"/>
      <c r="O101" s="26"/>
      <c r="P101" s="26"/>
    </row>
    <row r="102">
      <c r="A102" s="52"/>
      <c r="B102" s="15"/>
      <c r="C102" s="16"/>
      <c r="D102" s="15"/>
      <c r="E102" s="17"/>
      <c r="F102" s="54"/>
      <c r="G102" s="19"/>
      <c r="H102" s="17"/>
      <c r="I102" s="19"/>
      <c r="J102" s="21"/>
      <c r="K102" s="57"/>
      <c r="L102" s="24"/>
      <c r="M102" s="25"/>
      <c r="N102" s="25"/>
      <c r="O102" s="26"/>
      <c r="P102" s="26"/>
    </row>
    <row r="103">
      <c r="A103" s="52"/>
      <c r="B103" s="15"/>
      <c r="C103" s="16"/>
      <c r="D103" s="15"/>
      <c r="E103" s="17"/>
      <c r="F103" s="54"/>
      <c r="G103" s="19"/>
      <c r="H103" s="17"/>
      <c r="I103" s="19"/>
      <c r="J103" s="21"/>
      <c r="K103" s="57"/>
      <c r="L103" s="24"/>
      <c r="M103" s="25"/>
      <c r="N103" s="25"/>
      <c r="O103" s="26"/>
      <c r="P103" s="26"/>
    </row>
    <row r="104">
      <c r="A104" s="52"/>
      <c r="B104" s="15"/>
      <c r="C104" s="16"/>
      <c r="D104" s="15"/>
      <c r="E104" s="17"/>
      <c r="F104" s="54"/>
      <c r="G104" s="19"/>
      <c r="H104" s="17"/>
      <c r="I104" s="19"/>
      <c r="J104" s="21"/>
      <c r="K104" s="57"/>
      <c r="L104" s="24"/>
      <c r="M104" s="25"/>
      <c r="N104" s="25"/>
      <c r="O104" s="26"/>
      <c r="P104" s="26"/>
    </row>
    <row r="105">
      <c r="A105" s="52"/>
      <c r="B105" s="15"/>
      <c r="C105" s="16"/>
      <c r="D105" s="15"/>
      <c r="E105" s="17"/>
      <c r="F105" s="18"/>
      <c r="G105" s="19"/>
      <c r="H105" s="17"/>
      <c r="I105" s="19"/>
      <c r="J105" s="21"/>
      <c r="K105" s="57"/>
      <c r="L105" s="24"/>
      <c r="M105" s="25"/>
      <c r="N105" s="25"/>
      <c r="O105" s="26"/>
      <c r="P105" s="26"/>
    </row>
    <row r="106">
      <c r="A106" s="52"/>
      <c r="B106" s="15"/>
      <c r="C106" s="16"/>
      <c r="D106" s="15"/>
      <c r="E106" s="17"/>
      <c r="F106" s="54"/>
      <c r="G106" s="19"/>
      <c r="H106" s="17"/>
      <c r="I106" s="19"/>
      <c r="J106" s="21"/>
      <c r="K106" s="57"/>
      <c r="L106" s="24"/>
      <c r="M106" s="25"/>
      <c r="N106" s="25"/>
      <c r="O106" s="26"/>
      <c r="P106" s="26"/>
    </row>
    <row r="107">
      <c r="A107" s="52"/>
      <c r="B107" s="15"/>
      <c r="C107" s="16"/>
      <c r="D107" s="15"/>
      <c r="E107" s="17"/>
      <c r="F107" s="54"/>
      <c r="G107" s="19"/>
      <c r="H107" s="17"/>
      <c r="I107" s="19"/>
      <c r="J107" s="21"/>
      <c r="K107" s="57"/>
      <c r="L107" s="24"/>
      <c r="M107" s="25"/>
      <c r="N107" s="25"/>
      <c r="O107" s="26"/>
      <c r="P107" s="26"/>
    </row>
    <row r="108">
      <c r="A108" s="52"/>
      <c r="B108" s="15"/>
      <c r="C108" s="16"/>
      <c r="D108" s="15"/>
      <c r="E108" s="17"/>
      <c r="F108" s="54"/>
      <c r="G108" s="19"/>
      <c r="H108" s="17"/>
      <c r="I108" s="19"/>
      <c r="J108" s="21"/>
      <c r="K108" s="57"/>
      <c r="L108" s="24"/>
      <c r="M108" s="25"/>
      <c r="N108" s="25"/>
      <c r="O108" s="26"/>
      <c r="P108" s="26"/>
    </row>
    <row r="109">
      <c r="A109" s="52"/>
      <c r="B109" s="15"/>
      <c r="C109" s="16"/>
      <c r="D109" s="15"/>
      <c r="E109" s="17"/>
      <c r="F109" s="54"/>
      <c r="G109" s="19"/>
      <c r="H109" s="17"/>
      <c r="I109" s="19"/>
      <c r="J109" s="21"/>
      <c r="K109" s="57"/>
      <c r="L109" s="24"/>
      <c r="M109" s="25"/>
      <c r="N109" s="25"/>
      <c r="O109" s="26"/>
      <c r="P109" s="26"/>
    </row>
    <row r="110">
      <c r="A110" s="52"/>
      <c r="B110" s="15"/>
      <c r="C110" s="16"/>
      <c r="D110" s="15"/>
      <c r="E110" s="17"/>
      <c r="F110" s="54"/>
      <c r="G110" s="19"/>
      <c r="H110" s="17"/>
      <c r="I110" s="19"/>
      <c r="J110" s="21"/>
      <c r="K110" s="57"/>
      <c r="L110" s="24"/>
      <c r="M110" s="25"/>
      <c r="N110" s="25"/>
      <c r="O110" s="26"/>
      <c r="P110" s="26"/>
    </row>
    <row r="111">
      <c r="A111" s="52"/>
      <c r="B111" s="15"/>
      <c r="C111" s="16"/>
      <c r="D111" s="15"/>
      <c r="E111" s="17"/>
      <c r="F111" s="54"/>
      <c r="G111" s="19"/>
      <c r="H111" s="17"/>
      <c r="I111" s="19"/>
      <c r="J111" s="21"/>
      <c r="K111" s="57"/>
      <c r="L111" s="24"/>
      <c r="M111" s="25"/>
      <c r="N111" s="25"/>
      <c r="O111" s="26"/>
      <c r="P111" s="26"/>
    </row>
    <row r="112">
      <c r="A112" s="52"/>
      <c r="B112" s="15"/>
      <c r="C112" s="16"/>
      <c r="D112" s="15"/>
      <c r="E112" s="17"/>
      <c r="F112" s="54"/>
      <c r="G112" s="19"/>
      <c r="H112" s="17"/>
      <c r="I112" s="19"/>
      <c r="J112" s="21"/>
      <c r="K112" s="57"/>
      <c r="L112" s="24"/>
      <c r="M112" s="25"/>
      <c r="N112" s="25"/>
      <c r="O112" s="26"/>
      <c r="P112" s="26"/>
    </row>
    <row r="113">
      <c r="A113" s="52"/>
      <c r="B113" s="15"/>
      <c r="C113" s="16"/>
      <c r="D113" s="15"/>
      <c r="E113" s="17"/>
      <c r="F113" s="54"/>
      <c r="G113" s="19"/>
      <c r="H113" s="17"/>
      <c r="I113" s="19"/>
      <c r="J113" s="21"/>
      <c r="K113" s="57"/>
      <c r="L113" s="24"/>
      <c r="M113" s="25"/>
      <c r="N113" s="25"/>
      <c r="O113" s="26"/>
      <c r="P113" s="26"/>
    </row>
    <row r="114">
      <c r="A114" s="52"/>
      <c r="B114" s="15"/>
      <c r="C114" s="16"/>
      <c r="D114" s="15"/>
      <c r="E114" s="17"/>
      <c r="F114" s="54"/>
      <c r="G114" s="19"/>
      <c r="H114" s="17"/>
      <c r="I114" s="19"/>
      <c r="J114" s="21"/>
      <c r="K114" s="57"/>
      <c r="L114" s="24"/>
      <c r="M114" s="25"/>
      <c r="N114" s="25"/>
      <c r="O114" s="26"/>
      <c r="P114" s="26"/>
    </row>
    <row r="115">
      <c r="A115" s="52"/>
      <c r="B115" s="15"/>
      <c r="C115" s="16"/>
      <c r="D115" s="15"/>
      <c r="E115" s="17"/>
      <c r="F115" s="54"/>
      <c r="G115" s="19"/>
      <c r="H115" s="17"/>
      <c r="I115" s="19"/>
      <c r="J115" s="21"/>
      <c r="K115" s="57"/>
      <c r="L115" s="24"/>
      <c r="M115" s="25"/>
      <c r="N115" s="25"/>
      <c r="O115" s="26"/>
      <c r="P115" s="26"/>
    </row>
    <row r="116">
      <c r="A116" s="52"/>
      <c r="B116" s="15"/>
      <c r="C116" s="16"/>
      <c r="D116" s="15"/>
      <c r="E116" s="17"/>
      <c r="F116" s="54"/>
      <c r="G116" s="19"/>
      <c r="H116" s="17"/>
      <c r="I116" s="19"/>
      <c r="J116" s="21"/>
      <c r="K116" s="57"/>
      <c r="L116" s="24"/>
      <c r="M116" s="25"/>
      <c r="N116" s="25"/>
      <c r="O116" s="26"/>
      <c r="P116" s="26"/>
    </row>
    <row r="117">
      <c r="A117" s="52"/>
      <c r="B117" s="15"/>
      <c r="C117" s="16"/>
      <c r="D117" s="15"/>
      <c r="E117" s="17"/>
      <c r="F117" s="54"/>
      <c r="G117" s="19"/>
      <c r="H117" s="17"/>
      <c r="I117" s="19"/>
      <c r="J117" s="21"/>
      <c r="K117" s="57"/>
      <c r="L117" s="24"/>
      <c r="M117" s="25"/>
      <c r="N117" s="25"/>
      <c r="O117" s="26"/>
      <c r="P117" s="26"/>
    </row>
    <row r="118">
      <c r="A118" s="52"/>
      <c r="B118" s="15"/>
      <c r="C118" s="16"/>
      <c r="D118" s="15"/>
      <c r="E118" s="17"/>
      <c r="F118" s="54"/>
      <c r="G118" s="19"/>
      <c r="H118" s="17"/>
      <c r="I118" s="19"/>
      <c r="J118" s="21"/>
      <c r="K118" s="57"/>
      <c r="L118" s="24"/>
      <c r="M118" s="25"/>
      <c r="N118" s="25"/>
      <c r="O118" s="26"/>
      <c r="P118" s="26"/>
    </row>
    <row r="119">
      <c r="A119" s="52"/>
      <c r="B119" s="15"/>
      <c r="C119" s="16"/>
      <c r="D119" s="15"/>
      <c r="E119" s="17"/>
      <c r="F119" s="54"/>
      <c r="G119" s="19"/>
      <c r="H119" s="17"/>
      <c r="I119" s="19"/>
      <c r="J119" s="21"/>
      <c r="K119" s="57"/>
      <c r="L119" s="24"/>
      <c r="M119" s="25"/>
      <c r="N119" s="25"/>
      <c r="O119" s="26"/>
      <c r="P119" s="26"/>
    </row>
    <row r="120">
      <c r="A120" s="52"/>
      <c r="B120" s="15"/>
      <c r="C120" s="16"/>
      <c r="D120" s="15"/>
      <c r="E120" s="17"/>
      <c r="F120" s="54"/>
      <c r="G120" s="19"/>
      <c r="H120" s="17"/>
      <c r="I120" s="19"/>
      <c r="J120" s="21"/>
      <c r="K120" s="57"/>
      <c r="L120" s="24"/>
      <c r="M120" s="25"/>
      <c r="N120" s="25"/>
      <c r="O120" s="26"/>
      <c r="P120" s="26"/>
    </row>
    <row r="121">
      <c r="A121" s="52"/>
      <c r="B121" s="15"/>
      <c r="C121" s="16"/>
      <c r="D121" s="15"/>
      <c r="E121" s="17"/>
      <c r="F121" s="54"/>
      <c r="G121" s="19"/>
      <c r="H121" s="17"/>
      <c r="I121" s="19"/>
      <c r="J121" s="21"/>
      <c r="K121" s="57"/>
      <c r="L121" s="24"/>
      <c r="M121" s="25"/>
      <c r="N121" s="25"/>
      <c r="O121" s="26"/>
      <c r="P121" s="26"/>
    </row>
    <row r="122">
      <c r="A122" s="52"/>
      <c r="B122" s="15"/>
      <c r="C122" s="16"/>
      <c r="D122" s="15"/>
      <c r="E122" s="17"/>
      <c r="F122" s="54"/>
      <c r="G122" s="19"/>
      <c r="H122" s="17"/>
      <c r="I122" s="19"/>
      <c r="J122" s="21"/>
      <c r="K122" s="57"/>
      <c r="L122" s="24"/>
      <c r="M122" s="25"/>
      <c r="N122" s="25"/>
      <c r="O122" s="26"/>
      <c r="P122" s="26"/>
    </row>
    <row r="123">
      <c r="A123" s="52"/>
      <c r="B123" s="15"/>
      <c r="C123" s="16"/>
      <c r="D123" s="15"/>
      <c r="E123" s="17"/>
      <c r="F123" s="54"/>
      <c r="G123" s="19"/>
      <c r="H123" s="17"/>
      <c r="I123" s="19"/>
      <c r="J123" s="21"/>
      <c r="K123" s="57"/>
      <c r="L123" s="24"/>
      <c r="M123" s="25"/>
      <c r="N123" s="25"/>
      <c r="O123" s="26"/>
      <c r="P123" s="26"/>
    </row>
    <row r="124">
      <c r="A124" s="52"/>
      <c r="B124" s="15"/>
      <c r="C124" s="16"/>
      <c r="D124" s="15"/>
      <c r="E124" s="17"/>
      <c r="F124" s="54"/>
      <c r="G124" s="19"/>
      <c r="H124" s="17"/>
      <c r="I124" s="19"/>
      <c r="J124" s="21"/>
      <c r="K124" s="57"/>
      <c r="L124" s="24"/>
      <c r="M124" s="25"/>
      <c r="N124" s="25"/>
      <c r="O124" s="26"/>
      <c r="P124" s="26"/>
    </row>
    <row r="125">
      <c r="A125" s="52"/>
      <c r="B125" s="15"/>
      <c r="C125" s="16"/>
      <c r="D125" s="15"/>
      <c r="E125" s="17"/>
      <c r="F125" s="54"/>
      <c r="G125" s="19"/>
      <c r="H125" s="17"/>
      <c r="I125" s="19"/>
      <c r="J125" s="21"/>
      <c r="K125" s="57"/>
      <c r="L125" s="24"/>
      <c r="M125" s="25"/>
      <c r="N125" s="25"/>
      <c r="O125" s="26"/>
      <c r="P125" s="26"/>
    </row>
    <row r="126">
      <c r="A126" s="52"/>
      <c r="B126" s="15"/>
      <c r="C126" s="16"/>
      <c r="D126" s="15"/>
      <c r="E126" s="17"/>
      <c r="F126" s="54"/>
      <c r="G126" s="19"/>
      <c r="H126" s="17"/>
      <c r="I126" s="19"/>
      <c r="J126" s="21"/>
      <c r="K126" s="57"/>
      <c r="L126" s="24"/>
      <c r="M126" s="25"/>
      <c r="N126" s="25"/>
      <c r="O126" s="26"/>
      <c r="P126" s="26"/>
    </row>
    <row r="127">
      <c r="A127" s="52"/>
      <c r="B127" s="15"/>
      <c r="C127" s="16"/>
      <c r="D127" s="15"/>
      <c r="E127" s="17"/>
      <c r="F127" s="54"/>
      <c r="G127" s="19"/>
      <c r="H127" s="17"/>
      <c r="I127" s="19"/>
      <c r="J127" s="21"/>
      <c r="K127" s="57"/>
      <c r="L127" s="24"/>
      <c r="M127" s="25"/>
      <c r="N127" s="25"/>
      <c r="O127" s="26"/>
      <c r="P127" s="26"/>
    </row>
    <row r="128">
      <c r="A128" s="52"/>
      <c r="B128" s="15"/>
      <c r="C128" s="16"/>
      <c r="D128" s="15"/>
      <c r="E128" s="17"/>
      <c r="F128" s="54"/>
      <c r="G128" s="19"/>
      <c r="H128" s="17"/>
      <c r="I128" s="19"/>
      <c r="J128" s="21"/>
      <c r="K128" s="57"/>
      <c r="L128" s="24"/>
      <c r="M128" s="25"/>
      <c r="N128" s="25"/>
      <c r="O128" s="26"/>
      <c r="P128" s="26"/>
    </row>
    <row r="129">
      <c r="A129" s="52"/>
      <c r="B129" s="15"/>
      <c r="C129" s="16"/>
      <c r="D129" s="15"/>
      <c r="E129" s="17"/>
      <c r="F129" s="54"/>
      <c r="G129" s="19"/>
      <c r="H129" s="17"/>
      <c r="I129" s="19"/>
      <c r="J129" s="21"/>
      <c r="K129" s="57"/>
      <c r="L129" s="24"/>
      <c r="M129" s="25"/>
      <c r="N129" s="25"/>
      <c r="O129" s="26"/>
      <c r="P129" s="26"/>
    </row>
    <row r="130">
      <c r="A130" s="52"/>
      <c r="B130" s="15"/>
      <c r="C130" s="16"/>
      <c r="D130" s="15"/>
      <c r="E130" s="17"/>
      <c r="F130" s="54"/>
      <c r="G130" s="19"/>
      <c r="H130" s="17"/>
      <c r="I130" s="19"/>
      <c r="J130" s="21"/>
      <c r="K130" s="57"/>
      <c r="L130" s="24"/>
      <c r="M130" s="25"/>
      <c r="N130" s="25"/>
      <c r="O130" s="26"/>
      <c r="P130" s="26"/>
    </row>
    <row r="131">
      <c r="A131" s="52"/>
      <c r="B131" s="15"/>
      <c r="C131" s="16"/>
      <c r="D131" s="15"/>
      <c r="E131" s="17"/>
      <c r="F131" s="54"/>
      <c r="G131" s="19"/>
      <c r="H131" s="17"/>
      <c r="I131" s="19"/>
      <c r="J131" s="21"/>
      <c r="K131" s="57"/>
      <c r="L131" s="24"/>
      <c r="M131" s="25"/>
      <c r="N131" s="25"/>
      <c r="O131" s="26"/>
      <c r="P131" s="26"/>
    </row>
    <row r="132">
      <c r="A132" s="52"/>
      <c r="B132" s="15"/>
      <c r="C132" s="16"/>
      <c r="D132" s="15"/>
      <c r="E132" s="17"/>
      <c r="F132" s="54"/>
      <c r="G132" s="19"/>
      <c r="H132" s="17"/>
      <c r="I132" s="19"/>
      <c r="J132" s="21"/>
      <c r="K132" s="57"/>
      <c r="L132" s="24"/>
      <c r="M132" s="25"/>
      <c r="N132" s="25"/>
      <c r="O132" s="26"/>
      <c r="P132" s="26"/>
    </row>
    <row r="133">
      <c r="A133" s="52"/>
      <c r="B133" s="15"/>
      <c r="C133" s="16"/>
      <c r="D133" s="15"/>
      <c r="E133" s="17"/>
      <c r="F133" s="54"/>
      <c r="G133" s="19"/>
      <c r="H133" s="17"/>
      <c r="I133" s="19"/>
      <c r="J133" s="21"/>
      <c r="K133" s="57"/>
      <c r="L133" s="24"/>
      <c r="M133" s="68"/>
      <c r="N133" s="68"/>
      <c r="O133" s="69"/>
      <c r="P133" s="69"/>
    </row>
    <row r="134">
      <c r="A134" s="52"/>
      <c r="B134" s="15"/>
      <c r="C134" s="16"/>
      <c r="D134" s="15"/>
      <c r="E134" s="17"/>
      <c r="F134" s="54"/>
      <c r="G134" s="19"/>
      <c r="H134" s="17"/>
      <c r="I134" s="19"/>
      <c r="J134" s="21"/>
      <c r="K134" s="57"/>
      <c r="L134" s="24"/>
      <c r="M134" s="25"/>
      <c r="N134" s="25"/>
      <c r="O134" s="26"/>
      <c r="P134" s="26"/>
    </row>
    <row r="135">
      <c r="A135" s="52"/>
      <c r="B135" s="15"/>
      <c r="C135" s="16"/>
      <c r="D135" s="15"/>
      <c r="E135" s="17"/>
      <c r="F135" s="54"/>
      <c r="G135" s="19"/>
      <c r="H135" s="17"/>
      <c r="I135" s="19"/>
      <c r="J135" s="21"/>
      <c r="K135" s="57"/>
      <c r="L135" s="24"/>
      <c r="M135" s="25"/>
      <c r="N135" s="25"/>
      <c r="O135" s="26"/>
      <c r="P135" s="26"/>
    </row>
    <row r="136">
      <c r="A136" s="52"/>
      <c r="B136" s="15"/>
      <c r="C136" s="16"/>
      <c r="D136" s="15"/>
      <c r="E136" s="17"/>
      <c r="F136" s="54"/>
      <c r="G136" s="19"/>
      <c r="H136" s="17"/>
      <c r="I136" s="19"/>
      <c r="J136" s="21"/>
      <c r="K136" s="57"/>
      <c r="L136" s="24"/>
      <c r="M136" s="25"/>
      <c r="N136" s="25"/>
      <c r="O136" s="26"/>
      <c r="P136" s="26"/>
    </row>
    <row r="137">
      <c r="A137" s="52"/>
      <c r="B137" s="15"/>
      <c r="C137" s="16"/>
      <c r="D137" s="15"/>
      <c r="E137" s="17"/>
      <c r="F137" s="54"/>
      <c r="G137" s="19"/>
      <c r="H137" s="17"/>
      <c r="I137" s="19"/>
      <c r="J137" s="21"/>
      <c r="K137" s="57"/>
      <c r="L137" s="24"/>
      <c r="M137" s="25"/>
      <c r="N137" s="25"/>
      <c r="O137" s="26"/>
      <c r="P137" s="26"/>
    </row>
    <row r="138">
      <c r="A138" s="52"/>
      <c r="B138" s="15"/>
      <c r="C138" s="16"/>
      <c r="D138" s="15"/>
      <c r="E138" s="17"/>
      <c r="F138" s="18"/>
      <c r="G138" s="19"/>
      <c r="H138" s="17"/>
      <c r="I138" s="19"/>
      <c r="J138" s="21"/>
      <c r="K138" s="57"/>
      <c r="L138" s="24"/>
      <c r="M138" s="25"/>
      <c r="N138" s="25"/>
      <c r="O138" s="26"/>
      <c r="P138" s="26"/>
    </row>
    <row r="139">
      <c r="A139" s="52"/>
      <c r="B139" s="15"/>
      <c r="C139" s="16"/>
      <c r="D139" s="15"/>
      <c r="E139" s="17"/>
      <c r="F139" s="54"/>
      <c r="G139" s="19"/>
      <c r="H139" s="17"/>
      <c r="I139" s="19"/>
      <c r="J139" s="21"/>
      <c r="K139" s="57"/>
      <c r="L139" s="24"/>
      <c r="M139" s="25"/>
      <c r="N139" s="25"/>
      <c r="O139" s="26"/>
      <c r="P139" s="26"/>
    </row>
    <row r="140">
      <c r="A140" s="52"/>
      <c r="B140" s="15"/>
      <c r="C140" s="16"/>
      <c r="D140" s="15"/>
      <c r="E140" s="17"/>
      <c r="F140" s="18"/>
      <c r="G140" s="19"/>
      <c r="H140" s="17"/>
      <c r="I140" s="19"/>
      <c r="J140" s="21"/>
      <c r="K140" s="57"/>
      <c r="L140" s="24"/>
      <c r="M140" s="70"/>
      <c r="N140" s="25"/>
      <c r="O140" s="26"/>
      <c r="P140" s="26"/>
    </row>
    <row r="141">
      <c r="A141" s="52"/>
      <c r="B141" s="15"/>
      <c r="C141" s="16"/>
      <c r="D141" s="15"/>
      <c r="E141" s="17"/>
      <c r="F141" s="18"/>
      <c r="G141" s="19"/>
      <c r="H141" s="17"/>
      <c r="I141" s="19"/>
      <c r="J141" s="21"/>
      <c r="K141" s="57"/>
      <c r="L141" s="24"/>
      <c r="M141" s="25"/>
      <c r="N141" s="25"/>
      <c r="O141" s="26"/>
      <c r="P141" s="26"/>
    </row>
    <row r="142">
      <c r="A142" s="52"/>
      <c r="B142" s="15"/>
      <c r="C142" s="16"/>
      <c r="D142" s="15"/>
      <c r="E142" s="17"/>
      <c r="F142" s="54"/>
      <c r="G142" s="19"/>
      <c r="H142" s="17"/>
      <c r="I142" s="19"/>
      <c r="J142" s="21"/>
      <c r="K142" s="57"/>
      <c r="L142" s="24"/>
      <c r="M142" s="25"/>
      <c r="N142" s="25"/>
      <c r="O142" s="26"/>
      <c r="P142" s="26"/>
    </row>
    <row r="143">
      <c r="A143" s="52"/>
      <c r="B143" s="15"/>
      <c r="C143" s="16"/>
      <c r="D143" s="15"/>
      <c r="E143" s="17"/>
      <c r="F143" s="54"/>
      <c r="G143" s="19"/>
      <c r="H143" s="17"/>
      <c r="I143" s="19"/>
      <c r="J143" s="21"/>
      <c r="K143" s="57"/>
      <c r="L143" s="24"/>
      <c r="M143" s="25"/>
      <c r="N143" s="25"/>
      <c r="O143" s="26"/>
      <c r="P143" s="26"/>
    </row>
    <row r="144">
      <c r="A144" s="52"/>
      <c r="B144" s="15"/>
      <c r="C144" s="16"/>
      <c r="D144" s="15"/>
      <c r="E144" s="17"/>
      <c r="F144" s="54"/>
      <c r="G144" s="19"/>
      <c r="H144" s="17"/>
      <c r="I144" s="19"/>
      <c r="J144" s="21"/>
      <c r="K144" s="57"/>
      <c r="L144" s="24"/>
      <c r="M144" s="25"/>
      <c r="N144" s="25"/>
      <c r="O144" s="26"/>
      <c r="P144" s="26"/>
    </row>
    <row r="145">
      <c r="A145" s="52"/>
      <c r="B145" s="15"/>
      <c r="C145" s="16"/>
      <c r="D145" s="15"/>
      <c r="E145" s="17"/>
      <c r="F145" s="54"/>
      <c r="G145" s="19"/>
      <c r="H145" s="17"/>
      <c r="I145" s="19"/>
      <c r="J145" s="21"/>
      <c r="K145" s="57"/>
      <c r="L145" s="24"/>
      <c r="M145" s="25"/>
      <c r="N145" s="25"/>
      <c r="O145" s="26"/>
      <c r="P145" s="26"/>
    </row>
    <row r="146">
      <c r="A146" s="52"/>
      <c r="B146" s="15"/>
      <c r="C146" s="16"/>
      <c r="D146" s="15"/>
      <c r="E146" s="17"/>
      <c r="F146" s="54"/>
      <c r="G146" s="19"/>
      <c r="H146" s="17"/>
      <c r="I146" s="19"/>
      <c r="J146" s="21"/>
      <c r="K146" s="57"/>
      <c r="L146" s="24"/>
      <c r="M146" s="25"/>
      <c r="N146" s="25"/>
      <c r="O146" s="26"/>
      <c r="P146" s="26"/>
    </row>
    <row r="147">
      <c r="A147" s="52"/>
      <c r="B147" s="15"/>
      <c r="C147" s="16"/>
      <c r="D147" s="15"/>
      <c r="E147" s="17"/>
      <c r="F147" s="54"/>
      <c r="G147" s="19"/>
      <c r="H147" s="17"/>
      <c r="I147" s="19"/>
      <c r="J147" s="21"/>
      <c r="K147" s="57"/>
      <c r="L147" s="24"/>
      <c r="M147" s="25"/>
      <c r="N147" s="25"/>
      <c r="O147" s="26"/>
      <c r="P147" s="26"/>
    </row>
    <row r="148">
      <c r="A148" s="52"/>
      <c r="B148" s="15"/>
      <c r="C148" s="16"/>
      <c r="D148" s="15"/>
      <c r="E148" s="17"/>
      <c r="F148" s="54"/>
      <c r="G148" s="19"/>
      <c r="H148" s="17"/>
      <c r="I148" s="19"/>
      <c r="J148" s="21"/>
      <c r="K148" s="57"/>
      <c r="L148" s="24"/>
      <c r="M148" s="25"/>
      <c r="N148" s="25"/>
      <c r="O148" s="26"/>
      <c r="P148" s="26"/>
    </row>
    <row r="149">
      <c r="A149" s="52"/>
      <c r="B149" s="15"/>
      <c r="C149" s="16"/>
      <c r="D149" s="15"/>
      <c r="E149" s="17"/>
      <c r="F149" s="54"/>
      <c r="G149" s="19"/>
      <c r="H149" s="17"/>
      <c r="I149" s="19"/>
      <c r="J149" s="21"/>
      <c r="K149" s="57"/>
      <c r="L149" s="24"/>
      <c r="M149" s="25"/>
      <c r="N149" s="25"/>
      <c r="O149" s="26"/>
      <c r="P149" s="26"/>
    </row>
    <row r="150">
      <c r="A150" s="52"/>
      <c r="B150" s="15"/>
      <c r="C150" s="16"/>
      <c r="D150" s="15"/>
      <c r="E150" s="17"/>
      <c r="F150" s="54"/>
      <c r="G150" s="19"/>
      <c r="H150" s="17"/>
      <c r="I150" s="19"/>
      <c r="J150" s="21"/>
      <c r="K150" s="57"/>
      <c r="L150" s="24"/>
      <c r="M150" s="25"/>
      <c r="N150" s="25"/>
      <c r="O150" s="26"/>
      <c r="P150" s="26"/>
    </row>
    <row r="151">
      <c r="A151" s="52"/>
      <c r="B151" s="15"/>
      <c r="C151" s="16"/>
      <c r="D151" s="15"/>
      <c r="E151" s="17"/>
      <c r="F151" s="54"/>
      <c r="G151" s="19"/>
      <c r="H151" s="17"/>
      <c r="I151" s="19"/>
      <c r="J151" s="21"/>
      <c r="K151" s="57"/>
      <c r="L151" s="24"/>
      <c r="M151" s="25"/>
      <c r="N151" s="25"/>
      <c r="O151" s="26"/>
      <c r="P151" s="26"/>
    </row>
    <row r="152">
      <c r="A152" s="52"/>
      <c r="B152" s="15"/>
      <c r="C152" s="16"/>
      <c r="D152" s="15"/>
      <c r="E152" s="17"/>
      <c r="F152" s="54"/>
      <c r="G152" s="19"/>
      <c r="H152" s="17"/>
      <c r="I152" s="19"/>
      <c r="J152" s="21"/>
      <c r="K152" s="57"/>
      <c r="L152" s="24"/>
      <c r="M152" s="25"/>
      <c r="N152" s="25"/>
      <c r="O152" s="26"/>
      <c r="P152" s="26"/>
    </row>
    <row r="153">
      <c r="A153" s="52"/>
      <c r="B153" s="15"/>
      <c r="C153" s="16"/>
      <c r="D153" s="15"/>
      <c r="E153" s="17"/>
      <c r="F153" s="54"/>
      <c r="G153" s="19"/>
      <c r="H153" s="17"/>
      <c r="I153" s="19"/>
      <c r="J153" s="21"/>
      <c r="K153" s="57"/>
      <c r="L153" s="24"/>
      <c r="M153" s="25"/>
      <c r="N153" s="25"/>
      <c r="O153" s="26"/>
      <c r="P153" s="26"/>
    </row>
    <row r="154">
      <c r="A154" s="52"/>
      <c r="B154" s="15"/>
      <c r="C154" s="16"/>
      <c r="D154" s="15"/>
      <c r="E154" s="17"/>
      <c r="F154" s="54"/>
      <c r="G154" s="19"/>
      <c r="H154" s="17"/>
      <c r="I154" s="19"/>
      <c r="J154" s="21"/>
      <c r="K154" s="57"/>
      <c r="L154" s="24"/>
      <c r="M154" s="25"/>
      <c r="N154" s="25"/>
      <c r="O154" s="26"/>
      <c r="P154" s="26"/>
    </row>
    <row r="155">
      <c r="A155" s="52"/>
      <c r="B155" s="15"/>
      <c r="C155" s="16"/>
      <c r="D155" s="15"/>
      <c r="E155" s="17"/>
      <c r="F155" s="54"/>
      <c r="G155" s="19"/>
      <c r="H155" s="17"/>
      <c r="I155" s="19"/>
      <c r="J155" s="21"/>
      <c r="K155" s="57"/>
      <c r="L155" s="24"/>
      <c r="M155" s="25"/>
      <c r="N155" s="25"/>
      <c r="O155" s="26"/>
      <c r="P155" s="26"/>
    </row>
    <row r="156">
      <c r="A156" s="52"/>
      <c r="B156" s="15"/>
      <c r="C156" s="16"/>
      <c r="D156" s="15"/>
      <c r="E156" s="17"/>
      <c r="F156" s="54"/>
      <c r="G156" s="19"/>
      <c r="H156" s="17"/>
      <c r="I156" s="19"/>
      <c r="J156" s="21"/>
      <c r="K156" s="57"/>
      <c r="L156" s="24"/>
      <c r="M156" s="25"/>
      <c r="N156" s="25"/>
      <c r="O156" s="26"/>
      <c r="P156" s="26"/>
    </row>
    <row r="157">
      <c r="A157" s="52"/>
      <c r="B157" s="15"/>
      <c r="C157" s="16"/>
      <c r="D157" s="15"/>
      <c r="E157" s="17"/>
      <c r="F157" s="18"/>
      <c r="G157" s="19"/>
      <c r="H157" s="17"/>
      <c r="I157" s="19"/>
      <c r="J157" s="21"/>
      <c r="K157" s="57"/>
      <c r="L157" s="24"/>
      <c r="M157" s="25"/>
      <c r="N157" s="25"/>
      <c r="O157" s="26"/>
      <c r="P157" s="26"/>
    </row>
    <row r="158">
      <c r="A158" s="52"/>
      <c r="B158" s="15"/>
      <c r="C158" s="16"/>
      <c r="D158" s="15"/>
      <c r="E158" s="17"/>
      <c r="F158" s="54"/>
      <c r="G158" s="19"/>
      <c r="H158" s="17"/>
      <c r="I158" s="19"/>
      <c r="J158" s="21"/>
      <c r="K158" s="57"/>
      <c r="L158" s="24"/>
      <c r="M158" s="25"/>
      <c r="N158" s="25"/>
      <c r="O158" s="26"/>
      <c r="P158" s="26"/>
    </row>
    <row r="159">
      <c r="A159" s="52"/>
      <c r="B159" s="15"/>
      <c r="C159" s="16"/>
      <c r="D159" s="15"/>
      <c r="E159" s="17"/>
      <c r="F159" s="18"/>
      <c r="G159" s="19"/>
      <c r="H159" s="17"/>
      <c r="I159" s="19"/>
      <c r="J159" s="21"/>
      <c r="K159" s="57"/>
      <c r="L159" s="24"/>
      <c r="M159" s="25"/>
      <c r="N159" s="25"/>
      <c r="O159" s="26"/>
      <c r="P159" s="26"/>
    </row>
    <row r="160">
      <c r="A160" s="52"/>
      <c r="B160" s="15"/>
      <c r="C160" s="16"/>
      <c r="D160" s="15"/>
      <c r="E160" s="17"/>
      <c r="F160" s="54"/>
      <c r="G160" s="19"/>
      <c r="H160" s="17"/>
      <c r="I160" s="19"/>
      <c r="J160" s="21"/>
      <c r="K160" s="57"/>
      <c r="L160" s="24"/>
      <c r="M160" s="25"/>
      <c r="N160" s="25"/>
      <c r="O160" s="26"/>
      <c r="P160" s="26"/>
    </row>
    <row r="161">
      <c r="A161" s="52"/>
      <c r="B161" s="15"/>
      <c r="C161" s="16"/>
      <c r="D161" s="15"/>
      <c r="E161" s="17"/>
      <c r="F161" s="54"/>
      <c r="G161" s="19"/>
      <c r="H161" s="17"/>
      <c r="I161" s="19"/>
      <c r="J161" s="21"/>
      <c r="K161" s="57"/>
      <c r="L161" s="24"/>
      <c r="M161" s="25"/>
      <c r="N161" s="25"/>
      <c r="O161" s="26"/>
      <c r="P161" s="26"/>
    </row>
    <row r="162">
      <c r="A162" s="52"/>
      <c r="B162" s="15"/>
      <c r="C162" s="16"/>
      <c r="D162" s="15"/>
      <c r="E162" s="17"/>
      <c r="F162" s="54"/>
      <c r="G162" s="19"/>
      <c r="H162" s="17"/>
      <c r="I162" s="19"/>
      <c r="J162" s="21"/>
      <c r="K162" s="57"/>
      <c r="L162" s="24"/>
      <c r="M162" s="25"/>
      <c r="N162" s="25"/>
      <c r="O162" s="26"/>
      <c r="P162" s="26"/>
    </row>
    <row r="163">
      <c r="A163" s="52"/>
      <c r="B163" s="15"/>
      <c r="C163" s="16"/>
      <c r="D163" s="15"/>
      <c r="E163" s="17"/>
      <c r="F163" s="54"/>
      <c r="G163" s="19"/>
      <c r="H163" s="17"/>
      <c r="I163" s="19"/>
      <c r="J163" s="21"/>
      <c r="K163" s="57"/>
      <c r="L163" s="24"/>
      <c r="M163" s="25"/>
      <c r="N163" s="25"/>
      <c r="O163" s="26"/>
      <c r="P163" s="26"/>
    </row>
    <row r="164">
      <c r="A164" s="52"/>
      <c r="B164" s="15"/>
      <c r="C164" s="16"/>
      <c r="D164" s="15"/>
      <c r="E164" s="17"/>
      <c r="F164" s="54"/>
      <c r="G164" s="19"/>
      <c r="H164" s="17"/>
      <c r="I164" s="19"/>
      <c r="J164" s="21"/>
      <c r="K164" s="57"/>
      <c r="L164" s="24"/>
      <c r="M164" s="25"/>
      <c r="N164" s="25"/>
      <c r="O164" s="26"/>
      <c r="P164" s="26"/>
    </row>
    <row r="165">
      <c r="A165" s="52"/>
      <c r="B165" s="15"/>
      <c r="C165" s="16"/>
      <c r="D165" s="15"/>
      <c r="E165" s="17"/>
      <c r="F165" s="54"/>
      <c r="G165" s="19"/>
      <c r="H165" s="17"/>
      <c r="I165" s="19"/>
      <c r="J165" s="21"/>
      <c r="K165" s="57"/>
      <c r="L165" s="24"/>
      <c r="M165" s="25"/>
      <c r="N165" s="25"/>
      <c r="O165" s="26"/>
      <c r="P165" s="26"/>
    </row>
    <row r="166">
      <c r="A166" s="52"/>
      <c r="B166" s="15"/>
      <c r="C166" s="16"/>
      <c r="D166" s="15"/>
      <c r="E166" s="17"/>
      <c r="F166" s="54"/>
      <c r="G166" s="19"/>
      <c r="H166" s="17"/>
      <c r="I166" s="19"/>
      <c r="J166" s="21"/>
      <c r="K166" s="57"/>
      <c r="L166" s="24"/>
      <c r="M166" s="25"/>
      <c r="N166" s="25"/>
      <c r="O166" s="26"/>
      <c r="P166" s="26"/>
    </row>
    <row r="167">
      <c r="A167" s="52"/>
      <c r="B167" s="15"/>
      <c r="C167" s="16"/>
      <c r="D167" s="15"/>
      <c r="E167" s="17"/>
      <c r="F167" s="54"/>
      <c r="G167" s="19"/>
      <c r="H167" s="17"/>
      <c r="I167" s="19"/>
      <c r="J167" s="21"/>
      <c r="K167" s="57"/>
      <c r="L167" s="24"/>
      <c r="M167" s="25"/>
      <c r="N167" s="25"/>
      <c r="O167" s="26"/>
      <c r="P167" s="26"/>
    </row>
    <row r="168">
      <c r="A168" s="52"/>
      <c r="B168" s="15"/>
      <c r="C168" s="16"/>
      <c r="D168" s="15"/>
      <c r="E168" s="17"/>
      <c r="F168" s="54"/>
      <c r="G168" s="19"/>
      <c r="H168" s="17"/>
      <c r="I168" s="19"/>
      <c r="J168" s="21"/>
      <c r="K168" s="57"/>
      <c r="L168" s="24"/>
      <c r="M168" s="25"/>
      <c r="N168" s="25"/>
      <c r="O168" s="26"/>
      <c r="P168" s="26"/>
    </row>
    <row r="169">
      <c r="A169" s="52"/>
      <c r="B169" s="15"/>
      <c r="C169" s="16"/>
      <c r="D169" s="15"/>
      <c r="E169" s="17"/>
      <c r="F169" s="54"/>
      <c r="G169" s="19"/>
      <c r="H169" s="17"/>
      <c r="I169" s="19"/>
      <c r="J169" s="21"/>
      <c r="K169" s="57"/>
      <c r="L169" s="24"/>
      <c r="M169" s="25"/>
      <c r="N169" s="25"/>
      <c r="O169" s="26"/>
      <c r="P169" s="26"/>
    </row>
    <row r="170">
      <c r="A170" s="52"/>
      <c r="B170" s="15"/>
      <c r="C170" s="16"/>
      <c r="D170" s="15"/>
      <c r="E170" s="17"/>
      <c r="F170" s="54"/>
      <c r="G170" s="19"/>
      <c r="H170" s="17"/>
      <c r="I170" s="19"/>
      <c r="J170" s="21"/>
      <c r="K170" s="57"/>
      <c r="L170" s="24"/>
      <c r="M170" s="25"/>
      <c r="N170" s="25"/>
      <c r="O170" s="26"/>
      <c r="P170" s="26"/>
    </row>
    <row r="171">
      <c r="A171" s="52"/>
      <c r="B171" s="15"/>
      <c r="C171" s="16"/>
      <c r="D171" s="15"/>
      <c r="E171" s="17"/>
      <c r="F171" s="54"/>
      <c r="G171" s="19"/>
      <c r="H171" s="17"/>
      <c r="I171" s="19"/>
      <c r="J171" s="21"/>
      <c r="K171" s="57"/>
      <c r="L171" s="24"/>
      <c r="M171" s="25"/>
      <c r="N171" s="25"/>
      <c r="O171" s="26"/>
      <c r="P171" s="26"/>
    </row>
    <row r="172">
      <c r="A172" s="52"/>
      <c r="B172" s="15"/>
      <c r="C172" s="16"/>
      <c r="D172" s="15"/>
      <c r="E172" s="17"/>
      <c r="F172" s="54"/>
      <c r="G172" s="19"/>
      <c r="H172" s="17"/>
      <c r="I172" s="19"/>
      <c r="J172" s="21"/>
      <c r="K172" s="57"/>
      <c r="L172" s="24"/>
      <c r="M172" s="25"/>
      <c r="N172" s="25"/>
      <c r="O172" s="26"/>
      <c r="P172" s="26"/>
    </row>
    <row r="173">
      <c r="A173" s="52"/>
      <c r="B173" s="15"/>
      <c r="C173" s="16"/>
      <c r="D173" s="15"/>
      <c r="E173" s="17"/>
      <c r="F173" s="71"/>
      <c r="G173" s="19"/>
      <c r="H173" s="17"/>
      <c r="I173" s="19"/>
      <c r="J173" s="21"/>
      <c r="K173" s="57"/>
      <c r="L173" s="24"/>
      <c r="M173" s="25"/>
      <c r="N173" s="25"/>
      <c r="O173" s="26"/>
      <c r="P173" s="26"/>
    </row>
    <row r="174">
      <c r="A174" s="52"/>
      <c r="B174" s="15"/>
      <c r="C174" s="16"/>
      <c r="D174" s="15"/>
      <c r="E174" s="17"/>
      <c r="F174" s="71"/>
      <c r="G174" s="19"/>
      <c r="H174" s="17"/>
      <c r="I174" s="19"/>
      <c r="J174" s="21"/>
      <c r="K174" s="57"/>
      <c r="L174" s="24"/>
      <c r="M174" s="25"/>
      <c r="N174" s="25"/>
      <c r="O174" s="26"/>
      <c r="P174" s="26"/>
    </row>
    <row r="175">
      <c r="A175" s="52"/>
      <c r="B175" s="15"/>
      <c r="C175" s="16"/>
      <c r="D175" s="15"/>
      <c r="E175" s="17"/>
      <c r="F175" s="54"/>
      <c r="G175" s="19"/>
      <c r="H175" s="17"/>
      <c r="I175" s="19"/>
      <c r="J175" s="21"/>
      <c r="K175" s="57"/>
      <c r="L175" s="24"/>
      <c r="M175" s="25"/>
      <c r="N175" s="25"/>
      <c r="O175" s="26"/>
      <c r="P175" s="26"/>
    </row>
    <row r="176">
      <c r="A176" s="52"/>
      <c r="B176" s="15"/>
      <c r="C176" s="16"/>
      <c r="D176" s="15"/>
      <c r="E176" s="17"/>
      <c r="F176" s="54"/>
      <c r="G176" s="19"/>
      <c r="H176" s="17"/>
      <c r="I176" s="19"/>
      <c r="J176" s="21"/>
      <c r="K176" s="57"/>
      <c r="L176" s="24"/>
      <c r="M176" s="25"/>
      <c r="N176" s="25"/>
      <c r="O176" s="26"/>
      <c r="P176" s="26"/>
    </row>
    <row r="177">
      <c r="A177" s="52"/>
      <c r="B177" s="15"/>
      <c r="C177" s="16"/>
      <c r="D177" s="15"/>
      <c r="E177" s="17"/>
      <c r="F177" s="54"/>
      <c r="G177" s="19"/>
      <c r="H177" s="17"/>
      <c r="I177" s="19"/>
      <c r="J177" s="21"/>
      <c r="K177" s="57"/>
      <c r="L177" s="24"/>
      <c r="M177" s="25"/>
      <c r="N177" s="25"/>
      <c r="O177" s="26"/>
      <c r="P177" s="26"/>
    </row>
    <row r="178">
      <c r="A178" s="52"/>
      <c r="B178" s="15"/>
      <c r="C178" s="16"/>
      <c r="D178" s="15"/>
      <c r="E178" s="17"/>
      <c r="F178" s="54"/>
      <c r="G178" s="19"/>
      <c r="H178" s="17"/>
      <c r="I178" s="19"/>
      <c r="J178" s="21"/>
      <c r="K178" s="57"/>
      <c r="L178" s="24"/>
      <c r="M178" s="25"/>
      <c r="N178" s="25"/>
      <c r="O178" s="26"/>
      <c r="P178" s="26"/>
    </row>
    <row r="179">
      <c r="A179" s="52"/>
      <c r="B179" s="15"/>
      <c r="C179" s="16"/>
      <c r="D179" s="15"/>
      <c r="E179" s="17"/>
      <c r="F179" s="54"/>
      <c r="G179" s="19"/>
      <c r="H179" s="17"/>
      <c r="I179" s="19"/>
      <c r="J179" s="21"/>
      <c r="K179" s="57"/>
      <c r="L179" s="24"/>
      <c r="M179" s="25"/>
      <c r="N179" s="25"/>
      <c r="O179" s="26"/>
      <c r="P179" s="26"/>
    </row>
    <row r="180">
      <c r="A180" s="52"/>
      <c r="B180" s="15"/>
      <c r="C180" s="16"/>
      <c r="D180" s="15"/>
      <c r="E180" s="17"/>
      <c r="F180" s="54"/>
      <c r="G180" s="19"/>
      <c r="H180" s="17"/>
      <c r="I180" s="19"/>
      <c r="J180" s="21"/>
      <c r="K180" s="57"/>
      <c r="L180" s="24"/>
      <c r="M180" s="25"/>
      <c r="N180" s="25"/>
      <c r="O180" s="26"/>
      <c r="P180" s="26"/>
    </row>
    <row r="181">
      <c r="A181" s="52"/>
      <c r="B181" s="15"/>
      <c r="C181" s="16"/>
      <c r="D181" s="15"/>
      <c r="E181" s="17"/>
      <c r="F181" s="54"/>
      <c r="G181" s="19"/>
      <c r="H181" s="17"/>
      <c r="I181" s="19"/>
      <c r="J181" s="21"/>
      <c r="K181" s="57"/>
      <c r="L181" s="24"/>
      <c r="M181" s="25"/>
      <c r="N181" s="25"/>
      <c r="O181" s="26"/>
      <c r="P181" s="26"/>
    </row>
    <row r="182">
      <c r="A182" s="52"/>
      <c r="B182" s="15"/>
      <c r="C182" s="16"/>
      <c r="D182" s="15"/>
      <c r="E182" s="17"/>
      <c r="F182" s="54"/>
      <c r="G182" s="19"/>
      <c r="H182" s="17"/>
      <c r="I182" s="19"/>
      <c r="J182" s="21"/>
      <c r="K182" s="57"/>
      <c r="L182" s="24"/>
      <c r="M182" s="25"/>
      <c r="N182" s="25"/>
      <c r="O182" s="26"/>
      <c r="P182" s="26"/>
    </row>
    <row r="183">
      <c r="A183" s="52"/>
      <c r="B183" s="15"/>
      <c r="C183" s="16"/>
      <c r="D183" s="15"/>
      <c r="E183" s="17"/>
      <c r="F183" s="54"/>
      <c r="G183" s="19"/>
      <c r="H183" s="17"/>
      <c r="I183" s="19"/>
      <c r="J183" s="21"/>
      <c r="K183" s="57"/>
      <c r="L183" s="24"/>
      <c r="M183" s="25"/>
      <c r="N183" s="25"/>
      <c r="O183" s="26"/>
      <c r="P183" s="26"/>
    </row>
    <row r="184">
      <c r="A184" s="52"/>
      <c r="B184" s="15"/>
      <c r="C184" s="16"/>
      <c r="D184" s="15"/>
      <c r="E184" s="17"/>
      <c r="F184" s="54"/>
      <c r="G184" s="19"/>
      <c r="H184" s="17"/>
      <c r="I184" s="19"/>
      <c r="J184" s="21"/>
      <c r="K184" s="57"/>
      <c r="L184" s="24"/>
      <c r="M184" s="25"/>
      <c r="N184" s="25"/>
      <c r="O184" s="26"/>
      <c r="P184" s="26"/>
    </row>
    <row r="185">
      <c r="A185" s="52"/>
      <c r="B185" s="15"/>
      <c r="C185" s="16"/>
      <c r="D185" s="15"/>
      <c r="E185" s="17"/>
      <c r="F185" s="54"/>
      <c r="G185" s="19"/>
      <c r="H185" s="17"/>
      <c r="I185" s="19"/>
      <c r="J185" s="21"/>
      <c r="K185" s="57"/>
      <c r="L185" s="24"/>
      <c r="M185" s="25"/>
      <c r="N185" s="25"/>
      <c r="O185" s="26"/>
      <c r="P185" s="26"/>
    </row>
    <row r="186">
      <c r="A186" s="62"/>
      <c r="B186" s="15"/>
      <c r="C186" s="16"/>
      <c r="D186" s="15"/>
      <c r="E186" s="17"/>
      <c r="F186" s="71"/>
      <c r="G186" s="19"/>
      <c r="H186" s="17"/>
      <c r="I186" s="19"/>
      <c r="J186" s="21"/>
      <c r="K186" s="57"/>
      <c r="L186" s="24"/>
      <c r="M186" s="25"/>
      <c r="N186" s="25"/>
      <c r="O186" s="26"/>
      <c r="P186" s="26"/>
    </row>
    <row r="187">
      <c r="A187" s="52"/>
      <c r="B187" s="15"/>
      <c r="C187" s="16"/>
      <c r="D187" s="15"/>
      <c r="E187" s="17"/>
      <c r="F187" s="54"/>
      <c r="G187" s="19"/>
      <c r="H187" s="17"/>
      <c r="I187" s="19"/>
      <c r="J187" s="21"/>
      <c r="K187" s="57"/>
      <c r="L187" s="24"/>
      <c r="M187" s="25"/>
      <c r="N187" s="25"/>
      <c r="O187" s="26"/>
      <c r="P187" s="26"/>
    </row>
    <row r="188">
      <c r="A188" s="52"/>
      <c r="B188" s="15"/>
      <c r="C188" s="16"/>
      <c r="D188" s="15"/>
      <c r="E188" s="17"/>
      <c r="F188" s="54"/>
      <c r="G188" s="19"/>
      <c r="H188" s="17"/>
      <c r="I188" s="19"/>
      <c r="J188" s="21"/>
      <c r="K188" s="57"/>
      <c r="L188" s="24"/>
      <c r="M188" s="25"/>
      <c r="N188" s="25"/>
      <c r="O188" s="26"/>
      <c r="P188" s="26"/>
    </row>
    <row r="189">
      <c r="A189" s="52"/>
      <c r="B189" s="15"/>
      <c r="C189" s="16"/>
      <c r="D189" s="15"/>
      <c r="E189" s="17"/>
      <c r="F189" s="54"/>
      <c r="G189" s="19"/>
      <c r="H189" s="17"/>
      <c r="I189" s="19"/>
      <c r="J189" s="21"/>
      <c r="K189" s="57"/>
      <c r="L189" s="24"/>
      <c r="M189" s="25"/>
      <c r="N189" s="25"/>
      <c r="O189" s="26"/>
      <c r="P189" s="26"/>
    </row>
    <row r="190">
      <c r="A190" s="52"/>
      <c r="B190" s="15"/>
      <c r="C190" s="16"/>
      <c r="D190" s="15"/>
      <c r="E190" s="17"/>
      <c r="F190" s="54"/>
      <c r="G190" s="19"/>
      <c r="H190" s="17"/>
      <c r="I190" s="19"/>
      <c r="J190" s="21"/>
      <c r="K190" s="57"/>
      <c r="L190" s="24"/>
      <c r="M190" s="25"/>
      <c r="N190" s="25"/>
      <c r="O190" s="26"/>
      <c r="P190" s="26"/>
    </row>
    <row r="191">
      <c r="A191" s="52"/>
      <c r="B191" s="15"/>
      <c r="C191" s="16"/>
      <c r="D191" s="15"/>
      <c r="E191" s="17"/>
      <c r="F191" s="54"/>
      <c r="G191" s="19"/>
      <c r="H191" s="17"/>
      <c r="I191" s="19"/>
      <c r="J191" s="21"/>
      <c r="K191" s="57"/>
      <c r="L191" s="24"/>
      <c r="M191" s="25"/>
      <c r="N191" s="25"/>
      <c r="O191" s="26"/>
      <c r="P191" s="26"/>
    </row>
    <row r="192">
      <c r="A192" s="52"/>
      <c r="B192" s="15"/>
      <c r="C192" s="16"/>
      <c r="D192" s="15"/>
      <c r="E192" s="17"/>
      <c r="F192" s="54"/>
      <c r="G192" s="19"/>
      <c r="H192" s="17"/>
      <c r="I192" s="19"/>
      <c r="J192" s="21"/>
      <c r="K192" s="57"/>
      <c r="L192" s="24"/>
      <c r="M192" s="25"/>
      <c r="N192" s="25"/>
      <c r="O192" s="26"/>
      <c r="P192" s="26"/>
    </row>
    <row r="193">
      <c r="A193" s="52"/>
      <c r="B193" s="15"/>
      <c r="C193" s="16"/>
      <c r="D193" s="15"/>
      <c r="E193" s="17"/>
      <c r="F193" s="54"/>
      <c r="G193" s="19"/>
      <c r="H193" s="17"/>
      <c r="I193" s="19"/>
      <c r="J193" s="21"/>
      <c r="K193" s="57"/>
      <c r="L193" s="24"/>
      <c r="M193" s="25"/>
      <c r="N193" s="25"/>
      <c r="O193" s="26"/>
      <c r="P193" s="26"/>
    </row>
    <row r="194">
      <c r="A194" s="52"/>
      <c r="B194" s="15"/>
      <c r="C194" s="16"/>
      <c r="D194" s="15"/>
      <c r="E194" s="17"/>
      <c r="F194" s="54"/>
      <c r="G194" s="19"/>
      <c r="H194" s="17"/>
      <c r="I194" s="19"/>
      <c r="J194" s="21"/>
      <c r="K194" s="57"/>
      <c r="L194" s="24"/>
      <c r="M194" s="25"/>
      <c r="N194" s="25"/>
      <c r="O194" s="26"/>
      <c r="P194" s="26"/>
    </row>
    <row r="195">
      <c r="A195" s="52"/>
      <c r="B195" s="15"/>
      <c r="C195" s="16"/>
      <c r="D195" s="15"/>
      <c r="E195" s="17"/>
      <c r="F195" s="18"/>
      <c r="G195" s="19"/>
      <c r="H195" s="17"/>
      <c r="I195" s="19"/>
      <c r="J195" s="21"/>
      <c r="K195" s="57"/>
      <c r="L195" s="24"/>
      <c r="M195" s="25"/>
      <c r="N195" s="25"/>
      <c r="O195" s="26"/>
      <c r="P195" s="26"/>
    </row>
    <row r="196">
      <c r="A196" s="62"/>
      <c r="B196" s="15"/>
      <c r="C196" s="16"/>
      <c r="D196" s="15"/>
      <c r="E196" s="17"/>
      <c r="F196" s="71"/>
      <c r="G196" s="19"/>
      <c r="H196" s="17"/>
      <c r="I196" s="19"/>
      <c r="J196" s="21"/>
      <c r="K196" s="57"/>
      <c r="L196" s="24"/>
      <c r="M196" s="25"/>
      <c r="N196" s="25"/>
      <c r="O196" s="26"/>
      <c r="P196" s="26"/>
    </row>
    <row r="197">
      <c r="A197" s="52"/>
      <c r="B197" s="15"/>
      <c r="C197" s="16"/>
      <c r="D197" s="15"/>
      <c r="E197" s="17"/>
      <c r="F197" s="18"/>
      <c r="G197" s="19"/>
      <c r="H197" s="17"/>
      <c r="I197" s="19"/>
      <c r="J197" s="21"/>
      <c r="K197" s="57"/>
      <c r="L197" s="24"/>
      <c r="M197" s="25"/>
      <c r="N197" s="25"/>
      <c r="O197" s="26"/>
      <c r="P197" s="26"/>
    </row>
    <row r="198">
      <c r="A198" s="52"/>
      <c r="B198" s="15"/>
      <c r="C198" s="16"/>
      <c r="D198" s="15"/>
      <c r="E198" s="17"/>
      <c r="F198" s="54"/>
      <c r="G198" s="19"/>
      <c r="H198" s="17"/>
      <c r="I198" s="19"/>
      <c r="J198" s="21"/>
      <c r="K198" s="57"/>
      <c r="L198" s="24"/>
      <c r="M198" s="25"/>
      <c r="N198" s="25"/>
      <c r="O198" s="26"/>
      <c r="P198" s="26"/>
    </row>
    <row r="199">
      <c r="A199" s="52"/>
      <c r="B199" s="15"/>
      <c r="C199" s="16"/>
      <c r="D199" s="15"/>
      <c r="E199" s="17"/>
      <c r="F199" s="54"/>
      <c r="G199" s="19"/>
      <c r="H199" s="17"/>
      <c r="I199" s="19"/>
      <c r="J199" s="21"/>
      <c r="K199" s="57"/>
      <c r="L199" s="24"/>
      <c r="M199" s="25"/>
      <c r="N199" s="25"/>
      <c r="O199" s="26"/>
      <c r="P199" s="26"/>
    </row>
    <row r="200">
      <c r="A200" s="52"/>
      <c r="B200" s="15"/>
      <c r="C200" s="16"/>
      <c r="D200" s="15"/>
      <c r="E200" s="17"/>
      <c r="F200" s="54"/>
      <c r="G200" s="19"/>
      <c r="H200" s="17"/>
      <c r="I200" s="19"/>
      <c r="J200" s="21"/>
      <c r="K200" s="57"/>
      <c r="L200" s="24"/>
      <c r="M200" s="25"/>
      <c r="N200" s="25"/>
      <c r="O200" s="26"/>
      <c r="P200" s="26"/>
    </row>
    <row r="201">
      <c r="A201" s="52"/>
      <c r="B201" s="15"/>
      <c r="C201" s="16"/>
      <c r="D201" s="15"/>
      <c r="E201" s="17"/>
      <c r="F201" s="54"/>
      <c r="G201" s="19"/>
      <c r="H201" s="17"/>
      <c r="I201" s="19"/>
      <c r="J201" s="21"/>
      <c r="K201" s="57"/>
      <c r="L201" s="24"/>
      <c r="M201" s="25"/>
      <c r="N201" s="25"/>
      <c r="O201" s="26"/>
      <c r="P201" s="26"/>
    </row>
    <row r="202">
      <c r="A202" s="52"/>
      <c r="B202" s="15"/>
      <c r="C202" s="16"/>
      <c r="D202" s="15"/>
      <c r="E202" s="17"/>
      <c r="F202" s="54"/>
      <c r="G202" s="19"/>
      <c r="H202" s="17"/>
      <c r="I202" s="19"/>
      <c r="J202" s="21"/>
      <c r="K202" s="57"/>
      <c r="L202" s="24"/>
      <c r="M202" s="25"/>
      <c r="N202" s="25"/>
      <c r="O202" s="26"/>
      <c r="P202" s="26"/>
    </row>
    <row r="203">
      <c r="A203" s="52"/>
      <c r="B203" s="15"/>
      <c r="C203" s="16"/>
      <c r="D203" s="15"/>
      <c r="E203" s="17"/>
      <c r="F203" s="54"/>
      <c r="G203" s="19"/>
      <c r="H203" s="17"/>
      <c r="I203" s="19"/>
      <c r="J203" s="21"/>
      <c r="K203" s="57"/>
      <c r="L203" s="24"/>
      <c r="M203" s="25"/>
      <c r="N203" s="25"/>
      <c r="O203" s="26"/>
      <c r="P203" s="26"/>
    </row>
    <row r="204">
      <c r="A204" s="52"/>
      <c r="B204" s="15"/>
      <c r="C204" s="16"/>
      <c r="D204" s="15"/>
      <c r="E204" s="17"/>
      <c r="F204" s="54"/>
      <c r="G204" s="19"/>
      <c r="H204" s="17"/>
      <c r="I204" s="19"/>
      <c r="J204" s="21"/>
      <c r="K204" s="57"/>
      <c r="L204" s="24"/>
      <c r="M204" s="25"/>
      <c r="N204" s="25"/>
      <c r="O204" s="26"/>
      <c r="P204" s="26"/>
    </row>
    <row r="205">
      <c r="A205" s="52"/>
      <c r="B205" s="15"/>
      <c r="C205" s="16"/>
      <c r="D205" s="15"/>
      <c r="E205" s="17"/>
      <c r="F205" s="54"/>
      <c r="G205" s="19"/>
      <c r="H205" s="17"/>
      <c r="I205" s="19"/>
      <c r="J205" s="21"/>
      <c r="K205" s="57"/>
      <c r="L205" s="24"/>
      <c r="M205" s="25"/>
      <c r="N205" s="25"/>
      <c r="O205" s="26"/>
      <c r="P205" s="26"/>
    </row>
    <row r="206">
      <c r="A206" s="52"/>
      <c r="B206" s="15"/>
      <c r="C206" s="16"/>
      <c r="D206" s="15"/>
      <c r="E206" s="17"/>
      <c r="F206" s="54"/>
      <c r="G206" s="19"/>
      <c r="H206" s="17"/>
      <c r="I206" s="19"/>
      <c r="J206" s="21"/>
      <c r="K206" s="57"/>
      <c r="L206" s="24"/>
      <c r="M206" s="25"/>
      <c r="N206" s="25"/>
      <c r="O206" s="26"/>
      <c r="P206" s="26"/>
    </row>
    <row r="207">
      <c r="A207" s="52"/>
      <c r="B207" s="15"/>
      <c r="C207" s="16"/>
      <c r="D207" s="15"/>
      <c r="E207" s="17"/>
      <c r="F207" s="54"/>
      <c r="G207" s="19"/>
      <c r="H207" s="17"/>
      <c r="I207" s="19"/>
      <c r="J207" s="21"/>
      <c r="K207" s="57"/>
      <c r="L207" s="24"/>
      <c r="M207" s="25"/>
      <c r="N207" s="25"/>
      <c r="O207" s="26"/>
      <c r="P207" s="26"/>
    </row>
    <row r="208">
      <c r="A208" s="52"/>
      <c r="B208" s="15"/>
      <c r="C208" s="16"/>
      <c r="D208" s="15"/>
      <c r="E208" s="17"/>
      <c r="F208" s="54"/>
      <c r="G208" s="19"/>
      <c r="H208" s="17"/>
      <c r="I208" s="19"/>
      <c r="J208" s="21"/>
      <c r="K208" s="57"/>
      <c r="L208" s="24"/>
      <c r="M208" s="25"/>
      <c r="N208" s="25"/>
      <c r="O208" s="26"/>
      <c r="P208" s="26"/>
    </row>
    <row r="209">
      <c r="A209" s="52"/>
      <c r="B209" s="15"/>
      <c r="C209" s="16"/>
      <c r="D209" s="15"/>
      <c r="E209" s="17"/>
      <c r="F209" s="54"/>
      <c r="G209" s="19"/>
      <c r="H209" s="17"/>
      <c r="I209" s="19"/>
      <c r="J209" s="21"/>
      <c r="K209" s="57"/>
      <c r="L209" s="24"/>
      <c r="M209" s="25"/>
      <c r="N209" s="25"/>
      <c r="O209" s="26"/>
      <c r="P209" s="26"/>
    </row>
    <row r="210">
      <c r="A210" s="52"/>
      <c r="B210" s="15"/>
      <c r="C210" s="16"/>
      <c r="D210" s="15"/>
      <c r="E210" s="17"/>
      <c r="F210" s="54"/>
      <c r="G210" s="19"/>
      <c r="H210" s="17"/>
      <c r="I210" s="19"/>
      <c r="J210" s="21"/>
      <c r="K210" s="57"/>
      <c r="L210" s="24"/>
      <c r="M210" s="25"/>
      <c r="N210" s="25"/>
      <c r="O210" s="26"/>
      <c r="P210" s="26"/>
    </row>
    <row r="211">
      <c r="A211" s="52"/>
      <c r="B211" s="15"/>
      <c r="C211" s="16"/>
      <c r="D211" s="15"/>
      <c r="E211" s="17"/>
      <c r="F211" s="54"/>
      <c r="G211" s="19"/>
      <c r="H211" s="17"/>
      <c r="I211" s="19"/>
      <c r="J211" s="21"/>
      <c r="K211" s="57"/>
      <c r="L211" s="24"/>
      <c r="M211" s="25"/>
      <c r="N211" s="25"/>
      <c r="O211" s="26"/>
      <c r="P211" s="26"/>
    </row>
    <row r="212">
      <c r="A212" s="52"/>
      <c r="B212" s="15"/>
      <c r="C212" s="16"/>
      <c r="D212" s="15"/>
      <c r="E212" s="17"/>
      <c r="F212" s="54"/>
      <c r="G212" s="19"/>
      <c r="H212" s="17"/>
      <c r="I212" s="19"/>
      <c r="J212" s="21"/>
      <c r="K212" s="57"/>
      <c r="L212" s="24"/>
      <c r="M212" s="25"/>
      <c r="N212" s="25"/>
      <c r="O212" s="26"/>
      <c r="P212" s="26"/>
    </row>
    <row r="213">
      <c r="A213" s="52"/>
      <c r="B213" s="15"/>
      <c r="C213" s="16"/>
      <c r="D213" s="15"/>
      <c r="E213" s="17"/>
      <c r="F213" s="54"/>
      <c r="G213" s="19"/>
      <c r="H213" s="17"/>
      <c r="I213" s="19"/>
      <c r="J213" s="21"/>
      <c r="K213" s="57"/>
      <c r="L213" s="24"/>
      <c r="M213" s="25"/>
      <c r="N213" s="25"/>
      <c r="O213" s="26"/>
      <c r="P213" s="26"/>
    </row>
    <row r="214">
      <c r="A214" s="52"/>
      <c r="B214" s="15"/>
      <c r="C214" s="16"/>
      <c r="D214" s="15"/>
      <c r="E214" s="17"/>
      <c r="F214" s="54"/>
      <c r="G214" s="19"/>
      <c r="H214" s="17"/>
      <c r="I214" s="19"/>
      <c r="J214" s="21"/>
      <c r="K214" s="57"/>
      <c r="L214" s="24"/>
      <c r="M214" s="25"/>
      <c r="N214" s="25"/>
      <c r="O214" s="26"/>
      <c r="P214" s="26"/>
    </row>
    <row r="215">
      <c r="A215" s="52"/>
      <c r="B215" s="15"/>
      <c r="C215" s="16"/>
      <c r="D215" s="15"/>
      <c r="E215" s="17"/>
      <c r="F215" s="54"/>
      <c r="G215" s="19"/>
      <c r="H215" s="17"/>
      <c r="I215" s="19"/>
      <c r="J215" s="21"/>
      <c r="K215" s="57"/>
      <c r="L215" s="24"/>
      <c r="M215" s="25"/>
      <c r="N215" s="25"/>
      <c r="O215" s="26"/>
      <c r="P215" s="26"/>
    </row>
    <row r="216">
      <c r="A216" s="52"/>
      <c r="B216" s="15"/>
      <c r="C216" s="16"/>
      <c r="D216" s="15"/>
      <c r="E216" s="17"/>
      <c r="F216" s="54"/>
      <c r="G216" s="19"/>
      <c r="H216" s="17"/>
      <c r="I216" s="19"/>
      <c r="J216" s="21"/>
      <c r="K216" s="57"/>
      <c r="L216" s="24"/>
      <c r="M216" s="25"/>
      <c r="N216" s="25"/>
      <c r="O216" s="26"/>
      <c r="P216" s="26"/>
    </row>
    <row r="217">
      <c r="A217" s="52"/>
      <c r="B217" s="15"/>
      <c r="C217" s="16"/>
      <c r="D217" s="15"/>
      <c r="E217" s="17"/>
      <c r="F217" s="54"/>
      <c r="G217" s="19"/>
      <c r="H217" s="17"/>
      <c r="I217" s="19"/>
      <c r="J217" s="21"/>
      <c r="K217" s="57"/>
      <c r="L217" s="24"/>
      <c r="M217" s="25"/>
      <c r="N217" s="25"/>
      <c r="O217" s="26"/>
      <c r="P217" s="26"/>
    </row>
    <row r="218">
      <c r="A218" s="52"/>
      <c r="B218" s="15"/>
      <c r="C218" s="16"/>
      <c r="D218" s="15"/>
      <c r="E218" s="17"/>
      <c r="F218" s="54"/>
      <c r="G218" s="19"/>
      <c r="H218" s="17"/>
      <c r="I218" s="19"/>
      <c r="J218" s="21"/>
      <c r="K218" s="57"/>
      <c r="L218" s="24"/>
      <c r="M218" s="25"/>
      <c r="N218" s="25"/>
      <c r="O218" s="26"/>
      <c r="P218" s="26"/>
    </row>
    <row r="219">
      <c r="A219" s="52"/>
      <c r="B219" s="15"/>
      <c r="C219" s="16"/>
      <c r="D219" s="15"/>
      <c r="E219" s="17"/>
      <c r="F219" s="54"/>
      <c r="G219" s="19"/>
      <c r="H219" s="17"/>
      <c r="I219" s="19"/>
      <c r="J219" s="21"/>
      <c r="K219" s="57"/>
      <c r="L219" s="24"/>
      <c r="M219" s="25"/>
      <c r="N219" s="25"/>
      <c r="O219" s="26"/>
      <c r="P219" s="26"/>
    </row>
    <row r="220">
      <c r="A220" s="52"/>
      <c r="B220" s="15"/>
      <c r="C220" s="16"/>
      <c r="D220" s="15"/>
      <c r="E220" s="17"/>
      <c r="F220" s="54"/>
      <c r="G220" s="19"/>
      <c r="H220" s="17"/>
      <c r="I220" s="19"/>
      <c r="J220" s="21"/>
      <c r="K220" s="57"/>
      <c r="L220" s="24"/>
      <c r="M220" s="25"/>
      <c r="N220" s="25"/>
      <c r="O220" s="26"/>
      <c r="P220" s="26"/>
    </row>
    <row r="221">
      <c r="A221" s="52"/>
      <c r="B221" s="15"/>
      <c r="C221" s="16"/>
      <c r="D221" s="15"/>
      <c r="E221" s="17"/>
      <c r="F221" s="54"/>
      <c r="G221" s="19"/>
      <c r="H221" s="17"/>
      <c r="I221" s="19"/>
      <c r="J221" s="21"/>
      <c r="K221" s="57"/>
      <c r="L221" s="24"/>
      <c r="M221" s="25"/>
      <c r="N221" s="25"/>
      <c r="O221" s="26"/>
      <c r="P221" s="26"/>
    </row>
    <row r="222">
      <c r="A222" s="52"/>
      <c r="B222" s="15"/>
      <c r="C222" s="16"/>
      <c r="D222" s="15"/>
      <c r="E222" s="17"/>
      <c r="F222" s="54"/>
      <c r="G222" s="19"/>
      <c r="H222" s="17"/>
      <c r="I222" s="19"/>
      <c r="J222" s="21"/>
      <c r="K222" s="57"/>
      <c r="L222" s="24"/>
      <c r="M222" s="25"/>
      <c r="N222" s="25"/>
      <c r="O222" s="26"/>
      <c r="P222" s="26"/>
    </row>
    <row r="223">
      <c r="A223" s="52"/>
      <c r="B223" s="15"/>
      <c r="C223" s="16"/>
      <c r="D223" s="15"/>
      <c r="E223" s="17"/>
      <c r="F223" s="54"/>
      <c r="G223" s="19"/>
      <c r="H223" s="17"/>
      <c r="I223" s="19"/>
      <c r="J223" s="21"/>
      <c r="K223" s="57"/>
      <c r="L223" s="24"/>
      <c r="M223" s="25"/>
      <c r="N223" s="25"/>
      <c r="O223" s="26"/>
      <c r="P223" s="26"/>
    </row>
    <row r="224">
      <c r="A224" s="52"/>
      <c r="B224" s="15"/>
      <c r="C224" s="16"/>
      <c r="D224" s="15"/>
      <c r="E224" s="17"/>
      <c r="F224" s="54"/>
      <c r="G224" s="19"/>
      <c r="H224" s="17"/>
      <c r="I224" s="19"/>
      <c r="J224" s="21"/>
      <c r="K224" s="57"/>
      <c r="L224" s="24"/>
      <c r="M224" s="25"/>
      <c r="N224" s="25"/>
      <c r="O224" s="26"/>
      <c r="P224" s="26"/>
    </row>
    <row r="225">
      <c r="A225" s="52"/>
      <c r="B225" s="15"/>
      <c r="C225" s="16"/>
      <c r="D225" s="15"/>
      <c r="E225" s="17"/>
      <c r="F225" s="54"/>
      <c r="G225" s="19"/>
      <c r="H225" s="17"/>
      <c r="I225" s="19"/>
      <c r="J225" s="21"/>
      <c r="K225" s="57"/>
      <c r="L225" s="24"/>
      <c r="M225" s="25"/>
      <c r="N225" s="25"/>
      <c r="O225" s="26"/>
      <c r="P225" s="26"/>
    </row>
    <row r="226">
      <c r="A226" s="52"/>
      <c r="B226" s="15"/>
      <c r="C226" s="16"/>
      <c r="D226" s="15"/>
      <c r="E226" s="17"/>
      <c r="F226" s="18"/>
      <c r="G226" s="19"/>
      <c r="H226" s="17"/>
      <c r="I226" s="19"/>
      <c r="J226" s="21"/>
      <c r="K226" s="57"/>
      <c r="L226" s="24"/>
      <c r="M226" s="25"/>
      <c r="N226" s="25"/>
      <c r="O226" s="26"/>
      <c r="P226" s="26"/>
    </row>
    <row r="227">
      <c r="A227" s="52"/>
      <c r="B227" s="15"/>
      <c r="C227" s="16"/>
      <c r="D227" s="15"/>
      <c r="E227" s="17"/>
      <c r="F227" s="54"/>
      <c r="G227" s="19"/>
      <c r="H227" s="17"/>
      <c r="I227" s="19"/>
      <c r="J227" s="21"/>
      <c r="K227" s="57"/>
      <c r="L227" s="24"/>
      <c r="M227" s="25"/>
      <c r="N227" s="25"/>
      <c r="O227" s="26"/>
      <c r="P227" s="26"/>
    </row>
    <row r="228">
      <c r="A228" s="52"/>
      <c r="B228" s="15"/>
      <c r="C228" s="16"/>
      <c r="D228" s="15"/>
      <c r="E228" s="17"/>
      <c r="F228" s="54"/>
      <c r="G228" s="19"/>
      <c r="H228" s="17"/>
      <c r="I228" s="19"/>
      <c r="J228" s="21"/>
      <c r="K228" s="57"/>
      <c r="L228" s="24"/>
      <c r="M228" s="25"/>
      <c r="N228" s="25"/>
      <c r="O228" s="26"/>
      <c r="P228" s="26"/>
    </row>
    <row r="229">
      <c r="A229" s="52"/>
      <c r="B229" s="15"/>
      <c r="C229" s="16"/>
      <c r="D229" s="15"/>
      <c r="E229" s="17"/>
      <c r="F229" s="54"/>
      <c r="G229" s="19"/>
      <c r="H229" s="17"/>
      <c r="I229" s="19"/>
      <c r="J229" s="21"/>
      <c r="K229" s="57"/>
      <c r="L229" s="24"/>
      <c r="M229" s="25"/>
      <c r="N229" s="25"/>
      <c r="O229" s="26"/>
      <c r="P229" s="26"/>
    </row>
    <row r="230">
      <c r="A230" s="52"/>
      <c r="B230" s="15"/>
      <c r="C230" s="16"/>
      <c r="D230" s="15"/>
      <c r="E230" s="17"/>
      <c r="F230" s="54"/>
      <c r="G230" s="19"/>
      <c r="H230" s="17"/>
      <c r="I230" s="19"/>
      <c r="J230" s="21"/>
      <c r="K230" s="57"/>
      <c r="L230" s="24"/>
      <c r="M230" s="25"/>
      <c r="N230" s="25"/>
      <c r="O230" s="26"/>
      <c r="P230" s="26"/>
    </row>
    <row r="231">
      <c r="A231" s="52"/>
      <c r="B231" s="15"/>
      <c r="C231" s="16"/>
      <c r="D231" s="15"/>
      <c r="E231" s="17"/>
      <c r="F231" s="54"/>
      <c r="G231" s="19"/>
      <c r="H231" s="17"/>
      <c r="I231" s="19"/>
      <c r="J231" s="21"/>
      <c r="K231" s="57"/>
      <c r="L231" s="24"/>
      <c r="M231" s="25"/>
      <c r="N231" s="25"/>
      <c r="O231" s="26"/>
      <c r="P231" s="26"/>
    </row>
    <row r="232">
      <c r="A232" s="52"/>
      <c r="B232" s="15"/>
      <c r="C232" s="16"/>
      <c r="D232" s="15"/>
      <c r="E232" s="17"/>
      <c r="F232" s="54"/>
      <c r="G232" s="19"/>
      <c r="H232" s="17"/>
      <c r="I232" s="19"/>
      <c r="J232" s="21"/>
      <c r="K232" s="57"/>
      <c r="L232" s="24"/>
      <c r="M232" s="25"/>
      <c r="N232" s="25"/>
      <c r="O232" s="26"/>
      <c r="P232" s="26"/>
    </row>
    <row r="233">
      <c r="A233" s="52"/>
      <c r="B233" s="15"/>
      <c r="C233" s="16"/>
      <c r="D233" s="15"/>
      <c r="E233" s="17"/>
      <c r="F233" s="54"/>
      <c r="G233" s="19"/>
      <c r="H233" s="17"/>
      <c r="I233" s="19"/>
      <c r="J233" s="21"/>
      <c r="K233" s="57"/>
      <c r="L233" s="24"/>
      <c r="M233" s="25"/>
      <c r="N233" s="25"/>
      <c r="O233" s="26"/>
      <c r="P233" s="26"/>
    </row>
    <row r="234">
      <c r="A234" s="52"/>
      <c r="B234" s="15"/>
      <c r="C234" s="16"/>
      <c r="D234" s="15"/>
      <c r="E234" s="17"/>
      <c r="F234" s="54"/>
      <c r="G234" s="19"/>
      <c r="H234" s="17"/>
      <c r="I234" s="19"/>
      <c r="J234" s="21"/>
      <c r="K234" s="57"/>
      <c r="L234" s="24"/>
      <c r="M234" s="25"/>
      <c r="N234" s="25"/>
      <c r="O234" s="26"/>
      <c r="P234" s="26"/>
    </row>
    <row r="235">
      <c r="A235" s="52"/>
      <c r="B235" s="15"/>
      <c r="C235" s="16"/>
      <c r="D235" s="15"/>
      <c r="E235" s="17"/>
      <c r="F235" s="54"/>
      <c r="G235" s="19"/>
      <c r="H235" s="17"/>
      <c r="I235" s="19"/>
      <c r="J235" s="21"/>
      <c r="K235" s="57"/>
      <c r="L235" s="24"/>
      <c r="M235" s="25"/>
      <c r="N235" s="25"/>
      <c r="O235" s="26"/>
      <c r="P235" s="26"/>
    </row>
    <row r="236">
      <c r="A236" s="52"/>
      <c r="B236" s="15"/>
      <c r="C236" s="16"/>
      <c r="D236" s="15"/>
      <c r="E236" s="17"/>
      <c r="F236" s="54"/>
      <c r="G236" s="19"/>
      <c r="H236" s="17"/>
      <c r="I236" s="19"/>
      <c r="J236" s="21"/>
      <c r="K236" s="57"/>
      <c r="L236" s="24"/>
      <c r="M236" s="25"/>
      <c r="N236" s="25"/>
      <c r="O236" s="26"/>
      <c r="P236" s="26"/>
    </row>
    <row r="237">
      <c r="A237" s="52"/>
      <c r="B237" s="15"/>
      <c r="C237" s="16"/>
      <c r="D237" s="15"/>
      <c r="E237" s="17"/>
      <c r="F237" s="54"/>
      <c r="G237" s="19"/>
      <c r="H237" s="17"/>
      <c r="I237" s="19"/>
      <c r="J237" s="21"/>
      <c r="K237" s="57"/>
      <c r="L237" s="24"/>
      <c r="M237" s="25"/>
      <c r="N237" s="25"/>
      <c r="O237" s="26"/>
      <c r="P237" s="26"/>
    </row>
    <row r="238">
      <c r="A238" s="52"/>
      <c r="B238" s="15"/>
      <c r="C238" s="16"/>
      <c r="D238" s="15"/>
      <c r="E238" s="17"/>
      <c r="F238" s="54"/>
      <c r="G238" s="19"/>
      <c r="H238" s="17"/>
      <c r="I238" s="19"/>
      <c r="J238" s="21"/>
      <c r="K238" s="57"/>
      <c r="L238" s="24"/>
      <c r="M238" s="25"/>
      <c r="N238" s="25"/>
      <c r="O238" s="26"/>
      <c r="P238" s="26"/>
    </row>
    <row r="239">
      <c r="A239" s="52"/>
      <c r="B239" s="15"/>
      <c r="C239" s="16"/>
      <c r="D239" s="15"/>
      <c r="E239" s="17"/>
      <c r="F239" s="54"/>
      <c r="G239" s="19"/>
      <c r="H239" s="17"/>
      <c r="I239" s="19"/>
      <c r="J239" s="21"/>
      <c r="K239" s="57"/>
      <c r="L239" s="24"/>
      <c r="M239" s="25"/>
      <c r="N239" s="25"/>
      <c r="O239" s="26"/>
      <c r="P239" s="26"/>
    </row>
    <row r="240">
      <c r="A240" s="52"/>
      <c r="B240" s="15"/>
      <c r="C240" s="16"/>
      <c r="D240" s="15"/>
      <c r="E240" s="17"/>
      <c r="F240" s="54"/>
      <c r="G240" s="19"/>
      <c r="H240" s="17"/>
      <c r="I240" s="19"/>
      <c r="J240" s="21"/>
      <c r="K240" s="57"/>
      <c r="L240" s="24"/>
      <c r="M240" s="25"/>
      <c r="N240" s="25"/>
      <c r="O240" s="26"/>
      <c r="P240" s="26"/>
    </row>
    <row r="241">
      <c r="A241" s="52"/>
      <c r="B241" s="15"/>
      <c r="C241" s="16"/>
      <c r="D241" s="15"/>
      <c r="E241" s="17"/>
      <c r="F241" s="54"/>
      <c r="G241" s="19"/>
      <c r="H241" s="17"/>
      <c r="I241" s="19"/>
      <c r="J241" s="21"/>
      <c r="K241" s="57"/>
      <c r="L241" s="24"/>
      <c r="M241" s="25"/>
      <c r="N241" s="25"/>
      <c r="O241" s="26"/>
      <c r="P241" s="26"/>
    </row>
    <row r="242">
      <c r="A242" s="62"/>
      <c r="B242" s="15"/>
      <c r="C242" s="16"/>
      <c r="D242" s="15"/>
      <c r="E242" s="17"/>
      <c r="F242" s="71"/>
      <c r="G242" s="19"/>
      <c r="H242" s="17"/>
      <c r="I242" s="19"/>
      <c r="J242" s="21"/>
      <c r="K242" s="57"/>
      <c r="L242" s="24"/>
      <c r="M242" s="25"/>
      <c r="N242" s="25"/>
      <c r="O242" s="26"/>
      <c r="P242" s="26"/>
    </row>
    <row r="243">
      <c r="A243" s="52"/>
      <c r="B243" s="15"/>
      <c r="C243" s="16"/>
      <c r="D243" s="15"/>
      <c r="E243" s="17"/>
      <c r="F243" s="54"/>
      <c r="G243" s="19"/>
      <c r="H243" s="17"/>
      <c r="I243" s="19"/>
      <c r="J243" s="21"/>
      <c r="K243" s="57"/>
      <c r="L243" s="24"/>
      <c r="M243" s="25"/>
      <c r="N243" s="25"/>
      <c r="O243" s="26"/>
      <c r="P243" s="26"/>
    </row>
    <row r="244">
      <c r="A244" s="52"/>
      <c r="B244" s="15"/>
      <c r="C244" s="16"/>
      <c r="D244" s="15"/>
      <c r="E244" s="17"/>
      <c r="F244" s="54"/>
      <c r="G244" s="19"/>
      <c r="H244" s="17"/>
      <c r="I244" s="19"/>
      <c r="J244" s="21"/>
      <c r="K244" s="57"/>
      <c r="L244" s="24"/>
      <c r="M244" s="25"/>
      <c r="N244" s="25"/>
      <c r="O244" s="26"/>
      <c r="P244" s="26"/>
    </row>
    <row r="245">
      <c r="A245" s="52"/>
      <c r="B245" s="15"/>
      <c r="C245" s="16"/>
      <c r="D245" s="15"/>
      <c r="E245" s="17"/>
      <c r="F245" s="54"/>
      <c r="G245" s="19"/>
      <c r="H245" s="17"/>
      <c r="I245" s="19"/>
      <c r="J245" s="21"/>
      <c r="K245" s="57"/>
      <c r="L245" s="24"/>
      <c r="M245" s="25"/>
      <c r="N245" s="25"/>
      <c r="O245" s="26"/>
      <c r="P245" s="26"/>
    </row>
    <row r="246">
      <c r="A246" s="52"/>
      <c r="B246" s="15"/>
      <c r="C246" s="16"/>
      <c r="D246" s="15"/>
      <c r="E246" s="17"/>
      <c r="F246" s="54"/>
      <c r="G246" s="19"/>
      <c r="H246" s="17"/>
      <c r="I246" s="19"/>
      <c r="J246" s="21"/>
      <c r="K246" s="57"/>
      <c r="L246" s="24"/>
      <c r="M246" s="25"/>
      <c r="N246" s="25"/>
      <c r="O246" s="26"/>
      <c r="P246" s="26"/>
    </row>
    <row r="247">
      <c r="A247" s="52"/>
      <c r="B247" s="15"/>
      <c r="C247" s="16"/>
      <c r="D247" s="15"/>
      <c r="E247" s="17"/>
      <c r="F247" s="54"/>
      <c r="G247" s="19"/>
      <c r="H247" s="17"/>
      <c r="I247" s="19"/>
      <c r="J247" s="21"/>
      <c r="K247" s="57"/>
      <c r="L247" s="24"/>
      <c r="M247" s="25"/>
      <c r="N247" s="25"/>
      <c r="O247" s="26"/>
      <c r="P247" s="26"/>
    </row>
    <row r="248">
      <c r="A248" s="52"/>
      <c r="B248" s="15"/>
      <c r="C248" s="16"/>
      <c r="D248" s="15"/>
      <c r="E248" s="17"/>
      <c r="F248" s="54"/>
      <c r="G248" s="19"/>
      <c r="H248" s="17"/>
      <c r="I248" s="19"/>
      <c r="J248" s="21"/>
      <c r="K248" s="57"/>
      <c r="L248" s="24"/>
      <c r="M248" s="25"/>
      <c r="N248" s="25"/>
      <c r="O248" s="26"/>
      <c r="P248" s="26"/>
    </row>
    <row r="249">
      <c r="A249" s="52"/>
      <c r="B249" s="15"/>
      <c r="C249" s="16"/>
      <c r="D249" s="15"/>
      <c r="E249" s="17"/>
      <c r="F249" s="18"/>
      <c r="G249" s="19"/>
      <c r="H249" s="17"/>
      <c r="I249" s="19"/>
      <c r="J249" s="21"/>
      <c r="K249" s="57"/>
      <c r="L249" s="24"/>
      <c r="M249" s="25"/>
      <c r="N249" s="25"/>
      <c r="O249" s="26"/>
      <c r="P249" s="26"/>
    </row>
    <row r="250">
      <c r="A250" s="52"/>
      <c r="B250" s="15"/>
      <c r="C250" s="16"/>
      <c r="D250" s="15"/>
      <c r="E250" s="17"/>
      <c r="F250" s="54"/>
      <c r="G250" s="19"/>
      <c r="H250" s="17"/>
      <c r="I250" s="19"/>
      <c r="J250" s="21"/>
      <c r="K250" s="57"/>
      <c r="L250" s="24"/>
      <c r="M250" s="25"/>
      <c r="N250" s="25"/>
      <c r="O250" s="26"/>
      <c r="P250" s="26"/>
    </row>
    <row r="251">
      <c r="A251" s="52"/>
      <c r="B251" s="15"/>
      <c r="C251" s="16"/>
      <c r="D251" s="15"/>
      <c r="E251" s="17"/>
      <c r="F251" s="54"/>
      <c r="G251" s="19"/>
      <c r="H251" s="17"/>
      <c r="I251" s="19"/>
      <c r="J251" s="21"/>
      <c r="K251" s="57"/>
      <c r="L251" s="24"/>
      <c r="M251" s="25"/>
      <c r="N251" s="25"/>
      <c r="O251" s="26"/>
      <c r="P251" s="26"/>
    </row>
    <row r="252">
      <c r="A252" s="52"/>
      <c r="B252" s="15"/>
      <c r="C252" s="16"/>
      <c r="D252" s="15"/>
      <c r="E252" s="17"/>
      <c r="F252" s="54"/>
      <c r="G252" s="19"/>
      <c r="H252" s="17"/>
      <c r="I252" s="19"/>
      <c r="J252" s="21"/>
      <c r="K252" s="57"/>
      <c r="L252" s="24"/>
      <c r="M252" s="25"/>
      <c r="N252" s="25"/>
      <c r="O252" s="26"/>
      <c r="P252" s="26"/>
    </row>
    <row r="253">
      <c r="A253" s="52"/>
      <c r="B253" s="15"/>
      <c r="C253" s="16"/>
      <c r="D253" s="15"/>
      <c r="E253" s="17"/>
      <c r="F253" s="54"/>
      <c r="G253" s="19"/>
      <c r="H253" s="17"/>
      <c r="I253" s="19"/>
      <c r="J253" s="21"/>
      <c r="K253" s="57"/>
      <c r="L253" s="24"/>
      <c r="M253" s="25"/>
      <c r="N253" s="25"/>
      <c r="O253" s="26"/>
      <c r="P253" s="26"/>
    </row>
    <row r="254">
      <c r="A254" s="52"/>
      <c r="B254" s="15"/>
      <c r="C254" s="16"/>
      <c r="D254" s="15"/>
      <c r="E254" s="17"/>
      <c r="F254" s="54"/>
      <c r="G254" s="19"/>
      <c r="H254" s="17"/>
      <c r="I254" s="19"/>
      <c r="J254" s="21"/>
      <c r="K254" s="57"/>
      <c r="L254" s="24"/>
      <c r="M254" s="25"/>
      <c r="N254" s="25"/>
      <c r="O254" s="26"/>
      <c r="P254" s="26"/>
    </row>
    <row r="255">
      <c r="A255" s="52"/>
      <c r="B255" s="15"/>
      <c r="C255" s="16"/>
      <c r="D255" s="15"/>
      <c r="E255" s="17"/>
      <c r="F255" s="54"/>
      <c r="G255" s="19"/>
      <c r="H255" s="17"/>
      <c r="I255" s="19"/>
      <c r="J255" s="21"/>
      <c r="K255" s="57"/>
      <c r="L255" s="24"/>
      <c r="M255" s="25"/>
      <c r="N255" s="25"/>
      <c r="O255" s="26"/>
      <c r="P255" s="26"/>
    </row>
    <row r="256">
      <c r="A256" s="52"/>
      <c r="B256" s="15"/>
      <c r="C256" s="16"/>
      <c r="D256" s="15"/>
      <c r="E256" s="17"/>
      <c r="F256" s="54"/>
      <c r="G256" s="19"/>
      <c r="H256" s="17"/>
      <c r="I256" s="19"/>
      <c r="J256" s="21"/>
      <c r="K256" s="57"/>
      <c r="L256" s="24"/>
      <c r="M256" s="25"/>
      <c r="N256" s="25"/>
      <c r="O256" s="26"/>
      <c r="P256" s="26"/>
    </row>
    <row r="257">
      <c r="A257" s="52"/>
      <c r="B257" s="15"/>
      <c r="C257" s="16"/>
      <c r="D257" s="15"/>
      <c r="E257" s="17"/>
      <c r="F257" s="54"/>
      <c r="G257" s="19"/>
      <c r="H257" s="17"/>
      <c r="I257" s="19"/>
      <c r="J257" s="21"/>
      <c r="K257" s="57"/>
      <c r="L257" s="24"/>
      <c r="M257" s="25"/>
      <c r="N257" s="25"/>
      <c r="O257" s="26"/>
      <c r="P257" s="26"/>
    </row>
    <row r="258">
      <c r="A258" s="52"/>
      <c r="B258" s="15"/>
      <c r="C258" s="16"/>
      <c r="D258" s="15"/>
      <c r="E258" s="17"/>
      <c r="F258" s="54"/>
      <c r="G258" s="19"/>
      <c r="H258" s="17"/>
      <c r="I258" s="19"/>
      <c r="J258" s="21"/>
      <c r="K258" s="57"/>
      <c r="L258" s="24"/>
      <c r="M258" s="25"/>
      <c r="N258" s="25"/>
      <c r="O258" s="26"/>
      <c r="P258" s="26"/>
    </row>
    <row r="259">
      <c r="A259" s="52"/>
      <c r="B259" s="15"/>
      <c r="C259" s="16"/>
      <c r="D259" s="15"/>
      <c r="E259" s="17"/>
      <c r="F259" s="54"/>
      <c r="G259" s="19"/>
      <c r="H259" s="17"/>
      <c r="I259" s="19"/>
      <c r="J259" s="21"/>
      <c r="K259" s="57"/>
      <c r="L259" s="24"/>
      <c r="M259" s="25"/>
      <c r="N259" s="25"/>
      <c r="O259" s="26"/>
      <c r="P259" s="26"/>
    </row>
    <row r="260">
      <c r="A260" s="52"/>
      <c r="B260" s="15"/>
      <c r="C260" s="16"/>
      <c r="D260" s="15"/>
      <c r="E260" s="17"/>
      <c r="F260" s="54"/>
      <c r="G260" s="19"/>
      <c r="H260" s="17"/>
      <c r="I260" s="19"/>
      <c r="J260" s="21"/>
      <c r="K260" s="57"/>
      <c r="L260" s="24"/>
      <c r="M260" s="25"/>
      <c r="N260" s="25"/>
      <c r="O260" s="26"/>
      <c r="P260" s="26"/>
    </row>
    <row r="261">
      <c r="A261" s="52"/>
      <c r="B261" s="15"/>
      <c r="C261" s="16"/>
      <c r="D261" s="15"/>
      <c r="E261" s="17"/>
      <c r="F261" s="54"/>
      <c r="G261" s="19"/>
      <c r="H261" s="17"/>
      <c r="I261" s="19"/>
      <c r="J261" s="21"/>
      <c r="K261" s="57"/>
      <c r="L261" s="24"/>
      <c r="M261" s="72"/>
      <c r="N261" s="72"/>
      <c r="O261" s="73"/>
      <c r="P261" s="73"/>
    </row>
    <row r="262">
      <c r="A262" s="52"/>
      <c r="B262" s="15"/>
      <c r="C262" s="16"/>
      <c r="D262" s="15"/>
      <c r="E262" s="17"/>
      <c r="F262" s="74"/>
      <c r="G262" s="19"/>
      <c r="H262" s="17"/>
      <c r="I262" s="19"/>
      <c r="J262" s="21"/>
      <c r="K262" s="57"/>
      <c r="L262" s="24"/>
      <c r="M262" s="25"/>
      <c r="N262" s="25"/>
      <c r="O262" s="26"/>
      <c r="P262" s="26"/>
    </row>
    <row r="263">
      <c r="A263" s="52"/>
      <c r="B263" s="15"/>
      <c r="C263" s="16"/>
      <c r="D263" s="15"/>
      <c r="E263" s="17"/>
      <c r="F263" s="54"/>
      <c r="G263" s="19"/>
      <c r="H263" s="17"/>
      <c r="I263" s="19"/>
      <c r="J263" s="21"/>
      <c r="K263" s="57"/>
      <c r="L263" s="24"/>
      <c r="M263" s="25"/>
      <c r="N263" s="25"/>
      <c r="O263" s="26"/>
      <c r="P263" s="26"/>
    </row>
    <row r="264">
      <c r="A264" s="52"/>
      <c r="B264" s="15"/>
      <c r="C264" s="16"/>
      <c r="D264" s="15"/>
      <c r="E264" s="17"/>
      <c r="F264" s="54"/>
      <c r="G264" s="19"/>
      <c r="H264" s="17"/>
      <c r="I264" s="19"/>
      <c r="J264" s="21"/>
      <c r="K264" s="57"/>
      <c r="L264" s="24"/>
      <c r="M264" s="25"/>
      <c r="N264" s="25"/>
      <c r="O264" s="26"/>
      <c r="P264" s="26"/>
    </row>
    <row r="265">
      <c r="A265" s="52"/>
      <c r="B265" s="15"/>
      <c r="C265" s="16"/>
      <c r="D265" s="15"/>
      <c r="E265" s="17"/>
      <c r="F265" s="54"/>
      <c r="G265" s="19"/>
      <c r="H265" s="17"/>
      <c r="I265" s="19"/>
      <c r="J265" s="21"/>
      <c r="K265" s="57"/>
      <c r="L265" s="24"/>
      <c r="M265" s="25"/>
      <c r="N265" s="25"/>
      <c r="O265" s="26"/>
      <c r="P265" s="26"/>
    </row>
    <row r="266">
      <c r="A266" s="52"/>
      <c r="B266" s="15"/>
      <c r="C266" s="16"/>
      <c r="D266" s="15"/>
      <c r="E266" s="17"/>
      <c r="F266" s="54"/>
      <c r="G266" s="19"/>
      <c r="H266" s="17"/>
      <c r="I266" s="19"/>
      <c r="J266" s="21"/>
      <c r="K266" s="57"/>
      <c r="L266" s="24"/>
      <c r="M266" s="25"/>
      <c r="N266" s="25"/>
      <c r="O266" s="26"/>
      <c r="P266" s="26"/>
    </row>
    <row r="267">
      <c r="A267" s="52"/>
      <c r="B267" s="15"/>
      <c r="C267" s="16"/>
      <c r="D267" s="15"/>
      <c r="E267" s="17"/>
      <c r="F267" s="54"/>
      <c r="G267" s="19"/>
      <c r="H267" s="17"/>
      <c r="I267" s="19"/>
      <c r="J267" s="21"/>
      <c r="K267" s="57"/>
      <c r="L267" s="24"/>
      <c r="M267" s="25"/>
      <c r="N267" s="25"/>
      <c r="O267" s="26"/>
      <c r="P267" s="26"/>
    </row>
    <row r="268">
      <c r="A268" s="52"/>
      <c r="B268" s="15"/>
      <c r="C268" s="16"/>
      <c r="D268" s="15"/>
      <c r="E268" s="17"/>
      <c r="F268" s="54"/>
      <c r="G268" s="19"/>
      <c r="H268" s="17"/>
      <c r="I268" s="19"/>
      <c r="J268" s="21"/>
      <c r="K268" s="57"/>
      <c r="L268" s="24"/>
      <c r="M268" s="25"/>
      <c r="N268" s="25"/>
      <c r="O268" s="26"/>
      <c r="P268" s="26"/>
    </row>
    <row r="269">
      <c r="A269" s="52"/>
      <c r="B269" s="15"/>
      <c r="C269" s="16"/>
      <c r="D269" s="15"/>
      <c r="E269" s="17"/>
      <c r="F269" s="54"/>
      <c r="G269" s="19"/>
      <c r="H269" s="17"/>
      <c r="I269" s="19"/>
      <c r="J269" s="21"/>
      <c r="K269" s="57"/>
      <c r="L269" s="24"/>
      <c r="M269" s="25"/>
      <c r="N269" s="25"/>
      <c r="O269" s="26"/>
      <c r="P269" s="26"/>
    </row>
    <row r="270">
      <c r="A270" s="52"/>
      <c r="B270" s="15"/>
      <c r="C270" s="16"/>
      <c r="D270" s="15"/>
      <c r="E270" s="17"/>
      <c r="F270" s="54"/>
      <c r="G270" s="19"/>
      <c r="H270" s="17"/>
      <c r="I270" s="19"/>
      <c r="J270" s="21"/>
      <c r="K270" s="57"/>
      <c r="L270" s="24"/>
      <c r="M270" s="25"/>
      <c r="N270" s="25"/>
      <c r="O270" s="26"/>
      <c r="P270" s="26"/>
    </row>
    <row r="271">
      <c r="A271" s="52"/>
      <c r="B271" s="15"/>
      <c r="C271" s="16"/>
      <c r="D271" s="15"/>
      <c r="E271" s="17"/>
      <c r="F271" s="54"/>
      <c r="G271" s="19"/>
      <c r="H271" s="17"/>
      <c r="I271" s="19"/>
      <c r="J271" s="21"/>
      <c r="K271" s="57"/>
      <c r="L271" s="24"/>
      <c r="M271" s="25"/>
      <c r="N271" s="25"/>
      <c r="O271" s="26"/>
      <c r="P271" s="26"/>
    </row>
    <row r="272">
      <c r="A272" s="52"/>
      <c r="B272" s="15"/>
      <c r="C272" s="16"/>
      <c r="D272" s="15"/>
      <c r="E272" s="17"/>
      <c r="F272" s="18"/>
      <c r="G272" s="19"/>
      <c r="H272" s="17"/>
      <c r="I272" s="19"/>
      <c r="J272" s="21"/>
      <c r="K272" s="57"/>
      <c r="L272" s="24"/>
      <c r="M272" s="25"/>
      <c r="N272" s="25"/>
      <c r="O272" s="26"/>
      <c r="P272" s="26"/>
    </row>
    <row r="273">
      <c r="A273" s="52"/>
      <c r="B273" s="15"/>
      <c r="C273" s="16"/>
      <c r="D273" s="15"/>
      <c r="E273" s="17"/>
      <c r="F273" s="18"/>
      <c r="G273" s="19"/>
      <c r="H273" s="17"/>
      <c r="I273" s="19"/>
      <c r="J273" s="21"/>
      <c r="K273" s="57"/>
      <c r="L273" s="24"/>
      <c r="M273" s="25"/>
      <c r="N273" s="25"/>
      <c r="O273" s="26"/>
      <c r="P273" s="26"/>
    </row>
    <row r="274">
      <c r="A274" s="52"/>
      <c r="B274" s="15"/>
      <c r="C274" s="16"/>
      <c r="D274" s="15"/>
      <c r="E274" s="17"/>
      <c r="F274" s="54"/>
      <c r="G274" s="19"/>
      <c r="H274" s="17"/>
      <c r="I274" s="19"/>
      <c r="J274" s="21"/>
      <c r="K274" s="57"/>
      <c r="L274" s="24"/>
      <c r="M274" s="25"/>
      <c r="N274" s="25"/>
      <c r="O274" s="26"/>
      <c r="P274" s="26"/>
    </row>
    <row r="275">
      <c r="A275" s="52"/>
      <c r="B275" s="15"/>
      <c r="C275" s="16"/>
      <c r="D275" s="15"/>
      <c r="E275" s="17"/>
      <c r="F275" s="54"/>
      <c r="G275" s="19"/>
      <c r="H275" s="17"/>
      <c r="I275" s="19"/>
      <c r="J275" s="21"/>
      <c r="K275" s="57"/>
      <c r="L275" s="24"/>
      <c r="M275" s="25"/>
      <c r="N275" s="25"/>
      <c r="O275" s="26"/>
      <c r="P275" s="26"/>
    </row>
    <row r="276">
      <c r="A276" s="52"/>
      <c r="B276" s="15"/>
      <c r="C276" s="16"/>
      <c r="D276" s="15"/>
      <c r="E276" s="17"/>
      <c r="F276" s="54"/>
      <c r="G276" s="19"/>
      <c r="H276" s="17"/>
      <c r="I276" s="19"/>
      <c r="J276" s="21"/>
      <c r="K276" s="57"/>
      <c r="L276" s="24"/>
      <c r="M276" s="25"/>
      <c r="N276" s="25"/>
      <c r="O276" s="26"/>
      <c r="P276" s="26"/>
    </row>
    <row r="277">
      <c r="A277" s="52"/>
      <c r="B277" s="15"/>
      <c r="C277" s="16"/>
      <c r="D277" s="15"/>
      <c r="E277" s="17"/>
      <c r="F277" s="54"/>
      <c r="G277" s="19"/>
      <c r="H277" s="17"/>
      <c r="I277" s="19"/>
      <c r="J277" s="21"/>
      <c r="K277" s="57"/>
      <c r="L277" s="24"/>
      <c r="M277" s="26"/>
      <c r="N277" s="25"/>
      <c r="O277" s="26"/>
      <c r="P277" s="26"/>
    </row>
    <row r="278">
      <c r="A278" s="52"/>
      <c r="B278" s="15"/>
      <c r="C278" s="16"/>
      <c r="D278" s="15"/>
      <c r="E278" s="17"/>
      <c r="F278" s="54"/>
      <c r="G278" s="19"/>
      <c r="H278" s="17"/>
      <c r="I278" s="19"/>
      <c r="J278" s="21"/>
      <c r="K278" s="57"/>
      <c r="L278" s="24"/>
      <c r="M278" s="25"/>
      <c r="N278" s="25"/>
      <c r="O278" s="26"/>
      <c r="P278" s="26"/>
    </row>
    <row r="279">
      <c r="A279" s="52"/>
      <c r="B279" s="15"/>
      <c r="C279" s="16"/>
      <c r="D279" s="15"/>
      <c r="E279" s="17"/>
      <c r="F279" s="54"/>
      <c r="G279" s="19"/>
      <c r="H279" s="17"/>
      <c r="I279" s="19"/>
      <c r="J279" s="21"/>
      <c r="K279" s="57"/>
      <c r="L279" s="24"/>
      <c r="M279" s="25"/>
      <c r="N279" s="25"/>
      <c r="O279" s="26"/>
      <c r="P279" s="26"/>
    </row>
    <row r="280">
      <c r="A280" s="52"/>
      <c r="B280" s="15"/>
      <c r="C280" s="16"/>
      <c r="D280" s="15"/>
      <c r="E280" s="17"/>
      <c r="F280" s="54"/>
      <c r="G280" s="19"/>
      <c r="H280" s="17"/>
      <c r="I280" s="19"/>
      <c r="J280" s="21"/>
      <c r="K280" s="57"/>
      <c r="L280" s="24"/>
      <c r="M280" s="25"/>
      <c r="N280" s="25"/>
      <c r="O280" s="26"/>
      <c r="P280" s="26"/>
    </row>
    <row r="281">
      <c r="A281" s="52"/>
      <c r="B281" s="15"/>
      <c r="C281" s="16"/>
      <c r="D281" s="15"/>
      <c r="E281" s="17"/>
      <c r="F281" s="54"/>
      <c r="G281" s="19"/>
      <c r="H281" s="17"/>
      <c r="I281" s="19"/>
      <c r="J281" s="21"/>
      <c r="K281" s="57"/>
      <c r="L281" s="24"/>
      <c r="M281" s="25"/>
      <c r="N281" s="25"/>
      <c r="O281" s="26"/>
      <c r="P281" s="26"/>
    </row>
    <row r="282">
      <c r="A282" s="52"/>
      <c r="B282" s="15"/>
      <c r="C282" s="16"/>
      <c r="D282" s="15"/>
      <c r="E282" s="17"/>
      <c r="F282" s="18"/>
      <c r="G282" s="19"/>
      <c r="H282" s="17"/>
      <c r="I282" s="19"/>
      <c r="J282" s="21"/>
      <c r="K282" s="57"/>
      <c r="L282" s="24"/>
      <c r="M282" s="25"/>
      <c r="N282" s="25"/>
      <c r="O282" s="26"/>
      <c r="P282" s="26"/>
    </row>
    <row r="283">
      <c r="A283" s="52"/>
      <c r="B283" s="15"/>
      <c r="C283" s="16"/>
      <c r="D283" s="15"/>
      <c r="E283" s="17"/>
      <c r="F283" s="54"/>
      <c r="G283" s="19"/>
      <c r="H283" s="17"/>
      <c r="I283" s="19"/>
      <c r="J283" s="21"/>
      <c r="K283" s="57"/>
      <c r="L283" s="24"/>
      <c r="M283" s="25"/>
      <c r="N283" s="25"/>
      <c r="O283" s="26"/>
      <c r="P283" s="26"/>
    </row>
    <row r="284">
      <c r="A284" s="52"/>
      <c r="B284" s="15"/>
      <c r="C284" s="16"/>
      <c r="D284" s="15"/>
      <c r="E284" s="17"/>
      <c r="F284" s="54"/>
      <c r="G284" s="19"/>
      <c r="H284" s="17"/>
      <c r="I284" s="19"/>
      <c r="J284" s="21"/>
      <c r="K284" s="57"/>
      <c r="L284" s="24"/>
      <c r="M284" s="25"/>
      <c r="N284" s="25"/>
      <c r="O284" s="26"/>
      <c r="P284" s="26"/>
    </row>
    <row r="285">
      <c r="A285" s="52"/>
      <c r="B285" s="15"/>
      <c r="C285" s="16"/>
      <c r="D285" s="15"/>
      <c r="E285" s="17"/>
      <c r="F285" s="54"/>
      <c r="G285" s="19"/>
      <c r="H285" s="17"/>
      <c r="I285" s="19"/>
      <c r="J285" s="21"/>
      <c r="K285" s="57"/>
      <c r="L285" s="24"/>
      <c r="M285" s="25"/>
      <c r="N285" s="25"/>
      <c r="O285" s="26"/>
      <c r="P285" s="26"/>
    </row>
    <row r="286">
      <c r="A286" s="52"/>
      <c r="B286" s="15"/>
      <c r="C286" s="16"/>
      <c r="D286" s="15"/>
      <c r="E286" s="17"/>
      <c r="F286" s="54"/>
      <c r="G286" s="19"/>
      <c r="H286" s="17"/>
      <c r="I286" s="19"/>
      <c r="J286" s="21"/>
      <c r="K286" s="57"/>
      <c r="L286" s="24"/>
      <c r="M286" s="25"/>
      <c r="N286" s="25"/>
      <c r="O286" s="26"/>
      <c r="P286" s="26"/>
    </row>
    <row r="287">
      <c r="A287" s="52"/>
      <c r="B287" s="15"/>
      <c r="C287" s="16"/>
      <c r="D287" s="15"/>
      <c r="E287" s="17"/>
      <c r="F287" s="54"/>
      <c r="G287" s="19"/>
      <c r="H287" s="17"/>
      <c r="I287" s="19"/>
      <c r="J287" s="21"/>
      <c r="K287" s="57"/>
      <c r="L287" s="24"/>
      <c r="M287" s="25"/>
      <c r="N287" s="25"/>
      <c r="O287" s="26"/>
      <c r="P287" s="26"/>
    </row>
    <row r="288">
      <c r="A288" s="52"/>
      <c r="B288" s="15"/>
      <c r="C288" s="16"/>
      <c r="D288" s="15"/>
      <c r="E288" s="17"/>
      <c r="F288" s="54"/>
      <c r="G288" s="19"/>
      <c r="H288" s="17"/>
      <c r="I288" s="19"/>
      <c r="J288" s="21"/>
      <c r="K288" s="57"/>
      <c r="L288" s="24"/>
      <c r="M288" s="25"/>
      <c r="N288" s="25"/>
      <c r="O288" s="26"/>
      <c r="P288" s="26"/>
    </row>
    <row r="289">
      <c r="A289" s="52"/>
      <c r="B289" s="15"/>
      <c r="C289" s="16"/>
      <c r="D289" s="15"/>
      <c r="E289" s="17"/>
      <c r="F289" s="54"/>
      <c r="G289" s="19"/>
      <c r="H289" s="17"/>
      <c r="I289" s="19"/>
      <c r="J289" s="21"/>
      <c r="K289" s="57"/>
      <c r="L289" s="24"/>
      <c r="M289" s="25"/>
      <c r="N289" s="25"/>
      <c r="O289" s="26"/>
      <c r="P289" s="26"/>
    </row>
    <row r="290">
      <c r="A290" s="52"/>
      <c r="B290" s="15"/>
      <c r="C290" s="16"/>
      <c r="D290" s="15"/>
      <c r="E290" s="17"/>
      <c r="F290" s="54"/>
      <c r="G290" s="19"/>
      <c r="H290" s="17"/>
      <c r="I290" s="19"/>
      <c r="J290" s="21"/>
      <c r="K290" s="57"/>
      <c r="L290" s="24"/>
      <c r="M290" s="25"/>
      <c r="N290" s="25"/>
      <c r="O290" s="26"/>
      <c r="P290" s="26"/>
    </row>
    <row r="291">
      <c r="A291" s="52"/>
      <c r="B291" s="15"/>
      <c r="C291" s="16"/>
      <c r="D291" s="15"/>
      <c r="E291" s="17"/>
      <c r="F291" s="54"/>
      <c r="G291" s="19"/>
      <c r="H291" s="17"/>
      <c r="I291" s="19"/>
      <c r="J291" s="21"/>
      <c r="K291" s="57"/>
      <c r="L291" s="24"/>
      <c r="M291" s="25"/>
      <c r="N291" s="25"/>
      <c r="O291" s="26"/>
      <c r="P291" s="26"/>
    </row>
    <row r="292">
      <c r="A292" s="52"/>
      <c r="B292" s="15"/>
      <c r="C292" s="16"/>
      <c r="D292" s="15"/>
      <c r="E292" s="17"/>
      <c r="F292" s="54"/>
      <c r="G292" s="19"/>
      <c r="H292" s="17"/>
      <c r="I292" s="19"/>
      <c r="J292" s="21"/>
      <c r="K292" s="57"/>
      <c r="L292" s="24"/>
      <c r="M292" s="25"/>
      <c r="N292" s="25"/>
      <c r="O292" s="26"/>
      <c r="P292" s="26"/>
    </row>
    <row r="293">
      <c r="A293" s="52"/>
      <c r="B293" s="15"/>
      <c r="C293" s="16"/>
      <c r="D293" s="15"/>
      <c r="E293" s="17"/>
      <c r="F293" s="54"/>
      <c r="G293" s="19"/>
      <c r="H293" s="17"/>
      <c r="I293" s="19"/>
      <c r="J293" s="21"/>
      <c r="K293" s="57"/>
      <c r="L293" s="24"/>
      <c r="M293" s="25"/>
      <c r="N293" s="25"/>
      <c r="O293" s="26"/>
      <c r="P293" s="26"/>
    </row>
    <row r="294">
      <c r="A294" s="52"/>
      <c r="B294" s="15"/>
      <c r="C294" s="16"/>
      <c r="D294" s="15"/>
      <c r="E294" s="17"/>
      <c r="F294" s="54"/>
      <c r="G294" s="19"/>
      <c r="H294" s="17"/>
      <c r="I294" s="19"/>
      <c r="J294" s="21"/>
      <c r="K294" s="57"/>
      <c r="L294" s="24"/>
      <c r="M294" s="25"/>
      <c r="N294" s="25"/>
      <c r="O294" s="26"/>
      <c r="P294" s="26"/>
    </row>
    <row r="295">
      <c r="A295" s="52"/>
      <c r="B295" s="15"/>
      <c r="C295" s="16"/>
      <c r="D295" s="15"/>
      <c r="E295" s="17"/>
      <c r="F295" s="54"/>
      <c r="G295" s="19"/>
      <c r="H295" s="17"/>
      <c r="I295" s="19"/>
      <c r="J295" s="21"/>
      <c r="K295" s="57"/>
      <c r="L295" s="24"/>
      <c r="M295" s="25"/>
      <c r="N295" s="25"/>
      <c r="O295" s="26"/>
      <c r="P295" s="26"/>
    </row>
    <row r="296">
      <c r="A296" s="52"/>
      <c r="B296" s="15"/>
      <c r="C296" s="16"/>
      <c r="D296" s="15"/>
      <c r="E296" s="17"/>
      <c r="F296" s="54"/>
      <c r="G296" s="19"/>
      <c r="H296" s="17"/>
      <c r="I296" s="19"/>
      <c r="J296" s="21"/>
      <c r="K296" s="57"/>
      <c r="L296" s="24"/>
      <c r="M296" s="25"/>
      <c r="N296" s="25"/>
      <c r="O296" s="26"/>
      <c r="P296" s="26"/>
    </row>
    <row r="297">
      <c r="A297" s="52"/>
      <c r="B297" s="15"/>
      <c r="C297" s="16"/>
      <c r="D297" s="15"/>
      <c r="E297" s="17"/>
      <c r="F297" s="54"/>
      <c r="G297" s="19"/>
      <c r="H297" s="17"/>
      <c r="I297" s="19"/>
      <c r="J297" s="21"/>
      <c r="K297" s="57"/>
      <c r="L297" s="24"/>
      <c r="M297" s="25"/>
      <c r="N297" s="25"/>
      <c r="O297" s="26"/>
      <c r="P297" s="26"/>
    </row>
    <row r="298">
      <c r="A298" s="52"/>
      <c r="B298" s="15"/>
      <c r="C298" s="16"/>
      <c r="D298" s="15"/>
      <c r="E298" s="17"/>
      <c r="F298" s="54"/>
      <c r="G298" s="19"/>
      <c r="H298" s="17"/>
      <c r="I298" s="19"/>
      <c r="J298" s="21"/>
      <c r="K298" s="57"/>
      <c r="L298" s="24"/>
      <c r="M298" s="25"/>
      <c r="N298" s="25"/>
      <c r="O298" s="26"/>
      <c r="P298" s="26"/>
    </row>
    <row r="299">
      <c r="A299" s="52"/>
      <c r="B299" s="15"/>
      <c r="C299" s="16"/>
      <c r="D299" s="15"/>
      <c r="E299" s="17"/>
      <c r="F299" s="54"/>
      <c r="G299" s="19"/>
      <c r="H299" s="17"/>
      <c r="I299" s="19"/>
      <c r="J299" s="21"/>
      <c r="K299" s="57"/>
      <c r="L299" s="24"/>
      <c r="M299" s="25"/>
      <c r="N299" s="25"/>
      <c r="O299" s="26"/>
      <c r="P299" s="26"/>
    </row>
    <row r="300">
      <c r="A300" s="52"/>
      <c r="B300" s="15"/>
      <c r="C300" s="16"/>
      <c r="D300" s="15"/>
      <c r="E300" s="17"/>
      <c r="F300" s="54"/>
      <c r="G300" s="19"/>
      <c r="H300" s="17"/>
      <c r="I300" s="19"/>
      <c r="J300" s="21"/>
      <c r="K300" s="57"/>
      <c r="L300" s="24"/>
      <c r="M300" s="25"/>
      <c r="N300" s="25"/>
      <c r="O300" s="26"/>
      <c r="P300" s="26"/>
    </row>
    <row r="301">
      <c r="A301" s="52"/>
      <c r="B301" s="15"/>
      <c r="C301" s="16"/>
      <c r="D301" s="15"/>
      <c r="E301" s="17"/>
      <c r="F301" s="54"/>
      <c r="G301" s="19"/>
      <c r="H301" s="17"/>
      <c r="I301" s="19"/>
      <c r="J301" s="21"/>
      <c r="K301" s="57"/>
      <c r="L301" s="24"/>
      <c r="M301" s="25"/>
      <c r="N301" s="25"/>
      <c r="O301" s="26"/>
      <c r="P301" s="26"/>
    </row>
    <row r="302">
      <c r="A302" s="52"/>
      <c r="B302" s="15"/>
      <c r="C302" s="16"/>
      <c r="D302" s="15"/>
      <c r="E302" s="17"/>
      <c r="F302" s="54"/>
      <c r="G302" s="19"/>
      <c r="H302" s="17"/>
      <c r="I302" s="19"/>
      <c r="J302" s="21"/>
      <c r="K302" s="57"/>
      <c r="L302" s="24"/>
      <c r="M302" s="25"/>
      <c r="N302" s="25"/>
      <c r="O302" s="26"/>
      <c r="P302" s="26"/>
    </row>
    <row r="303">
      <c r="A303" s="52"/>
      <c r="B303" s="15"/>
      <c r="C303" s="16"/>
      <c r="D303" s="15"/>
      <c r="E303" s="17"/>
      <c r="F303" s="54"/>
      <c r="G303" s="19"/>
      <c r="H303" s="17"/>
      <c r="I303" s="19"/>
      <c r="J303" s="21"/>
      <c r="K303" s="57"/>
      <c r="L303" s="24"/>
      <c r="M303" s="25"/>
      <c r="N303" s="25"/>
      <c r="O303" s="26"/>
      <c r="P303" s="26"/>
    </row>
    <row r="304">
      <c r="A304" s="52"/>
      <c r="B304" s="15"/>
      <c r="C304" s="16"/>
      <c r="D304" s="15"/>
      <c r="E304" s="17"/>
      <c r="F304" s="54"/>
      <c r="G304" s="19"/>
      <c r="H304" s="17"/>
      <c r="I304" s="19"/>
      <c r="J304" s="21"/>
      <c r="K304" s="57"/>
      <c r="L304" s="24"/>
      <c r="M304" s="25"/>
      <c r="N304" s="25"/>
      <c r="O304" s="26"/>
      <c r="P304" s="26"/>
    </row>
    <row r="305">
      <c r="A305" s="52"/>
      <c r="B305" s="15"/>
      <c r="C305" s="16"/>
      <c r="D305" s="15"/>
      <c r="E305" s="17"/>
      <c r="F305" s="54"/>
      <c r="G305" s="19"/>
      <c r="H305" s="17"/>
      <c r="I305" s="19"/>
      <c r="J305" s="21"/>
      <c r="K305" s="57"/>
      <c r="L305" s="24"/>
      <c r="M305" s="25"/>
      <c r="N305" s="25"/>
      <c r="O305" s="26"/>
      <c r="P305" s="26"/>
    </row>
    <row r="306">
      <c r="A306" s="52"/>
      <c r="B306" s="15"/>
      <c r="C306" s="16"/>
      <c r="D306" s="15"/>
      <c r="E306" s="17"/>
      <c r="F306" s="54"/>
      <c r="G306" s="19"/>
      <c r="H306" s="17"/>
      <c r="I306" s="19"/>
      <c r="J306" s="21"/>
      <c r="K306" s="57"/>
      <c r="L306" s="24"/>
      <c r="M306" s="25"/>
      <c r="N306" s="25"/>
      <c r="O306" s="26"/>
      <c r="P306" s="26"/>
    </row>
    <row r="307">
      <c r="A307" s="52"/>
      <c r="B307" s="15"/>
      <c r="C307" s="16"/>
      <c r="D307" s="15"/>
      <c r="E307" s="17"/>
      <c r="F307" s="54"/>
      <c r="G307" s="19"/>
      <c r="H307" s="17"/>
      <c r="I307" s="19"/>
      <c r="J307" s="21"/>
      <c r="K307" s="57"/>
      <c r="L307" s="24"/>
      <c r="M307" s="25"/>
      <c r="N307" s="25"/>
      <c r="O307" s="26"/>
      <c r="P307" s="26"/>
    </row>
    <row r="308">
      <c r="A308" s="52"/>
      <c r="B308" s="15"/>
      <c r="C308" s="16"/>
      <c r="D308" s="15"/>
      <c r="E308" s="17"/>
      <c r="F308" s="54"/>
      <c r="G308" s="19"/>
      <c r="H308" s="17"/>
      <c r="I308" s="19"/>
      <c r="J308" s="21"/>
      <c r="K308" s="57"/>
      <c r="L308" s="24"/>
      <c r="M308" s="25"/>
      <c r="N308" s="25"/>
      <c r="O308" s="26"/>
      <c r="P308" s="26"/>
    </row>
    <row r="309">
      <c r="A309" s="52"/>
      <c r="B309" s="15"/>
      <c r="C309" s="16"/>
      <c r="D309" s="15"/>
      <c r="E309" s="17"/>
      <c r="F309" s="54"/>
      <c r="G309" s="19"/>
      <c r="H309" s="17"/>
      <c r="I309" s="19"/>
      <c r="J309" s="21"/>
      <c r="K309" s="57"/>
      <c r="L309" s="24"/>
      <c r="M309" s="25"/>
      <c r="N309" s="25"/>
      <c r="O309" s="26"/>
      <c r="P309" s="26"/>
    </row>
    <row r="310">
      <c r="A310" s="52"/>
      <c r="B310" s="15"/>
      <c r="C310" s="16"/>
      <c r="D310" s="15"/>
      <c r="E310" s="17"/>
      <c r="F310" s="54"/>
      <c r="G310" s="19"/>
      <c r="H310" s="17"/>
      <c r="I310" s="19"/>
      <c r="J310" s="21"/>
      <c r="K310" s="57"/>
      <c r="L310" s="24"/>
      <c r="M310" s="25"/>
      <c r="N310" s="25"/>
      <c r="O310" s="26"/>
      <c r="P310" s="26"/>
    </row>
    <row r="311">
      <c r="A311" s="52"/>
      <c r="B311" s="15"/>
      <c r="C311" s="16"/>
      <c r="D311" s="15"/>
      <c r="E311" s="17"/>
      <c r="F311" s="54"/>
      <c r="G311" s="19"/>
      <c r="H311" s="17"/>
      <c r="I311" s="19"/>
      <c r="J311" s="21"/>
      <c r="K311" s="57"/>
      <c r="L311" s="24"/>
      <c r="M311" s="25"/>
      <c r="N311" s="25"/>
      <c r="O311" s="26"/>
      <c r="P311" s="26"/>
    </row>
    <row r="312">
      <c r="A312" s="52"/>
      <c r="B312" s="15"/>
      <c r="C312" s="16"/>
      <c r="D312" s="15"/>
      <c r="E312" s="17"/>
      <c r="F312" s="54"/>
      <c r="G312" s="19"/>
      <c r="H312" s="17"/>
      <c r="I312" s="19"/>
      <c r="J312" s="21"/>
      <c r="K312" s="57"/>
      <c r="L312" s="24"/>
      <c r="M312" s="75"/>
      <c r="N312" s="25"/>
      <c r="O312" s="26"/>
      <c r="P312" s="26"/>
    </row>
    <row r="313">
      <c r="A313" s="52"/>
      <c r="B313" s="15"/>
      <c r="C313" s="16"/>
      <c r="D313" s="15"/>
      <c r="E313" s="17"/>
      <c r="F313" s="54"/>
      <c r="G313" s="19"/>
      <c r="H313" s="17"/>
      <c r="I313" s="19"/>
      <c r="J313" s="21"/>
      <c r="K313" s="57"/>
      <c r="L313" s="24"/>
      <c r="M313" s="25"/>
      <c r="N313" s="25"/>
      <c r="O313" s="26"/>
      <c r="P313" s="26"/>
    </row>
    <row r="314">
      <c r="A314" s="52"/>
      <c r="B314" s="15"/>
      <c r="C314" s="16"/>
      <c r="D314" s="15"/>
      <c r="E314" s="17"/>
      <c r="F314" s="54"/>
      <c r="G314" s="19"/>
      <c r="H314" s="17"/>
      <c r="I314" s="19"/>
      <c r="J314" s="21"/>
      <c r="K314" s="57"/>
      <c r="L314" s="24"/>
      <c r="M314" s="25"/>
      <c r="N314" s="25"/>
      <c r="O314" s="26"/>
      <c r="P314" s="26"/>
    </row>
    <row r="315">
      <c r="A315" s="52"/>
      <c r="B315" s="15"/>
      <c r="C315" s="16"/>
      <c r="D315" s="15"/>
      <c r="E315" s="17"/>
      <c r="F315" s="54"/>
      <c r="G315" s="19"/>
      <c r="H315" s="17"/>
      <c r="I315" s="19"/>
      <c r="J315" s="21"/>
      <c r="K315" s="57"/>
      <c r="L315" s="24"/>
      <c r="M315" s="25"/>
      <c r="N315" s="25"/>
      <c r="O315" s="26"/>
      <c r="P315" s="26"/>
    </row>
    <row r="316">
      <c r="A316" s="52"/>
      <c r="B316" s="15"/>
      <c r="C316" s="16"/>
      <c r="D316" s="15"/>
      <c r="E316" s="17"/>
      <c r="F316" s="54"/>
      <c r="G316" s="19"/>
      <c r="H316" s="17"/>
      <c r="I316" s="19"/>
      <c r="J316" s="21"/>
      <c r="K316" s="57"/>
      <c r="L316" s="24"/>
      <c r="M316" s="25"/>
      <c r="N316" s="25"/>
      <c r="O316" s="26"/>
      <c r="P316" s="26"/>
    </row>
    <row r="317">
      <c r="A317" s="52"/>
      <c r="B317" s="15"/>
      <c r="C317" s="16"/>
      <c r="D317" s="15"/>
      <c r="E317" s="17"/>
      <c r="F317" s="54"/>
      <c r="G317" s="19"/>
      <c r="H317" s="17"/>
      <c r="I317" s="19"/>
      <c r="J317" s="21"/>
      <c r="K317" s="57"/>
      <c r="L317" s="24"/>
      <c r="M317" s="25"/>
      <c r="N317" s="25"/>
      <c r="O317" s="26"/>
      <c r="P317" s="26"/>
    </row>
    <row r="318">
      <c r="A318" s="52"/>
      <c r="B318" s="15"/>
      <c r="C318" s="16"/>
      <c r="D318" s="15"/>
      <c r="E318" s="17"/>
      <c r="F318" s="54"/>
      <c r="G318" s="19"/>
      <c r="H318" s="17"/>
      <c r="I318" s="19"/>
      <c r="J318" s="21"/>
      <c r="K318" s="57"/>
      <c r="L318" s="24"/>
      <c r="M318" s="25"/>
      <c r="N318" s="25"/>
      <c r="O318" s="26"/>
      <c r="P318" s="26"/>
    </row>
    <row r="319">
      <c r="A319" s="52"/>
      <c r="B319" s="15"/>
      <c r="C319" s="16"/>
      <c r="D319" s="15"/>
      <c r="E319" s="17"/>
      <c r="F319" s="54"/>
      <c r="G319" s="19"/>
      <c r="H319" s="17"/>
      <c r="I319" s="19"/>
      <c r="J319" s="21"/>
      <c r="K319" s="57"/>
      <c r="L319" s="24"/>
      <c r="M319" s="25"/>
      <c r="N319" s="25"/>
      <c r="O319" s="26"/>
      <c r="P319" s="26"/>
    </row>
    <row r="320">
      <c r="A320" s="52"/>
      <c r="B320" s="15"/>
      <c r="C320" s="16"/>
      <c r="D320" s="15"/>
      <c r="E320" s="17"/>
      <c r="F320" s="54"/>
      <c r="G320" s="19"/>
      <c r="H320" s="17"/>
      <c r="I320" s="19"/>
      <c r="J320" s="21"/>
      <c r="K320" s="57"/>
      <c r="L320" s="24"/>
      <c r="M320" s="25"/>
      <c r="N320" s="25"/>
      <c r="O320" s="26"/>
      <c r="P320" s="26"/>
    </row>
    <row r="321">
      <c r="A321" s="52"/>
      <c r="B321" s="15"/>
      <c r="C321" s="16"/>
      <c r="D321" s="15"/>
      <c r="E321" s="17"/>
      <c r="F321" s="54"/>
      <c r="G321" s="19"/>
      <c r="H321" s="17"/>
      <c r="I321" s="19"/>
      <c r="J321" s="21"/>
      <c r="K321" s="57"/>
      <c r="L321" s="24"/>
      <c r="M321" s="25"/>
      <c r="N321" s="25"/>
      <c r="O321" s="26"/>
      <c r="P321" s="26"/>
    </row>
    <row r="322">
      <c r="A322" s="52"/>
      <c r="B322" s="15"/>
      <c r="C322" s="16"/>
      <c r="D322" s="15"/>
      <c r="E322" s="17"/>
      <c r="F322" s="54"/>
      <c r="G322" s="19"/>
      <c r="H322" s="17"/>
      <c r="I322" s="19"/>
      <c r="J322" s="21"/>
      <c r="K322" s="57"/>
      <c r="L322" s="24"/>
      <c r="M322" s="25"/>
      <c r="N322" s="25"/>
      <c r="O322" s="26"/>
      <c r="P322" s="26"/>
    </row>
    <row r="323">
      <c r="A323" s="52"/>
      <c r="B323" s="15"/>
      <c r="C323" s="16"/>
      <c r="D323" s="15"/>
      <c r="E323" s="17"/>
      <c r="F323" s="54"/>
      <c r="G323" s="19"/>
      <c r="H323" s="17"/>
      <c r="I323" s="19"/>
      <c r="J323" s="21"/>
      <c r="K323" s="57"/>
      <c r="L323" s="24"/>
      <c r="M323" s="25"/>
      <c r="N323" s="25"/>
      <c r="O323" s="26"/>
      <c r="P323" s="26"/>
    </row>
    <row r="324">
      <c r="A324" s="52"/>
      <c r="B324" s="15"/>
      <c r="C324" s="16"/>
      <c r="D324" s="15"/>
      <c r="E324" s="17"/>
      <c r="F324" s="54"/>
      <c r="G324" s="19"/>
      <c r="H324" s="17"/>
      <c r="I324" s="19"/>
      <c r="J324" s="21"/>
      <c r="K324" s="57"/>
      <c r="L324" s="24"/>
      <c r="M324" s="25"/>
      <c r="N324" s="25"/>
      <c r="O324" s="26"/>
      <c r="P324" s="26"/>
    </row>
    <row r="325">
      <c r="A325" s="52"/>
      <c r="B325" s="15"/>
      <c r="C325" s="16"/>
      <c r="D325" s="15"/>
      <c r="E325" s="17"/>
      <c r="F325" s="54"/>
      <c r="G325" s="19"/>
      <c r="H325" s="17"/>
      <c r="I325" s="19"/>
      <c r="J325" s="21"/>
      <c r="K325" s="57"/>
      <c r="L325" s="24"/>
      <c r="M325" s="25"/>
      <c r="N325" s="25"/>
      <c r="O325" s="26"/>
      <c r="P325" s="26"/>
    </row>
    <row r="326">
      <c r="A326" s="52"/>
      <c r="B326" s="15"/>
      <c r="C326" s="16"/>
      <c r="D326" s="15"/>
      <c r="E326" s="17"/>
      <c r="F326" s="54"/>
      <c r="G326" s="19"/>
      <c r="H326" s="17"/>
      <c r="I326" s="19"/>
      <c r="J326" s="21"/>
      <c r="K326" s="57"/>
      <c r="L326" s="24"/>
      <c r="M326" s="25"/>
      <c r="N326" s="25"/>
      <c r="O326" s="26"/>
      <c r="P326" s="26"/>
    </row>
    <row r="327">
      <c r="A327" s="52"/>
      <c r="B327" s="15"/>
      <c r="C327" s="16"/>
      <c r="D327" s="15"/>
      <c r="E327" s="17"/>
      <c r="F327" s="54"/>
      <c r="G327" s="19"/>
      <c r="H327" s="17"/>
      <c r="I327" s="19"/>
      <c r="J327" s="21"/>
      <c r="K327" s="57"/>
      <c r="L327" s="24"/>
      <c r="M327" s="25"/>
      <c r="N327" s="25"/>
      <c r="O327" s="26"/>
      <c r="P327" s="26"/>
    </row>
    <row r="328">
      <c r="A328" s="52"/>
      <c r="B328" s="15"/>
      <c r="C328" s="16"/>
      <c r="D328" s="15"/>
      <c r="E328" s="17"/>
      <c r="F328" s="54"/>
      <c r="G328" s="19"/>
      <c r="H328" s="17"/>
      <c r="I328" s="19"/>
      <c r="J328" s="21"/>
      <c r="K328" s="57"/>
      <c r="L328" s="24"/>
      <c r="M328" s="25"/>
      <c r="N328" s="25"/>
      <c r="O328" s="26"/>
      <c r="P328" s="26"/>
    </row>
    <row r="329">
      <c r="A329" s="52"/>
      <c r="B329" s="15"/>
      <c r="C329" s="16"/>
      <c r="D329" s="15"/>
      <c r="E329" s="17"/>
      <c r="F329" s="54"/>
      <c r="G329" s="19"/>
      <c r="H329" s="17"/>
      <c r="I329" s="19"/>
      <c r="J329" s="21"/>
      <c r="K329" s="57"/>
      <c r="L329" s="24"/>
      <c r="M329" s="25"/>
      <c r="N329" s="25"/>
      <c r="O329" s="26"/>
      <c r="P329" s="26"/>
    </row>
    <row r="330">
      <c r="A330" s="52"/>
      <c r="B330" s="15"/>
      <c r="C330" s="16"/>
      <c r="D330" s="15"/>
      <c r="E330" s="17"/>
      <c r="F330" s="54"/>
      <c r="G330" s="19"/>
      <c r="H330" s="17"/>
      <c r="I330" s="19"/>
      <c r="J330" s="21"/>
      <c r="K330" s="57"/>
      <c r="L330" s="24"/>
      <c r="M330" s="25"/>
      <c r="N330" s="25"/>
      <c r="O330" s="26"/>
      <c r="P330" s="26"/>
    </row>
    <row r="331">
      <c r="A331" s="52"/>
      <c r="B331" s="15"/>
      <c r="C331" s="16"/>
      <c r="D331" s="15"/>
      <c r="E331" s="17"/>
      <c r="F331" s="54"/>
      <c r="G331" s="19"/>
      <c r="H331" s="17"/>
      <c r="I331" s="19"/>
      <c r="J331" s="21"/>
      <c r="K331" s="57"/>
      <c r="L331" s="24"/>
      <c r="M331" s="25"/>
      <c r="N331" s="25"/>
      <c r="O331" s="26"/>
      <c r="P331" s="26"/>
    </row>
    <row r="332">
      <c r="A332" s="52"/>
      <c r="B332" s="15"/>
      <c r="C332" s="16"/>
      <c r="D332" s="15"/>
      <c r="E332" s="17"/>
      <c r="F332" s="54"/>
      <c r="G332" s="19"/>
      <c r="H332" s="17"/>
      <c r="I332" s="19"/>
      <c r="J332" s="21"/>
      <c r="K332" s="57"/>
      <c r="L332" s="24"/>
      <c r="M332" s="25"/>
      <c r="N332" s="25"/>
      <c r="O332" s="26"/>
      <c r="P332" s="26"/>
    </row>
    <row r="333">
      <c r="A333" s="52"/>
      <c r="B333" s="15"/>
      <c r="C333" s="16"/>
      <c r="D333" s="15"/>
      <c r="E333" s="17"/>
      <c r="F333" s="54"/>
      <c r="G333" s="19"/>
      <c r="H333" s="17"/>
      <c r="I333" s="19"/>
      <c r="J333" s="21"/>
      <c r="K333" s="57"/>
      <c r="L333" s="24"/>
      <c r="M333" s="25"/>
      <c r="N333" s="25"/>
      <c r="O333" s="26"/>
      <c r="P333" s="26"/>
    </row>
    <row r="334">
      <c r="A334" s="52"/>
      <c r="B334" s="15"/>
      <c r="C334" s="16"/>
      <c r="D334" s="15"/>
      <c r="E334" s="17"/>
      <c r="F334" s="54"/>
      <c r="G334" s="19"/>
      <c r="H334" s="17"/>
      <c r="I334" s="19"/>
      <c r="J334" s="21"/>
      <c r="K334" s="57"/>
      <c r="L334" s="24"/>
      <c r="M334" s="25"/>
      <c r="N334" s="25"/>
      <c r="O334" s="26"/>
      <c r="P334" s="26"/>
    </row>
    <row r="335">
      <c r="A335" s="52"/>
      <c r="B335" s="15"/>
      <c r="C335" s="16"/>
      <c r="D335" s="15"/>
      <c r="E335" s="17"/>
      <c r="F335" s="54"/>
      <c r="G335" s="19"/>
      <c r="H335" s="17"/>
      <c r="I335" s="19"/>
      <c r="J335" s="21"/>
      <c r="K335" s="57"/>
      <c r="L335" s="24"/>
      <c r="M335" s="25"/>
      <c r="N335" s="25"/>
      <c r="O335" s="26"/>
      <c r="P335" s="26"/>
    </row>
    <row r="336">
      <c r="A336" s="52"/>
      <c r="B336" s="15"/>
      <c r="C336" s="16"/>
      <c r="D336" s="15"/>
      <c r="E336" s="17"/>
      <c r="F336" s="54"/>
      <c r="G336" s="19"/>
      <c r="H336" s="17"/>
      <c r="I336" s="19"/>
      <c r="J336" s="21"/>
      <c r="K336" s="57"/>
      <c r="L336" s="24"/>
      <c r="M336" s="25"/>
      <c r="N336" s="25"/>
      <c r="O336" s="26"/>
      <c r="P336" s="26"/>
    </row>
    <row r="337">
      <c r="A337" s="52"/>
      <c r="B337" s="15"/>
      <c r="C337" s="16"/>
      <c r="D337" s="15"/>
      <c r="E337" s="17"/>
      <c r="F337" s="54"/>
      <c r="G337" s="19"/>
      <c r="H337" s="17"/>
      <c r="I337" s="19"/>
      <c r="J337" s="21"/>
      <c r="K337" s="57"/>
      <c r="L337" s="24"/>
      <c r="M337" s="25"/>
      <c r="N337" s="25"/>
      <c r="O337" s="26"/>
      <c r="P337" s="26"/>
    </row>
    <row r="338">
      <c r="A338" s="62"/>
      <c r="B338" s="15"/>
      <c r="C338" s="16"/>
      <c r="D338" s="15"/>
      <c r="E338" s="17"/>
      <c r="F338" s="18"/>
      <c r="G338" s="19"/>
      <c r="H338" s="17"/>
      <c r="I338" s="19"/>
      <c r="J338" s="21"/>
      <c r="K338" s="57"/>
      <c r="L338" s="24"/>
      <c r="M338" s="25"/>
      <c r="N338" s="25"/>
      <c r="O338" s="26"/>
      <c r="P338" s="26"/>
    </row>
    <row r="339">
      <c r="A339" s="52"/>
      <c r="B339" s="15"/>
      <c r="C339" s="16"/>
      <c r="D339" s="15"/>
      <c r="E339" s="17"/>
      <c r="F339" s="54"/>
      <c r="G339" s="19"/>
      <c r="H339" s="17"/>
      <c r="I339" s="19"/>
      <c r="J339" s="21"/>
      <c r="K339" s="57"/>
      <c r="L339" s="24"/>
      <c r="M339" s="25"/>
      <c r="N339" s="25"/>
      <c r="O339" s="26"/>
      <c r="P339" s="26"/>
    </row>
    <row r="340">
      <c r="A340" s="52"/>
      <c r="B340" s="15"/>
      <c r="C340" s="16"/>
      <c r="D340" s="15"/>
      <c r="E340" s="17"/>
      <c r="F340" s="54"/>
      <c r="G340" s="19"/>
      <c r="H340" s="17"/>
      <c r="I340" s="19"/>
      <c r="J340" s="21"/>
      <c r="K340" s="57"/>
      <c r="L340" s="24"/>
      <c r="M340" s="25"/>
      <c r="N340" s="25"/>
      <c r="O340" s="26"/>
      <c r="P340" s="26"/>
    </row>
    <row r="341">
      <c r="A341" s="52"/>
      <c r="B341" s="15"/>
      <c r="C341" s="16"/>
      <c r="D341" s="15"/>
      <c r="E341" s="17"/>
      <c r="F341" s="54"/>
      <c r="G341" s="19"/>
      <c r="H341" s="17"/>
      <c r="I341" s="19"/>
      <c r="J341" s="21"/>
      <c r="K341" s="57"/>
      <c r="L341" s="24"/>
      <c r="M341" s="25"/>
      <c r="N341" s="25"/>
      <c r="O341" s="26"/>
      <c r="P341" s="26"/>
    </row>
    <row r="342">
      <c r="A342" s="52"/>
      <c r="B342" s="15"/>
      <c r="C342" s="16"/>
      <c r="D342" s="15"/>
      <c r="E342" s="17"/>
      <c r="F342" s="54"/>
      <c r="G342" s="19"/>
      <c r="H342" s="17"/>
      <c r="I342" s="19"/>
      <c r="J342" s="21"/>
      <c r="K342" s="57"/>
      <c r="L342" s="24"/>
      <c r="M342" s="25"/>
      <c r="N342" s="25"/>
      <c r="O342" s="26"/>
      <c r="P342" s="26"/>
    </row>
    <row r="343">
      <c r="A343" s="52"/>
      <c r="B343" s="15"/>
      <c r="C343" s="16"/>
      <c r="D343" s="15"/>
      <c r="E343" s="17"/>
      <c r="F343" s="54"/>
      <c r="G343" s="19"/>
      <c r="H343" s="17"/>
      <c r="I343" s="19"/>
      <c r="J343" s="21"/>
      <c r="K343" s="57"/>
      <c r="L343" s="24"/>
      <c r="M343" s="25"/>
      <c r="N343" s="25"/>
      <c r="O343" s="26"/>
      <c r="P343" s="26"/>
    </row>
    <row r="344">
      <c r="A344" s="52"/>
      <c r="B344" s="15"/>
      <c r="C344" s="16"/>
      <c r="D344" s="15"/>
      <c r="E344" s="17"/>
      <c r="F344" s="54"/>
      <c r="G344" s="19"/>
      <c r="H344" s="17"/>
      <c r="I344" s="19"/>
      <c r="J344" s="21"/>
      <c r="K344" s="57"/>
      <c r="L344" s="24"/>
      <c r="M344" s="25"/>
      <c r="N344" s="25"/>
      <c r="O344" s="26"/>
      <c r="P344" s="26"/>
    </row>
    <row r="345">
      <c r="A345" s="52"/>
      <c r="B345" s="15"/>
      <c r="C345" s="16"/>
      <c r="D345" s="15"/>
      <c r="E345" s="17"/>
      <c r="F345" s="54"/>
      <c r="G345" s="19"/>
      <c r="H345" s="17"/>
      <c r="I345" s="19"/>
      <c r="J345" s="21"/>
      <c r="K345" s="57"/>
      <c r="L345" s="24"/>
      <c r="M345" s="25"/>
      <c r="N345" s="25"/>
      <c r="O345" s="26"/>
      <c r="P345" s="26"/>
    </row>
    <row r="346">
      <c r="A346" s="52"/>
      <c r="B346" s="15"/>
      <c r="C346" s="16"/>
      <c r="D346" s="15"/>
      <c r="E346" s="17"/>
      <c r="F346" s="54"/>
      <c r="G346" s="19"/>
      <c r="H346" s="17"/>
      <c r="I346" s="19"/>
      <c r="J346" s="21"/>
      <c r="K346" s="57"/>
      <c r="L346" s="24"/>
      <c r="M346" s="25"/>
      <c r="N346" s="25"/>
      <c r="O346" s="26"/>
      <c r="P346" s="26"/>
    </row>
    <row r="347">
      <c r="A347" s="52"/>
      <c r="B347" s="15"/>
      <c r="C347" s="16"/>
      <c r="D347" s="15"/>
      <c r="E347" s="17"/>
      <c r="F347" s="54"/>
      <c r="G347" s="19"/>
      <c r="H347" s="17"/>
      <c r="I347" s="19"/>
      <c r="J347" s="21"/>
      <c r="K347" s="57"/>
      <c r="L347" s="24"/>
      <c r="M347" s="25"/>
      <c r="N347" s="25"/>
      <c r="O347" s="26"/>
      <c r="P347" s="26"/>
    </row>
    <row r="348">
      <c r="A348" s="52"/>
      <c r="B348" s="15"/>
      <c r="C348" s="16"/>
      <c r="D348" s="15"/>
      <c r="E348" s="17"/>
      <c r="F348" s="54"/>
      <c r="G348" s="19"/>
      <c r="H348" s="17"/>
      <c r="I348" s="19"/>
      <c r="J348" s="21"/>
      <c r="K348" s="57"/>
      <c r="L348" s="24"/>
      <c r="M348" s="25"/>
      <c r="N348" s="25"/>
      <c r="O348" s="26"/>
      <c r="P348" s="26"/>
    </row>
    <row r="349">
      <c r="A349" s="52"/>
      <c r="B349" s="15"/>
      <c r="C349" s="16"/>
      <c r="D349" s="15"/>
      <c r="E349" s="17"/>
      <c r="F349" s="54"/>
      <c r="G349" s="19"/>
      <c r="H349" s="17"/>
      <c r="I349" s="19"/>
      <c r="J349" s="21"/>
      <c r="K349" s="57"/>
      <c r="L349" s="24"/>
      <c r="M349" s="25"/>
      <c r="N349" s="25"/>
      <c r="O349" s="26"/>
      <c r="P349" s="26"/>
    </row>
    <row r="350">
      <c r="A350" s="52"/>
      <c r="B350" s="15"/>
      <c r="C350" s="16"/>
      <c r="D350" s="15"/>
      <c r="E350" s="17"/>
      <c r="F350" s="54"/>
      <c r="G350" s="19"/>
      <c r="H350" s="17"/>
      <c r="I350" s="19"/>
      <c r="J350" s="21"/>
      <c r="K350" s="57"/>
      <c r="L350" s="24"/>
      <c r="M350" s="25"/>
      <c r="N350" s="25"/>
      <c r="O350" s="26"/>
      <c r="P350" s="26"/>
    </row>
    <row r="351">
      <c r="A351" s="52"/>
      <c r="B351" s="15"/>
      <c r="C351" s="16"/>
      <c r="D351" s="15"/>
      <c r="E351" s="17"/>
      <c r="F351" s="54"/>
      <c r="G351" s="19"/>
      <c r="H351" s="17"/>
      <c r="I351" s="19"/>
      <c r="J351" s="21"/>
      <c r="K351" s="57"/>
      <c r="L351" s="24"/>
      <c r="M351" s="25"/>
      <c r="N351" s="25"/>
      <c r="O351" s="26"/>
      <c r="P351" s="26"/>
    </row>
    <row r="352">
      <c r="A352" s="52"/>
      <c r="B352" s="15"/>
      <c r="C352" s="16"/>
      <c r="D352" s="15"/>
      <c r="E352" s="17"/>
      <c r="F352" s="54"/>
      <c r="G352" s="19"/>
      <c r="H352" s="17"/>
      <c r="I352" s="19"/>
      <c r="J352" s="21"/>
      <c r="K352" s="57"/>
      <c r="L352" s="24"/>
      <c r="M352" s="25"/>
      <c r="N352" s="25"/>
      <c r="O352" s="26"/>
      <c r="P352" s="26"/>
    </row>
    <row r="353">
      <c r="A353" s="52"/>
      <c r="B353" s="15"/>
      <c r="C353" s="16"/>
      <c r="D353" s="15"/>
      <c r="E353" s="17"/>
      <c r="F353" s="54"/>
      <c r="G353" s="19"/>
      <c r="H353" s="17"/>
      <c r="I353" s="19"/>
      <c r="J353" s="21"/>
      <c r="K353" s="57"/>
      <c r="L353" s="24"/>
      <c r="M353" s="25"/>
      <c r="N353" s="25"/>
      <c r="O353" s="26"/>
      <c r="P353" s="26"/>
    </row>
    <row r="354">
      <c r="A354" s="52"/>
      <c r="B354" s="15"/>
      <c r="C354" s="16"/>
      <c r="D354" s="15"/>
      <c r="E354" s="17"/>
      <c r="F354" s="18"/>
      <c r="G354" s="19"/>
      <c r="H354" s="17"/>
      <c r="I354" s="19"/>
      <c r="J354" s="21"/>
      <c r="K354" s="57"/>
      <c r="L354" s="24"/>
      <c r="M354" s="25"/>
      <c r="N354" s="25"/>
      <c r="O354" s="26"/>
      <c r="P354" s="26"/>
    </row>
    <row r="355">
      <c r="A355" s="52"/>
      <c r="B355" s="15"/>
      <c r="C355" s="16"/>
      <c r="D355" s="15"/>
      <c r="E355" s="17"/>
      <c r="F355" s="54"/>
      <c r="G355" s="19"/>
      <c r="H355" s="17"/>
      <c r="I355" s="19"/>
      <c r="J355" s="21"/>
      <c r="K355" s="57"/>
      <c r="L355" s="24"/>
      <c r="M355" s="25"/>
      <c r="N355" s="25"/>
      <c r="O355" s="26"/>
      <c r="P355" s="26"/>
    </row>
    <row r="356">
      <c r="A356" s="52"/>
      <c r="B356" s="15"/>
      <c r="C356" s="16"/>
      <c r="D356" s="15"/>
      <c r="E356" s="17"/>
      <c r="F356" s="18"/>
      <c r="G356" s="19"/>
      <c r="H356" s="17"/>
      <c r="I356" s="19"/>
      <c r="J356" s="21"/>
      <c r="K356" s="57"/>
      <c r="L356" s="24"/>
      <c r="M356" s="25"/>
      <c r="N356" s="25"/>
      <c r="O356" s="26"/>
      <c r="P356" s="26"/>
    </row>
    <row r="357">
      <c r="A357" s="52"/>
      <c r="B357" s="15"/>
      <c r="C357" s="16"/>
      <c r="D357" s="15"/>
      <c r="E357" s="17"/>
      <c r="F357" s="54"/>
      <c r="G357" s="19"/>
      <c r="H357" s="17"/>
      <c r="I357" s="19"/>
      <c r="J357" s="21"/>
      <c r="K357" s="57"/>
      <c r="L357" s="24"/>
      <c r="M357" s="25"/>
      <c r="N357" s="25"/>
      <c r="O357" s="26"/>
      <c r="P357" s="26"/>
    </row>
    <row r="358">
      <c r="A358" s="52"/>
      <c r="B358" s="15"/>
      <c r="C358" s="16"/>
      <c r="D358" s="15"/>
      <c r="E358" s="17"/>
      <c r="F358" s="54"/>
      <c r="G358" s="19"/>
      <c r="H358" s="17"/>
      <c r="I358" s="19"/>
      <c r="J358" s="21"/>
      <c r="K358" s="57"/>
      <c r="L358" s="24"/>
      <c r="M358" s="25"/>
      <c r="N358" s="25"/>
      <c r="O358" s="26"/>
      <c r="P358" s="26"/>
    </row>
    <row r="359">
      <c r="A359" s="52"/>
      <c r="B359" s="15"/>
      <c r="C359" s="16"/>
      <c r="D359" s="15"/>
      <c r="E359" s="17"/>
      <c r="F359" s="54"/>
      <c r="G359" s="19"/>
      <c r="H359" s="17"/>
      <c r="I359" s="19"/>
      <c r="J359" s="21"/>
      <c r="K359" s="57"/>
      <c r="L359" s="24"/>
      <c r="M359" s="25"/>
      <c r="N359" s="25"/>
      <c r="O359" s="26"/>
      <c r="P359" s="26"/>
    </row>
    <row r="360">
      <c r="A360" s="52"/>
      <c r="B360" s="15"/>
      <c r="C360" s="16"/>
      <c r="D360" s="15"/>
      <c r="E360" s="17"/>
      <c r="F360" s="18"/>
      <c r="G360" s="19"/>
      <c r="H360" s="17"/>
      <c r="I360" s="19"/>
      <c r="J360" s="21"/>
      <c r="K360" s="57"/>
      <c r="L360" s="24"/>
      <c r="M360" s="25"/>
      <c r="N360" s="25"/>
      <c r="O360" s="26"/>
      <c r="P360" s="26"/>
    </row>
    <row r="361">
      <c r="A361" s="52"/>
      <c r="B361" s="15"/>
      <c r="C361" s="16"/>
      <c r="D361" s="15"/>
      <c r="E361" s="17"/>
      <c r="F361" s="54"/>
      <c r="G361" s="19"/>
      <c r="H361" s="17"/>
      <c r="I361" s="19"/>
      <c r="J361" s="21"/>
      <c r="K361" s="57"/>
      <c r="L361" s="24"/>
      <c r="M361" s="25"/>
      <c r="N361" s="25"/>
      <c r="O361" s="26"/>
      <c r="P361" s="26"/>
    </row>
    <row r="362">
      <c r="A362" s="52"/>
      <c r="B362" s="15"/>
      <c r="C362" s="16"/>
      <c r="D362" s="15"/>
      <c r="E362" s="17"/>
      <c r="F362" s="54"/>
      <c r="G362" s="19"/>
      <c r="H362" s="17"/>
      <c r="I362" s="19"/>
      <c r="J362" s="21"/>
      <c r="K362" s="57"/>
      <c r="L362" s="24"/>
      <c r="M362" s="25"/>
      <c r="N362" s="25"/>
      <c r="O362" s="26"/>
      <c r="P362" s="26"/>
    </row>
    <row r="363">
      <c r="A363" s="52"/>
      <c r="B363" s="15"/>
      <c r="C363" s="16"/>
      <c r="D363" s="15"/>
      <c r="E363" s="17"/>
      <c r="F363" s="54"/>
      <c r="G363" s="19"/>
      <c r="H363" s="17"/>
      <c r="I363" s="19"/>
      <c r="J363" s="21"/>
      <c r="K363" s="57"/>
      <c r="L363" s="24"/>
      <c r="M363" s="25"/>
      <c r="N363" s="25"/>
      <c r="O363" s="26"/>
      <c r="P363" s="26"/>
    </row>
    <row r="364">
      <c r="A364" s="52"/>
      <c r="B364" s="15"/>
      <c r="C364" s="16"/>
      <c r="D364" s="15"/>
      <c r="E364" s="17"/>
      <c r="F364" s="54"/>
      <c r="G364" s="19"/>
      <c r="H364" s="17"/>
      <c r="I364" s="19"/>
      <c r="J364" s="21"/>
      <c r="K364" s="57"/>
      <c r="L364" s="24"/>
      <c r="M364" s="25"/>
      <c r="N364" s="25"/>
      <c r="O364" s="26"/>
      <c r="P364" s="26"/>
    </row>
    <row r="365">
      <c r="A365" s="52"/>
      <c r="B365" s="15"/>
      <c r="C365" s="16"/>
      <c r="D365" s="15"/>
      <c r="E365" s="17"/>
      <c r="F365" s="54"/>
      <c r="G365" s="19"/>
      <c r="H365" s="17"/>
      <c r="I365" s="19"/>
      <c r="J365" s="21"/>
      <c r="K365" s="57"/>
      <c r="L365" s="24"/>
      <c r="M365" s="25"/>
      <c r="N365" s="25"/>
      <c r="O365" s="26"/>
      <c r="P365" s="26"/>
    </row>
    <row r="366">
      <c r="A366" s="52"/>
      <c r="B366" s="15"/>
      <c r="C366" s="16"/>
      <c r="D366" s="15"/>
      <c r="E366" s="17"/>
      <c r="F366" s="54"/>
      <c r="G366" s="19"/>
      <c r="H366" s="17"/>
      <c r="I366" s="19"/>
      <c r="J366" s="21"/>
      <c r="K366" s="57"/>
      <c r="L366" s="24"/>
      <c r="M366" s="25"/>
      <c r="N366" s="25"/>
      <c r="O366" s="26"/>
      <c r="P366" s="26"/>
    </row>
    <row r="367">
      <c r="A367" s="52"/>
      <c r="B367" s="15"/>
      <c r="C367" s="16"/>
      <c r="D367" s="15"/>
      <c r="E367" s="17"/>
      <c r="F367" s="54"/>
      <c r="G367" s="19"/>
      <c r="H367" s="17"/>
      <c r="I367" s="19"/>
      <c r="J367" s="21"/>
      <c r="K367" s="57"/>
      <c r="L367" s="24"/>
      <c r="M367" s="25"/>
      <c r="N367" s="25"/>
      <c r="O367" s="26"/>
      <c r="P367" s="26"/>
    </row>
    <row r="368">
      <c r="A368" s="52"/>
      <c r="B368" s="15"/>
      <c r="C368" s="16"/>
      <c r="D368" s="15"/>
      <c r="E368" s="17"/>
      <c r="F368" s="54"/>
      <c r="G368" s="19"/>
      <c r="H368" s="17"/>
      <c r="I368" s="19"/>
      <c r="J368" s="21"/>
      <c r="K368" s="57"/>
      <c r="L368" s="24"/>
      <c r="M368" s="25"/>
      <c r="N368" s="25"/>
      <c r="O368" s="26"/>
      <c r="P368" s="26"/>
    </row>
    <row r="369">
      <c r="A369" s="52"/>
      <c r="B369" s="15"/>
      <c r="C369" s="16"/>
      <c r="D369" s="15"/>
      <c r="E369" s="17"/>
      <c r="F369" s="54"/>
      <c r="G369" s="19"/>
      <c r="H369" s="17"/>
      <c r="I369" s="19"/>
      <c r="J369" s="21"/>
      <c r="K369" s="57"/>
      <c r="L369" s="24"/>
      <c r="M369" s="25"/>
      <c r="N369" s="25"/>
      <c r="O369" s="26"/>
      <c r="P369" s="26"/>
    </row>
    <row r="370">
      <c r="A370" s="52"/>
      <c r="B370" s="15"/>
      <c r="C370" s="16"/>
      <c r="D370" s="15"/>
      <c r="E370" s="17"/>
      <c r="F370" s="54"/>
      <c r="G370" s="19"/>
      <c r="H370" s="17"/>
      <c r="I370" s="19"/>
      <c r="J370" s="21"/>
      <c r="K370" s="57"/>
      <c r="L370" s="24"/>
      <c r="M370" s="25"/>
      <c r="N370" s="25"/>
      <c r="O370" s="26"/>
      <c r="P370" s="26"/>
    </row>
    <row r="371">
      <c r="A371" s="52"/>
      <c r="B371" s="15"/>
      <c r="C371" s="16"/>
      <c r="D371" s="15"/>
      <c r="E371" s="17"/>
      <c r="F371" s="54"/>
      <c r="G371" s="19"/>
      <c r="H371" s="17"/>
      <c r="I371" s="19"/>
      <c r="J371" s="21"/>
      <c r="K371" s="57"/>
      <c r="L371" s="24"/>
      <c r="M371" s="25"/>
      <c r="N371" s="25"/>
      <c r="O371" s="26"/>
      <c r="P371" s="26"/>
    </row>
    <row r="372">
      <c r="A372" s="52"/>
      <c r="B372" s="15"/>
      <c r="C372" s="16"/>
      <c r="D372" s="15"/>
      <c r="E372" s="17"/>
      <c r="F372" s="54"/>
      <c r="G372" s="19"/>
      <c r="H372" s="17"/>
      <c r="I372" s="19"/>
      <c r="J372" s="21"/>
      <c r="K372" s="57"/>
      <c r="L372" s="24"/>
      <c r="M372" s="25"/>
      <c r="N372" s="25"/>
      <c r="O372" s="26"/>
      <c r="P372" s="26"/>
    </row>
    <row r="373">
      <c r="A373" s="52"/>
      <c r="B373" s="15"/>
      <c r="C373" s="16"/>
      <c r="D373" s="15"/>
      <c r="E373" s="17"/>
      <c r="F373" s="54"/>
      <c r="G373" s="19"/>
      <c r="H373" s="17"/>
      <c r="I373" s="19"/>
      <c r="J373" s="21"/>
      <c r="K373" s="57"/>
      <c r="L373" s="24"/>
      <c r="M373" s="25"/>
      <c r="N373" s="25"/>
      <c r="O373" s="26"/>
      <c r="P373" s="26"/>
    </row>
    <row r="374">
      <c r="A374" s="52"/>
      <c r="B374" s="15"/>
      <c r="C374" s="16"/>
      <c r="D374" s="15"/>
      <c r="E374" s="17"/>
      <c r="F374" s="54"/>
      <c r="G374" s="19"/>
      <c r="H374" s="17"/>
      <c r="I374" s="19"/>
      <c r="J374" s="21"/>
      <c r="K374" s="57"/>
      <c r="L374" s="24"/>
      <c r="M374" s="25"/>
      <c r="N374" s="25"/>
      <c r="O374" s="26"/>
      <c r="P374" s="26"/>
    </row>
    <row r="375">
      <c r="A375" s="52"/>
      <c r="B375" s="15"/>
      <c r="C375" s="16"/>
      <c r="D375" s="15"/>
      <c r="E375" s="17"/>
      <c r="F375" s="54"/>
      <c r="G375" s="19"/>
      <c r="H375" s="17"/>
      <c r="I375" s="19"/>
      <c r="J375" s="21"/>
      <c r="K375" s="57"/>
      <c r="L375" s="24"/>
      <c r="M375" s="25"/>
      <c r="N375" s="25"/>
      <c r="O375" s="26"/>
      <c r="P375" s="26"/>
    </row>
    <row r="376">
      <c r="A376" s="52"/>
      <c r="B376" s="15"/>
      <c r="C376" s="16"/>
      <c r="D376" s="15"/>
      <c r="E376" s="17"/>
      <c r="F376" s="54"/>
      <c r="G376" s="19"/>
      <c r="H376" s="17"/>
      <c r="I376" s="19"/>
      <c r="J376" s="21"/>
      <c r="K376" s="57"/>
      <c r="L376" s="24"/>
      <c r="M376" s="25"/>
      <c r="N376" s="25"/>
      <c r="O376" s="26"/>
      <c r="P376" s="26"/>
    </row>
    <row r="377">
      <c r="A377" s="52"/>
      <c r="B377" s="15"/>
      <c r="C377" s="16"/>
      <c r="D377" s="15"/>
      <c r="E377" s="17"/>
      <c r="F377" s="54"/>
      <c r="G377" s="19"/>
      <c r="H377" s="17"/>
      <c r="I377" s="19"/>
      <c r="J377" s="21"/>
      <c r="K377" s="57"/>
      <c r="L377" s="24"/>
      <c r="M377" s="25"/>
      <c r="N377" s="25"/>
      <c r="O377" s="26"/>
      <c r="P377" s="26"/>
    </row>
    <row r="378">
      <c r="A378" s="52"/>
      <c r="B378" s="15"/>
      <c r="C378" s="16"/>
      <c r="D378" s="15"/>
      <c r="E378" s="17"/>
      <c r="F378" s="54"/>
      <c r="G378" s="19"/>
      <c r="H378" s="17"/>
      <c r="I378" s="19"/>
      <c r="J378" s="21"/>
      <c r="K378" s="57"/>
      <c r="L378" s="24"/>
      <c r="M378" s="25"/>
      <c r="N378" s="25"/>
      <c r="O378" s="26"/>
      <c r="P378" s="26"/>
    </row>
    <row r="379">
      <c r="A379" s="52"/>
      <c r="B379" s="15"/>
      <c r="C379" s="16"/>
      <c r="D379" s="15"/>
      <c r="E379" s="17"/>
      <c r="F379" s="54"/>
      <c r="G379" s="19"/>
      <c r="H379" s="17"/>
      <c r="I379" s="19"/>
      <c r="J379" s="21"/>
      <c r="K379" s="57"/>
      <c r="L379" s="24"/>
      <c r="M379" s="25"/>
      <c r="N379" s="25"/>
      <c r="O379" s="26"/>
      <c r="P379" s="26"/>
    </row>
    <row r="380">
      <c r="A380" s="52"/>
      <c r="B380" s="15"/>
      <c r="C380" s="16"/>
      <c r="D380" s="15"/>
      <c r="E380" s="17"/>
      <c r="F380" s="54"/>
      <c r="G380" s="19"/>
      <c r="H380" s="17"/>
      <c r="I380" s="19"/>
      <c r="J380" s="21"/>
      <c r="K380" s="57"/>
      <c r="L380" s="24"/>
      <c r="M380" s="25"/>
      <c r="N380" s="25"/>
      <c r="O380" s="26"/>
      <c r="P380" s="26"/>
    </row>
    <row r="381">
      <c r="A381" s="52"/>
      <c r="B381" s="15"/>
      <c r="C381" s="16"/>
      <c r="D381" s="15"/>
      <c r="E381" s="17"/>
      <c r="F381" s="54"/>
      <c r="G381" s="19"/>
      <c r="H381" s="17"/>
      <c r="I381" s="19"/>
      <c r="J381" s="21"/>
      <c r="K381" s="57"/>
      <c r="L381" s="24"/>
      <c r="M381" s="25"/>
      <c r="N381" s="25"/>
      <c r="O381" s="26"/>
      <c r="P381" s="26"/>
    </row>
    <row r="382">
      <c r="A382" s="52"/>
      <c r="B382" s="15"/>
      <c r="C382" s="16"/>
      <c r="D382" s="15"/>
      <c r="E382" s="17"/>
      <c r="F382" s="54"/>
      <c r="G382" s="19"/>
      <c r="H382" s="17"/>
      <c r="I382" s="19"/>
      <c r="J382" s="21"/>
      <c r="K382" s="57"/>
      <c r="L382" s="24"/>
      <c r="M382" s="25"/>
      <c r="N382" s="25"/>
      <c r="O382" s="26"/>
      <c r="P382" s="26"/>
    </row>
    <row r="383">
      <c r="A383" s="52"/>
      <c r="B383" s="15"/>
      <c r="C383" s="16"/>
      <c r="D383" s="15"/>
      <c r="E383" s="17"/>
      <c r="F383" s="54"/>
      <c r="G383" s="19"/>
      <c r="H383" s="17"/>
      <c r="I383" s="19"/>
      <c r="J383" s="21"/>
      <c r="K383" s="57"/>
      <c r="L383" s="24"/>
      <c r="M383" s="25"/>
      <c r="N383" s="25"/>
      <c r="O383" s="26"/>
      <c r="P383" s="26"/>
    </row>
    <row r="384">
      <c r="A384" s="52"/>
      <c r="B384" s="15"/>
      <c r="C384" s="16"/>
      <c r="D384" s="15"/>
      <c r="E384" s="17"/>
      <c r="F384" s="54"/>
      <c r="G384" s="19"/>
      <c r="H384" s="17"/>
      <c r="I384" s="19"/>
      <c r="J384" s="21"/>
      <c r="K384" s="57"/>
      <c r="L384" s="24"/>
      <c r="M384" s="25"/>
      <c r="N384" s="25"/>
      <c r="O384" s="26"/>
      <c r="P384" s="26"/>
    </row>
    <row r="385">
      <c r="A385" s="52"/>
      <c r="B385" s="15"/>
      <c r="C385" s="16"/>
      <c r="D385" s="15"/>
      <c r="E385" s="17"/>
      <c r="F385" s="54"/>
      <c r="G385" s="19"/>
      <c r="H385" s="17"/>
      <c r="I385" s="19"/>
      <c r="J385" s="21"/>
      <c r="K385" s="57"/>
      <c r="L385" s="24"/>
      <c r="M385" s="25"/>
      <c r="N385" s="25"/>
      <c r="O385" s="26"/>
      <c r="P385" s="26"/>
    </row>
    <row r="386">
      <c r="A386" s="52"/>
      <c r="B386" s="15"/>
      <c r="C386" s="16"/>
      <c r="D386" s="15"/>
      <c r="E386" s="17"/>
      <c r="F386" s="54"/>
      <c r="G386" s="19"/>
      <c r="H386" s="17"/>
      <c r="I386" s="19"/>
      <c r="J386" s="21"/>
      <c r="K386" s="57"/>
      <c r="L386" s="24"/>
      <c r="M386" s="25"/>
      <c r="N386" s="25"/>
      <c r="O386" s="26"/>
      <c r="P386" s="26"/>
    </row>
    <row r="387">
      <c r="A387" s="52"/>
      <c r="B387" s="15"/>
      <c r="C387" s="16"/>
      <c r="D387" s="15"/>
      <c r="E387" s="17"/>
      <c r="F387" s="54"/>
      <c r="G387" s="19"/>
      <c r="H387" s="17"/>
      <c r="I387" s="19"/>
      <c r="J387" s="21"/>
      <c r="K387" s="57"/>
      <c r="L387" s="24"/>
      <c r="M387" s="25"/>
      <c r="N387" s="25"/>
      <c r="O387" s="26"/>
      <c r="P387" s="26"/>
    </row>
    <row r="388">
      <c r="A388" s="52"/>
      <c r="B388" s="15"/>
      <c r="C388" s="16"/>
      <c r="D388" s="15"/>
      <c r="E388" s="17"/>
      <c r="F388" s="54"/>
      <c r="G388" s="19"/>
      <c r="H388" s="17"/>
      <c r="I388" s="19"/>
      <c r="J388" s="21"/>
      <c r="K388" s="57"/>
      <c r="L388" s="24"/>
      <c r="M388" s="25"/>
      <c r="N388" s="25"/>
      <c r="O388" s="26"/>
      <c r="P388" s="26"/>
    </row>
    <row r="389">
      <c r="A389" s="52"/>
      <c r="B389" s="15"/>
      <c r="C389" s="16"/>
      <c r="D389" s="15"/>
      <c r="E389" s="17"/>
      <c r="F389" s="54"/>
      <c r="G389" s="19"/>
      <c r="H389" s="17"/>
      <c r="I389" s="19"/>
      <c r="J389" s="21"/>
      <c r="K389" s="57"/>
      <c r="L389" s="24"/>
      <c r="M389" s="25"/>
      <c r="N389" s="25"/>
      <c r="O389" s="26"/>
      <c r="P389" s="26"/>
    </row>
    <row r="390">
      <c r="A390" s="52"/>
      <c r="B390" s="15"/>
      <c r="C390" s="16"/>
      <c r="D390" s="15"/>
      <c r="E390" s="17"/>
      <c r="F390" s="54"/>
      <c r="G390" s="19"/>
      <c r="H390" s="17"/>
      <c r="I390" s="19"/>
      <c r="J390" s="21"/>
      <c r="K390" s="57"/>
      <c r="L390" s="24"/>
      <c r="M390" s="25"/>
      <c r="N390" s="25"/>
      <c r="O390" s="26"/>
      <c r="P390" s="26"/>
    </row>
    <row r="391">
      <c r="A391" s="52"/>
      <c r="B391" s="15"/>
      <c r="C391" s="16"/>
      <c r="D391" s="15"/>
      <c r="E391" s="17"/>
      <c r="F391" s="54"/>
      <c r="G391" s="19"/>
      <c r="H391" s="17"/>
      <c r="I391" s="19"/>
      <c r="J391" s="21"/>
      <c r="K391" s="57"/>
      <c r="L391" s="24"/>
      <c r="M391" s="25"/>
      <c r="N391" s="25"/>
      <c r="O391" s="26"/>
      <c r="P391" s="26"/>
    </row>
    <row r="392">
      <c r="A392" s="52"/>
      <c r="B392" s="15"/>
      <c r="C392" s="16"/>
      <c r="D392" s="15"/>
      <c r="E392" s="17"/>
      <c r="F392" s="54"/>
      <c r="G392" s="19"/>
      <c r="H392" s="17"/>
      <c r="I392" s="19"/>
      <c r="J392" s="21"/>
      <c r="K392" s="57"/>
      <c r="L392" s="24"/>
      <c r="M392" s="25"/>
      <c r="N392" s="25"/>
      <c r="O392" s="26"/>
      <c r="P392" s="26"/>
    </row>
    <row r="393">
      <c r="A393" s="52"/>
      <c r="B393" s="15"/>
      <c r="C393" s="16"/>
      <c r="D393" s="15"/>
      <c r="E393" s="17"/>
      <c r="F393" s="54"/>
      <c r="G393" s="19"/>
      <c r="H393" s="17"/>
      <c r="I393" s="19"/>
      <c r="J393" s="21"/>
      <c r="K393" s="57"/>
      <c r="L393" s="24"/>
      <c r="M393" s="25"/>
      <c r="N393" s="25"/>
      <c r="O393" s="26"/>
      <c r="P393" s="26"/>
    </row>
    <row r="394">
      <c r="A394" s="52"/>
      <c r="B394" s="15"/>
      <c r="C394" s="16"/>
      <c r="D394" s="15"/>
      <c r="E394" s="17"/>
      <c r="F394" s="54"/>
      <c r="G394" s="19"/>
      <c r="H394" s="17"/>
      <c r="I394" s="19"/>
      <c r="J394" s="21"/>
      <c r="K394" s="57"/>
      <c r="L394" s="24"/>
      <c r="M394" s="25"/>
      <c r="N394" s="25"/>
      <c r="O394" s="26"/>
      <c r="P394" s="26"/>
    </row>
    <row r="395">
      <c r="A395" s="52"/>
      <c r="B395" s="15"/>
      <c r="C395" s="16"/>
      <c r="D395" s="15"/>
      <c r="E395" s="17"/>
      <c r="F395" s="54"/>
      <c r="G395" s="19"/>
      <c r="H395" s="17"/>
      <c r="I395" s="19"/>
      <c r="J395" s="21"/>
      <c r="K395" s="57"/>
      <c r="L395" s="24"/>
      <c r="M395" s="25"/>
      <c r="N395" s="25"/>
      <c r="O395" s="26"/>
      <c r="P395" s="26"/>
    </row>
    <row r="396">
      <c r="A396" s="52"/>
      <c r="B396" s="15"/>
      <c r="C396" s="16"/>
      <c r="D396" s="15"/>
      <c r="E396" s="17"/>
      <c r="F396" s="54"/>
      <c r="G396" s="19"/>
      <c r="H396" s="17"/>
      <c r="I396" s="19"/>
      <c r="J396" s="21"/>
      <c r="K396" s="57"/>
      <c r="L396" s="24"/>
      <c r="M396" s="25"/>
      <c r="N396" s="25"/>
      <c r="O396" s="26"/>
      <c r="P396" s="26"/>
    </row>
    <row r="397">
      <c r="A397" s="52"/>
      <c r="B397" s="15"/>
      <c r="C397" s="16"/>
      <c r="D397" s="15"/>
      <c r="E397" s="17"/>
      <c r="F397" s="54"/>
      <c r="G397" s="19"/>
      <c r="H397" s="17"/>
      <c r="I397" s="19"/>
      <c r="J397" s="21"/>
      <c r="K397" s="57"/>
      <c r="L397" s="24"/>
      <c r="M397" s="25"/>
      <c r="N397" s="25"/>
      <c r="O397" s="26"/>
      <c r="P397" s="26"/>
    </row>
    <row r="398">
      <c r="A398" s="52"/>
      <c r="B398" s="15"/>
      <c r="C398" s="16"/>
      <c r="D398" s="15"/>
      <c r="E398" s="17"/>
      <c r="F398" s="54"/>
      <c r="G398" s="19"/>
      <c r="H398" s="17"/>
      <c r="I398" s="19"/>
      <c r="J398" s="21"/>
      <c r="K398" s="57"/>
      <c r="L398" s="24"/>
      <c r="M398" s="25"/>
      <c r="N398" s="25"/>
      <c r="O398" s="26"/>
      <c r="P398" s="26"/>
    </row>
    <row r="399">
      <c r="A399" s="52"/>
      <c r="B399" s="15"/>
      <c r="C399" s="16"/>
      <c r="D399" s="15"/>
      <c r="E399" s="17"/>
      <c r="F399" s="54"/>
      <c r="G399" s="19"/>
      <c r="H399" s="17"/>
      <c r="I399" s="19"/>
      <c r="J399" s="21"/>
      <c r="K399" s="57"/>
      <c r="L399" s="24"/>
      <c r="M399" s="25"/>
      <c r="N399" s="25"/>
      <c r="O399" s="26"/>
      <c r="P399" s="26"/>
    </row>
    <row r="400">
      <c r="A400" s="52"/>
      <c r="B400" s="15"/>
      <c r="C400" s="16"/>
      <c r="D400" s="15"/>
      <c r="E400" s="17"/>
      <c r="F400" s="54"/>
      <c r="G400" s="19"/>
      <c r="H400" s="17"/>
      <c r="I400" s="19"/>
      <c r="J400" s="21"/>
      <c r="K400" s="57"/>
      <c r="L400" s="24"/>
      <c r="M400" s="25"/>
      <c r="N400" s="25"/>
      <c r="O400" s="26"/>
      <c r="P400" s="26"/>
    </row>
    <row r="401">
      <c r="A401" s="52"/>
      <c r="B401" s="15"/>
      <c r="C401" s="16"/>
      <c r="D401" s="15"/>
      <c r="E401" s="17"/>
      <c r="F401" s="54"/>
      <c r="G401" s="19"/>
      <c r="H401" s="17"/>
      <c r="I401" s="19"/>
      <c r="J401" s="21"/>
      <c r="K401" s="57"/>
      <c r="L401" s="24"/>
      <c r="M401" s="25"/>
      <c r="N401" s="25"/>
      <c r="O401" s="26"/>
      <c r="P401" s="26"/>
    </row>
    <row r="402">
      <c r="A402" s="52"/>
      <c r="B402" s="15"/>
      <c r="C402" s="16"/>
      <c r="D402" s="15"/>
      <c r="E402" s="17"/>
      <c r="F402" s="54"/>
      <c r="G402" s="19"/>
      <c r="H402" s="17"/>
      <c r="I402" s="19"/>
      <c r="J402" s="21"/>
      <c r="K402" s="57"/>
      <c r="L402" s="24"/>
      <c r="M402" s="25"/>
      <c r="N402" s="25"/>
      <c r="O402" s="26"/>
      <c r="P402" s="26"/>
    </row>
    <row r="403">
      <c r="A403" s="52"/>
      <c r="B403" s="15"/>
      <c r="C403" s="16"/>
      <c r="D403" s="15"/>
      <c r="E403" s="17"/>
      <c r="F403" s="54"/>
      <c r="G403" s="19"/>
      <c r="H403" s="17"/>
      <c r="I403" s="19"/>
      <c r="J403" s="21"/>
      <c r="K403" s="57"/>
      <c r="L403" s="24"/>
      <c r="M403" s="25"/>
      <c r="N403" s="25"/>
      <c r="O403" s="26"/>
      <c r="P403" s="26"/>
    </row>
    <row r="404">
      <c r="A404" s="52"/>
      <c r="B404" s="15"/>
      <c r="C404" s="16"/>
      <c r="D404" s="15"/>
      <c r="E404" s="17"/>
      <c r="F404" s="54"/>
      <c r="G404" s="19"/>
      <c r="H404" s="17"/>
      <c r="I404" s="19"/>
      <c r="J404" s="21"/>
      <c r="K404" s="57"/>
      <c r="L404" s="24"/>
      <c r="M404" s="25"/>
      <c r="N404" s="25"/>
      <c r="O404" s="26"/>
      <c r="P404" s="26"/>
    </row>
    <row r="405">
      <c r="A405" s="52"/>
      <c r="B405" s="15"/>
      <c r="C405" s="16"/>
      <c r="D405" s="15"/>
      <c r="E405" s="17"/>
      <c r="F405" s="54"/>
      <c r="G405" s="19"/>
      <c r="H405" s="17"/>
      <c r="I405" s="19"/>
      <c r="J405" s="21"/>
      <c r="K405" s="57"/>
      <c r="L405" s="24"/>
      <c r="M405" s="25"/>
      <c r="N405" s="25"/>
      <c r="O405" s="26"/>
      <c r="P405" s="26"/>
    </row>
    <row r="406">
      <c r="A406" s="52"/>
      <c r="B406" s="15"/>
      <c r="C406" s="16"/>
      <c r="D406" s="15"/>
      <c r="E406" s="17"/>
      <c r="F406" s="54"/>
      <c r="G406" s="19"/>
      <c r="H406" s="17"/>
      <c r="I406" s="19"/>
      <c r="J406" s="21"/>
      <c r="K406" s="57"/>
      <c r="L406" s="24"/>
      <c r="M406" s="25"/>
      <c r="N406" s="25"/>
      <c r="O406" s="26"/>
      <c r="P406" s="26"/>
    </row>
    <row r="407">
      <c r="A407" s="52"/>
      <c r="B407" s="15"/>
      <c r="C407" s="16"/>
      <c r="D407" s="15"/>
      <c r="E407" s="17"/>
      <c r="F407" s="54"/>
      <c r="G407" s="19"/>
      <c r="H407" s="17"/>
      <c r="I407" s="19"/>
      <c r="J407" s="21"/>
      <c r="K407" s="57"/>
      <c r="L407" s="24"/>
      <c r="M407" s="25"/>
      <c r="N407" s="25"/>
      <c r="O407" s="26"/>
      <c r="P407" s="26"/>
    </row>
    <row r="408">
      <c r="A408" s="52"/>
      <c r="B408" s="15"/>
      <c r="C408" s="16"/>
      <c r="D408" s="15"/>
      <c r="E408" s="17"/>
      <c r="F408" s="54"/>
      <c r="G408" s="19"/>
      <c r="H408" s="17"/>
      <c r="I408" s="19"/>
      <c r="J408" s="21"/>
      <c r="K408" s="57"/>
      <c r="L408" s="24"/>
      <c r="M408" s="25"/>
      <c r="N408" s="25"/>
      <c r="O408" s="26"/>
      <c r="P408" s="26"/>
    </row>
    <row r="409">
      <c r="A409" s="52"/>
      <c r="B409" s="15"/>
      <c r="C409" s="16"/>
      <c r="D409" s="15"/>
      <c r="E409" s="17"/>
      <c r="F409" s="54"/>
      <c r="G409" s="19"/>
      <c r="H409" s="17"/>
      <c r="I409" s="19"/>
      <c r="J409" s="21"/>
      <c r="K409" s="57"/>
      <c r="L409" s="24"/>
      <c r="M409" s="25"/>
      <c r="N409" s="25"/>
      <c r="O409" s="26"/>
      <c r="P409" s="26"/>
    </row>
    <row r="410">
      <c r="A410" s="52"/>
      <c r="B410" s="15"/>
      <c r="C410" s="16"/>
      <c r="D410" s="15"/>
      <c r="E410" s="17"/>
      <c r="F410" s="54"/>
      <c r="G410" s="19"/>
      <c r="H410" s="17"/>
      <c r="I410" s="19"/>
      <c r="J410" s="21"/>
      <c r="K410" s="57"/>
      <c r="L410" s="24"/>
      <c r="M410" s="25"/>
      <c r="N410" s="25"/>
      <c r="O410" s="26"/>
      <c r="P410" s="26"/>
    </row>
    <row r="411">
      <c r="A411" s="52"/>
      <c r="B411" s="15"/>
      <c r="C411" s="16"/>
      <c r="D411" s="15"/>
      <c r="E411" s="17"/>
      <c r="F411" s="54"/>
      <c r="G411" s="19"/>
      <c r="H411" s="17"/>
      <c r="I411" s="19"/>
      <c r="J411" s="21"/>
      <c r="K411" s="57"/>
      <c r="L411" s="24"/>
      <c r="M411" s="25"/>
      <c r="N411" s="25"/>
      <c r="O411" s="26"/>
      <c r="P411" s="26"/>
    </row>
    <row r="412">
      <c r="A412" s="52"/>
      <c r="B412" s="15"/>
      <c r="C412" s="16"/>
      <c r="D412" s="15"/>
      <c r="E412" s="17"/>
      <c r="F412" s="54"/>
      <c r="G412" s="19"/>
      <c r="H412" s="17"/>
      <c r="I412" s="19"/>
      <c r="J412" s="21"/>
      <c r="K412" s="57"/>
      <c r="L412" s="24"/>
      <c r="M412" s="25"/>
      <c r="N412" s="25"/>
      <c r="O412" s="26"/>
      <c r="P412" s="26"/>
    </row>
    <row r="413">
      <c r="A413" s="52"/>
      <c r="B413" s="15"/>
      <c r="C413" s="16"/>
      <c r="D413" s="15"/>
      <c r="E413" s="17"/>
      <c r="F413" s="54"/>
      <c r="G413" s="19"/>
      <c r="H413" s="17"/>
      <c r="I413" s="19"/>
      <c r="J413" s="21"/>
      <c r="K413" s="57"/>
      <c r="L413" s="24"/>
      <c r="M413" s="25"/>
      <c r="N413" s="25"/>
      <c r="O413" s="26"/>
      <c r="P413" s="26"/>
    </row>
    <row r="414">
      <c r="A414" s="52"/>
      <c r="B414" s="15"/>
      <c r="C414" s="16"/>
      <c r="D414" s="15"/>
      <c r="E414" s="17"/>
      <c r="F414" s="54"/>
      <c r="G414" s="19"/>
      <c r="H414" s="17"/>
      <c r="I414" s="19"/>
      <c r="J414" s="21"/>
      <c r="K414" s="57"/>
      <c r="L414" s="24"/>
      <c r="M414" s="25"/>
      <c r="N414" s="25"/>
      <c r="O414" s="26"/>
      <c r="P414" s="26"/>
    </row>
    <row r="415">
      <c r="A415" s="52"/>
      <c r="B415" s="15"/>
      <c r="C415" s="16"/>
      <c r="D415" s="15"/>
      <c r="E415" s="17"/>
      <c r="F415" s="54"/>
      <c r="G415" s="19"/>
      <c r="H415" s="17"/>
      <c r="I415" s="19"/>
      <c r="J415" s="21"/>
      <c r="K415" s="57"/>
      <c r="L415" s="24"/>
      <c r="M415" s="25"/>
      <c r="N415" s="25"/>
      <c r="O415" s="26"/>
      <c r="P415" s="26"/>
    </row>
    <row r="416">
      <c r="A416" s="52"/>
      <c r="B416" s="15"/>
      <c r="C416" s="16"/>
      <c r="D416" s="15"/>
      <c r="E416" s="17"/>
      <c r="F416" s="54"/>
      <c r="G416" s="19"/>
      <c r="H416" s="17"/>
      <c r="I416" s="19"/>
      <c r="J416" s="21"/>
      <c r="K416" s="57"/>
      <c r="L416" s="24"/>
      <c r="M416" s="25"/>
      <c r="N416" s="25"/>
      <c r="O416" s="26"/>
      <c r="P416" s="26"/>
    </row>
    <row r="417">
      <c r="A417" s="52"/>
      <c r="B417" s="15"/>
      <c r="C417" s="16"/>
      <c r="D417" s="15"/>
      <c r="E417" s="17"/>
      <c r="F417" s="54"/>
      <c r="G417" s="19"/>
      <c r="H417" s="17"/>
      <c r="I417" s="19"/>
      <c r="J417" s="21"/>
      <c r="K417" s="57"/>
      <c r="L417" s="24"/>
      <c r="M417" s="25"/>
      <c r="N417" s="25"/>
      <c r="O417" s="26"/>
      <c r="P417" s="26"/>
    </row>
    <row r="418">
      <c r="A418" s="52"/>
      <c r="B418" s="15"/>
      <c r="C418" s="16"/>
      <c r="D418" s="15"/>
      <c r="E418" s="17"/>
      <c r="F418" s="54"/>
      <c r="G418" s="19"/>
      <c r="H418" s="17"/>
      <c r="I418" s="19"/>
      <c r="J418" s="21"/>
      <c r="K418" s="57"/>
      <c r="L418" s="24"/>
      <c r="M418" s="25"/>
      <c r="N418" s="25"/>
      <c r="O418" s="26"/>
      <c r="P418" s="26"/>
    </row>
    <row r="419">
      <c r="A419" s="52"/>
      <c r="B419" s="15"/>
      <c r="C419" s="16"/>
      <c r="D419" s="15"/>
      <c r="E419" s="17"/>
      <c r="F419" s="54"/>
      <c r="G419" s="19"/>
      <c r="H419" s="17"/>
      <c r="I419" s="19"/>
      <c r="J419" s="21"/>
      <c r="K419" s="57"/>
      <c r="L419" s="24"/>
      <c r="M419" s="25"/>
      <c r="N419" s="25"/>
      <c r="O419" s="26"/>
      <c r="P419" s="26"/>
    </row>
    <row r="420">
      <c r="A420" s="52"/>
      <c r="B420" s="15"/>
      <c r="C420" s="16"/>
      <c r="D420" s="15"/>
      <c r="E420" s="17"/>
      <c r="F420" s="54"/>
      <c r="G420" s="19"/>
      <c r="H420" s="17"/>
      <c r="I420" s="19"/>
      <c r="J420" s="21"/>
      <c r="K420" s="57"/>
      <c r="L420" s="24"/>
      <c r="M420" s="25"/>
      <c r="N420" s="25"/>
      <c r="O420" s="26"/>
      <c r="P420" s="26"/>
    </row>
    <row r="421">
      <c r="A421" s="52"/>
      <c r="B421" s="15"/>
      <c r="C421" s="16"/>
      <c r="D421" s="15"/>
      <c r="E421" s="17"/>
      <c r="F421" s="54"/>
      <c r="G421" s="19"/>
      <c r="H421" s="17"/>
      <c r="I421" s="19"/>
      <c r="J421" s="21"/>
      <c r="K421" s="57"/>
      <c r="L421" s="24"/>
      <c r="M421" s="25"/>
      <c r="N421" s="25"/>
      <c r="O421" s="26"/>
      <c r="P421" s="26"/>
    </row>
    <row r="422">
      <c r="A422" s="52"/>
      <c r="B422" s="15"/>
      <c r="C422" s="16"/>
      <c r="D422" s="15"/>
      <c r="E422" s="17"/>
      <c r="F422" s="54"/>
      <c r="G422" s="19"/>
      <c r="H422" s="17"/>
      <c r="I422" s="19"/>
      <c r="J422" s="21"/>
      <c r="K422" s="57"/>
      <c r="L422" s="24"/>
      <c r="M422" s="25"/>
      <c r="N422" s="25"/>
      <c r="O422" s="26"/>
      <c r="P422" s="26"/>
    </row>
    <row r="423">
      <c r="A423" s="52"/>
      <c r="B423" s="15"/>
      <c r="C423" s="16"/>
      <c r="D423" s="15"/>
      <c r="E423" s="17"/>
      <c r="F423" s="54"/>
      <c r="G423" s="19"/>
      <c r="H423" s="17"/>
      <c r="I423" s="19"/>
      <c r="J423" s="21"/>
      <c r="K423" s="57"/>
      <c r="L423" s="24"/>
      <c r="M423" s="25"/>
      <c r="N423" s="25"/>
      <c r="O423" s="26"/>
      <c r="P423" s="26"/>
    </row>
    <row r="424">
      <c r="A424" s="52"/>
      <c r="B424" s="15"/>
      <c r="C424" s="16"/>
      <c r="D424" s="15"/>
      <c r="E424" s="17"/>
      <c r="F424" s="54"/>
      <c r="G424" s="19"/>
      <c r="H424" s="17"/>
      <c r="I424" s="19"/>
      <c r="J424" s="21"/>
      <c r="K424" s="57"/>
      <c r="L424" s="24"/>
      <c r="M424" s="25"/>
      <c r="N424" s="25"/>
      <c r="O424" s="26"/>
      <c r="P424" s="26"/>
    </row>
    <row r="425">
      <c r="A425" s="52"/>
      <c r="B425" s="15"/>
      <c r="C425" s="16"/>
      <c r="D425" s="15"/>
      <c r="E425" s="17"/>
      <c r="F425" s="54"/>
      <c r="G425" s="19"/>
      <c r="H425" s="17"/>
      <c r="I425" s="19"/>
      <c r="J425" s="21"/>
      <c r="K425" s="57"/>
      <c r="L425" s="24"/>
      <c r="M425" s="25"/>
      <c r="N425" s="25"/>
      <c r="O425" s="26"/>
      <c r="P425" s="26"/>
    </row>
    <row r="426">
      <c r="A426" s="52"/>
      <c r="B426" s="15"/>
      <c r="C426" s="16"/>
      <c r="D426" s="15"/>
      <c r="E426" s="17"/>
      <c r="F426" s="54"/>
      <c r="G426" s="19"/>
      <c r="H426" s="17"/>
      <c r="I426" s="19"/>
      <c r="J426" s="21"/>
      <c r="K426" s="57"/>
      <c r="L426" s="24"/>
      <c r="M426" s="25"/>
      <c r="N426" s="25"/>
      <c r="O426" s="26"/>
      <c r="P426" s="26"/>
    </row>
    <row r="427">
      <c r="A427" s="52"/>
      <c r="B427" s="15"/>
      <c r="C427" s="16"/>
      <c r="D427" s="15"/>
      <c r="E427" s="17"/>
      <c r="F427" s="54"/>
      <c r="G427" s="19"/>
      <c r="H427" s="17"/>
      <c r="I427" s="19"/>
      <c r="J427" s="21"/>
      <c r="K427" s="57"/>
      <c r="L427" s="24"/>
      <c r="M427" s="25"/>
      <c r="N427" s="25"/>
      <c r="O427" s="26"/>
      <c r="P427" s="26"/>
    </row>
    <row r="428">
      <c r="A428" s="52"/>
      <c r="B428" s="15"/>
      <c r="C428" s="16"/>
      <c r="D428" s="15"/>
      <c r="E428" s="17"/>
      <c r="F428" s="54"/>
      <c r="G428" s="19"/>
      <c r="H428" s="17"/>
      <c r="I428" s="19"/>
      <c r="J428" s="21"/>
      <c r="K428" s="57"/>
      <c r="L428" s="24"/>
      <c r="M428" s="25"/>
      <c r="N428" s="25"/>
      <c r="O428" s="26"/>
      <c r="P428" s="26"/>
    </row>
    <row r="429">
      <c r="A429" s="52"/>
      <c r="B429" s="15"/>
      <c r="C429" s="16"/>
      <c r="D429" s="15"/>
      <c r="E429" s="17"/>
      <c r="F429" s="54"/>
      <c r="G429" s="19"/>
      <c r="H429" s="17"/>
      <c r="I429" s="19"/>
      <c r="J429" s="21"/>
      <c r="K429" s="57"/>
      <c r="L429" s="24"/>
      <c r="M429" s="25"/>
      <c r="N429" s="25"/>
      <c r="O429" s="26"/>
      <c r="P429" s="26"/>
    </row>
    <row r="430">
      <c r="A430" s="52"/>
      <c r="B430" s="15"/>
      <c r="C430" s="16"/>
      <c r="D430" s="15"/>
      <c r="E430" s="17"/>
      <c r="F430" s="54"/>
      <c r="G430" s="19"/>
      <c r="H430" s="17"/>
      <c r="I430" s="19"/>
      <c r="J430" s="21"/>
      <c r="K430" s="57"/>
      <c r="L430" s="24"/>
      <c r="M430" s="25"/>
      <c r="N430" s="25"/>
      <c r="O430" s="26"/>
      <c r="P430" s="26"/>
    </row>
    <row r="431">
      <c r="A431" s="52"/>
      <c r="B431" s="15"/>
      <c r="C431" s="16"/>
      <c r="D431" s="15"/>
      <c r="E431" s="17"/>
      <c r="F431" s="54"/>
      <c r="G431" s="19"/>
      <c r="H431" s="17"/>
      <c r="I431" s="19"/>
      <c r="J431" s="21"/>
      <c r="K431" s="57"/>
      <c r="L431" s="24"/>
      <c r="M431" s="25"/>
      <c r="N431" s="25"/>
      <c r="O431" s="26"/>
      <c r="P431" s="26"/>
    </row>
    <row r="432">
      <c r="A432" s="52"/>
      <c r="B432" s="15"/>
      <c r="C432" s="16"/>
      <c r="D432" s="15"/>
      <c r="E432" s="17"/>
      <c r="F432" s="54"/>
      <c r="G432" s="19"/>
      <c r="H432" s="17"/>
      <c r="I432" s="19"/>
      <c r="J432" s="21"/>
      <c r="K432" s="57"/>
      <c r="L432" s="24"/>
      <c r="M432" s="25"/>
      <c r="N432" s="25"/>
      <c r="O432" s="26"/>
      <c r="P432" s="26"/>
    </row>
    <row r="433">
      <c r="A433" s="52"/>
      <c r="B433" s="15"/>
      <c r="C433" s="16"/>
      <c r="D433" s="15"/>
      <c r="E433" s="17"/>
      <c r="F433" s="54"/>
      <c r="G433" s="19"/>
      <c r="H433" s="17"/>
      <c r="I433" s="19"/>
      <c r="J433" s="21"/>
      <c r="K433" s="57"/>
      <c r="L433" s="24"/>
      <c r="M433" s="25"/>
      <c r="N433" s="25"/>
      <c r="O433" s="26"/>
      <c r="P433" s="26"/>
    </row>
    <row r="434">
      <c r="A434" s="52"/>
      <c r="B434" s="15"/>
      <c r="C434" s="16"/>
      <c r="D434" s="15"/>
      <c r="E434" s="17"/>
      <c r="F434" s="54"/>
      <c r="G434" s="19"/>
      <c r="H434" s="17"/>
      <c r="I434" s="19"/>
      <c r="J434" s="21"/>
      <c r="K434" s="57"/>
      <c r="L434" s="24"/>
      <c r="M434" s="25"/>
      <c r="N434" s="25"/>
      <c r="O434" s="26"/>
      <c r="P434" s="26"/>
    </row>
    <row r="435">
      <c r="A435" s="52"/>
      <c r="B435" s="15"/>
      <c r="C435" s="16"/>
      <c r="D435" s="15"/>
      <c r="E435" s="17"/>
      <c r="F435" s="54"/>
      <c r="G435" s="19"/>
      <c r="H435" s="17"/>
      <c r="I435" s="19"/>
      <c r="J435" s="21"/>
      <c r="K435" s="57"/>
      <c r="L435" s="24"/>
      <c r="M435" s="25"/>
      <c r="N435" s="25"/>
      <c r="O435" s="26"/>
      <c r="P435" s="26"/>
    </row>
    <row r="436">
      <c r="A436" s="52"/>
      <c r="B436" s="15"/>
      <c r="C436" s="16"/>
      <c r="D436" s="15"/>
      <c r="E436" s="17"/>
      <c r="F436" s="54"/>
      <c r="G436" s="19"/>
      <c r="H436" s="17"/>
      <c r="I436" s="19"/>
      <c r="J436" s="21"/>
      <c r="K436" s="57"/>
      <c r="L436" s="24"/>
      <c r="M436" s="25"/>
      <c r="N436" s="25"/>
      <c r="O436" s="26"/>
      <c r="P436" s="26"/>
    </row>
    <row r="437">
      <c r="A437" s="52"/>
      <c r="B437" s="15"/>
      <c r="C437" s="16"/>
      <c r="D437" s="15"/>
      <c r="E437" s="17"/>
      <c r="F437" s="54"/>
      <c r="G437" s="19"/>
      <c r="H437" s="17"/>
      <c r="I437" s="19"/>
      <c r="J437" s="21"/>
      <c r="K437" s="57"/>
      <c r="L437" s="24"/>
      <c r="M437" s="25"/>
      <c r="N437" s="25"/>
      <c r="O437" s="26"/>
      <c r="P437" s="26"/>
    </row>
    <row r="438">
      <c r="A438" s="52"/>
      <c r="B438" s="15"/>
      <c r="C438" s="16"/>
      <c r="D438" s="15"/>
      <c r="E438" s="17"/>
      <c r="F438" s="54"/>
      <c r="G438" s="19"/>
      <c r="H438" s="17"/>
      <c r="I438" s="19"/>
      <c r="J438" s="21"/>
      <c r="K438" s="57"/>
      <c r="L438" s="24"/>
      <c r="M438" s="25"/>
      <c r="N438" s="25"/>
      <c r="O438" s="26"/>
      <c r="P438" s="26"/>
    </row>
    <row r="439">
      <c r="A439" s="52"/>
      <c r="B439" s="15"/>
      <c r="C439" s="16"/>
      <c r="D439" s="15"/>
      <c r="E439" s="17"/>
      <c r="F439" s="54"/>
      <c r="G439" s="19"/>
      <c r="H439" s="17"/>
      <c r="I439" s="19"/>
      <c r="J439" s="21"/>
      <c r="K439" s="57"/>
      <c r="L439" s="24"/>
      <c r="M439" s="25"/>
      <c r="N439" s="25"/>
      <c r="O439" s="26"/>
      <c r="P439" s="26"/>
    </row>
    <row r="440">
      <c r="A440" s="52"/>
      <c r="B440" s="15"/>
      <c r="C440" s="16"/>
      <c r="D440" s="15"/>
      <c r="E440" s="17"/>
      <c r="F440" s="54"/>
      <c r="G440" s="19"/>
      <c r="H440" s="17"/>
      <c r="I440" s="19"/>
      <c r="J440" s="21"/>
      <c r="K440" s="57"/>
      <c r="L440" s="24"/>
      <c r="M440" s="25"/>
      <c r="N440" s="25"/>
      <c r="O440" s="26"/>
      <c r="P440" s="26"/>
    </row>
    <row r="441">
      <c r="A441" s="52"/>
      <c r="B441" s="15"/>
      <c r="C441" s="16"/>
      <c r="D441" s="15"/>
      <c r="E441" s="17"/>
      <c r="F441" s="54"/>
      <c r="G441" s="19"/>
      <c r="H441" s="17"/>
      <c r="I441" s="19"/>
      <c r="J441" s="21"/>
      <c r="K441" s="57"/>
      <c r="L441" s="24"/>
      <c r="M441" s="25"/>
      <c r="N441" s="25"/>
      <c r="O441" s="26"/>
      <c r="P441" s="26"/>
    </row>
    <row r="442">
      <c r="A442" s="52"/>
      <c r="B442" s="15"/>
      <c r="C442" s="16"/>
      <c r="D442" s="15"/>
      <c r="E442" s="17"/>
      <c r="F442" s="54"/>
      <c r="G442" s="19"/>
      <c r="H442" s="17"/>
      <c r="I442" s="19"/>
      <c r="J442" s="21"/>
      <c r="K442" s="57"/>
      <c r="L442" s="24"/>
      <c r="M442" s="25"/>
      <c r="N442" s="25"/>
      <c r="O442" s="26"/>
      <c r="P442" s="26"/>
    </row>
    <row r="443">
      <c r="A443" s="52"/>
      <c r="B443" s="15"/>
      <c r="C443" s="16"/>
      <c r="D443" s="15"/>
      <c r="E443" s="17"/>
      <c r="F443" s="54"/>
      <c r="G443" s="19"/>
      <c r="H443" s="17"/>
      <c r="I443" s="19"/>
      <c r="J443" s="21"/>
      <c r="K443" s="57"/>
      <c r="L443" s="24"/>
      <c r="M443" s="25"/>
      <c r="N443" s="25"/>
      <c r="O443" s="26"/>
      <c r="P443" s="26"/>
    </row>
    <row r="444">
      <c r="A444" s="52"/>
      <c r="B444" s="15"/>
      <c r="C444" s="16"/>
      <c r="D444" s="15"/>
      <c r="E444" s="17"/>
      <c r="F444" s="54"/>
      <c r="G444" s="19"/>
      <c r="H444" s="17"/>
      <c r="I444" s="19"/>
      <c r="J444" s="21"/>
      <c r="K444" s="57"/>
      <c r="L444" s="24"/>
      <c r="M444" s="25"/>
      <c r="N444" s="25"/>
      <c r="O444" s="26"/>
      <c r="P444" s="26"/>
    </row>
    <row r="445">
      <c r="A445" s="52"/>
      <c r="B445" s="15"/>
      <c r="C445" s="16"/>
      <c r="D445" s="15"/>
      <c r="E445" s="17"/>
      <c r="F445" s="54"/>
      <c r="G445" s="19"/>
      <c r="H445" s="17"/>
      <c r="I445" s="19"/>
      <c r="J445" s="21"/>
      <c r="K445" s="57"/>
      <c r="L445" s="24"/>
      <c r="M445" s="25"/>
      <c r="N445" s="25"/>
      <c r="O445" s="26"/>
      <c r="P445" s="26"/>
    </row>
    <row r="446">
      <c r="A446" s="52"/>
      <c r="B446" s="15"/>
      <c r="C446" s="16"/>
      <c r="D446" s="15"/>
      <c r="E446" s="17"/>
      <c r="F446" s="54"/>
      <c r="G446" s="19"/>
      <c r="H446" s="17"/>
      <c r="I446" s="19"/>
      <c r="J446" s="21"/>
      <c r="K446" s="57"/>
      <c r="L446" s="24"/>
      <c r="M446" s="25"/>
      <c r="N446" s="25"/>
      <c r="O446" s="26"/>
      <c r="P446" s="26"/>
    </row>
    <row r="447">
      <c r="A447" s="52"/>
      <c r="B447" s="15"/>
      <c r="C447" s="16"/>
      <c r="D447" s="15"/>
      <c r="E447" s="17"/>
      <c r="F447" s="54"/>
      <c r="G447" s="19"/>
      <c r="H447" s="17"/>
      <c r="I447" s="19"/>
      <c r="J447" s="21"/>
      <c r="K447" s="57"/>
      <c r="L447" s="24"/>
      <c r="M447" s="25"/>
      <c r="N447" s="25"/>
      <c r="O447" s="26"/>
      <c r="P447" s="26"/>
    </row>
    <row r="448">
      <c r="A448" s="52"/>
      <c r="B448" s="15"/>
      <c r="C448" s="16"/>
      <c r="D448" s="15"/>
      <c r="E448" s="17"/>
      <c r="F448" s="54"/>
      <c r="G448" s="19"/>
      <c r="H448" s="17"/>
      <c r="I448" s="19"/>
      <c r="J448" s="21"/>
      <c r="K448" s="57"/>
      <c r="L448" s="24"/>
      <c r="M448" s="25"/>
      <c r="N448" s="25"/>
      <c r="O448" s="26"/>
      <c r="P448" s="26"/>
    </row>
    <row r="449">
      <c r="A449" s="52"/>
      <c r="B449" s="15"/>
      <c r="C449" s="16"/>
      <c r="D449" s="15"/>
      <c r="E449" s="17"/>
      <c r="F449" s="54"/>
      <c r="G449" s="19"/>
      <c r="H449" s="17"/>
      <c r="I449" s="19"/>
      <c r="J449" s="21"/>
      <c r="K449" s="57"/>
      <c r="L449" s="24"/>
      <c r="M449" s="25"/>
      <c r="N449" s="25"/>
      <c r="O449" s="26"/>
      <c r="P449" s="26"/>
    </row>
    <row r="450">
      <c r="A450" s="52"/>
      <c r="B450" s="15"/>
      <c r="C450" s="16"/>
      <c r="D450" s="15"/>
      <c r="E450" s="17"/>
      <c r="F450" s="54"/>
      <c r="G450" s="19"/>
      <c r="H450" s="17"/>
      <c r="I450" s="19"/>
      <c r="J450" s="21"/>
      <c r="K450" s="57"/>
      <c r="L450" s="24"/>
      <c r="M450" s="25"/>
      <c r="N450" s="25"/>
      <c r="O450" s="26"/>
      <c r="P450" s="26"/>
    </row>
    <row r="451">
      <c r="A451" s="52"/>
      <c r="B451" s="15"/>
      <c r="C451" s="16"/>
      <c r="D451" s="15"/>
      <c r="E451" s="17"/>
      <c r="F451" s="54"/>
      <c r="G451" s="19"/>
      <c r="H451" s="17"/>
      <c r="I451" s="19"/>
      <c r="J451" s="21"/>
      <c r="K451" s="57"/>
      <c r="L451" s="24"/>
      <c r="M451" s="25"/>
      <c r="N451" s="25"/>
      <c r="O451" s="26"/>
      <c r="P451" s="26"/>
    </row>
    <row r="452">
      <c r="A452" s="52"/>
      <c r="B452" s="15"/>
      <c r="C452" s="16"/>
      <c r="D452" s="15"/>
      <c r="E452" s="17"/>
      <c r="F452" s="54"/>
      <c r="G452" s="19"/>
      <c r="H452" s="17"/>
      <c r="I452" s="19"/>
      <c r="J452" s="21"/>
      <c r="K452" s="57"/>
      <c r="L452" s="24"/>
      <c r="M452" s="25"/>
      <c r="N452" s="25"/>
      <c r="O452" s="26"/>
      <c r="P452" s="26"/>
    </row>
    <row r="453">
      <c r="A453" s="52"/>
      <c r="B453" s="15"/>
      <c r="C453" s="16"/>
      <c r="D453" s="15"/>
      <c r="E453" s="17"/>
      <c r="F453" s="54"/>
      <c r="G453" s="19"/>
      <c r="H453" s="17"/>
      <c r="I453" s="19"/>
      <c r="J453" s="21"/>
      <c r="K453" s="57"/>
      <c r="L453" s="24"/>
      <c r="M453" s="25"/>
      <c r="N453" s="25"/>
      <c r="O453" s="26"/>
      <c r="P453" s="26"/>
    </row>
    <row r="454">
      <c r="A454" s="52"/>
      <c r="B454" s="15"/>
      <c r="C454" s="16"/>
      <c r="D454" s="15"/>
      <c r="E454" s="17"/>
      <c r="F454" s="54"/>
      <c r="G454" s="19"/>
      <c r="H454" s="17"/>
      <c r="I454" s="19"/>
      <c r="J454" s="21"/>
      <c r="K454" s="57"/>
      <c r="L454" s="24"/>
      <c r="M454" s="25"/>
      <c r="N454" s="25"/>
      <c r="O454" s="26"/>
      <c r="P454" s="26"/>
    </row>
    <row r="455">
      <c r="A455" s="52"/>
      <c r="B455" s="15"/>
      <c r="C455" s="16"/>
      <c r="D455" s="15"/>
      <c r="E455" s="17"/>
      <c r="F455" s="54"/>
      <c r="G455" s="19"/>
      <c r="H455" s="17"/>
      <c r="I455" s="19"/>
      <c r="J455" s="21"/>
      <c r="K455" s="57"/>
      <c r="L455" s="24"/>
      <c r="M455" s="25"/>
      <c r="N455" s="25"/>
      <c r="O455" s="26"/>
      <c r="P455" s="26"/>
    </row>
    <row r="456">
      <c r="A456" s="52"/>
      <c r="B456" s="15"/>
      <c r="C456" s="16"/>
      <c r="D456" s="15"/>
      <c r="E456" s="17"/>
      <c r="F456" s="54"/>
      <c r="G456" s="19"/>
      <c r="H456" s="17"/>
      <c r="I456" s="19"/>
      <c r="J456" s="21"/>
      <c r="K456" s="57"/>
      <c r="L456" s="24"/>
      <c r="M456" s="25"/>
      <c r="N456" s="25"/>
      <c r="O456" s="26"/>
      <c r="P456" s="26"/>
    </row>
    <row r="457">
      <c r="A457" s="52"/>
      <c r="B457" s="15"/>
      <c r="C457" s="16"/>
      <c r="D457" s="15"/>
      <c r="E457" s="17"/>
      <c r="F457" s="54"/>
      <c r="G457" s="19"/>
      <c r="H457" s="17"/>
      <c r="I457" s="19"/>
      <c r="J457" s="21"/>
      <c r="K457" s="57"/>
      <c r="L457" s="24"/>
      <c r="M457" s="25"/>
      <c r="N457" s="25"/>
      <c r="O457" s="26"/>
      <c r="P457" s="26"/>
    </row>
    <row r="458">
      <c r="A458" s="52"/>
      <c r="B458" s="15"/>
      <c r="C458" s="16"/>
      <c r="D458" s="15"/>
      <c r="E458" s="17"/>
      <c r="F458" s="54"/>
      <c r="G458" s="19"/>
      <c r="H458" s="17"/>
      <c r="I458" s="19"/>
      <c r="J458" s="21"/>
      <c r="K458" s="57"/>
      <c r="L458" s="24"/>
      <c r="M458" s="25"/>
      <c r="N458" s="25"/>
      <c r="O458" s="26"/>
      <c r="P458" s="26"/>
    </row>
    <row r="459">
      <c r="A459" s="52"/>
      <c r="B459" s="15"/>
      <c r="C459" s="16"/>
      <c r="D459" s="15"/>
      <c r="E459" s="17"/>
      <c r="F459" s="54"/>
      <c r="G459" s="19"/>
      <c r="H459" s="17"/>
      <c r="I459" s="19"/>
      <c r="J459" s="21"/>
      <c r="K459" s="57"/>
      <c r="L459" s="24"/>
      <c r="M459" s="25"/>
      <c r="N459" s="25"/>
      <c r="O459" s="26"/>
      <c r="P459" s="26"/>
    </row>
    <row r="460">
      <c r="A460" s="52"/>
      <c r="B460" s="15"/>
      <c r="C460" s="16"/>
      <c r="D460" s="15"/>
      <c r="E460" s="17"/>
      <c r="F460" s="54"/>
      <c r="G460" s="19"/>
      <c r="H460" s="17"/>
      <c r="I460" s="19"/>
      <c r="J460" s="21"/>
      <c r="K460" s="57"/>
      <c r="L460" s="24"/>
      <c r="M460" s="25"/>
      <c r="N460" s="25"/>
      <c r="O460" s="26"/>
      <c r="P460" s="26"/>
    </row>
    <row r="461">
      <c r="A461" s="52"/>
      <c r="B461" s="15"/>
      <c r="C461" s="16"/>
      <c r="D461" s="15"/>
      <c r="E461" s="17"/>
      <c r="F461" s="54"/>
      <c r="G461" s="19"/>
      <c r="H461" s="17"/>
      <c r="I461" s="19"/>
      <c r="J461" s="21"/>
      <c r="K461" s="57"/>
      <c r="L461" s="24"/>
      <c r="M461" s="25"/>
      <c r="N461" s="25"/>
      <c r="O461" s="26"/>
      <c r="P461" s="26"/>
    </row>
    <row r="462">
      <c r="A462" s="52"/>
      <c r="B462" s="15"/>
      <c r="C462" s="16"/>
      <c r="D462" s="15"/>
      <c r="E462" s="17"/>
      <c r="F462" s="54"/>
      <c r="G462" s="19"/>
      <c r="H462" s="17"/>
      <c r="I462" s="19"/>
      <c r="J462" s="21"/>
      <c r="K462" s="57"/>
      <c r="L462" s="24"/>
      <c r="M462" s="25"/>
      <c r="N462" s="25"/>
      <c r="O462" s="26"/>
      <c r="P462" s="26"/>
    </row>
    <row r="463">
      <c r="A463" s="52"/>
      <c r="B463" s="15"/>
      <c r="C463" s="16"/>
      <c r="D463" s="15"/>
      <c r="E463" s="17"/>
      <c r="F463" s="54"/>
      <c r="G463" s="19"/>
      <c r="H463" s="17"/>
      <c r="I463" s="19"/>
      <c r="J463" s="21"/>
      <c r="K463" s="57"/>
      <c r="L463" s="24"/>
      <c r="M463" s="25"/>
      <c r="N463" s="25"/>
      <c r="O463" s="26"/>
      <c r="P463" s="26"/>
    </row>
    <row r="464">
      <c r="A464" s="52"/>
      <c r="B464" s="15"/>
      <c r="C464" s="16"/>
      <c r="D464" s="15"/>
      <c r="E464" s="17"/>
      <c r="F464" s="54"/>
      <c r="G464" s="19"/>
      <c r="H464" s="17"/>
      <c r="I464" s="19"/>
      <c r="J464" s="21"/>
      <c r="K464" s="57"/>
      <c r="L464" s="24"/>
      <c r="M464" s="25"/>
      <c r="N464" s="25"/>
      <c r="O464" s="26"/>
      <c r="P464" s="26"/>
    </row>
    <row r="465">
      <c r="A465" s="52"/>
      <c r="B465" s="15"/>
      <c r="C465" s="16"/>
      <c r="D465" s="15"/>
      <c r="E465" s="17"/>
      <c r="F465" s="54"/>
      <c r="G465" s="19"/>
      <c r="H465" s="17"/>
      <c r="I465" s="19"/>
      <c r="J465" s="21"/>
      <c r="K465" s="57"/>
      <c r="L465" s="24"/>
      <c r="M465" s="25"/>
      <c r="N465" s="25"/>
      <c r="O465" s="26"/>
      <c r="P465" s="26"/>
    </row>
    <row r="466">
      <c r="A466" s="52"/>
      <c r="B466" s="15"/>
      <c r="C466" s="16"/>
      <c r="D466" s="15"/>
      <c r="E466" s="17"/>
      <c r="F466" s="54"/>
      <c r="G466" s="19"/>
      <c r="H466" s="17"/>
      <c r="I466" s="19"/>
      <c r="J466" s="21"/>
      <c r="K466" s="57"/>
      <c r="L466" s="24"/>
      <c r="M466" s="25"/>
      <c r="N466" s="25"/>
      <c r="O466" s="26"/>
      <c r="P466" s="26"/>
    </row>
    <row r="467">
      <c r="A467" s="52"/>
      <c r="B467" s="15"/>
      <c r="C467" s="16"/>
      <c r="D467" s="15"/>
      <c r="E467" s="17"/>
      <c r="F467" s="54"/>
      <c r="G467" s="19"/>
      <c r="H467" s="17"/>
      <c r="I467" s="19"/>
      <c r="J467" s="21"/>
      <c r="K467" s="57"/>
      <c r="L467" s="24"/>
      <c r="M467" s="25"/>
      <c r="N467" s="25"/>
      <c r="O467" s="26"/>
      <c r="P467" s="26"/>
    </row>
    <row r="468">
      <c r="A468" s="52"/>
      <c r="B468" s="15"/>
      <c r="C468" s="16"/>
      <c r="D468" s="15"/>
      <c r="E468" s="17"/>
      <c r="F468" s="54"/>
      <c r="G468" s="19"/>
      <c r="H468" s="17"/>
      <c r="I468" s="19"/>
      <c r="J468" s="21"/>
      <c r="K468" s="57"/>
      <c r="L468" s="24"/>
      <c r="M468" s="25"/>
      <c r="N468" s="25"/>
      <c r="O468" s="26"/>
      <c r="P468" s="26"/>
    </row>
    <row r="469">
      <c r="A469" s="52"/>
      <c r="B469" s="15"/>
      <c r="C469" s="16"/>
      <c r="D469" s="15"/>
      <c r="E469" s="17"/>
      <c r="F469" s="54"/>
      <c r="G469" s="19"/>
      <c r="H469" s="17"/>
      <c r="I469" s="19"/>
      <c r="J469" s="21"/>
      <c r="K469" s="57"/>
      <c r="L469" s="24"/>
      <c r="M469" s="25"/>
      <c r="N469" s="25"/>
      <c r="O469" s="26"/>
      <c r="P469" s="26"/>
    </row>
    <row r="470">
      <c r="A470" s="52"/>
      <c r="B470" s="15"/>
      <c r="C470" s="16"/>
      <c r="D470" s="15"/>
      <c r="E470" s="17"/>
      <c r="F470" s="54"/>
      <c r="G470" s="19"/>
      <c r="H470" s="17"/>
      <c r="I470" s="19"/>
      <c r="J470" s="21"/>
      <c r="K470" s="57"/>
      <c r="L470" s="24"/>
      <c r="M470" s="25"/>
      <c r="N470" s="25"/>
      <c r="O470" s="26"/>
      <c r="P470" s="26"/>
    </row>
    <row r="471">
      <c r="A471" s="52"/>
      <c r="B471" s="15"/>
      <c r="C471" s="16"/>
      <c r="D471" s="15"/>
      <c r="E471" s="17"/>
      <c r="F471" s="54"/>
      <c r="G471" s="19"/>
      <c r="H471" s="17"/>
      <c r="I471" s="19"/>
      <c r="J471" s="21"/>
      <c r="K471" s="57"/>
      <c r="L471" s="24"/>
      <c r="M471" s="25"/>
      <c r="N471" s="25"/>
      <c r="O471" s="26"/>
      <c r="P471" s="26"/>
    </row>
    <row r="472">
      <c r="A472" s="52"/>
      <c r="B472" s="15"/>
      <c r="C472" s="16"/>
      <c r="D472" s="15"/>
      <c r="E472" s="17"/>
      <c r="F472" s="54"/>
      <c r="G472" s="19"/>
      <c r="H472" s="17"/>
      <c r="I472" s="19"/>
      <c r="J472" s="21"/>
      <c r="K472" s="57"/>
      <c r="L472" s="24"/>
      <c r="M472" s="25"/>
      <c r="N472" s="25"/>
      <c r="O472" s="26"/>
      <c r="P472" s="26"/>
    </row>
    <row r="473">
      <c r="A473" s="52"/>
      <c r="B473" s="15"/>
      <c r="C473" s="16"/>
      <c r="D473" s="15"/>
      <c r="E473" s="17"/>
      <c r="F473" s="54"/>
      <c r="G473" s="19"/>
      <c r="H473" s="17"/>
      <c r="I473" s="19"/>
      <c r="J473" s="21"/>
      <c r="K473" s="57"/>
      <c r="L473" s="24"/>
      <c r="M473" s="25"/>
      <c r="N473" s="25"/>
      <c r="O473" s="26"/>
      <c r="P473" s="26"/>
    </row>
    <row r="474">
      <c r="A474" s="52"/>
      <c r="B474" s="15"/>
      <c r="C474" s="16"/>
      <c r="D474" s="15"/>
      <c r="E474" s="17"/>
      <c r="F474" s="54"/>
      <c r="G474" s="19"/>
      <c r="H474" s="17"/>
      <c r="I474" s="19"/>
      <c r="J474" s="21"/>
      <c r="K474" s="57"/>
      <c r="L474" s="24"/>
      <c r="M474" s="25"/>
      <c r="N474" s="25"/>
      <c r="O474" s="26"/>
      <c r="P474" s="26"/>
    </row>
    <row r="475">
      <c r="A475" s="52"/>
      <c r="B475" s="15"/>
      <c r="C475" s="16"/>
      <c r="D475" s="15"/>
      <c r="E475" s="17"/>
      <c r="F475" s="54"/>
      <c r="G475" s="19"/>
      <c r="H475" s="17"/>
      <c r="I475" s="19"/>
      <c r="J475" s="21"/>
      <c r="K475" s="57"/>
      <c r="L475" s="24"/>
      <c r="M475" s="25"/>
      <c r="N475" s="25"/>
      <c r="O475" s="26"/>
      <c r="P475" s="26"/>
    </row>
    <row r="476">
      <c r="A476" s="52"/>
      <c r="B476" s="15"/>
      <c r="C476" s="16"/>
      <c r="D476" s="15"/>
      <c r="E476" s="17"/>
      <c r="F476" s="54"/>
      <c r="G476" s="19"/>
      <c r="H476" s="17"/>
      <c r="I476" s="19"/>
      <c r="J476" s="21"/>
      <c r="K476" s="57"/>
      <c r="L476" s="24"/>
      <c r="M476" s="25"/>
      <c r="N476" s="25"/>
      <c r="O476" s="26"/>
      <c r="P476" s="26"/>
    </row>
    <row r="477">
      <c r="A477" s="52"/>
      <c r="B477" s="15"/>
      <c r="C477" s="16"/>
      <c r="D477" s="15"/>
      <c r="E477" s="17"/>
      <c r="F477" s="54"/>
      <c r="G477" s="19"/>
      <c r="H477" s="17"/>
      <c r="I477" s="19"/>
      <c r="J477" s="21"/>
      <c r="K477" s="57"/>
      <c r="L477" s="24"/>
      <c r="M477" s="25"/>
      <c r="N477" s="25"/>
      <c r="O477" s="26"/>
      <c r="P477" s="26"/>
    </row>
    <row r="478">
      <c r="A478" s="52"/>
      <c r="B478" s="15"/>
      <c r="C478" s="16"/>
      <c r="D478" s="15"/>
      <c r="E478" s="17"/>
      <c r="F478" s="54"/>
      <c r="G478" s="19"/>
      <c r="H478" s="17"/>
      <c r="I478" s="19"/>
      <c r="J478" s="21"/>
      <c r="K478" s="57"/>
      <c r="L478" s="24"/>
      <c r="M478" s="25"/>
      <c r="N478" s="25"/>
      <c r="O478" s="26"/>
      <c r="P478" s="26"/>
    </row>
    <row r="479">
      <c r="A479" s="52"/>
      <c r="B479" s="15"/>
      <c r="C479" s="16"/>
      <c r="D479" s="15"/>
      <c r="E479" s="17"/>
      <c r="F479" s="54"/>
      <c r="G479" s="19"/>
      <c r="H479" s="17"/>
      <c r="I479" s="19"/>
      <c r="J479" s="21"/>
      <c r="K479" s="57"/>
      <c r="L479" s="24"/>
      <c r="M479" s="25"/>
      <c r="N479" s="25"/>
      <c r="O479" s="26"/>
      <c r="P479" s="26"/>
    </row>
    <row r="480">
      <c r="A480" s="52"/>
      <c r="B480" s="15"/>
      <c r="C480" s="16"/>
      <c r="D480" s="15"/>
      <c r="E480" s="17"/>
      <c r="F480" s="54"/>
      <c r="G480" s="19"/>
      <c r="H480" s="17"/>
      <c r="I480" s="19"/>
      <c r="J480" s="21"/>
      <c r="K480" s="57"/>
      <c r="L480" s="24"/>
      <c r="M480" s="25"/>
      <c r="N480" s="25"/>
      <c r="O480" s="26"/>
      <c r="P480" s="26"/>
    </row>
    <row r="481">
      <c r="A481" s="52"/>
      <c r="B481" s="15"/>
      <c r="C481" s="16"/>
      <c r="D481" s="15"/>
      <c r="E481" s="17"/>
      <c r="F481" s="54"/>
      <c r="G481" s="19"/>
      <c r="H481" s="17"/>
      <c r="I481" s="19"/>
      <c r="J481" s="21"/>
      <c r="K481" s="57"/>
      <c r="L481" s="24"/>
      <c r="M481" s="25"/>
      <c r="N481" s="25"/>
      <c r="O481" s="26"/>
      <c r="P481" s="26"/>
    </row>
    <row r="482">
      <c r="A482" s="52"/>
      <c r="B482" s="15"/>
      <c r="C482" s="16"/>
      <c r="D482" s="15"/>
      <c r="E482" s="17"/>
      <c r="F482" s="54"/>
      <c r="G482" s="19"/>
      <c r="H482" s="17"/>
      <c r="I482" s="19"/>
      <c r="J482" s="21"/>
      <c r="K482" s="57"/>
      <c r="L482" s="24"/>
      <c r="M482" s="25"/>
      <c r="N482" s="25"/>
      <c r="O482" s="26"/>
      <c r="P482" s="26"/>
    </row>
    <row r="483">
      <c r="A483" s="52"/>
      <c r="B483" s="15"/>
      <c r="C483" s="16"/>
      <c r="D483" s="15"/>
      <c r="E483" s="17"/>
      <c r="F483" s="54"/>
      <c r="G483" s="19"/>
      <c r="H483" s="17"/>
      <c r="I483" s="19"/>
      <c r="J483" s="21"/>
      <c r="K483" s="57"/>
      <c r="L483" s="24"/>
      <c r="M483" s="25"/>
      <c r="N483" s="25"/>
      <c r="O483" s="26"/>
      <c r="P483" s="26"/>
    </row>
    <row r="484">
      <c r="A484" s="52"/>
      <c r="B484" s="15"/>
      <c r="C484" s="16"/>
      <c r="D484" s="15"/>
      <c r="E484" s="17"/>
      <c r="F484" s="54"/>
      <c r="G484" s="19"/>
      <c r="H484" s="17"/>
      <c r="I484" s="19"/>
      <c r="J484" s="21"/>
      <c r="K484" s="57"/>
      <c r="L484" s="24"/>
      <c r="M484" s="25"/>
      <c r="N484" s="25"/>
      <c r="O484" s="26"/>
      <c r="P484" s="26"/>
    </row>
    <row r="485">
      <c r="A485" s="52"/>
      <c r="B485" s="15"/>
      <c r="C485" s="16"/>
      <c r="D485" s="15"/>
      <c r="E485" s="17"/>
      <c r="F485" s="54"/>
      <c r="G485" s="19"/>
      <c r="H485" s="17"/>
      <c r="I485" s="19"/>
      <c r="J485" s="21"/>
      <c r="K485" s="57"/>
      <c r="L485" s="24"/>
      <c r="M485" s="25"/>
      <c r="N485" s="25"/>
      <c r="O485" s="26"/>
      <c r="P485" s="26"/>
    </row>
    <row r="486">
      <c r="A486" s="52"/>
      <c r="B486" s="15"/>
      <c r="C486" s="16"/>
      <c r="D486" s="15"/>
      <c r="E486" s="17"/>
      <c r="F486" s="54"/>
      <c r="G486" s="19"/>
      <c r="H486" s="17"/>
      <c r="I486" s="19"/>
      <c r="J486" s="21"/>
      <c r="K486" s="57"/>
      <c r="L486" s="24"/>
      <c r="M486" s="25"/>
      <c r="N486" s="25"/>
      <c r="O486" s="26"/>
      <c r="P486" s="26"/>
    </row>
    <row r="487">
      <c r="A487" s="52"/>
      <c r="B487" s="15"/>
      <c r="C487" s="16"/>
      <c r="D487" s="15"/>
      <c r="E487" s="17"/>
      <c r="F487" s="54"/>
      <c r="G487" s="19"/>
      <c r="H487" s="17"/>
      <c r="I487" s="19"/>
      <c r="J487" s="21"/>
      <c r="K487" s="57"/>
      <c r="L487" s="24"/>
      <c r="M487" s="25"/>
      <c r="N487" s="25"/>
      <c r="O487" s="26"/>
      <c r="P487" s="26"/>
    </row>
    <row r="488">
      <c r="A488" s="52"/>
      <c r="B488" s="15"/>
      <c r="C488" s="16"/>
      <c r="D488" s="15"/>
      <c r="E488" s="17"/>
      <c r="F488" s="54"/>
      <c r="G488" s="19"/>
      <c r="H488" s="17"/>
      <c r="I488" s="19"/>
      <c r="J488" s="21"/>
      <c r="K488" s="57"/>
      <c r="L488" s="24"/>
      <c r="M488" s="25"/>
      <c r="N488" s="25"/>
      <c r="O488" s="26"/>
      <c r="P488" s="26"/>
    </row>
    <row r="489">
      <c r="A489" s="52"/>
      <c r="B489" s="15"/>
      <c r="C489" s="16"/>
      <c r="D489" s="15"/>
      <c r="E489" s="17"/>
      <c r="F489" s="54"/>
      <c r="G489" s="19"/>
      <c r="H489" s="17"/>
      <c r="I489" s="19"/>
      <c r="J489" s="21"/>
      <c r="K489" s="57"/>
      <c r="L489" s="24"/>
      <c r="M489" s="25"/>
      <c r="N489" s="25"/>
      <c r="O489" s="26"/>
      <c r="P489" s="26"/>
    </row>
    <row r="490">
      <c r="A490" s="52"/>
      <c r="B490" s="15"/>
      <c r="C490" s="16"/>
      <c r="D490" s="15"/>
      <c r="E490" s="17"/>
      <c r="F490" s="54"/>
      <c r="G490" s="19"/>
      <c r="H490" s="17"/>
      <c r="I490" s="19"/>
      <c r="J490" s="21"/>
      <c r="K490" s="57"/>
      <c r="L490" s="24"/>
      <c r="M490" s="25"/>
      <c r="N490" s="25"/>
      <c r="O490" s="26"/>
      <c r="P490" s="26"/>
    </row>
    <row r="491">
      <c r="A491" s="52"/>
      <c r="B491" s="15"/>
      <c r="C491" s="16"/>
      <c r="D491" s="15"/>
      <c r="E491" s="17"/>
      <c r="F491" s="54"/>
      <c r="G491" s="19"/>
      <c r="H491" s="17"/>
      <c r="I491" s="19"/>
      <c r="J491" s="21"/>
      <c r="K491" s="57"/>
      <c r="L491" s="24"/>
      <c r="M491" s="25"/>
      <c r="N491" s="25"/>
      <c r="O491" s="26"/>
      <c r="P491" s="26"/>
    </row>
    <row r="492">
      <c r="A492" s="52"/>
      <c r="B492" s="15"/>
      <c r="C492" s="16"/>
      <c r="D492" s="15"/>
      <c r="E492" s="17"/>
      <c r="F492" s="54"/>
      <c r="G492" s="19"/>
      <c r="H492" s="17"/>
      <c r="I492" s="19"/>
      <c r="J492" s="21"/>
      <c r="K492" s="57"/>
      <c r="L492" s="24"/>
      <c r="M492" s="25"/>
      <c r="N492" s="25"/>
      <c r="O492" s="26"/>
      <c r="P492" s="26"/>
    </row>
    <row r="493">
      <c r="A493" s="52"/>
      <c r="B493" s="15"/>
      <c r="C493" s="16"/>
      <c r="D493" s="15"/>
      <c r="E493" s="17"/>
      <c r="F493" s="54"/>
      <c r="G493" s="19"/>
      <c r="H493" s="17"/>
      <c r="I493" s="19"/>
      <c r="J493" s="21"/>
      <c r="K493" s="57"/>
      <c r="L493" s="24"/>
      <c r="M493" s="25"/>
      <c r="N493" s="25"/>
      <c r="O493" s="26"/>
      <c r="P493" s="26"/>
    </row>
    <row r="494">
      <c r="A494" s="52"/>
      <c r="B494" s="15"/>
      <c r="C494" s="16"/>
      <c r="D494" s="15"/>
      <c r="E494" s="17"/>
      <c r="F494" s="54"/>
      <c r="G494" s="19"/>
      <c r="H494" s="17"/>
      <c r="I494" s="19"/>
      <c r="J494" s="21"/>
      <c r="K494" s="57"/>
      <c r="L494" s="24"/>
      <c r="M494" s="25"/>
      <c r="N494" s="25"/>
      <c r="O494" s="26"/>
      <c r="P494" s="26"/>
    </row>
    <row r="495">
      <c r="A495" s="52"/>
      <c r="B495" s="15"/>
      <c r="C495" s="16"/>
      <c r="D495" s="15"/>
      <c r="E495" s="17"/>
      <c r="F495" s="54"/>
      <c r="G495" s="19"/>
      <c r="H495" s="17"/>
      <c r="I495" s="19"/>
      <c r="J495" s="21"/>
      <c r="K495" s="57"/>
      <c r="L495" s="24"/>
      <c r="M495" s="25"/>
      <c r="N495" s="25"/>
      <c r="O495" s="26"/>
      <c r="P495" s="26"/>
    </row>
    <row r="496">
      <c r="A496" s="52"/>
      <c r="B496" s="15"/>
      <c r="C496" s="16"/>
      <c r="D496" s="15"/>
      <c r="E496" s="17"/>
      <c r="F496" s="54"/>
      <c r="G496" s="19"/>
      <c r="H496" s="17"/>
      <c r="I496" s="19"/>
      <c r="J496" s="21"/>
      <c r="K496" s="57"/>
      <c r="L496" s="24"/>
      <c r="M496" s="25"/>
      <c r="N496" s="25"/>
      <c r="O496" s="26"/>
      <c r="P496" s="26"/>
    </row>
    <row r="497">
      <c r="A497" s="52"/>
      <c r="B497" s="15"/>
      <c r="C497" s="16"/>
      <c r="D497" s="15"/>
      <c r="E497" s="17"/>
      <c r="F497" s="54"/>
      <c r="G497" s="19"/>
      <c r="H497" s="17"/>
      <c r="I497" s="19"/>
      <c r="J497" s="21"/>
      <c r="K497" s="57"/>
      <c r="L497" s="24"/>
      <c r="M497" s="25"/>
      <c r="N497" s="25"/>
      <c r="O497" s="26"/>
      <c r="P497" s="26"/>
    </row>
    <row r="498">
      <c r="A498" s="52"/>
      <c r="B498" s="15"/>
      <c r="C498" s="16"/>
      <c r="D498" s="15"/>
      <c r="E498" s="17"/>
      <c r="F498" s="54"/>
      <c r="G498" s="19"/>
      <c r="H498" s="17"/>
      <c r="I498" s="19"/>
      <c r="J498" s="21"/>
      <c r="K498" s="57"/>
      <c r="L498" s="24"/>
      <c r="M498" s="25"/>
      <c r="N498" s="25"/>
      <c r="O498" s="26"/>
      <c r="P498" s="26"/>
    </row>
    <row r="499">
      <c r="A499" s="52"/>
      <c r="B499" s="15"/>
      <c r="C499" s="16"/>
      <c r="D499" s="15"/>
      <c r="E499" s="17"/>
      <c r="F499" s="54"/>
      <c r="G499" s="19"/>
      <c r="H499" s="17"/>
      <c r="I499" s="19"/>
      <c r="J499" s="21"/>
      <c r="K499" s="57"/>
      <c r="L499" s="24"/>
      <c r="M499" s="25"/>
      <c r="N499" s="25"/>
      <c r="O499" s="26"/>
      <c r="P499" s="26"/>
    </row>
    <row r="500">
      <c r="A500" s="52"/>
      <c r="B500" s="15"/>
      <c r="C500" s="16"/>
      <c r="D500" s="15"/>
      <c r="E500" s="17"/>
      <c r="F500" s="54"/>
      <c r="G500" s="19"/>
      <c r="H500" s="17"/>
      <c r="I500" s="19"/>
      <c r="J500" s="21"/>
      <c r="K500" s="57"/>
      <c r="L500" s="24"/>
      <c r="M500" s="25"/>
      <c r="N500" s="25"/>
      <c r="O500" s="26"/>
      <c r="P500" s="26"/>
    </row>
    <row r="501">
      <c r="A501" s="52"/>
      <c r="B501" s="15"/>
      <c r="C501" s="16"/>
      <c r="D501" s="15"/>
      <c r="E501" s="17"/>
      <c r="F501" s="54"/>
      <c r="G501" s="19"/>
      <c r="H501" s="17"/>
      <c r="I501" s="19"/>
      <c r="J501" s="21"/>
      <c r="K501" s="57"/>
      <c r="L501" s="24"/>
      <c r="M501" s="25"/>
      <c r="N501" s="25"/>
      <c r="O501" s="26"/>
      <c r="P501" s="26"/>
    </row>
    <row r="502">
      <c r="A502" s="52"/>
      <c r="B502" s="15"/>
      <c r="C502" s="16"/>
      <c r="D502" s="15"/>
      <c r="E502" s="17"/>
      <c r="F502" s="54"/>
      <c r="G502" s="19"/>
      <c r="H502" s="17"/>
      <c r="I502" s="19"/>
      <c r="J502" s="21"/>
      <c r="K502" s="57"/>
      <c r="L502" s="24"/>
      <c r="M502" s="25"/>
      <c r="N502" s="25"/>
      <c r="O502" s="26"/>
      <c r="P502" s="26"/>
    </row>
    <row r="503">
      <c r="A503" s="52"/>
      <c r="B503" s="15"/>
      <c r="C503" s="16"/>
      <c r="D503" s="15"/>
      <c r="E503" s="17"/>
      <c r="F503" s="54"/>
      <c r="G503" s="19"/>
      <c r="H503" s="17"/>
      <c r="I503" s="19"/>
      <c r="J503" s="21"/>
      <c r="K503" s="57"/>
      <c r="L503" s="24"/>
      <c r="M503" s="25"/>
      <c r="N503" s="25"/>
      <c r="O503" s="26"/>
      <c r="P503" s="26"/>
    </row>
    <row r="504">
      <c r="A504" s="52"/>
      <c r="B504" s="15"/>
      <c r="C504" s="16"/>
      <c r="D504" s="15"/>
      <c r="E504" s="17"/>
      <c r="F504" s="54"/>
      <c r="G504" s="19"/>
      <c r="H504" s="17"/>
      <c r="I504" s="19"/>
      <c r="J504" s="21"/>
      <c r="K504" s="57"/>
      <c r="L504" s="24"/>
      <c r="M504" s="25"/>
      <c r="N504" s="25"/>
      <c r="O504" s="26"/>
      <c r="P504" s="26"/>
    </row>
    <row r="505">
      <c r="A505" s="52"/>
      <c r="B505" s="15"/>
      <c r="C505" s="16"/>
      <c r="D505" s="15"/>
      <c r="E505" s="17"/>
      <c r="F505" s="54"/>
      <c r="G505" s="19"/>
      <c r="H505" s="17"/>
      <c r="I505" s="19"/>
      <c r="J505" s="21"/>
      <c r="K505" s="57"/>
      <c r="L505" s="24"/>
      <c r="M505" s="25"/>
      <c r="N505" s="25"/>
      <c r="O505" s="26"/>
      <c r="P505" s="26"/>
    </row>
    <row r="506">
      <c r="A506" s="52"/>
      <c r="B506" s="15"/>
      <c r="C506" s="16"/>
      <c r="D506" s="15"/>
      <c r="E506" s="17"/>
      <c r="F506" s="54"/>
      <c r="G506" s="19"/>
      <c r="H506" s="17"/>
      <c r="I506" s="19"/>
      <c r="J506" s="21"/>
      <c r="K506" s="57"/>
      <c r="L506" s="24"/>
      <c r="M506" s="25"/>
      <c r="N506" s="25"/>
      <c r="O506" s="26"/>
      <c r="P506" s="26"/>
    </row>
    <row r="507">
      <c r="A507" s="52"/>
      <c r="B507" s="15"/>
      <c r="C507" s="16"/>
      <c r="D507" s="15"/>
      <c r="E507" s="17"/>
      <c r="F507" s="54"/>
      <c r="G507" s="19"/>
      <c r="H507" s="17"/>
      <c r="I507" s="19"/>
      <c r="J507" s="21"/>
      <c r="K507" s="57"/>
      <c r="L507" s="24"/>
      <c r="M507" s="25"/>
      <c r="N507" s="25"/>
      <c r="O507" s="26"/>
      <c r="P507" s="26"/>
    </row>
    <row r="508">
      <c r="A508" s="52"/>
      <c r="B508" s="15"/>
      <c r="C508" s="16"/>
      <c r="D508" s="15"/>
      <c r="E508" s="17"/>
      <c r="F508" s="54"/>
      <c r="G508" s="19"/>
      <c r="H508" s="17"/>
      <c r="I508" s="19"/>
      <c r="J508" s="21"/>
      <c r="K508" s="57"/>
      <c r="L508" s="24"/>
      <c r="M508" s="25"/>
      <c r="N508" s="25"/>
      <c r="O508" s="26"/>
      <c r="P508" s="26"/>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outlineLevelCol="1"/>
  <cols>
    <col customWidth="1" min="2" max="2" width="100.29"/>
    <col customWidth="1" min="3" max="3" width="54.86"/>
  </cols>
  <sheetData>
    <row r="1">
      <c r="A1" s="93" t="s">
        <v>12</v>
      </c>
      <c r="B1" s="94" t="s">
        <v>1117</v>
      </c>
      <c r="C1" s="93" t="s">
        <v>1118</v>
      </c>
    </row>
    <row r="2">
      <c r="A2" s="95" t="s">
        <v>1119</v>
      </c>
      <c r="B2" s="95" t="s">
        <v>1120</v>
      </c>
      <c r="C2" s="96" t="s">
        <v>6</v>
      </c>
    </row>
    <row r="3">
      <c r="A3" s="97" t="s">
        <v>1122</v>
      </c>
      <c r="B3" s="95" t="s">
        <v>1123</v>
      </c>
      <c r="C3" s="96" t="s">
        <v>6</v>
      </c>
    </row>
    <row r="4">
      <c r="A4" s="97" t="s">
        <v>1124</v>
      </c>
      <c r="B4" s="95" t="s">
        <v>1125</v>
      </c>
      <c r="C4" s="96" t="s">
        <v>1126</v>
      </c>
    </row>
    <row r="5">
      <c r="A5" s="97" t="s">
        <v>1127</v>
      </c>
      <c r="B5" s="95" t="s">
        <v>1128</v>
      </c>
      <c r="C5" s="96" t="s">
        <v>1126</v>
      </c>
    </row>
    <row r="6">
      <c r="A6" s="97" t="s">
        <v>1129</v>
      </c>
      <c r="B6" s="95" t="s">
        <v>1130</v>
      </c>
      <c r="C6" s="96" t="s">
        <v>1131</v>
      </c>
    </row>
    <row r="7">
      <c r="A7" s="97" t="s">
        <v>1132</v>
      </c>
      <c r="B7" s="95" t="s">
        <v>1133</v>
      </c>
      <c r="C7" s="96" t="s">
        <v>1134</v>
      </c>
    </row>
    <row r="8">
      <c r="A8" s="97" t="s">
        <v>1127</v>
      </c>
      <c r="B8" s="95" t="s">
        <v>1135</v>
      </c>
      <c r="C8" s="96" t="s">
        <v>1136</v>
      </c>
    </row>
    <row r="9">
      <c r="A9" s="97" t="s">
        <v>1137</v>
      </c>
      <c r="B9" s="95" t="s">
        <v>1138</v>
      </c>
      <c r="C9" s="96" t="s">
        <v>6</v>
      </c>
    </row>
    <row r="10">
      <c r="A10" s="97" t="s">
        <v>1139</v>
      </c>
      <c r="B10" s="95" t="s">
        <v>1140</v>
      </c>
      <c r="C10" s="96" t="s">
        <v>1141</v>
      </c>
    </row>
    <row r="11">
      <c r="A11" s="97" t="s">
        <v>1142</v>
      </c>
      <c r="B11" s="95" t="s">
        <v>1120</v>
      </c>
      <c r="C11" s="96" t="s">
        <v>1143</v>
      </c>
    </row>
    <row r="12">
      <c r="A12" s="97" t="s">
        <v>1145</v>
      </c>
      <c r="B12" s="98" t="s">
        <v>1146</v>
      </c>
      <c r="C12" s="99" t="s">
        <v>1147</v>
      </c>
    </row>
    <row r="13">
      <c r="A13" s="97" t="s">
        <v>1148</v>
      </c>
      <c r="B13" s="95" t="s">
        <v>1149</v>
      </c>
      <c r="C13" s="99" t="s">
        <v>1147</v>
      </c>
    </row>
    <row r="14">
      <c r="A14" s="97" t="s">
        <v>1150</v>
      </c>
      <c r="B14" s="95" t="s">
        <v>1151</v>
      </c>
      <c r="C14" s="96" t="s">
        <v>1152</v>
      </c>
    </row>
    <row r="15">
      <c r="A15" s="97" t="s">
        <v>1153</v>
      </c>
      <c r="B15" s="95" t="s">
        <v>1154</v>
      </c>
      <c r="C15" s="96" t="s">
        <v>6</v>
      </c>
    </row>
    <row r="16">
      <c r="A16" s="97" t="s">
        <v>1155</v>
      </c>
      <c r="B16" s="95" t="s">
        <v>1156</v>
      </c>
      <c r="C16" s="96" t="s">
        <v>6</v>
      </c>
    </row>
    <row r="17">
      <c r="A17" s="97" t="s">
        <v>1157</v>
      </c>
      <c r="B17" s="100" t="s">
        <v>1158</v>
      </c>
      <c r="C17" s="96" t="s">
        <v>6</v>
      </c>
    </row>
    <row r="18">
      <c r="A18" s="97" t="s">
        <v>1159</v>
      </c>
      <c r="B18" s="95" t="s">
        <v>1160</v>
      </c>
      <c r="C18" s="99" t="s">
        <v>1161</v>
      </c>
    </row>
    <row r="19">
      <c r="A19" s="97" t="s">
        <v>1162</v>
      </c>
      <c r="B19" s="95" t="s">
        <v>1163</v>
      </c>
      <c r="C19" s="99" t="s">
        <v>1147</v>
      </c>
    </row>
    <row r="20">
      <c r="A20" s="97" t="s">
        <v>1164</v>
      </c>
      <c r="B20" s="95" t="s">
        <v>1165</v>
      </c>
      <c r="C20" s="101" t="s">
        <v>1166</v>
      </c>
    </row>
    <row r="21">
      <c r="A21" s="97" t="s">
        <v>1168</v>
      </c>
      <c r="B21" s="95" t="s">
        <v>1169</v>
      </c>
      <c r="C21" s="96" t="s">
        <v>1170</v>
      </c>
    </row>
    <row r="22">
      <c r="A22" s="97" t="s">
        <v>1171</v>
      </c>
      <c r="B22" s="102" t="s">
        <v>1172</v>
      </c>
      <c r="C22" s="96" t="s">
        <v>6</v>
      </c>
    </row>
    <row r="23" ht="63.0" customHeight="1">
      <c r="A23" s="97" t="s">
        <v>1174</v>
      </c>
      <c r="B23" s="103" t="s">
        <v>1175</v>
      </c>
      <c r="C23" s="96" t="s">
        <v>1176</v>
      </c>
    </row>
    <row r="24">
      <c r="A24" s="97" t="s">
        <v>1177</v>
      </c>
      <c r="B24" s="103" t="s">
        <v>1178</v>
      </c>
      <c r="C24" s="96" t="s">
        <v>1179</v>
      </c>
    </row>
    <row r="25">
      <c r="A25" s="97" t="s">
        <v>1180</v>
      </c>
      <c r="B25" s="103" t="s">
        <v>1181</v>
      </c>
      <c r="C25" s="96" t="s">
        <v>1182</v>
      </c>
    </row>
    <row r="26">
      <c r="A26" s="97" t="s">
        <v>1180</v>
      </c>
      <c r="B26" s="103" t="s">
        <v>1183</v>
      </c>
      <c r="C26" s="96" t="s">
        <v>1126</v>
      </c>
    </row>
    <row r="27">
      <c r="A27" s="97" t="s">
        <v>1184</v>
      </c>
      <c r="B27" s="103" t="s">
        <v>1185</v>
      </c>
      <c r="C27" s="96" t="s">
        <v>1126</v>
      </c>
    </row>
    <row r="28">
      <c r="A28" s="97" t="s">
        <v>1186</v>
      </c>
      <c r="B28" s="103" t="s">
        <v>1187</v>
      </c>
      <c r="C28" s="96" t="s">
        <v>1188</v>
      </c>
    </row>
    <row r="29">
      <c r="A29" s="97" t="s">
        <v>1189</v>
      </c>
      <c r="B29" s="103" t="s">
        <v>1190</v>
      </c>
      <c r="C29" s="96" t="s">
        <v>1192</v>
      </c>
    </row>
    <row r="30">
      <c r="A30" s="97" t="s">
        <v>1193</v>
      </c>
      <c r="B30" s="103" t="s">
        <v>1194</v>
      </c>
      <c r="C30" s="96" t="s">
        <v>1126</v>
      </c>
    </row>
    <row r="31">
      <c r="A31" s="97" t="s">
        <v>1195</v>
      </c>
      <c r="B31" s="103" t="s">
        <v>1196</v>
      </c>
      <c r="C31" s="99" t="s">
        <v>1197</v>
      </c>
    </row>
    <row r="32">
      <c r="A32" s="97" t="s">
        <v>1193</v>
      </c>
      <c r="B32" s="103" t="s">
        <v>1198</v>
      </c>
      <c r="C32" s="96" t="s">
        <v>1126</v>
      </c>
    </row>
    <row r="33">
      <c r="A33" s="97" t="s">
        <v>1199</v>
      </c>
      <c r="B33" s="103" t="s">
        <v>1200</v>
      </c>
      <c r="C33" s="96" t="s">
        <v>1126</v>
      </c>
    </row>
    <row r="34">
      <c r="A34" s="97" t="s">
        <v>1201</v>
      </c>
      <c r="B34" s="103" t="s">
        <v>1202</v>
      </c>
      <c r="C34" s="96" t="s">
        <v>1126</v>
      </c>
    </row>
    <row r="35">
      <c r="A35" s="97" t="s">
        <v>1203</v>
      </c>
      <c r="B35" s="103" t="s">
        <v>1204</v>
      </c>
      <c r="C35" s="96" t="s">
        <v>1126</v>
      </c>
    </row>
    <row r="36">
      <c r="A36" s="97" t="s">
        <v>1203</v>
      </c>
      <c r="B36" s="103" t="s">
        <v>1205</v>
      </c>
      <c r="C36" s="96" t="s">
        <v>1126</v>
      </c>
    </row>
    <row r="37">
      <c r="A37" s="97" t="s">
        <v>1203</v>
      </c>
      <c r="B37" s="103" t="s">
        <v>1206</v>
      </c>
      <c r="C37" s="96" t="s">
        <v>1126</v>
      </c>
    </row>
    <row r="38">
      <c r="A38" s="97" t="s">
        <v>1203</v>
      </c>
      <c r="B38" s="103" t="s">
        <v>1207</v>
      </c>
      <c r="C38" s="96" t="s">
        <v>1126</v>
      </c>
    </row>
    <row r="39">
      <c r="A39" s="97" t="s">
        <v>1203</v>
      </c>
      <c r="B39" s="103" t="s">
        <v>1208</v>
      </c>
      <c r="C39" s="101" t="s">
        <v>1209</v>
      </c>
    </row>
    <row r="40">
      <c r="A40" s="97"/>
      <c r="B40" s="103"/>
      <c r="C40" s="95"/>
    </row>
    <row r="41">
      <c r="A41" s="97"/>
      <c r="B41" s="103"/>
      <c r="C41" s="95"/>
    </row>
    <row r="42">
      <c r="A42" s="97"/>
      <c r="B42" s="103"/>
      <c r="C42" s="95"/>
    </row>
    <row r="43">
      <c r="A43" s="97"/>
      <c r="B43" s="103"/>
      <c r="C43" s="95"/>
    </row>
    <row r="44">
      <c r="A44" s="97"/>
      <c r="B44" s="103"/>
      <c r="C44" s="95"/>
    </row>
    <row r="45">
      <c r="A45" s="97"/>
      <c r="B45" s="103"/>
      <c r="C45" s="95"/>
    </row>
    <row r="46">
      <c r="A46" s="97"/>
      <c r="B46" s="103"/>
      <c r="C46" s="95"/>
    </row>
    <row r="47">
      <c r="A47" s="97"/>
      <c r="B47" s="103"/>
      <c r="C47" s="95"/>
    </row>
    <row r="48">
      <c r="A48" s="97"/>
      <c r="B48" s="103"/>
      <c r="C48" s="95"/>
    </row>
    <row r="49">
      <c r="A49" s="97"/>
      <c r="B49" s="103"/>
      <c r="C49" s="95"/>
    </row>
    <row r="50">
      <c r="A50" s="104"/>
      <c r="B50" s="105"/>
      <c r="C50" s="106"/>
    </row>
    <row r="51">
      <c r="A51" s="104"/>
      <c r="B51" s="105"/>
      <c r="C51" s="107" t="s">
        <v>1211</v>
      </c>
    </row>
    <row r="52">
      <c r="A52" s="104"/>
      <c r="B52" s="105"/>
      <c r="C52" s="106"/>
    </row>
    <row r="53">
      <c r="A53" s="104"/>
      <c r="B53" s="105"/>
      <c r="C53" s="106"/>
    </row>
    <row r="54">
      <c r="A54" s="104"/>
      <c r="B54" s="105"/>
      <c r="C54" s="106"/>
    </row>
    <row r="55">
      <c r="A55" s="104"/>
      <c r="B55" s="105"/>
      <c r="C55" s="106"/>
    </row>
    <row r="56">
      <c r="A56" s="104"/>
      <c r="B56" s="105"/>
      <c r="C56" s="106"/>
    </row>
    <row r="57">
      <c r="A57" s="104"/>
      <c r="B57" s="105"/>
      <c r="C57" s="106"/>
    </row>
    <row r="58">
      <c r="A58" s="104"/>
      <c r="B58" s="105"/>
      <c r="C58" s="106"/>
    </row>
    <row r="59">
      <c r="A59" s="104"/>
      <c r="B59" s="105"/>
      <c r="C59" s="106"/>
    </row>
    <row r="60">
      <c r="A60" s="104"/>
      <c r="B60" s="105"/>
      <c r="C60" s="106"/>
    </row>
    <row r="61">
      <c r="A61" s="104"/>
      <c r="B61" s="105"/>
      <c r="C61" s="106"/>
    </row>
    <row r="62">
      <c r="A62" s="104"/>
      <c r="B62" s="105"/>
      <c r="C62" s="106"/>
    </row>
    <row r="63">
      <c r="A63" s="104"/>
      <c r="B63" s="105"/>
      <c r="C63" s="106"/>
    </row>
    <row r="64">
      <c r="A64" s="104"/>
      <c r="B64" s="105"/>
      <c r="C64" s="106"/>
    </row>
    <row r="65">
      <c r="A65" s="104"/>
      <c r="B65" s="105"/>
      <c r="C65" s="106"/>
    </row>
    <row r="66">
      <c r="A66" s="104"/>
      <c r="B66" s="105"/>
      <c r="C66" s="106"/>
    </row>
    <row r="67">
      <c r="A67" s="104"/>
      <c r="B67" s="105"/>
      <c r="C67" s="106"/>
    </row>
    <row r="68">
      <c r="A68" s="104"/>
      <c r="B68" s="105"/>
      <c r="C68" s="106"/>
    </row>
    <row r="69">
      <c r="A69" s="104"/>
      <c r="B69" s="105"/>
      <c r="C69" s="106"/>
    </row>
    <row r="70">
      <c r="A70" s="104"/>
      <c r="B70" s="105"/>
      <c r="C70" s="106"/>
    </row>
    <row r="71">
      <c r="A71" s="104"/>
      <c r="B71" s="105"/>
      <c r="C71" s="106"/>
    </row>
    <row r="72">
      <c r="A72" s="104"/>
      <c r="B72" s="105"/>
      <c r="C72" s="106"/>
    </row>
    <row r="73">
      <c r="A73" s="104"/>
      <c r="B73" s="105"/>
      <c r="C73" s="106"/>
    </row>
    <row r="74">
      <c r="A74" s="104"/>
      <c r="B74" s="105"/>
      <c r="C74" s="106"/>
    </row>
    <row r="75">
      <c r="A75" s="104"/>
      <c r="B75" s="105"/>
      <c r="C75" s="106"/>
    </row>
    <row r="76">
      <c r="A76" s="104"/>
      <c r="B76" s="105"/>
      <c r="C76" s="106"/>
    </row>
    <row r="77">
      <c r="A77" s="104"/>
      <c r="B77" s="105"/>
      <c r="C77" s="106"/>
    </row>
    <row r="78">
      <c r="A78" s="104"/>
      <c r="B78" s="105"/>
      <c r="C78" s="106"/>
    </row>
    <row r="79">
      <c r="A79" s="104"/>
      <c r="B79" s="105"/>
      <c r="C79" s="106"/>
    </row>
    <row r="80">
      <c r="A80" s="104"/>
      <c r="B80" s="105"/>
      <c r="C80" s="106"/>
    </row>
    <row r="81">
      <c r="A81" s="104"/>
      <c r="B81" s="105"/>
      <c r="C81" s="106"/>
    </row>
    <row r="82">
      <c r="A82" s="104"/>
      <c r="B82" s="105"/>
      <c r="C82" s="106"/>
    </row>
    <row r="83">
      <c r="A83" s="104"/>
      <c r="B83" s="105"/>
      <c r="C83" s="106"/>
    </row>
    <row r="84">
      <c r="A84" s="104"/>
      <c r="B84" s="105"/>
      <c r="C84" s="106"/>
    </row>
    <row r="85">
      <c r="A85" s="104"/>
      <c r="B85" s="105"/>
      <c r="C85" s="106"/>
    </row>
    <row r="86">
      <c r="A86" s="104"/>
      <c r="B86" s="105"/>
      <c r="C86" s="106"/>
    </row>
    <row r="87">
      <c r="A87" s="104"/>
      <c r="B87" s="105"/>
      <c r="C87" s="106"/>
    </row>
    <row r="88">
      <c r="A88" s="104"/>
      <c r="B88" s="105"/>
      <c r="C88" s="106"/>
    </row>
    <row r="89">
      <c r="A89" s="104"/>
      <c r="B89" s="105"/>
      <c r="C89" s="106"/>
    </row>
    <row r="90">
      <c r="A90" s="104"/>
      <c r="B90" s="105"/>
      <c r="C90" s="106"/>
    </row>
    <row r="91">
      <c r="A91" s="104"/>
      <c r="B91" s="105"/>
      <c r="C91" s="106"/>
    </row>
    <row r="92">
      <c r="A92" s="104"/>
      <c r="B92" s="105"/>
      <c r="C92" s="106"/>
    </row>
    <row r="93">
      <c r="A93" s="104"/>
      <c r="B93" s="105"/>
      <c r="C93" s="106"/>
    </row>
    <row r="94">
      <c r="A94" s="104"/>
      <c r="B94" s="105"/>
      <c r="C94" s="106"/>
    </row>
    <row r="95">
      <c r="A95" s="104"/>
      <c r="B95" s="105"/>
      <c r="C95" s="106"/>
    </row>
    <row r="96">
      <c r="A96" s="104"/>
      <c r="B96" s="105"/>
      <c r="C96" s="106"/>
    </row>
    <row r="97">
      <c r="A97" s="104"/>
      <c r="B97" s="105"/>
      <c r="C97" s="106"/>
    </row>
    <row r="98">
      <c r="A98" s="104"/>
      <c r="B98" s="105"/>
      <c r="C98" s="106"/>
    </row>
    <row r="99">
      <c r="A99" s="104"/>
      <c r="B99" s="105"/>
      <c r="C99" s="106"/>
    </row>
    <row r="100">
      <c r="A100" s="104"/>
      <c r="B100" s="105"/>
      <c r="C100" s="106"/>
    </row>
    <row r="101">
      <c r="A101" s="104"/>
      <c r="B101" s="105"/>
      <c r="C101" s="106"/>
    </row>
    <row r="102">
      <c r="A102" s="104"/>
      <c r="B102" s="105"/>
      <c r="C102" s="106"/>
    </row>
    <row r="103">
      <c r="A103" s="104"/>
      <c r="B103" s="105"/>
      <c r="C103" s="106"/>
    </row>
    <row r="104">
      <c r="A104" s="104"/>
      <c r="B104" s="105"/>
      <c r="C104" s="106"/>
    </row>
    <row r="105">
      <c r="A105" s="104"/>
      <c r="B105" s="105"/>
      <c r="C105" s="106"/>
    </row>
    <row r="106">
      <c r="A106" s="104"/>
      <c r="B106" s="105"/>
      <c r="C106" s="106"/>
    </row>
    <row r="107">
      <c r="A107" s="104"/>
      <c r="B107" s="105"/>
      <c r="C107" s="106"/>
    </row>
    <row r="108">
      <c r="A108" s="104"/>
      <c r="B108" s="105"/>
      <c r="C108" s="106"/>
    </row>
    <row r="109">
      <c r="A109" s="104"/>
      <c r="B109" s="105"/>
      <c r="C109" s="106"/>
    </row>
    <row r="110">
      <c r="A110" s="104"/>
      <c r="B110" s="105"/>
      <c r="C110" s="106"/>
    </row>
    <row r="111">
      <c r="A111" s="104"/>
      <c r="B111" s="105"/>
      <c r="C111" s="106"/>
    </row>
    <row r="112">
      <c r="A112" s="104"/>
      <c r="B112" s="105"/>
      <c r="C112" s="106"/>
    </row>
    <row r="113">
      <c r="A113" s="104"/>
      <c r="B113" s="105"/>
      <c r="C113" s="106"/>
    </row>
    <row r="114">
      <c r="A114" s="104"/>
      <c r="B114" s="105"/>
      <c r="C114" s="106"/>
    </row>
    <row r="115">
      <c r="A115" s="104"/>
      <c r="B115" s="105"/>
      <c r="C115" s="106"/>
    </row>
    <row r="116">
      <c r="A116" s="104"/>
      <c r="B116" s="105"/>
      <c r="C116" s="106"/>
    </row>
    <row r="117">
      <c r="A117" s="104"/>
      <c r="B117" s="105"/>
      <c r="C117" s="106"/>
    </row>
    <row r="118">
      <c r="A118" s="104"/>
      <c r="B118" s="105"/>
      <c r="C118" s="106"/>
    </row>
    <row r="119">
      <c r="A119" s="104"/>
      <c r="B119" s="105"/>
      <c r="C119" s="106"/>
    </row>
    <row r="120">
      <c r="A120" s="104"/>
      <c r="B120" s="105"/>
      <c r="C120" s="106"/>
    </row>
    <row r="121">
      <c r="A121" s="104"/>
      <c r="B121" s="105"/>
      <c r="C121" s="106"/>
    </row>
    <row r="122">
      <c r="A122" s="104"/>
      <c r="B122" s="105"/>
      <c r="C122" s="106"/>
    </row>
    <row r="123">
      <c r="A123" s="104"/>
      <c r="B123" s="105"/>
      <c r="C123" s="106"/>
    </row>
    <row r="124">
      <c r="A124" s="104"/>
      <c r="B124" s="105"/>
      <c r="C124" s="106"/>
    </row>
    <row r="125">
      <c r="A125" s="104"/>
      <c r="B125" s="105"/>
      <c r="C125" s="106"/>
    </row>
    <row r="126">
      <c r="A126" s="104"/>
      <c r="B126" s="105"/>
      <c r="C126" s="106"/>
    </row>
    <row r="127">
      <c r="A127" s="104"/>
      <c r="B127" s="105"/>
      <c r="C127" s="106"/>
    </row>
    <row r="128">
      <c r="A128" s="104"/>
      <c r="B128" s="105"/>
      <c r="C128" s="106"/>
    </row>
    <row r="129">
      <c r="A129" s="104"/>
      <c r="B129" s="105"/>
      <c r="C129" s="106"/>
    </row>
    <row r="130">
      <c r="A130" s="104"/>
      <c r="B130" s="105"/>
      <c r="C130" s="106"/>
    </row>
    <row r="131">
      <c r="A131" s="104"/>
      <c r="B131" s="105"/>
      <c r="C131" s="106"/>
    </row>
    <row r="132">
      <c r="A132" s="104"/>
      <c r="B132" s="105"/>
      <c r="C132" s="106"/>
    </row>
    <row r="133">
      <c r="A133" s="104"/>
      <c r="B133" s="105"/>
      <c r="C133" s="106"/>
    </row>
    <row r="134">
      <c r="A134" s="104"/>
      <c r="B134" s="105"/>
      <c r="C134" s="106"/>
    </row>
    <row r="135">
      <c r="A135" s="104"/>
      <c r="B135" s="105"/>
      <c r="C135" s="106"/>
    </row>
    <row r="136">
      <c r="A136" s="104"/>
      <c r="B136" s="105"/>
      <c r="C136" s="106"/>
    </row>
    <row r="137">
      <c r="A137" s="104"/>
      <c r="B137" s="105"/>
      <c r="C137" s="106"/>
    </row>
    <row r="138">
      <c r="A138" s="104"/>
      <c r="B138" s="105"/>
      <c r="C138" s="106"/>
    </row>
    <row r="139">
      <c r="A139" s="104"/>
      <c r="B139" s="105"/>
      <c r="C139" s="106"/>
    </row>
    <row r="140">
      <c r="A140" s="104"/>
      <c r="B140" s="105"/>
      <c r="C140" s="106"/>
    </row>
    <row r="141">
      <c r="A141" s="104"/>
      <c r="B141" s="105"/>
      <c r="C141" s="106"/>
    </row>
    <row r="142">
      <c r="A142" s="104"/>
      <c r="B142" s="105"/>
      <c r="C142" s="106"/>
    </row>
    <row r="143">
      <c r="A143" s="104"/>
      <c r="B143" s="105"/>
      <c r="C143" s="106"/>
    </row>
    <row r="144">
      <c r="A144" s="104"/>
      <c r="B144" s="105"/>
      <c r="C144" s="106"/>
    </row>
    <row r="145">
      <c r="A145" s="104"/>
      <c r="B145" s="105"/>
      <c r="C145" s="106"/>
    </row>
    <row r="146">
      <c r="A146" s="104"/>
      <c r="B146" s="105"/>
      <c r="C146" s="106"/>
    </row>
    <row r="147">
      <c r="A147" s="104"/>
      <c r="B147" s="105"/>
      <c r="C147" s="106"/>
    </row>
    <row r="148">
      <c r="A148" s="104"/>
      <c r="B148" s="105"/>
      <c r="C148" s="106"/>
    </row>
    <row r="149">
      <c r="A149" s="104"/>
      <c r="B149" s="105"/>
      <c r="C149" s="106"/>
    </row>
    <row r="150">
      <c r="A150" s="104"/>
      <c r="B150" s="105"/>
      <c r="C150" s="106"/>
    </row>
    <row r="151">
      <c r="A151" s="104"/>
      <c r="B151" s="105"/>
      <c r="C151" s="106"/>
    </row>
    <row r="152">
      <c r="A152" s="104"/>
      <c r="B152" s="105"/>
      <c r="C152" s="106"/>
    </row>
    <row r="153">
      <c r="A153" s="104"/>
      <c r="B153" s="105"/>
      <c r="C153" s="106"/>
    </row>
    <row r="154">
      <c r="A154" s="104"/>
      <c r="B154" s="105"/>
      <c r="C154" s="106"/>
    </row>
    <row r="155">
      <c r="A155" s="104"/>
      <c r="B155" s="105"/>
      <c r="C155" s="106"/>
    </row>
    <row r="156">
      <c r="A156" s="104"/>
      <c r="B156" s="105"/>
      <c r="C156" s="106"/>
    </row>
    <row r="157">
      <c r="A157" s="104"/>
      <c r="B157" s="105"/>
      <c r="C157" s="106"/>
    </row>
    <row r="158">
      <c r="A158" s="104"/>
      <c r="B158" s="105"/>
      <c r="C158" s="106"/>
    </row>
    <row r="159">
      <c r="A159" s="104"/>
      <c r="B159" s="105"/>
      <c r="C159" s="106"/>
    </row>
    <row r="160">
      <c r="A160" s="104"/>
      <c r="B160" s="105"/>
      <c r="C160" s="106"/>
    </row>
    <row r="161">
      <c r="A161" s="104"/>
      <c r="B161" s="105"/>
      <c r="C161" s="106"/>
    </row>
    <row r="162">
      <c r="A162" s="104"/>
      <c r="B162" s="105"/>
      <c r="C162" s="106"/>
    </row>
    <row r="163">
      <c r="A163" s="104"/>
      <c r="B163" s="105"/>
      <c r="C163" s="106"/>
    </row>
    <row r="164">
      <c r="A164" s="104"/>
      <c r="B164" s="105"/>
      <c r="C164" s="106"/>
    </row>
    <row r="165">
      <c r="A165" s="104"/>
      <c r="B165" s="105"/>
      <c r="C165" s="106"/>
    </row>
    <row r="166">
      <c r="A166" s="104"/>
      <c r="B166" s="105"/>
      <c r="C166" s="106"/>
    </row>
    <row r="167">
      <c r="A167" s="104"/>
      <c r="B167" s="105"/>
      <c r="C167" s="106"/>
    </row>
    <row r="168">
      <c r="A168" s="104"/>
      <c r="B168" s="105"/>
      <c r="C168" s="106"/>
    </row>
    <row r="169">
      <c r="A169" s="104"/>
      <c r="B169" s="105"/>
      <c r="C169" s="106"/>
    </row>
    <row r="170">
      <c r="A170" s="104"/>
      <c r="B170" s="105"/>
      <c r="C170" s="106"/>
    </row>
    <row r="171">
      <c r="A171" s="104"/>
      <c r="B171" s="105"/>
      <c r="C171" s="106"/>
    </row>
    <row r="172">
      <c r="B172" s="106"/>
      <c r="C172" s="106"/>
    </row>
    <row r="173">
      <c r="B173" s="106"/>
      <c r="C173" s="106"/>
    </row>
    <row r="174">
      <c r="B174" s="106"/>
      <c r="C174" s="106"/>
    </row>
    <row r="175">
      <c r="B175" s="106"/>
      <c r="C175" s="106"/>
    </row>
    <row r="176">
      <c r="B176" s="106"/>
      <c r="C176" s="106"/>
    </row>
    <row r="177">
      <c r="B177" s="106"/>
      <c r="C177" s="106"/>
    </row>
    <row r="178">
      <c r="B178" s="106"/>
      <c r="C178" s="106"/>
    </row>
    <row r="179">
      <c r="B179" s="106"/>
      <c r="C179" s="106"/>
    </row>
    <row r="180">
      <c r="B180" s="106"/>
      <c r="C180" s="106"/>
    </row>
    <row r="181">
      <c r="B181" s="106"/>
      <c r="C181" s="106"/>
    </row>
    <row r="182">
      <c r="B182" s="106"/>
      <c r="C182" s="106"/>
    </row>
    <row r="183">
      <c r="B183" s="106"/>
      <c r="C183" s="106"/>
    </row>
    <row r="184">
      <c r="B184" s="106"/>
      <c r="C184" s="106"/>
    </row>
    <row r="185">
      <c r="B185" s="106"/>
      <c r="C185" s="106"/>
    </row>
    <row r="186">
      <c r="B186" s="106"/>
      <c r="C186" s="106"/>
    </row>
    <row r="187">
      <c r="B187" s="106"/>
      <c r="C187" s="106"/>
    </row>
    <row r="188">
      <c r="B188" s="106"/>
      <c r="C188" s="106"/>
    </row>
    <row r="189">
      <c r="B189" s="106"/>
      <c r="C189" s="106"/>
    </row>
    <row r="190">
      <c r="B190" s="106"/>
      <c r="C190" s="106"/>
    </row>
    <row r="191">
      <c r="B191" s="106"/>
      <c r="C191" s="106"/>
    </row>
    <row r="192">
      <c r="B192" s="106"/>
      <c r="C192" s="106"/>
    </row>
    <row r="193">
      <c r="B193" s="106"/>
      <c r="C193" s="106"/>
    </row>
    <row r="194">
      <c r="B194" s="106"/>
      <c r="C194" s="106"/>
    </row>
    <row r="195">
      <c r="B195" s="106"/>
      <c r="C195" s="106"/>
    </row>
    <row r="196">
      <c r="B196" s="106"/>
      <c r="C196" s="106"/>
    </row>
    <row r="197">
      <c r="B197" s="106"/>
      <c r="C197" s="106"/>
    </row>
    <row r="198">
      <c r="B198" s="106"/>
      <c r="C198" s="106"/>
    </row>
    <row r="199">
      <c r="B199" s="106"/>
      <c r="C199" s="106"/>
    </row>
    <row r="200">
      <c r="B200" s="106"/>
      <c r="C200" s="106"/>
    </row>
    <row r="201">
      <c r="B201" s="106"/>
      <c r="C201" s="106"/>
    </row>
    <row r="202">
      <c r="B202" s="106"/>
      <c r="C202" s="106"/>
    </row>
    <row r="203">
      <c r="B203" s="106"/>
      <c r="C203" s="106"/>
    </row>
    <row r="204">
      <c r="B204" s="106"/>
      <c r="C204" s="106"/>
    </row>
    <row r="205">
      <c r="B205" s="106"/>
      <c r="C205" s="106"/>
    </row>
    <row r="206">
      <c r="B206" s="106"/>
      <c r="C206" s="106"/>
    </row>
    <row r="207">
      <c r="B207" s="106"/>
      <c r="C207" s="106"/>
    </row>
    <row r="208">
      <c r="B208" s="106"/>
      <c r="C208" s="106"/>
    </row>
    <row r="209">
      <c r="B209" s="106"/>
      <c r="C209" s="106"/>
    </row>
    <row r="210">
      <c r="B210" s="106"/>
      <c r="C210" s="106"/>
    </row>
    <row r="211">
      <c r="B211" s="106"/>
      <c r="C211" s="106"/>
    </row>
    <row r="212">
      <c r="B212" s="106"/>
      <c r="C212" s="106"/>
    </row>
    <row r="213">
      <c r="B213" s="106"/>
      <c r="C213" s="106"/>
    </row>
    <row r="214">
      <c r="B214" s="106"/>
      <c r="C214" s="106"/>
    </row>
    <row r="215">
      <c r="B215" s="106"/>
      <c r="C215" s="106"/>
    </row>
    <row r="216">
      <c r="B216" s="106"/>
      <c r="C216" s="106"/>
    </row>
    <row r="217">
      <c r="B217" s="106"/>
      <c r="C217" s="106"/>
    </row>
    <row r="218">
      <c r="B218" s="106"/>
      <c r="C218" s="106"/>
    </row>
    <row r="219">
      <c r="B219" s="106"/>
      <c r="C219" s="106"/>
    </row>
    <row r="220">
      <c r="B220" s="106"/>
      <c r="C220" s="106"/>
    </row>
    <row r="221">
      <c r="B221" s="106"/>
      <c r="C221" s="106"/>
    </row>
    <row r="222">
      <c r="B222" s="106"/>
      <c r="C222" s="106"/>
    </row>
    <row r="223">
      <c r="B223" s="106"/>
      <c r="C223" s="106"/>
    </row>
    <row r="224">
      <c r="B224" s="106"/>
      <c r="C224" s="106"/>
    </row>
    <row r="225">
      <c r="B225" s="106"/>
      <c r="C225" s="106"/>
    </row>
    <row r="226">
      <c r="B226" s="106"/>
      <c r="C226" s="106"/>
    </row>
    <row r="227">
      <c r="B227" s="106"/>
      <c r="C227" s="106"/>
    </row>
    <row r="228">
      <c r="B228" s="106"/>
      <c r="C228" s="106"/>
    </row>
    <row r="229">
      <c r="B229" s="106"/>
      <c r="C229" s="106"/>
    </row>
    <row r="230">
      <c r="B230" s="106"/>
      <c r="C230" s="106"/>
    </row>
    <row r="231">
      <c r="B231" s="106"/>
      <c r="C231" s="106"/>
    </row>
    <row r="232">
      <c r="B232" s="106"/>
      <c r="C232" s="106"/>
    </row>
    <row r="233">
      <c r="B233" s="106"/>
      <c r="C233" s="106"/>
    </row>
    <row r="234">
      <c r="B234" s="106"/>
      <c r="C234" s="106"/>
    </row>
    <row r="235">
      <c r="B235" s="106"/>
      <c r="C235" s="106"/>
    </row>
    <row r="236">
      <c r="B236" s="106"/>
      <c r="C236" s="106"/>
    </row>
    <row r="237">
      <c r="B237" s="106"/>
      <c r="C237" s="106"/>
    </row>
    <row r="238">
      <c r="B238" s="106"/>
      <c r="C238" s="106"/>
    </row>
    <row r="239">
      <c r="B239" s="106"/>
      <c r="C239" s="106"/>
    </row>
    <row r="240">
      <c r="B240" s="106"/>
      <c r="C240" s="106"/>
    </row>
    <row r="241">
      <c r="B241" s="106"/>
      <c r="C241" s="106"/>
    </row>
    <row r="242">
      <c r="B242" s="106"/>
      <c r="C242" s="106"/>
    </row>
    <row r="243">
      <c r="B243" s="106"/>
      <c r="C243" s="106"/>
    </row>
    <row r="244">
      <c r="B244" s="106"/>
      <c r="C244" s="106"/>
    </row>
    <row r="245">
      <c r="B245" s="106"/>
      <c r="C245" s="106"/>
    </row>
    <row r="246">
      <c r="B246" s="106"/>
      <c r="C246" s="106"/>
    </row>
    <row r="247">
      <c r="B247" s="106"/>
      <c r="C247" s="106"/>
    </row>
    <row r="248">
      <c r="B248" s="106"/>
      <c r="C248" s="106"/>
    </row>
    <row r="249">
      <c r="B249" s="106"/>
      <c r="C249" s="106"/>
    </row>
    <row r="250">
      <c r="B250" s="106"/>
      <c r="C250" s="106"/>
    </row>
    <row r="251">
      <c r="B251" s="106"/>
      <c r="C251" s="106"/>
    </row>
    <row r="252">
      <c r="B252" s="106"/>
      <c r="C252" s="106"/>
    </row>
    <row r="253">
      <c r="B253" s="106"/>
      <c r="C253" s="106"/>
    </row>
    <row r="254">
      <c r="B254" s="106"/>
      <c r="C254" s="106"/>
    </row>
    <row r="255">
      <c r="B255" s="106"/>
      <c r="C255" s="106"/>
    </row>
    <row r="256">
      <c r="B256" s="106"/>
      <c r="C256" s="106"/>
    </row>
    <row r="257">
      <c r="B257" s="106"/>
      <c r="C257" s="106"/>
    </row>
    <row r="258">
      <c r="B258" s="106"/>
      <c r="C258" s="106"/>
    </row>
    <row r="259">
      <c r="B259" s="106"/>
      <c r="C259" s="106"/>
    </row>
    <row r="260">
      <c r="B260" s="106"/>
      <c r="C260" s="106"/>
    </row>
    <row r="261">
      <c r="B261" s="106"/>
      <c r="C261" s="106"/>
    </row>
    <row r="262">
      <c r="B262" s="106"/>
      <c r="C262" s="106"/>
    </row>
    <row r="263">
      <c r="B263" s="106"/>
      <c r="C263" s="106"/>
    </row>
    <row r="264">
      <c r="B264" s="106"/>
      <c r="C264" s="106"/>
    </row>
    <row r="265">
      <c r="B265" s="106"/>
      <c r="C265" s="106"/>
    </row>
    <row r="266">
      <c r="B266" s="106"/>
      <c r="C266" s="106"/>
    </row>
    <row r="267">
      <c r="B267" s="106"/>
      <c r="C267" s="106"/>
    </row>
    <row r="268">
      <c r="B268" s="106"/>
      <c r="C268" s="106"/>
    </row>
    <row r="269">
      <c r="B269" s="106"/>
      <c r="C269" s="106"/>
    </row>
    <row r="270">
      <c r="B270" s="106"/>
      <c r="C270" s="106"/>
    </row>
    <row r="271">
      <c r="B271" s="106"/>
      <c r="C271" s="106"/>
    </row>
    <row r="272">
      <c r="B272" s="106"/>
      <c r="C272" s="106"/>
    </row>
    <row r="273">
      <c r="B273" s="106"/>
      <c r="C273" s="106"/>
    </row>
    <row r="274">
      <c r="B274" s="106"/>
      <c r="C274" s="106"/>
    </row>
    <row r="275">
      <c r="B275" s="106"/>
      <c r="C275" s="106"/>
    </row>
    <row r="276">
      <c r="B276" s="106"/>
      <c r="C276" s="106"/>
    </row>
    <row r="277">
      <c r="B277" s="106"/>
      <c r="C277" s="106"/>
    </row>
    <row r="278">
      <c r="B278" s="106"/>
      <c r="C278" s="106"/>
    </row>
    <row r="279">
      <c r="B279" s="106"/>
      <c r="C279" s="106"/>
    </row>
    <row r="280">
      <c r="B280" s="106"/>
      <c r="C280" s="106"/>
    </row>
    <row r="281">
      <c r="B281" s="106"/>
      <c r="C281" s="106"/>
    </row>
    <row r="282">
      <c r="B282" s="106"/>
      <c r="C282" s="106"/>
    </row>
    <row r="283">
      <c r="B283" s="106"/>
      <c r="C283" s="106"/>
    </row>
    <row r="284">
      <c r="B284" s="106"/>
      <c r="C284" s="106"/>
    </row>
    <row r="285">
      <c r="B285" s="106"/>
      <c r="C285" s="106"/>
    </row>
    <row r="286">
      <c r="B286" s="106"/>
      <c r="C286" s="106"/>
    </row>
    <row r="287">
      <c r="B287" s="106"/>
      <c r="C287" s="106"/>
    </row>
    <row r="288">
      <c r="B288" s="106"/>
      <c r="C288" s="106"/>
    </row>
    <row r="289">
      <c r="B289" s="106"/>
      <c r="C289" s="106"/>
    </row>
    <row r="290">
      <c r="B290" s="106"/>
      <c r="C290" s="106"/>
    </row>
    <row r="291">
      <c r="B291" s="106"/>
      <c r="C291" s="106"/>
    </row>
    <row r="292">
      <c r="B292" s="106"/>
      <c r="C292" s="106"/>
    </row>
    <row r="293">
      <c r="B293" s="106"/>
      <c r="C293" s="106"/>
    </row>
    <row r="294">
      <c r="B294" s="106"/>
      <c r="C294" s="106"/>
    </row>
    <row r="295">
      <c r="B295" s="106"/>
      <c r="C295" s="106"/>
    </row>
    <row r="296">
      <c r="B296" s="106"/>
      <c r="C296" s="106"/>
    </row>
    <row r="297">
      <c r="B297" s="106"/>
      <c r="C297" s="106"/>
    </row>
    <row r="298">
      <c r="B298" s="106"/>
      <c r="C298" s="106"/>
    </row>
    <row r="299">
      <c r="B299" s="106"/>
      <c r="C299" s="106"/>
    </row>
    <row r="300">
      <c r="B300" s="106"/>
      <c r="C300" s="106"/>
    </row>
    <row r="301">
      <c r="B301" s="106"/>
      <c r="C301" s="106"/>
    </row>
    <row r="302">
      <c r="B302" s="106"/>
      <c r="C302" s="106"/>
    </row>
    <row r="303">
      <c r="B303" s="106"/>
      <c r="C303" s="106"/>
    </row>
    <row r="304">
      <c r="B304" s="106"/>
      <c r="C304" s="106"/>
    </row>
    <row r="305">
      <c r="B305" s="106"/>
      <c r="C305" s="106"/>
    </row>
    <row r="306">
      <c r="B306" s="106"/>
      <c r="C306" s="106"/>
    </row>
    <row r="307">
      <c r="B307" s="106"/>
      <c r="C307" s="106"/>
    </row>
    <row r="308">
      <c r="B308" s="106"/>
      <c r="C308" s="106"/>
    </row>
    <row r="309">
      <c r="B309" s="106"/>
      <c r="C309" s="106"/>
    </row>
    <row r="310">
      <c r="B310" s="106"/>
      <c r="C310" s="106"/>
    </row>
    <row r="311">
      <c r="B311" s="106"/>
      <c r="C311" s="106"/>
    </row>
    <row r="312">
      <c r="B312" s="106"/>
      <c r="C312" s="106"/>
    </row>
    <row r="313">
      <c r="B313" s="106"/>
      <c r="C313" s="106"/>
    </row>
    <row r="314">
      <c r="B314" s="106"/>
      <c r="C314" s="106"/>
    </row>
    <row r="315">
      <c r="B315" s="106"/>
      <c r="C315" s="106"/>
    </row>
    <row r="316">
      <c r="B316" s="106"/>
      <c r="C316" s="106"/>
    </row>
    <row r="317">
      <c r="B317" s="106"/>
      <c r="C317" s="106"/>
    </row>
    <row r="318">
      <c r="B318" s="106"/>
      <c r="C318" s="106"/>
    </row>
    <row r="319">
      <c r="B319" s="106"/>
      <c r="C319" s="106"/>
    </row>
    <row r="320">
      <c r="B320" s="106"/>
      <c r="C320" s="106"/>
    </row>
    <row r="321">
      <c r="B321" s="106"/>
      <c r="C321" s="106"/>
    </row>
    <row r="322">
      <c r="B322" s="106"/>
      <c r="C322" s="106"/>
    </row>
    <row r="323">
      <c r="B323" s="106"/>
      <c r="C323" s="106"/>
    </row>
    <row r="324">
      <c r="B324" s="106"/>
      <c r="C324" s="106"/>
    </row>
    <row r="325">
      <c r="B325" s="106"/>
      <c r="C325" s="106"/>
    </row>
    <row r="326">
      <c r="B326" s="106"/>
      <c r="C326" s="106"/>
    </row>
    <row r="327">
      <c r="B327" s="106"/>
      <c r="C327" s="106"/>
    </row>
    <row r="328">
      <c r="B328" s="106"/>
      <c r="C328" s="106"/>
    </row>
    <row r="329">
      <c r="B329" s="106"/>
      <c r="C329" s="106"/>
    </row>
    <row r="330">
      <c r="B330" s="106"/>
      <c r="C330" s="106"/>
    </row>
    <row r="331">
      <c r="B331" s="106"/>
      <c r="C331" s="106"/>
    </row>
    <row r="332">
      <c r="B332" s="106"/>
      <c r="C332" s="106"/>
    </row>
    <row r="333">
      <c r="B333" s="106"/>
      <c r="C333" s="106"/>
    </row>
    <row r="334">
      <c r="B334" s="106"/>
      <c r="C334" s="106"/>
    </row>
    <row r="335">
      <c r="B335" s="106"/>
      <c r="C335" s="106"/>
    </row>
    <row r="336">
      <c r="B336" s="106"/>
      <c r="C336" s="106"/>
    </row>
    <row r="337">
      <c r="B337" s="106"/>
      <c r="C337" s="106"/>
    </row>
    <row r="338">
      <c r="B338" s="106"/>
      <c r="C338" s="106"/>
    </row>
    <row r="339">
      <c r="B339" s="106"/>
      <c r="C339" s="106"/>
    </row>
    <row r="340">
      <c r="B340" s="106"/>
      <c r="C340" s="106"/>
    </row>
    <row r="341">
      <c r="B341" s="106"/>
      <c r="C341" s="106"/>
    </row>
    <row r="342">
      <c r="B342" s="106"/>
      <c r="C342" s="106"/>
    </row>
    <row r="343">
      <c r="B343" s="106"/>
      <c r="C343" s="106"/>
    </row>
    <row r="344">
      <c r="B344" s="106"/>
      <c r="C344" s="106"/>
    </row>
    <row r="345">
      <c r="B345" s="106"/>
      <c r="C345" s="106"/>
    </row>
    <row r="346">
      <c r="B346" s="106"/>
      <c r="C346" s="106"/>
    </row>
    <row r="347">
      <c r="B347" s="106"/>
      <c r="C347" s="106"/>
    </row>
    <row r="348">
      <c r="B348" s="106"/>
      <c r="C348" s="106"/>
    </row>
    <row r="349">
      <c r="B349" s="106"/>
      <c r="C349" s="106"/>
    </row>
    <row r="350">
      <c r="B350" s="106"/>
      <c r="C350" s="106"/>
    </row>
    <row r="351">
      <c r="B351" s="106"/>
      <c r="C351" s="106"/>
    </row>
    <row r="352">
      <c r="B352" s="106"/>
      <c r="C352" s="106"/>
    </row>
    <row r="353">
      <c r="B353" s="106"/>
      <c r="C353" s="106"/>
    </row>
    <row r="354">
      <c r="B354" s="106"/>
      <c r="C354" s="106"/>
    </row>
    <row r="355">
      <c r="B355" s="106"/>
      <c r="C355" s="106"/>
    </row>
    <row r="356">
      <c r="B356" s="106"/>
      <c r="C356" s="106"/>
    </row>
    <row r="357">
      <c r="B357" s="106"/>
      <c r="C357" s="106"/>
    </row>
    <row r="358">
      <c r="B358" s="106"/>
      <c r="C358" s="106"/>
    </row>
    <row r="359">
      <c r="B359" s="106"/>
      <c r="C359" s="106"/>
    </row>
    <row r="360">
      <c r="B360" s="106"/>
      <c r="C360" s="106"/>
    </row>
    <row r="361">
      <c r="B361" s="106"/>
      <c r="C361" s="106"/>
    </row>
    <row r="362">
      <c r="B362" s="106"/>
      <c r="C362" s="106"/>
    </row>
    <row r="363">
      <c r="B363" s="106"/>
      <c r="C363" s="106"/>
    </row>
    <row r="364">
      <c r="B364" s="106"/>
      <c r="C364" s="106"/>
    </row>
    <row r="365">
      <c r="B365" s="106"/>
      <c r="C365" s="106"/>
    </row>
    <row r="366">
      <c r="B366" s="106"/>
      <c r="C366" s="106"/>
    </row>
    <row r="367">
      <c r="B367" s="106"/>
      <c r="C367" s="106"/>
    </row>
    <row r="368">
      <c r="B368" s="106"/>
      <c r="C368" s="106"/>
    </row>
    <row r="369">
      <c r="B369" s="106"/>
      <c r="C369" s="106"/>
    </row>
    <row r="370">
      <c r="B370" s="106"/>
      <c r="C370" s="106"/>
    </row>
    <row r="371">
      <c r="B371" s="106"/>
      <c r="C371" s="106"/>
    </row>
    <row r="372">
      <c r="B372" s="106"/>
      <c r="C372" s="106"/>
    </row>
    <row r="373">
      <c r="B373" s="106"/>
      <c r="C373" s="106"/>
    </row>
    <row r="374">
      <c r="B374" s="106"/>
      <c r="C374" s="106"/>
    </row>
    <row r="375">
      <c r="B375" s="106"/>
      <c r="C375" s="106"/>
    </row>
    <row r="376">
      <c r="B376" s="106"/>
      <c r="C376" s="106"/>
    </row>
    <row r="377">
      <c r="B377" s="106"/>
      <c r="C377" s="106"/>
    </row>
    <row r="378">
      <c r="B378" s="106"/>
      <c r="C378" s="106"/>
    </row>
    <row r="379">
      <c r="B379" s="106"/>
      <c r="C379" s="106"/>
    </row>
    <row r="380">
      <c r="B380" s="106"/>
      <c r="C380" s="106"/>
    </row>
    <row r="381">
      <c r="B381" s="106"/>
      <c r="C381" s="106"/>
    </row>
    <row r="382">
      <c r="B382" s="106"/>
      <c r="C382" s="106"/>
    </row>
    <row r="383">
      <c r="B383" s="106"/>
      <c r="C383" s="106"/>
    </row>
    <row r="384">
      <c r="B384" s="106"/>
      <c r="C384" s="106"/>
    </row>
    <row r="385">
      <c r="B385" s="106"/>
      <c r="C385" s="106"/>
    </row>
    <row r="386">
      <c r="B386" s="106"/>
      <c r="C386" s="106"/>
    </row>
    <row r="387">
      <c r="B387" s="106"/>
      <c r="C387" s="106"/>
    </row>
    <row r="388">
      <c r="B388" s="106"/>
      <c r="C388" s="106"/>
    </row>
    <row r="389">
      <c r="B389" s="106"/>
      <c r="C389" s="106"/>
    </row>
    <row r="390">
      <c r="B390" s="106"/>
      <c r="C390" s="106"/>
    </row>
    <row r="391">
      <c r="B391" s="106"/>
      <c r="C391" s="106"/>
    </row>
    <row r="392">
      <c r="B392" s="106"/>
      <c r="C392" s="106"/>
    </row>
    <row r="393">
      <c r="B393" s="106"/>
      <c r="C393" s="106"/>
    </row>
    <row r="394">
      <c r="B394" s="106"/>
      <c r="C394" s="106"/>
    </row>
    <row r="395">
      <c r="B395" s="106"/>
      <c r="C395" s="106"/>
    </row>
    <row r="396">
      <c r="B396" s="106"/>
      <c r="C396" s="106"/>
    </row>
    <row r="397">
      <c r="B397" s="106"/>
      <c r="C397" s="106"/>
    </row>
    <row r="398">
      <c r="B398" s="106"/>
      <c r="C398" s="106"/>
    </row>
    <row r="399">
      <c r="B399" s="106"/>
      <c r="C399" s="106"/>
    </row>
    <row r="400">
      <c r="B400" s="106"/>
      <c r="C400" s="106"/>
    </row>
    <row r="401">
      <c r="B401" s="106"/>
      <c r="C401" s="106"/>
    </row>
    <row r="402">
      <c r="B402" s="106"/>
      <c r="C402" s="106"/>
    </row>
    <row r="403">
      <c r="B403" s="106"/>
      <c r="C403" s="106"/>
    </row>
    <row r="404">
      <c r="B404" s="106"/>
      <c r="C404" s="106"/>
    </row>
    <row r="405">
      <c r="B405" s="106"/>
      <c r="C405" s="106"/>
    </row>
    <row r="406">
      <c r="B406" s="106"/>
      <c r="C406" s="106"/>
    </row>
    <row r="407">
      <c r="B407" s="106"/>
      <c r="C407" s="106"/>
    </row>
    <row r="408">
      <c r="B408" s="106"/>
      <c r="C408" s="106"/>
    </row>
    <row r="409">
      <c r="B409" s="106"/>
      <c r="C409" s="106"/>
    </row>
    <row r="410">
      <c r="B410" s="106"/>
      <c r="C410" s="106"/>
    </row>
    <row r="411">
      <c r="B411" s="106"/>
      <c r="C411" s="106"/>
    </row>
    <row r="412">
      <c r="B412" s="106"/>
      <c r="C412" s="106"/>
    </row>
    <row r="413">
      <c r="B413" s="106"/>
      <c r="C413" s="106"/>
    </row>
    <row r="414">
      <c r="B414" s="106"/>
      <c r="C414" s="106"/>
    </row>
    <row r="415">
      <c r="B415" s="106"/>
      <c r="C415" s="106"/>
    </row>
    <row r="416">
      <c r="B416" s="106"/>
      <c r="C416" s="106"/>
    </row>
    <row r="417">
      <c r="B417" s="106"/>
      <c r="C417" s="106"/>
    </row>
    <row r="418">
      <c r="B418" s="106"/>
      <c r="C418" s="106"/>
    </row>
    <row r="419">
      <c r="B419" s="106"/>
      <c r="C419" s="106"/>
    </row>
    <row r="420">
      <c r="B420" s="106"/>
      <c r="C420" s="106"/>
    </row>
    <row r="421">
      <c r="B421" s="106"/>
      <c r="C421" s="106"/>
    </row>
    <row r="422">
      <c r="B422" s="106"/>
      <c r="C422" s="106"/>
    </row>
    <row r="423">
      <c r="B423" s="106"/>
      <c r="C423" s="106"/>
    </row>
    <row r="424">
      <c r="B424" s="106"/>
      <c r="C424" s="106"/>
    </row>
    <row r="425">
      <c r="B425" s="106"/>
      <c r="C425" s="106"/>
    </row>
    <row r="426">
      <c r="B426" s="106"/>
      <c r="C426" s="106"/>
    </row>
    <row r="427">
      <c r="B427" s="106"/>
      <c r="C427" s="106"/>
    </row>
    <row r="428">
      <c r="B428" s="106"/>
      <c r="C428" s="106"/>
    </row>
    <row r="429">
      <c r="B429" s="106"/>
      <c r="C429" s="106"/>
    </row>
    <row r="430">
      <c r="B430" s="106"/>
      <c r="C430" s="106"/>
    </row>
    <row r="431">
      <c r="B431" s="106"/>
      <c r="C431" s="106"/>
    </row>
    <row r="432">
      <c r="B432" s="106"/>
      <c r="C432" s="106"/>
    </row>
    <row r="433">
      <c r="B433" s="106"/>
      <c r="C433" s="106"/>
    </row>
    <row r="434">
      <c r="B434" s="106"/>
      <c r="C434" s="106"/>
    </row>
    <row r="435">
      <c r="B435" s="106"/>
      <c r="C435" s="106"/>
    </row>
    <row r="436">
      <c r="B436" s="106"/>
      <c r="C436" s="106"/>
    </row>
    <row r="437">
      <c r="B437" s="106"/>
      <c r="C437" s="106"/>
    </row>
    <row r="438">
      <c r="B438" s="106"/>
      <c r="C438" s="106"/>
    </row>
    <row r="439">
      <c r="B439" s="106"/>
      <c r="C439" s="106"/>
    </row>
    <row r="440">
      <c r="B440" s="106"/>
      <c r="C440" s="106"/>
    </row>
    <row r="441">
      <c r="B441" s="106"/>
      <c r="C441" s="106"/>
    </row>
    <row r="442">
      <c r="B442" s="106"/>
      <c r="C442" s="106"/>
    </row>
    <row r="443">
      <c r="B443" s="106"/>
      <c r="C443" s="106"/>
    </row>
    <row r="444">
      <c r="B444" s="106"/>
      <c r="C444" s="106"/>
    </row>
    <row r="445">
      <c r="B445" s="106"/>
      <c r="C445" s="106"/>
    </row>
    <row r="446">
      <c r="B446" s="106"/>
      <c r="C446" s="106"/>
    </row>
    <row r="447">
      <c r="B447" s="106"/>
      <c r="C447" s="106"/>
    </row>
    <row r="448">
      <c r="B448" s="106"/>
      <c r="C448" s="106"/>
    </row>
    <row r="449">
      <c r="B449" s="106"/>
      <c r="C449" s="106"/>
    </row>
    <row r="450">
      <c r="B450" s="106"/>
      <c r="C450" s="106"/>
    </row>
    <row r="451">
      <c r="B451" s="106"/>
      <c r="C451" s="106"/>
    </row>
    <row r="452">
      <c r="B452" s="106"/>
      <c r="C452" s="106"/>
    </row>
    <row r="453">
      <c r="B453" s="106"/>
      <c r="C453" s="106"/>
    </row>
    <row r="454">
      <c r="B454" s="106"/>
      <c r="C454" s="106"/>
    </row>
    <row r="455">
      <c r="B455" s="106"/>
      <c r="C455" s="106"/>
    </row>
    <row r="456">
      <c r="B456" s="106"/>
      <c r="C456" s="106"/>
    </row>
    <row r="457">
      <c r="B457" s="106"/>
      <c r="C457" s="106"/>
    </row>
    <row r="458">
      <c r="B458" s="106"/>
      <c r="C458" s="106"/>
    </row>
    <row r="459">
      <c r="B459" s="106"/>
      <c r="C459" s="106"/>
    </row>
    <row r="460">
      <c r="B460" s="106"/>
      <c r="C460" s="106"/>
    </row>
    <row r="461">
      <c r="B461" s="106"/>
      <c r="C461" s="106"/>
    </row>
    <row r="462">
      <c r="B462" s="106"/>
      <c r="C462" s="106"/>
    </row>
    <row r="463">
      <c r="B463" s="106"/>
      <c r="C463" s="106"/>
    </row>
    <row r="464">
      <c r="B464" s="106"/>
      <c r="C464" s="106"/>
    </row>
    <row r="465">
      <c r="B465" s="106"/>
      <c r="C465" s="106"/>
    </row>
    <row r="466">
      <c r="B466" s="106"/>
      <c r="C466" s="106"/>
    </row>
    <row r="467">
      <c r="B467" s="106"/>
      <c r="C467" s="106"/>
    </row>
    <row r="468">
      <c r="B468" s="106"/>
      <c r="C468" s="106"/>
    </row>
    <row r="469">
      <c r="B469" s="106"/>
      <c r="C469" s="106"/>
    </row>
    <row r="470">
      <c r="B470" s="106"/>
      <c r="C470" s="106"/>
    </row>
    <row r="471">
      <c r="B471" s="106"/>
      <c r="C471" s="106"/>
    </row>
    <row r="472">
      <c r="B472" s="106"/>
      <c r="C472" s="106"/>
    </row>
    <row r="473">
      <c r="B473" s="106"/>
      <c r="C473" s="106"/>
    </row>
    <row r="474">
      <c r="B474" s="106"/>
      <c r="C474" s="106"/>
    </row>
    <row r="475">
      <c r="B475" s="106"/>
      <c r="C475" s="106"/>
    </row>
    <row r="476">
      <c r="B476" s="106"/>
      <c r="C476" s="106"/>
    </row>
    <row r="477">
      <c r="B477" s="106"/>
      <c r="C477" s="106"/>
    </row>
    <row r="478">
      <c r="B478" s="106"/>
      <c r="C478" s="106"/>
    </row>
    <row r="479">
      <c r="B479" s="106"/>
      <c r="C479" s="106"/>
    </row>
    <row r="480">
      <c r="B480" s="106"/>
      <c r="C480" s="106"/>
    </row>
    <row r="481">
      <c r="B481" s="106"/>
      <c r="C481" s="106"/>
    </row>
    <row r="482">
      <c r="B482" s="106"/>
      <c r="C482" s="106"/>
    </row>
    <row r="483">
      <c r="B483" s="106"/>
      <c r="C483" s="106"/>
    </row>
    <row r="484">
      <c r="B484" s="106"/>
      <c r="C484" s="106"/>
    </row>
    <row r="485">
      <c r="B485" s="106"/>
      <c r="C485" s="106"/>
    </row>
    <row r="486">
      <c r="B486" s="106"/>
      <c r="C486" s="106"/>
    </row>
    <row r="487">
      <c r="B487" s="106"/>
      <c r="C487" s="106"/>
    </row>
    <row r="488">
      <c r="B488" s="106"/>
      <c r="C488" s="106"/>
    </row>
    <row r="489">
      <c r="B489" s="106"/>
      <c r="C489" s="106"/>
    </row>
    <row r="490">
      <c r="B490" s="106"/>
      <c r="C490" s="106"/>
    </row>
    <row r="491">
      <c r="B491" s="106"/>
      <c r="C491" s="106"/>
    </row>
    <row r="492">
      <c r="B492" s="106"/>
      <c r="C492" s="106"/>
    </row>
    <row r="493">
      <c r="B493" s="106"/>
      <c r="C493" s="106"/>
    </row>
    <row r="494">
      <c r="B494" s="106"/>
      <c r="C494" s="106"/>
    </row>
    <row r="495">
      <c r="B495" s="106"/>
      <c r="C495" s="106"/>
    </row>
    <row r="496">
      <c r="B496" s="106"/>
      <c r="C496" s="106"/>
    </row>
    <row r="497">
      <c r="B497" s="106"/>
      <c r="C497" s="106"/>
    </row>
    <row r="498">
      <c r="B498" s="106"/>
      <c r="C498" s="106"/>
    </row>
    <row r="499">
      <c r="B499" s="106"/>
      <c r="C499" s="106"/>
    </row>
    <row r="500">
      <c r="B500" s="106"/>
      <c r="C500" s="106"/>
    </row>
    <row r="501">
      <c r="B501" s="106"/>
      <c r="C501" s="106"/>
    </row>
    <row r="502">
      <c r="B502" s="106"/>
      <c r="C502" s="106"/>
    </row>
    <row r="503">
      <c r="B503" s="106"/>
      <c r="C503" s="106"/>
    </row>
    <row r="504">
      <c r="B504" s="106"/>
      <c r="C504" s="106"/>
    </row>
    <row r="505">
      <c r="B505" s="106"/>
      <c r="C505" s="106"/>
    </row>
    <row r="506">
      <c r="B506" s="106"/>
      <c r="C506" s="106"/>
    </row>
    <row r="507">
      <c r="B507" s="106"/>
      <c r="C507" s="106"/>
    </row>
    <row r="508">
      <c r="B508" s="106"/>
      <c r="C508" s="106"/>
    </row>
    <row r="509">
      <c r="B509" s="106"/>
      <c r="C509" s="106"/>
    </row>
    <row r="510">
      <c r="B510" s="106"/>
      <c r="C510" s="106"/>
    </row>
    <row r="511">
      <c r="B511" s="106"/>
      <c r="C511" s="106"/>
    </row>
    <row r="512">
      <c r="B512" s="106"/>
      <c r="C512" s="106"/>
    </row>
    <row r="513">
      <c r="B513" s="106"/>
      <c r="C513" s="106"/>
    </row>
    <row r="514">
      <c r="B514" s="106"/>
      <c r="C514" s="106"/>
    </row>
    <row r="515">
      <c r="B515" s="106"/>
      <c r="C515" s="106"/>
    </row>
    <row r="516">
      <c r="B516" s="106"/>
      <c r="C516" s="106"/>
    </row>
    <row r="517">
      <c r="B517" s="106"/>
      <c r="C517" s="106"/>
    </row>
    <row r="518">
      <c r="B518" s="106"/>
      <c r="C518" s="106"/>
    </row>
    <row r="519">
      <c r="B519" s="106"/>
      <c r="C519" s="106"/>
    </row>
    <row r="520">
      <c r="B520" s="106"/>
      <c r="C520" s="106"/>
    </row>
    <row r="521">
      <c r="B521" s="106"/>
      <c r="C521" s="106"/>
    </row>
    <row r="522">
      <c r="B522" s="106"/>
      <c r="C522" s="106"/>
    </row>
    <row r="523">
      <c r="B523" s="106"/>
      <c r="C523" s="106"/>
    </row>
    <row r="524">
      <c r="B524" s="106"/>
      <c r="C524" s="106"/>
    </row>
    <row r="525">
      <c r="B525" s="106"/>
      <c r="C525" s="106"/>
    </row>
    <row r="526">
      <c r="B526" s="106"/>
      <c r="C526" s="106"/>
    </row>
    <row r="527">
      <c r="B527" s="106"/>
      <c r="C527" s="106"/>
    </row>
    <row r="528">
      <c r="B528" s="106"/>
      <c r="C528" s="106"/>
    </row>
    <row r="529">
      <c r="B529" s="106"/>
      <c r="C529" s="106"/>
    </row>
    <row r="530">
      <c r="B530" s="106"/>
      <c r="C530" s="106"/>
    </row>
    <row r="531">
      <c r="B531" s="106"/>
      <c r="C531" s="106"/>
    </row>
    <row r="532">
      <c r="B532" s="106"/>
      <c r="C532" s="106"/>
    </row>
    <row r="533">
      <c r="B533" s="106"/>
      <c r="C533" s="106"/>
    </row>
    <row r="534">
      <c r="B534" s="106"/>
      <c r="C534" s="106"/>
    </row>
    <row r="535">
      <c r="B535" s="106"/>
      <c r="C535" s="106"/>
    </row>
    <row r="536">
      <c r="B536" s="106"/>
      <c r="C536" s="106"/>
    </row>
    <row r="537">
      <c r="B537" s="106"/>
      <c r="C537" s="106"/>
    </row>
    <row r="538">
      <c r="B538" s="106"/>
      <c r="C538" s="106"/>
    </row>
    <row r="539">
      <c r="B539" s="106"/>
      <c r="C539" s="106"/>
    </row>
    <row r="540">
      <c r="B540" s="106"/>
      <c r="C540" s="106"/>
    </row>
    <row r="541">
      <c r="B541" s="106"/>
      <c r="C541" s="106"/>
    </row>
    <row r="542">
      <c r="B542" s="106"/>
      <c r="C542" s="106"/>
    </row>
    <row r="543">
      <c r="B543" s="106"/>
      <c r="C543" s="106"/>
    </row>
    <row r="544">
      <c r="B544" s="106"/>
      <c r="C544" s="106"/>
    </row>
    <row r="545">
      <c r="B545" s="106"/>
      <c r="C545" s="106"/>
    </row>
    <row r="546">
      <c r="B546" s="106"/>
      <c r="C546" s="106"/>
    </row>
    <row r="547">
      <c r="B547" s="106"/>
      <c r="C547" s="106"/>
    </row>
    <row r="548">
      <c r="B548" s="106"/>
      <c r="C548" s="106"/>
    </row>
    <row r="549">
      <c r="B549" s="106"/>
      <c r="C549" s="106"/>
    </row>
    <row r="550">
      <c r="B550" s="106"/>
      <c r="C550" s="106"/>
    </row>
    <row r="551">
      <c r="B551" s="106"/>
      <c r="C551" s="106"/>
    </row>
    <row r="552">
      <c r="B552" s="106"/>
      <c r="C552" s="106"/>
    </row>
    <row r="553">
      <c r="B553" s="106"/>
      <c r="C553" s="106"/>
    </row>
    <row r="554">
      <c r="B554" s="106"/>
      <c r="C554" s="106"/>
    </row>
    <row r="555">
      <c r="B555" s="106"/>
      <c r="C555" s="106"/>
    </row>
    <row r="556">
      <c r="B556" s="106"/>
      <c r="C556" s="106"/>
    </row>
    <row r="557">
      <c r="B557" s="106"/>
      <c r="C557" s="106"/>
    </row>
    <row r="558">
      <c r="B558" s="106"/>
      <c r="C558" s="106"/>
    </row>
    <row r="559">
      <c r="B559" s="106"/>
      <c r="C559" s="106"/>
    </row>
    <row r="560">
      <c r="B560" s="106"/>
      <c r="C560" s="106"/>
    </row>
    <row r="561">
      <c r="B561" s="106"/>
      <c r="C561" s="106"/>
    </row>
    <row r="562">
      <c r="B562" s="106"/>
      <c r="C562" s="106"/>
    </row>
    <row r="563">
      <c r="B563" s="106"/>
      <c r="C563" s="106"/>
    </row>
    <row r="564">
      <c r="B564" s="106"/>
      <c r="C564" s="106"/>
    </row>
    <row r="565">
      <c r="B565" s="106"/>
      <c r="C565" s="106"/>
    </row>
    <row r="566">
      <c r="B566" s="106"/>
      <c r="C566" s="106"/>
    </row>
    <row r="567">
      <c r="B567" s="106"/>
      <c r="C567" s="106"/>
    </row>
    <row r="568">
      <c r="B568" s="106"/>
      <c r="C568" s="106"/>
    </row>
    <row r="569">
      <c r="B569" s="106"/>
      <c r="C569" s="106"/>
    </row>
    <row r="570">
      <c r="B570" s="106"/>
      <c r="C570" s="106"/>
    </row>
    <row r="571">
      <c r="B571" s="106"/>
      <c r="C571" s="106"/>
    </row>
    <row r="572">
      <c r="B572" s="106"/>
      <c r="C572" s="106"/>
    </row>
    <row r="573">
      <c r="B573" s="106"/>
      <c r="C573" s="106"/>
    </row>
    <row r="574">
      <c r="B574" s="106"/>
      <c r="C574" s="106"/>
    </row>
    <row r="575">
      <c r="B575" s="106"/>
      <c r="C575" s="106"/>
    </row>
    <row r="576">
      <c r="B576" s="106"/>
      <c r="C576" s="106"/>
    </row>
    <row r="577">
      <c r="B577" s="106"/>
      <c r="C577" s="106"/>
    </row>
    <row r="578">
      <c r="B578" s="106"/>
      <c r="C578" s="106"/>
    </row>
    <row r="579">
      <c r="B579" s="106"/>
      <c r="C579" s="106"/>
    </row>
    <row r="580">
      <c r="B580" s="106"/>
      <c r="C580" s="106"/>
    </row>
    <row r="581">
      <c r="B581" s="106"/>
      <c r="C581" s="106"/>
    </row>
    <row r="582">
      <c r="B582" s="106"/>
      <c r="C582" s="106"/>
    </row>
    <row r="583">
      <c r="B583" s="106"/>
      <c r="C583" s="106"/>
    </row>
    <row r="584">
      <c r="B584" s="106"/>
      <c r="C584" s="106"/>
    </row>
    <row r="585">
      <c r="B585" s="106"/>
      <c r="C585" s="106"/>
    </row>
    <row r="586">
      <c r="B586" s="106"/>
      <c r="C586" s="106"/>
    </row>
    <row r="587">
      <c r="B587" s="106"/>
      <c r="C587" s="106"/>
    </row>
    <row r="588">
      <c r="B588" s="106"/>
      <c r="C588" s="106"/>
    </row>
    <row r="589">
      <c r="B589" s="106"/>
      <c r="C589" s="106"/>
    </row>
    <row r="590">
      <c r="B590" s="106"/>
      <c r="C590" s="106"/>
    </row>
    <row r="591">
      <c r="B591" s="106"/>
      <c r="C591" s="106"/>
    </row>
    <row r="592">
      <c r="B592" s="106"/>
      <c r="C592" s="106"/>
    </row>
    <row r="593">
      <c r="B593" s="106"/>
      <c r="C593" s="106"/>
    </row>
    <row r="594">
      <c r="B594" s="106"/>
      <c r="C594" s="106"/>
    </row>
    <row r="595">
      <c r="B595" s="106"/>
      <c r="C595" s="106"/>
    </row>
    <row r="596">
      <c r="B596" s="106"/>
      <c r="C596" s="106"/>
    </row>
    <row r="597">
      <c r="B597" s="106"/>
      <c r="C597" s="106"/>
    </row>
    <row r="598">
      <c r="B598" s="106"/>
      <c r="C598" s="106"/>
    </row>
    <row r="599">
      <c r="B599" s="106"/>
      <c r="C599" s="106"/>
    </row>
    <row r="600">
      <c r="B600" s="106"/>
      <c r="C600" s="106"/>
    </row>
    <row r="601">
      <c r="B601" s="106"/>
      <c r="C601" s="106"/>
    </row>
    <row r="602">
      <c r="B602" s="106"/>
      <c r="C602" s="106"/>
    </row>
    <row r="603">
      <c r="B603" s="106"/>
      <c r="C603" s="106"/>
    </row>
    <row r="604">
      <c r="B604" s="106"/>
      <c r="C604" s="106"/>
    </row>
    <row r="605">
      <c r="B605" s="106"/>
      <c r="C605" s="106"/>
    </row>
    <row r="606">
      <c r="B606" s="106"/>
      <c r="C606" s="106"/>
    </row>
    <row r="607">
      <c r="B607" s="106"/>
      <c r="C607" s="106"/>
    </row>
    <row r="608">
      <c r="B608" s="106"/>
      <c r="C608" s="106"/>
    </row>
    <row r="609">
      <c r="B609" s="106"/>
      <c r="C609" s="106"/>
    </row>
    <row r="610">
      <c r="B610" s="106"/>
      <c r="C610" s="106"/>
    </row>
    <row r="611">
      <c r="B611" s="106"/>
      <c r="C611" s="106"/>
    </row>
    <row r="612">
      <c r="B612" s="106"/>
      <c r="C612" s="106"/>
    </row>
    <row r="613">
      <c r="B613" s="106"/>
      <c r="C613" s="106"/>
    </row>
    <row r="614">
      <c r="B614" s="106"/>
      <c r="C614" s="106"/>
    </row>
    <row r="615">
      <c r="B615" s="106"/>
      <c r="C615" s="106"/>
    </row>
    <row r="616">
      <c r="B616" s="106"/>
      <c r="C616" s="106"/>
    </row>
    <row r="617">
      <c r="B617" s="106"/>
      <c r="C617" s="106"/>
    </row>
    <row r="618">
      <c r="B618" s="106"/>
      <c r="C618" s="106"/>
    </row>
    <row r="619">
      <c r="B619" s="106"/>
      <c r="C619" s="106"/>
    </row>
    <row r="620">
      <c r="B620" s="106"/>
      <c r="C620" s="106"/>
    </row>
    <row r="621">
      <c r="B621" s="106"/>
      <c r="C621" s="106"/>
    </row>
    <row r="622">
      <c r="B622" s="106"/>
      <c r="C622" s="106"/>
    </row>
    <row r="623">
      <c r="B623" s="106"/>
      <c r="C623" s="106"/>
    </row>
    <row r="624">
      <c r="B624" s="106"/>
      <c r="C624" s="106"/>
    </row>
    <row r="625">
      <c r="B625" s="106"/>
      <c r="C625" s="106"/>
    </row>
    <row r="626">
      <c r="B626" s="106"/>
      <c r="C626" s="106"/>
    </row>
    <row r="627">
      <c r="B627" s="106"/>
      <c r="C627" s="106"/>
    </row>
    <row r="628">
      <c r="B628" s="106"/>
      <c r="C628" s="106"/>
    </row>
    <row r="629">
      <c r="B629" s="106"/>
      <c r="C629" s="106"/>
    </row>
    <row r="630">
      <c r="B630" s="106"/>
      <c r="C630" s="106"/>
    </row>
    <row r="631">
      <c r="B631" s="106"/>
      <c r="C631" s="106"/>
    </row>
    <row r="632">
      <c r="B632" s="106"/>
      <c r="C632" s="106"/>
    </row>
    <row r="633">
      <c r="B633" s="106"/>
      <c r="C633" s="106"/>
    </row>
    <row r="634">
      <c r="B634" s="106"/>
      <c r="C634" s="106"/>
    </row>
    <row r="635">
      <c r="B635" s="106"/>
      <c r="C635" s="106"/>
    </row>
    <row r="636">
      <c r="B636" s="106"/>
      <c r="C636" s="106"/>
    </row>
    <row r="637">
      <c r="B637" s="106"/>
      <c r="C637" s="106"/>
    </row>
    <row r="638">
      <c r="B638" s="106"/>
      <c r="C638" s="106"/>
    </row>
    <row r="639">
      <c r="B639" s="106"/>
      <c r="C639" s="106"/>
    </row>
    <row r="640">
      <c r="B640" s="106"/>
      <c r="C640" s="106"/>
    </row>
    <row r="641">
      <c r="B641" s="106"/>
      <c r="C641" s="106"/>
    </row>
    <row r="642">
      <c r="B642" s="106"/>
      <c r="C642" s="106"/>
    </row>
    <row r="643">
      <c r="B643" s="106"/>
      <c r="C643" s="106"/>
    </row>
    <row r="644">
      <c r="B644" s="106"/>
      <c r="C644" s="106"/>
    </row>
    <row r="645">
      <c r="B645" s="106"/>
      <c r="C645" s="106"/>
    </row>
    <row r="646">
      <c r="B646" s="106"/>
      <c r="C646" s="106"/>
    </row>
    <row r="647">
      <c r="B647" s="106"/>
      <c r="C647" s="106"/>
    </row>
    <row r="648">
      <c r="B648" s="106"/>
      <c r="C648" s="106"/>
    </row>
    <row r="649">
      <c r="B649" s="106"/>
      <c r="C649" s="106"/>
    </row>
    <row r="650">
      <c r="B650" s="106"/>
      <c r="C650" s="106"/>
    </row>
    <row r="651">
      <c r="B651" s="106"/>
      <c r="C651" s="106"/>
    </row>
    <row r="652">
      <c r="B652" s="106"/>
      <c r="C652" s="106"/>
    </row>
    <row r="653">
      <c r="B653" s="106"/>
      <c r="C653" s="106"/>
    </row>
    <row r="654">
      <c r="B654" s="106"/>
      <c r="C654" s="106"/>
    </row>
    <row r="655">
      <c r="B655" s="106"/>
      <c r="C655" s="106"/>
    </row>
    <row r="656">
      <c r="B656" s="106"/>
      <c r="C656" s="106"/>
    </row>
    <row r="657">
      <c r="B657" s="106"/>
      <c r="C657" s="106"/>
    </row>
    <row r="658">
      <c r="B658" s="106"/>
      <c r="C658" s="106"/>
    </row>
    <row r="659">
      <c r="B659" s="106"/>
      <c r="C659" s="106"/>
    </row>
    <row r="660">
      <c r="B660" s="106"/>
      <c r="C660" s="106"/>
    </row>
    <row r="661">
      <c r="B661" s="106"/>
      <c r="C661" s="106"/>
    </row>
    <row r="662">
      <c r="B662" s="106"/>
      <c r="C662" s="106"/>
    </row>
    <row r="663">
      <c r="B663" s="106"/>
      <c r="C663" s="106"/>
    </row>
    <row r="664">
      <c r="B664" s="106"/>
      <c r="C664" s="106"/>
    </row>
    <row r="665">
      <c r="B665" s="106"/>
      <c r="C665" s="106"/>
    </row>
    <row r="666">
      <c r="B666" s="106"/>
      <c r="C666" s="106"/>
    </row>
    <row r="667">
      <c r="B667" s="106"/>
      <c r="C667" s="106"/>
    </row>
    <row r="668">
      <c r="B668" s="106"/>
      <c r="C668" s="106"/>
    </row>
    <row r="669">
      <c r="B669" s="106"/>
      <c r="C669" s="106"/>
    </row>
    <row r="670">
      <c r="B670" s="106"/>
      <c r="C670" s="106"/>
    </row>
    <row r="671">
      <c r="B671" s="106"/>
      <c r="C671" s="106"/>
    </row>
    <row r="672">
      <c r="B672" s="106"/>
      <c r="C672" s="106"/>
    </row>
    <row r="673">
      <c r="B673" s="106"/>
      <c r="C673" s="106"/>
    </row>
    <row r="674">
      <c r="B674" s="106"/>
      <c r="C674" s="106"/>
    </row>
    <row r="675">
      <c r="B675" s="106"/>
      <c r="C675" s="106"/>
    </row>
    <row r="676">
      <c r="B676" s="106"/>
      <c r="C676" s="106"/>
    </row>
    <row r="677">
      <c r="B677" s="106"/>
      <c r="C677" s="106"/>
    </row>
    <row r="678">
      <c r="B678" s="106"/>
      <c r="C678" s="106"/>
    </row>
    <row r="679">
      <c r="B679" s="106"/>
      <c r="C679" s="106"/>
    </row>
    <row r="680">
      <c r="B680" s="106"/>
      <c r="C680" s="106"/>
    </row>
    <row r="681">
      <c r="B681" s="106"/>
      <c r="C681" s="106"/>
    </row>
    <row r="682">
      <c r="B682" s="106"/>
      <c r="C682" s="106"/>
    </row>
    <row r="683">
      <c r="B683" s="106"/>
      <c r="C683" s="106"/>
    </row>
    <row r="684">
      <c r="B684" s="106"/>
      <c r="C684" s="106"/>
    </row>
    <row r="685">
      <c r="B685" s="106"/>
      <c r="C685" s="106"/>
    </row>
    <row r="686">
      <c r="B686" s="106"/>
      <c r="C686" s="106"/>
    </row>
    <row r="687">
      <c r="B687" s="106"/>
      <c r="C687" s="106"/>
    </row>
    <row r="688">
      <c r="B688" s="106"/>
      <c r="C688" s="106"/>
    </row>
    <row r="689">
      <c r="B689" s="106"/>
      <c r="C689" s="106"/>
    </row>
    <row r="690">
      <c r="B690" s="106"/>
      <c r="C690" s="106"/>
    </row>
    <row r="691">
      <c r="B691" s="106"/>
      <c r="C691" s="106"/>
    </row>
    <row r="692">
      <c r="B692" s="106"/>
      <c r="C692" s="106"/>
    </row>
    <row r="693">
      <c r="B693" s="106"/>
      <c r="C693" s="106"/>
    </row>
    <row r="694">
      <c r="B694" s="106"/>
      <c r="C694" s="106"/>
    </row>
    <row r="695">
      <c r="B695" s="106"/>
      <c r="C695" s="106"/>
    </row>
    <row r="696">
      <c r="B696" s="106"/>
      <c r="C696" s="106"/>
    </row>
    <row r="697">
      <c r="B697" s="106"/>
      <c r="C697" s="106"/>
    </row>
    <row r="698">
      <c r="B698" s="106"/>
      <c r="C698" s="106"/>
    </row>
    <row r="699">
      <c r="B699" s="106"/>
      <c r="C699" s="106"/>
    </row>
    <row r="700">
      <c r="B700" s="106"/>
      <c r="C700" s="106"/>
    </row>
    <row r="701">
      <c r="B701" s="106"/>
      <c r="C701" s="106"/>
    </row>
    <row r="702">
      <c r="B702" s="106"/>
      <c r="C702" s="106"/>
    </row>
    <row r="703">
      <c r="B703" s="106"/>
      <c r="C703" s="106"/>
    </row>
    <row r="704">
      <c r="B704" s="106"/>
      <c r="C704" s="106"/>
    </row>
    <row r="705">
      <c r="B705" s="106"/>
      <c r="C705" s="106"/>
    </row>
    <row r="706">
      <c r="B706" s="106"/>
      <c r="C706" s="106"/>
    </row>
    <row r="707">
      <c r="B707" s="106"/>
      <c r="C707" s="106"/>
    </row>
    <row r="708">
      <c r="B708" s="106"/>
      <c r="C708" s="106"/>
    </row>
    <row r="709">
      <c r="B709" s="106"/>
      <c r="C709" s="106"/>
    </row>
    <row r="710">
      <c r="B710" s="106"/>
      <c r="C710" s="106"/>
    </row>
    <row r="711">
      <c r="B711" s="106"/>
      <c r="C711" s="106"/>
    </row>
    <row r="712">
      <c r="B712" s="106"/>
      <c r="C712" s="106"/>
    </row>
    <row r="713">
      <c r="B713" s="106"/>
      <c r="C713" s="106"/>
    </row>
    <row r="714">
      <c r="B714" s="106"/>
      <c r="C714" s="106"/>
    </row>
    <row r="715">
      <c r="B715" s="106"/>
      <c r="C715" s="106"/>
    </row>
    <row r="716">
      <c r="B716" s="106"/>
      <c r="C716" s="106"/>
    </row>
    <row r="717">
      <c r="B717" s="106"/>
      <c r="C717" s="106"/>
    </row>
    <row r="718">
      <c r="B718" s="106"/>
      <c r="C718" s="106"/>
    </row>
    <row r="719">
      <c r="B719" s="106"/>
      <c r="C719" s="106"/>
    </row>
    <row r="720">
      <c r="B720" s="106"/>
      <c r="C720" s="106"/>
    </row>
    <row r="721">
      <c r="B721" s="106"/>
      <c r="C721" s="106"/>
    </row>
    <row r="722">
      <c r="B722" s="106"/>
      <c r="C722" s="106"/>
    </row>
    <row r="723">
      <c r="B723" s="106"/>
      <c r="C723" s="106"/>
    </row>
    <row r="724">
      <c r="B724" s="106"/>
      <c r="C724" s="106"/>
    </row>
    <row r="725">
      <c r="B725" s="106"/>
      <c r="C725" s="106"/>
    </row>
    <row r="726">
      <c r="B726" s="106"/>
      <c r="C726" s="106"/>
    </row>
    <row r="727">
      <c r="B727" s="106"/>
      <c r="C727" s="106"/>
    </row>
    <row r="728">
      <c r="B728" s="106"/>
      <c r="C728" s="106"/>
    </row>
    <row r="729">
      <c r="B729" s="106"/>
      <c r="C729" s="106"/>
    </row>
    <row r="730">
      <c r="B730" s="106"/>
      <c r="C730" s="106"/>
    </row>
    <row r="731">
      <c r="B731" s="106"/>
      <c r="C731" s="106"/>
    </row>
    <row r="732">
      <c r="B732" s="106"/>
      <c r="C732" s="106"/>
    </row>
    <row r="733">
      <c r="B733" s="106"/>
      <c r="C733" s="106"/>
    </row>
    <row r="734">
      <c r="B734" s="106"/>
      <c r="C734" s="106"/>
    </row>
    <row r="735">
      <c r="B735" s="106"/>
      <c r="C735" s="106"/>
    </row>
    <row r="736">
      <c r="B736" s="106"/>
      <c r="C736" s="106"/>
    </row>
    <row r="737">
      <c r="B737" s="106"/>
      <c r="C737" s="106"/>
    </row>
    <row r="738">
      <c r="B738" s="106"/>
      <c r="C738" s="106"/>
    </row>
    <row r="739">
      <c r="B739" s="106"/>
      <c r="C739" s="106"/>
    </row>
    <row r="740">
      <c r="B740" s="106"/>
      <c r="C740" s="106"/>
    </row>
    <row r="741">
      <c r="B741" s="106"/>
      <c r="C741" s="106"/>
    </row>
    <row r="742">
      <c r="B742" s="106"/>
      <c r="C742" s="106"/>
    </row>
    <row r="743">
      <c r="B743" s="106"/>
      <c r="C743" s="106"/>
    </row>
    <row r="744">
      <c r="B744" s="106"/>
      <c r="C744" s="106"/>
    </row>
    <row r="745">
      <c r="B745" s="106"/>
      <c r="C745" s="106"/>
    </row>
    <row r="746">
      <c r="B746" s="106"/>
      <c r="C746" s="106"/>
    </row>
    <row r="747">
      <c r="B747" s="106"/>
      <c r="C747" s="106"/>
    </row>
    <row r="748">
      <c r="B748" s="106"/>
      <c r="C748" s="106"/>
    </row>
    <row r="749">
      <c r="B749" s="106"/>
      <c r="C749" s="106"/>
    </row>
    <row r="750">
      <c r="B750" s="106"/>
      <c r="C750" s="106"/>
    </row>
    <row r="751">
      <c r="B751" s="106"/>
      <c r="C751" s="106"/>
    </row>
    <row r="752">
      <c r="B752" s="106"/>
      <c r="C752" s="106"/>
    </row>
    <row r="753">
      <c r="B753" s="106"/>
      <c r="C753" s="106"/>
    </row>
    <row r="754">
      <c r="B754" s="106"/>
      <c r="C754" s="106"/>
    </row>
    <row r="755">
      <c r="B755" s="106"/>
      <c r="C755" s="106"/>
    </row>
    <row r="756">
      <c r="B756" s="106"/>
      <c r="C756" s="106"/>
    </row>
    <row r="757">
      <c r="B757" s="106"/>
      <c r="C757" s="106"/>
    </row>
    <row r="758">
      <c r="B758" s="106"/>
      <c r="C758" s="106"/>
    </row>
    <row r="759">
      <c r="B759" s="106"/>
      <c r="C759" s="106"/>
    </row>
    <row r="760">
      <c r="B760" s="106"/>
      <c r="C760" s="106"/>
    </row>
    <row r="761">
      <c r="B761" s="106"/>
      <c r="C761" s="106"/>
    </row>
    <row r="762">
      <c r="B762" s="106"/>
      <c r="C762" s="106"/>
    </row>
    <row r="763">
      <c r="B763" s="106"/>
      <c r="C763" s="106"/>
    </row>
    <row r="764">
      <c r="B764" s="106"/>
      <c r="C764" s="106"/>
    </row>
    <row r="765">
      <c r="B765" s="106"/>
      <c r="C765" s="106"/>
    </row>
    <row r="766">
      <c r="B766" s="106"/>
      <c r="C766" s="106"/>
    </row>
    <row r="767">
      <c r="B767" s="106"/>
      <c r="C767" s="106"/>
    </row>
    <row r="768">
      <c r="B768" s="106"/>
      <c r="C768" s="106"/>
    </row>
    <row r="769">
      <c r="B769" s="106"/>
      <c r="C769" s="106"/>
    </row>
    <row r="770">
      <c r="B770" s="106"/>
      <c r="C770" s="106"/>
    </row>
    <row r="771">
      <c r="B771" s="106"/>
      <c r="C771" s="106"/>
    </row>
    <row r="772">
      <c r="B772" s="106"/>
      <c r="C772" s="106"/>
    </row>
    <row r="773">
      <c r="B773" s="106"/>
      <c r="C773" s="106"/>
    </row>
    <row r="774">
      <c r="B774" s="106"/>
      <c r="C774" s="106"/>
    </row>
    <row r="775">
      <c r="B775" s="106"/>
      <c r="C775" s="106"/>
    </row>
    <row r="776">
      <c r="B776" s="106"/>
      <c r="C776" s="106"/>
    </row>
    <row r="777">
      <c r="B777" s="106"/>
      <c r="C777" s="106"/>
    </row>
    <row r="778">
      <c r="B778" s="106"/>
      <c r="C778" s="106"/>
    </row>
    <row r="779">
      <c r="B779" s="106"/>
      <c r="C779" s="106"/>
    </row>
    <row r="780">
      <c r="B780" s="106"/>
      <c r="C780" s="106"/>
    </row>
    <row r="781">
      <c r="B781" s="106"/>
      <c r="C781" s="106"/>
    </row>
    <row r="782">
      <c r="B782" s="106"/>
      <c r="C782" s="106"/>
    </row>
    <row r="783">
      <c r="B783" s="106"/>
      <c r="C783" s="106"/>
    </row>
    <row r="784">
      <c r="B784" s="106"/>
      <c r="C784" s="106"/>
    </row>
    <row r="785">
      <c r="B785" s="106"/>
      <c r="C785" s="106"/>
    </row>
    <row r="786">
      <c r="B786" s="106"/>
      <c r="C786" s="106"/>
    </row>
    <row r="787">
      <c r="B787" s="106"/>
      <c r="C787" s="106"/>
    </row>
    <row r="788">
      <c r="B788" s="106"/>
      <c r="C788" s="106"/>
    </row>
    <row r="789">
      <c r="B789" s="106"/>
      <c r="C789" s="106"/>
    </row>
    <row r="790">
      <c r="B790" s="106"/>
      <c r="C790" s="106"/>
    </row>
    <row r="791">
      <c r="B791" s="106"/>
      <c r="C791" s="106"/>
    </row>
    <row r="792">
      <c r="B792" s="106"/>
      <c r="C792" s="106"/>
    </row>
    <row r="793">
      <c r="B793" s="106"/>
      <c r="C793" s="106"/>
    </row>
    <row r="794">
      <c r="B794" s="106"/>
      <c r="C794" s="106"/>
    </row>
    <row r="795">
      <c r="B795" s="106"/>
      <c r="C795" s="106"/>
    </row>
    <row r="796">
      <c r="B796" s="106"/>
      <c r="C796" s="106"/>
    </row>
    <row r="797">
      <c r="B797" s="106"/>
      <c r="C797" s="106"/>
    </row>
    <row r="798">
      <c r="B798" s="106"/>
      <c r="C798" s="106"/>
    </row>
    <row r="799">
      <c r="B799" s="106"/>
      <c r="C799" s="106"/>
    </row>
    <row r="800">
      <c r="B800" s="106"/>
      <c r="C800" s="106"/>
    </row>
    <row r="801">
      <c r="B801" s="106"/>
      <c r="C801" s="106"/>
    </row>
    <row r="802">
      <c r="B802" s="106"/>
      <c r="C802" s="106"/>
    </row>
    <row r="803">
      <c r="B803" s="106"/>
      <c r="C803" s="106"/>
    </row>
    <row r="804">
      <c r="B804" s="106"/>
      <c r="C804" s="106"/>
    </row>
    <row r="805">
      <c r="B805" s="106"/>
      <c r="C805" s="106"/>
    </row>
    <row r="806">
      <c r="B806" s="106"/>
      <c r="C806" s="106"/>
    </row>
    <row r="807">
      <c r="B807" s="106"/>
      <c r="C807" s="106"/>
    </row>
    <row r="808">
      <c r="B808" s="106"/>
      <c r="C808" s="106"/>
    </row>
    <row r="809">
      <c r="B809" s="106"/>
      <c r="C809" s="106"/>
    </row>
    <row r="810">
      <c r="B810" s="106"/>
      <c r="C810" s="106"/>
    </row>
    <row r="811">
      <c r="B811" s="106"/>
      <c r="C811" s="106"/>
    </row>
    <row r="812">
      <c r="B812" s="106"/>
      <c r="C812" s="106"/>
    </row>
    <row r="813">
      <c r="B813" s="106"/>
      <c r="C813" s="106"/>
    </row>
    <row r="814">
      <c r="B814" s="106"/>
      <c r="C814" s="106"/>
    </row>
    <row r="815">
      <c r="B815" s="106"/>
      <c r="C815" s="106"/>
    </row>
    <row r="816">
      <c r="B816" s="106"/>
      <c r="C816" s="106"/>
    </row>
    <row r="817">
      <c r="B817" s="106"/>
      <c r="C817" s="106"/>
    </row>
    <row r="818">
      <c r="B818" s="106"/>
      <c r="C818" s="106"/>
    </row>
    <row r="819">
      <c r="B819" s="106"/>
      <c r="C819" s="106"/>
    </row>
    <row r="820">
      <c r="B820" s="106"/>
      <c r="C820" s="106"/>
    </row>
    <row r="821">
      <c r="B821" s="106"/>
      <c r="C821" s="106"/>
    </row>
    <row r="822">
      <c r="B822" s="106"/>
      <c r="C822" s="106"/>
    </row>
    <row r="823">
      <c r="B823" s="106"/>
      <c r="C823" s="106"/>
    </row>
    <row r="824">
      <c r="B824" s="106"/>
      <c r="C824" s="106"/>
    </row>
    <row r="825">
      <c r="B825" s="106"/>
      <c r="C825" s="106"/>
    </row>
    <row r="826">
      <c r="B826" s="106"/>
      <c r="C826" s="106"/>
    </row>
    <row r="827">
      <c r="B827" s="106"/>
      <c r="C827" s="106"/>
    </row>
    <row r="828">
      <c r="B828" s="106"/>
      <c r="C828" s="106"/>
    </row>
    <row r="829">
      <c r="B829" s="106"/>
      <c r="C829" s="106"/>
    </row>
    <row r="830">
      <c r="B830" s="106"/>
      <c r="C830" s="106"/>
    </row>
    <row r="831">
      <c r="B831" s="106"/>
      <c r="C831" s="106"/>
    </row>
    <row r="832">
      <c r="B832" s="106"/>
      <c r="C832" s="106"/>
    </row>
    <row r="833">
      <c r="B833" s="106"/>
      <c r="C833" s="106"/>
    </row>
    <row r="834">
      <c r="B834" s="106"/>
      <c r="C834" s="106"/>
    </row>
    <row r="835">
      <c r="B835" s="106"/>
      <c r="C835" s="106"/>
    </row>
    <row r="836">
      <c r="B836" s="106"/>
      <c r="C836" s="106"/>
    </row>
    <row r="837">
      <c r="B837" s="106"/>
      <c r="C837" s="106"/>
    </row>
    <row r="838">
      <c r="B838" s="106"/>
      <c r="C838" s="106"/>
    </row>
    <row r="839">
      <c r="B839" s="106"/>
      <c r="C839" s="106"/>
    </row>
    <row r="840">
      <c r="B840" s="106"/>
      <c r="C840" s="106"/>
    </row>
    <row r="841">
      <c r="B841" s="106"/>
      <c r="C841" s="106"/>
    </row>
    <row r="842">
      <c r="B842" s="106"/>
      <c r="C842" s="106"/>
    </row>
    <row r="843">
      <c r="B843" s="106"/>
      <c r="C843" s="106"/>
    </row>
    <row r="844">
      <c r="B844" s="106"/>
      <c r="C844" s="106"/>
    </row>
    <row r="845">
      <c r="B845" s="106"/>
      <c r="C845" s="106"/>
    </row>
    <row r="846">
      <c r="B846" s="106"/>
      <c r="C846" s="106"/>
    </row>
    <row r="847">
      <c r="B847" s="106"/>
      <c r="C847" s="106"/>
    </row>
    <row r="848">
      <c r="B848" s="106"/>
      <c r="C848" s="106"/>
    </row>
    <row r="849">
      <c r="B849" s="106"/>
      <c r="C849" s="106"/>
    </row>
    <row r="850">
      <c r="B850" s="106"/>
      <c r="C850" s="106"/>
    </row>
    <row r="851">
      <c r="B851" s="106"/>
      <c r="C851" s="106"/>
    </row>
    <row r="852">
      <c r="B852" s="106"/>
      <c r="C852" s="106"/>
    </row>
    <row r="853">
      <c r="B853" s="106"/>
      <c r="C853" s="106"/>
    </row>
    <row r="854">
      <c r="B854" s="106"/>
      <c r="C854" s="106"/>
    </row>
    <row r="855">
      <c r="B855" s="106"/>
      <c r="C855" s="106"/>
    </row>
    <row r="856">
      <c r="B856" s="106"/>
      <c r="C856" s="106"/>
    </row>
    <row r="857">
      <c r="B857" s="106"/>
      <c r="C857" s="106"/>
    </row>
    <row r="858">
      <c r="B858" s="106"/>
      <c r="C858" s="106"/>
    </row>
    <row r="859">
      <c r="B859" s="106"/>
      <c r="C859" s="106"/>
    </row>
    <row r="860">
      <c r="B860" s="106"/>
      <c r="C860" s="106"/>
    </row>
    <row r="861">
      <c r="B861" s="106"/>
      <c r="C861" s="106"/>
    </row>
    <row r="862">
      <c r="B862" s="106"/>
      <c r="C862" s="106"/>
    </row>
    <row r="863">
      <c r="B863" s="106"/>
      <c r="C863" s="106"/>
    </row>
    <row r="864">
      <c r="B864" s="106"/>
      <c r="C864" s="106"/>
    </row>
    <row r="865">
      <c r="B865" s="106"/>
      <c r="C865" s="106"/>
    </row>
    <row r="866">
      <c r="B866" s="106"/>
      <c r="C866" s="106"/>
    </row>
    <row r="867">
      <c r="B867" s="106"/>
      <c r="C867" s="106"/>
    </row>
    <row r="868">
      <c r="B868" s="106"/>
      <c r="C868" s="106"/>
    </row>
    <row r="869">
      <c r="B869" s="106"/>
      <c r="C869" s="106"/>
    </row>
    <row r="870">
      <c r="B870" s="106"/>
      <c r="C870" s="106"/>
    </row>
    <row r="871">
      <c r="B871" s="106"/>
      <c r="C871" s="106"/>
    </row>
    <row r="872">
      <c r="B872" s="106"/>
      <c r="C872" s="106"/>
    </row>
    <row r="873">
      <c r="B873" s="106"/>
      <c r="C873" s="106"/>
    </row>
    <row r="874">
      <c r="B874" s="106"/>
      <c r="C874" s="106"/>
    </row>
    <row r="875">
      <c r="B875" s="106"/>
      <c r="C875" s="106"/>
    </row>
    <row r="876">
      <c r="B876" s="106"/>
      <c r="C876" s="106"/>
    </row>
    <row r="877">
      <c r="B877" s="106"/>
      <c r="C877" s="106"/>
    </row>
    <row r="878">
      <c r="B878" s="106"/>
      <c r="C878" s="106"/>
    </row>
    <row r="879">
      <c r="B879" s="106"/>
      <c r="C879" s="106"/>
    </row>
    <row r="880">
      <c r="B880" s="106"/>
      <c r="C880" s="106"/>
    </row>
    <row r="881">
      <c r="B881" s="106"/>
      <c r="C881" s="106"/>
    </row>
    <row r="882">
      <c r="B882" s="106"/>
      <c r="C882" s="106"/>
    </row>
    <row r="883">
      <c r="B883" s="106"/>
      <c r="C883" s="106"/>
    </row>
    <row r="884">
      <c r="B884" s="106"/>
      <c r="C884" s="106"/>
    </row>
    <row r="885">
      <c r="B885" s="106"/>
      <c r="C885" s="106"/>
    </row>
    <row r="886">
      <c r="B886" s="106"/>
      <c r="C886" s="106"/>
    </row>
    <row r="887">
      <c r="B887" s="106"/>
      <c r="C887" s="106"/>
    </row>
    <row r="888">
      <c r="B888" s="106"/>
      <c r="C888" s="106"/>
    </row>
    <row r="889">
      <c r="B889" s="106"/>
      <c r="C889" s="106"/>
    </row>
    <row r="890">
      <c r="B890" s="106"/>
      <c r="C890" s="106"/>
    </row>
    <row r="891">
      <c r="B891" s="106"/>
      <c r="C891" s="106"/>
    </row>
    <row r="892">
      <c r="B892" s="106"/>
      <c r="C892" s="106"/>
    </row>
    <row r="893">
      <c r="B893" s="106"/>
      <c r="C893" s="106"/>
    </row>
    <row r="894">
      <c r="B894" s="106"/>
      <c r="C894" s="106"/>
    </row>
    <row r="895">
      <c r="B895" s="106"/>
      <c r="C895" s="106"/>
    </row>
    <row r="896">
      <c r="B896" s="106"/>
      <c r="C896" s="106"/>
    </row>
    <row r="897">
      <c r="B897" s="106"/>
      <c r="C897" s="106"/>
    </row>
    <row r="898">
      <c r="B898" s="106"/>
      <c r="C898" s="106"/>
    </row>
    <row r="899">
      <c r="B899" s="106"/>
      <c r="C899" s="106"/>
    </row>
    <row r="900">
      <c r="B900" s="106"/>
      <c r="C900" s="106"/>
    </row>
    <row r="901">
      <c r="B901" s="106"/>
      <c r="C901" s="106"/>
    </row>
    <row r="902">
      <c r="B902" s="106"/>
      <c r="C902" s="106"/>
    </row>
    <row r="903">
      <c r="B903" s="106"/>
      <c r="C903" s="106"/>
    </row>
    <row r="904">
      <c r="B904" s="106"/>
      <c r="C904" s="106"/>
    </row>
    <row r="905">
      <c r="B905" s="106"/>
      <c r="C905" s="106"/>
    </row>
    <row r="906">
      <c r="B906" s="106"/>
      <c r="C906" s="106"/>
    </row>
    <row r="907">
      <c r="B907" s="106"/>
      <c r="C907" s="106"/>
    </row>
    <row r="908">
      <c r="B908" s="106"/>
      <c r="C908" s="106"/>
    </row>
    <row r="909">
      <c r="B909" s="106"/>
      <c r="C909" s="106"/>
    </row>
    <row r="910">
      <c r="B910" s="106"/>
      <c r="C910" s="106"/>
    </row>
    <row r="911">
      <c r="B911" s="106"/>
      <c r="C911" s="106"/>
    </row>
    <row r="912">
      <c r="B912" s="106"/>
      <c r="C912" s="106"/>
    </row>
    <row r="913">
      <c r="B913" s="106"/>
      <c r="C913" s="106"/>
    </row>
    <row r="914">
      <c r="B914" s="106"/>
      <c r="C914" s="106"/>
    </row>
    <row r="915">
      <c r="B915" s="106"/>
      <c r="C915" s="106"/>
    </row>
    <row r="916">
      <c r="B916" s="106"/>
      <c r="C916" s="106"/>
    </row>
    <row r="917">
      <c r="B917" s="106"/>
      <c r="C917" s="106"/>
    </row>
    <row r="918">
      <c r="B918" s="106"/>
      <c r="C918" s="106"/>
    </row>
    <row r="919">
      <c r="B919" s="106"/>
      <c r="C919" s="106"/>
    </row>
    <row r="920">
      <c r="B920" s="106"/>
      <c r="C920" s="106"/>
    </row>
    <row r="921">
      <c r="B921" s="106"/>
      <c r="C921" s="106"/>
    </row>
    <row r="922">
      <c r="B922" s="106"/>
      <c r="C922" s="106"/>
    </row>
    <row r="923">
      <c r="B923" s="106"/>
      <c r="C923" s="106"/>
    </row>
    <row r="924">
      <c r="B924" s="106"/>
      <c r="C924" s="106"/>
    </row>
    <row r="925">
      <c r="B925" s="106"/>
      <c r="C925" s="106"/>
    </row>
    <row r="926">
      <c r="B926" s="106"/>
      <c r="C926" s="106"/>
    </row>
    <row r="927">
      <c r="B927" s="106"/>
      <c r="C927" s="106"/>
    </row>
    <row r="928">
      <c r="B928" s="106"/>
      <c r="C928" s="106"/>
    </row>
    <row r="929">
      <c r="B929" s="106"/>
      <c r="C929" s="106"/>
    </row>
    <row r="930">
      <c r="B930" s="106"/>
      <c r="C930" s="106"/>
    </row>
    <row r="931">
      <c r="B931" s="106"/>
      <c r="C931" s="106"/>
    </row>
    <row r="932">
      <c r="B932" s="106"/>
      <c r="C932" s="106"/>
    </row>
    <row r="933">
      <c r="B933" s="106"/>
      <c r="C933" s="106"/>
    </row>
    <row r="934">
      <c r="B934" s="106"/>
      <c r="C934" s="106"/>
    </row>
    <row r="935">
      <c r="B935" s="106"/>
      <c r="C935" s="106"/>
    </row>
    <row r="936">
      <c r="B936" s="106"/>
      <c r="C936" s="106"/>
    </row>
    <row r="937">
      <c r="B937" s="106"/>
      <c r="C937" s="106"/>
    </row>
    <row r="938">
      <c r="B938" s="106"/>
      <c r="C938" s="106"/>
    </row>
    <row r="939">
      <c r="B939" s="106"/>
      <c r="C939" s="106"/>
    </row>
    <row r="940">
      <c r="B940" s="106"/>
      <c r="C940" s="106"/>
    </row>
    <row r="941">
      <c r="B941" s="106"/>
      <c r="C941" s="106"/>
    </row>
    <row r="942">
      <c r="B942" s="106"/>
      <c r="C942" s="106"/>
    </row>
    <row r="943">
      <c r="B943" s="106"/>
      <c r="C943" s="106"/>
    </row>
    <row r="944">
      <c r="B944" s="106"/>
      <c r="C944" s="106"/>
    </row>
    <row r="945">
      <c r="B945" s="106"/>
      <c r="C945" s="106"/>
    </row>
    <row r="946">
      <c r="B946" s="106"/>
      <c r="C946" s="106"/>
    </row>
    <row r="947">
      <c r="B947" s="106"/>
      <c r="C947" s="106"/>
    </row>
    <row r="948">
      <c r="B948" s="106"/>
      <c r="C948" s="106"/>
    </row>
    <row r="949">
      <c r="B949" s="106"/>
      <c r="C949" s="106"/>
    </row>
    <row r="950">
      <c r="B950" s="106"/>
      <c r="C950" s="106"/>
    </row>
    <row r="951">
      <c r="B951" s="106"/>
      <c r="C951" s="106"/>
    </row>
    <row r="952">
      <c r="B952" s="106"/>
      <c r="C952" s="106"/>
    </row>
    <row r="953">
      <c r="B953" s="106"/>
      <c r="C953" s="106"/>
    </row>
    <row r="954">
      <c r="B954" s="106"/>
      <c r="C954" s="106"/>
    </row>
    <row r="955">
      <c r="B955" s="106"/>
      <c r="C955" s="106"/>
    </row>
    <row r="956">
      <c r="B956" s="106"/>
      <c r="C956" s="106"/>
    </row>
    <row r="957">
      <c r="B957" s="106"/>
      <c r="C957" s="106"/>
    </row>
    <row r="958">
      <c r="B958" s="106"/>
      <c r="C958" s="106"/>
    </row>
    <row r="959">
      <c r="B959" s="106"/>
      <c r="C959" s="106"/>
    </row>
    <row r="960">
      <c r="B960" s="106"/>
      <c r="C960" s="106"/>
    </row>
    <row r="961">
      <c r="B961" s="106"/>
      <c r="C961" s="106"/>
    </row>
    <row r="962">
      <c r="B962" s="106"/>
      <c r="C962" s="106"/>
    </row>
    <row r="963">
      <c r="B963" s="106"/>
      <c r="C963" s="106"/>
    </row>
    <row r="964">
      <c r="B964" s="106"/>
      <c r="C964" s="106"/>
    </row>
    <row r="965">
      <c r="B965" s="106"/>
      <c r="C965" s="106"/>
    </row>
    <row r="966">
      <c r="B966" s="106"/>
      <c r="C966" s="106"/>
    </row>
    <row r="967">
      <c r="B967" s="106"/>
      <c r="C967" s="106"/>
    </row>
    <row r="968">
      <c r="B968" s="106"/>
      <c r="C968" s="106"/>
    </row>
    <row r="969">
      <c r="B969" s="106"/>
      <c r="C969" s="106"/>
    </row>
    <row r="970">
      <c r="B970" s="106"/>
      <c r="C970" s="106"/>
    </row>
    <row r="971">
      <c r="B971" s="106"/>
      <c r="C971" s="106"/>
    </row>
    <row r="972">
      <c r="B972" s="106"/>
      <c r="C972" s="106"/>
    </row>
    <row r="973">
      <c r="B973" s="106"/>
      <c r="C973" s="106"/>
    </row>
    <row r="974">
      <c r="B974" s="106"/>
      <c r="C974" s="106"/>
    </row>
    <row r="975">
      <c r="B975" s="106"/>
      <c r="C975" s="106"/>
    </row>
    <row r="976">
      <c r="B976" s="106"/>
      <c r="C976" s="106"/>
    </row>
    <row r="977">
      <c r="B977" s="106"/>
      <c r="C977" s="106"/>
    </row>
    <row r="978">
      <c r="B978" s="106"/>
      <c r="C978" s="106"/>
    </row>
    <row r="979">
      <c r="B979" s="106"/>
      <c r="C979" s="106"/>
    </row>
    <row r="980">
      <c r="B980" s="106"/>
      <c r="C980" s="106"/>
    </row>
    <row r="981">
      <c r="B981" s="106"/>
      <c r="C981" s="106"/>
    </row>
    <row r="982">
      <c r="B982" s="106"/>
      <c r="C982" s="106"/>
    </row>
    <row r="983">
      <c r="B983" s="106"/>
      <c r="C983" s="106"/>
    </row>
    <row r="984">
      <c r="B984" s="106"/>
      <c r="C984" s="106"/>
    </row>
    <row r="985">
      <c r="B985" s="106"/>
      <c r="C985" s="106"/>
    </row>
    <row r="986">
      <c r="B986" s="106"/>
      <c r="C986" s="106"/>
    </row>
    <row r="987">
      <c r="B987" s="106"/>
      <c r="C987" s="106"/>
    </row>
    <row r="988">
      <c r="B988" s="106"/>
      <c r="C988" s="106"/>
    </row>
    <row r="989">
      <c r="B989" s="106"/>
      <c r="C989" s="106"/>
    </row>
    <row r="990">
      <c r="B990" s="106"/>
      <c r="C990" s="106"/>
    </row>
    <row r="991">
      <c r="B991" s="106"/>
      <c r="C991" s="106"/>
    </row>
    <row r="992">
      <c r="B992" s="106"/>
      <c r="C992" s="106"/>
    </row>
    <row r="993">
      <c r="B993" s="106"/>
      <c r="C993" s="106"/>
    </row>
    <row r="994">
      <c r="B994" s="106"/>
      <c r="C994" s="106"/>
    </row>
    <row r="995">
      <c r="B995" s="106"/>
      <c r="C995" s="106"/>
    </row>
    <row r="996">
      <c r="B996" s="106"/>
      <c r="C996" s="106"/>
    </row>
    <row r="997">
      <c r="B997" s="106"/>
      <c r="C997" s="106"/>
    </row>
    <row r="998">
      <c r="B998" s="106"/>
      <c r="C998" s="106"/>
    </row>
    <row r="999">
      <c r="B999" s="106"/>
      <c r="C999" s="106"/>
    </row>
    <row r="1000">
      <c r="B1000" s="106"/>
      <c r="C1000" s="106"/>
    </row>
    <row r="1001">
      <c r="B1001" s="106"/>
      <c r="C1001" s="106"/>
    </row>
    <row r="1002">
      <c r="B1002" s="106"/>
      <c r="C1002" s="106"/>
    </row>
    <row r="1003">
      <c r="B1003" s="106"/>
      <c r="C1003" s="106"/>
    </row>
    <row r="1004">
      <c r="B1004" s="106"/>
      <c r="C1004" s="106"/>
    </row>
    <row r="1005">
      <c r="B1005" s="106"/>
      <c r="C1005" s="106"/>
    </row>
    <row r="1006">
      <c r="B1006" s="106"/>
      <c r="C1006" s="106"/>
    </row>
    <row r="1007">
      <c r="B1007" s="106"/>
      <c r="C1007" s="106"/>
    </row>
    <row r="1008">
      <c r="B1008" s="106"/>
      <c r="C1008" s="106"/>
    </row>
    <row r="1009">
      <c r="B1009" s="106"/>
      <c r="C1009" s="106"/>
    </row>
    <row r="1010">
      <c r="B1010" s="106"/>
      <c r="C1010" s="106"/>
    </row>
    <row r="1011">
      <c r="B1011" s="106"/>
      <c r="C1011" s="106"/>
    </row>
    <row r="1012">
      <c r="B1012" s="106"/>
      <c r="C1012" s="106"/>
    </row>
    <row r="1013">
      <c r="B1013" s="106"/>
      <c r="C1013" s="106"/>
    </row>
    <row r="1014">
      <c r="B1014" s="106"/>
      <c r="C1014" s="106"/>
    </row>
    <row r="1015">
      <c r="B1015" s="106"/>
      <c r="C1015" s="106"/>
    </row>
    <row r="1016">
      <c r="B1016" s="106"/>
      <c r="C1016" s="106"/>
    </row>
    <row r="1017">
      <c r="B1017" s="106"/>
      <c r="C1017" s="106"/>
    </row>
    <row r="1018">
      <c r="B1018" s="106"/>
      <c r="C1018" s="106"/>
    </row>
  </sheetData>
  <hyperlinks>
    <hyperlink r:id="rId1" ref="B2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17.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16.43"/>
  </cols>
  <sheetData>
    <row r="1">
      <c r="A1" s="1" t="s">
        <v>0</v>
      </c>
      <c r="B1" s="2">
        <f>COUNTIF(D2:D779,"Active")+COUNTIF(D2:D779,"Leaving Soon")</f>
        <v>148</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List'!C2:C779, ""Classics""), NOT(REGEXMATCH('Master List'!C2:C779, ""Extra"")), NOT(REGEXMATCH('Master List'!D2:D779, ""Removed"")) ), 10, false)"),"Tekken 3")</f>
        <v>Tekken 3</v>
      </c>
      <c r="B3" s="15" t="str">
        <f>IFERROR(__xludf.DUMMYFUNCTION("""COMPUTED_VALUE"""),"PS5/PS4")</f>
        <v>PS5/PS4</v>
      </c>
      <c r="C3" s="16" t="str">
        <f>IFERROR(__xludf.DUMMYFUNCTION("""COMPUTED_VALUE"""),"Premium (Classics)")</f>
        <v>Premium (Classics)</v>
      </c>
      <c r="D3" s="15" t="str">
        <f>IFERROR(__xludf.DUMMYFUNCTION("""COMPUTED_VALUE"""),"Active")</f>
        <v>Active</v>
      </c>
      <c r="E3" s="17">
        <f>IFERROR(__xludf.DUMMYFUNCTION("""COMPUTED_VALUE"""),45951.0)</f>
        <v>45951</v>
      </c>
      <c r="F3" s="18"/>
      <c r="G3" s="19">
        <f>IFERROR(__xludf.DUMMYFUNCTION("""COMPUTED_VALUE"""),11.5)</f>
        <v>11.5</v>
      </c>
      <c r="H3" s="17">
        <f>IFERROR(__xludf.DUMMYFUNCTION("""COMPUTED_VALUE"""),35914.0)</f>
        <v>35914</v>
      </c>
      <c r="I3" s="19">
        <f>IFERROR(__xludf.DUMMYFUNCTION("""COMPUTED_VALUE"""),2.0)</f>
        <v>2</v>
      </c>
      <c r="J3" s="21">
        <f>IFERROR(__xludf.DUMMYFUNCTION("""COMPUTED_VALUE"""),96.0)</f>
        <v>96</v>
      </c>
      <c r="K3" s="23">
        <f>IFERROR(__xludf.DUMMYFUNCTION("""COMPUTED_VALUE"""),8.8)</f>
        <v>8.8</v>
      </c>
      <c r="L3" s="24">
        <f>IFERROR(__xludf.DUMMYFUNCTION("""COMPUTED_VALUE"""),2.0)</f>
        <v>2</v>
      </c>
      <c r="M3" s="25" t="str">
        <f>IFERROR(__xludf.DUMMYFUNCTION("""COMPUTED_VALUE"""),"Fighting")</f>
        <v>Fighting</v>
      </c>
      <c r="N3" s="25" t="str">
        <f>IFERROR(__xludf.DUMMYFUNCTION("""COMPUTED_VALUE"""),"PS1")</f>
        <v>PS1</v>
      </c>
      <c r="O3" s="26"/>
      <c r="P3" s="26"/>
    </row>
    <row r="4">
      <c r="A4" s="13" t="str">
        <f>IFERROR(__xludf.DUMMYFUNCTION("""COMPUTED_VALUE"""),"Gitaroo Man")</f>
        <v>Gitaroo Man</v>
      </c>
      <c r="B4" s="15" t="str">
        <f>IFERROR(__xludf.DUMMYFUNCTION("""COMPUTED_VALUE"""),"PS5/PS4")</f>
        <v>PS5/PS4</v>
      </c>
      <c r="C4" s="16" t="str">
        <f>IFERROR(__xludf.DUMMYFUNCTION("""COMPUTED_VALUE"""),"Premium (Classics)")</f>
        <v>Premium (Classics)</v>
      </c>
      <c r="D4" s="15" t="str">
        <f>IFERROR(__xludf.DUMMYFUNCTION("""COMPUTED_VALUE"""),"Active")</f>
        <v>Active</v>
      </c>
      <c r="E4" s="17">
        <f>IFERROR(__xludf.DUMMYFUNCTION("""COMPUTED_VALUE"""),46189.0)</f>
        <v>46189</v>
      </c>
      <c r="F4" s="18"/>
      <c r="G4" s="19">
        <f>IFERROR(__xludf.DUMMYFUNCTION("""COMPUTED_VALUE"""),3.666666666666667)</f>
        <v>3.666666667</v>
      </c>
      <c r="H4" s="17">
        <f>IFERROR(__xludf.DUMMYFUNCTION("""COMPUTED_VALUE"""),37431.0)</f>
        <v>37431</v>
      </c>
      <c r="I4" s="19">
        <f>IFERROR(__xludf.DUMMYFUNCTION("""COMPUTED_VALUE"""),23.977777777777778)</f>
        <v>23.97777778</v>
      </c>
      <c r="J4" s="21">
        <f>IFERROR(__xludf.DUMMYFUNCTION("""COMPUTED_VALUE"""),91.0)</f>
        <v>91</v>
      </c>
      <c r="K4" s="23">
        <f>IFERROR(__xludf.DUMMYFUNCTION("""COMPUTED_VALUE"""),8.8)</f>
        <v>8.8</v>
      </c>
      <c r="L4" s="24">
        <f>IFERROR(__xludf.DUMMYFUNCTION("""COMPUTED_VALUE"""),4.0)</f>
        <v>4</v>
      </c>
      <c r="M4" s="25" t="str">
        <f>IFERROR(__xludf.DUMMYFUNCTION("""COMPUTED_VALUE"""),"Rhythm")</f>
        <v>Rhythm</v>
      </c>
      <c r="N4" s="25" t="str">
        <f>IFERROR(__xludf.DUMMYFUNCTION("""COMPUTED_VALUE"""),"PS2")</f>
        <v>PS2</v>
      </c>
      <c r="O4" s="26"/>
      <c r="P4" s="26"/>
    </row>
    <row r="5">
      <c r="A5" s="13" t="str">
        <f>IFERROR(__xludf.DUMMYFUNCTION("""COMPUTED_VALUE"""),"Resident Evil 2")</f>
        <v>Resident Evil 2</v>
      </c>
      <c r="B5" s="15" t="str">
        <f>IFERROR(__xludf.DUMMYFUNCTION("""COMPUTED_VALUE"""),"PS5/PS4")</f>
        <v>PS5/PS4</v>
      </c>
      <c r="C5" s="16" t="str">
        <f>IFERROR(__xludf.DUMMYFUNCTION("""COMPUTED_VALUE"""),"Premium (Classics)")</f>
        <v>Premium (Classics)</v>
      </c>
      <c r="D5" s="15" t="str">
        <f>IFERROR(__xludf.DUMMYFUNCTION("""COMPUTED_VALUE"""),"Active")</f>
        <v>Active</v>
      </c>
      <c r="E5" s="17">
        <f>IFERROR(__xludf.DUMMYFUNCTION("""COMPUTED_VALUE"""),45888.0)</f>
        <v>45888</v>
      </c>
      <c r="F5" s="18"/>
      <c r="G5" s="19">
        <f>IFERROR(__xludf.DUMMYFUNCTION("""COMPUTED_VALUE"""),13.566666666666666)</f>
        <v>13.56666667</v>
      </c>
      <c r="H5" s="17">
        <f>IFERROR(__xludf.DUMMYFUNCTION("""COMPUTED_VALUE"""),35824.0)</f>
        <v>35824</v>
      </c>
      <c r="I5" s="19">
        <f>IFERROR(__xludf.DUMMYFUNCTION("""COMPUTED_VALUE"""),27.555555555555557)</f>
        <v>27.55555556</v>
      </c>
      <c r="J5" s="21">
        <f>IFERROR(__xludf.DUMMYFUNCTION("""COMPUTED_VALUE"""),91.0)</f>
        <v>91</v>
      </c>
      <c r="K5" s="23">
        <f>IFERROR(__xludf.DUMMYFUNCTION("""COMPUTED_VALUE"""),8.9)</f>
        <v>8.9</v>
      </c>
      <c r="L5" s="24">
        <f>IFERROR(__xludf.DUMMYFUNCTION("""COMPUTED_VALUE"""),9.0)</f>
        <v>9</v>
      </c>
      <c r="M5" s="25" t="str">
        <f>IFERROR(__xludf.DUMMYFUNCTION("""COMPUTED_VALUE"""),"Survival")</f>
        <v>Survival</v>
      </c>
      <c r="N5" s="25" t="str">
        <f>IFERROR(__xludf.DUMMYFUNCTION("""COMPUTED_VALUE"""),"PS1")</f>
        <v>PS1</v>
      </c>
      <c r="O5" s="26"/>
      <c r="P5" s="26"/>
    </row>
    <row r="6">
      <c r="A6" s="13" t="str">
        <f>IFERROR(__xludf.DUMMYFUNCTION("""COMPUTED_VALUE"""),"Blood Omen: Legacy of Kain")</f>
        <v>Blood Omen: Legacy of Kain</v>
      </c>
      <c r="B6" s="15" t="str">
        <f>IFERROR(__xludf.DUMMYFUNCTION("""COMPUTED_VALUE"""),"PS5/PS4")</f>
        <v>PS5/PS4</v>
      </c>
      <c r="C6" s="16" t="str">
        <f>IFERROR(__xludf.DUMMYFUNCTION("""COMPUTED_VALUE"""),"Premium (Classics)")</f>
        <v>Premium (Classics)</v>
      </c>
      <c r="D6" s="15" t="str">
        <f>IFERROR(__xludf.DUMMYFUNCTION("""COMPUTED_VALUE"""),"Active")</f>
        <v>Active</v>
      </c>
      <c r="E6" s="17">
        <f>IFERROR(__xludf.DUMMYFUNCTION("""COMPUTED_VALUE"""),45615.0)</f>
        <v>45615</v>
      </c>
      <c r="F6" s="18"/>
      <c r="G6" s="19">
        <f>IFERROR(__xludf.DUMMYFUNCTION("""COMPUTED_VALUE"""),22.566666666666666)</f>
        <v>22.56666667</v>
      </c>
      <c r="H6" s="17">
        <f>IFERROR(__xludf.DUMMYFUNCTION("""COMPUTED_VALUE"""),35370.0)</f>
        <v>35370</v>
      </c>
      <c r="I6" s="19">
        <f>IFERROR(__xludf.DUMMYFUNCTION("""COMPUTED_VALUE"""),28.05)</f>
        <v>28.05</v>
      </c>
      <c r="J6" s="21">
        <f>IFERROR(__xludf.DUMMYFUNCTION("""COMPUTED_VALUE"""),91.0)</f>
        <v>91</v>
      </c>
      <c r="K6" s="23">
        <f>IFERROR(__xludf.DUMMYFUNCTION("""COMPUTED_VALUE"""),8.8)</f>
        <v>8.8</v>
      </c>
      <c r="L6" s="24">
        <f>IFERROR(__xludf.DUMMYFUNCTION("""COMPUTED_VALUE"""),18.0)</f>
        <v>18</v>
      </c>
      <c r="M6" s="25" t="str">
        <f>IFERROR(__xludf.DUMMYFUNCTION("""COMPUTED_VALUE"""),"Action-Adventure")</f>
        <v>Action-Adventure</v>
      </c>
      <c r="N6" s="25" t="str">
        <f>IFERROR(__xludf.DUMMYFUNCTION("""COMPUTED_VALUE"""),"PS1")</f>
        <v>PS1</v>
      </c>
      <c r="O6" s="26" t="str">
        <f>IFERROR(__xludf.DUMMYFUNCTION("""COMPUTED_VALUE"""),"Yes")</f>
        <v>Yes</v>
      </c>
      <c r="P6" s="26"/>
    </row>
    <row r="7">
      <c r="A7" s="13" t="str">
        <f>IFERROR(__xludf.DUMMYFUNCTION("""COMPUTED_VALUE"""),"Deus Ex: The Conspiracy")</f>
        <v>Deus Ex: The Conspiracy</v>
      </c>
      <c r="B7" s="15" t="str">
        <f>IFERROR(__xludf.DUMMYFUNCTION("""COMPUTED_VALUE"""),"PS5/PS4")</f>
        <v>PS5/PS4</v>
      </c>
      <c r="C7" s="16" t="str">
        <f>IFERROR(__xludf.DUMMYFUNCTION("""COMPUTED_VALUE"""),"Premium (Classics)")</f>
        <v>Premium (Classics)</v>
      </c>
      <c r="D7" s="15" t="str">
        <f>IFERROR(__xludf.DUMMYFUNCTION("""COMPUTED_VALUE"""),"Active")</f>
        <v>Active</v>
      </c>
      <c r="E7" s="17">
        <f>IFERROR(__xludf.DUMMYFUNCTION("""COMPUTED_VALUE"""),45825.0)</f>
        <v>45825</v>
      </c>
      <c r="F7" s="18"/>
      <c r="G7" s="19">
        <f>IFERROR(__xludf.DUMMYFUNCTION("""COMPUTED_VALUE"""),15.633333333333333)</f>
        <v>15.63333333</v>
      </c>
      <c r="H7" s="17">
        <f>IFERROR(__xludf.DUMMYFUNCTION("""COMPUTED_VALUE"""),36700.0)</f>
        <v>36700</v>
      </c>
      <c r="I7" s="19">
        <f>IFERROR(__xludf.DUMMYFUNCTION("""COMPUTED_VALUE"""),24.983333333333334)</f>
        <v>24.98333333</v>
      </c>
      <c r="J7" s="21">
        <f>IFERROR(__xludf.DUMMYFUNCTION("""COMPUTED_VALUE"""),90.0)</f>
        <v>90</v>
      </c>
      <c r="K7" s="23">
        <f>IFERROR(__xludf.DUMMYFUNCTION("""COMPUTED_VALUE"""),9.0)</f>
        <v>9</v>
      </c>
      <c r="L7" s="24">
        <f>IFERROR(__xludf.DUMMYFUNCTION("""COMPUTED_VALUE"""),23.0)</f>
        <v>23</v>
      </c>
      <c r="M7" s="25" t="str">
        <f>IFERROR(__xludf.DUMMYFUNCTION("""COMPUTED_VALUE"""),"Action-Adventure")</f>
        <v>Action-Adventure</v>
      </c>
      <c r="N7" s="25" t="str">
        <f>IFERROR(__xludf.DUMMYFUNCTION("""COMPUTED_VALUE"""),"PS2")</f>
        <v>PS2</v>
      </c>
      <c r="O7" s="26"/>
      <c r="P7" s="26"/>
    </row>
    <row r="8">
      <c r="A8" s="13" t="str">
        <f>IFERROR(__xludf.DUMMYFUNCTION("""COMPUTED_VALUE"""),"Jak and Daxter: The Precursor Legacy")</f>
        <v>Jak and Daxter: The Precursor Legacy</v>
      </c>
      <c r="B8" s="15" t="str">
        <f>IFERROR(__xludf.DUMMYFUNCTION("""COMPUTED_VALUE"""),"PS5/PS4")</f>
        <v>PS5/PS4</v>
      </c>
      <c r="C8" s="16" t="str">
        <f>IFERROR(__xludf.DUMMYFUNCTION("""COMPUTED_VALUE"""),"Premium (Classics)")</f>
        <v>Premium (Classics)</v>
      </c>
      <c r="D8" s="15" t="str">
        <f>IFERROR(__xludf.DUMMYFUNCTION("""COMPUTED_VALUE"""),"Active")</f>
        <v>Active</v>
      </c>
      <c r="E8" s="17">
        <f>IFERROR(__xludf.DUMMYFUNCTION("""COMPUTED_VALUE"""),45643.0)</f>
        <v>45643</v>
      </c>
      <c r="F8" s="18"/>
      <c r="G8" s="19">
        <f>IFERROR(__xludf.DUMMYFUNCTION("""COMPUTED_VALUE"""),21.633333333333333)</f>
        <v>21.63333333</v>
      </c>
      <c r="H8" s="17">
        <f>IFERROR(__xludf.DUMMYFUNCTION("""COMPUTED_VALUE"""),37229.0)</f>
        <v>37229</v>
      </c>
      <c r="I8" s="19">
        <f>IFERROR(__xludf.DUMMYFUNCTION("""COMPUTED_VALUE"""),23.03611111111111)</f>
        <v>23.03611111</v>
      </c>
      <c r="J8" s="21">
        <f>IFERROR(__xludf.DUMMYFUNCTION("""COMPUTED_VALUE"""),90.0)</f>
        <v>90</v>
      </c>
      <c r="K8" s="23">
        <f>IFERROR(__xludf.DUMMYFUNCTION("""COMPUTED_VALUE"""),8.7)</f>
        <v>8.7</v>
      </c>
      <c r="L8" s="24">
        <f>IFERROR(__xludf.DUMMYFUNCTION("""COMPUTED_VALUE"""),10.0)</f>
        <v>10</v>
      </c>
      <c r="M8" s="25" t="str">
        <f>IFERROR(__xludf.DUMMYFUNCTION("""COMPUTED_VALUE"""),"Platformer")</f>
        <v>Platformer</v>
      </c>
      <c r="N8" s="25" t="str">
        <f>IFERROR(__xludf.DUMMYFUNCTION("""COMPUTED_VALUE"""),"PS2")</f>
        <v>PS2</v>
      </c>
      <c r="O8" s="26" t="str">
        <f>IFERROR(__xludf.DUMMYFUNCTION("""COMPUTED_VALUE"""),"Yes")</f>
        <v>Yes</v>
      </c>
      <c r="P8" s="26"/>
    </row>
    <row r="9">
      <c r="A9" s="35" t="str">
        <f>IFERROR(__xludf.DUMMYFUNCTION("""COMPUTED_VALUE"""),"TimeSplitters 2")</f>
        <v>TimeSplitters 2</v>
      </c>
      <c r="B9" s="15" t="str">
        <f>IFERROR(__xludf.DUMMYFUNCTION("""COMPUTED_VALUE"""),"PS5/PS4")</f>
        <v>PS5/PS4</v>
      </c>
      <c r="C9" s="16" t="str">
        <f>IFERROR(__xludf.DUMMYFUNCTION("""COMPUTED_VALUE"""),"Premium (Classics)")</f>
        <v>Premium (Classics)</v>
      </c>
      <c r="D9" s="15" t="str">
        <f>IFERROR(__xludf.DUMMYFUNCTION("""COMPUTED_VALUE"""),"Active")</f>
        <v>Active</v>
      </c>
      <c r="E9" s="17">
        <f>IFERROR(__xludf.DUMMYFUNCTION("""COMPUTED_VALUE"""),45524.0)</f>
        <v>45524</v>
      </c>
      <c r="F9" s="18"/>
      <c r="G9" s="19">
        <f>IFERROR(__xludf.DUMMYFUNCTION("""COMPUTED_VALUE"""),25.53333333333333)</f>
        <v>25.53333333</v>
      </c>
      <c r="H9" s="17">
        <f>IFERROR(__xludf.DUMMYFUNCTION("""COMPUTED_VALUE"""),37537.0)</f>
        <v>37537</v>
      </c>
      <c r="I9" s="19">
        <f>IFERROR(__xludf.DUMMYFUNCTION("""COMPUTED_VALUE"""),21.866666666666667)</f>
        <v>21.86666667</v>
      </c>
      <c r="J9" s="21">
        <f>IFERROR(__xludf.DUMMYFUNCTION("""COMPUTED_VALUE"""),90.0)</f>
        <v>90</v>
      </c>
      <c r="K9" s="23">
        <f>IFERROR(__xludf.DUMMYFUNCTION("""COMPUTED_VALUE"""),8.6)</f>
        <v>8.6</v>
      </c>
      <c r="L9" s="24">
        <f>IFERROR(__xludf.DUMMYFUNCTION("""COMPUTED_VALUE"""),9.0)</f>
        <v>9</v>
      </c>
      <c r="M9" s="25" t="str">
        <f>IFERROR(__xludf.DUMMYFUNCTION("""COMPUTED_VALUE"""),"Shooter")</f>
        <v>Shooter</v>
      </c>
      <c r="N9" s="25" t="str">
        <f>IFERROR(__xludf.DUMMYFUNCTION("""COMPUTED_VALUE"""),"PS2")</f>
        <v>PS2</v>
      </c>
      <c r="O9" s="26" t="str">
        <f>IFERROR(__xludf.DUMMYFUNCTION("""COMPUTED_VALUE"""),"Yes")</f>
        <v>Yes</v>
      </c>
      <c r="P9" s="26"/>
    </row>
    <row r="10">
      <c r="A10" s="13" t="str">
        <f>IFERROR(__xludf.DUMMYFUNCTION("""COMPUTED_VALUE"""),"Ape Escape")</f>
        <v>Ape Escape</v>
      </c>
      <c r="B10" s="15" t="str">
        <f>IFERROR(__xludf.DUMMYFUNCTION("""COMPUTED_VALUE"""),"PS5/PS4")</f>
        <v>PS5/PS4</v>
      </c>
      <c r="C10" s="16" t="str">
        <f>IFERROR(__xludf.DUMMYFUNCTION("""COMPUTED_VALUE"""),"Premium (Classics)")</f>
        <v>Premium (Classics)</v>
      </c>
      <c r="D10" s="15" t="str">
        <f>IFERROR(__xludf.DUMMYFUNCTION("""COMPUTED_VALUE"""),"Active")</f>
        <v>Active</v>
      </c>
      <c r="E10" s="17">
        <f>IFERROR(__xludf.DUMMYFUNCTION("""COMPUTED_VALUE"""),44725.0)</f>
        <v>44725</v>
      </c>
      <c r="F10" s="18"/>
      <c r="G10" s="19">
        <f>IFERROR(__xludf.DUMMYFUNCTION("""COMPUTED_VALUE"""),51.766666666666666)</f>
        <v>51.76666667</v>
      </c>
      <c r="H10" s="17">
        <f>IFERROR(__xludf.DUMMYFUNCTION("""COMPUTED_VALUE"""),36281.0)</f>
        <v>36281</v>
      </c>
      <c r="I10" s="19">
        <f>IFERROR(__xludf.DUMMYFUNCTION("""COMPUTED_VALUE"""),23.116666666666667)</f>
        <v>23.11666667</v>
      </c>
      <c r="J10" s="21">
        <f>IFERROR(__xludf.DUMMYFUNCTION("""COMPUTED_VALUE"""),90.0)</f>
        <v>90</v>
      </c>
      <c r="K10" s="23">
        <f>IFERROR(__xludf.DUMMYFUNCTION("""COMPUTED_VALUE"""),8.2)</f>
        <v>8.2</v>
      </c>
      <c r="L10" s="24">
        <f>IFERROR(__xludf.DUMMYFUNCTION("""COMPUTED_VALUE"""),12.0)</f>
        <v>12</v>
      </c>
      <c r="M10" s="25" t="str">
        <f>IFERROR(__xludf.DUMMYFUNCTION("""COMPUTED_VALUE"""),"Platformer")</f>
        <v>Platformer</v>
      </c>
      <c r="N10" s="25" t="str">
        <f>IFERROR(__xludf.DUMMYFUNCTION("""COMPUTED_VALUE"""),"PS1")</f>
        <v>PS1</v>
      </c>
      <c r="O10" s="26" t="str">
        <f>IFERROR(__xludf.DUMMYFUNCTION("""COMPUTED_VALUE"""),"Yes")</f>
        <v>Yes</v>
      </c>
      <c r="P10" s="26" t="str">
        <f>IFERROR(__xludf.DUMMYFUNCTION("""COMPUTED_VALUE"""),"")</f>
        <v/>
      </c>
    </row>
    <row r="11">
      <c r="A11" s="13" t="str">
        <f>IFERROR(__xludf.DUMMYFUNCTION("""COMPUTED_VALUE"""),"Syphon Filter")</f>
        <v>Syphon Filter</v>
      </c>
      <c r="B11" s="15" t="str">
        <f>IFERROR(__xludf.DUMMYFUNCTION("""COMPUTED_VALUE"""),"PS5/PS4")</f>
        <v>PS5/PS4</v>
      </c>
      <c r="C11" s="16" t="str">
        <f>IFERROR(__xludf.DUMMYFUNCTION("""COMPUTED_VALUE"""),"Premium (Classics)")</f>
        <v>Premium (Classics)</v>
      </c>
      <c r="D11" s="15" t="str">
        <f>IFERROR(__xludf.DUMMYFUNCTION("""COMPUTED_VALUE"""),"Active")</f>
        <v>Active</v>
      </c>
      <c r="E11" s="17">
        <f>IFERROR(__xludf.DUMMYFUNCTION("""COMPUTED_VALUE"""),44725.0)</f>
        <v>44725</v>
      </c>
      <c r="F11" s="18"/>
      <c r="G11" s="19">
        <f>IFERROR(__xludf.DUMMYFUNCTION("""COMPUTED_VALUE"""),51.766666666666666)</f>
        <v>51.76666667</v>
      </c>
      <c r="H11" s="17">
        <f>IFERROR(__xludf.DUMMYFUNCTION("""COMPUTED_VALUE"""),36161.0)</f>
        <v>36161</v>
      </c>
      <c r="I11" s="19">
        <f>IFERROR(__xludf.DUMMYFUNCTION("""COMPUTED_VALUE"""),23.45)</f>
        <v>23.45</v>
      </c>
      <c r="J11" s="21">
        <f>IFERROR(__xludf.DUMMYFUNCTION("""COMPUTED_VALUE"""),90.0)</f>
        <v>90</v>
      </c>
      <c r="K11" s="23">
        <f>IFERROR(__xludf.DUMMYFUNCTION("""COMPUTED_VALUE"""),8.4)</f>
        <v>8.4</v>
      </c>
      <c r="L11" s="24">
        <f>IFERROR(__xludf.DUMMYFUNCTION("""COMPUTED_VALUE"""),8.0)</f>
        <v>8</v>
      </c>
      <c r="M11" s="25" t="str">
        <f>IFERROR(__xludf.DUMMYFUNCTION("""COMPUTED_VALUE"""),"Shooter")</f>
        <v>Shooter</v>
      </c>
      <c r="N11" s="25" t="str">
        <f>IFERROR(__xludf.DUMMYFUNCTION("""COMPUTED_VALUE"""),"PS1")</f>
        <v>PS1</v>
      </c>
      <c r="O11" s="26" t="str">
        <f>IFERROR(__xludf.DUMMYFUNCTION("""COMPUTED_VALUE"""),"Yes")</f>
        <v>Yes</v>
      </c>
      <c r="P11" s="26" t="str">
        <f>IFERROR(__xludf.DUMMYFUNCTION("""COMPUTED_VALUE"""),"")</f>
        <v/>
      </c>
    </row>
    <row r="12">
      <c r="A12" s="13" t="str">
        <f>IFERROR(__xludf.DUMMYFUNCTION("""COMPUTED_VALUE"""),"Jak and Daxter: The Precursor Legacy")</f>
        <v>Jak and Daxter: The Precursor Legacy</v>
      </c>
      <c r="B12" s="15" t="str">
        <f>IFERROR(__xludf.DUMMYFUNCTION("""COMPUTED_VALUE"""),"PS4")</f>
        <v>PS4</v>
      </c>
      <c r="C12" s="16" t="str">
        <f>IFERROR(__xludf.DUMMYFUNCTION("""COMPUTED_VALUE"""),"Premium (Classics)")</f>
        <v>Premium (Classics)</v>
      </c>
      <c r="D12" s="15" t="str">
        <f>IFERROR(__xludf.DUMMYFUNCTION("""COMPUTED_VALUE"""),"Active")</f>
        <v>Active</v>
      </c>
      <c r="E12" s="53">
        <f>IFERROR(__xludf.DUMMYFUNCTION("""COMPUTED_VALUE"""),44725.0)</f>
        <v>44725</v>
      </c>
      <c r="F12" s="54"/>
      <c r="G12" s="19">
        <f>IFERROR(__xludf.DUMMYFUNCTION("""COMPUTED_VALUE"""),51.766666666666666)</f>
        <v>51.76666667</v>
      </c>
      <c r="H12" s="17">
        <f>IFERROR(__xludf.DUMMYFUNCTION("""COMPUTED_VALUE"""),37226.0)</f>
        <v>37226</v>
      </c>
      <c r="I12" s="19">
        <f>IFERROR(__xludf.DUMMYFUNCTION("""COMPUTED_VALUE"""),20.533333333333335)</f>
        <v>20.53333333</v>
      </c>
      <c r="J12" s="21">
        <f>IFERROR(__xludf.DUMMYFUNCTION("""COMPUTED_VALUE"""),90.0)</f>
        <v>90</v>
      </c>
      <c r="K12" s="23">
        <f>IFERROR(__xludf.DUMMYFUNCTION("""COMPUTED_VALUE"""),8.8)</f>
        <v>8.8</v>
      </c>
      <c r="L12" s="24">
        <f>IFERROR(__xludf.DUMMYFUNCTION("""COMPUTED_VALUE"""),12.0)</f>
        <v>12</v>
      </c>
      <c r="M12" s="25" t="str">
        <f>IFERROR(__xludf.DUMMYFUNCTION("""COMPUTED_VALUE"""),"Platformer")</f>
        <v>Platformer</v>
      </c>
      <c r="N12" s="25" t="str">
        <f>IFERROR(__xludf.DUMMYFUNCTION("""COMPUTED_VALUE"""),"PS2")</f>
        <v>PS2</v>
      </c>
      <c r="O12" s="26" t="str">
        <f>IFERROR(__xludf.DUMMYFUNCTION("""COMPUTED_VALUE"""),"No")</f>
        <v>No</v>
      </c>
      <c r="P12" s="26" t="str">
        <f>IFERROR(__xludf.DUMMYFUNCTION("""COMPUTED_VALUE"""),"")</f>
        <v/>
      </c>
    </row>
    <row r="13">
      <c r="A13" s="13" t="str">
        <f>IFERROR(__xludf.DUMMYFUNCTION("""COMPUTED_VALUE"""),"Grandia")</f>
        <v>Grandia</v>
      </c>
      <c r="B13" s="15" t="str">
        <f>IFERROR(__xludf.DUMMYFUNCTION("""COMPUTED_VALUE"""),"PS5/PS4")</f>
        <v>PS5/PS4</v>
      </c>
      <c r="C13" s="16" t="str">
        <f>IFERROR(__xludf.DUMMYFUNCTION("""COMPUTED_VALUE"""),"Premium (Classics)")</f>
        <v>Premium (Classics)</v>
      </c>
      <c r="D13" s="15" t="str">
        <f>IFERROR(__xludf.DUMMYFUNCTION("""COMPUTED_VALUE"""),"Active")</f>
        <v>Active</v>
      </c>
      <c r="E13" s="17">
        <f>IFERROR(__xludf.DUMMYFUNCTION("""COMPUTED_VALUE"""),45251.0)</f>
        <v>45251</v>
      </c>
      <c r="F13" s="54"/>
      <c r="G13" s="19">
        <f>IFERROR(__xludf.DUMMYFUNCTION("""COMPUTED_VALUE"""),34.5)</f>
        <v>34.5</v>
      </c>
      <c r="H13" s="17">
        <f>IFERROR(__xludf.DUMMYFUNCTION("""COMPUTED_VALUE"""),36433.0)</f>
        <v>36433</v>
      </c>
      <c r="I13" s="19">
        <f>IFERROR(__xludf.DUMMYFUNCTION("""COMPUTED_VALUE"""),24.141666666666666)</f>
        <v>24.14166667</v>
      </c>
      <c r="J13" s="21">
        <f>IFERROR(__xludf.DUMMYFUNCTION("""COMPUTED_VALUE"""),89.0)</f>
        <v>89</v>
      </c>
      <c r="K13" s="23">
        <f>IFERROR(__xludf.DUMMYFUNCTION("""COMPUTED_VALUE"""),7.7)</f>
        <v>7.7</v>
      </c>
      <c r="L13" s="24">
        <f>IFERROR(__xludf.DUMMYFUNCTION("""COMPUTED_VALUE"""),43.0)</f>
        <v>43</v>
      </c>
      <c r="M13" s="25" t="str">
        <f>IFERROR(__xludf.DUMMYFUNCTION("""COMPUTED_VALUE"""),"RPG")</f>
        <v>RPG</v>
      </c>
      <c r="N13" s="25" t="str">
        <f>IFERROR(__xludf.DUMMYFUNCTION("""COMPUTED_VALUE"""),"PS1")</f>
        <v>PS1</v>
      </c>
      <c r="O13" s="26" t="str">
        <f>IFERROR(__xludf.DUMMYFUNCTION("""COMPUTED_VALUE"""),"Yes")</f>
        <v>Yes</v>
      </c>
      <c r="P13" s="26"/>
    </row>
    <row r="14">
      <c r="A14" s="13" t="str">
        <f>IFERROR(__xludf.DUMMYFUNCTION("""COMPUTED_VALUE"""),"Tekken 2")</f>
        <v>Tekken 2</v>
      </c>
      <c r="B14" s="15" t="str">
        <f>IFERROR(__xludf.DUMMYFUNCTION("""COMPUTED_VALUE"""),"PS5/PS4")</f>
        <v>PS5/PS4</v>
      </c>
      <c r="C14" s="16" t="str">
        <f>IFERROR(__xludf.DUMMYFUNCTION("""COMPUTED_VALUE"""),"Premium (Classics)")</f>
        <v>Premium (Classics)</v>
      </c>
      <c r="D14" s="15" t="str">
        <f>IFERROR(__xludf.DUMMYFUNCTION("""COMPUTED_VALUE"""),"Active")</f>
        <v>Active</v>
      </c>
      <c r="E14" s="17">
        <f>IFERROR(__xludf.DUMMYFUNCTION("""COMPUTED_VALUE"""),44725.0)</f>
        <v>44725</v>
      </c>
      <c r="F14" s="54"/>
      <c r="G14" s="19">
        <f>IFERROR(__xludf.DUMMYFUNCTION("""COMPUTED_VALUE"""),51.766666666666666)</f>
        <v>51.76666667</v>
      </c>
      <c r="H14" s="17">
        <f>IFERROR(__xludf.DUMMYFUNCTION("""COMPUTED_VALUE"""),34912.0)</f>
        <v>34912</v>
      </c>
      <c r="I14" s="19">
        <f>IFERROR(__xludf.DUMMYFUNCTION("""COMPUTED_VALUE"""),26.866666666666667)</f>
        <v>26.86666667</v>
      </c>
      <c r="J14" s="21">
        <f>IFERROR(__xludf.DUMMYFUNCTION("""COMPUTED_VALUE"""),89.0)</f>
        <v>89</v>
      </c>
      <c r="K14" s="23">
        <f>IFERROR(__xludf.DUMMYFUNCTION("""COMPUTED_VALUE"""),7.8)</f>
        <v>7.8</v>
      </c>
      <c r="L14" s="24"/>
      <c r="M14" s="25" t="str">
        <f>IFERROR(__xludf.DUMMYFUNCTION("""COMPUTED_VALUE"""),"Fighting")</f>
        <v>Fighting</v>
      </c>
      <c r="N14" s="25" t="str">
        <f>IFERROR(__xludf.DUMMYFUNCTION("""COMPUTED_VALUE"""),"PS1")</f>
        <v>PS1</v>
      </c>
      <c r="O14" s="26" t="str">
        <f>IFERROR(__xludf.DUMMYFUNCTION("""COMPUTED_VALUE"""),"No")</f>
        <v>No</v>
      </c>
      <c r="P14" s="26" t="str">
        <f>IFERROR(__xludf.DUMMYFUNCTION("""COMPUTED_VALUE"""),"")</f>
        <v/>
      </c>
    </row>
    <row r="15">
      <c r="A15" s="13" t="str">
        <f>IFERROR(__xludf.DUMMYFUNCTION("""COMPUTED_VALUE"""),"Tekken: Dark Resurrection")</f>
        <v>Tekken: Dark Resurrection</v>
      </c>
      <c r="B15" s="15" t="str">
        <f>IFERROR(__xludf.DUMMYFUNCTION("""COMPUTED_VALUE"""),"PS5/PS4")</f>
        <v>PS5/PS4</v>
      </c>
      <c r="C15" s="16" t="str">
        <f>IFERROR(__xludf.DUMMYFUNCTION("""COMPUTED_VALUE"""),"Premium (Classics)")</f>
        <v>Premium (Classics)</v>
      </c>
      <c r="D15" s="15" t="str">
        <f>IFERROR(__xludf.DUMMYFUNCTION("""COMPUTED_VALUE"""),"Active")</f>
        <v>Active</v>
      </c>
      <c r="E15" s="17">
        <f>IFERROR(__xludf.DUMMYFUNCTION("""COMPUTED_VALUE"""),46098.0)</f>
        <v>46098</v>
      </c>
      <c r="F15" s="54"/>
      <c r="G15" s="19">
        <f>IFERROR(__xludf.DUMMYFUNCTION("""COMPUTED_VALUE"""),6.633333333333334)</f>
        <v>6.633333333</v>
      </c>
      <c r="H15" s="17">
        <f>IFERROR(__xludf.DUMMYFUNCTION("""COMPUTED_VALUE"""),38923.0)</f>
        <v>38923</v>
      </c>
      <c r="I15" s="19">
        <f>IFERROR(__xludf.DUMMYFUNCTION("""COMPUTED_VALUE"""),19.644444444444446)</f>
        <v>19.64444444</v>
      </c>
      <c r="J15" s="21">
        <f>IFERROR(__xludf.DUMMYFUNCTION("""COMPUTED_VALUE"""),88.0)</f>
        <v>88</v>
      </c>
      <c r="K15" s="23">
        <f>IFERROR(__xludf.DUMMYFUNCTION("""COMPUTED_VALUE"""),8.5)</f>
        <v>8.5</v>
      </c>
      <c r="L15" s="24">
        <f>IFERROR(__xludf.DUMMYFUNCTION("""COMPUTED_VALUE"""),2.0)</f>
        <v>2</v>
      </c>
      <c r="M15" s="25" t="str">
        <f>IFERROR(__xludf.DUMMYFUNCTION("""COMPUTED_VALUE"""),"Fighting")</f>
        <v>Fighting</v>
      </c>
      <c r="N15" s="25" t="str">
        <f>IFERROR(__xludf.DUMMYFUNCTION("""COMPUTED_VALUE"""),"PSP")</f>
        <v>PSP</v>
      </c>
      <c r="O15" s="26"/>
      <c r="P15" s="26"/>
    </row>
    <row r="16">
      <c r="A16" s="13" t="str">
        <f>IFERROR(__xludf.DUMMYFUNCTION("""COMPUTED_VALUE"""),"Ridge Racer")</f>
        <v>Ridge Racer</v>
      </c>
      <c r="B16" s="15" t="str">
        <f>IFERROR(__xludf.DUMMYFUNCTION("""COMPUTED_VALUE"""),"PS5/PS4")</f>
        <v>PS5/PS4</v>
      </c>
      <c r="C16" s="16" t="str">
        <f>IFERROR(__xludf.DUMMYFUNCTION("""COMPUTED_VALUE"""),"Premium (Classics)")</f>
        <v>Premium (Classics)</v>
      </c>
      <c r="D16" s="15" t="str">
        <f>IFERROR(__xludf.DUMMYFUNCTION("""COMPUTED_VALUE"""),"Active")</f>
        <v>Active</v>
      </c>
      <c r="E16" s="17">
        <f>IFERROR(__xludf.DUMMYFUNCTION("""COMPUTED_VALUE"""),46042.0)</f>
        <v>46042</v>
      </c>
      <c r="F16" s="54"/>
      <c r="G16" s="19">
        <f>IFERROR(__xludf.DUMMYFUNCTION("""COMPUTED_VALUE"""),8.533333333333333)</f>
        <v>8.533333333</v>
      </c>
      <c r="H16" s="17">
        <f>IFERROR(__xludf.DUMMYFUNCTION("""COMPUTED_VALUE"""),38433.0)</f>
        <v>38433</v>
      </c>
      <c r="I16" s="19">
        <f>IFERROR(__xludf.DUMMYFUNCTION("""COMPUTED_VALUE"""),20.82777777777778)</f>
        <v>20.82777778</v>
      </c>
      <c r="J16" s="21">
        <f>IFERROR(__xludf.DUMMYFUNCTION("""COMPUTED_VALUE"""),88.0)</f>
        <v>88</v>
      </c>
      <c r="K16" s="23">
        <f>IFERROR(__xludf.DUMMYFUNCTION("""COMPUTED_VALUE"""),8.1)</f>
        <v>8.1</v>
      </c>
      <c r="L16" s="24">
        <f>IFERROR(__xludf.DUMMYFUNCTION("""COMPUTED_VALUE"""),9.0)</f>
        <v>9</v>
      </c>
      <c r="M16" s="25" t="str">
        <f>IFERROR(__xludf.DUMMYFUNCTION("""COMPUTED_VALUE"""),"Racing")</f>
        <v>Racing</v>
      </c>
      <c r="N16" s="25" t="str">
        <f>IFERROR(__xludf.DUMMYFUNCTION("""COMPUTED_VALUE"""),"PSP")</f>
        <v>PSP</v>
      </c>
      <c r="O16" s="26"/>
      <c r="P16" s="26"/>
    </row>
    <row r="17">
      <c r="A17" s="13" t="str">
        <f>IFERROR(__xludf.DUMMYFUNCTION("""COMPUTED_VALUE"""),"Sly 2: Band of Thieves")</f>
        <v>Sly 2: Band of Thieves</v>
      </c>
      <c r="B17" s="15" t="str">
        <f>IFERROR(__xludf.DUMMYFUNCTION("""COMPUTED_VALUE"""),"PS5/PS4")</f>
        <v>PS5/PS4</v>
      </c>
      <c r="C17" s="16" t="str">
        <f>IFERROR(__xludf.DUMMYFUNCTION("""COMPUTED_VALUE"""),"Premium (Classics)")</f>
        <v>Premium (Classics)</v>
      </c>
      <c r="D17" s="15" t="str">
        <f>IFERROR(__xludf.DUMMYFUNCTION("""COMPUTED_VALUE"""),"Active")</f>
        <v>Active</v>
      </c>
      <c r="E17" s="17">
        <f>IFERROR(__xludf.DUMMYFUNCTION("""COMPUTED_VALUE"""),45643.0)</f>
        <v>45643</v>
      </c>
      <c r="F17" s="54"/>
      <c r="G17" s="19">
        <f>IFERROR(__xludf.DUMMYFUNCTION("""COMPUTED_VALUE"""),21.633333333333333)</f>
        <v>21.63333333</v>
      </c>
      <c r="H17" s="17">
        <f>IFERROR(__xludf.DUMMYFUNCTION("""COMPUTED_VALUE"""),38244.0)</f>
        <v>38244</v>
      </c>
      <c r="I17" s="19">
        <f>IFERROR(__xludf.DUMMYFUNCTION("""COMPUTED_VALUE"""),20.258333333333333)</f>
        <v>20.25833333</v>
      </c>
      <c r="J17" s="21">
        <f>IFERROR(__xludf.DUMMYFUNCTION("""COMPUTED_VALUE"""),88.0)</f>
        <v>88</v>
      </c>
      <c r="K17" s="23">
        <f>IFERROR(__xludf.DUMMYFUNCTION("""COMPUTED_VALUE"""),8.9)</f>
        <v>8.9</v>
      </c>
      <c r="L17" s="24">
        <f>IFERROR(__xludf.DUMMYFUNCTION("""COMPUTED_VALUE"""),15.0)</f>
        <v>15</v>
      </c>
      <c r="M17" s="25" t="str">
        <f>IFERROR(__xludf.DUMMYFUNCTION("""COMPUTED_VALUE"""),"Platformer")</f>
        <v>Platformer</v>
      </c>
      <c r="N17" s="25" t="str">
        <f>IFERROR(__xludf.DUMMYFUNCTION("""COMPUTED_VALUE"""),"PS2")</f>
        <v>PS2</v>
      </c>
      <c r="O17" s="26" t="str">
        <f>IFERROR(__xludf.DUMMYFUNCTION("""COMPUTED_VALUE"""),"Yes")</f>
        <v>Yes</v>
      </c>
      <c r="P17" s="26"/>
    </row>
    <row r="18">
      <c r="A18" s="13" t="str">
        <f>IFERROR(__xludf.DUMMYFUNCTION("""COMPUTED_VALUE"""),"R4: Ridge Racer Type 4")</f>
        <v>R4: Ridge Racer Type 4</v>
      </c>
      <c r="B18" s="15" t="str">
        <f>IFERROR(__xludf.DUMMYFUNCTION("""COMPUTED_VALUE"""),"PS5/PS4")</f>
        <v>PS5/PS4</v>
      </c>
      <c r="C18" s="16" t="str">
        <f>IFERROR(__xludf.DUMMYFUNCTION("""COMPUTED_VALUE"""),"Premium (Classics)")</f>
        <v>Premium (Classics)</v>
      </c>
      <c r="D18" s="15" t="str">
        <f>IFERROR(__xludf.DUMMYFUNCTION("""COMPUTED_VALUE"""),"Active")</f>
        <v>Active</v>
      </c>
      <c r="E18" s="17">
        <f>IFERROR(__xludf.DUMMYFUNCTION("""COMPUTED_VALUE"""),45006.0)</f>
        <v>45006</v>
      </c>
      <c r="F18" s="54"/>
      <c r="G18" s="19">
        <f>IFERROR(__xludf.DUMMYFUNCTION("""COMPUTED_VALUE"""),42.5)</f>
        <v>42.5</v>
      </c>
      <c r="H18" s="17">
        <f>IFERROR(__xludf.DUMMYFUNCTION("""COMPUTED_VALUE"""),36281.0)</f>
        <v>36281</v>
      </c>
      <c r="I18" s="19">
        <f>IFERROR(__xludf.DUMMYFUNCTION("""COMPUTED_VALUE"""),23.88888888888889)</f>
        <v>23.88888889</v>
      </c>
      <c r="J18" s="21">
        <f>IFERROR(__xludf.DUMMYFUNCTION("""COMPUTED_VALUE"""),88.0)</f>
        <v>88</v>
      </c>
      <c r="K18" s="23">
        <f>IFERROR(__xludf.DUMMYFUNCTION("""COMPUTED_VALUE"""),8.7)</f>
        <v>8.7</v>
      </c>
      <c r="L18" s="24">
        <f>IFERROR(__xludf.DUMMYFUNCTION("""COMPUTED_VALUE"""),2.0)</f>
        <v>2</v>
      </c>
      <c r="M18" s="25" t="str">
        <f>IFERROR(__xludf.DUMMYFUNCTION("""COMPUTED_VALUE"""),"Racing")</f>
        <v>Racing</v>
      </c>
      <c r="N18" s="25" t="str">
        <f>IFERROR(__xludf.DUMMYFUNCTION("""COMPUTED_VALUE"""),"PS1")</f>
        <v>PS1</v>
      </c>
      <c r="O18" s="26" t="str">
        <f>IFERROR(__xludf.DUMMYFUNCTION("""COMPUTED_VALUE"""),"Yes")</f>
        <v>Yes</v>
      </c>
      <c r="P18" s="26"/>
    </row>
    <row r="19">
      <c r="A19" s="13" t="str">
        <f>IFERROR(__xludf.DUMMYFUNCTION("""COMPUTED_VALUE"""),"Oddworld: Abe's Exoddus")</f>
        <v>Oddworld: Abe's Exoddus</v>
      </c>
      <c r="B19" s="15" t="str">
        <f>IFERROR(__xludf.DUMMYFUNCTION("""COMPUTED_VALUE"""),"PS5/PS4")</f>
        <v>PS5/PS4</v>
      </c>
      <c r="C19" s="16" t="str">
        <f>IFERROR(__xludf.DUMMYFUNCTION("""COMPUTED_VALUE"""),"Premium (Classics)")</f>
        <v>Premium (Classics)</v>
      </c>
      <c r="D19" s="15" t="str">
        <f>IFERROR(__xludf.DUMMYFUNCTION("""COMPUTED_VALUE"""),"Active")</f>
        <v>Active</v>
      </c>
      <c r="E19" s="17">
        <f>IFERROR(__xludf.DUMMYFUNCTION("""COMPUTED_VALUE"""),44915.0)</f>
        <v>44915</v>
      </c>
      <c r="F19" s="54"/>
      <c r="G19" s="19">
        <f>IFERROR(__xludf.DUMMYFUNCTION("""COMPUTED_VALUE"""),45.53333333333333)</f>
        <v>45.53333333</v>
      </c>
      <c r="H19" s="17">
        <f>IFERROR(__xludf.DUMMYFUNCTION("""COMPUTED_VALUE"""),36099.0)</f>
        <v>36099</v>
      </c>
      <c r="I19" s="19">
        <f>IFERROR(__xludf.DUMMYFUNCTION("""COMPUTED_VALUE"""),24.13888888888889)</f>
        <v>24.13888889</v>
      </c>
      <c r="J19" s="21">
        <f>IFERROR(__xludf.DUMMYFUNCTION("""COMPUTED_VALUE"""),88.0)</f>
        <v>88</v>
      </c>
      <c r="K19" s="23">
        <f>IFERROR(__xludf.DUMMYFUNCTION("""COMPUTED_VALUE"""),8.6)</f>
        <v>8.6</v>
      </c>
      <c r="L19" s="24">
        <f>IFERROR(__xludf.DUMMYFUNCTION("""COMPUTED_VALUE"""),15.0)</f>
        <v>15</v>
      </c>
      <c r="M19" s="25" t="str">
        <f>IFERROR(__xludf.DUMMYFUNCTION("""COMPUTED_VALUE"""),"Action-Adventure")</f>
        <v>Action-Adventure</v>
      </c>
      <c r="N19" s="25" t="str">
        <f>IFERROR(__xludf.DUMMYFUNCTION("""COMPUTED_VALUE"""),"PS1")</f>
        <v>PS1</v>
      </c>
      <c r="O19" s="26" t="str">
        <f>IFERROR(__xludf.DUMMYFUNCTION("""COMPUTED_VALUE"""),"Yes")</f>
        <v>Yes</v>
      </c>
      <c r="P19" s="26"/>
    </row>
    <row r="20">
      <c r="A20" s="13" t="str">
        <f>IFERROR(__xludf.DUMMYFUNCTION("""COMPUTED_VALUE"""),"Jeanne d'Arc")</f>
        <v>Jeanne d'Arc</v>
      </c>
      <c r="B20" s="15" t="str">
        <f>IFERROR(__xludf.DUMMYFUNCTION("""COMPUTED_VALUE"""),"PS5/PS4")</f>
        <v>PS5/PS4</v>
      </c>
      <c r="C20" s="16" t="str">
        <f>IFERROR(__xludf.DUMMYFUNCTION("""COMPUTED_VALUE"""),"Premium (Classics)")</f>
        <v>Premium (Classics)</v>
      </c>
      <c r="D20" s="15" t="str">
        <f>IFERROR(__xludf.DUMMYFUNCTION("""COMPUTED_VALUE"""),"Active")</f>
        <v>Active</v>
      </c>
      <c r="E20" s="17">
        <f>IFERROR(__xludf.DUMMYFUNCTION("""COMPUTED_VALUE"""),45489.0)</f>
        <v>45489</v>
      </c>
      <c r="F20" s="54"/>
      <c r="G20" s="19">
        <f>IFERROR(__xludf.DUMMYFUNCTION("""COMPUTED_VALUE"""),26.666666666666668)</f>
        <v>26.66666667</v>
      </c>
      <c r="H20" s="17">
        <f>IFERROR(__xludf.DUMMYFUNCTION("""COMPUTED_VALUE"""),39315.0)</f>
        <v>39315</v>
      </c>
      <c r="I20" s="19">
        <f>IFERROR(__xludf.DUMMYFUNCTION("""COMPUTED_VALUE"""),16.90277777777778)</f>
        <v>16.90277778</v>
      </c>
      <c r="J20" s="21">
        <f>IFERROR(__xludf.DUMMYFUNCTION("""COMPUTED_VALUE"""),87.0)</f>
        <v>87</v>
      </c>
      <c r="K20" s="23">
        <f>IFERROR(__xludf.DUMMYFUNCTION("""COMPUTED_VALUE"""),8.8)</f>
        <v>8.8</v>
      </c>
      <c r="L20" s="24">
        <f>IFERROR(__xludf.DUMMYFUNCTION("""COMPUTED_VALUE"""),32.0)</f>
        <v>32</v>
      </c>
      <c r="M20" s="25" t="str">
        <f>IFERROR(__xludf.DUMMYFUNCTION("""COMPUTED_VALUE"""),"Strategy")</f>
        <v>Strategy</v>
      </c>
      <c r="N20" s="25" t="str">
        <f>IFERROR(__xludf.DUMMYFUNCTION("""COMPUTED_VALUE"""),"PSP")</f>
        <v>PSP</v>
      </c>
      <c r="O20" s="26" t="str">
        <f>IFERROR(__xludf.DUMMYFUNCTION("""COMPUTED_VALUE"""),"Yes")</f>
        <v>Yes</v>
      </c>
      <c r="P20" s="26"/>
    </row>
    <row r="21">
      <c r="A21" s="13" t="str">
        <f>IFERROR(__xludf.DUMMYFUNCTION("""COMPUTED_VALUE"""),"DOOM 3")</f>
        <v>DOOM 3</v>
      </c>
      <c r="B21" s="15" t="str">
        <f>IFERROR(__xludf.DUMMYFUNCTION("""COMPUTED_VALUE"""),"PS4")</f>
        <v>PS4</v>
      </c>
      <c r="C21" s="16" t="str">
        <f>IFERROR(__xludf.DUMMYFUNCTION("""COMPUTED_VALUE"""),"Premium (Classics)")</f>
        <v>Premium (Classics)</v>
      </c>
      <c r="D21" s="15" t="str">
        <f>IFERROR(__xludf.DUMMYFUNCTION("""COMPUTED_VALUE"""),"Active")</f>
        <v>Active</v>
      </c>
      <c r="E21" s="17">
        <f>IFERROR(__xludf.DUMMYFUNCTION("""COMPUTED_VALUE"""),45034.0)</f>
        <v>45034</v>
      </c>
      <c r="F21" s="18"/>
      <c r="G21" s="19">
        <f>IFERROR(__xludf.DUMMYFUNCTION("""COMPUTED_VALUE"""),41.6)</f>
        <v>41.6</v>
      </c>
      <c r="H21" s="17">
        <f>IFERROR(__xludf.DUMMYFUNCTION("""COMPUTED_VALUE"""),38202.0)</f>
        <v>38202</v>
      </c>
      <c r="I21" s="19">
        <f>IFERROR(__xludf.DUMMYFUNCTION("""COMPUTED_VALUE"""),18.708333333333332)</f>
        <v>18.70833333</v>
      </c>
      <c r="J21" s="21">
        <f>IFERROR(__xludf.DUMMYFUNCTION("""COMPUTED_VALUE"""),87.0)</f>
        <v>87</v>
      </c>
      <c r="K21" s="23">
        <f>IFERROR(__xludf.DUMMYFUNCTION("""COMPUTED_VALUE"""),7.7)</f>
        <v>7.7</v>
      </c>
      <c r="L21" s="24">
        <f>IFERROR(__xludf.DUMMYFUNCTION("""COMPUTED_VALUE"""),11.0)</f>
        <v>11</v>
      </c>
      <c r="M21" s="25" t="str">
        <f>IFERROR(__xludf.DUMMYFUNCTION("""COMPUTED_VALUE"""),"Shooter")</f>
        <v>Shooter</v>
      </c>
      <c r="N21" s="25" t="str">
        <f>IFERROR(__xludf.DUMMYFUNCTION("""COMPUTED_VALUE"""),"Windows")</f>
        <v>Windows</v>
      </c>
      <c r="O21" s="26" t="str">
        <f>IFERROR(__xludf.DUMMYFUNCTION("""COMPUTED_VALUE"""),"Yes")</f>
        <v>Yes</v>
      </c>
      <c r="P21" s="26"/>
    </row>
    <row r="22">
      <c r="A22" s="13" t="str">
        <f>IFERROR(__xludf.DUMMYFUNCTION("""COMPUTED_VALUE"""),"Syphon Filter: Dark Mirror")</f>
        <v>Syphon Filter: Dark Mirror</v>
      </c>
      <c r="B22" s="15" t="str">
        <f>IFERROR(__xludf.DUMMYFUNCTION("""COMPUTED_VALUE"""),"PS5/PS4")</f>
        <v>PS5/PS4</v>
      </c>
      <c r="C22" s="16" t="str">
        <f>IFERROR(__xludf.DUMMYFUNCTION("""COMPUTED_VALUE"""),"Premium (Classics)")</f>
        <v>Premium (Classics)</v>
      </c>
      <c r="D22" s="15" t="str">
        <f>IFERROR(__xludf.DUMMYFUNCTION("""COMPUTED_VALUE"""),"Active")</f>
        <v>Active</v>
      </c>
      <c r="E22" s="17">
        <f>IFERROR(__xludf.DUMMYFUNCTION("""COMPUTED_VALUE"""),45006.0)</f>
        <v>45006</v>
      </c>
      <c r="F22" s="54"/>
      <c r="G22" s="19">
        <f>IFERROR(__xludf.DUMMYFUNCTION("""COMPUTED_VALUE"""),42.5)</f>
        <v>42.5</v>
      </c>
      <c r="H22" s="17">
        <f>IFERROR(__xludf.DUMMYFUNCTION("""COMPUTED_VALUE"""),38790.0)</f>
        <v>38790</v>
      </c>
      <c r="I22" s="19">
        <f>IFERROR(__xludf.DUMMYFUNCTION("""COMPUTED_VALUE"""),17.019444444444446)</f>
        <v>17.01944444</v>
      </c>
      <c r="J22" s="21">
        <f>IFERROR(__xludf.DUMMYFUNCTION("""COMPUTED_VALUE"""),87.0)</f>
        <v>87</v>
      </c>
      <c r="K22" s="23">
        <f>IFERROR(__xludf.DUMMYFUNCTION("""COMPUTED_VALUE"""),8.5)</f>
        <v>8.5</v>
      </c>
      <c r="L22" s="24">
        <f>IFERROR(__xludf.DUMMYFUNCTION("""COMPUTED_VALUE"""),7.0)</f>
        <v>7</v>
      </c>
      <c r="M22" s="25" t="str">
        <f>IFERROR(__xludf.DUMMYFUNCTION("""COMPUTED_VALUE"""),"Shooter")</f>
        <v>Shooter</v>
      </c>
      <c r="N22" s="25" t="str">
        <f>IFERROR(__xludf.DUMMYFUNCTION("""COMPUTED_VALUE"""),"PSP")</f>
        <v>PSP</v>
      </c>
      <c r="O22" s="26" t="str">
        <f>IFERROR(__xludf.DUMMYFUNCTION("""COMPUTED_VALUE"""),"Yes")</f>
        <v>Yes</v>
      </c>
      <c r="P22" s="26"/>
    </row>
    <row r="23">
      <c r="A23" s="13" t="str">
        <f>IFERROR(__xludf.DUMMYFUNCTION("""COMPUTED_VALUE"""),"Dark Cloud 2")</f>
        <v>Dark Cloud 2</v>
      </c>
      <c r="B23" s="15" t="str">
        <f>IFERROR(__xludf.DUMMYFUNCTION("""COMPUTED_VALUE"""),"PS4")</f>
        <v>PS4</v>
      </c>
      <c r="C23" s="16" t="str">
        <f>IFERROR(__xludf.DUMMYFUNCTION("""COMPUTED_VALUE"""),"Premium (Classics)")</f>
        <v>Premium (Classics)</v>
      </c>
      <c r="D23" s="15" t="str">
        <f>IFERROR(__xludf.DUMMYFUNCTION("""COMPUTED_VALUE"""),"Active")</f>
        <v>Active</v>
      </c>
      <c r="E23" s="17">
        <f>IFERROR(__xludf.DUMMYFUNCTION("""COMPUTED_VALUE"""),44725.0)</f>
        <v>44725</v>
      </c>
      <c r="F23" s="18"/>
      <c r="G23" s="19">
        <f>IFERROR(__xludf.DUMMYFUNCTION("""COMPUTED_VALUE"""),51.766666666666666)</f>
        <v>51.76666667</v>
      </c>
      <c r="H23" s="17">
        <f>IFERROR(__xludf.DUMMYFUNCTION("""COMPUTED_VALUE"""),37653.0)</f>
        <v>37653</v>
      </c>
      <c r="I23" s="19">
        <f>IFERROR(__xludf.DUMMYFUNCTION("""COMPUTED_VALUE"""),19.366666666666667)</f>
        <v>19.36666667</v>
      </c>
      <c r="J23" s="21">
        <f>IFERROR(__xludf.DUMMYFUNCTION("""COMPUTED_VALUE"""),87.0)</f>
        <v>87</v>
      </c>
      <c r="K23" s="23">
        <f>IFERROR(__xludf.DUMMYFUNCTION("""COMPUTED_VALUE"""),8.5)</f>
        <v>8.5</v>
      </c>
      <c r="L23" s="24">
        <f>IFERROR(__xludf.DUMMYFUNCTION("""COMPUTED_VALUE"""),50.0)</f>
        <v>50</v>
      </c>
      <c r="M23" s="25" t="str">
        <f>IFERROR(__xludf.DUMMYFUNCTION("""COMPUTED_VALUE"""),"RPG")</f>
        <v>RPG</v>
      </c>
      <c r="N23" s="25" t="str">
        <f>IFERROR(__xludf.DUMMYFUNCTION("""COMPUTED_VALUE"""),"PS2")</f>
        <v>PS2</v>
      </c>
      <c r="O23" s="26" t="str">
        <f>IFERROR(__xludf.DUMMYFUNCTION("""COMPUTED_VALUE"""),"Yes")</f>
        <v>Yes</v>
      </c>
      <c r="P23" s="26" t="str">
        <f>IFERROR(__xludf.DUMMYFUNCTION("""COMPUTED_VALUE"""),"")</f>
        <v/>
      </c>
    </row>
    <row r="24">
      <c r="A24" s="13" t="str">
        <f>IFERROR(__xludf.DUMMYFUNCTION("""COMPUTED_VALUE"""),"Jak II")</f>
        <v>Jak II</v>
      </c>
      <c r="B24" s="15" t="str">
        <f>IFERROR(__xludf.DUMMYFUNCTION("""COMPUTED_VALUE"""),"PS4")</f>
        <v>PS4</v>
      </c>
      <c r="C24" s="16" t="str">
        <f>IFERROR(__xludf.DUMMYFUNCTION("""COMPUTED_VALUE"""),"Premium (Classics)")</f>
        <v>Premium (Classics)</v>
      </c>
      <c r="D24" s="15" t="str">
        <f>IFERROR(__xludf.DUMMYFUNCTION("""COMPUTED_VALUE"""),"Active")</f>
        <v>Active</v>
      </c>
      <c r="E24" s="17">
        <f>IFERROR(__xludf.DUMMYFUNCTION("""COMPUTED_VALUE"""),44725.0)</f>
        <v>44725</v>
      </c>
      <c r="F24" s="18"/>
      <c r="G24" s="19">
        <f>IFERROR(__xludf.DUMMYFUNCTION("""COMPUTED_VALUE"""),51.766666666666666)</f>
        <v>51.76666667</v>
      </c>
      <c r="H24" s="17">
        <f>IFERROR(__xludf.DUMMYFUNCTION("""COMPUTED_VALUE"""),37895.0)</f>
        <v>37895</v>
      </c>
      <c r="I24" s="19">
        <f>IFERROR(__xludf.DUMMYFUNCTION("""COMPUTED_VALUE"""),18.7)</f>
        <v>18.7</v>
      </c>
      <c r="J24" s="21">
        <f>IFERROR(__xludf.DUMMYFUNCTION("""COMPUTED_VALUE"""),87.0)</f>
        <v>87</v>
      </c>
      <c r="K24" s="23">
        <f>IFERROR(__xludf.DUMMYFUNCTION("""COMPUTED_VALUE"""),8.3)</f>
        <v>8.3</v>
      </c>
      <c r="L24" s="24">
        <f>IFERROR(__xludf.DUMMYFUNCTION("""COMPUTED_VALUE"""),18.0)</f>
        <v>18</v>
      </c>
      <c r="M24" s="25" t="str">
        <f>IFERROR(__xludf.DUMMYFUNCTION("""COMPUTED_VALUE"""),"Platformer")</f>
        <v>Platformer</v>
      </c>
      <c r="N24" s="25" t="str">
        <f>IFERROR(__xludf.DUMMYFUNCTION("""COMPUTED_VALUE"""),"PS2")</f>
        <v>PS2</v>
      </c>
      <c r="O24" s="26" t="str">
        <f>IFERROR(__xludf.DUMMYFUNCTION("""COMPUTED_VALUE"""),"No")</f>
        <v>No</v>
      </c>
      <c r="P24" s="26" t="str">
        <f>IFERROR(__xludf.DUMMYFUNCTION("""COMPUTED_VALUE"""),"")</f>
        <v/>
      </c>
    </row>
    <row r="25">
      <c r="A25" s="13" t="str">
        <f>IFERROR(__xludf.DUMMYFUNCTION("""COMPUTED_VALUE"""),"Soulcalibur III")</f>
        <v>Soulcalibur III</v>
      </c>
      <c r="B25" s="15" t="str">
        <f>IFERROR(__xludf.DUMMYFUNCTION("""COMPUTED_VALUE"""),"PS5/PS4")</f>
        <v>PS5/PS4</v>
      </c>
      <c r="C25" s="16" t="str">
        <f>IFERROR(__xludf.DUMMYFUNCTION("""COMPUTED_VALUE"""),"Premium (Classics)")</f>
        <v>Premium (Classics)</v>
      </c>
      <c r="D25" s="15" t="str">
        <f>IFERROR(__xludf.DUMMYFUNCTION("""COMPUTED_VALUE"""),"Active")</f>
        <v>Active</v>
      </c>
      <c r="E25" s="17">
        <f>IFERROR(__xludf.DUMMYFUNCTION("""COMPUTED_VALUE"""),46007.0)</f>
        <v>46007</v>
      </c>
      <c r="F25" s="54"/>
      <c r="G25" s="19">
        <f>IFERROR(__xludf.DUMMYFUNCTION("""COMPUTED_VALUE"""),9.666666666666668)</f>
        <v>9.666666667</v>
      </c>
      <c r="H25" s="17">
        <f>IFERROR(__xludf.DUMMYFUNCTION("""COMPUTED_VALUE"""),38650.0)</f>
        <v>38650</v>
      </c>
      <c r="I25" s="19">
        <f>IFERROR(__xludf.DUMMYFUNCTION("""COMPUTED_VALUE"""),20.141666666666666)</f>
        <v>20.14166667</v>
      </c>
      <c r="J25" s="21">
        <f>IFERROR(__xludf.DUMMYFUNCTION("""COMPUTED_VALUE"""),86.0)</f>
        <v>86</v>
      </c>
      <c r="K25" s="23">
        <f>IFERROR(__xludf.DUMMYFUNCTION("""COMPUTED_VALUE"""),8.5)</f>
        <v>8.5</v>
      </c>
      <c r="L25" s="24">
        <f>IFERROR(__xludf.DUMMYFUNCTION("""COMPUTED_VALUE"""),3.0)</f>
        <v>3</v>
      </c>
      <c r="M25" s="25" t="str">
        <f>IFERROR(__xludf.DUMMYFUNCTION("""COMPUTED_VALUE"""),"Fighting")</f>
        <v>Fighting</v>
      </c>
      <c r="N25" s="25" t="str">
        <f>IFERROR(__xludf.DUMMYFUNCTION("""COMPUTED_VALUE"""),"PS2")</f>
        <v>PS2</v>
      </c>
      <c r="O25" s="26"/>
      <c r="P25" s="26"/>
    </row>
    <row r="26">
      <c r="A26" s="13" t="str">
        <f>IFERROR(__xludf.DUMMYFUNCTION("""COMPUTED_VALUE"""),"Sly Cooper and the Thievius Raccoonus")</f>
        <v>Sly Cooper and the Thievius Raccoonus</v>
      </c>
      <c r="B26" s="15" t="str">
        <f>IFERROR(__xludf.DUMMYFUNCTION("""COMPUTED_VALUE"""),"PS5/PS4")</f>
        <v>PS5/PS4</v>
      </c>
      <c r="C26" s="16" t="str">
        <f>IFERROR(__xludf.DUMMYFUNCTION("""COMPUTED_VALUE"""),"Premium (Classics)")</f>
        <v>Premium (Classics)</v>
      </c>
      <c r="D26" s="15" t="str">
        <f>IFERROR(__xludf.DUMMYFUNCTION("""COMPUTED_VALUE"""),"Active")</f>
        <v>Active</v>
      </c>
      <c r="E26" s="17">
        <f>IFERROR(__xludf.DUMMYFUNCTION("""COMPUTED_VALUE"""),45454.0)</f>
        <v>45454</v>
      </c>
      <c r="F26" s="54"/>
      <c r="G26" s="19">
        <f>IFERROR(__xludf.DUMMYFUNCTION("""COMPUTED_VALUE"""),27.833333333333336)</f>
        <v>27.83333333</v>
      </c>
      <c r="H26" s="17">
        <f>IFERROR(__xludf.DUMMYFUNCTION("""COMPUTED_VALUE"""),37522.0)</f>
        <v>37522</v>
      </c>
      <c r="I26" s="19">
        <f>IFERROR(__xludf.DUMMYFUNCTION("""COMPUTED_VALUE"""),21.716666666666665)</f>
        <v>21.71666667</v>
      </c>
      <c r="J26" s="21">
        <f>IFERROR(__xludf.DUMMYFUNCTION("""COMPUTED_VALUE"""),86.0)</f>
        <v>86</v>
      </c>
      <c r="K26" s="23">
        <f>IFERROR(__xludf.DUMMYFUNCTION("""COMPUTED_VALUE"""),8.7)</f>
        <v>8.7</v>
      </c>
      <c r="L26" s="24">
        <f>IFERROR(__xludf.DUMMYFUNCTION("""COMPUTED_VALUE"""),7.0)</f>
        <v>7</v>
      </c>
      <c r="M26" s="25" t="str">
        <f>IFERROR(__xludf.DUMMYFUNCTION("""COMPUTED_VALUE"""),"Platformer")</f>
        <v>Platformer</v>
      </c>
      <c r="N26" s="25" t="str">
        <f>IFERROR(__xludf.DUMMYFUNCTION("""COMPUTED_VALUE"""),"PS2")</f>
        <v>PS2</v>
      </c>
      <c r="O26" s="26" t="str">
        <f>IFERROR(__xludf.DUMMYFUNCTION("""COMPUTED_VALUE"""),"Yes")</f>
        <v>Yes</v>
      </c>
      <c r="P26" s="26"/>
    </row>
    <row r="27">
      <c r="A27" s="13" t="str">
        <f>IFERROR(__xludf.DUMMYFUNCTION("""COMPUTED_VALUE"""),"Worms Armageddon")</f>
        <v>Worms Armageddon</v>
      </c>
      <c r="B27" s="15" t="str">
        <f>IFERROR(__xludf.DUMMYFUNCTION("""COMPUTED_VALUE"""),"PS5/PS4")</f>
        <v>PS5/PS4</v>
      </c>
      <c r="C27" s="16" t="str">
        <f>IFERROR(__xludf.DUMMYFUNCTION("""COMPUTED_VALUE"""),"Premium (Classics)")</f>
        <v>Premium (Classics)</v>
      </c>
      <c r="D27" s="15" t="str">
        <f>IFERROR(__xludf.DUMMYFUNCTION("""COMPUTED_VALUE"""),"Active")</f>
        <v>Active</v>
      </c>
      <c r="E27" s="17">
        <f>IFERROR(__xludf.DUMMYFUNCTION("""COMPUTED_VALUE"""),44725.0)</f>
        <v>44725</v>
      </c>
      <c r="F27" s="54"/>
      <c r="G27" s="19">
        <f>IFERROR(__xludf.DUMMYFUNCTION("""COMPUTED_VALUE"""),51.766666666666666)</f>
        <v>51.76666667</v>
      </c>
      <c r="H27" s="17">
        <f>IFERROR(__xludf.DUMMYFUNCTION("""COMPUTED_VALUE"""),36311.0)</f>
        <v>36311</v>
      </c>
      <c r="I27" s="19">
        <f>IFERROR(__xludf.DUMMYFUNCTION("""COMPUTED_VALUE"""),23.03611111111111)</f>
        <v>23.03611111</v>
      </c>
      <c r="J27" s="21">
        <f>IFERROR(__xludf.DUMMYFUNCTION("""COMPUTED_VALUE"""),86.0)</f>
        <v>86</v>
      </c>
      <c r="K27" s="23">
        <f>IFERROR(__xludf.DUMMYFUNCTION("""COMPUTED_VALUE"""),8.8)</f>
        <v>8.8</v>
      </c>
      <c r="L27" s="24"/>
      <c r="M27" s="25" t="str">
        <f>IFERROR(__xludf.DUMMYFUNCTION("""COMPUTED_VALUE"""),"Strategy")</f>
        <v>Strategy</v>
      </c>
      <c r="N27" s="25" t="str">
        <f>IFERROR(__xludf.DUMMYFUNCTION("""COMPUTED_VALUE"""),"PS1")</f>
        <v>PS1</v>
      </c>
      <c r="O27" s="26" t="str">
        <f>IFERROR(__xludf.DUMMYFUNCTION("""COMPUTED_VALUE"""),"No")</f>
        <v>No</v>
      </c>
      <c r="P27" s="26" t="str">
        <f>IFERROR(__xludf.DUMMYFUNCTION("""COMPUTED_VALUE"""),"")</f>
        <v/>
      </c>
    </row>
    <row r="28">
      <c r="A28" s="13" t="str">
        <f>IFERROR(__xludf.DUMMYFUNCTION("""COMPUTED_VALUE"""),"Indigo Prophecy")</f>
        <v>Indigo Prophecy</v>
      </c>
      <c r="B28" s="15" t="str">
        <f>IFERROR(__xludf.DUMMYFUNCTION("""COMPUTED_VALUE"""),"PS5/PS4")</f>
        <v>PS5/PS4</v>
      </c>
      <c r="C28" s="16" t="str">
        <f>IFERROR(__xludf.DUMMYFUNCTION("""COMPUTED_VALUE"""),"Premium (Classics)")</f>
        <v>Premium (Classics)</v>
      </c>
      <c r="D28" s="15" t="str">
        <f>IFERROR(__xludf.DUMMYFUNCTION("""COMPUTED_VALUE"""),"Active")</f>
        <v>Active</v>
      </c>
      <c r="E28" s="17">
        <f>IFERROR(__xludf.DUMMYFUNCTION("""COMPUTED_VALUE"""),46224.0)</f>
        <v>46224</v>
      </c>
      <c r="F28" s="54"/>
      <c r="G28" s="19">
        <f>IFERROR(__xludf.DUMMYFUNCTION("""COMPUTED_VALUE"""),2.5)</f>
        <v>2.5</v>
      </c>
      <c r="H28" s="17">
        <f>IFERROR(__xludf.DUMMYFUNCTION("""COMPUTED_VALUE"""),38615.0)</f>
        <v>38615</v>
      </c>
      <c r="I28" s="19">
        <f>IFERROR(__xludf.DUMMYFUNCTION("""COMPUTED_VALUE"""),20.836111111111112)</f>
        <v>20.83611111</v>
      </c>
      <c r="J28" s="21">
        <f>IFERROR(__xludf.DUMMYFUNCTION("""COMPUTED_VALUE"""),85.0)</f>
        <v>85</v>
      </c>
      <c r="K28" s="23">
        <f>IFERROR(__xludf.DUMMYFUNCTION("""COMPUTED_VALUE"""),8.5)</f>
        <v>8.5</v>
      </c>
      <c r="L28" s="24">
        <f>IFERROR(__xludf.DUMMYFUNCTION("""COMPUTED_VALUE"""),9.0)</f>
        <v>9</v>
      </c>
      <c r="M28" s="25" t="str">
        <f>IFERROR(__xludf.DUMMYFUNCTION("""COMPUTED_VALUE"""),"Action-Adventure")</f>
        <v>Action-Adventure</v>
      </c>
      <c r="N28" s="25" t="str">
        <f>IFERROR(__xludf.DUMMYFUNCTION("""COMPUTED_VALUE"""),"PS2")</f>
        <v>PS2</v>
      </c>
      <c r="O28" s="26"/>
      <c r="P28" s="26"/>
    </row>
    <row r="29">
      <c r="A29" s="13" t="str">
        <f>IFERROR(__xludf.DUMMYFUNCTION("""COMPUTED_VALUE"""),"Ratchet and Clank: Size Matters")</f>
        <v>Ratchet and Clank: Size Matters</v>
      </c>
      <c r="B29" s="15" t="str">
        <f>IFERROR(__xludf.DUMMYFUNCTION("""COMPUTED_VALUE"""),"PS5/PS4")</f>
        <v>PS5/PS4</v>
      </c>
      <c r="C29" s="16" t="str">
        <f>IFERROR(__xludf.DUMMYFUNCTION("""COMPUTED_VALUE"""),"Premium (Classics)")</f>
        <v>Premium (Classics)</v>
      </c>
      <c r="D29" s="15" t="str">
        <f>IFERROR(__xludf.DUMMYFUNCTION("""COMPUTED_VALUE"""),"Active")</f>
        <v>Active</v>
      </c>
      <c r="E29" s="17">
        <f>IFERROR(__xludf.DUMMYFUNCTION("""COMPUTED_VALUE"""),45489.0)</f>
        <v>45489</v>
      </c>
      <c r="F29" s="54"/>
      <c r="G29" s="19">
        <f>IFERROR(__xludf.DUMMYFUNCTION("""COMPUTED_VALUE"""),26.666666666666668)</f>
        <v>26.66666667</v>
      </c>
      <c r="H29" s="17">
        <f>IFERROR(__xludf.DUMMYFUNCTION("""COMPUTED_VALUE"""),39126.0)</f>
        <v>39126</v>
      </c>
      <c r="I29" s="19">
        <f>IFERROR(__xludf.DUMMYFUNCTION("""COMPUTED_VALUE"""),17.425)</f>
        <v>17.425</v>
      </c>
      <c r="J29" s="21">
        <f>IFERROR(__xludf.DUMMYFUNCTION("""COMPUTED_VALUE"""),85.0)</f>
        <v>85</v>
      </c>
      <c r="K29" s="23">
        <f>IFERROR(__xludf.DUMMYFUNCTION("""COMPUTED_VALUE"""),7.9)</f>
        <v>7.9</v>
      </c>
      <c r="L29" s="24">
        <f>IFERROR(__xludf.DUMMYFUNCTION("""COMPUTED_VALUE"""),7.0)</f>
        <v>7</v>
      </c>
      <c r="M29" s="25" t="str">
        <f>IFERROR(__xludf.DUMMYFUNCTION("""COMPUTED_VALUE"""),"Platformer")</f>
        <v>Platformer</v>
      </c>
      <c r="N29" s="25" t="str">
        <f>IFERROR(__xludf.DUMMYFUNCTION("""COMPUTED_VALUE"""),"PSP")</f>
        <v>PSP</v>
      </c>
      <c r="O29" s="26" t="str">
        <f>IFERROR(__xludf.DUMMYFUNCTION("""COMPUTED_VALUE"""),"Yes")</f>
        <v>Yes</v>
      </c>
      <c r="P29" s="26"/>
    </row>
    <row r="30">
      <c r="A30" s="13" t="str">
        <f>IFERROR(__xludf.DUMMYFUNCTION("""COMPUTED_VALUE"""),"Daxter")</f>
        <v>Daxter</v>
      </c>
      <c r="B30" s="15" t="str">
        <f>IFERROR(__xludf.DUMMYFUNCTION("""COMPUTED_VALUE"""),"PS5/PS4")</f>
        <v>PS5/PS4</v>
      </c>
      <c r="C30" s="16" t="str">
        <f>IFERROR(__xludf.DUMMYFUNCTION("""COMPUTED_VALUE"""),"Premium (Classics)")</f>
        <v>Premium (Classics)</v>
      </c>
      <c r="D30" s="15" t="str">
        <f>IFERROR(__xludf.DUMMYFUNCTION("""COMPUTED_VALUE"""),"Active")</f>
        <v>Active</v>
      </c>
      <c r="E30" s="17">
        <f>IFERROR(__xludf.DUMMYFUNCTION("""COMPUTED_VALUE"""),45461.0)</f>
        <v>45461</v>
      </c>
      <c r="F30" s="54"/>
      <c r="G30" s="19">
        <f>IFERROR(__xludf.DUMMYFUNCTION("""COMPUTED_VALUE"""),27.599999999999998)</f>
        <v>27.6</v>
      </c>
      <c r="H30" s="17">
        <f>IFERROR(__xludf.DUMMYFUNCTION("""COMPUTED_VALUE"""),38790.0)</f>
        <v>38790</v>
      </c>
      <c r="I30" s="19">
        <f>IFERROR(__xludf.DUMMYFUNCTION("""COMPUTED_VALUE"""),18.261111111111113)</f>
        <v>18.26111111</v>
      </c>
      <c r="J30" s="21">
        <f>IFERROR(__xludf.DUMMYFUNCTION("""COMPUTED_VALUE"""),85.0)</f>
        <v>85</v>
      </c>
      <c r="K30" s="23">
        <f>IFERROR(__xludf.DUMMYFUNCTION("""COMPUTED_VALUE"""),8.4)</f>
        <v>8.4</v>
      </c>
      <c r="L30" s="24">
        <f>IFERROR(__xludf.DUMMYFUNCTION("""COMPUTED_VALUE"""),8.0)</f>
        <v>8</v>
      </c>
      <c r="M30" s="25" t="str">
        <f>IFERROR(__xludf.DUMMYFUNCTION("""COMPUTED_VALUE"""),"Platformer")</f>
        <v>Platformer</v>
      </c>
      <c r="N30" s="25" t="str">
        <f>IFERROR(__xludf.DUMMYFUNCTION("""COMPUTED_VALUE"""),"PSP")</f>
        <v>PSP</v>
      </c>
      <c r="O30" s="26" t="str">
        <f>IFERROR(__xludf.DUMMYFUNCTION("""COMPUTED_VALUE"""),"Yes")</f>
        <v>Yes</v>
      </c>
      <c r="P30" s="26"/>
    </row>
    <row r="31">
      <c r="A31" s="13" t="str">
        <f>IFERROR(__xludf.DUMMYFUNCTION("""COMPUTED_VALUE"""),"Syphon Filter: Logan's Shadow")</f>
        <v>Syphon Filter: Logan's Shadow</v>
      </c>
      <c r="B31" s="15" t="str">
        <f>IFERROR(__xludf.DUMMYFUNCTION("""COMPUTED_VALUE"""),"PS5/PS4")</f>
        <v>PS5/PS4</v>
      </c>
      <c r="C31" s="16" t="str">
        <f>IFERROR(__xludf.DUMMYFUNCTION("""COMPUTED_VALUE"""),"Premium (Classics)")</f>
        <v>Premium (Classics)</v>
      </c>
      <c r="D31" s="15" t="str">
        <f>IFERROR(__xludf.DUMMYFUNCTION("""COMPUTED_VALUE"""),"Active")</f>
        <v>Active</v>
      </c>
      <c r="E31" s="17">
        <f>IFERROR(__xludf.DUMMYFUNCTION("""COMPUTED_VALUE"""),45062.0)</f>
        <v>45062</v>
      </c>
      <c r="F31" s="54"/>
      <c r="G31" s="19">
        <f>IFERROR(__xludf.DUMMYFUNCTION("""COMPUTED_VALUE"""),40.666666666666664)</f>
        <v>40.66666667</v>
      </c>
      <c r="H31" s="17">
        <f>IFERROR(__xludf.DUMMYFUNCTION("""COMPUTED_VALUE"""),39357.0)</f>
        <v>39357</v>
      </c>
      <c r="I31" s="19">
        <f>IFERROR(__xludf.DUMMYFUNCTION("""COMPUTED_VALUE"""),15.622222222222222)</f>
        <v>15.62222222</v>
      </c>
      <c r="J31" s="21">
        <f>IFERROR(__xludf.DUMMYFUNCTION("""COMPUTED_VALUE"""),85.0)</f>
        <v>85</v>
      </c>
      <c r="K31" s="23">
        <f>IFERROR(__xludf.DUMMYFUNCTION("""COMPUTED_VALUE"""),8.0)</f>
        <v>8</v>
      </c>
      <c r="L31" s="24">
        <f>IFERROR(__xludf.DUMMYFUNCTION("""COMPUTED_VALUE"""),10.0)</f>
        <v>10</v>
      </c>
      <c r="M31" s="25" t="str">
        <f>IFERROR(__xludf.DUMMYFUNCTION("""COMPUTED_VALUE"""),"Shooter")</f>
        <v>Shooter</v>
      </c>
      <c r="N31" s="25" t="str">
        <f>IFERROR(__xludf.DUMMYFUNCTION("""COMPUTED_VALUE"""),"PSP")</f>
        <v>PSP</v>
      </c>
      <c r="O31" s="26" t="str">
        <f>IFERROR(__xludf.DUMMYFUNCTION("""COMPUTED_VALUE"""),"Yes")</f>
        <v>Yes</v>
      </c>
      <c r="P31" s="26"/>
    </row>
    <row r="32">
      <c r="A32" s="13" t="str">
        <f>IFERROR(__xludf.DUMMYFUNCTION("""COMPUTED_VALUE"""),"Oddworld: Abe's Oddysee")</f>
        <v>Oddworld: Abe's Oddysee</v>
      </c>
      <c r="B32" s="15" t="str">
        <f>IFERROR(__xludf.DUMMYFUNCTION("""COMPUTED_VALUE"""),"PS5/PS4")</f>
        <v>PS5/PS4</v>
      </c>
      <c r="C32" s="16" t="str">
        <f>IFERROR(__xludf.DUMMYFUNCTION("""COMPUTED_VALUE"""),"Premium (Classics)")</f>
        <v>Premium (Classics)</v>
      </c>
      <c r="D32" s="15" t="str">
        <f>IFERROR(__xludf.DUMMYFUNCTION("""COMPUTED_VALUE"""),"Active")</f>
        <v>Active</v>
      </c>
      <c r="E32" s="17">
        <f>IFERROR(__xludf.DUMMYFUNCTION("""COMPUTED_VALUE"""),44725.0)</f>
        <v>44725</v>
      </c>
      <c r="F32" s="54"/>
      <c r="G32" s="19">
        <f>IFERROR(__xludf.DUMMYFUNCTION("""COMPUTED_VALUE"""),51.766666666666666)</f>
        <v>51.76666667</v>
      </c>
      <c r="H32" s="17">
        <f>IFERROR(__xludf.DUMMYFUNCTION("""COMPUTED_VALUE"""),35674.0)</f>
        <v>35674</v>
      </c>
      <c r="I32" s="19">
        <f>IFERROR(__xludf.DUMMYFUNCTION("""COMPUTED_VALUE"""),24.783333333333335)</f>
        <v>24.78333333</v>
      </c>
      <c r="J32" s="21">
        <f>IFERROR(__xludf.DUMMYFUNCTION("""COMPUTED_VALUE"""),85.0)</f>
        <v>85</v>
      </c>
      <c r="K32" s="23">
        <f>IFERROR(__xludf.DUMMYFUNCTION("""COMPUTED_VALUE"""),8.7)</f>
        <v>8.7</v>
      </c>
      <c r="L32" s="24">
        <f>IFERROR(__xludf.DUMMYFUNCTION("""COMPUTED_VALUE"""),7.0)</f>
        <v>7</v>
      </c>
      <c r="M32" s="25" t="str">
        <f>IFERROR(__xludf.DUMMYFUNCTION("""COMPUTED_VALUE"""),"Platformer")</f>
        <v>Platformer</v>
      </c>
      <c r="N32" s="25" t="str">
        <f>IFERROR(__xludf.DUMMYFUNCTION("""COMPUTED_VALUE"""),"PS1")</f>
        <v>PS1</v>
      </c>
      <c r="O32" s="26" t="str">
        <f>IFERROR(__xludf.DUMMYFUNCTION("""COMPUTED_VALUE"""),"No")</f>
        <v>No</v>
      </c>
      <c r="P32" s="26" t="str">
        <f>IFERROR(__xludf.DUMMYFUNCTION("""COMPUTED_VALUE"""),"")</f>
        <v/>
      </c>
    </row>
    <row r="33">
      <c r="A33" s="13" t="str">
        <f>IFERROR(__xludf.DUMMYFUNCTION("""COMPUTED_VALUE"""),"Psi-Ops: The Mindgate Conspiracy")</f>
        <v>Psi-Ops: The Mindgate Conspiracy</v>
      </c>
      <c r="B33" s="15" t="str">
        <f>IFERROR(__xludf.DUMMYFUNCTION("""COMPUTED_VALUE"""),"PS5/PS4")</f>
        <v>PS5/PS4</v>
      </c>
      <c r="C33" s="16" t="str">
        <f>IFERROR(__xludf.DUMMYFUNCTION("""COMPUTED_VALUE"""),"Premium (Classics)")</f>
        <v>Premium (Classics)</v>
      </c>
      <c r="D33" s="15" t="str">
        <f>IFERROR(__xludf.DUMMYFUNCTION("""COMPUTED_VALUE"""),"Active")</f>
        <v>Active</v>
      </c>
      <c r="E33" s="17">
        <f>IFERROR(__xludf.DUMMYFUNCTION("""COMPUTED_VALUE"""),46224.0)</f>
        <v>46224</v>
      </c>
      <c r="F33" s="54"/>
      <c r="G33" s="19">
        <f>IFERROR(__xludf.DUMMYFUNCTION("""COMPUTED_VALUE"""),2.5)</f>
        <v>2.5</v>
      </c>
      <c r="H33" s="17">
        <f>IFERROR(__xludf.DUMMYFUNCTION("""COMPUTED_VALUE"""),38152.0)</f>
        <v>38152</v>
      </c>
      <c r="I33" s="19">
        <f>IFERROR(__xludf.DUMMYFUNCTION("""COMPUTED_VALUE"""),22.102777777777778)</f>
        <v>22.10277778</v>
      </c>
      <c r="J33" s="21">
        <f>IFERROR(__xludf.DUMMYFUNCTION("""COMPUTED_VALUE"""),84.0)</f>
        <v>84</v>
      </c>
      <c r="K33" s="23">
        <f>IFERROR(__xludf.DUMMYFUNCTION("""COMPUTED_VALUE"""),6.9)</f>
        <v>6.9</v>
      </c>
      <c r="L33" s="24">
        <f>IFERROR(__xludf.DUMMYFUNCTION("""COMPUTED_VALUE"""),10.0)</f>
        <v>10</v>
      </c>
      <c r="M33" s="25" t="str">
        <f>IFERROR(__xludf.DUMMYFUNCTION("""COMPUTED_VALUE"""),"Shooter")</f>
        <v>Shooter</v>
      </c>
      <c r="N33" s="25" t="str">
        <f>IFERROR(__xludf.DUMMYFUNCTION("""COMPUTED_VALUE"""),"PS2")</f>
        <v>PS2</v>
      </c>
      <c r="O33" s="26"/>
      <c r="P33" s="26"/>
    </row>
    <row r="34">
      <c r="A34" s="13" t="str">
        <f>IFERROR(__xludf.DUMMYFUNCTION("""COMPUTED_VALUE"""),"I.Q Intelligent Qube")</f>
        <v>I.Q Intelligent Qube</v>
      </c>
      <c r="B34" s="15" t="str">
        <f>IFERROR(__xludf.DUMMYFUNCTION("""COMPUTED_VALUE"""),"PS5/PS4")</f>
        <v>PS5/PS4</v>
      </c>
      <c r="C34" s="16" t="str">
        <f>IFERROR(__xludf.DUMMYFUNCTION("""COMPUTED_VALUE"""),"Premium (Classics)")</f>
        <v>Premium (Classics)</v>
      </c>
      <c r="D34" s="15" t="str">
        <f>IFERROR(__xludf.DUMMYFUNCTION("""COMPUTED_VALUE"""),"Active")</f>
        <v>Active</v>
      </c>
      <c r="E34" s="17">
        <f>IFERROR(__xludf.DUMMYFUNCTION("""COMPUTED_VALUE"""),44725.0)</f>
        <v>44725</v>
      </c>
      <c r="F34" s="54"/>
      <c r="G34" s="19">
        <f>IFERROR(__xludf.DUMMYFUNCTION("""COMPUTED_VALUE"""),51.766666666666666)</f>
        <v>51.76666667</v>
      </c>
      <c r="H34" s="17">
        <f>IFERROR(__xludf.DUMMYFUNCTION("""COMPUTED_VALUE"""),35764.0)</f>
        <v>35764</v>
      </c>
      <c r="I34" s="19">
        <f>IFERROR(__xludf.DUMMYFUNCTION("""COMPUTED_VALUE"""),24.53611111111111)</f>
        <v>24.53611111</v>
      </c>
      <c r="J34" s="21">
        <f>IFERROR(__xludf.DUMMYFUNCTION("""COMPUTED_VALUE"""),84.0)</f>
        <v>84</v>
      </c>
      <c r="K34" s="23">
        <f>IFERROR(__xludf.DUMMYFUNCTION("""COMPUTED_VALUE"""),8.5)</f>
        <v>8.5</v>
      </c>
      <c r="L34" s="24"/>
      <c r="M34" s="25" t="str">
        <f>IFERROR(__xludf.DUMMYFUNCTION("""COMPUTED_VALUE"""),"Puzzle")</f>
        <v>Puzzle</v>
      </c>
      <c r="N34" s="25" t="str">
        <f>IFERROR(__xludf.DUMMYFUNCTION("""COMPUTED_VALUE"""),"PS1")</f>
        <v>PS1</v>
      </c>
      <c r="O34" s="26" t="str">
        <f>IFERROR(__xludf.DUMMYFUNCTION("""COMPUTED_VALUE"""),"Yes")</f>
        <v>Yes</v>
      </c>
      <c r="P34" s="26" t="str">
        <f>IFERROR(__xludf.DUMMYFUNCTION("""COMPUTED_VALUE"""),"")</f>
        <v/>
      </c>
    </row>
    <row r="35">
      <c r="A35" s="13" t="str">
        <f>IFERROR(__xludf.DUMMYFUNCTION("""COMPUTED_VALUE"""),"Jak 3")</f>
        <v>Jak 3</v>
      </c>
      <c r="B35" s="15" t="str">
        <f>IFERROR(__xludf.DUMMYFUNCTION("""COMPUTED_VALUE"""),"PS4")</f>
        <v>PS4</v>
      </c>
      <c r="C35" s="16" t="str">
        <f>IFERROR(__xludf.DUMMYFUNCTION("""COMPUTED_VALUE"""),"Premium (Classics)")</f>
        <v>Premium (Classics)</v>
      </c>
      <c r="D35" s="15" t="str">
        <f>IFERROR(__xludf.DUMMYFUNCTION("""COMPUTED_VALUE"""),"Active")</f>
        <v>Active</v>
      </c>
      <c r="E35" s="17">
        <f>IFERROR(__xludf.DUMMYFUNCTION("""COMPUTED_VALUE"""),44725.0)</f>
        <v>44725</v>
      </c>
      <c r="F35" s="54"/>
      <c r="G35" s="19">
        <f>IFERROR(__xludf.DUMMYFUNCTION("""COMPUTED_VALUE"""),51.766666666666666)</f>
        <v>51.76666667</v>
      </c>
      <c r="H35" s="17">
        <f>IFERROR(__xludf.DUMMYFUNCTION("""COMPUTED_VALUE"""),38292.0)</f>
        <v>38292</v>
      </c>
      <c r="I35" s="19">
        <f>IFERROR(__xludf.DUMMYFUNCTION("""COMPUTED_VALUE"""),17.616666666666667)</f>
        <v>17.61666667</v>
      </c>
      <c r="J35" s="21">
        <f>IFERROR(__xludf.DUMMYFUNCTION("""COMPUTED_VALUE"""),84.0)</f>
        <v>84</v>
      </c>
      <c r="K35" s="23">
        <f>IFERROR(__xludf.DUMMYFUNCTION("""COMPUTED_VALUE"""),8.5)</f>
        <v>8.5</v>
      </c>
      <c r="L35" s="24">
        <f>IFERROR(__xludf.DUMMYFUNCTION("""COMPUTED_VALUE"""),18.0)</f>
        <v>18</v>
      </c>
      <c r="M35" s="25" t="str">
        <f>IFERROR(__xludf.DUMMYFUNCTION("""COMPUTED_VALUE"""),"Platformer")</f>
        <v>Platformer</v>
      </c>
      <c r="N35" s="25" t="str">
        <f>IFERROR(__xludf.DUMMYFUNCTION("""COMPUTED_VALUE"""),"PS2")</f>
        <v>PS2</v>
      </c>
      <c r="O35" s="26" t="str">
        <f>IFERROR(__xludf.DUMMYFUNCTION("""COMPUTED_VALUE"""),"Yes")</f>
        <v>Yes</v>
      </c>
      <c r="P35" s="26" t="str">
        <f>IFERROR(__xludf.DUMMYFUNCTION("""COMPUTED_VALUE"""),"")</f>
        <v/>
      </c>
    </row>
    <row r="36">
      <c r="A36" s="13" t="str">
        <f>IFERROR(__xludf.DUMMYFUNCTION("""COMPUTED_VALUE"""),"Riven")</f>
        <v>Riven</v>
      </c>
      <c r="B36" s="15" t="str">
        <f>IFERROR(__xludf.DUMMYFUNCTION("""COMPUTED_VALUE"""),"PS5/PS4")</f>
        <v>PS5/PS4</v>
      </c>
      <c r="C36" s="16" t="str">
        <f>IFERROR(__xludf.DUMMYFUNCTION("""COMPUTED_VALUE"""),"Premium (Classics)")</f>
        <v>Premium (Classics)</v>
      </c>
      <c r="D36" s="15" t="str">
        <f>IFERROR(__xludf.DUMMYFUNCTION("""COMPUTED_VALUE"""),"Active")</f>
        <v>Active</v>
      </c>
      <c r="E36" s="17">
        <f>IFERROR(__xludf.DUMMYFUNCTION("""COMPUTED_VALUE"""),45813.0)</f>
        <v>45813</v>
      </c>
      <c r="F36" s="54"/>
      <c r="G36" s="19">
        <f>IFERROR(__xludf.DUMMYFUNCTION("""COMPUTED_VALUE"""),16.03333333333333)</f>
        <v>16.03333333</v>
      </c>
      <c r="H36" s="17">
        <f>IFERROR(__xludf.DUMMYFUNCTION("""COMPUTED_VALUE"""),35734.0)</f>
        <v>35734</v>
      </c>
      <c r="I36" s="19">
        <f>IFERROR(__xludf.DUMMYFUNCTION("""COMPUTED_VALUE"""),27.59722222222222)</f>
        <v>27.59722222</v>
      </c>
      <c r="J36" s="21">
        <f>IFERROR(__xludf.DUMMYFUNCTION("""COMPUTED_VALUE"""),83.0)</f>
        <v>83</v>
      </c>
      <c r="K36" s="23">
        <f>IFERROR(__xludf.DUMMYFUNCTION("""COMPUTED_VALUE"""),7.6)</f>
        <v>7.6</v>
      </c>
      <c r="L36" s="24">
        <f>IFERROR(__xludf.DUMMYFUNCTION("""COMPUTED_VALUE"""),10.0)</f>
        <v>10</v>
      </c>
      <c r="M36" s="25" t="str">
        <f>IFERROR(__xludf.DUMMYFUNCTION("""COMPUTED_VALUE"""),"Puzzle")</f>
        <v>Puzzle</v>
      </c>
      <c r="N36" s="25" t="str">
        <f>IFERROR(__xludf.DUMMYFUNCTION("""COMPUTED_VALUE"""),"PS1")</f>
        <v>PS1</v>
      </c>
      <c r="O36" s="26"/>
      <c r="P36" s="26"/>
    </row>
    <row r="37">
      <c r="A37" s="13" t="str">
        <f>IFERROR(__xludf.DUMMYFUNCTION("""COMPUTED_VALUE"""),"Sly 3: Honor Among Thieves")</f>
        <v>Sly 3: Honor Among Thieves</v>
      </c>
      <c r="B37" s="15" t="str">
        <f>IFERROR(__xludf.DUMMYFUNCTION("""COMPUTED_VALUE"""),"PS5/PS4")</f>
        <v>PS5/PS4</v>
      </c>
      <c r="C37" s="16" t="str">
        <f>IFERROR(__xludf.DUMMYFUNCTION("""COMPUTED_VALUE"""),"Premium (Classics)")</f>
        <v>Premium (Classics)</v>
      </c>
      <c r="D37" s="15" t="str">
        <f>IFERROR(__xludf.DUMMYFUNCTION("""COMPUTED_VALUE"""),"Active")</f>
        <v>Active</v>
      </c>
      <c r="E37" s="17">
        <f>IFERROR(__xludf.DUMMYFUNCTION("""COMPUTED_VALUE"""),45643.0)</f>
        <v>45643</v>
      </c>
      <c r="F37" s="54"/>
      <c r="G37" s="19">
        <f>IFERROR(__xludf.DUMMYFUNCTION("""COMPUTED_VALUE"""),21.633333333333333)</f>
        <v>21.63333333</v>
      </c>
      <c r="H37" s="17">
        <f>IFERROR(__xludf.DUMMYFUNCTION("""COMPUTED_VALUE"""),38621.0)</f>
        <v>38621</v>
      </c>
      <c r="I37" s="19">
        <f>IFERROR(__xludf.DUMMYFUNCTION("""COMPUTED_VALUE"""),19.225)</f>
        <v>19.225</v>
      </c>
      <c r="J37" s="21">
        <f>IFERROR(__xludf.DUMMYFUNCTION("""COMPUTED_VALUE"""),83.0)</f>
        <v>83</v>
      </c>
      <c r="K37" s="23">
        <f>IFERROR(__xludf.DUMMYFUNCTION("""COMPUTED_VALUE"""),8.9)</f>
        <v>8.9</v>
      </c>
      <c r="L37" s="24">
        <f>IFERROR(__xludf.DUMMYFUNCTION("""COMPUTED_VALUE"""),13.0)</f>
        <v>13</v>
      </c>
      <c r="M37" s="25" t="str">
        <f>IFERROR(__xludf.DUMMYFUNCTION("""COMPUTED_VALUE"""),"Platformer")</f>
        <v>Platformer</v>
      </c>
      <c r="N37" s="25" t="str">
        <f>IFERROR(__xludf.DUMMYFUNCTION("""COMPUTED_VALUE"""),"PS2")</f>
        <v>PS2</v>
      </c>
      <c r="O37" s="26" t="str">
        <f>IFERROR(__xludf.DUMMYFUNCTION("""COMPUTED_VALUE"""),"Yes")</f>
        <v>Yes</v>
      </c>
      <c r="P37" s="26"/>
    </row>
    <row r="38">
      <c r="A38" s="13" t="str">
        <f>IFERROR(__xludf.DUMMYFUNCTION("""COMPUTED_VALUE"""),"TimeSplitters: Future Perfect")</f>
        <v>TimeSplitters: Future Perfect</v>
      </c>
      <c r="B38" s="15" t="str">
        <f>IFERROR(__xludf.DUMMYFUNCTION("""COMPUTED_VALUE"""),"PS5/PS4")</f>
        <v>PS5/PS4</v>
      </c>
      <c r="C38" s="16" t="str">
        <f>IFERROR(__xludf.DUMMYFUNCTION("""COMPUTED_VALUE"""),"Premium (Classics)")</f>
        <v>Premium (Classics)</v>
      </c>
      <c r="D38" s="15" t="str">
        <f>IFERROR(__xludf.DUMMYFUNCTION("""COMPUTED_VALUE"""),"Active")</f>
        <v>Active</v>
      </c>
      <c r="E38" s="17">
        <f>IFERROR(__xludf.DUMMYFUNCTION("""COMPUTED_VALUE"""),45524.0)</f>
        <v>45524</v>
      </c>
      <c r="F38" s="54"/>
      <c r="G38" s="19">
        <f>IFERROR(__xludf.DUMMYFUNCTION("""COMPUTED_VALUE"""),25.53333333333333)</f>
        <v>25.53333333</v>
      </c>
      <c r="H38" s="17">
        <f>IFERROR(__xludf.DUMMYFUNCTION("""COMPUTED_VALUE"""),38432.0)</f>
        <v>38432</v>
      </c>
      <c r="I38" s="19">
        <f>IFERROR(__xludf.DUMMYFUNCTION("""COMPUTED_VALUE"""),19.413888888888888)</f>
        <v>19.41388889</v>
      </c>
      <c r="J38" s="21">
        <f>IFERROR(__xludf.DUMMYFUNCTION("""COMPUTED_VALUE"""),83.0)</f>
        <v>83</v>
      </c>
      <c r="K38" s="23">
        <f>IFERROR(__xludf.DUMMYFUNCTION("""COMPUTED_VALUE"""),8.4)</f>
        <v>8.4</v>
      </c>
      <c r="L38" s="24">
        <f>IFERROR(__xludf.DUMMYFUNCTION("""COMPUTED_VALUE"""),7.0)</f>
        <v>7</v>
      </c>
      <c r="M38" s="25" t="str">
        <f>IFERROR(__xludf.DUMMYFUNCTION("""COMPUTED_VALUE"""),"Shooter")</f>
        <v>Shooter</v>
      </c>
      <c r="N38" s="25" t="str">
        <f>IFERROR(__xludf.DUMMYFUNCTION("""COMPUTED_VALUE"""),"PS2")</f>
        <v>PS2</v>
      </c>
      <c r="O38" s="26" t="str">
        <f>IFERROR(__xludf.DUMMYFUNCTION("""COMPUTED_VALUE"""),"Yes")</f>
        <v>Yes</v>
      </c>
      <c r="P38" s="26"/>
    </row>
    <row r="39">
      <c r="A39" s="13" t="str">
        <f>IFERROR(__xludf.DUMMYFUNCTION("""COMPUTED_VALUE"""),"DOOM")</f>
        <v>DOOM</v>
      </c>
      <c r="B39" s="15" t="str">
        <f>IFERROR(__xludf.DUMMYFUNCTION("""COMPUTED_VALUE"""),"PS4")</f>
        <v>PS4</v>
      </c>
      <c r="C39" s="16" t="str">
        <f>IFERROR(__xludf.DUMMYFUNCTION("""COMPUTED_VALUE"""),"Premium (Classics)")</f>
        <v>Premium (Classics)</v>
      </c>
      <c r="D39" s="15" t="str">
        <f>IFERROR(__xludf.DUMMYFUNCTION("""COMPUTED_VALUE"""),"Active")</f>
        <v>Active</v>
      </c>
      <c r="E39" s="17">
        <f>IFERROR(__xludf.DUMMYFUNCTION("""COMPUTED_VALUE"""),45034.0)</f>
        <v>45034</v>
      </c>
      <c r="F39" s="54"/>
      <c r="G39" s="19">
        <f>IFERROR(__xludf.DUMMYFUNCTION("""COMPUTED_VALUE"""),41.6)</f>
        <v>41.6</v>
      </c>
      <c r="H39" s="17">
        <f>IFERROR(__xludf.DUMMYFUNCTION("""COMPUTED_VALUE"""),34313.0)</f>
        <v>34313</v>
      </c>
      <c r="I39" s="19">
        <f>IFERROR(__xludf.DUMMYFUNCTION("""COMPUTED_VALUE"""),29.355555555555554)</f>
        <v>29.35555556</v>
      </c>
      <c r="J39" s="21">
        <f>IFERROR(__xludf.DUMMYFUNCTION("""COMPUTED_VALUE"""),83.0)</f>
        <v>83</v>
      </c>
      <c r="K39" s="23">
        <f>IFERROR(__xludf.DUMMYFUNCTION("""COMPUTED_VALUE"""),8.1)</f>
        <v>8.1</v>
      </c>
      <c r="L39" s="24">
        <f>IFERROR(__xludf.DUMMYFUNCTION("""COMPUTED_VALUE"""),5.0)</f>
        <v>5</v>
      </c>
      <c r="M39" s="25" t="str">
        <f>IFERROR(__xludf.DUMMYFUNCTION("""COMPUTED_VALUE"""),"Shooter")</f>
        <v>Shooter</v>
      </c>
      <c r="N39" s="25" t="str">
        <f>IFERROR(__xludf.DUMMYFUNCTION("""COMPUTED_VALUE"""),"PS1")</f>
        <v>PS1</v>
      </c>
      <c r="O39" s="26" t="str">
        <f>IFERROR(__xludf.DUMMYFUNCTION("""COMPUTED_VALUE"""),"Yes")</f>
        <v>Yes</v>
      </c>
      <c r="P39" s="26"/>
    </row>
    <row r="40">
      <c r="A40" s="13" t="str">
        <f>IFERROR(__xludf.DUMMYFUNCTION("""COMPUTED_VALUE"""),"DOOM II: Hell on Earth")</f>
        <v>DOOM II: Hell on Earth</v>
      </c>
      <c r="B40" s="15" t="str">
        <f>IFERROR(__xludf.DUMMYFUNCTION("""COMPUTED_VALUE"""),"PS4")</f>
        <v>PS4</v>
      </c>
      <c r="C40" s="16" t="str">
        <f>IFERROR(__xludf.DUMMYFUNCTION("""COMPUTED_VALUE"""),"Premium (Classics)")</f>
        <v>Premium (Classics)</v>
      </c>
      <c r="D40" s="15" t="str">
        <f>IFERROR(__xludf.DUMMYFUNCTION("""COMPUTED_VALUE"""),"Active")</f>
        <v>Active</v>
      </c>
      <c r="E40" s="17">
        <f>IFERROR(__xludf.DUMMYFUNCTION("""COMPUTED_VALUE"""),45034.0)</f>
        <v>45034</v>
      </c>
      <c r="F40" s="54"/>
      <c r="G40" s="19">
        <f>IFERROR(__xludf.DUMMYFUNCTION("""COMPUTED_VALUE"""),41.6)</f>
        <v>41.6</v>
      </c>
      <c r="H40" s="17">
        <f>IFERROR(__xludf.DUMMYFUNCTION("""COMPUTED_VALUE"""),34607.0)</f>
        <v>34607</v>
      </c>
      <c r="I40" s="19">
        <f>IFERROR(__xludf.DUMMYFUNCTION("""COMPUTED_VALUE"""),28.55)</f>
        <v>28.55</v>
      </c>
      <c r="J40" s="21">
        <f>IFERROR(__xludf.DUMMYFUNCTION("""COMPUTED_VALUE"""),83.0)</f>
        <v>83</v>
      </c>
      <c r="K40" s="23">
        <f>IFERROR(__xludf.DUMMYFUNCTION("""COMPUTED_VALUE"""),8.9)</f>
        <v>8.9</v>
      </c>
      <c r="L40" s="24">
        <f>IFERROR(__xludf.DUMMYFUNCTION("""COMPUTED_VALUE"""),7.0)</f>
        <v>7</v>
      </c>
      <c r="M40" s="25" t="str">
        <f>IFERROR(__xludf.DUMMYFUNCTION("""COMPUTED_VALUE"""),"Shooter")</f>
        <v>Shooter</v>
      </c>
      <c r="N40" s="25" t="str">
        <f>IFERROR(__xludf.DUMMYFUNCTION("""COMPUTED_VALUE"""),"PS1")</f>
        <v>PS1</v>
      </c>
      <c r="O40" s="26" t="str">
        <f>IFERROR(__xludf.DUMMYFUNCTION("""COMPUTED_VALUE"""),"Yes")</f>
        <v>Yes</v>
      </c>
      <c r="P40" s="26"/>
    </row>
    <row r="41">
      <c r="A41" s="13" t="str">
        <f>IFERROR(__xludf.DUMMYFUNCTION("""COMPUTED_VALUE"""),"Rogue Galaxy")</f>
        <v>Rogue Galaxy</v>
      </c>
      <c r="B41" s="15" t="str">
        <f>IFERROR(__xludf.DUMMYFUNCTION("""COMPUTED_VALUE"""),"PS4")</f>
        <v>PS4</v>
      </c>
      <c r="C41" s="16" t="str">
        <f>IFERROR(__xludf.DUMMYFUNCTION("""COMPUTED_VALUE"""),"Premium (Classics)")</f>
        <v>Premium (Classics)</v>
      </c>
      <c r="D41" s="15" t="str">
        <f>IFERROR(__xludf.DUMMYFUNCTION("""COMPUTED_VALUE"""),"Active")</f>
        <v>Active</v>
      </c>
      <c r="E41" s="17">
        <f>IFERROR(__xludf.DUMMYFUNCTION("""COMPUTED_VALUE"""),44725.0)</f>
        <v>44725</v>
      </c>
      <c r="F41" s="54"/>
      <c r="G41" s="19">
        <f>IFERROR(__xludf.DUMMYFUNCTION("""COMPUTED_VALUE"""),51.766666666666666)</f>
        <v>51.76666667</v>
      </c>
      <c r="H41" s="17">
        <f>IFERROR(__xludf.DUMMYFUNCTION("""COMPUTED_VALUE"""),38687.0)</f>
        <v>38687</v>
      </c>
      <c r="I41" s="19">
        <f>IFERROR(__xludf.DUMMYFUNCTION("""COMPUTED_VALUE"""),16.533333333333335)</f>
        <v>16.53333333</v>
      </c>
      <c r="J41" s="21">
        <f>IFERROR(__xludf.DUMMYFUNCTION("""COMPUTED_VALUE"""),83.0)</f>
        <v>83</v>
      </c>
      <c r="K41" s="23">
        <f>IFERROR(__xludf.DUMMYFUNCTION("""COMPUTED_VALUE"""),8.2)</f>
        <v>8.2</v>
      </c>
      <c r="L41" s="24">
        <f>IFERROR(__xludf.DUMMYFUNCTION("""COMPUTED_VALUE"""),40.0)</f>
        <v>40</v>
      </c>
      <c r="M41" s="25" t="str">
        <f>IFERROR(__xludf.DUMMYFUNCTION("""COMPUTED_VALUE"""),"RPG")</f>
        <v>RPG</v>
      </c>
      <c r="N41" s="25" t="str">
        <f>IFERROR(__xludf.DUMMYFUNCTION("""COMPUTED_VALUE"""),"PS2")</f>
        <v>PS2</v>
      </c>
      <c r="O41" s="26" t="str">
        <f>IFERROR(__xludf.DUMMYFUNCTION("""COMPUTED_VALUE"""),"Yes")</f>
        <v>Yes</v>
      </c>
      <c r="P41" s="26" t="str">
        <f>IFERROR(__xludf.DUMMYFUNCTION("""COMPUTED_VALUE"""),"")</f>
        <v/>
      </c>
    </row>
    <row r="42">
      <c r="A42" s="13" t="str">
        <f>IFERROR(__xludf.DUMMYFUNCTION("""COMPUTED_VALUE"""),"Tekken 6")</f>
        <v>Tekken 6</v>
      </c>
      <c r="B42" s="15" t="str">
        <f>IFERROR(__xludf.DUMMYFUNCTION("""COMPUTED_VALUE"""),"PS5/PS4")</f>
        <v>PS5/PS4</v>
      </c>
      <c r="C42" s="16" t="str">
        <f>IFERROR(__xludf.DUMMYFUNCTION("""COMPUTED_VALUE"""),"Premium (Classics)")</f>
        <v>Premium (Classics)</v>
      </c>
      <c r="D42" s="15" t="str">
        <f>IFERROR(__xludf.DUMMYFUNCTION("""COMPUTED_VALUE"""),"Active")</f>
        <v>Active</v>
      </c>
      <c r="E42" s="17">
        <f>IFERROR(__xludf.DUMMYFUNCTION("""COMPUTED_VALUE"""),45216.0)</f>
        <v>45216</v>
      </c>
      <c r="F42" s="54"/>
      <c r="G42" s="19">
        <f>IFERROR(__xludf.DUMMYFUNCTION("""COMPUTED_VALUE"""),35.63333333333333)</f>
        <v>35.63333333</v>
      </c>
      <c r="H42" s="17">
        <f>IFERROR(__xludf.DUMMYFUNCTION("""COMPUTED_VALUE"""),40113.0)</f>
        <v>40113</v>
      </c>
      <c r="I42" s="19">
        <f>IFERROR(__xludf.DUMMYFUNCTION("""COMPUTED_VALUE"""),13.972222222222221)</f>
        <v>13.97222222</v>
      </c>
      <c r="J42" s="21">
        <f>IFERROR(__xludf.DUMMYFUNCTION("""COMPUTED_VALUE"""),82.0)</f>
        <v>82</v>
      </c>
      <c r="K42" s="23">
        <f>IFERROR(__xludf.DUMMYFUNCTION("""COMPUTED_VALUE"""),7.5)</f>
        <v>7.5</v>
      </c>
      <c r="L42" s="24">
        <f>IFERROR(__xludf.DUMMYFUNCTION("""COMPUTED_VALUE"""),8.0)</f>
        <v>8</v>
      </c>
      <c r="M42" s="25" t="str">
        <f>IFERROR(__xludf.DUMMYFUNCTION("""COMPUTED_VALUE"""),"Fighting")</f>
        <v>Fighting</v>
      </c>
      <c r="N42" s="25" t="str">
        <f>IFERROR(__xludf.DUMMYFUNCTION("""COMPUTED_VALUE"""),"PSP")</f>
        <v>PSP</v>
      </c>
      <c r="O42" s="26" t="str">
        <f>IFERROR(__xludf.DUMMYFUNCTION("""COMPUTED_VALUE"""),"Yes")</f>
        <v>Yes</v>
      </c>
      <c r="P42" s="26"/>
    </row>
    <row r="43">
      <c r="A43" s="13" t="str">
        <f>IFERROR(__xludf.DUMMYFUNCTION("""COMPUTED_VALUE"""),"Harvest Moon: Back to Nature")</f>
        <v>Harvest Moon: Back to Nature</v>
      </c>
      <c r="B43" s="15" t="str">
        <f>IFERROR(__xludf.DUMMYFUNCTION("""COMPUTED_VALUE"""),"PS5/PS4")</f>
        <v>PS5/PS4</v>
      </c>
      <c r="C43" s="16" t="str">
        <f>IFERROR(__xludf.DUMMYFUNCTION("""COMPUTED_VALUE"""),"Premium (Classics)")</f>
        <v>Premium (Classics)</v>
      </c>
      <c r="D43" s="15" t="str">
        <f>IFERROR(__xludf.DUMMYFUNCTION("""COMPUTED_VALUE"""),"Active")</f>
        <v>Active</v>
      </c>
      <c r="E43" s="17">
        <f>IFERROR(__xludf.DUMMYFUNCTION("""COMPUTED_VALUE"""),44978.0)</f>
        <v>44978</v>
      </c>
      <c r="F43" s="54"/>
      <c r="G43" s="19">
        <f>IFERROR(__xludf.DUMMYFUNCTION("""COMPUTED_VALUE"""),43.5)</f>
        <v>43.5</v>
      </c>
      <c r="H43" s="17">
        <f>IFERROR(__xludf.DUMMYFUNCTION("""COMPUTED_VALUE"""),36852.0)</f>
        <v>36852</v>
      </c>
      <c r="I43" s="19">
        <f>IFERROR(__xludf.DUMMYFUNCTION("""COMPUTED_VALUE"""),22.247222222222224)</f>
        <v>22.24722222</v>
      </c>
      <c r="J43" s="21">
        <f>IFERROR(__xludf.DUMMYFUNCTION("""COMPUTED_VALUE"""),82.0)</f>
        <v>82</v>
      </c>
      <c r="K43" s="23">
        <f>IFERROR(__xludf.DUMMYFUNCTION("""COMPUTED_VALUE"""),8.8)</f>
        <v>8.8</v>
      </c>
      <c r="L43" s="24">
        <f>IFERROR(__xludf.DUMMYFUNCTION("""COMPUTED_VALUE"""),86.0)</f>
        <v>86</v>
      </c>
      <c r="M43" s="25" t="str">
        <f>IFERROR(__xludf.DUMMYFUNCTION("""COMPUTED_VALUE"""),"Strategy")</f>
        <v>Strategy</v>
      </c>
      <c r="N43" s="25" t="str">
        <f>IFERROR(__xludf.DUMMYFUNCTION("""COMPUTED_VALUE"""),"PS1")</f>
        <v>PS1</v>
      </c>
      <c r="O43" s="26" t="str">
        <f>IFERROR(__xludf.DUMMYFUNCTION("""COMPUTED_VALUE"""),"Yes")</f>
        <v>Yes</v>
      </c>
      <c r="P43" s="26"/>
    </row>
    <row r="44">
      <c r="A44" s="13" t="str">
        <f>IFERROR(__xludf.DUMMYFUNCTION("""COMPUTED_VALUE"""),"Hot Shots Golf")</f>
        <v>Hot Shots Golf</v>
      </c>
      <c r="B44" s="15" t="str">
        <f>IFERROR(__xludf.DUMMYFUNCTION("""COMPUTED_VALUE"""),"PS5/PS4")</f>
        <v>PS5/PS4</v>
      </c>
      <c r="C44" s="16" t="str">
        <f>IFERROR(__xludf.DUMMYFUNCTION("""COMPUTED_VALUE"""),"Premium (Classics)")</f>
        <v>Premium (Classics)</v>
      </c>
      <c r="D44" s="15" t="str">
        <f>IFERROR(__xludf.DUMMYFUNCTION("""COMPUTED_VALUE"""),"Active")</f>
        <v>Active</v>
      </c>
      <c r="E44" s="17">
        <f>IFERROR(__xludf.DUMMYFUNCTION("""COMPUTED_VALUE"""),44725.0)</f>
        <v>44725</v>
      </c>
      <c r="F44" s="54"/>
      <c r="G44" s="19">
        <f>IFERROR(__xludf.DUMMYFUNCTION("""COMPUTED_VALUE"""),51.766666666666666)</f>
        <v>51.76666667</v>
      </c>
      <c r="H44" s="17">
        <f>IFERROR(__xludf.DUMMYFUNCTION("""COMPUTED_VALUE"""),36007.0)</f>
        <v>36007</v>
      </c>
      <c r="I44" s="19">
        <f>IFERROR(__xludf.DUMMYFUNCTION("""COMPUTED_VALUE"""),23.869444444444444)</f>
        <v>23.86944444</v>
      </c>
      <c r="J44" s="21">
        <f>IFERROR(__xludf.DUMMYFUNCTION("""COMPUTED_VALUE"""),82.0)</f>
        <v>82</v>
      </c>
      <c r="K44" s="23">
        <f>IFERROR(__xludf.DUMMYFUNCTION("""COMPUTED_VALUE"""),8.6)</f>
        <v>8.6</v>
      </c>
      <c r="L44" s="24"/>
      <c r="M44" s="25" t="str">
        <f>IFERROR(__xludf.DUMMYFUNCTION("""COMPUTED_VALUE"""),"Sports")</f>
        <v>Sports</v>
      </c>
      <c r="N44" s="25" t="str">
        <f>IFERROR(__xludf.DUMMYFUNCTION("""COMPUTED_VALUE"""),"PS1")</f>
        <v>PS1</v>
      </c>
      <c r="O44" s="26" t="str">
        <f>IFERROR(__xludf.DUMMYFUNCTION("""COMPUTED_VALUE"""),"Yes")</f>
        <v>Yes</v>
      </c>
      <c r="P44" s="26" t="str">
        <f>IFERROR(__xludf.DUMMYFUNCTION("""COMPUTED_VALUE"""),"")</f>
        <v/>
      </c>
    </row>
    <row r="45">
      <c r="A45" s="13" t="str">
        <f>IFERROR(__xludf.DUMMYFUNCTION("""COMPUTED_VALUE"""),"Ape Escape 2")</f>
        <v>Ape Escape 2</v>
      </c>
      <c r="B45" s="15" t="str">
        <f>IFERROR(__xludf.DUMMYFUNCTION("""COMPUTED_VALUE"""),"PS4")</f>
        <v>PS4</v>
      </c>
      <c r="C45" s="16" t="str">
        <f>IFERROR(__xludf.DUMMYFUNCTION("""COMPUTED_VALUE"""),"Premium (Classics)")</f>
        <v>Premium (Classics)</v>
      </c>
      <c r="D45" s="15" t="str">
        <f>IFERROR(__xludf.DUMMYFUNCTION("""COMPUTED_VALUE"""),"Active")</f>
        <v>Active</v>
      </c>
      <c r="E45" s="17">
        <f>IFERROR(__xludf.DUMMYFUNCTION("""COMPUTED_VALUE"""),44725.0)</f>
        <v>44725</v>
      </c>
      <c r="F45" s="54"/>
      <c r="G45" s="19">
        <f>IFERROR(__xludf.DUMMYFUNCTION("""COMPUTED_VALUE"""),51.766666666666666)</f>
        <v>51.76666667</v>
      </c>
      <c r="H45" s="17">
        <f>IFERROR(__xludf.DUMMYFUNCTION("""COMPUTED_VALUE"""),37803.0)</f>
        <v>37803</v>
      </c>
      <c r="I45" s="19">
        <f>IFERROR(__xludf.DUMMYFUNCTION("""COMPUTED_VALUE"""),18.95)</f>
        <v>18.95</v>
      </c>
      <c r="J45" s="21">
        <f>IFERROR(__xludf.DUMMYFUNCTION("""COMPUTED_VALUE"""),82.0)</f>
        <v>82</v>
      </c>
      <c r="K45" s="23">
        <f>IFERROR(__xludf.DUMMYFUNCTION("""COMPUTED_VALUE"""),8.2)</f>
        <v>8.2</v>
      </c>
      <c r="L45" s="24">
        <f>IFERROR(__xludf.DUMMYFUNCTION("""COMPUTED_VALUE"""),10.0)</f>
        <v>10</v>
      </c>
      <c r="M45" s="25" t="str">
        <f>IFERROR(__xludf.DUMMYFUNCTION("""COMPUTED_VALUE"""),"Platformer")</f>
        <v>Platformer</v>
      </c>
      <c r="N45" s="25" t="str">
        <f>IFERROR(__xludf.DUMMYFUNCTION("""COMPUTED_VALUE"""),"PS2")</f>
        <v>PS2</v>
      </c>
      <c r="O45" s="26" t="str">
        <f>IFERROR(__xludf.DUMMYFUNCTION("""COMPUTED_VALUE"""),"Yes")</f>
        <v>Yes</v>
      </c>
      <c r="P45" s="26" t="str">
        <f>IFERROR(__xludf.DUMMYFUNCTION("""COMPUTED_VALUE"""),"")</f>
        <v/>
      </c>
    </row>
    <row r="46">
      <c r="A46" s="13" t="str">
        <f>IFERROR(__xludf.DUMMYFUNCTION("""COMPUTED_VALUE"""),"Onimusha: Dawn of Dreams")</f>
        <v>Onimusha: Dawn of Dreams</v>
      </c>
      <c r="B46" s="15" t="str">
        <f>IFERROR(__xludf.DUMMYFUNCTION("""COMPUTED_VALUE"""),"PS5/PS4")</f>
        <v>PS5/PS4</v>
      </c>
      <c r="C46" s="16" t="str">
        <f>IFERROR(__xludf.DUMMYFUNCTION("""COMPUTED_VALUE"""),"Premium (Classics)")</f>
        <v>Premium (Classics)</v>
      </c>
      <c r="D46" s="15" t="str">
        <f>IFERROR(__xludf.DUMMYFUNCTION("""COMPUTED_VALUE"""),"Active")</f>
        <v>Active</v>
      </c>
      <c r="E46" s="17">
        <f>IFERROR(__xludf.DUMMYFUNCTION("""COMPUTED_VALUE"""),46252.0)</f>
        <v>46252</v>
      </c>
      <c r="F46" s="54"/>
      <c r="G46" s="19">
        <f>IFERROR(__xludf.DUMMYFUNCTION("""COMPUTED_VALUE"""),1.6)</f>
        <v>1.6</v>
      </c>
      <c r="H46" s="17">
        <f>IFERROR(__xludf.DUMMYFUNCTION("""COMPUTED_VALUE"""),38783.0)</f>
        <v>38783</v>
      </c>
      <c r="I46" s="19">
        <f>IFERROR(__xludf.DUMMYFUNCTION("""COMPUTED_VALUE"""),20.447222222222223)</f>
        <v>20.44722222</v>
      </c>
      <c r="J46" s="21">
        <f>IFERROR(__xludf.DUMMYFUNCTION("""COMPUTED_VALUE"""),81.0)</f>
        <v>81</v>
      </c>
      <c r="K46" s="23">
        <f>IFERROR(__xludf.DUMMYFUNCTION("""COMPUTED_VALUE"""),8.5)</f>
        <v>8.5</v>
      </c>
      <c r="L46" s="24">
        <f>IFERROR(__xludf.DUMMYFUNCTION("""COMPUTED_VALUE"""),20.0)</f>
        <v>20</v>
      </c>
      <c r="M46" s="25" t="str">
        <f>IFERROR(__xludf.DUMMYFUNCTION("""COMPUTED_VALUE"""),"Action-Adventure")</f>
        <v>Action-Adventure</v>
      </c>
      <c r="N46" s="25" t="str">
        <f>IFERROR(__xludf.DUMMYFUNCTION("""COMPUTED_VALUE"""),"PS2")</f>
        <v>PS2</v>
      </c>
      <c r="O46" s="26"/>
      <c r="P46" s="26"/>
    </row>
    <row r="47">
      <c r="A47" s="13" t="str">
        <f>IFERROR(__xludf.DUMMYFUNCTION("""COMPUTED_VALUE"""),"TimeSplitters")</f>
        <v>TimeSplitters</v>
      </c>
      <c r="B47" s="15" t="str">
        <f>IFERROR(__xludf.DUMMYFUNCTION("""COMPUTED_VALUE"""),"PS5/PS4")</f>
        <v>PS5/PS4</v>
      </c>
      <c r="C47" s="16" t="str">
        <f>IFERROR(__xludf.DUMMYFUNCTION("""COMPUTED_VALUE"""),"Premium (Classics)")</f>
        <v>Premium (Classics)</v>
      </c>
      <c r="D47" s="15" t="str">
        <f>IFERROR(__xludf.DUMMYFUNCTION("""COMPUTED_VALUE"""),"Active")</f>
        <v>Active</v>
      </c>
      <c r="E47" s="17">
        <f>IFERROR(__xludf.DUMMYFUNCTION("""COMPUTED_VALUE"""),45524.0)</f>
        <v>45524</v>
      </c>
      <c r="F47" s="54"/>
      <c r="G47" s="19">
        <f>IFERROR(__xludf.DUMMYFUNCTION("""COMPUTED_VALUE"""),25.53333333333333)</f>
        <v>25.53333333</v>
      </c>
      <c r="H47" s="17">
        <f>IFERROR(__xludf.DUMMYFUNCTION("""COMPUTED_VALUE"""),36822.0)</f>
        <v>36822</v>
      </c>
      <c r="I47" s="19">
        <f>IFERROR(__xludf.DUMMYFUNCTION("""COMPUTED_VALUE"""),23.825)</f>
        <v>23.825</v>
      </c>
      <c r="J47" s="21">
        <f>IFERROR(__xludf.DUMMYFUNCTION("""COMPUTED_VALUE"""),81.0)</f>
        <v>81</v>
      </c>
      <c r="K47" s="23">
        <f>IFERROR(__xludf.DUMMYFUNCTION("""COMPUTED_VALUE"""),7.8)</f>
        <v>7.8</v>
      </c>
      <c r="L47" s="24">
        <f>IFERROR(__xludf.DUMMYFUNCTION("""COMPUTED_VALUE"""),2.0)</f>
        <v>2</v>
      </c>
      <c r="M47" s="25" t="str">
        <f>IFERROR(__xludf.DUMMYFUNCTION("""COMPUTED_VALUE"""),"Shooter")</f>
        <v>Shooter</v>
      </c>
      <c r="N47" s="25" t="str">
        <f>IFERROR(__xludf.DUMMYFUNCTION("""COMPUTED_VALUE"""),"PS2")</f>
        <v>PS2</v>
      </c>
      <c r="O47" s="26" t="str">
        <f>IFERROR(__xludf.DUMMYFUNCTION("""COMPUTED_VALUE"""),"Yes")</f>
        <v>Yes</v>
      </c>
      <c r="P47" s="26"/>
    </row>
    <row r="48">
      <c r="A48" s="13" t="str">
        <f>IFERROR(__xludf.DUMMYFUNCTION("""COMPUTED_VALUE"""),"LEGO Star Wars II: The Original Trilogy")</f>
        <v>LEGO Star Wars II: The Original Trilogy</v>
      </c>
      <c r="B48" s="15" t="str">
        <f>IFERROR(__xludf.DUMMYFUNCTION("""COMPUTED_VALUE"""),"PS5/PS4")</f>
        <v>PS5/PS4</v>
      </c>
      <c r="C48" s="16" t="str">
        <f>IFERROR(__xludf.DUMMYFUNCTION("""COMPUTED_VALUE"""),"Premium (Classics)")</f>
        <v>Premium (Classics)</v>
      </c>
      <c r="D48" s="15" t="str">
        <f>IFERROR(__xludf.DUMMYFUNCTION("""COMPUTED_VALUE"""),"Active")</f>
        <v>Active</v>
      </c>
      <c r="E48" s="17">
        <f>IFERROR(__xludf.DUMMYFUNCTION("""COMPUTED_VALUE"""),45461.0)</f>
        <v>45461</v>
      </c>
      <c r="F48" s="18"/>
      <c r="G48" s="19">
        <f>IFERROR(__xludf.DUMMYFUNCTION("""COMPUTED_VALUE"""),27.599999999999998)</f>
        <v>27.6</v>
      </c>
      <c r="H48" s="17">
        <f>IFERROR(__xludf.DUMMYFUNCTION("""COMPUTED_VALUE"""),38972.0)</f>
        <v>38972</v>
      </c>
      <c r="I48" s="19">
        <f>IFERROR(__xludf.DUMMYFUNCTION("""COMPUTED_VALUE"""),17.766666666666666)</f>
        <v>17.76666667</v>
      </c>
      <c r="J48" s="21">
        <f>IFERROR(__xludf.DUMMYFUNCTION("""COMPUTED_VALUE"""),81.0)</f>
        <v>81</v>
      </c>
      <c r="K48" s="23">
        <f>IFERROR(__xludf.DUMMYFUNCTION("""COMPUTED_VALUE"""),8.0)</f>
        <v>8</v>
      </c>
      <c r="L48" s="24">
        <f>IFERROR(__xludf.DUMMYFUNCTION("""COMPUTED_VALUE"""),11.0)</f>
        <v>11</v>
      </c>
      <c r="M48" s="25" t="str">
        <f>IFERROR(__xludf.DUMMYFUNCTION("""COMPUTED_VALUE"""),"Action-Adventure")</f>
        <v>Action-Adventure</v>
      </c>
      <c r="N48" s="25" t="str">
        <f>IFERROR(__xludf.DUMMYFUNCTION("""COMPUTED_VALUE"""),"PS2 / PSP")</f>
        <v>PS2 / PSP</v>
      </c>
      <c r="O48" s="26" t="str">
        <f>IFERROR(__xludf.DUMMYFUNCTION("""COMPUTED_VALUE"""),"Yes")</f>
        <v>Yes</v>
      </c>
      <c r="P48" s="26"/>
    </row>
    <row r="49">
      <c r="A49" s="13" t="str">
        <f>IFERROR(__xludf.DUMMYFUNCTION("""COMPUTED_VALUE"""),"Resistance: Retribution")</f>
        <v>Resistance: Retribution</v>
      </c>
      <c r="B49" s="15" t="str">
        <f>IFERROR(__xludf.DUMMYFUNCTION("""COMPUTED_VALUE"""),"PS5/PS4")</f>
        <v>PS5/PS4</v>
      </c>
      <c r="C49" s="16" t="str">
        <f>IFERROR(__xludf.DUMMYFUNCTION("""COMPUTED_VALUE"""),"Premium (Classics)")</f>
        <v>Premium (Classics)</v>
      </c>
      <c r="D49" s="15" t="str">
        <f>IFERROR(__xludf.DUMMYFUNCTION("""COMPUTED_VALUE"""),"Active")</f>
        <v>Active</v>
      </c>
      <c r="E49" s="17">
        <f>IFERROR(__xludf.DUMMYFUNCTION("""COMPUTED_VALUE"""),45342.0)</f>
        <v>45342</v>
      </c>
      <c r="F49" s="18"/>
      <c r="G49" s="19">
        <f>IFERROR(__xludf.DUMMYFUNCTION("""COMPUTED_VALUE"""),31.53333333333333)</f>
        <v>31.53333333</v>
      </c>
      <c r="H49" s="17">
        <f>IFERROR(__xludf.DUMMYFUNCTION("""COMPUTED_VALUE"""),39889.0)</f>
        <v>39889</v>
      </c>
      <c r="I49" s="19">
        <f>IFERROR(__xludf.DUMMYFUNCTION("""COMPUTED_VALUE"""),14.925)</f>
        <v>14.925</v>
      </c>
      <c r="J49" s="21">
        <f>IFERROR(__xludf.DUMMYFUNCTION("""COMPUTED_VALUE"""),81.0)</f>
        <v>81</v>
      </c>
      <c r="K49" s="23">
        <f>IFERROR(__xludf.DUMMYFUNCTION("""COMPUTED_VALUE"""),7.9)</f>
        <v>7.9</v>
      </c>
      <c r="L49" s="24">
        <f>IFERROR(__xludf.DUMMYFUNCTION("""COMPUTED_VALUE"""),11.0)</f>
        <v>11</v>
      </c>
      <c r="M49" s="25" t="str">
        <f>IFERROR(__xludf.DUMMYFUNCTION("""COMPUTED_VALUE"""),"Shooter")</f>
        <v>Shooter</v>
      </c>
      <c r="N49" s="25" t="str">
        <f>IFERROR(__xludf.DUMMYFUNCTION("""COMPUTED_VALUE"""),"PSP")</f>
        <v>PSP</v>
      </c>
      <c r="O49" s="26" t="str">
        <f>IFERROR(__xludf.DUMMYFUNCTION("""COMPUTED_VALUE"""),"Yes")</f>
        <v>Yes</v>
      </c>
      <c r="P49" s="26"/>
    </row>
    <row r="50">
      <c r="A50" s="13" t="str">
        <f>IFERROR(__xludf.DUMMYFUNCTION("""COMPUTED_VALUE"""),"Hot Shots Golf 2")</f>
        <v>Hot Shots Golf 2</v>
      </c>
      <c r="B50" s="15" t="str">
        <f>IFERROR(__xludf.DUMMYFUNCTION("""COMPUTED_VALUE"""),"PS5/PS4")</f>
        <v>PS5/PS4</v>
      </c>
      <c r="C50" s="16" t="str">
        <f>IFERROR(__xludf.DUMMYFUNCTION("""COMPUTED_VALUE"""),"Premium (Classics)")</f>
        <v>Premium (Classics)</v>
      </c>
      <c r="D50" s="15" t="str">
        <f>IFERROR(__xludf.DUMMYFUNCTION("""COMPUTED_VALUE"""),"Active")</f>
        <v>Active</v>
      </c>
      <c r="E50" s="17">
        <f>IFERROR(__xludf.DUMMYFUNCTION("""COMPUTED_VALUE"""),44943.0)</f>
        <v>44943</v>
      </c>
      <c r="F50" s="54"/>
      <c r="G50" s="19">
        <f>IFERROR(__xludf.DUMMYFUNCTION("""COMPUTED_VALUE"""),44.63333333333333)</f>
        <v>44.63333333</v>
      </c>
      <c r="H50" s="17">
        <f>IFERROR(__xludf.DUMMYFUNCTION("""COMPUTED_VALUE"""),36644.0)</f>
        <v>36644</v>
      </c>
      <c r="I50" s="19">
        <f>IFERROR(__xludf.DUMMYFUNCTION("""COMPUTED_VALUE"""),22.719444444444445)</f>
        <v>22.71944444</v>
      </c>
      <c r="J50" s="21">
        <f>IFERROR(__xludf.DUMMYFUNCTION("""COMPUTED_VALUE"""),81.0)</f>
        <v>81</v>
      </c>
      <c r="K50" s="23">
        <f>IFERROR(__xludf.DUMMYFUNCTION("""COMPUTED_VALUE"""),8.7)</f>
        <v>8.7</v>
      </c>
      <c r="L50" s="24">
        <f>IFERROR(__xludf.DUMMYFUNCTION("""COMPUTED_VALUE"""),17.0)</f>
        <v>17</v>
      </c>
      <c r="M50" s="25" t="str">
        <f>IFERROR(__xludf.DUMMYFUNCTION("""COMPUTED_VALUE"""),"Sports")</f>
        <v>Sports</v>
      </c>
      <c r="N50" s="25" t="str">
        <f>IFERROR(__xludf.DUMMYFUNCTION("""COMPUTED_VALUE"""),"PS1")</f>
        <v>PS1</v>
      </c>
      <c r="O50" s="26" t="str">
        <f>IFERROR(__xludf.DUMMYFUNCTION("""COMPUTED_VALUE"""),"Yes")</f>
        <v>Yes</v>
      </c>
      <c r="P50" s="26"/>
    </row>
    <row r="51">
      <c r="A51" s="13" t="str">
        <f>IFERROR(__xludf.DUMMYFUNCTION("""COMPUTED_VALUE"""),"Ridge Racer 2")</f>
        <v>Ridge Racer 2</v>
      </c>
      <c r="B51" s="15" t="str">
        <f>IFERROR(__xludf.DUMMYFUNCTION("""COMPUTED_VALUE"""),"PS5/PS4")</f>
        <v>PS5/PS4</v>
      </c>
      <c r="C51" s="16" t="str">
        <f>IFERROR(__xludf.DUMMYFUNCTION("""COMPUTED_VALUE"""),"Premium (Classics)")</f>
        <v>Premium (Classics)</v>
      </c>
      <c r="D51" s="15" t="str">
        <f>IFERROR(__xludf.DUMMYFUNCTION("""COMPUTED_VALUE"""),"Active")</f>
        <v>Active</v>
      </c>
      <c r="E51" s="17">
        <f>IFERROR(__xludf.DUMMYFUNCTION("""COMPUTED_VALUE"""),44915.0)</f>
        <v>44915</v>
      </c>
      <c r="F51" s="54"/>
      <c r="G51" s="19">
        <f>IFERROR(__xludf.DUMMYFUNCTION("""COMPUTED_VALUE"""),45.53333333333333)</f>
        <v>45.53333333</v>
      </c>
      <c r="H51" s="17">
        <f>IFERROR(__xludf.DUMMYFUNCTION("""COMPUTED_VALUE"""),38974.0)</f>
        <v>38974</v>
      </c>
      <c r="I51" s="19">
        <f>IFERROR(__xludf.DUMMYFUNCTION("""COMPUTED_VALUE"""),16.266666666666666)</f>
        <v>16.26666667</v>
      </c>
      <c r="J51" s="21">
        <f>IFERROR(__xludf.DUMMYFUNCTION("""COMPUTED_VALUE"""),81.0)</f>
        <v>81</v>
      </c>
      <c r="K51" s="23">
        <f>IFERROR(__xludf.DUMMYFUNCTION("""COMPUTED_VALUE"""),7.8)</f>
        <v>7.8</v>
      </c>
      <c r="L51" s="24">
        <f>IFERROR(__xludf.DUMMYFUNCTION("""COMPUTED_VALUE"""),11.0)</f>
        <v>11</v>
      </c>
      <c r="M51" s="25" t="str">
        <f>IFERROR(__xludf.DUMMYFUNCTION("""COMPUTED_VALUE"""),"Racing")</f>
        <v>Racing</v>
      </c>
      <c r="N51" s="25" t="str">
        <f>IFERROR(__xludf.DUMMYFUNCTION("""COMPUTED_VALUE"""),"PSP")</f>
        <v>PSP</v>
      </c>
      <c r="O51" s="26" t="str">
        <f>IFERROR(__xludf.DUMMYFUNCTION("""COMPUTED_VALUE"""),"Yes")</f>
        <v>Yes</v>
      </c>
      <c r="P51" s="26"/>
    </row>
    <row r="52">
      <c r="A52" s="13" t="str">
        <f>IFERROR(__xludf.DUMMYFUNCTION("""COMPUTED_VALUE"""),"Syphon Filter 2")</f>
        <v>Syphon Filter 2</v>
      </c>
      <c r="B52" s="15" t="str">
        <f>IFERROR(__xludf.DUMMYFUNCTION("""COMPUTED_VALUE"""),"PS5/PS4")</f>
        <v>PS5/PS4</v>
      </c>
      <c r="C52" s="16" t="str">
        <f>IFERROR(__xludf.DUMMYFUNCTION("""COMPUTED_VALUE"""),"Premium (Classics)")</f>
        <v>Premium (Classics)</v>
      </c>
      <c r="D52" s="15" t="str">
        <f>IFERROR(__xludf.DUMMYFUNCTION("""COMPUTED_VALUE"""),"Active")</f>
        <v>Active</v>
      </c>
      <c r="E52" s="17">
        <f>IFERROR(__xludf.DUMMYFUNCTION("""COMPUTED_VALUE"""),44824.0)</f>
        <v>44824</v>
      </c>
      <c r="F52" s="54"/>
      <c r="G52" s="19">
        <f>IFERROR(__xludf.DUMMYFUNCTION("""COMPUTED_VALUE"""),48.53333333333333)</f>
        <v>48.53333333</v>
      </c>
      <c r="H52" s="17">
        <f>IFERROR(__xludf.DUMMYFUNCTION("""COMPUTED_VALUE"""),36599.0)</f>
        <v>36599</v>
      </c>
      <c r="I52" s="19">
        <f>IFERROR(__xludf.DUMMYFUNCTION("""COMPUTED_VALUE"""),22.516666666666666)</f>
        <v>22.51666667</v>
      </c>
      <c r="J52" s="21">
        <f>IFERROR(__xludf.DUMMYFUNCTION("""COMPUTED_VALUE"""),81.0)</f>
        <v>81</v>
      </c>
      <c r="K52" s="23">
        <f>IFERROR(__xludf.DUMMYFUNCTION("""COMPUTED_VALUE"""),8.7)</f>
        <v>8.7</v>
      </c>
      <c r="L52" s="24">
        <f>IFERROR(__xludf.DUMMYFUNCTION("""COMPUTED_VALUE"""),10.0)</f>
        <v>10</v>
      </c>
      <c r="M52" s="25" t="str">
        <f>IFERROR(__xludf.DUMMYFUNCTION("""COMPUTED_VALUE"""),"Shooter")</f>
        <v>Shooter</v>
      </c>
      <c r="N52" s="25" t="str">
        <f>IFERROR(__xludf.DUMMYFUNCTION("""COMPUTED_VALUE"""),"PS1")</f>
        <v>PS1</v>
      </c>
      <c r="O52" s="26" t="str">
        <f>IFERROR(__xludf.DUMMYFUNCTION("""COMPUTED_VALUE"""),"Yes")</f>
        <v>Yes</v>
      </c>
      <c r="P52" s="26" t="str">
        <f>IFERROR(__xludf.DUMMYFUNCTION("""COMPUTED_VALUE"""),"")</f>
        <v/>
      </c>
    </row>
    <row r="53">
      <c r="A53" s="13" t="str">
        <f>IFERROR(__xludf.DUMMYFUNCTION("""COMPUTED_VALUE"""),"Worms World Party")</f>
        <v>Worms World Party</v>
      </c>
      <c r="B53" s="15" t="str">
        <f>IFERROR(__xludf.DUMMYFUNCTION("""COMPUTED_VALUE"""),"PS5/PS4")</f>
        <v>PS5/PS4</v>
      </c>
      <c r="C53" s="16" t="str">
        <f>IFERROR(__xludf.DUMMYFUNCTION("""COMPUTED_VALUE"""),"Premium (Classics)")</f>
        <v>Premium (Classics)</v>
      </c>
      <c r="D53" s="15" t="str">
        <f>IFERROR(__xludf.DUMMYFUNCTION("""COMPUTED_VALUE"""),"Active")</f>
        <v>Active</v>
      </c>
      <c r="E53" s="17">
        <f>IFERROR(__xludf.DUMMYFUNCTION("""COMPUTED_VALUE"""),44725.0)</f>
        <v>44725</v>
      </c>
      <c r="F53" s="54"/>
      <c r="G53" s="19">
        <f>IFERROR(__xludf.DUMMYFUNCTION("""COMPUTED_VALUE"""),51.766666666666666)</f>
        <v>51.76666667</v>
      </c>
      <c r="H53" s="17">
        <f>IFERROR(__xludf.DUMMYFUNCTION("""COMPUTED_VALUE"""),37134.0)</f>
        <v>37134</v>
      </c>
      <c r="I53" s="19">
        <f>IFERROR(__xludf.DUMMYFUNCTION("""COMPUTED_VALUE"""),20.78611111111111)</f>
        <v>20.78611111</v>
      </c>
      <c r="J53" s="21">
        <f>IFERROR(__xludf.DUMMYFUNCTION("""COMPUTED_VALUE"""),81.0)</f>
        <v>81</v>
      </c>
      <c r="K53" s="23">
        <f>IFERROR(__xludf.DUMMYFUNCTION("""COMPUTED_VALUE"""),8.4)</f>
        <v>8.4</v>
      </c>
      <c r="L53" s="24">
        <f>IFERROR(__xludf.DUMMYFUNCTION("""COMPUTED_VALUE"""),9.0)</f>
        <v>9</v>
      </c>
      <c r="M53" s="25" t="str">
        <f>IFERROR(__xludf.DUMMYFUNCTION("""COMPUTED_VALUE"""),"Strategy")</f>
        <v>Strategy</v>
      </c>
      <c r="N53" s="25" t="str">
        <f>IFERROR(__xludf.DUMMYFUNCTION("""COMPUTED_VALUE"""),"PS1")</f>
        <v>PS1</v>
      </c>
      <c r="O53" s="26" t="str">
        <f>IFERROR(__xludf.DUMMYFUNCTION("""COMPUTED_VALUE"""),"No")</f>
        <v>No</v>
      </c>
      <c r="P53" s="26" t="str">
        <f>IFERROR(__xludf.DUMMYFUNCTION("""COMPUTED_VALUE"""),"")</f>
        <v/>
      </c>
    </row>
    <row r="54">
      <c r="A54" s="13" t="str">
        <f>IFERROR(__xludf.DUMMYFUNCTION("""COMPUTED_VALUE"""),"Star Wars: Jedi Starfighter")</f>
        <v>Star Wars: Jedi Starfighter</v>
      </c>
      <c r="B54" s="15" t="str">
        <f>IFERROR(__xludf.DUMMYFUNCTION("""COMPUTED_VALUE"""),"PS4")</f>
        <v>PS4</v>
      </c>
      <c r="C54" s="16" t="str">
        <f>IFERROR(__xludf.DUMMYFUNCTION("""COMPUTED_VALUE"""),"Premium (Classics)")</f>
        <v>Premium (Classics)</v>
      </c>
      <c r="D54" s="15" t="str">
        <f>IFERROR(__xludf.DUMMYFUNCTION("""COMPUTED_VALUE"""),"Active")</f>
        <v>Active</v>
      </c>
      <c r="E54" s="17">
        <f>IFERROR(__xludf.DUMMYFUNCTION("""COMPUTED_VALUE"""),44725.0)</f>
        <v>44725</v>
      </c>
      <c r="F54" s="54"/>
      <c r="G54" s="19">
        <f>IFERROR(__xludf.DUMMYFUNCTION("""COMPUTED_VALUE"""),51.766666666666666)</f>
        <v>51.76666667</v>
      </c>
      <c r="H54" s="17">
        <f>IFERROR(__xludf.DUMMYFUNCTION("""COMPUTED_VALUE"""),37316.0)</f>
        <v>37316</v>
      </c>
      <c r="I54" s="19">
        <f>IFERROR(__xludf.DUMMYFUNCTION("""COMPUTED_VALUE"""),20.283333333333335)</f>
        <v>20.28333333</v>
      </c>
      <c r="J54" s="21">
        <f>IFERROR(__xludf.DUMMYFUNCTION("""COMPUTED_VALUE"""),81.0)</f>
        <v>81</v>
      </c>
      <c r="K54" s="23">
        <f>IFERROR(__xludf.DUMMYFUNCTION("""COMPUTED_VALUE"""),7.4)</f>
        <v>7.4</v>
      </c>
      <c r="L54" s="24">
        <f>IFERROR(__xludf.DUMMYFUNCTION("""COMPUTED_VALUE"""),8.0)</f>
        <v>8</v>
      </c>
      <c r="M54" s="25" t="str">
        <f>IFERROR(__xludf.DUMMYFUNCTION("""COMPUTED_VALUE"""),"Shooter")</f>
        <v>Shooter</v>
      </c>
      <c r="N54" s="25" t="str">
        <f>IFERROR(__xludf.DUMMYFUNCTION("""COMPUTED_VALUE"""),"PS2")</f>
        <v>PS2</v>
      </c>
      <c r="O54" s="26" t="str">
        <f>IFERROR(__xludf.DUMMYFUNCTION("""COMPUTED_VALUE"""),"Yes")</f>
        <v>Yes</v>
      </c>
      <c r="P54" s="26" t="str">
        <f>IFERROR(__xludf.DUMMYFUNCTION("""COMPUTED_VALUE"""),"")</f>
        <v/>
      </c>
    </row>
    <row r="55">
      <c r="A55" s="13" t="str">
        <f>IFERROR(__xludf.DUMMYFUNCTION("""COMPUTED_VALUE"""),"War of the Monsters")</f>
        <v>War of the Monsters</v>
      </c>
      <c r="B55" s="15" t="str">
        <f>IFERROR(__xludf.DUMMYFUNCTION("""COMPUTED_VALUE"""),"PS5/PS4")</f>
        <v>PS5/PS4</v>
      </c>
      <c r="C55" s="16" t="str">
        <f>IFERROR(__xludf.DUMMYFUNCTION("""COMPUTED_VALUE"""),"Premium (Classics)")</f>
        <v>Premium (Classics)</v>
      </c>
      <c r="D55" s="15" t="str">
        <f>IFERROR(__xludf.DUMMYFUNCTION("""COMPUTED_VALUE"""),"Active")</f>
        <v>Active</v>
      </c>
      <c r="E55" s="17">
        <f>IFERROR(__xludf.DUMMYFUNCTION("""COMPUTED_VALUE"""),45762.0)</f>
        <v>45762</v>
      </c>
      <c r="F55" s="54"/>
      <c r="G55" s="19">
        <f>IFERROR(__xludf.DUMMYFUNCTION("""COMPUTED_VALUE"""),17.700000000000003)</f>
        <v>17.7</v>
      </c>
      <c r="H55" s="17">
        <f>IFERROR(__xludf.DUMMYFUNCTION("""COMPUTED_VALUE"""),37635.0)</f>
        <v>37635</v>
      </c>
      <c r="I55" s="19">
        <f>IFERROR(__xludf.DUMMYFUNCTION("""COMPUTED_VALUE"""),22.252777777777776)</f>
        <v>22.25277778</v>
      </c>
      <c r="J55" s="21">
        <f>IFERROR(__xludf.DUMMYFUNCTION("""COMPUTED_VALUE"""),80.0)</f>
        <v>80</v>
      </c>
      <c r="K55" s="23">
        <f>IFERROR(__xludf.DUMMYFUNCTION("""COMPUTED_VALUE"""),8.0)</f>
        <v>8</v>
      </c>
      <c r="L55" s="24">
        <f>IFERROR(__xludf.DUMMYFUNCTION("""COMPUTED_VALUE"""),3.0)</f>
        <v>3</v>
      </c>
      <c r="M55" s="25" t="str">
        <f>IFERROR(__xludf.DUMMYFUNCTION("""COMPUTED_VALUE"""),"Fighting")</f>
        <v>Fighting</v>
      </c>
      <c r="N55" s="25" t="str">
        <f>IFERROR(__xludf.DUMMYFUNCTION("""COMPUTED_VALUE"""),"PS2")</f>
        <v>PS2</v>
      </c>
      <c r="O55" s="26"/>
      <c r="P55" s="26"/>
    </row>
    <row r="56">
      <c r="A56" s="13" t="str">
        <f>IFERROR(__xludf.DUMMYFUNCTION("""COMPUTED_VALUE"""),"Tomb Raider: Legend")</f>
        <v>Tomb Raider: Legend</v>
      </c>
      <c r="B56" s="15" t="str">
        <f>IFERROR(__xludf.DUMMYFUNCTION("""COMPUTED_VALUE"""),"PS5/PS4")</f>
        <v>PS5/PS4</v>
      </c>
      <c r="C56" s="16" t="str">
        <f>IFERROR(__xludf.DUMMYFUNCTION("""COMPUTED_VALUE"""),"Premium (Classics)")</f>
        <v>Premium (Classics)</v>
      </c>
      <c r="D56" s="15" t="str">
        <f>IFERROR(__xludf.DUMMYFUNCTION("""COMPUTED_VALUE"""),"Active")</f>
        <v>Active</v>
      </c>
      <c r="E56" s="17">
        <f>IFERROR(__xludf.DUMMYFUNCTION("""COMPUTED_VALUE"""),45454.0)</f>
        <v>45454</v>
      </c>
      <c r="F56" s="54"/>
      <c r="G56" s="19">
        <f>IFERROR(__xludf.DUMMYFUNCTION("""COMPUTED_VALUE"""),27.833333333333336)</f>
        <v>27.83333333</v>
      </c>
      <c r="H56" s="17">
        <f>IFERROR(__xludf.DUMMYFUNCTION("""COMPUTED_VALUE"""),38818.0)</f>
        <v>38818</v>
      </c>
      <c r="I56" s="19">
        <f>IFERROR(__xludf.DUMMYFUNCTION("""COMPUTED_VALUE"""),18.166666666666668)</f>
        <v>18.16666667</v>
      </c>
      <c r="J56" s="21">
        <f>IFERROR(__xludf.DUMMYFUNCTION("""COMPUTED_VALUE"""),80.0)</f>
        <v>80</v>
      </c>
      <c r="K56" s="23">
        <f>IFERROR(__xludf.DUMMYFUNCTION("""COMPUTED_VALUE"""),7.9)</f>
        <v>7.9</v>
      </c>
      <c r="L56" s="24">
        <f>IFERROR(__xludf.DUMMYFUNCTION("""COMPUTED_VALUE"""),7.0)</f>
        <v>7</v>
      </c>
      <c r="M56" s="25" t="str">
        <f>IFERROR(__xludf.DUMMYFUNCTION("""COMPUTED_VALUE"""),"Action-Adventure")</f>
        <v>Action-Adventure</v>
      </c>
      <c r="N56" s="25" t="str">
        <f>IFERROR(__xludf.DUMMYFUNCTION("""COMPUTED_VALUE"""),"PS2")</f>
        <v>PS2</v>
      </c>
      <c r="O56" s="26" t="str">
        <f>IFERROR(__xludf.DUMMYFUNCTION("""COMPUTED_VALUE"""),"Yes")</f>
        <v>Yes</v>
      </c>
      <c r="P56" s="26"/>
    </row>
    <row r="57">
      <c r="A57" s="13" t="str">
        <f>IFERROR(__xludf.DUMMYFUNCTION("""COMPUTED_VALUE"""),"Soulcalibur: Broken Destiny")</f>
        <v>Soulcalibur: Broken Destiny</v>
      </c>
      <c r="B57" s="15" t="str">
        <f>IFERROR(__xludf.DUMMYFUNCTION("""COMPUTED_VALUE"""),"PS5/PS4")</f>
        <v>PS5/PS4</v>
      </c>
      <c r="C57" s="16" t="str">
        <f>IFERROR(__xludf.DUMMYFUNCTION("""COMPUTED_VALUE"""),"Premium (Classics)")</f>
        <v>Premium (Classics)</v>
      </c>
      <c r="D57" s="15" t="str">
        <f>IFERROR(__xludf.DUMMYFUNCTION("""COMPUTED_VALUE"""),"Active")</f>
        <v>Active</v>
      </c>
      <c r="E57" s="17">
        <f>IFERROR(__xludf.DUMMYFUNCTION("""COMPUTED_VALUE"""),45216.0)</f>
        <v>45216</v>
      </c>
      <c r="F57" s="54"/>
      <c r="G57" s="19">
        <f>IFERROR(__xludf.DUMMYFUNCTION("""COMPUTED_VALUE"""),35.63333333333333)</f>
        <v>35.63333333</v>
      </c>
      <c r="H57" s="17">
        <f>IFERROR(__xludf.DUMMYFUNCTION("""COMPUTED_VALUE"""),40057.0)</f>
        <v>40057</v>
      </c>
      <c r="I57" s="19">
        <f>IFERROR(__xludf.DUMMYFUNCTION("""COMPUTED_VALUE"""),14.127777777777778)</f>
        <v>14.12777778</v>
      </c>
      <c r="J57" s="21">
        <f>IFERROR(__xludf.DUMMYFUNCTION("""COMPUTED_VALUE"""),80.0)</f>
        <v>80</v>
      </c>
      <c r="K57" s="23">
        <f>IFERROR(__xludf.DUMMYFUNCTION("""COMPUTED_VALUE"""),7.0)</f>
        <v>7</v>
      </c>
      <c r="L57" s="24">
        <f>IFERROR(__xludf.DUMMYFUNCTION("""COMPUTED_VALUE"""),4.0)</f>
        <v>4</v>
      </c>
      <c r="M57" s="25" t="str">
        <f>IFERROR(__xludf.DUMMYFUNCTION("""COMPUTED_VALUE"""),"Fighting")</f>
        <v>Fighting</v>
      </c>
      <c r="N57" s="25" t="str">
        <f>IFERROR(__xludf.DUMMYFUNCTION("""COMPUTED_VALUE"""),"PSP")</f>
        <v>PSP</v>
      </c>
      <c r="O57" s="26" t="str">
        <f>IFERROR(__xludf.DUMMYFUNCTION("""COMPUTED_VALUE"""),"Yes")</f>
        <v>Yes</v>
      </c>
      <c r="P57" s="26"/>
    </row>
    <row r="58">
      <c r="A58" s="13" t="str">
        <f>IFERROR(__xludf.DUMMYFUNCTION("""COMPUTED_VALUE"""),"Mr. Driller")</f>
        <v>Mr. Driller</v>
      </c>
      <c r="B58" s="15" t="str">
        <f>IFERROR(__xludf.DUMMYFUNCTION("""COMPUTED_VALUE"""),"PS5/PS4")</f>
        <v>PS5/PS4</v>
      </c>
      <c r="C58" s="16" t="str">
        <f>IFERROR(__xludf.DUMMYFUNCTION("""COMPUTED_VALUE"""),"Premium (Classics)")</f>
        <v>Premium (Classics)</v>
      </c>
      <c r="D58" s="15" t="str">
        <f>IFERROR(__xludf.DUMMYFUNCTION("""COMPUTED_VALUE"""),"Active")</f>
        <v>Active</v>
      </c>
      <c r="E58" s="17">
        <f>IFERROR(__xludf.DUMMYFUNCTION("""COMPUTED_VALUE"""),44725.0)</f>
        <v>44725</v>
      </c>
      <c r="F58" s="54"/>
      <c r="G58" s="19">
        <f>IFERROR(__xludf.DUMMYFUNCTION("""COMPUTED_VALUE"""),51.766666666666666)</f>
        <v>51.76666667</v>
      </c>
      <c r="H58" s="17">
        <f>IFERROR(__xludf.DUMMYFUNCTION("""COMPUTED_VALUE"""),36699.0)</f>
        <v>36699</v>
      </c>
      <c r="I58" s="19">
        <f>IFERROR(__xludf.DUMMYFUNCTION("""COMPUTED_VALUE"""),21.975)</f>
        <v>21.975</v>
      </c>
      <c r="J58" s="21">
        <f>IFERROR(__xludf.DUMMYFUNCTION("""COMPUTED_VALUE"""),80.0)</f>
        <v>80</v>
      </c>
      <c r="K58" s="23">
        <f>IFERROR(__xludf.DUMMYFUNCTION("""COMPUTED_VALUE"""),8.1)</f>
        <v>8.1</v>
      </c>
      <c r="L58" s="24"/>
      <c r="M58" s="25" t="str">
        <f>IFERROR(__xludf.DUMMYFUNCTION("""COMPUTED_VALUE"""),"Puzzle")</f>
        <v>Puzzle</v>
      </c>
      <c r="N58" s="25" t="str">
        <f>IFERROR(__xludf.DUMMYFUNCTION("""COMPUTED_VALUE"""),"PS1")</f>
        <v>PS1</v>
      </c>
      <c r="O58" s="26" t="str">
        <f>IFERROR(__xludf.DUMMYFUNCTION("""COMPUTED_VALUE"""),"No")</f>
        <v>No</v>
      </c>
      <c r="P58" s="26" t="str">
        <f>IFERROR(__xludf.DUMMYFUNCTION("""COMPUTED_VALUE"""),"")</f>
        <v/>
      </c>
    </row>
    <row r="59">
      <c r="A59" s="13" t="str">
        <f>IFERROR(__xludf.DUMMYFUNCTION("""COMPUTED_VALUE"""),"Resident Evil: Director's Cut")</f>
        <v>Resident Evil: Director's Cut</v>
      </c>
      <c r="B59" s="15" t="str">
        <f>IFERROR(__xludf.DUMMYFUNCTION("""COMPUTED_VALUE"""),"PS5/PS4")</f>
        <v>PS5/PS4</v>
      </c>
      <c r="C59" s="16" t="str">
        <f>IFERROR(__xludf.DUMMYFUNCTION("""COMPUTED_VALUE"""),"Premium (Classics)")</f>
        <v>Premium (Classics)</v>
      </c>
      <c r="D59" s="15" t="str">
        <f>IFERROR(__xludf.DUMMYFUNCTION("""COMPUTED_VALUE"""),"Active")</f>
        <v>Active</v>
      </c>
      <c r="E59" s="17">
        <f>IFERROR(__xludf.DUMMYFUNCTION("""COMPUTED_VALUE"""),44725.0)</f>
        <v>44725</v>
      </c>
      <c r="F59" s="54"/>
      <c r="G59" s="19">
        <f>IFERROR(__xludf.DUMMYFUNCTION("""COMPUTED_VALUE"""),51.766666666666666)</f>
        <v>51.76666667</v>
      </c>
      <c r="H59" s="17">
        <f>IFERROR(__xludf.DUMMYFUNCTION("""COMPUTED_VALUE"""),35125.0)</f>
        <v>35125</v>
      </c>
      <c r="I59" s="19">
        <f>IFERROR(__xludf.DUMMYFUNCTION("""COMPUTED_VALUE"""),26.283333333333335)</f>
        <v>26.28333333</v>
      </c>
      <c r="J59" s="21">
        <f>IFERROR(__xludf.DUMMYFUNCTION("""COMPUTED_VALUE"""),80.0)</f>
        <v>80</v>
      </c>
      <c r="K59" s="23">
        <f>IFERROR(__xludf.DUMMYFUNCTION("""COMPUTED_VALUE"""),8.0)</f>
        <v>8</v>
      </c>
      <c r="L59" s="24">
        <f>IFERROR(__xludf.DUMMYFUNCTION("""COMPUTED_VALUE"""),10.0)</f>
        <v>10</v>
      </c>
      <c r="M59" s="25" t="str">
        <f>IFERROR(__xludf.DUMMYFUNCTION("""COMPUTED_VALUE"""),"Survival")</f>
        <v>Survival</v>
      </c>
      <c r="N59" s="25" t="str">
        <f>IFERROR(__xludf.DUMMYFUNCTION("""COMPUTED_VALUE"""),"PS1")</f>
        <v>PS1</v>
      </c>
      <c r="O59" s="26" t="str">
        <f>IFERROR(__xludf.DUMMYFUNCTION("""COMPUTED_VALUE"""),"No")</f>
        <v>No</v>
      </c>
      <c r="P59" s="26" t="str">
        <f>IFERROR(__xludf.DUMMYFUNCTION("""COMPUTED_VALUE"""),"")</f>
        <v/>
      </c>
    </row>
    <row r="60">
      <c r="A60" s="13" t="str">
        <f>IFERROR(__xludf.DUMMYFUNCTION("""COMPUTED_VALUE"""),"Dark Cloud")</f>
        <v>Dark Cloud</v>
      </c>
      <c r="B60" s="15" t="str">
        <f>IFERROR(__xludf.DUMMYFUNCTION("""COMPUTED_VALUE"""),"PS4")</f>
        <v>PS4</v>
      </c>
      <c r="C60" s="16" t="str">
        <f>IFERROR(__xludf.DUMMYFUNCTION("""COMPUTED_VALUE"""),"Premium (Classics)")</f>
        <v>Premium (Classics)</v>
      </c>
      <c r="D60" s="15" t="str">
        <f>IFERROR(__xludf.DUMMYFUNCTION("""COMPUTED_VALUE"""),"Active")</f>
        <v>Active</v>
      </c>
      <c r="E60" s="17">
        <f>IFERROR(__xludf.DUMMYFUNCTION("""COMPUTED_VALUE"""),44725.0)</f>
        <v>44725</v>
      </c>
      <c r="F60" s="54"/>
      <c r="G60" s="19">
        <f>IFERROR(__xludf.DUMMYFUNCTION("""COMPUTED_VALUE"""),51.766666666666666)</f>
        <v>51.76666667</v>
      </c>
      <c r="H60" s="17">
        <f>IFERROR(__xludf.DUMMYFUNCTION("""COMPUTED_VALUE"""),37012.0)</f>
        <v>37012</v>
      </c>
      <c r="I60" s="19">
        <f>IFERROR(__xludf.DUMMYFUNCTION("""COMPUTED_VALUE"""),21.116666666666667)</f>
        <v>21.11666667</v>
      </c>
      <c r="J60" s="21">
        <f>IFERROR(__xludf.DUMMYFUNCTION("""COMPUTED_VALUE"""),80.0)</f>
        <v>80</v>
      </c>
      <c r="K60" s="23">
        <f>IFERROR(__xludf.DUMMYFUNCTION("""COMPUTED_VALUE"""),8.6)</f>
        <v>8.6</v>
      </c>
      <c r="L60" s="24">
        <f>IFERROR(__xludf.DUMMYFUNCTION("""COMPUTED_VALUE"""),40.0)</f>
        <v>40</v>
      </c>
      <c r="M60" s="25" t="str">
        <f>IFERROR(__xludf.DUMMYFUNCTION("""COMPUTED_VALUE"""),"RPG")</f>
        <v>RPG</v>
      </c>
      <c r="N60" s="25" t="str">
        <f>IFERROR(__xludf.DUMMYFUNCTION("""COMPUTED_VALUE"""),"PS2")</f>
        <v>PS2</v>
      </c>
      <c r="O60" s="26" t="str">
        <f>IFERROR(__xludf.DUMMYFUNCTION("""COMPUTED_VALUE"""),"Yes")</f>
        <v>Yes</v>
      </c>
      <c r="P60" s="26" t="str">
        <f>IFERROR(__xludf.DUMMYFUNCTION("""COMPUTED_VALUE"""),"")</f>
        <v/>
      </c>
    </row>
    <row r="61">
      <c r="A61" s="13" t="str">
        <f>IFERROR(__xludf.DUMMYFUNCTION("""COMPUTED_VALUE"""),"The Mark of Kri")</f>
        <v>The Mark of Kri</v>
      </c>
      <c r="B61" s="15" t="str">
        <f>IFERROR(__xludf.DUMMYFUNCTION("""COMPUTED_VALUE"""),"PS4")</f>
        <v>PS4</v>
      </c>
      <c r="C61" s="16" t="str">
        <f>IFERROR(__xludf.DUMMYFUNCTION("""COMPUTED_VALUE"""),"Premium (Classics)")</f>
        <v>Premium (Classics)</v>
      </c>
      <c r="D61" s="15" t="str">
        <f>IFERROR(__xludf.DUMMYFUNCTION("""COMPUTED_VALUE"""),"Active")</f>
        <v>Active</v>
      </c>
      <c r="E61" s="17">
        <f>IFERROR(__xludf.DUMMYFUNCTION("""COMPUTED_VALUE"""),44725.0)</f>
        <v>44725</v>
      </c>
      <c r="F61" s="54"/>
      <c r="G61" s="19">
        <f>IFERROR(__xludf.DUMMYFUNCTION("""COMPUTED_VALUE"""),51.766666666666666)</f>
        <v>51.76666667</v>
      </c>
      <c r="H61" s="17">
        <f>IFERROR(__xludf.DUMMYFUNCTION("""COMPUTED_VALUE"""),37438.0)</f>
        <v>37438</v>
      </c>
      <c r="I61" s="19">
        <f>IFERROR(__xludf.DUMMYFUNCTION("""COMPUTED_VALUE"""),19.95)</f>
        <v>19.95</v>
      </c>
      <c r="J61" s="21">
        <f>IFERROR(__xludf.DUMMYFUNCTION("""COMPUTED_VALUE"""),80.0)</f>
        <v>80</v>
      </c>
      <c r="K61" s="23">
        <f>IFERROR(__xludf.DUMMYFUNCTION("""COMPUTED_VALUE"""),6.6)</f>
        <v>6.6</v>
      </c>
      <c r="L61" s="24">
        <f>IFERROR(__xludf.DUMMYFUNCTION("""COMPUTED_VALUE"""),9.0)</f>
        <v>9</v>
      </c>
      <c r="M61" s="25" t="str">
        <f>IFERROR(__xludf.DUMMYFUNCTION("""COMPUTED_VALUE"""),"Action-Adventure")</f>
        <v>Action-Adventure</v>
      </c>
      <c r="N61" s="25" t="str">
        <f>IFERROR(__xludf.DUMMYFUNCTION("""COMPUTED_VALUE"""),"PS2")</f>
        <v>PS2</v>
      </c>
      <c r="O61" s="26" t="str">
        <f>IFERROR(__xludf.DUMMYFUNCTION("""COMPUTED_VALUE"""),"No")</f>
        <v>No</v>
      </c>
      <c r="P61" s="26" t="str">
        <f>IFERROR(__xludf.DUMMYFUNCTION("""COMPUTED_VALUE"""),"")</f>
        <v/>
      </c>
    </row>
    <row r="62">
      <c r="A62" s="13" t="str">
        <f>IFERROR(__xludf.DUMMYFUNCTION("""COMPUTED_VALUE"""),"War of the Monsters")</f>
        <v>War of the Monsters</v>
      </c>
      <c r="B62" s="15" t="str">
        <f>IFERROR(__xludf.DUMMYFUNCTION("""COMPUTED_VALUE"""),"PS4")</f>
        <v>PS4</v>
      </c>
      <c r="C62" s="16" t="str">
        <f>IFERROR(__xludf.DUMMYFUNCTION("""COMPUTED_VALUE"""),"Premium (Classics)")</f>
        <v>Premium (Classics)</v>
      </c>
      <c r="D62" s="15" t="str">
        <f>IFERROR(__xludf.DUMMYFUNCTION("""COMPUTED_VALUE"""),"Active")</f>
        <v>Active</v>
      </c>
      <c r="E62" s="17">
        <f>IFERROR(__xludf.DUMMYFUNCTION("""COMPUTED_VALUE"""),44725.0)</f>
        <v>44725</v>
      </c>
      <c r="F62" s="54"/>
      <c r="G62" s="19">
        <f>IFERROR(__xludf.DUMMYFUNCTION("""COMPUTED_VALUE"""),51.766666666666666)</f>
        <v>51.76666667</v>
      </c>
      <c r="H62" s="17">
        <f>IFERROR(__xludf.DUMMYFUNCTION("""COMPUTED_VALUE"""),37622.0)</f>
        <v>37622</v>
      </c>
      <c r="I62" s="19">
        <f>IFERROR(__xludf.DUMMYFUNCTION("""COMPUTED_VALUE"""),19.45)</f>
        <v>19.45</v>
      </c>
      <c r="J62" s="21">
        <f>IFERROR(__xludf.DUMMYFUNCTION("""COMPUTED_VALUE"""),80.0)</f>
        <v>80</v>
      </c>
      <c r="K62" s="23">
        <f>IFERROR(__xludf.DUMMYFUNCTION("""COMPUTED_VALUE"""),8.2)</f>
        <v>8.2</v>
      </c>
      <c r="L62" s="24">
        <f>IFERROR(__xludf.DUMMYFUNCTION("""COMPUTED_VALUE"""),6.0)</f>
        <v>6</v>
      </c>
      <c r="M62" s="25" t="str">
        <f>IFERROR(__xludf.DUMMYFUNCTION("""COMPUTED_VALUE"""),"Fighting")</f>
        <v>Fighting</v>
      </c>
      <c r="N62" s="25" t="str">
        <f>IFERROR(__xludf.DUMMYFUNCTION("""COMPUTED_VALUE"""),"PS2")</f>
        <v>PS2</v>
      </c>
      <c r="O62" s="26" t="str">
        <f>IFERROR(__xludf.DUMMYFUNCTION("""COMPUTED_VALUE"""),"No")</f>
        <v>No</v>
      </c>
      <c r="P62" s="26" t="str">
        <f>IFERROR(__xludf.DUMMYFUNCTION("""COMPUTED_VALUE"""),"")</f>
        <v/>
      </c>
    </row>
    <row r="63">
      <c r="A63" s="13" t="str">
        <f>IFERROR(__xludf.DUMMYFUNCTION("""COMPUTED_VALUE"""),"Resident Evil 3: Nemesis")</f>
        <v>Resident Evil 3: Nemesis</v>
      </c>
      <c r="B63" s="15" t="str">
        <f>IFERROR(__xludf.DUMMYFUNCTION("""COMPUTED_VALUE"""),"PS5/PS4")</f>
        <v>PS5/PS4</v>
      </c>
      <c r="C63" s="16" t="str">
        <f>IFERROR(__xludf.DUMMYFUNCTION("""COMPUTED_VALUE"""),"Premium (Classics)")</f>
        <v>Premium (Classics)</v>
      </c>
      <c r="D63" s="15" t="str">
        <f>IFERROR(__xludf.DUMMYFUNCTION("""COMPUTED_VALUE"""),"Active")</f>
        <v>Active</v>
      </c>
      <c r="E63" s="17">
        <f>IFERROR(__xludf.DUMMYFUNCTION("""COMPUTED_VALUE"""),45888.0)</f>
        <v>45888</v>
      </c>
      <c r="F63" s="54"/>
      <c r="G63" s="19">
        <f>IFERROR(__xludf.DUMMYFUNCTION("""COMPUTED_VALUE"""),13.566666666666666)</f>
        <v>13.56666667</v>
      </c>
      <c r="H63" s="17">
        <f>IFERROR(__xludf.DUMMYFUNCTION("""COMPUTED_VALUE"""),36475.0)</f>
        <v>36475</v>
      </c>
      <c r="I63" s="19">
        <f>IFERROR(__xludf.DUMMYFUNCTION("""COMPUTED_VALUE"""),25.772222222222222)</f>
        <v>25.77222222</v>
      </c>
      <c r="J63" s="21">
        <f>IFERROR(__xludf.DUMMYFUNCTION("""COMPUTED_VALUE"""),79.0)</f>
        <v>79</v>
      </c>
      <c r="K63" s="23">
        <f>IFERROR(__xludf.DUMMYFUNCTION("""COMPUTED_VALUE"""),6.7)</f>
        <v>6.7</v>
      </c>
      <c r="L63" s="24">
        <f>IFERROR(__xludf.DUMMYFUNCTION("""COMPUTED_VALUE"""),6.0)</f>
        <v>6</v>
      </c>
      <c r="M63" s="25" t="str">
        <f>IFERROR(__xludf.DUMMYFUNCTION("""COMPUTED_VALUE"""),"Survival")</f>
        <v>Survival</v>
      </c>
      <c r="N63" s="25" t="str">
        <f>IFERROR(__xludf.DUMMYFUNCTION("""COMPUTED_VALUE"""),"PS1")</f>
        <v>PS1</v>
      </c>
      <c r="O63" s="26"/>
      <c r="P63" s="26"/>
    </row>
    <row r="64">
      <c r="A64" s="13" t="str">
        <f>IFERROR(__xludf.DUMMYFUNCTION("""COMPUTED_VALUE"""),"Rally Cross")</f>
        <v>Rally Cross</v>
      </c>
      <c r="B64" s="15" t="str">
        <f>IFERROR(__xludf.DUMMYFUNCTION("""COMPUTED_VALUE"""),"PS5/PS4")</f>
        <v>PS5/PS4</v>
      </c>
      <c r="C64" s="16" t="str">
        <f>IFERROR(__xludf.DUMMYFUNCTION("""COMPUTED_VALUE"""),"Premium (Classics)")</f>
        <v>Premium (Classics)</v>
      </c>
      <c r="D64" s="15" t="str">
        <f>IFERROR(__xludf.DUMMYFUNCTION("""COMPUTED_VALUE"""),"Active")</f>
        <v>Active</v>
      </c>
      <c r="E64" s="17">
        <f>IFERROR(__xludf.DUMMYFUNCTION("""COMPUTED_VALUE"""),45307.0)</f>
        <v>45307</v>
      </c>
      <c r="F64" s="54"/>
      <c r="G64" s="19">
        <f>IFERROR(__xludf.DUMMYFUNCTION("""COMPUTED_VALUE"""),32.66666666666667)</f>
        <v>32.66666667</v>
      </c>
      <c r="H64" s="17">
        <f>IFERROR(__xludf.DUMMYFUNCTION("""COMPUTED_VALUE"""),35734.0)</f>
        <v>35734</v>
      </c>
      <c r="I64" s="19">
        <f>IFERROR(__xludf.DUMMYFUNCTION("""COMPUTED_VALUE"""),26.211111111111112)</f>
        <v>26.21111111</v>
      </c>
      <c r="J64" s="21">
        <f>IFERROR(__xludf.DUMMYFUNCTION("""COMPUTED_VALUE"""),79.0)</f>
        <v>79</v>
      </c>
      <c r="K64" s="23">
        <f>IFERROR(__xludf.DUMMYFUNCTION("""COMPUTED_VALUE"""),7.9)</f>
        <v>7.9</v>
      </c>
      <c r="L64" s="24">
        <f>IFERROR(__xludf.DUMMYFUNCTION("""COMPUTED_VALUE"""),7.0)</f>
        <v>7</v>
      </c>
      <c r="M64" s="25" t="str">
        <f>IFERROR(__xludf.DUMMYFUNCTION("""COMPUTED_VALUE"""),"Racing")</f>
        <v>Racing</v>
      </c>
      <c r="N64" s="25" t="str">
        <f>IFERROR(__xludf.DUMMYFUNCTION("""COMPUTED_VALUE"""),"PS1")</f>
        <v>PS1</v>
      </c>
      <c r="O64" s="26" t="str">
        <f>IFERROR(__xludf.DUMMYFUNCTION("""COMPUTED_VALUE"""),"Yes")</f>
        <v>Yes</v>
      </c>
      <c r="P64" s="26"/>
    </row>
    <row r="65">
      <c r="A65" s="13" t="str">
        <f>IFERROR(__xludf.DUMMYFUNCTION("""COMPUTED_VALUE"""),"echochrome")</f>
        <v>echochrome</v>
      </c>
      <c r="B65" s="15" t="str">
        <f>IFERROR(__xludf.DUMMYFUNCTION("""COMPUTED_VALUE"""),"PS5/PS4")</f>
        <v>PS5/PS4</v>
      </c>
      <c r="C65" s="16" t="str">
        <f>IFERROR(__xludf.DUMMYFUNCTION("""COMPUTED_VALUE"""),"Premium (Classics)")</f>
        <v>Premium (Classics)</v>
      </c>
      <c r="D65" s="15" t="str">
        <f>IFERROR(__xludf.DUMMYFUNCTION("""COMPUTED_VALUE"""),"Active")</f>
        <v>Active</v>
      </c>
      <c r="E65" s="17">
        <f>IFERROR(__xludf.DUMMYFUNCTION("""COMPUTED_VALUE"""),44725.0)</f>
        <v>44725</v>
      </c>
      <c r="F65" s="54"/>
      <c r="G65" s="19">
        <f>IFERROR(__xludf.DUMMYFUNCTION("""COMPUTED_VALUE"""),51.766666666666666)</f>
        <v>51.76666667</v>
      </c>
      <c r="H65" s="17">
        <f>IFERROR(__xludf.DUMMYFUNCTION("""COMPUTED_VALUE"""),39569.0)</f>
        <v>39569</v>
      </c>
      <c r="I65" s="19">
        <f>IFERROR(__xludf.DUMMYFUNCTION("""COMPUTED_VALUE"""),14.116666666666667)</f>
        <v>14.11666667</v>
      </c>
      <c r="J65" s="21">
        <f>IFERROR(__xludf.DUMMYFUNCTION("""COMPUTED_VALUE"""),79.0)</f>
        <v>79</v>
      </c>
      <c r="K65" s="23">
        <f>IFERROR(__xludf.DUMMYFUNCTION("""COMPUTED_VALUE"""),7.4)</f>
        <v>7.4</v>
      </c>
      <c r="L65" s="24">
        <f>IFERROR(__xludf.DUMMYFUNCTION("""COMPUTED_VALUE"""),4.0)</f>
        <v>4</v>
      </c>
      <c r="M65" s="25" t="str">
        <f>IFERROR(__xludf.DUMMYFUNCTION("""COMPUTED_VALUE"""),"Puzzle")</f>
        <v>Puzzle</v>
      </c>
      <c r="N65" s="25" t="str">
        <f>IFERROR(__xludf.DUMMYFUNCTION("""COMPUTED_VALUE"""),"PSP")</f>
        <v>PSP</v>
      </c>
      <c r="O65" s="26" t="str">
        <f>IFERROR(__xludf.DUMMYFUNCTION("""COMPUTED_VALUE"""),"No")</f>
        <v>No</v>
      </c>
      <c r="P65" s="26" t="str">
        <f>IFERROR(__xludf.DUMMYFUNCTION("""COMPUTED_VALUE"""),"")</f>
        <v/>
      </c>
    </row>
    <row r="66">
      <c r="A66" s="13" t="str">
        <f>IFERROR(__xludf.DUMMYFUNCTION("""COMPUTED_VALUE"""),"GAROU: Mark of the Wolves")</f>
        <v>GAROU: Mark of the Wolves</v>
      </c>
      <c r="B66" s="15" t="str">
        <f>IFERROR(__xludf.DUMMYFUNCTION("""COMPUTED_VALUE"""),"PS4")</f>
        <v>PS4</v>
      </c>
      <c r="C66" s="16" t="str">
        <f>IFERROR(__xludf.DUMMYFUNCTION("""COMPUTED_VALUE"""),"Premium (Classics)")</f>
        <v>Premium (Classics)</v>
      </c>
      <c r="D66" s="15" t="str">
        <f>IFERROR(__xludf.DUMMYFUNCTION("""COMPUTED_VALUE"""),"Active")</f>
        <v>Active</v>
      </c>
      <c r="E66" s="17">
        <f>IFERROR(__xludf.DUMMYFUNCTION("""COMPUTED_VALUE"""),43438.0)</f>
        <v>43438</v>
      </c>
      <c r="F66" s="54"/>
      <c r="G66" s="19">
        <f>IFERROR(__xludf.DUMMYFUNCTION("""COMPUTED_VALUE"""),94.06666666666666)</f>
        <v>94.06666667</v>
      </c>
      <c r="H66" s="17">
        <f>IFERROR(__xludf.DUMMYFUNCTION("""COMPUTED_VALUE"""),36490.0)</f>
        <v>36490</v>
      </c>
      <c r="I66" s="19">
        <f>IFERROR(__xludf.DUMMYFUNCTION("""COMPUTED_VALUE"""),19.022222222222222)</f>
        <v>19.02222222</v>
      </c>
      <c r="J66" s="21">
        <f>IFERROR(__xludf.DUMMYFUNCTION("""COMPUTED_VALUE"""),79.0)</f>
        <v>79</v>
      </c>
      <c r="K66" s="23">
        <f>IFERROR(__xludf.DUMMYFUNCTION("""COMPUTED_VALUE"""),8.5)</f>
        <v>8.5</v>
      </c>
      <c r="L66" s="24">
        <f>IFERROR(__xludf.DUMMYFUNCTION("""COMPUTED_VALUE"""),1.0)</f>
        <v>1</v>
      </c>
      <c r="M66" s="25" t="str">
        <f>IFERROR(__xludf.DUMMYFUNCTION("""COMPUTED_VALUE"""),"Fighting")</f>
        <v>Fighting</v>
      </c>
      <c r="N66" s="25" t="str">
        <f>IFERROR(__xludf.DUMMYFUNCTION("""COMPUTED_VALUE"""),"PS2")</f>
        <v>PS2</v>
      </c>
      <c r="O66" s="26" t="str">
        <f>IFERROR(__xludf.DUMMYFUNCTION("""COMPUTED_VALUE"""),"Yes")</f>
        <v>Yes</v>
      </c>
      <c r="P66" s="26"/>
    </row>
    <row r="67">
      <c r="A67" s="13" t="str">
        <f>IFERROR(__xludf.DUMMYFUNCTION("""COMPUTED_VALUE"""),"Super Star Wars")</f>
        <v>Super Star Wars</v>
      </c>
      <c r="B67" s="15" t="str">
        <f>IFERROR(__xludf.DUMMYFUNCTION("""COMPUTED_VALUE"""),"PS4")</f>
        <v>PS4</v>
      </c>
      <c r="C67" s="16" t="str">
        <f>IFERROR(__xludf.DUMMYFUNCTION("""COMPUTED_VALUE"""),"Premium (Classics)")</f>
        <v>Premium (Classics)</v>
      </c>
      <c r="D67" s="15" t="str">
        <f>IFERROR(__xludf.DUMMYFUNCTION("""COMPUTED_VALUE"""),"Active")</f>
        <v>Active</v>
      </c>
      <c r="E67" s="17">
        <f>IFERROR(__xludf.DUMMYFUNCTION("""COMPUTED_VALUE"""),43438.0)</f>
        <v>43438</v>
      </c>
      <c r="F67" s="54"/>
      <c r="G67" s="19">
        <f>IFERROR(__xludf.DUMMYFUNCTION("""COMPUTED_VALUE"""),94.06666666666666)</f>
        <v>94.06666667</v>
      </c>
      <c r="H67" s="17">
        <f>IFERROR(__xludf.DUMMYFUNCTION("""COMPUTED_VALUE"""),33909.0)</f>
        <v>33909</v>
      </c>
      <c r="I67" s="19">
        <f>IFERROR(__xludf.DUMMYFUNCTION("""COMPUTED_VALUE"""),26.091666666666665)</f>
        <v>26.09166667</v>
      </c>
      <c r="J67" s="21">
        <f>IFERROR(__xludf.DUMMYFUNCTION("""COMPUTED_VALUE"""),79.0)</f>
        <v>79</v>
      </c>
      <c r="K67" s="23">
        <f>IFERROR(__xludf.DUMMYFUNCTION("""COMPUTED_VALUE"""),8.1)</f>
        <v>8.1</v>
      </c>
      <c r="L67" s="24">
        <f>IFERROR(__xludf.DUMMYFUNCTION("""COMPUTED_VALUE"""),6.0)</f>
        <v>6</v>
      </c>
      <c r="M67" s="25" t="str">
        <f>IFERROR(__xludf.DUMMYFUNCTION("""COMPUTED_VALUE"""),"Shooter")</f>
        <v>Shooter</v>
      </c>
      <c r="N67" s="25" t="str">
        <f>IFERROR(__xludf.DUMMYFUNCTION("""COMPUTED_VALUE"""),"SNES")</f>
        <v>SNES</v>
      </c>
      <c r="O67" s="26" t="str">
        <f>IFERROR(__xludf.DUMMYFUNCTION("""COMPUTED_VALUE"""),"Yes")</f>
        <v>Yes</v>
      </c>
      <c r="P67" s="26"/>
    </row>
    <row r="68">
      <c r="A68" s="13" t="str">
        <f>IFERROR(__xludf.DUMMYFUNCTION("""COMPUTED_VALUE"""),"Armored Core: Project Phantasma")</f>
        <v>Armored Core: Project Phantasma</v>
      </c>
      <c r="B68" s="15" t="str">
        <f>IFERROR(__xludf.DUMMYFUNCTION("""COMPUTED_VALUE"""),"PS5/PS4")</f>
        <v>PS5/PS4</v>
      </c>
      <c r="C68" s="16" t="str">
        <f>IFERROR(__xludf.DUMMYFUNCTION("""COMPUTED_VALUE"""),"Premium (Classics)")</f>
        <v>Premium (Classics)</v>
      </c>
      <c r="D68" s="15" t="str">
        <f>IFERROR(__xludf.DUMMYFUNCTION("""COMPUTED_VALUE"""),"Active")</f>
        <v>Active</v>
      </c>
      <c r="E68" s="17">
        <f>IFERROR(__xludf.DUMMYFUNCTION("""COMPUTED_VALUE"""),45734.0)</f>
        <v>45734</v>
      </c>
      <c r="F68" s="54"/>
      <c r="G68" s="19">
        <f>IFERROR(__xludf.DUMMYFUNCTION("""COMPUTED_VALUE"""),18.6)</f>
        <v>18.6</v>
      </c>
      <c r="H68" s="17">
        <f>IFERROR(__xludf.DUMMYFUNCTION("""COMPUTED_VALUE"""),36042.0)</f>
        <v>36042</v>
      </c>
      <c r="I68" s="19">
        <f>IFERROR(__xludf.DUMMYFUNCTION("""COMPUTED_VALUE"""),26.538888888888888)</f>
        <v>26.53888889</v>
      </c>
      <c r="J68" s="21">
        <f>IFERROR(__xludf.DUMMYFUNCTION("""COMPUTED_VALUE"""),78.0)</f>
        <v>78</v>
      </c>
      <c r="K68" s="23">
        <f>IFERROR(__xludf.DUMMYFUNCTION("""COMPUTED_VALUE"""),8.1)</f>
        <v>8.1</v>
      </c>
      <c r="L68" s="24">
        <f>IFERROR(__xludf.DUMMYFUNCTION("""COMPUTED_VALUE"""),4.0)</f>
        <v>4</v>
      </c>
      <c r="M68" s="25" t="str">
        <f>IFERROR(__xludf.DUMMYFUNCTION("""COMPUTED_VALUE"""),"RPG")</f>
        <v>RPG</v>
      </c>
      <c r="N68" s="25" t="str">
        <f>IFERROR(__xludf.DUMMYFUNCTION("""COMPUTED_VALUE"""),"PS1")</f>
        <v>PS1</v>
      </c>
      <c r="O68" s="26" t="str">
        <f>IFERROR(__xludf.DUMMYFUNCTION("""COMPUTED_VALUE"""),"Yes")</f>
        <v>Yes</v>
      </c>
      <c r="P68" s="26"/>
    </row>
    <row r="69">
      <c r="A69" s="13" t="str">
        <f>IFERROR(__xludf.DUMMYFUNCTION("""COMPUTED_VALUE"""),"Dropship: United Peace Force")</f>
        <v>Dropship: United Peace Force</v>
      </c>
      <c r="B69" s="15" t="str">
        <f>IFERROR(__xludf.DUMMYFUNCTION("""COMPUTED_VALUE"""),"PS5/PS4")</f>
        <v>PS5/PS4</v>
      </c>
      <c r="C69" s="16" t="str">
        <f>IFERROR(__xludf.DUMMYFUNCTION("""COMPUTED_VALUE"""),"Premium (Classics)")</f>
        <v>Premium (Classics)</v>
      </c>
      <c r="D69" s="15" t="str">
        <f>IFERROR(__xludf.DUMMYFUNCTION("""COMPUTED_VALUE"""),"Active")</f>
        <v>Active</v>
      </c>
      <c r="E69" s="17">
        <f>IFERROR(__xludf.DUMMYFUNCTION("""COMPUTED_VALUE"""),45705.0)</f>
        <v>45705</v>
      </c>
      <c r="F69" s="54"/>
      <c r="G69" s="19">
        <f>IFERROR(__xludf.DUMMYFUNCTION("""COMPUTED_VALUE"""),19.633333333333333)</f>
        <v>19.63333333</v>
      </c>
      <c r="H69" s="17">
        <f>IFERROR(__xludf.DUMMYFUNCTION("""COMPUTED_VALUE"""),37405.0)</f>
        <v>37405</v>
      </c>
      <c r="I69" s="19">
        <f>IFERROR(__xludf.DUMMYFUNCTION("""COMPUTED_VALUE"""),22.716666666666665)</f>
        <v>22.71666667</v>
      </c>
      <c r="J69" s="21">
        <f>IFERROR(__xludf.DUMMYFUNCTION("""COMPUTED_VALUE"""),78.0)</f>
        <v>78</v>
      </c>
      <c r="K69" s="23">
        <f>IFERROR(__xludf.DUMMYFUNCTION("""COMPUTED_VALUE"""),8.8)</f>
        <v>8.8</v>
      </c>
      <c r="L69" s="24">
        <f>IFERROR(__xludf.DUMMYFUNCTION("""COMPUTED_VALUE"""),12.0)</f>
        <v>12</v>
      </c>
      <c r="M69" s="25" t="str">
        <f>IFERROR(__xludf.DUMMYFUNCTION("""COMPUTED_VALUE"""),"Simulation")</f>
        <v>Simulation</v>
      </c>
      <c r="N69" s="25" t="str">
        <f>IFERROR(__xludf.DUMMYFUNCTION("""COMPUTED_VALUE"""),"PS2")</f>
        <v>PS2</v>
      </c>
      <c r="O69" s="26" t="str">
        <f>IFERROR(__xludf.DUMMYFUNCTION("""COMPUTED_VALUE"""),"Yes")</f>
        <v>Yes</v>
      </c>
      <c r="P69" s="26"/>
    </row>
    <row r="70">
      <c r="A70" s="13" t="str">
        <f>IFERROR(__xludf.DUMMYFUNCTION("""COMPUTED_VALUE"""),"Cool Boarders")</f>
        <v>Cool Boarders</v>
      </c>
      <c r="B70" s="15" t="str">
        <f>IFERROR(__xludf.DUMMYFUNCTION("""COMPUTED_VALUE"""),"PS5/PS4")</f>
        <v>PS5/PS4</v>
      </c>
      <c r="C70" s="16" t="str">
        <f>IFERROR(__xludf.DUMMYFUNCTION("""COMPUTED_VALUE"""),"Premium (Classics)")</f>
        <v>Premium (Classics)</v>
      </c>
      <c r="D70" s="15" t="str">
        <f>IFERROR(__xludf.DUMMYFUNCTION("""COMPUTED_VALUE"""),"Active")</f>
        <v>Active</v>
      </c>
      <c r="E70" s="17">
        <f>IFERROR(__xludf.DUMMYFUNCTION("""COMPUTED_VALUE"""),45370.0)</f>
        <v>45370</v>
      </c>
      <c r="F70" s="54"/>
      <c r="G70" s="19">
        <f>IFERROR(__xludf.DUMMYFUNCTION("""COMPUTED_VALUE"""),30.566666666666663)</f>
        <v>30.56666667</v>
      </c>
      <c r="H70" s="17">
        <f>IFERROR(__xludf.DUMMYFUNCTION("""COMPUTED_VALUE"""),35307.0)</f>
        <v>35307</v>
      </c>
      <c r="I70" s="19">
        <f>IFERROR(__xludf.DUMMYFUNCTION("""COMPUTED_VALUE"""),27.552777777777777)</f>
        <v>27.55277778</v>
      </c>
      <c r="J70" s="21">
        <f>IFERROR(__xludf.DUMMYFUNCTION("""COMPUTED_VALUE"""),78.0)</f>
        <v>78</v>
      </c>
      <c r="K70" s="23">
        <f>IFERROR(__xludf.DUMMYFUNCTION("""COMPUTED_VALUE"""),5.3)</f>
        <v>5.3</v>
      </c>
      <c r="L70" s="24">
        <f>IFERROR(__xludf.DUMMYFUNCTION("""COMPUTED_VALUE"""),6.0)</f>
        <v>6</v>
      </c>
      <c r="M70" s="25" t="str">
        <f>IFERROR(__xludf.DUMMYFUNCTION("""COMPUTED_VALUE"""),"Sports")</f>
        <v>Sports</v>
      </c>
      <c r="N70" s="25" t="str">
        <f>IFERROR(__xludf.DUMMYFUNCTION("""COMPUTED_VALUE"""),"PS1")</f>
        <v>PS1</v>
      </c>
      <c r="O70" s="26" t="str">
        <f>IFERROR(__xludf.DUMMYFUNCTION("""COMPUTED_VALUE"""),"Yes")</f>
        <v>Yes</v>
      </c>
      <c r="P70" s="26"/>
    </row>
    <row r="71">
      <c r="A71" s="13" t="str">
        <f>IFERROR(__xludf.DUMMYFUNCTION("""COMPUTED_VALUE"""),"Twisted Metal 2")</f>
        <v>Twisted Metal 2</v>
      </c>
      <c r="B71" s="15" t="str">
        <f>IFERROR(__xludf.DUMMYFUNCTION("""COMPUTED_VALUE"""),"PS5/PS4")</f>
        <v>PS5/PS4</v>
      </c>
      <c r="C71" s="16" t="str">
        <f>IFERROR(__xludf.DUMMYFUNCTION("""COMPUTED_VALUE"""),"Premium (Classics)")</f>
        <v>Premium (Classics)</v>
      </c>
      <c r="D71" s="15" t="str">
        <f>IFERROR(__xludf.DUMMYFUNCTION("""COMPUTED_VALUE"""),"Active")</f>
        <v>Active</v>
      </c>
      <c r="E71" s="17">
        <f>IFERROR(__xludf.DUMMYFUNCTION("""COMPUTED_VALUE"""),45125.0)</f>
        <v>45125</v>
      </c>
      <c r="F71" s="54"/>
      <c r="G71" s="19">
        <f>IFERROR(__xludf.DUMMYFUNCTION("""COMPUTED_VALUE"""),38.6)</f>
        <v>38.6</v>
      </c>
      <c r="H71" s="17">
        <f>IFERROR(__xludf.DUMMYFUNCTION("""COMPUTED_VALUE"""),35369.0)</f>
        <v>35369</v>
      </c>
      <c r="I71" s="19">
        <f>IFERROR(__xludf.DUMMYFUNCTION("""COMPUTED_VALUE"""),26.716666666666665)</f>
        <v>26.71666667</v>
      </c>
      <c r="J71" s="21">
        <f>IFERROR(__xludf.DUMMYFUNCTION("""COMPUTED_VALUE"""),78.0)</f>
        <v>78</v>
      </c>
      <c r="K71" s="23">
        <f>IFERROR(__xludf.DUMMYFUNCTION("""COMPUTED_VALUE"""),8.8)</f>
        <v>8.8</v>
      </c>
      <c r="L71" s="24">
        <f>IFERROR(__xludf.DUMMYFUNCTION("""COMPUTED_VALUE"""),5.0)</f>
        <v>5</v>
      </c>
      <c r="M71" s="26" t="str">
        <f>IFERROR(__xludf.DUMMYFUNCTION("""COMPUTED_VALUE"""),"Driving")</f>
        <v>Driving</v>
      </c>
      <c r="N71" s="25" t="str">
        <f>IFERROR(__xludf.DUMMYFUNCTION("""COMPUTED_VALUE"""),"PS1")</f>
        <v>PS1</v>
      </c>
      <c r="O71" s="26" t="str">
        <f>IFERROR(__xludf.DUMMYFUNCTION("""COMPUTED_VALUE"""),"Yes")</f>
        <v>Yes</v>
      </c>
      <c r="P71" s="26"/>
    </row>
    <row r="72">
      <c r="A72" s="13" t="str">
        <f>IFERROR(__xludf.DUMMYFUNCTION("""COMPUTED_VALUE"""),"Herc's Adventures")</f>
        <v>Herc's Adventures</v>
      </c>
      <c r="B72" s="15" t="str">
        <f>IFERROR(__xludf.DUMMYFUNCTION("""COMPUTED_VALUE"""),"PS5/PS4")</f>
        <v>PS5/PS4</v>
      </c>
      <c r="C72" s="16" t="str">
        <f>IFERROR(__xludf.DUMMYFUNCTION("""COMPUTED_VALUE"""),"Premium (Classics)")</f>
        <v>Premium (Classics)</v>
      </c>
      <c r="D72" s="15" t="str">
        <f>IFERROR(__xludf.DUMMYFUNCTION("""COMPUTED_VALUE"""),"Active")</f>
        <v>Active</v>
      </c>
      <c r="E72" s="17">
        <f>IFERROR(__xludf.DUMMYFUNCTION("""COMPUTED_VALUE"""),45097.0)</f>
        <v>45097</v>
      </c>
      <c r="F72" s="54"/>
      <c r="G72" s="19">
        <f>IFERROR(__xludf.DUMMYFUNCTION("""COMPUTED_VALUE"""),39.53333333333333)</f>
        <v>39.53333333</v>
      </c>
      <c r="H72" s="17">
        <f>IFERROR(__xludf.DUMMYFUNCTION("""COMPUTED_VALUE"""),35642.0)</f>
        <v>35642</v>
      </c>
      <c r="I72" s="19">
        <f>IFERROR(__xludf.DUMMYFUNCTION("""COMPUTED_VALUE"""),25.88888888888889)</f>
        <v>25.88888889</v>
      </c>
      <c r="J72" s="21">
        <f>IFERROR(__xludf.DUMMYFUNCTION("""COMPUTED_VALUE"""),78.0)</f>
        <v>78</v>
      </c>
      <c r="K72" s="23">
        <f>IFERROR(__xludf.DUMMYFUNCTION("""COMPUTED_VALUE"""),7.8)</f>
        <v>7.8</v>
      </c>
      <c r="L72" s="24">
        <f>IFERROR(__xludf.DUMMYFUNCTION("""COMPUTED_VALUE"""),13.0)</f>
        <v>13</v>
      </c>
      <c r="M72" s="25" t="str">
        <f>IFERROR(__xludf.DUMMYFUNCTION("""COMPUTED_VALUE"""),"Action-Adventure")</f>
        <v>Action-Adventure</v>
      </c>
      <c r="N72" s="25" t="str">
        <f>IFERROR(__xludf.DUMMYFUNCTION("""COMPUTED_VALUE"""),"PS1")</f>
        <v>PS1</v>
      </c>
      <c r="O72" s="26" t="str">
        <f>IFERROR(__xludf.DUMMYFUNCTION("""COMPUTED_VALUE"""),"Yes")</f>
        <v>Yes</v>
      </c>
      <c r="P72" s="26"/>
    </row>
    <row r="73">
      <c r="A73" s="13" t="str">
        <f>IFERROR(__xludf.DUMMYFUNCTION("""COMPUTED_VALUE"""),"Wild Arms")</f>
        <v>Wild Arms</v>
      </c>
      <c r="B73" s="15" t="str">
        <f>IFERROR(__xludf.DUMMYFUNCTION("""COMPUTED_VALUE"""),"PS5/PS4")</f>
        <v>PS5/PS4</v>
      </c>
      <c r="C73" s="16" t="str">
        <f>IFERROR(__xludf.DUMMYFUNCTION("""COMPUTED_VALUE"""),"Premium (Classics)")</f>
        <v>Premium (Classics)</v>
      </c>
      <c r="D73" s="15" t="str">
        <f>IFERROR(__xludf.DUMMYFUNCTION("""COMPUTED_VALUE"""),"Active")</f>
        <v>Active</v>
      </c>
      <c r="E73" s="17">
        <f>IFERROR(__xludf.DUMMYFUNCTION("""COMPUTED_VALUE"""),44725.0)</f>
        <v>44725</v>
      </c>
      <c r="F73" s="54"/>
      <c r="G73" s="19">
        <f>IFERROR(__xludf.DUMMYFUNCTION("""COMPUTED_VALUE"""),51.766666666666666)</f>
        <v>51.76666667</v>
      </c>
      <c r="H73" s="17">
        <f>IFERROR(__xludf.DUMMYFUNCTION("""COMPUTED_VALUE"""),35550.0)</f>
        <v>35550</v>
      </c>
      <c r="I73" s="19">
        <f>IFERROR(__xludf.DUMMYFUNCTION("""COMPUTED_VALUE"""),25.119444444444444)</f>
        <v>25.11944444</v>
      </c>
      <c r="J73" s="21">
        <f>IFERROR(__xludf.DUMMYFUNCTION("""COMPUTED_VALUE"""),78.0)</f>
        <v>78</v>
      </c>
      <c r="K73" s="23">
        <f>IFERROR(__xludf.DUMMYFUNCTION("""COMPUTED_VALUE"""),8.7)</f>
        <v>8.7</v>
      </c>
      <c r="L73" s="24">
        <f>IFERROR(__xludf.DUMMYFUNCTION("""COMPUTED_VALUE"""),28.0)</f>
        <v>28</v>
      </c>
      <c r="M73" s="25" t="str">
        <f>IFERROR(__xludf.DUMMYFUNCTION("""COMPUTED_VALUE"""),"RPG")</f>
        <v>RPG</v>
      </c>
      <c r="N73" s="25" t="str">
        <f>IFERROR(__xludf.DUMMYFUNCTION("""COMPUTED_VALUE"""),"PS1")</f>
        <v>PS1</v>
      </c>
      <c r="O73" s="26" t="str">
        <f>IFERROR(__xludf.DUMMYFUNCTION("""COMPUTED_VALUE"""),"No")</f>
        <v>No</v>
      </c>
      <c r="P73" s="26" t="str">
        <f>IFERROR(__xludf.DUMMYFUNCTION("""COMPUTED_VALUE"""),"")</f>
        <v/>
      </c>
    </row>
    <row r="74">
      <c r="A74" s="13" t="str">
        <f>IFERROR(__xludf.DUMMYFUNCTION("""COMPUTED_VALUE"""),"Wild Arms 3")</f>
        <v>Wild Arms 3</v>
      </c>
      <c r="B74" s="15" t="str">
        <f>IFERROR(__xludf.DUMMYFUNCTION("""COMPUTED_VALUE"""),"PS4")</f>
        <v>PS4</v>
      </c>
      <c r="C74" s="16" t="str">
        <f>IFERROR(__xludf.DUMMYFUNCTION("""COMPUTED_VALUE"""),"Premium (Classics)")</f>
        <v>Premium (Classics)</v>
      </c>
      <c r="D74" s="15" t="str">
        <f>IFERROR(__xludf.DUMMYFUNCTION("""COMPUTED_VALUE"""),"Active")</f>
        <v>Active</v>
      </c>
      <c r="E74" s="17">
        <f>IFERROR(__xludf.DUMMYFUNCTION("""COMPUTED_VALUE"""),44725.0)</f>
        <v>44725</v>
      </c>
      <c r="F74" s="54"/>
      <c r="G74" s="19">
        <f>IFERROR(__xludf.DUMMYFUNCTION("""COMPUTED_VALUE"""),51.766666666666666)</f>
        <v>51.76666667</v>
      </c>
      <c r="H74" s="17">
        <f>IFERROR(__xludf.DUMMYFUNCTION("""COMPUTED_VALUE"""),37530.0)</f>
        <v>37530</v>
      </c>
      <c r="I74" s="19">
        <f>IFERROR(__xludf.DUMMYFUNCTION("""COMPUTED_VALUE"""),19.7)</f>
        <v>19.7</v>
      </c>
      <c r="J74" s="21">
        <f>IFERROR(__xludf.DUMMYFUNCTION("""COMPUTED_VALUE"""),78.0)</f>
        <v>78</v>
      </c>
      <c r="K74" s="23">
        <f>IFERROR(__xludf.DUMMYFUNCTION("""COMPUTED_VALUE"""),8.5)</f>
        <v>8.5</v>
      </c>
      <c r="L74" s="24">
        <f>IFERROR(__xludf.DUMMYFUNCTION("""COMPUTED_VALUE"""),45.0)</f>
        <v>45</v>
      </c>
      <c r="M74" s="25" t="str">
        <f>IFERROR(__xludf.DUMMYFUNCTION("""COMPUTED_VALUE"""),"RPG")</f>
        <v>RPG</v>
      </c>
      <c r="N74" s="25" t="str">
        <f>IFERROR(__xludf.DUMMYFUNCTION("""COMPUTED_VALUE"""),"PS2")</f>
        <v>PS2</v>
      </c>
      <c r="O74" s="26" t="str">
        <f>IFERROR(__xludf.DUMMYFUNCTION("""COMPUTED_VALUE"""),"Yes")</f>
        <v>Yes</v>
      </c>
      <c r="P74" s="26" t="str">
        <f>IFERROR(__xludf.DUMMYFUNCTION("""COMPUTED_VALUE"""),"")</f>
        <v/>
      </c>
    </row>
    <row r="75">
      <c r="A75" s="13" t="str">
        <f>IFERROR(__xludf.DUMMYFUNCTION("""COMPUTED_VALUE"""),"Tomb Raider: Anniversary")</f>
        <v>Tomb Raider: Anniversary</v>
      </c>
      <c r="B75" s="15" t="str">
        <f>IFERROR(__xludf.DUMMYFUNCTION("""COMPUTED_VALUE"""),"PS5/PS4")</f>
        <v>PS5/PS4</v>
      </c>
      <c r="C75" s="16" t="str">
        <f>IFERROR(__xludf.DUMMYFUNCTION("""COMPUTED_VALUE"""),"Premium (Classics)")</f>
        <v>Premium (Classics)</v>
      </c>
      <c r="D75" s="15" t="str">
        <f>IFERROR(__xludf.DUMMYFUNCTION("""COMPUTED_VALUE"""),"Active")</f>
        <v>Active</v>
      </c>
      <c r="E75" s="17">
        <f>IFERROR(__xludf.DUMMYFUNCTION("""COMPUTED_VALUE"""),45979.0)</f>
        <v>45979</v>
      </c>
      <c r="F75" s="54"/>
      <c r="G75" s="19">
        <f>IFERROR(__xludf.DUMMYFUNCTION("""COMPUTED_VALUE"""),10.6)</f>
        <v>10.6</v>
      </c>
      <c r="H75" s="17">
        <f>IFERROR(__xludf.DUMMYFUNCTION("""COMPUTED_VALUE"""),39378.0)</f>
        <v>39378</v>
      </c>
      <c r="I75" s="19">
        <f>IFERROR(__xludf.DUMMYFUNCTION("""COMPUTED_VALUE"""),18.069444444444443)</f>
        <v>18.06944444</v>
      </c>
      <c r="J75" s="21">
        <f>IFERROR(__xludf.DUMMYFUNCTION("""COMPUTED_VALUE"""),77.0)</f>
        <v>77</v>
      </c>
      <c r="K75" s="23">
        <f>IFERROR(__xludf.DUMMYFUNCTION("""COMPUTED_VALUE"""),7.9)</f>
        <v>7.9</v>
      </c>
      <c r="L75" s="24">
        <f>IFERROR(__xludf.DUMMYFUNCTION("""COMPUTED_VALUE"""),13.0)</f>
        <v>13</v>
      </c>
      <c r="M75" s="25" t="str">
        <f>IFERROR(__xludf.DUMMYFUNCTION("""COMPUTED_VALUE"""),"Action-Adventure")</f>
        <v>Action-Adventure</v>
      </c>
      <c r="N75" s="25" t="str">
        <f>IFERROR(__xludf.DUMMYFUNCTION("""COMPUTED_VALUE"""),"PS2")</f>
        <v>PS2</v>
      </c>
      <c r="O75" s="26" t="str">
        <f>IFERROR(__xludf.DUMMYFUNCTION("""COMPUTED_VALUE"""),"No")</f>
        <v>No</v>
      </c>
      <c r="P75" s="26"/>
    </row>
    <row r="76">
      <c r="A76" s="13" t="str">
        <f>IFERROR(__xludf.DUMMYFUNCTION("""COMPUTED_VALUE"""),"Jet Moto 2")</f>
        <v>Jet Moto 2</v>
      </c>
      <c r="B76" s="15" t="str">
        <f>IFERROR(__xludf.DUMMYFUNCTION("""COMPUTED_VALUE"""),"PS5/PS4")</f>
        <v>PS5/PS4</v>
      </c>
      <c r="C76" s="16" t="str">
        <f>IFERROR(__xludf.DUMMYFUNCTION("""COMPUTED_VALUE"""),"Premium (Classics)")</f>
        <v>Premium (Classics)</v>
      </c>
      <c r="D76" s="15" t="str">
        <f>IFERROR(__xludf.DUMMYFUNCTION("""COMPUTED_VALUE"""),"Active")</f>
        <v>Active</v>
      </c>
      <c r="E76" s="17">
        <f>IFERROR(__xludf.DUMMYFUNCTION("""COMPUTED_VALUE"""),45342.0)</f>
        <v>45342</v>
      </c>
      <c r="F76" s="54"/>
      <c r="G76" s="19">
        <f>IFERROR(__xludf.DUMMYFUNCTION("""COMPUTED_VALUE"""),31.53333333333333)</f>
        <v>31.53333333</v>
      </c>
      <c r="H76" s="17">
        <f>IFERROR(__xludf.DUMMYFUNCTION("""COMPUTED_VALUE"""),35734.0)</f>
        <v>35734</v>
      </c>
      <c r="I76" s="19">
        <f>IFERROR(__xludf.DUMMYFUNCTION("""COMPUTED_VALUE"""),26.305555555555557)</f>
        <v>26.30555556</v>
      </c>
      <c r="J76" s="21">
        <f>IFERROR(__xludf.DUMMYFUNCTION("""COMPUTED_VALUE"""),77.0)</f>
        <v>77</v>
      </c>
      <c r="K76" s="23">
        <f>IFERROR(__xludf.DUMMYFUNCTION("""COMPUTED_VALUE"""),7.8)</f>
        <v>7.8</v>
      </c>
      <c r="L76" s="24">
        <f>IFERROR(__xludf.DUMMYFUNCTION("""COMPUTED_VALUE"""),6.0)</f>
        <v>6</v>
      </c>
      <c r="M76" s="25" t="str">
        <f>IFERROR(__xludf.DUMMYFUNCTION("""COMPUTED_VALUE"""),"Racing")</f>
        <v>Racing</v>
      </c>
      <c r="N76" s="25" t="str">
        <f>IFERROR(__xludf.DUMMYFUNCTION("""COMPUTED_VALUE"""),"PS1")</f>
        <v>PS1</v>
      </c>
      <c r="O76" s="26" t="str">
        <f>IFERROR(__xludf.DUMMYFUNCTION("""COMPUTED_VALUE"""),"Yes")</f>
        <v>Yes</v>
      </c>
      <c r="P76" s="26"/>
    </row>
    <row r="77">
      <c r="A77" s="13" t="str">
        <f>IFERROR(__xludf.DUMMYFUNCTION("""COMPUTED_VALUE"""),"Killzone: Liberation")</f>
        <v>Killzone: Liberation</v>
      </c>
      <c r="B77" s="15" t="str">
        <f>IFERROR(__xludf.DUMMYFUNCTION("""COMPUTED_VALUE"""),"PS5/PS4")</f>
        <v>PS5/PS4</v>
      </c>
      <c r="C77" s="16" t="str">
        <f>IFERROR(__xludf.DUMMYFUNCTION("""COMPUTED_VALUE"""),"Premium (Classics)")</f>
        <v>Premium (Classics)</v>
      </c>
      <c r="D77" s="15" t="str">
        <f>IFERROR(__xludf.DUMMYFUNCTION("""COMPUTED_VALUE"""),"Active")</f>
        <v>Active</v>
      </c>
      <c r="E77" s="17">
        <f>IFERROR(__xludf.DUMMYFUNCTION("""COMPUTED_VALUE"""),45097.0)</f>
        <v>45097</v>
      </c>
      <c r="F77" s="54"/>
      <c r="G77" s="19">
        <f>IFERROR(__xludf.DUMMYFUNCTION("""COMPUTED_VALUE"""),39.53333333333333)</f>
        <v>39.53333333</v>
      </c>
      <c r="H77" s="17">
        <f>IFERROR(__xludf.DUMMYFUNCTION("""COMPUTED_VALUE"""),39021.0)</f>
        <v>39021</v>
      </c>
      <c r="I77" s="19">
        <f>IFERROR(__xludf.DUMMYFUNCTION("""COMPUTED_VALUE"""),16.63888888888889)</f>
        <v>16.63888889</v>
      </c>
      <c r="J77" s="21">
        <f>IFERROR(__xludf.DUMMYFUNCTION("""COMPUTED_VALUE"""),77.0)</f>
        <v>77</v>
      </c>
      <c r="K77" s="23">
        <f>IFERROR(__xludf.DUMMYFUNCTION("""COMPUTED_VALUE"""),7.9)</f>
        <v>7.9</v>
      </c>
      <c r="L77" s="24">
        <f>IFERROR(__xludf.DUMMYFUNCTION("""COMPUTED_VALUE"""),8.0)</f>
        <v>8</v>
      </c>
      <c r="M77" s="25" t="str">
        <f>IFERROR(__xludf.DUMMYFUNCTION("""COMPUTED_VALUE"""),"Shooter")</f>
        <v>Shooter</v>
      </c>
      <c r="N77" s="25" t="str">
        <f>IFERROR(__xludf.DUMMYFUNCTION("""COMPUTED_VALUE"""),"PSP")</f>
        <v>PSP</v>
      </c>
      <c r="O77" s="26" t="str">
        <f>IFERROR(__xludf.DUMMYFUNCTION("""COMPUTED_VALUE"""),"Yes")</f>
        <v>Yes</v>
      </c>
      <c r="P77" s="26"/>
    </row>
    <row r="78">
      <c r="A78" s="13" t="str">
        <f>IFERROR(__xludf.DUMMYFUNCTION("""COMPUTED_VALUE"""),"Kinetica")</f>
        <v>Kinetica</v>
      </c>
      <c r="B78" s="15" t="str">
        <f>IFERROR(__xludf.DUMMYFUNCTION("""COMPUTED_VALUE"""),"PS4")</f>
        <v>PS4</v>
      </c>
      <c r="C78" s="16" t="str">
        <f>IFERROR(__xludf.DUMMYFUNCTION("""COMPUTED_VALUE"""),"Premium (Classics)")</f>
        <v>Premium (Classics)</v>
      </c>
      <c r="D78" s="15" t="str">
        <f>IFERROR(__xludf.DUMMYFUNCTION("""COMPUTED_VALUE"""),"Active")</f>
        <v>Active</v>
      </c>
      <c r="E78" s="17">
        <f>IFERROR(__xludf.DUMMYFUNCTION("""COMPUTED_VALUE"""),44725.0)</f>
        <v>44725</v>
      </c>
      <c r="F78" s="54"/>
      <c r="G78" s="19">
        <f>IFERROR(__xludf.DUMMYFUNCTION("""COMPUTED_VALUE"""),51.766666666666666)</f>
        <v>51.76666667</v>
      </c>
      <c r="H78" s="17">
        <f>IFERROR(__xludf.DUMMYFUNCTION("""COMPUTED_VALUE"""),37165.0)</f>
        <v>37165</v>
      </c>
      <c r="I78" s="19">
        <f>IFERROR(__xludf.DUMMYFUNCTION("""COMPUTED_VALUE"""),20.7)</f>
        <v>20.7</v>
      </c>
      <c r="J78" s="21">
        <f>IFERROR(__xludf.DUMMYFUNCTION("""COMPUTED_VALUE"""),77.0)</f>
        <v>77</v>
      </c>
      <c r="K78" s="23">
        <f>IFERROR(__xludf.DUMMYFUNCTION("""COMPUTED_VALUE"""),7.8)</f>
        <v>7.8</v>
      </c>
      <c r="L78" s="24">
        <f>IFERROR(__xludf.DUMMYFUNCTION("""COMPUTED_VALUE"""),4.0)</f>
        <v>4</v>
      </c>
      <c r="M78" s="25" t="str">
        <f>IFERROR(__xludf.DUMMYFUNCTION("""COMPUTED_VALUE"""),"Racing")</f>
        <v>Racing</v>
      </c>
      <c r="N78" s="25" t="str">
        <f>IFERROR(__xludf.DUMMYFUNCTION("""COMPUTED_VALUE"""),"PS2")</f>
        <v>PS2</v>
      </c>
      <c r="O78" s="26" t="str">
        <f>IFERROR(__xludf.DUMMYFUNCTION("""COMPUTED_VALUE"""),"Yes")</f>
        <v>Yes</v>
      </c>
      <c r="P78" s="26" t="str">
        <f>IFERROR(__xludf.DUMMYFUNCTION("""COMPUTED_VALUE"""),"")</f>
        <v/>
      </c>
    </row>
    <row r="79">
      <c r="A79" s="13" t="str">
        <f>IFERROR(__xludf.DUMMYFUNCTION("""COMPUTED_VALUE"""),"Battle Engine Aquila")</f>
        <v>Battle Engine Aquila</v>
      </c>
      <c r="B79" s="15" t="str">
        <f>IFERROR(__xludf.DUMMYFUNCTION("""COMPUTED_VALUE"""),"PS5/PS4")</f>
        <v>PS5/PS4</v>
      </c>
      <c r="C79" s="16" t="str">
        <f>IFERROR(__xludf.DUMMYFUNCTION("""COMPUTED_VALUE"""),"Premium (Classics)")</f>
        <v>Premium (Classics)</v>
      </c>
      <c r="D79" s="15" t="str">
        <f>IFERROR(__xludf.DUMMYFUNCTION("""COMPUTED_VALUE"""),"Active")</f>
        <v>Active</v>
      </c>
      <c r="E79" s="17">
        <f>IFERROR(__xludf.DUMMYFUNCTION("""COMPUTED_VALUE"""),45797.0)</f>
        <v>45797</v>
      </c>
      <c r="F79" s="54"/>
      <c r="G79" s="19">
        <f>IFERROR(__xludf.DUMMYFUNCTION("""COMPUTED_VALUE"""),16.53333333333333)</f>
        <v>16.53333333</v>
      </c>
      <c r="H79" s="17">
        <f>IFERROR(__xludf.DUMMYFUNCTION("""COMPUTED_VALUE"""),37641.0)</f>
        <v>37641</v>
      </c>
      <c r="I79" s="19">
        <f>IFERROR(__xludf.DUMMYFUNCTION("""COMPUTED_VALUE"""),22.333333333333332)</f>
        <v>22.33333333</v>
      </c>
      <c r="J79" s="21">
        <f>IFERROR(__xludf.DUMMYFUNCTION("""COMPUTED_VALUE"""),76.0)</f>
        <v>76</v>
      </c>
      <c r="K79" s="23">
        <f>IFERROR(__xludf.DUMMYFUNCTION("""COMPUTED_VALUE"""),3.0)</f>
        <v>3</v>
      </c>
      <c r="L79" s="24">
        <f>IFERROR(__xludf.DUMMYFUNCTION("""COMPUTED_VALUE"""),5.0)</f>
        <v>5</v>
      </c>
      <c r="M79" s="25" t="str">
        <f>IFERROR(__xludf.DUMMYFUNCTION("""COMPUTED_VALUE"""),"Shooter")</f>
        <v>Shooter</v>
      </c>
      <c r="N79" s="25" t="str">
        <f>IFERROR(__xludf.DUMMYFUNCTION("""COMPUTED_VALUE"""),"PS2")</f>
        <v>PS2</v>
      </c>
      <c r="O79" s="26"/>
      <c r="P79" s="26"/>
    </row>
    <row r="80">
      <c r="A80" s="13" t="str">
        <f>IFERROR(__xludf.DUMMYFUNCTION("""COMPUTED_VALUE"""),"Blood Omen 2")</f>
        <v>Blood Omen 2</v>
      </c>
      <c r="B80" s="15" t="str">
        <f>IFERROR(__xludf.DUMMYFUNCTION("""COMPUTED_VALUE"""),"PS5/PS4")</f>
        <v>PS5/PS4</v>
      </c>
      <c r="C80" s="16" t="str">
        <f>IFERROR(__xludf.DUMMYFUNCTION("""COMPUTED_VALUE"""),"Premium (Classics)")</f>
        <v>Premium (Classics)</v>
      </c>
      <c r="D80" s="15" t="str">
        <f>IFERROR(__xludf.DUMMYFUNCTION("""COMPUTED_VALUE"""),"Active")</f>
        <v>Active</v>
      </c>
      <c r="E80" s="17">
        <f>IFERROR(__xludf.DUMMYFUNCTION("""COMPUTED_VALUE"""),45615.0)</f>
        <v>45615</v>
      </c>
      <c r="F80" s="54"/>
      <c r="G80" s="19">
        <f>IFERROR(__xludf.DUMMYFUNCTION("""COMPUTED_VALUE"""),22.566666666666666)</f>
        <v>22.56666667</v>
      </c>
      <c r="H80" s="17">
        <f>IFERROR(__xludf.DUMMYFUNCTION("""COMPUTED_VALUE"""),37336.0)</f>
        <v>37336</v>
      </c>
      <c r="I80" s="19">
        <f>IFERROR(__xludf.DUMMYFUNCTION("""COMPUTED_VALUE"""),22.66111111111111)</f>
        <v>22.66111111</v>
      </c>
      <c r="J80" s="21">
        <f>IFERROR(__xludf.DUMMYFUNCTION("""COMPUTED_VALUE"""),76.0)</f>
        <v>76</v>
      </c>
      <c r="K80" s="23">
        <f>IFERROR(__xludf.DUMMYFUNCTION("""COMPUTED_VALUE"""),7.4)</f>
        <v>7.4</v>
      </c>
      <c r="L80" s="24">
        <f>IFERROR(__xludf.DUMMYFUNCTION("""COMPUTED_VALUE"""),13.0)</f>
        <v>13</v>
      </c>
      <c r="M80" s="25" t="str">
        <f>IFERROR(__xludf.DUMMYFUNCTION("""COMPUTED_VALUE"""),"Survival")</f>
        <v>Survival</v>
      </c>
      <c r="N80" s="25" t="str">
        <f>IFERROR(__xludf.DUMMYFUNCTION("""COMPUTED_VALUE"""),"PS2")</f>
        <v>PS2</v>
      </c>
      <c r="O80" s="26" t="str">
        <f>IFERROR(__xludf.DUMMYFUNCTION("""COMPUTED_VALUE"""),"Yes")</f>
        <v>Yes</v>
      </c>
      <c r="P80" s="26"/>
    </row>
    <row r="81">
      <c r="A81" s="13" t="str">
        <f>IFERROR(__xludf.DUMMYFUNCTION("""COMPUTED_VALUE"""),"R-Type Dimensions EX")</f>
        <v>R-Type Dimensions EX</v>
      </c>
      <c r="B81" s="15" t="str">
        <f>IFERROR(__xludf.DUMMYFUNCTION("""COMPUTED_VALUE"""),"PS4")</f>
        <v>PS4</v>
      </c>
      <c r="C81" s="16" t="str">
        <f>IFERROR(__xludf.DUMMYFUNCTION("""COMPUTED_VALUE"""),"Premium (Classics)")</f>
        <v>Premium (Classics)</v>
      </c>
      <c r="D81" s="15" t="str">
        <f>IFERROR(__xludf.DUMMYFUNCTION("""COMPUTED_VALUE"""),"Active")</f>
        <v>Active</v>
      </c>
      <c r="E81" s="17">
        <f>IFERROR(__xludf.DUMMYFUNCTION("""COMPUTED_VALUE"""),45580.0)</f>
        <v>45580</v>
      </c>
      <c r="F81" s="54"/>
      <c r="G81" s="19">
        <f>IFERROR(__xludf.DUMMYFUNCTION("""COMPUTED_VALUE"""),23.700000000000003)</f>
        <v>23.7</v>
      </c>
      <c r="H81" s="17">
        <f>IFERROR(__xludf.DUMMYFUNCTION("""COMPUTED_VALUE"""),39848.0)</f>
        <v>39848</v>
      </c>
      <c r="I81" s="19">
        <f>IFERROR(__xludf.DUMMYFUNCTION("""COMPUTED_VALUE"""),15.697222222222223)</f>
        <v>15.69722222</v>
      </c>
      <c r="J81" s="21">
        <f>IFERROR(__xludf.DUMMYFUNCTION("""COMPUTED_VALUE"""),76.0)</f>
        <v>76</v>
      </c>
      <c r="K81" s="23">
        <f>IFERROR(__xludf.DUMMYFUNCTION("""COMPUTED_VALUE"""),7.5)</f>
        <v>7.5</v>
      </c>
      <c r="L81" s="24">
        <f>IFERROR(__xludf.DUMMYFUNCTION("""COMPUTED_VALUE"""),1.0)</f>
        <v>1</v>
      </c>
      <c r="M81" s="25" t="str">
        <f>IFERROR(__xludf.DUMMYFUNCTION("""COMPUTED_VALUE"""),"Compilation")</f>
        <v>Compilation</v>
      </c>
      <c r="N81" s="25" t="str">
        <f>IFERROR(__xludf.DUMMYFUNCTION("""COMPUTED_VALUE"""),"Arcade")</f>
        <v>Arcade</v>
      </c>
      <c r="O81" s="26" t="str">
        <f>IFERROR(__xludf.DUMMYFUNCTION("""COMPUTED_VALUE"""),"No")</f>
        <v>No</v>
      </c>
      <c r="P81" s="26"/>
    </row>
    <row r="82">
      <c r="A82" s="13" t="str">
        <f>IFERROR(__xludf.DUMMYFUNCTION("""COMPUTED_VALUE"""),"Twisted Metal")</f>
        <v>Twisted Metal</v>
      </c>
      <c r="B82" s="15" t="str">
        <f>IFERROR(__xludf.DUMMYFUNCTION("""COMPUTED_VALUE"""),"PS5/PS4")</f>
        <v>PS5/PS4</v>
      </c>
      <c r="C82" s="16" t="str">
        <f>IFERROR(__xludf.DUMMYFUNCTION("""COMPUTED_VALUE"""),"Premium (Classics)")</f>
        <v>Premium (Classics)</v>
      </c>
      <c r="D82" s="15" t="str">
        <f>IFERROR(__xludf.DUMMYFUNCTION("""COMPUTED_VALUE"""),"Active")</f>
        <v>Active</v>
      </c>
      <c r="E82" s="17">
        <f>IFERROR(__xludf.DUMMYFUNCTION("""COMPUTED_VALUE"""),45125.0)</f>
        <v>45125</v>
      </c>
      <c r="F82" s="54"/>
      <c r="G82" s="19">
        <f>IFERROR(__xludf.DUMMYFUNCTION("""COMPUTED_VALUE"""),38.6)</f>
        <v>38.6</v>
      </c>
      <c r="H82" s="17">
        <f>IFERROR(__xludf.DUMMYFUNCTION("""COMPUTED_VALUE"""),35008.0)</f>
        <v>35008</v>
      </c>
      <c r="I82" s="19">
        <f>IFERROR(__xludf.DUMMYFUNCTION("""COMPUTED_VALUE"""),27.70277777777778)</f>
        <v>27.70277778</v>
      </c>
      <c r="J82" s="21">
        <f>IFERROR(__xludf.DUMMYFUNCTION("""COMPUTED_VALUE"""),76.0)</f>
        <v>76</v>
      </c>
      <c r="K82" s="23">
        <f>IFERROR(__xludf.DUMMYFUNCTION("""COMPUTED_VALUE"""),8.4)</f>
        <v>8.4</v>
      </c>
      <c r="L82" s="24">
        <f>IFERROR(__xludf.DUMMYFUNCTION("""COMPUTED_VALUE"""),5.0)</f>
        <v>5</v>
      </c>
      <c r="M82" s="25" t="str">
        <f>IFERROR(__xludf.DUMMYFUNCTION("""COMPUTED_VALUE"""),"Driving")</f>
        <v>Driving</v>
      </c>
      <c r="N82" s="25" t="str">
        <f>IFERROR(__xludf.DUMMYFUNCTION("""COMPUTED_VALUE"""),"PS1")</f>
        <v>PS1</v>
      </c>
      <c r="O82" s="26" t="str">
        <f>IFERROR(__xludf.DUMMYFUNCTION("""COMPUTED_VALUE"""),"Yes")</f>
        <v>Yes</v>
      </c>
      <c r="P82" s="26"/>
    </row>
    <row r="83">
      <c r="A83" s="13" t="str">
        <f>IFERROR(__xludf.DUMMYFUNCTION("""COMPUTED_VALUE"""),"Worms")</f>
        <v>Worms</v>
      </c>
      <c r="B83" s="15" t="str">
        <f>IFERROR(__xludf.DUMMYFUNCTION("""COMPUTED_VALUE"""),"PS5/PS4")</f>
        <v>PS5/PS4</v>
      </c>
      <c r="C83" s="16" t="str">
        <f>IFERROR(__xludf.DUMMYFUNCTION("""COMPUTED_VALUE"""),"Premium (Classics)")</f>
        <v>Premium (Classics)</v>
      </c>
      <c r="D83" s="15" t="str">
        <f>IFERROR(__xludf.DUMMYFUNCTION("""COMPUTED_VALUE"""),"Active")</f>
        <v>Active</v>
      </c>
      <c r="E83" s="17">
        <f>IFERROR(__xludf.DUMMYFUNCTION("""COMPUTED_VALUE"""),45097.0)</f>
        <v>45097</v>
      </c>
      <c r="F83" s="54"/>
      <c r="G83" s="19">
        <f>IFERROR(__xludf.DUMMYFUNCTION("""COMPUTED_VALUE"""),39.53333333333333)</f>
        <v>39.53333333</v>
      </c>
      <c r="H83" s="17">
        <f>IFERROR(__xludf.DUMMYFUNCTION("""COMPUTED_VALUE"""),35003.0)</f>
        <v>35003</v>
      </c>
      <c r="I83" s="19">
        <f>IFERROR(__xludf.DUMMYFUNCTION("""COMPUTED_VALUE"""),27.63888888888889)</f>
        <v>27.63888889</v>
      </c>
      <c r="J83" s="21">
        <f>IFERROR(__xludf.DUMMYFUNCTION("""COMPUTED_VALUE"""),76.0)</f>
        <v>76</v>
      </c>
      <c r="K83" s="23">
        <f>IFERROR(__xludf.DUMMYFUNCTION("""COMPUTED_VALUE"""),8.2)</f>
        <v>8.2</v>
      </c>
      <c r="L83" s="24">
        <f>IFERROR(__xludf.DUMMYFUNCTION("""COMPUTED_VALUE"""),4.0)</f>
        <v>4</v>
      </c>
      <c r="M83" s="25" t="str">
        <f>IFERROR(__xludf.DUMMYFUNCTION("""COMPUTED_VALUE"""),"Strategy")</f>
        <v>Strategy</v>
      </c>
      <c r="N83" s="25" t="str">
        <f>IFERROR(__xludf.DUMMYFUNCTION("""COMPUTED_VALUE"""),"PS1")</f>
        <v>PS1</v>
      </c>
      <c r="O83" s="26" t="str">
        <f>IFERROR(__xludf.DUMMYFUNCTION("""COMPUTED_VALUE"""),"Yes")</f>
        <v>Yes</v>
      </c>
      <c r="P83" s="26"/>
    </row>
    <row r="84">
      <c r="A84" s="13" t="str">
        <f>IFERROR(__xludf.DUMMYFUNCTION("""COMPUTED_VALUE"""),"Jak X: Combat Racing")</f>
        <v>Jak X: Combat Racing</v>
      </c>
      <c r="B84" s="15" t="str">
        <f>IFERROR(__xludf.DUMMYFUNCTION("""COMPUTED_VALUE"""),"PS4")</f>
        <v>PS4</v>
      </c>
      <c r="C84" s="16" t="str">
        <f>IFERROR(__xludf.DUMMYFUNCTION("""COMPUTED_VALUE"""),"Premium (Classics)")</f>
        <v>Premium (Classics)</v>
      </c>
      <c r="D84" s="15" t="str">
        <f>IFERROR(__xludf.DUMMYFUNCTION("""COMPUTED_VALUE"""),"Active")</f>
        <v>Active</v>
      </c>
      <c r="E84" s="17">
        <f>IFERROR(__xludf.DUMMYFUNCTION("""COMPUTED_VALUE"""),44725.0)</f>
        <v>44725</v>
      </c>
      <c r="F84" s="54"/>
      <c r="G84" s="19">
        <f>IFERROR(__xludf.DUMMYFUNCTION("""COMPUTED_VALUE"""),51.766666666666666)</f>
        <v>51.76666667</v>
      </c>
      <c r="H84" s="17">
        <f>IFERROR(__xludf.DUMMYFUNCTION("""COMPUTED_VALUE"""),38626.0)</f>
        <v>38626</v>
      </c>
      <c r="I84" s="19">
        <f>IFERROR(__xludf.DUMMYFUNCTION("""COMPUTED_VALUE"""),16.7)</f>
        <v>16.7</v>
      </c>
      <c r="J84" s="21">
        <f>IFERROR(__xludf.DUMMYFUNCTION("""COMPUTED_VALUE"""),76.0)</f>
        <v>76</v>
      </c>
      <c r="K84" s="23">
        <f>IFERROR(__xludf.DUMMYFUNCTION("""COMPUTED_VALUE"""),8.0)</f>
        <v>8</v>
      </c>
      <c r="L84" s="24">
        <f>IFERROR(__xludf.DUMMYFUNCTION("""COMPUTED_VALUE"""),12.0)</f>
        <v>12</v>
      </c>
      <c r="M84" s="25" t="str">
        <f>IFERROR(__xludf.DUMMYFUNCTION("""COMPUTED_VALUE"""),"Racing")</f>
        <v>Racing</v>
      </c>
      <c r="N84" s="25" t="str">
        <f>IFERROR(__xludf.DUMMYFUNCTION("""COMPUTED_VALUE"""),"PS2")</f>
        <v>PS2</v>
      </c>
      <c r="O84" s="26" t="str">
        <f>IFERROR(__xludf.DUMMYFUNCTION("""COMPUTED_VALUE"""),"No")</f>
        <v>No</v>
      </c>
      <c r="P84" s="26" t="str">
        <f>IFERROR(__xludf.DUMMYFUNCTION("""COMPUTED_VALUE"""),"")</f>
        <v/>
      </c>
    </row>
    <row r="85">
      <c r="A85" s="13" t="str">
        <f>IFERROR(__xludf.DUMMYFUNCTION("""COMPUTED_VALUE"""),"The Last Blade 2")</f>
        <v>The Last Blade 2</v>
      </c>
      <c r="B85" s="15" t="str">
        <f>IFERROR(__xludf.DUMMYFUNCTION("""COMPUTED_VALUE"""),"PS4")</f>
        <v>PS4</v>
      </c>
      <c r="C85" s="16" t="str">
        <f>IFERROR(__xludf.DUMMYFUNCTION("""COMPUTED_VALUE"""),"Premium (Classics)")</f>
        <v>Premium (Classics)</v>
      </c>
      <c r="D85" s="15" t="str">
        <f>IFERROR(__xludf.DUMMYFUNCTION("""COMPUTED_VALUE"""),"Active")</f>
        <v>Active</v>
      </c>
      <c r="E85" s="17">
        <f>IFERROR(__xludf.DUMMYFUNCTION("""COMPUTED_VALUE"""),43221.0)</f>
        <v>43221</v>
      </c>
      <c r="F85" s="54"/>
      <c r="G85" s="19">
        <f>IFERROR(__xludf.DUMMYFUNCTION("""COMPUTED_VALUE"""),101.16666666666666)</f>
        <v>101.1666667</v>
      </c>
      <c r="H85" s="17">
        <f>IFERROR(__xludf.DUMMYFUNCTION("""COMPUTED_VALUE"""),36032.0)</f>
        <v>36032</v>
      </c>
      <c r="I85" s="19">
        <f>IFERROR(__xludf.DUMMYFUNCTION("""COMPUTED_VALUE"""),19.683333333333334)</f>
        <v>19.68333333</v>
      </c>
      <c r="J85" s="21">
        <f>IFERROR(__xludf.DUMMYFUNCTION("""COMPUTED_VALUE"""),76.0)</f>
        <v>76</v>
      </c>
      <c r="K85" s="23">
        <f>IFERROR(__xludf.DUMMYFUNCTION("""COMPUTED_VALUE"""),8.0)</f>
        <v>8</v>
      </c>
      <c r="L85" s="24"/>
      <c r="M85" s="25" t="str">
        <f>IFERROR(__xludf.DUMMYFUNCTION("""COMPUTED_VALUE"""),"Fighting")</f>
        <v>Fighting</v>
      </c>
      <c r="N85" s="25" t="str">
        <f>IFERROR(__xludf.DUMMYFUNCTION("""COMPUTED_VALUE"""),"Arcade")</f>
        <v>Arcade</v>
      </c>
      <c r="O85" s="26" t="str">
        <f>IFERROR(__xludf.DUMMYFUNCTION("""COMPUTED_VALUE"""),"Yes")</f>
        <v>Yes</v>
      </c>
      <c r="P85" s="26"/>
    </row>
    <row r="86">
      <c r="A86" s="13" t="str">
        <f>IFERROR(__xludf.DUMMYFUNCTION("""COMPUTED_VALUE"""),"Legacy of Kain: Defiance")</f>
        <v>Legacy of Kain: Defiance</v>
      </c>
      <c r="B86" s="15" t="str">
        <f>IFERROR(__xludf.DUMMYFUNCTION("""COMPUTED_VALUE"""),"PS5/PS4")</f>
        <v>PS5/PS4</v>
      </c>
      <c r="C86" s="16" t="str">
        <f>IFERROR(__xludf.DUMMYFUNCTION("""COMPUTED_VALUE"""),"Premium (Classics)")</f>
        <v>Premium (Classics)</v>
      </c>
      <c r="D86" s="15" t="str">
        <f>IFERROR(__xludf.DUMMYFUNCTION("""COMPUTED_VALUE"""),"Active")</f>
        <v>Active</v>
      </c>
      <c r="E86" s="17">
        <f>IFERROR(__xludf.DUMMYFUNCTION("""COMPUTED_VALUE"""),45916.0)</f>
        <v>45916</v>
      </c>
      <c r="F86" s="54"/>
      <c r="G86" s="19">
        <f>IFERROR(__xludf.DUMMYFUNCTION("""COMPUTED_VALUE"""),12.666666666666668)</f>
        <v>12.66666667</v>
      </c>
      <c r="H86" s="17">
        <f>IFERROR(__xludf.DUMMYFUNCTION("""COMPUTED_VALUE"""),37936.0)</f>
        <v>37936</v>
      </c>
      <c r="I86" s="19">
        <f>IFERROR(__xludf.DUMMYFUNCTION("""COMPUTED_VALUE"""),21.84722222222222)</f>
        <v>21.84722222</v>
      </c>
      <c r="J86" s="21">
        <f>IFERROR(__xludf.DUMMYFUNCTION("""COMPUTED_VALUE"""),75.0)</f>
        <v>75</v>
      </c>
      <c r="K86" s="23">
        <f>IFERROR(__xludf.DUMMYFUNCTION("""COMPUTED_VALUE"""),8.7)</f>
        <v>8.7</v>
      </c>
      <c r="L86" s="24">
        <f>IFERROR(__xludf.DUMMYFUNCTION("""COMPUTED_VALUE"""),12.0)</f>
        <v>12</v>
      </c>
      <c r="M86" s="25" t="str">
        <f>IFERROR(__xludf.DUMMYFUNCTION("""COMPUTED_VALUE"""),"Survival")</f>
        <v>Survival</v>
      </c>
      <c r="N86" s="25" t="str">
        <f>IFERROR(__xludf.DUMMYFUNCTION("""COMPUTED_VALUE"""),"PS2")</f>
        <v>PS2</v>
      </c>
      <c r="O86" s="26"/>
      <c r="P86" s="26"/>
    </row>
    <row r="87">
      <c r="A87" s="13" t="str">
        <f>IFERROR(__xludf.DUMMYFUNCTION("""COMPUTED_VALUE"""),"Myst")</f>
        <v>Myst</v>
      </c>
      <c r="B87" s="15" t="str">
        <f>IFERROR(__xludf.DUMMYFUNCTION("""COMPUTED_VALUE"""),"PS5/PS4")</f>
        <v>PS5/PS4</v>
      </c>
      <c r="C87" s="16" t="str">
        <f>IFERROR(__xludf.DUMMYFUNCTION("""COMPUTED_VALUE"""),"Premium (Classics)")</f>
        <v>Premium (Classics)</v>
      </c>
      <c r="D87" s="15" t="str">
        <f>IFERROR(__xludf.DUMMYFUNCTION("""COMPUTED_VALUE"""),"Active")</f>
        <v>Active</v>
      </c>
      <c r="E87" s="17">
        <f>IFERROR(__xludf.DUMMYFUNCTION("""COMPUTED_VALUE"""),45813.0)</f>
        <v>45813</v>
      </c>
      <c r="F87" s="54"/>
      <c r="G87" s="19">
        <f>IFERROR(__xludf.DUMMYFUNCTION("""COMPUTED_VALUE"""),16.03333333333333)</f>
        <v>16.03333333</v>
      </c>
      <c r="H87" s="17">
        <f>IFERROR(__xludf.DUMMYFUNCTION("""COMPUTED_VALUE"""),34236.0)</f>
        <v>34236</v>
      </c>
      <c r="I87" s="19">
        <f>IFERROR(__xludf.DUMMYFUNCTION("""COMPUTED_VALUE"""),31.697222222222223)</f>
        <v>31.69722222</v>
      </c>
      <c r="J87" s="21">
        <f>IFERROR(__xludf.DUMMYFUNCTION("""COMPUTED_VALUE"""),75.0)</f>
        <v>75</v>
      </c>
      <c r="K87" s="23">
        <f>IFERROR(__xludf.DUMMYFUNCTION("""COMPUTED_VALUE"""),8.6)</f>
        <v>8.6</v>
      </c>
      <c r="L87" s="24">
        <f>IFERROR(__xludf.DUMMYFUNCTION("""COMPUTED_VALUE"""),6.0)</f>
        <v>6</v>
      </c>
      <c r="M87" s="25" t="str">
        <f>IFERROR(__xludf.DUMMYFUNCTION("""COMPUTED_VALUE"""),"Point-and-Click")</f>
        <v>Point-and-Click</v>
      </c>
      <c r="N87" s="25" t="str">
        <f>IFERROR(__xludf.DUMMYFUNCTION("""COMPUTED_VALUE"""),"PS1")</f>
        <v>PS1</v>
      </c>
      <c r="O87" s="26"/>
      <c r="P87" s="26"/>
    </row>
    <row r="88">
      <c r="A88" s="13" t="str">
        <f>IFERROR(__xludf.DUMMYFUNCTION("""COMPUTED_VALUE"""),"Armored Core: Master of Arena")</f>
        <v>Armored Core: Master of Arena</v>
      </c>
      <c r="B88" s="15" t="str">
        <f>IFERROR(__xludf.DUMMYFUNCTION("""COMPUTED_VALUE"""),"PS5/PS4")</f>
        <v>PS5/PS4</v>
      </c>
      <c r="C88" s="16" t="str">
        <f>IFERROR(__xludf.DUMMYFUNCTION("""COMPUTED_VALUE"""),"Premium (Classics)")</f>
        <v>Premium (Classics)</v>
      </c>
      <c r="D88" s="15" t="str">
        <f>IFERROR(__xludf.DUMMYFUNCTION("""COMPUTED_VALUE"""),"Active")</f>
        <v>Active</v>
      </c>
      <c r="E88" s="17">
        <f>IFERROR(__xludf.DUMMYFUNCTION("""COMPUTED_VALUE"""),45734.0)</f>
        <v>45734</v>
      </c>
      <c r="F88" s="54"/>
      <c r="G88" s="19">
        <f>IFERROR(__xludf.DUMMYFUNCTION("""COMPUTED_VALUE"""),18.6)</f>
        <v>18.6</v>
      </c>
      <c r="H88" s="17">
        <f>IFERROR(__xludf.DUMMYFUNCTION("""COMPUTED_VALUE"""),36559.0)</f>
        <v>36559</v>
      </c>
      <c r="I88" s="19">
        <f>IFERROR(__xludf.DUMMYFUNCTION("""COMPUTED_VALUE"""),25.125)</f>
        <v>25.125</v>
      </c>
      <c r="J88" s="21">
        <f>IFERROR(__xludf.DUMMYFUNCTION("""COMPUTED_VALUE"""),75.0)</f>
        <v>75</v>
      </c>
      <c r="K88" s="23">
        <f>IFERROR(__xludf.DUMMYFUNCTION("""COMPUTED_VALUE"""),8.2)</f>
        <v>8.2</v>
      </c>
      <c r="L88" s="24">
        <f>IFERROR(__xludf.DUMMYFUNCTION("""COMPUTED_VALUE"""),4.0)</f>
        <v>4</v>
      </c>
      <c r="M88" s="25" t="str">
        <f>IFERROR(__xludf.DUMMYFUNCTION("""COMPUTED_VALUE"""),"RPG")</f>
        <v>RPG</v>
      </c>
      <c r="N88" s="25" t="str">
        <f>IFERROR(__xludf.DUMMYFUNCTION("""COMPUTED_VALUE"""),"PS1")</f>
        <v>PS1</v>
      </c>
      <c r="O88" s="26" t="str">
        <f>IFERROR(__xludf.DUMMYFUNCTION("""COMPUTED_VALUE"""),"Yes")</f>
        <v>Yes</v>
      </c>
      <c r="P88" s="26"/>
    </row>
    <row r="89">
      <c r="A89" s="13" t="str">
        <f>IFERROR(__xludf.DUMMYFUNCTION("""COMPUTED_VALUE"""),"SkyGunner")</f>
        <v>SkyGunner</v>
      </c>
      <c r="B89" s="15" t="str">
        <f>IFERROR(__xludf.DUMMYFUNCTION("""COMPUTED_VALUE"""),"PS5/PS4")</f>
        <v>PS5/PS4</v>
      </c>
      <c r="C89" s="16" t="str">
        <f>IFERROR(__xludf.DUMMYFUNCTION("""COMPUTED_VALUE"""),"Premium (Classics)")</f>
        <v>Premium (Classics)</v>
      </c>
      <c r="D89" s="15" t="str">
        <f>IFERROR(__xludf.DUMMYFUNCTION("""COMPUTED_VALUE"""),"Active")</f>
        <v>Active</v>
      </c>
      <c r="E89" s="17">
        <f>IFERROR(__xludf.DUMMYFUNCTION("""COMPUTED_VALUE"""),45552.0)</f>
        <v>45552</v>
      </c>
      <c r="F89" s="54"/>
      <c r="G89" s="19">
        <f>IFERROR(__xludf.DUMMYFUNCTION("""COMPUTED_VALUE"""),24.633333333333333)</f>
        <v>24.63333333</v>
      </c>
      <c r="H89" s="17">
        <f>IFERROR(__xludf.DUMMYFUNCTION("""COMPUTED_VALUE"""),37431.0)</f>
        <v>37431</v>
      </c>
      <c r="I89" s="19">
        <f>IFERROR(__xludf.DUMMYFUNCTION("""COMPUTED_VALUE"""),22.230555555555554)</f>
        <v>22.23055556</v>
      </c>
      <c r="J89" s="21">
        <f>IFERROR(__xludf.DUMMYFUNCTION("""COMPUTED_VALUE"""),75.0)</f>
        <v>75</v>
      </c>
      <c r="K89" s="23">
        <f>IFERROR(__xludf.DUMMYFUNCTION("""COMPUTED_VALUE"""),8.1)</f>
        <v>8.1</v>
      </c>
      <c r="L89" s="24">
        <f>IFERROR(__xludf.DUMMYFUNCTION("""COMPUTED_VALUE"""),3.0)</f>
        <v>3</v>
      </c>
      <c r="M89" s="25" t="str">
        <f>IFERROR(__xludf.DUMMYFUNCTION("""COMPUTED_VALUE"""),"Shooter")</f>
        <v>Shooter</v>
      </c>
      <c r="N89" s="25" t="str">
        <f>IFERROR(__xludf.DUMMYFUNCTION("""COMPUTED_VALUE"""),"PS2")</f>
        <v>PS2</v>
      </c>
      <c r="O89" s="26" t="str">
        <f>IFERROR(__xludf.DUMMYFUNCTION("""COMPUTED_VALUE"""),"Yes")</f>
        <v>Yes</v>
      </c>
      <c r="P89" s="26"/>
    </row>
    <row r="90">
      <c r="A90" s="13" t="str">
        <f>IFERROR(__xludf.DUMMYFUNCTION("""COMPUTED_VALUE"""),"Pursuit Force")</f>
        <v>Pursuit Force</v>
      </c>
      <c r="B90" s="15" t="str">
        <f>IFERROR(__xludf.DUMMYFUNCTION("""COMPUTED_VALUE"""),"PS5/PS4")</f>
        <v>PS5/PS4</v>
      </c>
      <c r="C90" s="16" t="str">
        <f>IFERROR(__xludf.DUMMYFUNCTION("""COMPUTED_VALUE"""),"Premium (Classics)")</f>
        <v>Premium (Classics)</v>
      </c>
      <c r="D90" s="15" t="str">
        <f>IFERROR(__xludf.DUMMYFUNCTION("""COMPUTED_VALUE"""),"Active")</f>
        <v>Active</v>
      </c>
      <c r="E90" s="17">
        <f>IFERROR(__xludf.DUMMYFUNCTION("""COMPUTED_VALUE"""),45062.0)</f>
        <v>45062</v>
      </c>
      <c r="F90" s="54"/>
      <c r="G90" s="19">
        <f>IFERROR(__xludf.DUMMYFUNCTION("""COMPUTED_VALUE"""),40.666666666666664)</f>
        <v>40.66666667</v>
      </c>
      <c r="H90" s="17">
        <f>IFERROR(__xludf.DUMMYFUNCTION("""COMPUTED_VALUE"""),38783.0)</f>
        <v>38783</v>
      </c>
      <c r="I90" s="19">
        <f>IFERROR(__xludf.DUMMYFUNCTION("""COMPUTED_VALUE"""),17.191666666666666)</f>
        <v>17.19166667</v>
      </c>
      <c r="J90" s="21">
        <f>IFERROR(__xludf.DUMMYFUNCTION("""COMPUTED_VALUE"""),75.0)</f>
        <v>75</v>
      </c>
      <c r="K90" s="23">
        <f>IFERROR(__xludf.DUMMYFUNCTION("""COMPUTED_VALUE"""),7.3)</f>
        <v>7.3</v>
      </c>
      <c r="L90" s="24">
        <f>IFERROR(__xludf.DUMMYFUNCTION("""COMPUTED_VALUE"""),9.0)</f>
        <v>9</v>
      </c>
      <c r="M90" s="25" t="str">
        <f>IFERROR(__xludf.DUMMYFUNCTION("""COMPUTED_VALUE"""),"Racing")</f>
        <v>Racing</v>
      </c>
      <c r="N90" s="25" t="str">
        <f>IFERROR(__xludf.DUMMYFUNCTION("""COMPUTED_VALUE"""),"PSP")</f>
        <v>PSP</v>
      </c>
      <c r="O90" s="26" t="str">
        <f>IFERROR(__xludf.DUMMYFUNCTION("""COMPUTED_VALUE"""),"Yes")</f>
        <v>Yes</v>
      </c>
      <c r="P90" s="26"/>
    </row>
    <row r="91">
      <c r="A91" s="13" t="str">
        <f>IFERROR(__xludf.DUMMYFUNCTION("""COMPUTED_VALUE"""),"DOOM 64")</f>
        <v>DOOM 64</v>
      </c>
      <c r="B91" s="15" t="str">
        <f>IFERROR(__xludf.DUMMYFUNCTION("""COMPUTED_VALUE"""),"PS4")</f>
        <v>PS4</v>
      </c>
      <c r="C91" s="16" t="str">
        <f>IFERROR(__xludf.DUMMYFUNCTION("""COMPUTED_VALUE"""),"Premium (Classics)")</f>
        <v>Premium (Classics)</v>
      </c>
      <c r="D91" s="15" t="str">
        <f>IFERROR(__xludf.DUMMYFUNCTION("""COMPUTED_VALUE"""),"Active")</f>
        <v>Active</v>
      </c>
      <c r="E91" s="17">
        <f>IFERROR(__xludf.DUMMYFUNCTION("""COMPUTED_VALUE"""),45034.0)</f>
        <v>45034</v>
      </c>
      <c r="F91" s="54"/>
      <c r="G91" s="19">
        <f>IFERROR(__xludf.DUMMYFUNCTION("""COMPUTED_VALUE"""),41.6)</f>
        <v>41.6</v>
      </c>
      <c r="H91" s="17">
        <f>IFERROR(__xludf.DUMMYFUNCTION("""COMPUTED_VALUE"""),35520.0)</f>
        <v>35520</v>
      </c>
      <c r="I91" s="19">
        <f>IFERROR(__xludf.DUMMYFUNCTION("""COMPUTED_VALUE"""),26.05)</f>
        <v>26.05</v>
      </c>
      <c r="J91" s="21">
        <f>IFERROR(__xludf.DUMMYFUNCTION("""COMPUTED_VALUE"""),75.0)</f>
        <v>75</v>
      </c>
      <c r="K91" s="23">
        <f>IFERROR(__xludf.DUMMYFUNCTION("""COMPUTED_VALUE"""),7.1)</f>
        <v>7.1</v>
      </c>
      <c r="L91" s="24">
        <f>IFERROR(__xludf.DUMMYFUNCTION("""COMPUTED_VALUE"""),7.0)</f>
        <v>7</v>
      </c>
      <c r="M91" s="25" t="str">
        <f>IFERROR(__xludf.DUMMYFUNCTION("""COMPUTED_VALUE"""),"Shooter")</f>
        <v>Shooter</v>
      </c>
      <c r="N91" s="25" t="str">
        <f>IFERROR(__xludf.DUMMYFUNCTION("""COMPUTED_VALUE"""),"N64")</f>
        <v>N64</v>
      </c>
      <c r="O91" s="26" t="str">
        <f>IFERROR(__xludf.DUMMYFUNCTION("""COMPUTED_VALUE"""),"Yes")</f>
        <v>Yes</v>
      </c>
      <c r="P91" s="26"/>
    </row>
    <row r="92">
      <c r="A92" s="13" t="str">
        <f>IFERROR(__xludf.DUMMYFUNCTION("""COMPUTED_VALUE"""),"Pinball Heroes")</f>
        <v>Pinball Heroes</v>
      </c>
      <c r="B92" s="15" t="str">
        <f>IFERROR(__xludf.DUMMYFUNCTION("""COMPUTED_VALUE"""),"PS5/PS4")</f>
        <v>PS5/PS4</v>
      </c>
      <c r="C92" s="16" t="str">
        <f>IFERROR(__xludf.DUMMYFUNCTION("""COMPUTED_VALUE"""),"Premium (Classics)")</f>
        <v>Premium (Classics)</v>
      </c>
      <c r="D92" s="15" t="str">
        <f>IFERROR(__xludf.DUMMYFUNCTION("""COMPUTED_VALUE"""),"Active")</f>
        <v>Active</v>
      </c>
      <c r="E92" s="17">
        <f>IFERROR(__xludf.DUMMYFUNCTION("""COMPUTED_VALUE"""),44915.0)</f>
        <v>44915</v>
      </c>
      <c r="F92" s="54"/>
      <c r="G92" s="19">
        <f>IFERROR(__xludf.DUMMYFUNCTION("""COMPUTED_VALUE"""),45.53333333333333)</f>
        <v>45.53333333</v>
      </c>
      <c r="H92" s="17">
        <f>IFERROR(__xludf.DUMMYFUNCTION("""COMPUTED_VALUE"""),39406.0)</f>
        <v>39406</v>
      </c>
      <c r="I92" s="19">
        <f>IFERROR(__xludf.DUMMYFUNCTION("""COMPUTED_VALUE"""),15.083333333333334)</f>
        <v>15.08333333</v>
      </c>
      <c r="J92" s="21">
        <f>IFERROR(__xludf.DUMMYFUNCTION("""COMPUTED_VALUE"""),75.0)</f>
        <v>75</v>
      </c>
      <c r="K92" s="23">
        <f>IFERROR(__xludf.DUMMYFUNCTION("""COMPUTED_VALUE"""),7.8)</f>
        <v>7.8</v>
      </c>
      <c r="L92" s="24">
        <f>IFERROR(__xludf.DUMMYFUNCTION("""COMPUTED_VALUE"""),1.5)</f>
        <v>1.5</v>
      </c>
      <c r="M92" s="25" t="str">
        <f>IFERROR(__xludf.DUMMYFUNCTION("""COMPUTED_VALUE"""),"Sports")</f>
        <v>Sports</v>
      </c>
      <c r="N92" s="25" t="str">
        <f>IFERROR(__xludf.DUMMYFUNCTION("""COMPUTED_VALUE"""),"PSP")</f>
        <v>PSP</v>
      </c>
      <c r="O92" s="26" t="str">
        <f>IFERROR(__xludf.DUMMYFUNCTION("""COMPUTED_VALUE"""),"Yes")</f>
        <v>Yes</v>
      </c>
      <c r="P92" s="26"/>
    </row>
    <row r="93">
      <c r="A93" s="13" t="str">
        <f>IFERROR(__xludf.DUMMYFUNCTION("""COMPUTED_VALUE"""),"Armored Core")</f>
        <v>Armored Core</v>
      </c>
      <c r="B93" s="15" t="str">
        <f>IFERROR(__xludf.DUMMYFUNCTION("""COMPUTED_VALUE"""),"PS5/PS4")</f>
        <v>PS5/PS4</v>
      </c>
      <c r="C93" s="16" t="str">
        <f>IFERROR(__xludf.DUMMYFUNCTION("""COMPUTED_VALUE"""),"Premium (Classics)")</f>
        <v>Premium (Classics)</v>
      </c>
      <c r="D93" s="15" t="str">
        <f>IFERROR(__xludf.DUMMYFUNCTION("""COMPUTED_VALUE"""),"Active")</f>
        <v>Active</v>
      </c>
      <c r="E93" s="17">
        <f>IFERROR(__xludf.DUMMYFUNCTION("""COMPUTED_VALUE"""),45734.0)</f>
        <v>45734</v>
      </c>
      <c r="F93" s="18"/>
      <c r="G93" s="19">
        <f>IFERROR(__xludf.DUMMYFUNCTION("""COMPUTED_VALUE"""),18.6)</f>
        <v>18.6</v>
      </c>
      <c r="H93" s="17">
        <f>IFERROR(__xludf.DUMMYFUNCTION("""COMPUTED_VALUE"""),35621.0)</f>
        <v>35621</v>
      </c>
      <c r="I93" s="19">
        <f>IFERROR(__xludf.DUMMYFUNCTION("""COMPUTED_VALUE"""),27.68888888888889)</f>
        <v>27.68888889</v>
      </c>
      <c r="J93" s="21">
        <f>IFERROR(__xludf.DUMMYFUNCTION("""COMPUTED_VALUE"""),74.0)</f>
        <v>74</v>
      </c>
      <c r="K93" s="23">
        <f>IFERROR(__xludf.DUMMYFUNCTION("""COMPUTED_VALUE"""),7.9)</f>
        <v>7.9</v>
      </c>
      <c r="L93" s="17">
        <f>IFERROR(__xludf.DUMMYFUNCTION("""COMPUTED_VALUE"""),8.0)</f>
        <v>8</v>
      </c>
      <c r="M93" s="25" t="str">
        <f>IFERROR(__xludf.DUMMYFUNCTION("""COMPUTED_VALUE"""),"RPG")</f>
        <v>RPG</v>
      </c>
      <c r="N93" s="25" t="str">
        <f>IFERROR(__xludf.DUMMYFUNCTION("""COMPUTED_VALUE"""),"PS1")</f>
        <v>PS1</v>
      </c>
      <c r="O93" s="26" t="str">
        <f>IFERROR(__xludf.DUMMYFUNCTION("""COMPUTED_VALUE"""),"Yes")</f>
        <v>Yes</v>
      </c>
      <c r="P93" s="26"/>
    </row>
    <row r="94">
      <c r="A94" s="13" t="str">
        <f>IFERROR(__xludf.DUMMYFUNCTION("""COMPUTED_VALUE"""),"Patapon 3")</f>
        <v>Patapon 3</v>
      </c>
      <c r="B94" s="15" t="str">
        <f>IFERROR(__xludf.DUMMYFUNCTION("""COMPUTED_VALUE"""),"PS5/PS4")</f>
        <v>PS5/PS4</v>
      </c>
      <c r="C94" s="16" t="str">
        <f>IFERROR(__xludf.DUMMYFUNCTION("""COMPUTED_VALUE"""),"Premium (Classics)")</f>
        <v>Premium (Classics)</v>
      </c>
      <c r="D94" s="15" t="str">
        <f>IFERROR(__xludf.DUMMYFUNCTION("""COMPUTED_VALUE"""),"Active")</f>
        <v>Active</v>
      </c>
      <c r="E94" s="17">
        <f>IFERROR(__xludf.DUMMYFUNCTION("""COMPUTED_VALUE"""),45705.0)</f>
        <v>45705</v>
      </c>
      <c r="F94" s="18"/>
      <c r="G94" s="19">
        <f>IFERROR(__xludf.DUMMYFUNCTION("""COMPUTED_VALUE"""),19.633333333333333)</f>
        <v>19.63333333</v>
      </c>
      <c r="H94" s="17">
        <f>IFERROR(__xludf.DUMMYFUNCTION("""COMPUTED_VALUE"""),40645.0)</f>
        <v>40645</v>
      </c>
      <c r="I94" s="19">
        <f>IFERROR(__xludf.DUMMYFUNCTION("""COMPUTED_VALUE"""),13.847222222222221)</f>
        <v>13.84722222</v>
      </c>
      <c r="J94" s="21">
        <f>IFERROR(__xludf.DUMMYFUNCTION("""COMPUTED_VALUE"""),74.0)</f>
        <v>74</v>
      </c>
      <c r="K94" s="23">
        <f>IFERROR(__xludf.DUMMYFUNCTION("""COMPUTED_VALUE"""),7.3)</f>
        <v>7.3</v>
      </c>
      <c r="L94" s="24">
        <f>IFERROR(__xludf.DUMMYFUNCTION("""COMPUTED_VALUE"""),26.0)</f>
        <v>26</v>
      </c>
      <c r="M94" s="25" t="str">
        <f>IFERROR(__xludf.DUMMYFUNCTION("""COMPUTED_VALUE"""),"Action-Adventure")</f>
        <v>Action-Adventure</v>
      </c>
      <c r="N94" s="25" t="str">
        <f>IFERROR(__xludf.DUMMYFUNCTION("""COMPUTED_VALUE"""),"PSP")</f>
        <v>PSP</v>
      </c>
      <c r="O94" s="26" t="str">
        <f>IFERROR(__xludf.DUMMYFUNCTION("""COMPUTED_VALUE"""),"Yes")</f>
        <v>Yes</v>
      </c>
      <c r="P94" s="26"/>
    </row>
    <row r="95">
      <c r="A95" s="13" t="str">
        <f>IFERROR(__xludf.DUMMYFUNCTION("""COMPUTED_VALUE"""),"MediEvil II")</f>
        <v>MediEvil II</v>
      </c>
      <c r="B95" s="15" t="str">
        <f>IFERROR(__xludf.DUMMYFUNCTION("""COMPUTED_VALUE"""),"PS5/PS4")</f>
        <v>PS5/PS4</v>
      </c>
      <c r="C95" s="16" t="str">
        <f>IFERROR(__xludf.DUMMYFUNCTION("""COMPUTED_VALUE"""),"Premium (Classics)")</f>
        <v>Premium (Classics)</v>
      </c>
      <c r="D95" s="15" t="str">
        <f>IFERROR(__xludf.DUMMYFUNCTION("""COMPUTED_VALUE"""),"Active")</f>
        <v>Active</v>
      </c>
      <c r="E95" s="17">
        <f>IFERROR(__xludf.DUMMYFUNCTION("""COMPUTED_VALUE"""),45678.0)</f>
        <v>45678</v>
      </c>
      <c r="F95" s="18"/>
      <c r="G95" s="19">
        <f>IFERROR(__xludf.DUMMYFUNCTION("""COMPUTED_VALUE"""),20.5)</f>
        <v>20.5</v>
      </c>
      <c r="H95" s="17">
        <f>IFERROR(__xludf.DUMMYFUNCTION("""COMPUTED_VALUE"""),36646.0)</f>
        <v>36646</v>
      </c>
      <c r="I95" s="19">
        <f>IFERROR(__xludf.DUMMYFUNCTION("""COMPUTED_VALUE"""),24.725)</f>
        <v>24.725</v>
      </c>
      <c r="J95" s="21">
        <f>IFERROR(__xludf.DUMMYFUNCTION("""COMPUTED_VALUE"""),74.0)</f>
        <v>74</v>
      </c>
      <c r="K95" s="23">
        <f>IFERROR(__xludf.DUMMYFUNCTION("""COMPUTED_VALUE"""),8.2)</f>
        <v>8.2</v>
      </c>
      <c r="L95" s="24">
        <f>IFERROR(__xludf.DUMMYFUNCTION("""COMPUTED_VALUE"""),7.0)</f>
        <v>7</v>
      </c>
      <c r="M95" s="25" t="str">
        <f>IFERROR(__xludf.DUMMYFUNCTION("""COMPUTED_VALUE"""),"Action-Adventure")</f>
        <v>Action-Adventure</v>
      </c>
      <c r="N95" s="25" t="str">
        <f>IFERROR(__xludf.DUMMYFUNCTION("""COMPUTED_VALUE"""),"PS1")</f>
        <v>PS1</v>
      </c>
      <c r="O95" s="26" t="str">
        <f>IFERROR(__xludf.DUMMYFUNCTION("""COMPUTED_VALUE"""),"Yes")</f>
        <v>Yes</v>
      </c>
      <c r="P95" s="26"/>
    </row>
    <row r="96">
      <c r="A96" s="13" t="str">
        <f>IFERROR(__xludf.DUMMYFUNCTION("""COMPUTED_VALUE"""),"Dino Crisis")</f>
        <v>Dino Crisis</v>
      </c>
      <c r="B96" s="15" t="str">
        <f>IFERROR(__xludf.DUMMYFUNCTION("""COMPUTED_VALUE"""),"PS5/PS4")</f>
        <v>PS5/PS4</v>
      </c>
      <c r="C96" s="16" t="str">
        <f>IFERROR(__xludf.DUMMYFUNCTION("""COMPUTED_VALUE"""),"Premium (Classics)")</f>
        <v>Premium (Classics)</v>
      </c>
      <c r="D96" s="15" t="str">
        <f>IFERROR(__xludf.DUMMYFUNCTION("""COMPUTED_VALUE"""),"Active")</f>
        <v>Active</v>
      </c>
      <c r="E96" s="17">
        <f>IFERROR(__xludf.DUMMYFUNCTION("""COMPUTED_VALUE"""),45580.0)</f>
        <v>45580</v>
      </c>
      <c r="F96" s="54"/>
      <c r="G96" s="19">
        <f>IFERROR(__xludf.DUMMYFUNCTION("""COMPUTED_VALUE"""),23.700000000000003)</f>
        <v>23.7</v>
      </c>
      <c r="H96" s="17">
        <f>IFERROR(__xludf.DUMMYFUNCTION("""COMPUTED_VALUE"""),36844.0)</f>
        <v>36844</v>
      </c>
      <c r="I96" s="19">
        <f>IFERROR(__xludf.DUMMYFUNCTION("""COMPUTED_VALUE"""),23.919444444444444)</f>
        <v>23.91944444</v>
      </c>
      <c r="J96" s="21">
        <f>IFERROR(__xludf.DUMMYFUNCTION("""COMPUTED_VALUE"""),74.0)</f>
        <v>74</v>
      </c>
      <c r="K96" s="23">
        <f>IFERROR(__xludf.DUMMYFUNCTION("""COMPUTED_VALUE"""),8.8)</f>
        <v>8.8</v>
      </c>
      <c r="L96" s="24">
        <f>IFERROR(__xludf.DUMMYFUNCTION("""COMPUTED_VALUE"""),7.0)</f>
        <v>7</v>
      </c>
      <c r="M96" s="25" t="str">
        <f>IFERROR(__xludf.DUMMYFUNCTION("""COMPUTED_VALUE"""),"Survival")</f>
        <v>Survival</v>
      </c>
      <c r="N96" s="25" t="str">
        <f>IFERROR(__xludf.DUMMYFUNCTION("""COMPUTED_VALUE"""),"PS1")</f>
        <v>PS1</v>
      </c>
      <c r="O96" s="26" t="str">
        <f>IFERROR(__xludf.DUMMYFUNCTION("""COMPUTED_VALUE"""),"Yes")</f>
        <v>Yes</v>
      </c>
      <c r="P96" s="26"/>
    </row>
    <row r="97">
      <c r="A97" s="13" t="str">
        <f>IFERROR(__xludf.DUMMYFUNCTION("""COMPUTED_VALUE"""),"Summoner")</f>
        <v>Summoner</v>
      </c>
      <c r="B97" s="15" t="str">
        <f>IFERROR(__xludf.DUMMYFUNCTION("""COMPUTED_VALUE"""),"PS5/PS4")</f>
        <v>PS5/PS4</v>
      </c>
      <c r="C97" s="16" t="str">
        <f>IFERROR(__xludf.DUMMYFUNCTION("""COMPUTED_VALUE"""),"Premium (Classics)")</f>
        <v>Premium (Classics)</v>
      </c>
      <c r="D97" s="15" t="str">
        <f>IFERROR(__xludf.DUMMYFUNCTION("""COMPUTED_VALUE"""),"Active")</f>
        <v>Active</v>
      </c>
      <c r="E97" s="17">
        <f>IFERROR(__xludf.DUMMYFUNCTION("""COMPUTED_VALUE"""),45489.0)</f>
        <v>45489</v>
      </c>
      <c r="F97" s="54"/>
      <c r="G97" s="19">
        <f>IFERROR(__xludf.DUMMYFUNCTION("""COMPUTED_VALUE"""),26.666666666666668)</f>
        <v>26.66666667</v>
      </c>
      <c r="H97" s="17">
        <f>IFERROR(__xludf.DUMMYFUNCTION("""COMPUTED_VALUE"""),36823.0)</f>
        <v>36823</v>
      </c>
      <c r="I97" s="19">
        <f>IFERROR(__xludf.DUMMYFUNCTION("""COMPUTED_VALUE"""),23.727777777777778)</f>
        <v>23.72777778</v>
      </c>
      <c r="J97" s="21">
        <f>IFERROR(__xludf.DUMMYFUNCTION("""COMPUTED_VALUE"""),74.0)</f>
        <v>74</v>
      </c>
      <c r="K97" s="23">
        <f>IFERROR(__xludf.DUMMYFUNCTION("""COMPUTED_VALUE"""),7.6)</f>
        <v>7.6</v>
      </c>
      <c r="L97" s="24">
        <f>IFERROR(__xludf.DUMMYFUNCTION("""COMPUTED_VALUE"""),27.0)</f>
        <v>27</v>
      </c>
      <c r="M97" s="25" t="str">
        <f>IFERROR(__xludf.DUMMYFUNCTION("""COMPUTED_VALUE"""),"RPG")</f>
        <v>RPG</v>
      </c>
      <c r="N97" s="25" t="str">
        <f>IFERROR(__xludf.DUMMYFUNCTION("""COMPUTED_VALUE"""),"PS2")</f>
        <v>PS2</v>
      </c>
      <c r="O97" s="26" t="str">
        <f>IFERROR(__xludf.DUMMYFUNCTION("""COMPUTED_VALUE"""),"Yes")</f>
        <v>Yes</v>
      </c>
      <c r="P97" s="26"/>
    </row>
    <row r="98">
      <c r="A98" s="13" t="str">
        <f>IFERROR(__xludf.DUMMYFUNCTION("""COMPUTED_VALUE"""),"The Legend of Dragoon")</f>
        <v>The Legend of Dragoon</v>
      </c>
      <c r="B98" s="15" t="str">
        <f>IFERROR(__xludf.DUMMYFUNCTION("""COMPUTED_VALUE"""),"PS5/PS4")</f>
        <v>PS5/PS4</v>
      </c>
      <c r="C98" s="16" t="str">
        <f>IFERROR(__xludf.DUMMYFUNCTION("""COMPUTED_VALUE"""),"Premium (Classics)")</f>
        <v>Premium (Classics)</v>
      </c>
      <c r="D98" s="15" t="str">
        <f>IFERROR(__xludf.DUMMYFUNCTION("""COMPUTED_VALUE"""),"Active")</f>
        <v>Active</v>
      </c>
      <c r="E98" s="17">
        <f>IFERROR(__xludf.DUMMYFUNCTION("""COMPUTED_VALUE"""),44978.0)</f>
        <v>44978</v>
      </c>
      <c r="F98" s="54"/>
      <c r="G98" s="19">
        <f>IFERROR(__xludf.DUMMYFUNCTION("""COMPUTED_VALUE"""),43.5)</f>
        <v>43.5</v>
      </c>
      <c r="H98" s="17">
        <f>IFERROR(__xludf.DUMMYFUNCTION("""COMPUTED_VALUE"""),36688.0)</f>
        <v>36688</v>
      </c>
      <c r="I98" s="19">
        <f>IFERROR(__xludf.DUMMYFUNCTION("""COMPUTED_VALUE"""),22.694444444444443)</f>
        <v>22.69444444</v>
      </c>
      <c r="J98" s="21">
        <f>IFERROR(__xludf.DUMMYFUNCTION("""COMPUTED_VALUE"""),74.0)</f>
        <v>74</v>
      </c>
      <c r="K98" s="23">
        <f>IFERROR(__xludf.DUMMYFUNCTION("""COMPUTED_VALUE"""),8.8)</f>
        <v>8.8</v>
      </c>
      <c r="L98" s="24">
        <f>IFERROR(__xludf.DUMMYFUNCTION("""COMPUTED_VALUE"""),49.0)</f>
        <v>49</v>
      </c>
      <c r="M98" s="25" t="str">
        <f>IFERROR(__xludf.DUMMYFUNCTION("""COMPUTED_VALUE"""),"RPG")</f>
        <v>RPG</v>
      </c>
      <c r="N98" s="25" t="str">
        <f>IFERROR(__xludf.DUMMYFUNCTION("""COMPUTED_VALUE"""),"PS1")</f>
        <v>PS1</v>
      </c>
      <c r="O98" s="26" t="str">
        <f>IFERROR(__xludf.DUMMYFUNCTION("""COMPUTED_VALUE"""),"Yes")</f>
        <v>Yes</v>
      </c>
      <c r="P98" s="26"/>
    </row>
    <row r="99">
      <c r="A99" s="13" t="str">
        <f>IFERROR(__xludf.DUMMYFUNCTION("""COMPUTED_VALUE"""),"Disney's Atlantis: The Lost Empire")</f>
        <v>Disney's Atlantis: The Lost Empire</v>
      </c>
      <c r="B99" s="15" t="str">
        <f>IFERROR(__xludf.DUMMYFUNCTION("""COMPUTED_VALUE"""),"PS5/PS4")</f>
        <v>PS5/PS4</v>
      </c>
      <c r="C99" s="16" t="str">
        <f>IFERROR(__xludf.DUMMYFUNCTION("""COMPUTED_VALUE"""),"Premium (Classics)")</f>
        <v>Premium (Classics)</v>
      </c>
      <c r="D99" s="15" t="str">
        <f>IFERROR(__xludf.DUMMYFUNCTION("""COMPUTED_VALUE"""),"Active")</f>
        <v>Active</v>
      </c>
      <c r="E99" s="17">
        <f>IFERROR(__xludf.DUMMYFUNCTION("""COMPUTED_VALUE"""),46252.0)</f>
        <v>46252</v>
      </c>
      <c r="F99" s="54"/>
      <c r="G99" s="19">
        <f>IFERROR(__xludf.DUMMYFUNCTION("""COMPUTED_VALUE"""),1.6)</f>
        <v>1.6</v>
      </c>
      <c r="H99" s="17">
        <f>IFERROR(__xludf.DUMMYFUNCTION("""COMPUTED_VALUE"""),37153.0)</f>
        <v>37153</v>
      </c>
      <c r="I99" s="19">
        <f>IFERROR(__xludf.DUMMYFUNCTION("""COMPUTED_VALUE"""),24.913888888888888)</f>
        <v>24.91388889</v>
      </c>
      <c r="J99" s="21">
        <f>IFERROR(__xludf.DUMMYFUNCTION("""COMPUTED_VALUE"""),73.0)</f>
        <v>73</v>
      </c>
      <c r="K99" s="23">
        <f>IFERROR(__xludf.DUMMYFUNCTION("""COMPUTED_VALUE"""),7.3)</f>
        <v>7.3</v>
      </c>
      <c r="L99" s="24">
        <f>IFERROR(__xludf.DUMMYFUNCTION("""COMPUTED_VALUE"""),6.0)</f>
        <v>6</v>
      </c>
      <c r="M99" s="25" t="str">
        <f>IFERROR(__xludf.DUMMYFUNCTION("""COMPUTED_VALUE"""),"Platformer")</f>
        <v>Platformer</v>
      </c>
      <c r="N99" s="25" t="str">
        <f>IFERROR(__xludf.DUMMYFUNCTION("""COMPUTED_VALUE"""),"PS1")</f>
        <v>PS1</v>
      </c>
      <c r="O99" s="26"/>
      <c r="P99" s="26"/>
    </row>
    <row r="100">
      <c r="A100" s="13" t="str">
        <f>IFERROR(__xludf.DUMMYFUNCTION("""COMPUTED_VALUE"""),"Star Wars: The Clone Wars")</f>
        <v>Star Wars: The Clone Wars</v>
      </c>
      <c r="B100" s="15" t="str">
        <f>IFERROR(__xludf.DUMMYFUNCTION("""COMPUTED_VALUE"""),"PS4")</f>
        <v>PS4</v>
      </c>
      <c r="C100" s="16" t="str">
        <f>IFERROR(__xludf.DUMMYFUNCTION("""COMPUTED_VALUE"""),"Premium (Classics)")</f>
        <v>Premium (Classics)</v>
      </c>
      <c r="D100" s="15" t="str">
        <f>IFERROR(__xludf.DUMMYFUNCTION("""COMPUTED_VALUE"""),"Active")</f>
        <v>Active</v>
      </c>
      <c r="E100" s="17">
        <f>IFERROR(__xludf.DUMMYFUNCTION("""COMPUTED_VALUE"""),45454.0)</f>
        <v>45454</v>
      </c>
      <c r="F100" s="54"/>
      <c r="G100" s="19">
        <f>IFERROR(__xludf.DUMMYFUNCTION("""COMPUTED_VALUE"""),27.833333333333336)</f>
        <v>27.83333333</v>
      </c>
      <c r="H100" s="17">
        <f>IFERROR(__xludf.DUMMYFUNCTION("""COMPUTED_VALUE"""),37557.0)</f>
        <v>37557</v>
      </c>
      <c r="I100" s="19">
        <f>IFERROR(__xludf.DUMMYFUNCTION("""COMPUTED_VALUE"""),21.619444444444444)</f>
        <v>21.61944444</v>
      </c>
      <c r="J100" s="21">
        <f>IFERROR(__xludf.DUMMYFUNCTION("""COMPUTED_VALUE"""),73.0)</f>
        <v>73</v>
      </c>
      <c r="K100" s="23">
        <f>IFERROR(__xludf.DUMMYFUNCTION("""COMPUTED_VALUE"""),6.8)</f>
        <v>6.8</v>
      </c>
      <c r="L100" s="24">
        <f>IFERROR(__xludf.DUMMYFUNCTION("""COMPUTED_VALUE"""),6.0)</f>
        <v>6</v>
      </c>
      <c r="M100" s="25" t="str">
        <f>IFERROR(__xludf.DUMMYFUNCTION("""COMPUTED_VALUE"""),"Shooter")</f>
        <v>Shooter</v>
      </c>
      <c r="N100" s="25" t="str">
        <f>IFERROR(__xludf.DUMMYFUNCTION("""COMPUTED_VALUE"""),"PS2")</f>
        <v>PS2</v>
      </c>
      <c r="O100" s="26" t="str">
        <f>IFERROR(__xludf.DUMMYFUNCTION("""COMPUTED_VALUE"""),"No")</f>
        <v>No</v>
      </c>
      <c r="P100" s="26"/>
    </row>
    <row r="101">
      <c r="A101" s="13" t="str">
        <f>IFERROR(__xludf.DUMMYFUNCTION("""COMPUTED_VALUE"""),"Pursuit Force: Extreme Justice")</f>
        <v>Pursuit Force: Extreme Justice</v>
      </c>
      <c r="B101" s="15" t="str">
        <f>IFERROR(__xludf.DUMMYFUNCTION("""COMPUTED_VALUE"""),"PS5/PS4")</f>
        <v>PS5/PS4</v>
      </c>
      <c r="C101" s="16" t="str">
        <f>IFERROR(__xludf.DUMMYFUNCTION("""COMPUTED_VALUE"""),"Premium (Classics)")</f>
        <v>Premium (Classics)</v>
      </c>
      <c r="D101" s="15" t="str">
        <f>IFERROR(__xludf.DUMMYFUNCTION("""COMPUTED_VALUE"""),"Active")</f>
        <v>Active</v>
      </c>
      <c r="E101" s="17">
        <f>IFERROR(__xludf.DUMMYFUNCTION("""COMPUTED_VALUE"""),45153.0)</f>
        <v>45153</v>
      </c>
      <c r="F101" s="54"/>
      <c r="G101" s="19">
        <f>IFERROR(__xludf.DUMMYFUNCTION("""COMPUTED_VALUE"""),37.7)</f>
        <v>37.7</v>
      </c>
      <c r="H101" s="17">
        <f>IFERROR(__xludf.DUMMYFUNCTION("""COMPUTED_VALUE"""),39476.0)</f>
        <v>39476</v>
      </c>
      <c r="I101" s="19">
        <f>IFERROR(__xludf.DUMMYFUNCTION("""COMPUTED_VALUE"""),15.544444444444444)</f>
        <v>15.54444444</v>
      </c>
      <c r="J101" s="21">
        <f>IFERROR(__xludf.DUMMYFUNCTION("""COMPUTED_VALUE"""),73.0)</f>
        <v>73</v>
      </c>
      <c r="K101" s="23">
        <f>IFERROR(__xludf.DUMMYFUNCTION("""COMPUTED_VALUE"""),7.7)</f>
        <v>7.7</v>
      </c>
      <c r="L101" s="24">
        <f>IFERROR(__xludf.DUMMYFUNCTION("""COMPUTED_VALUE"""),8.0)</f>
        <v>8</v>
      </c>
      <c r="M101" s="25" t="str">
        <f>IFERROR(__xludf.DUMMYFUNCTION("""COMPUTED_VALUE"""),"Simulation")</f>
        <v>Simulation</v>
      </c>
      <c r="N101" s="25" t="str">
        <f>IFERROR(__xludf.DUMMYFUNCTION("""COMPUTED_VALUE"""),"PSP")</f>
        <v>PSP</v>
      </c>
      <c r="O101" s="26" t="str">
        <f>IFERROR(__xludf.DUMMYFUNCTION("""COMPUTED_VALUE"""),"Yes")</f>
        <v>Yes</v>
      </c>
      <c r="P101" s="26"/>
    </row>
    <row r="102">
      <c r="A102" s="13" t="str">
        <f>IFERROR(__xludf.DUMMYFUNCTION("""COMPUTED_VALUE"""),"Syphon Filter 3")</f>
        <v>Syphon Filter 3</v>
      </c>
      <c r="B102" s="15" t="str">
        <f>IFERROR(__xludf.DUMMYFUNCTION("""COMPUTED_VALUE"""),"PS5/PS4")</f>
        <v>PS5/PS4</v>
      </c>
      <c r="C102" s="16" t="str">
        <f>IFERROR(__xludf.DUMMYFUNCTION("""COMPUTED_VALUE"""),"Premium (Classics)")</f>
        <v>Premium (Classics)</v>
      </c>
      <c r="D102" s="15" t="str">
        <f>IFERROR(__xludf.DUMMYFUNCTION("""COMPUTED_VALUE"""),"Active")</f>
        <v>Active</v>
      </c>
      <c r="E102" s="17">
        <f>IFERROR(__xludf.DUMMYFUNCTION("""COMPUTED_VALUE"""),44943.0)</f>
        <v>44943</v>
      </c>
      <c r="F102" s="54"/>
      <c r="G102" s="19">
        <f>IFERROR(__xludf.DUMMYFUNCTION("""COMPUTED_VALUE"""),44.63333333333333)</f>
        <v>44.63333333</v>
      </c>
      <c r="H102" s="17">
        <f>IFERROR(__xludf.DUMMYFUNCTION("""COMPUTED_VALUE"""),37200.0)</f>
        <v>37200</v>
      </c>
      <c r="I102" s="19">
        <f>IFERROR(__xludf.DUMMYFUNCTION("""COMPUTED_VALUE"""),21.2)</f>
        <v>21.2</v>
      </c>
      <c r="J102" s="21">
        <f>IFERROR(__xludf.DUMMYFUNCTION("""COMPUTED_VALUE"""),73.0)</f>
        <v>73</v>
      </c>
      <c r="K102" s="23">
        <f>IFERROR(__xludf.DUMMYFUNCTION("""COMPUTED_VALUE"""),8.6)</f>
        <v>8.6</v>
      </c>
      <c r="L102" s="24">
        <f>IFERROR(__xludf.DUMMYFUNCTION("""COMPUTED_VALUE"""),8.0)</f>
        <v>8</v>
      </c>
      <c r="M102" s="25" t="str">
        <f>IFERROR(__xludf.DUMMYFUNCTION("""COMPUTED_VALUE"""),"Shooter")</f>
        <v>Shooter</v>
      </c>
      <c r="N102" s="25" t="str">
        <f>IFERROR(__xludf.DUMMYFUNCTION("""COMPUTED_VALUE"""),"PS1")</f>
        <v>PS1</v>
      </c>
      <c r="O102" s="26" t="str">
        <f>IFERROR(__xludf.DUMMYFUNCTION("""COMPUTED_VALUE"""),"Yes")</f>
        <v>Yes</v>
      </c>
      <c r="P102" s="26"/>
    </row>
    <row r="103">
      <c r="A103" s="13" t="str">
        <f>IFERROR(__xludf.DUMMYFUNCTION("""COMPUTED_VALUE"""),"LocoRoco Midnight Carnival")</f>
        <v>LocoRoco Midnight Carnival</v>
      </c>
      <c r="B103" s="15" t="str">
        <f>IFERROR(__xludf.DUMMYFUNCTION("""COMPUTED_VALUE"""),"PS5")</f>
        <v>PS5</v>
      </c>
      <c r="C103" s="16" t="str">
        <f>IFERROR(__xludf.DUMMYFUNCTION("""COMPUTED_VALUE"""),"Premium (Classics)")</f>
        <v>Premium (Classics)</v>
      </c>
      <c r="D103" s="15" t="str">
        <f>IFERROR(__xludf.DUMMYFUNCTION("""COMPUTED_VALUE"""),"Active")</f>
        <v>Active</v>
      </c>
      <c r="E103" s="17">
        <f>IFERROR(__xludf.DUMMYFUNCTION("""COMPUTED_VALUE"""),44761.0)</f>
        <v>44761</v>
      </c>
      <c r="F103" s="54"/>
      <c r="G103" s="19">
        <f>IFERROR(__xludf.DUMMYFUNCTION("""COMPUTED_VALUE"""),50.56666666666666)</f>
        <v>50.56666667</v>
      </c>
      <c r="H103" s="17">
        <f>IFERROR(__xludf.DUMMYFUNCTION("""COMPUTED_VALUE"""),40115.0)</f>
        <v>40115</v>
      </c>
      <c r="I103" s="19">
        <f>IFERROR(__xludf.DUMMYFUNCTION("""COMPUTED_VALUE"""),12.722222222222221)</f>
        <v>12.72222222</v>
      </c>
      <c r="J103" s="21">
        <f>IFERROR(__xludf.DUMMYFUNCTION("""COMPUTED_VALUE"""),73.0)</f>
        <v>73</v>
      </c>
      <c r="K103" s="23">
        <f>IFERROR(__xludf.DUMMYFUNCTION("""COMPUTED_VALUE"""),7.7)</f>
        <v>7.7</v>
      </c>
      <c r="L103" s="24">
        <f>IFERROR(__xludf.DUMMYFUNCTION("""COMPUTED_VALUE"""),3.5)</f>
        <v>3.5</v>
      </c>
      <c r="M103" s="25" t="str">
        <f>IFERROR(__xludf.DUMMYFUNCTION("""COMPUTED_VALUE"""),"Puzzle")</f>
        <v>Puzzle</v>
      </c>
      <c r="N103" s="25" t="str">
        <f>IFERROR(__xludf.DUMMYFUNCTION("""COMPUTED_VALUE"""),"PSP")</f>
        <v>PSP</v>
      </c>
      <c r="O103" s="26" t="str">
        <f>IFERROR(__xludf.DUMMYFUNCTION("""COMPUTED_VALUE"""),"No")</f>
        <v>No</v>
      </c>
      <c r="P103" s="26"/>
    </row>
    <row r="104">
      <c r="A104" s="13" t="str">
        <f>IFERROR(__xludf.DUMMYFUNCTION("""COMPUTED_VALUE"""),"Primal")</f>
        <v>Primal</v>
      </c>
      <c r="B104" s="15" t="str">
        <f>IFERROR(__xludf.DUMMYFUNCTION("""COMPUTED_VALUE"""),"PS4")</f>
        <v>PS4</v>
      </c>
      <c r="C104" s="16" t="str">
        <f>IFERROR(__xludf.DUMMYFUNCTION("""COMPUTED_VALUE"""),"Premium (Classics)")</f>
        <v>Premium (Classics)</v>
      </c>
      <c r="D104" s="15" t="str">
        <f>IFERROR(__xludf.DUMMYFUNCTION("""COMPUTED_VALUE"""),"Active")</f>
        <v>Active</v>
      </c>
      <c r="E104" s="17">
        <f>IFERROR(__xludf.DUMMYFUNCTION("""COMPUTED_VALUE"""),44725.0)</f>
        <v>44725</v>
      </c>
      <c r="F104" s="54"/>
      <c r="G104" s="19">
        <f>IFERROR(__xludf.DUMMYFUNCTION("""COMPUTED_VALUE"""),51.766666666666666)</f>
        <v>51.76666667</v>
      </c>
      <c r="H104" s="17">
        <f>IFERROR(__xludf.DUMMYFUNCTION("""COMPUTED_VALUE"""),37681.0)</f>
        <v>37681</v>
      </c>
      <c r="I104" s="19">
        <f>IFERROR(__xludf.DUMMYFUNCTION("""COMPUTED_VALUE"""),19.283333333333335)</f>
        <v>19.28333333</v>
      </c>
      <c r="J104" s="21">
        <f>IFERROR(__xludf.DUMMYFUNCTION("""COMPUTED_VALUE"""),73.0)</f>
        <v>73</v>
      </c>
      <c r="K104" s="23">
        <f>IFERROR(__xludf.DUMMYFUNCTION("""COMPUTED_VALUE"""),7.5)</f>
        <v>7.5</v>
      </c>
      <c r="L104" s="24">
        <f>IFERROR(__xludf.DUMMYFUNCTION("""COMPUTED_VALUE"""),15.0)</f>
        <v>15</v>
      </c>
      <c r="M104" s="25" t="str">
        <f>IFERROR(__xludf.DUMMYFUNCTION("""COMPUTED_VALUE"""),"Action-Adventure")</f>
        <v>Action-Adventure</v>
      </c>
      <c r="N104" s="25" t="str">
        <f>IFERROR(__xludf.DUMMYFUNCTION("""COMPUTED_VALUE"""),"PS2")</f>
        <v>PS2</v>
      </c>
      <c r="O104" s="26" t="str">
        <f>IFERROR(__xludf.DUMMYFUNCTION("""COMPUTED_VALUE"""),"Yes")</f>
        <v>Yes</v>
      </c>
      <c r="P104" s="26" t="str">
        <f>IFERROR(__xludf.DUMMYFUNCTION("""COMPUTED_VALUE"""),"")</f>
        <v/>
      </c>
    </row>
    <row r="105">
      <c r="A105" s="13" t="str">
        <f>IFERROR(__xludf.DUMMYFUNCTION("""COMPUTED_VALUE"""),"Star Wars: Racer Revenge")</f>
        <v>Star Wars: Racer Revenge</v>
      </c>
      <c r="B105" s="15" t="str">
        <f>IFERROR(__xludf.DUMMYFUNCTION("""COMPUTED_VALUE"""),"PS4")</f>
        <v>PS4</v>
      </c>
      <c r="C105" s="16" t="str">
        <f>IFERROR(__xludf.DUMMYFUNCTION("""COMPUTED_VALUE"""),"Premium (Classics)")</f>
        <v>Premium (Classics)</v>
      </c>
      <c r="D105" s="15" t="str">
        <f>IFERROR(__xludf.DUMMYFUNCTION("""COMPUTED_VALUE"""),"Active")</f>
        <v>Active</v>
      </c>
      <c r="E105" s="17">
        <f>IFERROR(__xludf.DUMMYFUNCTION("""COMPUTED_VALUE"""),44725.0)</f>
        <v>44725</v>
      </c>
      <c r="F105" s="18"/>
      <c r="G105" s="19">
        <f>IFERROR(__xludf.DUMMYFUNCTION("""COMPUTED_VALUE"""),51.766666666666666)</f>
        <v>51.76666667</v>
      </c>
      <c r="H105" s="17">
        <f>IFERROR(__xludf.DUMMYFUNCTION("""COMPUTED_VALUE"""),37288.0)</f>
        <v>37288</v>
      </c>
      <c r="I105" s="19">
        <f>IFERROR(__xludf.DUMMYFUNCTION("""COMPUTED_VALUE"""),20.366666666666667)</f>
        <v>20.36666667</v>
      </c>
      <c r="J105" s="21">
        <f>IFERROR(__xludf.DUMMYFUNCTION("""COMPUTED_VALUE"""),73.0)</f>
        <v>73</v>
      </c>
      <c r="K105" s="23">
        <f>IFERROR(__xludf.DUMMYFUNCTION("""COMPUTED_VALUE"""),6.9)</f>
        <v>6.9</v>
      </c>
      <c r="L105" s="24">
        <f>IFERROR(__xludf.DUMMYFUNCTION("""COMPUTED_VALUE"""),6.0)</f>
        <v>6</v>
      </c>
      <c r="M105" s="25" t="str">
        <f>IFERROR(__xludf.DUMMYFUNCTION("""COMPUTED_VALUE"""),"Racing")</f>
        <v>Racing</v>
      </c>
      <c r="N105" s="25" t="str">
        <f>IFERROR(__xludf.DUMMYFUNCTION("""COMPUTED_VALUE"""),"PS2")</f>
        <v>PS2</v>
      </c>
      <c r="O105" s="26" t="str">
        <f>IFERROR(__xludf.DUMMYFUNCTION("""COMPUTED_VALUE"""),"Yes")</f>
        <v>Yes</v>
      </c>
      <c r="P105" s="26" t="str">
        <f>IFERROR(__xludf.DUMMYFUNCTION("""COMPUTED_VALUE"""),"")</f>
        <v/>
      </c>
    </row>
    <row r="106">
      <c r="A106" s="13" t="str">
        <f>IFERROR(__xludf.DUMMYFUNCTION("""COMPUTED_VALUE"""),"Alone in the Dark 2")</f>
        <v>Alone in the Dark 2</v>
      </c>
      <c r="B106" s="15" t="str">
        <f>IFERROR(__xludf.DUMMYFUNCTION("""COMPUTED_VALUE"""),"PS5/PS4")</f>
        <v>PS5/PS4</v>
      </c>
      <c r="C106" s="16" t="str">
        <f>IFERROR(__xludf.DUMMYFUNCTION("""COMPUTED_VALUE"""),"Premium (Classics)")</f>
        <v>Premium (Classics)</v>
      </c>
      <c r="D106" s="15" t="str">
        <f>IFERROR(__xludf.DUMMYFUNCTION("""COMPUTED_VALUE"""),"Active")</f>
        <v>Active</v>
      </c>
      <c r="E106" s="17">
        <f>IFERROR(__xludf.DUMMYFUNCTION("""COMPUTED_VALUE"""),45762.0)</f>
        <v>45762</v>
      </c>
      <c r="F106" s="54"/>
      <c r="G106" s="19">
        <f>IFERROR(__xludf.DUMMYFUNCTION("""COMPUTED_VALUE"""),17.700000000000003)</f>
        <v>17.7</v>
      </c>
      <c r="H106" s="17">
        <f>IFERROR(__xludf.DUMMYFUNCTION("""COMPUTED_VALUE"""),34243.0)</f>
        <v>34243</v>
      </c>
      <c r="I106" s="19">
        <f>IFERROR(__xludf.DUMMYFUNCTION("""COMPUTED_VALUE"""),31.538888888888888)</f>
        <v>31.53888889</v>
      </c>
      <c r="J106" s="21">
        <f>IFERROR(__xludf.DUMMYFUNCTION("""COMPUTED_VALUE"""),72.0)</f>
        <v>72</v>
      </c>
      <c r="K106" s="23">
        <f>IFERROR(__xludf.DUMMYFUNCTION("""COMPUTED_VALUE"""),7.2)</f>
        <v>7.2</v>
      </c>
      <c r="L106" s="24">
        <f>IFERROR(__xludf.DUMMYFUNCTION("""COMPUTED_VALUE"""),4.0)</f>
        <v>4</v>
      </c>
      <c r="M106" s="25" t="str">
        <f>IFERROR(__xludf.DUMMYFUNCTION("""COMPUTED_VALUE"""),"Survival")</f>
        <v>Survival</v>
      </c>
      <c r="N106" s="25" t="str">
        <f>IFERROR(__xludf.DUMMYFUNCTION("""COMPUTED_VALUE"""),"PS1")</f>
        <v>PS1</v>
      </c>
      <c r="O106" s="26"/>
      <c r="P106" s="26"/>
    </row>
    <row r="107">
      <c r="A107" s="13" t="str">
        <f>IFERROR(__xludf.DUMMYFUNCTION("""COMPUTED_VALUE"""),"Secret Agent Clank")</f>
        <v>Secret Agent Clank</v>
      </c>
      <c r="B107" s="15" t="str">
        <f>IFERROR(__xludf.DUMMYFUNCTION("""COMPUTED_VALUE"""),"PS5/PS4")</f>
        <v>PS5/PS4</v>
      </c>
      <c r="C107" s="16" t="str">
        <f>IFERROR(__xludf.DUMMYFUNCTION("""COMPUTED_VALUE"""),"Premium (Classics)")</f>
        <v>Premium (Classics)</v>
      </c>
      <c r="D107" s="15" t="str">
        <f>IFERROR(__xludf.DUMMYFUNCTION("""COMPUTED_VALUE"""),"Active")</f>
        <v>Active</v>
      </c>
      <c r="E107" s="17">
        <f>IFERROR(__xludf.DUMMYFUNCTION("""COMPUTED_VALUE"""),45552.0)</f>
        <v>45552</v>
      </c>
      <c r="F107" s="54"/>
      <c r="G107" s="19">
        <f>IFERROR(__xludf.DUMMYFUNCTION("""COMPUTED_VALUE"""),24.633333333333333)</f>
        <v>24.63333333</v>
      </c>
      <c r="H107" s="17">
        <f>IFERROR(__xludf.DUMMYFUNCTION("""COMPUTED_VALUE"""),39616.0)</f>
        <v>39616</v>
      </c>
      <c r="I107" s="19">
        <f>IFERROR(__xludf.DUMMYFUNCTION("""COMPUTED_VALUE"""),16.25)</f>
        <v>16.25</v>
      </c>
      <c r="J107" s="21">
        <f>IFERROR(__xludf.DUMMYFUNCTION("""COMPUTED_VALUE"""),72.0)</f>
        <v>72</v>
      </c>
      <c r="K107" s="23">
        <f>IFERROR(__xludf.DUMMYFUNCTION("""COMPUTED_VALUE"""),7.4)</f>
        <v>7.4</v>
      </c>
      <c r="L107" s="24">
        <f>IFERROR(__xludf.DUMMYFUNCTION("""COMPUTED_VALUE"""),8.0)</f>
        <v>8</v>
      </c>
      <c r="M107" s="25" t="str">
        <f>IFERROR(__xludf.DUMMYFUNCTION("""COMPUTED_VALUE"""),"Platformer")</f>
        <v>Platformer</v>
      </c>
      <c r="N107" s="25" t="str">
        <f>IFERROR(__xludf.DUMMYFUNCTION("""COMPUTED_VALUE"""),"PSP")</f>
        <v>PSP</v>
      </c>
      <c r="O107" s="26" t="str">
        <f>IFERROR(__xludf.DUMMYFUNCTION("""COMPUTED_VALUE"""),"Yes")</f>
        <v>Yes</v>
      </c>
      <c r="P107" s="26"/>
    </row>
    <row r="108">
      <c r="A108" s="13" t="str">
        <f>IFERROR(__xludf.DUMMYFUNCTION("""COMPUTED_VALUE"""),"G-Police")</f>
        <v>G-Police</v>
      </c>
      <c r="B108" s="15" t="str">
        <f>IFERROR(__xludf.DUMMYFUNCTION("""COMPUTED_VALUE"""),"PS5/PS4")</f>
        <v>PS5/PS4</v>
      </c>
      <c r="C108" s="16" t="str">
        <f>IFERROR(__xludf.DUMMYFUNCTION("""COMPUTED_VALUE"""),"Premium (Classics)")</f>
        <v>Premium (Classics)</v>
      </c>
      <c r="D108" s="15" t="str">
        <f>IFERROR(__xludf.DUMMYFUNCTION("""COMPUTED_VALUE"""),"Active")</f>
        <v>Active</v>
      </c>
      <c r="E108" s="17">
        <f>IFERROR(__xludf.DUMMYFUNCTION("""COMPUTED_VALUE"""),45433.0)</f>
        <v>45433</v>
      </c>
      <c r="F108" s="54"/>
      <c r="G108" s="19">
        <f>IFERROR(__xludf.DUMMYFUNCTION("""COMPUTED_VALUE"""),28.5)</f>
        <v>28.5</v>
      </c>
      <c r="H108" s="17">
        <f>IFERROR(__xludf.DUMMYFUNCTION("""COMPUTED_VALUE"""),35703.0)</f>
        <v>35703</v>
      </c>
      <c r="I108" s="19">
        <f>IFERROR(__xludf.DUMMYFUNCTION("""COMPUTED_VALUE"""),26.641666666666666)</f>
        <v>26.64166667</v>
      </c>
      <c r="J108" s="21">
        <f>IFERROR(__xludf.DUMMYFUNCTION("""COMPUTED_VALUE"""),72.0)</f>
        <v>72</v>
      </c>
      <c r="K108" s="23">
        <f>IFERROR(__xludf.DUMMYFUNCTION("""COMPUTED_VALUE"""),7.8)</f>
        <v>7.8</v>
      </c>
      <c r="L108" s="24">
        <f>IFERROR(__xludf.DUMMYFUNCTION("""COMPUTED_VALUE"""),15.0)</f>
        <v>15</v>
      </c>
      <c r="M108" s="25" t="str">
        <f>IFERROR(__xludf.DUMMYFUNCTION("""COMPUTED_VALUE"""),"Action-Adventure")</f>
        <v>Action-Adventure</v>
      </c>
      <c r="N108" s="25" t="str">
        <f>IFERROR(__xludf.DUMMYFUNCTION("""COMPUTED_VALUE"""),"PS1")</f>
        <v>PS1</v>
      </c>
      <c r="O108" s="26" t="str">
        <f>IFERROR(__xludf.DUMMYFUNCTION("""COMPUTED_VALUE"""),"Yes")</f>
        <v>Yes</v>
      </c>
      <c r="P108" s="26"/>
    </row>
    <row r="109">
      <c r="A109" s="13" t="str">
        <f>IFERROR(__xludf.DUMMYFUNCTION("""COMPUTED_VALUE"""),"Kingdom of Paradise")</f>
        <v>Kingdom of Paradise</v>
      </c>
      <c r="B109" s="15" t="str">
        <f>IFERROR(__xludf.DUMMYFUNCTION("""COMPUTED_VALUE"""),"PS5/PS4")</f>
        <v>PS5/PS4</v>
      </c>
      <c r="C109" s="16" t="str">
        <f>IFERROR(__xludf.DUMMYFUNCTION("""COMPUTED_VALUE"""),"Premium (Classics)")</f>
        <v>Premium (Classics)</v>
      </c>
      <c r="D109" s="15" t="str">
        <f>IFERROR(__xludf.DUMMYFUNCTION("""COMPUTED_VALUE"""),"Active")</f>
        <v>Active</v>
      </c>
      <c r="E109" s="17">
        <f>IFERROR(__xludf.DUMMYFUNCTION("""COMPUTED_VALUE"""),44824.0)</f>
        <v>44824</v>
      </c>
      <c r="F109" s="54"/>
      <c r="G109" s="19">
        <f>IFERROR(__xludf.DUMMYFUNCTION("""COMPUTED_VALUE"""),48.53333333333333)</f>
        <v>48.53333333</v>
      </c>
      <c r="H109" s="17">
        <f>IFERROR(__xludf.DUMMYFUNCTION("""COMPUTED_VALUE"""),38671.0)</f>
        <v>38671</v>
      </c>
      <c r="I109" s="19">
        <f>IFERROR(__xludf.DUMMYFUNCTION("""COMPUTED_VALUE"""),16.84722222222222)</f>
        <v>16.84722222</v>
      </c>
      <c r="J109" s="21">
        <f>IFERROR(__xludf.DUMMYFUNCTION("""COMPUTED_VALUE"""),72.0)</f>
        <v>72</v>
      </c>
      <c r="K109" s="23">
        <f>IFERROR(__xludf.DUMMYFUNCTION("""COMPUTED_VALUE"""),7.5)</f>
        <v>7.5</v>
      </c>
      <c r="L109" s="24">
        <f>IFERROR(__xludf.DUMMYFUNCTION("""COMPUTED_VALUE"""),22.0)</f>
        <v>22</v>
      </c>
      <c r="M109" s="25" t="str">
        <f>IFERROR(__xludf.DUMMYFUNCTION("""COMPUTED_VALUE"""),"Action-Adventure")</f>
        <v>Action-Adventure</v>
      </c>
      <c r="N109" s="25" t="str">
        <f>IFERROR(__xludf.DUMMYFUNCTION("""COMPUTED_VALUE"""),"PSP")</f>
        <v>PSP</v>
      </c>
      <c r="O109" s="26" t="str">
        <f>IFERROR(__xludf.DUMMYFUNCTION("""COMPUTED_VALUE"""),"Yes")</f>
        <v>Yes</v>
      </c>
      <c r="P109" s="26"/>
    </row>
    <row r="110">
      <c r="A110" s="13" t="str">
        <f>IFERROR(__xludf.DUMMYFUNCTION("""COMPUTED_VALUE"""),"Arc The Lad: Twilight of the Spirits")</f>
        <v>Arc The Lad: Twilight of the Spirits</v>
      </c>
      <c r="B110" s="15" t="str">
        <f>IFERROR(__xludf.DUMMYFUNCTION("""COMPUTED_VALUE"""),"PS4")</f>
        <v>PS4</v>
      </c>
      <c r="C110" s="16" t="str">
        <f>IFERROR(__xludf.DUMMYFUNCTION("""COMPUTED_VALUE"""),"Premium (Classics)")</f>
        <v>Premium (Classics)</v>
      </c>
      <c r="D110" s="15" t="str">
        <f>IFERROR(__xludf.DUMMYFUNCTION("""COMPUTED_VALUE"""),"Active")</f>
        <v>Active</v>
      </c>
      <c r="E110" s="17">
        <f>IFERROR(__xludf.DUMMYFUNCTION("""COMPUTED_VALUE"""),44725.0)</f>
        <v>44725</v>
      </c>
      <c r="F110" s="54"/>
      <c r="G110" s="19">
        <f>IFERROR(__xludf.DUMMYFUNCTION("""COMPUTED_VALUE"""),51.766666666666666)</f>
        <v>51.76666667</v>
      </c>
      <c r="H110" s="17">
        <f>IFERROR(__xludf.DUMMYFUNCTION("""COMPUTED_VALUE"""),37773.0)</f>
        <v>37773</v>
      </c>
      <c r="I110" s="19">
        <f>IFERROR(__xludf.DUMMYFUNCTION("""COMPUTED_VALUE"""),19.033333333333335)</f>
        <v>19.03333333</v>
      </c>
      <c r="J110" s="21">
        <f>IFERROR(__xludf.DUMMYFUNCTION("""COMPUTED_VALUE"""),72.0)</f>
        <v>72</v>
      </c>
      <c r="K110" s="23">
        <f>IFERROR(__xludf.DUMMYFUNCTION("""COMPUTED_VALUE"""),8.0)</f>
        <v>8</v>
      </c>
      <c r="L110" s="24">
        <f>IFERROR(__xludf.DUMMYFUNCTION("""COMPUTED_VALUE"""),60.0)</f>
        <v>60</v>
      </c>
      <c r="M110" s="25" t="str">
        <f>IFERROR(__xludf.DUMMYFUNCTION("""COMPUTED_VALUE"""),"Turn-Based Tactics")</f>
        <v>Turn-Based Tactics</v>
      </c>
      <c r="N110" s="25" t="str">
        <f>IFERROR(__xludf.DUMMYFUNCTION("""COMPUTED_VALUE"""),"PS2")</f>
        <v>PS2</v>
      </c>
      <c r="O110" s="26" t="str">
        <f>IFERROR(__xludf.DUMMYFUNCTION("""COMPUTED_VALUE"""),"Yes")</f>
        <v>Yes</v>
      </c>
      <c r="P110" s="26" t="str">
        <f>IFERROR(__xludf.DUMMYFUNCTION("""COMPUTED_VALUE"""),"")</f>
        <v/>
      </c>
    </row>
    <row r="111">
      <c r="A111" s="13" t="str">
        <f>IFERROR(__xludf.DUMMYFUNCTION("""COMPUTED_VALUE"""),"FantaVision")</f>
        <v>FantaVision</v>
      </c>
      <c r="B111" s="15" t="str">
        <f>IFERROR(__xludf.DUMMYFUNCTION("""COMPUTED_VALUE"""),"PS4")</f>
        <v>PS4</v>
      </c>
      <c r="C111" s="16" t="str">
        <f>IFERROR(__xludf.DUMMYFUNCTION("""COMPUTED_VALUE"""),"Premium (Classics)")</f>
        <v>Premium (Classics)</v>
      </c>
      <c r="D111" s="15" t="str">
        <f>IFERROR(__xludf.DUMMYFUNCTION("""COMPUTED_VALUE"""),"Active")</f>
        <v>Active</v>
      </c>
      <c r="E111" s="17">
        <f>IFERROR(__xludf.DUMMYFUNCTION("""COMPUTED_VALUE"""),44725.0)</f>
        <v>44725</v>
      </c>
      <c r="F111" s="54"/>
      <c r="G111" s="19">
        <f>IFERROR(__xludf.DUMMYFUNCTION("""COMPUTED_VALUE"""),51.766666666666666)</f>
        <v>51.76666667</v>
      </c>
      <c r="H111" s="17">
        <f>IFERROR(__xludf.DUMMYFUNCTION("""COMPUTED_VALUE"""),36800.0)</f>
        <v>36800</v>
      </c>
      <c r="I111" s="19">
        <f>IFERROR(__xludf.DUMMYFUNCTION("""COMPUTED_VALUE"""),21.7)</f>
        <v>21.7</v>
      </c>
      <c r="J111" s="21">
        <f>IFERROR(__xludf.DUMMYFUNCTION("""COMPUTED_VALUE"""),72.0)</f>
        <v>72</v>
      </c>
      <c r="K111" s="23">
        <f>IFERROR(__xludf.DUMMYFUNCTION("""COMPUTED_VALUE"""),7.3)</f>
        <v>7.3</v>
      </c>
      <c r="L111" s="24">
        <f>IFERROR(__xludf.DUMMYFUNCTION("""COMPUTED_VALUE"""),4.0)</f>
        <v>4</v>
      </c>
      <c r="M111" s="25" t="str">
        <f>IFERROR(__xludf.DUMMYFUNCTION("""COMPUTED_VALUE"""),"Puzzle")</f>
        <v>Puzzle</v>
      </c>
      <c r="N111" s="25" t="str">
        <f>IFERROR(__xludf.DUMMYFUNCTION("""COMPUTED_VALUE"""),"PS2")</f>
        <v>PS2</v>
      </c>
      <c r="O111" s="26" t="str">
        <f>IFERROR(__xludf.DUMMYFUNCTION("""COMPUTED_VALUE"""),"Yes")</f>
        <v>Yes</v>
      </c>
      <c r="P111" s="26" t="str">
        <f>IFERROR(__xludf.DUMMYFUNCTION("""COMPUTED_VALUE"""),"")</f>
        <v/>
      </c>
    </row>
    <row r="112">
      <c r="A112" s="13" t="str">
        <f>IFERROR(__xludf.DUMMYFUNCTION("""COMPUTED_VALUE"""),"SIREN")</f>
        <v>SIREN</v>
      </c>
      <c r="B112" s="15" t="str">
        <f>IFERROR(__xludf.DUMMYFUNCTION("""COMPUTED_VALUE"""),"PS5/PS4")</f>
        <v>PS5/PS4</v>
      </c>
      <c r="C112" s="16" t="str">
        <f>IFERROR(__xludf.DUMMYFUNCTION("""COMPUTED_VALUE"""),"Premium (Classics)")</f>
        <v>Premium (Classics)</v>
      </c>
      <c r="D112" s="15" t="str">
        <f>IFERROR(__xludf.DUMMYFUNCTION("""COMPUTED_VALUE"""),"Active")</f>
        <v>Active</v>
      </c>
      <c r="E112" s="17">
        <f>IFERROR(__xludf.DUMMYFUNCTION("""COMPUTED_VALUE"""),44725.0)</f>
        <v>44725</v>
      </c>
      <c r="F112" s="54"/>
      <c r="G112" s="19">
        <f>IFERROR(__xludf.DUMMYFUNCTION("""COMPUTED_VALUE"""),51.766666666666666)</f>
        <v>51.76666667</v>
      </c>
      <c r="H112" s="17">
        <f>IFERROR(__xludf.DUMMYFUNCTION("""COMPUTED_VALUE"""),38078.0)</f>
        <v>38078</v>
      </c>
      <c r="I112" s="19">
        <f>IFERROR(__xludf.DUMMYFUNCTION("""COMPUTED_VALUE"""),18.2)</f>
        <v>18.2</v>
      </c>
      <c r="J112" s="21">
        <f>IFERROR(__xludf.DUMMYFUNCTION("""COMPUTED_VALUE"""),72.0)</f>
        <v>72</v>
      </c>
      <c r="K112" s="23">
        <f>IFERROR(__xludf.DUMMYFUNCTION("""COMPUTED_VALUE"""),8.1)</f>
        <v>8.1</v>
      </c>
      <c r="L112" s="24">
        <f>IFERROR(__xludf.DUMMYFUNCTION("""COMPUTED_VALUE"""),20.0)</f>
        <v>20</v>
      </c>
      <c r="M112" s="25" t="str">
        <f>IFERROR(__xludf.DUMMYFUNCTION("""COMPUTED_VALUE"""),"Survival")</f>
        <v>Survival</v>
      </c>
      <c r="N112" s="25" t="str">
        <f>IFERROR(__xludf.DUMMYFUNCTION("""COMPUTED_VALUE"""),"PS2")</f>
        <v>PS2</v>
      </c>
      <c r="O112" s="26" t="str">
        <f>IFERROR(__xludf.DUMMYFUNCTION("""COMPUTED_VALUE"""),"Yes")</f>
        <v>Yes</v>
      </c>
      <c r="P112" s="26" t="str">
        <f>IFERROR(__xludf.DUMMYFUNCTION("""COMPUTED_VALUE"""),"")</f>
        <v/>
      </c>
    </row>
    <row r="113">
      <c r="A113" s="13" t="str">
        <f>IFERROR(__xludf.DUMMYFUNCTION("""COMPUTED_VALUE"""),"Gods Eater: Burst")</f>
        <v>Gods Eater: Burst</v>
      </c>
      <c r="B113" s="15" t="str">
        <f>IFERROR(__xludf.DUMMYFUNCTION("""COMPUTED_VALUE"""),"PS5/PS4")</f>
        <v>PS5/PS4</v>
      </c>
      <c r="C113" s="16" t="str">
        <f>IFERROR(__xludf.DUMMYFUNCTION("""COMPUTED_VALUE"""),"Premium (Classics)")</f>
        <v>Premium (Classics)</v>
      </c>
      <c r="D113" s="15" t="str">
        <f>IFERROR(__xludf.DUMMYFUNCTION("""COMPUTED_VALUE"""),"Active")</f>
        <v>Active</v>
      </c>
      <c r="E113" s="17">
        <f>IFERROR(__xludf.DUMMYFUNCTION("""COMPUTED_VALUE"""),45370.0)</f>
        <v>45370</v>
      </c>
      <c r="F113" s="54"/>
      <c r="G113" s="19">
        <f>IFERROR(__xludf.DUMMYFUNCTION("""COMPUTED_VALUE"""),30.566666666666663)</f>
        <v>30.56666667</v>
      </c>
      <c r="H113" s="17">
        <f>IFERROR(__xludf.DUMMYFUNCTION("""COMPUTED_VALUE"""),40617.0)</f>
        <v>40617</v>
      </c>
      <c r="I113" s="19">
        <f>IFERROR(__xludf.DUMMYFUNCTION("""COMPUTED_VALUE"""),13.011111111111111)</f>
        <v>13.01111111</v>
      </c>
      <c r="J113" s="21">
        <f>IFERROR(__xludf.DUMMYFUNCTION("""COMPUTED_VALUE"""),71.0)</f>
        <v>71</v>
      </c>
      <c r="K113" s="23">
        <f>IFERROR(__xludf.DUMMYFUNCTION("""COMPUTED_VALUE"""),8.0)</f>
        <v>8</v>
      </c>
      <c r="L113" s="24">
        <f>IFERROR(__xludf.DUMMYFUNCTION("""COMPUTED_VALUE"""),38.0)</f>
        <v>38</v>
      </c>
      <c r="M113" s="25" t="str">
        <f>IFERROR(__xludf.DUMMYFUNCTION("""COMPUTED_VALUE"""),"RPG")</f>
        <v>RPG</v>
      </c>
      <c r="N113" s="25" t="str">
        <f>IFERROR(__xludf.DUMMYFUNCTION("""COMPUTED_VALUE"""),"PSP")</f>
        <v>PSP</v>
      </c>
      <c r="O113" s="26" t="str">
        <f>IFERROR(__xludf.DUMMYFUNCTION("""COMPUTED_VALUE"""),"Yes")</f>
        <v>Yes</v>
      </c>
      <c r="P113" s="26"/>
    </row>
    <row r="114">
      <c r="A114" s="13" t="str">
        <f>IFERROR(__xludf.DUMMYFUNCTION("""COMPUTED_VALUE"""),"Jak and Daxter: The Lost Frontier")</f>
        <v>Jak and Daxter: The Lost Frontier</v>
      </c>
      <c r="B114" s="15" t="str">
        <f>IFERROR(__xludf.DUMMYFUNCTION("""COMPUTED_VALUE"""),"PS5/PS4")</f>
        <v>PS5/PS4</v>
      </c>
      <c r="C114" s="16" t="str">
        <f>IFERROR(__xludf.DUMMYFUNCTION("""COMPUTED_VALUE"""),"Premium (Classics)")</f>
        <v>Premium (Classics)</v>
      </c>
      <c r="D114" s="15" t="str">
        <f>IFERROR(__xludf.DUMMYFUNCTION("""COMPUTED_VALUE"""),"Active")</f>
        <v>Active</v>
      </c>
      <c r="E114" s="17">
        <f>IFERROR(__xludf.DUMMYFUNCTION("""COMPUTED_VALUE"""),45370.0)</f>
        <v>45370</v>
      </c>
      <c r="F114" s="54"/>
      <c r="G114" s="19">
        <f>IFERROR(__xludf.DUMMYFUNCTION("""COMPUTED_VALUE"""),30.566666666666663)</f>
        <v>30.56666667</v>
      </c>
      <c r="H114" s="17">
        <f>IFERROR(__xludf.DUMMYFUNCTION("""COMPUTED_VALUE"""),40120.0)</f>
        <v>40120</v>
      </c>
      <c r="I114" s="19">
        <f>IFERROR(__xludf.DUMMYFUNCTION("""COMPUTED_VALUE"""),14.377777777777778)</f>
        <v>14.37777778</v>
      </c>
      <c r="J114" s="21">
        <f>IFERROR(__xludf.DUMMYFUNCTION("""COMPUTED_VALUE"""),71.0)</f>
        <v>71</v>
      </c>
      <c r="K114" s="23">
        <f>IFERROR(__xludf.DUMMYFUNCTION("""COMPUTED_VALUE"""),7.2)</f>
        <v>7.2</v>
      </c>
      <c r="L114" s="24">
        <f>IFERROR(__xludf.DUMMYFUNCTION("""COMPUTED_VALUE"""),8.0)</f>
        <v>8</v>
      </c>
      <c r="M114" s="25" t="str">
        <f>IFERROR(__xludf.DUMMYFUNCTION("""COMPUTED_VALUE"""),"Platformer")</f>
        <v>Platformer</v>
      </c>
      <c r="N114" s="25" t="str">
        <f>IFERROR(__xludf.DUMMYFUNCTION("""COMPUTED_VALUE"""),"PSP")</f>
        <v>PSP</v>
      </c>
      <c r="O114" s="26" t="str">
        <f>IFERROR(__xludf.DUMMYFUNCTION("""COMPUTED_VALUE"""),"Yes")</f>
        <v>Yes</v>
      </c>
      <c r="P114" s="26"/>
    </row>
    <row r="115">
      <c r="A115" s="13" t="str">
        <f>IFERROR(__xludf.DUMMYFUNCTION("""COMPUTED_VALUE"""),"No Heroes Allowed: No Puzzles Either!")</f>
        <v>No Heroes Allowed: No Puzzles Either!</v>
      </c>
      <c r="B115" s="15" t="str">
        <f>IFERROR(__xludf.DUMMYFUNCTION("""COMPUTED_VALUE"""),"PS5")</f>
        <v>PS5</v>
      </c>
      <c r="C115" s="16" t="str">
        <f>IFERROR(__xludf.DUMMYFUNCTION("""COMPUTED_VALUE"""),"Premium (Classics)")</f>
        <v>Premium (Classics)</v>
      </c>
      <c r="D115" s="15" t="str">
        <f>IFERROR(__xludf.DUMMYFUNCTION("""COMPUTED_VALUE"""),"Active")</f>
        <v>Active</v>
      </c>
      <c r="E115" s="17">
        <f>IFERROR(__xludf.DUMMYFUNCTION("""COMPUTED_VALUE"""),44761.0)</f>
        <v>44761</v>
      </c>
      <c r="F115" s="54"/>
      <c r="G115" s="19">
        <f>IFERROR(__xludf.DUMMYFUNCTION("""COMPUTED_VALUE"""),50.56666666666666)</f>
        <v>50.56666667</v>
      </c>
      <c r="H115" s="17">
        <f>IFERROR(__xludf.DUMMYFUNCTION("""COMPUTED_VALUE"""),40290.0)</f>
        <v>40290</v>
      </c>
      <c r="I115" s="19">
        <f>IFERROR(__xludf.DUMMYFUNCTION("""COMPUTED_VALUE"""),12.241666666666667)</f>
        <v>12.24166667</v>
      </c>
      <c r="J115" s="21">
        <f>IFERROR(__xludf.DUMMYFUNCTION("""COMPUTED_VALUE"""),71.0)</f>
        <v>71</v>
      </c>
      <c r="K115" s="23">
        <f>IFERROR(__xludf.DUMMYFUNCTION("""COMPUTED_VALUE"""),6.7)</f>
        <v>6.7</v>
      </c>
      <c r="L115" s="24">
        <f>IFERROR(__xludf.DUMMYFUNCTION("""COMPUTED_VALUE"""),6.0)</f>
        <v>6</v>
      </c>
      <c r="M115" s="25" t="str">
        <f>IFERROR(__xludf.DUMMYFUNCTION("""COMPUTED_VALUE"""),"Puzzle")</f>
        <v>Puzzle</v>
      </c>
      <c r="N115" s="25" t="str">
        <f>IFERROR(__xludf.DUMMYFUNCTION("""COMPUTED_VALUE"""),"PSP")</f>
        <v>PSP</v>
      </c>
      <c r="O115" s="26" t="str">
        <f>IFERROR(__xludf.DUMMYFUNCTION("""COMPUTED_VALUE"""),"No")</f>
        <v>No</v>
      </c>
      <c r="P115" s="26"/>
    </row>
    <row r="116">
      <c r="A116" s="13" t="str">
        <f>IFERROR(__xludf.DUMMYFUNCTION("""COMPUTED_VALUE"""),"Time Crisis")</f>
        <v>Time Crisis</v>
      </c>
      <c r="B116" s="15" t="str">
        <f>IFERROR(__xludf.DUMMYFUNCTION("""COMPUTED_VALUE"""),"PS5/PS4")</f>
        <v>PS5/PS4</v>
      </c>
      <c r="C116" s="16" t="str">
        <f>IFERROR(__xludf.DUMMYFUNCTION("""COMPUTED_VALUE"""),"Premium (Classics)")</f>
        <v>Premium (Classics)</v>
      </c>
      <c r="D116" s="15" t="str">
        <f>IFERROR(__xludf.DUMMYFUNCTION("""COMPUTED_VALUE"""),"Active")</f>
        <v>Active</v>
      </c>
      <c r="E116" s="17">
        <f>IFERROR(__xludf.DUMMYFUNCTION("""COMPUTED_VALUE"""),46161.0)</f>
        <v>46161</v>
      </c>
      <c r="F116" s="54"/>
      <c r="G116" s="19">
        <f>IFERROR(__xludf.DUMMYFUNCTION("""COMPUTED_VALUE"""),4.566666666666666)</f>
        <v>4.566666667</v>
      </c>
      <c r="H116" s="17">
        <f>IFERROR(__xludf.DUMMYFUNCTION("""COMPUTED_VALUE"""),34973.0)</f>
        <v>34973</v>
      </c>
      <c r="I116" s="19">
        <f>IFERROR(__xludf.DUMMYFUNCTION("""COMPUTED_VALUE"""),30.633333333333333)</f>
        <v>30.63333333</v>
      </c>
      <c r="J116" s="21">
        <f>IFERROR(__xludf.DUMMYFUNCTION("""COMPUTED_VALUE"""),70.0)</f>
        <v>70</v>
      </c>
      <c r="K116" s="23">
        <f>IFERROR(__xludf.DUMMYFUNCTION("""COMPUTED_VALUE"""),7.5)</f>
        <v>7.5</v>
      </c>
      <c r="L116" s="24">
        <f>IFERROR(__xludf.DUMMYFUNCTION("""COMPUTED_VALUE"""),1.0)</f>
        <v>1</v>
      </c>
      <c r="M116" s="25" t="str">
        <f>IFERROR(__xludf.DUMMYFUNCTION("""COMPUTED_VALUE"""),"Shooter")</f>
        <v>Shooter</v>
      </c>
      <c r="N116" s="25" t="str">
        <f>IFERROR(__xludf.DUMMYFUNCTION("""COMPUTED_VALUE"""),"PS1")</f>
        <v>PS1</v>
      </c>
      <c r="O116" s="26" t="str">
        <f>IFERROR(__xludf.DUMMYFUNCTION("""COMPUTED_VALUE"""),"No")</f>
        <v>No</v>
      </c>
      <c r="P116" s="26"/>
    </row>
    <row r="117">
      <c r="A117" s="13" t="str">
        <f>IFERROR(__xludf.DUMMYFUNCTION("""COMPUTED_VALUE"""),"Wild Arms 4")</f>
        <v>Wild Arms 4</v>
      </c>
      <c r="B117" s="15" t="str">
        <f>IFERROR(__xludf.DUMMYFUNCTION("""COMPUTED_VALUE"""),"PS5/PS4")</f>
        <v>PS5/PS4</v>
      </c>
      <c r="C117" s="16" t="str">
        <f>IFERROR(__xludf.DUMMYFUNCTION("""COMPUTED_VALUE"""),"Premium (Classics)")</f>
        <v>Premium (Classics)</v>
      </c>
      <c r="D117" s="15" t="str">
        <f>IFERROR(__xludf.DUMMYFUNCTION("""COMPUTED_VALUE"""),"Active")</f>
        <v>Active</v>
      </c>
      <c r="E117" s="17">
        <f>IFERROR(__xludf.DUMMYFUNCTION("""COMPUTED_VALUE"""),46133.0)</f>
        <v>46133</v>
      </c>
      <c r="F117" s="54"/>
      <c r="G117" s="19">
        <f>IFERROR(__xludf.DUMMYFUNCTION("""COMPUTED_VALUE"""),5.5)</f>
        <v>5.5</v>
      </c>
      <c r="H117" s="17">
        <f>IFERROR(__xludf.DUMMYFUNCTION("""COMPUTED_VALUE"""),38671.0)</f>
        <v>38671</v>
      </c>
      <c r="I117" s="19">
        <f>IFERROR(__xludf.DUMMYFUNCTION("""COMPUTED_VALUE"""),20.433333333333334)</f>
        <v>20.43333333</v>
      </c>
      <c r="J117" s="21">
        <f>IFERROR(__xludf.DUMMYFUNCTION("""COMPUTED_VALUE"""),70.0)</f>
        <v>70</v>
      </c>
      <c r="K117" s="23">
        <f>IFERROR(__xludf.DUMMYFUNCTION("""COMPUTED_VALUE"""),7.7)</f>
        <v>7.7</v>
      </c>
      <c r="L117" s="24">
        <f>IFERROR(__xludf.DUMMYFUNCTION("""COMPUTED_VALUE"""),33.0)</f>
        <v>33</v>
      </c>
      <c r="M117" s="25" t="str">
        <f>IFERROR(__xludf.DUMMYFUNCTION("""COMPUTED_VALUE"""),"RPG")</f>
        <v>RPG</v>
      </c>
      <c r="N117" s="25" t="str">
        <f>IFERROR(__xludf.DUMMYFUNCTION("""COMPUTED_VALUE"""),"PS2")</f>
        <v>PS2</v>
      </c>
      <c r="O117" s="26"/>
      <c r="P117" s="26"/>
    </row>
    <row r="118">
      <c r="A118" s="13" t="str">
        <f>IFERROR(__xludf.DUMMYFUNCTION("""COMPUTED_VALUE"""),"Thrillville: Off the Rails")</f>
        <v>Thrillville: Off the Rails</v>
      </c>
      <c r="B118" s="15" t="str">
        <f>IFERROR(__xludf.DUMMYFUNCTION("""COMPUTED_VALUE"""),"PS5/PS4")</f>
        <v>PS5/PS4</v>
      </c>
      <c r="C118" s="16" t="str">
        <f>IFERROR(__xludf.DUMMYFUNCTION("""COMPUTED_VALUE"""),"Premium (Classics)")</f>
        <v>Premium (Classics)</v>
      </c>
      <c r="D118" s="15" t="str">
        <f>IFERROR(__xludf.DUMMYFUNCTION("""COMPUTED_VALUE"""),"Active")</f>
        <v>Active</v>
      </c>
      <c r="E118" s="17">
        <f>IFERROR(__xludf.DUMMYFUNCTION("""COMPUTED_VALUE"""),45279.0)</f>
        <v>45279</v>
      </c>
      <c r="F118" s="54"/>
      <c r="G118" s="19">
        <f>IFERROR(__xludf.DUMMYFUNCTION("""COMPUTED_VALUE"""),33.56666666666666)</f>
        <v>33.56666667</v>
      </c>
      <c r="H118" s="17">
        <f>IFERROR(__xludf.DUMMYFUNCTION("""COMPUTED_VALUE"""),39364.0)</f>
        <v>39364</v>
      </c>
      <c r="I118" s="19">
        <f>IFERROR(__xludf.DUMMYFUNCTION("""COMPUTED_VALUE"""),16.194444444444443)</f>
        <v>16.19444444</v>
      </c>
      <c r="J118" s="21">
        <f>IFERROR(__xludf.DUMMYFUNCTION("""COMPUTED_VALUE"""),70.0)</f>
        <v>70</v>
      </c>
      <c r="K118" s="23">
        <f>IFERROR(__xludf.DUMMYFUNCTION("""COMPUTED_VALUE"""),2.9)</f>
        <v>2.9</v>
      </c>
      <c r="L118" s="24">
        <f>IFERROR(__xludf.DUMMYFUNCTION("""COMPUTED_VALUE"""),7.0)</f>
        <v>7</v>
      </c>
      <c r="M118" s="25" t="str">
        <f>IFERROR(__xludf.DUMMYFUNCTION("""COMPUTED_VALUE"""),"Strategy")</f>
        <v>Strategy</v>
      </c>
      <c r="N118" s="25" t="str">
        <f>IFERROR(__xludf.DUMMYFUNCTION("""COMPUTED_VALUE"""),"PS2")</f>
        <v>PS2</v>
      </c>
      <c r="O118" s="26" t="str">
        <f>IFERROR(__xludf.DUMMYFUNCTION("""COMPUTED_VALUE"""),"No")</f>
        <v>No</v>
      </c>
      <c r="P118" s="26"/>
    </row>
    <row r="119">
      <c r="A119" s="13" t="str">
        <f>IFERROR(__xludf.DUMMYFUNCTION("""COMPUTED_VALUE"""),"Jumping Flash!")</f>
        <v>Jumping Flash!</v>
      </c>
      <c r="B119" s="15" t="str">
        <f>IFERROR(__xludf.DUMMYFUNCTION("""COMPUTED_VALUE"""),"PS5/PS4")</f>
        <v>PS5/PS4</v>
      </c>
      <c r="C119" s="16" t="str">
        <f>IFERROR(__xludf.DUMMYFUNCTION("""COMPUTED_VALUE"""),"Premium (Classics)")</f>
        <v>Premium (Classics)</v>
      </c>
      <c r="D119" s="15" t="str">
        <f>IFERROR(__xludf.DUMMYFUNCTION("""COMPUTED_VALUE"""),"Active")</f>
        <v>Active</v>
      </c>
      <c r="E119" s="17">
        <f>IFERROR(__xludf.DUMMYFUNCTION("""COMPUTED_VALUE"""),44725.0)</f>
        <v>44725</v>
      </c>
      <c r="F119" s="54"/>
      <c r="G119" s="19">
        <f>IFERROR(__xludf.DUMMYFUNCTION("""COMPUTED_VALUE"""),51.766666666666666)</f>
        <v>51.76666667</v>
      </c>
      <c r="H119" s="17">
        <f>IFERROR(__xludf.DUMMYFUNCTION("""COMPUTED_VALUE"""),35004.0)</f>
        <v>35004</v>
      </c>
      <c r="I119" s="19">
        <f>IFERROR(__xludf.DUMMYFUNCTION("""COMPUTED_VALUE"""),26.616666666666667)</f>
        <v>26.61666667</v>
      </c>
      <c r="J119" s="21">
        <f>IFERROR(__xludf.DUMMYFUNCTION("""COMPUTED_VALUE"""),70.0)</f>
        <v>70</v>
      </c>
      <c r="K119" s="23">
        <f>IFERROR(__xludf.DUMMYFUNCTION("""COMPUTED_VALUE"""),7.9)</f>
        <v>7.9</v>
      </c>
      <c r="L119" s="24">
        <f>IFERROR(__xludf.DUMMYFUNCTION("""COMPUTED_VALUE"""),4.0)</f>
        <v>4</v>
      </c>
      <c r="M119" s="25" t="str">
        <f>IFERROR(__xludf.DUMMYFUNCTION("""COMPUTED_VALUE"""),"Platformer")</f>
        <v>Platformer</v>
      </c>
      <c r="N119" s="25" t="str">
        <f>IFERROR(__xludf.DUMMYFUNCTION("""COMPUTED_VALUE"""),"PS1")</f>
        <v>PS1</v>
      </c>
      <c r="O119" s="26" t="str">
        <f>IFERROR(__xludf.DUMMYFUNCTION("""COMPUTED_VALUE"""),"No")</f>
        <v>No</v>
      </c>
      <c r="P119" s="26" t="str">
        <f>IFERROR(__xludf.DUMMYFUNCTION("""COMPUTED_VALUE"""),"")</f>
        <v/>
      </c>
    </row>
    <row r="120">
      <c r="A120" s="13" t="str">
        <f>IFERROR(__xludf.DUMMYFUNCTION("""COMPUTED_VALUE"""),"Hot Shots Tennis")</f>
        <v>Hot Shots Tennis</v>
      </c>
      <c r="B120" s="15" t="str">
        <f>IFERROR(__xludf.DUMMYFUNCTION("""COMPUTED_VALUE"""),"PS4")</f>
        <v>PS4</v>
      </c>
      <c r="C120" s="16" t="str">
        <f>IFERROR(__xludf.DUMMYFUNCTION("""COMPUTED_VALUE"""),"Premium (Classics)")</f>
        <v>Premium (Classics)</v>
      </c>
      <c r="D120" s="15" t="str">
        <f>IFERROR(__xludf.DUMMYFUNCTION("""COMPUTED_VALUE"""),"Active")</f>
        <v>Active</v>
      </c>
      <c r="E120" s="17">
        <f>IFERROR(__xludf.DUMMYFUNCTION("""COMPUTED_VALUE"""),44725.0)</f>
        <v>44725</v>
      </c>
      <c r="F120" s="54"/>
      <c r="G120" s="19">
        <f>IFERROR(__xludf.DUMMYFUNCTION("""COMPUTED_VALUE"""),51.766666666666666)</f>
        <v>51.76666667</v>
      </c>
      <c r="H120" s="17">
        <f>IFERROR(__xludf.DUMMYFUNCTION("""COMPUTED_VALUE"""),39264.0)</f>
        <v>39264</v>
      </c>
      <c r="I120" s="19">
        <f>IFERROR(__xludf.DUMMYFUNCTION("""COMPUTED_VALUE"""),14.95)</f>
        <v>14.95</v>
      </c>
      <c r="J120" s="21">
        <f>IFERROR(__xludf.DUMMYFUNCTION("""COMPUTED_VALUE"""),70.0)</f>
        <v>70</v>
      </c>
      <c r="K120" s="23">
        <f>IFERROR(__xludf.DUMMYFUNCTION("""COMPUTED_VALUE"""),7.7)</f>
        <v>7.7</v>
      </c>
      <c r="L120" s="24">
        <f>IFERROR(__xludf.DUMMYFUNCTION("""COMPUTED_VALUE"""),6.5)</f>
        <v>6.5</v>
      </c>
      <c r="M120" s="25" t="str">
        <f>IFERROR(__xludf.DUMMYFUNCTION("""COMPUTED_VALUE"""),"Sports")</f>
        <v>Sports</v>
      </c>
      <c r="N120" s="25" t="str">
        <f>IFERROR(__xludf.DUMMYFUNCTION("""COMPUTED_VALUE"""),"PS2")</f>
        <v>PS2</v>
      </c>
      <c r="O120" s="26" t="str">
        <f>IFERROR(__xludf.DUMMYFUNCTION("""COMPUTED_VALUE"""),"Yes")</f>
        <v>Yes</v>
      </c>
      <c r="P120" s="26" t="str">
        <f>IFERROR(__xludf.DUMMYFUNCTION("""COMPUTED_VALUE"""),"")</f>
        <v/>
      </c>
    </row>
    <row r="121">
      <c r="A121" s="13" t="str">
        <f>IFERROR(__xludf.DUMMYFUNCTION("""COMPUTED_VALUE"""),"OKAGE: Shadow King")</f>
        <v>OKAGE: Shadow King</v>
      </c>
      <c r="B121" s="15" t="str">
        <f>IFERROR(__xludf.DUMMYFUNCTION("""COMPUTED_VALUE"""),"PS4")</f>
        <v>PS4</v>
      </c>
      <c r="C121" s="16" t="str">
        <f>IFERROR(__xludf.DUMMYFUNCTION("""COMPUTED_VALUE"""),"Premium (Classics)")</f>
        <v>Premium (Classics)</v>
      </c>
      <c r="D121" s="15" t="str">
        <f>IFERROR(__xludf.DUMMYFUNCTION("""COMPUTED_VALUE"""),"Active")</f>
        <v>Active</v>
      </c>
      <c r="E121" s="17">
        <f>IFERROR(__xludf.DUMMYFUNCTION("""COMPUTED_VALUE"""),44725.0)</f>
        <v>44725</v>
      </c>
      <c r="F121" s="54"/>
      <c r="G121" s="19">
        <f>IFERROR(__xludf.DUMMYFUNCTION("""COMPUTED_VALUE"""),51.766666666666666)</f>
        <v>51.76666667</v>
      </c>
      <c r="H121" s="17">
        <f>IFERROR(__xludf.DUMMYFUNCTION("""COMPUTED_VALUE"""),36951.0)</f>
        <v>36951</v>
      </c>
      <c r="I121" s="19">
        <f>IFERROR(__xludf.DUMMYFUNCTION("""COMPUTED_VALUE"""),21.283333333333335)</f>
        <v>21.28333333</v>
      </c>
      <c r="J121" s="21">
        <f>IFERROR(__xludf.DUMMYFUNCTION("""COMPUTED_VALUE"""),70.0)</f>
        <v>70</v>
      </c>
      <c r="K121" s="23">
        <f>IFERROR(__xludf.DUMMYFUNCTION("""COMPUTED_VALUE"""),8.1)</f>
        <v>8.1</v>
      </c>
      <c r="L121" s="24">
        <f>IFERROR(__xludf.DUMMYFUNCTION("""COMPUTED_VALUE"""),30.0)</f>
        <v>30</v>
      </c>
      <c r="M121" s="25" t="str">
        <f>IFERROR(__xludf.DUMMYFUNCTION("""COMPUTED_VALUE"""),"RPG")</f>
        <v>RPG</v>
      </c>
      <c r="N121" s="25" t="str">
        <f>IFERROR(__xludf.DUMMYFUNCTION("""COMPUTED_VALUE"""),"PS2")</f>
        <v>PS2</v>
      </c>
      <c r="O121" s="26" t="str">
        <f>IFERROR(__xludf.DUMMYFUNCTION("""COMPUTED_VALUE"""),"Yes")</f>
        <v>Yes</v>
      </c>
      <c r="P121" s="26" t="str">
        <f>IFERROR(__xludf.DUMMYFUNCTION("""COMPUTED_VALUE"""),"")</f>
        <v/>
      </c>
    </row>
    <row r="122">
      <c r="A122" s="13" t="str">
        <f>IFERROR(__xludf.DUMMYFUNCTION("""COMPUTED_VALUE"""),"Mega Man X Command Mission")</f>
        <v>Mega Man X Command Mission</v>
      </c>
      <c r="B122" s="15" t="str">
        <f>IFERROR(__xludf.DUMMYFUNCTION("""COMPUTED_VALUE"""),"PS5/PS4")</f>
        <v>PS5/PS4</v>
      </c>
      <c r="C122" s="16" t="str">
        <f>IFERROR(__xludf.DUMMYFUNCTION("""COMPUTED_VALUE"""),"Premium (Classics)")</f>
        <v>Premium (Classics)</v>
      </c>
      <c r="D122" s="15" t="str">
        <f>IFERROR(__xludf.DUMMYFUNCTION("""COMPUTED_VALUE"""),"Active")</f>
        <v>Active</v>
      </c>
      <c r="E122" s="17">
        <f>IFERROR(__xludf.DUMMYFUNCTION("""COMPUTED_VALUE"""),46280.0)</f>
        <v>46280</v>
      </c>
      <c r="F122" s="54"/>
      <c r="G122" s="19">
        <f>IFERROR(__xludf.DUMMYFUNCTION("""COMPUTED_VALUE"""),0.7)</f>
        <v>0.7</v>
      </c>
      <c r="H122" s="17">
        <f>IFERROR(__xludf.DUMMYFUNCTION("""COMPUTED_VALUE"""),38251.0)</f>
        <v>38251</v>
      </c>
      <c r="I122" s="19">
        <f>IFERROR(__xludf.DUMMYFUNCTION("""COMPUTED_VALUE"""),21.983333333333334)</f>
        <v>21.98333333</v>
      </c>
      <c r="J122" s="21">
        <f>IFERROR(__xludf.DUMMYFUNCTION("""COMPUTED_VALUE"""),69.0)</f>
        <v>69</v>
      </c>
      <c r="K122" s="23">
        <f>IFERROR(__xludf.DUMMYFUNCTION("""COMPUTED_VALUE"""),7.0)</f>
        <v>7</v>
      </c>
      <c r="L122" s="24">
        <f>IFERROR(__xludf.DUMMYFUNCTION("""COMPUTED_VALUE"""),22.0)</f>
        <v>22</v>
      </c>
      <c r="M122" s="25" t="str">
        <f>IFERROR(__xludf.DUMMYFUNCTION("""COMPUTED_VALUE"""),"RPG")</f>
        <v>RPG</v>
      </c>
      <c r="N122" s="25" t="str">
        <f>IFERROR(__xludf.DUMMYFUNCTION("""COMPUTED_VALUE"""),"PS2")</f>
        <v>PS2</v>
      </c>
      <c r="O122" s="26"/>
      <c r="P122" s="26"/>
    </row>
    <row r="123">
      <c r="A123" s="13" t="str">
        <f>IFERROR(__xludf.DUMMYFUNCTION("""COMPUTED_VALUE"""),"Ghosthunter")</f>
        <v>Ghosthunter</v>
      </c>
      <c r="B123" s="15" t="str">
        <f>IFERROR(__xludf.DUMMYFUNCTION("""COMPUTED_VALUE"""),"PS5/PS4")</f>
        <v>PS5/PS4</v>
      </c>
      <c r="C123" s="16" t="str">
        <f>IFERROR(__xludf.DUMMYFUNCTION("""COMPUTED_VALUE"""),"Premium (Classics)")</f>
        <v>Premium (Classics)</v>
      </c>
      <c r="D123" s="15" t="str">
        <f>IFERROR(__xludf.DUMMYFUNCTION("""COMPUTED_VALUE"""),"Active")</f>
        <v>Active</v>
      </c>
      <c r="E123" s="17">
        <f>IFERROR(__xludf.DUMMYFUNCTION("""COMPUTED_VALUE"""),45461.0)</f>
        <v>45461</v>
      </c>
      <c r="F123" s="54"/>
      <c r="G123" s="19">
        <f>IFERROR(__xludf.DUMMYFUNCTION("""COMPUTED_VALUE"""),27.599999999999998)</f>
        <v>27.6</v>
      </c>
      <c r="H123" s="17">
        <f>IFERROR(__xludf.DUMMYFUNCTION("""COMPUTED_VALUE"""),38216.0)</f>
        <v>38216</v>
      </c>
      <c r="I123" s="19">
        <f>IFERROR(__xludf.DUMMYFUNCTION("""COMPUTED_VALUE"""),19.836111111111112)</f>
        <v>19.83611111</v>
      </c>
      <c r="J123" s="21">
        <f>IFERROR(__xludf.DUMMYFUNCTION("""COMPUTED_VALUE"""),69.0)</f>
        <v>69</v>
      </c>
      <c r="K123" s="23">
        <f>IFERROR(__xludf.DUMMYFUNCTION("""COMPUTED_VALUE"""),8.4)</f>
        <v>8.4</v>
      </c>
      <c r="L123" s="24">
        <f>IFERROR(__xludf.DUMMYFUNCTION("""COMPUTED_VALUE"""),10.0)</f>
        <v>10</v>
      </c>
      <c r="M123" s="25" t="str">
        <f>IFERROR(__xludf.DUMMYFUNCTION("""COMPUTED_VALUE"""),"Survival")</f>
        <v>Survival</v>
      </c>
      <c r="N123" s="25" t="str">
        <f>IFERROR(__xludf.DUMMYFUNCTION("""COMPUTED_VALUE"""),"PS2")</f>
        <v>PS2</v>
      </c>
      <c r="O123" s="26" t="str">
        <f>IFERROR(__xludf.DUMMYFUNCTION("""COMPUTED_VALUE"""),"Yes")</f>
        <v>Yes</v>
      </c>
      <c r="P123" s="26"/>
    </row>
    <row r="124">
      <c r="A124" s="13" t="str">
        <f>IFERROR(__xludf.DUMMYFUNCTION("""COMPUTED_VALUE"""),"Thrillville")</f>
        <v>Thrillville</v>
      </c>
      <c r="B124" s="15" t="str">
        <f>IFERROR(__xludf.DUMMYFUNCTION("""COMPUTED_VALUE"""),"PS5/PS4")</f>
        <v>PS5/PS4</v>
      </c>
      <c r="C124" s="16" t="str">
        <f>IFERROR(__xludf.DUMMYFUNCTION("""COMPUTED_VALUE"""),"Premium (Classics)")</f>
        <v>Premium (Classics)</v>
      </c>
      <c r="D124" s="15" t="str">
        <f>IFERROR(__xludf.DUMMYFUNCTION("""COMPUTED_VALUE"""),"Active")</f>
        <v>Active</v>
      </c>
      <c r="E124" s="17">
        <f>IFERROR(__xludf.DUMMYFUNCTION("""COMPUTED_VALUE"""),45279.0)</f>
        <v>45279</v>
      </c>
      <c r="F124" s="54"/>
      <c r="G124" s="19">
        <f>IFERROR(__xludf.DUMMYFUNCTION("""COMPUTED_VALUE"""),33.56666666666666)</f>
        <v>33.56666667</v>
      </c>
      <c r="H124" s="17">
        <f>IFERROR(__xludf.DUMMYFUNCTION("""COMPUTED_VALUE"""),39042.0)</f>
        <v>39042</v>
      </c>
      <c r="I124" s="19">
        <f>IFERROR(__xludf.DUMMYFUNCTION("""COMPUTED_VALUE"""),17.07777777777778)</f>
        <v>17.07777778</v>
      </c>
      <c r="J124" s="21">
        <f>IFERROR(__xludf.DUMMYFUNCTION("""COMPUTED_VALUE"""),69.0)</f>
        <v>69</v>
      </c>
      <c r="K124" s="23">
        <f>IFERROR(__xludf.DUMMYFUNCTION("""COMPUTED_VALUE"""),2.3)</f>
        <v>2.3</v>
      </c>
      <c r="L124" s="24">
        <f>IFERROR(__xludf.DUMMYFUNCTION("""COMPUTED_VALUE"""),6.0)</f>
        <v>6</v>
      </c>
      <c r="M124" s="25" t="str">
        <f>IFERROR(__xludf.DUMMYFUNCTION("""COMPUTED_VALUE"""),"Strategy")</f>
        <v>Strategy</v>
      </c>
      <c r="N124" s="25" t="str">
        <f>IFERROR(__xludf.DUMMYFUNCTION("""COMPUTED_VALUE"""),"PS2")</f>
        <v>PS2</v>
      </c>
      <c r="O124" s="26" t="str">
        <f>IFERROR(__xludf.DUMMYFUNCTION("""COMPUTED_VALUE"""),"Portal (PS5 + Premium)")</f>
        <v>Portal (PS5 + Premium)</v>
      </c>
      <c r="P124" s="26"/>
    </row>
    <row r="125">
      <c r="A125" s="13" t="str">
        <f>IFERROR(__xludf.DUMMYFUNCTION("""COMPUTED_VALUE"""),"Gravity Crash Portable")</f>
        <v>Gravity Crash Portable</v>
      </c>
      <c r="B125" s="15" t="str">
        <f>IFERROR(__xludf.DUMMYFUNCTION("""COMPUTED_VALUE"""),"PS5/PS4")</f>
        <v>PS5/PS4</v>
      </c>
      <c r="C125" s="16" t="str">
        <f>IFERROR(__xludf.DUMMYFUNCTION("""COMPUTED_VALUE"""),"Premium (Classics)")</f>
        <v>Premium (Classics)</v>
      </c>
      <c r="D125" s="15" t="str">
        <f>IFERROR(__xludf.DUMMYFUNCTION("""COMPUTED_VALUE"""),"Active")</f>
        <v>Active</v>
      </c>
      <c r="E125" s="17">
        <f>IFERROR(__xludf.DUMMYFUNCTION("""COMPUTED_VALUE"""),45125.0)</f>
        <v>45125</v>
      </c>
      <c r="F125" s="54"/>
      <c r="G125" s="19">
        <f>IFERROR(__xludf.DUMMYFUNCTION("""COMPUTED_VALUE"""),38.6)</f>
        <v>38.6</v>
      </c>
      <c r="H125" s="17">
        <f>IFERROR(__xludf.DUMMYFUNCTION("""COMPUTED_VALUE"""),40379.0)</f>
        <v>40379</v>
      </c>
      <c r="I125" s="19">
        <f>IFERROR(__xludf.DUMMYFUNCTION("""COMPUTED_VALUE"""),12.994444444444444)</f>
        <v>12.99444444</v>
      </c>
      <c r="J125" s="21">
        <f>IFERROR(__xludf.DUMMYFUNCTION("""COMPUTED_VALUE"""),69.0)</f>
        <v>69</v>
      </c>
      <c r="K125" s="23">
        <f>IFERROR(__xludf.DUMMYFUNCTION("""COMPUTED_VALUE"""),7.0)</f>
        <v>7</v>
      </c>
      <c r="L125" s="24">
        <f>IFERROR(__xludf.DUMMYFUNCTION("""COMPUTED_VALUE"""),8.0)</f>
        <v>8</v>
      </c>
      <c r="M125" s="25" t="str">
        <f>IFERROR(__xludf.DUMMYFUNCTION("""COMPUTED_VALUE"""),"Action-Adventure")</f>
        <v>Action-Adventure</v>
      </c>
      <c r="N125" s="25" t="str">
        <f>IFERROR(__xludf.DUMMYFUNCTION("""COMPUTED_VALUE"""),"PSP")</f>
        <v>PSP</v>
      </c>
      <c r="O125" s="26" t="str">
        <f>IFERROR(__xludf.DUMMYFUNCTION("""COMPUTED_VALUE"""),"Yes")</f>
        <v>Yes</v>
      </c>
      <c r="P125" s="26"/>
    </row>
    <row r="126">
      <c r="A126" s="13" t="str">
        <f>IFERROR(__xludf.DUMMYFUNCTION("""COMPUTED_VALUE"""),"Ape Academy 2")</f>
        <v>Ape Academy 2</v>
      </c>
      <c r="B126" s="15" t="str">
        <f>IFERROR(__xludf.DUMMYFUNCTION("""COMPUTED_VALUE"""),"PS5/PS4")</f>
        <v>PS5/PS4</v>
      </c>
      <c r="C126" s="16" t="str">
        <f>IFERROR(__xludf.DUMMYFUNCTION("""COMPUTED_VALUE"""),"Premium (Classics)")</f>
        <v>Premium (Classics)</v>
      </c>
      <c r="D126" s="15" t="str">
        <f>IFERROR(__xludf.DUMMYFUNCTION("""COMPUTED_VALUE"""),"Active")</f>
        <v>Active</v>
      </c>
      <c r="E126" s="17">
        <f>IFERROR(__xludf.DUMMYFUNCTION("""COMPUTED_VALUE"""),45006.0)</f>
        <v>45006</v>
      </c>
      <c r="F126" s="54"/>
      <c r="G126" s="19">
        <f>IFERROR(__xludf.DUMMYFUNCTION("""COMPUTED_VALUE"""),42.5)</f>
        <v>42.5</v>
      </c>
      <c r="H126" s="17">
        <f>IFERROR(__xludf.DUMMYFUNCTION("""COMPUTED_VALUE"""),38973.0)</f>
        <v>38973</v>
      </c>
      <c r="I126" s="19">
        <f>IFERROR(__xludf.DUMMYFUNCTION("""COMPUTED_VALUE"""),16.522222222222222)</f>
        <v>16.52222222</v>
      </c>
      <c r="J126" s="21">
        <f>IFERROR(__xludf.DUMMYFUNCTION("""COMPUTED_VALUE"""),69.0)</f>
        <v>69</v>
      </c>
      <c r="K126" s="23">
        <f>IFERROR(__xludf.DUMMYFUNCTION("""COMPUTED_VALUE"""),7.7)</f>
        <v>7.7</v>
      </c>
      <c r="L126" s="24">
        <f>IFERROR(__xludf.DUMMYFUNCTION("""COMPUTED_VALUE"""),4.0)</f>
        <v>4</v>
      </c>
      <c r="M126" s="25" t="str">
        <f>IFERROR(__xludf.DUMMYFUNCTION("""COMPUTED_VALUE"""),"Party")</f>
        <v>Party</v>
      </c>
      <c r="N126" s="25" t="str">
        <f>IFERROR(__xludf.DUMMYFUNCTION("""COMPUTED_VALUE"""),"PSP")</f>
        <v>PSP</v>
      </c>
      <c r="O126" s="26" t="str">
        <f>IFERROR(__xludf.DUMMYFUNCTION("""COMPUTED_VALUE"""),"Yes")</f>
        <v>Yes</v>
      </c>
      <c r="P126" s="26"/>
    </row>
    <row r="127">
      <c r="A127" s="13" t="str">
        <f>IFERROR(__xludf.DUMMYFUNCTION("""COMPUTED_VALUE"""),"Super Stardust Portable")</f>
        <v>Super Stardust Portable</v>
      </c>
      <c r="B127" s="15" t="str">
        <f>IFERROR(__xludf.DUMMYFUNCTION("""COMPUTED_VALUE"""),"PS5/PS4")</f>
        <v>PS5/PS4</v>
      </c>
      <c r="C127" s="16" t="str">
        <f>IFERROR(__xludf.DUMMYFUNCTION("""COMPUTED_VALUE"""),"Premium (Classics)")</f>
        <v>Premium (Classics)</v>
      </c>
      <c r="D127" s="15" t="str">
        <f>IFERROR(__xludf.DUMMYFUNCTION("""COMPUTED_VALUE"""),"Active")</f>
        <v>Active</v>
      </c>
      <c r="E127" s="17">
        <f>IFERROR(__xludf.DUMMYFUNCTION("""COMPUTED_VALUE"""),44725.0)</f>
        <v>44725</v>
      </c>
      <c r="F127" s="54"/>
      <c r="G127" s="19">
        <f>IFERROR(__xludf.DUMMYFUNCTION("""COMPUTED_VALUE"""),51.766666666666666)</f>
        <v>51.76666667</v>
      </c>
      <c r="H127" s="17">
        <f>IFERROR(__xludf.DUMMYFUNCTION("""COMPUTED_VALUE"""),39261.0)</f>
        <v>39261</v>
      </c>
      <c r="I127" s="19">
        <f>IFERROR(__xludf.DUMMYFUNCTION("""COMPUTED_VALUE"""),14.958333333333334)</f>
        <v>14.95833333</v>
      </c>
      <c r="J127" s="21">
        <f>IFERROR(__xludf.DUMMYFUNCTION("""COMPUTED_VALUE"""),69.0)</f>
        <v>69</v>
      </c>
      <c r="K127" s="23">
        <f>IFERROR(__xludf.DUMMYFUNCTION("""COMPUTED_VALUE"""),5.6)</f>
        <v>5.6</v>
      </c>
      <c r="L127" s="24">
        <f>IFERROR(__xludf.DUMMYFUNCTION("""COMPUTED_VALUE"""),3.0)</f>
        <v>3</v>
      </c>
      <c r="M127" s="25" t="str">
        <f>IFERROR(__xludf.DUMMYFUNCTION("""COMPUTED_VALUE"""),"Shooter")</f>
        <v>Shooter</v>
      </c>
      <c r="N127" s="25" t="str">
        <f>IFERROR(__xludf.DUMMYFUNCTION("""COMPUTED_VALUE"""),"PSP, PS4 version added 1/24 after PS5 version came 6/23/22")</f>
        <v>PSP, PS4 version added 1/24 after PS5 version came 6/23/22</v>
      </c>
      <c r="O127" s="26" t="str">
        <f>IFERROR(__xludf.DUMMYFUNCTION("""COMPUTED_VALUE"""),"No")</f>
        <v>No</v>
      </c>
      <c r="P127" s="26" t="str">
        <f>IFERROR(__xludf.DUMMYFUNCTION("""COMPUTED_VALUE"""),"")</f>
        <v/>
      </c>
    </row>
    <row r="128">
      <c r="A128" s="13" t="str">
        <f>IFERROR(__xludf.DUMMYFUNCTION("""COMPUTED_VALUE"""),"Worms Pinball")</f>
        <v>Worms Pinball</v>
      </c>
      <c r="B128" s="15" t="str">
        <f>IFERROR(__xludf.DUMMYFUNCTION("""COMPUTED_VALUE"""),"PS5/PS4")</f>
        <v>PS5/PS4</v>
      </c>
      <c r="C128" s="16" t="str">
        <f>IFERROR(__xludf.DUMMYFUNCTION("""COMPUTED_VALUE"""),"Premium (Classics)")</f>
        <v>Premium (Classics)</v>
      </c>
      <c r="D128" s="15" t="str">
        <f>IFERROR(__xludf.DUMMYFUNCTION("""COMPUTED_VALUE"""),"Active")</f>
        <v>Active</v>
      </c>
      <c r="E128" s="17">
        <f>IFERROR(__xludf.DUMMYFUNCTION("""COMPUTED_VALUE"""),45433.0)</f>
        <v>45433</v>
      </c>
      <c r="F128" s="54"/>
      <c r="G128" s="19">
        <f>IFERROR(__xludf.DUMMYFUNCTION("""COMPUTED_VALUE"""),28.5)</f>
        <v>28.5</v>
      </c>
      <c r="H128" s="17">
        <f>IFERROR(__xludf.DUMMYFUNCTION("""COMPUTED_VALUE"""),36464.0)</f>
        <v>36464</v>
      </c>
      <c r="I128" s="19">
        <f>IFERROR(__xludf.DUMMYFUNCTION("""COMPUTED_VALUE"""),24.558333333333334)</f>
        <v>24.55833333</v>
      </c>
      <c r="J128" s="21">
        <f>IFERROR(__xludf.DUMMYFUNCTION("""COMPUTED_VALUE"""),68.0)</f>
        <v>68</v>
      </c>
      <c r="K128" s="23">
        <f>IFERROR(__xludf.DUMMYFUNCTION("""COMPUTED_VALUE"""),7.6)</f>
        <v>7.6</v>
      </c>
      <c r="L128" s="24">
        <f>IFERROR(__xludf.DUMMYFUNCTION("""COMPUTED_VALUE"""),1.0)</f>
        <v>1</v>
      </c>
      <c r="M128" s="25" t="str">
        <f>IFERROR(__xludf.DUMMYFUNCTION("""COMPUTED_VALUE"""),"Simulation")</f>
        <v>Simulation</v>
      </c>
      <c r="N128" s="25" t="str">
        <f>IFERROR(__xludf.DUMMYFUNCTION("""COMPUTED_VALUE"""),"PS1")</f>
        <v>PS1</v>
      </c>
      <c r="O128" s="26" t="str">
        <f>IFERROR(__xludf.DUMMYFUNCTION("""COMPUTED_VALUE"""),"Yes")</f>
        <v>Yes</v>
      </c>
      <c r="P128" s="26"/>
    </row>
    <row r="129">
      <c r="A129" s="13" t="str">
        <f>IFERROR(__xludf.DUMMYFUNCTION("""COMPUTED_VALUE"""),"Rise of the Kasai")</f>
        <v>Rise of the Kasai</v>
      </c>
      <c r="B129" s="15" t="str">
        <f>IFERROR(__xludf.DUMMYFUNCTION("""COMPUTED_VALUE"""),"PS4")</f>
        <v>PS4</v>
      </c>
      <c r="C129" s="16" t="str">
        <f>IFERROR(__xludf.DUMMYFUNCTION("""COMPUTED_VALUE"""),"Premium (Classics)")</f>
        <v>Premium (Classics)</v>
      </c>
      <c r="D129" s="15" t="str">
        <f>IFERROR(__xludf.DUMMYFUNCTION("""COMPUTED_VALUE"""),"Active")</f>
        <v>Active</v>
      </c>
      <c r="E129" s="17">
        <f>IFERROR(__xludf.DUMMYFUNCTION("""COMPUTED_VALUE"""),44725.0)</f>
        <v>44725</v>
      </c>
      <c r="F129" s="54"/>
      <c r="G129" s="19">
        <f>IFERROR(__xludf.DUMMYFUNCTION("""COMPUTED_VALUE"""),51.766666666666666)</f>
        <v>51.76666667</v>
      </c>
      <c r="H129" s="17">
        <f>IFERROR(__xludf.DUMMYFUNCTION("""COMPUTED_VALUE"""),38443.0)</f>
        <v>38443</v>
      </c>
      <c r="I129" s="19">
        <f>IFERROR(__xludf.DUMMYFUNCTION("""COMPUTED_VALUE"""),17.2)</f>
        <v>17.2</v>
      </c>
      <c r="J129" s="21">
        <f>IFERROR(__xludf.DUMMYFUNCTION("""COMPUTED_VALUE"""),68.0)</f>
        <v>68</v>
      </c>
      <c r="K129" s="23">
        <f>IFERROR(__xludf.DUMMYFUNCTION("""COMPUTED_VALUE"""),7.5)</f>
        <v>7.5</v>
      </c>
      <c r="L129" s="24">
        <f>IFERROR(__xludf.DUMMYFUNCTION("""COMPUTED_VALUE"""),12.0)</f>
        <v>12</v>
      </c>
      <c r="M129" s="25" t="str">
        <f>IFERROR(__xludf.DUMMYFUNCTION("""COMPUTED_VALUE"""),"Action-Adventure")</f>
        <v>Action-Adventure</v>
      </c>
      <c r="N129" s="25" t="str">
        <f>IFERROR(__xludf.DUMMYFUNCTION("""COMPUTED_VALUE"""),"PS2")</f>
        <v>PS2</v>
      </c>
      <c r="O129" s="26" t="str">
        <f>IFERROR(__xludf.DUMMYFUNCTION("""COMPUTED_VALUE"""),"No")</f>
        <v>No</v>
      </c>
      <c r="P129" s="26" t="str">
        <f>IFERROR(__xludf.DUMMYFUNCTION("""COMPUTED_VALUE"""),"")</f>
        <v/>
      </c>
    </row>
    <row r="130">
      <c r="A130" s="13" t="str">
        <f>IFERROR(__xludf.DUMMYFUNCTION("""COMPUTED_VALUE"""),"2Xtreme")</f>
        <v>2Xtreme</v>
      </c>
      <c r="B130" s="15" t="str">
        <f>IFERROR(__xludf.DUMMYFUNCTION("""COMPUTED_VALUE"""),"PS5/PS4")</f>
        <v>PS5/PS4</v>
      </c>
      <c r="C130" s="16" t="str">
        <f>IFERROR(__xludf.DUMMYFUNCTION("""COMPUTED_VALUE"""),"Premium (Classics)")</f>
        <v>Premium (Classics)</v>
      </c>
      <c r="D130" s="15" t="str">
        <f>IFERROR(__xludf.DUMMYFUNCTION("""COMPUTED_VALUE"""),"Active")</f>
        <v>Active</v>
      </c>
      <c r="E130" s="17">
        <f>IFERROR(__xludf.DUMMYFUNCTION("""COMPUTED_VALUE"""),45433.0)</f>
        <v>45433</v>
      </c>
      <c r="F130" s="54"/>
      <c r="G130" s="19">
        <f>IFERROR(__xludf.DUMMYFUNCTION("""COMPUTED_VALUE"""),28.5)</f>
        <v>28.5</v>
      </c>
      <c r="H130" s="17">
        <f>IFERROR(__xludf.DUMMYFUNCTION("""COMPUTED_VALUE"""),35370.0)</f>
        <v>35370</v>
      </c>
      <c r="I130" s="19">
        <f>IFERROR(__xludf.DUMMYFUNCTION("""COMPUTED_VALUE"""),27.555555555555557)</f>
        <v>27.55555556</v>
      </c>
      <c r="J130" s="21">
        <f>IFERROR(__xludf.DUMMYFUNCTION("""COMPUTED_VALUE"""),67.0)</f>
        <v>67</v>
      </c>
      <c r="K130" s="23">
        <f>IFERROR(__xludf.DUMMYFUNCTION("""COMPUTED_VALUE"""),7.5)</f>
        <v>7.5</v>
      </c>
      <c r="L130" s="24">
        <f>IFERROR(__xludf.DUMMYFUNCTION("""COMPUTED_VALUE"""),1.0)</f>
        <v>1</v>
      </c>
      <c r="M130" s="25" t="str">
        <f>IFERROR(__xludf.DUMMYFUNCTION("""COMPUTED_VALUE"""),"Racing")</f>
        <v>Racing</v>
      </c>
      <c r="N130" s="25" t="str">
        <f>IFERROR(__xludf.DUMMYFUNCTION("""COMPUTED_VALUE"""),"PS1")</f>
        <v>PS1</v>
      </c>
      <c r="O130" s="26" t="str">
        <f>IFERROR(__xludf.DUMMYFUNCTION("""COMPUTED_VALUE"""),"Yes")</f>
        <v>Yes</v>
      </c>
      <c r="P130" s="26"/>
    </row>
    <row r="131">
      <c r="A131" s="13" t="str">
        <f>IFERROR(__xludf.DUMMYFUNCTION("""COMPUTED_VALUE"""),"MediEvil")</f>
        <v>MediEvil</v>
      </c>
      <c r="B131" s="15" t="str">
        <f>IFERROR(__xludf.DUMMYFUNCTION("""COMPUTED_VALUE"""),"PS5/PS4")</f>
        <v>PS5/PS4</v>
      </c>
      <c r="C131" s="16" t="str">
        <f>IFERROR(__xludf.DUMMYFUNCTION("""COMPUTED_VALUE"""),"Premium (Classics)")</f>
        <v>Premium (Classics)</v>
      </c>
      <c r="D131" s="15" t="str">
        <f>IFERROR(__xludf.DUMMYFUNCTION("""COMPUTED_VALUE"""),"Active")</f>
        <v>Active</v>
      </c>
      <c r="E131" s="17">
        <f>IFERROR(__xludf.DUMMYFUNCTION("""COMPUTED_VALUE"""),45398.0)</f>
        <v>45398</v>
      </c>
      <c r="F131" s="54"/>
      <c r="G131" s="19">
        <f>IFERROR(__xludf.DUMMYFUNCTION("""COMPUTED_VALUE"""),29.666666666666668)</f>
        <v>29.66666667</v>
      </c>
      <c r="H131" s="17">
        <f>IFERROR(__xludf.DUMMYFUNCTION("""COMPUTED_VALUE"""),36069.0)</f>
        <v>36069</v>
      </c>
      <c r="I131" s="19">
        <f>IFERROR(__xludf.DUMMYFUNCTION("""COMPUTED_VALUE"""),25.541666666666668)</f>
        <v>25.54166667</v>
      </c>
      <c r="J131" s="21">
        <f>IFERROR(__xludf.DUMMYFUNCTION("""COMPUTED_VALUE"""),67.0)</f>
        <v>67</v>
      </c>
      <c r="K131" s="23">
        <f>IFERROR(__xludf.DUMMYFUNCTION("""COMPUTED_VALUE"""),8.0)</f>
        <v>8</v>
      </c>
      <c r="L131" s="24">
        <f>IFERROR(__xludf.DUMMYFUNCTION("""COMPUTED_VALUE"""),7.0)</f>
        <v>7</v>
      </c>
      <c r="M131" s="25" t="str">
        <f>IFERROR(__xludf.DUMMYFUNCTION("""COMPUTED_VALUE"""),"Action-Adventure")</f>
        <v>Action-Adventure</v>
      </c>
      <c r="N131" s="25" t="str">
        <f>IFERROR(__xludf.DUMMYFUNCTION("""COMPUTED_VALUE"""),"PS1")</f>
        <v>PS1</v>
      </c>
      <c r="O131" s="26" t="str">
        <f>IFERROR(__xludf.DUMMYFUNCTION("""COMPUTED_VALUE"""),"Yes")</f>
        <v>Yes</v>
      </c>
      <c r="P131" s="26"/>
    </row>
    <row r="132">
      <c r="A132" s="13" t="str">
        <f>IFERROR(__xludf.DUMMYFUNCTION("""COMPUTED_VALUE"""),"PaRappa the Rapper 2")</f>
        <v>PaRappa the Rapper 2</v>
      </c>
      <c r="B132" s="15" t="str">
        <f>IFERROR(__xludf.DUMMYFUNCTION("""COMPUTED_VALUE"""),"PS4")</f>
        <v>PS4</v>
      </c>
      <c r="C132" s="16" t="str">
        <f>IFERROR(__xludf.DUMMYFUNCTION("""COMPUTED_VALUE"""),"Premium (Classics)")</f>
        <v>Premium (Classics)</v>
      </c>
      <c r="D132" s="15" t="str">
        <f>IFERROR(__xludf.DUMMYFUNCTION("""COMPUTED_VALUE"""),"Active")</f>
        <v>Active</v>
      </c>
      <c r="E132" s="17">
        <f>IFERROR(__xludf.DUMMYFUNCTION("""COMPUTED_VALUE"""),45251.0)</f>
        <v>45251</v>
      </c>
      <c r="F132" s="54"/>
      <c r="G132" s="19">
        <f>IFERROR(__xludf.DUMMYFUNCTION("""COMPUTED_VALUE"""),34.5)</f>
        <v>34.5</v>
      </c>
      <c r="H132" s="17">
        <f>IFERROR(__xludf.DUMMYFUNCTION("""COMPUTED_VALUE"""),37279.0)</f>
        <v>37279</v>
      </c>
      <c r="I132" s="19">
        <f>IFERROR(__xludf.DUMMYFUNCTION("""COMPUTED_VALUE"""),21.82777777777778)</f>
        <v>21.82777778</v>
      </c>
      <c r="J132" s="21">
        <f>IFERROR(__xludf.DUMMYFUNCTION("""COMPUTED_VALUE"""),67.0)</f>
        <v>67</v>
      </c>
      <c r="K132" s="23">
        <f>IFERROR(__xludf.DUMMYFUNCTION("""COMPUTED_VALUE"""),8.0)</f>
        <v>8</v>
      </c>
      <c r="L132" s="24">
        <f>IFERROR(__xludf.DUMMYFUNCTION("""COMPUTED_VALUE"""),2.0)</f>
        <v>2</v>
      </c>
      <c r="M132" s="25" t="str">
        <f>IFERROR(__xludf.DUMMYFUNCTION("""COMPUTED_VALUE"""),"Rhythm")</f>
        <v>Rhythm</v>
      </c>
      <c r="N132" s="25" t="str">
        <f>IFERROR(__xludf.DUMMYFUNCTION("""COMPUTED_VALUE"""),"PS2")</f>
        <v>PS2</v>
      </c>
      <c r="O132" s="26" t="str">
        <f>IFERROR(__xludf.DUMMYFUNCTION("""COMPUTED_VALUE"""),"Yes")</f>
        <v>Yes</v>
      </c>
      <c r="P132" s="26"/>
    </row>
    <row r="133">
      <c r="A133" s="13" t="str">
        <f>IFERROR(__xludf.DUMMYFUNCTION("""COMPUTED_VALUE"""),"Alone in the Dark: The New Nightmare")</f>
        <v>Alone in the Dark: The New Nightmare</v>
      </c>
      <c r="B133" s="15" t="str">
        <f>IFERROR(__xludf.DUMMYFUNCTION("""COMPUTED_VALUE"""),"PS5/PS4")</f>
        <v>PS5/PS4</v>
      </c>
      <c r="C133" s="16" t="str">
        <f>IFERROR(__xludf.DUMMYFUNCTION("""COMPUTED_VALUE"""),"Premium (Classics)")</f>
        <v>Premium (Classics)</v>
      </c>
      <c r="D133" s="15" t="str">
        <f>IFERROR(__xludf.DUMMYFUNCTION("""COMPUTED_VALUE"""),"Active")</f>
        <v>Active</v>
      </c>
      <c r="E133" s="17">
        <f>IFERROR(__xludf.DUMMYFUNCTION("""COMPUTED_VALUE"""),45398.0)</f>
        <v>45398</v>
      </c>
      <c r="F133" s="54"/>
      <c r="G133" s="19">
        <f>IFERROR(__xludf.DUMMYFUNCTION("""COMPUTED_VALUE"""),29.666666666666668)</f>
        <v>29.66666667</v>
      </c>
      <c r="H133" s="17">
        <f>IFERROR(__xludf.DUMMYFUNCTION("""COMPUTED_VALUE"""),37067.0)</f>
        <v>37067</v>
      </c>
      <c r="I133" s="19">
        <f>IFERROR(__xludf.DUMMYFUNCTION("""COMPUTED_VALUE"""),22.808333333333334)</f>
        <v>22.80833333</v>
      </c>
      <c r="J133" s="21">
        <f>IFERROR(__xludf.DUMMYFUNCTION("""COMPUTED_VALUE"""),66.0)</f>
        <v>66</v>
      </c>
      <c r="K133" s="23">
        <f>IFERROR(__xludf.DUMMYFUNCTION("""COMPUTED_VALUE"""),7.9)</f>
        <v>7.9</v>
      </c>
      <c r="L133" s="24">
        <f>IFERROR(__xludf.DUMMYFUNCTION("""COMPUTED_VALUE"""),8.0)</f>
        <v>8</v>
      </c>
      <c r="M133" s="68" t="str">
        <f>IFERROR(__xludf.DUMMYFUNCTION("""COMPUTED_VALUE"""),"Survival")</f>
        <v>Survival</v>
      </c>
      <c r="N133" s="68" t="str">
        <f>IFERROR(__xludf.DUMMYFUNCTION("""COMPUTED_VALUE"""),"PS1")</f>
        <v>PS1</v>
      </c>
      <c r="O133" s="69" t="str">
        <f>IFERROR(__xludf.DUMMYFUNCTION("""COMPUTED_VALUE"""),"Yes")</f>
        <v>Yes</v>
      </c>
      <c r="P133" s="69"/>
    </row>
    <row r="134">
      <c r="A134" s="13" t="str">
        <f>IFERROR(__xludf.DUMMYFUNCTION("""COMPUTED_VALUE"""),"Ape Escape: On the Loose")</f>
        <v>Ape Escape: On the Loose</v>
      </c>
      <c r="B134" s="15" t="str">
        <f>IFERROR(__xludf.DUMMYFUNCTION("""COMPUTED_VALUE"""),"PS5/PS4")</f>
        <v>PS5/PS4</v>
      </c>
      <c r="C134" s="16" t="str">
        <f>IFERROR(__xludf.DUMMYFUNCTION("""COMPUTED_VALUE"""),"Premium (Classics)")</f>
        <v>Premium (Classics)</v>
      </c>
      <c r="D134" s="15" t="str">
        <f>IFERROR(__xludf.DUMMYFUNCTION("""COMPUTED_VALUE"""),"Active")</f>
        <v>Active</v>
      </c>
      <c r="E134" s="17">
        <f>IFERROR(__xludf.DUMMYFUNCTION("""COMPUTED_VALUE"""),45153.0)</f>
        <v>45153</v>
      </c>
      <c r="F134" s="54"/>
      <c r="G134" s="19">
        <f>IFERROR(__xludf.DUMMYFUNCTION("""COMPUTED_VALUE"""),37.7)</f>
        <v>37.7</v>
      </c>
      <c r="H134" s="17">
        <f>IFERROR(__xludf.DUMMYFUNCTION("""COMPUTED_VALUE"""),38433.0)</f>
        <v>38433</v>
      </c>
      <c r="I134" s="19">
        <f>IFERROR(__xludf.DUMMYFUNCTION("""COMPUTED_VALUE"""),18.397222222222222)</f>
        <v>18.39722222</v>
      </c>
      <c r="J134" s="21">
        <f>IFERROR(__xludf.DUMMYFUNCTION("""COMPUTED_VALUE"""),66.0)</f>
        <v>66</v>
      </c>
      <c r="K134" s="23">
        <f>IFERROR(__xludf.DUMMYFUNCTION("""COMPUTED_VALUE"""),7.0)</f>
        <v>7</v>
      </c>
      <c r="L134" s="24">
        <f>IFERROR(__xludf.DUMMYFUNCTION("""COMPUTED_VALUE"""),7.0)</f>
        <v>7</v>
      </c>
      <c r="M134" s="25" t="str">
        <f>IFERROR(__xludf.DUMMYFUNCTION("""COMPUTED_VALUE"""),"Platformer")</f>
        <v>Platformer</v>
      </c>
      <c r="N134" s="25" t="str">
        <f>IFERROR(__xludf.DUMMYFUNCTION("""COMPUTED_VALUE"""),"PSP")</f>
        <v>PSP</v>
      </c>
      <c r="O134" s="26" t="str">
        <f>IFERROR(__xludf.DUMMYFUNCTION("""COMPUTED_VALUE"""),"Yes")</f>
        <v>Yes</v>
      </c>
      <c r="P134" s="26"/>
    </row>
    <row r="135">
      <c r="A135" s="13" t="str">
        <f>IFERROR(__xludf.DUMMYFUNCTION("""COMPUTED_VALUE"""),"MediEvil: Resurrection")</f>
        <v>MediEvil: Resurrection</v>
      </c>
      <c r="B135" s="15" t="str">
        <f>IFERROR(__xludf.DUMMYFUNCTION("""COMPUTED_VALUE"""),"PS5/PS4")</f>
        <v>PS5/PS4</v>
      </c>
      <c r="C135" s="16" t="str">
        <f>IFERROR(__xludf.DUMMYFUNCTION("""COMPUTED_VALUE"""),"Premium (Classics)")</f>
        <v>Premium (Classics)</v>
      </c>
      <c r="D135" s="15" t="str">
        <f>IFERROR(__xludf.DUMMYFUNCTION("""COMPUTED_VALUE"""),"Active")</f>
        <v>Active</v>
      </c>
      <c r="E135" s="17">
        <f>IFERROR(__xludf.DUMMYFUNCTION("""COMPUTED_VALUE"""),45153.0)</f>
        <v>45153</v>
      </c>
      <c r="F135" s="54"/>
      <c r="G135" s="19">
        <f>IFERROR(__xludf.DUMMYFUNCTION("""COMPUTED_VALUE"""),37.7)</f>
        <v>37.7</v>
      </c>
      <c r="H135" s="17">
        <f>IFERROR(__xludf.DUMMYFUNCTION("""COMPUTED_VALUE"""),38608.0)</f>
        <v>38608</v>
      </c>
      <c r="I135" s="19">
        <f>IFERROR(__xludf.DUMMYFUNCTION("""COMPUTED_VALUE"""),17.92222222222222)</f>
        <v>17.92222222</v>
      </c>
      <c r="J135" s="21">
        <f>IFERROR(__xludf.DUMMYFUNCTION("""COMPUTED_VALUE"""),66.0)</f>
        <v>66</v>
      </c>
      <c r="K135" s="23">
        <f>IFERROR(__xludf.DUMMYFUNCTION("""COMPUTED_VALUE"""),8.5)</f>
        <v>8.5</v>
      </c>
      <c r="L135" s="24">
        <f>IFERROR(__xludf.DUMMYFUNCTION("""COMPUTED_VALUE"""),10.0)</f>
        <v>10</v>
      </c>
      <c r="M135" s="25" t="str">
        <f>IFERROR(__xludf.DUMMYFUNCTION("""COMPUTED_VALUE"""),"Action-Adventure")</f>
        <v>Action-Adventure</v>
      </c>
      <c r="N135" s="25" t="str">
        <f>IFERROR(__xludf.DUMMYFUNCTION("""COMPUTED_VALUE"""),"PSP")</f>
        <v>PSP</v>
      </c>
      <c r="O135" s="26" t="str">
        <f>IFERROR(__xludf.DUMMYFUNCTION("""COMPUTED_VALUE"""),"Yes")</f>
        <v>Yes</v>
      </c>
      <c r="P135" s="26"/>
    </row>
    <row r="136">
      <c r="A136" s="13" t="str">
        <f>IFERROR(__xludf.DUMMYFUNCTION("""COMPUTED_VALUE"""),"Mister Mosquito")</f>
        <v>Mister Mosquito</v>
      </c>
      <c r="B136" s="15" t="str">
        <f>IFERROR(__xludf.DUMMYFUNCTION("""COMPUTED_VALUE"""),"PS5/PS4")</f>
        <v>PS5/PS4</v>
      </c>
      <c r="C136" s="16" t="str">
        <f>IFERROR(__xludf.DUMMYFUNCTION("""COMPUTED_VALUE"""),"Premium (Classics)")</f>
        <v>Premium (Classics)</v>
      </c>
      <c r="D136" s="15" t="str">
        <f>IFERROR(__xludf.DUMMYFUNCTION("""COMPUTED_VALUE"""),"Active")</f>
        <v>Active</v>
      </c>
      <c r="E136" s="17">
        <f>IFERROR(__xludf.DUMMYFUNCTION("""COMPUTED_VALUE"""),45552.0)</f>
        <v>45552</v>
      </c>
      <c r="F136" s="54"/>
      <c r="G136" s="19">
        <f>IFERROR(__xludf.DUMMYFUNCTION("""COMPUTED_VALUE"""),24.633333333333333)</f>
        <v>24.63333333</v>
      </c>
      <c r="H136" s="17">
        <f>IFERROR(__xludf.DUMMYFUNCTION("""COMPUTED_VALUE"""),37327.0)</f>
        <v>37327</v>
      </c>
      <c r="I136" s="19">
        <f>IFERROR(__xludf.DUMMYFUNCTION("""COMPUTED_VALUE"""),22.51388888888889)</f>
        <v>22.51388889</v>
      </c>
      <c r="J136" s="21">
        <f>IFERROR(__xludf.DUMMYFUNCTION("""COMPUTED_VALUE"""),65.0)</f>
        <v>65</v>
      </c>
      <c r="K136" s="23">
        <f>IFERROR(__xludf.DUMMYFUNCTION("""COMPUTED_VALUE"""),6.2)</f>
        <v>6.2</v>
      </c>
      <c r="L136" s="24">
        <f>IFERROR(__xludf.DUMMYFUNCTION("""COMPUTED_VALUE"""),3.0)</f>
        <v>3</v>
      </c>
      <c r="M136" s="25" t="str">
        <f>IFERROR(__xludf.DUMMYFUNCTION("""COMPUTED_VALUE"""),"Action-Adventure")</f>
        <v>Action-Adventure</v>
      </c>
      <c r="N136" s="25" t="str">
        <f>IFERROR(__xludf.DUMMYFUNCTION("""COMPUTED_VALUE"""),"PS2")</f>
        <v>PS2</v>
      </c>
      <c r="O136" s="26" t="str">
        <f>IFERROR(__xludf.DUMMYFUNCTION("""COMPUTED_VALUE"""),"Yes")</f>
        <v>Yes</v>
      </c>
      <c r="P136" s="26"/>
    </row>
    <row r="137">
      <c r="A137" s="13" t="str">
        <f>IFERROR(__xludf.DUMMYFUNCTION("""COMPUTED_VALUE"""),"Star Wars Rebel Assault II: The Hidden Empire")</f>
        <v>Star Wars Rebel Assault II: The Hidden Empire</v>
      </c>
      <c r="B137" s="15" t="str">
        <f>IFERROR(__xludf.DUMMYFUNCTION("""COMPUTED_VALUE"""),"PS5/PS4")</f>
        <v>PS5/PS4</v>
      </c>
      <c r="C137" s="16" t="str">
        <f>IFERROR(__xludf.DUMMYFUNCTION("""COMPUTED_VALUE"""),"Premium (Classics)")</f>
        <v>Premium (Classics)</v>
      </c>
      <c r="D137" s="15" t="str">
        <f>IFERROR(__xludf.DUMMYFUNCTION("""COMPUTED_VALUE"""),"Active")</f>
        <v>Active</v>
      </c>
      <c r="E137" s="17">
        <f>IFERROR(__xludf.DUMMYFUNCTION("""COMPUTED_VALUE"""),45398.0)</f>
        <v>45398</v>
      </c>
      <c r="F137" s="54"/>
      <c r="G137" s="19">
        <f>IFERROR(__xludf.DUMMYFUNCTION("""COMPUTED_VALUE"""),29.666666666666668)</f>
        <v>29.66666667</v>
      </c>
      <c r="H137" s="17">
        <f>IFERROR(__xludf.DUMMYFUNCTION("""COMPUTED_VALUE"""),35010.0)</f>
        <v>35010</v>
      </c>
      <c r="I137" s="19">
        <f>IFERROR(__xludf.DUMMYFUNCTION("""COMPUTED_VALUE"""),28.441666666666666)</f>
        <v>28.44166667</v>
      </c>
      <c r="J137" s="21">
        <f>IFERROR(__xludf.DUMMYFUNCTION("""COMPUTED_VALUE"""),65.0)</f>
        <v>65</v>
      </c>
      <c r="K137" s="23">
        <f>IFERROR(__xludf.DUMMYFUNCTION("""COMPUTED_VALUE"""),7.7)</f>
        <v>7.7</v>
      </c>
      <c r="L137" s="24">
        <f>IFERROR(__xludf.DUMMYFUNCTION("""COMPUTED_VALUE"""),6.0)</f>
        <v>6</v>
      </c>
      <c r="M137" s="25" t="str">
        <f>IFERROR(__xludf.DUMMYFUNCTION("""COMPUTED_VALUE"""),"Shooter")</f>
        <v>Shooter</v>
      </c>
      <c r="N137" s="25" t="str">
        <f>IFERROR(__xludf.DUMMYFUNCTION("""COMPUTED_VALUE"""),"PS1")</f>
        <v>PS1</v>
      </c>
      <c r="O137" s="26" t="str">
        <f>IFERROR(__xludf.DUMMYFUNCTION("""COMPUTED_VALUE"""),"Yes")</f>
        <v>Yes</v>
      </c>
      <c r="P137" s="26"/>
    </row>
    <row r="138">
      <c r="A138" s="13" t="str">
        <f>IFERROR(__xludf.DUMMYFUNCTION("""COMPUTED_VALUE"""),"Disney/PIXAR Up")</f>
        <v>Disney/PIXAR Up</v>
      </c>
      <c r="B138" s="15" t="str">
        <f>IFERROR(__xludf.DUMMYFUNCTION("""COMPUTED_VALUE"""),"PS5/PS4")</f>
        <v>PS5/PS4</v>
      </c>
      <c r="C138" s="16" t="str">
        <f>IFERROR(__xludf.DUMMYFUNCTION("""COMPUTED_VALUE"""),"Premium (Classics)")</f>
        <v>Premium (Classics)</v>
      </c>
      <c r="D138" s="15" t="str">
        <f>IFERROR(__xludf.DUMMYFUNCTION("""COMPUTED_VALUE"""),"Active")</f>
        <v>Active</v>
      </c>
      <c r="E138" s="17">
        <f>IFERROR(__xludf.DUMMYFUNCTION("""COMPUTED_VALUE"""),45251.0)</f>
        <v>45251</v>
      </c>
      <c r="F138" s="18"/>
      <c r="G138" s="19">
        <f>IFERROR(__xludf.DUMMYFUNCTION("""COMPUTED_VALUE"""),34.5)</f>
        <v>34.5</v>
      </c>
      <c r="H138" s="17">
        <f>IFERROR(__xludf.DUMMYFUNCTION("""COMPUTED_VALUE"""),39959.0)</f>
        <v>39959</v>
      </c>
      <c r="I138" s="19">
        <f>IFERROR(__xludf.DUMMYFUNCTION("""COMPUTED_VALUE"""),14.48611111111111)</f>
        <v>14.48611111</v>
      </c>
      <c r="J138" s="21">
        <f>IFERROR(__xludf.DUMMYFUNCTION("""COMPUTED_VALUE"""),65.0)</f>
        <v>65</v>
      </c>
      <c r="K138" s="23">
        <f>IFERROR(__xludf.DUMMYFUNCTION("""COMPUTED_VALUE"""),6.8)</f>
        <v>6.8</v>
      </c>
      <c r="L138" s="24">
        <f>IFERROR(__xludf.DUMMYFUNCTION("""COMPUTED_VALUE"""),5.0)</f>
        <v>5</v>
      </c>
      <c r="M138" s="25" t="str">
        <f>IFERROR(__xludf.DUMMYFUNCTION("""COMPUTED_VALUE"""),"Action-Adventure")</f>
        <v>Action-Adventure</v>
      </c>
      <c r="N138" s="25" t="str">
        <f>IFERROR(__xludf.DUMMYFUNCTION("""COMPUTED_VALUE"""),"PSP")</f>
        <v>PSP</v>
      </c>
      <c r="O138" s="26" t="str">
        <f>IFERROR(__xludf.DUMMYFUNCTION("""COMPUTED_VALUE"""),"Yes")</f>
        <v>Yes</v>
      </c>
      <c r="P138" s="26"/>
    </row>
    <row r="139">
      <c r="A139" s="13" t="str">
        <f>IFERROR(__xludf.DUMMYFUNCTION("""COMPUTED_VALUE"""),"Star Wars: Bounty Hunter")</f>
        <v>Star Wars: Bounty Hunter</v>
      </c>
      <c r="B139" s="15" t="str">
        <f>IFERROR(__xludf.DUMMYFUNCTION("""COMPUTED_VALUE"""),"PS4")</f>
        <v>PS4</v>
      </c>
      <c r="C139" s="16" t="str">
        <f>IFERROR(__xludf.DUMMYFUNCTION("""COMPUTED_VALUE"""),"Premium (Classics)")</f>
        <v>Premium (Classics)</v>
      </c>
      <c r="D139" s="15" t="str">
        <f>IFERROR(__xludf.DUMMYFUNCTION("""COMPUTED_VALUE"""),"Active")</f>
        <v>Active</v>
      </c>
      <c r="E139" s="17">
        <f>IFERROR(__xludf.DUMMYFUNCTION("""COMPUTED_VALUE"""),44725.0)</f>
        <v>44725</v>
      </c>
      <c r="F139" s="54"/>
      <c r="G139" s="19">
        <f>IFERROR(__xludf.DUMMYFUNCTION("""COMPUTED_VALUE"""),51.766666666666666)</f>
        <v>51.76666667</v>
      </c>
      <c r="H139" s="17">
        <f>IFERROR(__xludf.DUMMYFUNCTION("""COMPUTED_VALUE"""),37561.0)</f>
        <v>37561</v>
      </c>
      <c r="I139" s="19">
        <f>IFERROR(__xludf.DUMMYFUNCTION("""COMPUTED_VALUE"""),19.616666666666667)</f>
        <v>19.61666667</v>
      </c>
      <c r="J139" s="21">
        <f>IFERROR(__xludf.DUMMYFUNCTION("""COMPUTED_VALUE"""),65.0)</f>
        <v>65</v>
      </c>
      <c r="K139" s="23">
        <f>IFERROR(__xludf.DUMMYFUNCTION("""COMPUTED_VALUE"""),7.6)</f>
        <v>7.6</v>
      </c>
      <c r="L139" s="24">
        <f>IFERROR(__xludf.DUMMYFUNCTION("""COMPUTED_VALUE"""),10.0)</f>
        <v>10</v>
      </c>
      <c r="M139" s="25" t="str">
        <f>IFERROR(__xludf.DUMMYFUNCTION("""COMPUTED_VALUE"""),"Action-Adventure")</f>
        <v>Action-Adventure</v>
      </c>
      <c r="N139" s="25" t="str">
        <f>IFERROR(__xludf.DUMMYFUNCTION("""COMPUTED_VALUE"""),"PS2")</f>
        <v>PS2</v>
      </c>
      <c r="O139" s="26" t="str">
        <f>IFERROR(__xludf.DUMMYFUNCTION("""COMPUTED_VALUE"""),"Yes")</f>
        <v>Yes</v>
      </c>
      <c r="P139" s="26" t="str">
        <f>IFERROR(__xludf.DUMMYFUNCTION("""COMPUTED_VALUE"""),"")</f>
        <v/>
      </c>
    </row>
    <row r="140">
      <c r="A140" s="13" t="str">
        <f>IFERROR(__xludf.DUMMYFUNCTION("""COMPUTED_VALUE"""),"Star Wars Demolition")</f>
        <v>Star Wars Demolition</v>
      </c>
      <c r="B140" s="15" t="str">
        <f>IFERROR(__xludf.DUMMYFUNCTION("""COMPUTED_VALUE"""),"PS5/PS4")</f>
        <v>PS5/PS4</v>
      </c>
      <c r="C140" s="16" t="str">
        <f>IFERROR(__xludf.DUMMYFUNCTION("""COMPUTED_VALUE"""),"Premium (Classics)")</f>
        <v>Premium (Classics)</v>
      </c>
      <c r="D140" s="15" t="str">
        <f>IFERROR(__xludf.DUMMYFUNCTION("""COMPUTED_VALUE"""),"Active")</f>
        <v>Active</v>
      </c>
      <c r="E140" s="17">
        <f>IFERROR(__xludf.DUMMYFUNCTION("""COMPUTED_VALUE"""),44943.0)</f>
        <v>44943</v>
      </c>
      <c r="F140" s="18"/>
      <c r="G140" s="19">
        <f>IFERROR(__xludf.DUMMYFUNCTION("""COMPUTED_VALUE"""),44.63333333333333)</f>
        <v>44.63333333</v>
      </c>
      <c r="H140" s="17">
        <f>IFERROR(__xludf.DUMMYFUNCTION("""COMPUTED_VALUE"""),36842.0)</f>
        <v>36842</v>
      </c>
      <c r="I140" s="19">
        <f>IFERROR(__xludf.DUMMYFUNCTION("""COMPUTED_VALUE"""),22.180555555555557)</f>
        <v>22.18055556</v>
      </c>
      <c r="J140" s="21">
        <f>IFERROR(__xludf.DUMMYFUNCTION("""COMPUTED_VALUE"""),63.0)</f>
        <v>63</v>
      </c>
      <c r="K140" s="23">
        <f>IFERROR(__xludf.DUMMYFUNCTION("""COMPUTED_VALUE"""),7.1)</f>
        <v>7.1</v>
      </c>
      <c r="L140" s="24">
        <f>IFERROR(__xludf.DUMMYFUNCTION("""COMPUTED_VALUE"""),20.0)</f>
        <v>20</v>
      </c>
      <c r="M140" s="70" t="str">
        <f>IFERROR(__xludf.DUMMYFUNCTION("""COMPUTED_VALUE"""),"Action-Adventure")</f>
        <v>Action-Adventure</v>
      </c>
      <c r="N140" s="25" t="str">
        <f>IFERROR(__xludf.DUMMYFUNCTION("""COMPUTED_VALUE"""),"PS1")</f>
        <v>PS1</v>
      </c>
      <c r="O140" s="26" t="str">
        <f>IFERROR(__xludf.DUMMYFUNCTION("""COMPUTED_VALUE"""),"Yes")</f>
        <v>Yes</v>
      </c>
      <c r="P140" s="26"/>
    </row>
    <row r="141">
      <c r="A141" s="13" t="str">
        <f>IFERROR(__xludf.DUMMYFUNCTION("""COMPUTED_VALUE"""),"Star Wars Episode I: The Phantom Menace")</f>
        <v>Star Wars Episode I: The Phantom Menace</v>
      </c>
      <c r="B141" s="15" t="str">
        <f>IFERROR(__xludf.DUMMYFUNCTION("""COMPUTED_VALUE"""),"PS5/PS4")</f>
        <v>PS5/PS4</v>
      </c>
      <c r="C141" s="16" t="str">
        <f>IFERROR(__xludf.DUMMYFUNCTION("""COMPUTED_VALUE"""),"Premium (Classics)")</f>
        <v>Premium (Classics)</v>
      </c>
      <c r="D141" s="15" t="str">
        <f>IFERROR(__xludf.DUMMYFUNCTION("""COMPUTED_VALUE"""),"Active")</f>
        <v>Active</v>
      </c>
      <c r="E141" s="17">
        <f>IFERROR(__xludf.DUMMYFUNCTION("""COMPUTED_VALUE"""),45307.0)</f>
        <v>45307</v>
      </c>
      <c r="F141" s="18"/>
      <c r="G141" s="19">
        <f>IFERROR(__xludf.DUMMYFUNCTION("""COMPUTED_VALUE"""),32.66666666666667)</f>
        <v>32.66666667</v>
      </c>
      <c r="H141" s="17">
        <f>IFERROR(__xludf.DUMMYFUNCTION("""COMPUTED_VALUE"""),36311.0)</f>
        <v>36311</v>
      </c>
      <c r="I141" s="19">
        <f>IFERROR(__xludf.DUMMYFUNCTION("""COMPUTED_VALUE"""),24.627777777777776)</f>
        <v>24.62777778</v>
      </c>
      <c r="J141" s="21">
        <f>IFERROR(__xludf.DUMMYFUNCTION("""COMPUTED_VALUE"""),62.0)</f>
        <v>62</v>
      </c>
      <c r="K141" s="23">
        <f>IFERROR(__xludf.DUMMYFUNCTION("""COMPUTED_VALUE"""),7.4)</f>
        <v>7.4</v>
      </c>
      <c r="L141" s="24">
        <f>IFERROR(__xludf.DUMMYFUNCTION("""COMPUTED_VALUE"""),8.0)</f>
        <v>8</v>
      </c>
      <c r="M141" s="25" t="str">
        <f>IFERROR(__xludf.DUMMYFUNCTION("""COMPUTED_VALUE"""),"Action-Adventure")</f>
        <v>Action-Adventure</v>
      </c>
      <c r="N141" s="25" t="str">
        <f>IFERROR(__xludf.DUMMYFUNCTION("""COMPUTED_VALUE"""),"PS1")</f>
        <v>PS1</v>
      </c>
      <c r="O141" s="26" t="str">
        <f>IFERROR(__xludf.DUMMYFUNCTION("""COMPUTED_VALUE"""),"Yes")</f>
        <v>Yes</v>
      </c>
      <c r="P141" s="26"/>
    </row>
    <row r="142">
      <c r="A142" s="13" t="str">
        <f>IFERROR(__xludf.DUMMYFUNCTION("""COMPUTED_VALUE"""),"Blade Dancer: Lineage of Light")</f>
        <v>Blade Dancer: Lineage of Light</v>
      </c>
      <c r="B142" s="15" t="str">
        <f>IFERROR(__xludf.DUMMYFUNCTION("""COMPUTED_VALUE"""),"PS5/PS4")</f>
        <v>PS5/PS4</v>
      </c>
      <c r="C142" s="16" t="str">
        <f>IFERROR(__xludf.DUMMYFUNCTION("""COMPUTED_VALUE"""),"Premium (Classics)")</f>
        <v>Premium (Classics)</v>
      </c>
      <c r="D142" s="15" t="str">
        <f>IFERROR(__xludf.DUMMYFUNCTION("""COMPUTED_VALUE"""),"Active")</f>
        <v>Active</v>
      </c>
      <c r="E142" s="17">
        <f>IFERROR(__xludf.DUMMYFUNCTION("""COMPUTED_VALUE"""),45062.0)</f>
        <v>45062</v>
      </c>
      <c r="F142" s="54"/>
      <c r="G142" s="19">
        <f>IFERROR(__xludf.DUMMYFUNCTION("""COMPUTED_VALUE"""),40.666666666666664)</f>
        <v>40.66666667</v>
      </c>
      <c r="H142" s="17">
        <f>IFERROR(__xludf.DUMMYFUNCTION("""COMPUTED_VALUE"""),38899.0)</f>
        <v>38899</v>
      </c>
      <c r="I142" s="19">
        <f>IFERROR(__xludf.DUMMYFUNCTION("""COMPUTED_VALUE"""),16.875)</f>
        <v>16.875</v>
      </c>
      <c r="J142" s="21">
        <f>IFERROR(__xludf.DUMMYFUNCTION("""COMPUTED_VALUE"""),60.0)</f>
        <v>60</v>
      </c>
      <c r="K142" s="23">
        <f>IFERROR(__xludf.DUMMYFUNCTION("""COMPUTED_VALUE"""),6.5)</f>
        <v>6.5</v>
      </c>
      <c r="L142" s="24">
        <f>IFERROR(__xludf.DUMMYFUNCTION("""COMPUTED_VALUE"""),28.0)</f>
        <v>28</v>
      </c>
      <c r="M142" s="25" t="str">
        <f>IFERROR(__xludf.DUMMYFUNCTION("""COMPUTED_VALUE"""),"RPG")</f>
        <v>RPG</v>
      </c>
      <c r="N142" s="25" t="str">
        <f>IFERROR(__xludf.DUMMYFUNCTION("""COMPUTED_VALUE"""),"PSP")</f>
        <v>PSP</v>
      </c>
      <c r="O142" s="26" t="str">
        <f>IFERROR(__xludf.DUMMYFUNCTION("""COMPUTED_VALUE"""),"Yes")</f>
        <v>Yes</v>
      </c>
      <c r="P142" s="26"/>
    </row>
    <row r="143">
      <c r="A143" s="13" t="str">
        <f>IFERROR(__xludf.DUMMYFUNCTION("""COMPUTED_VALUE"""),"Indiana Jones and the Staff of Kings")</f>
        <v>Indiana Jones and the Staff of Kings</v>
      </c>
      <c r="B143" s="15" t="str">
        <f>IFERROR(__xludf.DUMMYFUNCTION("""COMPUTED_VALUE"""),"PS5/PS4")</f>
        <v>PS5/PS4</v>
      </c>
      <c r="C143" s="16" t="str">
        <f>IFERROR(__xludf.DUMMYFUNCTION("""COMPUTED_VALUE"""),"Premium (Classics)")</f>
        <v>Premium (Classics)</v>
      </c>
      <c r="D143" s="15" t="str">
        <f>IFERROR(__xludf.DUMMYFUNCTION("""COMPUTED_VALUE"""),"Active")</f>
        <v>Active</v>
      </c>
      <c r="E143" s="17">
        <f>IFERROR(__xludf.DUMMYFUNCTION("""COMPUTED_VALUE"""),45678.0)</f>
        <v>45678</v>
      </c>
      <c r="F143" s="54"/>
      <c r="G143" s="19">
        <f>IFERROR(__xludf.DUMMYFUNCTION("""COMPUTED_VALUE"""),20.5)</f>
        <v>20.5</v>
      </c>
      <c r="H143" s="17">
        <f>IFERROR(__xludf.DUMMYFUNCTION("""COMPUTED_VALUE"""),39973.0)</f>
        <v>39973</v>
      </c>
      <c r="I143" s="19">
        <f>IFERROR(__xludf.DUMMYFUNCTION("""COMPUTED_VALUE"""),15.616666666666667)</f>
        <v>15.61666667</v>
      </c>
      <c r="J143" s="21">
        <f>IFERROR(__xludf.DUMMYFUNCTION("""COMPUTED_VALUE"""),55.0)</f>
        <v>55</v>
      </c>
      <c r="K143" s="23">
        <f>IFERROR(__xludf.DUMMYFUNCTION("""COMPUTED_VALUE"""),7.3)</f>
        <v>7.3</v>
      </c>
      <c r="L143" s="24">
        <f>IFERROR(__xludf.DUMMYFUNCTION("""COMPUTED_VALUE"""),8.0)</f>
        <v>8</v>
      </c>
      <c r="M143" s="25" t="str">
        <f>IFERROR(__xludf.DUMMYFUNCTION("""COMPUTED_VALUE"""),"Action-Adventure")</f>
        <v>Action-Adventure</v>
      </c>
      <c r="N143" s="25" t="str">
        <f>IFERROR(__xludf.DUMMYFUNCTION("""COMPUTED_VALUE"""),"PS2")</f>
        <v>PS2</v>
      </c>
      <c r="O143" s="26" t="str">
        <f>IFERROR(__xludf.DUMMYFUNCTION("""COMPUTED_VALUE"""),"Yes")</f>
        <v>Yes</v>
      </c>
      <c r="P143" s="26"/>
    </row>
    <row r="144">
      <c r="A144" s="13" t="str">
        <f>IFERROR(__xludf.DUMMYFUNCTION("""COMPUTED_VALUE"""),"Disney/Pixar Buzz Lightyear of Star Command")</f>
        <v>Disney/Pixar Buzz Lightyear of Star Command</v>
      </c>
      <c r="B144" s="15" t="str">
        <f>IFERROR(__xludf.DUMMYFUNCTION("""COMPUTED_VALUE"""),"PS5/PS4")</f>
        <v>PS5/PS4</v>
      </c>
      <c r="C144" s="16" t="str">
        <f>IFERROR(__xludf.DUMMYFUNCTION("""COMPUTED_VALUE"""),"Premium (Classics)")</f>
        <v>Premium (Classics)</v>
      </c>
      <c r="D144" s="15" t="str">
        <f>IFERROR(__xludf.DUMMYFUNCTION("""COMPUTED_VALUE"""),"Active")</f>
        <v>Active</v>
      </c>
      <c r="E144" s="17">
        <f>IFERROR(__xludf.DUMMYFUNCTION("""COMPUTED_VALUE"""),45279.0)</f>
        <v>45279</v>
      </c>
      <c r="F144" s="54"/>
      <c r="G144" s="19">
        <f>IFERROR(__xludf.DUMMYFUNCTION("""COMPUTED_VALUE"""),33.56666666666666)</f>
        <v>33.56666667</v>
      </c>
      <c r="H144" s="17">
        <f>IFERROR(__xludf.DUMMYFUNCTION("""COMPUTED_VALUE"""),36795.0)</f>
        <v>36795</v>
      </c>
      <c r="I144" s="19">
        <f>IFERROR(__xludf.DUMMYFUNCTION("""COMPUTED_VALUE"""),23.230555555555554)</f>
        <v>23.23055556</v>
      </c>
      <c r="J144" s="21">
        <f>IFERROR(__xludf.DUMMYFUNCTION("""COMPUTED_VALUE"""),54.0)</f>
        <v>54</v>
      </c>
      <c r="K144" s="23">
        <f>IFERROR(__xludf.DUMMYFUNCTION("""COMPUTED_VALUE"""),8.3)</f>
        <v>8.3</v>
      </c>
      <c r="L144" s="24">
        <f>IFERROR(__xludf.DUMMYFUNCTION("""COMPUTED_VALUE"""),7.0)</f>
        <v>7</v>
      </c>
      <c r="M144" s="25" t="str">
        <f>IFERROR(__xludf.DUMMYFUNCTION("""COMPUTED_VALUE"""),"Action-Adventure")</f>
        <v>Action-Adventure</v>
      </c>
      <c r="N144" s="25" t="str">
        <f>IFERROR(__xludf.DUMMYFUNCTION("""COMPUTED_VALUE"""),"PS1")</f>
        <v>PS1</v>
      </c>
      <c r="O144" s="26" t="str">
        <f>IFERROR(__xludf.DUMMYFUNCTION("""COMPUTED_VALUE"""),"Portal (PS5 + Premium)")</f>
        <v>Portal (PS5 + Premium)</v>
      </c>
      <c r="P144" s="26"/>
    </row>
    <row r="145">
      <c r="A145" s="13" t="str">
        <f>IFERROR(__xludf.DUMMYFUNCTION("""COMPUTED_VALUE"""),"Ape Escape Academy")</f>
        <v>Ape Escape Academy</v>
      </c>
      <c r="B145" s="15" t="str">
        <f>IFERROR(__xludf.DUMMYFUNCTION("""COMPUTED_VALUE"""),"PS5/PS4")</f>
        <v>PS5/PS4</v>
      </c>
      <c r="C145" s="16" t="str">
        <f>IFERROR(__xludf.DUMMYFUNCTION("""COMPUTED_VALUE"""),"Premium (Classics)")</f>
        <v>Premium (Classics)</v>
      </c>
      <c r="D145" s="15" t="str">
        <f>IFERROR(__xludf.DUMMYFUNCTION("""COMPUTED_VALUE"""),"Active")</f>
        <v>Active</v>
      </c>
      <c r="E145" s="17">
        <f>IFERROR(__xludf.DUMMYFUNCTION("""COMPUTED_VALUE"""),45216.0)</f>
        <v>45216</v>
      </c>
      <c r="F145" s="54"/>
      <c r="G145" s="19">
        <f>IFERROR(__xludf.DUMMYFUNCTION("""COMPUTED_VALUE"""),35.63333333333333)</f>
        <v>35.63333333</v>
      </c>
      <c r="H145" s="17">
        <f>IFERROR(__xludf.DUMMYFUNCTION("""COMPUTED_VALUE"""),38734.0)</f>
        <v>38734</v>
      </c>
      <c r="I145" s="19">
        <f>IFERROR(__xludf.DUMMYFUNCTION("""COMPUTED_VALUE"""),17.75)</f>
        <v>17.75</v>
      </c>
      <c r="J145" s="21">
        <f>IFERROR(__xludf.DUMMYFUNCTION("""COMPUTED_VALUE"""),51.0)</f>
        <v>51</v>
      </c>
      <c r="K145" s="23">
        <f>IFERROR(__xludf.DUMMYFUNCTION("""COMPUTED_VALUE"""),5.7)</f>
        <v>5.7</v>
      </c>
      <c r="L145" s="24">
        <f>IFERROR(__xludf.DUMMYFUNCTION("""COMPUTED_VALUE"""),3.0)</f>
        <v>3</v>
      </c>
      <c r="M145" s="25" t="str">
        <f>IFERROR(__xludf.DUMMYFUNCTION("""COMPUTED_VALUE"""),"Party")</f>
        <v>Party</v>
      </c>
      <c r="N145" s="25" t="str">
        <f>IFERROR(__xludf.DUMMYFUNCTION("""COMPUTED_VALUE"""),"PSP")</f>
        <v>PSP</v>
      </c>
      <c r="O145" s="26" t="str">
        <f>IFERROR(__xludf.DUMMYFUNCTION("""COMPUTED_VALUE"""),"Yes")</f>
        <v>Yes</v>
      </c>
      <c r="P145" s="26"/>
    </row>
    <row r="146">
      <c r="A146" s="13" t="str">
        <f>IFERROR(__xludf.DUMMYFUNCTION("""COMPUTED_VALUE"""),"Disney Pixar Wall-E")</f>
        <v>Disney Pixar Wall-E</v>
      </c>
      <c r="B146" s="15" t="str">
        <f>IFERROR(__xludf.DUMMYFUNCTION("""COMPUTED_VALUE"""),"PS5/PS4")</f>
        <v>PS5/PS4</v>
      </c>
      <c r="C146" s="16" t="str">
        <f>IFERROR(__xludf.DUMMYFUNCTION("""COMPUTED_VALUE"""),"Premium (Classics)")</f>
        <v>Premium (Classics)</v>
      </c>
      <c r="D146" s="15" t="str">
        <f>IFERROR(__xludf.DUMMYFUNCTION("""COMPUTED_VALUE"""),"Active")</f>
        <v>Active</v>
      </c>
      <c r="E146" s="17">
        <f>IFERROR(__xludf.DUMMYFUNCTION("""COMPUTED_VALUE"""),46070.0)</f>
        <v>46070</v>
      </c>
      <c r="F146" s="54"/>
      <c r="G146" s="19">
        <f>IFERROR(__xludf.DUMMYFUNCTION("""COMPUTED_VALUE"""),7.633333333333333)</f>
        <v>7.633333333</v>
      </c>
      <c r="H146" s="17">
        <f>IFERROR(__xludf.DUMMYFUNCTION("""COMPUTED_VALUE"""),39623.0)</f>
        <v>39623</v>
      </c>
      <c r="I146" s="19">
        <f>IFERROR(__xludf.DUMMYFUNCTION("""COMPUTED_VALUE"""),17.647222222222222)</f>
        <v>17.64722222</v>
      </c>
      <c r="J146" s="21">
        <f>IFERROR(__xludf.DUMMYFUNCTION("""COMPUTED_VALUE"""),50.0)</f>
        <v>50</v>
      </c>
      <c r="K146" s="23">
        <f>IFERROR(__xludf.DUMMYFUNCTION("""COMPUTED_VALUE"""),6.8)</f>
        <v>6.8</v>
      </c>
      <c r="L146" s="24">
        <f>IFERROR(__xludf.DUMMYFUNCTION("""COMPUTED_VALUE"""),8.0)</f>
        <v>8</v>
      </c>
      <c r="M146" s="25" t="str">
        <f>IFERROR(__xludf.DUMMYFUNCTION("""COMPUTED_VALUE"""),"Action-Adventure")</f>
        <v>Action-Adventure</v>
      </c>
      <c r="N146" s="25" t="str">
        <f>IFERROR(__xludf.DUMMYFUNCTION("""COMPUTED_VALUE"""),"PS2")</f>
        <v>PS2</v>
      </c>
      <c r="O146" s="26"/>
      <c r="P146" s="26"/>
    </row>
    <row r="147">
      <c r="A147" s="13" t="str">
        <f>IFERROR(__xludf.DUMMYFUNCTION("""COMPUTED_VALUE"""),"Twisted Metal 4")</f>
        <v>Twisted Metal 4</v>
      </c>
      <c r="B147" s="15" t="str">
        <f>IFERROR(__xludf.DUMMYFUNCTION("""COMPUTED_VALUE"""),"PS5/PS4")</f>
        <v>PS5/PS4</v>
      </c>
      <c r="C147" s="16" t="str">
        <f>IFERROR(__xludf.DUMMYFUNCTION("""COMPUTED_VALUE"""),"Premium (Classics)")</f>
        <v>Premium (Classics)</v>
      </c>
      <c r="D147" s="15" t="str">
        <f>IFERROR(__xludf.DUMMYFUNCTION("""COMPUTED_VALUE"""),"Active")</f>
        <v>Active</v>
      </c>
      <c r="E147" s="17">
        <f>IFERROR(__xludf.DUMMYFUNCTION("""COMPUTED_VALUE"""),45853.0)</f>
        <v>45853</v>
      </c>
      <c r="F147" s="54"/>
      <c r="G147" s="19">
        <f>IFERROR(__xludf.DUMMYFUNCTION("""COMPUTED_VALUE"""),14.700000000000001)</f>
        <v>14.7</v>
      </c>
      <c r="H147" s="17">
        <f>IFERROR(__xludf.DUMMYFUNCTION("""COMPUTED_VALUE"""),36479.0)</f>
        <v>36479</v>
      </c>
      <c r="I147" s="19">
        <f>IFERROR(__xludf.DUMMYFUNCTION("""COMPUTED_VALUE"""),25.666666666666668)</f>
        <v>25.66666667</v>
      </c>
      <c r="J147" s="21">
        <f>IFERROR(__xludf.DUMMYFUNCTION("""COMPUTED_VALUE"""),8.0)</f>
        <v>8</v>
      </c>
      <c r="K147" s="23">
        <f>IFERROR(__xludf.DUMMYFUNCTION("""COMPUTED_VALUE"""),7.1)</f>
        <v>7.1</v>
      </c>
      <c r="L147" s="24">
        <f>IFERROR(__xludf.DUMMYFUNCTION("""COMPUTED_VALUE"""),4.0)</f>
        <v>4</v>
      </c>
      <c r="M147" s="25" t="str">
        <f>IFERROR(__xludf.DUMMYFUNCTION("""COMPUTED_VALUE"""),"Simulation")</f>
        <v>Simulation</v>
      </c>
      <c r="N147" s="25" t="str">
        <f>IFERROR(__xludf.DUMMYFUNCTION("""COMPUTED_VALUE"""),"PS1")</f>
        <v>PS1</v>
      </c>
      <c r="O147" s="26"/>
      <c r="P147" s="26"/>
    </row>
    <row r="148">
      <c r="A148" s="13" t="str">
        <f>IFERROR(__xludf.DUMMYFUNCTION("""COMPUTED_VALUE"""),"Twisted Metal III")</f>
        <v>Twisted Metal III</v>
      </c>
      <c r="B148" s="15" t="str">
        <f>IFERROR(__xludf.DUMMYFUNCTION("""COMPUTED_VALUE"""),"PS5/PS4")</f>
        <v>PS5/PS4</v>
      </c>
      <c r="C148" s="16" t="str">
        <f>IFERROR(__xludf.DUMMYFUNCTION("""COMPUTED_VALUE"""),"Premium (Classics)")</f>
        <v>Premium (Classics)</v>
      </c>
      <c r="D148" s="15" t="str">
        <f>IFERROR(__xludf.DUMMYFUNCTION("""COMPUTED_VALUE"""),"Active")</f>
        <v>Active</v>
      </c>
      <c r="E148" s="17">
        <f>IFERROR(__xludf.DUMMYFUNCTION("""COMPUTED_VALUE"""),45853.0)</f>
        <v>45853</v>
      </c>
      <c r="F148" s="54"/>
      <c r="G148" s="19">
        <f>IFERROR(__xludf.DUMMYFUNCTION("""COMPUTED_VALUE"""),14.700000000000001)</f>
        <v>14.7</v>
      </c>
      <c r="H148" s="17">
        <f>IFERROR(__xludf.DUMMYFUNCTION("""COMPUTED_VALUE"""),36109.0)</f>
        <v>36109</v>
      </c>
      <c r="I148" s="19">
        <f>IFERROR(__xludf.DUMMYFUNCTION("""COMPUTED_VALUE"""),26.680555555555557)</f>
        <v>26.68055556</v>
      </c>
      <c r="J148" s="21"/>
      <c r="K148" s="23">
        <f>IFERROR(__xludf.DUMMYFUNCTION("""COMPUTED_VALUE"""),6.1)</f>
        <v>6.1</v>
      </c>
      <c r="L148" s="24">
        <f>IFERROR(__xludf.DUMMYFUNCTION("""COMPUTED_VALUE"""),4.0)</f>
        <v>4</v>
      </c>
      <c r="M148" s="25" t="str">
        <f>IFERROR(__xludf.DUMMYFUNCTION("""COMPUTED_VALUE"""),"Driving")</f>
        <v>Driving</v>
      </c>
      <c r="N148" s="25" t="str">
        <f>IFERROR(__xludf.DUMMYFUNCTION("""COMPUTED_VALUE"""),"PS1")</f>
        <v>PS1</v>
      </c>
      <c r="O148" s="26"/>
      <c r="P148" s="26"/>
    </row>
    <row r="149">
      <c r="A149" s="13" t="str">
        <f>IFERROR(__xludf.DUMMYFUNCTION("""COMPUTED_VALUE"""),"Jet Moto")</f>
        <v>Jet Moto</v>
      </c>
      <c r="B149" s="15" t="str">
        <f>IFERROR(__xludf.DUMMYFUNCTION("""COMPUTED_VALUE"""),"PS5/PS4")</f>
        <v>PS5/PS4</v>
      </c>
      <c r="C149" s="16" t="str">
        <f>IFERROR(__xludf.DUMMYFUNCTION("""COMPUTED_VALUE"""),"Premium (Classics)")</f>
        <v>Premium (Classics)</v>
      </c>
      <c r="D149" s="15" t="str">
        <f>IFERROR(__xludf.DUMMYFUNCTION("""COMPUTED_VALUE"""),"Active")</f>
        <v>Active</v>
      </c>
      <c r="E149" s="17">
        <f>IFERROR(__xludf.DUMMYFUNCTION("""COMPUTED_VALUE"""),45251.0)</f>
        <v>45251</v>
      </c>
      <c r="F149" s="54"/>
      <c r="G149" s="19">
        <f>IFERROR(__xludf.DUMMYFUNCTION("""COMPUTED_VALUE"""),34.5)</f>
        <v>34.5</v>
      </c>
      <c r="H149" s="17">
        <f>IFERROR(__xludf.DUMMYFUNCTION("""COMPUTED_VALUE"""),35764.0)</f>
        <v>35764</v>
      </c>
      <c r="I149" s="19">
        <f>IFERROR(__xludf.DUMMYFUNCTION("""COMPUTED_VALUE"""),25.975)</f>
        <v>25.975</v>
      </c>
      <c r="J149" s="21"/>
      <c r="K149" s="23">
        <f>IFERROR(__xludf.DUMMYFUNCTION("""COMPUTED_VALUE"""),7.6)</f>
        <v>7.6</v>
      </c>
      <c r="L149" s="24">
        <f>IFERROR(__xludf.DUMMYFUNCTION("""COMPUTED_VALUE"""),6.0)</f>
        <v>6</v>
      </c>
      <c r="M149" s="25" t="str">
        <f>IFERROR(__xludf.DUMMYFUNCTION("""COMPUTED_VALUE"""),"Racing")</f>
        <v>Racing</v>
      </c>
      <c r="N149" s="25" t="str">
        <f>IFERROR(__xludf.DUMMYFUNCTION("""COMPUTED_VALUE"""),"PS1")</f>
        <v>PS1</v>
      </c>
      <c r="O149" s="26" t="str">
        <f>IFERROR(__xludf.DUMMYFUNCTION("""COMPUTED_VALUE"""),"Yes")</f>
        <v>Yes</v>
      </c>
      <c r="P149" s="26"/>
    </row>
    <row r="150">
      <c r="A150" s="13" t="str">
        <f>IFERROR(__xludf.DUMMYFUNCTION("""COMPUTED_VALUE"""),"IQ Final")</f>
        <v>IQ Final</v>
      </c>
      <c r="B150" s="15" t="str">
        <f>IFERROR(__xludf.DUMMYFUNCTION("""COMPUTED_VALUE"""),"PS5/PS4")</f>
        <v>PS5/PS4</v>
      </c>
      <c r="C150" s="16" t="str">
        <f>IFERROR(__xludf.DUMMYFUNCTION("""COMPUTED_VALUE"""),"Premium (Classics)")</f>
        <v>Premium (Classics)</v>
      </c>
      <c r="D150" s="15" t="str">
        <f>IFERROR(__xludf.DUMMYFUNCTION("""COMPUTED_VALUE"""),"Active")</f>
        <v>Active</v>
      </c>
      <c r="E150" s="17">
        <f>IFERROR(__xludf.DUMMYFUNCTION("""COMPUTED_VALUE"""),45216.0)</f>
        <v>45216</v>
      </c>
      <c r="F150" s="54"/>
      <c r="G150" s="19">
        <f>IFERROR(__xludf.DUMMYFUNCTION("""COMPUTED_VALUE"""),35.63333333333333)</f>
        <v>35.63333333</v>
      </c>
      <c r="H150" s="17">
        <f>IFERROR(__xludf.DUMMYFUNCTION("""COMPUTED_VALUE"""),36152.0)</f>
        <v>36152</v>
      </c>
      <c r="I150" s="19">
        <f>IFERROR(__xludf.DUMMYFUNCTION("""COMPUTED_VALUE"""),24.816666666666666)</f>
        <v>24.81666667</v>
      </c>
      <c r="J150" s="21"/>
      <c r="K150" s="23"/>
      <c r="L150" s="24">
        <f>IFERROR(__xludf.DUMMYFUNCTION("""COMPUTED_VALUE"""),2.0)</f>
        <v>2</v>
      </c>
      <c r="M150" s="25" t="str">
        <f>IFERROR(__xludf.DUMMYFUNCTION("""COMPUTED_VALUE"""),"Puzzle")</f>
        <v>Puzzle</v>
      </c>
      <c r="N150" s="25" t="str">
        <f>IFERROR(__xludf.DUMMYFUNCTION("""COMPUTED_VALUE"""),"PSP")</f>
        <v>PSP</v>
      </c>
      <c r="O150" s="26" t="str">
        <f>IFERROR(__xludf.DUMMYFUNCTION("""COMPUTED_VALUE"""),"No")</f>
        <v>No</v>
      </c>
      <c r="P150" s="26"/>
    </row>
    <row r="151">
      <c r="A151" s="52"/>
      <c r="B151" s="15"/>
      <c r="C151" s="16"/>
      <c r="D151" s="15"/>
      <c r="E151" s="17"/>
      <c r="F151" s="54"/>
      <c r="G151" s="19"/>
      <c r="H151" s="17"/>
      <c r="I151" s="19"/>
      <c r="J151" s="21"/>
      <c r="K151" s="57"/>
      <c r="L151" s="24"/>
      <c r="M151" s="25"/>
      <c r="N151" s="25"/>
      <c r="O151" s="26"/>
      <c r="P151" s="26"/>
    </row>
    <row r="152">
      <c r="A152" s="52"/>
      <c r="B152" s="15"/>
      <c r="C152" s="16"/>
      <c r="D152" s="15"/>
      <c r="E152" s="17"/>
      <c r="F152" s="54"/>
      <c r="G152" s="19"/>
      <c r="H152" s="17"/>
      <c r="I152" s="19"/>
      <c r="J152" s="21"/>
      <c r="K152" s="57"/>
      <c r="L152" s="24"/>
      <c r="M152" s="25"/>
      <c r="N152" s="25"/>
      <c r="O152" s="26"/>
      <c r="P152" s="26"/>
    </row>
    <row r="153">
      <c r="A153" s="52"/>
      <c r="B153" s="15"/>
      <c r="C153" s="16"/>
      <c r="D153" s="15"/>
      <c r="E153" s="17"/>
      <c r="F153" s="54"/>
      <c r="G153" s="19"/>
      <c r="H153" s="17"/>
      <c r="I153" s="19"/>
      <c r="J153" s="21"/>
      <c r="K153" s="57"/>
      <c r="L153" s="24"/>
      <c r="M153" s="25"/>
      <c r="N153" s="25"/>
      <c r="O153" s="26"/>
      <c r="P153" s="26"/>
    </row>
    <row r="154">
      <c r="A154" s="52"/>
      <c r="B154" s="15"/>
      <c r="C154" s="16"/>
      <c r="D154" s="15"/>
      <c r="E154" s="17"/>
      <c r="F154" s="54"/>
      <c r="G154" s="19"/>
      <c r="H154" s="17"/>
      <c r="I154" s="19"/>
      <c r="J154" s="21"/>
      <c r="K154" s="57"/>
      <c r="L154" s="24"/>
      <c r="M154" s="25"/>
      <c r="N154" s="25"/>
      <c r="O154" s="26"/>
      <c r="P154" s="26"/>
    </row>
    <row r="155">
      <c r="A155" s="52"/>
      <c r="B155" s="15"/>
      <c r="C155" s="16"/>
      <c r="D155" s="15"/>
      <c r="E155" s="17"/>
      <c r="F155" s="54"/>
      <c r="G155" s="19"/>
      <c r="H155" s="17"/>
      <c r="I155" s="19"/>
      <c r="J155" s="21"/>
      <c r="K155" s="57"/>
      <c r="L155" s="24"/>
      <c r="M155" s="25"/>
      <c r="N155" s="25"/>
      <c r="O155" s="26"/>
      <c r="P155" s="26"/>
    </row>
    <row r="156">
      <c r="A156" s="52"/>
      <c r="B156" s="15"/>
      <c r="C156" s="16"/>
      <c r="D156" s="15"/>
      <c r="E156" s="17"/>
      <c r="F156" s="54"/>
      <c r="G156" s="19"/>
      <c r="H156" s="17"/>
      <c r="I156" s="19"/>
      <c r="J156" s="21"/>
      <c r="K156" s="57"/>
      <c r="L156" s="24"/>
      <c r="M156" s="25"/>
      <c r="N156" s="25"/>
      <c r="O156" s="26"/>
      <c r="P156" s="26"/>
    </row>
    <row r="157">
      <c r="A157" s="52"/>
      <c r="B157" s="15"/>
      <c r="C157" s="16"/>
      <c r="D157" s="15"/>
      <c r="E157" s="17"/>
      <c r="F157" s="18"/>
      <c r="G157" s="19"/>
      <c r="H157" s="17"/>
      <c r="I157" s="19"/>
      <c r="J157" s="21"/>
      <c r="K157" s="57"/>
      <c r="L157" s="24"/>
      <c r="M157" s="25"/>
      <c r="N157" s="25"/>
      <c r="O157" s="26"/>
      <c r="P157" s="26"/>
    </row>
    <row r="158">
      <c r="A158" s="52"/>
      <c r="B158" s="15"/>
      <c r="C158" s="16"/>
      <c r="D158" s="15"/>
      <c r="E158" s="17"/>
      <c r="F158" s="54"/>
      <c r="G158" s="19"/>
      <c r="H158" s="17"/>
      <c r="I158" s="19"/>
      <c r="J158" s="21"/>
      <c r="K158" s="57"/>
      <c r="L158" s="24"/>
      <c r="M158" s="25"/>
      <c r="N158" s="25"/>
      <c r="O158" s="26"/>
      <c r="P158" s="26"/>
    </row>
    <row r="159">
      <c r="A159" s="52"/>
      <c r="B159" s="15"/>
      <c r="C159" s="16"/>
      <c r="D159" s="15"/>
      <c r="E159" s="17"/>
      <c r="F159" s="18"/>
      <c r="G159" s="19"/>
      <c r="H159" s="17"/>
      <c r="I159" s="19"/>
      <c r="J159" s="21"/>
      <c r="K159" s="57"/>
      <c r="L159" s="24"/>
      <c r="M159" s="25"/>
      <c r="N159" s="25"/>
      <c r="O159" s="26"/>
      <c r="P159" s="26"/>
    </row>
    <row r="160">
      <c r="A160" s="52"/>
      <c r="B160" s="15"/>
      <c r="C160" s="16"/>
      <c r="D160" s="15"/>
      <c r="E160" s="17"/>
      <c r="F160" s="54"/>
      <c r="G160" s="19"/>
      <c r="H160" s="17"/>
      <c r="I160" s="19"/>
      <c r="J160" s="21"/>
      <c r="K160" s="57"/>
      <c r="L160" s="24"/>
      <c r="M160" s="25"/>
      <c r="N160" s="25"/>
      <c r="O160" s="26"/>
      <c r="P160" s="26"/>
    </row>
    <row r="161">
      <c r="A161" s="52"/>
      <c r="B161" s="15"/>
      <c r="C161" s="16"/>
      <c r="D161" s="15"/>
      <c r="E161" s="17"/>
      <c r="F161" s="54"/>
      <c r="G161" s="19"/>
      <c r="H161" s="17"/>
      <c r="I161" s="19"/>
      <c r="J161" s="21"/>
      <c r="K161" s="57"/>
      <c r="L161" s="24"/>
      <c r="M161" s="25"/>
      <c r="N161" s="25"/>
      <c r="O161" s="26"/>
      <c r="P161" s="26"/>
    </row>
    <row r="162">
      <c r="A162" s="52"/>
      <c r="B162" s="15"/>
      <c r="C162" s="16"/>
      <c r="D162" s="15"/>
      <c r="E162" s="17"/>
      <c r="F162" s="54"/>
      <c r="G162" s="19"/>
      <c r="H162" s="17"/>
      <c r="I162" s="19"/>
      <c r="J162" s="21"/>
      <c r="K162" s="57"/>
      <c r="L162" s="24"/>
      <c r="M162" s="25"/>
      <c r="N162" s="25"/>
      <c r="O162" s="26"/>
      <c r="P162" s="26"/>
    </row>
    <row r="163">
      <c r="A163" s="52"/>
      <c r="B163" s="15"/>
      <c r="C163" s="16"/>
      <c r="D163" s="15"/>
      <c r="E163" s="17"/>
      <c r="F163" s="54"/>
      <c r="G163" s="19"/>
      <c r="H163" s="17"/>
      <c r="I163" s="19"/>
      <c r="J163" s="21"/>
      <c r="K163" s="57"/>
      <c r="L163" s="24"/>
      <c r="M163" s="25"/>
      <c r="N163" s="25"/>
      <c r="O163" s="26"/>
      <c r="P163" s="26"/>
    </row>
    <row r="164">
      <c r="A164" s="52"/>
      <c r="B164" s="15"/>
      <c r="C164" s="16"/>
      <c r="D164" s="15"/>
      <c r="E164" s="17"/>
      <c r="F164" s="54"/>
      <c r="G164" s="19"/>
      <c r="H164" s="17"/>
      <c r="I164" s="19"/>
      <c r="J164" s="21"/>
      <c r="K164" s="57"/>
      <c r="L164" s="24"/>
      <c r="M164" s="25"/>
      <c r="N164" s="25"/>
      <c r="O164" s="26"/>
      <c r="P164" s="26"/>
    </row>
    <row r="165">
      <c r="A165" s="52"/>
      <c r="B165" s="15"/>
      <c r="C165" s="16"/>
      <c r="D165" s="15"/>
      <c r="E165" s="17"/>
      <c r="F165" s="54"/>
      <c r="G165" s="19"/>
      <c r="H165" s="17"/>
      <c r="I165" s="19"/>
      <c r="J165" s="21"/>
      <c r="K165" s="57"/>
      <c r="L165" s="24"/>
      <c r="M165" s="25"/>
      <c r="N165" s="25"/>
      <c r="O165" s="26"/>
      <c r="P165" s="26"/>
    </row>
    <row r="166">
      <c r="A166" s="52"/>
      <c r="B166" s="15"/>
      <c r="C166" s="16"/>
      <c r="D166" s="15"/>
      <c r="E166" s="17"/>
      <c r="F166" s="54"/>
      <c r="G166" s="19"/>
      <c r="H166" s="17"/>
      <c r="I166" s="19"/>
      <c r="J166" s="21"/>
      <c r="K166" s="57"/>
      <c r="L166" s="24"/>
      <c r="M166" s="25"/>
      <c r="N166" s="25"/>
      <c r="O166" s="26"/>
      <c r="P166" s="26"/>
    </row>
    <row r="167">
      <c r="A167" s="52"/>
      <c r="B167" s="15"/>
      <c r="C167" s="16"/>
      <c r="D167" s="15"/>
      <c r="E167" s="17"/>
      <c r="F167" s="54"/>
      <c r="G167" s="19"/>
      <c r="H167" s="17"/>
      <c r="I167" s="19"/>
      <c r="J167" s="21"/>
      <c r="K167" s="57"/>
      <c r="L167" s="24"/>
      <c r="M167" s="25"/>
      <c r="N167" s="25"/>
      <c r="O167" s="26"/>
      <c r="P167" s="26"/>
    </row>
    <row r="168">
      <c r="A168" s="52"/>
      <c r="B168" s="15"/>
      <c r="C168" s="16"/>
      <c r="D168" s="15"/>
      <c r="E168" s="17"/>
      <c r="F168" s="54"/>
      <c r="G168" s="19"/>
      <c r="H168" s="17"/>
      <c r="I168" s="19"/>
      <c r="J168" s="21"/>
      <c r="K168" s="57"/>
      <c r="L168" s="24"/>
      <c r="M168" s="25"/>
      <c r="N168" s="25"/>
      <c r="O168" s="26"/>
      <c r="P168" s="26"/>
    </row>
    <row r="169">
      <c r="A169" s="52"/>
      <c r="B169" s="15"/>
      <c r="C169" s="16"/>
      <c r="D169" s="15"/>
      <c r="E169" s="17"/>
      <c r="F169" s="54"/>
      <c r="G169" s="19"/>
      <c r="H169" s="17"/>
      <c r="I169" s="19"/>
      <c r="J169" s="21"/>
      <c r="K169" s="57"/>
      <c r="L169" s="24"/>
      <c r="M169" s="25"/>
      <c r="N169" s="25"/>
      <c r="O169" s="26"/>
      <c r="P169" s="26"/>
    </row>
    <row r="170">
      <c r="A170" s="52"/>
      <c r="B170" s="15"/>
      <c r="C170" s="16"/>
      <c r="D170" s="15"/>
      <c r="E170" s="17"/>
      <c r="F170" s="54"/>
      <c r="G170" s="19"/>
      <c r="H170" s="17"/>
      <c r="I170" s="19"/>
      <c r="J170" s="21"/>
      <c r="K170" s="57"/>
      <c r="L170" s="24"/>
      <c r="M170" s="25"/>
      <c r="N170" s="25"/>
      <c r="O170" s="26"/>
      <c r="P170" s="26"/>
    </row>
    <row r="171">
      <c r="A171" s="52"/>
      <c r="B171" s="15"/>
      <c r="C171" s="16"/>
      <c r="D171" s="15"/>
      <c r="E171" s="17"/>
      <c r="F171" s="54"/>
      <c r="G171" s="19"/>
      <c r="H171" s="17"/>
      <c r="I171" s="19"/>
      <c r="J171" s="21"/>
      <c r="K171" s="57"/>
      <c r="L171" s="24"/>
      <c r="M171" s="25"/>
      <c r="N171" s="25"/>
      <c r="O171" s="26"/>
      <c r="P171" s="26"/>
    </row>
    <row r="172">
      <c r="A172" s="52"/>
      <c r="B172" s="15"/>
      <c r="C172" s="16"/>
      <c r="D172" s="15"/>
      <c r="E172" s="17"/>
      <c r="F172" s="54"/>
      <c r="G172" s="19"/>
      <c r="H172" s="17"/>
      <c r="I172" s="19"/>
      <c r="J172" s="21"/>
      <c r="K172" s="57"/>
      <c r="L172" s="24"/>
      <c r="M172" s="25"/>
      <c r="N172" s="25"/>
      <c r="O172" s="26"/>
      <c r="P172" s="26"/>
    </row>
    <row r="173">
      <c r="A173" s="52"/>
      <c r="B173" s="15"/>
      <c r="C173" s="16"/>
      <c r="D173" s="15"/>
      <c r="E173" s="17"/>
      <c r="F173" s="71"/>
      <c r="G173" s="19"/>
      <c r="H173" s="17"/>
      <c r="I173" s="19"/>
      <c r="J173" s="21"/>
      <c r="K173" s="57"/>
      <c r="L173" s="24"/>
      <c r="M173" s="25"/>
      <c r="N173" s="25"/>
      <c r="O173" s="26"/>
      <c r="P173" s="26"/>
    </row>
    <row r="174">
      <c r="A174" s="52"/>
      <c r="B174" s="15"/>
      <c r="C174" s="16"/>
      <c r="D174" s="15"/>
      <c r="E174" s="17"/>
      <c r="F174" s="71"/>
      <c r="G174" s="19"/>
      <c r="H174" s="17"/>
      <c r="I174" s="19"/>
      <c r="J174" s="21"/>
      <c r="K174" s="57"/>
      <c r="L174" s="24"/>
      <c r="M174" s="25"/>
      <c r="N174" s="25"/>
      <c r="O174" s="26"/>
      <c r="P174" s="26"/>
    </row>
    <row r="175">
      <c r="A175" s="52"/>
      <c r="B175" s="15"/>
      <c r="C175" s="16"/>
      <c r="D175" s="15"/>
      <c r="E175" s="17"/>
      <c r="F175" s="54"/>
      <c r="G175" s="19"/>
      <c r="H175" s="17"/>
      <c r="I175" s="19"/>
      <c r="J175" s="21"/>
      <c r="K175" s="57"/>
      <c r="L175" s="24"/>
      <c r="M175" s="25"/>
      <c r="N175" s="25"/>
      <c r="O175" s="26"/>
      <c r="P175" s="26"/>
    </row>
    <row r="176">
      <c r="A176" s="52"/>
      <c r="B176" s="15"/>
      <c r="C176" s="16"/>
      <c r="D176" s="15"/>
      <c r="E176" s="17"/>
      <c r="F176" s="54"/>
      <c r="G176" s="19"/>
      <c r="H176" s="17"/>
      <c r="I176" s="19"/>
      <c r="J176" s="21"/>
      <c r="K176" s="57"/>
      <c r="L176" s="24"/>
      <c r="M176" s="25"/>
      <c r="N176" s="25"/>
      <c r="O176" s="26"/>
      <c r="P176" s="26"/>
    </row>
    <row r="177">
      <c r="A177" s="52"/>
      <c r="B177" s="15"/>
      <c r="C177" s="16"/>
      <c r="D177" s="15"/>
      <c r="E177" s="17"/>
      <c r="F177" s="54"/>
      <c r="G177" s="19"/>
      <c r="H177" s="17"/>
      <c r="I177" s="19"/>
      <c r="J177" s="21"/>
      <c r="K177" s="57"/>
      <c r="L177" s="24"/>
      <c r="M177" s="25"/>
      <c r="N177" s="25"/>
      <c r="O177" s="26"/>
      <c r="P177" s="26"/>
    </row>
    <row r="178">
      <c r="A178" s="52"/>
      <c r="B178" s="15"/>
      <c r="C178" s="16"/>
      <c r="D178" s="15"/>
      <c r="E178" s="17"/>
      <c r="F178" s="54"/>
      <c r="G178" s="19"/>
      <c r="H178" s="17"/>
      <c r="I178" s="19"/>
      <c r="J178" s="21"/>
      <c r="K178" s="57"/>
      <c r="L178" s="24"/>
      <c r="M178" s="25"/>
      <c r="N178" s="25"/>
      <c r="O178" s="26"/>
      <c r="P178" s="26"/>
    </row>
    <row r="179">
      <c r="A179" s="52"/>
      <c r="B179" s="15"/>
      <c r="C179" s="16"/>
      <c r="D179" s="15"/>
      <c r="E179" s="17"/>
      <c r="F179" s="54"/>
      <c r="G179" s="19"/>
      <c r="H179" s="17"/>
      <c r="I179" s="19"/>
      <c r="J179" s="21"/>
      <c r="K179" s="57"/>
      <c r="L179" s="24"/>
      <c r="M179" s="25"/>
      <c r="N179" s="25"/>
      <c r="O179" s="26"/>
      <c r="P179" s="26"/>
    </row>
    <row r="180">
      <c r="A180" s="52"/>
      <c r="B180" s="15"/>
      <c r="C180" s="16"/>
      <c r="D180" s="15"/>
      <c r="E180" s="17"/>
      <c r="F180" s="54"/>
      <c r="G180" s="19"/>
      <c r="H180" s="17"/>
      <c r="I180" s="19"/>
      <c r="J180" s="21"/>
      <c r="K180" s="57"/>
      <c r="L180" s="24"/>
      <c r="M180" s="25"/>
      <c r="N180" s="25"/>
      <c r="O180" s="26"/>
      <c r="P180" s="26"/>
    </row>
    <row r="181">
      <c r="A181" s="52"/>
      <c r="B181" s="15"/>
      <c r="C181" s="16"/>
      <c r="D181" s="15"/>
      <c r="E181" s="17"/>
      <c r="F181" s="54"/>
      <c r="G181" s="19"/>
      <c r="H181" s="17"/>
      <c r="I181" s="19"/>
      <c r="J181" s="21"/>
      <c r="K181" s="57"/>
      <c r="L181" s="24"/>
      <c r="M181" s="25"/>
      <c r="N181" s="25"/>
      <c r="O181" s="26"/>
      <c r="P181" s="26"/>
    </row>
    <row r="182">
      <c r="A182" s="52"/>
      <c r="B182" s="15"/>
      <c r="C182" s="16"/>
      <c r="D182" s="15"/>
      <c r="E182" s="17"/>
      <c r="F182" s="54"/>
      <c r="G182" s="19"/>
      <c r="H182" s="17"/>
      <c r="I182" s="19"/>
      <c r="J182" s="21"/>
      <c r="K182" s="57"/>
      <c r="L182" s="24"/>
      <c r="M182" s="25"/>
      <c r="N182" s="25"/>
      <c r="O182" s="26"/>
      <c r="P182" s="26"/>
    </row>
    <row r="183">
      <c r="A183" s="52"/>
      <c r="B183" s="15"/>
      <c r="C183" s="16"/>
      <c r="D183" s="15"/>
      <c r="E183" s="17"/>
      <c r="F183" s="54"/>
      <c r="G183" s="19"/>
      <c r="H183" s="17"/>
      <c r="I183" s="19"/>
      <c r="J183" s="21"/>
      <c r="K183" s="57"/>
      <c r="L183" s="24"/>
      <c r="M183" s="25"/>
      <c r="N183" s="25"/>
      <c r="O183" s="26"/>
      <c r="P183" s="26"/>
    </row>
    <row r="184">
      <c r="A184" s="52"/>
      <c r="B184" s="15"/>
      <c r="C184" s="16"/>
      <c r="D184" s="15"/>
      <c r="E184" s="17"/>
      <c r="F184" s="54"/>
      <c r="G184" s="19"/>
      <c r="H184" s="17"/>
      <c r="I184" s="19"/>
      <c r="J184" s="21"/>
      <c r="K184" s="57"/>
      <c r="L184" s="24"/>
      <c r="M184" s="25"/>
      <c r="N184" s="25"/>
      <c r="O184" s="26"/>
      <c r="P184" s="26"/>
    </row>
    <row r="185">
      <c r="A185" s="52"/>
      <c r="B185" s="15"/>
      <c r="C185" s="16"/>
      <c r="D185" s="15"/>
      <c r="E185" s="17"/>
      <c r="F185" s="54"/>
      <c r="G185" s="19"/>
      <c r="H185" s="17"/>
      <c r="I185" s="19"/>
      <c r="J185" s="21"/>
      <c r="K185" s="57"/>
      <c r="L185" s="24"/>
      <c r="M185" s="25"/>
      <c r="N185" s="25"/>
      <c r="O185" s="26"/>
      <c r="P185" s="26"/>
    </row>
    <row r="186">
      <c r="A186" s="62"/>
      <c r="B186" s="15"/>
      <c r="C186" s="16"/>
      <c r="D186" s="15"/>
      <c r="E186" s="17"/>
      <c r="F186" s="71"/>
      <c r="G186" s="19"/>
      <c r="H186" s="17"/>
      <c r="I186" s="19"/>
      <c r="J186" s="21"/>
      <c r="K186" s="57"/>
      <c r="L186" s="24"/>
      <c r="M186" s="25"/>
      <c r="N186" s="25"/>
      <c r="O186" s="26"/>
      <c r="P186" s="26"/>
    </row>
    <row r="187">
      <c r="A187" s="52"/>
      <c r="B187" s="15"/>
      <c r="C187" s="16"/>
      <c r="D187" s="15"/>
      <c r="E187" s="17"/>
      <c r="F187" s="54"/>
      <c r="G187" s="19"/>
      <c r="H187" s="17"/>
      <c r="I187" s="19"/>
      <c r="J187" s="21"/>
      <c r="K187" s="57"/>
      <c r="L187" s="24"/>
      <c r="M187" s="25"/>
      <c r="N187" s="25"/>
      <c r="O187" s="26"/>
      <c r="P187" s="26"/>
    </row>
    <row r="188">
      <c r="A188" s="52"/>
      <c r="B188" s="15"/>
      <c r="C188" s="16"/>
      <c r="D188" s="15"/>
      <c r="E188" s="17"/>
      <c r="F188" s="54"/>
      <c r="G188" s="19"/>
      <c r="H188" s="17"/>
      <c r="I188" s="19"/>
      <c r="J188" s="21"/>
      <c r="K188" s="57"/>
      <c r="L188" s="24"/>
      <c r="M188" s="25"/>
      <c r="N188" s="25"/>
      <c r="O188" s="26"/>
      <c r="P188" s="26"/>
    </row>
    <row r="189">
      <c r="A189" s="52"/>
      <c r="B189" s="15"/>
      <c r="C189" s="16"/>
      <c r="D189" s="15"/>
      <c r="E189" s="17"/>
      <c r="F189" s="54"/>
      <c r="G189" s="19"/>
      <c r="H189" s="17"/>
      <c r="I189" s="19"/>
      <c r="J189" s="21"/>
      <c r="K189" s="57"/>
      <c r="L189" s="24"/>
      <c r="M189" s="25"/>
      <c r="N189" s="25"/>
      <c r="O189" s="26"/>
      <c r="P189" s="26"/>
    </row>
    <row r="190">
      <c r="A190" s="52"/>
      <c r="B190" s="15"/>
      <c r="C190" s="16"/>
      <c r="D190" s="15"/>
      <c r="E190" s="17"/>
      <c r="F190" s="54"/>
      <c r="G190" s="19"/>
      <c r="H190" s="17"/>
      <c r="I190" s="19"/>
      <c r="J190" s="21"/>
      <c r="K190" s="57"/>
      <c r="L190" s="24"/>
      <c r="M190" s="25"/>
      <c r="N190" s="25"/>
      <c r="O190" s="26"/>
      <c r="P190" s="26"/>
    </row>
    <row r="191">
      <c r="A191" s="52"/>
      <c r="B191" s="15"/>
      <c r="C191" s="16"/>
      <c r="D191" s="15"/>
      <c r="E191" s="17"/>
      <c r="F191" s="54"/>
      <c r="G191" s="19"/>
      <c r="H191" s="17"/>
      <c r="I191" s="19"/>
      <c r="J191" s="21"/>
      <c r="K191" s="57"/>
      <c r="L191" s="24"/>
      <c r="M191" s="25"/>
      <c r="N191" s="25"/>
      <c r="O191" s="26"/>
      <c r="P191" s="26"/>
    </row>
    <row r="192">
      <c r="A192" s="52"/>
      <c r="B192" s="15"/>
      <c r="C192" s="16"/>
      <c r="D192" s="15"/>
      <c r="E192" s="17"/>
      <c r="F192" s="54"/>
      <c r="G192" s="19"/>
      <c r="H192" s="17"/>
      <c r="I192" s="19"/>
      <c r="J192" s="21"/>
      <c r="K192" s="57"/>
      <c r="L192" s="24"/>
      <c r="M192" s="25"/>
      <c r="N192" s="25"/>
      <c r="O192" s="26"/>
      <c r="P192" s="26"/>
    </row>
    <row r="193">
      <c r="A193" s="52"/>
      <c r="B193" s="15"/>
      <c r="C193" s="16"/>
      <c r="D193" s="15"/>
      <c r="E193" s="17"/>
      <c r="F193" s="54"/>
      <c r="G193" s="19"/>
      <c r="H193" s="17"/>
      <c r="I193" s="19"/>
      <c r="J193" s="21"/>
      <c r="K193" s="57"/>
      <c r="L193" s="24"/>
      <c r="M193" s="25"/>
      <c r="N193" s="25"/>
      <c r="O193" s="26"/>
      <c r="P193" s="26"/>
    </row>
    <row r="194">
      <c r="A194" s="52"/>
      <c r="B194" s="15"/>
      <c r="C194" s="16"/>
      <c r="D194" s="15"/>
      <c r="E194" s="17"/>
      <c r="F194" s="54"/>
      <c r="G194" s="19"/>
      <c r="H194" s="17"/>
      <c r="I194" s="19"/>
      <c r="J194" s="21"/>
      <c r="K194" s="57"/>
      <c r="L194" s="24"/>
      <c r="M194" s="25"/>
      <c r="N194" s="25"/>
      <c r="O194" s="26"/>
      <c r="P194" s="26"/>
    </row>
    <row r="195">
      <c r="A195" s="52"/>
      <c r="B195" s="15"/>
      <c r="C195" s="16"/>
      <c r="D195" s="15"/>
      <c r="E195" s="17"/>
      <c r="F195" s="18"/>
      <c r="G195" s="19"/>
      <c r="H195" s="17"/>
      <c r="I195" s="19"/>
      <c r="J195" s="21"/>
      <c r="K195" s="57"/>
      <c r="L195" s="24"/>
      <c r="M195" s="25"/>
      <c r="N195" s="25"/>
      <c r="O195" s="26"/>
      <c r="P195" s="26"/>
    </row>
    <row r="196">
      <c r="A196" s="62"/>
      <c r="B196" s="15"/>
      <c r="C196" s="16"/>
      <c r="D196" s="15"/>
      <c r="E196" s="17"/>
      <c r="F196" s="71"/>
      <c r="G196" s="19"/>
      <c r="H196" s="17"/>
      <c r="I196" s="19"/>
      <c r="J196" s="21"/>
      <c r="K196" s="57"/>
      <c r="L196" s="24"/>
      <c r="M196" s="25"/>
      <c r="N196" s="25"/>
      <c r="O196" s="26"/>
      <c r="P196" s="26"/>
    </row>
    <row r="197">
      <c r="A197" s="52"/>
      <c r="B197" s="15"/>
      <c r="C197" s="16"/>
      <c r="D197" s="15"/>
      <c r="E197" s="17"/>
      <c r="F197" s="18"/>
      <c r="G197" s="19"/>
      <c r="H197" s="17"/>
      <c r="I197" s="19"/>
      <c r="J197" s="21"/>
      <c r="K197" s="57"/>
      <c r="L197" s="24"/>
      <c r="M197" s="25"/>
      <c r="N197" s="25"/>
      <c r="O197" s="26"/>
      <c r="P197" s="26"/>
    </row>
    <row r="198">
      <c r="A198" s="52"/>
      <c r="B198" s="15"/>
      <c r="C198" s="16"/>
      <c r="D198" s="15"/>
      <c r="E198" s="17"/>
      <c r="F198" s="54"/>
      <c r="G198" s="19"/>
      <c r="H198" s="17"/>
      <c r="I198" s="19"/>
      <c r="J198" s="21"/>
      <c r="K198" s="57"/>
      <c r="L198" s="24"/>
      <c r="M198" s="25"/>
      <c r="N198" s="25"/>
      <c r="O198" s="26"/>
      <c r="P198" s="26"/>
    </row>
    <row r="199">
      <c r="A199" s="52"/>
      <c r="B199" s="15"/>
      <c r="C199" s="16"/>
      <c r="D199" s="15"/>
      <c r="E199" s="17"/>
      <c r="F199" s="54"/>
      <c r="G199" s="19"/>
      <c r="H199" s="17"/>
      <c r="I199" s="19"/>
      <c r="J199" s="21"/>
      <c r="K199" s="57"/>
      <c r="L199" s="24"/>
      <c r="M199" s="25"/>
      <c r="N199" s="25"/>
      <c r="O199" s="26"/>
      <c r="P199" s="26"/>
    </row>
    <row r="200">
      <c r="A200" s="52"/>
      <c r="B200" s="15"/>
      <c r="C200" s="16"/>
      <c r="D200" s="15"/>
      <c r="E200" s="17"/>
      <c r="F200" s="54"/>
      <c r="G200" s="19"/>
      <c r="H200" s="17"/>
      <c r="I200" s="19"/>
      <c r="J200" s="21"/>
      <c r="K200" s="57"/>
      <c r="L200" s="24"/>
      <c r="M200" s="25"/>
      <c r="N200" s="25"/>
      <c r="O200" s="26"/>
      <c r="P200" s="26"/>
    </row>
    <row r="201">
      <c r="A201" s="52"/>
      <c r="B201" s="15"/>
      <c r="C201" s="16"/>
      <c r="D201" s="15"/>
      <c r="E201" s="17"/>
      <c r="F201" s="54"/>
      <c r="G201" s="19"/>
      <c r="H201" s="17"/>
      <c r="I201" s="19"/>
      <c r="J201" s="21"/>
      <c r="K201" s="57"/>
      <c r="L201" s="24"/>
      <c r="M201" s="25"/>
      <c r="N201" s="25"/>
      <c r="O201" s="26"/>
      <c r="P201" s="26"/>
    </row>
    <row r="202">
      <c r="A202" s="52"/>
      <c r="B202" s="15"/>
      <c r="C202" s="16"/>
      <c r="D202" s="15"/>
      <c r="E202" s="17"/>
      <c r="F202" s="54"/>
      <c r="G202" s="19"/>
      <c r="H202" s="17"/>
      <c r="I202" s="19"/>
      <c r="J202" s="21"/>
      <c r="K202" s="57"/>
      <c r="L202" s="24"/>
      <c r="M202" s="25"/>
      <c r="N202" s="25"/>
      <c r="O202" s="26"/>
      <c r="P202" s="26"/>
    </row>
    <row r="203">
      <c r="A203" s="52"/>
      <c r="B203" s="15"/>
      <c r="C203" s="16"/>
      <c r="D203" s="15"/>
      <c r="E203" s="17"/>
      <c r="F203" s="54"/>
      <c r="G203" s="19"/>
      <c r="H203" s="17"/>
      <c r="I203" s="19"/>
      <c r="J203" s="21"/>
      <c r="K203" s="57"/>
      <c r="L203" s="24"/>
      <c r="M203" s="25"/>
      <c r="N203" s="25"/>
      <c r="O203" s="26"/>
      <c r="P203" s="26"/>
    </row>
    <row r="204">
      <c r="A204" s="52"/>
      <c r="B204" s="15"/>
      <c r="C204" s="16"/>
      <c r="D204" s="15"/>
      <c r="E204" s="17"/>
      <c r="F204" s="54"/>
      <c r="G204" s="19"/>
      <c r="H204" s="17"/>
      <c r="I204" s="19"/>
      <c r="J204" s="21"/>
      <c r="K204" s="57"/>
      <c r="L204" s="24"/>
      <c r="M204" s="25"/>
      <c r="N204" s="25"/>
      <c r="O204" s="26"/>
      <c r="P204" s="26"/>
    </row>
    <row r="205">
      <c r="A205" s="52"/>
      <c r="B205" s="15"/>
      <c r="C205" s="16"/>
      <c r="D205" s="15"/>
      <c r="E205" s="17"/>
      <c r="F205" s="54"/>
      <c r="G205" s="19"/>
      <c r="H205" s="17"/>
      <c r="I205" s="19"/>
      <c r="J205" s="21"/>
      <c r="K205" s="57"/>
      <c r="L205" s="24"/>
      <c r="M205" s="25"/>
      <c r="N205" s="25"/>
      <c r="O205" s="26"/>
      <c r="P205" s="26"/>
    </row>
    <row r="206">
      <c r="A206" s="52"/>
      <c r="B206" s="15"/>
      <c r="C206" s="16"/>
      <c r="D206" s="15"/>
      <c r="E206" s="17"/>
      <c r="F206" s="54"/>
      <c r="G206" s="19"/>
      <c r="H206" s="17"/>
      <c r="I206" s="19"/>
      <c r="J206" s="21"/>
      <c r="K206" s="57"/>
      <c r="L206" s="24"/>
      <c r="M206" s="25"/>
      <c r="N206" s="25"/>
      <c r="O206" s="26"/>
      <c r="P206" s="26"/>
    </row>
    <row r="207">
      <c r="A207" s="52"/>
      <c r="B207" s="15"/>
      <c r="C207" s="16"/>
      <c r="D207" s="15"/>
      <c r="E207" s="17"/>
      <c r="F207" s="54"/>
      <c r="G207" s="19"/>
      <c r="H207" s="17"/>
      <c r="I207" s="19"/>
      <c r="J207" s="21"/>
      <c r="K207" s="57"/>
      <c r="L207" s="24"/>
      <c r="M207" s="25"/>
      <c r="N207" s="25"/>
      <c r="O207" s="26"/>
      <c r="P207" s="26"/>
    </row>
    <row r="208">
      <c r="A208" s="52"/>
      <c r="B208" s="15"/>
      <c r="C208" s="16"/>
      <c r="D208" s="15"/>
      <c r="E208" s="17"/>
      <c r="F208" s="54"/>
      <c r="G208" s="19"/>
      <c r="H208" s="17"/>
      <c r="I208" s="19"/>
      <c r="J208" s="21"/>
      <c r="K208" s="57"/>
      <c r="L208" s="24"/>
      <c r="M208" s="25"/>
      <c r="N208" s="25"/>
      <c r="O208" s="26"/>
      <c r="P208" s="26"/>
    </row>
    <row r="209">
      <c r="A209" s="52"/>
      <c r="B209" s="15"/>
      <c r="C209" s="16"/>
      <c r="D209" s="15"/>
      <c r="E209" s="17"/>
      <c r="F209" s="54"/>
      <c r="G209" s="19"/>
      <c r="H209" s="17"/>
      <c r="I209" s="19"/>
      <c r="J209" s="21"/>
      <c r="K209" s="57"/>
      <c r="L209" s="24"/>
      <c r="M209" s="25"/>
      <c r="N209" s="25"/>
      <c r="O209" s="26"/>
      <c r="P209" s="26"/>
    </row>
    <row r="210">
      <c r="A210" s="52"/>
      <c r="B210" s="15"/>
      <c r="C210" s="16"/>
      <c r="D210" s="15"/>
      <c r="E210" s="17"/>
      <c r="F210" s="54"/>
      <c r="G210" s="19"/>
      <c r="H210" s="17"/>
      <c r="I210" s="19"/>
      <c r="J210" s="21"/>
      <c r="K210" s="57"/>
      <c r="L210" s="24"/>
      <c r="M210" s="25"/>
      <c r="N210" s="25"/>
      <c r="O210" s="26"/>
      <c r="P210" s="26"/>
    </row>
    <row r="211">
      <c r="A211" s="52"/>
      <c r="B211" s="15"/>
      <c r="C211" s="16"/>
      <c r="D211" s="15"/>
      <c r="E211" s="17"/>
      <c r="F211" s="54"/>
      <c r="G211" s="19"/>
      <c r="H211" s="17"/>
      <c r="I211" s="19"/>
      <c r="J211" s="21"/>
      <c r="K211" s="57"/>
      <c r="L211" s="24"/>
      <c r="M211" s="25"/>
      <c r="N211" s="25"/>
      <c r="O211" s="26"/>
      <c r="P211" s="26"/>
    </row>
    <row r="212">
      <c r="A212" s="52"/>
      <c r="B212" s="15"/>
      <c r="C212" s="16"/>
      <c r="D212" s="15"/>
      <c r="E212" s="17"/>
      <c r="F212" s="54"/>
      <c r="G212" s="19"/>
      <c r="H212" s="17"/>
      <c r="I212" s="19"/>
      <c r="J212" s="21"/>
      <c r="K212" s="57"/>
      <c r="L212" s="24"/>
      <c r="M212" s="25"/>
      <c r="N212" s="25"/>
      <c r="O212" s="26"/>
      <c r="P212" s="26"/>
    </row>
    <row r="213">
      <c r="A213" s="52"/>
      <c r="B213" s="15"/>
      <c r="C213" s="16"/>
      <c r="D213" s="15"/>
      <c r="E213" s="17"/>
      <c r="F213" s="54"/>
      <c r="G213" s="19"/>
      <c r="H213" s="17"/>
      <c r="I213" s="19"/>
      <c r="J213" s="21"/>
      <c r="K213" s="57"/>
      <c r="L213" s="24"/>
      <c r="M213" s="25"/>
      <c r="N213" s="25"/>
      <c r="O213" s="26"/>
      <c r="P213" s="26"/>
    </row>
    <row r="214">
      <c r="A214" s="52"/>
      <c r="B214" s="15"/>
      <c r="C214" s="16"/>
      <c r="D214" s="15"/>
      <c r="E214" s="17"/>
      <c r="F214" s="54"/>
      <c r="G214" s="19"/>
      <c r="H214" s="17"/>
      <c r="I214" s="19"/>
      <c r="J214" s="21"/>
      <c r="K214" s="57"/>
      <c r="L214" s="24"/>
      <c r="M214" s="25"/>
      <c r="N214" s="25"/>
      <c r="O214" s="26"/>
      <c r="P214" s="26"/>
    </row>
    <row r="215">
      <c r="A215" s="52"/>
      <c r="B215" s="15"/>
      <c r="C215" s="16"/>
      <c r="D215" s="15"/>
      <c r="E215" s="17"/>
      <c r="F215" s="54"/>
      <c r="G215" s="19"/>
      <c r="H215" s="17"/>
      <c r="I215" s="19"/>
      <c r="J215" s="21"/>
      <c r="K215" s="57"/>
      <c r="L215" s="24"/>
      <c r="M215" s="25"/>
      <c r="N215" s="25"/>
      <c r="O215" s="26"/>
      <c r="P215" s="26"/>
    </row>
    <row r="216">
      <c r="A216" s="52"/>
      <c r="B216" s="15"/>
      <c r="C216" s="16"/>
      <c r="D216" s="15"/>
      <c r="E216" s="17"/>
      <c r="F216" s="54"/>
      <c r="G216" s="19"/>
      <c r="H216" s="17"/>
      <c r="I216" s="19"/>
      <c r="J216" s="21"/>
      <c r="K216" s="57"/>
      <c r="L216" s="24"/>
      <c r="M216" s="25"/>
      <c r="N216" s="25"/>
      <c r="O216" s="26"/>
      <c r="P216" s="26"/>
    </row>
    <row r="217">
      <c r="A217" s="52"/>
      <c r="B217" s="15"/>
      <c r="C217" s="16"/>
      <c r="D217" s="15"/>
      <c r="E217" s="17"/>
      <c r="F217" s="54"/>
      <c r="G217" s="19"/>
      <c r="H217" s="17"/>
      <c r="I217" s="19"/>
      <c r="J217" s="21"/>
      <c r="K217" s="57"/>
      <c r="L217" s="24"/>
      <c r="M217" s="25"/>
      <c r="N217" s="25"/>
      <c r="O217" s="26"/>
      <c r="P217" s="26"/>
    </row>
    <row r="218">
      <c r="A218" s="52"/>
      <c r="B218" s="15"/>
      <c r="C218" s="16"/>
      <c r="D218" s="15"/>
      <c r="E218" s="17"/>
      <c r="F218" s="54"/>
      <c r="G218" s="19"/>
      <c r="H218" s="17"/>
      <c r="I218" s="19"/>
      <c r="J218" s="21"/>
      <c r="K218" s="57"/>
      <c r="L218" s="24"/>
      <c r="M218" s="25"/>
      <c r="N218" s="25"/>
      <c r="O218" s="26"/>
      <c r="P218" s="26"/>
    </row>
    <row r="219">
      <c r="A219" s="52"/>
      <c r="B219" s="15"/>
      <c r="C219" s="16"/>
      <c r="D219" s="15"/>
      <c r="E219" s="17"/>
      <c r="F219" s="54"/>
      <c r="G219" s="19"/>
      <c r="H219" s="17"/>
      <c r="I219" s="19"/>
      <c r="J219" s="21"/>
      <c r="K219" s="57"/>
      <c r="L219" s="24"/>
      <c r="M219" s="25"/>
      <c r="N219" s="25"/>
      <c r="O219" s="26"/>
      <c r="P219" s="26"/>
    </row>
    <row r="220">
      <c r="A220" s="52"/>
      <c r="B220" s="15"/>
      <c r="C220" s="16"/>
      <c r="D220" s="15"/>
      <c r="E220" s="17"/>
      <c r="F220" s="54"/>
      <c r="G220" s="19"/>
      <c r="H220" s="17"/>
      <c r="I220" s="19"/>
      <c r="J220" s="21"/>
      <c r="K220" s="57"/>
      <c r="L220" s="24"/>
      <c r="M220" s="25"/>
      <c r="N220" s="25"/>
      <c r="O220" s="26"/>
      <c r="P220" s="26"/>
    </row>
    <row r="221">
      <c r="A221" s="52"/>
      <c r="B221" s="15"/>
      <c r="C221" s="16"/>
      <c r="D221" s="15"/>
      <c r="E221" s="17"/>
      <c r="F221" s="54"/>
      <c r="G221" s="19"/>
      <c r="H221" s="17"/>
      <c r="I221" s="19"/>
      <c r="J221" s="21"/>
      <c r="K221" s="57"/>
      <c r="L221" s="24"/>
      <c r="M221" s="25"/>
      <c r="N221" s="25"/>
      <c r="O221" s="26"/>
      <c r="P221" s="26"/>
    </row>
    <row r="222">
      <c r="A222" s="52"/>
      <c r="B222" s="15"/>
      <c r="C222" s="16"/>
      <c r="D222" s="15"/>
      <c r="E222" s="17"/>
      <c r="F222" s="54"/>
      <c r="G222" s="19"/>
      <c r="H222" s="17"/>
      <c r="I222" s="19"/>
      <c r="J222" s="21"/>
      <c r="K222" s="57"/>
      <c r="L222" s="24"/>
      <c r="M222" s="25"/>
      <c r="N222" s="25"/>
      <c r="O222" s="26"/>
      <c r="P222" s="26"/>
    </row>
    <row r="223">
      <c r="A223" s="52"/>
      <c r="B223" s="15"/>
      <c r="C223" s="16"/>
      <c r="D223" s="15"/>
      <c r="E223" s="17"/>
      <c r="F223" s="54"/>
      <c r="G223" s="19"/>
      <c r="H223" s="17"/>
      <c r="I223" s="19"/>
      <c r="J223" s="21"/>
      <c r="K223" s="57"/>
      <c r="L223" s="24"/>
      <c r="M223" s="25"/>
      <c r="N223" s="25"/>
      <c r="O223" s="26"/>
      <c r="P223" s="26"/>
    </row>
    <row r="224">
      <c r="A224" s="52"/>
      <c r="B224" s="15"/>
      <c r="C224" s="16"/>
      <c r="D224" s="15"/>
      <c r="E224" s="17"/>
      <c r="F224" s="54"/>
      <c r="G224" s="19"/>
      <c r="H224" s="17"/>
      <c r="I224" s="19"/>
      <c r="J224" s="21"/>
      <c r="K224" s="57"/>
      <c r="L224" s="24"/>
      <c r="M224" s="25"/>
      <c r="N224" s="25"/>
      <c r="O224" s="26"/>
      <c r="P224" s="26"/>
    </row>
    <row r="225">
      <c r="A225" s="52"/>
      <c r="B225" s="15"/>
      <c r="C225" s="16"/>
      <c r="D225" s="15"/>
      <c r="E225" s="17"/>
      <c r="F225" s="54"/>
      <c r="G225" s="19"/>
      <c r="H225" s="17"/>
      <c r="I225" s="19"/>
      <c r="J225" s="21"/>
      <c r="K225" s="57"/>
      <c r="L225" s="24"/>
      <c r="M225" s="25"/>
      <c r="N225" s="25"/>
      <c r="O225" s="26"/>
      <c r="P225" s="26"/>
    </row>
    <row r="226">
      <c r="A226" s="52"/>
      <c r="B226" s="15"/>
      <c r="C226" s="16"/>
      <c r="D226" s="15"/>
      <c r="E226" s="17"/>
      <c r="F226" s="18"/>
      <c r="G226" s="19"/>
      <c r="H226" s="17"/>
      <c r="I226" s="19"/>
      <c r="J226" s="21"/>
      <c r="K226" s="57"/>
      <c r="L226" s="24"/>
      <c r="M226" s="25"/>
      <c r="N226" s="25"/>
      <c r="O226" s="26"/>
      <c r="P226" s="26"/>
    </row>
    <row r="227">
      <c r="A227" s="52"/>
      <c r="B227" s="15"/>
      <c r="C227" s="16"/>
      <c r="D227" s="15"/>
      <c r="E227" s="17"/>
      <c r="F227" s="54"/>
      <c r="G227" s="19"/>
      <c r="H227" s="17"/>
      <c r="I227" s="19"/>
      <c r="J227" s="21"/>
      <c r="K227" s="57"/>
      <c r="L227" s="24"/>
      <c r="M227" s="25"/>
      <c r="N227" s="25"/>
      <c r="O227" s="26"/>
      <c r="P227" s="26"/>
    </row>
    <row r="228">
      <c r="A228" s="52"/>
      <c r="B228" s="15"/>
      <c r="C228" s="16"/>
      <c r="D228" s="15"/>
      <c r="E228" s="17"/>
      <c r="F228" s="54"/>
      <c r="G228" s="19"/>
      <c r="H228" s="17"/>
      <c r="I228" s="19"/>
      <c r="J228" s="21"/>
      <c r="K228" s="57"/>
      <c r="L228" s="24"/>
      <c r="M228" s="25"/>
      <c r="N228" s="25"/>
      <c r="O228" s="26"/>
      <c r="P228" s="26"/>
    </row>
    <row r="229">
      <c r="A229" s="52"/>
      <c r="B229" s="15"/>
      <c r="C229" s="16"/>
      <c r="D229" s="15"/>
      <c r="E229" s="17"/>
      <c r="F229" s="54"/>
      <c r="G229" s="19"/>
      <c r="H229" s="17"/>
      <c r="I229" s="19"/>
      <c r="J229" s="21"/>
      <c r="K229" s="57"/>
      <c r="L229" s="24"/>
      <c r="M229" s="25"/>
      <c r="N229" s="25"/>
      <c r="O229" s="26"/>
      <c r="P229" s="26"/>
    </row>
    <row r="230">
      <c r="A230" s="52"/>
      <c r="B230" s="15"/>
      <c r="C230" s="16"/>
      <c r="D230" s="15"/>
      <c r="E230" s="17"/>
      <c r="F230" s="54"/>
      <c r="G230" s="19"/>
      <c r="H230" s="17"/>
      <c r="I230" s="19"/>
      <c r="J230" s="21"/>
      <c r="K230" s="57"/>
      <c r="L230" s="24"/>
      <c r="M230" s="25"/>
      <c r="N230" s="25"/>
      <c r="O230" s="26"/>
      <c r="P230" s="26"/>
    </row>
    <row r="231">
      <c r="A231" s="52"/>
      <c r="B231" s="15"/>
      <c r="C231" s="16"/>
      <c r="D231" s="15"/>
      <c r="E231" s="17"/>
      <c r="F231" s="54"/>
      <c r="G231" s="19"/>
      <c r="H231" s="17"/>
      <c r="I231" s="19"/>
      <c r="J231" s="21"/>
      <c r="K231" s="57"/>
      <c r="L231" s="24"/>
      <c r="M231" s="25"/>
      <c r="N231" s="25"/>
      <c r="O231" s="26"/>
      <c r="P231" s="26"/>
    </row>
    <row r="232">
      <c r="A232" s="52"/>
      <c r="B232" s="15"/>
      <c r="C232" s="16"/>
      <c r="D232" s="15"/>
      <c r="E232" s="17"/>
      <c r="F232" s="54"/>
      <c r="G232" s="19"/>
      <c r="H232" s="17"/>
      <c r="I232" s="19"/>
      <c r="J232" s="21"/>
      <c r="K232" s="57"/>
      <c r="L232" s="24"/>
      <c r="M232" s="25"/>
      <c r="N232" s="25"/>
      <c r="O232" s="26"/>
      <c r="P232" s="26"/>
    </row>
    <row r="233">
      <c r="A233" s="52"/>
      <c r="B233" s="15"/>
      <c r="C233" s="16"/>
      <c r="D233" s="15"/>
      <c r="E233" s="17"/>
      <c r="F233" s="54"/>
      <c r="G233" s="19"/>
      <c r="H233" s="17"/>
      <c r="I233" s="19"/>
      <c r="J233" s="21"/>
      <c r="K233" s="57"/>
      <c r="L233" s="24"/>
      <c r="M233" s="25"/>
      <c r="N233" s="25"/>
      <c r="O233" s="26"/>
      <c r="P233" s="26"/>
    </row>
    <row r="234">
      <c r="A234" s="52"/>
      <c r="B234" s="15"/>
      <c r="C234" s="16"/>
      <c r="D234" s="15"/>
      <c r="E234" s="17"/>
      <c r="F234" s="54"/>
      <c r="G234" s="19"/>
      <c r="H234" s="17"/>
      <c r="I234" s="19"/>
      <c r="J234" s="21"/>
      <c r="K234" s="57"/>
      <c r="L234" s="24"/>
      <c r="M234" s="25"/>
      <c r="N234" s="25"/>
      <c r="O234" s="26"/>
      <c r="P234" s="26"/>
    </row>
    <row r="235">
      <c r="A235" s="52"/>
      <c r="B235" s="15"/>
      <c r="C235" s="16"/>
      <c r="D235" s="15"/>
      <c r="E235" s="17"/>
      <c r="F235" s="54"/>
      <c r="G235" s="19"/>
      <c r="H235" s="17"/>
      <c r="I235" s="19"/>
      <c r="J235" s="21"/>
      <c r="K235" s="57"/>
      <c r="L235" s="24"/>
      <c r="M235" s="25"/>
      <c r="N235" s="25"/>
      <c r="O235" s="26"/>
      <c r="P235" s="26"/>
    </row>
    <row r="236">
      <c r="A236" s="52"/>
      <c r="B236" s="15"/>
      <c r="C236" s="16"/>
      <c r="D236" s="15"/>
      <c r="E236" s="17"/>
      <c r="F236" s="54"/>
      <c r="G236" s="19"/>
      <c r="H236" s="17"/>
      <c r="I236" s="19"/>
      <c r="J236" s="21"/>
      <c r="K236" s="57"/>
      <c r="L236" s="24"/>
      <c r="M236" s="25"/>
      <c r="N236" s="25"/>
      <c r="O236" s="26"/>
      <c r="P236" s="26"/>
    </row>
    <row r="237">
      <c r="A237" s="52"/>
      <c r="B237" s="15"/>
      <c r="C237" s="16"/>
      <c r="D237" s="15"/>
      <c r="E237" s="17"/>
      <c r="F237" s="54"/>
      <c r="G237" s="19"/>
      <c r="H237" s="17"/>
      <c r="I237" s="19"/>
      <c r="J237" s="21"/>
      <c r="K237" s="57"/>
      <c r="L237" s="24"/>
      <c r="M237" s="25"/>
      <c r="N237" s="25"/>
      <c r="O237" s="26"/>
      <c r="P237" s="26"/>
    </row>
    <row r="238">
      <c r="A238" s="52"/>
      <c r="B238" s="15"/>
      <c r="C238" s="16"/>
      <c r="D238" s="15"/>
      <c r="E238" s="17"/>
      <c r="F238" s="54"/>
      <c r="G238" s="19"/>
      <c r="H238" s="17"/>
      <c r="I238" s="19"/>
      <c r="J238" s="21"/>
      <c r="K238" s="57"/>
      <c r="L238" s="24"/>
      <c r="M238" s="25"/>
      <c r="N238" s="25"/>
      <c r="O238" s="26"/>
      <c r="P238" s="26"/>
    </row>
    <row r="239">
      <c r="A239" s="52"/>
      <c r="B239" s="15"/>
      <c r="C239" s="16"/>
      <c r="D239" s="15"/>
      <c r="E239" s="17"/>
      <c r="F239" s="54"/>
      <c r="G239" s="19"/>
      <c r="H239" s="17"/>
      <c r="I239" s="19"/>
      <c r="J239" s="21"/>
      <c r="K239" s="57"/>
      <c r="L239" s="24"/>
      <c r="M239" s="25"/>
      <c r="N239" s="25"/>
      <c r="O239" s="26"/>
      <c r="P239" s="26"/>
    </row>
    <row r="240">
      <c r="A240" s="52"/>
      <c r="B240" s="15"/>
      <c r="C240" s="16"/>
      <c r="D240" s="15"/>
      <c r="E240" s="17"/>
      <c r="F240" s="54"/>
      <c r="G240" s="19"/>
      <c r="H240" s="17"/>
      <c r="I240" s="19"/>
      <c r="J240" s="21"/>
      <c r="K240" s="57"/>
      <c r="L240" s="24"/>
      <c r="M240" s="25"/>
      <c r="N240" s="25"/>
      <c r="O240" s="26"/>
      <c r="P240" s="26"/>
    </row>
    <row r="241">
      <c r="A241" s="52"/>
      <c r="B241" s="15"/>
      <c r="C241" s="16"/>
      <c r="D241" s="15"/>
      <c r="E241" s="17"/>
      <c r="F241" s="54"/>
      <c r="G241" s="19"/>
      <c r="H241" s="17"/>
      <c r="I241" s="19"/>
      <c r="J241" s="21"/>
      <c r="K241" s="57"/>
      <c r="L241" s="24"/>
      <c r="M241" s="25"/>
      <c r="N241" s="25"/>
      <c r="O241" s="26"/>
      <c r="P241" s="26"/>
    </row>
    <row r="242">
      <c r="A242" s="62"/>
      <c r="B242" s="15"/>
      <c r="C242" s="16"/>
      <c r="D242" s="15"/>
      <c r="E242" s="17"/>
      <c r="F242" s="71"/>
      <c r="G242" s="19"/>
      <c r="H242" s="17"/>
      <c r="I242" s="19"/>
      <c r="J242" s="21"/>
      <c r="K242" s="57"/>
      <c r="L242" s="24"/>
      <c r="M242" s="25"/>
      <c r="N242" s="25"/>
      <c r="O242" s="26"/>
      <c r="P242" s="26"/>
    </row>
    <row r="243">
      <c r="A243" s="52"/>
      <c r="B243" s="15"/>
      <c r="C243" s="16"/>
      <c r="D243" s="15"/>
      <c r="E243" s="17"/>
      <c r="F243" s="54"/>
      <c r="G243" s="19"/>
      <c r="H243" s="17"/>
      <c r="I243" s="19"/>
      <c r="J243" s="21"/>
      <c r="K243" s="57"/>
      <c r="L243" s="24"/>
      <c r="M243" s="25"/>
      <c r="N243" s="25"/>
      <c r="O243" s="26"/>
      <c r="P243" s="26"/>
    </row>
    <row r="244">
      <c r="A244" s="52"/>
      <c r="B244" s="15"/>
      <c r="C244" s="16"/>
      <c r="D244" s="15"/>
      <c r="E244" s="17"/>
      <c r="F244" s="54"/>
      <c r="G244" s="19"/>
      <c r="H244" s="17"/>
      <c r="I244" s="19"/>
      <c r="J244" s="21"/>
      <c r="K244" s="57"/>
      <c r="L244" s="24"/>
      <c r="M244" s="25"/>
      <c r="N244" s="25"/>
      <c r="O244" s="26"/>
      <c r="P244" s="26"/>
    </row>
    <row r="245">
      <c r="A245" s="52"/>
      <c r="B245" s="15"/>
      <c r="C245" s="16"/>
      <c r="D245" s="15"/>
      <c r="E245" s="17"/>
      <c r="F245" s="54"/>
      <c r="G245" s="19"/>
      <c r="H245" s="17"/>
      <c r="I245" s="19"/>
      <c r="J245" s="21"/>
      <c r="K245" s="57"/>
      <c r="L245" s="24"/>
      <c r="M245" s="25"/>
      <c r="N245" s="25"/>
      <c r="O245" s="26"/>
      <c r="P245" s="26"/>
    </row>
    <row r="246">
      <c r="A246" s="52"/>
      <c r="B246" s="15"/>
      <c r="C246" s="16"/>
      <c r="D246" s="15"/>
      <c r="E246" s="17"/>
      <c r="F246" s="54"/>
      <c r="G246" s="19"/>
      <c r="H246" s="17"/>
      <c r="I246" s="19"/>
      <c r="J246" s="21"/>
      <c r="K246" s="57"/>
      <c r="L246" s="24"/>
      <c r="M246" s="25"/>
      <c r="N246" s="25"/>
      <c r="O246" s="26"/>
      <c r="P246" s="26"/>
    </row>
    <row r="247">
      <c r="A247" s="52"/>
      <c r="B247" s="15"/>
      <c r="C247" s="16"/>
      <c r="D247" s="15"/>
      <c r="E247" s="17"/>
      <c r="F247" s="54"/>
      <c r="G247" s="19"/>
      <c r="H247" s="17"/>
      <c r="I247" s="19"/>
      <c r="J247" s="21"/>
      <c r="K247" s="57"/>
      <c r="L247" s="24"/>
      <c r="M247" s="25"/>
      <c r="N247" s="25"/>
      <c r="O247" s="26"/>
      <c r="P247" s="26"/>
    </row>
    <row r="248">
      <c r="A248" s="52"/>
      <c r="B248" s="15"/>
      <c r="C248" s="16"/>
      <c r="D248" s="15"/>
      <c r="E248" s="17"/>
      <c r="F248" s="54"/>
      <c r="G248" s="19"/>
      <c r="H248" s="17"/>
      <c r="I248" s="19"/>
      <c r="J248" s="21"/>
      <c r="K248" s="57"/>
      <c r="L248" s="24"/>
      <c r="M248" s="25"/>
      <c r="N248" s="25"/>
      <c r="O248" s="26"/>
      <c r="P248" s="26"/>
    </row>
    <row r="249">
      <c r="A249" s="52"/>
      <c r="B249" s="15"/>
      <c r="C249" s="16"/>
      <c r="D249" s="15"/>
      <c r="E249" s="17"/>
      <c r="F249" s="18"/>
      <c r="G249" s="19"/>
      <c r="H249" s="17"/>
      <c r="I249" s="19"/>
      <c r="J249" s="21"/>
      <c r="K249" s="57"/>
      <c r="L249" s="24"/>
      <c r="M249" s="25"/>
      <c r="N249" s="25"/>
      <c r="O249" s="26"/>
      <c r="P249" s="26"/>
    </row>
    <row r="250">
      <c r="A250" s="52"/>
      <c r="B250" s="15"/>
      <c r="C250" s="16"/>
      <c r="D250" s="15"/>
      <c r="E250" s="17"/>
      <c r="F250" s="54"/>
      <c r="G250" s="19"/>
      <c r="H250" s="17"/>
      <c r="I250" s="19"/>
      <c r="J250" s="21"/>
      <c r="K250" s="57"/>
      <c r="L250" s="24"/>
      <c r="M250" s="25"/>
      <c r="N250" s="25"/>
      <c r="O250" s="26"/>
      <c r="P250" s="26"/>
    </row>
    <row r="251">
      <c r="A251" s="52"/>
      <c r="B251" s="15"/>
      <c r="C251" s="16"/>
      <c r="D251" s="15"/>
      <c r="E251" s="17"/>
      <c r="F251" s="54"/>
      <c r="G251" s="19"/>
      <c r="H251" s="17"/>
      <c r="I251" s="19"/>
      <c r="J251" s="21"/>
      <c r="K251" s="57"/>
      <c r="L251" s="24"/>
      <c r="M251" s="25"/>
      <c r="N251" s="25"/>
      <c r="O251" s="26"/>
      <c r="P251" s="26"/>
    </row>
    <row r="252">
      <c r="A252" s="52"/>
      <c r="B252" s="15"/>
      <c r="C252" s="16"/>
      <c r="D252" s="15"/>
      <c r="E252" s="17"/>
      <c r="F252" s="54"/>
      <c r="G252" s="19"/>
      <c r="H252" s="17"/>
      <c r="I252" s="19"/>
      <c r="J252" s="21"/>
      <c r="K252" s="57"/>
      <c r="L252" s="24"/>
      <c r="M252" s="25"/>
      <c r="N252" s="25"/>
      <c r="O252" s="26"/>
      <c r="P252" s="26"/>
    </row>
    <row r="253">
      <c r="A253" s="52"/>
      <c r="B253" s="15"/>
      <c r="C253" s="16"/>
      <c r="D253" s="15"/>
      <c r="E253" s="17"/>
      <c r="F253" s="54"/>
      <c r="G253" s="19"/>
      <c r="H253" s="17"/>
      <c r="I253" s="19"/>
      <c r="J253" s="21"/>
      <c r="K253" s="57"/>
      <c r="L253" s="24"/>
      <c r="M253" s="25"/>
      <c r="N253" s="25"/>
      <c r="O253" s="26"/>
      <c r="P253" s="26"/>
    </row>
    <row r="254">
      <c r="A254" s="52"/>
      <c r="B254" s="15"/>
      <c r="C254" s="16"/>
      <c r="D254" s="15"/>
      <c r="E254" s="17"/>
      <c r="F254" s="54"/>
      <c r="G254" s="19"/>
      <c r="H254" s="17"/>
      <c r="I254" s="19"/>
      <c r="J254" s="21"/>
      <c r="K254" s="57"/>
      <c r="L254" s="24"/>
      <c r="M254" s="25"/>
      <c r="N254" s="25"/>
      <c r="O254" s="26"/>
      <c r="P254" s="26"/>
    </row>
    <row r="255">
      <c r="A255" s="52"/>
      <c r="B255" s="15"/>
      <c r="C255" s="16"/>
      <c r="D255" s="15"/>
      <c r="E255" s="17"/>
      <c r="F255" s="54"/>
      <c r="G255" s="19"/>
      <c r="H255" s="17"/>
      <c r="I255" s="19"/>
      <c r="J255" s="21"/>
      <c r="K255" s="57"/>
      <c r="L255" s="24"/>
      <c r="M255" s="25"/>
      <c r="N255" s="25"/>
      <c r="O255" s="26"/>
      <c r="P255" s="26"/>
    </row>
    <row r="256">
      <c r="A256" s="52"/>
      <c r="B256" s="15"/>
      <c r="C256" s="16"/>
      <c r="D256" s="15"/>
      <c r="E256" s="17"/>
      <c r="F256" s="54"/>
      <c r="G256" s="19"/>
      <c r="H256" s="17"/>
      <c r="I256" s="19"/>
      <c r="J256" s="21"/>
      <c r="K256" s="57"/>
      <c r="L256" s="24"/>
      <c r="M256" s="25"/>
      <c r="N256" s="25"/>
      <c r="O256" s="26"/>
      <c r="P256" s="26"/>
    </row>
    <row r="257">
      <c r="A257" s="52"/>
      <c r="B257" s="15"/>
      <c r="C257" s="16"/>
      <c r="D257" s="15"/>
      <c r="E257" s="17"/>
      <c r="F257" s="54"/>
      <c r="G257" s="19"/>
      <c r="H257" s="17"/>
      <c r="I257" s="19"/>
      <c r="J257" s="21"/>
      <c r="K257" s="57"/>
      <c r="L257" s="24"/>
      <c r="M257" s="25"/>
      <c r="N257" s="25"/>
      <c r="O257" s="26"/>
      <c r="P257" s="26"/>
    </row>
    <row r="258">
      <c r="A258" s="52"/>
      <c r="B258" s="15"/>
      <c r="C258" s="16"/>
      <c r="D258" s="15"/>
      <c r="E258" s="17"/>
      <c r="F258" s="54"/>
      <c r="G258" s="19"/>
      <c r="H258" s="17"/>
      <c r="I258" s="19"/>
      <c r="J258" s="21"/>
      <c r="K258" s="57"/>
      <c r="L258" s="24"/>
      <c r="M258" s="25"/>
      <c r="N258" s="25"/>
      <c r="O258" s="26"/>
      <c r="P258" s="26"/>
    </row>
    <row r="259">
      <c r="A259" s="52"/>
      <c r="B259" s="15"/>
      <c r="C259" s="16"/>
      <c r="D259" s="15"/>
      <c r="E259" s="17"/>
      <c r="F259" s="54"/>
      <c r="G259" s="19"/>
      <c r="H259" s="17"/>
      <c r="I259" s="19"/>
      <c r="J259" s="21"/>
      <c r="K259" s="57"/>
      <c r="L259" s="24"/>
      <c r="M259" s="25"/>
      <c r="N259" s="25"/>
      <c r="O259" s="26"/>
      <c r="P259" s="26"/>
    </row>
    <row r="260">
      <c r="A260" s="52"/>
      <c r="B260" s="15"/>
      <c r="C260" s="16"/>
      <c r="D260" s="15"/>
      <c r="E260" s="17"/>
      <c r="F260" s="54"/>
      <c r="G260" s="19"/>
      <c r="H260" s="17"/>
      <c r="I260" s="19"/>
      <c r="J260" s="21"/>
      <c r="K260" s="57"/>
      <c r="L260" s="24"/>
      <c r="M260" s="25"/>
      <c r="N260" s="25"/>
      <c r="O260" s="26"/>
      <c r="P260" s="26"/>
    </row>
    <row r="261">
      <c r="A261" s="52"/>
      <c r="B261" s="15"/>
      <c r="C261" s="16"/>
      <c r="D261" s="15"/>
      <c r="E261" s="17"/>
      <c r="F261" s="54"/>
      <c r="G261" s="19"/>
      <c r="H261" s="17"/>
      <c r="I261" s="19"/>
      <c r="J261" s="21"/>
      <c r="K261" s="57"/>
      <c r="L261" s="24"/>
      <c r="M261" s="72"/>
      <c r="N261" s="72"/>
      <c r="O261" s="73"/>
      <c r="P261" s="73"/>
    </row>
    <row r="262">
      <c r="A262" s="52"/>
      <c r="B262" s="15"/>
      <c r="C262" s="16"/>
      <c r="D262" s="15"/>
      <c r="E262" s="17"/>
      <c r="F262" s="74"/>
      <c r="G262" s="19"/>
      <c r="H262" s="17"/>
      <c r="I262" s="19"/>
      <c r="J262" s="21"/>
      <c r="K262" s="57"/>
      <c r="L262" s="24"/>
      <c r="M262" s="25"/>
      <c r="N262" s="25"/>
      <c r="O262" s="26"/>
      <c r="P262" s="26"/>
    </row>
    <row r="263">
      <c r="A263" s="52"/>
      <c r="B263" s="15"/>
      <c r="C263" s="16"/>
      <c r="D263" s="15"/>
      <c r="E263" s="17"/>
      <c r="F263" s="54"/>
      <c r="G263" s="19"/>
      <c r="H263" s="17"/>
      <c r="I263" s="19"/>
      <c r="J263" s="21"/>
      <c r="K263" s="57"/>
      <c r="L263" s="24"/>
      <c r="M263" s="25"/>
      <c r="N263" s="25"/>
      <c r="O263" s="26"/>
      <c r="P263" s="26"/>
    </row>
    <row r="264">
      <c r="A264" s="52"/>
      <c r="B264" s="15"/>
      <c r="C264" s="16"/>
      <c r="D264" s="15"/>
      <c r="E264" s="17"/>
      <c r="F264" s="54"/>
      <c r="G264" s="19"/>
      <c r="H264" s="17"/>
      <c r="I264" s="19"/>
      <c r="J264" s="21"/>
      <c r="K264" s="57"/>
      <c r="L264" s="24"/>
      <c r="M264" s="25"/>
      <c r="N264" s="25"/>
      <c r="O264" s="26"/>
      <c r="P264" s="26"/>
    </row>
    <row r="265">
      <c r="A265" s="52"/>
      <c r="B265" s="15"/>
      <c r="C265" s="16"/>
      <c r="D265" s="15"/>
      <c r="E265" s="17"/>
      <c r="F265" s="54"/>
      <c r="G265" s="19"/>
      <c r="H265" s="17"/>
      <c r="I265" s="19"/>
      <c r="J265" s="21"/>
      <c r="K265" s="57"/>
      <c r="L265" s="24"/>
      <c r="M265" s="25"/>
      <c r="N265" s="25"/>
      <c r="O265" s="26"/>
      <c r="P265" s="26"/>
    </row>
    <row r="266">
      <c r="A266" s="52"/>
      <c r="B266" s="15"/>
      <c r="C266" s="16"/>
      <c r="D266" s="15"/>
      <c r="E266" s="17"/>
      <c r="F266" s="54"/>
      <c r="G266" s="19"/>
      <c r="H266" s="17"/>
      <c r="I266" s="19"/>
      <c r="J266" s="21"/>
      <c r="K266" s="57"/>
      <c r="L266" s="24"/>
      <c r="M266" s="25"/>
      <c r="N266" s="25"/>
      <c r="O266" s="26"/>
      <c r="P266" s="26"/>
    </row>
    <row r="267">
      <c r="A267" s="52"/>
      <c r="B267" s="15"/>
      <c r="C267" s="16"/>
      <c r="D267" s="15"/>
      <c r="E267" s="17"/>
      <c r="F267" s="54"/>
      <c r="G267" s="19"/>
      <c r="H267" s="17"/>
      <c r="I267" s="19"/>
      <c r="J267" s="21"/>
      <c r="K267" s="57"/>
      <c r="L267" s="24"/>
      <c r="M267" s="25"/>
      <c r="N267" s="25"/>
      <c r="O267" s="26"/>
      <c r="P267" s="26"/>
    </row>
    <row r="268">
      <c r="A268" s="52"/>
      <c r="B268" s="15"/>
      <c r="C268" s="16"/>
      <c r="D268" s="15"/>
      <c r="E268" s="17"/>
      <c r="F268" s="54"/>
      <c r="G268" s="19"/>
      <c r="H268" s="17"/>
      <c r="I268" s="19"/>
      <c r="J268" s="21"/>
      <c r="K268" s="57"/>
      <c r="L268" s="24"/>
      <c r="M268" s="25"/>
      <c r="N268" s="25"/>
      <c r="O268" s="26"/>
      <c r="P268" s="26"/>
    </row>
    <row r="269">
      <c r="A269" s="52"/>
      <c r="B269" s="15"/>
      <c r="C269" s="16"/>
      <c r="D269" s="15"/>
      <c r="E269" s="17"/>
      <c r="F269" s="54"/>
      <c r="G269" s="19"/>
      <c r="H269" s="17"/>
      <c r="I269" s="19"/>
      <c r="J269" s="21"/>
      <c r="K269" s="57"/>
      <c r="L269" s="24"/>
      <c r="M269" s="25"/>
      <c r="N269" s="25"/>
      <c r="O269" s="26"/>
      <c r="P269" s="26"/>
    </row>
    <row r="270">
      <c r="A270" s="52"/>
      <c r="B270" s="15"/>
      <c r="C270" s="16"/>
      <c r="D270" s="15"/>
      <c r="E270" s="17"/>
      <c r="F270" s="54"/>
      <c r="G270" s="19"/>
      <c r="H270" s="17"/>
      <c r="I270" s="19"/>
      <c r="J270" s="21"/>
      <c r="K270" s="57"/>
      <c r="L270" s="24"/>
      <c r="M270" s="25"/>
      <c r="N270" s="25"/>
      <c r="O270" s="26"/>
      <c r="P270" s="26"/>
    </row>
    <row r="271">
      <c r="A271" s="52"/>
      <c r="B271" s="15"/>
      <c r="C271" s="16"/>
      <c r="D271" s="15"/>
      <c r="E271" s="17"/>
      <c r="F271" s="54"/>
      <c r="G271" s="19"/>
      <c r="H271" s="17"/>
      <c r="I271" s="19"/>
      <c r="J271" s="21"/>
      <c r="K271" s="57"/>
      <c r="L271" s="24"/>
      <c r="M271" s="25"/>
      <c r="N271" s="25"/>
      <c r="O271" s="26"/>
      <c r="P271" s="26"/>
    </row>
    <row r="272">
      <c r="A272" s="52"/>
      <c r="B272" s="15"/>
      <c r="C272" s="16"/>
      <c r="D272" s="15"/>
      <c r="E272" s="17"/>
      <c r="F272" s="18"/>
      <c r="G272" s="19"/>
      <c r="H272" s="17"/>
      <c r="I272" s="19"/>
      <c r="J272" s="21"/>
      <c r="K272" s="57"/>
      <c r="L272" s="24"/>
      <c r="M272" s="25"/>
      <c r="N272" s="25"/>
      <c r="O272" s="26"/>
      <c r="P272" s="26"/>
    </row>
    <row r="273">
      <c r="A273" s="52"/>
      <c r="B273" s="15"/>
      <c r="C273" s="16"/>
      <c r="D273" s="15"/>
      <c r="E273" s="17"/>
      <c r="F273" s="18"/>
      <c r="G273" s="19"/>
      <c r="H273" s="17"/>
      <c r="I273" s="19"/>
      <c r="J273" s="21"/>
      <c r="K273" s="57"/>
      <c r="L273" s="24"/>
      <c r="M273" s="25"/>
      <c r="N273" s="25"/>
      <c r="O273" s="26"/>
      <c r="P273" s="26"/>
    </row>
    <row r="274">
      <c r="A274" s="52"/>
      <c r="B274" s="15"/>
      <c r="C274" s="16"/>
      <c r="D274" s="15"/>
      <c r="E274" s="17"/>
      <c r="F274" s="54"/>
      <c r="G274" s="19"/>
      <c r="H274" s="17"/>
      <c r="I274" s="19"/>
      <c r="J274" s="21"/>
      <c r="K274" s="57"/>
      <c r="L274" s="24"/>
      <c r="M274" s="25"/>
      <c r="N274" s="25"/>
      <c r="O274" s="26"/>
      <c r="P274" s="26"/>
    </row>
    <row r="275">
      <c r="A275" s="52"/>
      <c r="B275" s="15"/>
      <c r="C275" s="16"/>
      <c r="D275" s="15"/>
      <c r="E275" s="17"/>
      <c r="F275" s="54"/>
      <c r="G275" s="19"/>
      <c r="H275" s="17"/>
      <c r="I275" s="19"/>
      <c r="J275" s="21"/>
      <c r="K275" s="57"/>
      <c r="L275" s="24"/>
      <c r="M275" s="25"/>
      <c r="N275" s="25"/>
      <c r="O275" s="26"/>
      <c r="P275" s="26"/>
    </row>
    <row r="276">
      <c r="A276" s="52"/>
      <c r="B276" s="15"/>
      <c r="C276" s="16"/>
      <c r="D276" s="15"/>
      <c r="E276" s="17"/>
      <c r="F276" s="54"/>
      <c r="G276" s="19"/>
      <c r="H276" s="17"/>
      <c r="I276" s="19"/>
      <c r="J276" s="21"/>
      <c r="K276" s="57"/>
      <c r="L276" s="24"/>
      <c r="M276" s="25"/>
      <c r="N276" s="25"/>
      <c r="O276" s="26"/>
      <c r="P276" s="26"/>
    </row>
    <row r="277">
      <c r="A277" s="52"/>
      <c r="B277" s="15"/>
      <c r="C277" s="16"/>
      <c r="D277" s="15"/>
      <c r="E277" s="17"/>
      <c r="F277" s="54"/>
      <c r="G277" s="19"/>
      <c r="H277" s="17"/>
      <c r="I277" s="19"/>
      <c r="J277" s="21"/>
      <c r="K277" s="57"/>
      <c r="L277" s="24"/>
      <c r="M277" s="26"/>
      <c r="N277" s="25"/>
      <c r="O277" s="26"/>
      <c r="P277" s="26"/>
    </row>
    <row r="278">
      <c r="A278" s="52"/>
      <c r="B278" s="15"/>
      <c r="C278" s="16"/>
      <c r="D278" s="15"/>
      <c r="E278" s="17"/>
      <c r="F278" s="54"/>
      <c r="G278" s="19"/>
      <c r="H278" s="17"/>
      <c r="I278" s="19"/>
      <c r="J278" s="21"/>
      <c r="K278" s="57"/>
      <c r="L278" s="24"/>
      <c r="M278" s="25"/>
      <c r="N278" s="25"/>
      <c r="O278" s="26"/>
      <c r="P278" s="26"/>
    </row>
    <row r="279">
      <c r="A279" s="52"/>
      <c r="B279" s="15"/>
      <c r="C279" s="16"/>
      <c r="D279" s="15"/>
      <c r="E279" s="17"/>
      <c r="F279" s="54"/>
      <c r="G279" s="19"/>
      <c r="H279" s="17"/>
      <c r="I279" s="19"/>
      <c r="J279" s="21"/>
      <c r="K279" s="57"/>
      <c r="L279" s="24"/>
      <c r="M279" s="25"/>
      <c r="N279" s="25"/>
      <c r="O279" s="26"/>
      <c r="P279" s="26"/>
    </row>
    <row r="280">
      <c r="A280" s="52"/>
      <c r="B280" s="15"/>
      <c r="C280" s="16"/>
      <c r="D280" s="15"/>
      <c r="E280" s="17"/>
      <c r="F280" s="54"/>
      <c r="G280" s="19"/>
      <c r="H280" s="17"/>
      <c r="I280" s="19"/>
      <c r="J280" s="21"/>
      <c r="K280" s="57"/>
      <c r="L280" s="24"/>
      <c r="M280" s="25"/>
      <c r="N280" s="25"/>
      <c r="O280" s="26"/>
      <c r="P280" s="26"/>
    </row>
    <row r="281">
      <c r="A281" s="52"/>
      <c r="B281" s="15"/>
      <c r="C281" s="16"/>
      <c r="D281" s="15"/>
      <c r="E281" s="17"/>
      <c r="F281" s="54"/>
      <c r="G281" s="19"/>
      <c r="H281" s="17"/>
      <c r="I281" s="19"/>
      <c r="J281" s="21"/>
      <c r="K281" s="57"/>
      <c r="L281" s="24"/>
      <c r="M281" s="25"/>
      <c r="N281" s="25"/>
      <c r="O281" s="26"/>
      <c r="P281" s="26"/>
    </row>
    <row r="282">
      <c r="A282" s="52"/>
      <c r="B282" s="15"/>
      <c r="C282" s="16"/>
      <c r="D282" s="15"/>
      <c r="E282" s="17"/>
      <c r="F282" s="18"/>
      <c r="G282" s="19"/>
      <c r="H282" s="17"/>
      <c r="I282" s="19"/>
      <c r="J282" s="21"/>
      <c r="K282" s="57"/>
      <c r="L282" s="24"/>
      <c r="M282" s="25"/>
      <c r="N282" s="25"/>
      <c r="O282" s="26"/>
      <c r="P282" s="26"/>
    </row>
    <row r="283">
      <c r="A283" s="52"/>
      <c r="B283" s="15"/>
      <c r="C283" s="16"/>
      <c r="D283" s="15"/>
      <c r="E283" s="17"/>
      <c r="F283" s="54"/>
      <c r="G283" s="19"/>
      <c r="H283" s="17"/>
      <c r="I283" s="19"/>
      <c r="J283" s="21"/>
      <c r="K283" s="57"/>
      <c r="L283" s="24"/>
      <c r="M283" s="25"/>
      <c r="N283" s="25"/>
      <c r="O283" s="26"/>
      <c r="P283" s="26"/>
    </row>
    <row r="284">
      <c r="A284" s="52"/>
      <c r="B284" s="15"/>
      <c r="C284" s="16"/>
      <c r="D284" s="15"/>
      <c r="E284" s="17"/>
      <c r="F284" s="54"/>
      <c r="G284" s="19"/>
      <c r="H284" s="17"/>
      <c r="I284" s="19"/>
      <c r="J284" s="21"/>
      <c r="K284" s="57"/>
      <c r="L284" s="24"/>
      <c r="M284" s="25"/>
      <c r="N284" s="25"/>
      <c r="O284" s="26"/>
      <c r="P284" s="26"/>
    </row>
    <row r="285">
      <c r="A285" s="52"/>
      <c r="B285" s="15"/>
      <c r="C285" s="16"/>
      <c r="D285" s="15"/>
      <c r="E285" s="17"/>
      <c r="F285" s="54"/>
      <c r="G285" s="19"/>
      <c r="H285" s="17"/>
      <c r="I285" s="19"/>
      <c r="J285" s="21"/>
      <c r="K285" s="57"/>
      <c r="L285" s="24"/>
      <c r="M285" s="25"/>
      <c r="N285" s="25"/>
      <c r="O285" s="26"/>
      <c r="P285" s="26"/>
    </row>
    <row r="286">
      <c r="A286" s="52"/>
      <c r="B286" s="15"/>
      <c r="C286" s="16"/>
      <c r="D286" s="15"/>
      <c r="E286" s="17"/>
      <c r="F286" s="54"/>
      <c r="G286" s="19"/>
      <c r="H286" s="17"/>
      <c r="I286" s="19"/>
      <c r="J286" s="21"/>
      <c r="K286" s="57"/>
      <c r="L286" s="24"/>
      <c r="M286" s="25"/>
      <c r="N286" s="25"/>
      <c r="O286" s="26"/>
      <c r="P286" s="26"/>
    </row>
    <row r="287">
      <c r="A287" s="52"/>
      <c r="B287" s="15"/>
      <c r="C287" s="16"/>
      <c r="D287" s="15"/>
      <c r="E287" s="17"/>
      <c r="F287" s="54"/>
      <c r="G287" s="19"/>
      <c r="H287" s="17"/>
      <c r="I287" s="19"/>
      <c r="J287" s="21"/>
      <c r="K287" s="57"/>
      <c r="L287" s="24"/>
      <c r="M287" s="25"/>
      <c r="N287" s="25"/>
      <c r="O287" s="26"/>
      <c r="P287" s="26"/>
    </row>
    <row r="288">
      <c r="A288" s="52"/>
      <c r="B288" s="15"/>
      <c r="C288" s="16"/>
      <c r="D288" s="15"/>
      <c r="E288" s="17"/>
      <c r="F288" s="54"/>
      <c r="G288" s="19"/>
      <c r="H288" s="17"/>
      <c r="I288" s="19"/>
      <c r="J288" s="21"/>
      <c r="K288" s="57"/>
      <c r="L288" s="24"/>
      <c r="M288" s="25"/>
      <c r="N288" s="25"/>
      <c r="O288" s="26"/>
      <c r="P288" s="26"/>
    </row>
    <row r="289">
      <c r="A289" s="52"/>
      <c r="B289" s="15"/>
      <c r="C289" s="16"/>
      <c r="D289" s="15"/>
      <c r="E289" s="17"/>
      <c r="F289" s="54"/>
      <c r="G289" s="19"/>
      <c r="H289" s="17"/>
      <c r="I289" s="19"/>
      <c r="J289" s="21"/>
      <c r="K289" s="57"/>
      <c r="L289" s="24"/>
      <c r="M289" s="25"/>
      <c r="N289" s="25"/>
      <c r="O289" s="26"/>
      <c r="P289" s="26"/>
    </row>
    <row r="290">
      <c r="A290" s="52"/>
      <c r="B290" s="15"/>
      <c r="C290" s="16"/>
      <c r="D290" s="15"/>
      <c r="E290" s="17"/>
      <c r="F290" s="54"/>
      <c r="G290" s="19"/>
      <c r="H290" s="17"/>
      <c r="I290" s="19"/>
      <c r="J290" s="21"/>
      <c r="K290" s="57"/>
      <c r="L290" s="24"/>
      <c r="M290" s="25"/>
      <c r="N290" s="25"/>
      <c r="O290" s="26"/>
      <c r="P290" s="26"/>
    </row>
    <row r="291">
      <c r="A291" s="52"/>
      <c r="B291" s="15"/>
      <c r="C291" s="16"/>
      <c r="D291" s="15"/>
      <c r="E291" s="17"/>
      <c r="F291" s="54"/>
      <c r="G291" s="19"/>
      <c r="H291" s="17"/>
      <c r="I291" s="19"/>
      <c r="J291" s="21"/>
      <c r="K291" s="57"/>
      <c r="L291" s="24"/>
      <c r="M291" s="25"/>
      <c r="N291" s="25"/>
      <c r="O291" s="26"/>
      <c r="P291" s="26"/>
    </row>
    <row r="292">
      <c r="A292" s="52"/>
      <c r="B292" s="15"/>
      <c r="C292" s="16"/>
      <c r="D292" s="15"/>
      <c r="E292" s="17"/>
      <c r="F292" s="54"/>
      <c r="G292" s="19"/>
      <c r="H292" s="17"/>
      <c r="I292" s="19"/>
      <c r="J292" s="21"/>
      <c r="K292" s="57"/>
      <c r="L292" s="24"/>
      <c r="M292" s="25"/>
      <c r="N292" s="25"/>
      <c r="O292" s="26"/>
      <c r="P292" s="26"/>
    </row>
    <row r="293">
      <c r="A293" s="52"/>
      <c r="B293" s="15"/>
      <c r="C293" s="16"/>
      <c r="D293" s="15"/>
      <c r="E293" s="17"/>
      <c r="F293" s="54"/>
      <c r="G293" s="19"/>
      <c r="H293" s="17"/>
      <c r="I293" s="19"/>
      <c r="J293" s="21"/>
      <c r="K293" s="57"/>
      <c r="L293" s="24"/>
      <c r="M293" s="25"/>
      <c r="N293" s="25"/>
      <c r="O293" s="26"/>
      <c r="P293" s="26"/>
    </row>
    <row r="294">
      <c r="A294" s="52"/>
      <c r="B294" s="15"/>
      <c r="C294" s="16"/>
      <c r="D294" s="15"/>
      <c r="E294" s="17"/>
      <c r="F294" s="54"/>
      <c r="G294" s="19"/>
      <c r="H294" s="17"/>
      <c r="I294" s="19"/>
      <c r="J294" s="21"/>
      <c r="K294" s="57"/>
      <c r="L294" s="24"/>
      <c r="M294" s="25"/>
      <c r="N294" s="25"/>
      <c r="O294" s="26"/>
      <c r="P294" s="26"/>
    </row>
    <row r="295">
      <c r="A295" s="52"/>
      <c r="B295" s="15"/>
      <c r="C295" s="16"/>
      <c r="D295" s="15"/>
      <c r="E295" s="17"/>
      <c r="F295" s="54"/>
      <c r="G295" s="19"/>
      <c r="H295" s="17"/>
      <c r="I295" s="19"/>
      <c r="J295" s="21"/>
      <c r="K295" s="57"/>
      <c r="L295" s="24"/>
      <c r="M295" s="25"/>
      <c r="N295" s="25"/>
      <c r="O295" s="26"/>
      <c r="P295" s="26"/>
    </row>
    <row r="296">
      <c r="A296" s="52"/>
      <c r="B296" s="15"/>
      <c r="C296" s="16"/>
      <c r="D296" s="15"/>
      <c r="E296" s="17"/>
      <c r="F296" s="54"/>
      <c r="G296" s="19"/>
      <c r="H296" s="17"/>
      <c r="I296" s="19"/>
      <c r="J296" s="21"/>
      <c r="K296" s="57"/>
      <c r="L296" s="24"/>
      <c r="M296" s="25"/>
      <c r="N296" s="25"/>
      <c r="O296" s="26"/>
      <c r="P296" s="26"/>
    </row>
    <row r="297">
      <c r="A297" s="52"/>
      <c r="B297" s="15"/>
      <c r="C297" s="16"/>
      <c r="D297" s="15"/>
      <c r="E297" s="17"/>
      <c r="F297" s="54"/>
      <c r="G297" s="19"/>
      <c r="H297" s="17"/>
      <c r="I297" s="19"/>
      <c r="J297" s="21"/>
      <c r="K297" s="57"/>
      <c r="L297" s="24"/>
      <c r="M297" s="25"/>
      <c r="N297" s="25"/>
      <c r="O297" s="26"/>
      <c r="P297" s="26"/>
    </row>
    <row r="298">
      <c r="A298" s="52"/>
      <c r="B298" s="15"/>
      <c r="C298" s="16"/>
      <c r="D298" s="15"/>
      <c r="E298" s="17"/>
      <c r="F298" s="54"/>
      <c r="G298" s="19"/>
      <c r="H298" s="17"/>
      <c r="I298" s="19"/>
      <c r="J298" s="21"/>
      <c r="K298" s="57"/>
      <c r="L298" s="24"/>
      <c r="M298" s="25"/>
      <c r="N298" s="25"/>
      <c r="O298" s="26"/>
      <c r="P298" s="26"/>
    </row>
    <row r="299">
      <c r="A299" s="52"/>
      <c r="B299" s="15"/>
      <c r="C299" s="16"/>
      <c r="D299" s="15"/>
      <c r="E299" s="17"/>
      <c r="F299" s="54"/>
      <c r="G299" s="19"/>
      <c r="H299" s="17"/>
      <c r="I299" s="19"/>
      <c r="J299" s="21"/>
      <c r="K299" s="57"/>
      <c r="L299" s="24"/>
      <c r="M299" s="25"/>
      <c r="N299" s="25"/>
      <c r="O299" s="26"/>
      <c r="P299" s="26"/>
    </row>
    <row r="300">
      <c r="A300" s="52"/>
      <c r="B300" s="15"/>
      <c r="C300" s="16"/>
      <c r="D300" s="15"/>
      <c r="E300" s="17"/>
      <c r="F300" s="54"/>
      <c r="G300" s="19"/>
      <c r="H300" s="17"/>
      <c r="I300" s="19"/>
      <c r="J300" s="21"/>
      <c r="K300" s="57"/>
      <c r="L300" s="24"/>
      <c r="M300" s="25"/>
      <c r="N300" s="25"/>
      <c r="O300" s="26"/>
      <c r="P300" s="26"/>
    </row>
    <row r="301">
      <c r="A301" s="52"/>
      <c r="B301" s="15"/>
      <c r="C301" s="16"/>
      <c r="D301" s="15"/>
      <c r="E301" s="17"/>
      <c r="F301" s="54"/>
      <c r="G301" s="19"/>
      <c r="H301" s="17"/>
      <c r="I301" s="19"/>
      <c r="J301" s="21"/>
      <c r="K301" s="57"/>
      <c r="L301" s="24"/>
      <c r="M301" s="25"/>
      <c r="N301" s="25"/>
      <c r="O301" s="26"/>
      <c r="P301" s="26"/>
    </row>
    <row r="302">
      <c r="A302" s="52"/>
      <c r="B302" s="15"/>
      <c r="C302" s="16"/>
      <c r="D302" s="15"/>
      <c r="E302" s="17"/>
      <c r="F302" s="54"/>
      <c r="G302" s="19"/>
      <c r="H302" s="17"/>
      <c r="I302" s="19"/>
      <c r="J302" s="21"/>
      <c r="K302" s="57"/>
      <c r="L302" s="24"/>
      <c r="M302" s="25"/>
      <c r="N302" s="25"/>
      <c r="O302" s="26"/>
      <c r="P302" s="26"/>
    </row>
    <row r="303">
      <c r="A303" s="52"/>
      <c r="B303" s="15"/>
      <c r="C303" s="16"/>
      <c r="D303" s="15"/>
      <c r="E303" s="17"/>
      <c r="F303" s="54"/>
      <c r="G303" s="19"/>
      <c r="H303" s="17"/>
      <c r="I303" s="19"/>
      <c r="J303" s="21"/>
      <c r="K303" s="57"/>
      <c r="L303" s="24"/>
      <c r="M303" s="25"/>
      <c r="N303" s="25"/>
      <c r="O303" s="26"/>
      <c r="P303" s="26"/>
    </row>
    <row r="304">
      <c r="A304" s="52"/>
      <c r="B304" s="15"/>
      <c r="C304" s="16"/>
      <c r="D304" s="15"/>
      <c r="E304" s="17"/>
      <c r="F304" s="54"/>
      <c r="G304" s="19"/>
      <c r="H304" s="17"/>
      <c r="I304" s="19"/>
      <c r="J304" s="21"/>
      <c r="K304" s="57"/>
      <c r="L304" s="24"/>
      <c r="M304" s="25"/>
      <c r="N304" s="25"/>
      <c r="O304" s="26"/>
      <c r="P304" s="26"/>
    </row>
    <row r="305">
      <c r="A305" s="52"/>
      <c r="B305" s="15"/>
      <c r="C305" s="16"/>
      <c r="D305" s="15"/>
      <c r="E305" s="17"/>
      <c r="F305" s="54"/>
      <c r="G305" s="19"/>
      <c r="H305" s="17"/>
      <c r="I305" s="19"/>
      <c r="J305" s="21"/>
      <c r="K305" s="57"/>
      <c r="L305" s="24"/>
      <c r="M305" s="25"/>
      <c r="N305" s="25"/>
      <c r="O305" s="26"/>
      <c r="P305" s="26"/>
    </row>
    <row r="306">
      <c r="A306" s="52"/>
      <c r="B306" s="15"/>
      <c r="C306" s="16"/>
      <c r="D306" s="15"/>
      <c r="E306" s="17"/>
      <c r="F306" s="54"/>
      <c r="G306" s="19"/>
      <c r="H306" s="17"/>
      <c r="I306" s="19"/>
      <c r="J306" s="21"/>
      <c r="K306" s="57"/>
      <c r="L306" s="24"/>
      <c r="M306" s="25"/>
      <c r="N306" s="25"/>
      <c r="O306" s="26"/>
      <c r="P306" s="26"/>
    </row>
    <row r="307">
      <c r="A307" s="52"/>
      <c r="B307" s="15"/>
      <c r="C307" s="16"/>
      <c r="D307" s="15"/>
      <c r="E307" s="17"/>
      <c r="F307" s="54"/>
      <c r="G307" s="19"/>
      <c r="H307" s="17"/>
      <c r="I307" s="19"/>
      <c r="J307" s="21"/>
      <c r="K307" s="57"/>
      <c r="L307" s="24"/>
      <c r="M307" s="25"/>
      <c r="N307" s="25"/>
      <c r="O307" s="26"/>
      <c r="P307" s="26"/>
    </row>
    <row r="308">
      <c r="A308" s="52"/>
      <c r="B308" s="15"/>
      <c r="C308" s="16"/>
      <c r="D308" s="15"/>
      <c r="E308" s="17"/>
      <c r="F308" s="54"/>
      <c r="G308" s="19"/>
      <c r="H308" s="17"/>
      <c r="I308" s="19"/>
      <c r="J308" s="21"/>
      <c r="K308" s="57"/>
      <c r="L308" s="24"/>
      <c r="M308" s="25"/>
      <c r="N308" s="25"/>
      <c r="O308" s="26"/>
      <c r="P308" s="26"/>
    </row>
    <row r="309">
      <c r="A309" s="52"/>
      <c r="B309" s="15"/>
      <c r="C309" s="16"/>
      <c r="D309" s="15"/>
      <c r="E309" s="17"/>
      <c r="F309" s="54"/>
      <c r="G309" s="19"/>
      <c r="H309" s="17"/>
      <c r="I309" s="19"/>
      <c r="J309" s="21"/>
      <c r="K309" s="57"/>
      <c r="L309" s="24"/>
      <c r="M309" s="25"/>
      <c r="N309" s="25"/>
      <c r="O309" s="26"/>
      <c r="P309" s="26"/>
    </row>
    <row r="310">
      <c r="A310" s="52"/>
      <c r="B310" s="15"/>
      <c r="C310" s="16"/>
      <c r="D310" s="15"/>
      <c r="E310" s="17"/>
      <c r="F310" s="54"/>
      <c r="G310" s="19"/>
      <c r="H310" s="17"/>
      <c r="I310" s="19"/>
      <c r="J310" s="21"/>
      <c r="K310" s="57"/>
      <c r="L310" s="24"/>
      <c r="M310" s="25"/>
      <c r="N310" s="25"/>
      <c r="O310" s="26"/>
      <c r="P310" s="26"/>
    </row>
    <row r="311">
      <c r="A311" s="52"/>
      <c r="B311" s="15"/>
      <c r="C311" s="16"/>
      <c r="D311" s="15"/>
      <c r="E311" s="17"/>
      <c r="F311" s="54"/>
      <c r="G311" s="19"/>
      <c r="H311" s="17"/>
      <c r="I311" s="19"/>
      <c r="J311" s="21"/>
      <c r="K311" s="57"/>
      <c r="L311" s="24"/>
      <c r="M311" s="25"/>
      <c r="N311" s="25"/>
      <c r="O311" s="26"/>
      <c r="P311" s="26"/>
    </row>
    <row r="312">
      <c r="A312" s="52"/>
      <c r="B312" s="15"/>
      <c r="C312" s="16"/>
      <c r="D312" s="15"/>
      <c r="E312" s="17"/>
      <c r="F312" s="54"/>
      <c r="G312" s="19"/>
      <c r="H312" s="17"/>
      <c r="I312" s="19"/>
      <c r="J312" s="21"/>
      <c r="K312" s="57"/>
      <c r="L312" s="24"/>
      <c r="M312" s="75"/>
      <c r="N312" s="25"/>
      <c r="O312" s="26"/>
      <c r="P312" s="26"/>
    </row>
    <row r="313">
      <c r="A313" s="52"/>
      <c r="B313" s="15"/>
      <c r="C313" s="16"/>
      <c r="D313" s="15"/>
      <c r="E313" s="17"/>
      <c r="F313" s="54"/>
      <c r="G313" s="19"/>
      <c r="H313" s="17"/>
      <c r="I313" s="19"/>
      <c r="J313" s="21"/>
      <c r="K313" s="57"/>
      <c r="L313" s="24"/>
      <c r="M313" s="25"/>
      <c r="N313" s="25"/>
      <c r="O313" s="26"/>
      <c r="P313" s="26"/>
    </row>
    <row r="314">
      <c r="A314" s="52"/>
      <c r="B314" s="15"/>
      <c r="C314" s="16"/>
      <c r="D314" s="15"/>
      <c r="E314" s="17"/>
      <c r="F314" s="54"/>
      <c r="G314" s="19"/>
      <c r="H314" s="17"/>
      <c r="I314" s="19"/>
      <c r="J314" s="21"/>
      <c r="K314" s="57"/>
      <c r="L314" s="24"/>
      <c r="M314" s="25"/>
      <c r="N314" s="25"/>
      <c r="O314" s="26"/>
      <c r="P314" s="26"/>
    </row>
    <row r="315">
      <c r="A315" s="52"/>
      <c r="B315" s="15"/>
      <c r="C315" s="16"/>
      <c r="D315" s="15"/>
      <c r="E315" s="17"/>
      <c r="F315" s="54"/>
      <c r="G315" s="19"/>
      <c r="H315" s="17"/>
      <c r="I315" s="19"/>
      <c r="J315" s="21"/>
      <c r="K315" s="57"/>
      <c r="L315" s="24"/>
      <c r="M315" s="25"/>
      <c r="N315" s="25"/>
      <c r="O315" s="26"/>
      <c r="P315" s="26"/>
    </row>
    <row r="316">
      <c r="A316" s="52"/>
      <c r="B316" s="15"/>
      <c r="C316" s="16"/>
      <c r="D316" s="15"/>
      <c r="E316" s="17"/>
      <c r="F316" s="54"/>
      <c r="G316" s="19"/>
      <c r="H316" s="17"/>
      <c r="I316" s="19"/>
      <c r="J316" s="21"/>
      <c r="K316" s="57"/>
      <c r="L316" s="24"/>
      <c r="M316" s="25"/>
      <c r="N316" s="25"/>
      <c r="O316" s="26"/>
      <c r="P316" s="26"/>
    </row>
    <row r="317">
      <c r="A317" s="52"/>
      <c r="B317" s="15"/>
      <c r="C317" s="16"/>
      <c r="D317" s="15"/>
      <c r="E317" s="17"/>
      <c r="F317" s="54"/>
      <c r="G317" s="19"/>
      <c r="H317" s="17"/>
      <c r="I317" s="19"/>
      <c r="J317" s="21"/>
      <c r="K317" s="57"/>
      <c r="L317" s="24"/>
      <c r="M317" s="25"/>
      <c r="N317" s="25"/>
      <c r="O317" s="26"/>
      <c r="P317" s="26"/>
    </row>
    <row r="318">
      <c r="A318" s="52"/>
      <c r="B318" s="15"/>
      <c r="C318" s="16"/>
      <c r="D318" s="15"/>
      <c r="E318" s="17"/>
      <c r="F318" s="54"/>
      <c r="G318" s="19"/>
      <c r="H318" s="17"/>
      <c r="I318" s="19"/>
      <c r="J318" s="21"/>
      <c r="K318" s="57"/>
      <c r="L318" s="24"/>
      <c r="M318" s="25"/>
      <c r="N318" s="25"/>
      <c r="O318" s="26"/>
      <c r="P318" s="26"/>
    </row>
    <row r="319">
      <c r="A319" s="52"/>
      <c r="B319" s="15"/>
      <c r="C319" s="16"/>
      <c r="D319" s="15"/>
      <c r="E319" s="17"/>
      <c r="F319" s="54"/>
      <c r="G319" s="19"/>
      <c r="H319" s="17"/>
      <c r="I319" s="19"/>
      <c r="J319" s="21"/>
      <c r="K319" s="57"/>
      <c r="L319" s="24"/>
      <c r="M319" s="25"/>
      <c r="N319" s="25"/>
      <c r="O319" s="26"/>
      <c r="P319" s="26"/>
    </row>
    <row r="320">
      <c r="A320" s="52"/>
      <c r="B320" s="15"/>
      <c r="C320" s="16"/>
      <c r="D320" s="15"/>
      <c r="E320" s="17"/>
      <c r="F320" s="54"/>
      <c r="G320" s="19"/>
      <c r="H320" s="17"/>
      <c r="I320" s="19"/>
      <c r="J320" s="21"/>
      <c r="K320" s="57"/>
      <c r="L320" s="24"/>
      <c r="M320" s="25"/>
      <c r="N320" s="25"/>
      <c r="O320" s="26"/>
      <c r="P320" s="26"/>
    </row>
    <row r="321">
      <c r="A321" s="52"/>
      <c r="B321" s="15"/>
      <c r="C321" s="16"/>
      <c r="D321" s="15"/>
      <c r="E321" s="17"/>
      <c r="F321" s="54"/>
      <c r="G321" s="19"/>
      <c r="H321" s="17"/>
      <c r="I321" s="19"/>
      <c r="J321" s="21"/>
      <c r="K321" s="57"/>
      <c r="L321" s="24"/>
      <c r="M321" s="25"/>
      <c r="N321" s="25"/>
      <c r="O321" s="26"/>
      <c r="P321" s="26"/>
    </row>
    <row r="322">
      <c r="A322" s="52"/>
      <c r="B322" s="15"/>
      <c r="C322" s="16"/>
      <c r="D322" s="15"/>
      <c r="E322" s="17"/>
      <c r="F322" s="54"/>
      <c r="G322" s="19"/>
      <c r="H322" s="17"/>
      <c r="I322" s="19"/>
      <c r="J322" s="21"/>
      <c r="K322" s="57"/>
      <c r="L322" s="24"/>
      <c r="M322" s="25"/>
      <c r="N322" s="25"/>
      <c r="O322" s="26"/>
      <c r="P322" s="26"/>
    </row>
    <row r="323">
      <c r="A323" s="52"/>
      <c r="B323" s="15"/>
      <c r="C323" s="16"/>
      <c r="D323" s="15"/>
      <c r="E323" s="17"/>
      <c r="F323" s="54"/>
      <c r="G323" s="19"/>
      <c r="H323" s="17"/>
      <c r="I323" s="19"/>
      <c r="J323" s="21"/>
      <c r="K323" s="57"/>
      <c r="L323" s="24"/>
      <c r="M323" s="25"/>
      <c r="N323" s="25"/>
      <c r="O323" s="26"/>
      <c r="P323" s="26"/>
    </row>
    <row r="324">
      <c r="A324" s="52"/>
      <c r="B324" s="15"/>
      <c r="C324" s="16"/>
      <c r="D324" s="15"/>
      <c r="E324" s="17"/>
      <c r="F324" s="54"/>
      <c r="G324" s="19"/>
      <c r="H324" s="17"/>
      <c r="I324" s="19"/>
      <c r="J324" s="21"/>
      <c r="K324" s="57"/>
      <c r="L324" s="24"/>
      <c r="M324" s="25"/>
      <c r="N324" s="25"/>
      <c r="O324" s="26"/>
      <c r="P324" s="26"/>
    </row>
    <row r="325">
      <c r="A325" s="52"/>
      <c r="B325" s="15"/>
      <c r="C325" s="16"/>
      <c r="D325" s="15"/>
      <c r="E325" s="17"/>
      <c r="F325" s="54"/>
      <c r="G325" s="19"/>
      <c r="H325" s="17"/>
      <c r="I325" s="19"/>
      <c r="J325" s="21"/>
      <c r="K325" s="57"/>
      <c r="L325" s="24"/>
      <c r="M325" s="25"/>
      <c r="N325" s="25"/>
      <c r="O325" s="26"/>
      <c r="P325" s="26"/>
    </row>
    <row r="326">
      <c r="A326" s="52"/>
      <c r="B326" s="15"/>
      <c r="C326" s="16"/>
      <c r="D326" s="15"/>
      <c r="E326" s="17"/>
      <c r="F326" s="54"/>
      <c r="G326" s="19"/>
      <c r="H326" s="17"/>
      <c r="I326" s="19"/>
      <c r="J326" s="21"/>
      <c r="K326" s="57"/>
      <c r="L326" s="24"/>
      <c r="M326" s="25"/>
      <c r="N326" s="25"/>
      <c r="O326" s="26"/>
      <c r="P326" s="26"/>
    </row>
    <row r="327">
      <c r="A327" s="52"/>
      <c r="B327" s="15"/>
      <c r="C327" s="16"/>
      <c r="D327" s="15"/>
      <c r="E327" s="17"/>
      <c r="F327" s="54"/>
      <c r="G327" s="19"/>
      <c r="H327" s="17"/>
      <c r="I327" s="19"/>
      <c r="J327" s="21"/>
      <c r="K327" s="57"/>
      <c r="L327" s="24"/>
      <c r="M327" s="25"/>
      <c r="N327" s="25"/>
      <c r="O327" s="26"/>
      <c r="P327" s="26"/>
    </row>
    <row r="328">
      <c r="A328" s="52"/>
      <c r="B328" s="15"/>
      <c r="C328" s="16"/>
      <c r="D328" s="15"/>
      <c r="E328" s="17"/>
      <c r="F328" s="54"/>
      <c r="G328" s="19"/>
      <c r="H328" s="17"/>
      <c r="I328" s="19"/>
      <c r="J328" s="21"/>
      <c r="K328" s="57"/>
      <c r="L328" s="24"/>
      <c r="M328" s="25"/>
      <c r="N328" s="25"/>
      <c r="O328" s="26"/>
      <c r="P328" s="26"/>
    </row>
    <row r="329">
      <c r="A329" s="52"/>
      <c r="B329" s="15"/>
      <c r="C329" s="16"/>
      <c r="D329" s="15"/>
      <c r="E329" s="17"/>
      <c r="F329" s="54"/>
      <c r="G329" s="19"/>
      <c r="H329" s="17"/>
      <c r="I329" s="19"/>
      <c r="J329" s="21"/>
      <c r="K329" s="57"/>
      <c r="L329" s="24"/>
      <c r="M329" s="25"/>
      <c r="N329" s="25"/>
      <c r="O329" s="26"/>
      <c r="P329" s="26"/>
    </row>
    <row r="330">
      <c r="A330" s="52"/>
      <c r="B330" s="15"/>
      <c r="C330" s="16"/>
      <c r="D330" s="15"/>
      <c r="E330" s="17"/>
      <c r="F330" s="54"/>
      <c r="G330" s="19"/>
      <c r="H330" s="17"/>
      <c r="I330" s="19"/>
      <c r="J330" s="21"/>
      <c r="K330" s="57"/>
      <c r="L330" s="24"/>
      <c r="M330" s="25"/>
      <c r="N330" s="25"/>
      <c r="O330" s="26"/>
      <c r="P330" s="26"/>
    </row>
    <row r="331">
      <c r="A331" s="52"/>
      <c r="B331" s="15"/>
      <c r="C331" s="16"/>
      <c r="D331" s="15"/>
      <c r="E331" s="17"/>
      <c r="F331" s="54"/>
      <c r="G331" s="19"/>
      <c r="H331" s="17"/>
      <c r="I331" s="19"/>
      <c r="J331" s="21"/>
      <c r="K331" s="57"/>
      <c r="L331" s="24"/>
      <c r="M331" s="25"/>
      <c r="N331" s="25"/>
      <c r="O331" s="26"/>
      <c r="P331" s="26"/>
    </row>
    <row r="332">
      <c r="A332" s="52"/>
      <c r="B332" s="15"/>
      <c r="C332" s="16"/>
      <c r="D332" s="15"/>
      <c r="E332" s="17"/>
      <c r="F332" s="54"/>
      <c r="G332" s="19"/>
      <c r="H332" s="17"/>
      <c r="I332" s="19"/>
      <c r="J332" s="21"/>
      <c r="K332" s="57"/>
      <c r="L332" s="24"/>
      <c r="M332" s="25"/>
      <c r="N332" s="25"/>
      <c r="O332" s="26"/>
      <c r="P332" s="26"/>
    </row>
    <row r="333">
      <c r="A333" s="52"/>
      <c r="B333" s="15"/>
      <c r="C333" s="16"/>
      <c r="D333" s="15"/>
      <c r="E333" s="17"/>
      <c r="F333" s="54"/>
      <c r="G333" s="19"/>
      <c r="H333" s="17"/>
      <c r="I333" s="19"/>
      <c r="J333" s="21"/>
      <c r="K333" s="57"/>
      <c r="L333" s="24"/>
      <c r="M333" s="25"/>
      <c r="N333" s="25"/>
      <c r="O333" s="26"/>
      <c r="P333" s="26"/>
    </row>
    <row r="334">
      <c r="A334" s="52"/>
      <c r="B334" s="15"/>
      <c r="C334" s="16"/>
      <c r="D334" s="15"/>
      <c r="E334" s="17"/>
      <c r="F334" s="54"/>
      <c r="G334" s="19"/>
      <c r="H334" s="17"/>
      <c r="I334" s="19"/>
      <c r="J334" s="21"/>
      <c r="K334" s="57"/>
      <c r="L334" s="24"/>
      <c r="M334" s="25"/>
      <c r="N334" s="25"/>
      <c r="O334" s="26"/>
      <c r="P334" s="26"/>
    </row>
    <row r="335">
      <c r="A335" s="52"/>
      <c r="B335" s="15"/>
      <c r="C335" s="16"/>
      <c r="D335" s="15"/>
      <c r="E335" s="17"/>
      <c r="F335" s="54"/>
      <c r="G335" s="19"/>
      <c r="H335" s="17"/>
      <c r="I335" s="19"/>
      <c r="J335" s="21"/>
      <c r="K335" s="57"/>
      <c r="L335" s="24"/>
      <c r="M335" s="25"/>
      <c r="N335" s="25"/>
      <c r="O335" s="26"/>
      <c r="P335" s="26"/>
    </row>
    <row r="336">
      <c r="A336" s="52"/>
      <c r="B336" s="15"/>
      <c r="C336" s="16"/>
      <c r="D336" s="15"/>
      <c r="E336" s="17"/>
      <c r="F336" s="54"/>
      <c r="G336" s="19"/>
      <c r="H336" s="17"/>
      <c r="I336" s="19"/>
      <c r="J336" s="21"/>
      <c r="K336" s="57"/>
      <c r="L336" s="24"/>
      <c r="M336" s="25"/>
      <c r="N336" s="25"/>
      <c r="O336" s="26"/>
      <c r="P336" s="26"/>
    </row>
    <row r="337">
      <c r="A337" s="52"/>
      <c r="B337" s="15"/>
      <c r="C337" s="16"/>
      <c r="D337" s="15"/>
      <c r="E337" s="17"/>
      <c r="F337" s="54"/>
      <c r="G337" s="19"/>
      <c r="H337" s="17"/>
      <c r="I337" s="19"/>
      <c r="J337" s="21"/>
      <c r="K337" s="57"/>
      <c r="L337" s="24"/>
      <c r="M337" s="25"/>
      <c r="N337" s="25"/>
      <c r="O337" s="26"/>
      <c r="P337" s="26"/>
    </row>
    <row r="338">
      <c r="A338" s="62"/>
      <c r="B338" s="15"/>
      <c r="C338" s="16"/>
      <c r="D338" s="15"/>
      <c r="E338" s="17"/>
      <c r="F338" s="18"/>
      <c r="G338" s="19"/>
      <c r="H338" s="17"/>
      <c r="I338" s="19"/>
      <c r="J338" s="21"/>
      <c r="K338" s="57"/>
      <c r="L338" s="24"/>
      <c r="M338" s="25"/>
      <c r="N338" s="25"/>
      <c r="O338" s="26"/>
      <c r="P338" s="26"/>
    </row>
    <row r="339">
      <c r="A339" s="52"/>
      <c r="B339" s="15"/>
      <c r="C339" s="16"/>
      <c r="D339" s="15"/>
      <c r="E339" s="17"/>
      <c r="F339" s="54"/>
      <c r="G339" s="19"/>
      <c r="H339" s="17"/>
      <c r="I339" s="19"/>
      <c r="J339" s="21"/>
      <c r="K339" s="57"/>
      <c r="L339" s="24"/>
      <c r="M339" s="25"/>
      <c r="N339" s="25"/>
      <c r="O339" s="26"/>
      <c r="P339" s="26"/>
    </row>
    <row r="340">
      <c r="A340" s="52"/>
      <c r="B340" s="15"/>
      <c r="C340" s="16"/>
      <c r="D340" s="15"/>
      <c r="E340" s="17"/>
      <c r="F340" s="54"/>
      <c r="G340" s="19"/>
      <c r="H340" s="17"/>
      <c r="I340" s="19"/>
      <c r="J340" s="21"/>
      <c r="K340" s="57"/>
      <c r="L340" s="24"/>
      <c r="M340" s="25"/>
      <c r="N340" s="25"/>
      <c r="O340" s="26"/>
      <c r="P340" s="26"/>
    </row>
    <row r="341">
      <c r="A341" s="52"/>
      <c r="B341" s="15"/>
      <c r="C341" s="16"/>
      <c r="D341" s="15"/>
      <c r="E341" s="17"/>
      <c r="F341" s="54"/>
      <c r="G341" s="19"/>
      <c r="H341" s="17"/>
      <c r="I341" s="19"/>
      <c r="J341" s="21"/>
      <c r="K341" s="57"/>
      <c r="L341" s="24"/>
      <c r="M341" s="25"/>
      <c r="N341" s="25"/>
      <c r="O341" s="26"/>
      <c r="P341" s="26"/>
    </row>
    <row r="342">
      <c r="A342" s="52"/>
      <c r="B342" s="15"/>
      <c r="C342" s="16"/>
      <c r="D342" s="15"/>
      <c r="E342" s="17"/>
      <c r="F342" s="54"/>
      <c r="G342" s="19"/>
      <c r="H342" s="17"/>
      <c r="I342" s="19"/>
      <c r="J342" s="21"/>
      <c r="K342" s="57"/>
      <c r="L342" s="24"/>
      <c r="M342" s="25"/>
      <c r="N342" s="25"/>
      <c r="O342" s="26"/>
      <c r="P342" s="26"/>
    </row>
    <row r="343">
      <c r="A343" s="52"/>
      <c r="B343" s="15"/>
      <c r="C343" s="16"/>
      <c r="D343" s="15"/>
      <c r="E343" s="17"/>
      <c r="F343" s="54"/>
      <c r="G343" s="19"/>
      <c r="H343" s="17"/>
      <c r="I343" s="19"/>
      <c r="J343" s="21"/>
      <c r="K343" s="57"/>
      <c r="L343" s="24"/>
      <c r="M343" s="25"/>
      <c r="N343" s="25"/>
      <c r="O343" s="26"/>
      <c r="P343" s="26"/>
    </row>
    <row r="344">
      <c r="A344" s="52"/>
      <c r="B344" s="15"/>
      <c r="C344" s="16"/>
      <c r="D344" s="15"/>
      <c r="E344" s="17"/>
      <c r="F344" s="54"/>
      <c r="G344" s="19"/>
      <c r="H344" s="17"/>
      <c r="I344" s="19"/>
      <c r="J344" s="21"/>
      <c r="K344" s="57"/>
      <c r="L344" s="24"/>
      <c r="M344" s="25"/>
      <c r="N344" s="25"/>
      <c r="O344" s="26"/>
      <c r="P344" s="26"/>
    </row>
    <row r="345">
      <c r="A345" s="52"/>
      <c r="B345" s="15"/>
      <c r="C345" s="16"/>
      <c r="D345" s="15"/>
      <c r="E345" s="17"/>
      <c r="F345" s="54"/>
      <c r="G345" s="19"/>
      <c r="H345" s="17"/>
      <c r="I345" s="19"/>
      <c r="J345" s="21"/>
      <c r="K345" s="57"/>
      <c r="L345" s="24"/>
      <c r="M345" s="25"/>
      <c r="N345" s="25"/>
      <c r="O345" s="26"/>
      <c r="P345" s="26"/>
    </row>
    <row r="346">
      <c r="A346" s="52"/>
      <c r="B346" s="15"/>
      <c r="C346" s="16"/>
      <c r="D346" s="15"/>
      <c r="E346" s="17"/>
      <c r="F346" s="54"/>
      <c r="G346" s="19"/>
      <c r="H346" s="17"/>
      <c r="I346" s="19"/>
      <c r="J346" s="21"/>
      <c r="K346" s="57"/>
      <c r="L346" s="24"/>
      <c r="M346" s="25"/>
      <c r="N346" s="25"/>
      <c r="O346" s="26"/>
      <c r="P346" s="26"/>
    </row>
    <row r="347">
      <c r="A347" s="52"/>
      <c r="B347" s="15"/>
      <c r="C347" s="16"/>
      <c r="D347" s="15"/>
      <c r="E347" s="17"/>
      <c r="F347" s="54"/>
      <c r="G347" s="19"/>
      <c r="H347" s="17"/>
      <c r="I347" s="19"/>
      <c r="J347" s="21"/>
      <c r="K347" s="57"/>
      <c r="L347" s="24"/>
      <c r="M347" s="25"/>
      <c r="N347" s="25"/>
      <c r="O347" s="26"/>
      <c r="P347" s="26"/>
    </row>
    <row r="348">
      <c r="A348" s="52"/>
      <c r="B348" s="15"/>
      <c r="C348" s="16"/>
      <c r="D348" s="15"/>
      <c r="E348" s="17"/>
      <c r="F348" s="54"/>
      <c r="G348" s="19"/>
      <c r="H348" s="17"/>
      <c r="I348" s="19"/>
      <c r="J348" s="21"/>
      <c r="K348" s="57"/>
      <c r="L348" s="24"/>
      <c r="M348" s="25"/>
      <c r="N348" s="25"/>
      <c r="O348" s="26"/>
      <c r="P348" s="26"/>
    </row>
    <row r="349">
      <c r="A349" s="52"/>
      <c r="B349" s="15"/>
      <c r="C349" s="16"/>
      <c r="D349" s="15"/>
      <c r="E349" s="17"/>
      <c r="F349" s="54"/>
      <c r="G349" s="19"/>
      <c r="H349" s="17"/>
      <c r="I349" s="19"/>
      <c r="J349" s="21"/>
      <c r="K349" s="57"/>
      <c r="L349" s="24"/>
      <c r="M349" s="25"/>
      <c r="N349" s="25"/>
      <c r="O349" s="26"/>
      <c r="P349" s="26"/>
    </row>
    <row r="350">
      <c r="A350" s="52"/>
      <c r="B350" s="15"/>
      <c r="C350" s="16"/>
      <c r="D350" s="15"/>
      <c r="E350" s="17"/>
      <c r="F350" s="54"/>
      <c r="G350" s="19"/>
      <c r="H350" s="17"/>
      <c r="I350" s="19"/>
      <c r="J350" s="21"/>
      <c r="K350" s="57"/>
      <c r="L350" s="24"/>
      <c r="M350" s="25"/>
      <c r="N350" s="25"/>
      <c r="O350" s="26"/>
      <c r="P350" s="26"/>
    </row>
    <row r="351">
      <c r="A351" s="52"/>
      <c r="B351" s="15"/>
      <c r="C351" s="16"/>
      <c r="D351" s="15"/>
      <c r="E351" s="17"/>
      <c r="F351" s="54"/>
      <c r="G351" s="19"/>
      <c r="H351" s="17"/>
      <c r="I351" s="19"/>
      <c r="J351" s="21"/>
      <c r="K351" s="57"/>
      <c r="L351" s="24"/>
      <c r="M351" s="25"/>
      <c r="N351" s="25"/>
      <c r="O351" s="26"/>
      <c r="P351" s="26"/>
    </row>
    <row r="352">
      <c r="A352" s="52"/>
      <c r="B352" s="15"/>
      <c r="C352" s="16"/>
      <c r="D352" s="15"/>
      <c r="E352" s="17"/>
      <c r="F352" s="54"/>
      <c r="G352" s="19"/>
      <c r="H352" s="17"/>
      <c r="I352" s="19"/>
      <c r="J352" s="21"/>
      <c r="K352" s="57"/>
      <c r="L352" s="24"/>
      <c r="M352" s="25"/>
      <c r="N352" s="25"/>
      <c r="O352" s="26"/>
      <c r="P352" s="26"/>
    </row>
    <row r="353">
      <c r="A353" s="52"/>
      <c r="B353" s="15"/>
      <c r="C353" s="16"/>
      <c r="D353" s="15"/>
      <c r="E353" s="17"/>
      <c r="F353" s="54"/>
      <c r="G353" s="19"/>
      <c r="H353" s="17"/>
      <c r="I353" s="19"/>
      <c r="J353" s="21"/>
      <c r="K353" s="57"/>
      <c r="L353" s="24"/>
      <c r="M353" s="25"/>
      <c r="N353" s="25"/>
      <c r="O353" s="26"/>
      <c r="P353" s="26"/>
    </row>
    <row r="354">
      <c r="A354" s="52"/>
      <c r="B354" s="15"/>
      <c r="C354" s="16"/>
      <c r="D354" s="15"/>
      <c r="E354" s="17"/>
      <c r="F354" s="18"/>
      <c r="G354" s="19"/>
      <c r="H354" s="17"/>
      <c r="I354" s="19"/>
      <c r="J354" s="21"/>
      <c r="K354" s="57"/>
      <c r="L354" s="24"/>
      <c r="M354" s="25"/>
      <c r="N354" s="25"/>
      <c r="O354" s="26"/>
      <c r="P354" s="26"/>
    </row>
    <row r="355">
      <c r="A355" s="52"/>
      <c r="B355" s="15"/>
      <c r="C355" s="16"/>
      <c r="D355" s="15"/>
      <c r="E355" s="17"/>
      <c r="F355" s="54"/>
      <c r="G355" s="19"/>
      <c r="H355" s="17"/>
      <c r="I355" s="19"/>
      <c r="J355" s="21"/>
      <c r="K355" s="57"/>
      <c r="L355" s="24"/>
      <c r="M355" s="25"/>
      <c r="N355" s="25"/>
      <c r="O355" s="26"/>
      <c r="P355" s="26"/>
    </row>
    <row r="356">
      <c r="A356" s="52"/>
      <c r="B356" s="15"/>
      <c r="C356" s="16"/>
      <c r="D356" s="15"/>
      <c r="E356" s="17"/>
      <c r="F356" s="18"/>
      <c r="G356" s="19"/>
      <c r="H356" s="17"/>
      <c r="I356" s="19"/>
      <c r="J356" s="21"/>
      <c r="K356" s="57"/>
      <c r="L356" s="24"/>
      <c r="M356" s="25"/>
      <c r="N356" s="25"/>
      <c r="O356" s="26"/>
      <c r="P356" s="26"/>
    </row>
    <row r="357">
      <c r="A357" s="52"/>
      <c r="B357" s="15"/>
      <c r="C357" s="16"/>
      <c r="D357" s="15"/>
      <c r="E357" s="17"/>
      <c r="F357" s="54"/>
      <c r="G357" s="19"/>
      <c r="H357" s="17"/>
      <c r="I357" s="19"/>
      <c r="J357" s="21"/>
      <c r="K357" s="57"/>
      <c r="L357" s="24"/>
      <c r="M357" s="25"/>
      <c r="N357" s="25"/>
      <c r="O357" s="26"/>
      <c r="P357" s="26"/>
    </row>
    <row r="358">
      <c r="A358" s="52"/>
      <c r="B358" s="15"/>
      <c r="C358" s="16"/>
      <c r="D358" s="15"/>
      <c r="E358" s="17"/>
      <c r="F358" s="54"/>
      <c r="G358" s="19"/>
      <c r="H358" s="17"/>
      <c r="I358" s="19"/>
      <c r="J358" s="21"/>
      <c r="K358" s="57"/>
      <c r="L358" s="24"/>
      <c r="M358" s="25"/>
      <c r="N358" s="25"/>
      <c r="O358" s="26"/>
      <c r="P358" s="26"/>
    </row>
    <row r="359">
      <c r="A359" s="52"/>
      <c r="B359" s="15"/>
      <c r="C359" s="16"/>
      <c r="D359" s="15"/>
      <c r="E359" s="17"/>
      <c r="F359" s="54"/>
      <c r="G359" s="19"/>
      <c r="H359" s="17"/>
      <c r="I359" s="19"/>
      <c r="J359" s="21"/>
      <c r="K359" s="57"/>
      <c r="L359" s="24"/>
      <c r="M359" s="25"/>
      <c r="N359" s="25"/>
      <c r="O359" s="26"/>
      <c r="P359" s="26"/>
    </row>
    <row r="360">
      <c r="A360" s="52"/>
      <c r="B360" s="15"/>
      <c r="C360" s="16"/>
      <c r="D360" s="15"/>
      <c r="E360" s="17"/>
      <c r="F360" s="18"/>
      <c r="G360" s="19"/>
      <c r="H360" s="17"/>
      <c r="I360" s="19"/>
      <c r="J360" s="21"/>
      <c r="K360" s="57"/>
      <c r="L360" s="24"/>
      <c r="M360" s="25"/>
      <c r="N360" s="25"/>
      <c r="O360" s="26"/>
      <c r="P360" s="26"/>
    </row>
    <row r="361">
      <c r="A361" s="52"/>
      <c r="B361" s="15"/>
      <c r="C361" s="16"/>
      <c r="D361" s="15"/>
      <c r="E361" s="17"/>
      <c r="F361" s="54"/>
      <c r="G361" s="19"/>
      <c r="H361" s="17"/>
      <c r="I361" s="19"/>
      <c r="J361" s="21"/>
      <c r="K361" s="57"/>
      <c r="L361" s="24"/>
      <c r="M361" s="25"/>
      <c r="N361" s="25"/>
      <c r="O361" s="26"/>
      <c r="P361" s="26"/>
    </row>
    <row r="362">
      <c r="A362" s="52"/>
      <c r="B362" s="15"/>
      <c r="C362" s="16"/>
      <c r="D362" s="15"/>
      <c r="E362" s="17"/>
      <c r="F362" s="54"/>
      <c r="G362" s="19"/>
      <c r="H362" s="17"/>
      <c r="I362" s="19"/>
      <c r="J362" s="21"/>
      <c r="K362" s="57"/>
      <c r="L362" s="24"/>
      <c r="M362" s="25"/>
      <c r="N362" s="25"/>
      <c r="O362" s="26"/>
      <c r="P362" s="26"/>
    </row>
    <row r="363">
      <c r="A363" s="52"/>
      <c r="B363" s="15"/>
      <c r="C363" s="16"/>
      <c r="D363" s="15"/>
      <c r="E363" s="17"/>
      <c r="F363" s="54"/>
      <c r="G363" s="19"/>
      <c r="H363" s="17"/>
      <c r="I363" s="19"/>
      <c r="J363" s="21"/>
      <c r="K363" s="57"/>
      <c r="L363" s="24"/>
      <c r="M363" s="25"/>
      <c r="N363" s="25"/>
      <c r="O363" s="26"/>
      <c r="P363" s="26"/>
    </row>
    <row r="364">
      <c r="A364" s="52"/>
      <c r="B364" s="15"/>
      <c r="C364" s="16"/>
      <c r="D364" s="15"/>
      <c r="E364" s="17"/>
      <c r="F364" s="54"/>
      <c r="G364" s="19"/>
      <c r="H364" s="17"/>
      <c r="I364" s="19"/>
      <c r="J364" s="21"/>
      <c r="K364" s="57"/>
      <c r="L364" s="24"/>
      <c r="M364" s="25"/>
      <c r="N364" s="25"/>
      <c r="O364" s="26"/>
      <c r="P364" s="26"/>
    </row>
    <row r="365">
      <c r="A365" s="52"/>
      <c r="B365" s="15"/>
      <c r="C365" s="16"/>
      <c r="D365" s="15"/>
      <c r="E365" s="17"/>
      <c r="F365" s="54"/>
      <c r="G365" s="19"/>
      <c r="H365" s="17"/>
      <c r="I365" s="19"/>
      <c r="J365" s="21"/>
      <c r="K365" s="57"/>
      <c r="L365" s="24"/>
      <c r="M365" s="25"/>
      <c r="N365" s="25"/>
      <c r="O365" s="26"/>
      <c r="P365" s="26"/>
    </row>
    <row r="366">
      <c r="A366" s="52"/>
      <c r="B366" s="15"/>
      <c r="C366" s="16"/>
      <c r="D366" s="15"/>
      <c r="E366" s="17"/>
      <c r="F366" s="54"/>
      <c r="G366" s="19"/>
      <c r="H366" s="17"/>
      <c r="I366" s="19"/>
      <c r="J366" s="21"/>
      <c r="K366" s="57"/>
      <c r="L366" s="24"/>
      <c r="M366" s="25"/>
      <c r="N366" s="25"/>
      <c r="O366" s="26"/>
      <c r="P366" s="26"/>
    </row>
    <row r="367">
      <c r="A367" s="52"/>
      <c r="B367" s="15"/>
      <c r="C367" s="16"/>
      <c r="D367" s="15"/>
      <c r="E367" s="17"/>
      <c r="F367" s="54"/>
      <c r="G367" s="19"/>
      <c r="H367" s="17"/>
      <c r="I367" s="19"/>
      <c r="J367" s="21"/>
      <c r="K367" s="57"/>
      <c r="L367" s="24"/>
      <c r="M367" s="25"/>
      <c r="N367" s="25"/>
      <c r="O367" s="26"/>
      <c r="P367" s="26"/>
    </row>
    <row r="368">
      <c r="A368" s="52"/>
      <c r="B368" s="15"/>
      <c r="C368" s="16"/>
      <c r="D368" s="15"/>
      <c r="E368" s="17"/>
      <c r="F368" s="54"/>
      <c r="G368" s="19"/>
      <c r="H368" s="17"/>
      <c r="I368" s="19"/>
      <c r="J368" s="21"/>
      <c r="K368" s="57"/>
      <c r="L368" s="24"/>
      <c r="M368" s="25"/>
      <c r="N368" s="25"/>
      <c r="O368" s="26"/>
      <c r="P368" s="26"/>
    </row>
    <row r="369">
      <c r="A369" s="52"/>
      <c r="B369" s="15"/>
      <c r="C369" s="16"/>
      <c r="D369" s="15"/>
      <c r="E369" s="17"/>
      <c r="F369" s="54"/>
      <c r="G369" s="19"/>
      <c r="H369" s="17"/>
      <c r="I369" s="19"/>
      <c r="J369" s="21"/>
      <c r="K369" s="57"/>
      <c r="L369" s="24"/>
      <c r="M369" s="25"/>
      <c r="N369" s="25"/>
      <c r="O369" s="26"/>
      <c r="P369" s="26"/>
    </row>
    <row r="370">
      <c r="A370" s="52"/>
      <c r="B370" s="15"/>
      <c r="C370" s="16"/>
      <c r="D370" s="15"/>
      <c r="E370" s="17"/>
      <c r="F370" s="54"/>
      <c r="G370" s="19"/>
      <c r="H370" s="17"/>
      <c r="I370" s="19"/>
      <c r="J370" s="21"/>
      <c r="K370" s="57"/>
      <c r="L370" s="24"/>
      <c r="M370" s="25"/>
      <c r="N370" s="25"/>
      <c r="O370" s="26"/>
      <c r="P370" s="26"/>
    </row>
    <row r="371">
      <c r="A371" s="52"/>
      <c r="B371" s="15"/>
      <c r="C371" s="16"/>
      <c r="D371" s="15"/>
      <c r="E371" s="17"/>
      <c r="F371" s="54"/>
      <c r="G371" s="19"/>
      <c r="H371" s="17"/>
      <c r="I371" s="19"/>
      <c r="J371" s="21"/>
      <c r="K371" s="57"/>
      <c r="L371" s="24"/>
      <c r="M371" s="25"/>
      <c r="N371" s="25"/>
      <c r="O371" s="26"/>
      <c r="P371" s="26"/>
    </row>
    <row r="372">
      <c r="A372" s="52"/>
      <c r="B372" s="15"/>
      <c r="C372" s="16"/>
      <c r="D372" s="15"/>
      <c r="E372" s="17"/>
      <c r="F372" s="54"/>
      <c r="G372" s="19"/>
      <c r="H372" s="17"/>
      <c r="I372" s="19"/>
      <c r="J372" s="21"/>
      <c r="K372" s="57"/>
      <c r="L372" s="24"/>
      <c r="M372" s="25"/>
      <c r="N372" s="25"/>
      <c r="O372" s="26"/>
      <c r="P372" s="26"/>
    </row>
    <row r="373">
      <c r="A373" s="52"/>
      <c r="B373" s="15"/>
      <c r="C373" s="16"/>
      <c r="D373" s="15"/>
      <c r="E373" s="17"/>
      <c r="F373" s="54"/>
      <c r="G373" s="19"/>
      <c r="H373" s="17"/>
      <c r="I373" s="19"/>
      <c r="J373" s="21"/>
      <c r="K373" s="57"/>
      <c r="L373" s="24"/>
      <c r="M373" s="25"/>
      <c r="N373" s="25"/>
      <c r="O373" s="26"/>
      <c r="P373" s="26"/>
    </row>
    <row r="374">
      <c r="A374" s="52"/>
      <c r="B374" s="15"/>
      <c r="C374" s="16"/>
      <c r="D374" s="15"/>
      <c r="E374" s="17"/>
      <c r="F374" s="54"/>
      <c r="G374" s="19"/>
      <c r="H374" s="17"/>
      <c r="I374" s="19"/>
      <c r="J374" s="21"/>
      <c r="K374" s="57"/>
      <c r="L374" s="24"/>
      <c r="M374" s="25"/>
      <c r="N374" s="25"/>
      <c r="O374" s="26"/>
      <c r="P374" s="26"/>
    </row>
    <row r="375">
      <c r="A375" s="52"/>
      <c r="B375" s="15"/>
      <c r="C375" s="16"/>
      <c r="D375" s="15"/>
      <c r="E375" s="17"/>
      <c r="F375" s="54"/>
      <c r="G375" s="19"/>
      <c r="H375" s="17"/>
      <c r="I375" s="19"/>
      <c r="J375" s="21"/>
      <c r="K375" s="57"/>
      <c r="L375" s="24"/>
      <c r="M375" s="25"/>
      <c r="N375" s="25"/>
      <c r="O375" s="26"/>
      <c r="P375" s="26"/>
    </row>
    <row r="376">
      <c r="A376" s="52"/>
      <c r="B376" s="15"/>
      <c r="C376" s="16"/>
      <c r="D376" s="15"/>
      <c r="E376" s="17"/>
      <c r="F376" s="54"/>
      <c r="G376" s="19"/>
      <c r="H376" s="17"/>
      <c r="I376" s="19"/>
      <c r="J376" s="21"/>
      <c r="K376" s="57"/>
      <c r="L376" s="24"/>
      <c r="M376" s="25"/>
      <c r="N376" s="25"/>
      <c r="O376" s="26"/>
      <c r="P376" s="26"/>
    </row>
    <row r="377">
      <c r="A377" s="52"/>
      <c r="B377" s="15"/>
      <c r="C377" s="16"/>
      <c r="D377" s="15"/>
      <c r="E377" s="17"/>
      <c r="F377" s="54"/>
      <c r="G377" s="19"/>
      <c r="H377" s="17"/>
      <c r="I377" s="19"/>
      <c r="J377" s="21"/>
      <c r="K377" s="57"/>
      <c r="L377" s="24"/>
      <c r="M377" s="25"/>
      <c r="N377" s="25"/>
      <c r="O377" s="26"/>
      <c r="P377" s="26"/>
    </row>
    <row r="378">
      <c r="A378" s="52"/>
      <c r="B378" s="15"/>
      <c r="C378" s="16"/>
      <c r="D378" s="15"/>
      <c r="E378" s="17"/>
      <c r="F378" s="54"/>
      <c r="G378" s="19"/>
      <c r="H378" s="17"/>
      <c r="I378" s="19"/>
      <c r="J378" s="21"/>
      <c r="K378" s="57"/>
      <c r="L378" s="24"/>
      <c r="M378" s="25"/>
      <c r="N378" s="25"/>
      <c r="O378" s="26"/>
      <c r="P378" s="26"/>
    </row>
    <row r="379">
      <c r="A379" s="52"/>
      <c r="B379" s="15"/>
      <c r="C379" s="16"/>
      <c r="D379" s="15"/>
      <c r="E379" s="17"/>
      <c r="F379" s="54"/>
      <c r="G379" s="19"/>
      <c r="H379" s="17"/>
      <c r="I379" s="19"/>
      <c r="J379" s="21"/>
      <c r="K379" s="57"/>
      <c r="L379" s="24"/>
      <c r="M379" s="25"/>
      <c r="N379" s="25"/>
      <c r="O379" s="26"/>
      <c r="P379" s="26"/>
    </row>
    <row r="380">
      <c r="A380" s="52"/>
      <c r="B380" s="15"/>
      <c r="C380" s="16"/>
      <c r="D380" s="15"/>
      <c r="E380" s="17"/>
      <c r="F380" s="54"/>
      <c r="G380" s="19"/>
      <c r="H380" s="17"/>
      <c r="I380" s="19"/>
      <c r="J380" s="21"/>
      <c r="K380" s="57"/>
      <c r="L380" s="24"/>
      <c r="M380" s="25"/>
      <c r="N380" s="25"/>
      <c r="O380" s="26"/>
      <c r="P380" s="26"/>
    </row>
    <row r="381">
      <c r="A381" s="52"/>
      <c r="B381" s="15"/>
      <c r="C381" s="16"/>
      <c r="D381" s="15"/>
      <c r="E381" s="17"/>
      <c r="F381" s="54"/>
      <c r="G381" s="19"/>
      <c r="H381" s="17"/>
      <c r="I381" s="19"/>
      <c r="J381" s="21"/>
      <c r="K381" s="57"/>
      <c r="L381" s="24"/>
      <c r="M381" s="25"/>
      <c r="N381" s="25"/>
      <c r="O381" s="26"/>
      <c r="P381" s="26"/>
    </row>
    <row r="382">
      <c r="A382" s="52"/>
      <c r="B382" s="15"/>
      <c r="C382" s="16"/>
      <c r="D382" s="15"/>
      <c r="E382" s="17"/>
      <c r="F382" s="54"/>
      <c r="G382" s="19"/>
      <c r="H382" s="17"/>
      <c r="I382" s="19"/>
      <c r="J382" s="21"/>
      <c r="K382" s="57"/>
      <c r="L382" s="24"/>
      <c r="M382" s="25"/>
      <c r="N382" s="25"/>
      <c r="O382" s="26"/>
      <c r="P382" s="26"/>
    </row>
    <row r="383">
      <c r="A383" s="52"/>
      <c r="B383" s="15"/>
      <c r="C383" s="16"/>
      <c r="D383" s="15"/>
      <c r="E383" s="17"/>
      <c r="F383" s="54"/>
      <c r="G383" s="19"/>
      <c r="H383" s="17"/>
      <c r="I383" s="19"/>
      <c r="J383" s="21"/>
      <c r="K383" s="57"/>
      <c r="L383" s="24"/>
      <c r="M383" s="25"/>
      <c r="N383" s="25"/>
      <c r="O383" s="26"/>
      <c r="P383" s="26"/>
    </row>
    <row r="384">
      <c r="A384" s="52"/>
      <c r="B384" s="15"/>
      <c r="C384" s="16"/>
      <c r="D384" s="15"/>
      <c r="E384" s="17"/>
      <c r="F384" s="54"/>
      <c r="G384" s="19"/>
      <c r="H384" s="17"/>
      <c r="I384" s="19"/>
      <c r="J384" s="21"/>
      <c r="K384" s="57"/>
      <c r="L384" s="24"/>
      <c r="M384" s="25"/>
      <c r="N384" s="25"/>
      <c r="O384" s="26"/>
      <c r="P384" s="26"/>
    </row>
    <row r="385">
      <c r="A385" s="52"/>
      <c r="B385" s="15"/>
      <c r="C385" s="16"/>
      <c r="D385" s="15"/>
      <c r="E385" s="17"/>
      <c r="F385" s="54"/>
      <c r="G385" s="19"/>
      <c r="H385" s="17"/>
      <c r="I385" s="19"/>
      <c r="J385" s="21"/>
      <c r="K385" s="57"/>
      <c r="L385" s="24"/>
      <c r="M385" s="25"/>
      <c r="N385" s="25"/>
      <c r="O385" s="26"/>
      <c r="P385" s="26"/>
    </row>
    <row r="386">
      <c r="A386" s="52"/>
      <c r="B386" s="15"/>
      <c r="C386" s="16"/>
      <c r="D386" s="15"/>
      <c r="E386" s="17"/>
      <c r="F386" s="54"/>
      <c r="G386" s="19"/>
      <c r="H386" s="17"/>
      <c r="I386" s="19"/>
      <c r="J386" s="21"/>
      <c r="K386" s="57"/>
      <c r="L386" s="24"/>
      <c r="M386" s="25"/>
      <c r="N386" s="25"/>
      <c r="O386" s="26"/>
      <c r="P386" s="26"/>
    </row>
    <row r="387">
      <c r="A387" s="52"/>
      <c r="B387" s="15"/>
      <c r="C387" s="16"/>
      <c r="D387" s="15"/>
      <c r="E387" s="17"/>
      <c r="F387" s="54"/>
      <c r="G387" s="19"/>
      <c r="H387" s="17"/>
      <c r="I387" s="19"/>
      <c r="J387" s="21"/>
      <c r="K387" s="57"/>
      <c r="L387" s="24"/>
      <c r="M387" s="25"/>
      <c r="N387" s="25"/>
      <c r="O387" s="26"/>
      <c r="P387" s="26"/>
    </row>
    <row r="388">
      <c r="A388" s="52"/>
      <c r="B388" s="15"/>
      <c r="C388" s="16"/>
      <c r="D388" s="15"/>
      <c r="E388" s="17"/>
      <c r="F388" s="54"/>
      <c r="G388" s="19"/>
      <c r="H388" s="17"/>
      <c r="I388" s="19"/>
      <c r="J388" s="21"/>
      <c r="K388" s="57"/>
      <c r="L388" s="24"/>
      <c r="M388" s="25"/>
      <c r="N388" s="25"/>
      <c r="O388" s="26"/>
      <c r="P388" s="26"/>
    </row>
    <row r="389">
      <c r="A389" s="52"/>
      <c r="B389" s="15"/>
      <c r="C389" s="16"/>
      <c r="D389" s="15"/>
      <c r="E389" s="17"/>
      <c r="F389" s="54"/>
      <c r="G389" s="19"/>
      <c r="H389" s="17"/>
      <c r="I389" s="19"/>
      <c r="J389" s="21"/>
      <c r="K389" s="57"/>
      <c r="L389" s="24"/>
      <c r="M389" s="25"/>
      <c r="N389" s="25"/>
      <c r="O389" s="26"/>
      <c r="P389" s="26"/>
    </row>
    <row r="390">
      <c r="A390" s="52"/>
      <c r="B390" s="15"/>
      <c r="C390" s="16"/>
      <c r="D390" s="15"/>
      <c r="E390" s="17"/>
      <c r="F390" s="54"/>
      <c r="G390" s="19"/>
      <c r="H390" s="17"/>
      <c r="I390" s="19"/>
      <c r="J390" s="21"/>
      <c r="K390" s="57"/>
      <c r="L390" s="24"/>
      <c r="M390" s="25"/>
      <c r="N390" s="25"/>
      <c r="O390" s="26"/>
      <c r="P390" s="26"/>
    </row>
    <row r="391">
      <c r="A391" s="52"/>
      <c r="B391" s="15"/>
      <c r="C391" s="16"/>
      <c r="D391" s="15"/>
      <c r="E391" s="17"/>
      <c r="F391" s="54"/>
      <c r="G391" s="19"/>
      <c r="H391" s="17"/>
      <c r="I391" s="19"/>
      <c r="J391" s="21"/>
      <c r="K391" s="57"/>
      <c r="L391" s="24"/>
      <c r="M391" s="25"/>
      <c r="N391" s="25"/>
      <c r="O391" s="26"/>
      <c r="P391" s="26"/>
    </row>
    <row r="392">
      <c r="A392" s="52"/>
      <c r="B392" s="15"/>
      <c r="C392" s="16"/>
      <c r="D392" s="15"/>
      <c r="E392" s="17"/>
      <c r="F392" s="54"/>
      <c r="G392" s="19"/>
      <c r="H392" s="17"/>
      <c r="I392" s="19"/>
      <c r="J392" s="21"/>
      <c r="K392" s="57"/>
      <c r="L392" s="24"/>
      <c r="M392" s="25"/>
      <c r="N392" s="25"/>
      <c r="O392" s="26"/>
      <c r="P392" s="26"/>
    </row>
    <row r="393">
      <c r="A393" s="52"/>
      <c r="B393" s="15"/>
      <c r="C393" s="16"/>
      <c r="D393" s="15"/>
      <c r="E393" s="17"/>
      <c r="F393" s="54"/>
      <c r="G393" s="19"/>
      <c r="H393" s="17"/>
      <c r="I393" s="19"/>
      <c r="J393" s="21"/>
      <c r="K393" s="57"/>
      <c r="L393" s="24"/>
      <c r="M393" s="25"/>
      <c r="N393" s="25"/>
      <c r="O393" s="26"/>
      <c r="P393" s="26"/>
    </row>
    <row r="394">
      <c r="A394" s="52"/>
      <c r="B394" s="15"/>
      <c r="C394" s="16"/>
      <c r="D394" s="15"/>
      <c r="E394" s="17"/>
      <c r="F394" s="54"/>
      <c r="G394" s="19"/>
      <c r="H394" s="17"/>
      <c r="I394" s="19"/>
      <c r="J394" s="21"/>
      <c r="K394" s="57"/>
      <c r="L394" s="24"/>
      <c r="M394" s="25"/>
      <c r="N394" s="25"/>
      <c r="O394" s="26"/>
      <c r="P394" s="26"/>
    </row>
    <row r="395">
      <c r="A395" s="52"/>
      <c r="B395" s="15"/>
      <c r="C395" s="16"/>
      <c r="D395" s="15"/>
      <c r="E395" s="17"/>
      <c r="F395" s="54"/>
      <c r="G395" s="19"/>
      <c r="H395" s="17"/>
      <c r="I395" s="19"/>
      <c r="J395" s="21"/>
      <c r="K395" s="57"/>
      <c r="L395" s="24"/>
      <c r="M395" s="25"/>
      <c r="N395" s="25"/>
      <c r="O395" s="26"/>
      <c r="P395" s="26"/>
    </row>
    <row r="396">
      <c r="A396" s="52"/>
      <c r="B396" s="15"/>
      <c r="C396" s="16"/>
      <c r="D396" s="15"/>
      <c r="E396" s="17"/>
      <c r="F396" s="54"/>
      <c r="G396" s="19"/>
      <c r="H396" s="17"/>
      <c r="I396" s="19"/>
      <c r="J396" s="21"/>
      <c r="K396" s="57"/>
      <c r="L396" s="24"/>
      <c r="M396" s="25"/>
      <c r="N396" s="25"/>
      <c r="O396" s="26"/>
      <c r="P396" s="26"/>
    </row>
    <row r="397">
      <c r="A397" s="52"/>
      <c r="B397" s="15"/>
      <c r="C397" s="16"/>
      <c r="D397" s="15"/>
      <c r="E397" s="17"/>
      <c r="F397" s="54"/>
      <c r="G397" s="19"/>
      <c r="H397" s="17"/>
      <c r="I397" s="19"/>
      <c r="J397" s="21"/>
      <c r="K397" s="57"/>
      <c r="L397" s="24"/>
      <c r="M397" s="25"/>
      <c r="N397" s="25"/>
      <c r="O397" s="26"/>
      <c r="P397" s="26"/>
    </row>
    <row r="398">
      <c r="A398" s="52"/>
      <c r="B398" s="15"/>
      <c r="C398" s="16"/>
      <c r="D398" s="15"/>
      <c r="E398" s="17"/>
      <c r="F398" s="54"/>
      <c r="G398" s="19"/>
      <c r="H398" s="17"/>
      <c r="I398" s="19"/>
      <c r="J398" s="21"/>
      <c r="K398" s="57"/>
      <c r="L398" s="24"/>
      <c r="M398" s="25"/>
      <c r="N398" s="25"/>
      <c r="O398" s="26"/>
      <c r="P398" s="26"/>
    </row>
    <row r="399">
      <c r="A399" s="52"/>
      <c r="B399" s="15"/>
      <c r="C399" s="16"/>
      <c r="D399" s="15"/>
      <c r="E399" s="17"/>
      <c r="F399" s="54"/>
      <c r="G399" s="19"/>
      <c r="H399" s="17"/>
      <c r="I399" s="19"/>
      <c r="J399" s="21"/>
      <c r="K399" s="57"/>
      <c r="L399" s="24"/>
      <c r="M399" s="25"/>
      <c r="N399" s="25"/>
      <c r="O399" s="26"/>
      <c r="P399" s="26"/>
    </row>
    <row r="400">
      <c r="A400" s="52"/>
      <c r="B400" s="15"/>
      <c r="C400" s="16"/>
      <c r="D400" s="15"/>
      <c r="E400" s="17"/>
      <c r="F400" s="54"/>
      <c r="G400" s="19"/>
      <c r="H400" s="17"/>
      <c r="I400" s="19"/>
      <c r="J400" s="21"/>
      <c r="K400" s="57"/>
      <c r="L400" s="24"/>
      <c r="M400" s="25"/>
      <c r="N400" s="25"/>
      <c r="O400" s="26"/>
      <c r="P400" s="26"/>
    </row>
    <row r="401">
      <c r="A401" s="52"/>
      <c r="B401" s="15"/>
      <c r="C401" s="16"/>
      <c r="D401" s="15"/>
      <c r="E401" s="17"/>
      <c r="F401" s="54"/>
      <c r="G401" s="19"/>
      <c r="H401" s="17"/>
      <c r="I401" s="19"/>
      <c r="J401" s="21"/>
      <c r="K401" s="57"/>
      <c r="L401" s="24"/>
      <c r="M401" s="25"/>
      <c r="N401" s="25"/>
      <c r="O401" s="26"/>
      <c r="P401" s="26"/>
    </row>
    <row r="402">
      <c r="A402" s="52"/>
      <c r="B402" s="15"/>
      <c r="C402" s="16"/>
      <c r="D402" s="15"/>
      <c r="E402" s="17"/>
      <c r="F402" s="54"/>
      <c r="G402" s="19"/>
      <c r="H402" s="17"/>
      <c r="I402" s="19"/>
      <c r="J402" s="21"/>
      <c r="K402" s="57"/>
      <c r="L402" s="24"/>
      <c r="M402" s="25"/>
      <c r="N402" s="25"/>
      <c r="O402" s="26"/>
      <c r="P402" s="26"/>
    </row>
    <row r="403">
      <c r="A403" s="52"/>
      <c r="B403" s="15"/>
      <c r="C403" s="16"/>
      <c r="D403" s="15"/>
      <c r="E403" s="17"/>
      <c r="F403" s="54"/>
      <c r="G403" s="19"/>
      <c r="H403" s="17"/>
      <c r="I403" s="19"/>
      <c r="J403" s="21"/>
      <c r="K403" s="57"/>
      <c r="L403" s="24"/>
      <c r="M403" s="25"/>
      <c r="N403" s="25"/>
      <c r="O403" s="26"/>
      <c r="P403" s="26"/>
    </row>
    <row r="404">
      <c r="A404" s="52"/>
      <c r="B404" s="15"/>
      <c r="C404" s="16"/>
      <c r="D404" s="15"/>
      <c r="E404" s="17"/>
      <c r="F404" s="54"/>
      <c r="G404" s="19"/>
      <c r="H404" s="17"/>
      <c r="I404" s="19"/>
      <c r="J404" s="21"/>
      <c r="K404" s="57"/>
      <c r="L404" s="24"/>
      <c r="M404" s="25"/>
      <c r="N404" s="25"/>
      <c r="O404" s="26"/>
      <c r="P404" s="26"/>
    </row>
    <row r="405">
      <c r="A405" s="52"/>
      <c r="B405" s="15"/>
      <c r="C405" s="16"/>
      <c r="D405" s="15"/>
      <c r="E405" s="17"/>
      <c r="F405" s="54"/>
      <c r="G405" s="19"/>
      <c r="H405" s="17"/>
      <c r="I405" s="19"/>
      <c r="J405" s="21"/>
      <c r="K405" s="57"/>
      <c r="L405" s="24"/>
      <c r="M405" s="25"/>
      <c r="N405" s="25"/>
      <c r="O405" s="26"/>
      <c r="P405" s="26"/>
    </row>
    <row r="406">
      <c r="A406" s="52"/>
      <c r="B406" s="15"/>
      <c r="C406" s="16"/>
      <c r="D406" s="15"/>
      <c r="E406" s="17"/>
      <c r="F406" s="54"/>
      <c r="G406" s="19"/>
      <c r="H406" s="17"/>
      <c r="I406" s="19"/>
      <c r="J406" s="21"/>
      <c r="K406" s="57"/>
      <c r="L406" s="24"/>
      <c r="M406" s="25"/>
      <c r="N406" s="25"/>
      <c r="O406" s="26"/>
      <c r="P406" s="26"/>
    </row>
    <row r="407">
      <c r="A407" s="52"/>
      <c r="B407" s="15"/>
      <c r="C407" s="16"/>
      <c r="D407" s="15"/>
      <c r="E407" s="17"/>
      <c r="F407" s="54"/>
      <c r="G407" s="19"/>
      <c r="H407" s="17"/>
      <c r="I407" s="19"/>
      <c r="J407" s="21"/>
      <c r="K407" s="57"/>
      <c r="L407" s="24"/>
      <c r="M407" s="25"/>
      <c r="N407" s="25"/>
      <c r="O407" s="26"/>
      <c r="P407" s="26"/>
    </row>
    <row r="408">
      <c r="A408" s="52"/>
      <c r="B408" s="15"/>
      <c r="C408" s="16"/>
      <c r="D408" s="15"/>
      <c r="E408" s="17"/>
      <c r="F408" s="54"/>
      <c r="G408" s="19"/>
      <c r="H408" s="17"/>
      <c r="I408" s="19"/>
      <c r="J408" s="21"/>
      <c r="K408" s="57"/>
      <c r="L408" s="24"/>
      <c r="M408" s="25"/>
      <c r="N408" s="25"/>
      <c r="O408" s="26"/>
      <c r="P408" s="26"/>
    </row>
    <row r="409">
      <c r="A409" s="52"/>
      <c r="B409" s="15"/>
      <c r="C409" s="16"/>
      <c r="D409" s="15"/>
      <c r="E409" s="17"/>
      <c r="F409" s="54"/>
      <c r="G409" s="19"/>
      <c r="H409" s="17"/>
      <c r="I409" s="19"/>
      <c r="J409" s="21"/>
      <c r="K409" s="57"/>
      <c r="L409" s="24"/>
      <c r="M409" s="25"/>
      <c r="N409" s="25"/>
      <c r="O409" s="26"/>
      <c r="P409" s="26"/>
    </row>
    <row r="410">
      <c r="A410" s="52"/>
      <c r="B410" s="15"/>
      <c r="C410" s="16"/>
      <c r="D410" s="15"/>
      <c r="E410" s="17"/>
      <c r="F410" s="54"/>
      <c r="G410" s="19"/>
      <c r="H410" s="17"/>
      <c r="I410" s="19"/>
      <c r="J410" s="21"/>
      <c r="K410" s="57"/>
      <c r="L410" s="24"/>
      <c r="M410" s="25"/>
      <c r="N410" s="25"/>
      <c r="O410" s="26"/>
      <c r="P410" s="26"/>
    </row>
    <row r="411">
      <c r="A411" s="52"/>
      <c r="B411" s="15"/>
      <c r="C411" s="16"/>
      <c r="D411" s="15"/>
      <c r="E411" s="17"/>
      <c r="F411" s="54"/>
      <c r="G411" s="19"/>
      <c r="H411" s="17"/>
      <c r="I411" s="19"/>
      <c r="J411" s="21"/>
      <c r="K411" s="57"/>
      <c r="L411" s="24"/>
      <c r="M411" s="25"/>
      <c r="N411" s="25"/>
      <c r="O411" s="26"/>
      <c r="P411" s="26"/>
    </row>
    <row r="412">
      <c r="A412" s="52"/>
      <c r="B412" s="15"/>
      <c r="C412" s="16"/>
      <c r="D412" s="15"/>
      <c r="E412" s="17"/>
      <c r="F412" s="54"/>
      <c r="G412" s="19"/>
      <c r="H412" s="17"/>
      <c r="I412" s="19"/>
      <c r="J412" s="21"/>
      <c r="K412" s="57"/>
      <c r="L412" s="24"/>
      <c r="M412" s="25"/>
      <c r="N412" s="25"/>
      <c r="O412" s="26"/>
      <c r="P412" s="26"/>
    </row>
    <row r="413">
      <c r="A413" s="52"/>
      <c r="B413" s="15"/>
      <c r="C413" s="16"/>
      <c r="D413" s="15"/>
      <c r="E413" s="17"/>
      <c r="F413" s="54"/>
      <c r="G413" s="19"/>
      <c r="H413" s="17"/>
      <c r="I413" s="19"/>
      <c r="J413" s="21"/>
      <c r="K413" s="57"/>
      <c r="L413" s="24"/>
      <c r="M413" s="25"/>
      <c r="N413" s="25"/>
      <c r="O413" s="26"/>
      <c r="P413" s="26"/>
    </row>
    <row r="414">
      <c r="A414" s="52"/>
      <c r="B414" s="15"/>
      <c r="C414" s="16"/>
      <c r="D414" s="15"/>
      <c r="E414" s="17"/>
      <c r="F414" s="54"/>
      <c r="G414" s="19"/>
      <c r="H414" s="17"/>
      <c r="I414" s="19"/>
      <c r="J414" s="21"/>
      <c r="K414" s="57"/>
      <c r="L414" s="24"/>
      <c r="M414" s="25"/>
      <c r="N414" s="25"/>
      <c r="O414" s="26"/>
      <c r="P414" s="26"/>
    </row>
    <row r="415">
      <c r="A415" s="52"/>
      <c r="B415" s="15"/>
      <c r="C415" s="16"/>
      <c r="D415" s="15"/>
      <c r="E415" s="17"/>
      <c r="F415" s="54"/>
      <c r="G415" s="19"/>
      <c r="H415" s="17"/>
      <c r="I415" s="19"/>
      <c r="J415" s="21"/>
      <c r="K415" s="57"/>
      <c r="L415" s="24"/>
      <c r="M415" s="25"/>
      <c r="N415" s="25"/>
      <c r="O415" s="26"/>
      <c r="P415" s="26"/>
    </row>
    <row r="416">
      <c r="A416" s="52"/>
      <c r="B416" s="15"/>
      <c r="C416" s="16"/>
      <c r="D416" s="15"/>
      <c r="E416" s="17"/>
      <c r="F416" s="54"/>
      <c r="G416" s="19"/>
      <c r="H416" s="17"/>
      <c r="I416" s="19"/>
      <c r="J416" s="21"/>
      <c r="K416" s="57"/>
      <c r="L416" s="24"/>
      <c r="M416" s="25"/>
      <c r="N416" s="25"/>
      <c r="O416" s="26"/>
      <c r="P416" s="26"/>
    </row>
    <row r="417">
      <c r="A417" s="52"/>
      <c r="B417" s="15"/>
      <c r="C417" s="16"/>
      <c r="D417" s="15"/>
      <c r="E417" s="17"/>
      <c r="F417" s="54"/>
      <c r="G417" s="19"/>
      <c r="H417" s="17"/>
      <c r="I417" s="19"/>
      <c r="J417" s="21"/>
      <c r="K417" s="57"/>
      <c r="L417" s="24"/>
      <c r="M417" s="25"/>
      <c r="N417" s="25"/>
      <c r="O417" s="26"/>
      <c r="P417" s="26"/>
    </row>
    <row r="418">
      <c r="A418" s="52"/>
      <c r="B418" s="15"/>
      <c r="C418" s="16"/>
      <c r="D418" s="15"/>
      <c r="E418" s="17"/>
      <c r="F418" s="54"/>
      <c r="G418" s="19"/>
      <c r="H418" s="17"/>
      <c r="I418" s="19"/>
      <c r="J418" s="21"/>
      <c r="K418" s="57"/>
      <c r="L418" s="24"/>
      <c r="M418" s="25"/>
      <c r="N418" s="25"/>
      <c r="O418" s="26"/>
      <c r="P418" s="26"/>
    </row>
    <row r="419">
      <c r="A419" s="52"/>
      <c r="B419" s="15"/>
      <c r="C419" s="16"/>
      <c r="D419" s="15"/>
      <c r="E419" s="17"/>
      <c r="F419" s="54"/>
      <c r="G419" s="19"/>
      <c r="H419" s="17"/>
      <c r="I419" s="19"/>
      <c r="J419" s="21"/>
      <c r="K419" s="57"/>
      <c r="L419" s="24"/>
      <c r="M419" s="25"/>
      <c r="N419" s="25"/>
      <c r="O419" s="26"/>
      <c r="P419" s="26"/>
    </row>
    <row r="420">
      <c r="A420" s="52"/>
      <c r="B420" s="15"/>
      <c r="C420" s="16"/>
      <c r="D420" s="15"/>
      <c r="E420" s="17"/>
      <c r="F420" s="54"/>
      <c r="G420" s="19"/>
      <c r="H420" s="17"/>
      <c r="I420" s="19"/>
      <c r="J420" s="21"/>
      <c r="K420" s="57"/>
      <c r="L420" s="24"/>
      <c r="M420" s="25"/>
      <c r="N420" s="25"/>
      <c r="O420" s="26"/>
      <c r="P420" s="26"/>
    </row>
    <row r="421">
      <c r="A421" s="52"/>
      <c r="B421" s="15"/>
      <c r="C421" s="16"/>
      <c r="D421" s="15"/>
      <c r="E421" s="17"/>
      <c r="F421" s="54"/>
      <c r="G421" s="19"/>
      <c r="H421" s="17"/>
      <c r="I421" s="19"/>
      <c r="J421" s="21"/>
      <c r="K421" s="57"/>
      <c r="L421" s="24"/>
      <c r="M421" s="25"/>
      <c r="N421" s="25"/>
      <c r="O421" s="26"/>
      <c r="P421" s="26"/>
    </row>
    <row r="422">
      <c r="A422" s="52"/>
      <c r="B422" s="15"/>
      <c r="C422" s="16"/>
      <c r="D422" s="15"/>
      <c r="E422" s="17"/>
      <c r="F422" s="54"/>
      <c r="G422" s="19"/>
      <c r="H422" s="17"/>
      <c r="I422" s="19"/>
      <c r="J422" s="21"/>
      <c r="K422" s="57"/>
      <c r="L422" s="24"/>
      <c r="M422" s="25"/>
      <c r="N422" s="25"/>
      <c r="O422" s="26"/>
      <c r="P422" s="26"/>
    </row>
    <row r="423">
      <c r="A423" s="52"/>
      <c r="B423" s="15"/>
      <c r="C423" s="16"/>
      <c r="D423" s="15"/>
      <c r="E423" s="17"/>
      <c r="F423" s="54"/>
      <c r="G423" s="19"/>
      <c r="H423" s="17"/>
      <c r="I423" s="19"/>
      <c r="J423" s="21"/>
      <c r="K423" s="57"/>
      <c r="L423" s="24"/>
      <c r="M423" s="25"/>
      <c r="N423" s="25"/>
      <c r="O423" s="26"/>
      <c r="P423" s="26"/>
    </row>
    <row r="424">
      <c r="A424" s="52"/>
      <c r="B424" s="15"/>
      <c r="C424" s="16"/>
      <c r="D424" s="15"/>
      <c r="E424" s="17"/>
      <c r="F424" s="54"/>
      <c r="G424" s="19"/>
      <c r="H424" s="17"/>
      <c r="I424" s="19"/>
      <c r="J424" s="21"/>
      <c r="K424" s="57"/>
      <c r="L424" s="24"/>
      <c r="M424" s="25"/>
      <c r="N424" s="25"/>
      <c r="O424" s="26"/>
      <c r="P424" s="26"/>
    </row>
    <row r="425">
      <c r="A425" s="52"/>
      <c r="B425" s="15"/>
      <c r="C425" s="16"/>
      <c r="D425" s="15"/>
      <c r="E425" s="17"/>
      <c r="F425" s="54"/>
      <c r="G425" s="19"/>
      <c r="H425" s="17"/>
      <c r="I425" s="19"/>
      <c r="J425" s="21"/>
      <c r="K425" s="57"/>
      <c r="L425" s="24"/>
      <c r="M425" s="25"/>
      <c r="N425" s="25"/>
      <c r="O425" s="26"/>
      <c r="P425" s="26"/>
    </row>
    <row r="426">
      <c r="A426" s="52"/>
      <c r="B426" s="15"/>
      <c r="C426" s="16"/>
      <c r="D426" s="15"/>
      <c r="E426" s="17"/>
      <c r="F426" s="54"/>
      <c r="G426" s="19"/>
      <c r="H426" s="17"/>
      <c r="I426" s="19"/>
      <c r="J426" s="21"/>
      <c r="K426" s="57"/>
      <c r="L426" s="24"/>
      <c r="M426" s="25"/>
      <c r="N426" s="25"/>
      <c r="O426" s="26"/>
      <c r="P426" s="26"/>
    </row>
    <row r="427">
      <c r="A427" s="52"/>
      <c r="B427" s="15"/>
      <c r="C427" s="16"/>
      <c r="D427" s="15"/>
      <c r="E427" s="17"/>
      <c r="F427" s="54"/>
      <c r="G427" s="19"/>
      <c r="H427" s="17"/>
      <c r="I427" s="19"/>
      <c r="J427" s="21"/>
      <c r="K427" s="57"/>
      <c r="L427" s="24"/>
      <c r="M427" s="25"/>
      <c r="N427" s="25"/>
      <c r="O427" s="26"/>
      <c r="P427" s="26"/>
    </row>
    <row r="428">
      <c r="A428" s="52"/>
      <c r="B428" s="15"/>
      <c r="C428" s="16"/>
      <c r="D428" s="15"/>
      <c r="E428" s="17"/>
      <c r="F428" s="54"/>
      <c r="G428" s="19"/>
      <c r="H428" s="17"/>
      <c r="I428" s="19"/>
      <c r="J428" s="21"/>
      <c r="K428" s="57"/>
      <c r="L428" s="24"/>
      <c r="M428" s="25"/>
      <c r="N428" s="25"/>
      <c r="O428" s="26"/>
      <c r="P428" s="26"/>
    </row>
    <row r="429">
      <c r="A429" s="52"/>
      <c r="B429" s="15"/>
      <c r="C429" s="16"/>
      <c r="D429" s="15"/>
      <c r="E429" s="17"/>
      <c r="F429" s="54"/>
      <c r="G429" s="19"/>
      <c r="H429" s="17"/>
      <c r="I429" s="19"/>
      <c r="J429" s="21"/>
      <c r="K429" s="57"/>
      <c r="L429" s="24"/>
      <c r="M429" s="25"/>
      <c r="N429" s="25"/>
      <c r="O429" s="26"/>
      <c r="P429" s="26"/>
    </row>
    <row r="430">
      <c r="A430" s="52"/>
      <c r="B430" s="15"/>
      <c r="C430" s="16"/>
      <c r="D430" s="15"/>
      <c r="E430" s="17"/>
      <c r="F430" s="54"/>
      <c r="G430" s="19"/>
      <c r="H430" s="17"/>
      <c r="I430" s="19"/>
      <c r="J430" s="21"/>
      <c r="K430" s="57"/>
      <c r="L430" s="24"/>
      <c r="M430" s="25"/>
      <c r="N430" s="25"/>
      <c r="O430" s="26"/>
      <c r="P430" s="26"/>
    </row>
    <row r="431">
      <c r="A431" s="52"/>
      <c r="B431" s="15"/>
      <c r="C431" s="16"/>
      <c r="D431" s="15"/>
      <c r="E431" s="17"/>
      <c r="F431" s="54"/>
      <c r="G431" s="19"/>
      <c r="H431" s="17"/>
      <c r="I431" s="19"/>
      <c r="J431" s="21"/>
      <c r="K431" s="57"/>
      <c r="L431" s="24"/>
      <c r="M431" s="25"/>
      <c r="N431" s="25"/>
      <c r="O431" s="26"/>
      <c r="P431" s="26"/>
    </row>
    <row r="432">
      <c r="A432" s="52"/>
      <c r="B432" s="15"/>
      <c r="C432" s="16"/>
      <c r="D432" s="15"/>
      <c r="E432" s="17"/>
      <c r="F432" s="54"/>
      <c r="G432" s="19"/>
      <c r="H432" s="17"/>
      <c r="I432" s="19"/>
      <c r="J432" s="21"/>
      <c r="K432" s="57"/>
      <c r="L432" s="24"/>
      <c r="M432" s="25"/>
      <c r="N432" s="25"/>
      <c r="O432" s="26"/>
      <c r="P432" s="26"/>
    </row>
    <row r="433">
      <c r="A433" s="52"/>
      <c r="B433" s="15"/>
      <c r="C433" s="16"/>
      <c r="D433" s="15"/>
      <c r="E433" s="17"/>
      <c r="F433" s="54"/>
      <c r="G433" s="19"/>
      <c r="H433" s="17"/>
      <c r="I433" s="19"/>
      <c r="J433" s="21"/>
      <c r="K433" s="57"/>
      <c r="L433" s="24"/>
      <c r="M433" s="25"/>
      <c r="N433" s="25"/>
      <c r="O433" s="26"/>
      <c r="P433" s="26"/>
    </row>
    <row r="434">
      <c r="A434" s="52"/>
      <c r="B434" s="15"/>
      <c r="C434" s="16"/>
      <c r="D434" s="15"/>
      <c r="E434" s="17"/>
      <c r="F434" s="54"/>
      <c r="G434" s="19"/>
      <c r="H434" s="17"/>
      <c r="I434" s="19"/>
      <c r="J434" s="21"/>
      <c r="K434" s="57"/>
      <c r="L434" s="24"/>
      <c r="M434" s="25"/>
      <c r="N434" s="25"/>
      <c r="O434" s="26"/>
      <c r="P434" s="26"/>
    </row>
    <row r="435">
      <c r="A435" s="52"/>
      <c r="B435" s="15"/>
      <c r="C435" s="16"/>
      <c r="D435" s="15"/>
      <c r="E435" s="17"/>
      <c r="F435" s="54"/>
      <c r="G435" s="19"/>
      <c r="H435" s="17"/>
      <c r="I435" s="19"/>
      <c r="J435" s="21"/>
      <c r="K435" s="57"/>
      <c r="L435" s="24"/>
      <c r="M435" s="25"/>
      <c r="N435" s="25"/>
      <c r="O435" s="26"/>
      <c r="P435" s="26"/>
    </row>
    <row r="436">
      <c r="A436" s="52"/>
      <c r="B436" s="15"/>
      <c r="C436" s="16"/>
      <c r="D436" s="15"/>
      <c r="E436" s="17"/>
      <c r="F436" s="54"/>
      <c r="G436" s="19"/>
      <c r="H436" s="17"/>
      <c r="I436" s="19"/>
      <c r="J436" s="21"/>
      <c r="K436" s="57"/>
      <c r="L436" s="24"/>
      <c r="M436" s="25"/>
      <c r="N436" s="25"/>
      <c r="O436" s="26"/>
      <c r="P436" s="26"/>
    </row>
    <row r="437">
      <c r="A437" s="52"/>
      <c r="B437" s="15"/>
      <c r="C437" s="16"/>
      <c r="D437" s="15"/>
      <c r="E437" s="17"/>
      <c r="F437" s="54"/>
      <c r="G437" s="19"/>
      <c r="H437" s="17"/>
      <c r="I437" s="19"/>
      <c r="J437" s="21"/>
      <c r="K437" s="57"/>
      <c r="L437" s="24"/>
      <c r="M437" s="25"/>
      <c r="N437" s="25"/>
      <c r="O437" s="26"/>
      <c r="P437" s="26"/>
    </row>
    <row r="438">
      <c r="A438" s="52"/>
      <c r="B438" s="15"/>
      <c r="C438" s="16"/>
      <c r="D438" s="15"/>
      <c r="E438" s="17"/>
      <c r="F438" s="54"/>
      <c r="G438" s="19"/>
      <c r="H438" s="17"/>
      <c r="I438" s="19"/>
      <c r="J438" s="21"/>
      <c r="K438" s="57"/>
      <c r="L438" s="24"/>
      <c r="M438" s="25"/>
      <c r="N438" s="25"/>
      <c r="O438" s="26"/>
      <c r="P438" s="26"/>
    </row>
    <row r="439">
      <c r="A439" s="52"/>
      <c r="B439" s="15"/>
      <c r="C439" s="16"/>
      <c r="D439" s="15"/>
      <c r="E439" s="17"/>
      <c r="F439" s="54"/>
      <c r="G439" s="19"/>
      <c r="H439" s="17"/>
      <c r="I439" s="19"/>
      <c r="J439" s="21"/>
      <c r="K439" s="57"/>
      <c r="L439" s="24"/>
      <c r="M439" s="25"/>
      <c r="N439" s="25"/>
      <c r="O439" s="26"/>
      <c r="P439" s="26"/>
    </row>
    <row r="440">
      <c r="A440" s="52"/>
      <c r="B440" s="15"/>
      <c r="C440" s="16"/>
      <c r="D440" s="15"/>
      <c r="E440" s="17"/>
      <c r="F440" s="54"/>
      <c r="G440" s="19"/>
      <c r="H440" s="17"/>
      <c r="I440" s="19"/>
      <c r="J440" s="21"/>
      <c r="K440" s="57"/>
      <c r="L440" s="24"/>
      <c r="M440" s="25"/>
      <c r="N440" s="25"/>
      <c r="O440" s="26"/>
      <c r="P440" s="26"/>
    </row>
    <row r="441">
      <c r="A441" s="52"/>
      <c r="B441" s="15"/>
      <c r="C441" s="16"/>
      <c r="D441" s="15"/>
      <c r="E441" s="17"/>
      <c r="F441" s="54"/>
      <c r="G441" s="19"/>
      <c r="H441" s="17"/>
      <c r="I441" s="19"/>
      <c r="J441" s="21"/>
      <c r="K441" s="57"/>
      <c r="L441" s="24"/>
      <c r="M441" s="25"/>
      <c r="N441" s="25"/>
      <c r="O441" s="26"/>
      <c r="P441" s="26"/>
    </row>
    <row r="442">
      <c r="A442" s="52"/>
      <c r="B442" s="15"/>
      <c r="C442" s="16"/>
      <c r="D442" s="15"/>
      <c r="E442" s="17"/>
      <c r="F442" s="54"/>
      <c r="G442" s="19"/>
      <c r="H442" s="17"/>
      <c r="I442" s="19"/>
      <c r="J442" s="21"/>
      <c r="K442" s="57"/>
      <c r="L442" s="24"/>
      <c r="M442" s="25"/>
      <c r="N442" s="25"/>
      <c r="O442" s="26"/>
      <c r="P442" s="26"/>
    </row>
    <row r="443">
      <c r="A443" s="52"/>
      <c r="B443" s="15"/>
      <c r="C443" s="16"/>
      <c r="D443" s="15"/>
      <c r="E443" s="17"/>
      <c r="F443" s="54"/>
      <c r="G443" s="19"/>
      <c r="H443" s="17"/>
      <c r="I443" s="19"/>
      <c r="J443" s="21"/>
      <c r="K443" s="57"/>
      <c r="L443" s="24"/>
      <c r="M443" s="25"/>
      <c r="N443" s="25"/>
      <c r="O443" s="26"/>
      <c r="P443" s="26"/>
    </row>
    <row r="444">
      <c r="A444" s="52"/>
      <c r="B444" s="15"/>
      <c r="C444" s="16"/>
      <c r="D444" s="15"/>
      <c r="E444" s="17"/>
      <c r="F444" s="54"/>
      <c r="G444" s="19"/>
      <c r="H444" s="17"/>
      <c r="I444" s="19"/>
      <c r="J444" s="21"/>
      <c r="K444" s="57"/>
      <c r="L444" s="24"/>
      <c r="M444" s="25"/>
      <c r="N444" s="25"/>
      <c r="O444" s="26"/>
      <c r="P444" s="26"/>
    </row>
    <row r="445">
      <c r="A445" s="52"/>
      <c r="B445" s="15"/>
      <c r="C445" s="16"/>
      <c r="D445" s="15"/>
      <c r="E445" s="17"/>
      <c r="F445" s="54"/>
      <c r="G445" s="19"/>
      <c r="H445" s="17"/>
      <c r="I445" s="19"/>
      <c r="J445" s="21"/>
      <c r="K445" s="57"/>
      <c r="L445" s="24"/>
      <c r="M445" s="25"/>
      <c r="N445" s="25"/>
      <c r="O445" s="26"/>
      <c r="P445" s="26"/>
    </row>
    <row r="446">
      <c r="A446" s="52"/>
      <c r="B446" s="15"/>
      <c r="C446" s="16"/>
      <c r="D446" s="15"/>
      <c r="E446" s="17"/>
      <c r="F446" s="54"/>
      <c r="G446" s="19"/>
      <c r="H446" s="17"/>
      <c r="I446" s="19"/>
      <c r="J446" s="21"/>
      <c r="K446" s="57"/>
      <c r="L446" s="24"/>
      <c r="M446" s="25"/>
      <c r="N446" s="25"/>
      <c r="O446" s="26"/>
      <c r="P446" s="26"/>
    </row>
    <row r="447">
      <c r="A447" s="52"/>
      <c r="B447" s="15"/>
      <c r="C447" s="16"/>
      <c r="D447" s="15"/>
      <c r="E447" s="17"/>
      <c r="F447" s="54"/>
      <c r="G447" s="19"/>
      <c r="H447" s="17"/>
      <c r="I447" s="19"/>
      <c r="J447" s="21"/>
      <c r="K447" s="57"/>
      <c r="L447" s="24"/>
      <c r="M447" s="25"/>
      <c r="N447" s="25"/>
      <c r="O447" s="26"/>
      <c r="P447" s="26"/>
    </row>
    <row r="448">
      <c r="A448" s="52"/>
      <c r="B448" s="15"/>
      <c r="C448" s="16"/>
      <c r="D448" s="15"/>
      <c r="E448" s="17"/>
      <c r="F448" s="54"/>
      <c r="G448" s="19"/>
      <c r="H448" s="17"/>
      <c r="I448" s="19"/>
      <c r="J448" s="21"/>
      <c r="K448" s="57"/>
      <c r="L448" s="24"/>
      <c r="M448" s="25"/>
      <c r="N448" s="25"/>
      <c r="O448" s="26"/>
      <c r="P448" s="26"/>
    </row>
    <row r="449">
      <c r="A449" s="52"/>
      <c r="B449" s="15"/>
      <c r="C449" s="16"/>
      <c r="D449" s="15"/>
      <c r="E449" s="17"/>
      <c r="F449" s="54"/>
      <c r="G449" s="19"/>
      <c r="H449" s="17"/>
      <c r="I449" s="19"/>
      <c r="J449" s="21"/>
      <c r="K449" s="57"/>
      <c r="L449" s="24"/>
      <c r="M449" s="25"/>
      <c r="N449" s="25"/>
      <c r="O449" s="26"/>
      <c r="P449" s="26"/>
    </row>
    <row r="450">
      <c r="A450" s="52"/>
      <c r="B450" s="15"/>
      <c r="C450" s="16"/>
      <c r="D450" s="15"/>
      <c r="E450" s="17"/>
      <c r="F450" s="54"/>
      <c r="G450" s="19"/>
      <c r="H450" s="17"/>
      <c r="I450" s="19"/>
      <c r="J450" s="21"/>
      <c r="K450" s="57"/>
      <c r="L450" s="24"/>
      <c r="M450" s="25"/>
      <c r="N450" s="25"/>
      <c r="O450" s="26"/>
      <c r="P450" s="26"/>
    </row>
    <row r="451">
      <c r="A451" s="52"/>
      <c r="B451" s="15"/>
      <c r="C451" s="16"/>
      <c r="D451" s="15"/>
      <c r="E451" s="17"/>
      <c r="F451" s="54"/>
      <c r="G451" s="19"/>
      <c r="H451" s="17"/>
      <c r="I451" s="19"/>
      <c r="J451" s="21"/>
      <c r="K451" s="57"/>
      <c r="L451" s="24"/>
      <c r="M451" s="25"/>
      <c r="N451" s="25"/>
      <c r="O451" s="26"/>
      <c r="P451" s="26"/>
    </row>
    <row r="452">
      <c r="A452" s="52"/>
      <c r="B452" s="15"/>
      <c r="C452" s="16"/>
      <c r="D452" s="15"/>
      <c r="E452" s="17"/>
      <c r="F452" s="54"/>
      <c r="G452" s="19"/>
      <c r="H452" s="17"/>
      <c r="I452" s="19"/>
      <c r="J452" s="21"/>
      <c r="K452" s="57"/>
      <c r="L452" s="24"/>
      <c r="M452" s="25"/>
      <c r="N452" s="25"/>
      <c r="O452" s="26"/>
      <c r="P452" s="26"/>
    </row>
    <row r="453">
      <c r="A453" s="52"/>
      <c r="B453" s="15"/>
      <c r="C453" s="16"/>
      <c r="D453" s="15"/>
      <c r="E453" s="17"/>
      <c r="F453" s="54"/>
      <c r="G453" s="19"/>
      <c r="H453" s="17"/>
      <c r="I453" s="19"/>
      <c r="J453" s="21"/>
      <c r="K453" s="57"/>
      <c r="L453" s="24"/>
      <c r="M453" s="25"/>
      <c r="N453" s="25"/>
      <c r="O453" s="26"/>
      <c r="P453" s="26"/>
    </row>
    <row r="454">
      <c r="A454" s="52"/>
      <c r="B454" s="15"/>
      <c r="C454" s="16"/>
      <c r="D454" s="15"/>
      <c r="E454" s="17"/>
      <c r="F454" s="54"/>
      <c r="G454" s="19"/>
      <c r="H454" s="17"/>
      <c r="I454" s="19"/>
      <c r="J454" s="21"/>
      <c r="K454" s="57"/>
      <c r="L454" s="24"/>
      <c r="M454" s="25"/>
      <c r="N454" s="25"/>
      <c r="O454" s="26"/>
      <c r="P454" s="26"/>
    </row>
    <row r="455">
      <c r="A455" s="52"/>
      <c r="B455" s="15"/>
      <c r="C455" s="16"/>
      <c r="D455" s="15"/>
      <c r="E455" s="17"/>
      <c r="F455" s="54"/>
      <c r="G455" s="19"/>
      <c r="H455" s="17"/>
      <c r="I455" s="19"/>
      <c r="J455" s="21"/>
      <c r="K455" s="57"/>
      <c r="L455" s="24"/>
      <c r="M455" s="25"/>
      <c r="N455" s="25"/>
      <c r="O455" s="26"/>
      <c r="P455" s="26"/>
    </row>
    <row r="456">
      <c r="A456" s="52"/>
      <c r="B456" s="15"/>
      <c r="C456" s="16"/>
      <c r="D456" s="15"/>
      <c r="E456" s="17"/>
      <c r="F456" s="54"/>
      <c r="G456" s="19"/>
      <c r="H456" s="17"/>
      <c r="I456" s="19"/>
      <c r="J456" s="21"/>
      <c r="K456" s="57"/>
      <c r="L456" s="24"/>
      <c r="M456" s="25"/>
      <c r="N456" s="25"/>
      <c r="O456" s="26"/>
      <c r="P456" s="26"/>
    </row>
    <row r="457">
      <c r="A457" s="52"/>
      <c r="B457" s="15"/>
      <c r="C457" s="16"/>
      <c r="D457" s="15"/>
      <c r="E457" s="17"/>
      <c r="F457" s="54"/>
      <c r="G457" s="19"/>
      <c r="H457" s="17"/>
      <c r="I457" s="19"/>
      <c r="J457" s="21"/>
      <c r="K457" s="57"/>
      <c r="L457" s="24"/>
      <c r="M457" s="25"/>
      <c r="N457" s="25"/>
      <c r="O457" s="26"/>
      <c r="P457" s="26"/>
    </row>
    <row r="458">
      <c r="A458" s="52"/>
      <c r="B458" s="15"/>
      <c r="C458" s="16"/>
      <c r="D458" s="15"/>
      <c r="E458" s="17"/>
      <c r="F458" s="54"/>
      <c r="G458" s="19"/>
      <c r="H458" s="17"/>
      <c r="I458" s="19"/>
      <c r="J458" s="21"/>
      <c r="K458" s="57"/>
      <c r="L458" s="24"/>
      <c r="M458" s="25"/>
      <c r="N458" s="25"/>
      <c r="O458" s="26"/>
      <c r="P458" s="26"/>
    </row>
    <row r="459">
      <c r="A459" s="52"/>
      <c r="B459" s="15"/>
      <c r="C459" s="16"/>
      <c r="D459" s="15"/>
      <c r="E459" s="17"/>
      <c r="F459" s="54"/>
      <c r="G459" s="19"/>
      <c r="H459" s="17"/>
      <c r="I459" s="19"/>
      <c r="J459" s="21"/>
      <c r="K459" s="57"/>
      <c r="L459" s="24"/>
      <c r="M459" s="25"/>
      <c r="N459" s="25"/>
      <c r="O459" s="26"/>
      <c r="P459" s="26"/>
    </row>
    <row r="460">
      <c r="A460" s="52"/>
      <c r="B460" s="15"/>
      <c r="C460" s="16"/>
      <c r="D460" s="15"/>
      <c r="E460" s="17"/>
      <c r="F460" s="54"/>
      <c r="G460" s="19"/>
      <c r="H460" s="17"/>
      <c r="I460" s="19"/>
      <c r="J460" s="21"/>
      <c r="K460" s="57"/>
      <c r="L460" s="24"/>
      <c r="M460" s="25"/>
      <c r="N460" s="25"/>
      <c r="O460" s="26"/>
      <c r="P460" s="26"/>
    </row>
    <row r="461">
      <c r="A461" s="52"/>
      <c r="B461" s="15"/>
      <c r="C461" s="16"/>
      <c r="D461" s="15"/>
      <c r="E461" s="17"/>
      <c r="F461" s="54"/>
      <c r="G461" s="19"/>
      <c r="H461" s="17"/>
      <c r="I461" s="19"/>
      <c r="J461" s="21"/>
      <c r="K461" s="57"/>
      <c r="L461" s="24"/>
      <c r="M461" s="25"/>
      <c r="N461" s="25"/>
      <c r="O461" s="26"/>
      <c r="P461" s="26"/>
    </row>
    <row r="462">
      <c r="A462" s="52"/>
      <c r="B462" s="15"/>
      <c r="C462" s="16"/>
      <c r="D462" s="15"/>
      <c r="E462" s="17"/>
      <c r="F462" s="54"/>
      <c r="G462" s="19"/>
      <c r="H462" s="17"/>
      <c r="I462" s="19"/>
      <c r="J462" s="21"/>
      <c r="K462" s="57"/>
      <c r="L462" s="24"/>
      <c r="M462" s="25"/>
      <c r="N462" s="25"/>
      <c r="O462" s="26"/>
      <c r="P462" s="26"/>
    </row>
    <row r="463">
      <c r="A463" s="52"/>
      <c r="B463" s="15"/>
      <c r="C463" s="16"/>
      <c r="D463" s="15"/>
      <c r="E463" s="17"/>
      <c r="F463" s="54"/>
      <c r="G463" s="19"/>
      <c r="H463" s="17"/>
      <c r="I463" s="19"/>
      <c r="J463" s="21"/>
      <c r="K463" s="57"/>
      <c r="L463" s="24"/>
      <c r="M463" s="25"/>
      <c r="N463" s="25"/>
      <c r="O463" s="26"/>
      <c r="P463" s="26"/>
    </row>
    <row r="464">
      <c r="A464" s="52"/>
      <c r="B464" s="15"/>
      <c r="C464" s="16"/>
      <c r="D464" s="15"/>
      <c r="E464" s="17"/>
      <c r="F464" s="54"/>
      <c r="G464" s="19"/>
      <c r="H464" s="17"/>
      <c r="I464" s="19"/>
      <c r="J464" s="21"/>
      <c r="K464" s="57"/>
      <c r="L464" s="24"/>
      <c r="M464" s="25"/>
      <c r="N464" s="25"/>
      <c r="O464" s="26"/>
      <c r="P464" s="26"/>
    </row>
    <row r="465">
      <c r="A465" s="52"/>
      <c r="B465" s="15"/>
      <c r="C465" s="16"/>
      <c r="D465" s="15"/>
      <c r="E465" s="17"/>
      <c r="F465" s="54"/>
      <c r="G465" s="19"/>
      <c r="H465" s="17"/>
      <c r="I465" s="19"/>
      <c r="J465" s="21"/>
      <c r="K465" s="57"/>
      <c r="L465" s="24"/>
      <c r="M465" s="25"/>
      <c r="N465" s="25"/>
      <c r="O465" s="26"/>
      <c r="P465" s="26"/>
    </row>
    <row r="466">
      <c r="A466" s="52"/>
      <c r="B466" s="15"/>
      <c r="C466" s="16"/>
      <c r="D466" s="15"/>
      <c r="E466" s="17"/>
      <c r="F466" s="54"/>
      <c r="G466" s="19"/>
      <c r="H466" s="17"/>
      <c r="I466" s="19"/>
      <c r="J466" s="21"/>
      <c r="K466" s="57"/>
      <c r="L466" s="24"/>
      <c r="M466" s="25"/>
      <c r="N466" s="25"/>
      <c r="O466" s="26"/>
      <c r="P466" s="26"/>
    </row>
    <row r="467">
      <c r="A467" s="52"/>
      <c r="B467" s="15"/>
      <c r="C467" s="16"/>
      <c r="D467" s="15"/>
      <c r="E467" s="17"/>
      <c r="F467" s="54"/>
      <c r="G467" s="19"/>
      <c r="H467" s="17"/>
      <c r="I467" s="19"/>
      <c r="J467" s="21"/>
      <c r="K467" s="57"/>
      <c r="L467" s="24"/>
      <c r="M467" s="25"/>
      <c r="N467" s="25"/>
      <c r="O467" s="26"/>
      <c r="P467" s="26"/>
    </row>
    <row r="468">
      <c r="A468" s="52"/>
      <c r="B468" s="15"/>
      <c r="C468" s="16"/>
      <c r="D468" s="15"/>
      <c r="E468" s="17"/>
      <c r="F468" s="54"/>
      <c r="G468" s="19"/>
      <c r="H468" s="17"/>
      <c r="I468" s="19"/>
      <c r="J468" s="21"/>
      <c r="K468" s="57"/>
      <c r="L468" s="24"/>
      <c r="M468" s="25"/>
      <c r="N468" s="25"/>
      <c r="O468" s="26"/>
      <c r="P468" s="26"/>
    </row>
    <row r="469">
      <c r="A469" s="52"/>
      <c r="B469" s="15"/>
      <c r="C469" s="16"/>
      <c r="D469" s="15"/>
      <c r="E469" s="17"/>
      <c r="F469" s="54"/>
      <c r="G469" s="19"/>
      <c r="H469" s="17"/>
      <c r="I469" s="19"/>
      <c r="J469" s="21"/>
      <c r="K469" s="57"/>
      <c r="L469" s="24"/>
      <c r="M469" s="25"/>
      <c r="N469" s="25"/>
      <c r="O469" s="26"/>
      <c r="P469" s="26"/>
    </row>
    <row r="470">
      <c r="A470" s="52"/>
      <c r="B470" s="15"/>
      <c r="C470" s="16"/>
      <c r="D470" s="15"/>
      <c r="E470" s="17"/>
      <c r="F470" s="54"/>
      <c r="G470" s="19"/>
      <c r="H470" s="17"/>
      <c r="I470" s="19"/>
      <c r="J470" s="21"/>
      <c r="K470" s="57"/>
      <c r="L470" s="24"/>
      <c r="M470" s="25"/>
      <c r="N470" s="25"/>
      <c r="O470" s="26"/>
      <c r="P470" s="26"/>
    </row>
    <row r="471">
      <c r="A471" s="52"/>
      <c r="B471" s="15"/>
      <c r="C471" s="16"/>
      <c r="D471" s="15"/>
      <c r="E471" s="17"/>
      <c r="F471" s="54"/>
      <c r="G471" s="19"/>
      <c r="H471" s="17"/>
      <c r="I471" s="19"/>
      <c r="J471" s="21"/>
      <c r="K471" s="57"/>
      <c r="L471" s="24"/>
      <c r="M471" s="25"/>
      <c r="N471" s="25"/>
      <c r="O471" s="26"/>
      <c r="P471" s="26"/>
    </row>
    <row r="472">
      <c r="A472" s="52"/>
      <c r="B472" s="15"/>
      <c r="C472" s="16"/>
      <c r="D472" s="15"/>
      <c r="E472" s="17"/>
      <c r="F472" s="54"/>
      <c r="G472" s="19"/>
      <c r="H472" s="17"/>
      <c r="I472" s="19"/>
      <c r="J472" s="21"/>
      <c r="K472" s="57"/>
      <c r="L472" s="24"/>
      <c r="M472" s="25"/>
      <c r="N472" s="25"/>
      <c r="O472" s="26"/>
      <c r="P472" s="26"/>
    </row>
    <row r="473">
      <c r="A473" s="52"/>
      <c r="B473" s="15"/>
      <c r="C473" s="16"/>
      <c r="D473" s="15"/>
      <c r="E473" s="17"/>
      <c r="F473" s="54"/>
      <c r="G473" s="19"/>
      <c r="H473" s="17"/>
      <c r="I473" s="19"/>
      <c r="J473" s="21"/>
      <c r="K473" s="57"/>
      <c r="L473" s="24"/>
      <c r="M473" s="25"/>
      <c r="N473" s="25"/>
      <c r="O473" s="26"/>
      <c r="P473" s="26"/>
    </row>
    <row r="474">
      <c r="A474" s="52"/>
      <c r="B474" s="15"/>
      <c r="C474" s="16"/>
      <c r="D474" s="15"/>
      <c r="E474" s="17"/>
      <c r="F474" s="54"/>
      <c r="G474" s="19"/>
      <c r="H474" s="17"/>
      <c r="I474" s="19"/>
      <c r="J474" s="21"/>
      <c r="K474" s="57"/>
      <c r="L474" s="24"/>
      <c r="M474" s="25"/>
      <c r="N474" s="25"/>
      <c r="O474" s="26"/>
      <c r="P474" s="26"/>
    </row>
    <row r="475">
      <c r="A475" s="52"/>
      <c r="B475" s="15"/>
      <c r="C475" s="16"/>
      <c r="D475" s="15"/>
      <c r="E475" s="17"/>
      <c r="F475" s="54"/>
      <c r="G475" s="19"/>
      <c r="H475" s="17"/>
      <c r="I475" s="19"/>
      <c r="J475" s="21"/>
      <c r="K475" s="57"/>
      <c r="L475" s="24"/>
      <c r="M475" s="25"/>
      <c r="N475" s="25"/>
      <c r="O475" s="26"/>
      <c r="P475" s="26"/>
    </row>
    <row r="476">
      <c r="A476" s="52"/>
      <c r="B476" s="15"/>
      <c r="C476" s="16"/>
      <c r="D476" s="15"/>
      <c r="E476" s="17"/>
      <c r="F476" s="54"/>
      <c r="G476" s="19"/>
      <c r="H476" s="17"/>
      <c r="I476" s="19"/>
      <c r="J476" s="21"/>
      <c r="K476" s="57"/>
      <c r="L476" s="24"/>
      <c r="M476" s="25"/>
      <c r="N476" s="25"/>
      <c r="O476" s="26"/>
      <c r="P476" s="26"/>
    </row>
    <row r="477">
      <c r="A477" s="52"/>
      <c r="B477" s="15"/>
      <c r="C477" s="16"/>
      <c r="D477" s="15"/>
      <c r="E477" s="17"/>
      <c r="F477" s="54"/>
      <c r="G477" s="19"/>
      <c r="H477" s="17"/>
      <c r="I477" s="19"/>
      <c r="J477" s="21"/>
      <c r="K477" s="57"/>
      <c r="L477" s="24"/>
      <c r="M477" s="25"/>
      <c r="N477" s="25"/>
      <c r="O477" s="26"/>
      <c r="P477" s="26"/>
    </row>
    <row r="478">
      <c r="A478" s="52"/>
      <c r="B478" s="15"/>
      <c r="C478" s="16"/>
      <c r="D478" s="15"/>
      <c r="E478" s="17"/>
      <c r="F478" s="54"/>
      <c r="G478" s="19"/>
      <c r="H478" s="17"/>
      <c r="I478" s="19"/>
      <c r="J478" s="21"/>
      <c r="K478" s="57"/>
      <c r="L478" s="24"/>
      <c r="M478" s="25"/>
      <c r="N478" s="25"/>
      <c r="O478" s="26"/>
      <c r="P478" s="26"/>
    </row>
    <row r="479">
      <c r="A479" s="52"/>
      <c r="B479" s="15"/>
      <c r="C479" s="16"/>
      <c r="D479" s="15"/>
      <c r="E479" s="17"/>
      <c r="F479" s="54"/>
      <c r="G479" s="19"/>
      <c r="H479" s="17"/>
      <c r="I479" s="19"/>
      <c r="J479" s="21"/>
      <c r="K479" s="57"/>
      <c r="L479" s="24"/>
      <c r="M479" s="25"/>
      <c r="N479" s="25"/>
      <c r="O479" s="26"/>
      <c r="P479" s="26"/>
    </row>
    <row r="480">
      <c r="A480" s="52"/>
      <c r="B480" s="15"/>
      <c r="C480" s="16"/>
      <c r="D480" s="15"/>
      <c r="E480" s="17"/>
      <c r="F480" s="54"/>
      <c r="G480" s="19"/>
      <c r="H480" s="17"/>
      <c r="I480" s="19"/>
      <c r="J480" s="21"/>
      <c r="K480" s="57"/>
      <c r="L480" s="24"/>
      <c r="M480" s="25"/>
      <c r="N480" s="25"/>
      <c r="O480" s="26"/>
      <c r="P480" s="26"/>
    </row>
    <row r="481">
      <c r="A481" s="52"/>
      <c r="B481" s="15"/>
      <c r="C481" s="16"/>
      <c r="D481" s="15"/>
      <c r="E481" s="17"/>
      <c r="F481" s="54"/>
      <c r="G481" s="19"/>
      <c r="H481" s="17"/>
      <c r="I481" s="19"/>
      <c r="J481" s="21"/>
      <c r="K481" s="57"/>
      <c r="L481" s="24"/>
      <c r="M481" s="25"/>
      <c r="N481" s="25"/>
      <c r="O481" s="26"/>
      <c r="P481" s="26"/>
    </row>
    <row r="482">
      <c r="A482" s="52"/>
      <c r="B482" s="15"/>
      <c r="C482" s="16"/>
      <c r="D482" s="15"/>
      <c r="E482" s="17"/>
      <c r="F482" s="54"/>
      <c r="G482" s="19"/>
      <c r="H482" s="17"/>
      <c r="I482" s="19"/>
      <c r="J482" s="21"/>
      <c r="K482" s="57"/>
      <c r="L482" s="24"/>
      <c r="M482" s="25"/>
      <c r="N482" s="25"/>
      <c r="O482" s="26"/>
      <c r="P482" s="26"/>
    </row>
    <row r="483">
      <c r="A483" s="52"/>
      <c r="B483" s="15"/>
      <c r="C483" s="16"/>
      <c r="D483" s="15"/>
      <c r="E483" s="17"/>
      <c r="F483" s="54"/>
      <c r="G483" s="19"/>
      <c r="H483" s="17"/>
      <c r="I483" s="19"/>
      <c r="J483" s="21"/>
      <c r="K483" s="57"/>
      <c r="L483" s="24"/>
      <c r="M483" s="25"/>
      <c r="N483" s="25"/>
      <c r="O483" s="26"/>
      <c r="P483" s="26"/>
    </row>
    <row r="484">
      <c r="A484" s="52"/>
      <c r="B484" s="15"/>
      <c r="C484" s="16"/>
      <c r="D484" s="15"/>
      <c r="E484" s="17"/>
      <c r="F484" s="54"/>
      <c r="G484" s="19"/>
      <c r="H484" s="17"/>
      <c r="I484" s="19"/>
      <c r="J484" s="21"/>
      <c r="K484" s="57"/>
      <c r="L484" s="24"/>
      <c r="M484" s="25"/>
      <c r="N484" s="25"/>
      <c r="O484" s="26"/>
      <c r="P484" s="26"/>
    </row>
    <row r="485">
      <c r="A485" s="52"/>
      <c r="B485" s="15"/>
      <c r="C485" s="16"/>
      <c r="D485" s="15"/>
      <c r="E485" s="17"/>
      <c r="F485" s="54"/>
      <c r="G485" s="19"/>
      <c r="H485" s="17"/>
      <c r="I485" s="19"/>
      <c r="J485" s="21"/>
      <c r="K485" s="57"/>
      <c r="L485" s="24"/>
      <c r="M485" s="25"/>
      <c r="N485" s="25"/>
      <c r="O485" s="26"/>
      <c r="P485" s="26"/>
    </row>
    <row r="486">
      <c r="A486" s="52"/>
      <c r="B486" s="15"/>
      <c r="C486" s="16"/>
      <c r="D486" s="15"/>
      <c r="E486" s="17"/>
      <c r="F486" s="54"/>
      <c r="G486" s="19"/>
      <c r="H486" s="17"/>
      <c r="I486" s="19"/>
      <c r="J486" s="21"/>
      <c r="K486" s="57"/>
      <c r="L486" s="24"/>
      <c r="M486" s="25"/>
      <c r="N486" s="25"/>
      <c r="O486" s="26"/>
      <c r="P486" s="26"/>
    </row>
    <row r="487">
      <c r="A487" s="52"/>
      <c r="B487" s="15"/>
      <c r="C487" s="16"/>
      <c r="D487" s="15"/>
      <c r="E487" s="17"/>
      <c r="F487" s="54"/>
      <c r="G487" s="19"/>
      <c r="H487" s="17"/>
      <c r="I487" s="19"/>
      <c r="J487" s="21"/>
      <c r="K487" s="57"/>
      <c r="L487" s="24"/>
      <c r="M487" s="25"/>
      <c r="N487" s="25"/>
      <c r="O487" s="26"/>
      <c r="P487" s="26"/>
    </row>
    <row r="488">
      <c r="A488" s="52"/>
      <c r="B488" s="15"/>
      <c r="C488" s="16"/>
      <c r="D488" s="15"/>
      <c r="E488" s="17"/>
      <c r="F488" s="54"/>
      <c r="G488" s="19"/>
      <c r="H488" s="17"/>
      <c r="I488" s="19"/>
      <c r="J488" s="21"/>
      <c r="K488" s="57"/>
      <c r="L488" s="24"/>
      <c r="M488" s="25"/>
      <c r="N488" s="25"/>
      <c r="O488" s="26"/>
      <c r="P488" s="26"/>
    </row>
    <row r="489">
      <c r="A489" s="52"/>
      <c r="B489" s="15"/>
      <c r="C489" s="16"/>
      <c r="D489" s="15"/>
      <c r="E489" s="17"/>
      <c r="F489" s="54"/>
      <c r="G489" s="19"/>
      <c r="H489" s="17"/>
      <c r="I489" s="19"/>
      <c r="J489" s="21"/>
      <c r="K489" s="57"/>
      <c r="L489" s="24"/>
      <c r="M489" s="25"/>
      <c r="N489" s="25"/>
      <c r="O489" s="26"/>
      <c r="P489" s="26"/>
    </row>
    <row r="490">
      <c r="A490" s="52"/>
      <c r="B490" s="15"/>
      <c r="C490" s="16"/>
      <c r="D490" s="15"/>
      <c r="E490" s="17"/>
      <c r="F490" s="54"/>
      <c r="G490" s="19"/>
      <c r="H490" s="17"/>
      <c r="I490" s="19"/>
      <c r="J490" s="21"/>
      <c r="K490" s="57"/>
      <c r="L490" s="24"/>
      <c r="M490" s="25"/>
      <c r="N490" s="25"/>
      <c r="O490" s="26"/>
      <c r="P490" s="26"/>
    </row>
    <row r="491">
      <c r="A491" s="52"/>
      <c r="B491" s="15"/>
      <c r="C491" s="16"/>
      <c r="D491" s="15"/>
      <c r="E491" s="17"/>
      <c r="F491" s="54"/>
      <c r="G491" s="19"/>
      <c r="H491" s="17"/>
      <c r="I491" s="19"/>
      <c r="J491" s="21"/>
      <c r="K491" s="57"/>
      <c r="L491" s="24"/>
      <c r="M491" s="25"/>
      <c r="N491" s="25"/>
      <c r="O491" s="26"/>
      <c r="P491" s="26"/>
    </row>
    <row r="492">
      <c r="A492" s="52"/>
      <c r="B492" s="15"/>
      <c r="C492" s="16"/>
      <c r="D492" s="15"/>
      <c r="E492" s="17"/>
      <c r="F492" s="54"/>
      <c r="G492" s="19"/>
      <c r="H492" s="17"/>
      <c r="I492" s="19"/>
      <c r="J492" s="21"/>
      <c r="K492" s="57"/>
      <c r="L492" s="24"/>
      <c r="M492" s="25"/>
      <c r="N492" s="25"/>
      <c r="O492" s="26"/>
      <c r="P492" s="26"/>
    </row>
    <row r="493">
      <c r="A493" s="52"/>
      <c r="B493" s="15"/>
      <c r="C493" s="16"/>
      <c r="D493" s="15"/>
      <c r="E493" s="17"/>
      <c r="F493" s="54"/>
      <c r="G493" s="19"/>
      <c r="H493" s="17"/>
      <c r="I493" s="19"/>
      <c r="J493" s="21"/>
      <c r="K493" s="57"/>
      <c r="L493" s="24"/>
      <c r="M493" s="25"/>
      <c r="N493" s="25"/>
      <c r="O493" s="26"/>
      <c r="P493" s="26"/>
    </row>
    <row r="494">
      <c r="A494" s="52"/>
      <c r="B494" s="15"/>
      <c r="C494" s="16"/>
      <c r="D494" s="15"/>
      <c r="E494" s="17"/>
      <c r="F494" s="54"/>
      <c r="G494" s="19"/>
      <c r="H494" s="17"/>
      <c r="I494" s="19"/>
      <c r="J494" s="21"/>
      <c r="K494" s="57"/>
      <c r="L494" s="24"/>
      <c r="M494" s="25"/>
      <c r="N494" s="25"/>
      <c r="O494" s="26"/>
      <c r="P494" s="26"/>
    </row>
    <row r="495">
      <c r="A495" s="52"/>
      <c r="B495" s="15"/>
      <c r="C495" s="16"/>
      <c r="D495" s="15"/>
      <c r="E495" s="17"/>
      <c r="F495" s="54"/>
      <c r="G495" s="19"/>
      <c r="H495" s="17"/>
      <c r="I495" s="19"/>
      <c r="J495" s="21"/>
      <c r="K495" s="57"/>
      <c r="L495" s="24"/>
      <c r="M495" s="25"/>
      <c r="N495" s="25"/>
      <c r="O495" s="26"/>
      <c r="P495" s="26"/>
    </row>
    <row r="496">
      <c r="A496" s="52"/>
      <c r="B496" s="15"/>
      <c r="C496" s="16"/>
      <c r="D496" s="15"/>
      <c r="E496" s="17"/>
      <c r="F496" s="54"/>
      <c r="G496" s="19"/>
      <c r="H496" s="17"/>
      <c r="I496" s="19"/>
      <c r="J496" s="21"/>
      <c r="K496" s="57"/>
      <c r="L496" s="24"/>
      <c r="M496" s="25"/>
      <c r="N496" s="25"/>
      <c r="O496" s="26"/>
      <c r="P496" s="26"/>
    </row>
    <row r="497">
      <c r="A497" s="52"/>
      <c r="B497" s="15"/>
      <c r="C497" s="16"/>
      <c r="D497" s="15"/>
      <c r="E497" s="17"/>
      <c r="F497" s="54"/>
      <c r="G497" s="19"/>
      <c r="H497" s="17"/>
      <c r="I497" s="19"/>
      <c r="J497" s="21"/>
      <c r="K497" s="57"/>
      <c r="L497" s="24"/>
      <c r="M497" s="25"/>
      <c r="N497" s="25"/>
      <c r="O497" s="26"/>
      <c r="P497" s="26"/>
    </row>
    <row r="498">
      <c r="A498" s="52"/>
      <c r="B498" s="15"/>
      <c r="C498" s="16"/>
      <c r="D498" s="15"/>
      <c r="E498" s="17"/>
      <c r="F498" s="54"/>
      <c r="G498" s="19"/>
      <c r="H498" s="17"/>
      <c r="I498" s="19"/>
      <c r="J498" s="21"/>
      <c r="K498" s="57"/>
      <c r="L498" s="24"/>
      <c r="M498" s="25"/>
      <c r="N498" s="25"/>
      <c r="O498" s="26"/>
      <c r="P498" s="26"/>
    </row>
    <row r="499">
      <c r="A499" s="52"/>
      <c r="B499" s="15"/>
      <c r="C499" s="16"/>
      <c r="D499" s="15"/>
      <c r="E499" s="17"/>
      <c r="F499" s="54"/>
      <c r="G499" s="19"/>
      <c r="H499" s="17"/>
      <c r="I499" s="19"/>
      <c r="J499" s="21"/>
      <c r="K499" s="57"/>
      <c r="L499" s="24"/>
      <c r="M499" s="25"/>
      <c r="N499" s="25"/>
      <c r="O499" s="26"/>
      <c r="P499" s="26"/>
    </row>
    <row r="500">
      <c r="A500" s="52"/>
      <c r="B500" s="15"/>
      <c r="C500" s="16"/>
      <c r="D500" s="15"/>
      <c r="E500" s="17"/>
      <c r="F500" s="54"/>
      <c r="G500" s="19"/>
      <c r="H500" s="17"/>
      <c r="I500" s="19"/>
      <c r="J500" s="21"/>
      <c r="K500" s="57"/>
      <c r="L500" s="24"/>
      <c r="M500" s="25"/>
      <c r="N500" s="25"/>
      <c r="O500" s="26"/>
      <c r="P500" s="26"/>
    </row>
    <row r="501">
      <c r="A501" s="52"/>
      <c r="B501" s="15"/>
      <c r="C501" s="16"/>
      <c r="D501" s="15"/>
      <c r="E501" s="17"/>
      <c r="F501" s="54"/>
      <c r="G501" s="19"/>
      <c r="H501" s="17"/>
      <c r="I501" s="19"/>
      <c r="J501" s="21"/>
      <c r="K501" s="57"/>
      <c r="L501" s="24"/>
      <c r="M501" s="25"/>
      <c r="N501" s="25"/>
      <c r="O501" s="26"/>
      <c r="P501" s="26"/>
    </row>
    <row r="502">
      <c r="A502" s="52"/>
      <c r="B502" s="15"/>
      <c r="C502" s="16"/>
      <c r="D502" s="15"/>
      <c r="E502" s="17"/>
      <c r="F502" s="54"/>
      <c r="G502" s="19"/>
      <c r="H502" s="17"/>
      <c r="I502" s="19"/>
      <c r="J502" s="21"/>
      <c r="K502" s="57"/>
      <c r="L502" s="24"/>
      <c r="M502" s="25"/>
      <c r="N502" s="25"/>
      <c r="O502" s="26"/>
      <c r="P502" s="26"/>
    </row>
    <row r="503">
      <c r="A503" s="52"/>
      <c r="B503" s="15"/>
      <c r="C503" s="16"/>
      <c r="D503" s="15"/>
      <c r="E503" s="17"/>
      <c r="F503" s="54"/>
      <c r="G503" s="19"/>
      <c r="H503" s="17"/>
      <c r="I503" s="19"/>
      <c r="J503" s="21"/>
      <c r="K503" s="57"/>
      <c r="L503" s="24"/>
      <c r="M503" s="25"/>
      <c r="N503" s="25"/>
      <c r="O503" s="26"/>
      <c r="P503" s="26"/>
    </row>
    <row r="504">
      <c r="A504" s="52"/>
      <c r="B504" s="15"/>
      <c r="C504" s="16"/>
      <c r="D504" s="15"/>
      <c r="E504" s="17"/>
      <c r="F504" s="54"/>
      <c r="G504" s="19"/>
      <c r="H504" s="17"/>
      <c r="I504" s="19"/>
      <c r="J504" s="21"/>
      <c r="K504" s="57"/>
      <c r="L504" s="24"/>
      <c r="M504" s="25"/>
      <c r="N504" s="25"/>
      <c r="O504" s="26"/>
      <c r="P504" s="26"/>
    </row>
    <row r="505">
      <c r="A505" s="52"/>
      <c r="B505" s="15"/>
      <c r="C505" s="16"/>
      <c r="D505" s="15"/>
      <c r="E505" s="17"/>
      <c r="F505" s="54"/>
      <c r="G505" s="19"/>
      <c r="H505" s="17"/>
      <c r="I505" s="19"/>
      <c r="J505" s="21"/>
      <c r="K505" s="57"/>
      <c r="L505" s="24"/>
      <c r="M505" s="25"/>
      <c r="N505" s="25"/>
      <c r="O505" s="26"/>
      <c r="P505" s="26"/>
    </row>
    <row r="506">
      <c r="A506" s="52"/>
      <c r="B506" s="15"/>
      <c r="C506" s="16"/>
      <c r="D506" s="15"/>
      <c r="E506" s="17"/>
      <c r="F506" s="54"/>
      <c r="G506" s="19"/>
      <c r="H506" s="17"/>
      <c r="I506" s="19"/>
      <c r="J506" s="21"/>
      <c r="K506" s="57"/>
      <c r="L506" s="24"/>
      <c r="M506" s="25"/>
      <c r="N506" s="25"/>
      <c r="O506" s="26"/>
      <c r="P506" s="26"/>
    </row>
    <row r="507">
      <c r="A507" s="52"/>
      <c r="B507" s="15"/>
      <c r="C507" s="16"/>
      <c r="D507" s="15"/>
      <c r="E507" s="17"/>
      <c r="F507" s="54"/>
      <c r="G507" s="19"/>
      <c r="H507" s="17"/>
      <c r="I507" s="19"/>
      <c r="J507" s="21"/>
      <c r="K507" s="57"/>
      <c r="L507" s="24"/>
      <c r="M507" s="25"/>
      <c r="N507" s="25"/>
      <c r="O507" s="26"/>
      <c r="P507" s="26"/>
    </row>
    <row r="508">
      <c r="A508" s="52"/>
      <c r="B508" s="15"/>
      <c r="C508" s="16"/>
      <c r="D508" s="15"/>
      <c r="E508" s="17"/>
      <c r="F508" s="54"/>
      <c r="G508" s="19"/>
      <c r="H508" s="17"/>
      <c r="I508" s="19"/>
      <c r="J508" s="21"/>
      <c r="K508" s="57"/>
      <c r="L508" s="24"/>
      <c r="M508" s="25"/>
      <c r="N508" s="25"/>
      <c r="O508" s="26"/>
      <c r="P508" s="26"/>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17.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16.43"/>
  </cols>
  <sheetData>
    <row r="1">
      <c r="A1" s="1" t="s">
        <v>0</v>
      </c>
      <c r="B1" s="2">
        <f>COUNTIF(D2:D779,"Active")+COUNTIF(D2:D779,"Leaving Soon")</f>
        <v>23</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List'!C2:C779, ""Remasters""), NOT(REGEXMATCH('Master List'!D2:D779, ""Removed"")) ), 10, false)"),"UNCHARTED: The Nathan Drake Collection")</f>
        <v>UNCHARTED: The Nathan Drake Collection</v>
      </c>
      <c r="B3" s="15" t="str">
        <f>IFERROR(__xludf.DUMMYFUNCTION("""COMPUTED_VALUE"""),"PS4")</f>
        <v>PS4</v>
      </c>
      <c r="C3" s="16" t="str">
        <f>IFERROR(__xludf.DUMMYFUNCTION("""COMPUTED_VALUE"""),"Premium (Remasters)")</f>
        <v>Premium (Remasters)</v>
      </c>
      <c r="D3" s="15" t="str">
        <f>IFERROR(__xludf.DUMMYFUNCTION("""COMPUTED_VALUE"""),"Active")</f>
        <v>Active</v>
      </c>
      <c r="E3" s="17">
        <f>IFERROR(__xludf.DUMMYFUNCTION("""COMPUTED_VALUE"""),44725.0)</f>
        <v>44725</v>
      </c>
      <c r="F3" s="18"/>
      <c r="G3" s="19">
        <f>IFERROR(__xludf.DUMMYFUNCTION("""COMPUTED_VALUE"""),51.766666666666666)</f>
        <v>51.76666667</v>
      </c>
      <c r="H3" s="17">
        <f>IFERROR(__xludf.DUMMYFUNCTION("""COMPUTED_VALUE"""),42278.0)</f>
        <v>42278</v>
      </c>
      <c r="I3" s="19">
        <f>IFERROR(__xludf.DUMMYFUNCTION("""COMPUTED_VALUE"""),6.7)</f>
        <v>6.7</v>
      </c>
      <c r="J3" s="21">
        <f>IFERROR(__xludf.DUMMYFUNCTION("""COMPUTED_VALUE"""),86.0)</f>
        <v>86</v>
      </c>
      <c r="K3" s="23">
        <f>IFERROR(__xludf.DUMMYFUNCTION("""COMPUTED_VALUE"""),8.6)</f>
        <v>8.6</v>
      </c>
      <c r="L3" s="24">
        <f>IFERROR(__xludf.DUMMYFUNCTION("""COMPUTED_VALUE"""),34.0)</f>
        <v>34</v>
      </c>
      <c r="M3" s="25" t="str">
        <f>IFERROR(__xludf.DUMMYFUNCTION("""COMPUTED_VALUE"""),"Action-Adventure")</f>
        <v>Action-Adventure</v>
      </c>
      <c r="N3" s="25" t="str">
        <f>IFERROR(__xludf.DUMMYFUNCTION("""COMPUTED_VALUE"""),"PS3")</f>
        <v>PS3</v>
      </c>
      <c r="O3" s="26" t="str">
        <f>IFERROR(__xludf.DUMMYFUNCTION("""COMPUTED_VALUE"""),"No")</f>
        <v>No</v>
      </c>
      <c r="P3" s="26"/>
    </row>
    <row r="4">
      <c r="A4" s="13" t="str">
        <f>IFERROR(__xludf.DUMMYFUNCTION("""COMPUTED_VALUE"""),"WipEout: Omega Collection")</f>
        <v>WipEout: Omega Collection</v>
      </c>
      <c r="B4" s="15" t="str">
        <f>IFERROR(__xludf.DUMMYFUNCTION("""COMPUTED_VALUE"""),"PS4/PSVR")</f>
        <v>PS4/PSVR</v>
      </c>
      <c r="C4" s="16" t="str">
        <f>IFERROR(__xludf.DUMMYFUNCTION("""COMPUTED_VALUE"""),"Premium (Remasters)")</f>
        <v>Premium (Remasters)</v>
      </c>
      <c r="D4" s="15" t="str">
        <f>IFERROR(__xludf.DUMMYFUNCTION("""COMPUTED_VALUE"""),"Active")</f>
        <v>Active</v>
      </c>
      <c r="E4" s="17">
        <f>IFERROR(__xludf.DUMMYFUNCTION("""COMPUTED_VALUE"""),43683.0)</f>
        <v>43683</v>
      </c>
      <c r="F4" s="18"/>
      <c r="G4" s="19">
        <f>IFERROR(__xludf.DUMMYFUNCTION("""COMPUTED_VALUE"""),86.0)</f>
        <v>86</v>
      </c>
      <c r="H4" s="17">
        <f>IFERROR(__xludf.DUMMYFUNCTION("""COMPUTED_VALUE"""),41365.0)</f>
        <v>41365</v>
      </c>
      <c r="I4" s="19">
        <f>IFERROR(__xludf.DUMMYFUNCTION("""COMPUTED_VALUE"""),6.347222222222222)</f>
        <v>6.347222222</v>
      </c>
      <c r="J4" s="21">
        <f>IFERROR(__xludf.DUMMYFUNCTION("""COMPUTED_VALUE"""),85.0)</f>
        <v>85</v>
      </c>
      <c r="K4" s="23">
        <f>IFERROR(__xludf.DUMMYFUNCTION("""COMPUTED_VALUE"""),8.2)</f>
        <v>8.2</v>
      </c>
      <c r="L4" s="24">
        <f>IFERROR(__xludf.DUMMYFUNCTION("""COMPUTED_VALUE"""),8.0)</f>
        <v>8</v>
      </c>
      <c r="M4" s="25" t="str">
        <f>IFERROR(__xludf.DUMMYFUNCTION("""COMPUTED_VALUE"""),"Racing")</f>
        <v>Racing</v>
      </c>
      <c r="N4" s="25" t="str">
        <f>IFERROR(__xludf.DUMMYFUNCTION("""COMPUTED_VALUE"""),"PS3")</f>
        <v>PS3</v>
      </c>
      <c r="O4" s="26" t="str">
        <f>IFERROR(__xludf.DUMMYFUNCTION("""COMPUTED_VALUE"""),"No")</f>
        <v>No</v>
      </c>
      <c r="P4" s="26" t="str">
        <f>IFERROR(__xludf.DUMMYFUNCTION("""COMPUTED_VALUE"""),"Yes")</f>
        <v>Yes</v>
      </c>
    </row>
    <row r="5">
      <c r="A5" s="13" t="str">
        <f>IFERROR(__xludf.DUMMYFUNCTION("""COMPUTED_VALUE"""),"Metro Redux")</f>
        <v>Metro Redux</v>
      </c>
      <c r="B5" s="15" t="str">
        <f>IFERROR(__xludf.DUMMYFUNCTION("""COMPUTED_VALUE"""),"PS4")</f>
        <v>PS4</v>
      </c>
      <c r="C5" s="16" t="str">
        <f>IFERROR(__xludf.DUMMYFUNCTION("""COMPUTED_VALUE"""),"Premium (Remasters)")</f>
        <v>Premium (Remasters)</v>
      </c>
      <c r="D5" s="15" t="str">
        <f>IFERROR(__xludf.DUMMYFUNCTION("""COMPUTED_VALUE"""),"Active")</f>
        <v>Active</v>
      </c>
      <c r="E5" s="17">
        <f>IFERROR(__xludf.DUMMYFUNCTION("""COMPUTED_VALUE"""),46280.0)</f>
        <v>46280</v>
      </c>
      <c r="F5" s="18"/>
      <c r="G5" s="19">
        <f>IFERROR(__xludf.DUMMYFUNCTION("""COMPUTED_VALUE"""),0.7)</f>
        <v>0.7</v>
      </c>
      <c r="H5" s="17">
        <f>IFERROR(__xludf.DUMMYFUNCTION("""COMPUTED_VALUE"""),41877.0)</f>
        <v>41877</v>
      </c>
      <c r="I5" s="19">
        <f>IFERROR(__xludf.DUMMYFUNCTION("""COMPUTED_VALUE"""),12.052777777777777)</f>
        <v>12.05277778</v>
      </c>
      <c r="J5" s="21">
        <f>IFERROR(__xludf.DUMMYFUNCTION("""COMPUTED_VALUE"""),83.0)</f>
        <v>83</v>
      </c>
      <c r="K5" s="23">
        <f>IFERROR(__xludf.DUMMYFUNCTION("""COMPUTED_VALUE"""),8.1)</f>
        <v>8.1</v>
      </c>
      <c r="L5" s="24">
        <f>IFERROR(__xludf.DUMMYFUNCTION("""COMPUTED_VALUE"""),17.0)</f>
        <v>17</v>
      </c>
      <c r="M5" s="25" t="str">
        <f>IFERROR(__xludf.DUMMYFUNCTION("""COMPUTED_VALUE"""),"Shooter")</f>
        <v>Shooter</v>
      </c>
      <c r="N5" s="25" t="str">
        <f>IFERROR(__xludf.DUMMYFUNCTION("""COMPUTED_VALUE"""),"PS3, remasters of Metro 2033 and Metro: Last Light")</f>
        <v>PS3, remasters of Metro 2033 and Metro: Last Light</v>
      </c>
      <c r="O5" s="26"/>
      <c r="P5" s="26"/>
    </row>
    <row r="6">
      <c r="A6" s="13" t="str">
        <f>IFERROR(__xludf.DUMMYFUNCTION("""COMPUTED_VALUE"""),"DOOM + DOOM II: Enhanced")</f>
        <v>DOOM + DOOM II: Enhanced</v>
      </c>
      <c r="B6" s="15" t="str">
        <f>IFERROR(__xludf.DUMMYFUNCTION("""COMPUTED_VALUE"""),"PS4")</f>
        <v>PS4</v>
      </c>
      <c r="C6" s="16" t="str">
        <f>IFERROR(__xludf.DUMMYFUNCTION("""COMPUTED_VALUE"""),"Premium (Remasters)")</f>
        <v>Premium (Remasters)</v>
      </c>
      <c r="D6" s="15" t="str">
        <f>IFERROR(__xludf.DUMMYFUNCTION("""COMPUTED_VALUE"""),"Active")</f>
        <v>Active</v>
      </c>
      <c r="E6" s="17">
        <f>IFERROR(__xludf.DUMMYFUNCTION("""COMPUTED_VALUE"""),45538.0)</f>
        <v>45538</v>
      </c>
      <c r="F6" s="18"/>
      <c r="G6" s="19">
        <f>IFERROR(__xludf.DUMMYFUNCTION("""COMPUTED_VALUE"""),25.1)</f>
        <v>25.1</v>
      </c>
      <c r="H6" s="17">
        <f>IFERROR(__xludf.DUMMYFUNCTION("""COMPUTED_VALUE"""),45512.0)</f>
        <v>45512</v>
      </c>
      <c r="I6" s="19">
        <f>IFERROR(__xludf.DUMMYFUNCTION("""COMPUTED_VALUE"""),0.06944444444444445)</f>
        <v>0.06944444444</v>
      </c>
      <c r="J6" s="21">
        <f>IFERROR(__xludf.DUMMYFUNCTION("""COMPUTED_VALUE"""),82.0)</f>
        <v>82</v>
      </c>
      <c r="K6" s="23">
        <f>IFERROR(__xludf.DUMMYFUNCTION("""COMPUTED_VALUE"""),9.5)</f>
        <v>9.5</v>
      </c>
      <c r="L6" s="24">
        <f>IFERROR(__xludf.DUMMYFUNCTION("""COMPUTED_VALUE"""),12.0)</f>
        <v>12</v>
      </c>
      <c r="M6" s="25" t="str">
        <f>IFERROR(__xludf.DUMMYFUNCTION("""COMPUTED_VALUE"""),"Shooter")</f>
        <v>Shooter</v>
      </c>
      <c r="N6" s="25" t="str">
        <f>IFERROR(__xludf.DUMMYFUNCTION("""COMPUTED_VALUE"""),"MS-DOS")</f>
        <v>MS-DOS</v>
      </c>
      <c r="O6" s="26" t="str">
        <f>IFERROR(__xludf.DUMMYFUNCTION("""COMPUTED_VALUE"""),"No")</f>
        <v>No</v>
      </c>
      <c r="P6" s="26"/>
    </row>
    <row r="7">
      <c r="A7" s="13" t="str">
        <f>IFERROR(__xludf.DUMMYFUNCTION("""COMPUTED_VALUE"""),"God of War III: Remastered")</f>
        <v>God of War III: Remastered</v>
      </c>
      <c r="B7" s="15" t="str">
        <f>IFERROR(__xludf.DUMMYFUNCTION("""COMPUTED_VALUE"""),"PS4")</f>
        <v>PS4</v>
      </c>
      <c r="C7" s="16" t="str">
        <f>IFERROR(__xludf.DUMMYFUNCTION("""COMPUTED_VALUE"""),"Premium (Remasters)")</f>
        <v>Premium (Remasters)</v>
      </c>
      <c r="D7" s="15" t="str">
        <f>IFERROR(__xludf.DUMMYFUNCTION("""COMPUTED_VALUE"""),"Active")</f>
        <v>Active</v>
      </c>
      <c r="E7" s="17">
        <f>IFERROR(__xludf.DUMMYFUNCTION("""COMPUTED_VALUE"""),42922.0)</f>
        <v>42922</v>
      </c>
      <c r="F7" s="18"/>
      <c r="G7" s="19">
        <f>IFERROR(__xludf.DUMMYFUNCTION("""COMPUTED_VALUE"""),111.0)</f>
        <v>111</v>
      </c>
      <c r="H7" s="17">
        <f>IFERROR(__xludf.DUMMYFUNCTION("""COMPUTED_VALUE"""),42186.0)</f>
        <v>42186</v>
      </c>
      <c r="I7" s="19">
        <f>IFERROR(__xludf.DUMMYFUNCTION("""COMPUTED_VALUE"""),2.013888888888889)</f>
        <v>2.013888889</v>
      </c>
      <c r="J7" s="21">
        <f>IFERROR(__xludf.DUMMYFUNCTION("""COMPUTED_VALUE"""),81.0)</f>
        <v>81</v>
      </c>
      <c r="K7" s="23">
        <f>IFERROR(__xludf.DUMMYFUNCTION("""COMPUTED_VALUE"""),8.4)</f>
        <v>8.4</v>
      </c>
      <c r="L7" s="24">
        <f>IFERROR(__xludf.DUMMYFUNCTION("""COMPUTED_VALUE"""),9.0)</f>
        <v>9</v>
      </c>
      <c r="M7" s="25" t="str">
        <f>IFERROR(__xludf.DUMMYFUNCTION("""COMPUTED_VALUE"""),"Action-Adventure")</f>
        <v>Action-Adventure</v>
      </c>
      <c r="N7" s="25" t="str">
        <f>IFERROR(__xludf.DUMMYFUNCTION("""COMPUTED_VALUE"""),"PS3")</f>
        <v>PS3</v>
      </c>
      <c r="O7" s="26" t="str">
        <f>IFERROR(__xludf.DUMMYFUNCTION("""COMPUTED_VALUE"""),"Yes")</f>
        <v>Yes</v>
      </c>
      <c r="P7" s="26"/>
    </row>
    <row r="8">
      <c r="A8" s="13" t="str">
        <f>IFERROR(__xludf.DUMMYFUNCTION("""COMPUTED_VALUE"""),"Dishonored: Definitive Edition")</f>
        <v>Dishonored: Definitive Edition</v>
      </c>
      <c r="B8" s="15" t="str">
        <f>IFERROR(__xludf.DUMMYFUNCTION("""COMPUTED_VALUE"""),"PS4")</f>
        <v>PS4</v>
      </c>
      <c r="C8" s="16" t="str">
        <f>IFERROR(__xludf.DUMMYFUNCTION("""COMPUTED_VALUE"""),"Premium (Remasters)")</f>
        <v>Premium (Remasters)</v>
      </c>
      <c r="D8" s="15" t="str">
        <f>IFERROR(__xludf.DUMMYFUNCTION("""COMPUTED_VALUE"""),"Active")</f>
        <v>Active</v>
      </c>
      <c r="E8" s="17">
        <f>IFERROR(__xludf.DUMMYFUNCTION("""COMPUTED_VALUE"""),45034.0)</f>
        <v>45034</v>
      </c>
      <c r="F8" s="18"/>
      <c r="G8" s="19">
        <f>IFERROR(__xludf.DUMMYFUNCTION("""COMPUTED_VALUE"""),41.6)</f>
        <v>41.6</v>
      </c>
      <c r="H8" s="17">
        <f>IFERROR(__xludf.DUMMYFUNCTION("""COMPUTED_VALUE"""),42241.0)</f>
        <v>42241</v>
      </c>
      <c r="I8" s="19">
        <f>IFERROR(__xludf.DUMMYFUNCTION("""COMPUTED_VALUE"""),7.647222222222222)</f>
        <v>7.647222222</v>
      </c>
      <c r="J8" s="21">
        <f>IFERROR(__xludf.DUMMYFUNCTION("""COMPUTED_VALUE"""),80.0)</f>
        <v>80</v>
      </c>
      <c r="K8" s="23">
        <f>IFERROR(__xludf.DUMMYFUNCTION("""COMPUTED_VALUE"""),8.3)</f>
        <v>8.3</v>
      </c>
      <c r="L8" s="24">
        <f>IFERROR(__xludf.DUMMYFUNCTION("""COMPUTED_VALUE"""),13.0)</f>
        <v>13</v>
      </c>
      <c r="M8" s="25" t="str">
        <f>IFERROR(__xludf.DUMMYFUNCTION("""COMPUTED_VALUE"""),"Shooter")</f>
        <v>Shooter</v>
      </c>
      <c r="N8" s="25" t="str">
        <f>IFERROR(__xludf.DUMMYFUNCTION("""COMPUTED_VALUE"""),"PS3")</f>
        <v>PS3</v>
      </c>
      <c r="O8" s="26" t="str">
        <f>IFERROR(__xludf.DUMMYFUNCTION("""COMPUTED_VALUE"""),"Yes")</f>
        <v>Yes</v>
      </c>
      <c r="P8" s="26"/>
    </row>
    <row r="9">
      <c r="A9" s="35" t="str">
        <f>IFERROR(__xludf.DUMMYFUNCTION("""COMPUTED_VALUE"""),"Lumines: Remastered")</f>
        <v>Lumines: Remastered</v>
      </c>
      <c r="B9" s="15" t="str">
        <f>IFERROR(__xludf.DUMMYFUNCTION("""COMPUTED_VALUE"""),"PS4")</f>
        <v>PS4</v>
      </c>
      <c r="C9" s="16" t="str">
        <f>IFERROR(__xludf.DUMMYFUNCTION("""COMPUTED_VALUE"""),"Premium (Remasters)")</f>
        <v>Premium (Remasters)</v>
      </c>
      <c r="D9" s="15" t="str">
        <f>IFERROR(__xludf.DUMMYFUNCTION("""COMPUTED_VALUE"""),"Active")</f>
        <v>Active</v>
      </c>
      <c r="E9" s="17">
        <f>IFERROR(__xludf.DUMMYFUNCTION("""COMPUTED_VALUE"""),44725.0)</f>
        <v>44725</v>
      </c>
      <c r="F9" s="18"/>
      <c r="G9" s="19">
        <f>IFERROR(__xludf.DUMMYFUNCTION("""COMPUTED_VALUE"""),51.766666666666666)</f>
        <v>51.76666667</v>
      </c>
      <c r="H9" s="17">
        <f>IFERROR(__xludf.DUMMYFUNCTION("""COMPUTED_VALUE"""),43252.0)</f>
        <v>43252</v>
      </c>
      <c r="I9" s="19">
        <f>IFERROR(__xludf.DUMMYFUNCTION("""COMPUTED_VALUE"""),4.033333333333333)</f>
        <v>4.033333333</v>
      </c>
      <c r="J9" s="21">
        <f>IFERROR(__xludf.DUMMYFUNCTION("""COMPUTED_VALUE"""),80.0)</f>
        <v>80</v>
      </c>
      <c r="K9" s="23">
        <f>IFERROR(__xludf.DUMMYFUNCTION("""COMPUTED_VALUE"""),7.6)</f>
        <v>7.6</v>
      </c>
      <c r="L9" s="24">
        <f>IFERROR(__xludf.DUMMYFUNCTION("""COMPUTED_VALUE"""),5.0)</f>
        <v>5</v>
      </c>
      <c r="M9" s="25" t="str">
        <f>IFERROR(__xludf.DUMMYFUNCTION("""COMPUTED_VALUE"""),"Puzzle")</f>
        <v>Puzzle</v>
      </c>
      <c r="N9" s="25" t="str">
        <f>IFERROR(__xludf.DUMMYFUNCTION("""COMPUTED_VALUE"""),"PSP")</f>
        <v>PSP</v>
      </c>
      <c r="O9" s="26" t="str">
        <f>IFERROR(__xludf.DUMMYFUNCTION("""COMPUTED_VALUE"""),"No")</f>
        <v>No</v>
      </c>
      <c r="P9" s="26" t="str">
        <f>IFERROR(__xludf.DUMMYFUNCTION("""COMPUTED_VALUE"""),"Yes")</f>
        <v>Yes</v>
      </c>
    </row>
    <row r="10">
      <c r="A10" s="13" t="str">
        <f>IFERROR(__xludf.DUMMYFUNCTION("""COMPUTED_VALUE"""),"Gravity Rush: Remastered")</f>
        <v>Gravity Rush: Remastered</v>
      </c>
      <c r="B10" s="15" t="str">
        <f>IFERROR(__xludf.DUMMYFUNCTION("""COMPUTED_VALUE"""),"PS4")</f>
        <v>PS4</v>
      </c>
      <c r="C10" s="16" t="str">
        <f>IFERROR(__xludf.DUMMYFUNCTION("""COMPUTED_VALUE"""),"Premium (Remasters)")</f>
        <v>Premium (Remasters)</v>
      </c>
      <c r="D10" s="15" t="str">
        <f>IFERROR(__xludf.DUMMYFUNCTION("""COMPUTED_VALUE"""),"Active")</f>
        <v>Active</v>
      </c>
      <c r="E10" s="17">
        <f>IFERROR(__xludf.DUMMYFUNCTION("""COMPUTED_VALUE"""),43109.0)</f>
        <v>43109</v>
      </c>
      <c r="F10" s="18"/>
      <c r="G10" s="19">
        <f>IFERROR(__xludf.DUMMYFUNCTION("""COMPUTED_VALUE"""),104.9)</f>
        <v>104.9</v>
      </c>
      <c r="H10" s="17">
        <f>IFERROR(__xludf.DUMMYFUNCTION("""COMPUTED_VALUE"""),42401.0)</f>
        <v>42401</v>
      </c>
      <c r="I10" s="19">
        <f>IFERROR(__xludf.DUMMYFUNCTION("""COMPUTED_VALUE"""),1.9388888888888889)</f>
        <v>1.938888889</v>
      </c>
      <c r="J10" s="21">
        <f>IFERROR(__xludf.DUMMYFUNCTION("""COMPUTED_VALUE"""),80.0)</f>
        <v>80</v>
      </c>
      <c r="K10" s="23">
        <f>IFERROR(__xludf.DUMMYFUNCTION("""COMPUTED_VALUE"""),8.1)</f>
        <v>8.1</v>
      </c>
      <c r="L10" s="24">
        <f>IFERROR(__xludf.DUMMYFUNCTION("""COMPUTED_VALUE"""),20.0)</f>
        <v>20</v>
      </c>
      <c r="M10" s="25" t="str">
        <f>IFERROR(__xludf.DUMMYFUNCTION("""COMPUTED_VALUE"""),"Action-Adventure")</f>
        <v>Action-Adventure</v>
      </c>
      <c r="N10" s="25" t="str">
        <f>IFERROR(__xludf.DUMMYFUNCTION("""COMPUTED_VALUE"""),"PS Vita")</f>
        <v>PS Vita</v>
      </c>
      <c r="O10" s="26" t="str">
        <f>IFERROR(__xludf.DUMMYFUNCTION("""COMPUTED_VALUE"""),"Yes")</f>
        <v>Yes</v>
      </c>
      <c r="P10" s="26"/>
    </row>
    <row r="11">
      <c r="A11" s="13" t="str">
        <f>IFERROR(__xludf.DUMMYFUNCTION("""COMPUTED_VALUE"""),"LocoRoco 2: Remastered")</f>
        <v>LocoRoco 2: Remastered</v>
      </c>
      <c r="B11" s="15" t="str">
        <f>IFERROR(__xludf.DUMMYFUNCTION("""COMPUTED_VALUE"""),"PS4")</f>
        <v>PS4</v>
      </c>
      <c r="C11" s="16" t="str">
        <f>IFERROR(__xludf.DUMMYFUNCTION("""COMPUTED_VALUE"""),"Premium (Remasters)")</f>
        <v>Premium (Remasters)</v>
      </c>
      <c r="D11" s="15" t="str">
        <f>IFERROR(__xludf.DUMMYFUNCTION("""COMPUTED_VALUE"""),"Active")</f>
        <v>Active</v>
      </c>
      <c r="E11" s="17">
        <f>IFERROR(__xludf.DUMMYFUNCTION("""COMPUTED_VALUE"""),44725.0)</f>
        <v>44725</v>
      </c>
      <c r="F11" s="18"/>
      <c r="G11" s="19">
        <f>IFERROR(__xludf.DUMMYFUNCTION("""COMPUTED_VALUE"""),51.766666666666666)</f>
        <v>51.76666667</v>
      </c>
      <c r="H11" s="17">
        <f>IFERROR(__xludf.DUMMYFUNCTION("""COMPUTED_VALUE"""),43070.0)</f>
        <v>43070</v>
      </c>
      <c r="I11" s="19">
        <f>IFERROR(__xludf.DUMMYFUNCTION("""COMPUTED_VALUE"""),4.533333333333333)</f>
        <v>4.533333333</v>
      </c>
      <c r="J11" s="21">
        <f>IFERROR(__xludf.DUMMYFUNCTION("""COMPUTED_VALUE"""),79.0)</f>
        <v>79</v>
      </c>
      <c r="K11" s="23">
        <f>IFERROR(__xludf.DUMMYFUNCTION("""COMPUTED_VALUE"""),7.5)</f>
        <v>7.5</v>
      </c>
      <c r="L11" s="24">
        <f>IFERROR(__xludf.DUMMYFUNCTION("""COMPUTED_VALUE"""),7.0)</f>
        <v>7</v>
      </c>
      <c r="M11" s="25" t="str">
        <f>IFERROR(__xludf.DUMMYFUNCTION("""COMPUTED_VALUE"""),"Platformer")</f>
        <v>Platformer</v>
      </c>
      <c r="N11" s="25" t="str">
        <f>IFERROR(__xludf.DUMMYFUNCTION("""COMPUTED_VALUE"""),"PSP")</f>
        <v>PSP</v>
      </c>
      <c r="O11" s="26" t="str">
        <f>IFERROR(__xludf.DUMMYFUNCTION("""COMPUTED_VALUE"""),"No")</f>
        <v>No</v>
      </c>
      <c r="P11" s="26"/>
    </row>
    <row r="12">
      <c r="A12" s="13" t="str">
        <f>IFERROR(__xludf.DUMMYFUNCTION("""COMPUTED_VALUE"""),"LocoRoco: Remastered")</f>
        <v>LocoRoco: Remastered</v>
      </c>
      <c r="B12" s="15" t="str">
        <f>IFERROR(__xludf.DUMMYFUNCTION("""COMPUTED_VALUE"""),"PS4")</f>
        <v>PS4</v>
      </c>
      <c r="C12" s="16" t="str">
        <f>IFERROR(__xludf.DUMMYFUNCTION("""COMPUTED_VALUE"""),"Premium (Remasters)")</f>
        <v>Premium (Remasters)</v>
      </c>
      <c r="D12" s="15" t="str">
        <f>IFERROR(__xludf.DUMMYFUNCTION("""COMPUTED_VALUE"""),"Active")</f>
        <v>Active</v>
      </c>
      <c r="E12" s="53">
        <f>IFERROR(__xludf.DUMMYFUNCTION("""COMPUTED_VALUE"""),43410.0)</f>
        <v>43410</v>
      </c>
      <c r="F12" s="54"/>
      <c r="G12" s="19">
        <f>IFERROR(__xludf.DUMMYFUNCTION("""COMPUTED_VALUE"""),95.0)</f>
        <v>95</v>
      </c>
      <c r="H12" s="17">
        <f>IFERROR(__xludf.DUMMYFUNCTION("""COMPUTED_VALUE"""),42979.0)</f>
        <v>42979</v>
      </c>
      <c r="I12" s="19">
        <f>IFERROR(__xludf.DUMMYFUNCTION("""COMPUTED_VALUE"""),1.1805555555555556)</f>
        <v>1.180555556</v>
      </c>
      <c r="J12" s="21">
        <f>IFERROR(__xludf.DUMMYFUNCTION("""COMPUTED_VALUE"""),79.0)</f>
        <v>79</v>
      </c>
      <c r="K12" s="23">
        <f>IFERROR(__xludf.DUMMYFUNCTION("""COMPUTED_VALUE"""),7.4)</f>
        <v>7.4</v>
      </c>
      <c r="L12" s="24">
        <f>IFERROR(__xludf.DUMMYFUNCTION("""COMPUTED_VALUE"""),6.0)</f>
        <v>6</v>
      </c>
      <c r="M12" s="25" t="str">
        <f>IFERROR(__xludf.DUMMYFUNCTION("""COMPUTED_VALUE"""),"Platformer")</f>
        <v>Platformer</v>
      </c>
      <c r="N12" s="25" t="str">
        <f>IFERROR(__xludf.DUMMYFUNCTION("""COMPUTED_VALUE"""),"PSP")</f>
        <v>PSP</v>
      </c>
      <c r="O12" s="26" t="str">
        <f>IFERROR(__xludf.DUMMYFUNCTION("""COMPUTED_VALUE"""),"Yes")</f>
        <v>Yes</v>
      </c>
      <c r="P12" s="26"/>
    </row>
    <row r="13">
      <c r="A13" s="13" t="str">
        <f>IFERROR(__xludf.DUMMYFUNCTION("""COMPUTED_VALUE"""),"Heavy Rain (2016)")</f>
        <v>Heavy Rain (2016)</v>
      </c>
      <c r="B13" s="15" t="str">
        <f>IFERROR(__xludf.DUMMYFUNCTION("""COMPUTED_VALUE"""),"PS4")</f>
        <v>PS4</v>
      </c>
      <c r="C13" s="16" t="str">
        <f>IFERROR(__xludf.DUMMYFUNCTION("""COMPUTED_VALUE"""),"Premium (Remasters)")</f>
        <v>Premium (Remasters)</v>
      </c>
      <c r="D13" s="15" t="str">
        <f>IFERROR(__xludf.DUMMYFUNCTION("""COMPUTED_VALUE"""),"Active")</f>
        <v>Active</v>
      </c>
      <c r="E13" s="17">
        <f>IFERROR(__xludf.DUMMYFUNCTION("""COMPUTED_VALUE"""),42556.0)</f>
        <v>42556</v>
      </c>
      <c r="F13" s="54"/>
      <c r="G13" s="19">
        <f>IFERROR(__xludf.DUMMYFUNCTION("""COMPUTED_VALUE"""),123.03333333333333)</f>
        <v>123.0333333</v>
      </c>
      <c r="H13" s="17">
        <f>IFERROR(__xludf.DUMMYFUNCTION("""COMPUTED_VALUE"""),42430.0)</f>
        <v>42430</v>
      </c>
      <c r="I13" s="19">
        <f>IFERROR(__xludf.DUMMYFUNCTION("""COMPUTED_VALUE"""),0.34444444444444444)</f>
        <v>0.3444444444</v>
      </c>
      <c r="J13" s="21">
        <f>IFERROR(__xludf.DUMMYFUNCTION("""COMPUTED_VALUE"""),78.0)</f>
        <v>78</v>
      </c>
      <c r="K13" s="23">
        <f>IFERROR(__xludf.DUMMYFUNCTION("""COMPUTED_VALUE"""),8.4)</f>
        <v>8.4</v>
      </c>
      <c r="L13" s="24">
        <f>IFERROR(__xludf.DUMMYFUNCTION("""COMPUTED_VALUE"""),10.0)</f>
        <v>10</v>
      </c>
      <c r="M13" s="25" t="str">
        <f>IFERROR(__xludf.DUMMYFUNCTION("""COMPUTED_VALUE"""),"Action-Adventure")</f>
        <v>Action-Adventure</v>
      </c>
      <c r="N13" s="25" t="str">
        <f>IFERROR(__xludf.DUMMYFUNCTION("""COMPUTED_VALUE"""),"PS3")</f>
        <v>PS3</v>
      </c>
      <c r="O13" s="26" t="str">
        <f>IFERROR(__xludf.DUMMYFUNCTION("""COMPUTED_VALUE"""),"Yes")</f>
        <v>Yes</v>
      </c>
      <c r="P13" s="26"/>
    </row>
    <row r="14">
      <c r="A14" s="13" t="str">
        <f>IFERROR(__xludf.DUMMYFUNCTION("""COMPUTED_VALUE"""),"STRIDER (2014)")</f>
        <v>STRIDER (2014)</v>
      </c>
      <c r="B14" s="15" t="str">
        <f>IFERROR(__xludf.DUMMYFUNCTION("""COMPUTED_VALUE"""),"PS4")</f>
        <v>PS4</v>
      </c>
      <c r="C14" s="16" t="str">
        <f>IFERROR(__xludf.DUMMYFUNCTION("""COMPUTED_VALUE"""),"Premium (Remasters)")</f>
        <v>Premium (Remasters)</v>
      </c>
      <c r="D14" s="15" t="str">
        <f>IFERROR(__xludf.DUMMYFUNCTION("""COMPUTED_VALUE"""),"Active")</f>
        <v>Active</v>
      </c>
      <c r="E14" s="17">
        <f>IFERROR(__xludf.DUMMYFUNCTION("""COMPUTED_VALUE"""),42311.0)</f>
        <v>42311</v>
      </c>
      <c r="F14" s="54"/>
      <c r="G14" s="19">
        <f>IFERROR(__xludf.DUMMYFUNCTION("""COMPUTED_VALUE"""),131.10000000000002)</f>
        <v>131.1</v>
      </c>
      <c r="H14" s="17">
        <f>IFERROR(__xludf.DUMMYFUNCTION("""COMPUTED_VALUE"""),41671.0)</f>
        <v>41671</v>
      </c>
      <c r="I14" s="19">
        <f>IFERROR(__xludf.DUMMYFUNCTION("""COMPUTED_VALUE"""),1.7555555555555555)</f>
        <v>1.755555556</v>
      </c>
      <c r="J14" s="21">
        <f>IFERROR(__xludf.DUMMYFUNCTION("""COMPUTED_VALUE"""),77.0)</f>
        <v>77</v>
      </c>
      <c r="K14" s="23">
        <f>IFERROR(__xludf.DUMMYFUNCTION("""COMPUTED_VALUE"""),7.8)</f>
        <v>7.8</v>
      </c>
      <c r="L14" s="24">
        <f>IFERROR(__xludf.DUMMYFUNCTION("""COMPUTED_VALUE"""),7.0)</f>
        <v>7</v>
      </c>
      <c r="M14" s="25" t="str">
        <f>IFERROR(__xludf.DUMMYFUNCTION("""COMPUTED_VALUE"""),"Action-Adventure")</f>
        <v>Action-Adventure</v>
      </c>
      <c r="N14" s="25" t="str">
        <f>IFERROR(__xludf.DUMMYFUNCTION("""COMPUTED_VALUE"""),"Arcade")</f>
        <v>Arcade</v>
      </c>
      <c r="O14" s="26" t="str">
        <f>IFERROR(__xludf.DUMMYFUNCTION("""COMPUTED_VALUE"""),"Yes")</f>
        <v>Yes</v>
      </c>
      <c r="P14" s="26"/>
    </row>
    <row r="15">
      <c r="A15" s="13" t="str">
        <f>IFERROR(__xludf.DUMMYFUNCTION("""COMPUTED_VALUE"""),"Patapon 2: Remastered")</f>
        <v>Patapon 2: Remastered</v>
      </c>
      <c r="B15" s="15" t="str">
        <f>IFERROR(__xludf.DUMMYFUNCTION("""COMPUTED_VALUE"""),"PS4")</f>
        <v>PS4</v>
      </c>
      <c r="C15" s="16" t="str">
        <f>IFERROR(__xludf.DUMMYFUNCTION("""COMPUTED_VALUE"""),"Premium (Remasters)")</f>
        <v>Premium (Remasters)</v>
      </c>
      <c r="D15" s="15" t="str">
        <f>IFERROR(__xludf.DUMMYFUNCTION("""COMPUTED_VALUE"""),"Active")</f>
        <v>Active</v>
      </c>
      <c r="E15" s="17">
        <f>IFERROR(__xludf.DUMMYFUNCTION("""COMPUTED_VALUE"""),44725.0)</f>
        <v>44725</v>
      </c>
      <c r="F15" s="54"/>
      <c r="G15" s="19">
        <f>IFERROR(__xludf.DUMMYFUNCTION("""COMPUTED_VALUE"""),51.766666666666666)</f>
        <v>51.76666667</v>
      </c>
      <c r="H15" s="17">
        <f>IFERROR(__xludf.DUMMYFUNCTION("""COMPUTED_VALUE"""),43831.0)</f>
        <v>43831</v>
      </c>
      <c r="I15" s="19">
        <f>IFERROR(__xludf.DUMMYFUNCTION("""COMPUTED_VALUE"""),2.45)</f>
        <v>2.45</v>
      </c>
      <c r="J15" s="21">
        <f>IFERROR(__xludf.DUMMYFUNCTION("""COMPUTED_VALUE"""),75.0)</f>
        <v>75</v>
      </c>
      <c r="K15" s="23">
        <f>IFERROR(__xludf.DUMMYFUNCTION("""COMPUTED_VALUE"""),8.0)</f>
        <v>8</v>
      </c>
      <c r="L15" s="24">
        <f>IFERROR(__xludf.DUMMYFUNCTION("""COMPUTED_VALUE"""),9.0)</f>
        <v>9</v>
      </c>
      <c r="M15" s="25" t="str">
        <f>IFERROR(__xludf.DUMMYFUNCTION("""COMPUTED_VALUE"""),"Rhythm")</f>
        <v>Rhythm</v>
      </c>
      <c r="N15" s="25" t="str">
        <f>IFERROR(__xludf.DUMMYFUNCTION("""COMPUTED_VALUE"""),"PSP")</f>
        <v>PSP</v>
      </c>
      <c r="O15" s="26" t="str">
        <f>IFERROR(__xludf.DUMMYFUNCTION("""COMPUTED_VALUE"""),"Yes")</f>
        <v>Yes</v>
      </c>
      <c r="P15" s="26" t="str">
        <f>IFERROR(__xludf.DUMMYFUNCTION("""COMPUTED_VALUE"""),"Yes")</f>
        <v>Yes</v>
      </c>
    </row>
    <row r="16">
      <c r="A16" s="13" t="str">
        <f>IFERROR(__xludf.DUMMYFUNCTION("""COMPUTED_VALUE"""),"Serious Sam Collection")</f>
        <v>Serious Sam Collection</v>
      </c>
      <c r="B16" s="15" t="str">
        <f>IFERROR(__xludf.DUMMYFUNCTION("""COMPUTED_VALUE"""),"PS4")</f>
        <v>PS4</v>
      </c>
      <c r="C16" s="16" t="str">
        <f>IFERROR(__xludf.DUMMYFUNCTION("""COMPUTED_VALUE"""),"Premium (Remasters)")</f>
        <v>Premium (Remasters)</v>
      </c>
      <c r="D16" s="15" t="str">
        <f>IFERROR(__xludf.DUMMYFUNCTION("""COMPUTED_VALUE"""),"Active")</f>
        <v>Active</v>
      </c>
      <c r="E16" s="17">
        <f>IFERROR(__xludf.DUMMYFUNCTION("""COMPUTED_VALUE"""),44725.0)</f>
        <v>44725</v>
      </c>
      <c r="F16" s="54"/>
      <c r="G16" s="19">
        <f>IFERROR(__xludf.DUMMYFUNCTION("""COMPUTED_VALUE"""),51.766666666666666)</f>
        <v>51.76666667</v>
      </c>
      <c r="H16" s="17">
        <f>IFERROR(__xludf.DUMMYFUNCTION("""COMPUTED_VALUE"""),44152.0)</f>
        <v>44152</v>
      </c>
      <c r="I16" s="19">
        <f>IFERROR(__xludf.DUMMYFUNCTION("""COMPUTED_VALUE"""),1.5722222222222222)</f>
        <v>1.572222222</v>
      </c>
      <c r="J16" s="21">
        <f>IFERROR(__xludf.DUMMYFUNCTION("""COMPUTED_VALUE"""),75.0)</f>
        <v>75</v>
      </c>
      <c r="K16" s="23">
        <f>IFERROR(__xludf.DUMMYFUNCTION("""COMPUTED_VALUE"""),7.4)</f>
        <v>7.4</v>
      </c>
      <c r="L16" s="24">
        <f>IFERROR(__xludf.DUMMYFUNCTION("""COMPUTED_VALUE"""),14.0)</f>
        <v>14</v>
      </c>
      <c r="M16" s="25" t="str">
        <f>IFERROR(__xludf.DUMMYFUNCTION("""COMPUTED_VALUE"""),"Shooter")</f>
        <v>Shooter</v>
      </c>
      <c r="N16" s="25" t="str">
        <f>IFERROR(__xludf.DUMMYFUNCTION("""COMPUTED_VALUE"""),"Windows")</f>
        <v>Windows</v>
      </c>
      <c r="O16" s="26" t="str">
        <f>IFERROR(__xludf.DUMMYFUNCTION("""COMPUTED_VALUE"""),"Yes")</f>
        <v>Yes</v>
      </c>
      <c r="P16" s="26" t="str">
        <f>IFERROR(__xludf.DUMMYFUNCTION("""COMPUTED_VALUE"""),"Yes")</f>
        <v>Yes</v>
      </c>
    </row>
    <row r="17">
      <c r="A17" s="13" t="str">
        <f>IFERROR(__xludf.DUMMYFUNCTION("""COMPUTED_VALUE"""),"Patapon: Remastered")</f>
        <v>Patapon: Remastered</v>
      </c>
      <c r="B17" s="15" t="str">
        <f>IFERROR(__xludf.DUMMYFUNCTION("""COMPUTED_VALUE"""),"PS4")</f>
        <v>PS4</v>
      </c>
      <c r="C17" s="16" t="str">
        <f>IFERROR(__xludf.DUMMYFUNCTION("""COMPUTED_VALUE"""),"Premium (Remasters)")</f>
        <v>Premium (Remasters)</v>
      </c>
      <c r="D17" s="15" t="str">
        <f>IFERROR(__xludf.DUMMYFUNCTION("""COMPUTED_VALUE"""),"Active")</f>
        <v>Active</v>
      </c>
      <c r="E17" s="17">
        <f>IFERROR(__xludf.DUMMYFUNCTION("""COMPUTED_VALUE"""),44725.0)</f>
        <v>44725</v>
      </c>
      <c r="F17" s="54"/>
      <c r="G17" s="19">
        <f>IFERROR(__xludf.DUMMYFUNCTION("""COMPUTED_VALUE"""),51.766666666666666)</f>
        <v>51.76666667</v>
      </c>
      <c r="H17" s="17">
        <f>IFERROR(__xludf.DUMMYFUNCTION("""COMPUTED_VALUE"""),42948.0)</f>
        <v>42948</v>
      </c>
      <c r="I17" s="19">
        <f>IFERROR(__xludf.DUMMYFUNCTION("""COMPUTED_VALUE"""),4.866666666666666)</f>
        <v>4.866666667</v>
      </c>
      <c r="J17" s="21">
        <f>IFERROR(__xludf.DUMMYFUNCTION("""COMPUTED_VALUE"""),72.0)</f>
        <v>72</v>
      </c>
      <c r="K17" s="23">
        <f>IFERROR(__xludf.DUMMYFUNCTION("""COMPUTED_VALUE"""),7.9)</f>
        <v>7.9</v>
      </c>
      <c r="L17" s="24">
        <f>IFERROR(__xludf.DUMMYFUNCTION("""COMPUTED_VALUE"""),7.0)</f>
        <v>7</v>
      </c>
      <c r="M17" s="25" t="str">
        <f>IFERROR(__xludf.DUMMYFUNCTION("""COMPUTED_VALUE"""),"Rhythm")</f>
        <v>Rhythm</v>
      </c>
      <c r="N17" s="25" t="str">
        <f>IFERROR(__xludf.DUMMYFUNCTION("""COMPUTED_VALUE"""),"PSP")</f>
        <v>PSP</v>
      </c>
      <c r="O17" s="26" t="str">
        <f>IFERROR(__xludf.DUMMYFUNCTION("""COMPUTED_VALUE"""),"No")</f>
        <v>No</v>
      </c>
      <c r="P17" s="26"/>
    </row>
    <row r="18">
      <c r="A18" s="13" t="str">
        <f>IFERROR(__xludf.DUMMYFUNCTION("""COMPUTED_VALUE"""),"The Raven: Remastered")</f>
        <v>The Raven: Remastered</v>
      </c>
      <c r="B18" s="15" t="str">
        <f>IFERROR(__xludf.DUMMYFUNCTION("""COMPUTED_VALUE"""),"PS4")</f>
        <v>PS4</v>
      </c>
      <c r="C18" s="16" t="str">
        <f>IFERROR(__xludf.DUMMYFUNCTION("""COMPUTED_VALUE"""),"Premium (Remasters)")</f>
        <v>Premium (Remasters)</v>
      </c>
      <c r="D18" s="15" t="str">
        <f>IFERROR(__xludf.DUMMYFUNCTION("""COMPUTED_VALUE"""),"Active")</f>
        <v>Active</v>
      </c>
      <c r="E18" s="17">
        <f>IFERROR(__xludf.DUMMYFUNCTION("""COMPUTED_VALUE"""),43683.0)</f>
        <v>43683</v>
      </c>
      <c r="F18" s="54"/>
      <c r="G18" s="19">
        <f>IFERROR(__xludf.DUMMYFUNCTION("""COMPUTED_VALUE"""),86.0)</f>
        <v>86</v>
      </c>
      <c r="H18" s="17">
        <f>IFERROR(__xludf.DUMMYFUNCTION("""COMPUTED_VALUE"""),43160.0)</f>
        <v>43160</v>
      </c>
      <c r="I18" s="19">
        <f>IFERROR(__xludf.DUMMYFUNCTION("""COMPUTED_VALUE"""),1.4305555555555556)</f>
        <v>1.430555556</v>
      </c>
      <c r="J18" s="21">
        <f>IFERROR(__xludf.DUMMYFUNCTION("""COMPUTED_VALUE"""),72.0)</f>
        <v>72</v>
      </c>
      <c r="K18" s="23">
        <f>IFERROR(__xludf.DUMMYFUNCTION("""COMPUTED_VALUE"""),7.3)</f>
        <v>7.3</v>
      </c>
      <c r="L18" s="24">
        <f>IFERROR(__xludf.DUMMYFUNCTION("""COMPUTED_VALUE"""),10.0)</f>
        <v>10</v>
      </c>
      <c r="M18" s="25" t="str">
        <f>IFERROR(__xludf.DUMMYFUNCTION("""COMPUTED_VALUE"""),"Point-and-Click")</f>
        <v>Point-and-Click</v>
      </c>
      <c r="N18" s="25" t="str">
        <f>IFERROR(__xludf.DUMMYFUNCTION("""COMPUTED_VALUE"""),"PS3")</f>
        <v>PS3</v>
      </c>
      <c r="O18" s="26" t="str">
        <f>IFERROR(__xludf.DUMMYFUNCTION("""COMPUTED_VALUE"""),"Yes")</f>
        <v>Yes</v>
      </c>
      <c r="P18" s="26"/>
    </row>
    <row r="19">
      <c r="A19" s="13" t="str">
        <f>IFERROR(__xludf.DUMMYFUNCTION("""COMPUTED_VALUE"""),"BEYOND: Two Souls (2016)")</f>
        <v>BEYOND: Two Souls (2016)</v>
      </c>
      <c r="B19" s="15" t="str">
        <f>IFERROR(__xludf.DUMMYFUNCTION("""COMPUTED_VALUE"""),"PS4")</f>
        <v>PS4</v>
      </c>
      <c r="C19" s="16" t="str">
        <f>IFERROR(__xludf.DUMMYFUNCTION("""COMPUTED_VALUE"""),"Premium (Remasters)")</f>
        <v>Premium (Remasters)</v>
      </c>
      <c r="D19" s="15" t="str">
        <f>IFERROR(__xludf.DUMMYFUNCTION("""COMPUTED_VALUE"""),"Active")</f>
        <v>Active</v>
      </c>
      <c r="E19" s="17">
        <f>IFERROR(__xludf.DUMMYFUNCTION("""COMPUTED_VALUE"""),42556.0)</f>
        <v>42556</v>
      </c>
      <c r="F19" s="54"/>
      <c r="G19" s="19">
        <f>IFERROR(__xludf.DUMMYFUNCTION("""COMPUTED_VALUE"""),123.03333333333333)</f>
        <v>123.0333333</v>
      </c>
      <c r="H19" s="17">
        <f>IFERROR(__xludf.DUMMYFUNCTION("""COMPUTED_VALUE"""),42309.0)</f>
        <v>42309</v>
      </c>
      <c r="I19" s="19">
        <f>IFERROR(__xludf.DUMMYFUNCTION("""COMPUTED_VALUE"""),0.6777777777777778)</f>
        <v>0.6777777778</v>
      </c>
      <c r="J19" s="21">
        <f>IFERROR(__xludf.DUMMYFUNCTION("""COMPUTED_VALUE"""),72.0)</f>
        <v>72</v>
      </c>
      <c r="K19" s="23">
        <f>IFERROR(__xludf.DUMMYFUNCTION("""COMPUTED_VALUE"""),8.0)</f>
        <v>8</v>
      </c>
      <c r="L19" s="24">
        <f>IFERROR(__xludf.DUMMYFUNCTION("""COMPUTED_VALUE"""),11.0)</f>
        <v>11</v>
      </c>
      <c r="M19" s="25" t="str">
        <f>IFERROR(__xludf.DUMMYFUNCTION("""COMPUTED_VALUE"""),"Action-Adventure")</f>
        <v>Action-Adventure</v>
      </c>
      <c r="N19" s="25" t="str">
        <f>IFERROR(__xludf.DUMMYFUNCTION("""COMPUTED_VALUE"""),"PS3")</f>
        <v>PS3</v>
      </c>
      <c r="O19" s="26" t="str">
        <f>IFERROR(__xludf.DUMMYFUNCTION("""COMPUTED_VALUE"""),"Yes")</f>
        <v>Yes</v>
      </c>
      <c r="P19" s="26"/>
    </row>
    <row r="20">
      <c r="A20" s="13" t="str">
        <f>IFERROR(__xludf.DUMMYFUNCTION("""COMPUTED_VALUE"""),"Atari Flashback Classics Vol. 1")</f>
        <v>Atari Flashback Classics Vol. 1</v>
      </c>
      <c r="B20" s="15" t="str">
        <f>IFERROR(__xludf.DUMMYFUNCTION("""COMPUTED_VALUE"""),"PS4")</f>
        <v>PS4</v>
      </c>
      <c r="C20" s="16" t="str">
        <f>IFERROR(__xludf.DUMMYFUNCTION("""COMPUTED_VALUE"""),"Premium (Remasters)")</f>
        <v>Premium (Remasters)</v>
      </c>
      <c r="D20" s="15" t="str">
        <f>IFERROR(__xludf.DUMMYFUNCTION("""COMPUTED_VALUE"""),"Active")</f>
        <v>Active</v>
      </c>
      <c r="E20" s="17">
        <f>IFERROR(__xludf.DUMMYFUNCTION("""COMPUTED_VALUE"""),43165.0)</f>
        <v>43165</v>
      </c>
      <c r="F20" s="54"/>
      <c r="G20" s="19">
        <f>IFERROR(__xludf.DUMMYFUNCTION("""COMPUTED_VALUE"""),103.0)</f>
        <v>103</v>
      </c>
      <c r="H20" s="17">
        <f>IFERROR(__xludf.DUMMYFUNCTION("""COMPUTED_VALUE"""),42644.0)</f>
        <v>42644</v>
      </c>
      <c r="I20" s="19">
        <f>IFERROR(__xludf.DUMMYFUNCTION("""COMPUTED_VALUE"""),1.4305555555555556)</f>
        <v>1.430555556</v>
      </c>
      <c r="J20" s="21">
        <f>IFERROR(__xludf.DUMMYFUNCTION("""COMPUTED_VALUE"""),70.0)</f>
        <v>70</v>
      </c>
      <c r="K20" s="23">
        <f>IFERROR(__xludf.DUMMYFUNCTION("""COMPUTED_VALUE"""),6.8)</f>
        <v>6.8</v>
      </c>
      <c r="L20" s="24"/>
      <c r="M20" s="25" t="str">
        <f>IFERROR(__xludf.DUMMYFUNCTION("""COMPUTED_VALUE"""),"Arcade")</f>
        <v>Arcade</v>
      </c>
      <c r="N20" s="25" t="str">
        <f>IFERROR(__xludf.DUMMYFUNCTION("""COMPUTED_VALUE"""),"Atari 2600 and Arcade")</f>
        <v>Atari 2600 and Arcade</v>
      </c>
      <c r="O20" s="26" t="str">
        <f>IFERROR(__xludf.DUMMYFUNCTION("""COMPUTED_VALUE"""),"Yes")</f>
        <v>Yes</v>
      </c>
      <c r="P20" s="26"/>
    </row>
    <row r="21">
      <c r="A21" s="13" t="str">
        <f>IFERROR(__xludf.DUMMYFUNCTION("""COMPUTED_VALUE"""),"Atari Flashback Classics Vol. 2")</f>
        <v>Atari Flashback Classics Vol. 2</v>
      </c>
      <c r="B21" s="15" t="str">
        <f>IFERROR(__xludf.DUMMYFUNCTION("""COMPUTED_VALUE"""),"PS4")</f>
        <v>PS4</v>
      </c>
      <c r="C21" s="16" t="str">
        <f>IFERROR(__xludf.DUMMYFUNCTION("""COMPUTED_VALUE"""),"Premium (Remasters)")</f>
        <v>Premium (Remasters)</v>
      </c>
      <c r="D21" s="15" t="str">
        <f>IFERROR(__xludf.DUMMYFUNCTION("""COMPUTED_VALUE"""),"Active")</f>
        <v>Active</v>
      </c>
      <c r="E21" s="17">
        <f>IFERROR(__xludf.DUMMYFUNCTION("""COMPUTED_VALUE"""),43165.0)</f>
        <v>43165</v>
      </c>
      <c r="F21" s="18"/>
      <c r="G21" s="19">
        <f>IFERROR(__xludf.DUMMYFUNCTION("""COMPUTED_VALUE"""),103.0)</f>
        <v>103</v>
      </c>
      <c r="H21" s="17">
        <f>IFERROR(__xludf.DUMMYFUNCTION("""COMPUTED_VALUE"""),42644.0)</f>
        <v>42644</v>
      </c>
      <c r="I21" s="19">
        <f>IFERROR(__xludf.DUMMYFUNCTION("""COMPUTED_VALUE"""),1.4305555555555556)</f>
        <v>1.430555556</v>
      </c>
      <c r="J21" s="21">
        <f>IFERROR(__xludf.DUMMYFUNCTION("""COMPUTED_VALUE"""),68.0)</f>
        <v>68</v>
      </c>
      <c r="K21" s="23">
        <f>IFERROR(__xludf.DUMMYFUNCTION("""COMPUTED_VALUE"""),7.0)</f>
        <v>7</v>
      </c>
      <c r="L21" s="24"/>
      <c r="M21" s="25" t="str">
        <f>IFERROR(__xludf.DUMMYFUNCTION("""COMPUTED_VALUE"""),"Arcade")</f>
        <v>Arcade</v>
      </c>
      <c r="N21" s="25" t="str">
        <f>IFERROR(__xludf.DUMMYFUNCTION("""COMPUTED_VALUE"""),"Atari 2600 and Arcade")</f>
        <v>Atari 2600 and Arcade</v>
      </c>
      <c r="O21" s="26" t="str">
        <f>IFERROR(__xludf.DUMMYFUNCTION("""COMPUTED_VALUE"""),"Yes")</f>
        <v>Yes</v>
      </c>
      <c r="P21" s="26"/>
    </row>
    <row r="22">
      <c r="A22" s="13" t="str">
        <f>IFERROR(__xludf.DUMMYFUNCTION("""COMPUTED_VALUE"""),"Ghostbusters: The Video Game - Remastered")</f>
        <v>Ghostbusters: The Video Game - Remastered</v>
      </c>
      <c r="B22" s="15" t="str">
        <f>IFERROR(__xludf.DUMMYFUNCTION("""COMPUTED_VALUE"""),"PS4")</f>
        <v>PS4</v>
      </c>
      <c r="C22" s="16" t="str">
        <f>IFERROR(__xludf.DUMMYFUNCTION("""COMPUTED_VALUE"""),"Premium (Remasters)")</f>
        <v>Premium (Remasters)</v>
      </c>
      <c r="D22" s="15" t="str">
        <f>IFERROR(__xludf.DUMMYFUNCTION("""COMPUTED_VALUE"""),"Active")</f>
        <v>Active</v>
      </c>
      <c r="E22" s="17">
        <f>IFERROR(__xludf.DUMMYFUNCTION("""COMPUTED_VALUE"""),45062.0)</f>
        <v>45062</v>
      </c>
      <c r="F22" s="54"/>
      <c r="G22" s="19">
        <f>IFERROR(__xludf.DUMMYFUNCTION("""COMPUTED_VALUE"""),40.666666666666664)</f>
        <v>40.66666667</v>
      </c>
      <c r="H22" s="17">
        <f>IFERROR(__xludf.DUMMYFUNCTION("""COMPUTED_VALUE"""),43742.0)</f>
        <v>43742</v>
      </c>
      <c r="I22" s="19">
        <f>IFERROR(__xludf.DUMMYFUNCTION("""COMPUTED_VALUE"""),3.6166666666666667)</f>
        <v>3.616666667</v>
      </c>
      <c r="J22" s="21">
        <f>IFERROR(__xludf.DUMMYFUNCTION("""COMPUTED_VALUE"""),66.0)</f>
        <v>66</v>
      </c>
      <c r="K22" s="23">
        <f>IFERROR(__xludf.DUMMYFUNCTION("""COMPUTED_VALUE"""),7.1)</f>
        <v>7.1</v>
      </c>
      <c r="L22" s="24">
        <f>IFERROR(__xludf.DUMMYFUNCTION("""COMPUTED_VALUE"""),8.0)</f>
        <v>8</v>
      </c>
      <c r="M22" s="25" t="str">
        <f>IFERROR(__xludf.DUMMYFUNCTION("""COMPUTED_VALUE"""),"Action-Adventure")</f>
        <v>Action-Adventure</v>
      </c>
      <c r="N22" s="25" t="str">
        <f>IFERROR(__xludf.DUMMYFUNCTION("""COMPUTED_VALUE"""),"PS2")</f>
        <v>PS2</v>
      </c>
      <c r="O22" s="26" t="str">
        <f>IFERROR(__xludf.DUMMYFUNCTION("""COMPUTED_VALUE"""),"Yes")</f>
        <v>Yes</v>
      </c>
      <c r="P22" s="26"/>
    </row>
    <row r="23">
      <c r="A23" s="13" t="str">
        <f>IFERROR(__xludf.DUMMYFUNCTION("""COMPUTED_VALUE"""),"Outcast: Second Contact")</f>
        <v>Outcast: Second Contact</v>
      </c>
      <c r="B23" s="15" t="str">
        <f>IFERROR(__xludf.DUMMYFUNCTION("""COMPUTED_VALUE"""),"PS4")</f>
        <v>PS4</v>
      </c>
      <c r="C23" s="16" t="str">
        <f>IFERROR(__xludf.DUMMYFUNCTION("""COMPUTED_VALUE"""),"Premium (Remasters)")</f>
        <v>Premium (Remasters)</v>
      </c>
      <c r="D23" s="15" t="str">
        <f>IFERROR(__xludf.DUMMYFUNCTION("""COMPUTED_VALUE"""),"Active")</f>
        <v>Active</v>
      </c>
      <c r="E23" s="17">
        <f>IFERROR(__xludf.DUMMYFUNCTION("""COMPUTED_VALUE"""),44725.0)</f>
        <v>44725</v>
      </c>
      <c r="F23" s="18"/>
      <c r="G23" s="19">
        <f>IFERROR(__xludf.DUMMYFUNCTION("""COMPUTED_VALUE"""),51.766666666666666)</f>
        <v>51.76666667</v>
      </c>
      <c r="H23" s="17">
        <f>IFERROR(__xludf.DUMMYFUNCTION("""COMPUTED_VALUE"""),43040.0)</f>
        <v>43040</v>
      </c>
      <c r="I23" s="19">
        <f>IFERROR(__xludf.DUMMYFUNCTION("""COMPUTED_VALUE"""),4.616666666666666)</f>
        <v>4.616666667</v>
      </c>
      <c r="J23" s="21">
        <f>IFERROR(__xludf.DUMMYFUNCTION("""COMPUTED_VALUE"""),61.0)</f>
        <v>61</v>
      </c>
      <c r="K23" s="23">
        <f>IFERROR(__xludf.DUMMYFUNCTION("""COMPUTED_VALUE"""),6.6)</f>
        <v>6.6</v>
      </c>
      <c r="L23" s="24">
        <f>IFERROR(__xludf.DUMMYFUNCTION("""COMPUTED_VALUE"""),15.0)</f>
        <v>15</v>
      </c>
      <c r="M23" s="25" t="str">
        <f>IFERROR(__xludf.DUMMYFUNCTION("""COMPUTED_VALUE"""),"Action-Adventure")</f>
        <v>Action-Adventure</v>
      </c>
      <c r="N23" s="25" t="str">
        <f>IFERROR(__xludf.DUMMYFUNCTION("""COMPUTED_VALUE"""),"Windows")</f>
        <v>Windows</v>
      </c>
      <c r="O23" s="26" t="str">
        <f>IFERROR(__xludf.DUMMYFUNCTION("""COMPUTED_VALUE"""),"Yes")</f>
        <v>Yes</v>
      </c>
      <c r="P23" s="26"/>
    </row>
    <row r="24">
      <c r="A24" s="13" t="str">
        <f>IFERROR(__xludf.DUMMYFUNCTION("""COMPUTED_VALUE"""),"Crysis: Remastered")</f>
        <v>Crysis: Remastered</v>
      </c>
      <c r="B24" s="15" t="str">
        <f>IFERROR(__xludf.DUMMYFUNCTION("""COMPUTED_VALUE"""),"PS4")</f>
        <v>PS4</v>
      </c>
      <c r="C24" s="16" t="str">
        <f>IFERROR(__xludf.DUMMYFUNCTION("""COMPUTED_VALUE"""),"Premium (Remasters)")</f>
        <v>Premium (Remasters)</v>
      </c>
      <c r="D24" s="15" t="str">
        <f>IFERROR(__xludf.DUMMYFUNCTION("""COMPUTED_VALUE"""),"Active")</f>
        <v>Active</v>
      </c>
      <c r="E24" s="17">
        <f>IFERROR(__xludf.DUMMYFUNCTION("""COMPUTED_VALUE"""),45097.0)</f>
        <v>45097</v>
      </c>
      <c r="F24" s="18"/>
      <c r="G24" s="19">
        <f>IFERROR(__xludf.DUMMYFUNCTION("""COMPUTED_VALUE"""),39.53333333333333)</f>
        <v>39.53333333</v>
      </c>
      <c r="H24" s="17">
        <f>IFERROR(__xludf.DUMMYFUNCTION("""COMPUTED_VALUE"""),44075.0)</f>
        <v>44075</v>
      </c>
      <c r="I24" s="19">
        <f>IFERROR(__xludf.DUMMYFUNCTION("""COMPUTED_VALUE"""),2.8027777777777776)</f>
        <v>2.802777778</v>
      </c>
      <c r="J24" s="21">
        <f>IFERROR(__xludf.DUMMYFUNCTION("""COMPUTED_VALUE"""),59.0)</f>
        <v>59</v>
      </c>
      <c r="K24" s="23">
        <f>IFERROR(__xludf.DUMMYFUNCTION("""COMPUTED_VALUE"""),7.5)</f>
        <v>7.5</v>
      </c>
      <c r="L24" s="24">
        <f>IFERROR(__xludf.DUMMYFUNCTION("""COMPUTED_VALUE"""),10.0)</f>
        <v>10</v>
      </c>
      <c r="M24" s="25" t="str">
        <f>IFERROR(__xludf.DUMMYFUNCTION("""COMPUTED_VALUE"""),"Shooter")</f>
        <v>Shooter</v>
      </c>
      <c r="N24" s="25" t="str">
        <f>IFERROR(__xludf.DUMMYFUNCTION("""COMPUTED_VALUE"""),"Windows")</f>
        <v>Windows</v>
      </c>
      <c r="O24" s="26" t="str">
        <f>IFERROR(__xludf.DUMMYFUNCTION("""COMPUTED_VALUE"""),"Yes")</f>
        <v>Yes</v>
      </c>
      <c r="P24" s="26"/>
    </row>
    <row r="25">
      <c r="A25" s="13" t="str">
        <f>IFERROR(__xludf.DUMMYFUNCTION("""COMPUTED_VALUE"""),"Q*Bert: Rebooted")</f>
        <v>Q*Bert: Rebooted</v>
      </c>
      <c r="B25" s="15" t="str">
        <f>IFERROR(__xludf.DUMMYFUNCTION("""COMPUTED_VALUE"""),"PS4")</f>
        <v>PS4</v>
      </c>
      <c r="C25" s="16" t="str">
        <f>IFERROR(__xludf.DUMMYFUNCTION("""COMPUTED_VALUE"""),"Premium (Remasters)")</f>
        <v>Premium (Remasters)</v>
      </c>
      <c r="D25" s="15" t="str">
        <f>IFERROR(__xludf.DUMMYFUNCTION("""COMPUTED_VALUE"""),"Active")</f>
        <v>Active</v>
      </c>
      <c r="E25" s="17">
        <f>IFERROR(__xludf.DUMMYFUNCTION("""COMPUTED_VALUE"""),42922.0)</f>
        <v>42922</v>
      </c>
      <c r="F25" s="54"/>
      <c r="G25" s="19">
        <f>IFERROR(__xludf.DUMMYFUNCTION("""COMPUTED_VALUE"""),111.0)</f>
        <v>111</v>
      </c>
      <c r="H25" s="17">
        <f>IFERROR(__xludf.DUMMYFUNCTION("""COMPUTED_VALUE"""),41821.0)</f>
        <v>41821</v>
      </c>
      <c r="I25" s="19">
        <f>IFERROR(__xludf.DUMMYFUNCTION("""COMPUTED_VALUE"""),3.013888888888889)</f>
        <v>3.013888889</v>
      </c>
      <c r="J25" s="21">
        <f>IFERROR(__xludf.DUMMYFUNCTION("""COMPUTED_VALUE"""),44.0)</f>
        <v>44</v>
      </c>
      <c r="K25" s="23">
        <f>IFERROR(__xludf.DUMMYFUNCTION("""COMPUTED_VALUE"""),4.7)</f>
        <v>4.7</v>
      </c>
      <c r="L25" s="24"/>
      <c r="M25" s="25" t="str">
        <f>IFERROR(__xludf.DUMMYFUNCTION("""COMPUTED_VALUE"""),"Arcade")</f>
        <v>Arcade</v>
      </c>
      <c r="N25" s="25" t="str">
        <f>IFERROR(__xludf.DUMMYFUNCTION("""COMPUTED_VALUE"""),"Arcade")</f>
        <v>Arcade</v>
      </c>
      <c r="O25" s="26" t="str">
        <f>IFERROR(__xludf.DUMMYFUNCTION("""COMPUTED_VALUE"""),"Yes")</f>
        <v>Yes</v>
      </c>
      <c r="P25" s="26" t="str">
        <f>IFERROR(__xludf.DUMMYFUNCTION("""COMPUTED_VALUE"""),"Yes")</f>
        <v>Yes</v>
      </c>
    </row>
    <row r="26">
      <c r="A26" s="52"/>
      <c r="B26" s="15"/>
      <c r="C26" s="16"/>
      <c r="D26" s="15"/>
      <c r="E26" s="17"/>
      <c r="F26" s="54"/>
      <c r="G26" s="19"/>
      <c r="H26" s="17"/>
      <c r="I26" s="19"/>
      <c r="J26" s="21"/>
      <c r="K26" s="57"/>
      <c r="L26" s="24"/>
      <c r="M26" s="25"/>
      <c r="N26" s="25"/>
      <c r="O26" s="26"/>
      <c r="P26" s="26"/>
    </row>
    <row r="27">
      <c r="A27" s="52"/>
      <c r="B27" s="15"/>
      <c r="C27" s="16"/>
      <c r="D27" s="15"/>
      <c r="E27" s="17"/>
      <c r="F27" s="54"/>
      <c r="G27" s="19"/>
      <c r="H27" s="17"/>
      <c r="I27" s="19"/>
      <c r="J27" s="21"/>
      <c r="K27" s="57"/>
      <c r="L27" s="24"/>
      <c r="M27" s="25"/>
      <c r="N27" s="25"/>
      <c r="O27" s="26"/>
      <c r="P27" s="26"/>
    </row>
    <row r="28">
      <c r="A28" s="52"/>
      <c r="B28" s="15"/>
      <c r="C28" s="16"/>
      <c r="D28" s="15"/>
      <c r="E28" s="17"/>
      <c r="F28" s="54"/>
      <c r="G28" s="19"/>
      <c r="H28" s="17"/>
      <c r="I28" s="19"/>
      <c r="J28" s="21"/>
      <c r="K28" s="57"/>
      <c r="L28" s="24"/>
      <c r="M28" s="25"/>
      <c r="N28" s="25"/>
      <c r="O28" s="26"/>
      <c r="P28" s="26"/>
    </row>
    <row r="29">
      <c r="A29" s="52"/>
      <c r="B29" s="15"/>
      <c r="C29" s="16"/>
      <c r="D29" s="15"/>
      <c r="E29" s="17"/>
      <c r="F29" s="54"/>
      <c r="G29" s="19"/>
      <c r="H29" s="17"/>
      <c r="I29" s="19"/>
      <c r="J29" s="21"/>
      <c r="K29" s="57"/>
      <c r="L29" s="24"/>
      <c r="M29" s="25"/>
      <c r="N29" s="25"/>
      <c r="O29" s="26"/>
      <c r="P29" s="26"/>
    </row>
    <row r="30">
      <c r="A30" s="52"/>
      <c r="B30" s="15"/>
      <c r="C30" s="16"/>
      <c r="D30" s="15"/>
      <c r="E30" s="17"/>
      <c r="F30" s="54"/>
      <c r="G30" s="19"/>
      <c r="H30" s="17"/>
      <c r="I30" s="19"/>
      <c r="J30" s="21"/>
      <c r="K30" s="57"/>
      <c r="L30" s="24"/>
      <c r="M30" s="25"/>
      <c r="N30" s="25"/>
      <c r="O30" s="26"/>
      <c r="P30" s="26"/>
    </row>
    <row r="31">
      <c r="A31" s="52"/>
      <c r="B31" s="15"/>
      <c r="C31" s="16"/>
      <c r="D31" s="15"/>
      <c r="E31" s="17"/>
      <c r="F31" s="54"/>
      <c r="G31" s="19"/>
      <c r="H31" s="17"/>
      <c r="I31" s="19"/>
      <c r="J31" s="21"/>
      <c r="K31" s="57"/>
      <c r="L31" s="24"/>
      <c r="M31" s="25"/>
      <c r="N31" s="25"/>
      <c r="O31" s="26"/>
      <c r="P31" s="26"/>
    </row>
    <row r="32">
      <c r="A32" s="52"/>
      <c r="B32" s="15"/>
      <c r="C32" s="16"/>
      <c r="D32" s="15"/>
      <c r="E32" s="17"/>
      <c r="F32" s="54"/>
      <c r="G32" s="19"/>
      <c r="H32" s="17"/>
      <c r="I32" s="19"/>
      <c r="J32" s="21"/>
      <c r="K32" s="57"/>
      <c r="L32" s="24"/>
      <c r="M32" s="25"/>
      <c r="N32" s="25"/>
      <c r="O32" s="26"/>
      <c r="P32" s="26"/>
    </row>
    <row r="33">
      <c r="A33" s="52"/>
      <c r="B33" s="15"/>
      <c r="C33" s="16"/>
      <c r="D33" s="15"/>
      <c r="E33" s="17"/>
      <c r="F33" s="54"/>
      <c r="G33" s="19"/>
      <c r="H33" s="17"/>
      <c r="I33" s="19"/>
      <c r="J33" s="21"/>
      <c r="K33" s="57"/>
      <c r="L33" s="24"/>
      <c r="M33" s="25"/>
      <c r="N33" s="25"/>
      <c r="O33" s="26"/>
      <c r="P33" s="26"/>
    </row>
    <row r="34">
      <c r="A34" s="52"/>
      <c r="B34" s="15"/>
      <c r="C34" s="16"/>
      <c r="D34" s="15"/>
      <c r="E34" s="17"/>
      <c r="F34" s="54"/>
      <c r="G34" s="19"/>
      <c r="H34" s="17"/>
      <c r="I34" s="19"/>
      <c r="J34" s="21"/>
      <c r="K34" s="57"/>
      <c r="L34" s="24"/>
      <c r="M34" s="25"/>
      <c r="N34" s="25"/>
      <c r="O34" s="26"/>
      <c r="P34" s="26"/>
    </row>
    <row r="35">
      <c r="A35" s="52"/>
      <c r="B35" s="15"/>
      <c r="C35" s="16"/>
      <c r="D35" s="15"/>
      <c r="E35" s="17"/>
      <c r="F35" s="54"/>
      <c r="G35" s="19"/>
      <c r="H35" s="17"/>
      <c r="I35" s="19"/>
      <c r="J35" s="21"/>
      <c r="K35" s="57"/>
      <c r="L35" s="24"/>
      <c r="M35" s="25"/>
      <c r="N35" s="25"/>
      <c r="O35" s="26"/>
      <c r="P35" s="26"/>
    </row>
    <row r="36">
      <c r="A36" s="52"/>
      <c r="B36" s="15"/>
      <c r="C36" s="16"/>
      <c r="D36" s="15"/>
      <c r="E36" s="17"/>
      <c r="F36" s="54"/>
      <c r="G36" s="19"/>
      <c r="H36" s="17"/>
      <c r="I36" s="19"/>
      <c r="J36" s="21"/>
      <c r="K36" s="57"/>
      <c r="L36" s="24"/>
      <c r="M36" s="25"/>
      <c r="N36" s="25"/>
      <c r="O36" s="26"/>
      <c r="P36" s="26"/>
    </row>
    <row r="37">
      <c r="A37" s="52"/>
      <c r="B37" s="15"/>
      <c r="C37" s="16"/>
      <c r="D37" s="15"/>
      <c r="E37" s="17"/>
      <c r="F37" s="54"/>
      <c r="G37" s="19"/>
      <c r="H37" s="17"/>
      <c r="I37" s="19"/>
      <c r="J37" s="21"/>
      <c r="K37" s="57"/>
      <c r="L37" s="24"/>
      <c r="M37" s="25"/>
      <c r="N37" s="25"/>
      <c r="O37" s="26"/>
      <c r="P37" s="26"/>
    </row>
    <row r="38">
      <c r="A38" s="52"/>
      <c r="B38" s="15"/>
      <c r="C38" s="16"/>
      <c r="D38" s="15"/>
      <c r="E38" s="17"/>
      <c r="F38" s="54"/>
      <c r="G38" s="19"/>
      <c r="H38" s="17"/>
      <c r="I38" s="19"/>
      <c r="J38" s="21"/>
      <c r="K38" s="57"/>
      <c r="L38" s="24"/>
      <c r="M38" s="25"/>
      <c r="N38" s="25"/>
      <c r="O38" s="26"/>
      <c r="P38" s="26"/>
    </row>
    <row r="39">
      <c r="A39" s="52"/>
      <c r="B39" s="15"/>
      <c r="C39" s="16"/>
      <c r="D39" s="15"/>
      <c r="E39" s="17"/>
      <c r="F39" s="54"/>
      <c r="G39" s="19"/>
      <c r="H39" s="17"/>
      <c r="I39" s="19"/>
      <c r="J39" s="21"/>
      <c r="K39" s="57"/>
      <c r="L39" s="24"/>
      <c r="M39" s="25"/>
      <c r="N39" s="25"/>
      <c r="O39" s="26"/>
      <c r="P39" s="26"/>
    </row>
    <row r="40">
      <c r="A40" s="52"/>
      <c r="B40" s="15"/>
      <c r="C40" s="16"/>
      <c r="D40" s="15"/>
      <c r="E40" s="17"/>
      <c r="F40" s="54"/>
      <c r="G40" s="19"/>
      <c r="H40" s="17"/>
      <c r="I40" s="19"/>
      <c r="J40" s="21"/>
      <c r="K40" s="57"/>
      <c r="L40" s="24"/>
      <c r="M40" s="25"/>
      <c r="N40" s="25"/>
      <c r="O40" s="26"/>
      <c r="P40" s="26"/>
    </row>
    <row r="41">
      <c r="A41" s="52"/>
      <c r="B41" s="15"/>
      <c r="C41" s="16"/>
      <c r="D41" s="15"/>
      <c r="E41" s="17"/>
      <c r="F41" s="54"/>
      <c r="G41" s="19"/>
      <c r="H41" s="17"/>
      <c r="I41" s="19"/>
      <c r="J41" s="21"/>
      <c r="K41" s="57"/>
      <c r="L41" s="24"/>
      <c r="M41" s="25"/>
      <c r="N41" s="25"/>
      <c r="O41" s="26"/>
      <c r="P41" s="26"/>
    </row>
    <row r="42">
      <c r="A42" s="52"/>
      <c r="B42" s="15"/>
      <c r="C42" s="16"/>
      <c r="D42" s="15"/>
      <c r="E42" s="17"/>
      <c r="F42" s="54"/>
      <c r="G42" s="19"/>
      <c r="H42" s="17"/>
      <c r="I42" s="19"/>
      <c r="J42" s="21"/>
      <c r="K42" s="57"/>
      <c r="L42" s="24"/>
      <c r="M42" s="25"/>
      <c r="N42" s="25"/>
      <c r="O42" s="26"/>
      <c r="P42" s="26"/>
    </row>
    <row r="43">
      <c r="A43" s="52"/>
      <c r="B43" s="15"/>
      <c r="C43" s="16"/>
      <c r="D43" s="15"/>
      <c r="E43" s="17"/>
      <c r="F43" s="54"/>
      <c r="G43" s="19"/>
      <c r="H43" s="17"/>
      <c r="I43" s="19"/>
      <c r="J43" s="21"/>
      <c r="K43" s="57"/>
      <c r="L43" s="24"/>
      <c r="M43" s="25"/>
      <c r="N43" s="25"/>
      <c r="O43" s="26"/>
      <c r="P43" s="26"/>
    </row>
    <row r="44">
      <c r="A44" s="52"/>
      <c r="B44" s="15"/>
      <c r="C44" s="16"/>
      <c r="D44" s="15"/>
      <c r="E44" s="17"/>
      <c r="F44" s="54"/>
      <c r="G44" s="19"/>
      <c r="H44" s="17"/>
      <c r="I44" s="19"/>
      <c r="J44" s="21"/>
      <c r="K44" s="57"/>
      <c r="L44" s="24"/>
      <c r="M44" s="25"/>
      <c r="N44" s="25"/>
      <c r="O44" s="26"/>
      <c r="P44" s="26"/>
    </row>
    <row r="45">
      <c r="A45" s="52"/>
      <c r="B45" s="15"/>
      <c r="C45" s="16"/>
      <c r="D45" s="15"/>
      <c r="E45" s="17"/>
      <c r="F45" s="54"/>
      <c r="G45" s="19"/>
      <c r="H45" s="17"/>
      <c r="I45" s="19"/>
      <c r="J45" s="21"/>
      <c r="K45" s="57"/>
      <c r="L45" s="24"/>
      <c r="M45" s="25"/>
      <c r="N45" s="25"/>
      <c r="O45" s="26"/>
      <c r="P45" s="26"/>
    </row>
    <row r="46">
      <c r="A46" s="52"/>
      <c r="B46" s="15"/>
      <c r="C46" s="16"/>
      <c r="D46" s="15"/>
      <c r="E46" s="17"/>
      <c r="F46" s="54"/>
      <c r="G46" s="19"/>
      <c r="H46" s="17"/>
      <c r="I46" s="19"/>
      <c r="J46" s="21"/>
      <c r="K46" s="57"/>
      <c r="L46" s="24"/>
      <c r="M46" s="25"/>
      <c r="N46" s="25"/>
      <c r="O46" s="26"/>
      <c r="P46" s="26"/>
    </row>
    <row r="47">
      <c r="A47" s="52"/>
      <c r="B47" s="15"/>
      <c r="C47" s="16"/>
      <c r="D47" s="15"/>
      <c r="E47" s="17"/>
      <c r="F47" s="54"/>
      <c r="G47" s="19"/>
      <c r="H47" s="17"/>
      <c r="I47" s="19"/>
      <c r="J47" s="21"/>
      <c r="K47" s="57"/>
      <c r="L47" s="24"/>
      <c r="M47" s="25"/>
      <c r="N47" s="25"/>
      <c r="O47" s="26"/>
      <c r="P47" s="26"/>
    </row>
    <row r="48">
      <c r="A48" s="52"/>
      <c r="B48" s="15"/>
      <c r="C48" s="16"/>
      <c r="D48" s="15"/>
      <c r="E48" s="17"/>
      <c r="F48" s="18"/>
      <c r="G48" s="19"/>
      <c r="H48" s="17"/>
      <c r="I48" s="19"/>
      <c r="J48" s="21"/>
      <c r="K48" s="57"/>
      <c r="L48" s="24"/>
      <c r="M48" s="25"/>
      <c r="N48" s="25"/>
      <c r="O48" s="26"/>
      <c r="P48" s="26"/>
    </row>
    <row r="49">
      <c r="A49" s="52"/>
      <c r="B49" s="15"/>
      <c r="C49" s="16"/>
      <c r="D49" s="15"/>
      <c r="E49" s="17"/>
      <c r="F49" s="18"/>
      <c r="G49" s="19"/>
      <c r="H49" s="17"/>
      <c r="I49" s="19"/>
      <c r="J49" s="21"/>
      <c r="K49" s="57"/>
      <c r="L49" s="24"/>
      <c r="M49" s="25"/>
      <c r="N49" s="25"/>
      <c r="O49" s="26"/>
      <c r="P49" s="26"/>
    </row>
    <row r="50">
      <c r="A50" s="52"/>
      <c r="B50" s="15"/>
      <c r="C50" s="16"/>
      <c r="D50" s="15"/>
      <c r="E50" s="17"/>
      <c r="F50" s="54"/>
      <c r="G50" s="19"/>
      <c r="H50" s="17"/>
      <c r="I50" s="19"/>
      <c r="J50" s="21"/>
      <c r="K50" s="57"/>
      <c r="L50" s="24"/>
      <c r="M50" s="25"/>
      <c r="N50" s="25"/>
      <c r="O50" s="26"/>
      <c r="P50" s="26"/>
    </row>
    <row r="51">
      <c r="A51" s="52"/>
      <c r="B51" s="15"/>
      <c r="C51" s="16"/>
      <c r="D51" s="15"/>
      <c r="E51" s="17"/>
      <c r="F51" s="54"/>
      <c r="G51" s="19"/>
      <c r="H51" s="17"/>
      <c r="I51" s="19"/>
      <c r="J51" s="21"/>
      <c r="K51" s="57"/>
      <c r="L51" s="24"/>
      <c r="M51" s="25"/>
      <c r="N51" s="25"/>
      <c r="O51" s="26"/>
      <c r="P51" s="26"/>
    </row>
    <row r="52">
      <c r="A52" s="52"/>
      <c r="B52" s="15"/>
      <c r="C52" s="16"/>
      <c r="D52" s="15"/>
      <c r="E52" s="17"/>
      <c r="F52" s="54"/>
      <c r="G52" s="19"/>
      <c r="H52" s="17"/>
      <c r="I52" s="19"/>
      <c r="J52" s="21"/>
      <c r="K52" s="57"/>
      <c r="L52" s="24"/>
      <c r="M52" s="25"/>
      <c r="N52" s="25"/>
      <c r="O52" s="26"/>
      <c r="P52" s="26"/>
    </row>
    <row r="53">
      <c r="A53" s="52"/>
      <c r="B53" s="15"/>
      <c r="C53" s="16"/>
      <c r="D53" s="15"/>
      <c r="E53" s="17"/>
      <c r="F53" s="54"/>
      <c r="G53" s="19"/>
      <c r="H53" s="17"/>
      <c r="I53" s="19"/>
      <c r="J53" s="21"/>
      <c r="K53" s="57"/>
      <c r="L53" s="24"/>
      <c r="M53" s="25"/>
      <c r="N53" s="25"/>
      <c r="O53" s="26"/>
      <c r="P53" s="26"/>
    </row>
    <row r="54">
      <c r="A54" s="52"/>
      <c r="B54" s="15"/>
      <c r="C54" s="16"/>
      <c r="D54" s="15"/>
      <c r="E54" s="17"/>
      <c r="F54" s="54"/>
      <c r="G54" s="19"/>
      <c r="H54" s="17"/>
      <c r="I54" s="19"/>
      <c r="J54" s="21"/>
      <c r="K54" s="57"/>
      <c r="L54" s="24"/>
      <c r="M54" s="25"/>
      <c r="N54" s="25"/>
      <c r="O54" s="26"/>
      <c r="P54" s="26"/>
    </row>
    <row r="55">
      <c r="A55" s="52"/>
      <c r="B55" s="15"/>
      <c r="C55" s="16"/>
      <c r="D55" s="15"/>
      <c r="E55" s="17"/>
      <c r="F55" s="54"/>
      <c r="G55" s="19"/>
      <c r="H55" s="17"/>
      <c r="I55" s="19"/>
      <c r="J55" s="21"/>
      <c r="K55" s="57"/>
      <c r="L55" s="24"/>
      <c r="M55" s="25"/>
      <c r="N55" s="25"/>
      <c r="O55" s="26"/>
      <c r="P55" s="26"/>
    </row>
    <row r="56">
      <c r="A56" s="52"/>
      <c r="B56" s="15"/>
      <c r="C56" s="16"/>
      <c r="D56" s="15"/>
      <c r="E56" s="17"/>
      <c r="F56" s="54"/>
      <c r="G56" s="19"/>
      <c r="H56" s="17"/>
      <c r="I56" s="19"/>
      <c r="J56" s="21"/>
      <c r="K56" s="57"/>
      <c r="L56" s="24"/>
      <c r="M56" s="25"/>
      <c r="N56" s="25"/>
      <c r="O56" s="26"/>
      <c r="P56" s="26"/>
    </row>
    <row r="57">
      <c r="A57" s="52"/>
      <c r="B57" s="15"/>
      <c r="C57" s="16"/>
      <c r="D57" s="15"/>
      <c r="E57" s="17"/>
      <c r="F57" s="54"/>
      <c r="G57" s="19"/>
      <c r="H57" s="17"/>
      <c r="I57" s="19"/>
      <c r="J57" s="21"/>
      <c r="K57" s="57"/>
      <c r="L57" s="24"/>
      <c r="M57" s="25"/>
      <c r="N57" s="25"/>
      <c r="O57" s="26"/>
      <c r="P57" s="26"/>
    </row>
    <row r="58">
      <c r="A58" s="52"/>
      <c r="B58" s="15"/>
      <c r="C58" s="16"/>
      <c r="D58" s="15"/>
      <c r="E58" s="17"/>
      <c r="F58" s="54"/>
      <c r="G58" s="19"/>
      <c r="H58" s="17"/>
      <c r="I58" s="19"/>
      <c r="J58" s="21"/>
      <c r="K58" s="57"/>
      <c r="L58" s="24"/>
      <c r="M58" s="25"/>
      <c r="N58" s="25"/>
      <c r="O58" s="26"/>
      <c r="P58" s="26"/>
    </row>
    <row r="59">
      <c r="A59" s="52"/>
      <c r="B59" s="15"/>
      <c r="C59" s="16"/>
      <c r="D59" s="15"/>
      <c r="E59" s="17"/>
      <c r="F59" s="54"/>
      <c r="G59" s="19"/>
      <c r="H59" s="17"/>
      <c r="I59" s="19"/>
      <c r="J59" s="21"/>
      <c r="K59" s="57"/>
      <c r="L59" s="24"/>
      <c r="M59" s="25"/>
      <c r="N59" s="25"/>
      <c r="O59" s="26"/>
      <c r="P59" s="26"/>
    </row>
    <row r="60">
      <c r="A60" s="52"/>
      <c r="B60" s="15"/>
      <c r="C60" s="16"/>
      <c r="D60" s="15"/>
      <c r="E60" s="17"/>
      <c r="F60" s="54"/>
      <c r="G60" s="19"/>
      <c r="H60" s="17"/>
      <c r="I60" s="19"/>
      <c r="J60" s="21"/>
      <c r="K60" s="57"/>
      <c r="L60" s="24"/>
      <c r="M60" s="25"/>
      <c r="N60" s="25"/>
      <c r="O60" s="26"/>
      <c r="P60" s="26"/>
    </row>
    <row r="61">
      <c r="A61" s="52"/>
      <c r="B61" s="15"/>
      <c r="C61" s="16"/>
      <c r="D61" s="15"/>
      <c r="E61" s="17"/>
      <c r="F61" s="54"/>
      <c r="G61" s="19"/>
      <c r="H61" s="17"/>
      <c r="I61" s="19"/>
      <c r="J61" s="21"/>
      <c r="K61" s="57"/>
      <c r="L61" s="24"/>
      <c r="M61" s="25"/>
      <c r="N61" s="25"/>
      <c r="O61" s="26"/>
      <c r="P61" s="26"/>
    </row>
    <row r="62">
      <c r="A62" s="52"/>
      <c r="B62" s="15"/>
      <c r="C62" s="16"/>
      <c r="D62" s="15"/>
      <c r="E62" s="17"/>
      <c r="F62" s="54"/>
      <c r="G62" s="19"/>
      <c r="H62" s="17"/>
      <c r="I62" s="19"/>
      <c r="J62" s="21"/>
      <c r="K62" s="57"/>
      <c r="L62" s="24"/>
      <c r="M62" s="25"/>
      <c r="N62" s="25"/>
      <c r="O62" s="26"/>
      <c r="P62" s="26"/>
    </row>
    <row r="63">
      <c r="A63" s="52"/>
      <c r="B63" s="15"/>
      <c r="C63" s="16"/>
      <c r="D63" s="15"/>
      <c r="E63" s="17"/>
      <c r="F63" s="54"/>
      <c r="G63" s="19"/>
      <c r="H63" s="17"/>
      <c r="I63" s="19"/>
      <c r="J63" s="21"/>
      <c r="K63" s="57"/>
      <c r="L63" s="24"/>
      <c r="M63" s="25"/>
      <c r="N63" s="25"/>
      <c r="O63" s="26"/>
      <c r="P63" s="26"/>
    </row>
    <row r="64">
      <c r="A64" s="52"/>
      <c r="B64" s="15"/>
      <c r="C64" s="16"/>
      <c r="D64" s="15"/>
      <c r="E64" s="17"/>
      <c r="F64" s="54"/>
      <c r="G64" s="19"/>
      <c r="H64" s="17"/>
      <c r="I64" s="19"/>
      <c r="J64" s="21"/>
      <c r="K64" s="57"/>
      <c r="L64" s="24"/>
      <c r="M64" s="25"/>
      <c r="N64" s="25"/>
      <c r="O64" s="26"/>
      <c r="P64" s="26"/>
    </row>
    <row r="65">
      <c r="A65" s="52"/>
      <c r="B65" s="15"/>
      <c r="C65" s="16"/>
      <c r="D65" s="15"/>
      <c r="E65" s="17"/>
      <c r="F65" s="54"/>
      <c r="G65" s="19"/>
      <c r="H65" s="17"/>
      <c r="I65" s="19"/>
      <c r="J65" s="21"/>
      <c r="K65" s="57"/>
      <c r="L65" s="24"/>
      <c r="M65" s="25"/>
      <c r="N65" s="25"/>
      <c r="O65" s="26"/>
      <c r="P65" s="26"/>
    </row>
    <row r="66">
      <c r="A66" s="52"/>
      <c r="B66" s="15"/>
      <c r="C66" s="16"/>
      <c r="D66" s="15"/>
      <c r="E66" s="17"/>
      <c r="F66" s="54"/>
      <c r="G66" s="19"/>
      <c r="H66" s="17"/>
      <c r="I66" s="19"/>
      <c r="J66" s="21"/>
      <c r="K66" s="57"/>
      <c r="L66" s="24"/>
      <c r="M66" s="25"/>
      <c r="N66" s="25"/>
      <c r="O66" s="26"/>
      <c r="P66" s="26"/>
    </row>
    <row r="67">
      <c r="A67" s="52"/>
      <c r="B67" s="15"/>
      <c r="C67" s="16"/>
      <c r="D67" s="15"/>
      <c r="E67" s="17"/>
      <c r="F67" s="54"/>
      <c r="G67" s="19"/>
      <c r="H67" s="17"/>
      <c r="I67" s="19"/>
      <c r="J67" s="21"/>
      <c r="K67" s="57"/>
      <c r="L67" s="24"/>
      <c r="M67" s="25"/>
      <c r="N67" s="25"/>
      <c r="O67" s="26"/>
      <c r="P67" s="26"/>
    </row>
    <row r="68">
      <c r="A68" s="52"/>
      <c r="B68" s="15"/>
      <c r="C68" s="16"/>
      <c r="D68" s="15"/>
      <c r="E68" s="17"/>
      <c r="F68" s="54"/>
      <c r="G68" s="19"/>
      <c r="H68" s="17"/>
      <c r="I68" s="19"/>
      <c r="J68" s="21"/>
      <c r="K68" s="57"/>
      <c r="L68" s="24"/>
      <c r="M68" s="25"/>
      <c r="N68" s="25"/>
      <c r="O68" s="26"/>
      <c r="P68" s="26"/>
    </row>
    <row r="69">
      <c r="A69" s="52"/>
      <c r="B69" s="15"/>
      <c r="C69" s="16"/>
      <c r="D69" s="15"/>
      <c r="E69" s="17"/>
      <c r="F69" s="54"/>
      <c r="G69" s="19"/>
      <c r="H69" s="17"/>
      <c r="I69" s="19"/>
      <c r="J69" s="21"/>
      <c r="K69" s="57"/>
      <c r="L69" s="24"/>
      <c r="M69" s="25"/>
      <c r="N69" s="25"/>
      <c r="O69" s="26"/>
      <c r="P69" s="26"/>
    </row>
    <row r="70">
      <c r="A70" s="52"/>
      <c r="B70" s="15"/>
      <c r="C70" s="16"/>
      <c r="D70" s="15"/>
      <c r="E70" s="17"/>
      <c r="F70" s="54"/>
      <c r="G70" s="19"/>
      <c r="H70" s="17"/>
      <c r="I70" s="19"/>
      <c r="J70" s="21"/>
      <c r="K70" s="57"/>
      <c r="L70" s="24"/>
      <c r="M70" s="25"/>
      <c r="N70" s="25"/>
      <c r="O70" s="26"/>
      <c r="P70" s="26"/>
    </row>
    <row r="71">
      <c r="A71" s="52"/>
      <c r="B71" s="15"/>
      <c r="C71" s="16"/>
      <c r="D71" s="15"/>
      <c r="E71" s="17"/>
      <c r="F71" s="54"/>
      <c r="G71" s="19"/>
      <c r="H71" s="17"/>
      <c r="I71" s="19"/>
      <c r="J71" s="21"/>
      <c r="K71" s="57"/>
      <c r="L71" s="24"/>
      <c r="M71" s="26"/>
      <c r="N71" s="25"/>
      <c r="O71" s="26"/>
      <c r="P71" s="26"/>
    </row>
    <row r="72">
      <c r="A72" s="52"/>
      <c r="B72" s="15"/>
      <c r="C72" s="16"/>
      <c r="D72" s="15"/>
      <c r="E72" s="17"/>
      <c r="F72" s="54"/>
      <c r="G72" s="19"/>
      <c r="H72" s="17"/>
      <c r="I72" s="19"/>
      <c r="J72" s="21"/>
      <c r="K72" s="57"/>
      <c r="L72" s="24"/>
      <c r="M72" s="25"/>
      <c r="N72" s="25"/>
      <c r="O72" s="26"/>
      <c r="P72" s="26"/>
    </row>
    <row r="73">
      <c r="A73" s="52"/>
      <c r="B73" s="15"/>
      <c r="C73" s="16"/>
      <c r="D73" s="15"/>
      <c r="E73" s="17"/>
      <c r="F73" s="54"/>
      <c r="G73" s="19"/>
      <c r="H73" s="17"/>
      <c r="I73" s="19"/>
      <c r="J73" s="21"/>
      <c r="K73" s="57"/>
      <c r="L73" s="24"/>
      <c r="M73" s="25"/>
      <c r="N73" s="25"/>
      <c r="O73" s="26"/>
      <c r="P73" s="26"/>
    </row>
    <row r="74">
      <c r="A74" s="52"/>
      <c r="B74" s="15"/>
      <c r="C74" s="16"/>
      <c r="D74" s="15"/>
      <c r="E74" s="17"/>
      <c r="F74" s="54"/>
      <c r="G74" s="19"/>
      <c r="H74" s="17"/>
      <c r="I74" s="19"/>
      <c r="J74" s="21"/>
      <c r="K74" s="57"/>
      <c r="L74" s="24"/>
      <c r="M74" s="25"/>
      <c r="N74" s="25"/>
      <c r="O74" s="26"/>
      <c r="P74" s="26"/>
    </row>
    <row r="75">
      <c r="A75" s="52"/>
      <c r="B75" s="15"/>
      <c r="C75" s="16"/>
      <c r="D75" s="15"/>
      <c r="E75" s="17"/>
      <c r="F75" s="54"/>
      <c r="G75" s="19"/>
      <c r="H75" s="17"/>
      <c r="I75" s="19"/>
      <c r="J75" s="21"/>
      <c r="K75" s="57"/>
      <c r="L75" s="24"/>
      <c r="M75" s="25"/>
      <c r="N75" s="25"/>
      <c r="O75" s="26"/>
      <c r="P75" s="26"/>
    </row>
    <row r="76">
      <c r="A76" s="52"/>
      <c r="B76" s="15"/>
      <c r="C76" s="16"/>
      <c r="D76" s="15"/>
      <c r="E76" s="17"/>
      <c r="F76" s="54"/>
      <c r="G76" s="19"/>
      <c r="H76" s="17"/>
      <c r="I76" s="19"/>
      <c r="J76" s="21"/>
      <c r="K76" s="57"/>
      <c r="L76" s="24"/>
      <c r="M76" s="25"/>
      <c r="N76" s="25"/>
      <c r="O76" s="26"/>
      <c r="P76" s="26"/>
    </row>
    <row r="77">
      <c r="A77" s="52"/>
      <c r="B77" s="15"/>
      <c r="C77" s="16"/>
      <c r="D77" s="15"/>
      <c r="E77" s="17"/>
      <c r="F77" s="54"/>
      <c r="G77" s="19"/>
      <c r="H77" s="17"/>
      <c r="I77" s="19"/>
      <c r="J77" s="21"/>
      <c r="K77" s="57"/>
      <c r="L77" s="24"/>
      <c r="M77" s="25"/>
      <c r="N77" s="25"/>
      <c r="O77" s="26"/>
      <c r="P77" s="26"/>
    </row>
    <row r="78">
      <c r="A78" s="52"/>
      <c r="B78" s="15"/>
      <c r="C78" s="16"/>
      <c r="D78" s="15"/>
      <c r="E78" s="17"/>
      <c r="F78" s="54"/>
      <c r="G78" s="19"/>
      <c r="H78" s="17"/>
      <c r="I78" s="19"/>
      <c r="J78" s="21"/>
      <c r="K78" s="57"/>
      <c r="L78" s="24"/>
      <c r="M78" s="25"/>
      <c r="N78" s="25"/>
      <c r="O78" s="26"/>
      <c r="P78" s="26"/>
    </row>
    <row r="79">
      <c r="A79" s="52"/>
      <c r="B79" s="15"/>
      <c r="C79" s="16"/>
      <c r="D79" s="15"/>
      <c r="E79" s="17"/>
      <c r="F79" s="54"/>
      <c r="G79" s="19"/>
      <c r="H79" s="17"/>
      <c r="I79" s="19"/>
      <c r="J79" s="21"/>
      <c r="K79" s="57"/>
      <c r="L79" s="24"/>
      <c r="M79" s="25"/>
      <c r="N79" s="25"/>
      <c r="O79" s="26"/>
      <c r="P79" s="26"/>
    </row>
    <row r="80">
      <c r="A80" s="52"/>
      <c r="B80" s="15"/>
      <c r="C80" s="16"/>
      <c r="D80" s="15"/>
      <c r="E80" s="17"/>
      <c r="F80" s="54"/>
      <c r="G80" s="19"/>
      <c r="H80" s="17"/>
      <c r="I80" s="19"/>
      <c r="J80" s="21"/>
      <c r="K80" s="57"/>
      <c r="L80" s="24"/>
      <c r="M80" s="25"/>
      <c r="N80" s="25"/>
      <c r="O80" s="26"/>
      <c r="P80" s="26"/>
    </row>
    <row r="81">
      <c r="A81" s="52"/>
      <c r="B81" s="15"/>
      <c r="C81" s="16"/>
      <c r="D81" s="15"/>
      <c r="E81" s="17"/>
      <c r="F81" s="54"/>
      <c r="G81" s="19"/>
      <c r="H81" s="17"/>
      <c r="I81" s="19"/>
      <c r="J81" s="21"/>
      <c r="K81" s="57"/>
      <c r="L81" s="24"/>
      <c r="M81" s="25"/>
      <c r="N81" s="25"/>
      <c r="O81" s="26"/>
      <c r="P81" s="26"/>
    </row>
    <row r="82">
      <c r="A82" s="52"/>
      <c r="B82" s="15"/>
      <c r="C82" s="16"/>
      <c r="D82" s="15"/>
      <c r="E82" s="17"/>
      <c r="F82" s="54"/>
      <c r="G82" s="19"/>
      <c r="H82" s="17"/>
      <c r="I82" s="19"/>
      <c r="J82" s="21"/>
      <c r="K82" s="57"/>
      <c r="L82" s="24"/>
      <c r="M82" s="25"/>
      <c r="N82" s="25"/>
      <c r="O82" s="26"/>
      <c r="P82" s="26"/>
    </row>
    <row r="83">
      <c r="A83" s="52"/>
      <c r="B83" s="15"/>
      <c r="C83" s="16"/>
      <c r="D83" s="15"/>
      <c r="E83" s="17"/>
      <c r="F83" s="54"/>
      <c r="G83" s="19"/>
      <c r="H83" s="17"/>
      <c r="I83" s="19"/>
      <c r="J83" s="21"/>
      <c r="K83" s="57"/>
      <c r="L83" s="24"/>
      <c r="M83" s="25"/>
      <c r="N83" s="25"/>
      <c r="O83" s="26"/>
      <c r="P83" s="26"/>
    </row>
    <row r="84">
      <c r="A84" s="52"/>
      <c r="B84" s="15"/>
      <c r="C84" s="16"/>
      <c r="D84" s="15"/>
      <c r="E84" s="17"/>
      <c r="F84" s="54"/>
      <c r="G84" s="19"/>
      <c r="H84" s="17"/>
      <c r="I84" s="19"/>
      <c r="J84" s="21"/>
      <c r="K84" s="57"/>
      <c r="L84" s="24"/>
      <c r="M84" s="25"/>
      <c r="N84" s="25"/>
      <c r="O84" s="26"/>
      <c r="P84" s="26"/>
    </row>
    <row r="85">
      <c r="A85" s="52"/>
      <c r="B85" s="15"/>
      <c r="C85" s="16"/>
      <c r="D85" s="15"/>
      <c r="E85" s="17"/>
      <c r="F85" s="54"/>
      <c r="G85" s="19"/>
      <c r="H85" s="17"/>
      <c r="I85" s="19"/>
      <c r="J85" s="21"/>
      <c r="K85" s="57"/>
      <c r="L85" s="24"/>
      <c r="M85" s="25"/>
      <c r="N85" s="25"/>
      <c r="O85" s="26"/>
      <c r="P85" s="26"/>
    </row>
    <row r="86">
      <c r="A86" s="52"/>
      <c r="B86" s="15"/>
      <c r="C86" s="16"/>
      <c r="D86" s="15"/>
      <c r="E86" s="17"/>
      <c r="F86" s="54"/>
      <c r="G86" s="19"/>
      <c r="H86" s="17"/>
      <c r="I86" s="19"/>
      <c r="J86" s="21"/>
      <c r="K86" s="57"/>
      <c r="L86" s="24"/>
      <c r="M86" s="25"/>
      <c r="N86" s="25"/>
      <c r="O86" s="26"/>
      <c r="P86" s="26"/>
    </row>
    <row r="87">
      <c r="A87" s="52"/>
      <c r="B87" s="15"/>
      <c r="C87" s="16"/>
      <c r="D87" s="15"/>
      <c r="E87" s="17"/>
      <c r="F87" s="54"/>
      <c r="G87" s="19"/>
      <c r="H87" s="17"/>
      <c r="I87" s="19"/>
      <c r="J87" s="21"/>
      <c r="K87" s="57"/>
      <c r="L87" s="24"/>
      <c r="M87" s="25"/>
      <c r="N87" s="25"/>
      <c r="O87" s="26"/>
      <c r="P87" s="26"/>
    </row>
    <row r="88">
      <c r="A88" s="52"/>
      <c r="B88" s="15"/>
      <c r="C88" s="16"/>
      <c r="D88" s="15"/>
      <c r="E88" s="17"/>
      <c r="F88" s="54"/>
      <c r="G88" s="19"/>
      <c r="H88" s="17"/>
      <c r="I88" s="19"/>
      <c r="J88" s="21"/>
      <c r="K88" s="57"/>
      <c r="L88" s="24"/>
      <c r="M88" s="25"/>
      <c r="N88" s="25"/>
      <c r="O88" s="26"/>
      <c r="P88" s="26"/>
    </row>
    <row r="89">
      <c r="A89" s="52"/>
      <c r="B89" s="15"/>
      <c r="C89" s="16"/>
      <c r="D89" s="15"/>
      <c r="E89" s="17"/>
      <c r="F89" s="54"/>
      <c r="G89" s="19"/>
      <c r="H89" s="17"/>
      <c r="I89" s="19"/>
      <c r="J89" s="21"/>
      <c r="K89" s="57"/>
      <c r="L89" s="24"/>
      <c r="M89" s="25"/>
      <c r="N89" s="25"/>
      <c r="O89" s="26"/>
      <c r="P89" s="26"/>
    </row>
    <row r="90">
      <c r="A90" s="52"/>
      <c r="B90" s="15"/>
      <c r="C90" s="16"/>
      <c r="D90" s="15"/>
      <c r="E90" s="17"/>
      <c r="F90" s="54"/>
      <c r="G90" s="19"/>
      <c r="H90" s="17"/>
      <c r="I90" s="19"/>
      <c r="J90" s="21"/>
      <c r="K90" s="57"/>
      <c r="L90" s="24"/>
      <c r="M90" s="25"/>
      <c r="N90" s="25"/>
      <c r="O90" s="26"/>
      <c r="P90" s="26"/>
    </row>
    <row r="91">
      <c r="A91" s="52"/>
      <c r="B91" s="15"/>
      <c r="C91" s="16"/>
      <c r="D91" s="15"/>
      <c r="E91" s="17"/>
      <c r="F91" s="54"/>
      <c r="G91" s="19"/>
      <c r="H91" s="17"/>
      <c r="I91" s="19"/>
      <c r="J91" s="21"/>
      <c r="K91" s="57"/>
      <c r="L91" s="24"/>
      <c r="M91" s="25"/>
      <c r="N91" s="25"/>
      <c r="O91" s="26"/>
      <c r="P91" s="26"/>
    </row>
    <row r="92">
      <c r="A92" s="52"/>
      <c r="B92" s="15"/>
      <c r="C92" s="16"/>
      <c r="D92" s="15"/>
      <c r="E92" s="17"/>
      <c r="F92" s="54"/>
      <c r="G92" s="19"/>
      <c r="H92" s="17"/>
      <c r="I92" s="19"/>
      <c r="J92" s="21"/>
      <c r="K92" s="57"/>
      <c r="L92" s="24"/>
      <c r="M92" s="25"/>
      <c r="N92" s="25"/>
      <c r="O92" s="26"/>
      <c r="P92" s="26"/>
    </row>
    <row r="93">
      <c r="A93" s="52"/>
      <c r="B93" s="15"/>
      <c r="C93" s="16"/>
      <c r="D93" s="15"/>
      <c r="E93" s="17"/>
      <c r="F93" s="18"/>
      <c r="G93" s="19"/>
      <c r="H93" s="17"/>
      <c r="I93" s="19"/>
      <c r="J93" s="21"/>
      <c r="K93" s="57"/>
      <c r="L93" s="17"/>
      <c r="M93" s="25"/>
      <c r="N93" s="25"/>
      <c r="O93" s="26"/>
      <c r="P93" s="26"/>
    </row>
    <row r="94">
      <c r="A94" s="52"/>
      <c r="B94" s="15"/>
      <c r="C94" s="16"/>
      <c r="D94" s="15"/>
      <c r="E94" s="17"/>
      <c r="F94" s="18"/>
      <c r="G94" s="19"/>
      <c r="H94" s="17"/>
      <c r="I94" s="19"/>
      <c r="J94" s="21"/>
      <c r="K94" s="57"/>
      <c r="L94" s="24"/>
      <c r="M94" s="25"/>
      <c r="N94" s="25"/>
      <c r="O94" s="26"/>
      <c r="P94" s="26"/>
    </row>
    <row r="95">
      <c r="A95" s="52"/>
      <c r="B95" s="15"/>
      <c r="C95" s="16"/>
      <c r="D95" s="15"/>
      <c r="E95" s="17"/>
      <c r="F95" s="18"/>
      <c r="G95" s="19"/>
      <c r="H95" s="17"/>
      <c r="I95" s="19"/>
      <c r="J95" s="21"/>
      <c r="K95" s="57"/>
      <c r="L95" s="24"/>
      <c r="M95" s="25"/>
      <c r="N95" s="25"/>
      <c r="O95" s="26"/>
      <c r="P95" s="26"/>
    </row>
    <row r="96">
      <c r="A96" s="52"/>
      <c r="B96" s="15"/>
      <c r="C96" s="16"/>
      <c r="D96" s="15"/>
      <c r="E96" s="17"/>
      <c r="F96" s="54"/>
      <c r="G96" s="19"/>
      <c r="H96" s="17"/>
      <c r="I96" s="19"/>
      <c r="J96" s="21"/>
      <c r="K96" s="57"/>
      <c r="L96" s="24"/>
      <c r="M96" s="25"/>
      <c r="N96" s="25"/>
      <c r="O96" s="26"/>
      <c r="P96" s="26"/>
    </row>
    <row r="97">
      <c r="A97" s="52"/>
      <c r="B97" s="15"/>
      <c r="C97" s="16"/>
      <c r="D97" s="15"/>
      <c r="E97" s="17"/>
      <c r="F97" s="54"/>
      <c r="G97" s="19"/>
      <c r="H97" s="17"/>
      <c r="I97" s="19"/>
      <c r="J97" s="21"/>
      <c r="K97" s="57"/>
      <c r="L97" s="24"/>
      <c r="M97" s="25"/>
      <c r="N97" s="25"/>
      <c r="O97" s="26"/>
      <c r="P97" s="26"/>
    </row>
    <row r="98">
      <c r="A98" s="52"/>
      <c r="B98" s="15"/>
      <c r="C98" s="16"/>
      <c r="D98" s="15"/>
      <c r="E98" s="17"/>
      <c r="F98" s="54"/>
      <c r="G98" s="19"/>
      <c r="H98" s="17"/>
      <c r="I98" s="19"/>
      <c r="J98" s="21"/>
      <c r="K98" s="57"/>
      <c r="L98" s="24"/>
      <c r="M98" s="25"/>
      <c r="N98" s="25"/>
      <c r="O98" s="26"/>
      <c r="P98" s="26"/>
    </row>
    <row r="99">
      <c r="A99" s="52"/>
      <c r="B99" s="15"/>
      <c r="C99" s="16"/>
      <c r="D99" s="15"/>
      <c r="E99" s="17"/>
      <c r="F99" s="54"/>
      <c r="G99" s="19"/>
      <c r="H99" s="17"/>
      <c r="I99" s="19"/>
      <c r="J99" s="21"/>
      <c r="K99" s="57"/>
      <c r="L99" s="24"/>
      <c r="M99" s="25"/>
      <c r="N99" s="25"/>
      <c r="O99" s="26"/>
      <c r="P99" s="26"/>
    </row>
    <row r="100">
      <c r="A100" s="52"/>
      <c r="B100" s="15"/>
      <c r="C100" s="16"/>
      <c r="D100" s="15"/>
      <c r="E100" s="17"/>
      <c r="F100" s="54"/>
      <c r="G100" s="19"/>
      <c r="H100" s="17"/>
      <c r="I100" s="19"/>
      <c r="J100" s="21"/>
      <c r="K100" s="57"/>
      <c r="L100" s="24"/>
      <c r="M100" s="25"/>
      <c r="N100" s="25"/>
      <c r="O100" s="26"/>
      <c r="P100" s="26"/>
    </row>
    <row r="101">
      <c r="A101" s="52"/>
      <c r="B101" s="15"/>
      <c r="C101" s="16"/>
      <c r="D101" s="15"/>
      <c r="E101" s="17"/>
      <c r="F101" s="54"/>
      <c r="G101" s="19"/>
      <c r="H101" s="17"/>
      <c r="I101" s="19"/>
      <c r="J101" s="21"/>
      <c r="K101" s="57"/>
      <c r="L101" s="24"/>
      <c r="M101" s="25"/>
      <c r="N101" s="25"/>
      <c r="O101" s="26"/>
      <c r="P101" s="26"/>
    </row>
    <row r="102">
      <c r="A102" s="52"/>
      <c r="B102" s="15"/>
      <c r="C102" s="16"/>
      <c r="D102" s="15"/>
      <c r="E102" s="17"/>
      <c r="F102" s="54"/>
      <c r="G102" s="19"/>
      <c r="H102" s="17"/>
      <c r="I102" s="19"/>
      <c r="J102" s="21"/>
      <c r="K102" s="57"/>
      <c r="L102" s="24"/>
      <c r="M102" s="25"/>
      <c r="N102" s="25"/>
      <c r="O102" s="26"/>
      <c r="P102" s="26"/>
    </row>
    <row r="103">
      <c r="A103" s="52"/>
      <c r="B103" s="15"/>
      <c r="C103" s="16"/>
      <c r="D103" s="15"/>
      <c r="E103" s="17"/>
      <c r="F103" s="54"/>
      <c r="G103" s="19"/>
      <c r="H103" s="17"/>
      <c r="I103" s="19"/>
      <c r="J103" s="21"/>
      <c r="K103" s="57"/>
      <c r="L103" s="24"/>
      <c r="M103" s="25"/>
      <c r="N103" s="25"/>
      <c r="O103" s="26"/>
      <c r="P103" s="26"/>
    </row>
    <row r="104">
      <c r="A104" s="52"/>
      <c r="B104" s="15"/>
      <c r="C104" s="16"/>
      <c r="D104" s="15"/>
      <c r="E104" s="17"/>
      <c r="F104" s="54"/>
      <c r="G104" s="19"/>
      <c r="H104" s="17"/>
      <c r="I104" s="19"/>
      <c r="J104" s="21"/>
      <c r="K104" s="57"/>
      <c r="L104" s="24"/>
      <c r="M104" s="25"/>
      <c r="N104" s="25"/>
      <c r="O104" s="26"/>
      <c r="P104" s="26"/>
    </row>
    <row r="105">
      <c r="A105" s="52"/>
      <c r="B105" s="15"/>
      <c r="C105" s="16"/>
      <c r="D105" s="15"/>
      <c r="E105" s="17"/>
      <c r="F105" s="18"/>
      <c r="G105" s="19"/>
      <c r="H105" s="17"/>
      <c r="I105" s="19"/>
      <c r="J105" s="21"/>
      <c r="K105" s="57"/>
      <c r="L105" s="24"/>
      <c r="M105" s="25"/>
      <c r="N105" s="25"/>
      <c r="O105" s="26"/>
      <c r="P105" s="26"/>
    </row>
    <row r="106">
      <c r="A106" s="52"/>
      <c r="B106" s="15"/>
      <c r="C106" s="16"/>
      <c r="D106" s="15"/>
      <c r="E106" s="17"/>
      <c r="F106" s="54"/>
      <c r="G106" s="19"/>
      <c r="H106" s="17"/>
      <c r="I106" s="19"/>
      <c r="J106" s="21"/>
      <c r="K106" s="57"/>
      <c r="L106" s="24"/>
      <c r="M106" s="25"/>
      <c r="N106" s="25"/>
      <c r="O106" s="26"/>
      <c r="P106" s="26"/>
    </row>
    <row r="107">
      <c r="A107" s="52"/>
      <c r="B107" s="15"/>
      <c r="C107" s="16"/>
      <c r="D107" s="15"/>
      <c r="E107" s="17"/>
      <c r="F107" s="54"/>
      <c r="G107" s="19"/>
      <c r="H107" s="17"/>
      <c r="I107" s="19"/>
      <c r="J107" s="21"/>
      <c r="K107" s="57"/>
      <c r="L107" s="24"/>
      <c r="M107" s="25"/>
      <c r="N107" s="25"/>
      <c r="O107" s="26"/>
      <c r="P107" s="26"/>
    </row>
    <row r="108">
      <c r="A108" s="52"/>
      <c r="B108" s="15"/>
      <c r="C108" s="16"/>
      <c r="D108" s="15"/>
      <c r="E108" s="17"/>
      <c r="F108" s="54"/>
      <c r="G108" s="19"/>
      <c r="H108" s="17"/>
      <c r="I108" s="19"/>
      <c r="J108" s="21"/>
      <c r="K108" s="57"/>
      <c r="L108" s="24"/>
      <c r="M108" s="25"/>
      <c r="N108" s="25"/>
      <c r="O108" s="26"/>
      <c r="P108" s="26"/>
    </row>
    <row r="109">
      <c r="A109" s="52"/>
      <c r="B109" s="15"/>
      <c r="C109" s="16"/>
      <c r="D109" s="15"/>
      <c r="E109" s="17"/>
      <c r="F109" s="54"/>
      <c r="G109" s="19"/>
      <c r="H109" s="17"/>
      <c r="I109" s="19"/>
      <c r="J109" s="21"/>
      <c r="K109" s="57"/>
      <c r="L109" s="24"/>
      <c r="M109" s="25"/>
      <c r="N109" s="25"/>
      <c r="O109" s="26"/>
      <c r="P109" s="26"/>
    </row>
    <row r="110">
      <c r="A110" s="52"/>
      <c r="B110" s="15"/>
      <c r="C110" s="16"/>
      <c r="D110" s="15"/>
      <c r="E110" s="17"/>
      <c r="F110" s="54"/>
      <c r="G110" s="19"/>
      <c r="H110" s="17"/>
      <c r="I110" s="19"/>
      <c r="J110" s="21"/>
      <c r="K110" s="57"/>
      <c r="L110" s="24"/>
      <c r="M110" s="25"/>
      <c r="N110" s="25"/>
      <c r="O110" s="26"/>
      <c r="P110" s="26"/>
    </row>
    <row r="111">
      <c r="A111" s="52"/>
      <c r="B111" s="15"/>
      <c r="C111" s="16"/>
      <c r="D111" s="15"/>
      <c r="E111" s="17"/>
      <c r="F111" s="54"/>
      <c r="G111" s="19"/>
      <c r="H111" s="17"/>
      <c r="I111" s="19"/>
      <c r="J111" s="21"/>
      <c r="K111" s="57"/>
      <c r="L111" s="24"/>
      <c r="M111" s="25"/>
      <c r="N111" s="25"/>
      <c r="O111" s="26"/>
      <c r="P111" s="26"/>
    </row>
    <row r="112">
      <c r="A112" s="52"/>
      <c r="B112" s="15"/>
      <c r="C112" s="16"/>
      <c r="D112" s="15"/>
      <c r="E112" s="17"/>
      <c r="F112" s="54"/>
      <c r="G112" s="19"/>
      <c r="H112" s="17"/>
      <c r="I112" s="19"/>
      <c r="J112" s="21"/>
      <c r="K112" s="57"/>
      <c r="L112" s="24"/>
      <c r="M112" s="25"/>
      <c r="N112" s="25"/>
      <c r="O112" s="26"/>
      <c r="P112" s="26"/>
    </row>
    <row r="113">
      <c r="A113" s="52"/>
      <c r="B113" s="15"/>
      <c r="C113" s="16"/>
      <c r="D113" s="15"/>
      <c r="E113" s="17"/>
      <c r="F113" s="54"/>
      <c r="G113" s="19"/>
      <c r="H113" s="17"/>
      <c r="I113" s="19"/>
      <c r="J113" s="21"/>
      <c r="K113" s="57"/>
      <c r="L113" s="24"/>
      <c r="M113" s="25"/>
      <c r="N113" s="25"/>
      <c r="O113" s="26"/>
      <c r="P113" s="26"/>
    </row>
    <row r="114">
      <c r="A114" s="52"/>
      <c r="B114" s="15"/>
      <c r="C114" s="16"/>
      <c r="D114" s="15"/>
      <c r="E114" s="17"/>
      <c r="F114" s="54"/>
      <c r="G114" s="19"/>
      <c r="H114" s="17"/>
      <c r="I114" s="19"/>
      <c r="J114" s="21"/>
      <c r="K114" s="57"/>
      <c r="L114" s="24"/>
      <c r="M114" s="25"/>
      <c r="N114" s="25"/>
      <c r="O114" s="26"/>
      <c r="P114" s="26"/>
    </row>
    <row r="115">
      <c r="A115" s="52"/>
      <c r="B115" s="15"/>
      <c r="C115" s="16"/>
      <c r="D115" s="15"/>
      <c r="E115" s="17"/>
      <c r="F115" s="54"/>
      <c r="G115" s="19"/>
      <c r="H115" s="17"/>
      <c r="I115" s="19"/>
      <c r="J115" s="21"/>
      <c r="K115" s="57"/>
      <c r="L115" s="24"/>
      <c r="M115" s="25"/>
      <c r="N115" s="25"/>
      <c r="O115" s="26"/>
      <c r="P115" s="26"/>
    </row>
    <row r="116">
      <c r="A116" s="52"/>
      <c r="B116" s="15"/>
      <c r="C116" s="16"/>
      <c r="D116" s="15"/>
      <c r="E116" s="17"/>
      <c r="F116" s="54"/>
      <c r="G116" s="19"/>
      <c r="H116" s="17"/>
      <c r="I116" s="19"/>
      <c r="J116" s="21"/>
      <c r="K116" s="57"/>
      <c r="L116" s="24"/>
      <c r="M116" s="25"/>
      <c r="N116" s="25"/>
      <c r="O116" s="26"/>
      <c r="P116" s="26"/>
    </row>
    <row r="117">
      <c r="A117" s="52"/>
      <c r="B117" s="15"/>
      <c r="C117" s="16"/>
      <c r="D117" s="15"/>
      <c r="E117" s="17"/>
      <c r="F117" s="54"/>
      <c r="G117" s="19"/>
      <c r="H117" s="17"/>
      <c r="I117" s="19"/>
      <c r="J117" s="21"/>
      <c r="K117" s="57"/>
      <c r="L117" s="24"/>
      <c r="M117" s="25"/>
      <c r="N117" s="25"/>
      <c r="O117" s="26"/>
      <c r="P117" s="26"/>
    </row>
    <row r="118">
      <c r="A118" s="52"/>
      <c r="B118" s="15"/>
      <c r="C118" s="16"/>
      <c r="D118" s="15"/>
      <c r="E118" s="17"/>
      <c r="F118" s="54"/>
      <c r="G118" s="19"/>
      <c r="H118" s="17"/>
      <c r="I118" s="19"/>
      <c r="J118" s="21"/>
      <c r="K118" s="57"/>
      <c r="L118" s="24"/>
      <c r="M118" s="25"/>
      <c r="N118" s="25"/>
      <c r="O118" s="26"/>
      <c r="P118" s="26"/>
    </row>
    <row r="119">
      <c r="A119" s="52"/>
      <c r="B119" s="15"/>
      <c r="C119" s="16"/>
      <c r="D119" s="15"/>
      <c r="E119" s="17"/>
      <c r="F119" s="54"/>
      <c r="G119" s="19"/>
      <c r="H119" s="17"/>
      <c r="I119" s="19"/>
      <c r="J119" s="21"/>
      <c r="K119" s="57"/>
      <c r="L119" s="24"/>
      <c r="M119" s="25"/>
      <c r="N119" s="25"/>
      <c r="O119" s="26"/>
      <c r="P119" s="26"/>
    </row>
    <row r="120">
      <c r="A120" s="52"/>
      <c r="B120" s="15"/>
      <c r="C120" s="16"/>
      <c r="D120" s="15"/>
      <c r="E120" s="17"/>
      <c r="F120" s="54"/>
      <c r="G120" s="19"/>
      <c r="H120" s="17"/>
      <c r="I120" s="19"/>
      <c r="J120" s="21"/>
      <c r="K120" s="57"/>
      <c r="L120" s="24"/>
      <c r="M120" s="25"/>
      <c r="N120" s="25"/>
      <c r="O120" s="26"/>
      <c r="P120" s="26"/>
    </row>
    <row r="121">
      <c r="A121" s="52"/>
      <c r="B121" s="15"/>
      <c r="C121" s="16"/>
      <c r="D121" s="15"/>
      <c r="E121" s="17"/>
      <c r="F121" s="54"/>
      <c r="G121" s="19"/>
      <c r="H121" s="17"/>
      <c r="I121" s="19"/>
      <c r="J121" s="21"/>
      <c r="K121" s="57"/>
      <c r="L121" s="24"/>
      <c r="M121" s="25"/>
      <c r="N121" s="25"/>
      <c r="O121" s="26"/>
      <c r="P121" s="26"/>
    </row>
    <row r="122">
      <c r="A122" s="52"/>
      <c r="B122" s="15"/>
      <c r="C122" s="16"/>
      <c r="D122" s="15"/>
      <c r="E122" s="17"/>
      <c r="F122" s="54"/>
      <c r="G122" s="19"/>
      <c r="H122" s="17"/>
      <c r="I122" s="19"/>
      <c r="J122" s="21"/>
      <c r="K122" s="57"/>
      <c r="L122" s="24"/>
      <c r="M122" s="25"/>
      <c r="N122" s="25"/>
      <c r="O122" s="26"/>
      <c r="P122" s="26"/>
    </row>
    <row r="123">
      <c r="A123" s="52"/>
      <c r="B123" s="15"/>
      <c r="C123" s="16"/>
      <c r="D123" s="15"/>
      <c r="E123" s="17"/>
      <c r="F123" s="54"/>
      <c r="G123" s="19"/>
      <c r="H123" s="17"/>
      <c r="I123" s="19"/>
      <c r="J123" s="21"/>
      <c r="K123" s="57"/>
      <c r="L123" s="24"/>
      <c r="M123" s="25"/>
      <c r="N123" s="25"/>
      <c r="O123" s="26"/>
      <c r="P123" s="26"/>
    </row>
    <row r="124">
      <c r="A124" s="52"/>
      <c r="B124" s="15"/>
      <c r="C124" s="16"/>
      <c r="D124" s="15"/>
      <c r="E124" s="17"/>
      <c r="F124" s="54"/>
      <c r="G124" s="19"/>
      <c r="H124" s="17"/>
      <c r="I124" s="19"/>
      <c r="J124" s="21"/>
      <c r="K124" s="57"/>
      <c r="L124" s="24"/>
      <c r="M124" s="25"/>
      <c r="N124" s="25"/>
      <c r="O124" s="26"/>
      <c r="P124" s="26"/>
    </row>
    <row r="125">
      <c r="A125" s="52"/>
      <c r="B125" s="15"/>
      <c r="C125" s="16"/>
      <c r="D125" s="15"/>
      <c r="E125" s="17"/>
      <c r="F125" s="54"/>
      <c r="G125" s="19"/>
      <c r="H125" s="17"/>
      <c r="I125" s="19"/>
      <c r="J125" s="21"/>
      <c r="K125" s="57"/>
      <c r="L125" s="24"/>
      <c r="M125" s="25"/>
      <c r="N125" s="25"/>
      <c r="O125" s="26"/>
      <c r="P125" s="26"/>
    </row>
    <row r="126">
      <c r="A126" s="52"/>
      <c r="B126" s="15"/>
      <c r="C126" s="16"/>
      <c r="D126" s="15"/>
      <c r="E126" s="17"/>
      <c r="F126" s="54"/>
      <c r="G126" s="19"/>
      <c r="H126" s="17"/>
      <c r="I126" s="19"/>
      <c r="J126" s="21"/>
      <c r="K126" s="57"/>
      <c r="L126" s="24"/>
      <c r="M126" s="25"/>
      <c r="N126" s="25"/>
      <c r="O126" s="26"/>
      <c r="P126" s="26"/>
    </row>
    <row r="127">
      <c r="A127" s="52"/>
      <c r="B127" s="15"/>
      <c r="C127" s="16"/>
      <c r="D127" s="15"/>
      <c r="E127" s="17"/>
      <c r="F127" s="54"/>
      <c r="G127" s="19"/>
      <c r="H127" s="17"/>
      <c r="I127" s="19"/>
      <c r="J127" s="21"/>
      <c r="K127" s="57"/>
      <c r="L127" s="24"/>
      <c r="M127" s="25"/>
      <c r="N127" s="25"/>
      <c r="O127" s="26"/>
      <c r="P127" s="26"/>
    </row>
    <row r="128">
      <c r="A128" s="52"/>
      <c r="B128" s="15"/>
      <c r="C128" s="16"/>
      <c r="D128" s="15"/>
      <c r="E128" s="17"/>
      <c r="F128" s="54"/>
      <c r="G128" s="19"/>
      <c r="H128" s="17"/>
      <c r="I128" s="19"/>
      <c r="J128" s="21"/>
      <c r="K128" s="57"/>
      <c r="L128" s="24"/>
      <c r="M128" s="25"/>
      <c r="N128" s="25"/>
      <c r="O128" s="26"/>
      <c r="P128" s="26"/>
    </row>
    <row r="129">
      <c r="A129" s="52"/>
      <c r="B129" s="15"/>
      <c r="C129" s="16"/>
      <c r="D129" s="15"/>
      <c r="E129" s="17"/>
      <c r="F129" s="54"/>
      <c r="G129" s="19"/>
      <c r="H129" s="17"/>
      <c r="I129" s="19"/>
      <c r="J129" s="21"/>
      <c r="K129" s="57"/>
      <c r="L129" s="24"/>
      <c r="M129" s="25"/>
      <c r="N129" s="25"/>
      <c r="O129" s="26"/>
      <c r="P129" s="26"/>
    </row>
    <row r="130">
      <c r="A130" s="52"/>
      <c r="B130" s="15"/>
      <c r="C130" s="16"/>
      <c r="D130" s="15"/>
      <c r="E130" s="17"/>
      <c r="F130" s="54"/>
      <c r="G130" s="19"/>
      <c r="H130" s="17"/>
      <c r="I130" s="19"/>
      <c r="J130" s="21"/>
      <c r="K130" s="57"/>
      <c r="L130" s="24"/>
      <c r="M130" s="25"/>
      <c r="N130" s="25"/>
      <c r="O130" s="26"/>
      <c r="P130" s="26"/>
    </row>
    <row r="131">
      <c r="A131" s="52"/>
      <c r="B131" s="15"/>
      <c r="C131" s="16"/>
      <c r="D131" s="15"/>
      <c r="E131" s="17"/>
      <c r="F131" s="54"/>
      <c r="G131" s="19"/>
      <c r="H131" s="17"/>
      <c r="I131" s="19"/>
      <c r="J131" s="21"/>
      <c r="K131" s="57"/>
      <c r="L131" s="24"/>
      <c r="M131" s="25"/>
      <c r="N131" s="25"/>
      <c r="O131" s="26"/>
      <c r="P131" s="26"/>
    </row>
    <row r="132">
      <c r="A132" s="52"/>
      <c r="B132" s="15"/>
      <c r="C132" s="16"/>
      <c r="D132" s="15"/>
      <c r="E132" s="17"/>
      <c r="F132" s="54"/>
      <c r="G132" s="19"/>
      <c r="H132" s="17"/>
      <c r="I132" s="19"/>
      <c r="J132" s="21"/>
      <c r="K132" s="57"/>
      <c r="L132" s="24"/>
      <c r="M132" s="25"/>
      <c r="N132" s="25"/>
      <c r="O132" s="26"/>
      <c r="P132" s="26"/>
    </row>
    <row r="133">
      <c r="A133" s="52"/>
      <c r="B133" s="15"/>
      <c r="C133" s="16"/>
      <c r="D133" s="15"/>
      <c r="E133" s="17"/>
      <c r="F133" s="54"/>
      <c r="G133" s="19"/>
      <c r="H133" s="17"/>
      <c r="I133" s="19"/>
      <c r="J133" s="21"/>
      <c r="K133" s="57"/>
      <c r="L133" s="24"/>
      <c r="M133" s="68"/>
      <c r="N133" s="68"/>
      <c r="O133" s="69"/>
      <c r="P133" s="69"/>
    </row>
    <row r="134">
      <c r="A134" s="52"/>
      <c r="B134" s="15"/>
      <c r="C134" s="16"/>
      <c r="D134" s="15"/>
      <c r="E134" s="17"/>
      <c r="F134" s="54"/>
      <c r="G134" s="19"/>
      <c r="H134" s="17"/>
      <c r="I134" s="19"/>
      <c r="J134" s="21"/>
      <c r="K134" s="57"/>
      <c r="L134" s="24"/>
      <c r="M134" s="25"/>
      <c r="N134" s="25"/>
      <c r="O134" s="26"/>
      <c r="P134" s="26"/>
    </row>
    <row r="135">
      <c r="A135" s="52"/>
      <c r="B135" s="15"/>
      <c r="C135" s="16"/>
      <c r="D135" s="15"/>
      <c r="E135" s="17"/>
      <c r="F135" s="54"/>
      <c r="G135" s="19"/>
      <c r="H135" s="17"/>
      <c r="I135" s="19"/>
      <c r="J135" s="21"/>
      <c r="K135" s="57"/>
      <c r="L135" s="24"/>
      <c r="M135" s="25"/>
      <c r="N135" s="25"/>
      <c r="O135" s="26"/>
      <c r="P135" s="26"/>
    </row>
    <row r="136">
      <c r="A136" s="52"/>
      <c r="B136" s="15"/>
      <c r="C136" s="16"/>
      <c r="D136" s="15"/>
      <c r="E136" s="17"/>
      <c r="F136" s="54"/>
      <c r="G136" s="19"/>
      <c r="H136" s="17"/>
      <c r="I136" s="19"/>
      <c r="J136" s="21"/>
      <c r="K136" s="57"/>
      <c r="L136" s="24"/>
      <c r="M136" s="25"/>
      <c r="N136" s="25"/>
      <c r="O136" s="26"/>
      <c r="P136" s="26"/>
    </row>
    <row r="137">
      <c r="A137" s="52"/>
      <c r="B137" s="15"/>
      <c r="C137" s="16"/>
      <c r="D137" s="15"/>
      <c r="E137" s="17"/>
      <c r="F137" s="54"/>
      <c r="G137" s="19"/>
      <c r="H137" s="17"/>
      <c r="I137" s="19"/>
      <c r="J137" s="21"/>
      <c r="K137" s="57"/>
      <c r="L137" s="24"/>
      <c r="M137" s="25"/>
      <c r="N137" s="25"/>
      <c r="O137" s="26"/>
      <c r="P137" s="26"/>
    </row>
    <row r="138">
      <c r="A138" s="52"/>
      <c r="B138" s="15"/>
      <c r="C138" s="16"/>
      <c r="D138" s="15"/>
      <c r="E138" s="17"/>
      <c r="F138" s="18"/>
      <c r="G138" s="19"/>
      <c r="H138" s="17"/>
      <c r="I138" s="19"/>
      <c r="J138" s="21"/>
      <c r="K138" s="57"/>
      <c r="L138" s="24"/>
      <c r="M138" s="25"/>
      <c r="N138" s="25"/>
      <c r="O138" s="26"/>
      <c r="P138" s="26"/>
    </row>
    <row r="139">
      <c r="A139" s="52"/>
      <c r="B139" s="15"/>
      <c r="C139" s="16"/>
      <c r="D139" s="15"/>
      <c r="E139" s="17"/>
      <c r="F139" s="54"/>
      <c r="G139" s="19"/>
      <c r="H139" s="17"/>
      <c r="I139" s="19"/>
      <c r="J139" s="21"/>
      <c r="K139" s="57"/>
      <c r="L139" s="24"/>
      <c r="M139" s="25"/>
      <c r="N139" s="25"/>
      <c r="O139" s="26"/>
      <c r="P139" s="26"/>
    </row>
    <row r="140">
      <c r="A140" s="52"/>
      <c r="B140" s="15"/>
      <c r="C140" s="16"/>
      <c r="D140" s="15"/>
      <c r="E140" s="17"/>
      <c r="F140" s="18"/>
      <c r="G140" s="19"/>
      <c r="H140" s="17"/>
      <c r="I140" s="19"/>
      <c r="J140" s="21"/>
      <c r="K140" s="57"/>
      <c r="L140" s="24"/>
      <c r="M140" s="70"/>
      <c r="N140" s="25"/>
      <c r="O140" s="26"/>
      <c r="P140" s="26"/>
    </row>
    <row r="141">
      <c r="A141" s="52"/>
      <c r="B141" s="15"/>
      <c r="C141" s="16"/>
      <c r="D141" s="15"/>
      <c r="E141" s="17"/>
      <c r="F141" s="18"/>
      <c r="G141" s="19"/>
      <c r="H141" s="17"/>
      <c r="I141" s="19"/>
      <c r="J141" s="21"/>
      <c r="K141" s="57"/>
      <c r="L141" s="24"/>
      <c r="M141" s="25"/>
      <c r="N141" s="25"/>
      <c r="O141" s="26"/>
      <c r="P141" s="26"/>
    </row>
    <row r="142">
      <c r="A142" s="52"/>
      <c r="B142" s="15"/>
      <c r="C142" s="16"/>
      <c r="D142" s="15"/>
      <c r="E142" s="17"/>
      <c r="F142" s="54"/>
      <c r="G142" s="19"/>
      <c r="H142" s="17"/>
      <c r="I142" s="19"/>
      <c r="J142" s="21"/>
      <c r="K142" s="57"/>
      <c r="L142" s="24"/>
      <c r="M142" s="25"/>
      <c r="N142" s="25"/>
      <c r="O142" s="26"/>
      <c r="P142" s="26"/>
    </row>
    <row r="143">
      <c r="A143" s="52"/>
      <c r="B143" s="15"/>
      <c r="C143" s="16"/>
      <c r="D143" s="15"/>
      <c r="E143" s="17"/>
      <c r="F143" s="54"/>
      <c r="G143" s="19"/>
      <c r="H143" s="17"/>
      <c r="I143" s="19"/>
      <c r="J143" s="21"/>
      <c r="K143" s="57"/>
      <c r="L143" s="24"/>
      <c r="M143" s="25"/>
      <c r="N143" s="25"/>
      <c r="O143" s="26"/>
      <c r="P143" s="26"/>
    </row>
    <row r="144">
      <c r="A144" s="52"/>
      <c r="B144" s="15"/>
      <c r="C144" s="16"/>
      <c r="D144" s="15"/>
      <c r="E144" s="17"/>
      <c r="F144" s="54"/>
      <c r="G144" s="19"/>
      <c r="H144" s="17"/>
      <c r="I144" s="19"/>
      <c r="J144" s="21"/>
      <c r="K144" s="57"/>
      <c r="L144" s="24"/>
      <c r="M144" s="25"/>
      <c r="N144" s="25"/>
      <c r="O144" s="26"/>
      <c r="P144" s="26"/>
    </row>
    <row r="145">
      <c r="A145" s="52"/>
      <c r="B145" s="15"/>
      <c r="C145" s="16"/>
      <c r="D145" s="15"/>
      <c r="E145" s="17"/>
      <c r="F145" s="54"/>
      <c r="G145" s="19"/>
      <c r="H145" s="17"/>
      <c r="I145" s="19"/>
      <c r="J145" s="21"/>
      <c r="K145" s="57"/>
      <c r="L145" s="24"/>
      <c r="M145" s="25"/>
      <c r="N145" s="25"/>
      <c r="O145" s="26"/>
      <c r="P145" s="26"/>
    </row>
    <row r="146">
      <c r="A146" s="52"/>
      <c r="B146" s="15"/>
      <c r="C146" s="16"/>
      <c r="D146" s="15"/>
      <c r="E146" s="17"/>
      <c r="F146" s="54"/>
      <c r="G146" s="19"/>
      <c r="H146" s="17"/>
      <c r="I146" s="19"/>
      <c r="J146" s="21"/>
      <c r="K146" s="57"/>
      <c r="L146" s="24"/>
      <c r="M146" s="25"/>
      <c r="N146" s="25"/>
      <c r="O146" s="26"/>
      <c r="P146" s="26"/>
    </row>
    <row r="147">
      <c r="A147" s="52"/>
      <c r="B147" s="15"/>
      <c r="C147" s="16"/>
      <c r="D147" s="15"/>
      <c r="E147" s="17"/>
      <c r="F147" s="54"/>
      <c r="G147" s="19"/>
      <c r="H147" s="17"/>
      <c r="I147" s="19"/>
      <c r="J147" s="21"/>
      <c r="K147" s="57"/>
      <c r="L147" s="24"/>
      <c r="M147" s="25"/>
      <c r="N147" s="25"/>
      <c r="O147" s="26"/>
      <c r="P147" s="26"/>
    </row>
    <row r="148">
      <c r="A148" s="52"/>
      <c r="B148" s="15"/>
      <c r="C148" s="16"/>
      <c r="D148" s="15"/>
      <c r="E148" s="17"/>
      <c r="F148" s="54"/>
      <c r="G148" s="19"/>
      <c r="H148" s="17"/>
      <c r="I148" s="19"/>
      <c r="J148" s="21"/>
      <c r="K148" s="57"/>
      <c r="L148" s="24"/>
      <c r="M148" s="25"/>
      <c r="N148" s="25"/>
      <c r="O148" s="26"/>
      <c r="P148" s="26"/>
    </row>
    <row r="149">
      <c r="A149" s="52"/>
      <c r="B149" s="15"/>
      <c r="C149" s="16"/>
      <c r="D149" s="15"/>
      <c r="E149" s="17"/>
      <c r="F149" s="54"/>
      <c r="G149" s="19"/>
      <c r="H149" s="17"/>
      <c r="I149" s="19"/>
      <c r="J149" s="21"/>
      <c r="K149" s="57"/>
      <c r="L149" s="24"/>
      <c r="M149" s="25"/>
      <c r="N149" s="25"/>
      <c r="O149" s="26"/>
      <c r="P149" s="26"/>
    </row>
    <row r="150">
      <c r="A150" s="52"/>
      <c r="B150" s="15"/>
      <c r="C150" s="16"/>
      <c r="D150" s="15"/>
      <c r="E150" s="17"/>
      <c r="F150" s="54"/>
      <c r="G150" s="19"/>
      <c r="H150" s="17"/>
      <c r="I150" s="19"/>
      <c r="J150" s="21"/>
      <c r="K150" s="57"/>
      <c r="L150" s="24"/>
      <c r="M150" s="25"/>
      <c r="N150" s="25"/>
      <c r="O150" s="26"/>
      <c r="P150" s="26"/>
    </row>
    <row r="151">
      <c r="A151" s="52"/>
      <c r="B151" s="15"/>
      <c r="C151" s="16"/>
      <c r="D151" s="15"/>
      <c r="E151" s="17"/>
      <c r="F151" s="54"/>
      <c r="G151" s="19"/>
      <c r="H151" s="17"/>
      <c r="I151" s="19"/>
      <c r="J151" s="21"/>
      <c r="K151" s="57"/>
      <c r="L151" s="24"/>
      <c r="M151" s="25"/>
      <c r="N151" s="25"/>
      <c r="O151" s="26"/>
      <c r="P151" s="26"/>
    </row>
    <row r="152">
      <c r="A152" s="52"/>
      <c r="B152" s="15"/>
      <c r="C152" s="16"/>
      <c r="D152" s="15"/>
      <c r="E152" s="17"/>
      <c r="F152" s="54"/>
      <c r="G152" s="19"/>
      <c r="H152" s="17"/>
      <c r="I152" s="19"/>
      <c r="J152" s="21"/>
      <c r="K152" s="57"/>
      <c r="L152" s="24"/>
      <c r="M152" s="25"/>
      <c r="N152" s="25"/>
      <c r="O152" s="26"/>
      <c r="P152" s="26"/>
    </row>
    <row r="153">
      <c r="A153" s="52"/>
      <c r="B153" s="15"/>
      <c r="C153" s="16"/>
      <c r="D153" s="15"/>
      <c r="E153" s="17"/>
      <c r="F153" s="54"/>
      <c r="G153" s="19"/>
      <c r="H153" s="17"/>
      <c r="I153" s="19"/>
      <c r="J153" s="21"/>
      <c r="K153" s="57"/>
      <c r="L153" s="24"/>
      <c r="M153" s="25"/>
      <c r="N153" s="25"/>
      <c r="O153" s="26"/>
      <c r="P153" s="26"/>
    </row>
    <row r="154">
      <c r="A154" s="52"/>
      <c r="B154" s="15"/>
      <c r="C154" s="16"/>
      <c r="D154" s="15"/>
      <c r="E154" s="17"/>
      <c r="F154" s="54"/>
      <c r="G154" s="19"/>
      <c r="H154" s="17"/>
      <c r="I154" s="19"/>
      <c r="J154" s="21"/>
      <c r="K154" s="57"/>
      <c r="L154" s="24"/>
      <c r="M154" s="25"/>
      <c r="N154" s="25"/>
      <c r="O154" s="26"/>
      <c r="P154" s="26"/>
    </row>
    <row r="155">
      <c r="A155" s="52"/>
      <c r="B155" s="15"/>
      <c r="C155" s="16"/>
      <c r="D155" s="15"/>
      <c r="E155" s="17"/>
      <c r="F155" s="54"/>
      <c r="G155" s="19"/>
      <c r="H155" s="17"/>
      <c r="I155" s="19"/>
      <c r="J155" s="21"/>
      <c r="K155" s="57"/>
      <c r="L155" s="24"/>
      <c r="M155" s="25"/>
      <c r="N155" s="25"/>
      <c r="O155" s="26"/>
      <c r="P155" s="26"/>
    </row>
    <row r="156">
      <c r="A156" s="52"/>
      <c r="B156" s="15"/>
      <c r="C156" s="16"/>
      <c r="D156" s="15"/>
      <c r="E156" s="17"/>
      <c r="F156" s="54"/>
      <c r="G156" s="19"/>
      <c r="H156" s="17"/>
      <c r="I156" s="19"/>
      <c r="J156" s="21"/>
      <c r="K156" s="57"/>
      <c r="L156" s="24"/>
      <c r="M156" s="25"/>
      <c r="N156" s="25"/>
      <c r="O156" s="26"/>
      <c r="P156" s="26"/>
    </row>
    <row r="157">
      <c r="A157" s="52"/>
      <c r="B157" s="15"/>
      <c r="C157" s="16"/>
      <c r="D157" s="15"/>
      <c r="E157" s="17"/>
      <c r="F157" s="18"/>
      <c r="G157" s="19"/>
      <c r="H157" s="17"/>
      <c r="I157" s="19"/>
      <c r="J157" s="21"/>
      <c r="K157" s="57"/>
      <c r="L157" s="24"/>
      <c r="M157" s="25"/>
      <c r="N157" s="25"/>
      <c r="O157" s="26"/>
      <c r="P157" s="26"/>
    </row>
    <row r="158">
      <c r="A158" s="52"/>
      <c r="B158" s="15"/>
      <c r="C158" s="16"/>
      <c r="D158" s="15"/>
      <c r="E158" s="17"/>
      <c r="F158" s="54"/>
      <c r="G158" s="19"/>
      <c r="H158" s="17"/>
      <c r="I158" s="19"/>
      <c r="J158" s="21"/>
      <c r="K158" s="57"/>
      <c r="L158" s="24"/>
      <c r="M158" s="25"/>
      <c r="N158" s="25"/>
      <c r="O158" s="26"/>
      <c r="P158" s="26"/>
    </row>
    <row r="159">
      <c r="A159" s="52"/>
      <c r="B159" s="15"/>
      <c r="C159" s="16"/>
      <c r="D159" s="15"/>
      <c r="E159" s="17"/>
      <c r="F159" s="18"/>
      <c r="G159" s="19"/>
      <c r="H159" s="17"/>
      <c r="I159" s="19"/>
      <c r="J159" s="21"/>
      <c r="K159" s="57"/>
      <c r="L159" s="24"/>
      <c r="M159" s="25"/>
      <c r="N159" s="25"/>
      <c r="O159" s="26"/>
      <c r="P159" s="26"/>
    </row>
    <row r="160">
      <c r="A160" s="52"/>
      <c r="B160" s="15"/>
      <c r="C160" s="16"/>
      <c r="D160" s="15"/>
      <c r="E160" s="17"/>
      <c r="F160" s="54"/>
      <c r="G160" s="19"/>
      <c r="H160" s="17"/>
      <c r="I160" s="19"/>
      <c r="J160" s="21"/>
      <c r="K160" s="57"/>
      <c r="L160" s="24"/>
      <c r="M160" s="25"/>
      <c r="N160" s="25"/>
      <c r="O160" s="26"/>
      <c r="P160" s="26"/>
    </row>
    <row r="161">
      <c r="A161" s="52"/>
      <c r="B161" s="15"/>
      <c r="C161" s="16"/>
      <c r="D161" s="15"/>
      <c r="E161" s="17"/>
      <c r="F161" s="54"/>
      <c r="G161" s="19"/>
      <c r="H161" s="17"/>
      <c r="I161" s="19"/>
      <c r="J161" s="21"/>
      <c r="K161" s="57"/>
      <c r="L161" s="24"/>
      <c r="M161" s="25"/>
      <c r="N161" s="25"/>
      <c r="O161" s="26"/>
      <c r="P161" s="26"/>
    </row>
    <row r="162">
      <c r="A162" s="52"/>
      <c r="B162" s="15"/>
      <c r="C162" s="16"/>
      <c r="D162" s="15"/>
      <c r="E162" s="17"/>
      <c r="F162" s="54"/>
      <c r="G162" s="19"/>
      <c r="H162" s="17"/>
      <c r="I162" s="19"/>
      <c r="J162" s="21"/>
      <c r="K162" s="57"/>
      <c r="L162" s="24"/>
      <c r="M162" s="25"/>
      <c r="N162" s="25"/>
      <c r="O162" s="26"/>
      <c r="P162" s="26"/>
    </row>
    <row r="163">
      <c r="A163" s="52"/>
      <c r="B163" s="15"/>
      <c r="C163" s="16"/>
      <c r="D163" s="15"/>
      <c r="E163" s="17"/>
      <c r="F163" s="54"/>
      <c r="G163" s="19"/>
      <c r="H163" s="17"/>
      <c r="I163" s="19"/>
      <c r="J163" s="21"/>
      <c r="K163" s="57"/>
      <c r="L163" s="24"/>
      <c r="M163" s="25"/>
      <c r="N163" s="25"/>
      <c r="O163" s="26"/>
      <c r="P163" s="26"/>
    </row>
    <row r="164">
      <c r="A164" s="52"/>
      <c r="B164" s="15"/>
      <c r="C164" s="16"/>
      <c r="D164" s="15"/>
      <c r="E164" s="17"/>
      <c r="F164" s="54"/>
      <c r="G164" s="19"/>
      <c r="H164" s="17"/>
      <c r="I164" s="19"/>
      <c r="J164" s="21"/>
      <c r="K164" s="57"/>
      <c r="L164" s="24"/>
      <c r="M164" s="25"/>
      <c r="N164" s="25"/>
      <c r="O164" s="26"/>
      <c r="P164" s="26"/>
    </row>
    <row r="165">
      <c r="A165" s="52"/>
      <c r="B165" s="15"/>
      <c r="C165" s="16"/>
      <c r="D165" s="15"/>
      <c r="E165" s="17"/>
      <c r="F165" s="54"/>
      <c r="G165" s="19"/>
      <c r="H165" s="17"/>
      <c r="I165" s="19"/>
      <c r="J165" s="21"/>
      <c r="K165" s="57"/>
      <c r="L165" s="24"/>
      <c r="M165" s="25"/>
      <c r="N165" s="25"/>
      <c r="O165" s="26"/>
      <c r="P165" s="26"/>
    </row>
    <row r="166">
      <c r="A166" s="52"/>
      <c r="B166" s="15"/>
      <c r="C166" s="16"/>
      <c r="D166" s="15"/>
      <c r="E166" s="17"/>
      <c r="F166" s="54"/>
      <c r="G166" s="19"/>
      <c r="H166" s="17"/>
      <c r="I166" s="19"/>
      <c r="J166" s="21"/>
      <c r="K166" s="57"/>
      <c r="L166" s="24"/>
      <c r="M166" s="25"/>
      <c r="N166" s="25"/>
      <c r="O166" s="26"/>
      <c r="P166" s="26"/>
    </row>
    <row r="167">
      <c r="A167" s="52"/>
      <c r="B167" s="15"/>
      <c r="C167" s="16"/>
      <c r="D167" s="15"/>
      <c r="E167" s="17"/>
      <c r="F167" s="54"/>
      <c r="G167" s="19"/>
      <c r="H167" s="17"/>
      <c r="I167" s="19"/>
      <c r="J167" s="21"/>
      <c r="K167" s="57"/>
      <c r="L167" s="24"/>
      <c r="M167" s="25"/>
      <c r="N167" s="25"/>
      <c r="O167" s="26"/>
      <c r="P167" s="26"/>
    </row>
    <row r="168">
      <c r="A168" s="52"/>
      <c r="B168" s="15"/>
      <c r="C168" s="16"/>
      <c r="D168" s="15"/>
      <c r="E168" s="17"/>
      <c r="F168" s="54"/>
      <c r="G168" s="19"/>
      <c r="H168" s="17"/>
      <c r="I168" s="19"/>
      <c r="J168" s="21"/>
      <c r="K168" s="57"/>
      <c r="L168" s="24"/>
      <c r="M168" s="25"/>
      <c r="N168" s="25"/>
      <c r="O168" s="26"/>
      <c r="P168" s="26"/>
    </row>
    <row r="169">
      <c r="A169" s="52"/>
      <c r="B169" s="15"/>
      <c r="C169" s="16"/>
      <c r="D169" s="15"/>
      <c r="E169" s="17"/>
      <c r="F169" s="54"/>
      <c r="G169" s="19"/>
      <c r="H169" s="17"/>
      <c r="I169" s="19"/>
      <c r="J169" s="21"/>
      <c r="K169" s="57"/>
      <c r="L169" s="24"/>
      <c r="M169" s="25"/>
      <c r="N169" s="25"/>
      <c r="O169" s="26"/>
      <c r="P169" s="26"/>
    </row>
    <row r="170">
      <c r="A170" s="52"/>
      <c r="B170" s="15"/>
      <c r="C170" s="16"/>
      <c r="D170" s="15"/>
      <c r="E170" s="17"/>
      <c r="F170" s="54"/>
      <c r="G170" s="19"/>
      <c r="H170" s="17"/>
      <c r="I170" s="19"/>
      <c r="J170" s="21"/>
      <c r="K170" s="57"/>
      <c r="L170" s="24"/>
      <c r="M170" s="25"/>
      <c r="N170" s="25"/>
      <c r="O170" s="26"/>
      <c r="P170" s="26"/>
    </row>
    <row r="171">
      <c r="A171" s="52"/>
      <c r="B171" s="15"/>
      <c r="C171" s="16"/>
      <c r="D171" s="15"/>
      <c r="E171" s="17"/>
      <c r="F171" s="54"/>
      <c r="G171" s="19"/>
      <c r="H171" s="17"/>
      <c r="I171" s="19"/>
      <c r="J171" s="21"/>
      <c r="K171" s="57"/>
      <c r="L171" s="24"/>
      <c r="M171" s="25"/>
      <c r="N171" s="25"/>
      <c r="O171" s="26"/>
      <c r="P171" s="26"/>
    </row>
    <row r="172">
      <c r="A172" s="52"/>
      <c r="B172" s="15"/>
      <c r="C172" s="16"/>
      <c r="D172" s="15"/>
      <c r="E172" s="17"/>
      <c r="F172" s="54"/>
      <c r="G172" s="19"/>
      <c r="H172" s="17"/>
      <c r="I172" s="19"/>
      <c r="J172" s="21"/>
      <c r="K172" s="57"/>
      <c r="L172" s="24"/>
      <c r="M172" s="25"/>
      <c r="N172" s="25"/>
      <c r="O172" s="26"/>
      <c r="P172" s="26"/>
    </row>
    <row r="173">
      <c r="A173" s="52"/>
      <c r="B173" s="15"/>
      <c r="C173" s="16"/>
      <c r="D173" s="15"/>
      <c r="E173" s="17"/>
      <c r="F173" s="71"/>
      <c r="G173" s="19"/>
      <c r="H173" s="17"/>
      <c r="I173" s="19"/>
      <c r="J173" s="21"/>
      <c r="K173" s="57"/>
      <c r="L173" s="24"/>
      <c r="M173" s="25"/>
      <c r="N173" s="25"/>
      <c r="O173" s="26"/>
      <c r="P173" s="26"/>
    </row>
    <row r="174">
      <c r="A174" s="52"/>
      <c r="B174" s="15"/>
      <c r="C174" s="16"/>
      <c r="D174" s="15"/>
      <c r="E174" s="17"/>
      <c r="F174" s="71"/>
      <c r="G174" s="19"/>
      <c r="H174" s="17"/>
      <c r="I174" s="19"/>
      <c r="J174" s="21"/>
      <c r="K174" s="57"/>
      <c r="L174" s="24"/>
      <c r="M174" s="25"/>
      <c r="N174" s="25"/>
      <c r="O174" s="26"/>
      <c r="P174" s="26"/>
    </row>
    <row r="175">
      <c r="A175" s="52"/>
      <c r="B175" s="15"/>
      <c r="C175" s="16"/>
      <c r="D175" s="15"/>
      <c r="E175" s="17"/>
      <c r="F175" s="54"/>
      <c r="G175" s="19"/>
      <c r="H175" s="17"/>
      <c r="I175" s="19"/>
      <c r="J175" s="21"/>
      <c r="K175" s="57"/>
      <c r="L175" s="24"/>
      <c r="M175" s="25"/>
      <c r="N175" s="25"/>
      <c r="O175" s="26"/>
      <c r="P175" s="26"/>
    </row>
    <row r="176">
      <c r="A176" s="52"/>
      <c r="B176" s="15"/>
      <c r="C176" s="16"/>
      <c r="D176" s="15"/>
      <c r="E176" s="17"/>
      <c r="F176" s="54"/>
      <c r="G176" s="19"/>
      <c r="H176" s="17"/>
      <c r="I176" s="19"/>
      <c r="J176" s="21"/>
      <c r="K176" s="57"/>
      <c r="L176" s="24"/>
      <c r="M176" s="25"/>
      <c r="N176" s="25"/>
      <c r="O176" s="26"/>
      <c r="P176" s="26"/>
    </row>
    <row r="177">
      <c r="A177" s="52"/>
      <c r="B177" s="15"/>
      <c r="C177" s="16"/>
      <c r="D177" s="15"/>
      <c r="E177" s="17"/>
      <c r="F177" s="54"/>
      <c r="G177" s="19"/>
      <c r="H177" s="17"/>
      <c r="I177" s="19"/>
      <c r="J177" s="21"/>
      <c r="K177" s="57"/>
      <c r="L177" s="24"/>
      <c r="M177" s="25"/>
      <c r="N177" s="25"/>
      <c r="O177" s="26"/>
      <c r="P177" s="26"/>
    </row>
    <row r="178">
      <c r="A178" s="52"/>
      <c r="B178" s="15"/>
      <c r="C178" s="16"/>
      <c r="D178" s="15"/>
      <c r="E178" s="17"/>
      <c r="F178" s="54"/>
      <c r="G178" s="19"/>
      <c r="H178" s="17"/>
      <c r="I178" s="19"/>
      <c r="J178" s="21"/>
      <c r="K178" s="57"/>
      <c r="L178" s="24"/>
      <c r="M178" s="25"/>
      <c r="N178" s="25"/>
      <c r="O178" s="26"/>
      <c r="P178" s="26"/>
    </row>
    <row r="179">
      <c r="A179" s="52"/>
      <c r="B179" s="15"/>
      <c r="C179" s="16"/>
      <c r="D179" s="15"/>
      <c r="E179" s="17"/>
      <c r="F179" s="54"/>
      <c r="G179" s="19"/>
      <c r="H179" s="17"/>
      <c r="I179" s="19"/>
      <c r="J179" s="21"/>
      <c r="K179" s="57"/>
      <c r="L179" s="24"/>
      <c r="M179" s="25"/>
      <c r="N179" s="25"/>
      <c r="O179" s="26"/>
      <c r="P179" s="26"/>
    </row>
    <row r="180">
      <c r="A180" s="52"/>
      <c r="B180" s="15"/>
      <c r="C180" s="16"/>
      <c r="D180" s="15"/>
      <c r="E180" s="17"/>
      <c r="F180" s="54"/>
      <c r="G180" s="19"/>
      <c r="H180" s="17"/>
      <c r="I180" s="19"/>
      <c r="J180" s="21"/>
      <c r="K180" s="57"/>
      <c r="L180" s="24"/>
      <c r="M180" s="25"/>
      <c r="N180" s="25"/>
      <c r="O180" s="26"/>
      <c r="P180" s="26"/>
    </row>
    <row r="181">
      <c r="A181" s="52"/>
      <c r="B181" s="15"/>
      <c r="C181" s="16"/>
      <c r="D181" s="15"/>
      <c r="E181" s="17"/>
      <c r="F181" s="54"/>
      <c r="G181" s="19"/>
      <c r="H181" s="17"/>
      <c r="I181" s="19"/>
      <c r="J181" s="21"/>
      <c r="K181" s="57"/>
      <c r="L181" s="24"/>
      <c r="M181" s="25"/>
      <c r="N181" s="25"/>
      <c r="O181" s="26"/>
      <c r="P181" s="26"/>
    </row>
    <row r="182">
      <c r="A182" s="52"/>
      <c r="B182" s="15"/>
      <c r="C182" s="16"/>
      <c r="D182" s="15"/>
      <c r="E182" s="17"/>
      <c r="F182" s="54"/>
      <c r="G182" s="19"/>
      <c r="H182" s="17"/>
      <c r="I182" s="19"/>
      <c r="J182" s="21"/>
      <c r="K182" s="57"/>
      <c r="L182" s="24"/>
      <c r="M182" s="25"/>
      <c r="N182" s="25"/>
      <c r="O182" s="26"/>
      <c r="P182" s="26"/>
    </row>
    <row r="183">
      <c r="A183" s="52"/>
      <c r="B183" s="15"/>
      <c r="C183" s="16"/>
      <c r="D183" s="15"/>
      <c r="E183" s="17"/>
      <c r="F183" s="54"/>
      <c r="G183" s="19"/>
      <c r="H183" s="17"/>
      <c r="I183" s="19"/>
      <c r="J183" s="21"/>
      <c r="K183" s="57"/>
      <c r="L183" s="24"/>
      <c r="M183" s="25"/>
      <c r="N183" s="25"/>
      <c r="O183" s="26"/>
      <c r="P183" s="26"/>
    </row>
    <row r="184">
      <c r="A184" s="52"/>
      <c r="B184" s="15"/>
      <c r="C184" s="16"/>
      <c r="D184" s="15"/>
      <c r="E184" s="17"/>
      <c r="F184" s="54"/>
      <c r="G184" s="19"/>
      <c r="H184" s="17"/>
      <c r="I184" s="19"/>
      <c r="J184" s="21"/>
      <c r="K184" s="57"/>
      <c r="L184" s="24"/>
      <c r="M184" s="25"/>
      <c r="N184" s="25"/>
      <c r="O184" s="26"/>
      <c r="P184" s="26"/>
    </row>
    <row r="185">
      <c r="A185" s="52"/>
      <c r="B185" s="15"/>
      <c r="C185" s="16"/>
      <c r="D185" s="15"/>
      <c r="E185" s="17"/>
      <c r="F185" s="54"/>
      <c r="G185" s="19"/>
      <c r="H185" s="17"/>
      <c r="I185" s="19"/>
      <c r="J185" s="21"/>
      <c r="K185" s="57"/>
      <c r="L185" s="24"/>
      <c r="M185" s="25"/>
      <c r="N185" s="25"/>
      <c r="O185" s="26"/>
      <c r="P185" s="26"/>
    </row>
    <row r="186">
      <c r="A186" s="62"/>
      <c r="B186" s="15"/>
      <c r="C186" s="16"/>
      <c r="D186" s="15"/>
      <c r="E186" s="17"/>
      <c r="F186" s="71"/>
      <c r="G186" s="19"/>
      <c r="H186" s="17"/>
      <c r="I186" s="19"/>
      <c r="J186" s="21"/>
      <c r="K186" s="57"/>
      <c r="L186" s="24"/>
      <c r="M186" s="25"/>
      <c r="N186" s="25"/>
      <c r="O186" s="26"/>
      <c r="P186" s="26"/>
    </row>
    <row r="187">
      <c r="A187" s="52"/>
      <c r="B187" s="15"/>
      <c r="C187" s="16"/>
      <c r="D187" s="15"/>
      <c r="E187" s="17"/>
      <c r="F187" s="54"/>
      <c r="G187" s="19"/>
      <c r="H187" s="17"/>
      <c r="I187" s="19"/>
      <c r="J187" s="21"/>
      <c r="K187" s="57"/>
      <c r="L187" s="24"/>
      <c r="M187" s="25"/>
      <c r="N187" s="25"/>
      <c r="O187" s="26"/>
      <c r="P187" s="26"/>
    </row>
    <row r="188">
      <c r="A188" s="52"/>
      <c r="B188" s="15"/>
      <c r="C188" s="16"/>
      <c r="D188" s="15"/>
      <c r="E188" s="17"/>
      <c r="F188" s="54"/>
      <c r="G188" s="19"/>
      <c r="H188" s="17"/>
      <c r="I188" s="19"/>
      <c r="J188" s="21"/>
      <c r="K188" s="57"/>
      <c r="L188" s="24"/>
      <c r="M188" s="25"/>
      <c r="N188" s="25"/>
      <c r="O188" s="26"/>
      <c r="P188" s="26"/>
    </row>
    <row r="189">
      <c r="A189" s="52"/>
      <c r="B189" s="15"/>
      <c r="C189" s="16"/>
      <c r="D189" s="15"/>
      <c r="E189" s="17"/>
      <c r="F189" s="54"/>
      <c r="G189" s="19"/>
      <c r="H189" s="17"/>
      <c r="I189" s="19"/>
      <c r="J189" s="21"/>
      <c r="K189" s="57"/>
      <c r="L189" s="24"/>
      <c r="M189" s="25"/>
      <c r="N189" s="25"/>
      <c r="O189" s="26"/>
      <c r="P189" s="26"/>
    </row>
    <row r="190">
      <c r="A190" s="52"/>
      <c r="B190" s="15"/>
      <c r="C190" s="16"/>
      <c r="D190" s="15"/>
      <c r="E190" s="17"/>
      <c r="F190" s="54"/>
      <c r="G190" s="19"/>
      <c r="H190" s="17"/>
      <c r="I190" s="19"/>
      <c r="J190" s="21"/>
      <c r="K190" s="57"/>
      <c r="L190" s="24"/>
      <c r="M190" s="25"/>
      <c r="N190" s="25"/>
      <c r="O190" s="26"/>
      <c r="P190" s="26"/>
    </row>
    <row r="191">
      <c r="A191" s="52"/>
      <c r="B191" s="15"/>
      <c r="C191" s="16"/>
      <c r="D191" s="15"/>
      <c r="E191" s="17"/>
      <c r="F191" s="54"/>
      <c r="G191" s="19"/>
      <c r="H191" s="17"/>
      <c r="I191" s="19"/>
      <c r="J191" s="21"/>
      <c r="K191" s="57"/>
      <c r="L191" s="24"/>
      <c r="M191" s="25"/>
      <c r="N191" s="25"/>
      <c r="O191" s="26"/>
      <c r="P191" s="26"/>
    </row>
    <row r="192">
      <c r="A192" s="52"/>
      <c r="B192" s="15"/>
      <c r="C192" s="16"/>
      <c r="D192" s="15"/>
      <c r="E192" s="17"/>
      <c r="F192" s="54"/>
      <c r="G192" s="19"/>
      <c r="H192" s="17"/>
      <c r="I192" s="19"/>
      <c r="J192" s="21"/>
      <c r="K192" s="57"/>
      <c r="L192" s="24"/>
      <c r="M192" s="25"/>
      <c r="N192" s="25"/>
      <c r="O192" s="26"/>
      <c r="P192" s="26"/>
    </row>
    <row r="193">
      <c r="A193" s="52"/>
      <c r="B193" s="15"/>
      <c r="C193" s="16"/>
      <c r="D193" s="15"/>
      <c r="E193" s="17"/>
      <c r="F193" s="54"/>
      <c r="G193" s="19"/>
      <c r="H193" s="17"/>
      <c r="I193" s="19"/>
      <c r="J193" s="21"/>
      <c r="K193" s="57"/>
      <c r="L193" s="24"/>
      <c r="M193" s="25"/>
      <c r="N193" s="25"/>
      <c r="O193" s="26"/>
      <c r="P193" s="26"/>
    </row>
    <row r="194">
      <c r="A194" s="52"/>
      <c r="B194" s="15"/>
      <c r="C194" s="16"/>
      <c r="D194" s="15"/>
      <c r="E194" s="17"/>
      <c r="F194" s="54"/>
      <c r="G194" s="19"/>
      <c r="H194" s="17"/>
      <c r="I194" s="19"/>
      <c r="J194" s="21"/>
      <c r="K194" s="57"/>
      <c r="L194" s="24"/>
      <c r="M194" s="25"/>
      <c r="N194" s="25"/>
      <c r="O194" s="26"/>
      <c r="P194" s="26"/>
    </row>
    <row r="195">
      <c r="A195" s="52"/>
      <c r="B195" s="15"/>
      <c r="C195" s="16"/>
      <c r="D195" s="15"/>
      <c r="E195" s="17"/>
      <c r="F195" s="18"/>
      <c r="G195" s="19"/>
      <c r="H195" s="17"/>
      <c r="I195" s="19"/>
      <c r="J195" s="21"/>
      <c r="K195" s="57"/>
      <c r="L195" s="24"/>
      <c r="M195" s="25"/>
      <c r="N195" s="25"/>
      <c r="O195" s="26"/>
      <c r="P195" s="26"/>
    </row>
    <row r="196">
      <c r="A196" s="62"/>
      <c r="B196" s="15"/>
      <c r="C196" s="16"/>
      <c r="D196" s="15"/>
      <c r="E196" s="17"/>
      <c r="F196" s="71"/>
      <c r="G196" s="19"/>
      <c r="H196" s="17"/>
      <c r="I196" s="19"/>
      <c r="J196" s="21"/>
      <c r="K196" s="57"/>
      <c r="L196" s="24"/>
      <c r="M196" s="25"/>
      <c r="N196" s="25"/>
      <c r="O196" s="26"/>
      <c r="P196" s="26"/>
    </row>
    <row r="197">
      <c r="A197" s="52"/>
      <c r="B197" s="15"/>
      <c r="C197" s="16"/>
      <c r="D197" s="15"/>
      <c r="E197" s="17"/>
      <c r="F197" s="18"/>
      <c r="G197" s="19"/>
      <c r="H197" s="17"/>
      <c r="I197" s="19"/>
      <c r="J197" s="21"/>
      <c r="K197" s="57"/>
      <c r="L197" s="24"/>
      <c r="M197" s="25"/>
      <c r="N197" s="25"/>
      <c r="O197" s="26"/>
      <c r="P197" s="26"/>
    </row>
    <row r="198">
      <c r="A198" s="52"/>
      <c r="B198" s="15"/>
      <c r="C198" s="16"/>
      <c r="D198" s="15"/>
      <c r="E198" s="17"/>
      <c r="F198" s="54"/>
      <c r="G198" s="19"/>
      <c r="H198" s="17"/>
      <c r="I198" s="19"/>
      <c r="J198" s="21"/>
      <c r="K198" s="57"/>
      <c r="L198" s="24"/>
      <c r="M198" s="25"/>
      <c r="N198" s="25"/>
      <c r="O198" s="26"/>
      <c r="P198" s="26"/>
    </row>
    <row r="199">
      <c r="A199" s="52"/>
      <c r="B199" s="15"/>
      <c r="C199" s="16"/>
      <c r="D199" s="15"/>
      <c r="E199" s="17"/>
      <c r="F199" s="54"/>
      <c r="G199" s="19"/>
      <c r="H199" s="17"/>
      <c r="I199" s="19"/>
      <c r="J199" s="21"/>
      <c r="K199" s="57"/>
      <c r="L199" s="24"/>
      <c r="M199" s="25"/>
      <c r="N199" s="25"/>
      <c r="O199" s="26"/>
      <c r="P199" s="26"/>
    </row>
    <row r="200">
      <c r="A200" s="52"/>
      <c r="B200" s="15"/>
      <c r="C200" s="16"/>
      <c r="D200" s="15"/>
      <c r="E200" s="17"/>
      <c r="F200" s="54"/>
      <c r="G200" s="19"/>
      <c r="H200" s="17"/>
      <c r="I200" s="19"/>
      <c r="J200" s="21"/>
      <c r="K200" s="57"/>
      <c r="L200" s="24"/>
      <c r="M200" s="25"/>
      <c r="N200" s="25"/>
      <c r="O200" s="26"/>
      <c r="P200" s="26"/>
    </row>
    <row r="201">
      <c r="A201" s="52"/>
      <c r="B201" s="15"/>
      <c r="C201" s="16"/>
      <c r="D201" s="15"/>
      <c r="E201" s="17"/>
      <c r="F201" s="54"/>
      <c r="G201" s="19"/>
      <c r="H201" s="17"/>
      <c r="I201" s="19"/>
      <c r="J201" s="21"/>
      <c r="K201" s="57"/>
      <c r="L201" s="24"/>
      <c r="M201" s="25"/>
      <c r="N201" s="25"/>
      <c r="O201" s="26"/>
      <c r="P201" s="26"/>
    </row>
    <row r="202">
      <c r="A202" s="52"/>
      <c r="B202" s="15"/>
      <c r="C202" s="16"/>
      <c r="D202" s="15"/>
      <c r="E202" s="17"/>
      <c r="F202" s="54"/>
      <c r="G202" s="19"/>
      <c r="H202" s="17"/>
      <c r="I202" s="19"/>
      <c r="J202" s="21"/>
      <c r="K202" s="57"/>
      <c r="L202" s="24"/>
      <c r="M202" s="25"/>
      <c r="N202" s="25"/>
      <c r="O202" s="26"/>
      <c r="P202" s="26"/>
    </row>
    <row r="203">
      <c r="A203" s="52"/>
      <c r="B203" s="15"/>
      <c r="C203" s="16"/>
      <c r="D203" s="15"/>
      <c r="E203" s="17"/>
      <c r="F203" s="54"/>
      <c r="G203" s="19"/>
      <c r="H203" s="17"/>
      <c r="I203" s="19"/>
      <c r="J203" s="21"/>
      <c r="K203" s="57"/>
      <c r="L203" s="24"/>
      <c r="M203" s="25"/>
      <c r="N203" s="25"/>
      <c r="O203" s="26"/>
      <c r="P203" s="26"/>
    </row>
    <row r="204">
      <c r="A204" s="52"/>
      <c r="B204" s="15"/>
      <c r="C204" s="16"/>
      <c r="D204" s="15"/>
      <c r="E204" s="17"/>
      <c r="F204" s="54"/>
      <c r="G204" s="19"/>
      <c r="H204" s="17"/>
      <c r="I204" s="19"/>
      <c r="J204" s="21"/>
      <c r="K204" s="57"/>
      <c r="L204" s="24"/>
      <c r="M204" s="25"/>
      <c r="N204" s="25"/>
      <c r="O204" s="26"/>
      <c r="P204" s="26"/>
    </row>
    <row r="205">
      <c r="A205" s="52"/>
      <c r="B205" s="15"/>
      <c r="C205" s="16"/>
      <c r="D205" s="15"/>
      <c r="E205" s="17"/>
      <c r="F205" s="54"/>
      <c r="G205" s="19"/>
      <c r="H205" s="17"/>
      <c r="I205" s="19"/>
      <c r="J205" s="21"/>
      <c r="K205" s="57"/>
      <c r="L205" s="24"/>
      <c r="M205" s="25"/>
      <c r="N205" s="25"/>
      <c r="O205" s="26"/>
      <c r="P205" s="26"/>
    </row>
    <row r="206">
      <c r="A206" s="52"/>
      <c r="B206" s="15"/>
      <c r="C206" s="16"/>
      <c r="D206" s="15"/>
      <c r="E206" s="17"/>
      <c r="F206" s="54"/>
      <c r="G206" s="19"/>
      <c r="H206" s="17"/>
      <c r="I206" s="19"/>
      <c r="J206" s="21"/>
      <c r="K206" s="57"/>
      <c r="L206" s="24"/>
      <c r="M206" s="25"/>
      <c r="N206" s="25"/>
      <c r="O206" s="26"/>
      <c r="P206" s="26"/>
    </row>
    <row r="207">
      <c r="A207" s="52"/>
      <c r="B207" s="15"/>
      <c r="C207" s="16"/>
      <c r="D207" s="15"/>
      <c r="E207" s="17"/>
      <c r="F207" s="54"/>
      <c r="G207" s="19"/>
      <c r="H207" s="17"/>
      <c r="I207" s="19"/>
      <c r="J207" s="21"/>
      <c r="K207" s="57"/>
      <c r="L207" s="24"/>
      <c r="M207" s="25"/>
      <c r="N207" s="25"/>
      <c r="O207" s="26"/>
      <c r="P207" s="26"/>
    </row>
    <row r="208">
      <c r="A208" s="52"/>
      <c r="B208" s="15"/>
      <c r="C208" s="16"/>
      <c r="D208" s="15"/>
      <c r="E208" s="17"/>
      <c r="F208" s="54"/>
      <c r="G208" s="19"/>
      <c r="H208" s="17"/>
      <c r="I208" s="19"/>
      <c r="J208" s="21"/>
      <c r="K208" s="57"/>
      <c r="L208" s="24"/>
      <c r="M208" s="25"/>
      <c r="N208" s="25"/>
      <c r="O208" s="26"/>
      <c r="P208" s="26"/>
    </row>
    <row r="209">
      <c r="A209" s="52"/>
      <c r="B209" s="15"/>
      <c r="C209" s="16"/>
      <c r="D209" s="15"/>
      <c r="E209" s="17"/>
      <c r="F209" s="54"/>
      <c r="G209" s="19"/>
      <c r="H209" s="17"/>
      <c r="I209" s="19"/>
      <c r="J209" s="21"/>
      <c r="K209" s="57"/>
      <c r="L209" s="24"/>
      <c r="M209" s="25"/>
      <c r="N209" s="25"/>
      <c r="O209" s="26"/>
      <c r="P209" s="26"/>
    </row>
    <row r="210">
      <c r="A210" s="52"/>
      <c r="B210" s="15"/>
      <c r="C210" s="16"/>
      <c r="D210" s="15"/>
      <c r="E210" s="17"/>
      <c r="F210" s="54"/>
      <c r="G210" s="19"/>
      <c r="H210" s="17"/>
      <c r="I210" s="19"/>
      <c r="J210" s="21"/>
      <c r="K210" s="57"/>
      <c r="L210" s="24"/>
      <c r="M210" s="25"/>
      <c r="N210" s="25"/>
      <c r="O210" s="26"/>
      <c r="P210" s="26"/>
    </row>
    <row r="211">
      <c r="A211" s="52"/>
      <c r="B211" s="15"/>
      <c r="C211" s="16"/>
      <c r="D211" s="15"/>
      <c r="E211" s="17"/>
      <c r="F211" s="54"/>
      <c r="G211" s="19"/>
      <c r="H211" s="17"/>
      <c r="I211" s="19"/>
      <c r="J211" s="21"/>
      <c r="K211" s="57"/>
      <c r="L211" s="24"/>
      <c r="M211" s="25"/>
      <c r="N211" s="25"/>
      <c r="O211" s="26"/>
      <c r="P211" s="26"/>
    </row>
    <row r="212">
      <c r="A212" s="52"/>
      <c r="B212" s="15"/>
      <c r="C212" s="16"/>
      <c r="D212" s="15"/>
      <c r="E212" s="17"/>
      <c r="F212" s="54"/>
      <c r="G212" s="19"/>
      <c r="H212" s="17"/>
      <c r="I212" s="19"/>
      <c r="J212" s="21"/>
      <c r="K212" s="57"/>
      <c r="L212" s="24"/>
      <c r="M212" s="25"/>
      <c r="N212" s="25"/>
      <c r="O212" s="26"/>
      <c r="P212" s="26"/>
    </row>
    <row r="213">
      <c r="A213" s="52"/>
      <c r="B213" s="15"/>
      <c r="C213" s="16"/>
      <c r="D213" s="15"/>
      <c r="E213" s="17"/>
      <c r="F213" s="54"/>
      <c r="G213" s="19"/>
      <c r="H213" s="17"/>
      <c r="I213" s="19"/>
      <c r="J213" s="21"/>
      <c r="K213" s="57"/>
      <c r="L213" s="24"/>
      <c r="M213" s="25"/>
      <c r="N213" s="25"/>
      <c r="O213" s="26"/>
      <c r="P213" s="26"/>
    </row>
    <row r="214">
      <c r="A214" s="52"/>
      <c r="B214" s="15"/>
      <c r="C214" s="16"/>
      <c r="D214" s="15"/>
      <c r="E214" s="17"/>
      <c r="F214" s="54"/>
      <c r="G214" s="19"/>
      <c r="H214" s="17"/>
      <c r="I214" s="19"/>
      <c r="J214" s="21"/>
      <c r="K214" s="57"/>
      <c r="L214" s="24"/>
      <c r="M214" s="25"/>
      <c r="N214" s="25"/>
      <c r="O214" s="26"/>
      <c r="P214" s="26"/>
    </row>
    <row r="215">
      <c r="A215" s="52"/>
      <c r="B215" s="15"/>
      <c r="C215" s="16"/>
      <c r="D215" s="15"/>
      <c r="E215" s="17"/>
      <c r="F215" s="54"/>
      <c r="G215" s="19"/>
      <c r="H215" s="17"/>
      <c r="I215" s="19"/>
      <c r="J215" s="21"/>
      <c r="K215" s="57"/>
      <c r="L215" s="24"/>
      <c r="M215" s="25"/>
      <c r="N215" s="25"/>
      <c r="O215" s="26"/>
      <c r="P215" s="26"/>
    </row>
    <row r="216">
      <c r="A216" s="52"/>
      <c r="B216" s="15"/>
      <c r="C216" s="16"/>
      <c r="D216" s="15"/>
      <c r="E216" s="17"/>
      <c r="F216" s="54"/>
      <c r="G216" s="19"/>
      <c r="H216" s="17"/>
      <c r="I216" s="19"/>
      <c r="J216" s="21"/>
      <c r="K216" s="57"/>
      <c r="L216" s="24"/>
      <c r="M216" s="25"/>
      <c r="N216" s="25"/>
      <c r="O216" s="26"/>
      <c r="P216" s="26"/>
    </row>
    <row r="217">
      <c r="A217" s="52"/>
      <c r="B217" s="15"/>
      <c r="C217" s="16"/>
      <c r="D217" s="15"/>
      <c r="E217" s="17"/>
      <c r="F217" s="54"/>
      <c r="G217" s="19"/>
      <c r="H217" s="17"/>
      <c r="I217" s="19"/>
      <c r="J217" s="21"/>
      <c r="K217" s="57"/>
      <c r="L217" s="24"/>
      <c r="M217" s="25"/>
      <c r="N217" s="25"/>
      <c r="O217" s="26"/>
      <c r="P217" s="26"/>
    </row>
    <row r="218">
      <c r="A218" s="52"/>
      <c r="B218" s="15"/>
      <c r="C218" s="16"/>
      <c r="D218" s="15"/>
      <c r="E218" s="17"/>
      <c r="F218" s="54"/>
      <c r="G218" s="19"/>
      <c r="H218" s="17"/>
      <c r="I218" s="19"/>
      <c r="J218" s="21"/>
      <c r="K218" s="57"/>
      <c r="L218" s="24"/>
      <c r="M218" s="25"/>
      <c r="N218" s="25"/>
      <c r="O218" s="26"/>
      <c r="P218" s="26"/>
    </row>
    <row r="219">
      <c r="A219" s="52"/>
      <c r="B219" s="15"/>
      <c r="C219" s="16"/>
      <c r="D219" s="15"/>
      <c r="E219" s="17"/>
      <c r="F219" s="54"/>
      <c r="G219" s="19"/>
      <c r="H219" s="17"/>
      <c r="I219" s="19"/>
      <c r="J219" s="21"/>
      <c r="K219" s="57"/>
      <c r="L219" s="24"/>
      <c r="M219" s="25"/>
      <c r="N219" s="25"/>
      <c r="O219" s="26"/>
      <c r="P219" s="26"/>
    </row>
    <row r="220">
      <c r="A220" s="52"/>
      <c r="B220" s="15"/>
      <c r="C220" s="16"/>
      <c r="D220" s="15"/>
      <c r="E220" s="17"/>
      <c r="F220" s="54"/>
      <c r="G220" s="19"/>
      <c r="H220" s="17"/>
      <c r="I220" s="19"/>
      <c r="J220" s="21"/>
      <c r="K220" s="57"/>
      <c r="L220" s="24"/>
      <c r="M220" s="25"/>
      <c r="N220" s="25"/>
      <c r="O220" s="26"/>
      <c r="P220" s="26"/>
    </row>
    <row r="221">
      <c r="A221" s="52"/>
      <c r="B221" s="15"/>
      <c r="C221" s="16"/>
      <c r="D221" s="15"/>
      <c r="E221" s="17"/>
      <c r="F221" s="54"/>
      <c r="G221" s="19"/>
      <c r="H221" s="17"/>
      <c r="I221" s="19"/>
      <c r="J221" s="21"/>
      <c r="K221" s="57"/>
      <c r="L221" s="24"/>
      <c r="M221" s="25"/>
      <c r="N221" s="25"/>
      <c r="O221" s="26"/>
      <c r="P221" s="26"/>
    </row>
    <row r="222">
      <c r="A222" s="52"/>
      <c r="B222" s="15"/>
      <c r="C222" s="16"/>
      <c r="D222" s="15"/>
      <c r="E222" s="17"/>
      <c r="F222" s="54"/>
      <c r="G222" s="19"/>
      <c r="H222" s="17"/>
      <c r="I222" s="19"/>
      <c r="J222" s="21"/>
      <c r="K222" s="57"/>
      <c r="L222" s="24"/>
      <c r="M222" s="25"/>
      <c r="N222" s="25"/>
      <c r="O222" s="26"/>
      <c r="P222" s="26"/>
    </row>
    <row r="223">
      <c r="A223" s="52"/>
      <c r="B223" s="15"/>
      <c r="C223" s="16"/>
      <c r="D223" s="15"/>
      <c r="E223" s="17"/>
      <c r="F223" s="54"/>
      <c r="G223" s="19"/>
      <c r="H223" s="17"/>
      <c r="I223" s="19"/>
      <c r="J223" s="21"/>
      <c r="K223" s="57"/>
      <c r="L223" s="24"/>
      <c r="M223" s="25"/>
      <c r="N223" s="25"/>
      <c r="O223" s="26"/>
      <c r="P223" s="26"/>
    </row>
    <row r="224">
      <c r="A224" s="52"/>
      <c r="B224" s="15"/>
      <c r="C224" s="16"/>
      <c r="D224" s="15"/>
      <c r="E224" s="17"/>
      <c r="F224" s="54"/>
      <c r="G224" s="19"/>
      <c r="H224" s="17"/>
      <c r="I224" s="19"/>
      <c r="J224" s="21"/>
      <c r="K224" s="57"/>
      <c r="L224" s="24"/>
      <c r="M224" s="25"/>
      <c r="N224" s="25"/>
      <c r="O224" s="26"/>
      <c r="P224" s="26"/>
    </row>
    <row r="225">
      <c r="A225" s="52"/>
      <c r="B225" s="15"/>
      <c r="C225" s="16"/>
      <c r="D225" s="15"/>
      <c r="E225" s="17"/>
      <c r="F225" s="54"/>
      <c r="G225" s="19"/>
      <c r="H225" s="17"/>
      <c r="I225" s="19"/>
      <c r="J225" s="21"/>
      <c r="K225" s="57"/>
      <c r="L225" s="24"/>
      <c r="M225" s="25"/>
      <c r="N225" s="25"/>
      <c r="O225" s="26"/>
      <c r="P225" s="26"/>
    </row>
    <row r="226">
      <c r="A226" s="52"/>
      <c r="B226" s="15"/>
      <c r="C226" s="16"/>
      <c r="D226" s="15"/>
      <c r="E226" s="17"/>
      <c r="F226" s="18"/>
      <c r="G226" s="19"/>
      <c r="H226" s="17"/>
      <c r="I226" s="19"/>
      <c r="J226" s="21"/>
      <c r="K226" s="57"/>
      <c r="L226" s="24"/>
      <c r="M226" s="25"/>
      <c r="N226" s="25"/>
      <c r="O226" s="26"/>
      <c r="P226" s="26"/>
    </row>
    <row r="227">
      <c r="A227" s="52"/>
      <c r="B227" s="15"/>
      <c r="C227" s="16"/>
      <c r="D227" s="15"/>
      <c r="E227" s="17"/>
      <c r="F227" s="54"/>
      <c r="G227" s="19"/>
      <c r="H227" s="17"/>
      <c r="I227" s="19"/>
      <c r="J227" s="21"/>
      <c r="K227" s="57"/>
      <c r="L227" s="24"/>
      <c r="M227" s="25"/>
      <c r="N227" s="25"/>
      <c r="O227" s="26"/>
      <c r="P227" s="26"/>
    </row>
    <row r="228">
      <c r="A228" s="52"/>
      <c r="B228" s="15"/>
      <c r="C228" s="16"/>
      <c r="D228" s="15"/>
      <c r="E228" s="17"/>
      <c r="F228" s="54"/>
      <c r="G228" s="19"/>
      <c r="H228" s="17"/>
      <c r="I228" s="19"/>
      <c r="J228" s="21"/>
      <c r="K228" s="57"/>
      <c r="L228" s="24"/>
      <c r="M228" s="25"/>
      <c r="N228" s="25"/>
      <c r="O228" s="26"/>
      <c r="P228" s="26"/>
    </row>
    <row r="229">
      <c r="A229" s="52"/>
      <c r="B229" s="15"/>
      <c r="C229" s="16"/>
      <c r="D229" s="15"/>
      <c r="E229" s="17"/>
      <c r="F229" s="54"/>
      <c r="G229" s="19"/>
      <c r="H229" s="17"/>
      <c r="I229" s="19"/>
      <c r="J229" s="21"/>
      <c r="K229" s="57"/>
      <c r="L229" s="24"/>
      <c r="M229" s="25"/>
      <c r="N229" s="25"/>
      <c r="O229" s="26"/>
      <c r="P229" s="26"/>
    </row>
    <row r="230">
      <c r="A230" s="52"/>
      <c r="B230" s="15"/>
      <c r="C230" s="16"/>
      <c r="D230" s="15"/>
      <c r="E230" s="17"/>
      <c r="F230" s="54"/>
      <c r="G230" s="19"/>
      <c r="H230" s="17"/>
      <c r="I230" s="19"/>
      <c r="J230" s="21"/>
      <c r="K230" s="57"/>
      <c r="L230" s="24"/>
      <c r="M230" s="25"/>
      <c r="N230" s="25"/>
      <c r="O230" s="26"/>
      <c r="P230" s="26"/>
    </row>
    <row r="231">
      <c r="A231" s="52"/>
      <c r="B231" s="15"/>
      <c r="C231" s="16"/>
      <c r="D231" s="15"/>
      <c r="E231" s="17"/>
      <c r="F231" s="54"/>
      <c r="G231" s="19"/>
      <c r="H231" s="17"/>
      <c r="I231" s="19"/>
      <c r="J231" s="21"/>
      <c r="K231" s="57"/>
      <c r="L231" s="24"/>
      <c r="M231" s="25"/>
      <c r="N231" s="25"/>
      <c r="O231" s="26"/>
      <c r="P231" s="26"/>
    </row>
    <row r="232">
      <c r="A232" s="52"/>
      <c r="B232" s="15"/>
      <c r="C232" s="16"/>
      <c r="D232" s="15"/>
      <c r="E232" s="17"/>
      <c r="F232" s="54"/>
      <c r="G232" s="19"/>
      <c r="H232" s="17"/>
      <c r="I232" s="19"/>
      <c r="J232" s="21"/>
      <c r="K232" s="57"/>
      <c r="L232" s="24"/>
      <c r="M232" s="25"/>
      <c r="N232" s="25"/>
      <c r="O232" s="26"/>
      <c r="P232" s="26"/>
    </row>
    <row r="233">
      <c r="A233" s="52"/>
      <c r="B233" s="15"/>
      <c r="C233" s="16"/>
      <c r="D233" s="15"/>
      <c r="E233" s="17"/>
      <c r="F233" s="54"/>
      <c r="G233" s="19"/>
      <c r="H233" s="17"/>
      <c r="I233" s="19"/>
      <c r="J233" s="21"/>
      <c r="K233" s="57"/>
      <c r="L233" s="24"/>
      <c r="M233" s="25"/>
      <c r="N233" s="25"/>
      <c r="O233" s="26"/>
      <c r="P233" s="26"/>
    </row>
    <row r="234">
      <c r="A234" s="52"/>
      <c r="B234" s="15"/>
      <c r="C234" s="16"/>
      <c r="D234" s="15"/>
      <c r="E234" s="17"/>
      <c r="F234" s="54"/>
      <c r="G234" s="19"/>
      <c r="H234" s="17"/>
      <c r="I234" s="19"/>
      <c r="J234" s="21"/>
      <c r="K234" s="57"/>
      <c r="L234" s="24"/>
      <c r="M234" s="25"/>
      <c r="N234" s="25"/>
      <c r="O234" s="26"/>
      <c r="P234" s="26"/>
    </row>
    <row r="235">
      <c r="A235" s="52"/>
      <c r="B235" s="15"/>
      <c r="C235" s="16"/>
      <c r="D235" s="15"/>
      <c r="E235" s="17"/>
      <c r="F235" s="54"/>
      <c r="G235" s="19"/>
      <c r="H235" s="17"/>
      <c r="I235" s="19"/>
      <c r="J235" s="21"/>
      <c r="K235" s="57"/>
      <c r="L235" s="24"/>
      <c r="M235" s="25"/>
      <c r="N235" s="25"/>
      <c r="O235" s="26"/>
      <c r="P235" s="26"/>
    </row>
    <row r="236">
      <c r="A236" s="52"/>
      <c r="B236" s="15"/>
      <c r="C236" s="16"/>
      <c r="D236" s="15"/>
      <c r="E236" s="17"/>
      <c r="F236" s="54"/>
      <c r="G236" s="19"/>
      <c r="H236" s="17"/>
      <c r="I236" s="19"/>
      <c r="J236" s="21"/>
      <c r="K236" s="57"/>
      <c r="L236" s="24"/>
      <c r="M236" s="25"/>
      <c r="N236" s="25"/>
      <c r="O236" s="26"/>
      <c r="P236" s="26"/>
    </row>
    <row r="237">
      <c r="A237" s="52"/>
      <c r="B237" s="15"/>
      <c r="C237" s="16"/>
      <c r="D237" s="15"/>
      <c r="E237" s="17"/>
      <c r="F237" s="54"/>
      <c r="G237" s="19"/>
      <c r="H237" s="17"/>
      <c r="I237" s="19"/>
      <c r="J237" s="21"/>
      <c r="K237" s="57"/>
      <c r="L237" s="24"/>
      <c r="M237" s="25"/>
      <c r="N237" s="25"/>
      <c r="O237" s="26"/>
      <c r="P237" s="26"/>
    </row>
    <row r="238">
      <c r="A238" s="52"/>
      <c r="B238" s="15"/>
      <c r="C238" s="16"/>
      <c r="D238" s="15"/>
      <c r="E238" s="17"/>
      <c r="F238" s="54"/>
      <c r="G238" s="19"/>
      <c r="H238" s="17"/>
      <c r="I238" s="19"/>
      <c r="J238" s="21"/>
      <c r="K238" s="57"/>
      <c r="L238" s="24"/>
      <c r="M238" s="25"/>
      <c r="N238" s="25"/>
      <c r="O238" s="26"/>
      <c r="P238" s="26"/>
    </row>
    <row r="239">
      <c r="A239" s="52"/>
      <c r="B239" s="15"/>
      <c r="C239" s="16"/>
      <c r="D239" s="15"/>
      <c r="E239" s="17"/>
      <c r="F239" s="54"/>
      <c r="G239" s="19"/>
      <c r="H239" s="17"/>
      <c r="I239" s="19"/>
      <c r="J239" s="21"/>
      <c r="K239" s="57"/>
      <c r="L239" s="24"/>
      <c r="M239" s="25"/>
      <c r="N239" s="25"/>
      <c r="O239" s="26"/>
      <c r="P239" s="26"/>
    </row>
    <row r="240">
      <c r="A240" s="52"/>
      <c r="B240" s="15"/>
      <c r="C240" s="16"/>
      <c r="D240" s="15"/>
      <c r="E240" s="17"/>
      <c r="F240" s="54"/>
      <c r="G240" s="19"/>
      <c r="H240" s="17"/>
      <c r="I240" s="19"/>
      <c r="J240" s="21"/>
      <c r="K240" s="57"/>
      <c r="L240" s="24"/>
      <c r="M240" s="25"/>
      <c r="N240" s="25"/>
      <c r="O240" s="26"/>
      <c r="P240" s="26"/>
    </row>
    <row r="241">
      <c r="A241" s="52"/>
      <c r="B241" s="15"/>
      <c r="C241" s="16"/>
      <c r="D241" s="15"/>
      <c r="E241" s="17"/>
      <c r="F241" s="54"/>
      <c r="G241" s="19"/>
      <c r="H241" s="17"/>
      <c r="I241" s="19"/>
      <c r="J241" s="21"/>
      <c r="K241" s="57"/>
      <c r="L241" s="24"/>
      <c r="M241" s="25"/>
      <c r="N241" s="25"/>
      <c r="O241" s="26"/>
      <c r="P241" s="26"/>
    </row>
    <row r="242">
      <c r="A242" s="62"/>
      <c r="B242" s="15"/>
      <c r="C242" s="16"/>
      <c r="D242" s="15"/>
      <c r="E242" s="17"/>
      <c r="F242" s="71"/>
      <c r="G242" s="19"/>
      <c r="H242" s="17"/>
      <c r="I242" s="19"/>
      <c r="J242" s="21"/>
      <c r="K242" s="57"/>
      <c r="L242" s="24"/>
      <c r="M242" s="25"/>
      <c r="N242" s="25"/>
      <c r="O242" s="26"/>
      <c r="P242" s="26"/>
    </row>
    <row r="243">
      <c r="A243" s="52"/>
      <c r="B243" s="15"/>
      <c r="C243" s="16"/>
      <c r="D243" s="15"/>
      <c r="E243" s="17"/>
      <c r="F243" s="54"/>
      <c r="G243" s="19"/>
      <c r="H243" s="17"/>
      <c r="I243" s="19"/>
      <c r="J243" s="21"/>
      <c r="K243" s="57"/>
      <c r="L243" s="24"/>
      <c r="M243" s="25"/>
      <c r="N243" s="25"/>
      <c r="O243" s="26"/>
      <c r="P243" s="26"/>
    </row>
    <row r="244">
      <c r="A244" s="52"/>
      <c r="B244" s="15"/>
      <c r="C244" s="16"/>
      <c r="D244" s="15"/>
      <c r="E244" s="17"/>
      <c r="F244" s="54"/>
      <c r="G244" s="19"/>
      <c r="H244" s="17"/>
      <c r="I244" s="19"/>
      <c r="J244" s="21"/>
      <c r="K244" s="57"/>
      <c r="L244" s="24"/>
      <c r="M244" s="25"/>
      <c r="N244" s="25"/>
      <c r="O244" s="26"/>
      <c r="P244" s="26"/>
    </row>
    <row r="245">
      <c r="A245" s="52"/>
      <c r="B245" s="15"/>
      <c r="C245" s="16"/>
      <c r="D245" s="15"/>
      <c r="E245" s="17"/>
      <c r="F245" s="54"/>
      <c r="G245" s="19"/>
      <c r="H245" s="17"/>
      <c r="I245" s="19"/>
      <c r="J245" s="21"/>
      <c r="K245" s="57"/>
      <c r="L245" s="24"/>
      <c r="M245" s="25"/>
      <c r="N245" s="25"/>
      <c r="O245" s="26"/>
      <c r="P245" s="26"/>
    </row>
    <row r="246">
      <c r="A246" s="52"/>
      <c r="B246" s="15"/>
      <c r="C246" s="16"/>
      <c r="D246" s="15"/>
      <c r="E246" s="17"/>
      <c r="F246" s="54"/>
      <c r="G246" s="19"/>
      <c r="H246" s="17"/>
      <c r="I246" s="19"/>
      <c r="J246" s="21"/>
      <c r="K246" s="57"/>
      <c r="L246" s="24"/>
      <c r="M246" s="25"/>
      <c r="N246" s="25"/>
      <c r="O246" s="26"/>
      <c r="P246" s="26"/>
    </row>
    <row r="247">
      <c r="A247" s="52"/>
      <c r="B247" s="15"/>
      <c r="C247" s="16"/>
      <c r="D247" s="15"/>
      <c r="E247" s="17"/>
      <c r="F247" s="54"/>
      <c r="G247" s="19"/>
      <c r="H247" s="17"/>
      <c r="I247" s="19"/>
      <c r="J247" s="21"/>
      <c r="K247" s="57"/>
      <c r="L247" s="24"/>
      <c r="M247" s="25"/>
      <c r="N247" s="25"/>
      <c r="O247" s="26"/>
      <c r="P247" s="26"/>
    </row>
    <row r="248">
      <c r="A248" s="52"/>
      <c r="B248" s="15"/>
      <c r="C248" s="16"/>
      <c r="D248" s="15"/>
      <c r="E248" s="17"/>
      <c r="F248" s="54"/>
      <c r="G248" s="19"/>
      <c r="H248" s="17"/>
      <c r="I248" s="19"/>
      <c r="J248" s="21"/>
      <c r="K248" s="57"/>
      <c r="L248" s="24"/>
      <c r="M248" s="25"/>
      <c r="N248" s="25"/>
      <c r="O248" s="26"/>
      <c r="P248" s="26"/>
    </row>
    <row r="249">
      <c r="A249" s="52"/>
      <c r="B249" s="15"/>
      <c r="C249" s="16"/>
      <c r="D249" s="15"/>
      <c r="E249" s="17"/>
      <c r="F249" s="18"/>
      <c r="G249" s="19"/>
      <c r="H249" s="17"/>
      <c r="I249" s="19"/>
      <c r="J249" s="21"/>
      <c r="K249" s="57"/>
      <c r="L249" s="24"/>
      <c r="M249" s="25"/>
      <c r="N249" s="25"/>
      <c r="O249" s="26"/>
      <c r="P249" s="26"/>
    </row>
    <row r="250">
      <c r="A250" s="52"/>
      <c r="B250" s="15"/>
      <c r="C250" s="16"/>
      <c r="D250" s="15"/>
      <c r="E250" s="17"/>
      <c r="F250" s="54"/>
      <c r="G250" s="19"/>
      <c r="H250" s="17"/>
      <c r="I250" s="19"/>
      <c r="J250" s="21"/>
      <c r="K250" s="57"/>
      <c r="L250" s="24"/>
      <c r="M250" s="25"/>
      <c r="N250" s="25"/>
      <c r="O250" s="26"/>
      <c r="P250" s="26"/>
    </row>
    <row r="251">
      <c r="A251" s="52"/>
      <c r="B251" s="15"/>
      <c r="C251" s="16"/>
      <c r="D251" s="15"/>
      <c r="E251" s="17"/>
      <c r="F251" s="54"/>
      <c r="G251" s="19"/>
      <c r="H251" s="17"/>
      <c r="I251" s="19"/>
      <c r="J251" s="21"/>
      <c r="K251" s="57"/>
      <c r="L251" s="24"/>
      <c r="M251" s="25"/>
      <c r="N251" s="25"/>
      <c r="O251" s="26"/>
      <c r="P251" s="26"/>
    </row>
    <row r="252">
      <c r="A252" s="52"/>
      <c r="B252" s="15"/>
      <c r="C252" s="16"/>
      <c r="D252" s="15"/>
      <c r="E252" s="17"/>
      <c r="F252" s="54"/>
      <c r="G252" s="19"/>
      <c r="H252" s="17"/>
      <c r="I252" s="19"/>
      <c r="J252" s="21"/>
      <c r="K252" s="57"/>
      <c r="L252" s="24"/>
      <c r="M252" s="25"/>
      <c r="N252" s="25"/>
      <c r="O252" s="26"/>
      <c r="P252" s="26"/>
    </row>
    <row r="253">
      <c r="A253" s="52"/>
      <c r="B253" s="15"/>
      <c r="C253" s="16"/>
      <c r="D253" s="15"/>
      <c r="E253" s="17"/>
      <c r="F253" s="54"/>
      <c r="G253" s="19"/>
      <c r="H253" s="17"/>
      <c r="I253" s="19"/>
      <c r="J253" s="21"/>
      <c r="K253" s="57"/>
      <c r="L253" s="24"/>
      <c r="M253" s="25"/>
      <c r="N253" s="25"/>
      <c r="O253" s="26"/>
      <c r="P253" s="26"/>
    </row>
    <row r="254">
      <c r="A254" s="52"/>
      <c r="B254" s="15"/>
      <c r="C254" s="16"/>
      <c r="D254" s="15"/>
      <c r="E254" s="17"/>
      <c r="F254" s="54"/>
      <c r="G254" s="19"/>
      <c r="H254" s="17"/>
      <c r="I254" s="19"/>
      <c r="J254" s="21"/>
      <c r="K254" s="57"/>
      <c r="L254" s="24"/>
      <c r="M254" s="25"/>
      <c r="N254" s="25"/>
      <c r="O254" s="26"/>
      <c r="P254" s="26"/>
    </row>
    <row r="255">
      <c r="A255" s="52"/>
      <c r="B255" s="15"/>
      <c r="C255" s="16"/>
      <c r="D255" s="15"/>
      <c r="E255" s="17"/>
      <c r="F255" s="54"/>
      <c r="G255" s="19"/>
      <c r="H255" s="17"/>
      <c r="I255" s="19"/>
      <c r="J255" s="21"/>
      <c r="K255" s="57"/>
      <c r="L255" s="24"/>
      <c r="M255" s="25"/>
      <c r="N255" s="25"/>
      <c r="O255" s="26"/>
      <c r="P255" s="26"/>
    </row>
    <row r="256">
      <c r="A256" s="52"/>
      <c r="B256" s="15"/>
      <c r="C256" s="16"/>
      <c r="D256" s="15"/>
      <c r="E256" s="17"/>
      <c r="F256" s="54"/>
      <c r="G256" s="19"/>
      <c r="H256" s="17"/>
      <c r="I256" s="19"/>
      <c r="J256" s="21"/>
      <c r="K256" s="57"/>
      <c r="L256" s="24"/>
      <c r="M256" s="25"/>
      <c r="N256" s="25"/>
      <c r="O256" s="26"/>
      <c r="P256" s="26"/>
    </row>
    <row r="257">
      <c r="A257" s="52"/>
      <c r="B257" s="15"/>
      <c r="C257" s="16"/>
      <c r="D257" s="15"/>
      <c r="E257" s="17"/>
      <c r="F257" s="54"/>
      <c r="G257" s="19"/>
      <c r="H257" s="17"/>
      <c r="I257" s="19"/>
      <c r="J257" s="21"/>
      <c r="K257" s="57"/>
      <c r="L257" s="24"/>
      <c r="M257" s="25"/>
      <c r="N257" s="25"/>
      <c r="O257" s="26"/>
      <c r="P257" s="26"/>
    </row>
    <row r="258">
      <c r="A258" s="52"/>
      <c r="B258" s="15"/>
      <c r="C258" s="16"/>
      <c r="D258" s="15"/>
      <c r="E258" s="17"/>
      <c r="F258" s="54"/>
      <c r="G258" s="19"/>
      <c r="H258" s="17"/>
      <c r="I258" s="19"/>
      <c r="J258" s="21"/>
      <c r="K258" s="57"/>
      <c r="L258" s="24"/>
      <c r="M258" s="25"/>
      <c r="N258" s="25"/>
      <c r="O258" s="26"/>
      <c r="P258" s="26"/>
    </row>
    <row r="259">
      <c r="A259" s="52"/>
      <c r="B259" s="15"/>
      <c r="C259" s="16"/>
      <c r="D259" s="15"/>
      <c r="E259" s="17"/>
      <c r="F259" s="54"/>
      <c r="G259" s="19"/>
      <c r="H259" s="17"/>
      <c r="I259" s="19"/>
      <c r="J259" s="21"/>
      <c r="K259" s="57"/>
      <c r="L259" s="24"/>
      <c r="M259" s="25"/>
      <c r="N259" s="25"/>
      <c r="O259" s="26"/>
      <c r="P259" s="26"/>
    </row>
    <row r="260">
      <c r="A260" s="52"/>
      <c r="B260" s="15"/>
      <c r="C260" s="16"/>
      <c r="D260" s="15"/>
      <c r="E260" s="17"/>
      <c r="F260" s="54"/>
      <c r="G260" s="19"/>
      <c r="H260" s="17"/>
      <c r="I260" s="19"/>
      <c r="J260" s="21"/>
      <c r="K260" s="57"/>
      <c r="L260" s="24"/>
      <c r="M260" s="25"/>
      <c r="N260" s="25"/>
      <c r="O260" s="26"/>
      <c r="P260" s="26"/>
    </row>
    <row r="261">
      <c r="A261" s="52"/>
      <c r="B261" s="15"/>
      <c r="C261" s="16"/>
      <c r="D261" s="15"/>
      <c r="E261" s="17"/>
      <c r="F261" s="54"/>
      <c r="G261" s="19"/>
      <c r="H261" s="17"/>
      <c r="I261" s="19"/>
      <c r="J261" s="21"/>
      <c r="K261" s="57"/>
      <c r="L261" s="24"/>
      <c r="M261" s="72"/>
      <c r="N261" s="72"/>
      <c r="O261" s="73"/>
      <c r="P261" s="73"/>
    </row>
    <row r="262">
      <c r="A262" s="52"/>
      <c r="B262" s="15"/>
      <c r="C262" s="16"/>
      <c r="D262" s="15"/>
      <c r="E262" s="17"/>
      <c r="F262" s="74"/>
      <c r="G262" s="19"/>
      <c r="H262" s="17"/>
      <c r="I262" s="19"/>
      <c r="J262" s="21"/>
      <c r="K262" s="57"/>
      <c r="L262" s="24"/>
      <c r="M262" s="25"/>
      <c r="N262" s="25"/>
      <c r="O262" s="26"/>
      <c r="P262" s="26"/>
    </row>
    <row r="263">
      <c r="A263" s="52"/>
      <c r="B263" s="15"/>
      <c r="C263" s="16"/>
      <c r="D263" s="15"/>
      <c r="E263" s="17"/>
      <c r="F263" s="54"/>
      <c r="G263" s="19"/>
      <c r="H263" s="17"/>
      <c r="I263" s="19"/>
      <c r="J263" s="21"/>
      <c r="K263" s="57"/>
      <c r="L263" s="24"/>
      <c r="M263" s="25"/>
      <c r="N263" s="25"/>
      <c r="O263" s="26"/>
      <c r="P263" s="26"/>
    </row>
    <row r="264">
      <c r="A264" s="52"/>
      <c r="B264" s="15"/>
      <c r="C264" s="16"/>
      <c r="D264" s="15"/>
      <c r="E264" s="17"/>
      <c r="F264" s="54"/>
      <c r="G264" s="19"/>
      <c r="H264" s="17"/>
      <c r="I264" s="19"/>
      <c r="J264" s="21"/>
      <c r="K264" s="57"/>
      <c r="L264" s="24"/>
      <c r="M264" s="25"/>
      <c r="N264" s="25"/>
      <c r="O264" s="26"/>
      <c r="P264" s="26"/>
    </row>
    <row r="265">
      <c r="A265" s="52"/>
      <c r="B265" s="15"/>
      <c r="C265" s="16"/>
      <c r="D265" s="15"/>
      <c r="E265" s="17"/>
      <c r="F265" s="54"/>
      <c r="G265" s="19"/>
      <c r="H265" s="17"/>
      <c r="I265" s="19"/>
      <c r="J265" s="21"/>
      <c r="K265" s="57"/>
      <c r="L265" s="24"/>
      <c r="M265" s="25"/>
      <c r="N265" s="25"/>
      <c r="O265" s="26"/>
      <c r="P265" s="26"/>
    </row>
    <row r="266">
      <c r="A266" s="52"/>
      <c r="B266" s="15"/>
      <c r="C266" s="16"/>
      <c r="D266" s="15"/>
      <c r="E266" s="17"/>
      <c r="F266" s="54"/>
      <c r="G266" s="19"/>
      <c r="H266" s="17"/>
      <c r="I266" s="19"/>
      <c r="J266" s="21"/>
      <c r="K266" s="57"/>
      <c r="L266" s="24"/>
      <c r="M266" s="25"/>
      <c r="N266" s="25"/>
      <c r="O266" s="26"/>
      <c r="P266" s="26"/>
    </row>
    <row r="267">
      <c r="A267" s="52"/>
      <c r="B267" s="15"/>
      <c r="C267" s="16"/>
      <c r="D267" s="15"/>
      <c r="E267" s="17"/>
      <c r="F267" s="54"/>
      <c r="G267" s="19"/>
      <c r="H267" s="17"/>
      <c r="I267" s="19"/>
      <c r="J267" s="21"/>
      <c r="K267" s="57"/>
      <c r="L267" s="24"/>
      <c r="M267" s="25"/>
      <c r="N267" s="25"/>
      <c r="O267" s="26"/>
      <c r="P267" s="26"/>
    </row>
    <row r="268">
      <c r="A268" s="52"/>
      <c r="B268" s="15"/>
      <c r="C268" s="16"/>
      <c r="D268" s="15"/>
      <c r="E268" s="17"/>
      <c r="F268" s="54"/>
      <c r="G268" s="19"/>
      <c r="H268" s="17"/>
      <c r="I268" s="19"/>
      <c r="J268" s="21"/>
      <c r="K268" s="57"/>
      <c r="L268" s="24"/>
      <c r="M268" s="25"/>
      <c r="N268" s="25"/>
      <c r="O268" s="26"/>
      <c r="P268" s="26"/>
    </row>
    <row r="269">
      <c r="A269" s="52"/>
      <c r="B269" s="15"/>
      <c r="C269" s="16"/>
      <c r="D269" s="15"/>
      <c r="E269" s="17"/>
      <c r="F269" s="54"/>
      <c r="G269" s="19"/>
      <c r="H269" s="17"/>
      <c r="I269" s="19"/>
      <c r="J269" s="21"/>
      <c r="K269" s="57"/>
      <c r="L269" s="24"/>
      <c r="M269" s="25"/>
      <c r="N269" s="25"/>
      <c r="O269" s="26"/>
      <c r="P269" s="26"/>
    </row>
    <row r="270">
      <c r="A270" s="52"/>
      <c r="B270" s="15"/>
      <c r="C270" s="16"/>
      <c r="D270" s="15"/>
      <c r="E270" s="17"/>
      <c r="F270" s="54"/>
      <c r="G270" s="19"/>
      <c r="H270" s="17"/>
      <c r="I270" s="19"/>
      <c r="J270" s="21"/>
      <c r="K270" s="57"/>
      <c r="L270" s="24"/>
      <c r="M270" s="25"/>
      <c r="N270" s="25"/>
      <c r="O270" s="26"/>
      <c r="P270" s="26"/>
    </row>
    <row r="271">
      <c r="A271" s="52"/>
      <c r="B271" s="15"/>
      <c r="C271" s="16"/>
      <c r="D271" s="15"/>
      <c r="E271" s="17"/>
      <c r="F271" s="54"/>
      <c r="G271" s="19"/>
      <c r="H271" s="17"/>
      <c r="I271" s="19"/>
      <c r="J271" s="21"/>
      <c r="K271" s="57"/>
      <c r="L271" s="24"/>
      <c r="M271" s="25"/>
      <c r="N271" s="25"/>
      <c r="O271" s="26"/>
      <c r="P271" s="26"/>
    </row>
    <row r="272">
      <c r="A272" s="52"/>
      <c r="B272" s="15"/>
      <c r="C272" s="16"/>
      <c r="D272" s="15"/>
      <c r="E272" s="17"/>
      <c r="F272" s="18"/>
      <c r="G272" s="19"/>
      <c r="H272" s="17"/>
      <c r="I272" s="19"/>
      <c r="J272" s="21"/>
      <c r="K272" s="57"/>
      <c r="L272" s="24"/>
      <c r="M272" s="25"/>
      <c r="N272" s="25"/>
      <c r="O272" s="26"/>
      <c r="P272" s="26"/>
    </row>
    <row r="273">
      <c r="A273" s="52"/>
      <c r="B273" s="15"/>
      <c r="C273" s="16"/>
      <c r="D273" s="15"/>
      <c r="E273" s="17"/>
      <c r="F273" s="18"/>
      <c r="G273" s="19"/>
      <c r="H273" s="17"/>
      <c r="I273" s="19"/>
      <c r="J273" s="21"/>
      <c r="K273" s="57"/>
      <c r="L273" s="24"/>
      <c r="M273" s="25"/>
      <c r="N273" s="25"/>
      <c r="O273" s="26"/>
      <c r="P273" s="26"/>
    </row>
    <row r="274">
      <c r="A274" s="52"/>
      <c r="B274" s="15"/>
      <c r="C274" s="16"/>
      <c r="D274" s="15"/>
      <c r="E274" s="17"/>
      <c r="F274" s="54"/>
      <c r="G274" s="19"/>
      <c r="H274" s="17"/>
      <c r="I274" s="19"/>
      <c r="J274" s="21"/>
      <c r="K274" s="57"/>
      <c r="L274" s="24"/>
      <c r="M274" s="25"/>
      <c r="N274" s="25"/>
      <c r="O274" s="26"/>
      <c r="P274" s="26"/>
    </row>
    <row r="275">
      <c r="A275" s="52"/>
      <c r="B275" s="15"/>
      <c r="C275" s="16"/>
      <c r="D275" s="15"/>
      <c r="E275" s="17"/>
      <c r="F275" s="54"/>
      <c r="G275" s="19"/>
      <c r="H275" s="17"/>
      <c r="I275" s="19"/>
      <c r="J275" s="21"/>
      <c r="K275" s="57"/>
      <c r="L275" s="24"/>
      <c r="M275" s="25"/>
      <c r="N275" s="25"/>
      <c r="O275" s="26"/>
      <c r="P275" s="26"/>
    </row>
    <row r="276">
      <c r="A276" s="52"/>
      <c r="B276" s="15"/>
      <c r="C276" s="16"/>
      <c r="D276" s="15"/>
      <c r="E276" s="17"/>
      <c r="F276" s="54"/>
      <c r="G276" s="19"/>
      <c r="H276" s="17"/>
      <c r="I276" s="19"/>
      <c r="J276" s="21"/>
      <c r="K276" s="57"/>
      <c r="L276" s="24"/>
      <c r="M276" s="25"/>
      <c r="N276" s="25"/>
      <c r="O276" s="26"/>
      <c r="P276" s="26"/>
    </row>
    <row r="277">
      <c r="A277" s="52"/>
      <c r="B277" s="15"/>
      <c r="C277" s="16"/>
      <c r="D277" s="15"/>
      <c r="E277" s="17"/>
      <c r="F277" s="54"/>
      <c r="G277" s="19"/>
      <c r="H277" s="17"/>
      <c r="I277" s="19"/>
      <c r="J277" s="21"/>
      <c r="K277" s="57"/>
      <c r="L277" s="24"/>
      <c r="M277" s="26"/>
      <c r="N277" s="25"/>
      <c r="O277" s="26"/>
      <c r="P277" s="26"/>
    </row>
    <row r="278">
      <c r="A278" s="52"/>
      <c r="B278" s="15"/>
      <c r="C278" s="16"/>
      <c r="D278" s="15"/>
      <c r="E278" s="17"/>
      <c r="F278" s="54"/>
      <c r="G278" s="19"/>
      <c r="H278" s="17"/>
      <c r="I278" s="19"/>
      <c r="J278" s="21"/>
      <c r="K278" s="57"/>
      <c r="L278" s="24"/>
      <c r="M278" s="25"/>
      <c r="N278" s="25"/>
      <c r="O278" s="26"/>
      <c r="P278" s="26"/>
    </row>
    <row r="279">
      <c r="A279" s="52"/>
      <c r="B279" s="15"/>
      <c r="C279" s="16"/>
      <c r="D279" s="15"/>
      <c r="E279" s="17"/>
      <c r="F279" s="54"/>
      <c r="G279" s="19"/>
      <c r="H279" s="17"/>
      <c r="I279" s="19"/>
      <c r="J279" s="21"/>
      <c r="K279" s="57"/>
      <c r="L279" s="24"/>
      <c r="M279" s="25"/>
      <c r="N279" s="25"/>
      <c r="O279" s="26"/>
      <c r="P279" s="26"/>
    </row>
    <row r="280">
      <c r="A280" s="52"/>
      <c r="B280" s="15"/>
      <c r="C280" s="16"/>
      <c r="D280" s="15"/>
      <c r="E280" s="17"/>
      <c r="F280" s="54"/>
      <c r="G280" s="19"/>
      <c r="H280" s="17"/>
      <c r="I280" s="19"/>
      <c r="J280" s="21"/>
      <c r="K280" s="57"/>
      <c r="L280" s="24"/>
      <c r="M280" s="25"/>
      <c r="N280" s="25"/>
      <c r="O280" s="26"/>
      <c r="P280" s="26"/>
    </row>
    <row r="281">
      <c r="A281" s="52"/>
      <c r="B281" s="15"/>
      <c r="C281" s="16"/>
      <c r="D281" s="15"/>
      <c r="E281" s="17"/>
      <c r="F281" s="54"/>
      <c r="G281" s="19"/>
      <c r="H281" s="17"/>
      <c r="I281" s="19"/>
      <c r="J281" s="21"/>
      <c r="K281" s="57"/>
      <c r="L281" s="24"/>
      <c r="M281" s="25"/>
      <c r="N281" s="25"/>
      <c r="O281" s="26"/>
      <c r="P281" s="26"/>
    </row>
    <row r="282">
      <c r="A282" s="52"/>
      <c r="B282" s="15"/>
      <c r="C282" s="16"/>
      <c r="D282" s="15"/>
      <c r="E282" s="17"/>
      <c r="F282" s="18"/>
      <c r="G282" s="19"/>
      <c r="H282" s="17"/>
      <c r="I282" s="19"/>
      <c r="J282" s="21"/>
      <c r="K282" s="57"/>
      <c r="L282" s="24"/>
      <c r="M282" s="25"/>
      <c r="N282" s="25"/>
      <c r="O282" s="26"/>
      <c r="P282" s="26"/>
    </row>
    <row r="283">
      <c r="A283" s="52"/>
      <c r="B283" s="15"/>
      <c r="C283" s="16"/>
      <c r="D283" s="15"/>
      <c r="E283" s="17"/>
      <c r="F283" s="54"/>
      <c r="G283" s="19"/>
      <c r="H283" s="17"/>
      <c r="I283" s="19"/>
      <c r="J283" s="21"/>
      <c r="K283" s="57"/>
      <c r="L283" s="24"/>
      <c r="M283" s="25"/>
      <c r="N283" s="25"/>
      <c r="O283" s="26"/>
      <c r="P283" s="26"/>
    </row>
    <row r="284">
      <c r="A284" s="52"/>
      <c r="B284" s="15"/>
      <c r="C284" s="16"/>
      <c r="D284" s="15"/>
      <c r="E284" s="17"/>
      <c r="F284" s="54"/>
      <c r="G284" s="19"/>
      <c r="H284" s="17"/>
      <c r="I284" s="19"/>
      <c r="J284" s="21"/>
      <c r="K284" s="57"/>
      <c r="L284" s="24"/>
      <c r="M284" s="25"/>
      <c r="N284" s="25"/>
      <c r="O284" s="26"/>
      <c r="P284" s="26"/>
    </row>
    <row r="285">
      <c r="A285" s="52"/>
      <c r="B285" s="15"/>
      <c r="C285" s="16"/>
      <c r="D285" s="15"/>
      <c r="E285" s="17"/>
      <c r="F285" s="54"/>
      <c r="G285" s="19"/>
      <c r="H285" s="17"/>
      <c r="I285" s="19"/>
      <c r="J285" s="21"/>
      <c r="K285" s="57"/>
      <c r="L285" s="24"/>
      <c r="M285" s="25"/>
      <c r="N285" s="25"/>
      <c r="O285" s="26"/>
      <c r="P285" s="26"/>
    </row>
    <row r="286">
      <c r="A286" s="52"/>
      <c r="B286" s="15"/>
      <c r="C286" s="16"/>
      <c r="D286" s="15"/>
      <c r="E286" s="17"/>
      <c r="F286" s="54"/>
      <c r="G286" s="19"/>
      <c r="H286" s="17"/>
      <c r="I286" s="19"/>
      <c r="J286" s="21"/>
      <c r="K286" s="57"/>
      <c r="L286" s="24"/>
      <c r="M286" s="25"/>
      <c r="N286" s="25"/>
      <c r="O286" s="26"/>
      <c r="P286" s="26"/>
    </row>
    <row r="287">
      <c r="A287" s="52"/>
      <c r="B287" s="15"/>
      <c r="C287" s="16"/>
      <c r="D287" s="15"/>
      <c r="E287" s="17"/>
      <c r="F287" s="54"/>
      <c r="G287" s="19"/>
      <c r="H287" s="17"/>
      <c r="I287" s="19"/>
      <c r="J287" s="21"/>
      <c r="K287" s="57"/>
      <c r="L287" s="24"/>
      <c r="M287" s="25"/>
      <c r="N287" s="25"/>
      <c r="O287" s="26"/>
      <c r="P287" s="26"/>
    </row>
    <row r="288">
      <c r="A288" s="52"/>
      <c r="B288" s="15"/>
      <c r="C288" s="16"/>
      <c r="D288" s="15"/>
      <c r="E288" s="17"/>
      <c r="F288" s="54"/>
      <c r="G288" s="19"/>
      <c r="H288" s="17"/>
      <c r="I288" s="19"/>
      <c r="J288" s="21"/>
      <c r="K288" s="57"/>
      <c r="L288" s="24"/>
      <c r="M288" s="25"/>
      <c r="N288" s="25"/>
      <c r="O288" s="26"/>
      <c r="P288" s="26"/>
    </row>
    <row r="289">
      <c r="A289" s="52"/>
      <c r="B289" s="15"/>
      <c r="C289" s="16"/>
      <c r="D289" s="15"/>
      <c r="E289" s="17"/>
      <c r="F289" s="54"/>
      <c r="G289" s="19"/>
      <c r="H289" s="17"/>
      <c r="I289" s="19"/>
      <c r="J289" s="21"/>
      <c r="K289" s="57"/>
      <c r="L289" s="24"/>
      <c r="M289" s="25"/>
      <c r="N289" s="25"/>
      <c r="O289" s="26"/>
      <c r="P289" s="26"/>
    </row>
    <row r="290">
      <c r="A290" s="52"/>
      <c r="B290" s="15"/>
      <c r="C290" s="16"/>
      <c r="D290" s="15"/>
      <c r="E290" s="17"/>
      <c r="F290" s="54"/>
      <c r="G290" s="19"/>
      <c r="H290" s="17"/>
      <c r="I290" s="19"/>
      <c r="J290" s="21"/>
      <c r="K290" s="57"/>
      <c r="L290" s="24"/>
      <c r="M290" s="25"/>
      <c r="N290" s="25"/>
      <c r="O290" s="26"/>
      <c r="P290" s="26"/>
    </row>
    <row r="291">
      <c r="A291" s="52"/>
      <c r="B291" s="15"/>
      <c r="C291" s="16"/>
      <c r="D291" s="15"/>
      <c r="E291" s="17"/>
      <c r="F291" s="54"/>
      <c r="G291" s="19"/>
      <c r="H291" s="17"/>
      <c r="I291" s="19"/>
      <c r="J291" s="21"/>
      <c r="K291" s="57"/>
      <c r="L291" s="24"/>
      <c r="M291" s="25"/>
      <c r="N291" s="25"/>
      <c r="O291" s="26"/>
      <c r="P291" s="26"/>
    </row>
    <row r="292">
      <c r="A292" s="52"/>
      <c r="B292" s="15"/>
      <c r="C292" s="16"/>
      <c r="D292" s="15"/>
      <c r="E292" s="17"/>
      <c r="F292" s="54"/>
      <c r="G292" s="19"/>
      <c r="H292" s="17"/>
      <c r="I292" s="19"/>
      <c r="J292" s="21"/>
      <c r="K292" s="57"/>
      <c r="L292" s="24"/>
      <c r="M292" s="25"/>
      <c r="N292" s="25"/>
      <c r="O292" s="26"/>
      <c r="P292" s="26"/>
    </row>
    <row r="293">
      <c r="A293" s="52"/>
      <c r="B293" s="15"/>
      <c r="C293" s="16"/>
      <c r="D293" s="15"/>
      <c r="E293" s="17"/>
      <c r="F293" s="54"/>
      <c r="G293" s="19"/>
      <c r="H293" s="17"/>
      <c r="I293" s="19"/>
      <c r="J293" s="21"/>
      <c r="K293" s="57"/>
      <c r="L293" s="24"/>
      <c r="M293" s="25"/>
      <c r="N293" s="25"/>
      <c r="O293" s="26"/>
      <c r="P293" s="26"/>
    </row>
    <row r="294">
      <c r="A294" s="52"/>
      <c r="B294" s="15"/>
      <c r="C294" s="16"/>
      <c r="D294" s="15"/>
      <c r="E294" s="17"/>
      <c r="F294" s="54"/>
      <c r="G294" s="19"/>
      <c r="H294" s="17"/>
      <c r="I294" s="19"/>
      <c r="J294" s="21"/>
      <c r="K294" s="57"/>
      <c r="L294" s="24"/>
      <c r="M294" s="25"/>
      <c r="N294" s="25"/>
      <c r="O294" s="26"/>
      <c r="P294" s="26"/>
    </row>
    <row r="295">
      <c r="A295" s="52"/>
      <c r="B295" s="15"/>
      <c r="C295" s="16"/>
      <c r="D295" s="15"/>
      <c r="E295" s="17"/>
      <c r="F295" s="54"/>
      <c r="G295" s="19"/>
      <c r="H295" s="17"/>
      <c r="I295" s="19"/>
      <c r="J295" s="21"/>
      <c r="K295" s="57"/>
      <c r="L295" s="24"/>
      <c r="M295" s="25"/>
      <c r="N295" s="25"/>
      <c r="O295" s="26"/>
      <c r="P295" s="26"/>
    </row>
    <row r="296">
      <c r="A296" s="52"/>
      <c r="B296" s="15"/>
      <c r="C296" s="16"/>
      <c r="D296" s="15"/>
      <c r="E296" s="17"/>
      <c r="F296" s="54"/>
      <c r="G296" s="19"/>
      <c r="H296" s="17"/>
      <c r="I296" s="19"/>
      <c r="J296" s="21"/>
      <c r="K296" s="57"/>
      <c r="L296" s="24"/>
      <c r="M296" s="25"/>
      <c r="N296" s="25"/>
      <c r="O296" s="26"/>
      <c r="P296" s="26"/>
    </row>
    <row r="297">
      <c r="A297" s="52"/>
      <c r="B297" s="15"/>
      <c r="C297" s="16"/>
      <c r="D297" s="15"/>
      <c r="E297" s="17"/>
      <c r="F297" s="54"/>
      <c r="G297" s="19"/>
      <c r="H297" s="17"/>
      <c r="I297" s="19"/>
      <c r="J297" s="21"/>
      <c r="K297" s="57"/>
      <c r="L297" s="24"/>
      <c r="M297" s="25"/>
      <c r="N297" s="25"/>
      <c r="O297" s="26"/>
      <c r="P297" s="26"/>
    </row>
    <row r="298">
      <c r="A298" s="52"/>
      <c r="B298" s="15"/>
      <c r="C298" s="16"/>
      <c r="D298" s="15"/>
      <c r="E298" s="17"/>
      <c r="F298" s="54"/>
      <c r="G298" s="19"/>
      <c r="H298" s="17"/>
      <c r="I298" s="19"/>
      <c r="J298" s="21"/>
      <c r="K298" s="57"/>
      <c r="L298" s="24"/>
      <c r="M298" s="25"/>
      <c r="N298" s="25"/>
      <c r="O298" s="26"/>
      <c r="P298" s="26"/>
    </row>
    <row r="299">
      <c r="A299" s="52"/>
      <c r="B299" s="15"/>
      <c r="C299" s="16"/>
      <c r="D299" s="15"/>
      <c r="E299" s="17"/>
      <c r="F299" s="54"/>
      <c r="G299" s="19"/>
      <c r="H299" s="17"/>
      <c r="I299" s="19"/>
      <c r="J299" s="21"/>
      <c r="K299" s="57"/>
      <c r="L299" s="24"/>
      <c r="M299" s="25"/>
      <c r="N299" s="25"/>
      <c r="O299" s="26"/>
      <c r="P299" s="26"/>
    </row>
    <row r="300">
      <c r="A300" s="52"/>
      <c r="B300" s="15"/>
      <c r="C300" s="16"/>
      <c r="D300" s="15"/>
      <c r="E300" s="17"/>
      <c r="F300" s="54"/>
      <c r="G300" s="19"/>
      <c r="H300" s="17"/>
      <c r="I300" s="19"/>
      <c r="J300" s="21"/>
      <c r="K300" s="57"/>
      <c r="L300" s="24"/>
      <c r="M300" s="25"/>
      <c r="N300" s="25"/>
      <c r="O300" s="26"/>
      <c r="P300" s="26"/>
    </row>
    <row r="301">
      <c r="A301" s="52"/>
      <c r="B301" s="15"/>
      <c r="C301" s="16"/>
      <c r="D301" s="15"/>
      <c r="E301" s="17"/>
      <c r="F301" s="54"/>
      <c r="G301" s="19"/>
      <c r="H301" s="17"/>
      <c r="I301" s="19"/>
      <c r="J301" s="21"/>
      <c r="K301" s="57"/>
      <c r="L301" s="24"/>
      <c r="M301" s="25"/>
      <c r="N301" s="25"/>
      <c r="O301" s="26"/>
      <c r="P301" s="26"/>
    </row>
    <row r="302">
      <c r="A302" s="52"/>
      <c r="B302" s="15"/>
      <c r="C302" s="16"/>
      <c r="D302" s="15"/>
      <c r="E302" s="17"/>
      <c r="F302" s="54"/>
      <c r="G302" s="19"/>
      <c r="H302" s="17"/>
      <c r="I302" s="19"/>
      <c r="J302" s="21"/>
      <c r="K302" s="57"/>
      <c r="L302" s="24"/>
      <c r="M302" s="25"/>
      <c r="N302" s="25"/>
      <c r="O302" s="26"/>
      <c r="P302" s="26"/>
    </row>
    <row r="303">
      <c r="A303" s="52"/>
      <c r="B303" s="15"/>
      <c r="C303" s="16"/>
      <c r="D303" s="15"/>
      <c r="E303" s="17"/>
      <c r="F303" s="54"/>
      <c r="G303" s="19"/>
      <c r="H303" s="17"/>
      <c r="I303" s="19"/>
      <c r="J303" s="21"/>
      <c r="K303" s="57"/>
      <c r="L303" s="24"/>
      <c r="M303" s="25"/>
      <c r="N303" s="25"/>
      <c r="O303" s="26"/>
      <c r="P303" s="26"/>
    </row>
    <row r="304">
      <c r="A304" s="52"/>
      <c r="B304" s="15"/>
      <c r="C304" s="16"/>
      <c r="D304" s="15"/>
      <c r="E304" s="17"/>
      <c r="F304" s="54"/>
      <c r="G304" s="19"/>
      <c r="H304" s="17"/>
      <c r="I304" s="19"/>
      <c r="J304" s="21"/>
      <c r="K304" s="57"/>
      <c r="L304" s="24"/>
      <c r="M304" s="25"/>
      <c r="N304" s="25"/>
      <c r="O304" s="26"/>
      <c r="P304" s="26"/>
    </row>
    <row r="305">
      <c r="A305" s="52"/>
      <c r="B305" s="15"/>
      <c r="C305" s="16"/>
      <c r="D305" s="15"/>
      <c r="E305" s="17"/>
      <c r="F305" s="54"/>
      <c r="G305" s="19"/>
      <c r="H305" s="17"/>
      <c r="I305" s="19"/>
      <c r="J305" s="21"/>
      <c r="K305" s="57"/>
      <c r="L305" s="24"/>
      <c r="M305" s="25"/>
      <c r="N305" s="25"/>
      <c r="O305" s="26"/>
      <c r="P305" s="26"/>
    </row>
    <row r="306">
      <c r="A306" s="52"/>
      <c r="B306" s="15"/>
      <c r="C306" s="16"/>
      <c r="D306" s="15"/>
      <c r="E306" s="17"/>
      <c r="F306" s="54"/>
      <c r="G306" s="19"/>
      <c r="H306" s="17"/>
      <c r="I306" s="19"/>
      <c r="J306" s="21"/>
      <c r="K306" s="57"/>
      <c r="L306" s="24"/>
      <c r="M306" s="25"/>
      <c r="N306" s="25"/>
      <c r="O306" s="26"/>
      <c r="P306" s="26"/>
    </row>
    <row r="307">
      <c r="A307" s="52"/>
      <c r="B307" s="15"/>
      <c r="C307" s="16"/>
      <c r="D307" s="15"/>
      <c r="E307" s="17"/>
      <c r="F307" s="54"/>
      <c r="G307" s="19"/>
      <c r="H307" s="17"/>
      <c r="I307" s="19"/>
      <c r="J307" s="21"/>
      <c r="K307" s="57"/>
      <c r="L307" s="24"/>
      <c r="M307" s="25"/>
      <c r="N307" s="25"/>
      <c r="O307" s="26"/>
      <c r="P307" s="26"/>
    </row>
    <row r="308">
      <c r="A308" s="52"/>
      <c r="B308" s="15"/>
      <c r="C308" s="16"/>
      <c r="D308" s="15"/>
      <c r="E308" s="17"/>
      <c r="F308" s="54"/>
      <c r="G308" s="19"/>
      <c r="H308" s="17"/>
      <c r="I308" s="19"/>
      <c r="J308" s="21"/>
      <c r="K308" s="57"/>
      <c r="L308" s="24"/>
      <c r="M308" s="25"/>
      <c r="N308" s="25"/>
      <c r="O308" s="26"/>
      <c r="P308" s="26"/>
    </row>
    <row r="309">
      <c r="A309" s="52"/>
      <c r="B309" s="15"/>
      <c r="C309" s="16"/>
      <c r="D309" s="15"/>
      <c r="E309" s="17"/>
      <c r="F309" s="54"/>
      <c r="G309" s="19"/>
      <c r="H309" s="17"/>
      <c r="I309" s="19"/>
      <c r="J309" s="21"/>
      <c r="K309" s="57"/>
      <c r="L309" s="24"/>
      <c r="M309" s="25"/>
      <c r="N309" s="25"/>
      <c r="O309" s="26"/>
      <c r="P309" s="26"/>
    </row>
    <row r="310">
      <c r="A310" s="52"/>
      <c r="B310" s="15"/>
      <c r="C310" s="16"/>
      <c r="D310" s="15"/>
      <c r="E310" s="17"/>
      <c r="F310" s="54"/>
      <c r="G310" s="19"/>
      <c r="H310" s="17"/>
      <c r="I310" s="19"/>
      <c r="J310" s="21"/>
      <c r="K310" s="57"/>
      <c r="L310" s="24"/>
      <c r="M310" s="25"/>
      <c r="N310" s="25"/>
      <c r="O310" s="26"/>
      <c r="P310" s="26"/>
    </row>
    <row r="311">
      <c r="A311" s="52"/>
      <c r="B311" s="15"/>
      <c r="C311" s="16"/>
      <c r="D311" s="15"/>
      <c r="E311" s="17"/>
      <c r="F311" s="54"/>
      <c r="G311" s="19"/>
      <c r="H311" s="17"/>
      <c r="I311" s="19"/>
      <c r="J311" s="21"/>
      <c r="K311" s="57"/>
      <c r="L311" s="24"/>
      <c r="M311" s="25"/>
      <c r="N311" s="25"/>
      <c r="O311" s="26"/>
      <c r="P311" s="26"/>
    </row>
    <row r="312">
      <c r="A312" s="52"/>
      <c r="B312" s="15"/>
      <c r="C312" s="16"/>
      <c r="D312" s="15"/>
      <c r="E312" s="17"/>
      <c r="F312" s="54"/>
      <c r="G312" s="19"/>
      <c r="H312" s="17"/>
      <c r="I312" s="19"/>
      <c r="J312" s="21"/>
      <c r="K312" s="57"/>
      <c r="L312" s="24"/>
      <c r="M312" s="75"/>
      <c r="N312" s="25"/>
      <c r="O312" s="26"/>
      <c r="P312" s="26"/>
    </row>
    <row r="313">
      <c r="A313" s="52"/>
      <c r="B313" s="15"/>
      <c r="C313" s="16"/>
      <c r="D313" s="15"/>
      <c r="E313" s="17"/>
      <c r="F313" s="54"/>
      <c r="G313" s="19"/>
      <c r="H313" s="17"/>
      <c r="I313" s="19"/>
      <c r="J313" s="21"/>
      <c r="K313" s="57"/>
      <c r="L313" s="24"/>
      <c r="M313" s="25"/>
      <c r="N313" s="25"/>
      <c r="O313" s="26"/>
      <c r="P313" s="26"/>
    </row>
    <row r="314">
      <c r="A314" s="52"/>
      <c r="B314" s="15"/>
      <c r="C314" s="16"/>
      <c r="D314" s="15"/>
      <c r="E314" s="17"/>
      <c r="F314" s="54"/>
      <c r="G314" s="19"/>
      <c r="H314" s="17"/>
      <c r="I314" s="19"/>
      <c r="J314" s="21"/>
      <c r="K314" s="57"/>
      <c r="L314" s="24"/>
      <c r="M314" s="25"/>
      <c r="N314" s="25"/>
      <c r="O314" s="26"/>
      <c r="P314" s="26"/>
    </row>
    <row r="315">
      <c r="A315" s="52"/>
      <c r="B315" s="15"/>
      <c r="C315" s="16"/>
      <c r="D315" s="15"/>
      <c r="E315" s="17"/>
      <c r="F315" s="54"/>
      <c r="G315" s="19"/>
      <c r="H315" s="17"/>
      <c r="I315" s="19"/>
      <c r="J315" s="21"/>
      <c r="K315" s="57"/>
      <c r="L315" s="24"/>
      <c r="M315" s="25"/>
      <c r="N315" s="25"/>
      <c r="O315" s="26"/>
      <c r="P315" s="26"/>
    </row>
    <row r="316">
      <c r="A316" s="52"/>
      <c r="B316" s="15"/>
      <c r="C316" s="16"/>
      <c r="D316" s="15"/>
      <c r="E316" s="17"/>
      <c r="F316" s="54"/>
      <c r="G316" s="19"/>
      <c r="H316" s="17"/>
      <c r="I316" s="19"/>
      <c r="J316" s="21"/>
      <c r="K316" s="57"/>
      <c r="L316" s="24"/>
      <c r="M316" s="25"/>
      <c r="N316" s="25"/>
      <c r="O316" s="26"/>
      <c r="P316" s="26"/>
    </row>
    <row r="317">
      <c r="A317" s="52"/>
      <c r="B317" s="15"/>
      <c r="C317" s="16"/>
      <c r="D317" s="15"/>
      <c r="E317" s="17"/>
      <c r="F317" s="54"/>
      <c r="G317" s="19"/>
      <c r="H317" s="17"/>
      <c r="I317" s="19"/>
      <c r="J317" s="21"/>
      <c r="K317" s="57"/>
      <c r="L317" s="24"/>
      <c r="M317" s="25"/>
      <c r="N317" s="25"/>
      <c r="O317" s="26"/>
      <c r="P317" s="26"/>
    </row>
    <row r="318">
      <c r="A318" s="52"/>
      <c r="B318" s="15"/>
      <c r="C318" s="16"/>
      <c r="D318" s="15"/>
      <c r="E318" s="17"/>
      <c r="F318" s="54"/>
      <c r="G318" s="19"/>
      <c r="H318" s="17"/>
      <c r="I318" s="19"/>
      <c r="J318" s="21"/>
      <c r="K318" s="57"/>
      <c r="L318" s="24"/>
      <c r="M318" s="25"/>
      <c r="N318" s="25"/>
      <c r="O318" s="26"/>
      <c r="P318" s="26"/>
    </row>
    <row r="319">
      <c r="A319" s="52"/>
      <c r="B319" s="15"/>
      <c r="C319" s="16"/>
      <c r="D319" s="15"/>
      <c r="E319" s="17"/>
      <c r="F319" s="54"/>
      <c r="G319" s="19"/>
      <c r="H319" s="17"/>
      <c r="I319" s="19"/>
      <c r="J319" s="21"/>
      <c r="K319" s="57"/>
      <c r="L319" s="24"/>
      <c r="M319" s="25"/>
      <c r="N319" s="25"/>
      <c r="O319" s="26"/>
      <c r="P319" s="26"/>
    </row>
    <row r="320">
      <c r="A320" s="52"/>
      <c r="B320" s="15"/>
      <c r="C320" s="16"/>
      <c r="D320" s="15"/>
      <c r="E320" s="17"/>
      <c r="F320" s="54"/>
      <c r="G320" s="19"/>
      <c r="H320" s="17"/>
      <c r="I320" s="19"/>
      <c r="J320" s="21"/>
      <c r="K320" s="57"/>
      <c r="L320" s="24"/>
      <c r="M320" s="25"/>
      <c r="N320" s="25"/>
      <c r="O320" s="26"/>
      <c r="P320" s="26"/>
    </row>
    <row r="321">
      <c r="A321" s="52"/>
      <c r="B321" s="15"/>
      <c r="C321" s="16"/>
      <c r="D321" s="15"/>
      <c r="E321" s="17"/>
      <c r="F321" s="54"/>
      <c r="G321" s="19"/>
      <c r="H321" s="17"/>
      <c r="I321" s="19"/>
      <c r="J321" s="21"/>
      <c r="K321" s="57"/>
      <c r="L321" s="24"/>
      <c r="M321" s="25"/>
      <c r="N321" s="25"/>
      <c r="O321" s="26"/>
      <c r="P321" s="26"/>
    </row>
    <row r="322">
      <c r="A322" s="52"/>
      <c r="B322" s="15"/>
      <c r="C322" s="16"/>
      <c r="D322" s="15"/>
      <c r="E322" s="17"/>
      <c r="F322" s="54"/>
      <c r="G322" s="19"/>
      <c r="H322" s="17"/>
      <c r="I322" s="19"/>
      <c r="J322" s="21"/>
      <c r="K322" s="57"/>
      <c r="L322" s="24"/>
      <c r="M322" s="25"/>
      <c r="N322" s="25"/>
      <c r="O322" s="26"/>
      <c r="P322" s="26"/>
    </row>
    <row r="323">
      <c r="A323" s="52"/>
      <c r="B323" s="15"/>
      <c r="C323" s="16"/>
      <c r="D323" s="15"/>
      <c r="E323" s="17"/>
      <c r="F323" s="54"/>
      <c r="G323" s="19"/>
      <c r="H323" s="17"/>
      <c r="I323" s="19"/>
      <c r="J323" s="21"/>
      <c r="K323" s="57"/>
      <c r="L323" s="24"/>
      <c r="M323" s="25"/>
      <c r="N323" s="25"/>
      <c r="O323" s="26"/>
      <c r="P323" s="26"/>
    </row>
    <row r="324">
      <c r="A324" s="52"/>
      <c r="B324" s="15"/>
      <c r="C324" s="16"/>
      <c r="D324" s="15"/>
      <c r="E324" s="17"/>
      <c r="F324" s="54"/>
      <c r="G324" s="19"/>
      <c r="H324" s="17"/>
      <c r="I324" s="19"/>
      <c r="J324" s="21"/>
      <c r="K324" s="57"/>
      <c r="L324" s="24"/>
      <c r="M324" s="25"/>
      <c r="N324" s="25"/>
      <c r="O324" s="26"/>
      <c r="P324" s="26"/>
    </row>
    <row r="325">
      <c r="A325" s="52"/>
      <c r="B325" s="15"/>
      <c r="C325" s="16"/>
      <c r="D325" s="15"/>
      <c r="E325" s="17"/>
      <c r="F325" s="54"/>
      <c r="G325" s="19"/>
      <c r="H325" s="17"/>
      <c r="I325" s="19"/>
      <c r="J325" s="21"/>
      <c r="K325" s="57"/>
      <c r="L325" s="24"/>
      <c r="M325" s="25"/>
      <c r="N325" s="25"/>
      <c r="O325" s="26"/>
      <c r="P325" s="26"/>
    </row>
    <row r="326">
      <c r="A326" s="52"/>
      <c r="B326" s="15"/>
      <c r="C326" s="16"/>
      <c r="D326" s="15"/>
      <c r="E326" s="17"/>
      <c r="F326" s="54"/>
      <c r="G326" s="19"/>
      <c r="H326" s="17"/>
      <c r="I326" s="19"/>
      <c r="J326" s="21"/>
      <c r="K326" s="57"/>
      <c r="L326" s="24"/>
      <c r="M326" s="25"/>
      <c r="N326" s="25"/>
      <c r="O326" s="26"/>
      <c r="P326" s="26"/>
    </row>
    <row r="327">
      <c r="A327" s="52"/>
      <c r="B327" s="15"/>
      <c r="C327" s="16"/>
      <c r="D327" s="15"/>
      <c r="E327" s="17"/>
      <c r="F327" s="54"/>
      <c r="G327" s="19"/>
      <c r="H327" s="17"/>
      <c r="I327" s="19"/>
      <c r="J327" s="21"/>
      <c r="K327" s="57"/>
      <c r="L327" s="24"/>
      <c r="M327" s="25"/>
      <c r="N327" s="25"/>
      <c r="O327" s="26"/>
      <c r="P327" s="26"/>
    </row>
    <row r="328">
      <c r="A328" s="52"/>
      <c r="B328" s="15"/>
      <c r="C328" s="16"/>
      <c r="D328" s="15"/>
      <c r="E328" s="17"/>
      <c r="F328" s="54"/>
      <c r="G328" s="19"/>
      <c r="H328" s="17"/>
      <c r="I328" s="19"/>
      <c r="J328" s="21"/>
      <c r="K328" s="57"/>
      <c r="L328" s="24"/>
      <c r="M328" s="25"/>
      <c r="N328" s="25"/>
      <c r="O328" s="26"/>
      <c r="P328" s="26"/>
    </row>
    <row r="329">
      <c r="A329" s="52"/>
      <c r="B329" s="15"/>
      <c r="C329" s="16"/>
      <c r="D329" s="15"/>
      <c r="E329" s="17"/>
      <c r="F329" s="54"/>
      <c r="G329" s="19"/>
      <c r="H329" s="17"/>
      <c r="I329" s="19"/>
      <c r="J329" s="21"/>
      <c r="K329" s="57"/>
      <c r="L329" s="24"/>
      <c r="M329" s="25"/>
      <c r="N329" s="25"/>
      <c r="O329" s="26"/>
      <c r="P329" s="26"/>
    </row>
    <row r="330">
      <c r="A330" s="52"/>
      <c r="B330" s="15"/>
      <c r="C330" s="16"/>
      <c r="D330" s="15"/>
      <c r="E330" s="17"/>
      <c r="F330" s="54"/>
      <c r="G330" s="19"/>
      <c r="H330" s="17"/>
      <c r="I330" s="19"/>
      <c r="J330" s="21"/>
      <c r="K330" s="57"/>
      <c r="L330" s="24"/>
      <c r="M330" s="25"/>
      <c r="N330" s="25"/>
      <c r="O330" s="26"/>
      <c r="P330" s="26"/>
    </row>
    <row r="331">
      <c r="A331" s="52"/>
      <c r="B331" s="15"/>
      <c r="C331" s="16"/>
      <c r="D331" s="15"/>
      <c r="E331" s="17"/>
      <c r="F331" s="54"/>
      <c r="G331" s="19"/>
      <c r="H331" s="17"/>
      <c r="I331" s="19"/>
      <c r="J331" s="21"/>
      <c r="K331" s="57"/>
      <c r="L331" s="24"/>
      <c r="M331" s="25"/>
      <c r="N331" s="25"/>
      <c r="O331" s="26"/>
      <c r="P331" s="26"/>
    </row>
    <row r="332">
      <c r="A332" s="52"/>
      <c r="B332" s="15"/>
      <c r="C332" s="16"/>
      <c r="D332" s="15"/>
      <c r="E332" s="17"/>
      <c r="F332" s="54"/>
      <c r="G332" s="19"/>
      <c r="H332" s="17"/>
      <c r="I332" s="19"/>
      <c r="J332" s="21"/>
      <c r="K332" s="57"/>
      <c r="L332" s="24"/>
      <c r="M332" s="25"/>
      <c r="N332" s="25"/>
      <c r="O332" s="26"/>
      <c r="P332" s="26"/>
    </row>
    <row r="333">
      <c r="A333" s="52"/>
      <c r="B333" s="15"/>
      <c r="C333" s="16"/>
      <c r="D333" s="15"/>
      <c r="E333" s="17"/>
      <c r="F333" s="54"/>
      <c r="G333" s="19"/>
      <c r="H333" s="17"/>
      <c r="I333" s="19"/>
      <c r="J333" s="21"/>
      <c r="K333" s="57"/>
      <c r="L333" s="24"/>
      <c r="M333" s="25"/>
      <c r="N333" s="25"/>
      <c r="O333" s="26"/>
      <c r="P333" s="26"/>
    </row>
    <row r="334">
      <c r="A334" s="52"/>
      <c r="B334" s="15"/>
      <c r="C334" s="16"/>
      <c r="D334" s="15"/>
      <c r="E334" s="17"/>
      <c r="F334" s="54"/>
      <c r="G334" s="19"/>
      <c r="H334" s="17"/>
      <c r="I334" s="19"/>
      <c r="J334" s="21"/>
      <c r="K334" s="57"/>
      <c r="L334" s="24"/>
      <c r="M334" s="25"/>
      <c r="N334" s="25"/>
      <c r="O334" s="26"/>
      <c r="P334" s="26"/>
    </row>
    <row r="335">
      <c r="A335" s="52"/>
      <c r="B335" s="15"/>
      <c r="C335" s="16"/>
      <c r="D335" s="15"/>
      <c r="E335" s="17"/>
      <c r="F335" s="54"/>
      <c r="G335" s="19"/>
      <c r="H335" s="17"/>
      <c r="I335" s="19"/>
      <c r="J335" s="21"/>
      <c r="K335" s="57"/>
      <c r="L335" s="24"/>
      <c r="M335" s="25"/>
      <c r="N335" s="25"/>
      <c r="O335" s="26"/>
      <c r="P335" s="26"/>
    </row>
    <row r="336">
      <c r="A336" s="52"/>
      <c r="B336" s="15"/>
      <c r="C336" s="16"/>
      <c r="D336" s="15"/>
      <c r="E336" s="17"/>
      <c r="F336" s="54"/>
      <c r="G336" s="19"/>
      <c r="H336" s="17"/>
      <c r="I336" s="19"/>
      <c r="J336" s="21"/>
      <c r="K336" s="57"/>
      <c r="L336" s="24"/>
      <c r="M336" s="25"/>
      <c r="N336" s="25"/>
      <c r="O336" s="26"/>
      <c r="P336" s="26"/>
    </row>
    <row r="337">
      <c r="A337" s="52"/>
      <c r="B337" s="15"/>
      <c r="C337" s="16"/>
      <c r="D337" s="15"/>
      <c r="E337" s="17"/>
      <c r="F337" s="54"/>
      <c r="G337" s="19"/>
      <c r="H337" s="17"/>
      <c r="I337" s="19"/>
      <c r="J337" s="21"/>
      <c r="K337" s="57"/>
      <c r="L337" s="24"/>
      <c r="M337" s="25"/>
      <c r="N337" s="25"/>
      <c r="O337" s="26"/>
      <c r="P337" s="26"/>
    </row>
    <row r="338">
      <c r="A338" s="62"/>
      <c r="B338" s="15"/>
      <c r="C338" s="16"/>
      <c r="D338" s="15"/>
      <c r="E338" s="17"/>
      <c r="F338" s="18"/>
      <c r="G338" s="19"/>
      <c r="H338" s="17"/>
      <c r="I338" s="19"/>
      <c r="J338" s="21"/>
      <c r="K338" s="57"/>
      <c r="L338" s="24"/>
      <c r="M338" s="25"/>
      <c r="N338" s="25"/>
      <c r="O338" s="26"/>
      <c r="P338" s="26"/>
    </row>
    <row r="339">
      <c r="A339" s="52"/>
      <c r="B339" s="15"/>
      <c r="C339" s="16"/>
      <c r="D339" s="15"/>
      <c r="E339" s="17"/>
      <c r="F339" s="54"/>
      <c r="G339" s="19"/>
      <c r="H339" s="17"/>
      <c r="I339" s="19"/>
      <c r="J339" s="21"/>
      <c r="K339" s="57"/>
      <c r="L339" s="24"/>
      <c r="M339" s="25"/>
      <c r="N339" s="25"/>
      <c r="O339" s="26"/>
      <c r="P339" s="26"/>
    </row>
    <row r="340">
      <c r="A340" s="52"/>
      <c r="B340" s="15"/>
      <c r="C340" s="16"/>
      <c r="D340" s="15"/>
      <c r="E340" s="17"/>
      <c r="F340" s="54"/>
      <c r="G340" s="19"/>
      <c r="H340" s="17"/>
      <c r="I340" s="19"/>
      <c r="J340" s="21"/>
      <c r="K340" s="57"/>
      <c r="L340" s="24"/>
      <c r="M340" s="25"/>
      <c r="N340" s="25"/>
      <c r="O340" s="26"/>
      <c r="P340" s="26"/>
    </row>
    <row r="341">
      <c r="A341" s="52"/>
      <c r="B341" s="15"/>
      <c r="C341" s="16"/>
      <c r="D341" s="15"/>
      <c r="E341" s="17"/>
      <c r="F341" s="54"/>
      <c r="G341" s="19"/>
      <c r="H341" s="17"/>
      <c r="I341" s="19"/>
      <c r="J341" s="21"/>
      <c r="K341" s="57"/>
      <c r="L341" s="24"/>
      <c r="M341" s="25"/>
      <c r="N341" s="25"/>
      <c r="O341" s="26"/>
      <c r="P341" s="26"/>
    </row>
    <row r="342">
      <c r="A342" s="52"/>
      <c r="B342" s="15"/>
      <c r="C342" s="16"/>
      <c r="D342" s="15"/>
      <c r="E342" s="17"/>
      <c r="F342" s="54"/>
      <c r="G342" s="19"/>
      <c r="H342" s="17"/>
      <c r="I342" s="19"/>
      <c r="J342" s="21"/>
      <c r="K342" s="57"/>
      <c r="L342" s="24"/>
      <c r="M342" s="25"/>
      <c r="N342" s="25"/>
      <c r="O342" s="26"/>
      <c r="P342" s="26"/>
    </row>
    <row r="343">
      <c r="A343" s="52"/>
      <c r="B343" s="15"/>
      <c r="C343" s="16"/>
      <c r="D343" s="15"/>
      <c r="E343" s="17"/>
      <c r="F343" s="54"/>
      <c r="G343" s="19"/>
      <c r="H343" s="17"/>
      <c r="I343" s="19"/>
      <c r="J343" s="21"/>
      <c r="K343" s="57"/>
      <c r="L343" s="24"/>
      <c r="M343" s="25"/>
      <c r="N343" s="25"/>
      <c r="O343" s="26"/>
      <c r="P343" s="26"/>
    </row>
    <row r="344">
      <c r="A344" s="52"/>
      <c r="B344" s="15"/>
      <c r="C344" s="16"/>
      <c r="D344" s="15"/>
      <c r="E344" s="17"/>
      <c r="F344" s="54"/>
      <c r="G344" s="19"/>
      <c r="H344" s="17"/>
      <c r="I344" s="19"/>
      <c r="J344" s="21"/>
      <c r="K344" s="57"/>
      <c r="L344" s="24"/>
      <c r="M344" s="25"/>
      <c r="N344" s="25"/>
      <c r="O344" s="26"/>
      <c r="P344" s="26"/>
    </row>
    <row r="345">
      <c r="A345" s="52"/>
      <c r="B345" s="15"/>
      <c r="C345" s="16"/>
      <c r="D345" s="15"/>
      <c r="E345" s="17"/>
      <c r="F345" s="54"/>
      <c r="G345" s="19"/>
      <c r="H345" s="17"/>
      <c r="I345" s="19"/>
      <c r="J345" s="21"/>
      <c r="K345" s="57"/>
      <c r="L345" s="24"/>
      <c r="M345" s="25"/>
      <c r="N345" s="25"/>
      <c r="O345" s="26"/>
      <c r="P345" s="26"/>
    </row>
    <row r="346">
      <c r="A346" s="52"/>
      <c r="B346" s="15"/>
      <c r="C346" s="16"/>
      <c r="D346" s="15"/>
      <c r="E346" s="17"/>
      <c r="F346" s="54"/>
      <c r="G346" s="19"/>
      <c r="H346" s="17"/>
      <c r="I346" s="19"/>
      <c r="J346" s="21"/>
      <c r="K346" s="57"/>
      <c r="L346" s="24"/>
      <c r="M346" s="25"/>
      <c r="N346" s="25"/>
      <c r="O346" s="26"/>
      <c r="P346" s="26"/>
    </row>
    <row r="347">
      <c r="A347" s="52"/>
      <c r="B347" s="15"/>
      <c r="C347" s="16"/>
      <c r="D347" s="15"/>
      <c r="E347" s="17"/>
      <c r="F347" s="54"/>
      <c r="G347" s="19"/>
      <c r="H347" s="17"/>
      <c r="I347" s="19"/>
      <c r="J347" s="21"/>
      <c r="K347" s="57"/>
      <c r="L347" s="24"/>
      <c r="M347" s="25"/>
      <c r="N347" s="25"/>
      <c r="O347" s="26"/>
      <c r="P347" s="26"/>
    </row>
    <row r="348">
      <c r="A348" s="52"/>
      <c r="B348" s="15"/>
      <c r="C348" s="16"/>
      <c r="D348" s="15"/>
      <c r="E348" s="17"/>
      <c r="F348" s="54"/>
      <c r="G348" s="19"/>
      <c r="H348" s="17"/>
      <c r="I348" s="19"/>
      <c r="J348" s="21"/>
      <c r="K348" s="57"/>
      <c r="L348" s="24"/>
      <c r="M348" s="25"/>
      <c r="N348" s="25"/>
      <c r="O348" s="26"/>
      <c r="P348" s="26"/>
    </row>
    <row r="349">
      <c r="A349" s="52"/>
      <c r="B349" s="15"/>
      <c r="C349" s="16"/>
      <c r="D349" s="15"/>
      <c r="E349" s="17"/>
      <c r="F349" s="54"/>
      <c r="G349" s="19"/>
      <c r="H349" s="17"/>
      <c r="I349" s="19"/>
      <c r="J349" s="21"/>
      <c r="K349" s="57"/>
      <c r="L349" s="24"/>
      <c r="M349" s="25"/>
      <c r="N349" s="25"/>
      <c r="O349" s="26"/>
      <c r="P349" s="26"/>
    </row>
    <row r="350">
      <c r="A350" s="52"/>
      <c r="B350" s="15"/>
      <c r="C350" s="16"/>
      <c r="D350" s="15"/>
      <c r="E350" s="17"/>
      <c r="F350" s="54"/>
      <c r="G350" s="19"/>
      <c r="H350" s="17"/>
      <c r="I350" s="19"/>
      <c r="J350" s="21"/>
      <c r="K350" s="57"/>
      <c r="L350" s="24"/>
      <c r="M350" s="25"/>
      <c r="N350" s="25"/>
      <c r="O350" s="26"/>
      <c r="P350" s="26"/>
    </row>
    <row r="351">
      <c r="A351" s="52"/>
      <c r="B351" s="15"/>
      <c r="C351" s="16"/>
      <c r="D351" s="15"/>
      <c r="E351" s="17"/>
      <c r="F351" s="54"/>
      <c r="G351" s="19"/>
      <c r="H351" s="17"/>
      <c r="I351" s="19"/>
      <c r="J351" s="21"/>
      <c r="K351" s="57"/>
      <c r="L351" s="24"/>
      <c r="M351" s="25"/>
      <c r="N351" s="25"/>
      <c r="O351" s="26"/>
      <c r="P351" s="26"/>
    </row>
    <row r="352">
      <c r="A352" s="52"/>
      <c r="B352" s="15"/>
      <c r="C352" s="16"/>
      <c r="D352" s="15"/>
      <c r="E352" s="17"/>
      <c r="F352" s="54"/>
      <c r="G352" s="19"/>
      <c r="H352" s="17"/>
      <c r="I352" s="19"/>
      <c r="J352" s="21"/>
      <c r="K352" s="57"/>
      <c r="L352" s="24"/>
      <c r="M352" s="25"/>
      <c r="N352" s="25"/>
      <c r="O352" s="26"/>
      <c r="P352" s="26"/>
    </row>
    <row r="353">
      <c r="A353" s="52"/>
      <c r="B353" s="15"/>
      <c r="C353" s="16"/>
      <c r="D353" s="15"/>
      <c r="E353" s="17"/>
      <c r="F353" s="54"/>
      <c r="G353" s="19"/>
      <c r="H353" s="17"/>
      <c r="I353" s="19"/>
      <c r="J353" s="21"/>
      <c r="K353" s="57"/>
      <c r="L353" s="24"/>
      <c r="M353" s="25"/>
      <c r="N353" s="25"/>
      <c r="O353" s="26"/>
      <c r="P353" s="26"/>
    </row>
    <row r="354">
      <c r="A354" s="52"/>
      <c r="B354" s="15"/>
      <c r="C354" s="16"/>
      <c r="D354" s="15"/>
      <c r="E354" s="17"/>
      <c r="F354" s="18"/>
      <c r="G354" s="19"/>
      <c r="H354" s="17"/>
      <c r="I354" s="19"/>
      <c r="J354" s="21"/>
      <c r="K354" s="57"/>
      <c r="L354" s="24"/>
      <c r="M354" s="25"/>
      <c r="N354" s="25"/>
      <c r="O354" s="26"/>
      <c r="P354" s="26"/>
    </row>
    <row r="355">
      <c r="A355" s="52"/>
      <c r="B355" s="15"/>
      <c r="C355" s="16"/>
      <c r="D355" s="15"/>
      <c r="E355" s="17"/>
      <c r="F355" s="54"/>
      <c r="G355" s="19"/>
      <c r="H355" s="17"/>
      <c r="I355" s="19"/>
      <c r="J355" s="21"/>
      <c r="K355" s="57"/>
      <c r="L355" s="24"/>
      <c r="M355" s="25"/>
      <c r="N355" s="25"/>
      <c r="O355" s="26"/>
      <c r="P355" s="26"/>
    </row>
    <row r="356">
      <c r="A356" s="52"/>
      <c r="B356" s="15"/>
      <c r="C356" s="16"/>
      <c r="D356" s="15"/>
      <c r="E356" s="17"/>
      <c r="F356" s="18"/>
      <c r="G356" s="19"/>
      <c r="H356" s="17"/>
      <c r="I356" s="19"/>
      <c r="J356" s="21"/>
      <c r="K356" s="57"/>
      <c r="L356" s="24"/>
      <c r="M356" s="25"/>
      <c r="N356" s="25"/>
      <c r="O356" s="26"/>
      <c r="P356" s="26"/>
    </row>
    <row r="357">
      <c r="A357" s="52"/>
      <c r="B357" s="15"/>
      <c r="C357" s="16"/>
      <c r="D357" s="15"/>
      <c r="E357" s="17"/>
      <c r="F357" s="54"/>
      <c r="G357" s="19"/>
      <c r="H357" s="17"/>
      <c r="I357" s="19"/>
      <c r="J357" s="21"/>
      <c r="K357" s="57"/>
      <c r="L357" s="24"/>
      <c r="M357" s="25"/>
      <c r="N357" s="25"/>
      <c r="O357" s="26"/>
      <c r="P357" s="26"/>
    </row>
    <row r="358">
      <c r="A358" s="52"/>
      <c r="B358" s="15"/>
      <c r="C358" s="16"/>
      <c r="D358" s="15"/>
      <c r="E358" s="17"/>
      <c r="F358" s="54"/>
      <c r="G358" s="19"/>
      <c r="H358" s="17"/>
      <c r="I358" s="19"/>
      <c r="J358" s="21"/>
      <c r="K358" s="57"/>
      <c r="L358" s="24"/>
      <c r="M358" s="25"/>
      <c r="N358" s="25"/>
      <c r="O358" s="26"/>
      <c r="P358" s="26"/>
    </row>
    <row r="359">
      <c r="A359" s="52"/>
      <c r="B359" s="15"/>
      <c r="C359" s="16"/>
      <c r="D359" s="15"/>
      <c r="E359" s="17"/>
      <c r="F359" s="54"/>
      <c r="G359" s="19"/>
      <c r="H359" s="17"/>
      <c r="I359" s="19"/>
      <c r="J359" s="21"/>
      <c r="K359" s="57"/>
      <c r="L359" s="24"/>
      <c r="M359" s="25"/>
      <c r="N359" s="25"/>
      <c r="O359" s="26"/>
      <c r="P359" s="26"/>
    </row>
    <row r="360">
      <c r="A360" s="52"/>
      <c r="B360" s="15"/>
      <c r="C360" s="16"/>
      <c r="D360" s="15"/>
      <c r="E360" s="17"/>
      <c r="F360" s="18"/>
      <c r="G360" s="19"/>
      <c r="H360" s="17"/>
      <c r="I360" s="19"/>
      <c r="J360" s="21"/>
      <c r="K360" s="57"/>
      <c r="L360" s="24"/>
      <c r="M360" s="25"/>
      <c r="N360" s="25"/>
      <c r="O360" s="26"/>
      <c r="P360" s="26"/>
    </row>
    <row r="361">
      <c r="A361" s="52"/>
      <c r="B361" s="15"/>
      <c r="C361" s="16"/>
      <c r="D361" s="15"/>
      <c r="E361" s="17"/>
      <c r="F361" s="54"/>
      <c r="G361" s="19"/>
      <c r="H361" s="17"/>
      <c r="I361" s="19"/>
      <c r="J361" s="21"/>
      <c r="K361" s="57"/>
      <c r="L361" s="24"/>
      <c r="M361" s="25"/>
      <c r="N361" s="25"/>
      <c r="O361" s="26"/>
      <c r="P361" s="26"/>
    </row>
    <row r="362">
      <c r="A362" s="52"/>
      <c r="B362" s="15"/>
      <c r="C362" s="16"/>
      <c r="D362" s="15"/>
      <c r="E362" s="17"/>
      <c r="F362" s="54"/>
      <c r="G362" s="19"/>
      <c r="H362" s="17"/>
      <c r="I362" s="19"/>
      <c r="J362" s="21"/>
      <c r="K362" s="57"/>
      <c r="L362" s="24"/>
      <c r="M362" s="25"/>
      <c r="N362" s="25"/>
      <c r="O362" s="26"/>
      <c r="P362" s="26"/>
    </row>
    <row r="363">
      <c r="A363" s="52"/>
      <c r="B363" s="15"/>
      <c r="C363" s="16"/>
      <c r="D363" s="15"/>
      <c r="E363" s="17"/>
      <c r="F363" s="54"/>
      <c r="G363" s="19"/>
      <c r="H363" s="17"/>
      <c r="I363" s="19"/>
      <c r="J363" s="21"/>
      <c r="K363" s="57"/>
      <c r="L363" s="24"/>
      <c r="M363" s="25"/>
      <c r="N363" s="25"/>
      <c r="O363" s="26"/>
      <c r="P363" s="26"/>
    </row>
    <row r="364">
      <c r="A364" s="52"/>
      <c r="B364" s="15"/>
      <c r="C364" s="16"/>
      <c r="D364" s="15"/>
      <c r="E364" s="17"/>
      <c r="F364" s="54"/>
      <c r="G364" s="19"/>
      <c r="H364" s="17"/>
      <c r="I364" s="19"/>
      <c r="J364" s="21"/>
      <c r="K364" s="57"/>
      <c r="L364" s="24"/>
      <c r="M364" s="25"/>
      <c r="N364" s="25"/>
      <c r="O364" s="26"/>
      <c r="P364" s="26"/>
    </row>
    <row r="365">
      <c r="A365" s="52"/>
      <c r="B365" s="15"/>
      <c r="C365" s="16"/>
      <c r="D365" s="15"/>
      <c r="E365" s="17"/>
      <c r="F365" s="54"/>
      <c r="G365" s="19"/>
      <c r="H365" s="17"/>
      <c r="I365" s="19"/>
      <c r="J365" s="21"/>
      <c r="K365" s="57"/>
      <c r="L365" s="24"/>
      <c r="M365" s="25"/>
      <c r="N365" s="25"/>
      <c r="O365" s="26"/>
      <c r="P365" s="26"/>
    </row>
    <row r="366">
      <c r="A366" s="52"/>
      <c r="B366" s="15"/>
      <c r="C366" s="16"/>
      <c r="D366" s="15"/>
      <c r="E366" s="17"/>
      <c r="F366" s="54"/>
      <c r="G366" s="19"/>
      <c r="H366" s="17"/>
      <c r="I366" s="19"/>
      <c r="J366" s="21"/>
      <c r="K366" s="57"/>
      <c r="L366" s="24"/>
      <c r="M366" s="25"/>
      <c r="N366" s="25"/>
      <c r="O366" s="26"/>
      <c r="P366" s="26"/>
    </row>
    <row r="367">
      <c r="A367" s="52"/>
      <c r="B367" s="15"/>
      <c r="C367" s="16"/>
      <c r="D367" s="15"/>
      <c r="E367" s="17"/>
      <c r="F367" s="54"/>
      <c r="G367" s="19"/>
      <c r="H367" s="17"/>
      <c r="I367" s="19"/>
      <c r="J367" s="21"/>
      <c r="K367" s="57"/>
      <c r="L367" s="24"/>
      <c r="M367" s="25"/>
      <c r="N367" s="25"/>
      <c r="O367" s="26"/>
      <c r="P367" s="26"/>
    </row>
    <row r="368">
      <c r="A368" s="52"/>
      <c r="B368" s="15"/>
      <c r="C368" s="16"/>
      <c r="D368" s="15"/>
      <c r="E368" s="17"/>
      <c r="F368" s="54"/>
      <c r="G368" s="19"/>
      <c r="H368" s="17"/>
      <c r="I368" s="19"/>
      <c r="J368" s="21"/>
      <c r="K368" s="57"/>
      <c r="L368" s="24"/>
      <c r="M368" s="25"/>
      <c r="N368" s="25"/>
      <c r="O368" s="26"/>
      <c r="P368" s="26"/>
    </row>
    <row r="369">
      <c r="A369" s="52"/>
      <c r="B369" s="15"/>
      <c r="C369" s="16"/>
      <c r="D369" s="15"/>
      <c r="E369" s="17"/>
      <c r="F369" s="54"/>
      <c r="G369" s="19"/>
      <c r="H369" s="17"/>
      <c r="I369" s="19"/>
      <c r="J369" s="21"/>
      <c r="K369" s="57"/>
      <c r="L369" s="24"/>
      <c r="M369" s="25"/>
      <c r="N369" s="25"/>
      <c r="O369" s="26"/>
      <c r="P369" s="26"/>
    </row>
    <row r="370">
      <c r="A370" s="52"/>
      <c r="B370" s="15"/>
      <c r="C370" s="16"/>
      <c r="D370" s="15"/>
      <c r="E370" s="17"/>
      <c r="F370" s="54"/>
      <c r="G370" s="19"/>
      <c r="H370" s="17"/>
      <c r="I370" s="19"/>
      <c r="J370" s="21"/>
      <c r="K370" s="57"/>
      <c r="L370" s="24"/>
      <c r="M370" s="25"/>
      <c r="N370" s="25"/>
      <c r="O370" s="26"/>
      <c r="P370" s="26"/>
    </row>
    <row r="371">
      <c r="A371" s="52"/>
      <c r="B371" s="15"/>
      <c r="C371" s="16"/>
      <c r="D371" s="15"/>
      <c r="E371" s="17"/>
      <c r="F371" s="54"/>
      <c r="G371" s="19"/>
      <c r="H371" s="17"/>
      <c r="I371" s="19"/>
      <c r="J371" s="21"/>
      <c r="K371" s="57"/>
      <c r="L371" s="24"/>
      <c r="M371" s="25"/>
      <c r="N371" s="25"/>
      <c r="O371" s="26"/>
      <c r="P371" s="26"/>
    </row>
    <row r="372">
      <c r="A372" s="52"/>
      <c r="B372" s="15"/>
      <c r="C372" s="16"/>
      <c r="D372" s="15"/>
      <c r="E372" s="17"/>
      <c r="F372" s="54"/>
      <c r="G372" s="19"/>
      <c r="H372" s="17"/>
      <c r="I372" s="19"/>
      <c r="J372" s="21"/>
      <c r="K372" s="57"/>
      <c r="L372" s="24"/>
      <c r="M372" s="25"/>
      <c r="N372" s="25"/>
      <c r="O372" s="26"/>
      <c r="P372" s="26"/>
    </row>
    <row r="373">
      <c r="A373" s="52"/>
      <c r="B373" s="15"/>
      <c r="C373" s="16"/>
      <c r="D373" s="15"/>
      <c r="E373" s="17"/>
      <c r="F373" s="54"/>
      <c r="G373" s="19"/>
      <c r="H373" s="17"/>
      <c r="I373" s="19"/>
      <c r="J373" s="21"/>
      <c r="K373" s="57"/>
      <c r="L373" s="24"/>
      <c r="M373" s="25"/>
      <c r="N373" s="25"/>
      <c r="O373" s="26"/>
      <c r="P373" s="26"/>
    </row>
    <row r="374">
      <c r="A374" s="52"/>
      <c r="B374" s="15"/>
      <c r="C374" s="16"/>
      <c r="D374" s="15"/>
      <c r="E374" s="17"/>
      <c r="F374" s="54"/>
      <c r="G374" s="19"/>
      <c r="H374" s="17"/>
      <c r="I374" s="19"/>
      <c r="J374" s="21"/>
      <c r="K374" s="57"/>
      <c r="L374" s="24"/>
      <c r="M374" s="25"/>
      <c r="N374" s="25"/>
      <c r="O374" s="26"/>
      <c r="P374" s="26"/>
    </row>
    <row r="375">
      <c r="A375" s="52"/>
      <c r="B375" s="15"/>
      <c r="C375" s="16"/>
      <c r="D375" s="15"/>
      <c r="E375" s="17"/>
      <c r="F375" s="54"/>
      <c r="G375" s="19"/>
      <c r="H375" s="17"/>
      <c r="I375" s="19"/>
      <c r="J375" s="21"/>
      <c r="K375" s="57"/>
      <c r="L375" s="24"/>
      <c r="M375" s="25"/>
      <c r="N375" s="25"/>
      <c r="O375" s="26"/>
      <c r="P375" s="26"/>
    </row>
    <row r="376">
      <c r="A376" s="52"/>
      <c r="B376" s="15"/>
      <c r="C376" s="16"/>
      <c r="D376" s="15"/>
      <c r="E376" s="17"/>
      <c r="F376" s="54"/>
      <c r="G376" s="19"/>
      <c r="H376" s="17"/>
      <c r="I376" s="19"/>
      <c r="J376" s="21"/>
      <c r="K376" s="57"/>
      <c r="L376" s="24"/>
      <c r="M376" s="25"/>
      <c r="N376" s="25"/>
      <c r="O376" s="26"/>
      <c r="P376" s="26"/>
    </row>
    <row r="377">
      <c r="A377" s="52"/>
      <c r="B377" s="15"/>
      <c r="C377" s="16"/>
      <c r="D377" s="15"/>
      <c r="E377" s="17"/>
      <c r="F377" s="54"/>
      <c r="G377" s="19"/>
      <c r="H377" s="17"/>
      <c r="I377" s="19"/>
      <c r="J377" s="21"/>
      <c r="K377" s="57"/>
      <c r="L377" s="24"/>
      <c r="M377" s="25"/>
      <c r="N377" s="25"/>
      <c r="O377" s="26"/>
      <c r="P377" s="26"/>
    </row>
    <row r="378">
      <c r="A378" s="52"/>
      <c r="B378" s="15"/>
      <c r="C378" s="16"/>
      <c r="D378" s="15"/>
      <c r="E378" s="17"/>
      <c r="F378" s="54"/>
      <c r="G378" s="19"/>
      <c r="H378" s="17"/>
      <c r="I378" s="19"/>
      <c r="J378" s="21"/>
      <c r="K378" s="57"/>
      <c r="L378" s="24"/>
      <c r="M378" s="25"/>
      <c r="N378" s="25"/>
      <c r="O378" s="26"/>
      <c r="P378" s="26"/>
    </row>
    <row r="379">
      <c r="A379" s="52"/>
      <c r="B379" s="15"/>
      <c r="C379" s="16"/>
      <c r="D379" s="15"/>
      <c r="E379" s="17"/>
      <c r="F379" s="54"/>
      <c r="G379" s="19"/>
      <c r="H379" s="17"/>
      <c r="I379" s="19"/>
      <c r="J379" s="21"/>
      <c r="K379" s="57"/>
      <c r="L379" s="24"/>
      <c r="M379" s="25"/>
      <c r="N379" s="25"/>
      <c r="O379" s="26"/>
      <c r="P379" s="26"/>
    </row>
    <row r="380">
      <c r="A380" s="52"/>
      <c r="B380" s="15"/>
      <c r="C380" s="16"/>
      <c r="D380" s="15"/>
      <c r="E380" s="17"/>
      <c r="F380" s="54"/>
      <c r="G380" s="19"/>
      <c r="H380" s="17"/>
      <c r="I380" s="19"/>
      <c r="J380" s="21"/>
      <c r="K380" s="57"/>
      <c r="L380" s="24"/>
      <c r="M380" s="25"/>
      <c r="N380" s="25"/>
      <c r="O380" s="26"/>
      <c r="P380" s="26"/>
    </row>
    <row r="381">
      <c r="A381" s="52"/>
      <c r="B381" s="15"/>
      <c r="C381" s="16"/>
      <c r="D381" s="15"/>
      <c r="E381" s="17"/>
      <c r="F381" s="54"/>
      <c r="G381" s="19"/>
      <c r="H381" s="17"/>
      <c r="I381" s="19"/>
      <c r="J381" s="21"/>
      <c r="K381" s="57"/>
      <c r="L381" s="24"/>
      <c r="M381" s="25"/>
      <c r="N381" s="25"/>
      <c r="O381" s="26"/>
      <c r="P381" s="26"/>
    </row>
    <row r="382">
      <c r="A382" s="52"/>
      <c r="B382" s="15"/>
      <c r="C382" s="16"/>
      <c r="D382" s="15"/>
      <c r="E382" s="17"/>
      <c r="F382" s="54"/>
      <c r="G382" s="19"/>
      <c r="H382" s="17"/>
      <c r="I382" s="19"/>
      <c r="J382" s="21"/>
      <c r="K382" s="57"/>
      <c r="L382" s="24"/>
      <c r="M382" s="25"/>
      <c r="N382" s="25"/>
      <c r="O382" s="26"/>
      <c r="P382" s="26"/>
    </row>
    <row r="383">
      <c r="A383" s="52"/>
      <c r="B383" s="15"/>
      <c r="C383" s="16"/>
      <c r="D383" s="15"/>
      <c r="E383" s="17"/>
      <c r="F383" s="54"/>
      <c r="G383" s="19"/>
      <c r="H383" s="17"/>
      <c r="I383" s="19"/>
      <c r="J383" s="21"/>
      <c r="K383" s="57"/>
      <c r="L383" s="24"/>
      <c r="M383" s="25"/>
      <c r="N383" s="25"/>
      <c r="O383" s="26"/>
      <c r="P383" s="26"/>
    </row>
    <row r="384">
      <c r="A384" s="52"/>
      <c r="B384" s="15"/>
      <c r="C384" s="16"/>
      <c r="D384" s="15"/>
      <c r="E384" s="17"/>
      <c r="F384" s="54"/>
      <c r="G384" s="19"/>
      <c r="H384" s="17"/>
      <c r="I384" s="19"/>
      <c r="J384" s="21"/>
      <c r="K384" s="57"/>
      <c r="L384" s="24"/>
      <c r="M384" s="25"/>
      <c r="N384" s="25"/>
      <c r="O384" s="26"/>
      <c r="P384" s="26"/>
    </row>
    <row r="385">
      <c r="A385" s="52"/>
      <c r="B385" s="15"/>
      <c r="C385" s="16"/>
      <c r="D385" s="15"/>
      <c r="E385" s="17"/>
      <c r="F385" s="54"/>
      <c r="G385" s="19"/>
      <c r="H385" s="17"/>
      <c r="I385" s="19"/>
      <c r="J385" s="21"/>
      <c r="K385" s="57"/>
      <c r="L385" s="24"/>
      <c r="M385" s="25"/>
      <c r="N385" s="25"/>
      <c r="O385" s="26"/>
      <c r="P385" s="26"/>
    </row>
    <row r="386">
      <c r="A386" s="52"/>
      <c r="B386" s="15"/>
      <c r="C386" s="16"/>
      <c r="D386" s="15"/>
      <c r="E386" s="17"/>
      <c r="F386" s="54"/>
      <c r="G386" s="19"/>
      <c r="H386" s="17"/>
      <c r="I386" s="19"/>
      <c r="J386" s="21"/>
      <c r="K386" s="57"/>
      <c r="L386" s="24"/>
      <c r="M386" s="25"/>
      <c r="N386" s="25"/>
      <c r="O386" s="26"/>
      <c r="P386" s="26"/>
    </row>
    <row r="387">
      <c r="A387" s="52"/>
      <c r="B387" s="15"/>
      <c r="C387" s="16"/>
      <c r="D387" s="15"/>
      <c r="E387" s="17"/>
      <c r="F387" s="54"/>
      <c r="G387" s="19"/>
      <c r="H387" s="17"/>
      <c r="I387" s="19"/>
      <c r="J387" s="21"/>
      <c r="K387" s="57"/>
      <c r="L387" s="24"/>
      <c r="M387" s="25"/>
      <c r="N387" s="25"/>
      <c r="O387" s="26"/>
      <c r="P387" s="26"/>
    </row>
    <row r="388">
      <c r="A388" s="52"/>
      <c r="B388" s="15"/>
      <c r="C388" s="16"/>
      <c r="D388" s="15"/>
      <c r="E388" s="17"/>
      <c r="F388" s="54"/>
      <c r="G388" s="19"/>
      <c r="H388" s="17"/>
      <c r="I388" s="19"/>
      <c r="J388" s="21"/>
      <c r="K388" s="57"/>
      <c r="L388" s="24"/>
      <c r="M388" s="25"/>
      <c r="N388" s="25"/>
      <c r="O388" s="26"/>
      <c r="P388" s="26"/>
    </row>
    <row r="389">
      <c r="A389" s="52"/>
      <c r="B389" s="15"/>
      <c r="C389" s="16"/>
      <c r="D389" s="15"/>
      <c r="E389" s="17"/>
      <c r="F389" s="54"/>
      <c r="G389" s="19"/>
      <c r="H389" s="17"/>
      <c r="I389" s="19"/>
      <c r="J389" s="21"/>
      <c r="K389" s="57"/>
      <c r="L389" s="24"/>
      <c r="M389" s="25"/>
      <c r="N389" s="25"/>
      <c r="O389" s="26"/>
      <c r="P389" s="26"/>
    </row>
    <row r="390">
      <c r="A390" s="52"/>
      <c r="B390" s="15"/>
      <c r="C390" s="16"/>
      <c r="D390" s="15"/>
      <c r="E390" s="17"/>
      <c r="F390" s="54"/>
      <c r="G390" s="19"/>
      <c r="H390" s="17"/>
      <c r="I390" s="19"/>
      <c r="J390" s="21"/>
      <c r="K390" s="57"/>
      <c r="L390" s="24"/>
      <c r="M390" s="25"/>
      <c r="N390" s="25"/>
      <c r="O390" s="26"/>
      <c r="P390" s="26"/>
    </row>
    <row r="391">
      <c r="A391" s="52"/>
      <c r="B391" s="15"/>
      <c r="C391" s="16"/>
      <c r="D391" s="15"/>
      <c r="E391" s="17"/>
      <c r="F391" s="54"/>
      <c r="G391" s="19"/>
      <c r="H391" s="17"/>
      <c r="I391" s="19"/>
      <c r="J391" s="21"/>
      <c r="K391" s="57"/>
      <c r="L391" s="24"/>
      <c r="M391" s="25"/>
      <c r="N391" s="25"/>
      <c r="O391" s="26"/>
      <c r="P391" s="26"/>
    </row>
    <row r="392">
      <c r="A392" s="52"/>
      <c r="B392" s="15"/>
      <c r="C392" s="16"/>
      <c r="D392" s="15"/>
      <c r="E392" s="17"/>
      <c r="F392" s="54"/>
      <c r="G392" s="19"/>
      <c r="H392" s="17"/>
      <c r="I392" s="19"/>
      <c r="J392" s="21"/>
      <c r="K392" s="57"/>
      <c r="L392" s="24"/>
      <c r="M392" s="25"/>
      <c r="N392" s="25"/>
      <c r="O392" s="26"/>
      <c r="P392" s="26"/>
    </row>
    <row r="393">
      <c r="A393" s="52"/>
      <c r="B393" s="15"/>
      <c r="C393" s="16"/>
      <c r="D393" s="15"/>
      <c r="E393" s="17"/>
      <c r="F393" s="54"/>
      <c r="G393" s="19"/>
      <c r="H393" s="17"/>
      <c r="I393" s="19"/>
      <c r="J393" s="21"/>
      <c r="K393" s="57"/>
      <c r="L393" s="24"/>
      <c r="M393" s="25"/>
      <c r="N393" s="25"/>
      <c r="O393" s="26"/>
      <c r="P393" s="26"/>
    </row>
    <row r="394">
      <c r="A394" s="52"/>
      <c r="B394" s="15"/>
      <c r="C394" s="16"/>
      <c r="D394" s="15"/>
      <c r="E394" s="17"/>
      <c r="F394" s="54"/>
      <c r="G394" s="19"/>
      <c r="H394" s="17"/>
      <c r="I394" s="19"/>
      <c r="J394" s="21"/>
      <c r="K394" s="57"/>
      <c r="L394" s="24"/>
      <c r="M394" s="25"/>
      <c r="N394" s="25"/>
      <c r="O394" s="26"/>
      <c r="P394" s="26"/>
    </row>
    <row r="395">
      <c r="A395" s="52"/>
      <c r="B395" s="15"/>
      <c r="C395" s="16"/>
      <c r="D395" s="15"/>
      <c r="E395" s="17"/>
      <c r="F395" s="54"/>
      <c r="G395" s="19"/>
      <c r="H395" s="17"/>
      <c r="I395" s="19"/>
      <c r="J395" s="21"/>
      <c r="K395" s="57"/>
      <c r="L395" s="24"/>
      <c r="M395" s="25"/>
      <c r="N395" s="25"/>
      <c r="O395" s="26"/>
      <c r="P395" s="26"/>
    </row>
    <row r="396">
      <c r="A396" s="52"/>
      <c r="B396" s="15"/>
      <c r="C396" s="16"/>
      <c r="D396" s="15"/>
      <c r="E396" s="17"/>
      <c r="F396" s="54"/>
      <c r="G396" s="19"/>
      <c r="H396" s="17"/>
      <c r="I396" s="19"/>
      <c r="J396" s="21"/>
      <c r="K396" s="57"/>
      <c r="L396" s="24"/>
      <c r="M396" s="25"/>
      <c r="N396" s="25"/>
      <c r="O396" s="26"/>
      <c r="P396" s="26"/>
    </row>
    <row r="397">
      <c r="A397" s="52"/>
      <c r="B397" s="15"/>
      <c r="C397" s="16"/>
      <c r="D397" s="15"/>
      <c r="E397" s="17"/>
      <c r="F397" s="54"/>
      <c r="G397" s="19"/>
      <c r="H397" s="17"/>
      <c r="I397" s="19"/>
      <c r="J397" s="21"/>
      <c r="K397" s="57"/>
      <c r="L397" s="24"/>
      <c r="M397" s="25"/>
      <c r="N397" s="25"/>
      <c r="O397" s="26"/>
      <c r="P397" s="26"/>
    </row>
    <row r="398">
      <c r="A398" s="52"/>
      <c r="B398" s="15"/>
      <c r="C398" s="16"/>
      <c r="D398" s="15"/>
      <c r="E398" s="17"/>
      <c r="F398" s="54"/>
      <c r="G398" s="19"/>
      <c r="H398" s="17"/>
      <c r="I398" s="19"/>
      <c r="J398" s="21"/>
      <c r="K398" s="57"/>
      <c r="L398" s="24"/>
      <c r="M398" s="25"/>
      <c r="N398" s="25"/>
      <c r="O398" s="26"/>
      <c r="P398" s="26"/>
    </row>
    <row r="399">
      <c r="A399" s="52"/>
      <c r="B399" s="15"/>
      <c r="C399" s="16"/>
      <c r="D399" s="15"/>
      <c r="E399" s="17"/>
      <c r="F399" s="54"/>
      <c r="G399" s="19"/>
      <c r="H399" s="17"/>
      <c r="I399" s="19"/>
      <c r="J399" s="21"/>
      <c r="K399" s="57"/>
      <c r="L399" s="24"/>
      <c r="M399" s="25"/>
      <c r="N399" s="25"/>
      <c r="O399" s="26"/>
      <c r="P399" s="26"/>
    </row>
    <row r="400">
      <c r="A400" s="52"/>
      <c r="B400" s="15"/>
      <c r="C400" s="16"/>
      <c r="D400" s="15"/>
      <c r="E400" s="17"/>
      <c r="F400" s="54"/>
      <c r="G400" s="19"/>
      <c r="H400" s="17"/>
      <c r="I400" s="19"/>
      <c r="J400" s="21"/>
      <c r="K400" s="57"/>
      <c r="L400" s="24"/>
      <c r="M400" s="25"/>
      <c r="N400" s="25"/>
      <c r="O400" s="26"/>
      <c r="P400" s="26"/>
    </row>
    <row r="401">
      <c r="A401" s="52"/>
      <c r="B401" s="15"/>
      <c r="C401" s="16"/>
      <c r="D401" s="15"/>
      <c r="E401" s="17"/>
      <c r="F401" s="54"/>
      <c r="G401" s="19"/>
      <c r="H401" s="17"/>
      <c r="I401" s="19"/>
      <c r="J401" s="21"/>
      <c r="K401" s="57"/>
      <c r="L401" s="24"/>
      <c r="M401" s="25"/>
      <c r="N401" s="25"/>
      <c r="O401" s="26"/>
      <c r="P401" s="26"/>
    </row>
    <row r="402">
      <c r="A402" s="52"/>
      <c r="B402" s="15"/>
      <c r="C402" s="16"/>
      <c r="D402" s="15"/>
      <c r="E402" s="17"/>
      <c r="F402" s="54"/>
      <c r="G402" s="19"/>
      <c r="H402" s="17"/>
      <c r="I402" s="19"/>
      <c r="J402" s="21"/>
      <c r="K402" s="57"/>
      <c r="L402" s="24"/>
      <c r="M402" s="25"/>
      <c r="N402" s="25"/>
      <c r="O402" s="26"/>
      <c r="P402" s="26"/>
    </row>
    <row r="403">
      <c r="A403" s="52"/>
      <c r="B403" s="15"/>
      <c r="C403" s="16"/>
      <c r="D403" s="15"/>
      <c r="E403" s="17"/>
      <c r="F403" s="54"/>
      <c r="G403" s="19"/>
      <c r="H403" s="17"/>
      <c r="I403" s="19"/>
      <c r="J403" s="21"/>
      <c r="K403" s="57"/>
      <c r="L403" s="24"/>
      <c r="M403" s="25"/>
      <c r="N403" s="25"/>
      <c r="O403" s="26"/>
      <c r="P403" s="26"/>
    </row>
    <row r="404">
      <c r="A404" s="52"/>
      <c r="B404" s="15"/>
      <c r="C404" s="16"/>
      <c r="D404" s="15"/>
      <c r="E404" s="17"/>
      <c r="F404" s="54"/>
      <c r="G404" s="19"/>
      <c r="H404" s="17"/>
      <c r="I404" s="19"/>
      <c r="J404" s="21"/>
      <c r="K404" s="57"/>
      <c r="L404" s="24"/>
      <c r="M404" s="25"/>
      <c r="N404" s="25"/>
      <c r="O404" s="26"/>
      <c r="P404" s="26"/>
    </row>
    <row r="405">
      <c r="A405" s="52"/>
      <c r="B405" s="15"/>
      <c r="C405" s="16"/>
      <c r="D405" s="15"/>
      <c r="E405" s="17"/>
      <c r="F405" s="54"/>
      <c r="G405" s="19"/>
      <c r="H405" s="17"/>
      <c r="I405" s="19"/>
      <c r="J405" s="21"/>
      <c r="K405" s="57"/>
      <c r="L405" s="24"/>
      <c r="M405" s="25"/>
      <c r="N405" s="25"/>
      <c r="O405" s="26"/>
      <c r="P405" s="26"/>
    </row>
    <row r="406">
      <c r="A406" s="52"/>
      <c r="B406" s="15"/>
      <c r="C406" s="16"/>
      <c r="D406" s="15"/>
      <c r="E406" s="17"/>
      <c r="F406" s="54"/>
      <c r="G406" s="19"/>
      <c r="H406" s="17"/>
      <c r="I406" s="19"/>
      <c r="J406" s="21"/>
      <c r="K406" s="57"/>
      <c r="L406" s="24"/>
      <c r="M406" s="25"/>
      <c r="N406" s="25"/>
      <c r="O406" s="26"/>
      <c r="P406" s="26"/>
    </row>
    <row r="407">
      <c r="A407" s="52"/>
      <c r="B407" s="15"/>
      <c r="C407" s="16"/>
      <c r="D407" s="15"/>
      <c r="E407" s="17"/>
      <c r="F407" s="54"/>
      <c r="G407" s="19"/>
      <c r="H407" s="17"/>
      <c r="I407" s="19"/>
      <c r="J407" s="21"/>
      <c r="K407" s="57"/>
      <c r="L407" s="24"/>
      <c r="M407" s="25"/>
      <c r="N407" s="25"/>
      <c r="O407" s="26"/>
      <c r="P407" s="26"/>
    </row>
    <row r="408">
      <c r="A408" s="52"/>
      <c r="B408" s="15"/>
      <c r="C408" s="16"/>
      <c r="D408" s="15"/>
      <c r="E408" s="17"/>
      <c r="F408" s="54"/>
      <c r="G408" s="19"/>
      <c r="H408" s="17"/>
      <c r="I408" s="19"/>
      <c r="J408" s="21"/>
      <c r="K408" s="57"/>
      <c r="L408" s="24"/>
      <c r="M408" s="25"/>
      <c r="N408" s="25"/>
      <c r="O408" s="26"/>
      <c r="P408" s="26"/>
    </row>
    <row r="409">
      <c r="A409" s="52"/>
      <c r="B409" s="15"/>
      <c r="C409" s="16"/>
      <c r="D409" s="15"/>
      <c r="E409" s="17"/>
      <c r="F409" s="54"/>
      <c r="G409" s="19"/>
      <c r="H409" s="17"/>
      <c r="I409" s="19"/>
      <c r="J409" s="21"/>
      <c r="K409" s="57"/>
      <c r="L409" s="24"/>
      <c r="M409" s="25"/>
      <c r="N409" s="25"/>
      <c r="O409" s="26"/>
      <c r="P409" s="26"/>
    </row>
    <row r="410">
      <c r="A410" s="52"/>
      <c r="B410" s="15"/>
      <c r="C410" s="16"/>
      <c r="D410" s="15"/>
      <c r="E410" s="17"/>
      <c r="F410" s="54"/>
      <c r="G410" s="19"/>
      <c r="H410" s="17"/>
      <c r="I410" s="19"/>
      <c r="J410" s="21"/>
      <c r="K410" s="57"/>
      <c r="L410" s="24"/>
      <c r="M410" s="25"/>
      <c r="N410" s="25"/>
      <c r="O410" s="26"/>
      <c r="P410" s="26"/>
    </row>
    <row r="411">
      <c r="A411" s="52"/>
      <c r="B411" s="15"/>
      <c r="C411" s="16"/>
      <c r="D411" s="15"/>
      <c r="E411" s="17"/>
      <c r="F411" s="54"/>
      <c r="G411" s="19"/>
      <c r="H411" s="17"/>
      <c r="I411" s="19"/>
      <c r="J411" s="21"/>
      <c r="K411" s="57"/>
      <c r="L411" s="24"/>
      <c r="M411" s="25"/>
      <c r="N411" s="25"/>
      <c r="O411" s="26"/>
      <c r="P411" s="26"/>
    </row>
    <row r="412">
      <c r="A412" s="52"/>
      <c r="B412" s="15"/>
      <c r="C412" s="16"/>
      <c r="D412" s="15"/>
      <c r="E412" s="17"/>
      <c r="F412" s="54"/>
      <c r="G412" s="19"/>
      <c r="H412" s="17"/>
      <c r="I412" s="19"/>
      <c r="J412" s="21"/>
      <c r="K412" s="57"/>
      <c r="L412" s="24"/>
      <c r="M412" s="25"/>
      <c r="N412" s="25"/>
      <c r="O412" s="26"/>
      <c r="P412" s="26"/>
    </row>
    <row r="413">
      <c r="A413" s="52"/>
      <c r="B413" s="15"/>
      <c r="C413" s="16"/>
      <c r="D413" s="15"/>
      <c r="E413" s="17"/>
      <c r="F413" s="54"/>
      <c r="G413" s="19"/>
      <c r="H413" s="17"/>
      <c r="I413" s="19"/>
      <c r="J413" s="21"/>
      <c r="K413" s="57"/>
      <c r="L413" s="24"/>
      <c r="M413" s="25"/>
      <c r="N413" s="25"/>
      <c r="O413" s="26"/>
      <c r="P413" s="26"/>
    </row>
    <row r="414">
      <c r="A414" s="52"/>
      <c r="B414" s="15"/>
      <c r="C414" s="16"/>
      <c r="D414" s="15"/>
      <c r="E414" s="17"/>
      <c r="F414" s="54"/>
      <c r="G414" s="19"/>
      <c r="H414" s="17"/>
      <c r="I414" s="19"/>
      <c r="J414" s="21"/>
      <c r="K414" s="57"/>
      <c r="L414" s="24"/>
      <c r="M414" s="25"/>
      <c r="N414" s="25"/>
      <c r="O414" s="26"/>
      <c r="P414" s="26"/>
    </row>
    <row r="415">
      <c r="A415" s="52"/>
      <c r="B415" s="15"/>
      <c r="C415" s="16"/>
      <c r="D415" s="15"/>
      <c r="E415" s="17"/>
      <c r="F415" s="54"/>
      <c r="G415" s="19"/>
      <c r="H415" s="17"/>
      <c r="I415" s="19"/>
      <c r="J415" s="21"/>
      <c r="K415" s="57"/>
      <c r="L415" s="24"/>
      <c r="M415" s="25"/>
      <c r="N415" s="25"/>
      <c r="O415" s="26"/>
      <c r="P415" s="26"/>
    </row>
    <row r="416">
      <c r="A416" s="52"/>
      <c r="B416" s="15"/>
      <c r="C416" s="16"/>
      <c r="D416" s="15"/>
      <c r="E416" s="17"/>
      <c r="F416" s="54"/>
      <c r="G416" s="19"/>
      <c r="H416" s="17"/>
      <c r="I416" s="19"/>
      <c r="J416" s="21"/>
      <c r="K416" s="57"/>
      <c r="L416" s="24"/>
      <c r="M416" s="25"/>
      <c r="N416" s="25"/>
      <c r="O416" s="26"/>
      <c r="P416" s="26"/>
    </row>
    <row r="417">
      <c r="A417" s="52"/>
      <c r="B417" s="15"/>
      <c r="C417" s="16"/>
      <c r="D417" s="15"/>
      <c r="E417" s="17"/>
      <c r="F417" s="54"/>
      <c r="G417" s="19"/>
      <c r="H417" s="17"/>
      <c r="I417" s="19"/>
      <c r="J417" s="21"/>
      <c r="K417" s="57"/>
      <c r="L417" s="24"/>
      <c r="M417" s="25"/>
      <c r="N417" s="25"/>
      <c r="O417" s="26"/>
      <c r="P417" s="26"/>
    </row>
    <row r="418">
      <c r="A418" s="52"/>
      <c r="B418" s="15"/>
      <c r="C418" s="16"/>
      <c r="D418" s="15"/>
      <c r="E418" s="17"/>
      <c r="F418" s="54"/>
      <c r="G418" s="19"/>
      <c r="H418" s="17"/>
      <c r="I418" s="19"/>
      <c r="J418" s="21"/>
      <c r="K418" s="57"/>
      <c r="L418" s="24"/>
      <c r="M418" s="25"/>
      <c r="N418" s="25"/>
      <c r="O418" s="26"/>
      <c r="P418" s="26"/>
    </row>
    <row r="419">
      <c r="A419" s="52"/>
      <c r="B419" s="15"/>
      <c r="C419" s="16"/>
      <c r="D419" s="15"/>
      <c r="E419" s="17"/>
      <c r="F419" s="54"/>
      <c r="G419" s="19"/>
      <c r="H419" s="17"/>
      <c r="I419" s="19"/>
      <c r="J419" s="21"/>
      <c r="K419" s="57"/>
      <c r="L419" s="24"/>
      <c r="M419" s="25"/>
      <c r="N419" s="25"/>
      <c r="O419" s="26"/>
      <c r="P419" s="26"/>
    </row>
    <row r="420">
      <c r="A420" s="52"/>
      <c r="B420" s="15"/>
      <c r="C420" s="16"/>
      <c r="D420" s="15"/>
      <c r="E420" s="17"/>
      <c r="F420" s="54"/>
      <c r="G420" s="19"/>
      <c r="H420" s="17"/>
      <c r="I420" s="19"/>
      <c r="J420" s="21"/>
      <c r="K420" s="57"/>
      <c r="L420" s="24"/>
      <c r="M420" s="25"/>
      <c r="N420" s="25"/>
      <c r="O420" s="26"/>
      <c r="P420" s="26"/>
    </row>
    <row r="421">
      <c r="A421" s="52"/>
      <c r="B421" s="15"/>
      <c r="C421" s="16"/>
      <c r="D421" s="15"/>
      <c r="E421" s="17"/>
      <c r="F421" s="54"/>
      <c r="G421" s="19"/>
      <c r="H421" s="17"/>
      <c r="I421" s="19"/>
      <c r="J421" s="21"/>
      <c r="K421" s="57"/>
      <c r="L421" s="24"/>
      <c r="M421" s="25"/>
      <c r="N421" s="25"/>
      <c r="O421" s="26"/>
      <c r="P421" s="26"/>
    </row>
    <row r="422">
      <c r="A422" s="52"/>
      <c r="B422" s="15"/>
      <c r="C422" s="16"/>
      <c r="D422" s="15"/>
      <c r="E422" s="17"/>
      <c r="F422" s="54"/>
      <c r="G422" s="19"/>
      <c r="H422" s="17"/>
      <c r="I422" s="19"/>
      <c r="J422" s="21"/>
      <c r="K422" s="57"/>
      <c r="L422" s="24"/>
      <c r="M422" s="25"/>
      <c r="N422" s="25"/>
      <c r="O422" s="26"/>
      <c r="P422" s="26"/>
    </row>
    <row r="423">
      <c r="A423" s="52"/>
      <c r="B423" s="15"/>
      <c r="C423" s="16"/>
      <c r="D423" s="15"/>
      <c r="E423" s="17"/>
      <c r="F423" s="54"/>
      <c r="G423" s="19"/>
      <c r="H423" s="17"/>
      <c r="I423" s="19"/>
      <c r="J423" s="21"/>
      <c r="K423" s="57"/>
      <c r="L423" s="24"/>
      <c r="M423" s="25"/>
      <c r="N423" s="25"/>
      <c r="O423" s="26"/>
      <c r="P423" s="26"/>
    </row>
    <row r="424">
      <c r="A424" s="52"/>
      <c r="B424" s="15"/>
      <c r="C424" s="16"/>
      <c r="D424" s="15"/>
      <c r="E424" s="17"/>
      <c r="F424" s="54"/>
      <c r="G424" s="19"/>
      <c r="H424" s="17"/>
      <c r="I424" s="19"/>
      <c r="J424" s="21"/>
      <c r="K424" s="57"/>
      <c r="L424" s="24"/>
      <c r="M424" s="25"/>
      <c r="N424" s="25"/>
      <c r="O424" s="26"/>
      <c r="P424" s="26"/>
    </row>
    <row r="425">
      <c r="A425" s="52"/>
      <c r="B425" s="15"/>
      <c r="C425" s="16"/>
      <c r="D425" s="15"/>
      <c r="E425" s="17"/>
      <c r="F425" s="54"/>
      <c r="G425" s="19"/>
      <c r="H425" s="17"/>
      <c r="I425" s="19"/>
      <c r="J425" s="21"/>
      <c r="K425" s="57"/>
      <c r="L425" s="24"/>
      <c r="M425" s="25"/>
      <c r="N425" s="25"/>
      <c r="O425" s="26"/>
      <c r="P425" s="26"/>
    </row>
    <row r="426">
      <c r="A426" s="52"/>
      <c r="B426" s="15"/>
      <c r="C426" s="16"/>
      <c r="D426" s="15"/>
      <c r="E426" s="17"/>
      <c r="F426" s="54"/>
      <c r="G426" s="19"/>
      <c r="H426" s="17"/>
      <c r="I426" s="19"/>
      <c r="J426" s="21"/>
      <c r="K426" s="57"/>
      <c r="L426" s="24"/>
      <c r="M426" s="25"/>
      <c r="N426" s="25"/>
      <c r="O426" s="26"/>
      <c r="P426" s="26"/>
    </row>
    <row r="427">
      <c r="A427" s="52"/>
      <c r="B427" s="15"/>
      <c r="C427" s="16"/>
      <c r="D427" s="15"/>
      <c r="E427" s="17"/>
      <c r="F427" s="54"/>
      <c r="G427" s="19"/>
      <c r="H427" s="17"/>
      <c r="I427" s="19"/>
      <c r="J427" s="21"/>
      <c r="K427" s="57"/>
      <c r="L427" s="24"/>
      <c r="M427" s="25"/>
      <c r="N427" s="25"/>
      <c r="O427" s="26"/>
      <c r="P427" s="26"/>
    </row>
    <row r="428">
      <c r="A428" s="52"/>
      <c r="B428" s="15"/>
      <c r="C428" s="16"/>
      <c r="D428" s="15"/>
      <c r="E428" s="17"/>
      <c r="F428" s="54"/>
      <c r="G428" s="19"/>
      <c r="H428" s="17"/>
      <c r="I428" s="19"/>
      <c r="J428" s="21"/>
      <c r="K428" s="57"/>
      <c r="L428" s="24"/>
      <c r="M428" s="25"/>
      <c r="N428" s="25"/>
      <c r="O428" s="26"/>
      <c r="P428" s="26"/>
    </row>
    <row r="429">
      <c r="A429" s="52"/>
      <c r="B429" s="15"/>
      <c r="C429" s="16"/>
      <c r="D429" s="15"/>
      <c r="E429" s="17"/>
      <c r="F429" s="54"/>
      <c r="G429" s="19"/>
      <c r="H429" s="17"/>
      <c r="I429" s="19"/>
      <c r="J429" s="21"/>
      <c r="K429" s="57"/>
      <c r="L429" s="24"/>
      <c r="M429" s="25"/>
      <c r="N429" s="25"/>
      <c r="O429" s="26"/>
      <c r="P429" s="26"/>
    </row>
    <row r="430">
      <c r="A430" s="52"/>
      <c r="B430" s="15"/>
      <c r="C430" s="16"/>
      <c r="D430" s="15"/>
      <c r="E430" s="17"/>
      <c r="F430" s="54"/>
      <c r="G430" s="19"/>
      <c r="H430" s="17"/>
      <c r="I430" s="19"/>
      <c r="J430" s="21"/>
      <c r="K430" s="57"/>
      <c r="L430" s="24"/>
      <c r="M430" s="25"/>
      <c r="N430" s="25"/>
      <c r="O430" s="26"/>
      <c r="P430" s="26"/>
    </row>
    <row r="431">
      <c r="A431" s="52"/>
      <c r="B431" s="15"/>
      <c r="C431" s="16"/>
      <c r="D431" s="15"/>
      <c r="E431" s="17"/>
      <c r="F431" s="54"/>
      <c r="G431" s="19"/>
      <c r="H431" s="17"/>
      <c r="I431" s="19"/>
      <c r="J431" s="21"/>
      <c r="K431" s="57"/>
      <c r="L431" s="24"/>
      <c r="M431" s="25"/>
      <c r="N431" s="25"/>
      <c r="O431" s="26"/>
      <c r="P431" s="26"/>
    </row>
    <row r="432">
      <c r="A432" s="52"/>
      <c r="B432" s="15"/>
      <c r="C432" s="16"/>
      <c r="D432" s="15"/>
      <c r="E432" s="17"/>
      <c r="F432" s="54"/>
      <c r="G432" s="19"/>
      <c r="H432" s="17"/>
      <c r="I432" s="19"/>
      <c r="J432" s="21"/>
      <c r="K432" s="57"/>
      <c r="L432" s="24"/>
      <c r="M432" s="25"/>
      <c r="N432" s="25"/>
      <c r="O432" s="26"/>
      <c r="P432" s="26"/>
    </row>
    <row r="433">
      <c r="A433" s="52"/>
      <c r="B433" s="15"/>
      <c r="C433" s="16"/>
      <c r="D433" s="15"/>
      <c r="E433" s="17"/>
      <c r="F433" s="54"/>
      <c r="G433" s="19"/>
      <c r="H433" s="17"/>
      <c r="I433" s="19"/>
      <c r="J433" s="21"/>
      <c r="K433" s="57"/>
      <c r="L433" s="24"/>
      <c r="M433" s="25"/>
      <c r="N433" s="25"/>
      <c r="O433" s="26"/>
      <c r="P433" s="26"/>
    </row>
    <row r="434">
      <c r="A434" s="52"/>
      <c r="B434" s="15"/>
      <c r="C434" s="16"/>
      <c r="D434" s="15"/>
      <c r="E434" s="17"/>
      <c r="F434" s="54"/>
      <c r="G434" s="19"/>
      <c r="H434" s="17"/>
      <c r="I434" s="19"/>
      <c r="J434" s="21"/>
      <c r="K434" s="57"/>
      <c r="L434" s="24"/>
      <c r="M434" s="25"/>
      <c r="N434" s="25"/>
      <c r="O434" s="26"/>
      <c r="P434" s="26"/>
    </row>
    <row r="435">
      <c r="A435" s="52"/>
      <c r="B435" s="15"/>
      <c r="C435" s="16"/>
      <c r="D435" s="15"/>
      <c r="E435" s="17"/>
      <c r="F435" s="54"/>
      <c r="G435" s="19"/>
      <c r="H435" s="17"/>
      <c r="I435" s="19"/>
      <c r="J435" s="21"/>
      <c r="K435" s="57"/>
      <c r="L435" s="24"/>
      <c r="M435" s="25"/>
      <c r="N435" s="25"/>
      <c r="O435" s="26"/>
      <c r="P435" s="26"/>
    </row>
    <row r="436">
      <c r="A436" s="52"/>
      <c r="B436" s="15"/>
      <c r="C436" s="16"/>
      <c r="D436" s="15"/>
      <c r="E436" s="17"/>
      <c r="F436" s="54"/>
      <c r="G436" s="19"/>
      <c r="H436" s="17"/>
      <c r="I436" s="19"/>
      <c r="J436" s="21"/>
      <c r="K436" s="57"/>
      <c r="L436" s="24"/>
      <c r="M436" s="25"/>
      <c r="N436" s="25"/>
      <c r="O436" s="26"/>
      <c r="P436" s="26"/>
    </row>
    <row r="437">
      <c r="A437" s="52"/>
      <c r="B437" s="15"/>
      <c r="C437" s="16"/>
      <c r="D437" s="15"/>
      <c r="E437" s="17"/>
      <c r="F437" s="54"/>
      <c r="G437" s="19"/>
      <c r="H437" s="17"/>
      <c r="I437" s="19"/>
      <c r="J437" s="21"/>
      <c r="K437" s="57"/>
      <c r="L437" s="24"/>
      <c r="M437" s="25"/>
      <c r="N437" s="25"/>
      <c r="O437" s="26"/>
      <c r="P437" s="26"/>
    </row>
    <row r="438">
      <c r="A438" s="52"/>
      <c r="B438" s="15"/>
      <c r="C438" s="16"/>
      <c r="D438" s="15"/>
      <c r="E438" s="17"/>
      <c r="F438" s="54"/>
      <c r="G438" s="19"/>
      <c r="H438" s="17"/>
      <c r="I438" s="19"/>
      <c r="J438" s="21"/>
      <c r="K438" s="57"/>
      <c r="L438" s="24"/>
      <c r="M438" s="25"/>
      <c r="N438" s="25"/>
      <c r="O438" s="26"/>
      <c r="P438" s="26"/>
    </row>
    <row r="439">
      <c r="A439" s="52"/>
      <c r="B439" s="15"/>
      <c r="C439" s="16"/>
      <c r="D439" s="15"/>
      <c r="E439" s="17"/>
      <c r="F439" s="54"/>
      <c r="G439" s="19"/>
      <c r="H439" s="17"/>
      <c r="I439" s="19"/>
      <c r="J439" s="21"/>
      <c r="K439" s="57"/>
      <c r="L439" s="24"/>
      <c r="M439" s="25"/>
      <c r="N439" s="25"/>
      <c r="O439" s="26"/>
      <c r="P439" s="26"/>
    </row>
    <row r="440">
      <c r="A440" s="52"/>
      <c r="B440" s="15"/>
      <c r="C440" s="16"/>
      <c r="D440" s="15"/>
      <c r="E440" s="17"/>
      <c r="F440" s="54"/>
      <c r="G440" s="19"/>
      <c r="H440" s="17"/>
      <c r="I440" s="19"/>
      <c r="J440" s="21"/>
      <c r="K440" s="57"/>
      <c r="L440" s="24"/>
      <c r="M440" s="25"/>
      <c r="N440" s="25"/>
      <c r="O440" s="26"/>
      <c r="P440" s="26"/>
    </row>
    <row r="441">
      <c r="A441" s="52"/>
      <c r="B441" s="15"/>
      <c r="C441" s="16"/>
      <c r="D441" s="15"/>
      <c r="E441" s="17"/>
      <c r="F441" s="54"/>
      <c r="G441" s="19"/>
      <c r="H441" s="17"/>
      <c r="I441" s="19"/>
      <c r="J441" s="21"/>
      <c r="K441" s="57"/>
      <c r="L441" s="24"/>
      <c r="M441" s="25"/>
      <c r="N441" s="25"/>
      <c r="O441" s="26"/>
      <c r="P441" s="26"/>
    </row>
    <row r="442">
      <c r="A442" s="52"/>
      <c r="B442" s="15"/>
      <c r="C442" s="16"/>
      <c r="D442" s="15"/>
      <c r="E442" s="17"/>
      <c r="F442" s="54"/>
      <c r="G442" s="19"/>
      <c r="H442" s="17"/>
      <c r="I442" s="19"/>
      <c r="J442" s="21"/>
      <c r="K442" s="57"/>
      <c r="L442" s="24"/>
      <c r="M442" s="25"/>
      <c r="N442" s="25"/>
      <c r="O442" s="26"/>
      <c r="P442" s="26"/>
    </row>
    <row r="443">
      <c r="A443" s="52"/>
      <c r="B443" s="15"/>
      <c r="C443" s="16"/>
      <c r="D443" s="15"/>
      <c r="E443" s="17"/>
      <c r="F443" s="54"/>
      <c r="G443" s="19"/>
      <c r="H443" s="17"/>
      <c r="I443" s="19"/>
      <c r="J443" s="21"/>
      <c r="K443" s="57"/>
      <c r="L443" s="24"/>
      <c r="M443" s="25"/>
      <c r="N443" s="25"/>
      <c r="O443" s="26"/>
      <c r="P443" s="26"/>
    </row>
    <row r="444">
      <c r="A444" s="52"/>
      <c r="B444" s="15"/>
      <c r="C444" s="16"/>
      <c r="D444" s="15"/>
      <c r="E444" s="17"/>
      <c r="F444" s="54"/>
      <c r="G444" s="19"/>
      <c r="H444" s="17"/>
      <c r="I444" s="19"/>
      <c r="J444" s="21"/>
      <c r="K444" s="57"/>
      <c r="L444" s="24"/>
      <c r="M444" s="25"/>
      <c r="N444" s="25"/>
      <c r="O444" s="26"/>
      <c r="P444" s="26"/>
    </row>
    <row r="445">
      <c r="A445" s="52"/>
      <c r="B445" s="15"/>
      <c r="C445" s="16"/>
      <c r="D445" s="15"/>
      <c r="E445" s="17"/>
      <c r="F445" s="54"/>
      <c r="G445" s="19"/>
      <c r="H445" s="17"/>
      <c r="I445" s="19"/>
      <c r="J445" s="21"/>
      <c r="K445" s="57"/>
      <c r="L445" s="24"/>
      <c r="M445" s="25"/>
      <c r="N445" s="25"/>
      <c r="O445" s="26"/>
      <c r="P445" s="26"/>
    </row>
    <row r="446">
      <c r="A446" s="52"/>
      <c r="B446" s="15"/>
      <c r="C446" s="16"/>
      <c r="D446" s="15"/>
      <c r="E446" s="17"/>
      <c r="F446" s="54"/>
      <c r="G446" s="19"/>
      <c r="H446" s="17"/>
      <c r="I446" s="19"/>
      <c r="J446" s="21"/>
      <c r="K446" s="57"/>
      <c r="L446" s="24"/>
      <c r="M446" s="25"/>
      <c r="N446" s="25"/>
      <c r="O446" s="26"/>
      <c r="P446" s="26"/>
    </row>
    <row r="447">
      <c r="A447" s="52"/>
      <c r="B447" s="15"/>
      <c r="C447" s="16"/>
      <c r="D447" s="15"/>
      <c r="E447" s="17"/>
      <c r="F447" s="54"/>
      <c r="G447" s="19"/>
      <c r="H447" s="17"/>
      <c r="I447" s="19"/>
      <c r="J447" s="21"/>
      <c r="K447" s="57"/>
      <c r="L447" s="24"/>
      <c r="M447" s="25"/>
      <c r="N447" s="25"/>
      <c r="O447" s="26"/>
      <c r="P447" s="26"/>
    </row>
    <row r="448">
      <c r="A448" s="52"/>
      <c r="B448" s="15"/>
      <c r="C448" s="16"/>
      <c r="D448" s="15"/>
      <c r="E448" s="17"/>
      <c r="F448" s="54"/>
      <c r="G448" s="19"/>
      <c r="H448" s="17"/>
      <c r="I448" s="19"/>
      <c r="J448" s="21"/>
      <c r="K448" s="57"/>
      <c r="L448" s="24"/>
      <c r="M448" s="25"/>
      <c r="N448" s="25"/>
      <c r="O448" s="26"/>
      <c r="P448" s="26"/>
    </row>
    <row r="449">
      <c r="A449" s="52"/>
      <c r="B449" s="15"/>
      <c r="C449" s="16"/>
      <c r="D449" s="15"/>
      <c r="E449" s="17"/>
      <c r="F449" s="54"/>
      <c r="G449" s="19"/>
      <c r="H449" s="17"/>
      <c r="I449" s="19"/>
      <c r="J449" s="21"/>
      <c r="K449" s="57"/>
      <c r="L449" s="24"/>
      <c r="M449" s="25"/>
      <c r="N449" s="25"/>
      <c r="O449" s="26"/>
      <c r="P449" s="26"/>
    </row>
    <row r="450">
      <c r="A450" s="52"/>
      <c r="B450" s="15"/>
      <c r="C450" s="16"/>
      <c r="D450" s="15"/>
      <c r="E450" s="17"/>
      <c r="F450" s="54"/>
      <c r="G450" s="19"/>
      <c r="H450" s="17"/>
      <c r="I450" s="19"/>
      <c r="J450" s="21"/>
      <c r="K450" s="57"/>
      <c r="L450" s="24"/>
      <c r="M450" s="25"/>
      <c r="N450" s="25"/>
      <c r="O450" s="26"/>
      <c r="P450" s="26"/>
    </row>
    <row r="451">
      <c r="A451" s="52"/>
      <c r="B451" s="15"/>
      <c r="C451" s="16"/>
      <c r="D451" s="15"/>
      <c r="E451" s="17"/>
      <c r="F451" s="54"/>
      <c r="G451" s="19"/>
      <c r="H451" s="17"/>
      <c r="I451" s="19"/>
      <c r="J451" s="21"/>
      <c r="K451" s="57"/>
      <c r="L451" s="24"/>
      <c r="M451" s="25"/>
      <c r="N451" s="25"/>
      <c r="O451" s="26"/>
      <c r="P451" s="26"/>
    </row>
    <row r="452">
      <c r="A452" s="52"/>
      <c r="B452" s="15"/>
      <c r="C452" s="16"/>
      <c r="D452" s="15"/>
      <c r="E452" s="17"/>
      <c r="F452" s="54"/>
      <c r="G452" s="19"/>
      <c r="H452" s="17"/>
      <c r="I452" s="19"/>
      <c r="J452" s="21"/>
      <c r="K452" s="57"/>
      <c r="L452" s="24"/>
      <c r="M452" s="25"/>
      <c r="N452" s="25"/>
      <c r="O452" s="26"/>
      <c r="P452" s="26"/>
    </row>
    <row r="453">
      <c r="A453" s="52"/>
      <c r="B453" s="15"/>
      <c r="C453" s="16"/>
      <c r="D453" s="15"/>
      <c r="E453" s="17"/>
      <c r="F453" s="54"/>
      <c r="G453" s="19"/>
      <c r="H453" s="17"/>
      <c r="I453" s="19"/>
      <c r="J453" s="21"/>
      <c r="K453" s="57"/>
      <c r="L453" s="24"/>
      <c r="M453" s="25"/>
      <c r="N453" s="25"/>
      <c r="O453" s="26"/>
      <c r="P453" s="26"/>
    </row>
    <row r="454">
      <c r="A454" s="52"/>
      <c r="B454" s="15"/>
      <c r="C454" s="16"/>
      <c r="D454" s="15"/>
      <c r="E454" s="17"/>
      <c r="F454" s="54"/>
      <c r="G454" s="19"/>
      <c r="H454" s="17"/>
      <c r="I454" s="19"/>
      <c r="J454" s="21"/>
      <c r="K454" s="57"/>
      <c r="L454" s="24"/>
      <c r="M454" s="25"/>
      <c r="N454" s="25"/>
      <c r="O454" s="26"/>
      <c r="P454" s="26"/>
    </row>
    <row r="455">
      <c r="A455" s="52"/>
      <c r="B455" s="15"/>
      <c r="C455" s="16"/>
      <c r="D455" s="15"/>
      <c r="E455" s="17"/>
      <c r="F455" s="54"/>
      <c r="G455" s="19"/>
      <c r="H455" s="17"/>
      <c r="I455" s="19"/>
      <c r="J455" s="21"/>
      <c r="K455" s="57"/>
      <c r="L455" s="24"/>
      <c r="M455" s="25"/>
      <c r="N455" s="25"/>
      <c r="O455" s="26"/>
      <c r="P455" s="26"/>
    </row>
    <row r="456">
      <c r="A456" s="52"/>
      <c r="B456" s="15"/>
      <c r="C456" s="16"/>
      <c r="D456" s="15"/>
      <c r="E456" s="17"/>
      <c r="F456" s="54"/>
      <c r="G456" s="19"/>
      <c r="H456" s="17"/>
      <c r="I456" s="19"/>
      <c r="J456" s="21"/>
      <c r="K456" s="57"/>
      <c r="L456" s="24"/>
      <c r="M456" s="25"/>
      <c r="N456" s="25"/>
      <c r="O456" s="26"/>
      <c r="P456" s="26"/>
    </row>
    <row r="457">
      <c r="A457" s="52"/>
      <c r="B457" s="15"/>
      <c r="C457" s="16"/>
      <c r="D457" s="15"/>
      <c r="E457" s="17"/>
      <c r="F457" s="54"/>
      <c r="G457" s="19"/>
      <c r="H457" s="17"/>
      <c r="I457" s="19"/>
      <c r="J457" s="21"/>
      <c r="K457" s="57"/>
      <c r="L457" s="24"/>
      <c r="M457" s="25"/>
      <c r="N457" s="25"/>
      <c r="O457" s="26"/>
      <c r="P457" s="26"/>
    </row>
    <row r="458">
      <c r="A458" s="52"/>
      <c r="B458" s="15"/>
      <c r="C458" s="16"/>
      <c r="D458" s="15"/>
      <c r="E458" s="17"/>
      <c r="F458" s="54"/>
      <c r="G458" s="19"/>
      <c r="H458" s="17"/>
      <c r="I458" s="19"/>
      <c r="J458" s="21"/>
      <c r="K458" s="57"/>
      <c r="L458" s="24"/>
      <c r="M458" s="25"/>
      <c r="N458" s="25"/>
      <c r="O458" s="26"/>
      <c r="P458" s="26"/>
    </row>
    <row r="459">
      <c r="A459" s="52"/>
      <c r="B459" s="15"/>
      <c r="C459" s="16"/>
      <c r="D459" s="15"/>
      <c r="E459" s="17"/>
      <c r="F459" s="54"/>
      <c r="G459" s="19"/>
      <c r="H459" s="17"/>
      <c r="I459" s="19"/>
      <c r="J459" s="21"/>
      <c r="K459" s="57"/>
      <c r="L459" s="24"/>
      <c r="M459" s="25"/>
      <c r="N459" s="25"/>
      <c r="O459" s="26"/>
      <c r="P459" s="26"/>
    </row>
    <row r="460">
      <c r="A460" s="52"/>
      <c r="B460" s="15"/>
      <c r="C460" s="16"/>
      <c r="D460" s="15"/>
      <c r="E460" s="17"/>
      <c r="F460" s="54"/>
      <c r="G460" s="19"/>
      <c r="H460" s="17"/>
      <c r="I460" s="19"/>
      <c r="J460" s="21"/>
      <c r="K460" s="57"/>
      <c r="L460" s="24"/>
      <c r="M460" s="25"/>
      <c r="N460" s="25"/>
      <c r="O460" s="26"/>
      <c r="P460" s="26"/>
    </row>
    <row r="461">
      <c r="A461" s="52"/>
      <c r="B461" s="15"/>
      <c r="C461" s="16"/>
      <c r="D461" s="15"/>
      <c r="E461" s="17"/>
      <c r="F461" s="54"/>
      <c r="G461" s="19"/>
      <c r="H461" s="17"/>
      <c r="I461" s="19"/>
      <c r="J461" s="21"/>
      <c r="K461" s="57"/>
      <c r="L461" s="24"/>
      <c r="M461" s="25"/>
      <c r="N461" s="25"/>
      <c r="O461" s="26"/>
      <c r="P461" s="26"/>
    </row>
    <row r="462">
      <c r="A462" s="52"/>
      <c r="B462" s="15"/>
      <c r="C462" s="16"/>
      <c r="D462" s="15"/>
      <c r="E462" s="17"/>
      <c r="F462" s="54"/>
      <c r="G462" s="19"/>
      <c r="H462" s="17"/>
      <c r="I462" s="19"/>
      <c r="J462" s="21"/>
      <c r="K462" s="57"/>
      <c r="L462" s="24"/>
      <c r="M462" s="25"/>
      <c r="N462" s="25"/>
      <c r="O462" s="26"/>
      <c r="P462" s="26"/>
    </row>
    <row r="463">
      <c r="A463" s="52"/>
      <c r="B463" s="15"/>
      <c r="C463" s="16"/>
      <c r="D463" s="15"/>
      <c r="E463" s="17"/>
      <c r="F463" s="54"/>
      <c r="G463" s="19"/>
      <c r="H463" s="17"/>
      <c r="I463" s="19"/>
      <c r="J463" s="21"/>
      <c r="K463" s="57"/>
      <c r="L463" s="24"/>
      <c r="M463" s="25"/>
      <c r="N463" s="25"/>
      <c r="O463" s="26"/>
      <c r="P463" s="26"/>
    </row>
    <row r="464">
      <c r="A464" s="52"/>
      <c r="B464" s="15"/>
      <c r="C464" s="16"/>
      <c r="D464" s="15"/>
      <c r="E464" s="17"/>
      <c r="F464" s="54"/>
      <c r="G464" s="19"/>
      <c r="H464" s="17"/>
      <c r="I464" s="19"/>
      <c r="J464" s="21"/>
      <c r="K464" s="57"/>
      <c r="L464" s="24"/>
      <c r="M464" s="25"/>
      <c r="N464" s="25"/>
      <c r="O464" s="26"/>
      <c r="P464" s="26"/>
    </row>
    <row r="465">
      <c r="A465" s="52"/>
      <c r="B465" s="15"/>
      <c r="C465" s="16"/>
      <c r="D465" s="15"/>
      <c r="E465" s="17"/>
      <c r="F465" s="54"/>
      <c r="G465" s="19"/>
      <c r="H465" s="17"/>
      <c r="I465" s="19"/>
      <c r="J465" s="21"/>
      <c r="K465" s="57"/>
      <c r="L465" s="24"/>
      <c r="M465" s="25"/>
      <c r="N465" s="25"/>
      <c r="O465" s="26"/>
      <c r="P465" s="26"/>
    </row>
    <row r="466">
      <c r="A466" s="52"/>
      <c r="B466" s="15"/>
      <c r="C466" s="16"/>
      <c r="D466" s="15"/>
      <c r="E466" s="17"/>
      <c r="F466" s="54"/>
      <c r="G466" s="19"/>
      <c r="H466" s="17"/>
      <c r="I466" s="19"/>
      <c r="J466" s="21"/>
      <c r="K466" s="57"/>
      <c r="L466" s="24"/>
      <c r="M466" s="25"/>
      <c r="N466" s="25"/>
      <c r="O466" s="26"/>
      <c r="P466" s="26"/>
    </row>
    <row r="467">
      <c r="A467" s="52"/>
      <c r="B467" s="15"/>
      <c r="C467" s="16"/>
      <c r="D467" s="15"/>
      <c r="E467" s="17"/>
      <c r="F467" s="54"/>
      <c r="G467" s="19"/>
      <c r="H467" s="17"/>
      <c r="I467" s="19"/>
      <c r="J467" s="21"/>
      <c r="K467" s="57"/>
      <c r="L467" s="24"/>
      <c r="M467" s="25"/>
      <c r="N467" s="25"/>
      <c r="O467" s="26"/>
      <c r="P467" s="26"/>
    </row>
    <row r="468">
      <c r="A468" s="52"/>
      <c r="B468" s="15"/>
      <c r="C468" s="16"/>
      <c r="D468" s="15"/>
      <c r="E468" s="17"/>
      <c r="F468" s="54"/>
      <c r="G468" s="19"/>
      <c r="H468" s="17"/>
      <c r="I468" s="19"/>
      <c r="J468" s="21"/>
      <c r="K468" s="57"/>
      <c r="L468" s="24"/>
      <c r="M468" s="25"/>
      <c r="N468" s="25"/>
      <c r="O468" s="26"/>
      <c r="P468" s="26"/>
    </row>
    <row r="469">
      <c r="A469" s="52"/>
      <c r="B469" s="15"/>
      <c r="C469" s="16"/>
      <c r="D469" s="15"/>
      <c r="E469" s="17"/>
      <c r="F469" s="54"/>
      <c r="G469" s="19"/>
      <c r="H469" s="17"/>
      <c r="I469" s="19"/>
      <c r="J469" s="21"/>
      <c r="K469" s="57"/>
      <c r="L469" s="24"/>
      <c r="M469" s="25"/>
      <c r="N469" s="25"/>
      <c r="O469" s="26"/>
      <c r="P469" s="26"/>
    </row>
    <row r="470">
      <c r="A470" s="52"/>
      <c r="B470" s="15"/>
      <c r="C470" s="16"/>
      <c r="D470" s="15"/>
      <c r="E470" s="17"/>
      <c r="F470" s="54"/>
      <c r="G470" s="19"/>
      <c r="H470" s="17"/>
      <c r="I470" s="19"/>
      <c r="J470" s="21"/>
      <c r="K470" s="57"/>
      <c r="L470" s="24"/>
      <c r="M470" s="25"/>
      <c r="N470" s="25"/>
      <c r="O470" s="26"/>
      <c r="P470" s="26"/>
    </row>
    <row r="471">
      <c r="A471" s="52"/>
      <c r="B471" s="15"/>
      <c r="C471" s="16"/>
      <c r="D471" s="15"/>
      <c r="E471" s="17"/>
      <c r="F471" s="54"/>
      <c r="G471" s="19"/>
      <c r="H471" s="17"/>
      <c r="I471" s="19"/>
      <c r="J471" s="21"/>
      <c r="K471" s="57"/>
      <c r="L471" s="24"/>
      <c r="M471" s="25"/>
      <c r="N471" s="25"/>
      <c r="O471" s="26"/>
      <c r="P471" s="26"/>
    </row>
    <row r="472">
      <c r="A472" s="52"/>
      <c r="B472" s="15"/>
      <c r="C472" s="16"/>
      <c r="D472" s="15"/>
      <c r="E472" s="17"/>
      <c r="F472" s="54"/>
      <c r="G472" s="19"/>
      <c r="H472" s="17"/>
      <c r="I472" s="19"/>
      <c r="J472" s="21"/>
      <c r="K472" s="57"/>
      <c r="L472" s="24"/>
      <c r="M472" s="25"/>
      <c r="N472" s="25"/>
      <c r="O472" s="26"/>
      <c r="P472" s="26"/>
    </row>
    <row r="473">
      <c r="A473" s="52"/>
      <c r="B473" s="15"/>
      <c r="C473" s="16"/>
      <c r="D473" s="15"/>
      <c r="E473" s="17"/>
      <c r="F473" s="54"/>
      <c r="G473" s="19"/>
      <c r="H473" s="17"/>
      <c r="I473" s="19"/>
      <c r="J473" s="21"/>
      <c r="K473" s="57"/>
      <c r="L473" s="24"/>
      <c r="M473" s="25"/>
      <c r="N473" s="25"/>
      <c r="O473" s="26"/>
      <c r="P473" s="26"/>
    </row>
    <row r="474">
      <c r="A474" s="52"/>
      <c r="B474" s="15"/>
      <c r="C474" s="16"/>
      <c r="D474" s="15"/>
      <c r="E474" s="17"/>
      <c r="F474" s="54"/>
      <c r="G474" s="19"/>
      <c r="H474" s="17"/>
      <c r="I474" s="19"/>
      <c r="J474" s="21"/>
      <c r="K474" s="57"/>
      <c r="L474" s="24"/>
      <c r="M474" s="25"/>
      <c r="N474" s="25"/>
      <c r="O474" s="26"/>
      <c r="P474" s="26"/>
    </row>
    <row r="475">
      <c r="A475" s="52"/>
      <c r="B475" s="15"/>
      <c r="C475" s="16"/>
      <c r="D475" s="15"/>
      <c r="E475" s="17"/>
      <c r="F475" s="54"/>
      <c r="G475" s="19"/>
      <c r="H475" s="17"/>
      <c r="I475" s="19"/>
      <c r="J475" s="21"/>
      <c r="K475" s="57"/>
      <c r="L475" s="24"/>
      <c r="M475" s="25"/>
      <c r="N475" s="25"/>
      <c r="O475" s="26"/>
      <c r="P475" s="26"/>
    </row>
    <row r="476">
      <c r="A476" s="52"/>
      <c r="B476" s="15"/>
      <c r="C476" s="16"/>
      <c r="D476" s="15"/>
      <c r="E476" s="17"/>
      <c r="F476" s="54"/>
      <c r="G476" s="19"/>
      <c r="H476" s="17"/>
      <c r="I476" s="19"/>
      <c r="J476" s="21"/>
      <c r="K476" s="57"/>
      <c r="L476" s="24"/>
      <c r="M476" s="25"/>
      <c r="N476" s="25"/>
      <c r="O476" s="26"/>
      <c r="P476" s="26"/>
    </row>
    <row r="477">
      <c r="A477" s="52"/>
      <c r="B477" s="15"/>
      <c r="C477" s="16"/>
      <c r="D477" s="15"/>
      <c r="E477" s="17"/>
      <c r="F477" s="54"/>
      <c r="G477" s="19"/>
      <c r="H477" s="17"/>
      <c r="I477" s="19"/>
      <c r="J477" s="21"/>
      <c r="K477" s="57"/>
      <c r="L477" s="24"/>
      <c r="M477" s="25"/>
      <c r="N477" s="25"/>
      <c r="O477" s="26"/>
      <c r="P477" s="26"/>
    </row>
    <row r="478">
      <c r="A478" s="52"/>
      <c r="B478" s="15"/>
      <c r="C478" s="16"/>
      <c r="D478" s="15"/>
      <c r="E478" s="17"/>
      <c r="F478" s="54"/>
      <c r="G478" s="19"/>
      <c r="H478" s="17"/>
      <c r="I478" s="19"/>
      <c r="J478" s="21"/>
      <c r="K478" s="57"/>
      <c r="L478" s="24"/>
      <c r="M478" s="25"/>
      <c r="N478" s="25"/>
      <c r="O478" s="26"/>
      <c r="P478" s="26"/>
    </row>
    <row r="479">
      <c r="A479" s="52"/>
      <c r="B479" s="15"/>
      <c r="C479" s="16"/>
      <c r="D479" s="15"/>
      <c r="E479" s="17"/>
      <c r="F479" s="54"/>
      <c r="G479" s="19"/>
      <c r="H479" s="17"/>
      <c r="I479" s="19"/>
      <c r="J479" s="21"/>
      <c r="K479" s="57"/>
      <c r="L479" s="24"/>
      <c r="M479" s="25"/>
      <c r="N479" s="25"/>
      <c r="O479" s="26"/>
      <c r="P479" s="26"/>
    </row>
    <row r="480">
      <c r="A480" s="52"/>
      <c r="B480" s="15"/>
      <c r="C480" s="16"/>
      <c r="D480" s="15"/>
      <c r="E480" s="17"/>
      <c r="F480" s="54"/>
      <c r="G480" s="19"/>
      <c r="H480" s="17"/>
      <c r="I480" s="19"/>
      <c r="J480" s="21"/>
      <c r="K480" s="57"/>
      <c r="L480" s="24"/>
      <c r="M480" s="25"/>
      <c r="N480" s="25"/>
      <c r="O480" s="26"/>
      <c r="P480" s="26"/>
    </row>
    <row r="481">
      <c r="A481" s="52"/>
      <c r="B481" s="15"/>
      <c r="C481" s="16"/>
      <c r="D481" s="15"/>
      <c r="E481" s="17"/>
      <c r="F481" s="54"/>
      <c r="G481" s="19"/>
      <c r="H481" s="17"/>
      <c r="I481" s="19"/>
      <c r="J481" s="21"/>
      <c r="K481" s="57"/>
      <c r="L481" s="24"/>
      <c r="M481" s="25"/>
      <c r="N481" s="25"/>
      <c r="O481" s="26"/>
      <c r="P481" s="26"/>
    </row>
    <row r="482">
      <c r="A482" s="52"/>
      <c r="B482" s="15"/>
      <c r="C482" s="16"/>
      <c r="D482" s="15"/>
      <c r="E482" s="17"/>
      <c r="F482" s="54"/>
      <c r="G482" s="19"/>
      <c r="H482" s="17"/>
      <c r="I482" s="19"/>
      <c r="J482" s="21"/>
      <c r="K482" s="57"/>
      <c r="L482" s="24"/>
      <c r="M482" s="25"/>
      <c r="N482" s="25"/>
      <c r="O482" s="26"/>
      <c r="P482" s="26"/>
    </row>
    <row r="483">
      <c r="A483" s="52"/>
      <c r="B483" s="15"/>
      <c r="C483" s="16"/>
      <c r="D483" s="15"/>
      <c r="E483" s="17"/>
      <c r="F483" s="54"/>
      <c r="G483" s="19"/>
      <c r="H483" s="17"/>
      <c r="I483" s="19"/>
      <c r="J483" s="21"/>
      <c r="K483" s="57"/>
      <c r="L483" s="24"/>
      <c r="M483" s="25"/>
      <c r="N483" s="25"/>
      <c r="O483" s="26"/>
      <c r="P483" s="26"/>
    </row>
    <row r="484">
      <c r="A484" s="52"/>
      <c r="B484" s="15"/>
      <c r="C484" s="16"/>
      <c r="D484" s="15"/>
      <c r="E484" s="17"/>
      <c r="F484" s="54"/>
      <c r="G484" s="19"/>
      <c r="H484" s="17"/>
      <c r="I484" s="19"/>
      <c r="J484" s="21"/>
      <c r="K484" s="57"/>
      <c r="L484" s="24"/>
      <c r="M484" s="25"/>
      <c r="N484" s="25"/>
      <c r="O484" s="26"/>
      <c r="P484" s="26"/>
    </row>
    <row r="485">
      <c r="A485" s="52"/>
      <c r="B485" s="15"/>
      <c r="C485" s="16"/>
      <c r="D485" s="15"/>
      <c r="E485" s="17"/>
      <c r="F485" s="54"/>
      <c r="G485" s="19"/>
      <c r="H485" s="17"/>
      <c r="I485" s="19"/>
      <c r="J485" s="21"/>
      <c r="K485" s="57"/>
      <c r="L485" s="24"/>
      <c r="M485" s="25"/>
      <c r="N485" s="25"/>
      <c r="O485" s="26"/>
      <c r="P485" s="26"/>
    </row>
    <row r="486">
      <c r="A486" s="52"/>
      <c r="B486" s="15"/>
      <c r="C486" s="16"/>
      <c r="D486" s="15"/>
      <c r="E486" s="17"/>
      <c r="F486" s="54"/>
      <c r="G486" s="19"/>
      <c r="H486" s="17"/>
      <c r="I486" s="19"/>
      <c r="J486" s="21"/>
      <c r="K486" s="57"/>
      <c r="L486" s="24"/>
      <c r="M486" s="25"/>
      <c r="N486" s="25"/>
      <c r="O486" s="26"/>
      <c r="P486" s="26"/>
    </row>
    <row r="487">
      <c r="A487" s="52"/>
      <c r="B487" s="15"/>
      <c r="C487" s="16"/>
      <c r="D487" s="15"/>
      <c r="E487" s="17"/>
      <c r="F487" s="54"/>
      <c r="G487" s="19"/>
      <c r="H487" s="17"/>
      <c r="I487" s="19"/>
      <c r="J487" s="21"/>
      <c r="K487" s="57"/>
      <c r="L487" s="24"/>
      <c r="M487" s="25"/>
      <c r="N487" s="25"/>
      <c r="O487" s="26"/>
      <c r="P487" s="26"/>
    </row>
    <row r="488">
      <c r="A488" s="52"/>
      <c r="B488" s="15"/>
      <c r="C488" s="16"/>
      <c r="D488" s="15"/>
      <c r="E488" s="17"/>
      <c r="F488" s="54"/>
      <c r="G488" s="19"/>
      <c r="H488" s="17"/>
      <c r="I488" s="19"/>
      <c r="J488" s="21"/>
      <c r="K488" s="57"/>
      <c r="L488" s="24"/>
      <c r="M488" s="25"/>
      <c r="N488" s="25"/>
      <c r="O488" s="26"/>
      <c r="P488" s="26"/>
    </row>
    <row r="489">
      <c r="A489" s="52"/>
      <c r="B489" s="15"/>
      <c r="C489" s="16"/>
      <c r="D489" s="15"/>
      <c r="E489" s="17"/>
      <c r="F489" s="54"/>
      <c r="G489" s="19"/>
      <c r="H489" s="17"/>
      <c r="I489" s="19"/>
      <c r="J489" s="21"/>
      <c r="K489" s="57"/>
      <c r="L489" s="24"/>
      <c r="M489" s="25"/>
      <c r="N489" s="25"/>
      <c r="O489" s="26"/>
      <c r="P489" s="26"/>
    </row>
    <row r="490">
      <c r="A490" s="52"/>
      <c r="B490" s="15"/>
      <c r="C490" s="16"/>
      <c r="D490" s="15"/>
      <c r="E490" s="17"/>
      <c r="F490" s="54"/>
      <c r="G490" s="19"/>
      <c r="H490" s="17"/>
      <c r="I490" s="19"/>
      <c r="J490" s="21"/>
      <c r="K490" s="57"/>
      <c r="L490" s="24"/>
      <c r="M490" s="25"/>
      <c r="N490" s="25"/>
      <c r="O490" s="26"/>
      <c r="P490" s="26"/>
    </row>
    <row r="491">
      <c r="A491" s="52"/>
      <c r="B491" s="15"/>
      <c r="C491" s="16"/>
      <c r="D491" s="15"/>
      <c r="E491" s="17"/>
      <c r="F491" s="54"/>
      <c r="G491" s="19"/>
      <c r="H491" s="17"/>
      <c r="I491" s="19"/>
      <c r="J491" s="21"/>
      <c r="K491" s="57"/>
      <c r="L491" s="24"/>
      <c r="M491" s="25"/>
      <c r="N491" s="25"/>
      <c r="O491" s="26"/>
      <c r="P491" s="26"/>
    </row>
    <row r="492">
      <c r="A492" s="52"/>
      <c r="B492" s="15"/>
      <c r="C492" s="16"/>
      <c r="D492" s="15"/>
      <c r="E492" s="17"/>
      <c r="F492" s="54"/>
      <c r="G492" s="19"/>
      <c r="H492" s="17"/>
      <c r="I492" s="19"/>
      <c r="J492" s="21"/>
      <c r="K492" s="57"/>
      <c r="L492" s="24"/>
      <c r="M492" s="25"/>
      <c r="N492" s="25"/>
      <c r="O492" s="26"/>
      <c r="P492" s="26"/>
    </row>
    <row r="493">
      <c r="A493" s="52"/>
      <c r="B493" s="15"/>
      <c r="C493" s="16"/>
      <c r="D493" s="15"/>
      <c r="E493" s="17"/>
      <c r="F493" s="54"/>
      <c r="G493" s="19"/>
      <c r="H493" s="17"/>
      <c r="I493" s="19"/>
      <c r="J493" s="21"/>
      <c r="K493" s="57"/>
      <c r="L493" s="24"/>
      <c r="M493" s="25"/>
      <c r="N493" s="25"/>
      <c r="O493" s="26"/>
      <c r="P493" s="26"/>
    </row>
    <row r="494">
      <c r="A494" s="52"/>
      <c r="B494" s="15"/>
      <c r="C494" s="16"/>
      <c r="D494" s="15"/>
      <c r="E494" s="17"/>
      <c r="F494" s="54"/>
      <c r="G494" s="19"/>
      <c r="H494" s="17"/>
      <c r="I494" s="19"/>
      <c r="J494" s="21"/>
      <c r="K494" s="57"/>
      <c r="L494" s="24"/>
      <c r="M494" s="25"/>
      <c r="N494" s="25"/>
      <c r="O494" s="26"/>
      <c r="P494" s="26"/>
    </row>
    <row r="495">
      <c r="A495" s="52"/>
      <c r="B495" s="15"/>
      <c r="C495" s="16"/>
      <c r="D495" s="15"/>
      <c r="E495" s="17"/>
      <c r="F495" s="54"/>
      <c r="G495" s="19"/>
      <c r="H495" s="17"/>
      <c r="I495" s="19"/>
      <c r="J495" s="21"/>
      <c r="K495" s="57"/>
      <c r="L495" s="24"/>
      <c r="M495" s="25"/>
      <c r="N495" s="25"/>
      <c r="O495" s="26"/>
      <c r="P495" s="26"/>
    </row>
    <row r="496">
      <c r="A496" s="52"/>
      <c r="B496" s="15"/>
      <c r="C496" s="16"/>
      <c r="D496" s="15"/>
      <c r="E496" s="17"/>
      <c r="F496" s="54"/>
      <c r="G496" s="19"/>
      <c r="H496" s="17"/>
      <c r="I496" s="19"/>
      <c r="J496" s="21"/>
      <c r="K496" s="57"/>
      <c r="L496" s="24"/>
      <c r="M496" s="25"/>
      <c r="N496" s="25"/>
      <c r="O496" s="26"/>
      <c r="P496" s="26"/>
    </row>
    <row r="497">
      <c r="A497" s="52"/>
      <c r="B497" s="15"/>
      <c r="C497" s="16"/>
      <c r="D497" s="15"/>
      <c r="E497" s="17"/>
      <c r="F497" s="54"/>
      <c r="G497" s="19"/>
      <c r="H497" s="17"/>
      <c r="I497" s="19"/>
      <c r="J497" s="21"/>
      <c r="K497" s="57"/>
      <c r="L497" s="24"/>
      <c r="M497" s="25"/>
      <c r="N497" s="25"/>
      <c r="O497" s="26"/>
      <c r="P497" s="26"/>
    </row>
    <row r="498">
      <c r="A498" s="52"/>
      <c r="B498" s="15"/>
      <c r="C498" s="16"/>
      <c r="D498" s="15"/>
      <c r="E498" s="17"/>
      <c r="F498" s="54"/>
      <c r="G498" s="19"/>
      <c r="H498" s="17"/>
      <c r="I498" s="19"/>
      <c r="J498" s="21"/>
      <c r="K498" s="57"/>
      <c r="L498" s="24"/>
      <c r="M498" s="25"/>
      <c r="N498" s="25"/>
      <c r="O498" s="26"/>
      <c r="P498" s="26"/>
    </row>
    <row r="499">
      <c r="A499" s="52"/>
      <c r="B499" s="15"/>
      <c r="C499" s="16"/>
      <c r="D499" s="15"/>
      <c r="E499" s="17"/>
      <c r="F499" s="54"/>
      <c r="G499" s="19"/>
      <c r="H499" s="17"/>
      <c r="I499" s="19"/>
      <c r="J499" s="21"/>
      <c r="K499" s="57"/>
      <c r="L499" s="24"/>
      <c r="M499" s="25"/>
      <c r="N499" s="25"/>
      <c r="O499" s="26"/>
      <c r="P499" s="26"/>
    </row>
    <row r="500">
      <c r="A500" s="52"/>
      <c r="B500" s="15"/>
      <c r="C500" s="16"/>
      <c r="D500" s="15"/>
      <c r="E500" s="17"/>
      <c r="F500" s="54"/>
      <c r="G500" s="19"/>
      <c r="H500" s="17"/>
      <c r="I500" s="19"/>
      <c r="J500" s="21"/>
      <c r="K500" s="57"/>
      <c r="L500" s="24"/>
      <c r="M500" s="25"/>
      <c r="N500" s="25"/>
      <c r="O500" s="26"/>
      <c r="P500" s="26"/>
    </row>
    <row r="501">
      <c r="A501" s="52"/>
      <c r="B501" s="15"/>
      <c r="C501" s="16"/>
      <c r="D501" s="15"/>
      <c r="E501" s="17"/>
      <c r="F501" s="54"/>
      <c r="G501" s="19"/>
      <c r="H501" s="17"/>
      <c r="I501" s="19"/>
      <c r="J501" s="21"/>
      <c r="K501" s="57"/>
      <c r="L501" s="24"/>
      <c r="M501" s="25"/>
      <c r="N501" s="25"/>
      <c r="O501" s="26"/>
      <c r="P501" s="26"/>
    </row>
    <row r="502">
      <c r="A502" s="52"/>
      <c r="B502" s="15"/>
      <c r="C502" s="16"/>
      <c r="D502" s="15"/>
      <c r="E502" s="17"/>
      <c r="F502" s="54"/>
      <c r="G502" s="19"/>
      <c r="H502" s="17"/>
      <c r="I502" s="19"/>
      <c r="J502" s="21"/>
      <c r="K502" s="57"/>
      <c r="L502" s="24"/>
      <c r="M502" s="25"/>
      <c r="N502" s="25"/>
      <c r="O502" s="26"/>
      <c r="P502" s="26"/>
    </row>
    <row r="503">
      <c r="A503" s="52"/>
      <c r="B503" s="15"/>
      <c r="C503" s="16"/>
      <c r="D503" s="15"/>
      <c r="E503" s="17"/>
      <c r="F503" s="54"/>
      <c r="G503" s="19"/>
      <c r="H503" s="17"/>
      <c r="I503" s="19"/>
      <c r="J503" s="21"/>
      <c r="K503" s="57"/>
      <c r="L503" s="24"/>
      <c r="M503" s="25"/>
      <c r="N503" s="25"/>
      <c r="O503" s="26"/>
      <c r="P503" s="26"/>
    </row>
    <row r="504">
      <c r="A504" s="52"/>
      <c r="B504" s="15"/>
      <c r="C504" s="16"/>
      <c r="D504" s="15"/>
      <c r="E504" s="17"/>
      <c r="F504" s="54"/>
      <c r="G504" s="19"/>
      <c r="H504" s="17"/>
      <c r="I504" s="19"/>
      <c r="J504" s="21"/>
      <c r="K504" s="57"/>
      <c r="L504" s="24"/>
      <c r="M504" s="25"/>
      <c r="N504" s="25"/>
      <c r="O504" s="26"/>
      <c r="P504" s="26"/>
    </row>
    <row r="505">
      <c r="A505" s="52"/>
      <c r="B505" s="15"/>
      <c r="C505" s="16"/>
      <c r="D505" s="15"/>
      <c r="E505" s="17"/>
      <c r="F505" s="54"/>
      <c r="G505" s="19"/>
      <c r="H505" s="17"/>
      <c r="I505" s="19"/>
      <c r="J505" s="21"/>
      <c r="K505" s="57"/>
      <c r="L505" s="24"/>
      <c r="M505" s="25"/>
      <c r="N505" s="25"/>
      <c r="O505" s="26"/>
      <c r="P505" s="26"/>
    </row>
    <row r="506">
      <c r="A506" s="52"/>
      <c r="B506" s="15"/>
      <c r="C506" s="16"/>
      <c r="D506" s="15"/>
      <c r="E506" s="17"/>
      <c r="F506" s="54"/>
      <c r="G506" s="19"/>
      <c r="H506" s="17"/>
      <c r="I506" s="19"/>
      <c r="J506" s="21"/>
      <c r="K506" s="57"/>
      <c r="L506" s="24"/>
      <c r="M506" s="25"/>
      <c r="N506" s="25"/>
      <c r="O506" s="26"/>
      <c r="P506" s="26"/>
    </row>
    <row r="507">
      <c r="A507" s="52"/>
      <c r="B507" s="15"/>
      <c r="C507" s="16"/>
      <c r="D507" s="15"/>
      <c r="E507" s="17"/>
      <c r="F507" s="54"/>
      <c r="G507" s="19"/>
      <c r="H507" s="17"/>
      <c r="I507" s="19"/>
      <c r="J507" s="21"/>
      <c r="K507" s="57"/>
      <c r="L507" s="24"/>
      <c r="M507" s="25"/>
      <c r="N507" s="25"/>
      <c r="O507" s="26"/>
      <c r="P507" s="26"/>
    </row>
    <row r="508">
      <c r="A508" s="52"/>
      <c r="B508" s="15"/>
      <c r="C508" s="16"/>
      <c r="D508" s="15"/>
      <c r="E508" s="17"/>
      <c r="F508" s="54"/>
      <c r="G508" s="19"/>
      <c r="H508" s="17"/>
      <c r="I508" s="19"/>
      <c r="J508" s="21"/>
      <c r="K508" s="57"/>
      <c r="L508" s="24"/>
      <c r="M508" s="25"/>
      <c r="N508" s="25"/>
      <c r="O508" s="26"/>
      <c r="P508" s="26"/>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3.57"/>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0</v>
      </c>
      <c r="B1" s="2">
        <f>COUNTIF(D2:D779,"Active")+COUNTIF(D2:D779,"Leaving Soon")</f>
        <v>350</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List'!B2:B779, ""PS5""), NOT(REGEXMATCH('Master List'!D2:D779, ""Removed"")), NOT(REGEXMATCH('Master List'!C2:C779, ""Essential"")), NOT(REGEXMATCH('Master List'!C2:C779, ""Streaming"")) ), 10, false)"),"Thank Goodness You’re Here!")</f>
        <v>Thank Goodness You’re Here!</v>
      </c>
      <c r="B3" s="15" t="str">
        <f>IFERROR(__xludf.DUMMYFUNCTION("""COMPUTED_VALUE"""),"PS5/PS4")</f>
        <v>PS5/PS4</v>
      </c>
      <c r="C3" s="16" t="str">
        <f>IFERROR(__xludf.DUMMYFUNCTION("""COMPUTED_VALUE"""),"Extra")</f>
        <v>Extra</v>
      </c>
      <c r="D3" s="15" t="str">
        <f>IFERROR(__xludf.DUMMYFUNCTION("""COMPUTED_VALUE"""),"Active")</f>
        <v>Active</v>
      </c>
      <c r="E3" s="17">
        <f>IFERROR(__xludf.DUMMYFUNCTION("""COMPUTED_VALUE"""),45979.0)</f>
        <v>45979</v>
      </c>
      <c r="F3" s="18"/>
      <c r="G3" s="19">
        <f>IFERROR(__xludf.DUMMYFUNCTION("""COMPUTED_VALUE"""),10.6)</f>
        <v>10.6</v>
      </c>
      <c r="H3" s="17">
        <f>IFERROR(__xludf.DUMMYFUNCTION("""COMPUTED_VALUE"""),45505.0)</f>
        <v>45505</v>
      </c>
      <c r="I3" s="19">
        <f>IFERROR(__xludf.DUMMYFUNCTION("""COMPUTED_VALUE"""),1.2972222222222223)</f>
        <v>1.297222222</v>
      </c>
      <c r="J3" s="21">
        <f>IFERROR(__xludf.DUMMYFUNCTION("""COMPUTED_VALUE"""),100.0)</f>
        <v>100</v>
      </c>
      <c r="K3" s="23">
        <f>IFERROR(__xludf.DUMMYFUNCTION("""COMPUTED_VALUE"""),7.8)</f>
        <v>7.8</v>
      </c>
      <c r="L3" s="24" t="str">
        <f>IFERROR(__xludf.DUMMYFUNCTION("""COMPUTED_VALUE"""),"2")</f>
        <v>2</v>
      </c>
      <c r="M3" s="25" t="str">
        <f>IFERROR(__xludf.DUMMYFUNCTION("""COMPUTED_VALUE"""),"Action-Adventure")</f>
        <v>Action-Adventure</v>
      </c>
      <c r="N3" s="25"/>
      <c r="O3" s="26"/>
      <c r="P3" s="26"/>
    </row>
    <row r="4">
      <c r="A4" s="13" t="str">
        <f>IFERROR(__xludf.DUMMYFUNCTION("""COMPUTED_VALUE"""),"Grand Theft Auto V")</f>
        <v>Grand Theft Auto V</v>
      </c>
      <c r="B4" s="15" t="str">
        <f>IFERROR(__xludf.DUMMYFUNCTION("""COMPUTED_VALUE"""),"PS5/PS4")</f>
        <v>PS5/PS4</v>
      </c>
      <c r="C4" s="16" t="str">
        <f>IFERROR(__xludf.DUMMYFUNCTION("""COMPUTED_VALUE"""),"Extra")</f>
        <v>Extra</v>
      </c>
      <c r="D4" s="15" t="str">
        <f>IFERROR(__xludf.DUMMYFUNCTION("""COMPUTED_VALUE"""),"Active")</f>
        <v>Active</v>
      </c>
      <c r="E4" s="17">
        <f>IFERROR(__xludf.DUMMYFUNCTION("""COMPUTED_VALUE"""),45979.0)</f>
        <v>45979</v>
      </c>
      <c r="F4" s="18"/>
      <c r="G4" s="19">
        <f>IFERROR(__xludf.DUMMYFUNCTION("""COMPUTED_VALUE"""),10.6)</f>
        <v>10.6</v>
      </c>
      <c r="H4" s="17">
        <f>IFERROR(__xludf.DUMMYFUNCTION("""COMPUTED_VALUE"""),41961.0)</f>
        <v>41961</v>
      </c>
      <c r="I4" s="19">
        <f>IFERROR(__xludf.DUMMYFUNCTION("""COMPUTED_VALUE"""),11.0)</f>
        <v>11</v>
      </c>
      <c r="J4" s="21">
        <f>IFERROR(__xludf.DUMMYFUNCTION("""COMPUTED_VALUE"""),97.0)</f>
        <v>97</v>
      </c>
      <c r="K4" s="23">
        <f>IFERROR(__xludf.DUMMYFUNCTION("""COMPUTED_VALUE"""),8.4)</f>
        <v>8.4</v>
      </c>
      <c r="L4" s="24">
        <f>IFERROR(__xludf.DUMMYFUNCTION("""COMPUTED_VALUE"""),32.0)</f>
        <v>32</v>
      </c>
      <c r="M4" s="25" t="str">
        <f>IFERROR(__xludf.DUMMYFUNCTION("""COMPUTED_VALUE"""),"Action-Adventure")</f>
        <v>Action-Adventure</v>
      </c>
      <c r="N4" s="25"/>
      <c r="O4" s="26" t="str">
        <f>IFERROR(__xludf.DUMMYFUNCTION("""COMPUTED_VALUE"""),"Yes")</f>
        <v>Yes</v>
      </c>
      <c r="P4" s="26"/>
    </row>
    <row r="5">
      <c r="A5" s="13" t="str">
        <f>IFERROR(__xludf.DUMMYFUNCTION("""COMPUTED_VALUE"""),"Tekken 3")</f>
        <v>Tekken 3</v>
      </c>
      <c r="B5" s="15" t="str">
        <f>IFERROR(__xludf.DUMMYFUNCTION("""COMPUTED_VALUE"""),"PS5/PS4")</f>
        <v>PS5/PS4</v>
      </c>
      <c r="C5" s="16" t="str">
        <f>IFERROR(__xludf.DUMMYFUNCTION("""COMPUTED_VALUE"""),"Premium (Classics)")</f>
        <v>Premium (Classics)</v>
      </c>
      <c r="D5" s="15" t="str">
        <f>IFERROR(__xludf.DUMMYFUNCTION("""COMPUTED_VALUE"""),"Active")</f>
        <v>Active</v>
      </c>
      <c r="E5" s="17">
        <f>IFERROR(__xludf.DUMMYFUNCTION("""COMPUTED_VALUE"""),45951.0)</f>
        <v>45951</v>
      </c>
      <c r="F5" s="18"/>
      <c r="G5" s="19">
        <f>IFERROR(__xludf.DUMMYFUNCTION("""COMPUTED_VALUE"""),11.5)</f>
        <v>11.5</v>
      </c>
      <c r="H5" s="17">
        <f>IFERROR(__xludf.DUMMYFUNCTION("""COMPUTED_VALUE"""),35914.0)</f>
        <v>35914</v>
      </c>
      <c r="I5" s="19">
        <f>IFERROR(__xludf.DUMMYFUNCTION("""COMPUTED_VALUE"""),2.0)</f>
        <v>2</v>
      </c>
      <c r="J5" s="21">
        <f>IFERROR(__xludf.DUMMYFUNCTION("""COMPUTED_VALUE"""),96.0)</f>
        <v>96</v>
      </c>
      <c r="K5" s="23">
        <f>IFERROR(__xludf.DUMMYFUNCTION("""COMPUTED_VALUE"""),8.8)</f>
        <v>8.8</v>
      </c>
      <c r="L5" s="24">
        <f>IFERROR(__xludf.DUMMYFUNCTION("""COMPUTED_VALUE"""),2.0)</f>
        <v>2</v>
      </c>
      <c r="M5" s="25" t="str">
        <f>IFERROR(__xludf.DUMMYFUNCTION("""COMPUTED_VALUE"""),"Fighting")</f>
        <v>Fighting</v>
      </c>
      <c r="N5" s="25" t="str">
        <f>IFERROR(__xludf.DUMMYFUNCTION("""COMPUTED_VALUE"""),"PS1")</f>
        <v>PS1</v>
      </c>
      <c r="O5" s="26"/>
      <c r="P5" s="26"/>
    </row>
    <row r="6">
      <c r="A6" s="13" t="str">
        <f>IFERROR(__xludf.DUMMYFUNCTION("""COMPUTED_VALUE"""),"Persona 5 Royal")</f>
        <v>Persona 5 Royal</v>
      </c>
      <c r="B6" s="15" t="str">
        <f>IFERROR(__xludf.DUMMYFUNCTION("""COMPUTED_VALUE"""),"PS5/PS4")</f>
        <v>PS5/PS4</v>
      </c>
      <c r="C6" s="16" t="str">
        <f>IFERROR(__xludf.DUMMYFUNCTION("""COMPUTED_VALUE"""),"Extra")</f>
        <v>Extra</v>
      </c>
      <c r="D6" s="15" t="str">
        <f>IFERROR(__xludf.DUMMYFUNCTION("""COMPUTED_VALUE"""),"Active")</f>
        <v>Active</v>
      </c>
      <c r="E6" s="17">
        <f>IFERROR(__xludf.DUMMYFUNCTION("""COMPUTED_VALUE"""),46098.0)</f>
        <v>46098</v>
      </c>
      <c r="F6" s="18"/>
      <c r="G6" s="19">
        <f>IFERROR(__xludf.DUMMYFUNCTION("""COMPUTED_VALUE"""),6.633333333333334)</f>
        <v>6.633333333</v>
      </c>
      <c r="H6" s="17">
        <f>IFERROR(__xludf.DUMMYFUNCTION("""COMPUTED_VALUE"""),43921.0)</f>
        <v>43921</v>
      </c>
      <c r="I6" s="19">
        <f>IFERROR(__xludf.DUMMYFUNCTION("""COMPUTED_VALUE"""),5.963888888888889)</f>
        <v>5.963888889</v>
      </c>
      <c r="J6" s="21">
        <f>IFERROR(__xludf.DUMMYFUNCTION("""COMPUTED_VALUE"""),95.0)</f>
        <v>95</v>
      </c>
      <c r="K6" s="23">
        <f>IFERROR(__xludf.DUMMYFUNCTION("""COMPUTED_VALUE"""),8.7)</f>
        <v>8.7</v>
      </c>
      <c r="L6" s="24">
        <f>IFERROR(__xludf.DUMMYFUNCTION("""COMPUTED_VALUE"""),103.0)</f>
        <v>103</v>
      </c>
      <c r="M6" s="25" t="str">
        <f>IFERROR(__xludf.DUMMYFUNCTION("""COMPUTED_VALUE"""),"RPG")</f>
        <v>RPG</v>
      </c>
      <c r="N6" s="25" t="str">
        <f>IFERROR(__xludf.DUMMYFUNCTION("""COMPUTED_VALUE"""),"Royal for PS5, Ultimate Edition for PS4")</f>
        <v>Royal for PS5, Ultimate Edition for PS4</v>
      </c>
      <c r="O6" s="26"/>
      <c r="P6" s="26"/>
    </row>
    <row r="7">
      <c r="A7" s="13" t="str">
        <f>IFERROR(__xludf.DUMMYFUNCTION("""COMPUTED_VALUE"""),"God of War: Ragnarök")</f>
        <v>God of War: Ragnarök</v>
      </c>
      <c r="B7" s="15" t="str">
        <f>IFERROR(__xludf.DUMMYFUNCTION("""COMPUTED_VALUE"""),"PS5/PS4")</f>
        <v>PS5/PS4</v>
      </c>
      <c r="C7" s="16" t="str">
        <f>IFERROR(__xludf.DUMMYFUNCTION("""COMPUTED_VALUE"""),"Extra")</f>
        <v>Extra</v>
      </c>
      <c r="D7" s="15" t="str">
        <f>IFERROR(__xludf.DUMMYFUNCTION("""COMPUTED_VALUE"""),"Active")</f>
        <v>Active</v>
      </c>
      <c r="E7" s="17">
        <f>IFERROR(__xludf.DUMMYFUNCTION("""COMPUTED_VALUE"""),45678.0)</f>
        <v>45678</v>
      </c>
      <c r="F7" s="18"/>
      <c r="G7" s="19">
        <f>IFERROR(__xludf.DUMMYFUNCTION("""COMPUTED_VALUE"""),20.5)</f>
        <v>20.5</v>
      </c>
      <c r="H7" s="17">
        <f>IFERROR(__xludf.DUMMYFUNCTION("""COMPUTED_VALUE"""),44874.0)</f>
        <v>44874</v>
      </c>
      <c r="I7" s="19">
        <f>IFERROR(__xludf.DUMMYFUNCTION("""COMPUTED_VALUE"""),2.2)</f>
        <v>2.2</v>
      </c>
      <c r="J7" s="21">
        <f>IFERROR(__xludf.DUMMYFUNCTION("""COMPUTED_VALUE"""),94.0)</f>
        <v>94</v>
      </c>
      <c r="K7" s="23">
        <f>IFERROR(__xludf.DUMMYFUNCTION("""COMPUTED_VALUE"""),8.2)</f>
        <v>8.2</v>
      </c>
      <c r="L7" s="24">
        <f>IFERROR(__xludf.DUMMYFUNCTION("""COMPUTED_VALUE"""),27.0)</f>
        <v>27</v>
      </c>
      <c r="M7" s="25" t="str">
        <f>IFERROR(__xludf.DUMMYFUNCTION("""COMPUTED_VALUE"""),"Action-Adventure")</f>
        <v>Action-Adventure</v>
      </c>
      <c r="N7" s="25"/>
      <c r="O7" s="26" t="str">
        <f>IFERROR(__xludf.DUMMYFUNCTION("""COMPUTED_VALUE"""),"Yes")</f>
        <v>Yes</v>
      </c>
      <c r="P7" s="26"/>
    </row>
    <row r="8">
      <c r="A8" s="13" t="str">
        <f>IFERROR(__xludf.DUMMYFUNCTION("""COMPUTED_VALUE"""),"Blue Prince")</f>
        <v>Blue Prince</v>
      </c>
      <c r="B8" s="15" t="str">
        <f>IFERROR(__xludf.DUMMYFUNCTION("""COMPUTED_VALUE"""),"PS5")</f>
        <v>PS5</v>
      </c>
      <c r="C8" s="16" t="str">
        <f>IFERROR(__xludf.DUMMYFUNCTION("""COMPUTED_VALUE"""),"Extra")</f>
        <v>Extra</v>
      </c>
      <c r="D8" s="15" t="str">
        <f>IFERROR(__xludf.DUMMYFUNCTION("""COMPUTED_VALUE"""),"Active")</f>
        <v>Active</v>
      </c>
      <c r="E8" s="17">
        <f>IFERROR(__xludf.DUMMYFUNCTION("""COMPUTED_VALUE"""),45757.0)</f>
        <v>45757</v>
      </c>
      <c r="F8" s="18"/>
      <c r="G8" s="19">
        <f>IFERROR(__xludf.DUMMYFUNCTION("""COMPUTED_VALUE"""),17.866666666666667)</f>
        <v>17.86666667</v>
      </c>
      <c r="H8" s="17">
        <f>IFERROR(__xludf.DUMMYFUNCTION("""COMPUTED_VALUE"""),45757.0)</f>
        <v>45757</v>
      </c>
      <c r="I8" s="19">
        <f>IFERROR(__xludf.DUMMYFUNCTION("""COMPUTED_VALUE"""),0.0)</f>
        <v>0</v>
      </c>
      <c r="J8" s="21">
        <f>IFERROR(__xludf.DUMMYFUNCTION("""COMPUTED_VALUE"""),92.0)</f>
        <v>92</v>
      </c>
      <c r="K8" s="23">
        <f>IFERROR(__xludf.DUMMYFUNCTION("""COMPUTED_VALUE"""),7.8)</f>
        <v>7.8</v>
      </c>
      <c r="L8" s="24">
        <f>IFERROR(__xludf.DUMMYFUNCTION("""COMPUTED_VALUE"""),18.0)</f>
        <v>18</v>
      </c>
      <c r="M8" s="25" t="str">
        <f>IFERROR(__xludf.DUMMYFUNCTION("""COMPUTED_VALUE"""),"Action-Adventure")</f>
        <v>Action-Adventure</v>
      </c>
      <c r="N8" s="25"/>
      <c r="O8" s="26" t="str">
        <f>IFERROR(__xludf.DUMMYFUNCTION("""COMPUTED_VALUE"""),"No")</f>
        <v>No</v>
      </c>
      <c r="P8" s="26"/>
    </row>
    <row r="9">
      <c r="A9" s="35" t="str">
        <f>IFERROR(__xludf.DUMMYFUNCTION("""COMPUTED_VALUE"""),"Demon's Souls")</f>
        <v>Demon's Souls</v>
      </c>
      <c r="B9" s="15" t="str">
        <f>IFERROR(__xludf.DUMMYFUNCTION("""COMPUTED_VALUE"""),"PS5")</f>
        <v>PS5</v>
      </c>
      <c r="C9" s="16" t="str">
        <f>IFERROR(__xludf.DUMMYFUNCTION("""COMPUTED_VALUE"""),"Extra")</f>
        <v>Extra</v>
      </c>
      <c r="D9" s="15" t="str">
        <f>IFERROR(__xludf.DUMMYFUNCTION("""COMPUTED_VALUE"""),"Active")</f>
        <v>Active</v>
      </c>
      <c r="E9" s="17">
        <f>IFERROR(__xludf.DUMMYFUNCTION("""COMPUTED_VALUE"""),44725.0)</f>
        <v>44725</v>
      </c>
      <c r="F9" s="18"/>
      <c r="G9" s="19">
        <f>IFERROR(__xludf.DUMMYFUNCTION("""COMPUTED_VALUE"""),51.766666666666666)</f>
        <v>51.76666667</v>
      </c>
      <c r="H9" s="17">
        <f>IFERROR(__xludf.DUMMYFUNCTION("""COMPUTED_VALUE"""),44147.0)</f>
        <v>44147</v>
      </c>
      <c r="I9" s="19">
        <f>IFERROR(__xludf.DUMMYFUNCTION("""COMPUTED_VALUE"""),1.586111111111111)</f>
        <v>1.586111111</v>
      </c>
      <c r="J9" s="21">
        <f>IFERROR(__xludf.DUMMYFUNCTION("""COMPUTED_VALUE"""),92.0)</f>
        <v>92</v>
      </c>
      <c r="K9" s="23">
        <f>IFERROR(__xludf.DUMMYFUNCTION("""COMPUTED_VALUE"""),8.0)</f>
        <v>8</v>
      </c>
      <c r="L9" s="24">
        <f>IFERROR(__xludf.DUMMYFUNCTION("""COMPUTED_VALUE"""),23.5)</f>
        <v>23.5</v>
      </c>
      <c r="M9" s="25" t="str">
        <f>IFERROR(__xludf.DUMMYFUNCTION("""COMPUTED_VALUE"""),"RPG")</f>
        <v>RPG</v>
      </c>
      <c r="N9" s="25"/>
      <c r="O9" s="26" t="str">
        <f>IFERROR(__xludf.DUMMYFUNCTION("""COMPUTED_VALUE"""),"Portal (PS5 + Premium)")</f>
        <v>Portal (PS5 + Premium)</v>
      </c>
      <c r="P9" s="26"/>
    </row>
    <row r="10">
      <c r="A10" s="13" t="str">
        <f>IFERROR(__xludf.DUMMYFUNCTION("""COMPUTED_VALUE"""),"Gitaroo Man")</f>
        <v>Gitaroo Man</v>
      </c>
      <c r="B10" s="15" t="str">
        <f>IFERROR(__xludf.DUMMYFUNCTION("""COMPUTED_VALUE"""),"PS5/PS4")</f>
        <v>PS5/PS4</v>
      </c>
      <c r="C10" s="16" t="str">
        <f>IFERROR(__xludf.DUMMYFUNCTION("""COMPUTED_VALUE"""),"Premium (Classics)")</f>
        <v>Premium (Classics)</v>
      </c>
      <c r="D10" s="15" t="str">
        <f>IFERROR(__xludf.DUMMYFUNCTION("""COMPUTED_VALUE"""),"Active")</f>
        <v>Active</v>
      </c>
      <c r="E10" s="17">
        <f>IFERROR(__xludf.DUMMYFUNCTION("""COMPUTED_VALUE"""),46189.0)</f>
        <v>46189</v>
      </c>
      <c r="F10" s="18"/>
      <c r="G10" s="19">
        <f>IFERROR(__xludf.DUMMYFUNCTION("""COMPUTED_VALUE"""),3.666666666666667)</f>
        <v>3.666666667</v>
      </c>
      <c r="H10" s="17">
        <f>IFERROR(__xludf.DUMMYFUNCTION("""COMPUTED_VALUE"""),37431.0)</f>
        <v>37431</v>
      </c>
      <c r="I10" s="19">
        <f>IFERROR(__xludf.DUMMYFUNCTION("""COMPUTED_VALUE"""),23.977777777777778)</f>
        <v>23.97777778</v>
      </c>
      <c r="J10" s="21">
        <f>IFERROR(__xludf.DUMMYFUNCTION("""COMPUTED_VALUE"""),91.0)</f>
        <v>91</v>
      </c>
      <c r="K10" s="23">
        <f>IFERROR(__xludf.DUMMYFUNCTION("""COMPUTED_VALUE"""),8.8)</f>
        <v>8.8</v>
      </c>
      <c r="L10" s="24">
        <f>IFERROR(__xludf.DUMMYFUNCTION("""COMPUTED_VALUE"""),4.0)</f>
        <v>4</v>
      </c>
      <c r="M10" s="25" t="str">
        <f>IFERROR(__xludf.DUMMYFUNCTION("""COMPUTED_VALUE"""),"Rhythm")</f>
        <v>Rhythm</v>
      </c>
      <c r="N10" s="25" t="str">
        <f>IFERROR(__xludf.DUMMYFUNCTION("""COMPUTED_VALUE"""),"PS2")</f>
        <v>PS2</v>
      </c>
      <c r="O10" s="26"/>
      <c r="P10" s="26"/>
    </row>
    <row r="11">
      <c r="A11" s="13" t="str">
        <f>IFERROR(__xludf.DUMMYFUNCTION("""COMPUTED_VALUE"""),"Resident Evil 2")</f>
        <v>Resident Evil 2</v>
      </c>
      <c r="B11" s="15" t="str">
        <f>IFERROR(__xludf.DUMMYFUNCTION("""COMPUTED_VALUE"""),"PS5/PS4")</f>
        <v>PS5/PS4</v>
      </c>
      <c r="C11" s="16" t="str">
        <f>IFERROR(__xludf.DUMMYFUNCTION("""COMPUTED_VALUE"""),"Premium (Classics)")</f>
        <v>Premium (Classics)</v>
      </c>
      <c r="D11" s="15" t="str">
        <f>IFERROR(__xludf.DUMMYFUNCTION("""COMPUTED_VALUE"""),"Active")</f>
        <v>Active</v>
      </c>
      <c r="E11" s="17">
        <f>IFERROR(__xludf.DUMMYFUNCTION("""COMPUTED_VALUE"""),45888.0)</f>
        <v>45888</v>
      </c>
      <c r="F11" s="18"/>
      <c r="G11" s="19">
        <f>IFERROR(__xludf.DUMMYFUNCTION("""COMPUTED_VALUE"""),13.566666666666666)</f>
        <v>13.56666667</v>
      </c>
      <c r="H11" s="17">
        <f>IFERROR(__xludf.DUMMYFUNCTION("""COMPUTED_VALUE"""),35824.0)</f>
        <v>35824</v>
      </c>
      <c r="I11" s="19">
        <f>IFERROR(__xludf.DUMMYFUNCTION("""COMPUTED_VALUE"""),27.555555555555557)</f>
        <v>27.55555556</v>
      </c>
      <c r="J11" s="21">
        <f>IFERROR(__xludf.DUMMYFUNCTION("""COMPUTED_VALUE"""),91.0)</f>
        <v>91</v>
      </c>
      <c r="K11" s="23">
        <f>IFERROR(__xludf.DUMMYFUNCTION("""COMPUTED_VALUE"""),8.9)</f>
        <v>8.9</v>
      </c>
      <c r="L11" s="24">
        <f>IFERROR(__xludf.DUMMYFUNCTION("""COMPUTED_VALUE"""),9.0)</f>
        <v>9</v>
      </c>
      <c r="M11" s="25" t="str">
        <f>IFERROR(__xludf.DUMMYFUNCTION("""COMPUTED_VALUE"""),"Survival")</f>
        <v>Survival</v>
      </c>
      <c r="N11" s="25" t="str">
        <f>IFERROR(__xludf.DUMMYFUNCTION("""COMPUTED_VALUE"""),"PS1")</f>
        <v>PS1</v>
      </c>
      <c r="O11" s="26"/>
      <c r="P11" s="26"/>
    </row>
    <row r="12">
      <c r="A12" s="13" t="str">
        <f>IFERROR(__xludf.DUMMYFUNCTION("""COMPUTED_VALUE"""),"Blood Omen: Legacy of Kain")</f>
        <v>Blood Omen: Legacy of Kain</v>
      </c>
      <c r="B12" s="15" t="str">
        <f>IFERROR(__xludf.DUMMYFUNCTION("""COMPUTED_VALUE"""),"PS5/PS4")</f>
        <v>PS5/PS4</v>
      </c>
      <c r="C12" s="16" t="str">
        <f>IFERROR(__xludf.DUMMYFUNCTION("""COMPUTED_VALUE"""),"Premium (Classics)")</f>
        <v>Premium (Classics)</v>
      </c>
      <c r="D12" s="15" t="str">
        <f>IFERROR(__xludf.DUMMYFUNCTION("""COMPUTED_VALUE"""),"Active")</f>
        <v>Active</v>
      </c>
      <c r="E12" s="53">
        <f>IFERROR(__xludf.DUMMYFUNCTION("""COMPUTED_VALUE"""),45615.0)</f>
        <v>45615</v>
      </c>
      <c r="F12" s="54"/>
      <c r="G12" s="19">
        <f>IFERROR(__xludf.DUMMYFUNCTION("""COMPUTED_VALUE"""),22.566666666666666)</f>
        <v>22.56666667</v>
      </c>
      <c r="H12" s="17">
        <f>IFERROR(__xludf.DUMMYFUNCTION("""COMPUTED_VALUE"""),35370.0)</f>
        <v>35370</v>
      </c>
      <c r="I12" s="19">
        <f>IFERROR(__xludf.DUMMYFUNCTION("""COMPUTED_VALUE"""),28.05)</f>
        <v>28.05</v>
      </c>
      <c r="J12" s="21">
        <f>IFERROR(__xludf.DUMMYFUNCTION("""COMPUTED_VALUE"""),91.0)</f>
        <v>91</v>
      </c>
      <c r="K12" s="23">
        <f>IFERROR(__xludf.DUMMYFUNCTION("""COMPUTED_VALUE"""),8.8)</f>
        <v>8.8</v>
      </c>
      <c r="L12" s="24">
        <f>IFERROR(__xludf.DUMMYFUNCTION("""COMPUTED_VALUE"""),18.0)</f>
        <v>18</v>
      </c>
      <c r="M12" s="25" t="str">
        <f>IFERROR(__xludf.DUMMYFUNCTION("""COMPUTED_VALUE"""),"Action-Adventure")</f>
        <v>Action-Adventure</v>
      </c>
      <c r="N12" s="25" t="str">
        <f>IFERROR(__xludf.DUMMYFUNCTION("""COMPUTED_VALUE"""),"PS1")</f>
        <v>PS1</v>
      </c>
      <c r="O12" s="26" t="str">
        <f>IFERROR(__xludf.DUMMYFUNCTION("""COMPUTED_VALUE"""),"Yes")</f>
        <v>Yes</v>
      </c>
      <c r="P12" s="26"/>
    </row>
    <row r="13">
      <c r="A13" s="13" t="str">
        <f>IFERROR(__xludf.DUMMYFUNCTION("""COMPUTED_VALUE"""),"Crusader Kings III")</f>
        <v>Crusader Kings III</v>
      </c>
      <c r="B13" s="15" t="str">
        <f>IFERROR(__xludf.DUMMYFUNCTION("""COMPUTED_VALUE"""),"PS5")</f>
        <v>PS5</v>
      </c>
      <c r="C13" s="16" t="str">
        <f>IFERROR(__xludf.DUMMYFUNCTION("""COMPUTED_VALUE"""),"Extra")</f>
        <v>Extra</v>
      </c>
      <c r="D13" s="15" t="str">
        <f>IFERROR(__xludf.DUMMYFUNCTION("""COMPUTED_VALUE"""),"Active")</f>
        <v>Active</v>
      </c>
      <c r="E13" s="17">
        <f>IFERROR(__xludf.DUMMYFUNCTION("""COMPUTED_VALUE"""),45461.0)</f>
        <v>45461</v>
      </c>
      <c r="F13" s="54"/>
      <c r="G13" s="19">
        <f>IFERROR(__xludf.DUMMYFUNCTION("""COMPUTED_VALUE"""),27.599999999999998)</f>
        <v>27.6</v>
      </c>
      <c r="H13" s="17">
        <f>IFERROR(__xludf.DUMMYFUNCTION("""COMPUTED_VALUE"""),44075.0)</f>
        <v>44075</v>
      </c>
      <c r="I13" s="19">
        <f>IFERROR(__xludf.DUMMYFUNCTION("""COMPUTED_VALUE"""),3.797222222222222)</f>
        <v>3.797222222</v>
      </c>
      <c r="J13" s="21">
        <f>IFERROR(__xludf.DUMMYFUNCTION("""COMPUTED_VALUE"""),91.0)</f>
        <v>91</v>
      </c>
      <c r="K13" s="23">
        <f>IFERROR(__xludf.DUMMYFUNCTION("""COMPUTED_VALUE"""),8.3)</f>
        <v>8.3</v>
      </c>
      <c r="L13" s="24">
        <f>IFERROR(__xludf.DUMMYFUNCTION("""COMPUTED_VALUE"""),71.0)</f>
        <v>71</v>
      </c>
      <c r="M13" s="25" t="str">
        <f>IFERROR(__xludf.DUMMYFUNCTION("""COMPUTED_VALUE"""),"Strategy")</f>
        <v>Strategy</v>
      </c>
      <c r="N13" s="25"/>
      <c r="O13" s="26" t="str">
        <f>IFERROR(__xludf.DUMMYFUNCTION("""COMPUTED_VALUE"""),"Portal (PS5 + Premium)")</f>
        <v>Portal (PS5 + Premium)</v>
      </c>
      <c r="P13" s="26"/>
    </row>
    <row r="14">
      <c r="A14" s="13" t="str">
        <f>IFERROR(__xludf.DUMMYFUNCTION("""COMPUTED_VALUE"""),"Marvel’s Spider-Man 2")</f>
        <v>Marvel’s Spider-Man 2</v>
      </c>
      <c r="B14" s="15" t="str">
        <f>IFERROR(__xludf.DUMMYFUNCTION("""COMPUTED_VALUE"""),"PS5")</f>
        <v>PS5</v>
      </c>
      <c r="C14" s="16" t="str">
        <f>IFERROR(__xludf.DUMMYFUNCTION("""COMPUTED_VALUE"""),"Extra")</f>
        <v>Extra</v>
      </c>
      <c r="D14" s="15" t="str">
        <f>IFERROR(__xludf.DUMMYFUNCTION("""COMPUTED_VALUE"""),"Active")</f>
        <v>Active</v>
      </c>
      <c r="E14" s="17">
        <f>IFERROR(__xludf.DUMMYFUNCTION("""COMPUTED_VALUE"""),46070.0)</f>
        <v>46070</v>
      </c>
      <c r="F14" s="54"/>
      <c r="G14" s="19">
        <f>IFERROR(__xludf.DUMMYFUNCTION("""COMPUTED_VALUE"""),7.633333333333333)</f>
        <v>7.633333333</v>
      </c>
      <c r="H14" s="17">
        <f>IFERROR(__xludf.DUMMYFUNCTION("""COMPUTED_VALUE"""),45219.0)</f>
        <v>45219</v>
      </c>
      <c r="I14" s="19">
        <f>IFERROR(__xludf.DUMMYFUNCTION("""COMPUTED_VALUE"""),2.325)</f>
        <v>2.325</v>
      </c>
      <c r="J14" s="21">
        <f>IFERROR(__xludf.DUMMYFUNCTION("""COMPUTED_VALUE"""),90.0)</f>
        <v>90</v>
      </c>
      <c r="K14" s="23">
        <f>IFERROR(__xludf.DUMMYFUNCTION("""COMPUTED_VALUE"""),8.7)</f>
        <v>8.7</v>
      </c>
      <c r="L14" s="24">
        <f>IFERROR(__xludf.DUMMYFUNCTION("""COMPUTED_VALUE"""),17.0)</f>
        <v>17</v>
      </c>
      <c r="M14" s="25" t="str">
        <f>IFERROR(__xludf.DUMMYFUNCTION("""COMPUTED_VALUE"""),"Action-Adventure")</f>
        <v>Action-Adventure</v>
      </c>
      <c r="N14" s="25"/>
      <c r="O14" s="26" t="str">
        <f>IFERROR(__xludf.DUMMYFUNCTION("""COMPUTED_VALUE"""),"No")</f>
        <v>No</v>
      </c>
      <c r="P14" s="26"/>
    </row>
    <row r="15">
      <c r="A15" s="13" t="str">
        <f>IFERROR(__xludf.DUMMYFUNCTION("""COMPUTED_VALUE"""),"Rugby 25")</f>
        <v>Rugby 25</v>
      </c>
      <c r="B15" s="15" t="str">
        <f>IFERROR(__xludf.DUMMYFUNCTION("""COMPUTED_VALUE"""),"PS5/PS4")</f>
        <v>PS5/PS4</v>
      </c>
      <c r="C15" s="16" t="str">
        <f>IFERROR(__xludf.DUMMYFUNCTION("""COMPUTED_VALUE"""),"Extra")</f>
        <v>Extra</v>
      </c>
      <c r="D15" s="15" t="str">
        <f>IFERROR(__xludf.DUMMYFUNCTION("""COMPUTED_VALUE"""),"Active")</f>
        <v>Active</v>
      </c>
      <c r="E15" s="17">
        <f>IFERROR(__xludf.DUMMYFUNCTION("""COMPUTED_VALUE"""),46070.0)</f>
        <v>46070</v>
      </c>
      <c r="F15" s="54"/>
      <c r="G15" s="19">
        <f>IFERROR(__xludf.DUMMYFUNCTION("""COMPUTED_VALUE"""),7.633333333333333)</f>
        <v>7.633333333</v>
      </c>
      <c r="H15" s="17">
        <f>IFERROR(__xludf.DUMMYFUNCTION("""COMPUTED_VALUE"""),45701.0)</f>
        <v>45701</v>
      </c>
      <c r="I15" s="19">
        <f>IFERROR(__xludf.DUMMYFUNCTION("""COMPUTED_VALUE"""),1.011111111111111)</f>
        <v>1.011111111</v>
      </c>
      <c r="J15" s="21">
        <f>IFERROR(__xludf.DUMMYFUNCTION("""COMPUTED_VALUE"""),90.0)</f>
        <v>90</v>
      </c>
      <c r="K15" s="23">
        <f>IFERROR(__xludf.DUMMYFUNCTION("""COMPUTED_VALUE"""),7.4)</f>
        <v>7.4</v>
      </c>
      <c r="L15" s="24">
        <f>IFERROR(__xludf.DUMMYFUNCTION("""COMPUTED_VALUE"""),16.0)</f>
        <v>16</v>
      </c>
      <c r="M15" s="25" t="str">
        <f>IFERROR(__xludf.DUMMYFUNCTION("""COMPUTED_VALUE"""),"Sports")</f>
        <v>Sports</v>
      </c>
      <c r="N15" s="25"/>
      <c r="O15" s="26"/>
      <c r="P15" s="26"/>
    </row>
    <row r="16">
      <c r="A16" s="13" t="str">
        <f>IFERROR(__xludf.DUMMYFUNCTION("""COMPUTED_VALUE"""),"The Last of Us: Part 2 Remastered")</f>
        <v>The Last of Us: Part 2 Remastered</v>
      </c>
      <c r="B16" s="15" t="str">
        <f>IFERROR(__xludf.DUMMYFUNCTION("""COMPUTED_VALUE"""),"PS5")</f>
        <v>PS5</v>
      </c>
      <c r="C16" s="16" t="str">
        <f>IFERROR(__xludf.DUMMYFUNCTION("""COMPUTED_VALUE"""),"Extra")</f>
        <v>Extra</v>
      </c>
      <c r="D16" s="15" t="str">
        <f>IFERROR(__xludf.DUMMYFUNCTION("""COMPUTED_VALUE"""),"Active")</f>
        <v>Active</v>
      </c>
      <c r="E16" s="17">
        <f>IFERROR(__xludf.DUMMYFUNCTION("""COMPUTED_VALUE"""),45926.0)</f>
        <v>45926</v>
      </c>
      <c r="F16" s="54"/>
      <c r="G16" s="19">
        <f>IFERROR(__xludf.DUMMYFUNCTION("""COMPUTED_VALUE"""),12.333333333333332)</f>
        <v>12.33333333</v>
      </c>
      <c r="H16" s="17">
        <f>IFERROR(__xludf.DUMMYFUNCTION("""COMPUTED_VALUE"""),45310.0)</f>
        <v>45310</v>
      </c>
      <c r="I16" s="19">
        <f>IFERROR(__xludf.DUMMYFUNCTION("""COMPUTED_VALUE"""),1.6861111111111111)</f>
        <v>1.686111111</v>
      </c>
      <c r="J16" s="21">
        <f>IFERROR(__xludf.DUMMYFUNCTION("""COMPUTED_VALUE"""),90.0)</f>
        <v>90</v>
      </c>
      <c r="K16" s="23">
        <f>IFERROR(__xludf.DUMMYFUNCTION("""COMPUTED_VALUE"""),7.5)</f>
        <v>7.5</v>
      </c>
      <c r="L16" s="24">
        <f>IFERROR(__xludf.DUMMYFUNCTION("""COMPUTED_VALUE"""),23.0)</f>
        <v>23</v>
      </c>
      <c r="M16" s="25" t="str">
        <f>IFERROR(__xludf.DUMMYFUNCTION("""COMPUTED_VALUE"""),"Survival")</f>
        <v>Survival</v>
      </c>
      <c r="N16" s="25"/>
      <c r="O16" s="26" t="str">
        <f>IFERROR(__xludf.DUMMYFUNCTION("""COMPUTED_VALUE"""),"No")</f>
        <v>No</v>
      </c>
      <c r="P16" s="26"/>
    </row>
    <row r="17">
      <c r="A17" s="13" t="str">
        <f>IFERROR(__xludf.DUMMYFUNCTION("""COMPUTED_VALUE"""),"Deus Ex: The Conspiracy")</f>
        <v>Deus Ex: The Conspiracy</v>
      </c>
      <c r="B17" s="15" t="str">
        <f>IFERROR(__xludf.DUMMYFUNCTION("""COMPUTED_VALUE"""),"PS5/PS4")</f>
        <v>PS5/PS4</v>
      </c>
      <c r="C17" s="16" t="str">
        <f>IFERROR(__xludf.DUMMYFUNCTION("""COMPUTED_VALUE"""),"Premium (Classics)")</f>
        <v>Premium (Classics)</v>
      </c>
      <c r="D17" s="15" t="str">
        <f>IFERROR(__xludf.DUMMYFUNCTION("""COMPUTED_VALUE"""),"Active")</f>
        <v>Active</v>
      </c>
      <c r="E17" s="17">
        <f>IFERROR(__xludf.DUMMYFUNCTION("""COMPUTED_VALUE"""),45825.0)</f>
        <v>45825</v>
      </c>
      <c r="F17" s="54"/>
      <c r="G17" s="19">
        <f>IFERROR(__xludf.DUMMYFUNCTION("""COMPUTED_VALUE"""),15.633333333333333)</f>
        <v>15.63333333</v>
      </c>
      <c r="H17" s="17">
        <f>IFERROR(__xludf.DUMMYFUNCTION("""COMPUTED_VALUE"""),36700.0)</f>
        <v>36700</v>
      </c>
      <c r="I17" s="19">
        <f>IFERROR(__xludf.DUMMYFUNCTION("""COMPUTED_VALUE"""),24.983333333333334)</f>
        <v>24.98333333</v>
      </c>
      <c r="J17" s="21">
        <f>IFERROR(__xludf.DUMMYFUNCTION("""COMPUTED_VALUE"""),90.0)</f>
        <v>90</v>
      </c>
      <c r="K17" s="23">
        <f>IFERROR(__xludf.DUMMYFUNCTION("""COMPUTED_VALUE"""),9.0)</f>
        <v>9</v>
      </c>
      <c r="L17" s="24">
        <f>IFERROR(__xludf.DUMMYFUNCTION("""COMPUTED_VALUE"""),23.0)</f>
        <v>23</v>
      </c>
      <c r="M17" s="25" t="str">
        <f>IFERROR(__xludf.DUMMYFUNCTION("""COMPUTED_VALUE"""),"Action-Adventure")</f>
        <v>Action-Adventure</v>
      </c>
      <c r="N17" s="25" t="str">
        <f>IFERROR(__xludf.DUMMYFUNCTION("""COMPUTED_VALUE"""),"PS2")</f>
        <v>PS2</v>
      </c>
      <c r="O17" s="26"/>
      <c r="P17" s="26"/>
    </row>
    <row r="18">
      <c r="A18" s="13" t="str">
        <f>IFERROR(__xludf.DUMMYFUNCTION("""COMPUTED_VALUE"""),"Jak and Daxter: The Precursor Legacy")</f>
        <v>Jak and Daxter: The Precursor Legacy</v>
      </c>
      <c r="B18" s="15" t="str">
        <f>IFERROR(__xludf.DUMMYFUNCTION("""COMPUTED_VALUE"""),"PS5/PS4")</f>
        <v>PS5/PS4</v>
      </c>
      <c r="C18" s="16" t="str">
        <f>IFERROR(__xludf.DUMMYFUNCTION("""COMPUTED_VALUE"""),"Premium (Classics)")</f>
        <v>Premium (Classics)</v>
      </c>
      <c r="D18" s="15" t="str">
        <f>IFERROR(__xludf.DUMMYFUNCTION("""COMPUTED_VALUE"""),"Active")</f>
        <v>Active</v>
      </c>
      <c r="E18" s="17">
        <f>IFERROR(__xludf.DUMMYFUNCTION("""COMPUTED_VALUE"""),45643.0)</f>
        <v>45643</v>
      </c>
      <c r="F18" s="54"/>
      <c r="G18" s="19">
        <f>IFERROR(__xludf.DUMMYFUNCTION("""COMPUTED_VALUE"""),21.633333333333333)</f>
        <v>21.63333333</v>
      </c>
      <c r="H18" s="17">
        <f>IFERROR(__xludf.DUMMYFUNCTION("""COMPUTED_VALUE"""),37229.0)</f>
        <v>37229</v>
      </c>
      <c r="I18" s="19">
        <f>IFERROR(__xludf.DUMMYFUNCTION("""COMPUTED_VALUE"""),23.03611111111111)</f>
        <v>23.03611111</v>
      </c>
      <c r="J18" s="21">
        <f>IFERROR(__xludf.DUMMYFUNCTION("""COMPUTED_VALUE"""),90.0)</f>
        <v>90</v>
      </c>
      <c r="K18" s="23">
        <f>IFERROR(__xludf.DUMMYFUNCTION("""COMPUTED_VALUE"""),8.7)</f>
        <v>8.7</v>
      </c>
      <c r="L18" s="24">
        <f>IFERROR(__xludf.DUMMYFUNCTION("""COMPUTED_VALUE"""),10.0)</f>
        <v>10</v>
      </c>
      <c r="M18" s="25" t="str">
        <f>IFERROR(__xludf.DUMMYFUNCTION("""COMPUTED_VALUE"""),"Platformer")</f>
        <v>Platformer</v>
      </c>
      <c r="N18" s="25" t="str">
        <f>IFERROR(__xludf.DUMMYFUNCTION("""COMPUTED_VALUE"""),"PS2")</f>
        <v>PS2</v>
      </c>
      <c r="O18" s="26" t="str">
        <f>IFERROR(__xludf.DUMMYFUNCTION("""COMPUTED_VALUE"""),"Yes")</f>
        <v>Yes</v>
      </c>
      <c r="P18" s="26"/>
    </row>
    <row r="19">
      <c r="A19" s="13" t="str">
        <f>IFERROR(__xludf.DUMMYFUNCTION("""COMPUTED_VALUE"""),"The Last of Us: Part I")</f>
        <v>The Last of Us: Part I</v>
      </c>
      <c r="B19" s="15" t="str">
        <f>IFERROR(__xludf.DUMMYFUNCTION("""COMPUTED_VALUE"""),"PS5")</f>
        <v>PS5</v>
      </c>
      <c r="C19" s="16" t="str">
        <f>IFERROR(__xludf.DUMMYFUNCTION("""COMPUTED_VALUE"""),"Extra")</f>
        <v>Extra</v>
      </c>
      <c r="D19" s="15" t="str">
        <f>IFERROR(__xludf.DUMMYFUNCTION("""COMPUTED_VALUE"""),"Active")</f>
        <v>Active</v>
      </c>
      <c r="E19" s="17">
        <f>IFERROR(__xludf.DUMMYFUNCTION("""COMPUTED_VALUE"""),45561.0)</f>
        <v>45561</v>
      </c>
      <c r="F19" s="54"/>
      <c r="G19" s="19">
        <f>IFERROR(__xludf.DUMMYFUNCTION("""COMPUTED_VALUE"""),24.333333333333332)</f>
        <v>24.33333333</v>
      </c>
      <c r="H19" s="17">
        <f>IFERROR(__xludf.DUMMYFUNCTION("""COMPUTED_VALUE"""),45310.0)</f>
        <v>45310</v>
      </c>
      <c r="I19" s="19">
        <f>IFERROR(__xludf.DUMMYFUNCTION("""COMPUTED_VALUE"""),0.6861111111111111)</f>
        <v>0.6861111111</v>
      </c>
      <c r="J19" s="21">
        <f>IFERROR(__xludf.DUMMYFUNCTION("""COMPUTED_VALUE"""),90.0)</f>
        <v>90</v>
      </c>
      <c r="K19" s="23">
        <f>IFERROR(__xludf.DUMMYFUNCTION("""COMPUTED_VALUE"""),7.8)</f>
        <v>7.8</v>
      </c>
      <c r="L19" s="24">
        <f>IFERROR(__xludf.DUMMYFUNCTION("""COMPUTED_VALUE"""),15.0)</f>
        <v>15</v>
      </c>
      <c r="M19" s="25" t="str">
        <f>IFERROR(__xludf.DUMMYFUNCTION("""COMPUTED_VALUE"""),"Survival")</f>
        <v>Survival</v>
      </c>
      <c r="N19" s="25"/>
      <c r="O19" s="26" t="str">
        <f>IFERROR(__xludf.DUMMYFUNCTION("""COMPUTED_VALUE"""),"Portal (PS5 + Premium)")</f>
        <v>Portal (PS5 + Premium)</v>
      </c>
      <c r="P19" s="26"/>
    </row>
    <row r="20">
      <c r="A20" s="13" t="str">
        <f>IFERROR(__xludf.DUMMYFUNCTION("""COMPUTED_VALUE"""),"TimeSplitters 2")</f>
        <v>TimeSplitters 2</v>
      </c>
      <c r="B20" s="15" t="str">
        <f>IFERROR(__xludf.DUMMYFUNCTION("""COMPUTED_VALUE"""),"PS5/PS4")</f>
        <v>PS5/PS4</v>
      </c>
      <c r="C20" s="16" t="str">
        <f>IFERROR(__xludf.DUMMYFUNCTION("""COMPUTED_VALUE"""),"Premium (Classics)")</f>
        <v>Premium (Classics)</v>
      </c>
      <c r="D20" s="15" t="str">
        <f>IFERROR(__xludf.DUMMYFUNCTION("""COMPUTED_VALUE"""),"Active")</f>
        <v>Active</v>
      </c>
      <c r="E20" s="17">
        <f>IFERROR(__xludf.DUMMYFUNCTION("""COMPUTED_VALUE"""),45524.0)</f>
        <v>45524</v>
      </c>
      <c r="F20" s="54"/>
      <c r="G20" s="19">
        <f>IFERROR(__xludf.DUMMYFUNCTION("""COMPUTED_VALUE"""),25.53333333333333)</f>
        <v>25.53333333</v>
      </c>
      <c r="H20" s="17">
        <f>IFERROR(__xludf.DUMMYFUNCTION("""COMPUTED_VALUE"""),37537.0)</f>
        <v>37537</v>
      </c>
      <c r="I20" s="19">
        <f>IFERROR(__xludf.DUMMYFUNCTION("""COMPUTED_VALUE"""),21.866666666666667)</f>
        <v>21.86666667</v>
      </c>
      <c r="J20" s="21">
        <f>IFERROR(__xludf.DUMMYFUNCTION("""COMPUTED_VALUE"""),90.0)</f>
        <v>90</v>
      </c>
      <c r="K20" s="23">
        <f>IFERROR(__xludf.DUMMYFUNCTION("""COMPUTED_VALUE"""),8.6)</f>
        <v>8.6</v>
      </c>
      <c r="L20" s="24">
        <f>IFERROR(__xludf.DUMMYFUNCTION("""COMPUTED_VALUE"""),9.0)</f>
        <v>9</v>
      </c>
      <c r="M20" s="25" t="str">
        <f>IFERROR(__xludf.DUMMYFUNCTION("""COMPUTED_VALUE"""),"Shooter")</f>
        <v>Shooter</v>
      </c>
      <c r="N20" s="25" t="str">
        <f>IFERROR(__xludf.DUMMYFUNCTION("""COMPUTED_VALUE"""),"PS2")</f>
        <v>PS2</v>
      </c>
      <c r="O20" s="26" t="str">
        <f>IFERROR(__xludf.DUMMYFUNCTION("""COMPUTED_VALUE"""),"Yes")</f>
        <v>Yes</v>
      </c>
      <c r="P20" s="26"/>
    </row>
    <row r="21">
      <c r="A21" s="13" t="str">
        <f>IFERROR(__xludf.DUMMYFUNCTION("""COMPUTED_VALUE"""),"Ape Escape")</f>
        <v>Ape Escape</v>
      </c>
      <c r="B21" s="15" t="str">
        <f>IFERROR(__xludf.DUMMYFUNCTION("""COMPUTED_VALUE"""),"PS5/PS4")</f>
        <v>PS5/PS4</v>
      </c>
      <c r="C21" s="16" t="str">
        <f>IFERROR(__xludf.DUMMYFUNCTION("""COMPUTED_VALUE"""),"Premium (Classics)")</f>
        <v>Premium (Classics)</v>
      </c>
      <c r="D21" s="15" t="str">
        <f>IFERROR(__xludf.DUMMYFUNCTION("""COMPUTED_VALUE"""),"Active")</f>
        <v>Active</v>
      </c>
      <c r="E21" s="17">
        <f>IFERROR(__xludf.DUMMYFUNCTION("""COMPUTED_VALUE"""),44725.0)</f>
        <v>44725</v>
      </c>
      <c r="F21" s="18"/>
      <c r="G21" s="19">
        <f>IFERROR(__xludf.DUMMYFUNCTION("""COMPUTED_VALUE"""),51.766666666666666)</f>
        <v>51.76666667</v>
      </c>
      <c r="H21" s="17">
        <f>IFERROR(__xludf.DUMMYFUNCTION("""COMPUTED_VALUE"""),36281.0)</f>
        <v>36281</v>
      </c>
      <c r="I21" s="19">
        <f>IFERROR(__xludf.DUMMYFUNCTION("""COMPUTED_VALUE"""),23.116666666666667)</f>
        <v>23.11666667</v>
      </c>
      <c r="J21" s="21">
        <f>IFERROR(__xludf.DUMMYFUNCTION("""COMPUTED_VALUE"""),90.0)</f>
        <v>90</v>
      </c>
      <c r="K21" s="23">
        <f>IFERROR(__xludf.DUMMYFUNCTION("""COMPUTED_VALUE"""),8.2)</f>
        <v>8.2</v>
      </c>
      <c r="L21" s="24">
        <f>IFERROR(__xludf.DUMMYFUNCTION("""COMPUTED_VALUE"""),12.0)</f>
        <v>12</v>
      </c>
      <c r="M21" s="25" t="str">
        <f>IFERROR(__xludf.DUMMYFUNCTION("""COMPUTED_VALUE"""),"Platformer")</f>
        <v>Platformer</v>
      </c>
      <c r="N21" s="25" t="str">
        <f>IFERROR(__xludf.DUMMYFUNCTION("""COMPUTED_VALUE"""),"PS1")</f>
        <v>PS1</v>
      </c>
      <c r="O21" s="26" t="str">
        <f>IFERROR(__xludf.DUMMYFUNCTION("""COMPUTED_VALUE"""),"Yes")</f>
        <v>Yes</v>
      </c>
      <c r="P21" s="26" t="str">
        <f>IFERROR(__xludf.DUMMYFUNCTION("""COMPUTED_VALUE"""),"")</f>
        <v/>
      </c>
    </row>
    <row r="22">
      <c r="A22" s="13" t="str">
        <f>IFERROR(__xludf.DUMMYFUNCTION("""COMPUTED_VALUE"""),"Syphon Filter")</f>
        <v>Syphon Filter</v>
      </c>
      <c r="B22" s="15" t="str">
        <f>IFERROR(__xludf.DUMMYFUNCTION("""COMPUTED_VALUE"""),"PS5/PS4")</f>
        <v>PS5/PS4</v>
      </c>
      <c r="C22" s="16" t="str">
        <f>IFERROR(__xludf.DUMMYFUNCTION("""COMPUTED_VALUE"""),"Premium (Classics)")</f>
        <v>Premium (Classics)</v>
      </c>
      <c r="D22" s="15" t="str">
        <f>IFERROR(__xludf.DUMMYFUNCTION("""COMPUTED_VALUE"""),"Active")</f>
        <v>Active</v>
      </c>
      <c r="E22" s="17">
        <f>IFERROR(__xludf.DUMMYFUNCTION("""COMPUTED_VALUE"""),44725.0)</f>
        <v>44725</v>
      </c>
      <c r="F22" s="54"/>
      <c r="G22" s="19">
        <f>IFERROR(__xludf.DUMMYFUNCTION("""COMPUTED_VALUE"""),51.766666666666666)</f>
        <v>51.76666667</v>
      </c>
      <c r="H22" s="17">
        <f>IFERROR(__xludf.DUMMYFUNCTION("""COMPUTED_VALUE"""),36161.0)</f>
        <v>36161</v>
      </c>
      <c r="I22" s="19">
        <f>IFERROR(__xludf.DUMMYFUNCTION("""COMPUTED_VALUE"""),23.45)</f>
        <v>23.45</v>
      </c>
      <c r="J22" s="21">
        <f>IFERROR(__xludf.DUMMYFUNCTION("""COMPUTED_VALUE"""),90.0)</f>
        <v>90</v>
      </c>
      <c r="K22" s="23">
        <f>IFERROR(__xludf.DUMMYFUNCTION("""COMPUTED_VALUE"""),8.4)</f>
        <v>8.4</v>
      </c>
      <c r="L22" s="24">
        <f>IFERROR(__xludf.DUMMYFUNCTION("""COMPUTED_VALUE"""),8.0)</f>
        <v>8</v>
      </c>
      <c r="M22" s="25" t="str">
        <f>IFERROR(__xludf.DUMMYFUNCTION("""COMPUTED_VALUE"""),"Shooter")</f>
        <v>Shooter</v>
      </c>
      <c r="N22" s="25" t="str">
        <f>IFERROR(__xludf.DUMMYFUNCTION("""COMPUTED_VALUE"""),"PS1")</f>
        <v>PS1</v>
      </c>
      <c r="O22" s="26" t="str">
        <f>IFERROR(__xludf.DUMMYFUNCTION("""COMPUTED_VALUE"""),"Yes")</f>
        <v>Yes</v>
      </c>
      <c r="P22" s="26" t="str">
        <f>IFERROR(__xludf.DUMMYFUNCTION("""COMPUTED_VALUE"""),"")</f>
        <v/>
      </c>
    </row>
    <row r="23">
      <c r="A23" s="13" t="str">
        <f>IFERROR(__xludf.DUMMYFUNCTION("""COMPUTED_VALUE"""),"Kingdom Come: Deliverance II")</f>
        <v>Kingdom Come: Deliverance II</v>
      </c>
      <c r="B23" s="15" t="str">
        <f>IFERROR(__xludf.DUMMYFUNCTION("""COMPUTED_VALUE"""),"PS5")</f>
        <v>PS5</v>
      </c>
      <c r="C23" s="16" t="str">
        <f>IFERROR(__xludf.DUMMYFUNCTION("""COMPUTED_VALUE"""),"Extra")</f>
        <v>Extra</v>
      </c>
      <c r="D23" s="15" t="str">
        <f>IFERROR(__xludf.DUMMYFUNCTION("""COMPUTED_VALUE"""),"Active")</f>
        <v>Active</v>
      </c>
      <c r="E23" s="17">
        <f>IFERROR(__xludf.DUMMYFUNCTION("""COMPUTED_VALUE"""),46252.0)</f>
        <v>46252</v>
      </c>
      <c r="F23" s="18"/>
      <c r="G23" s="19">
        <f>IFERROR(__xludf.DUMMYFUNCTION("""COMPUTED_VALUE"""),1.6)</f>
        <v>1.6</v>
      </c>
      <c r="H23" s="17">
        <f>IFERROR(__xludf.DUMMYFUNCTION("""COMPUTED_VALUE"""),45692.0)</f>
        <v>45692</v>
      </c>
      <c r="I23" s="19">
        <f>IFERROR(__xludf.DUMMYFUNCTION("""COMPUTED_VALUE"""),1.538888888888889)</f>
        <v>1.538888889</v>
      </c>
      <c r="J23" s="21">
        <f>IFERROR(__xludf.DUMMYFUNCTION("""COMPUTED_VALUE"""),89.0)</f>
        <v>89</v>
      </c>
      <c r="K23" s="23">
        <f>IFERROR(__xludf.DUMMYFUNCTION("""COMPUTED_VALUE"""),8.7)</f>
        <v>8.7</v>
      </c>
      <c r="L23" s="24">
        <f>IFERROR(__xludf.DUMMYFUNCTION("""COMPUTED_VALUE"""),55.0)</f>
        <v>55</v>
      </c>
      <c r="M23" s="25" t="str">
        <f>IFERROR(__xludf.DUMMYFUNCTION("""COMPUTED_VALUE"""),"RPG")</f>
        <v>RPG</v>
      </c>
      <c r="N23" s="25"/>
      <c r="O23" s="26" t="str">
        <f>IFERROR(__xludf.DUMMYFUNCTION("""COMPUTED_VALUE"""),"No")</f>
        <v>No</v>
      </c>
      <c r="P23" s="26"/>
    </row>
    <row r="24">
      <c r="A24" s="13" t="str">
        <f>IFERROR(__xludf.DUMMYFUNCTION("""COMPUTED_VALUE"""),"Grandia")</f>
        <v>Grandia</v>
      </c>
      <c r="B24" s="15" t="str">
        <f>IFERROR(__xludf.DUMMYFUNCTION("""COMPUTED_VALUE"""),"PS5/PS4")</f>
        <v>PS5/PS4</v>
      </c>
      <c r="C24" s="16" t="str">
        <f>IFERROR(__xludf.DUMMYFUNCTION("""COMPUTED_VALUE"""),"Premium (Classics)")</f>
        <v>Premium (Classics)</v>
      </c>
      <c r="D24" s="15" t="str">
        <f>IFERROR(__xludf.DUMMYFUNCTION("""COMPUTED_VALUE"""),"Active")</f>
        <v>Active</v>
      </c>
      <c r="E24" s="17">
        <f>IFERROR(__xludf.DUMMYFUNCTION("""COMPUTED_VALUE"""),45251.0)</f>
        <v>45251</v>
      </c>
      <c r="F24" s="18"/>
      <c r="G24" s="19">
        <f>IFERROR(__xludf.DUMMYFUNCTION("""COMPUTED_VALUE"""),34.5)</f>
        <v>34.5</v>
      </c>
      <c r="H24" s="17">
        <f>IFERROR(__xludf.DUMMYFUNCTION("""COMPUTED_VALUE"""),36433.0)</f>
        <v>36433</v>
      </c>
      <c r="I24" s="19">
        <f>IFERROR(__xludf.DUMMYFUNCTION("""COMPUTED_VALUE"""),24.141666666666666)</f>
        <v>24.14166667</v>
      </c>
      <c r="J24" s="21">
        <f>IFERROR(__xludf.DUMMYFUNCTION("""COMPUTED_VALUE"""),89.0)</f>
        <v>89</v>
      </c>
      <c r="K24" s="23">
        <f>IFERROR(__xludf.DUMMYFUNCTION("""COMPUTED_VALUE"""),7.7)</f>
        <v>7.7</v>
      </c>
      <c r="L24" s="24">
        <f>IFERROR(__xludf.DUMMYFUNCTION("""COMPUTED_VALUE"""),43.0)</f>
        <v>43</v>
      </c>
      <c r="M24" s="25" t="str">
        <f>IFERROR(__xludf.DUMMYFUNCTION("""COMPUTED_VALUE"""),"RPG")</f>
        <v>RPG</v>
      </c>
      <c r="N24" s="25" t="str">
        <f>IFERROR(__xludf.DUMMYFUNCTION("""COMPUTED_VALUE"""),"PS1")</f>
        <v>PS1</v>
      </c>
      <c r="O24" s="26" t="str">
        <f>IFERROR(__xludf.DUMMYFUNCTION("""COMPUTED_VALUE"""),"Yes")</f>
        <v>Yes</v>
      </c>
      <c r="P24" s="26"/>
    </row>
    <row r="25">
      <c r="A25" s="13" t="str">
        <f>IFERROR(__xludf.DUMMYFUNCTION("""COMPUTED_VALUE"""),"Final Fantasy VII: Remake Intergrade")</f>
        <v>Final Fantasy VII: Remake Intergrade</v>
      </c>
      <c r="B25" s="15" t="str">
        <f>IFERROR(__xludf.DUMMYFUNCTION("""COMPUTED_VALUE"""),"PS5/PS4")</f>
        <v>PS5/PS4</v>
      </c>
      <c r="C25" s="16" t="str">
        <f>IFERROR(__xludf.DUMMYFUNCTION("""COMPUTED_VALUE"""),"Extra")</f>
        <v>Extra</v>
      </c>
      <c r="D25" s="15" t="str">
        <f>IFERROR(__xludf.DUMMYFUNCTION("""COMPUTED_VALUE"""),"Active")</f>
        <v>Active</v>
      </c>
      <c r="E25" s="17">
        <f>IFERROR(__xludf.DUMMYFUNCTION("""COMPUTED_VALUE"""),44761.0)</f>
        <v>44761</v>
      </c>
      <c r="F25" s="54"/>
      <c r="G25" s="19">
        <f>IFERROR(__xludf.DUMMYFUNCTION("""COMPUTED_VALUE"""),50.56666666666666)</f>
        <v>50.56666667</v>
      </c>
      <c r="H25" s="17">
        <f>IFERROR(__xludf.DUMMYFUNCTION("""COMPUTED_VALUE"""),44357.0)</f>
        <v>44357</v>
      </c>
      <c r="I25" s="19">
        <f>IFERROR(__xludf.DUMMYFUNCTION("""COMPUTED_VALUE"""),1.1083333333333334)</f>
        <v>1.108333333</v>
      </c>
      <c r="J25" s="21">
        <f>IFERROR(__xludf.DUMMYFUNCTION("""COMPUTED_VALUE"""),89.0)</f>
        <v>89</v>
      </c>
      <c r="K25" s="23">
        <f>IFERROR(__xludf.DUMMYFUNCTION("""COMPUTED_VALUE"""),8.4)</f>
        <v>8.4</v>
      </c>
      <c r="L25" s="24">
        <f>IFERROR(__xludf.DUMMYFUNCTION("""COMPUTED_VALUE"""),33.0)</f>
        <v>33</v>
      </c>
      <c r="M25" s="25" t="str">
        <f>IFERROR(__xludf.DUMMYFUNCTION("""COMPUTED_VALUE"""),"RPG")</f>
        <v>RPG</v>
      </c>
      <c r="N25" s="25" t="str">
        <f>IFERROR(__xludf.DUMMYFUNCTION("""COMPUTED_VALUE"""),"PS4 gets the base version")</f>
        <v>PS4 gets the base version</v>
      </c>
      <c r="O25" s="26" t="str">
        <f>IFERROR(__xludf.DUMMYFUNCTION("""COMPUTED_VALUE"""),"Yes")</f>
        <v>Yes</v>
      </c>
      <c r="P25" s="26"/>
    </row>
    <row r="26">
      <c r="A26" s="13" t="str">
        <f>IFERROR(__xludf.DUMMYFUNCTION("""COMPUTED_VALUE"""),"Tekken 2")</f>
        <v>Tekken 2</v>
      </c>
      <c r="B26" s="15" t="str">
        <f>IFERROR(__xludf.DUMMYFUNCTION("""COMPUTED_VALUE"""),"PS5/PS4")</f>
        <v>PS5/PS4</v>
      </c>
      <c r="C26" s="16" t="str">
        <f>IFERROR(__xludf.DUMMYFUNCTION("""COMPUTED_VALUE"""),"Premium (Classics)")</f>
        <v>Premium (Classics)</v>
      </c>
      <c r="D26" s="15" t="str">
        <f>IFERROR(__xludf.DUMMYFUNCTION("""COMPUTED_VALUE"""),"Active")</f>
        <v>Active</v>
      </c>
      <c r="E26" s="17">
        <f>IFERROR(__xludf.DUMMYFUNCTION("""COMPUTED_VALUE"""),44725.0)</f>
        <v>44725</v>
      </c>
      <c r="F26" s="54"/>
      <c r="G26" s="19">
        <f>IFERROR(__xludf.DUMMYFUNCTION("""COMPUTED_VALUE"""),51.766666666666666)</f>
        <v>51.76666667</v>
      </c>
      <c r="H26" s="17">
        <f>IFERROR(__xludf.DUMMYFUNCTION("""COMPUTED_VALUE"""),34912.0)</f>
        <v>34912</v>
      </c>
      <c r="I26" s="19">
        <f>IFERROR(__xludf.DUMMYFUNCTION("""COMPUTED_VALUE"""),26.866666666666667)</f>
        <v>26.86666667</v>
      </c>
      <c r="J26" s="21">
        <f>IFERROR(__xludf.DUMMYFUNCTION("""COMPUTED_VALUE"""),89.0)</f>
        <v>89</v>
      </c>
      <c r="K26" s="23">
        <f>IFERROR(__xludf.DUMMYFUNCTION("""COMPUTED_VALUE"""),7.8)</f>
        <v>7.8</v>
      </c>
      <c r="L26" s="24"/>
      <c r="M26" s="25" t="str">
        <f>IFERROR(__xludf.DUMMYFUNCTION("""COMPUTED_VALUE"""),"Fighting")</f>
        <v>Fighting</v>
      </c>
      <c r="N26" s="25" t="str">
        <f>IFERROR(__xludf.DUMMYFUNCTION("""COMPUTED_VALUE"""),"PS1")</f>
        <v>PS1</v>
      </c>
      <c r="O26" s="26" t="str">
        <f>IFERROR(__xludf.DUMMYFUNCTION("""COMPUTED_VALUE"""),"No")</f>
        <v>No</v>
      </c>
      <c r="P26" s="26" t="str">
        <f>IFERROR(__xludf.DUMMYFUNCTION("""COMPUTED_VALUE"""),"")</f>
        <v/>
      </c>
    </row>
    <row r="27">
      <c r="A27" s="13" t="str">
        <f>IFERROR(__xludf.DUMMYFUNCTION("""COMPUTED_VALUE"""),"Dead Cells")</f>
        <v>Dead Cells</v>
      </c>
      <c r="B27" s="15" t="str">
        <f>IFERROR(__xludf.DUMMYFUNCTION("""COMPUTED_VALUE"""),"PS5/PS4")</f>
        <v>PS5/PS4</v>
      </c>
      <c r="C27" s="16" t="str">
        <f>IFERROR(__xludf.DUMMYFUNCTION("""COMPUTED_VALUE"""),"Extra")</f>
        <v>Extra</v>
      </c>
      <c r="D27" s="15" t="str">
        <f>IFERROR(__xludf.DUMMYFUNCTION("""COMPUTED_VALUE"""),"Active")</f>
        <v>Active</v>
      </c>
      <c r="E27" s="17">
        <f>IFERROR(__xludf.DUMMYFUNCTION("""COMPUTED_VALUE"""),44047.0)</f>
        <v>44047</v>
      </c>
      <c r="F27" s="54"/>
      <c r="G27" s="19">
        <f>IFERROR(__xludf.DUMMYFUNCTION("""COMPUTED_VALUE"""),74.06666666666666)</f>
        <v>74.06666667</v>
      </c>
      <c r="H27" s="17">
        <f>IFERROR(__xludf.DUMMYFUNCTION("""COMPUTED_VALUE"""),42865.0)</f>
        <v>42865</v>
      </c>
      <c r="I27" s="19">
        <f>IFERROR(__xludf.DUMMYFUNCTION("""COMPUTED_VALUE"""),3.2333333333333334)</f>
        <v>3.233333333</v>
      </c>
      <c r="J27" s="21">
        <f>IFERROR(__xludf.DUMMYFUNCTION("""COMPUTED_VALUE"""),89.0)</f>
        <v>89</v>
      </c>
      <c r="K27" s="23">
        <f>IFERROR(__xludf.DUMMYFUNCTION("""COMPUTED_VALUE"""),8.5)</f>
        <v>8.5</v>
      </c>
      <c r="L27" s="24">
        <f>IFERROR(__xludf.DUMMYFUNCTION("""COMPUTED_VALUE"""),14.0)</f>
        <v>14</v>
      </c>
      <c r="M27" s="25" t="str">
        <f>IFERROR(__xludf.DUMMYFUNCTION("""COMPUTED_VALUE"""),"Platformer")</f>
        <v>Platformer</v>
      </c>
      <c r="N27" s="25"/>
      <c r="O27" s="26" t="str">
        <f>IFERROR(__xludf.DUMMYFUNCTION("""COMPUTED_VALUE"""),"Yes")</f>
        <v>Yes</v>
      </c>
      <c r="P27" s="26"/>
    </row>
    <row r="28">
      <c r="A28" s="13" t="str">
        <f>IFERROR(__xludf.DUMMYFUNCTION("""COMPUTED_VALUE"""),"Tekken: Dark Resurrection")</f>
        <v>Tekken: Dark Resurrection</v>
      </c>
      <c r="B28" s="15" t="str">
        <f>IFERROR(__xludf.DUMMYFUNCTION("""COMPUTED_VALUE"""),"PS5/PS4")</f>
        <v>PS5/PS4</v>
      </c>
      <c r="C28" s="16" t="str">
        <f>IFERROR(__xludf.DUMMYFUNCTION("""COMPUTED_VALUE"""),"Premium (Classics)")</f>
        <v>Premium (Classics)</v>
      </c>
      <c r="D28" s="15" t="str">
        <f>IFERROR(__xludf.DUMMYFUNCTION("""COMPUTED_VALUE"""),"Active")</f>
        <v>Active</v>
      </c>
      <c r="E28" s="17">
        <f>IFERROR(__xludf.DUMMYFUNCTION("""COMPUTED_VALUE"""),46098.0)</f>
        <v>46098</v>
      </c>
      <c r="F28" s="54"/>
      <c r="G28" s="19">
        <f>IFERROR(__xludf.DUMMYFUNCTION("""COMPUTED_VALUE"""),6.633333333333334)</f>
        <v>6.633333333</v>
      </c>
      <c r="H28" s="17">
        <f>IFERROR(__xludf.DUMMYFUNCTION("""COMPUTED_VALUE"""),38923.0)</f>
        <v>38923</v>
      </c>
      <c r="I28" s="19">
        <f>IFERROR(__xludf.DUMMYFUNCTION("""COMPUTED_VALUE"""),19.644444444444446)</f>
        <v>19.64444444</v>
      </c>
      <c r="J28" s="21">
        <f>IFERROR(__xludf.DUMMYFUNCTION("""COMPUTED_VALUE"""),88.0)</f>
        <v>88</v>
      </c>
      <c r="K28" s="23">
        <f>IFERROR(__xludf.DUMMYFUNCTION("""COMPUTED_VALUE"""),8.5)</f>
        <v>8.5</v>
      </c>
      <c r="L28" s="24">
        <f>IFERROR(__xludf.DUMMYFUNCTION("""COMPUTED_VALUE"""),2.0)</f>
        <v>2</v>
      </c>
      <c r="M28" s="25" t="str">
        <f>IFERROR(__xludf.DUMMYFUNCTION("""COMPUTED_VALUE"""),"Fighting")</f>
        <v>Fighting</v>
      </c>
      <c r="N28" s="25" t="str">
        <f>IFERROR(__xludf.DUMMYFUNCTION("""COMPUTED_VALUE"""),"PSP")</f>
        <v>PSP</v>
      </c>
      <c r="O28" s="26"/>
      <c r="P28" s="26"/>
    </row>
    <row r="29">
      <c r="A29" s="13" t="str">
        <f>IFERROR(__xludf.DUMMYFUNCTION("""COMPUTED_VALUE"""),"Ridge Racer")</f>
        <v>Ridge Racer</v>
      </c>
      <c r="B29" s="15" t="str">
        <f>IFERROR(__xludf.DUMMYFUNCTION("""COMPUTED_VALUE"""),"PS5/PS4")</f>
        <v>PS5/PS4</v>
      </c>
      <c r="C29" s="16" t="str">
        <f>IFERROR(__xludf.DUMMYFUNCTION("""COMPUTED_VALUE"""),"Premium (Classics)")</f>
        <v>Premium (Classics)</v>
      </c>
      <c r="D29" s="15" t="str">
        <f>IFERROR(__xludf.DUMMYFUNCTION("""COMPUTED_VALUE"""),"Active")</f>
        <v>Active</v>
      </c>
      <c r="E29" s="17">
        <f>IFERROR(__xludf.DUMMYFUNCTION("""COMPUTED_VALUE"""),46042.0)</f>
        <v>46042</v>
      </c>
      <c r="F29" s="54"/>
      <c r="G29" s="19">
        <f>IFERROR(__xludf.DUMMYFUNCTION("""COMPUTED_VALUE"""),8.533333333333333)</f>
        <v>8.533333333</v>
      </c>
      <c r="H29" s="17">
        <f>IFERROR(__xludf.DUMMYFUNCTION("""COMPUTED_VALUE"""),38433.0)</f>
        <v>38433</v>
      </c>
      <c r="I29" s="19">
        <f>IFERROR(__xludf.DUMMYFUNCTION("""COMPUTED_VALUE"""),20.82777777777778)</f>
        <v>20.82777778</v>
      </c>
      <c r="J29" s="21">
        <f>IFERROR(__xludf.DUMMYFUNCTION("""COMPUTED_VALUE"""),88.0)</f>
        <v>88</v>
      </c>
      <c r="K29" s="23">
        <f>IFERROR(__xludf.DUMMYFUNCTION("""COMPUTED_VALUE"""),8.1)</f>
        <v>8.1</v>
      </c>
      <c r="L29" s="24">
        <f>IFERROR(__xludf.DUMMYFUNCTION("""COMPUTED_VALUE"""),9.0)</f>
        <v>9</v>
      </c>
      <c r="M29" s="25" t="str">
        <f>IFERROR(__xludf.DUMMYFUNCTION("""COMPUTED_VALUE"""),"Racing")</f>
        <v>Racing</v>
      </c>
      <c r="N29" s="25" t="str">
        <f>IFERROR(__xludf.DUMMYFUNCTION("""COMPUTED_VALUE"""),"PSP")</f>
        <v>PSP</v>
      </c>
      <c r="O29" s="26"/>
      <c r="P29" s="26"/>
    </row>
    <row r="30">
      <c r="A30" s="13" t="str">
        <f>IFERROR(__xludf.DUMMYFUNCTION("""COMPUTED_VALUE"""),"The Talos Principle 2")</f>
        <v>The Talos Principle 2</v>
      </c>
      <c r="B30" s="15" t="str">
        <f>IFERROR(__xludf.DUMMYFUNCTION("""COMPUTED_VALUE"""),"PS5")</f>
        <v>PS5</v>
      </c>
      <c r="C30" s="16" t="str">
        <f>IFERROR(__xludf.DUMMYFUNCTION("""COMPUTED_VALUE"""),"Extra")</f>
        <v>Extra</v>
      </c>
      <c r="D30" s="15" t="str">
        <f>IFERROR(__xludf.DUMMYFUNCTION("""COMPUTED_VALUE"""),"Active")</f>
        <v>Active</v>
      </c>
      <c r="E30" s="17">
        <f>IFERROR(__xludf.DUMMYFUNCTION("""COMPUTED_VALUE"""),45979.0)</f>
        <v>45979</v>
      </c>
      <c r="F30" s="54"/>
      <c r="G30" s="19">
        <f>IFERROR(__xludf.DUMMYFUNCTION("""COMPUTED_VALUE"""),10.6)</f>
        <v>10.6</v>
      </c>
      <c r="H30" s="17">
        <f>IFERROR(__xludf.DUMMYFUNCTION("""COMPUTED_VALUE"""),45232.0)</f>
        <v>45232</v>
      </c>
      <c r="I30" s="19">
        <f>IFERROR(__xludf.DUMMYFUNCTION("""COMPUTED_VALUE"""),2.0444444444444443)</f>
        <v>2.044444444</v>
      </c>
      <c r="J30" s="21">
        <f>IFERROR(__xludf.DUMMYFUNCTION("""COMPUTED_VALUE"""),88.0)</f>
        <v>88</v>
      </c>
      <c r="K30" s="23">
        <f>IFERROR(__xludf.DUMMYFUNCTION("""COMPUTED_VALUE"""),8.5)</f>
        <v>8.5</v>
      </c>
      <c r="L30" s="24" t="str">
        <f>IFERROR(__xludf.DUMMYFUNCTION("""COMPUTED_VALUE"""),"27")</f>
        <v>27</v>
      </c>
      <c r="M30" s="25" t="str">
        <f>IFERROR(__xludf.DUMMYFUNCTION("""COMPUTED_VALUE"""),"Action-Adventure")</f>
        <v>Action-Adventure</v>
      </c>
      <c r="N30" s="25"/>
      <c r="O30" s="26" t="str">
        <f>IFERROR(__xludf.DUMMYFUNCTION("""COMPUTED_VALUE"""),"No")</f>
        <v>No</v>
      </c>
      <c r="P30" s="26"/>
    </row>
    <row r="31">
      <c r="A31" s="13" t="str">
        <f>IFERROR(__xludf.DUMMYFUNCTION("""COMPUTED_VALUE"""),"Abiotic Factor")</f>
        <v>Abiotic Factor</v>
      </c>
      <c r="B31" s="15" t="str">
        <f>IFERROR(__xludf.DUMMYFUNCTION("""COMPUTED_VALUE"""),"PS5")</f>
        <v>PS5</v>
      </c>
      <c r="C31" s="16" t="str">
        <f>IFERROR(__xludf.DUMMYFUNCTION("""COMPUTED_VALUE"""),"Extra")</f>
        <v>Extra</v>
      </c>
      <c r="D31" s="15" t="str">
        <f>IFERROR(__xludf.DUMMYFUNCTION("""COMPUTED_VALUE"""),"Active")</f>
        <v>Active</v>
      </c>
      <c r="E31" s="17">
        <f>IFERROR(__xludf.DUMMYFUNCTION("""COMPUTED_VALUE"""),45860.0)</f>
        <v>45860</v>
      </c>
      <c r="F31" s="54"/>
      <c r="G31" s="19">
        <f>IFERROR(__xludf.DUMMYFUNCTION("""COMPUTED_VALUE"""),14.466666666666665)</f>
        <v>14.46666667</v>
      </c>
      <c r="H31" s="17">
        <f>IFERROR(__xludf.DUMMYFUNCTION("""COMPUTED_VALUE"""),45860.0)</f>
        <v>45860</v>
      </c>
      <c r="I31" s="19">
        <f>IFERROR(__xludf.DUMMYFUNCTION("""COMPUTED_VALUE"""),0.0)</f>
        <v>0</v>
      </c>
      <c r="J31" s="21">
        <f>IFERROR(__xludf.DUMMYFUNCTION("""COMPUTED_VALUE"""),88.0)</f>
        <v>88</v>
      </c>
      <c r="K31" s="23">
        <f>IFERROR(__xludf.DUMMYFUNCTION("""COMPUTED_VALUE"""),8.4)</f>
        <v>8.4</v>
      </c>
      <c r="L31" s="24">
        <f>IFERROR(__xludf.DUMMYFUNCTION("""COMPUTED_VALUE"""),33.0)</f>
        <v>33</v>
      </c>
      <c r="M31" s="25" t="str">
        <f>IFERROR(__xludf.DUMMYFUNCTION("""COMPUTED_VALUE"""),"Survival")</f>
        <v>Survival</v>
      </c>
      <c r="N31" s="25"/>
      <c r="O31" s="26" t="str">
        <f>IFERROR(__xludf.DUMMYFUNCTION("""COMPUTED_VALUE"""),"No")</f>
        <v>No</v>
      </c>
      <c r="P31" s="26"/>
    </row>
    <row r="32">
      <c r="A32" s="13" t="str">
        <f>IFERROR(__xludf.DUMMYFUNCTION("""COMPUTED_VALUE"""),"Sly 2: Band of Thieves")</f>
        <v>Sly 2: Band of Thieves</v>
      </c>
      <c r="B32" s="15" t="str">
        <f>IFERROR(__xludf.DUMMYFUNCTION("""COMPUTED_VALUE"""),"PS5/PS4")</f>
        <v>PS5/PS4</v>
      </c>
      <c r="C32" s="16" t="str">
        <f>IFERROR(__xludf.DUMMYFUNCTION("""COMPUTED_VALUE"""),"Premium (Classics)")</f>
        <v>Premium (Classics)</v>
      </c>
      <c r="D32" s="15" t="str">
        <f>IFERROR(__xludf.DUMMYFUNCTION("""COMPUTED_VALUE"""),"Active")</f>
        <v>Active</v>
      </c>
      <c r="E32" s="17">
        <f>IFERROR(__xludf.DUMMYFUNCTION("""COMPUTED_VALUE"""),45643.0)</f>
        <v>45643</v>
      </c>
      <c r="F32" s="54"/>
      <c r="G32" s="19">
        <f>IFERROR(__xludf.DUMMYFUNCTION("""COMPUTED_VALUE"""),21.633333333333333)</f>
        <v>21.63333333</v>
      </c>
      <c r="H32" s="17">
        <f>IFERROR(__xludf.DUMMYFUNCTION("""COMPUTED_VALUE"""),38244.0)</f>
        <v>38244</v>
      </c>
      <c r="I32" s="19">
        <f>IFERROR(__xludf.DUMMYFUNCTION("""COMPUTED_VALUE"""),20.258333333333333)</f>
        <v>20.25833333</v>
      </c>
      <c r="J32" s="21">
        <f>IFERROR(__xludf.DUMMYFUNCTION("""COMPUTED_VALUE"""),88.0)</f>
        <v>88</v>
      </c>
      <c r="K32" s="23">
        <f>IFERROR(__xludf.DUMMYFUNCTION("""COMPUTED_VALUE"""),8.9)</f>
        <v>8.9</v>
      </c>
      <c r="L32" s="24">
        <f>IFERROR(__xludf.DUMMYFUNCTION("""COMPUTED_VALUE"""),15.0)</f>
        <v>15</v>
      </c>
      <c r="M32" s="25" t="str">
        <f>IFERROR(__xludf.DUMMYFUNCTION("""COMPUTED_VALUE"""),"Platformer")</f>
        <v>Platformer</v>
      </c>
      <c r="N32" s="25" t="str">
        <f>IFERROR(__xludf.DUMMYFUNCTION("""COMPUTED_VALUE"""),"PS2")</f>
        <v>PS2</v>
      </c>
      <c r="O32" s="26" t="str">
        <f>IFERROR(__xludf.DUMMYFUNCTION("""COMPUTED_VALUE"""),"Yes")</f>
        <v>Yes</v>
      </c>
      <c r="P32" s="26"/>
    </row>
    <row r="33">
      <c r="A33" s="13" t="str">
        <f>IFERROR(__xludf.DUMMYFUNCTION("""COMPUTED_VALUE"""),"Ratchet and Clank: Rift Apart")</f>
        <v>Ratchet and Clank: Rift Apart</v>
      </c>
      <c r="B33" s="15" t="str">
        <f>IFERROR(__xludf.DUMMYFUNCTION("""COMPUTED_VALUE"""),"PS5")</f>
        <v>PS5</v>
      </c>
      <c r="C33" s="16" t="str">
        <f>IFERROR(__xludf.DUMMYFUNCTION("""COMPUTED_VALUE"""),"Extra")</f>
        <v>Extra</v>
      </c>
      <c r="D33" s="15" t="str">
        <f>IFERROR(__xludf.DUMMYFUNCTION("""COMPUTED_VALUE"""),"Active")</f>
        <v>Active</v>
      </c>
      <c r="E33" s="17">
        <f>IFERROR(__xludf.DUMMYFUNCTION("""COMPUTED_VALUE"""),45062.0)</f>
        <v>45062</v>
      </c>
      <c r="F33" s="54"/>
      <c r="G33" s="19">
        <f>IFERROR(__xludf.DUMMYFUNCTION("""COMPUTED_VALUE"""),40.666666666666664)</f>
        <v>40.66666667</v>
      </c>
      <c r="H33" s="17">
        <f>IFERROR(__xludf.DUMMYFUNCTION("""COMPUTED_VALUE"""),44358.0)</f>
        <v>44358</v>
      </c>
      <c r="I33" s="19">
        <f>IFERROR(__xludf.DUMMYFUNCTION("""COMPUTED_VALUE"""),1.9305555555555556)</f>
        <v>1.930555556</v>
      </c>
      <c r="J33" s="21">
        <f>IFERROR(__xludf.DUMMYFUNCTION("""COMPUTED_VALUE"""),88.0)</f>
        <v>88</v>
      </c>
      <c r="K33" s="23">
        <f>IFERROR(__xludf.DUMMYFUNCTION("""COMPUTED_VALUE"""),8.5)</f>
        <v>8.5</v>
      </c>
      <c r="L33" s="24">
        <f>IFERROR(__xludf.DUMMYFUNCTION("""COMPUTED_VALUE"""),11.0)</f>
        <v>11</v>
      </c>
      <c r="M33" s="25" t="str">
        <f>IFERROR(__xludf.DUMMYFUNCTION("""COMPUTED_VALUE"""),"Platformer")</f>
        <v>Platformer</v>
      </c>
      <c r="N33" s="25"/>
      <c r="O33" s="26" t="str">
        <f>IFERROR(__xludf.DUMMYFUNCTION("""COMPUTED_VALUE"""),"Portal (PS5 + Premium)")</f>
        <v>Portal (PS5 + Premium)</v>
      </c>
      <c r="P33" s="26"/>
    </row>
    <row r="34">
      <c r="A34" s="13" t="str">
        <f>IFERROR(__xludf.DUMMYFUNCTION("""COMPUTED_VALUE"""),"R4: Ridge Racer Type 4")</f>
        <v>R4: Ridge Racer Type 4</v>
      </c>
      <c r="B34" s="15" t="str">
        <f>IFERROR(__xludf.DUMMYFUNCTION("""COMPUTED_VALUE"""),"PS5/PS4")</f>
        <v>PS5/PS4</v>
      </c>
      <c r="C34" s="16" t="str">
        <f>IFERROR(__xludf.DUMMYFUNCTION("""COMPUTED_VALUE"""),"Premium (Classics)")</f>
        <v>Premium (Classics)</v>
      </c>
      <c r="D34" s="15" t="str">
        <f>IFERROR(__xludf.DUMMYFUNCTION("""COMPUTED_VALUE"""),"Active")</f>
        <v>Active</v>
      </c>
      <c r="E34" s="17">
        <f>IFERROR(__xludf.DUMMYFUNCTION("""COMPUTED_VALUE"""),45006.0)</f>
        <v>45006</v>
      </c>
      <c r="F34" s="54"/>
      <c r="G34" s="19">
        <f>IFERROR(__xludf.DUMMYFUNCTION("""COMPUTED_VALUE"""),42.5)</f>
        <v>42.5</v>
      </c>
      <c r="H34" s="17">
        <f>IFERROR(__xludf.DUMMYFUNCTION("""COMPUTED_VALUE"""),36281.0)</f>
        <v>36281</v>
      </c>
      <c r="I34" s="19">
        <f>IFERROR(__xludf.DUMMYFUNCTION("""COMPUTED_VALUE"""),23.88888888888889)</f>
        <v>23.88888889</v>
      </c>
      <c r="J34" s="21">
        <f>IFERROR(__xludf.DUMMYFUNCTION("""COMPUTED_VALUE"""),88.0)</f>
        <v>88</v>
      </c>
      <c r="K34" s="23">
        <f>IFERROR(__xludf.DUMMYFUNCTION("""COMPUTED_VALUE"""),8.7)</f>
        <v>8.7</v>
      </c>
      <c r="L34" s="24">
        <f>IFERROR(__xludf.DUMMYFUNCTION("""COMPUTED_VALUE"""),2.0)</f>
        <v>2</v>
      </c>
      <c r="M34" s="25" t="str">
        <f>IFERROR(__xludf.DUMMYFUNCTION("""COMPUTED_VALUE"""),"Racing")</f>
        <v>Racing</v>
      </c>
      <c r="N34" s="25" t="str">
        <f>IFERROR(__xludf.DUMMYFUNCTION("""COMPUTED_VALUE"""),"PS1")</f>
        <v>PS1</v>
      </c>
      <c r="O34" s="26" t="str">
        <f>IFERROR(__xludf.DUMMYFUNCTION("""COMPUTED_VALUE"""),"Yes")</f>
        <v>Yes</v>
      </c>
      <c r="P34" s="26"/>
    </row>
    <row r="35">
      <c r="A35" s="13" t="str">
        <f>IFERROR(__xludf.DUMMYFUNCTION("""COMPUTED_VALUE"""),"Oddworld: Abe's Exoddus")</f>
        <v>Oddworld: Abe's Exoddus</v>
      </c>
      <c r="B35" s="15" t="str">
        <f>IFERROR(__xludf.DUMMYFUNCTION("""COMPUTED_VALUE"""),"PS5/PS4")</f>
        <v>PS5/PS4</v>
      </c>
      <c r="C35" s="16" t="str">
        <f>IFERROR(__xludf.DUMMYFUNCTION("""COMPUTED_VALUE"""),"Premium (Classics)")</f>
        <v>Premium (Classics)</v>
      </c>
      <c r="D35" s="15" t="str">
        <f>IFERROR(__xludf.DUMMYFUNCTION("""COMPUTED_VALUE"""),"Active")</f>
        <v>Active</v>
      </c>
      <c r="E35" s="17">
        <f>IFERROR(__xludf.DUMMYFUNCTION("""COMPUTED_VALUE"""),44915.0)</f>
        <v>44915</v>
      </c>
      <c r="F35" s="54"/>
      <c r="G35" s="19">
        <f>IFERROR(__xludf.DUMMYFUNCTION("""COMPUTED_VALUE"""),45.53333333333333)</f>
        <v>45.53333333</v>
      </c>
      <c r="H35" s="17">
        <f>IFERROR(__xludf.DUMMYFUNCTION("""COMPUTED_VALUE"""),36099.0)</f>
        <v>36099</v>
      </c>
      <c r="I35" s="19">
        <f>IFERROR(__xludf.DUMMYFUNCTION("""COMPUTED_VALUE"""),24.13888888888889)</f>
        <v>24.13888889</v>
      </c>
      <c r="J35" s="21">
        <f>IFERROR(__xludf.DUMMYFUNCTION("""COMPUTED_VALUE"""),88.0)</f>
        <v>88</v>
      </c>
      <c r="K35" s="23">
        <f>IFERROR(__xludf.DUMMYFUNCTION("""COMPUTED_VALUE"""),8.6)</f>
        <v>8.6</v>
      </c>
      <c r="L35" s="24">
        <f>IFERROR(__xludf.DUMMYFUNCTION("""COMPUTED_VALUE"""),15.0)</f>
        <v>15</v>
      </c>
      <c r="M35" s="25" t="str">
        <f>IFERROR(__xludf.DUMMYFUNCTION("""COMPUTED_VALUE"""),"Action-Adventure")</f>
        <v>Action-Adventure</v>
      </c>
      <c r="N35" s="25" t="str">
        <f>IFERROR(__xludf.DUMMYFUNCTION("""COMPUTED_VALUE"""),"PS1")</f>
        <v>PS1</v>
      </c>
      <c r="O35" s="26" t="str">
        <f>IFERROR(__xludf.DUMMYFUNCTION("""COMPUTED_VALUE"""),"Yes")</f>
        <v>Yes</v>
      </c>
      <c r="P35" s="26"/>
    </row>
    <row r="36">
      <c r="A36" s="13" t="str">
        <f>IFERROR(__xludf.DUMMYFUNCTION("""COMPUTED_VALUE"""),"Final Fantasy XVI")</f>
        <v>Final Fantasy XVI</v>
      </c>
      <c r="B36" s="15" t="str">
        <f>IFERROR(__xludf.DUMMYFUNCTION("""COMPUTED_VALUE"""),"PS5")</f>
        <v>PS5</v>
      </c>
      <c r="C36" s="16" t="str">
        <f>IFERROR(__xludf.DUMMYFUNCTION("""COMPUTED_VALUE"""),"Extra")</f>
        <v>Extra</v>
      </c>
      <c r="D36" s="15" t="str">
        <f>IFERROR(__xludf.DUMMYFUNCTION("""COMPUTED_VALUE"""),"Active")</f>
        <v>Active</v>
      </c>
      <c r="E36" s="17">
        <f>IFERROR(__xludf.DUMMYFUNCTION("""COMPUTED_VALUE"""),46189.0)</f>
        <v>46189</v>
      </c>
      <c r="F36" s="54"/>
      <c r="G36" s="19">
        <f>IFERROR(__xludf.DUMMYFUNCTION("""COMPUTED_VALUE"""),3.666666666666667)</f>
        <v>3.666666667</v>
      </c>
      <c r="H36" s="17">
        <f>IFERROR(__xludf.DUMMYFUNCTION("""COMPUTED_VALUE"""),45099.0)</f>
        <v>45099</v>
      </c>
      <c r="I36" s="19">
        <f>IFERROR(__xludf.DUMMYFUNCTION("""COMPUTED_VALUE"""),2.9833333333333334)</f>
        <v>2.983333333</v>
      </c>
      <c r="J36" s="21">
        <f>IFERROR(__xludf.DUMMYFUNCTION("""COMPUTED_VALUE"""),87.0)</f>
        <v>87</v>
      </c>
      <c r="K36" s="23">
        <f>IFERROR(__xludf.DUMMYFUNCTION("""COMPUTED_VALUE"""),8.4)</f>
        <v>8.4</v>
      </c>
      <c r="L36" s="24">
        <f>IFERROR(__xludf.DUMMYFUNCTION("""COMPUTED_VALUE"""),34.0)</f>
        <v>34</v>
      </c>
      <c r="M36" s="25" t="str">
        <f>IFERROR(__xludf.DUMMYFUNCTION("""COMPUTED_VALUE"""),"RPG")</f>
        <v>RPG</v>
      </c>
      <c r="N36" s="25"/>
      <c r="O36" s="26" t="str">
        <f>IFERROR(__xludf.DUMMYFUNCTION("""COMPUTED_VALUE"""),"No")</f>
        <v>No</v>
      </c>
      <c r="P36" s="26"/>
    </row>
    <row r="37">
      <c r="A37" s="13" t="str">
        <f>IFERROR(__xludf.DUMMYFUNCTION("""COMPUTED_VALUE"""),"Blasphemous 2")</f>
        <v>Blasphemous 2</v>
      </c>
      <c r="B37" s="15" t="str">
        <f>IFERROR(__xludf.DUMMYFUNCTION("""COMPUTED_VALUE"""),"PS5/PS4")</f>
        <v>PS5/PS4</v>
      </c>
      <c r="C37" s="16" t="str">
        <f>IFERROR(__xludf.DUMMYFUNCTION("""COMPUTED_VALUE"""),"Extra")</f>
        <v>Extra</v>
      </c>
      <c r="D37" s="15" t="str">
        <f>IFERROR(__xludf.DUMMYFUNCTION("""COMPUTED_VALUE"""),"Active")</f>
        <v>Active</v>
      </c>
      <c r="E37" s="17">
        <f>IFERROR(__xludf.DUMMYFUNCTION("""COMPUTED_VALUE"""),46098.0)</f>
        <v>46098</v>
      </c>
      <c r="F37" s="54"/>
      <c r="G37" s="19">
        <f>IFERROR(__xludf.DUMMYFUNCTION("""COMPUTED_VALUE"""),6.633333333333334)</f>
        <v>6.633333333</v>
      </c>
      <c r="H37" s="17">
        <f>IFERROR(__xludf.DUMMYFUNCTION("""COMPUTED_VALUE"""),45162.0)</f>
        <v>45162</v>
      </c>
      <c r="I37" s="19">
        <f>IFERROR(__xludf.DUMMYFUNCTION("""COMPUTED_VALUE"""),2.563888888888889)</f>
        <v>2.563888889</v>
      </c>
      <c r="J37" s="21">
        <f>IFERROR(__xludf.DUMMYFUNCTION("""COMPUTED_VALUE"""),87.0)</f>
        <v>87</v>
      </c>
      <c r="K37" s="23">
        <f>IFERROR(__xludf.DUMMYFUNCTION("""COMPUTED_VALUE"""),8.6)</f>
        <v>8.6</v>
      </c>
      <c r="L37" s="24">
        <f>IFERROR(__xludf.DUMMYFUNCTION("""COMPUTED_VALUE"""),15.0)</f>
        <v>15</v>
      </c>
      <c r="M37" s="25" t="str">
        <f>IFERROR(__xludf.DUMMYFUNCTION("""COMPUTED_VALUE"""),"Action-Adventure")</f>
        <v>Action-Adventure</v>
      </c>
      <c r="N37" s="25"/>
      <c r="O37" s="26"/>
      <c r="P37" s="26"/>
    </row>
    <row r="38">
      <c r="A38" s="13" t="str">
        <f>IFERROR(__xludf.DUMMYFUNCTION("""COMPUTED_VALUE"""),"Neva")</f>
        <v>Neva</v>
      </c>
      <c r="B38" s="15" t="str">
        <f>IFERROR(__xludf.DUMMYFUNCTION("""COMPUTED_VALUE"""),"PS5/PS4")</f>
        <v>PS5/PS4</v>
      </c>
      <c r="C38" s="16" t="str">
        <f>IFERROR(__xludf.DUMMYFUNCTION("""COMPUTED_VALUE"""),"Extra")</f>
        <v>Extra</v>
      </c>
      <c r="D38" s="15" t="str">
        <f>IFERROR(__xludf.DUMMYFUNCTION("""COMPUTED_VALUE"""),"Active")</f>
        <v>Active</v>
      </c>
      <c r="E38" s="17">
        <f>IFERROR(__xludf.DUMMYFUNCTION("""COMPUTED_VALUE"""),46070.0)</f>
        <v>46070</v>
      </c>
      <c r="F38" s="54"/>
      <c r="G38" s="19">
        <f>IFERROR(__xludf.DUMMYFUNCTION("""COMPUTED_VALUE"""),7.633333333333333)</f>
        <v>7.633333333</v>
      </c>
      <c r="H38" s="17">
        <f>IFERROR(__xludf.DUMMYFUNCTION("""COMPUTED_VALUE"""),45580.0)</f>
        <v>45580</v>
      </c>
      <c r="I38" s="19">
        <f>IFERROR(__xludf.DUMMYFUNCTION("""COMPUTED_VALUE"""),1.3388888888888888)</f>
        <v>1.338888889</v>
      </c>
      <c r="J38" s="21">
        <f>IFERROR(__xludf.DUMMYFUNCTION("""COMPUTED_VALUE"""),87.0)</f>
        <v>87</v>
      </c>
      <c r="K38" s="23">
        <f>IFERROR(__xludf.DUMMYFUNCTION("""COMPUTED_VALUE"""),8.3)</f>
        <v>8.3</v>
      </c>
      <c r="L38" s="24">
        <f>IFERROR(__xludf.DUMMYFUNCTION("""COMPUTED_VALUE"""),4.0)</f>
        <v>4</v>
      </c>
      <c r="M38" s="25" t="str">
        <f>IFERROR(__xludf.DUMMYFUNCTION("""COMPUTED_VALUE"""),"Action-Adventure")</f>
        <v>Action-Adventure</v>
      </c>
      <c r="N38" s="25"/>
      <c r="O38" s="26"/>
      <c r="P38" s="26"/>
    </row>
    <row r="39">
      <c r="A39" s="13" t="str">
        <f>IFERROR(__xludf.DUMMYFUNCTION("""COMPUTED_VALUE"""),"Marvel's Spider-Man")</f>
        <v>Marvel's Spider-Man</v>
      </c>
      <c r="B39" s="15" t="str">
        <f>IFERROR(__xludf.DUMMYFUNCTION("""COMPUTED_VALUE"""),"PS5/PS4")</f>
        <v>PS5/PS4</v>
      </c>
      <c r="C39" s="16" t="str">
        <f>IFERROR(__xludf.DUMMYFUNCTION("""COMPUTED_VALUE"""),"Extra")</f>
        <v>Extra</v>
      </c>
      <c r="D39" s="15" t="str">
        <f>IFERROR(__xludf.DUMMYFUNCTION("""COMPUTED_VALUE"""),"Active")</f>
        <v>Active</v>
      </c>
      <c r="E39" s="17">
        <f>IFERROR(__xludf.DUMMYFUNCTION("""COMPUTED_VALUE"""),45888.0)</f>
        <v>45888</v>
      </c>
      <c r="F39" s="54"/>
      <c r="G39" s="19">
        <f>IFERROR(__xludf.DUMMYFUNCTION("""COMPUTED_VALUE"""),13.566666666666666)</f>
        <v>13.56666667</v>
      </c>
      <c r="H39" s="17">
        <f>IFERROR(__xludf.DUMMYFUNCTION("""COMPUTED_VALUE"""),43350.0)</f>
        <v>43350</v>
      </c>
      <c r="I39" s="19">
        <f>IFERROR(__xludf.DUMMYFUNCTION("""COMPUTED_VALUE"""),6.95)</f>
        <v>6.95</v>
      </c>
      <c r="J39" s="21">
        <f>IFERROR(__xludf.DUMMYFUNCTION("""COMPUTED_VALUE"""),87.0)</f>
        <v>87</v>
      </c>
      <c r="K39" s="23">
        <f>IFERROR(__xludf.DUMMYFUNCTION("""COMPUTED_VALUE"""),8.7)</f>
        <v>8.7</v>
      </c>
      <c r="L39" s="24">
        <f>IFERROR(__xludf.DUMMYFUNCTION("""COMPUTED_VALUE"""),17.0)</f>
        <v>17</v>
      </c>
      <c r="M39" s="25" t="str">
        <f>IFERROR(__xludf.DUMMYFUNCTION("""COMPUTED_VALUE"""),"Action-Adventure")</f>
        <v>Action-Adventure</v>
      </c>
      <c r="N39" s="25" t="str">
        <f>IFERROR(__xludf.DUMMYFUNCTION("""COMPUTED_VALUE"""),"Remasteref for PS5 and GOTy for PS4")</f>
        <v>Remasteref for PS5 and GOTy for PS4</v>
      </c>
      <c r="O39" s="26"/>
      <c r="P39" s="26"/>
    </row>
    <row r="40">
      <c r="A40" s="13" t="str">
        <f>IFERROR(__xludf.DUMMYFUNCTION("""COMPUTED_VALUE"""),"Sword of the Sea")</f>
        <v>Sword of the Sea</v>
      </c>
      <c r="B40" s="15" t="str">
        <f>IFERROR(__xludf.DUMMYFUNCTION("""COMPUTED_VALUE"""),"PS5")</f>
        <v>PS5</v>
      </c>
      <c r="C40" s="16" t="str">
        <f>IFERROR(__xludf.DUMMYFUNCTION("""COMPUTED_VALUE"""),"Extra")</f>
        <v>Extra</v>
      </c>
      <c r="D40" s="15" t="str">
        <f>IFERROR(__xludf.DUMMYFUNCTION("""COMPUTED_VALUE"""),"Active")</f>
        <v>Active</v>
      </c>
      <c r="E40" s="17">
        <f>IFERROR(__xludf.DUMMYFUNCTION("""COMPUTED_VALUE"""),45888.0)</f>
        <v>45888</v>
      </c>
      <c r="F40" s="54"/>
      <c r="G40" s="19">
        <f>IFERROR(__xludf.DUMMYFUNCTION("""COMPUTED_VALUE"""),13.566666666666666)</f>
        <v>13.56666667</v>
      </c>
      <c r="H40" s="17">
        <f>IFERROR(__xludf.DUMMYFUNCTION("""COMPUTED_VALUE"""),45888.0)</f>
        <v>45888</v>
      </c>
      <c r="I40" s="19">
        <f>IFERROR(__xludf.DUMMYFUNCTION("""COMPUTED_VALUE"""),0.0)</f>
        <v>0</v>
      </c>
      <c r="J40" s="21">
        <f>IFERROR(__xludf.DUMMYFUNCTION("""COMPUTED_VALUE"""),87.0)</f>
        <v>87</v>
      </c>
      <c r="K40" s="23">
        <f>IFERROR(__xludf.DUMMYFUNCTION("""COMPUTED_VALUE"""),8.7)</f>
        <v>8.7</v>
      </c>
      <c r="L40" s="24">
        <f>IFERROR(__xludf.DUMMYFUNCTION("""COMPUTED_VALUE"""),3.0)</f>
        <v>3</v>
      </c>
      <c r="M40" s="25" t="str">
        <f>IFERROR(__xludf.DUMMYFUNCTION("""COMPUTED_VALUE"""),"Action-Adventure")</f>
        <v>Action-Adventure</v>
      </c>
      <c r="N40" s="25"/>
      <c r="O40" s="26" t="str">
        <f>IFERROR(__xludf.DUMMYFUNCTION("""COMPUTED_VALUE"""),"No")</f>
        <v>No</v>
      </c>
      <c r="P40" s="26"/>
    </row>
    <row r="41">
      <c r="A41" s="13" t="str">
        <f>IFERROR(__xludf.DUMMYFUNCTION("""COMPUTED_VALUE"""),"Return to Monkey Island")</f>
        <v>Return to Monkey Island</v>
      </c>
      <c r="B41" s="15" t="str">
        <f>IFERROR(__xludf.DUMMYFUNCTION("""COMPUTED_VALUE"""),"PS5")</f>
        <v>PS5</v>
      </c>
      <c r="C41" s="16" t="str">
        <f>IFERROR(__xludf.DUMMYFUNCTION("""COMPUTED_VALUE"""),"Extra")</f>
        <v>Extra</v>
      </c>
      <c r="D41" s="15" t="str">
        <f>IFERROR(__xludf.DUMMYFUNCTION("""COMPUTED_VALUE"""),"Active")</f>
        <v>Active</v>
      </c>
      <c r="E41" s="17">
        <f>IFERROR(__xludf.DUMMYFUNCTION("""COMPUTED_VALUE"""),45580.0)</f>
        <v>45580</v>
      </c>
      <c r="F41" s="54"/>
      <c r="G41" s="19">
        <f>IFERROR(__xludf.DUMMYFUNCTION("""COMPUTED_VALUE"""),23.700000000000003)</f>
        <v>23.7</v>
      </c>
      <c r="H41" s="17">
        <f>IFERROR(__xludf.DUMMYFUNCTION("""COMPUTED_VALUE"""),44774.0)</f>
        <v>44774</v>
      </c>
      <c r="I41" s="19">
        <f>IFERROR(__xludf.DUMMYFUNCTION("""COMPUTED_VALUE"""),2.2055555555555557)</f>
        <v>2.205555556</v>
      </c>
      <c r="J41" s="21">
        <f>IFERROR(__xludf.DUMMYFUNCTION("""COMPUTED_VALUE"""),87.0)</f>
        <v>87</v>
      </c>
      <c r="K41" s="23">
        <f>IFERROR(__xludf.DUMMYFUNCTION("""COMPUTED_VALUE"""),7.6)</f>
        <v>7.6</v>
      </c>
      <c r="L41" s="24">
        <f>IFERROR(__xludf.DUMMYFUNCTION("""COMPUTED_VALUE"""),10.0)</f>
        <v>10</v>
      </c>
      <c r="M41" s="25" t="str">
        <f>IFERROR(__xludf.DUMMYFUNCTION("""COMPUTED_VALUE"""),"Point-and-Click ")</f>
        <v>Point-and-Click </v>
      </c>
      <c r="N41" s="25"/>
      <c r="O41" s="26" t="str">
        <f>IFERROR(__xludf.DUMMYFUNCTION("""COMPUTED_VALUE"""),"Portal (PS5 + Premium)")</f>
        <v>Portal (PS5 + Premium)</v>
      </c>
      <c r="P41" s="26"/>
    </row>
    <row r="42">
      <c r="A42" s="13" t="str">
        <f>IFERROR(__xludf.DUMMYFUNCTION("""COMPUTED_VALUE"""),"Jeanne d'Arc")</f>
        <v>Jeanne d'Arc</v>
      </c>
      <c r="B42" s="15" t="str">
        <f>IFERROR(__xludf.DUMMYFUNCTION("""COMPUTED_VALUE"""),"PS5/PS4")</f>
        <v>PS5/PS4</v>
      </c>
      <c r="C42" s="16" t="str">
        <f>IFERROR(__xludf.DUMMYFUNCTION("""COMPUTED_VALUE"""),"Premium (Classics)")</f>
        <v>Premium (Classics)</v>
      </c>
      <c r="D42" s="15" t="str">
        <f>IFERROR(__xludf.DUMMYFUNCTION("""COMPUTED_VALUE"""),"Active")</f>
        <v>Active</v>
      </c>
      <c r="E42" s="17">
        <f>IFERROR(__xludf.DUMMYFUNCTION("""COMPUTED_VALUE"""),45489.0)</f>
        <v>45489</v>
      </c>
      <c r="F42" s="54"/>
      <c r="G42" s="19">
        <f>IFERROR(__xludf.DUMMYFUNCTION("""COMPUTED_VALUE"""),26.666666666666668)</f>
        <v>26.66666667</v>
      </c>
      <c r="H42" s="17">
        <f>IFERROR(__xludf.DUMMYFUNCTION("""COMPUTED_VALUE"""),39315.0)</f>
        <v>39315</v>
      </c>
      <c r="I42" s="19">
        <f>IFERROR(__xludf.DUMMYFUNCTION("""COMPUTED_VALUE"""),16.90277777777778)</f>
        <v>16.90277778</v>
      </c>
      <c r="J42" s="21">
        <f>IFERROR(__xludf.DUMMYFUNCTION("""COMPUTED_VALUE"""),87.0)</f>
        <v>87</v>
      </c>
      <c r="K42" s="23">
        <f>IFERROR(__xludf.DUMMYFUNCTION("""COMPUTED_VALUE"""),8.8)</f>
        <v>8.8</v>
      </c>
      <c r="L42" s="24">
        <f>IFERROR(__xludf.DUMMYFUNCTION("""COMPUTED_VALUE"""),32.0)</f>
        <v>32</v>
      </c>
      <c r="M42" s="25" t="str">
        <f>IFERROR(__xludf.DUMMYFUNCTION("""COMPUTED_VALUE"""),"Strategy")</f>
        <v>Strategy</v>
      </c>
      <c r="N42" s="25" t="str">
        <f>IFERROR(__xludf.DUMMYFUNCTION("""COMPUTED_VALUE"""),"PSP")</f>
        <v>PSP</v>
      </c>
      <c r="O42" s="26" t="str">
        <f>IFERROR(__xludf.DUMMYFUNCTION("""COMPUTED_VALUE"""),"Yes")</f>
        <v>Yes</v>
      </c>
      <c r="P42" s="26"/>
    </row>
    <row r="43">
      <c r="A43" s="13" t="str">
        <f>IFERROR(__xludf.DUMMYFUNCTION("""COMPUTED_VALUE"""),"Destiny 2: The Witch Queen")</f>
        <v>Destiny 2: The Witch Queen</v>
      </c>
      <c r="B43" s="15" t="str">
        <f>IFERROR(__xludf.DUMMYFUNCTION("""COMPUTED_VALUE"""),"PS5/PS4")</f>
        <v>PS5/PS4</v>
      </c>
      <c r="C43" s="16" t="str">
        <f>IFERROR(__xludf.DUMMYFUNCTION("""COMPUTED_VALUE"""),"Extra")</f>
        <v>Extra</v>
      </c>
      <c r="D43" s="15" t="str">
        <f>IFERROR(__xludf.DUMMYFUNCTION("""COMPUTED_VALUE"""),"Active")</f>
        <v>Active</v>
      </c>
      <c r="E43" s="17">
        <f>IFERROR(__xludf.DUMMYFUNCTION("""COMPUTED_VALUE"""),45153.0)</f>
        <v>45153</v>
      </c>
      <c r="F43" s="54"/>
      <c r="G43" s="19">
        <f>IFERROR(__xludf.DUMMYFUNCTION("""COMPUTED_VALUE"""),37.7)</f>
        <v>37.7</v>
      </c>
      <c r="H43" s="17">
        <f>IFERROR(__xludf.DUMMYFUNCTION("""COMPUTED_VALUE"""),44614.0)</f>
        <v>44614</v>
      </c>
      <c r="I43" s="19">
        <f>IFERROR(__xludf.DUMMYFUNCTION("""COMPUTED_VALUE"""),1.4805555555555556)</f>
        <v>1.480555556</v>
      </c>
      <c r="J43" s="21">
        <f>IFERROR(__xludf.DUMMYFUNCTION("""COMPUTED_VALUE"""),87.0)</f>
        <v>87</v>
      </c>
      <c r="K43" s="23">
        <f>IFERROR(__xludf.DUMMYFUNCTION("""COMPUTED_VALUE"""),7.9)</f>
        <v>7.9</v>
      </c>
      <c r="L43" s="24">
        <f>IFERROR(__xludf.DUMMYFUNCTION("""COMPUTED_VALUE"""),12.0)</f>
        <v>12</v>
      </c>
      <c r="M43" s="25" t="str">
        <f>IFERROR(__xludf.DUMMYFUNCTION("""COMPUTED_VALUE"""),"Shooter")</f>
        <v>Shooter</v>
      </c>
      <c r="N43" s="25"/>
      <c r="O43" s="26" t="str">
        <f>IFERROR(__xludf.DUMMYFUNCTION("""COMPUTED_VALUE"""),"No")</f>
        <v>No</v>
      </c>
      <c r="P43" s="26"/>
    </row>
    <row r="44">
      <c r="A44" s="13" t="str">
        <f>IFERROR(__xludf.DUMMYFUNCTION("""COMPUTED_VALUE"""),"DOOM: Eternal")</f>
        <v>DOOM: Eternal</v>
      </c>
      <c r="B44" s="15" t="str">
        <f>IFERROR(__xludf.DUMMYFUNCTION("""COMPUTED_VALUE"""),"PS5/PS4")</f>
        <v>PS5/PS4</v>
      </c>
      <c r="C44" s="16" t="str">
        <f>IFERROR(__xludf.DUMMYFUNCTION("""COMPUTED_VALUE"""),"Extra")</f>
        <v>Extra</v>
      </c>
      <c r="D44" s="15" t="str">
        <f>IFERROR(__xludf.DUMMYFUNCTION("""COMPUTED_VALUE"""),"Active")</f>
        <v>Active</v>
      </c>
      <c r="E44" s="17">
        <f>IFERROR(__xludf.DUMMYFUNCTION("""COMPUTED_VALUE"""),45034.0)</f>
        <v>45034</v>
      </c>
      <c r="F44" s="54"/>
      <c r="G44" s="19">
        <f>IFERROR(__xludf.DUMMYFUNCTION("""COMPUTED_VALUE"""),41.6)</f>
        <v>41.6</v>
      </c>
      <c r="H44" s="17">
        <f>IFERROR(__xludf.DUMMYFUNCTION("""COMPUTED_VALUE"""),43910.0)</f>
        <v>43910</v>
      </c>
      <c r="I44" s="19">
        <f>IFERROR(__xludf.DUMMYFUNCTION("""COMPUTED_VALUE"""),3.077777777777778)</f>
        <v>3.077777778</v>
      </c>
      <c r="J44" s="21">
        <f>IFERROR(__xludf.DUMMYFUNCTION("""COMPUTED_VALUE"""),87.0)</f>
        <v>87</v>
      </c>
      <c r="K44" s="23">
        <f>IFERROR(__xludf.DUMMYFUNCTION("""COMPUTED_VALUE"""),8.9)</f>
        <v>8.9</v>
      </c>
      <c r="L44" s="24">
        <f>IFERROR(__xludf.DUMMYFUNCTION("""COMPUTED_VALUE"""),15.0)</f>
        <v>15</v>
      </c>
      <c r="M44" s="25" t="str">
        <f>IFERROR(__xludf.DUMMYFUNCTION("""COMPUTED_VALUE"""),"Shooter")</f>
        <v>Shooter</v>
      </c>
      <c r="N44" s="25"/>
      <c r="O44" s="26" t="str">
        <f>IFERROR(__xludf.DUMMYFUNCTION("""COMPUTED_VALUE"""),"Portal (PS5 + Premium)")</f>
        <v>Portal (PS5 + Premium)</v>
      </c>
      <c r="P44" s="26"/>
    </row>
    <row r="45">
      <c r="A45" s="13" t="str">
        <f>IFERROR(__xludf.DUMMYFUNCTION("""COMPUTED_VALUE"""),"Monster Boy and the Cursed Kingdom")</f>
        <v>Monster Boy and the Cursed Kingdom</v>
      </c>
      <c r="B45" s="15" t="str">
        <f>IFERROR(__xludf.DUMMYFUNCTION("""COMPUTED_VALUE"""),"PS5/PS4")</f>
        <v>PS5/PS4</v>
      </c>
      <c r="C45" s="16" t="str">
        <f>IFERROR(__xludf.DUMMYFUNCTION("""COMPUTED_VALUE"""),"Extra")</f>
        <v>Extra</v>
      </c>
      <c r="D45" s="15" t="str">
        <f>IFERROR(__xludf.DUMMYFUNCTION("""COMPUTED_VALUE"""),"Active")</f>
        <v>Active</v>
      </c>
      <c r="E45" s="17">
        <f>IFERROR(__xludf.DUMMYFUNCTION("""COMPUTED_VALUE"""),45034.0)</f>
        <v>45034</v>
      </c>
      <c r="F45" s="54"/>
      <c r="G45" s="19">
        <f>IFERROR(__xludf.DUMMYFUNCTION("""COMPUTED_VALUE"""),41.6)</f>
        <v>41.6</v>
      </c>
      <c r="H45" s="17">
        <f>IFERROR(__xludf.DUMMYFUNCTION("""COMPUTED_VALUE"""),43438.0)</f>
        <v>43438</v>
      </c>
      <c r="I45" s="19">
        <f>IFERROR(__xludf.DUMMYFUNCTION("""COMPUTED_VALUE"""),4.372222222222222)</f>
        <v>4.372222222</v>
      </c>
      <c r="J45" s="21">
        <f>IFERROR(__xludf.DUMMYFUNCTION("""COMPUTED_VALUE"""),87.0)</f>
        <v>87</v>
      </c>
      <c r="K45" s="23">
        <f>IFERROR(__xludf.DUMMYFUNCTION("""COMPUTED_VALUE"""),8.0)</f>
        <v>8</v>
      </c>
      <c r="L45" s="24">
        <f>IFERROR(__xludf.DUMMYFUNCTION("""COMPUTED_VALUE"""),19.0)</f>
        <v>19</v>
      </c>
      <c r="M45" s="25" t="str">
        <f>IFERROR(__xludf.DUMMYFUNCTION("""COMPUTED_VALUE"""),"Platformer")</f>
        <v>Platformer</v>
      </c>
      <c r="N45" s="25"/>
      <c r="O45" s="26" t="str">
        <f>IFERROR(__xludf.DUMMYFUNCTION("""COMPUTED_VALUE"""),"Yes")</f>
        <v>Yes</v>
      </c>
      <c r="P45" s="26"/>
    </row>
    <row r="46">
      <c r="A46" s="13" t="str">
        <f>IFERROR(__xludf.DUMMYFUNCTION("""COMPUTED_VALUE"""),"UNCHARTED: Legacy of Thieves Collection")</f>
        <v>UNCHARTED: Legacy of Thieves Collection</v>
      </c>
      <c r="B46" s="15" t="str">
        <f>IFERROR(__xludf.DUMMYFUNCTION("""COMPUTED_VALUE"""),"PS5")</f>
        <v>PS5</v>
      </c>
      <c r="C46" s="16" t="str">
        <f>IFERROR(__xludf.DUMMYFUNCTION("""COMPUTED_VALUE"""),"Extra")</f>
        <v>Extra</v>
      </c>
      <c r="D46" s="15" t="str">
        <f>IFERROR(__xludf.DUMMYFUNCTION("""COMPUTED_VALUE"""),"Active")</f>
        <v>Active</v>
      </c>
      <c r="E46" s="17">
        <f>IFERROR(__xludf.DUMMYFUNCTION("""COMPUTED_VALUE"""),45006.0)</f>
        <v>45006</v>
      </c>
      <c r="F46" s="54"/>
      <c r="G46" s="19">
        <f>IFERROR(__xludf.DUMMYFUNCTION("""COMPUTED_VALUE"""),42.5)</f>
        <v>42.5</v>
      </c>
      <c r="H46" s="17">
        <f>IFERROR(__xludf.DUMMYFUNCTION("""COMPUTED_VALUE"""),44589.0)</f>
        <v>44589</v>
      </c>
      <c r="I46" s="19">
        <f>IFERROR(__xludf.DUMMYFUNCTION("""COMPUTED_VALUE"""),1.1472222222222221)</f>
        <v>1.147222222</v>
      </c>
      <c r="J46" s="21">
        <f>IFERROR(__xludf.DUMMYFUNCTION("""COMPUTED_VALUE"""),87.0)</f>
        <v>87</v>
      </c>
      <c r="K46" s="23">
        <f>IFERROR(__xludf.DUMMYFUNCTION("""COMPUTED_VALUE"""),8.7)</f>
        <v>8.7</v>
      </c>
      <c r="L46" s="24">
        <f>IFERROR(__xludf.DUMMYFUNCTION("""COMPUTED_VALUE"""),21.0)</f>
        <v>21</v>
      </c>
      <c r="M46" s="25" t="str">
        <f>IFERROR(__xludf.DUMMYFUNCTION("""COMPUTED_VALUE"""),"Action-Adventure")</f>
        <v>Action-Adventure</v>
      </c>
      <c r="N46" s="25"/>
      <c r="O46" s="26" t="str">
        <f>IFERROR(__xludf.DUMMYFUNCTION("""COMPUTED_VALUE"""),"Portal (PS5 + Premium)")</f>
        <v>Portal (PS5 + Premium)</v>
      </c>
      <c r="P46" s="26"/>
    </row>
    <row r="47">
      <c r="A47" s="13" t="str">
        <f>IFERROR(__xludf.DUMMYFUNCTION("""COMPUTED_VALUE"""),"Syphon Filter: Dark Mirror")</f>
        <v>Syphon Filter: Dark Mirror</v>
      </c>
      <c r="B47" s="15" t="str">
        <f>IFERROR(__xludf.DUMMYFUNCTION("""COMPUTED_VALUE"""),"PS5/PS4")</f>
        <v>PS5/PS4</v>
      </c>
      <c r="C47" s="16" t="str">
        <f>IFERROR(__xludf.DUMMYFUNCTION("""COMPUTED_VALUE"""),"Premium (Classics)")</f>
        <v>Premium (Classics)</v>
      </c>
      <c r="D47" s="15" t="str">
        <f>IFERROR(__xludf.DUMMYFUNCTION("""COMPUTED_VALUE"""),"Active")</f>
        <v>Active</v>
      </c>
      <c r="E47" s="17">
        <f>IFERROR(__xludf.DUMMYFUNCTION("""COMPUTED_VALUE"""),45006.0)</f>
        <v>45006</v>
      </c>
      <c r="F47" s="54"/>
      <c r="G47" s="19">
        <f>IFERROR(__xludf.DUMMYFUNCTION("""COMPUTED_VALUE"""),42.5)</f>
        <v>42.5</v>
      </c>
      <c r="H47" s="17">
        <f>IFERROR(__xludf.DUMMYFUNCTION("""COMPUTED_VALUE"""),38790.0)</f>
        <v>38790</v>
      </c>
      <c r="I47" s="19">
        <f>IFERROR(__xludf.DUMMYFUNCTION("""COMPUTED_VALUE"""),17.019444444444446)</f>
        <v>17.01944444</v>
      </c>
      <c r="J47" s="21">
        <f>IFERROR(__xludf.DUMMYFUNCTION("""COMPUTED_VALUE"""),87.0)</f>
        <v>87</v>
      </c>
      <c r="K47" s="23">
        <f>IFERROR(__xludf.DUMMYFUNCTION("""COMPUTED_VALUE"""),8.5)</f>
        <v>8.5</v>
      </c>
      <c r="L47" s="24">
        <f>IFERROR(__xludf.DUMMYFUNCTION("""COMPUTED_VALUE"""),7.0)</f>
        <v>7</v>
      </c>
      <c r="M47" s="25" t="str">
        <f>IFERROR(__xludf.DUMMYFUNCTION("""COMPUTED_VALUE"""),"Shooter")</f>
        <v>Shooter</v>
      </c>
      <c r="N47" s="25" t="str">
        <f>IFERROR(__xludf.DUMMYFUNCTION("""COMPUTED_VALUE"""),"PSP")</f>
        <v>PSP</v>
      </c>
      <c r="O47" s="26" t="str">
        <f>IFERROR(__xludf.DUMMYFUNCTION("""COMPUTED_VALUE"""),"Yes")</f>
        <v>Yes</v>
      </c>
      <c r="P47" s="26"/>
    </row>
    <row r="48">
      <c r="A48" s="13" t="str">
        <f>IFERROR(__xludf.DUMMYFUNCTION("""COMPUTED_VALUE"""),"Hotline Miami")</f>
        <v>Hotline Miami</v>
      </c>
      <c r="B48" s="15" t="str">
        <f>IFERROR(__xludf.DUMMYFUNCTION("""COMPUTED_VALUE"""),"PS5/PS4")</f>
        <v>PS5/PS4</v>
      </c>
      <c r="C48" s="16" t="str">
        <f>IFERROR(__xludf.DUMMYFUNCTION("""COMPUTED_VALUE"""),"Extra")</f>
        <v>Extra</v>
      </c>
      <c r="D48" s="15" t="str">
        <f>IFERROR(__xludf.DUMMYFUNCTION("""COMPUTED_VALUE"""),"Active")</f>
        <v>Active</v>
      </c>
      <c r="E48" s="17">
        <f>IFERROR(__xludf.DUMMYFUNCTION("""COMPUTED_VALUE"""),42017.0)</f>
        <v>42017</v>
      </c>
      <c r="F48" s="18"/>
      <c r="G48" s="19">
        <f>IFERROR(__xludf.DUMMYFUNCTION("""COMPUTED_VALUE"""),140.76666666666668)</f>
        <v>140.7666667</v>
      </c>
      <c r="H48" s="17">
        <f>IFERROR(__xludf.DUMMYFUNCTION("""COMPUTED_VALUE"""),41205.0)</f>
        <v>41205</v>
      </c>
      <c r="I48" s="19">
        <f>IFERROR(__xludf.DUMMYFUNCTION("""COMPUTED_VALUE"""),2.2222222222222223)</f>
        <v>2.222222222</v>
      </c>
      <c r="J48" s="21">
        <f>IFERROR(__xludf.DUMMYFUNCTION("""COMPUTED_VALUE"""),87.0)</f>
        <v>87</v>
      </c>
      <c r="K48" s="23">
        <f>IFERROR(__xludf.DUMMYFUNCTION("""COMPUTED_VALUE"""),8.4)</f>
        <v>8.4</v>
      </c>
      <c r="L48" s="24">
        <f>IFERROR(__xludf.DUMMYFUNCTION("""COMPUTED_VALUE"""),5.0)</f>
        <v>5</v>
      </c>
      <c r="M48" s="25" t="str">
        <f>IFERROR(__xludf.DUMMYFUNCTION("""COMPUTED_VALUE"""),"Action-Adventure")</f>
        <v>Action-Adventure</v>
      </c>
      <c r="N48" s="25"/>
      <c r="O48" s="26" t="str">
        <f>IFERROR(__xludf.DUMMYFUNCTION("""COMPUTED_VALUE"""),"No")</f>
        <v>No</v>
      </c>
      <c r="P48" s="26"/>
    </row>
    <row r="49">
      <c r="A49" s="13" t="str">
        <f>IFERROR(__xludf.DUMMYFUNCTION("""COMPUTED_VALUE"""),"Vampire Survivors")</f>
        <v>Vampire Survivors</v>
      </c>
      <c r="B49" s="15" t="str">
        <f>IFERROR(__xludf.DUMMYFUNCTION("""COMPUTED_VALUE"""),"PS5/PS4")</f>
        <v>PS5/PS4</v>
      </c>
      <c r="C49" s="16" t="str">
        <f>IFERROR(__xludf.DUMMYFUNCTION("""COMPUTED_VALUE"""),"Extra")</f>
        <v>Extra</v>
      </c>
      <c r="D49" s="15" t="str">
        <f>IFERROR(__xludf.DUMMYFUNCTION("""COMPUTED_VALUE"""),"Active")</f>
        <v>Active</v>
      </c>
      <c r="E49" s="17">
        <f>IFERROR(__xludf.DUMMYFUNCTION("""COMPUTED_VALUE"""),46252.0)</f>
        <v>46252</v>
      </c>
      <c r="F49" s="18"/>
      <c r="G49" s="19">
        <f>IFERROR(__xludf.DUMMYFUNCTION("""COMPUTED_VALUE"""),1.6)</f>
        <v>1.6</v>
      </c>
      <c r="H49" s="17">
        <f>IFERROR(__xludf.DUMMYFUNCTION("""COMPUTED_VALUE"""),44854.0)</f>
        <v>44854</v>
      </c>
      <c r="I49" s="19">
        <f>IFERROR(__xludf.DUMMYFUNCTION("""COMPUTED_VALUE"""),3.827777777777778)</f>
        <v>3.827777778</v>
      </c>
      <c r="J49" s="21">
        <f>IFERROR(__xludf.DUMMYFUNCTION("""COMPUTED_VALUE"""),86.0)</f>
        <v>86</v>
      </c>
      <c r="K49" s="23">
        <f>IFERROR(__xludf.DUMMYFUNCTION("""COMPUTED_VALUE"""),8.1)</f>
        <v>8.1</v>
      </c>
      <c r="L49" s="24">
        <f>IFERROR(__xludf.DUMMYFUNCTION("""COMPUTED_VALUE"""),15.0)</f>
        <v>15</v>
      </c>
      <c r="M49" s="25" t="str">
        <f>IFERROR(__xludf.DUMMYFUNCTION("""COMPUTED_VALUE"""),"Shoot-'Em-Up")</f>
        <v>Shoot-'Em-Up</v>
      </c>
      <c r="N49" s="25"/>
      <c r="O49" s="26"/>
      <c r="P49" s="26"/>
    </row>
    <row r="50">
      <c r="A50" s="13" t="str">
        <f>IFERROR(__xludf.DUMMYFUNCTION("""COMPUTED_VALUE"""),"Citizen Sleeper 2: Starward Vector")</f>
        <v>Citizen Sleeper 2: Starward Vector</v>
      </c>
      <c r="B50" s="15" t="str">
        <f>IFERROR(__xludf.DUMMYFUNCTION("""COMPUTED_VALUE"""),"PS5")</f>
        <v>PS5</v>
      </c>
      <c r="C50" s="16" t="str">
        <f>IFERROR(__xludf.DUMMYFUNCTION("""COMPUTED_VALUE"""),"Extra")</f>
        <v>Extra</v>
      </c>
      <c r="D50" s="15" t="str">
        <f>IFERROR(__xludf.DUMMYFUNCTION("""COMPUTED_VALUE"""),"Active")</f>
        <v>Active</v>
      </c>
      <c r="E50" s="17">
        <f>IFERROR(__xludf.DUMMYFUNCTION("""COMPUTED_VALUE"""),46231.0)</f>
        <v>46231</v>
      </c>
      <c r="F50" s="54"/>
      <c r="G50" s="19">
        <f>IFERROR(__xludf.DUMMYFUNCTION("""COMPUTED_VALUE"""),2.2666666666666666)</f>
        <v>2.266666667</v>
      </c>
      <c r="H50" s="17">
        <f>IFERROR(__xludf.DUMMYFUNCTION("""COMPUTED_VALUE"""),45688.0)</f>
        <v>45688</v>
      </c>
      <c r="I50" s="19">
        <f>IFERROR(__xludf.DUMMYFUNCTION("""COMPUTED_VALUE"""),1.4944444444444445)</f>
        <v>1.494444444</v>
      </c>
      <c r="J50" s="21">
        <f>IFERROR(__xludf.DUMMYFUNCTION("""COMPUTED_VALUE"""),86.0)</f>
        <v>86</v>
      </c>
      <c r="K50" s="23">
        <f>IFERROR(__xludf.DUMMYFUNCTION("""COMPUTED_VALUE"""),8.3)</f>
        <v>8.3</v>
      </c>
      <c r="L50" s="24">
        <f>IFERROR(__xludf.DUMMYFUNCTION("""COMPUTED_VALUE"""),12.0)</f>
        <v>12</v>
      </c>
      <c r="M50" s="25" t="str">
        <f>IFERROR(__xludf.DUMMYFUNCTION("""COMPUTED_VALUE"""),"RPG")</f>
        <v>RPG</v>
      </c>
      <c r="N50" s="25"/>
      <c r="O50" s="26" t="str">
        <f>IFERROR(__xludf.DUMMYFUNCTION("""COMPUTED_VALUE"""),"No")</f>
        <v>No</v>
      </c>
      <c r="P50" s="26"/>
    </row>
    <row r="51">
      <c r="A51" s="13" t="str">
        <f>IFERROR(__xludf.DUMMYFUNCTION("""COMPUTED_VALUE"""),"Monster Train")</f>
        <v>Monster Train</v>
      </c>
      <c r="B51" s="15" t="str">
        <f>IFERROR(__xludf.DUMMYFUNCTION("""COMPUTED_VALUE"""),"PS5")</f>
        <v>PS5</v>
      </c>
      <c r="C51" s="16" t="str">
        <f>IFERROR(__xludf.DUMMYFUNCTION("""COMPUTED_VALUE"""),"Extra")</f>
        <v>Extra</v>
      </c>
      <c r="D51" s="15" t="str">
        <f>IFERROR(__xludf.DUMMYFUNCTION("""COMPUTED_VALUE"""),"Active")</f>
        <v>Active</v>
      </c>
      <c r="E51" s="17">
        <f>IFERROR(__xludf.DUMMYFUNCTION("""COMPUTED_VALUE"""),46133.0)</f>
        <v>46133</v>
      </c>
      <c r="F51" s="54"/>
      <c r="G51" s="19">
        <f>IFERROR(__xludf.DUMMYFUNCTION("""COMPUTED_VALUE"""),5.5)</f>
        <v>5.5</v>
      </c>
      <c r="H51" s="17">
        <f>IFERROR(__xludf.DUMMYFUNCTION("""COMPUTED_VALUE"""),43972.0)</f>
        <v>43972</v>
      </c>
      <c r="I51" s="19">
        <f>IFERROR(__xludf.DUMMYFUNCTION("""COMPUTED_VALUE"""),5.916666666666667)</f>
        <v>5.916666667</v>
      </c>
      <c r="J51" s="21">
        <f>IFERROR(__xludf.DUMMYFUNCTION("""COMPUTED_VALUE"""),86.0)</f>
        <v>86</v>
      </c>
      <c r="K51" s="23">
        <f>IFERROR(__xludf.DUMMYFUNCTION("""COMPUTED_VALUE"""),7.8)</f>
        <v>7.8</v>
      </c>
      <c r="L51" s="24">
        <f>IFERROR(__xludf.DUMMYFUNCTION("""COMPUTED_VALUE"""),12.0)</f>
        <v>12</v>
      </c>
      <c r="M51" s="25" t="str">
        <f>IFERROR(__xludf.DUMMYFUNCTION("""COMPUTED_VALUE"""),"Strategy")</f>
        <v>Strategy</v>
      </c>
      <c r="N51" s="25"/>
      <c r="O51" s="26" t="str">
        <f>IFERROR(__xludf.DUMMYFUNCTION("""COMPUTED_VALUE"""),"No")</f>
        <v>No</v>
      </c>
      <c r="P51" s="26"/>
    </row>
    <row r="52">
      <c r="A52" s="13" t="str">
        <f>IFERROR(__xludf.DUMMYFUNCTION("""COMPUTED_VALUE"""),"Soulcalibur III")</f>
        <v>Soulcalibur III</v>
      </c>
      <c r="B52" s="15" t="str">
        <f>IFERROR(__xludf.DUMMYFUNCTION("""COMPUTED_VALUE"""),"PS5/PS4")</f>
        <v>PS5/PS4</v>
      </c>
      <c r="C52" s="16" t="str">
        <f>IFERROR(__xludf.DUMMYFUNCTION("""COMPUTED_VALUE"""),"Premium (Classics)")</f>
        <v>Premium (Classics)</v>
      </c>
      <c r="D52" s="15" t="str">
        <f>IFERROR(__xludf.DUMMYFUNCTION("""COMPUTED_VALUE"""),"Active")</f>
        <v>Active</v>
      </c>
      <c r="E52" s="17">
        <f>IFERROR(__xludf.DUMMYFUNCTION("""COMPUTED_VALUE"""),46007.0)</f>
        <v>46007</v>
      </c>
      <c r="F52" s="54"/>
      <c r="G52" s="19">
        <f>IFERROR(__xludf.DUMMYFUNCTION("""COMPUTED_VALUE"""),9.666666666666668)</f>
        <v>9.666666667</v>
      </c>
      <c r="H52" s="17">
        <f>IFERROR(__xludf.DUMMYFUNCTION("""COMPUTED_VALUE"""),38650.0)</f>
        <v>38650</v>
      </c>
      <c r="I52" s="19">
        <f>IFERROR(__xludf.DUMMYFUNCTION("""COMPUTED_VALUE"""),20.141666666666666)</f>
        <v>20.14166667</v>
      </c>
      <c r="J52" s="21">
        <f>IFERROR(__xludf.DUMMYFUNCTION("""COMPUTED_VALUE"""),86.0)</f>
        <v>86</v>
      </c>
      <c r="K52" s="23">
        <f>IFERROR(__xludf.DUMMYFUNCTION("""COMPUTED_VALUE"""),8.5)</f>
        <v>8.5</v>
      </c>
      <c r="L52" s="24">
        <f>IFERROR(__xludf.DUMMYFUNCTION("""COMPUTED_VALUE"""),3.0)</f>
        <v>3</v>
      </c>
      <c r="M52" s="25" t="str">
        <f>IFERROR(__xludf.DUMMYFUNCTION("""COMPUTED_VALUE"""),"Fighting")</f>
        <v>Fighting</v>
      </c>
      <c r="N52" s="25" t="str">
        <f>IFERROR(__xludf.DUMMYFUNCTION("""COMPUTED_VALUE"""),"PS2")</f>
        <v>PS2</v>
      </c>
      <c r="O52" s="26"/>
      <c r="P52" s="26"/>
    </row>
    <row r="53">
      <c r="A53" s="13" t="str">
        <f>IFERROR(__xludf.DUMMYFUNCTION("""COMPUTED_VALUE"""),"Cyberpunk 2077")</f>
        <v>Cyberpunk 2077</v>
      </c>
      <c r="B53" s="15" t="str">
        <f>IFERROR(__xludf.DUMMYFUNCTION("""COMPUTED_VALUE"""),"PS5/PS4")</f>
        <v>PS5/PS4</v>
      </c>
      <c r="C53" s="16" t="str">
        <f>IFERROR(__xludf.DUMMYFUNCTION("""COMPUTED_VALUE"""),"Extra")</f>
        <v>Extra</v>
      </c>
      <c r="D53" s="15" t="str">
        <f>IFERROR(__xludf.DUMMYFUNCTION("""COMPUTED_VALUE"""),"Active")</f>
        <v>Active</v>
      </c>
      <c r="E53" s="17">
        <f>IFERROR(__xludf.DUMMYFUNCTION("""COMPUTED_VALUE"""),45847.0)</f>
        <v>45847</v>
      </c>
      <c r="F53" s="54"/>
      <c r="G53" s="19">
        <f>IFERROR(__xludf.DUMMYFUNCTION("""COMPUTED_VALUE"""),14.9)</f>
        <v>14.9</v>
      </c>
      <c r="H53" s="17">
        <f>IFERROR(__xludf.DUMMYFUNCTION("""COMPUTED_VALUE"""),44175.0)</f>
        <v>44175</v>
      </c>
      <c r="I53" s="19">
        <f>IFERROR(__xludf.DUMMYFUNCTION("""COMPUTED_VALUE"""),4.580555555555556)</f>
        <v>4.580555556</v>
      </c>
      <c r="J53" s="21">
        <f>IFERROR(__xludf.DUMMYFUNCTION("""COMPUTED_VALUE"""),86.0)</f>
        <v>86</v>
      </c>
      <c r="K53" s="23">
        <f>IFERROR(__xludf.DUMMYFUNCTION("""COMPUTED_VALUE"""),7.3)</f>
        <v>7.3</v>
      </c>
      <c r="L53" s="24">
        <f>IFERROR(__xludf.DUMMYFUNCTION("""COMPUTED_VALUE"""),26.0)</f>
        <v>26</v>
      </c>
      <c r="M53" s="25" t="str">
        <f>IFERROR(__xludf.DUMMYFUNCTION("""COMPUTED_VALUE"""),"RPG")</f>
        <v>RPG</v>
      </c>
      <c r="N53" s="25"/>
      <c r="O53" s="26"/>
      <c r="P53" s="26"/>
    </row>
    <row r="54">
      <c r="A54" s="13" t="str">
        <f>IFERROR(__xludf.DUMMYFUNCTION("""COMPUTED_VALUE"""),"Prince of Persia: The Lost Crown")</f>
        <v>Prince of Persia: The Lost Crown</v>
      </c>
      <c r="B54" s="15" t="str">
        <f>IFERROR(__xludf.DUMMYFUNCTION("""COMPUTED_VALUE"""),"PS5/PS4")</f>
        <v>PS5/PS4</v>
      </c>
      <c r="C54" s="16" t="str">
        <f>IFERROR(__xludf.DUMMYFUNCTION("""COMPUTED_VALUE"""),"Extra")</f>
        <v>Extra</v>
      </c>
      <c r="D54" s="15" t="str">
        <f>IFERROR(__xludf.DUMMYFUNCTION("""COMPUTED_VALUE"""),"Active")</f>
        <v>Active</v>
      </c>
      <c r="E54" s="17">
        <f>IFERROR(__xludf.DUMMYFUNCTION("""COMPUTED_VALUE"""),45734.0)</f>
        <v>45734</v>
      </c>
      <c r="F54" s="54"/>
      <c r="G54" s="19">
        <f>IFERROR(__xludf.DUMMYFUNCTION("""COMPUTED_VALUE"""),18.6)</f>
        <v>18.6</v>
      </c>
      <c r="H54" s="17">
        <f>IFERROR(__xludf.DUMMYFUNCTION("""COMPUTED_VALUE"""),45309.0)</f>
        <v>45309</v>
      </c>
      <c r="I54" s="19">
        <f>IFERROR(__xludf.DUMMYFUNCTION("""COMPUTED_VALUE"""),1.1666666666666667)</f>
        <v>1.166666667</v>
      </c>
      <c r="J54" s="21">
        <f>IFERROR(__xludf.DUMMYFUNCTION("""COMPUTED_VALUE"""),86.0)</f>
        <v>86</v>
      </c>
      <c r="K54" s="23">
        <f>IFERROR(__xludf.DUMMYFUNCTION("""COMPUTED_VALUE"""),8.5)</f>
        <v>8.5</v>
      </c>
      <c r="L54" s="24">
        <f>IFERROR(__xludf.DUMMYFUNCTION("""COMPUTED_VALUE"""),17.0)</f>
        <v>17</v>
      </c>
      <c r="M54" s="25" t="str">
        <f>IFERROR(__xludf.DUMMYFUNCTION("""COMPUTED_VALUE"""),"Metroidvania")</f>
        <v>Metroidvania</v>
      </c>
      <c r="N54" s="25"/>
      <c r="O54" s="26" t="str">
        <f>IFERROR(__xludf.DUMMYFUNCTION("""COMPUTED_VALUE"""),"No")</f>
        <v>No</v>
      </c>
      <c r="P54" s="26"/>
    </row>
    <row r="55">
      <c r="A55" s="13" t="str">
        <f>IFERROR(__xludf.DUMMYFUNCTION("""COMPUTED_VALUE"""),"Bang-On Balls: Chronicles")</f>
        <v>Bang-On Balls: Chronicles</v>
      </c>
      <c r="B55" s="15" t="str">
        <f>IFERROR(__xludf.DUMMYFUNCTION("""COMPUTED_VALUE"""),"PS5/PS4")</f>
        <v>PS5/PS4</v>
      </c>
      <c r="C55" s="16" t="str">
        <f>IFERROR(__xludf.DUMMYFUNCTION("""COMPUTED_VALUE"""),"Extra")</f>
        <v>Extra</v>
      </c>
      <c r="D55" s="15" t="str">
        <f>IFERROR(__xludf.DUMMYFUNCTION("""COMPUTED_VALUE"""),"Active")</f>
        <v>Active</v>
      </c>
      <c r="E55" s="17">
        <f>IFERROR(__xludf.DUMMYFUNCTION("""COMPUTED_VALUE"""),45734.0)</f>
        <v>45734</v>
      </c>
      <c r="F55" s="54"/>
      <c r="G55" s="19">
        <f>IFERROR(__xludf.DUMMYFUNCTION("""COMPUTED_VALUE"""),18.6)</f>
        <v>18.6</v>
      </c>
      <c r="H55" s="17">
        <f>IFERROR(__xludf.DUMMYFUNCTION("""COMPUTED_VALUE"""),45204.0)</f>
        <v>45204</v>
      </c>
      <c r="I55" s="19">
        <f>IFERROR(__xludf.DUMMYFUNCTION("""COMPUTED_VALUE"""),1.4527777777777777)</f>
        <v>1.452777778</v>
      </c>
      <c r="J55" s="21">
        <f>IFERROR(__xludf.DUMMYFUNCTION("""COMPUTED_VALUE"""),86.0)</f>
        <v>86</v>
      </c>
      <c r="K55" s="23">
        <f>IFERROR(__xludf.DUMMYFUNCTION("""COMPUTED_VALUE"""),7.8)</f>
        <v>7.8</v>
      </c>
      <c r="L55" s="24">
        <f>IFERROR(__xludf.DUMMYFUNCTION("""COMPUTED_VALUE"""),3.0)</f>
        <v>3</v>
      </c>
      <c r="M55" s="25" t="str">
        <f>IFERROR(__xludf.DUMMYFUNCTION("""COMPUTED_VALUE"""),"Platformer")</f>
        <v>Platformer</v>
      </c>
      <c r="N55" s="25"/>
      <c r="O55" s="26" t="str">
        <f>IFERROR(__xludf.DUMMYFUNCTION("""COMPUTED_VALUE"""),"Yes")</f>
        <v>Yes</v>
      </c>
      <c r="P55" s="26"/>
    </row>
    <row r="56">
      <c r="A56" s="13" t="str">
        <f>IFERROR(__xludf.DUMMYFUNCTION("""COMPUTED_VALUE"""),"Sly Cooper and the Thievius Raccoonus")</f>
        <v>Sly Cooper and the Thievius Raccoonus</v>
      </c>
      <c r="B56" s="15" t="str">
        <f>IFERROR(__xludf.DUMMYFUNCTION("""COMPUTED_VALUE"""),"PS5/PS4")</f>
        <v>PS5/PS4</v>
      </c>
      <c r="C56" s="16" t="str">
        <f>IFERROR(__xludf.DUMMYFUNCTION("""COMPUTED_VALUE"""),"Premium (Classics)")</f>
        <v>Premium (Classics)</v>
      </c>
      <c r="D56" s="15" t="str">
        <f>IFERROR(__xludf.DUMMYFUNCTION("""COMPUTED_VALUE"""),"Active")</f>
        <v>Active</v>
      </c>
      <c r="E56" s="17">
        <f>IFERROR(__xludf.DUMMYFUNCTION("""COMPUTED_VALUE"""),45454.0)</f>
        <v>45454</v>
      </c>
      <c r="F56" s="54"/>
      <c r="G56" s="19">
        <f>IFERROR(__xludf.DUMMYFUNCTION("""COMPUTED_VALUE"""),27.833333333333336)</f>
        <v>27.83333333</v>
      </c>
      <c r="H56" s="17">
        <f>IFERROR(__xludf.DUMMYFUNCTION("""COMPUTED_VALUE"""),37522.0)</f>
        <v>37522</v>
      </c>
      <c r="I56" s="19">
        <f>IFERROR(__xludf.DUMMYFUNCTION("""COMPUTED_VALUE"""),21.716666666666665)</f>
        <v>21.71666667</v>
      </c>
      <c r="J56" s="21">
        <f>IFERROR(__xludf.DUMMYFUNCTION("""COMPUTED_VALUE"""),86.0)</f>
        <v>86</v>
      </c>
      <c r="K56" s="23">
        <f>IFERROR(__xludf.DUMMYFUNCTION("""COMPUTED_VALUE"""),8.7)</f>
        <v>8.7</v>
      </c>
      <c r="L56" s="24">
        <f>IFERROR(__xludf.DUMMYFUNCTION("""COMPUTED_VALUE"""),7.0)</f>
        <v>7</v>
      </c>
      <c r="M56" s="25" t="str">
        <f>IFERROR(__xludf.DUMMYFUNCTION("""COMPUTED_VALUE"""),"Platformer")</f>
        <v>Platformer</v>
      </c>
      <c r="N56" s="25" t="str">
        <f>IFERROR(__xludf.DUMMYFUNCTION("""COMPUTED_VALUE"""),"PS2")</f>
        <v>PS2</v>
      </c>
      <c r="O56" s="26" t="str">
        <f>IFERROR(__xludf.DUMMYFUNCTION("""COMPUTED_VALUE"""),"Yes")</f>
        <v>Yes</v>
      </c>
      <c r="P56" s="26"/>
    </row>
    <row r="57">
      <c r="A57" s="13" t="str">
        <f>IFERROR(__xludf.DUMMYFUNCTION("""COMPUTED_VALUE"""),"Humanity")</f>
        <v>Humanity</v>
      </c>
      <c r="B57" s="15" t="str">
        <f>IFERROR(__xludf.DUMMYFUNCTION("""COMPUTED_VALUE"""),"PS5/PS4")</f>
        <v>PS5/PS4</v>
      </c>
      <c r="C57" s="16" t="str">
        <f>IFERROR(__xludf.DUMMYFUNCTION("""COMPUTED_VALUE"""),"Extra")</f>
        <v>Extra</v>
      </c>
      <c r="D57" s="15" t="str">
        <f>IFERROR(__xludf.DUMMYFUNCTION("""COMPUTED_VALUE"""),"Active")</f>
        <v>Active</v>
      </c>
      <c r="E57" s="17">
        <f>IFERROR(__xludf.DUMMYFUNCTION("""COMPUTED_VALUE"""),45062.0)</f>
        <v>45062</v>
      </c>
      <c r="F57" s="54"/>
      <c r="G57" s="19">
        <f>IFERROR(__xludf.DUMMYFUNCTION("""COMPUTED_VALUE"""),40.666666666666664)</f>
        <v>40.66666667</v>
      </c>
      <c r="H57" s="17">
        <f>IFERROR(__xludf.DUMMYFUNCTION("""COMPUTED_VALUE"""),45062.0)</f>
        <v>45062</v>
      </c>
      <c r="I57" s="19">
        <f>IFERROR(__xludf.DUMMYFUNCTION("""COMPUTED_VALUE"""),0.0)</f>
        <v>0</v>
      </c>
      <c r="J57" s="21">
        <f>IFERROR(__xludf.DUMMYFUNCTION("""COMPUTED_VALUE"""),86.0)</f>
        <v>86</v>
      </c>
      <c r="K57" s="23">
        <f>IFERROR(__xludf.DUMMYFUNCTION("""COMPUTED_VALUE"""),8.9)</f>
        <v>8.9</v>
      </c>
      <c r="L57" s="24">
        <f>IFERROR(__xludf.DUMMYFUNCTION("""COMPUTED_VALUE"""),12.0)</f>
        <v>12</v>
      </c>
      <c r="M57" s="25" t="str">
        <f>IFERROR(__xludf.DUMMYFUNCTION("""COMPUTED_VALUE"""),"Action-Adventure")</f>
        <v>Action-Adventure</v>
      </c>
      <c r="N57" s="25"/>
      <c r="O57" s="26" t="str">
        <f>IFERROR(__xludf.DUMMYFUNCTION("""COMPUTED_VALUE"""),"Yes")</f>
        <v>Yes</v>
      </c>
      <c r="P57" s="26"/>
    </row>
    <row r="58">
      <c r="A58" s="13" t="str">
        <f>IFERROR(__xludf.DUMMYFUNCTION("""COMPUTED_VALUE"""),"Returnal")</f>
        <v>Returnal</v>
      </c>
      <c r="B58" s="15" t="str">
        <f>IFERROR(__xludf.DUMMYFUNCTION("""COMPUTED_VALUE"""),"PS5")</f>
        <v>PS5</v>
      </c>
      <c r="C58" s="16" t="str">
        <f>IFERROR(__xludf.DUMMYFUNCTION("""COMPUTED_VALUE"""),"Extra")</f>
        <v>Extra</v>
      </c>
      <c r="D58" s="15" t="str">
        <f>IFERROR(__xludf.DUMMYFUNCTION("""COMPUTED_VALUE"""),"Active")</f>
        <v>Active</v>
      </c>
      <c r="E58" s="17">
        <f>IFERROR(__xludf.DUMMYFUNCTION("""COMPUTED_VALUE"""),44725.0)</f>
        <v>44725</v>
      </c>
      <c r="F58" s="54"/>
      <c r="G58" s="19">
        <f>IFERROR(__xludf.DUMMYFUNCTION("""COMPUTED_VALUE"""),51.766666666666666)</f>
        <v>51.76666667</v>
      </c>
      <c r="H58" s="17">
        <f>IFERROR(__xludf.DUMMYFUNCTION("""COMPUTED_VALUE"""),44316.0)</f>
        <v>44316</v>
      </c>
      <c r="I58" s="19">
        <f>IFERROR(__xludf.DUMMYFUNCTION("""COMPUTED_VALUE"""),1.1194444444444445)</f>
        <v>1.119444444</v>
      </c>
      <c r="J58" s="21">
        <f>IFERROR(__xludf.DUMMYFUNCTION("""COMPUTED_VALUE"""),86.0)</f>
        <v>86</v>
      </c>
      <c r="K58" s="23">
        <f>IFERROR(__xludf.DUMMYFUNCTION("""COMPUTED_VALUE"""),7.3)</f>
        <v>7.3</v>
      </c>
      <c r="L58" s="24">
        <f>IFERROR(__xludf.DUMMYFUNCTION("""COMPUTED_VALUE"""),20.5)</f>
        <v>20.5</v>
      </c>
      <c r="M58" s="25" t="str">
        <f>IFERROR(__xludf.DUMMYFUNCTION("""COMPUTED_VALUE"""),"Shooter")</f>
        <v>Shooter</v>
      </c>
      <c r="N58" s="25"/>
      <c r="O58" s="26" t="str">
        <f>IFERROR(__xludf.DUMMYFUNCTION("""COMPUTED_VALUE"""),"No")</f>
        <v>No</v>
      </c>
      <c r="P58" s="26"/>
    </row>
    <row r="59">
      <c r="A59" s="13" t="str">
        <f>IFERROR(__xludf.DUMMYFUNCTION("""COMPUTED_VALUE"""),"Marvel's Spider-Man: Miles Morales")</f>
        <v>Marvel's Spider-Man: Miles Morales</v>
      </c>
      <c r="B59" s="15" t="str">
        <f>IFERROR(__xludf.DUMMYFUNCTION("""COMPUTED_VALUE"""),"PS5/PS4")</f>
        <v>PS5/PS4</v>
      </c>
      <c r="C59" s="16" t="str">
        <f>IFERROR(__xludf.DUMMYFUNCTION("""COMPUTED_VALUE"""),"Extra")</f>
        <v>Extra</v>
      </c>
      <c r="D59" s="15" t="str">
        <f>IFERROR(__xludf.DUMMYFUNCTION("""COMPUTED_VALUE"""),"Active")</f>
        <v>Active</v>
      </c>
      <c r="E59" s="17">
        <f>IFERROR(__xludf.DUMMYFUNCTION("""COMPUTED_VALUE"""),44725.0)</f>
        <v>44725</v>
      </c>
      <c r="F59" s="54"/>
      <c r="G59" s="19">
        <f>IFERROR(__xludf.DUMMYFUNCTION("""COMPUTED_VALUE"""),51.766666666666666)</f>
        <v>51.76666667</v>
      </c>
      <c r="H59" s="17">
        <f>IFERROR(__xludf.DUMMYFUNCTION("""COMPUTED_VALUE"""),44147.0)</f>
        <v>44147</v>
      </c>
      <c r="I59" s="19">
        <f>IFERROR(__xludf.DUMMYFUNCTION("""COMPUTED_VALUE"""),1.586111111111111)</f>
        <v>1.586111111</v>
      </c>
      <c r="J59" s="21">
        <f>IFERROR(__xludf.DUMMYFUNCTION("""COMPUTED_VALUE"""),86.0)</f>
        <v>86</v>
      </c>
      <c r="K59" s="23">
        <f>IFERROR(__xludf.DUMMYFUNCTION("""COMPUTED_VALUE"""),7.6)</f>
        <v>7.6</v>
      </c>
      <c r="L59" s="24">
        <f>IFERROR(__xludf.DUMMYFUNCTION("""COMPUTED_VALUE"""),7.5)</f>
        <v>7.5</v>
      </c>
      <c r="M59" s="25" t="str">
        <f>IFERROR(__xludf.DUMMYFUNCTION("""COMPUTED_VALUE"""),"Action-Adventure")</f>
        <v>Action-Adventure</v>
      </c>
      <c r="N59" s="25"/>
      <c r="O59" s="26" t="str">
        <f>IFERROR(__xludf.DUMMYFUNCTION("""COMPUTED_VALUE"""),"Yes")</f>
        <v>Yes</v>
      </c>
      <c r="P59" s="26"/>
    </row>
    <row r="60">
      <c r="A60" s="13" t="str">
        <f>IFERROR(__xludf.DUMMYFUNCTION("""COMPUTED_VALUE"""),"Worms Armageddon")</f>
        <v>Worms Armageddon</v>
      </c>
      <c r="B60" s="15" t="str">
        <f>IFERROR(__xludf.DUMMYFUNCTION("""COMPUTED_VALUE"""),"PS5/PS4")</f>
        <v>PS5/PS4</v>
      </c>
      <c r="C60" s="16" t="str">
        <f>IFERROR(__xludf.DUMMYFUNCTION("""COMPUTED_VALUE"""),"Premium (Classics)")</f>
        <v>Premium (Classics)</v>
      </c>
      <c r="D60" s="15" t="str">
        <f>IFERROR(__xludf.DUMMYFUNCTION("""COMPUTED_VALUE"""),"Active")</f>
        <v>Active</v>
      </c>
      <c r="E60" s="17">
        <f>IFERROR(__xludf.DUMMYFUNCTION("""COMPUTED_VALUE"""),44725.0)</f>
        <v>44725</v>
      </c>
      <c r="F60" s="54"/>
      <c r="G60" s="19">
        <f>IFERROR(__xludf.DUMMYFUNCTION("""COMPUTED_VALUE"""),51.766666666666666)</f>
        <v>51.76666667</v>
      </c>
      <c r="H60" s="17">
        <f>IFERROR(__xludf.DUMMYFUNCTION("""COMPUTED_VALUE"""),36311.0)</f>
        <v>36311</v>
      </c>
      <c r="I60" s="19">
        <f>IFERROR(__xludf.DUMMYFUNCTION("""COMPUTED_VALUE"""),23.03611111111111)</f>
        <v>23.03611111</v>
      </c>
      <c r="J60" s="21">
        <f>IFERROR(__xludf.DUMMYFUNCTION("""COMPUTED_VALUE"""),86.0)</f>
        <v>86</v>
      </c>
      <c r="K60" s="23">
        <f>IFERROR(__xludf.DUMMYFUNCTION("""COMPUTED_VALUE"""),8.8)</f>
        <v>8.8</v>
      </c>
      <c r="L60" s="24"/>
      <c r="M60" s="25" t="str">
        <f>IFERROR(__xludf.DUMMYFUNCTION("""COMPUTED_VALUE"""),"Strategy")</f>
        <v>Strategy</v>
      </c>
      <c r="N60" s="25" t="str">
        <f>IFERROR(__xludf.DUMMYFUNCTION("""COMPUTED_VALUE"""),"PS1")</f>
        <v>PS1</v>
      </c>
      <c r="O60" s="26" t="str">
        <f>IFERROR(__xludf.DUMMYFUNCTION("""COMPUTED_VALUE"""),"No")</f>
        <v>No</v>
      </c>
      <c r="P60" s="26" t="str">
        <f>IFERROR(__xludf.DUMMYFUNCTION("""COMPUTED_VALUE"""),"")</f>
        <v/>
      </c>
    </row>
    <row r="61">
      <c r="A61" s="13" t="str">
        <f>IFERROR(__xludf.DUMMYFUNCTION("""COMPUTED_VALUE"""),"Silent Hill 2 (2024)")</f>
        <v>Silent Hill 2 (2024)</v>
      </c>
      <c r="B61" s="15" t="str">
        <f>IFERROR(__xludf.DUMMYFUNCTION("""COMPUTED_VALUE"""),"PS5")</f>
        <v>PS5</v>
      </c>
      <c r="C61" s="16" t="str">
        <f>IFERROR(__xludf.DUMMYFUNCTION("""COMPUTED_VALUE"""),"Extra")</f>
        <v>Extra</v>
      </c>
      <c r="D61" s="15" t="str">
        <f>IFERROR(__xludf.DUMMYFUNCTION("""COMPUTED_VALUE"""),"Leaving Soon")</f>
        <v>Leaving Soon</v>
      </c>
      <c r="E61" s="17">
        <f>IFERROR(__xludf.DUMMYFUNCTION("""COMPUTED_VALUE"""),45951.0)</f>
        <v>45951</v>
      </c>
      <c r="F61" s="54">
        <f>IFERROR(__xludf.DUMMYFUNCTION("""COMPUTED_VALUE"""),46314.0)</f>
        <v>46314</v>
      </c>
      <c r="G61" s="19">
        <f>IFERROR(__xludf.DUMMYFUNCTION("""COMPUTED_VALUE"""),11.933333333333334)</f>
        <v>11.93333333</v>
      </c>
      <c r="H61" s="17">
        <f>IFERROR(__xludf.DUMMYFUNCTION("""COMPUTED_VALUE"""),45573.0)</f>
        <v>45573</v>
      </c>
      <c r="I61" s="19">
        <f>IFERROR(__xludf.DUMMYFUNCTION("""COMPUTED_VALUE"""),1.0361111111111112)</f>
        <v>1.036111111</v>
      </c>
      <c r="J61" s="21">
        <f>IFERROR(__xludf.DUMMYFUNCTION("""COMPUTED_VALUE"""),86.0)</f>
        <v>86</v>
      </c>
      <c r="K61" s="23">
        <f>IFERROR(__xludf.DUMMYFUNCTION("""COMPUTED_VALUE"""),9.1)</f>
        <v>9.1</v>
      </c>
      <c r="L61" s="24">
        <f>IFERROR(__xludf.DUMMYFUNCTION("""COMPUTED_VALUE"""),16.0)</f>
        <v>16</v>
      </c>
      <c r="M61" s="25" t="str">
        <f>IFERROR(__xludf.DUMMYFUNCTION("""COMPUTED_VALUE"""),"Survival")</f>
        <v>Survival</v>
      </c>
      <c r="N61" s="25"/>
      <c r="O61" s="26" t="str">
        <f>IFERROR(__xludf.DUMMYFUNCTION("""COMPUTED_VALUE"""),"No")</f>
        <v>No</v>
      </c>
      <c r="P61" s="26"/>
    </row>
    <row r="62">
      <c r="A62" s="13" t="str">
        <f>IFERROR(__xludf.DUMMYFUNCTION("""COMPUTED_VALUE"""),"Indigo Prophecy")</f>
        <v>Indigo Prophecy</v>
      </c>
      <c r="B62" s="15" t="str">
        <f>IFERROR(__xludf.DUMMYFUNCTION("""COMPUTED_VALUE"""),"PS5/PS4")</f>
        <v>PS5/PS4</v>
      </c>
      <c r="C62" s="16" t="str">
        <f>IFERROR(__xludf.DUMMYFUNCTION("""COMPUTED_VALUE"""),"Premium (Classics)")</f>
        <v>Premium (Classics)</v>
      </c>
      <c r="D62" s="15" t="str">
        <f>IFERROR(__xludf.DUMMYFUNCTION("""COMPUTED_VALUE"""),"Active")</f>
        <v>Active</v>
      </c>
      <c r="E62" s="17">
        <f>IFERROR(__xludf.DUMMYFUNCTION("""COMPUTED_VALUE"""),46224.0)</f>
        <v>46224</v>
      </c>
      <c r="F62" s="54"/>
      <c r="G62" s="19">
        <f>IFERROR(__xludf.DUMMYFUNCTION("""COMPUTED_VALUE"""),2.5)</f>
        <v>2.5</v>
      </c>
      <c r="H62" s="17">
        <f>IFERROR(__xludf.DUMMYFUNCTION("""COMPUTED_VALUE"""),38615.0)</f>
        <v>38615</v>
      </c>
      <c r="I62" s="19">
        <f>IFERROR(__xludf.DUMMYFUNCTION("""COMPUTED_VALUE"""),20.836111111111112)</f>
        <v>20.83611111</v>
      </c>
      <c r="J62" s="21">
        <f>IFERROR(__xludf.DUMMYFUNCTION("""COMPUTED_VALUE"""),85.0)</f>
        <v>85</v>
      </c>
      <c r="K62" s="23">
        <f>IFERROR(__xludf.DUMMYFUNCTION("""COMPUTED_VALUE"""),8.5)</f>
        <v>8.5</v>
      </c>
      <c r="L62" s="24">
        <f>IFERROR(__xludf.DUMMYFUNCTION("""COMPUTED_VALUE"""),9.0)</f>
        <v>9</v>
      </c>
      <c r="M62" s="25" t="str">
        <f>IFERROR(__xludf.DUMMYFUNCTION("""COMPUTED_VALUE"""),"Action-Adventure")</f>
        <v>Action-Adventure</v>
      </c>
      <c r="N62" s="25" t="str">
        <f>IFERROR(__xludf.DUMMYFUNCTION("""COMPUTED_VALUE"""),"PS2")</f>
        <v>PS2</v>
      </c>
      <c r="O62" s="26"/>
      <c r="P62" s="26"/>
    </row>
    <row r="63">
      <c r="A63" s="13" t="str">
        <f>IFERROR(__xludf.DUMMYFUNCTION("""COMPUTED_VALUE"""),"Horizon Zero Dawn: Remastered")</f>
        <v>Horizon Zero Dawn: Remastered</v>
      </c>
      <c r="B63" s="15" t="str">
        <f>IFERROR(__xludf.DUMMYFUNCTION("""COMPUTED_VALUE"""),"PS5/PS4")</f>
        <v>PS5/PS4</v>
      </c>
      <c r="C63" s="16" t="str">
        <f>IFERROR(__xludf.DUMMYFUNCTION("""COMPUTED_VALUE"""),"Extra")</f>
        <v>Extra</v>
      </c>
      <c r="D63" s="15" t="str">
        <f>IFERROR(__xludf.DUMMYFUNCTION("""COMPUTED_VALUE"""),"Active")</f>
        <v>Active</v>
      </c>
      <c r="E63" s="17">
        <f>IFERROR(__xludf.DUMMYFUNCTION("""COMPUTED_VALUE"""),46133.0)</f>
        <v>46133</v>
      </c>
      <c r="F63" s="54"/>
      <c r="G63" s="19">
        <f>IFERROR(__xludf.DUMMYFUNCTION("""COMPUTED_VALUE"""),5.5)</f>
        <v>5.5</v>
      </c>
      <c r="H63" s="17">
        <f>IFERROR(__xludf.DUMMYFUNCTION("""COMPUTED_VALUE"""),45596.0)</f>
        <v>45596</v>
      </c>
      <c r="I63" s="19">
        <f>IFERROR(__xludf.DUMMYFUNCTION("""COMPUTED_VALUE"""),1.475)</f>
        <v>1.475</v>
      </c>
      <c r="J63" s="21">
        <f>IFERROR(__xludf.DUMMYFUNCTION("""COMPUTED_VALUE"""),85.0)</f>
        <v>85</v>
      </c>
      <c r="K63" s="23">
        <f>IFERROR(__xludf.DUMMYFUNCTION("""COMPUTED_VALUE"""),7.2)</f>
        <v>7.2</v>
      </c>
      <c r="L63" s="24">
        <f>IFERROR(__xludf.DUMMYFUNCTION("""COMPUTED_VALUE"""),23.0)</f>
        <v>23</v>
      </c>
      <c r="M63" s="25" t="str">
        <f>IFERROR(__xludf.DUMMYFUNCTION("""COMPUTED_VALUE"""),"Action-Adventure")</f>
        <v>Action-Adventure</v>
      </c>
      <c r="N63" s="25" t="str">
        <f>IFERROR(__xludf.DUMMYFUNCTION("""COMPUTED_VALUE"""),"Remastered for PS5, Complete for PS4")</f>
        <v>Remastered for PS5, Complete for PS4</v>
      </c>
      <c r="O63" s="26"/>
      <c r="P63" s="26"/>
    </row>
    <row r="64">
      <c r="A64" s="13" t="str">
        <f>IFERROR(__xludf.DUMMYFUNCTION("""COMPUTED_VALUE"""),"Skate Story")</f>
        <v>Skate Story</v>
      </c>
      <c r="B64" s="15" t="str">
        <f>IFERROR(__xludf.DUMMYFUNCTION("""COMPUTED_VALUE"""),"PS5/PS4")</f>
        <v>PS5/PS4</v>
      </c>
      <c r="C64" s="16" t="str">
        <f>IFERROR(__xludf.DUMMYFUNCTION("""COMPUTED_VALUE"""),"Extra")</f>
        <v>Extra</v>
      </c>
      <c r="D64" s="15" t="str">
        <f>IFERROR(__xludf.DUMMYFUNCTION("""COMPUTED_VALUE"""),"Active")</f>
        <v>Active</v>
      </c>
      <c r="E64" s="17">
        <f>IFERROR(__xludf.DUMMYFUNCTION("""COMPUTED_VALUE"""),45999.0)</f>
        <v>45999</v>
      </c>
      <c r="F64" s="54"/>
      <c r="G64" s="19">
        <f>IFERROR(__xludf.DUMMYFUNCTION("""COMPUTED_VALUE"""),9.933333333333334)</f>
        <v>9.933333333</v>
      </c>
      <c r="H64" s="17">
        <f>IFERROR(__xludf.DUMMYFUNCTION("""COMPUTED_VALUE"""),45999.0)</f>
        <v>45999</v>
      </c>
      <c r="I64" s="19">
        <f>IFERROR(__xludf.DUMMYFUNCTION("""COMPUTED_VALUE"""),0.0)</f>
        <v>0</v>
      </c>
      <c r="J64" s="21">
        <f>IFERROR(__xludf.DUMMYFUNCTION("""COMPUTED_VALUE"""),85.0)</f>
        <v>85</v>
      </c>
      <c r="K64" s="23">
        <f>IFERROR(__xludf.DUMMYFUNCTION("""COMPUTED_VALUE"""),7.1)</f>
        <v>7.1</v>
      </c>
      <c r="L64" s="24">
        <f>IFERROR(__xludf.DUMMYFUNCTION("""COMPUTED_VALUE"""),6.0)</f>
        <v>6</v>
      </c>
      <c r="M64" s="25" t="str">
        <f>IFERROR(__xludf.DUMMYFUNCTION("""COMPUTED_VALUE"""),"Sports")</f>
        <v>Sports</v>
      </c>
      <c r="N64" s="25"/>
      <c r="O64" s="26"/>
      <c r="P64" s="26"/>
    </row>
    <row r="65">
      <c r="A65" s="13" t="str">
        <f>IFERROR(__xludf.DUMMYFUNCTION("""COMPUTED_VALUE"""),"A Space for the Unbound")</f>
        <v>A Space for the Unbound</v>
      </c>
      <c r="B65" s="15" t="str">
        <f>IFERROR(__xludf.DUMMYFUNCTION("""COMPUTED_VALUE"""),"PS5/PS4")</f>
        <v>PS5/PS4</v>
      </c>
      <c r="C65" s="16" t="str">
        <f>IFERROR(__xludf.DUMMYFUNCTION("""COMPUTED_VALUE"""),"Extra")</f>
        <v>Extra</v>
      </c>
      <c r="D65" s="15" t="str">
        <f>IFERROR(__xludf.DUMMYFUNCTION("""COMPUTED_VALUE"""),"Active")</f>
        <v>Active</v>
      </c>
      <c r="E65" s="17">
        <f>IFERROR(__xludf.DUMMYFUNCTION("""COMPUTED_VALUE"""),45643.0)</f>
        <v>45643</v>
      </c>
      <c r="F65" s="54"/>
      <c r="G65" s="19">
        <f>IFERROR(__xludf.DUMMYFUNCTION("""COMPUTED_VALUE"""),21.633333333333333)</f>
        <v>21.63333333</v>
      </c>
      <c r="H65" s="17">
        <f>IFERROR(__xludf.DUMMYFUNCTION("""COMPUTED_VALUE"""),44945.0)</f>
        <v>44945</v>
      </c>
      <c r="I65" s="19">
        <f>IFERROR(__xludf.DUMMYFUNCTION("""COMPUTED_VALUE"""),1.9111111111111112)</f>
        <v>1.911111111</v>
      </c>
      <c r="J65" s="21">
        <f>IFERROR(__xludf.DUMMYFUNCTION("""COMPUTED_VALUE"""),85.0)</f>
        <v>85</v>
      </c>
      <c r="K65" s="23">
        <f>IFERROR(__xludf.DUMMYFUNCTION("""COMPUTED_VALUE"""),7.8)</f>
        <v>7.8</v>
      </c>
      <c r="L65" s="24">
        <f>IFERROR(__xludf.DUMMYFUNCTION("""COMPUTED_VALUE"""),10.0)</f>
        <v>10</v>
      </c>
      <c r="M65" s="25" t="str">
        <f>IFERROR(__xludf.DUMMYFUNCTION("""COMPUTED_VALUE"""),"Action-Adventure")</f>
        <v>Action-Adventure</v>
      </c>
      <c r="N65" s="25"/>
      <c r="O65" s="26" t="str">
        <f>IFERROR(__xludf.DUMMYFUNCTION("""COMPUTED_VALUE"""),"Yes")</f>
        <v>Yes</v>
      </c>
      <c r="P65" s="26"/>
    </row>
    <row r="66">
      <c r="A66" s="13" t="str">
        <f>IFERROR(__xludf.DUMMYFUNCTION("""COMPUTED_VALUE"""),"Ratchet and Clank: Size Matters")</f>
        <v>Ratchet and Clank: Size Matters</v>
      </c>
      <c r="B66" s="15" t="str">
        <f>IFERROR(__xludf.DUMMYFUNCTION("""COMPUTED_VALUE"""),"PS5/PS4")</f>
        <v>PS5/PS4</v>
      </c>
      <c r="C66" s="16" t="str">
        <f>IFERROR(__xludf.DUMMYFUNCTION("""COMPUTED_VALUE"""),"Premium (Classics)")</f>
        <v>Premium (Classics)</v>
      </c>
      <c r="D66" s="15" t="str">
        <f>IFERROR(__xludf.DUMMYFUNCTION("""COMPUTED_VALUE"""),"Active")</f>
        <v>Active</v>
      </c>
      <c r="E66" s="17">
        <f>IFERROR(__xludf.DUMMYFUNCTION("""COMPUTED_VALUE"""),45489.0)</f>
        <v>45489</v>
      </c>
      <c r="F66" s="54"/>
      <c r="G66" s="19">
        <f>IFERROR(__xludf.DUMMYFUNCTION("""COMPUTED_VALUE"""),26.666666666666668)</f>
        <v>26.66666667</v>
      </c>
      <c r="H66" s="17">
        <f>IFERROR(__xludf.DUMMYFUNCTION("""COMPUTED_VALUE"""),39126.0)</f>
        <v>39126</v>
      </c>
      <c r="I66" s="19">
        <f>IFERROR(__xludf.DUMMYFUNCTION("""COMPUTED_VALUE"""),17.425)</f>
        <v>17.425</v>
      </c>
      <c r="J66" s="21">
        <f>IFERROR(__xludf.DUMMYFUNCTION("""COMPUTED_VALUE"""),85.0)</f>
        <v>85</v>
      </c>
      <c r="K66" s="23">
        <f>IFERROR(__xludf.DUMMYFUNCTION("""COMPUTED_VALUE"""),7.9)</f>
        <v>7.9</v>
      </c>
      <c r="L66" s="24">
        <f>IFERROR(__xludf.DUMMYFUNCTION("""COMPUTED_VALUE"""),7.0)</f>
        <v>7</v>
      </c>
      <c r="M66" s="25" t="str">
        <f>IFERROR(__xludf.DUMMYFUNCTION("""COMPUTED_VALUE"""),"Platformer")</f>
        <v>Platformer</v>
      </c>
      <c r="N66" s="25" t="str">
        <f>IFERROR(__xludf.DUMMYFUNCTION("""COMPUTED_VALUE"""),"PSP")</f>
        <v>PSP</v>
      </c>
      <c r="O66" s="26" t="str">
        <f>IFERROR(__xludf.DUMMYFUNCTION("""COMPUTED_VALUE"""),"Yes")</f>
        <v>Yes</v>
      </c>
      <c r="P66" s="26"/>
    </row>
    <row r="67">
      <c r="A67" s="13" t="str">
        <f>IFERROR(__xludf.DUMMYFUNCTION("""COMPUTED_VALUE"""),"Daxter")</f>
        <v>Daxter</v>
      </c>
      <c r="B67" s="15" t="str">
        <f>IFERROR(__xludf.DUMMYFUNCTION("""COMPUTED_VALUE"""),"PS5/PS4")</f>
        <v>PS5/PS4</v>
      </c>
      <c r="C67" s="16" t="str">
        <f>IFERROR(__xludf.DUMMYFUNCTION("""COMPUTED_VALUE"""),"Premium (Classics)")</f>
        <v>Premium (Classics)</v>
      </c>
      <c r="D67" s="15" t="str">
        <f>IFERROR(__xludf.DUMMYFUNCTION("""COMPUTED_VALUE"""),"Active")</f>
        <v>Active</v>
      </c>
      <c r="E67" s="17">
        <f>IFERROR(__xludf.DUMMYFUNCTION("""COMPUTED_VALUE"""),45461.0)</f>
        <v>45461</v>
      </c>
      <c r="F67" s="54"/>
      <c r="G67" s="19">
        <f>IFERROR(__xludf.DUMMYFUNCTION("""COMPUTED_VALUE"""),27.599999999999998)</f>
        <v>27.6</v>
      </c>
      <c r="H67" s="17">
        <f>IFERROR(__xludf.DUMMYFUNCTION("""COMPUTED_VALUE"""),38790.0)</f>
        <v>38790</v>
      </c>
      <c r="I67" s="19">
        <f>IFERROR(__xludf.DUMMYFUNCTION("""COMPUTED_VALUE"""),18.261111111111113)</f>
        <v>18.26111111</v>
      </c>
      <c r="J67" s="21">
        <f>IFERROR(__xludf.DUMMYFUNCTION("""COMPUTED_VALUE"""),85.0)</f>
        <v>85</v>
      </c>
      <c r="K67" s="23">
        <f>IFERROR(__xludf.DUMMYFUNCTION("""COMPUTED_VALUE"""),8.4)</f>
        <v>8.4</v>
      </c>
      <c r="L67" s="24">
        <f>IFERROR(__xludf.DUMMYFUNCTION("""COMPUTED_VALUE"""),8.0)</f>
        <v>8</v>
      </c>
      <c r="M67" s="25" t="str">
        <f>IFERROR(__xludf.DUMMYFUNCTION("""COMPUTED_VALUE"""),"Platformer")</f>
        <v>Platformer</v>
      </c>
      <c r="N67" s="25" t="str">
        <f>IFERROR(__xludf.DUMMYFUNCTION("""COMPUTED_VALUE"""),"PSP")</f>
        <v>PSP</v>
      </c>
      <c r="O67" s="26" t="str">
        <f>IFERROR(__xludf.DUMMYFUNCTION("""COMPUTED_VALUE"""),"Yes")</f>
        <v>Yes</v>
      </c>
      <c r="P67" s="26"/>
    </row>
    <row r="68">
      <c r="A68" s="13" t="str">
        <f>IFERROR(__xludf.DUMMYFUNCTION("""COMPUTED_VALUE"""),"Syphon Filter: Logan's Shadow")</f>
        <v>Syphon Filter: Logan's Shadow</v>
      </c>
      <c r="B68" s="15" t="str">
        <f>IFERROR(__xludf.DUMMYFUNCTION("""COMPUTED_VALUE"""),"PS5/PS4")</f>
        <v>PS5/PS4</v>
      </c>
      <c r="C68" s="16" t="str">
        <f>IFERROR(__xludf.DUMMYFUNCTION("""COMPUTED_VALUE"""),"Premium (Classics)")</f>
        <v>Premium (Classics)</v>
      </c>
      <c r="D68" s="15" t="str">
        <f>IFERROR(__xludf.DUMMYFUNCTION("""COMPUTED_VALUE"""),"Active")</f>
        <v>Active</v>
      </c>
      <c r="E68" s="17">
        <f>IFERROR(__xludf.DUMMYFUNCTION("""COMPUTED_VALUE"""),45062.0)</f>
        <v>45062</v>
      </c>
      <c r="F68" s="54"/>
      <c r="G68" s="19">
        <f>IFERROR(__xludf.DUMMYFUNCTION("""COMPUTED_VALUE"""),40.666666666666664)</f>
        <v>40.66666667</v>
      </c>
      <c r="H68" s="17">
        <f>IFERROR(__xludf.DUMMYFUNCTION("""COMPUTED_VALUE"""),39357.0)</f>
        <v>39357</v>
      </c>
      <c r="I68" s="19">
        <f>IFERROR(__xludf.DUMMYFUNCTION("""COMPUTED_VALUE"""),15.622222222222222)</f>
        <v>15.62222222</v>
      </c>
      <c r="J68" s="21">
        <f>IFERROR(__xludf.DUMMYFUNCTION("""COMPUTED_VALUE"""),85.0)</f>
        <v>85</v>
      </c>
      <c r="K68" s="23">
        <f>IFERROR(__xludf.DUMMYFUNCTION("""COMPUTED_VALUE"""),8.0)</f>
        <v>8</v>
      </c>
      <c r="L68" s="24">
        <f>IFERROR(__xludf.DUMMYFUNCTION("""COMPUTED_VALUE"""),10.0)</f>
        <v>10</v>
      </c>
      <c r="M68" s="25" t="str">
        <f>IFERROR(__xludf.DUMMYFUNCTION("""COMPUTED_VALUE"""),"Shooter")</f>
        <v>Shooter</v>
      </c>
      <c r="N68" s="25" t="str">
        <f>IFERROR(__xludf.DUMMYFUNCTION("""COMPUTED_VALUE"""),"PSP")</f>
        <v>PSP</v>
      </c>
      <c r="O68" s="26" t="str">
        <f>IFERROR(__xludf.DUMMYFUNCTION("""COMPUTED_VALUE"""),"Yes")</f>
        <v>Yes</v>
      </c>
      <c r="P68" s="26"/>
    </row>
    <row r="69">
      <c r="A69" s="13" t="str">
        <f>IFERROR(__xludf.DUMMYFUNCTION("""COMPUTED_VALUE"""),"The Forgotten City")</f>
        <v>The Forgotten City</v>
      </c>
      <c r="B69" s="15" t="str">
        <f>IFERROR(__xludf.DUMMYFUNCTION("""COMPUTED_VALUE"""),"PS5/PS4")</f>
        <v>PS5/PS4</v>
      </c>
      <c r="C69" s="16" t="str">
        <f>IFERROR(__xludf.DUMMYFUNCTION("""COMPUTED_VALUE"""),"Extra")</f>
        <v>Extra</v>
      </c>
      <c r="D69" s="15" t="str">
        <f>IFERROR(__xludf.DUMMYFUNCTION("""COMPUTED_VALUE"""),"Active")</f>
        <v>Active</v>
      </c>
      <c r="E69" s="17">
        <f>IFERROR(__xludf.DUMMYFUNCTION("""COMPUTED_VALUE"""),44978.0)</f>
        <v>44978</v>
      </c>
      <c r="F69" s="54"/>
      <c r="G69" s="19">
        <f>IFERROR(__xludf.DUMMYFUNCTION("""COMPUTED_VALUE"""),43.5)</f>
        <v>43.5</v>
      </c>
      <c r="H69" s="17">
        <f>IFERROR(__xludf.DUMMYFUNCTION("""COMPUTED_VALUE"""),44405.0)</f>
        <v>44405</v>
      </c>
      <c r="I69" s="19">
        <f>IFERROR(__xludf.DUMMYFUNCTION("""COMPUTED_VALUE"""),1.5638888888888889)</f>
        <v>1.563888889</v>
      </c>
      <c r="J69" s="21">
        <f>IFERROR(__xludf.DUMMYFUNCTION("""COMPUTED_VALUE"""),85.0)</f>
        <v>85</v>
      </c>
      <c r="K69" s="23">
        <f>IFERROR(__xludf.DUMMYFUNCTION("""COMPUTED_VALUE"""),8.2)</f>
        <v>8.2</v>
      </c>
      <c r="L69" s="24">
        <f>IFERROR(__xludf.DUMMYFUNCTION("""COMPUTED_VALUE"""),6.0)</f>
        <v>6</v>
      </c>
      <c r="M69" s="25" t="str">
        <f>IFERROR(__xludf.DUMMYFUNCTION("""COMPUTED_VALUE"""),"Action-Adventure")</f>
        <v>Action-Adventure</v>
      </c>
      <c r="N69" s="25"/>
      <c r="O69" s="26" t="str">
        <f>IFERROR(__xludf.DUMMYFUNCTION("""COMPUTED_VALUE"""),"Yes")</f>
        <v>Yes</v>
      </c>
      <c r="P69" s="26"/>
    </row>
    <row r="70">
      <c r="A70" s="13" t="str">
        <f>IFERROR(__xludf.DUMMYFUNCTION("""COMPUTED_VALUE"""),"Ys VIII: Lacrimosa of DANA")</f>
        <v>Ys VIII: Lacrimosa of DANA</v>
      </c>
      <c r="B70" s="15" t="str">
        <f>IFERROR(__xludf.DUMMYFUNCTION("""COMPUTED_VALUE"""),"PS5/PS4")</f>
        <v>PS5/PS4</v>
      </c>
      <c r="C70" s="16" t="str">
        <f>IFERROR(__xludf.DUMMYFUNCTION("""COMPUTED_VALUE"""),"Extra")</f>
        <v>Extra</v>
      </c>
      <c r="D70" s="15" t="str">
        <f>IFERROR(__xludf.DUMMYFUNCTION("""COMPUTED_VALUE"""),"Active")</f>
        <v>Active</v>
      </c>
      <c r="E70" s="17">
        <f>IFERROR(__xludf.DUMMYFUNCTION("""COMPUTED_VALUE"""),44880.0)</f>
        <v>44880</v>
      </c>
      <c r="F70" s="54"/>
      <c r="G70" s="19">
        <f>IFERROR(__xludf.DUMMYFUNCTION("""COMPUTED_VALUE"""),46.7)</f>
        <v>46.7</v>
      </c>
      <c r="H70" s="17">
        <f>IFERROR(__xludf.DUMMYFUNCTION("""COMPUTED_VALUE"""),42572.0)</f>
        <v>42572</v>
      </c>
      <c r="I70" s="19">
        <f>IFERROR(__xludf.DUMMYFUNCTION("""COMPUTED_VALUE"""),6.316666666666666)</f>
        <v>6.316666667</v>
      </c>
      <c r="J70" s="21">
        <f>IFERROR(__xludf.DUMMYFUNCTION("""COMPUTED_VALUE"""),85.0)</f>
        <v>85</v>
      </c>
      <c r="K70" s="23">
        <f>IFERROR(__xludf.DUMMYFUNCTION("""COMPUTED_VALUE"""),8.6)</f>
        <v>8.6</v>
      </c>
      <c r="L70" s="24">
        <f>IFERROR(__xludf.DUMMYFUNCTION("""COMPUTED_VALUE"""),37.0)</f>
        <v>37</v>
      </c>
      <c r="M70" s="25" t="str">
        <f>IFERROR(__xludf.DUMMYFUNCTION("""COMPUTED_VALUE"""),"RPG")</f>
        <v>RPG</v>
      </c>
      <c r="N70" s="25"/>
      <c r="O70" s="26" t="str">
        <f>IFERROR(__xludf.DUMMYFUNCTION("""COMPUTED_VALUE"""),"No")</f>
        <v>No</v>
      </c>
      <c r="P70" s="26"/>
    </row>
    <row r="71">
      <c r="A71" s="13" t="str">
        <f>IFERROR(__xludf.DUMMYFUNCTION("""COMPUTED_VALUE"""),"Ghost of Tsushima: Director's Cut")</f>
        <v>Ghost of Tsushima: Director's Cut</v>
      </c>
      <c r="B71" s="15" t="str">
        <f>IFERROR(__xludf.DUMMYFUNCTION("""COMPUTED_VALUE"""),"PS5/PS4")</f>
        <v>PS5/PS4</v>
      </c>
      <c r="C71" s="16" t="str">
        <f>IFERROR(__xludf.DUMMYFUNCTION("""COMPUTED_VALUE"""),"Extra")</f>
        <v>Extra</v>
      </c>
      <c r="D71" s="15" t="str">
        <f>IFERROR(__xludf.DUMMYFUNCTION("""COMPUTED_VALUE"""),"Active")</f>
        <v>Active</v>
      </c>
      <c r="E71" s="17">
        <f>IFERROR(__xludf.DUMMYFUNCTION("""COMPUTED_VALUE"""),44725.0)</f>
        <v>44725</v>
      </c>
      <c r="F71" s="54"/>
      <c r="G71" s="19">
        <f>IFERROR(__xludf.DUMMYFUNCTION("""COMPUTED_VALUE"""),51.766666666666666)</f>
        <v>51.76666667</v>
      </c>
      <c r="H71" s="17">
        <f>IFERROR(__xludf.DUMMYFUNCTION("""COMPUTED_VALUE"""),44428.0)</f>
        <v>44428</v>
      </c>
      <c r="I71" s="19">
        <f>IFERROR(__xludf.DUMMYFUNCTION("""COMPUTED_VALUE"""),0.8138888888888889)</f>
        <v>0.8138888889</v>
      </c>
      <c r="J71" s="21">
        <f>IFERROR(__xludf.DUMMYFUNCTION("""COMPUTED_VALUE"""),85.0)</f>
        <v>85</v>
      </c>
      <c r="K71" s="23">
        <f>IFERROR(__xludf.DUMMYFUNCTION("""COMPUTED_VALUE"""),8.4)</f>
        <v>8.4</v>
      </c>
      <c r="L71" s="24">
        <f>IFERROR(__xludf.DUMMYFUNCTION("""COMPUTED_VALUE"""),25.0)</f>
        <v>25</v>
      </c>
      <c r="M71" s="26" t="str">
        <f>IFERROR(__xludf.DUMMYFUNCTION("""COMPUTED_VALUE"""),"Action-Adventure")</f>
        <v>Action-Adventure</v>
      </c>
      <c r="N71" s="25"/>
      <c r="O71" s="26" t="str">
        <f>IFERROR(__xludf.DUMMYFUNCTION("""COMPUTED_VALUE"""),"Yes")</f>
        <v>Yes</v>
      </c>
      <c r="P71" s="26"/>
    </row>
    <row r="72">
      <c r="A72" s="13" t="str">
        <f>IFERROR(__xludf.DUMMYFUNCTION("""COMPUTED_VALUE"""),"Oddworld: Abe's Oddysee")</f>
        <v>Oddworld: Abe's Oddysee</v>
      </c>
      <c r="B72" s="15" t="str">
        <f>IFERROR(__xludf.DUMMYFUNCTION("""COMPUTED_VALUE"""),"PS5/PS4")</f>
        <v>PS5/PS4</v>
      </c>
      <c r="C72" s="16" t="str">
        <f>IFERROR(__xludf.DUMMYFUNCTION("""COMPUTED_VALUE"""),"Premium (Classics)")</f>
        <v>Premium (Classics)</v>
      </c>
      <c r="D72" s="15" t="str">
        <f>IFERROR(__xludf.DUMMYFUNCTION("""COMPUTED_VALUE"""),"Active")</f>
        <v>Active</v>
      </c>
      <c r="E72" s="17">
        <f>IFERROR(__xludf.DUMMYFUNCTION("""COMPUTED_VALUE"""),44725.0)</f>
        <v>44725</v>
      </c>
      <c r="F72" s="54"/>
      <c r="G72" s="19">
        <f>IFERROR(__xludf.DUMMYFUNCTION("""COMPUTED_VALUE"""),51.766666666666666)</f>
        <v>51.76666667</v>
      </c>
      <c r="H72" s="17">
        <f>IFERROR(__xludf.DUMMYFUNCTION("""COMPUTED_VALUE"""),35674.0)</f>
        <v>35674</v>
      </c>
      <c r="I72" s="19">
        <f>IFERROR(__xludf.DUMMYFUNCTION("""COMPUTED_VALUE"""),24.783333333333335)</f>
        <v>24.78333333</v>
      </c>
      <c r="J72" s="21">
        <f>IFERROR(__xludf.DUMMYFUNCTION("""COMPUTED_VALUE"""),85.0)</f>
        <v>85</v>
      </c>
      <c r="K72" s="23">
        <f>IFERROR(__xludf.DUMMYFUNCTION("""COMPUTED_VALUE"""),8.7)</f>
        <v>8.7</v>
      </c>
      <c r="L72" s="24">
        <f>IFERROR(__xludf.DUMMYFUNCTION("""COMPUTED_VALUE"""),7.0)</f>
        <v>7</v>
      </c>
      <c r="M72" s="25" t="str">
        <f>IFERROR(__xludf.DUMMYFUNCTION("""COMPUTED_VALUE"""),"Platformer")</f>
        <v>Platformer</v>
      </c>
      <c r="N72" s="25" t="str">
        <f>IFERROR(__xludf.DUMMYFUNCTION("""COMPUTED_VALUE"""),"PS1")</f>
        <v>PS1</v>
      </c>
      <c r="O72" s="26" t="str">
        <f>IFERROR(__xludf.DUMMYFUNCTION("""COMPUTED_VALUE"""),"No")</f>
        <v>No</v>
      </c>
      <c r="P72" s="26" t="str">
        <f>IFERROR(__xludf.DUMMYFUNCTION("""COMPUTED_VALUE"""),"")</f>
        <v/>
      </c>
    </row>
    <row r="73">
      <c r="A73" s="13" t="str">
        <f>IFERROR(__xludf.DUMMYFUNCTION("""COMPUTED_VALUE"""),"Ninja Gaiden: Ragebound")</f>
        <v>Ninja Gaiden: Ragebound</v>
      </c>
      <c r="B73" s="15" t="str">
        <f>IFERROR(__xludf.DUMMYFUNCTION("""COMPUTED_VALUE"""),"PS5/PS4")</f>
        <v>PS5/PS4</v>
      </c>
      <c r="C73" s="16" t="str">
        <f>IFERROR(__xludf.DUMMYFUNCTION("""COMPUTED_VALUE"""),"Extra")</f>
        <v>Extra</v>
      </c>
      <c r="D73" s="15" t="str">
        <f>IFERROR(__xludf.DUMMYFUNCTION("""COMPUTED_VALUE"""),"Active")</f>
        <v>Active</v>
      </c>
      <c r="E73" s="17">
        <f>IFERROR(__xludf.DUMMYFUNCTION("""COMPUTED_VALUE"""),46294.0)</f>
        <v>46294</v>
      </c>
      <c r="F73" s="54"/>
      <c r="G73" s="19">
        <f>IFERROR(__xludf.DUMMYFUNCTION("""COMPUTED_VALUE"""),0.23333333333333334)</f>
        <v>0.2333333333</v>
      </c>
      <c r="H73" s="17">
        <f>IFERROR(__xludf.DUMMYFUNCTION("""COMPUTED_VALUE"""),45869.0)</f>
        <v>45869</v>
      </c>
      <c r="I73" s="19">
        <f>IFERROR(__xludf.DUMMYFUNCTION("""COMPUTED_VALUE"""),1.163888888888889)</f>
        <v>1.163888889</v>
      </c>
      <c r="J73" s="21">
        <f>IFERROR(__xludf.DUMMYFUNCTION("""COMPUTED_VALUE"""),84.0)</f>
        <v>84</v>
      </c>
      <c r="K73" s="23">
        <f>IFERROR(__xludf.DUMMYFUNCTION("""COMPUTED_VALUE"""),7.9)</f>
        <v>7.9</v>
      </c>
      <c r="L73" s="24">
        <f>IFERROR(__xludf.DUMMYFUNCTION("""COMPUTED_VALUE"""),6.0)</f>
        <v>6</v>
      </c>
      <c r="M73" s="25" t="str">
        <f>IFERROR(__xludf.DUMMYFUNCTION("""COMPUTED_VALUE"""),"Platformer")</f>
        <v>Platformer</v>
      </c>
      <c r="N73" s="25"/>
      <c r="O73" s="26"/>
      <c r="P73" s="26"/>
    </row>
    <row r="74">
      <c r="A74" s="13" t="str">
        <f>IFERROR(__xludf.DUMMYFUNCTION("""COMPUTED_VALUE"""),"Ball x Pit")</f>
        <v>Ball x Pit</v>
      </c>
      <c r="B74" s="15" t="str">
        <f>IFERROR(__xludf.DUMMYFUNCTION("""COMPUTED_VALUE"""),"PS5")</f>
        <v>PS5</v>
      </c>
      <c r="C74" s="16" t="str">
        <f>IFERROR(__xludf.DUMMYFUNCTION("""COMPUTED_VALUE"""),"Extra")</f>
        <v>Extra</v>
      </c>
      <c r="D74" s="15" t="str">
        <f>IFERROR(__xludf.DUMMYFUNCTION("""COMPUTED_VALUE"""),"Active")</f>
        <v>Active</v>
      </c>
      <c r="E74" s="17">
        <f>IFERROR(__xludf.DUMMYFUNCTION("""COMPUTED_VALUE"""),46287.0)</f>
        <v>46287</v>
      </c>
      <c r="F74" s="54"/>
      <c r="G74" s="19">
        <f>IFERROR(__xludf.DUMMYFUNCTION("""COMPUTED_VALUE"""),0.4666666666666667)</f>
        <v>0.4666666667</v>
      </c>
      <c r="H74" s="17">
        <f>IFERROR(__xludf.DUMMYFUNCTION("""COMPUTED_VALUE"""),45945.0)</f>
        <v>45945</v>
      </c>
      <c r="I74" s="19">
        <f>IFERROR(__xludf.DUMMYFUNCTION("""COMPUTED_VALUE"""),0.9361111111111111)</f>
        <v>0.9361111111</v>
      </c>
      <c r="J74" s="21">
        <f>IFERROR(__xludf.DUMMYFUNCTION("""COMPUTED_VALUE"""),84.0)</f>
        <v>84</v>
      </c>
      <c r="K74" s="23">
        <f>IFERROR(__xludf.DUMMYFUNCTION("""COMPUTED_VALUE"""),8.2)</f>
        <v>8.2</v>
      </c>
      <c r="L74" s="24">
        <f>IFERROR(__xludf.DUMMYFUNCTION("""COMPUTED_VALUE"""),19.0)</f>
        <v>19</v>
      </c>
      <c r="M74" s="25" t="str">
        <f>IFERROR(__xludf.DUMMYFUNCTION("""COMPUTED_VALUE"""),"Shooter")</f>
        <v>Shooter</v>
      </c>
      <c r="N74" s="25"/>
      <c r="O74" s="26" t="str">
        <f>IFERROR(__xludf.DUMMYFUNCTION("""COMPUTED_VALUE"""),"No")</f>
        <v>No</v>
      </c>
      <c r="P74" s="26"/>
    </row>
    <row r="75">
      <c r="A75" s="13" t="str">
        <f>IFERROR(__xludf.DUMMYFUNCTION("""COMPUTED_VALUE"""),"Two Point Museum")</f>
        <v>Two Point Museum</v>
      </c>
      <c r="B75" s="15" t="str">
        <f>IFERROR(__xludf.DUMMYFUNCTION("""COMPUTED_VALUE"""),"PS5")</f>
        <v>PS5</v>
      </c>
      <c r="C75" s="16" t="str">
        <f>IFERROR(__xludf.DUMMYFUNCTION("""COMPUTED_VALUE"""),"Extra")</f>
        <v>Extra</v>
      </c>
      <c r="D75" s="15" t="str">
        <f>IFERROR(__xludf.DUMMYFUNCTION("""COMPUTED_VALUE"""),"Active")</f>
        <v>Active</v>
      </c>
      <c r="E75" s="17">
        <f>IFERROR(__xludf.DUMMYFUNCTION("""COMPUTED_VALUE"""),46259.0)</f>
        <v>46259</v>
      </c>
      <c r="F75" s="54"/>
      <c r="G75" s="19">
        <f>IFERROR(__xludf.DUMMYFUNCTION("""COMPUTED_VALUE"""),1.3666666666666667)</f>
        <v>1.366666667</v>
      </c>
      <c r="H75" s="17">
        <f>IFERROR(__xludf.DUMMYFUNCTION("""COMPUTED_VALUE"""),45720.0)</f>
        <v>45720</v>
      </c>
      <c r="I75" s="19">
        <f>IFERROR(__xludf.DUMMYFUNCTION("""COMPUTED_VALUE"""),1.475)</f>
        <v>1.475</v>
      </c>
      <c r="J75" s="21">
        <f>IFERROR(__xludf.DUMMYFUNCTION("""COMPUTED_VALUE"""),84.0)</f>
        <v>84</v>
      </c>
      <c r="K75" s="23">
        <f>IFERROR(__xludf.DUMMYFUNCTION("""COMPUTED_VALUE"""),8.1)</f>
        <v>8.1</v>
      </c>
      <c r="L75" s="24">
        <f>IFERROR(__xludf.DUMMYFUNCTION("""COMPUTED_VALUE"""),47.0)</f>
        <v>47</v>
      </c>
      <c r="M75" s="25" t="str">
        <f>IFERROR(__xludf.DUMMYFUNCTION("""COMPUTED_VALUE"""),"Tycoon")</f>
        <v>Tycoon</v>
      </c>
      <c r="N75" s="25"/>
      <c r="O75" s="26" t="str">
        <f>IFERROR(__xludf.DUMMYFUNCTION("""COMPUTED_VALUE"""),"No")</f>
        <v>No</v>
      </c>
      <c r="P75" s="26"/>
    </row>
    <row r="76">
      <c r="A76" s="13" t="str">
        <f>IFERROR(__xludf.DUMMYFUNCTION("""COMPUTED_VALUE"""),"Snow Bros. Wonderland")</f>
        <v>Snow Bros. Wonderland</v>
      </c>
      <c r="B76" s="15" t="str">
        <f>IFERROR(__xludf.DUMMYFUNCTION("""COMPUTED_VALUE"""),"PS5")</f>
        <v>PS5</v>
      </c>
      <c r="C76" s="16" t="str">
        <f>IFERROR(__xludf.DUMMYFUNCTION("""COMPUTED_VALUE"""),"Extra")</f>
        <v>Extra</v>
      </c>
      <c r="D76" s="15" t="str">
        <f>IFERROR(__xludf.DUMMYFUNCTION("""COMPUTED_VALUE"""),"Active")</f>
        <v>Active</v>
      </c>
      <c r="E76" s="17">
        <f>IFERROR(__xludf.DUMMYFUNCTION("""COMPUTED_VALUE"""),46231.0)</f>
        <v>46231</v>
      </c>
      <c r="F76" s="54"/>
      <c r="G76" s="19">
        <f>IFERROR(__xludf.DUMMYFUNCTION("""COMPUTED_VALUE"""),2.2666666666666666)</f>
        <v>2.266666667</v>
      </c>
      <c r="H76" s="17">
        <f>IFERROR(__xludf.DUMMYFUNCTION("""COMPUTED_VALUE"""),45624.0)</f>
        <v>45624</v>
      </c>
      <c r="I76" s="19">
        <f>IFERROR(__xludf.DUMMYFUNCTION("""COMPUTED_VALUE"""),1.6666666666666667)</f>
        <v>1.666666667</v>
      </c>
      <c r="J76" s="21">
        <f>IFERROR(__xludf.DUMMYFUNCTION("""COMPUTED_VALUE"""),84.0)</f>
        <v>84</v>
      </c>
      <c r="K76" s="23">
        <f>IFERROR(__xludf.DUMMYFUNCTION("""COMPUTED_VALUE"""),7.8)</f>
        <v>7.8</v>
      </c>
      <c r="L76" s="24">
        <f>IFERROR(__xludf.DUMMYFUNCTION("""COMPUTED_VALUE"""),4.0)</f>
        <v>4</v>
      </c>
      <c r="M76" s="25" t="str">
        <f>IFERROR(__xludf.DUMMYFUNCTION("""COMPUTED_VALUE"""),"Action")</f>
        <v>Action</v>
      </c>
      <c r="N76" s="25"/>
      <c r="O76" s="26" t="str">
        <f>IFERROR(__xludf.DUMMYFUNCTION("""COMPUTED_VALUE"""),"No")</f>
        <v>No</v>
      </c>
      <c r="P76" s="26"/>
    </row>
    <row r="77">
      <c r="A77" s="13" t="str">
        <f>IFERROR(__xludf.DUMMYFUNCTION("""COMPUTED_VALUE"""),"Psi-Ops: The Mindgate Conspiracy")</f>
        <v>Psi-Ops: The Mindgate Conspiracy</v>
      </c>
      <c r="B77" s="15" t="str">
        <f>IFERROR(__xludf.DUMMYFUNCTION("""COMPUTED_VALUE"""),"PS5/PS4")</f>
        <v>PS5/PS4</v>
      </c>
      <c r="C77" s="16" t="str">
        <f>IFERROR(__xludf.DUMMYFUNCTION("""COMPUTED_VALUE"""),"Premium (Classics)")</f>
        <v>Premium (Classics)</v>
      </c>
      <c r="D77" s="15" t="str">
        <f>IFERROR(__xludf.DUMMYFUNCTION("""COMPUTED_VALUE"""),"Active")</f>
        <v>Active</v>
      </c>
      <c r="E77" s="17">
        <f>IFERROR(__xludf.DUMMYFUNCTION("""COMPUTED_VALUE"""),46224.0)</f>
        <v>46224</v>
      </c>
      <c r="F77" s="54"/>
      <c r="G77" s="19">
        <f>IFERROR(__xludf.DUMMYFUNCTION("""COMPUTED_VALUE"""),2.5)</f>
        <v>2.5</v>
      </c>
      <c r="H77" s="17">
        <f>IFERROR(__xludf.DUMMYFUNCTION("""COMPUTED_VALUE"""),38152.0)</f>
        <v>38152</v>
      </c>
      <c r="I77" s="19">
        <f>IFERROR(__xludf.DUMMYFUNCTION("""COMPUTED_VALUE"""),22.102777777777778)</f>
        <v>22.10277778</v>
      </c>
      <c r="J77" s="21">
        <f>IFERROR(__xludf.DUMMYFUNCTION("""COMPUTED_VALUE"""),84.0)</f>
        <v>84</v>
      </c>
      <c r="K77" s="23">
        <f>IFERROR(__xludf.DUMMYFUNCTION("""COMPUTED_VALUE"""),6.9)</f>
        <v>6.9</v>
      </c>
      <c r="L77" s="24">
        <f>IFERROR(__xludf.DUMMYFUNCTION("""COMPUTED_VALUE"""),10.0)</f>
        <v>10</v>
      </c>
      <c r="M77" s="25" t="str">
        <f>IFERROR(__xludf.DUMMYFUNCTION("""COMPUTED_VALUE"""),"Shooter")</f>
        <v>Shooter</v>
      </c>
      <c r="N77" s="25" t="str">
        <f>IFERROR(__xludf.DUMMYFUNCTION("""COMPUTED_VALUE"""),"PS2")</f>
        <v>PS2</v>
      </c>
      <c r="O77" s="26"/>
      <c r="P77" s="26"/>
    </row>
    <row r="78">
      <c r="A78" s="13" t="str">
        <f>IFERROR(__xludf.DUMMYFUNCTION("""COMPUTED_VALUE"""),"Broken Sword - Shadows of the Templar: Reforged")</f>
        <v>Broken Sword - Shadows of the Templar: Reforged</v>
      </c>
      <c r="B78" s="15" t="str">
        <f>IFERROR(__xludf.DUMMYFUNCTION("""COMPUTED_VALUE"""),"PS5/PS4")</f>
        <v>PS5/PS4</v>
      </c>
      <c r="C78" s="16" t="str">
        <f>IFERROR(__xludf.DUMMYFUNCTION("""COMPUTED_VALUE"""),"Extra")</f>
        <v>Extra</v>
      </c>
      <c r="D78" s="15" t="str">
        <f>IFERROR(__xludf.DUMMYFUNCTION("""COMPUTED_VALUE"""),"Active")</f>
        <v>Active</v>
      </c>
      <c r="E78" s="17">
        <f>IFERROR(__xludf.DUMMYFUNCTION("""COMPUTED_VALUE"""),46161.0)</f>
        <v>46161</v>
      </c>
      <c r="F78" s="54"/>
      <c r="G78" s="19">
        <f>IFERROR(__xludf.DUMMYFUNCTION("""COMPUTED_VALUE"""),4.566666666666666)</f>
        <v>4.566666667</v>
      </c>
      <c r="H78" s="17">
        <f>IFERROR(__xludf.DUMMYFUNCTION("""COMPUTED_VALUE"""),45554.0)</f>
        <v>45554</v>
      </c>
      <c r="I78" s="19">
        <f>IFERROR(__xludf.DUMMYFUNCTION("""COMPUTED_VALUE"""),1.6666666666666667)</f>
        <v>1.666666667</v>
      </c>
      <c r="J78" s="21">
        <f>IFERROR(__xludf.DUMMYFUNCTION("""COMPUTED_VALUE"""),84.0)</f>
        <v>84</v>
      </c>
      <c r="K78" s="23">
        <f>IFERROR(__xludf.DUMMYFUNCTION("""COMPUTED_VALUE"""),8.8)</f>
        <v>8.8</v>
      </c>
      <c r="L78" s="24">
        <f>IFERROR(__xludf.DUMMYFUNCTION("""COMPUTED_VALUE"""),10.0)</f>
        <v>10</v>
      </c>
      <c r="M78" s="25" t="str">
        <f>IFERROR(__xludf.DUMMYFUNCTION("""COMPUTED_VALUE"""),"Point-and-Click")</f>
        <v>Point-and-Click</v>
      </c>
      <c r="N78" s="25"/>
      <c r="O78" s="26"/>
      <c r="P78" s="26"/>
    </row>
    <row r="79">
      <c r="A79" s="13" t="str">
        <f>IFERROR(__xludf.DUMMYFUNCTION("""COMPUTED_VALUE"""),"Season: A Letter to the Future")</f>
        <v>Season: A Letter to the Future</v>
      </c>
      <c r="B79" s="15" t="str">
        <f>IFERROR(__xludf.DUMMYFUNCTION("""COMPUTED_VALUE"""),"PS5/PS4")</f>
        <v>PS5/PS4</v>
      </c>
      <c r="C79" s="16" t="str">
        <f>IFERROR(__xludf.DUMMYFUNCTION("""COMPUTED_VALUE"""),"Extra")</f>
        <v>Extra</v>
      </c>
      <c r="D79" s="15" t="str">
        <f>IFERROR(__xludf.DUMMYFUNCTION("""COMPUTED_VALUE"""),"Active")</f>
        <v>Active</v>
      </c>
      <c r="E79" s="17">
        <f>IFERROR(__xludf.DUMMYFUNCTION("""COMPUTED_VALUE"""),46070.0)</f>
        <v>46070</v>
      </c>
      <c r="F79" s="54"/>
      <c r="G79" s="19">
        <f>IFERROR(__xludf.DUMMYFUNCTION("""COMPUTED_VALUE"""),7.633333333333333)</f>
        <v>7.633333333</v>
      </c>
      <c r="H79" s="17">
        <f>IFERROR(__xludf.DUMMYFUNCTION("""COMPUTED_VALUE"""),44957.0)</f>
        <v>44957</v>
      </c>
      <c r="I79" s="19">
        <f>IFERROR(__xludf.DUMMYFUNCTION("""COMPUTED_VALUE"""),3.047222222222222)</f>
        <v>3.047222222</v>
      </c>
      <c r="J79" s="21">
        <f>IFERROR(__xludf.DUMMYFUNCTION("""COMPUTED_VALUE"""),84.0)</f>
        <v>84</v>
      </c>
      <c r="K79" s="23">
        <f>IFERROR(__xludf.DUMMYFUNCTION("""COMPUTED_VALUE"""),8.3)</f>
        <v>8.3</v>
      </c>
      <c r="L79" s="24">
        <f>IFERROR(__xludf.DUMMYFUNCTION("""COMPUTED_VALUE"""),10.0)</f>
        <v>10</v>
      </c>
      <c r="M79" s="25" t="str">
        <f>IFERROR(__xludf.DUMMYFUNCTION("""COMPUTED_VALUE"""),"Action-Adventure")</f>
        <v>Action-Adventure</v>
      </c>
      <c r="N79" s="25"/>
      <c r="O79" s="26"/>
      <c r="P79" s="26"/>
    </row>
    <row r="80">
      <c r="A80" s="13" t="str">
        <f>IFERROR(__xludf.DUMMYFUNCTION("""COMPUTED_VALUE"""),"Resident Evil: Village")</f>
        <v>Resident Evil: Village</v>
      </c>
      <c r="B80" s="15" t="str">
        <f>IFERROR(__xludf.DUMMYFUNCTION("""COMPUTED_VALUE"""),"PS5/PS4")</f>
        <v>PS5/PS4</v>
      </c>
      <c r="C80" s="16" t="str">
        <f>IFERROR(__xludf.DUMMYFUNCTION("""COMPUTED_VALUE"""),"Extra")</f>
        <v>Extra</v>
      </c>
      <c r="D80" s="15" t="str">
        <f>IFERROR(__xludf.DUMMYFUNCTION("""COMPUTED_VALUE"""),"Active")</f>
        <v>Active</v>
      </c>
      <c r="E80" s="17">
        <f>IFERROR(__xludf.DUMMYFUNCTION("""COMPUTED_VALUE"""),46042.0)</f>
        <v>46042</v>
      </c>
      <c r="F80" s="54"/>
      <c r="G80" s="19">
        <f>IFERROR(__xludf.DUMMYFUNCTION("""COMPUTED_VALUE"""),8.533333333333333)</f>
        <v>8.533333333</v>
      </c>
      <c r="H80" s="17">
        <f>IFERROR(__xludf.DUMMYFUNCTION("""COMPUTED_VALUE"""),44323.0)</f>
        <v>44323</v>
      </c>
      <c r="I80" s="19">
        <f>IFERROR(__xludf.DUMMYFUNCTION("""COMPUTED_VALUE"""),4.7027777777777775)</f>
        <v>4.702777778</v>
      </c>
      <c r="J80" s="21">
        <f>IFERROR(__xludf.DUMMYFUNCTION("""COMPUTED_VALUE"""),84.0)</f>
        <v>84</v>
      </c>
      <c r="K80" s="23">
        <f>IFERROR(__xludf.DUMMYFUNCTION("""COMPUTED_VALUE"""),8.5)</f>
        <v>8.5</v>
      </c>
      <c r="L80" s="24">
        <f>IFERROR(__xludf.DUMMYFUNCTION("""COMPUTED_VALUE"""),10.0)</f>
        <v>10</v>
      </c>
      <c r="M80" s="25" t="str">
        <f>IFERROR(__xludf.DUMMYFUNCTION("""COMPUTED_VALUE"""),"Action-Adventure")</f>
        <v>Action-Adventure</v>
      </c>
      <c r="N80" s="25"/>
      <c r="O80" s="26"/>
      <c r="P80" s="26"/>
    </row>
    <row r="81">
      <c r="A81" s="13" t="str">
        <f>IFERROR(__xludf.DUMMYFUNCTION("""COMPUTED_VALUE"""),"Crow Country")</f>
        <v>Crow Country</v>
      </c>
      <c r="B81" s="15" t="str">
        <f>IFERROR(__xludf.DUMMYFUNCTION("""COMPUTED_VALUE"""),"PS5/PS4")</f>
        <v>PS5/PS4</v>
      </c>
      <c r="C81" s="16" t="str">
        <f>IFERROR(__xludf.DUMMYFUNCTION("""COMPUTED_VALUE"""),"Extra")</f>
        <v>Extra</v>
      </c>
      <c r="D81" s="15" t="str">
        <f>IFERROR(__xludf.DUMMYFUNCTION("""COMPUTED_VALUE"""),"Active")</f>
        <v>Active</v>
      </c>
      <c r="E81" s="17">
        <f>IFERROR(__xludf.DUMMYFUNCTION("""COMPUTED_VALUE"""),45916.0)</f>
        <v>45916</v>
      </c>
      <c r="F81" s="54"/>
      <c r="G81" s="19">
        <f>IFERROR(__xludf.DUMMYFUNCTION("""COMPUTED_VALUE"""),12.666666666666668)</f>
        <v>12.66666667</v>
      </c>
      <c r="H81" s="17">
        <f>IFERROR(__xludf.DUMMYFUNCTION("""COMPUTED_VALUE"""),45421.0)</f>
        <v>45421</v>
      </c>
      <c r="I81" s="19">
        <f>IFERROR(__xludf.DUMMYFUNCTION("""COMPUTED_VALUE"""),1.3527777777777779)</f>
        <v>1.352777778</v>
      </c>
      <c r="J81" s="21">
        <f>IFERROR(__xludf.DUMMYFUNCTION("""COMPUTED_VALUE"""),84.0)</f>
        <v>84</v>
      </c>
      <c r="K81" s="23">
        <f>IFERROR(__xludf.DUMMYFUNCTION("""COMPUTED_VALUE"""),8.0)</f>
        <v>8</v>
      </c>
      <c r="L81" s="24">
        <f>IFERROR(__xludf.DUMMYFUNCTION("""COMPUTED_VALUE"""),6.0)</f>
        <v>6</v>
      </c>
      <c r="M81" s="25" t="str">
        <f>IFERROR(__xludf.DUMMYFUNCTION("""COMPUTED_VALUE"""),"Survival")</f>
        <v>Survival</v>
      </c>
      <c r="N81" s="25"/>
      <c r="O81" s="26"/>
      <c r="P81" s="26"/>
    </row>
    <row r="82">
      <c r="A82" s="13" t="str">
        <f>IFERROR(__xludf.DUMMYFUNCTION("""COMPUTED_VALUE"""),"Hogwarts Legacy")</f>
        <v>Hogwarts Legacy</v>
      </c>
      <c r="B82" s="15" t="str">
        <f>IFERROR(__xludf.DUMMYFUNCTION("""COMPUTED_VALUE"""),"PS5/PS4")</f>
        <v>PS5/PS4</v>
      </c>
      <c r="C82" s="16" t="str">
        <f>IFERROR(__xludf.DUMMYFUNCTION("""COMPUTED_VALUE"""),"Extra")</f>
        <v>Extra</v>
      </c>
      <c r="D82" s="15" t="str">
        <f>IFERROR(__xludf.DUMMYFUNCTION("""COMPUTED_VALUE"""),"Active")</f>
        <v>Active</v>
      </c>
      <c r="E82" s="17">
        <f>IFERROR(__xludf.DUMMYFUNCTION("""COMPUTED_VALUE"""),45762.0)</f>
        <v>45762</v>
      </c>
      <c r="F82" s="54"/>
      <c r="G82" s="19">
        <f>IFERROR(__xludf.DUMMYFUNCTION("""COMPUTED_VALUE"""),17.700000000000003)</f>
        <v>17.7</v>
      </c>
      <c r="H82" s="17">
        <f>IFERROR(__xludf.DUMMYFUNCTION("""COMPUTED_VALUE"""),44964.0)</f>
        <v>44964</v>
      </c>
      <c r="I82" s="19">
        <f>IFERROR(__xludf.DUMMYFUNCTION("""COMPUTED_VALUE"""),2.188888888888889)</f>
        <v>2.188888889</v>
      </c>
      <c r="J82" s="21">
        <f>IFERROR(__xludf.DUMMYFUNCTION("""COMPUTED_VALUE"""),84.0)</f>
        <v>84</v>
      </c>
      <c r="K82" s="23">
        <f>IFERROR(__xludf.DUMMYFUNCTION("""COMPUTED_VALUE"""),8.2)</f>
        <v>8.2</v>
      </c>
      <c r="L82" s="24">
        <f>IFERROR(__xludf.DUMMYFUNCTION("""COMPUTED_VALUE"""),27.0)</f>
        <v>27</v>
      </c>
      <c r="M82" s="25" t="str">
        <f>IFERROR(__xludf.DUMMYFUNCTION("""COMPUTED_VALUE"""),"RPG")</f>
        <v>RPG</v>
      </c>
      <c r="N82" s="25"/>
      <c r="O82" s="26"/>
      <c r="P82" s="26"/>
    </row>
    <row r="83">
      <c r="A83" s="13" t="str">
        <f>IFERROR(__xludf.DUMMYFUNCTION("""COMPUTED_VALUE"""),"Overcooked! All You Can Eat")</f>
        <v>Overcooked! All You Can Eat</v>
      </c>
      <c r="B83" s="15" t="str">
        <f>IFERROR(__xludf.DUMMYFUNCTION("""COMPUTED_VALUE"""),"PS5/PS4")</f>
        <v>PS5/PS4</v>
      </c>
      <c r="C83" s="16" t="str">
        <f>IFERROR(__xludf.DUMMYFUNCTION("""COMPUTED_VALUE"""),"Extra")</f>
        <v>Extra</v>
      </c>
      <c r="D83" s="15" t="str">
        <f>IFERROR(__xludf.DUMMYFUNCTION("""COMPUTED_VALUE"""),"Active")</f>
        <v>Active</v>
      </c>
      <c r="E83" s="17">
        <f>IFERROR(__xludf.DUMMYFUNCTION("""COMPUTED_VALUE"""),45615.0)</f>
        <v>45615</v>
      </c>
      <c r="F83" s="54"/>
      <c r="G83" s="19">
        <f>IFERROR(__xludf.DUMMYFUNCTION("""COMPUTED_VALUE"""),22.566666666666666)</f>
        <v>22.56666667</v>
      </c>
      <c r="H83" s="17">
        <f>IFERROR(__xludf.DUMMYFUNCTION("""COMPUTED_VALUE"""),44147.0)</f>
        <v>44147</v>
      </c>
      <c r="I83" s="19">
        <f>IFERROR(__xludf.DUMMYFUNCTION("""COMPUTED_VALUE"""),4.019444444444445)</f>
        <v>4.019444444</v>
      </c>
      <c r="J83" s="21">
        <f>IFERROR(__xludf.DUMMYFUNCTION("""COMPUTED_VALUE"""),84.0)</f>
        <v>84</v>
      </c>
      <c r="K83" s="23">
        <f>IFERROR(__xludf.DUMMYFUNCTION("""COMPUTED_VALUE"""),7.2)</f>
        <v>7.2</v>
      </c>
      <c r="L83" s="24">
        <f>IFERROR(__xludf.DUMMYFUNCTION("""COMPUTED_VALUE"""),24.0)</f>
        <v>24</v>
      </c>
      <c r="M83" s="25" t="str">
        <f>IFERROR(__xludf.DUMMYFUNCTION("""COMPUTED_VALUE"""),"Arcade")</f>
        <v>Arcade</v>
      </c>
      <c r="N83" s="25"/>
      <c r="O83" s="26" t="str">
        <f>IFERROR(__xludf.DUMMYFUNCTION("""COMPUTED_VALUE"""),"Yes")</f>
        <v>Yes</v>
      </c>
      <c r="P83" s="26"/>
    </row>
    <row r="84">
      <c r="A84" s="13" t="str">
        <f>IFERROR(__xludf.DUMMYFUNCTION("""COMPUTED_VALUE"""),"I.Q Intelligent Qube")</f>
        <v>I.Q Intelligent Qube</v>
      </c>
      <c r="B84" s="15" t="str">
        <f>IFERROR(__xludf.DUMMYFUNCTION("""COMPUTED_VALUE"""),"PS5/PS4")</f>
        <v>PS5/PS4</v>
      </c>
      <c r="C84" s="16" t="str">
        <f>IFERROR(__xludf.DUMMYFUNCTION("""COMPUTED_VALUE"""),"Premium (Classics)")</f>
        <v>Premium (Classics)</v>
      </c>
      <c r="D84" s="15" t="str">
        <f>IFERROR(__xludf.DUMMYFUNCTION("""COMPUTED_VALUE"""),"Active")</f>
        <v>Active</v>
      </c>
      <c r="E84" s="17">
        <f>IFERROR(__xludf.DUMMYFUNCTION("""COMPUTED_VALUE"""),44725.0)</f>
        <v>44725</v>
      </c>
      <c r="F84" s="54"/>
      <c r="G84" s="19">
        <f>IFERROR(__xludf.DUMMYFUNCTION("""COMPUTED_VALUE"""),51.766666666666666)</f>
        <v>51.76666667</v>
      </c>
      <c r="H84" s="17">
        <f>IFERROR(__xludf.DUMMYFUNCTION("""COMPUTED_VALUE"""),35764.0)</f>
        <v>35764</v>
      </c>
      <c r="I84" s="19">
        <f>IFERROR(__xludf.DUMMYFUNCTION("""COMPUTED_VALUE"""),24.53611111111111)</f>
        <v>24.53611111</v>
      </c>
      <c r="J84" s="21">
        <f>IFERROR(__xludf.DUMMYFUNCTION("""COMPUTED_VALUE"""),84.0)</f>
        <v>84</v>
      </c>
      <c r="K84" s="23">
        <f>IFERROR(__xludf.DUMMYFUNCTION("""COMPUTED_VALUE"""),8.5)</f>
        <v>8.5</v>
      </c>
      <c r="L84" s="24"/>
      <c r="M84" s="25" t="str">
        <f>IFERROR(__xludf.DUMMYFUNCTION("""COMPUTED_VALUE"""),"Puzzle")</f>
        <v>Puzzle</v>
      </c>
      <c r="N84" s="25" t="str">
        <f>IFERROR(__xludf.DUMMYFUNCTION("""COMPUTED_VALUE"""),"PS1")</f>
        <v>PS1</v>
      </c>
      <c r="O84" s="26" t="str">
        <f>IFERROR(__xludf.DUMMYFUNCTION("""COMPUTED_VALUE"""),"Yes")</f>
        <v>Yes</v>
      </c>
      <c r="P84" s="26" t="str">
        <f>IFERROR(__xludf.DUMMYFUNCTION("""COMPUTED_VALUE"""),"")</f>
        <v/>
      </c>
    </row>
    <row r="85">
      <c r="A85" s="13" t="str">
        <f>IFERROR(__xludf.DUMMYFUNCTION("""COMPUTED_VALUE"""),"Yakuza: Like a Dragon")</f>
        <v>Yakuza: Like a Dragon</v>
      </c>
      <c r="B85" s="15" t="str">
        <f>IFERROR(__xludf.DUMMYFUNCTION("""COMPUTED_VALUE"""),"PS5/PS4")</f>
        <v>PS5/PS4</v>
      </c>
      <c r="C85" s="16" t="str">
        <f>IFERROR(__xludf.DUMMYFUNCTION("""COMPUTED_VALUE"""),"Extra")</f>
        <v>Extra</v>
      </c>
      <c r="D85" s="15" t="str">
        <f>IFERROR(__xludf.DUMMYFUNCTION("""COMPUTED_VALUE"""),"Leaving Soon")</f>
        <v>Leaving Soon</v>
      </c>
      <c r="E85" s="17">
        <f>IFERROR(__xludf.DUMMYFUNCTION("""COMPUTED_VALUE"""),45951.0)</f>
        <v>45951</v>
      </c>
      <c r="F85" s="54">
        <f>IFERROR(__xludf.DUMMYFUNCTION("""COMPUTED_VALUE"""),46314.0)</f>
        <v>46314</v>
      </c>
      <c r="G85" s="19">
        <f>IFERROR(__xludf.DUMMYFUNCTION("""COMPUTED_VALUE"""),11.933333333333334)</f>
        <v>11.93333333</v>
      </c>
      <c r="H85" s="17">
        <f>IFERROR(__xludf.DUMMYFUNCTION("""COMPUTED_VALUE"""),44145.0)</f>
        <v>44145</v>
      </c>
      <c r="I85" s="19">
        <f>IFERROR(__xludf.DUMMYFUNCTION("""COMPUTED_VALUE"""),4.947222222222222)</f>
        <v>4.947222222</v>
      </c>
      <c r="J85" s="21">
        <f>IFERROR(__xludf.DUMMYFUNCTION("""COMPUTED_VALUE"""),84.0)</f>
        <v>84</v>
      </c>
      <c r="K85" s="23">
        <f>IFERROR(__xludf.DUMMYFUNCTION("""COMPUTED_VALUE"""),8.2)</f>
        <v>8.2</v>
      </c>
      <c r="L85" s="24">
        <f>IFERROR(__xludf.DUMMYFUNCTION("""COMPUTED_VALUE"""),46.0)</f>
        <v>46</v>
      </c>
      <c r="M85" s="25" t="str">
        <f>IFERROR(__xludf.DUMMYFUNCTION("""COMPUTED_VALUE"""),"RPG")</f>
        <v>RPG</v>
      </c>
      <c r="N85" s="25"/>
      <c r="O85" s="26"/>
      <c r="P85" s="26"/>
    </row>
    <row r="86">
      <c r="A86" s="13" t="str">
        <f>IFERROR(__xludf.DUMMYFUNCTION("""COMPUTED_VALUE"""),"Like a Dragon: Infinite Wealth")</f>
        <v>Like a Dragon: Infinite Wealth</v>
      </c>
      <c r="B86" s="15" t="str">
        <f>IFERROR(__xludf.DUMMYFUNCTION("""COMPUTED_VALUE"""),"PS5/PS4")</f>
        <v>PS5/PS4</v>
      </c>
      <c r="C86" s="16" t="str">
        <f>IFERROR(__xludf.DUMMYFUNCTION("""COMPUTED_VALUE"""),"Extra")</f>
        <v>Extra</v>
      </c>
      <c r="D86" s="15" t="str">
        <f>IFERROR(__xludf.DUMMYFUNCTION("""COMPUTED_VALUE"""),"Active")</f>
        <v>Active</v>
      </c>
      <c r="E86" s="17">
        <f>IFERROR(__xludf.DUMMYFUNCTION("""COMPUTED_VALUE"""),46042.0)</f>
        <v>46042</v>
      </c>
      <c r="F86" s="54"/>
      <c r="G86" s="19">
        <f>IFERROR(__xludf.DUMMYFUNCTION("""COMPUTED_VALUE"""),8.533333333333333)</f>
        <v>8.533333333</v>
      </c>
      <c r="H86" s="17">
        <f>IFERROR(__xludf.DUMMYFUNCTION("""COMPUTED_VALUE"""),45317.0)</f>
        <v>45317</v>
      </c>
      <c r="I86" s="19">
        <f>IFERROR(__xludf.DUMMYFUNCTION("""COMPUTED_VALUE"""),1.9833333333333334)</f>
        <v>1.983333333</v>
      </c>
      <c r="J86" s="21">
        <f>IFERROR(__xludf.DUMMYFUNCTION("""COMPUTED_VALUE"""),83.0)</f>
        <v>83</v>
      </c>
      <c r="K86" s="23">
        <f>IFERROR(__xludf.DUMMYFUNCTION("""COMPUTED_VALUE"""),8.2)</f>
        <v>8.2</v>
      </c>
      <c r="L86" s="24">
        <f>IFERROR(__xludf.DUMMYFUNCTION("""COMPUTED_VALUE"""),44.0)</f>
        <v>44</v>
      </c>
      <c r="M86" s="25" t="str">
        <f>IFERROR(__xludf.DUMMYFUNCTION("""COMPUTED_VALUE"""),"Action-Adventure")</f>
        <v>Action-Adventure</v>
      </c>
      <c r="N86" s="25"/>
      <c r="O86" s="26"/>
      <c r="P86" s="26"/>
    </row>
    <row r="87">
      <c r="A87" s="13" t="str">
        <f>IFERROR(__xludf.DUMMYFUNCTION("""COMPUTED_VALUE"""),"Still Wakes the Deep")</f>
        <v>Still Wakes the Deep</v>
      </c>
      <c r="B87" s="15" t="str">
        <f>IFERROR(__xludf.DUMMYFUNCTION("""COMPUTED_VALUE"""),"PS5")</f>
        <v>PS5</v>
      </c>
      <c r="C87" s="16" t="str">
        <f>IFERROR(__xludf.DUMMYFUNCTION("""COMPUTED_VALUE"""),"Extra")</f>
        <v>Extra</v>
      </c>
      <c r="D87" s="15" t="str">
        <f>IFERROR(__xludf.DUMMYFUNCTION("""COMPUTED_VALUE"""),"Active")</f>
        <v>Active</v>
      </c>
      <c r="E87" s="17">
        <f>IFERROR(__xludf.DUMMYFUNCTION("""COMPUTED_VALUE"""),45979.0)</f>
        <v>45979</v>
      </c>
      <c r="F87" s="54"/>
      <c r="G87" s="19">
        <f>IFERROR(__xludf.DUMMYFUNCTION("""COMPUTED_VALUE"""),10.6)</f>
        <v>10.6</v>
      </c>
      <c r="H87" s="17">
        <f>IFERROR(__xludf.DUMMYFUNCTION("""COMPUTED_VALUE"""),45461.0)</f>
        <v>45461</v>
      </c>
      <c r="I87" s="19">
        <f>IFERROR(__xludf.DUMMYFUNCTION("""COMPUTED_VALUE"""),1.4166666666666667)</f>
        <v>1.416666667</v>
      </c>
      <c r="J87" s="21">
        <f>IFERROR(__xludf.DUMMYFUNCTION("""COMPUTED_VALUE"""),83.0)</f>
        <v>83</v>
      </c>
      <c r="K87" s="23">
        <f>IFERROR(__xludf.DUMMYFUNCTION("""COMPUTED_VALUE"""),7.5)</f>
        <v>7.5</v>
      </c>
      <c r="L87" s="24" t="str">
        <f>IFERROR(__xludf.DUMMYFUNCTION("""COMPUTED_VALUE"""),"4 ")</f>
        <v>4 </v>
      </c>
      <c r="M87" s="25" t="str">
        <f>IFERROR(__xludf.DUMMYFUNCTION("""COMPUTED_VALUE"""),"Survival (horror)")</f>
        <v>Survival (horror)</v>
      </c>
      <c r="N87" s="25"/>
      <c r="O87" s="26" t="str">
        <f>IFERROR(__xludf.DUMMYFUNCTION("""COMPUTED_VALUE"""),"No")</f>
        <v>No</v>
      </c>
      <c r="P87" s="26"/>
    </row>
    <row r="88">
      <c r="A88" s="13" t="str">
        <f>IFERROR(__xludf.DUMMYFUNCTION("""COMPUTED_VALUE"""),"V Rising")</f>
        <v>V Rising</v>
      </c>
      <c r="B88" s="15" t="str">
        <f>IFERROR(__xludf.DUMMYFUNCTION("""COMPUTED_VALUE"""),"PS5")</f>
        <v>PS5</v>
      </c>
      <c r="C88" s="16" t="str">
        <f>IFERROR(__xludf.DUMMYFUNCTION("""COMPUTED_VALUE"""),"Extra")</f>
        <v>Extra</v>
      </c>
      <c r="D88" s="15" t="str">
        <f>IFERROR(__xludf.DUMMYFUNCTION("""COMPUTED_VALUE"""),"Active")</f>
        <v>Active</v>
      </c>
      <c r="E88" s="17">
        <f>IFERROR(__xludf.DUMMYFUNCTION("""COMPUTED_VALUE"""),45951.0)</f>
        <v>45951</v>
      </c>
      <c r="F88" s="54"/>
      <c r="G88" s="19">
        <f>IFERROR(__xludf.DUMMYFUNCTION("""COMPUTED_VALUE"""),11.5)</f>
        <v>11.5</v>
      </c>
      <c r="H88" s="17">
        <f>IFERROR(__xludf.DUMMYFUNCTION("""COMPUTED_VALUE"""),45420.0)</f>
        <v>45420</v>
      </c>
      <c r="I88" s="19">
        <f>IFERROR(__xludf.DUMMYFUNCTION("""COMPUTED_VALUE"""),1.4527777777777777)</f>
        <v>1.452777778</v>
      </c>
      <c r="J88" s="21">
        <f>IFERROR(__xludf.DUMMYFUNCTION("""COMPUTED_VALUE"""),83.0)</f>
        <v>83</v>
      </c>
      <c r="K88" s="23">
        <f>IFERROR(__xludf.DUMMYFUNCTION("""COMPUTED_VALUE"""),7.0)</f>
        <v>7</v>
      </c>
      <c r="L88" s="24">
        <f>IFERROR(__xludf.DUMMYFUNCTION("""COMPUTED_VALUE"""),47.0)</f>
        <v>47</v>
      </c>
      <c r="M88" s="25" t="str">
        <f>IFERROR(__xludf.DUMMYFUNCTION("""COMPUTED_VALUE"""),"Action-Adventure")</f>
        <v>Action-Adventure</v>
      </c>
      <c r="N88" s="25"/>
      <c r="O88" s="26" t="str">
        <f>IFERROR(__xludf.DUMMYFUNCTION("""COMPUTED_VALUE"""),"No")</f>
        <v>No</v>
      </c>
      <c r="P88" s="26"/>
    </row>
    <row r="89">
      <c r="A89" s="13" t="str">
        <f>IFERROR(__xludf.DUMMYFUNCTION("""COMPUTED_VALUE"""),"Mortal Kombat 1")</f>
        <v>Mortal Kombat 1</v>
      </c>
      <c r="B89" s="15" t="str">
        <f>IFERROR(__xludf.DUMMYFUNCTION("""COMPUTED_VALUE"""),"PS5")</f>
        <v>PS5</v>
      </c>
      <c r="C89" s="16" t="str">
        <f>IFERROR(__xludf.DUMMYFUNCTION("""COMPUTED_VALUE"""),"Extra")</f>
        <v>Extra</v>
      </c>
      <c r="D89" s="15" t="str">
        <f>IFERROR(__xludf.DUMMYFUNCTION("""COMPUTED_VALUE"""),"Active")</f>
        <v>Active</v>
      </c>
      <c r="E89" s="17">
        <f>IFERROR(__xludf.DUMMYFUNCTION("""COMPUTED_VALUE"""),45888.0)</f>
        <v>45888</v>
      </c>
      <c r="F89" s="54"/>
      <c r="G89" s="19">
        <f>IFERROR(__xludf.DUMMYFUNCTION("""COMPUTED_VALUE"""),13.566666666666666)</f>
        <v>13.56666667</v>
      </c>
      <c r="H89" s="17">
        <f>IFERROR(__xludf.DUMMYFUNCTION("""COMPUTED_VALUE"""),45188.0)</f>
        <v>45188</v>
      </c>
      <c r="I89" s="19">
        <f>IFERROR(__xludf.DUMMYFUNCTION("""COMPUTED_VALUE"""),1.9166666666666667)</f>
        <v>1.916666667</v>
      </c>
      <c r="J89" s="21">
        <f>IFERROR(__xludf.DUMMYFUNCTION("""COMPUTED_VALUE"""),83.0)</f>
        <v>83</v>
      </c>
      <c r="K89" s="23">
        <f>IFERROR(__xludf.DUMMYFUNCTION("""COMPUTED_VALUE"""),6.5)</f>
        <v>6.5</v>
      </c>
      <c r="L89" s="24">
        <f>IFERROR(__xludf.DUMMYFUNCTION("""COMPUTED_VALUE"""),7.0)</f>
        <v>7</v>
      </c>
      <c r="M89" s="25" t="str">
        <f>IFERROR(__xludf.DUMMYFUNCTION("""COMPUTED_VALUE"""),"Fighting")</f>
        <v>Fighting</v>
      </c>
      <c r="N89" s="25"/>
      <c r="O89" s="26" t="str">
        <f>IFERROR(__xludf.DUMMYFUNCTION("""COMPUTED_VALUE"""),"No")</f>
        <v>No</v>
      </c>
      <c r="P89" s="26"/>
    </row>
    <row r="90">
      <c r="A90" s="13" t="str">
        <f>IFERROR(__xludf.DUMMYFUNCTION("""COMPUTED_VALUE"""),"Riven")</f>
        <v>Riven</v>
      </c>
      <c r="B90" s="15" t="str">
        <f>IFERROR(__xludf.DUMMYFUNCTION("""COMPUTED_VALUE"""),"PS5/PS4")</f>
        <v>PS5/PS4</v>
      </c>
      <c r="C90" s="16" t="str">
        <f>IFERROR(__xludf.DUMMYFUNCTION("""COMPUTED_VALUE"""),"Premium (Classics)")</f>
        <v>Premium (Classics)</v>
      </c>
      <c r="D90" s="15" t="str">
        <f>IFERROR(__xludf.DUMMYFUNCTION("""COMPUTED_VALUE"""),"Active")</f>
        <v>Active</v>
      </c>
      <c r="E90" s="17">
        <f>IFERROR(__xludf.DUMMYFUNCTION("""COMPUTED_VALUE"""),45813.0)</f>
        <v>45813</v>
      </c>
      <c r="F90" s="54"/>
      <c r="G90" s="19">
        <f>IFERROR(__xludf.DUMMYFUNCTION("""COMPUTED_VALUE"""),16.03333333333333)</f>
        <v>16.03333333</v>
      </c>
      <c r="H90" s="17">
        <f>IFERROR(__xludf.DUMMYFUNCTION("""COMPUTED_VALUE"""),35734.0)</f>
        <v>35734</v>
      </c>
      <c r="I90" s="19">
        <f>IFERROR(__xludf.DUMMYFUNCTION("""COMPUTED_VALUE"""),27.59722222222222)</f>
        <v>27.59722222</v>
      </c>
      <c r="J90" s="21">
        <f>IFERROR(__xludf.DUMMYFUNCTION("""COMPUTED_VALUE"""),83.0)</f>
        <v>83</v>
      </c>
      <c r="K90" s="23">
        <f>IFERROR(__xludf.DUMMYFUNCTION("""COMPUTED_VALUE"""),7.6)</f>
        <v>7.6</v>
      </c>
      <c r="L90" s="24">
        <f>IFERROR(__xludf.DUMMYFUNCTION("""COMPUTED_VALUE"""),10.0)</f>
        <v>10</v>
      </c>
      <c r="M90" s="25" t="str">
        <f>IFERROR(__xludf.DUMMYFUNCTION("""COMPUTED_VALUE"""),"Puzzle")</f>
        <v>Puzzle</v>
      </c>
      <c r="N90" s="25" t="str">
        <f>IFERROR(__xludf.DUMMYFUNCTION("""COMPUTED_VALUE"""),"PS1")</f>
        <v>PS1</v>
      </c>
      <c r="O90" s="26"/>
      <c r="P90" s="26"/>
    </row>
    <row r="91">
      <c r="A91" s="13" t="str">
        <f>IFERROR(__xludf.DUMMYFUNCTION("""COMPUTED_VALUE"""),"S.T.A.L.K.E.R.: Legends of the Zone Trilogy")</f>
        <v>S.T.A.L.K.E.R.: Legends of the Zone Trilogy</v>
      </c>
      <c r="B91" s="15" t="str">
        <f>IFERROR(__xludf.DUMMYFUNCTION("""COMPUTED_VALUE"""),"PS5/PS4")</f>
        <v>PS5/PS4</v>
      </c>
      <c r="C91" s="16" t="str">
        <f>IFERROR(__xludf.DUMMYFUNCTION("""COMPUTED_VALUE"""),"Extra")</f>
        <v>Extra</v>
      </c>
      <c r="D91" s="15" t="str">
        <f>IFERROR(__xludf.DUMMYFUNCTION("""COMPUTED_VALUE"""),"Active")</f>
        <v>Active</v>
      </c>
      <c r="E91" s="17">
        <f>IFERROR(__xludf.DUMMYFUNCTION("""COMPUTED_VALUE"""),45797.0)</f>
        <v>45797</v>
      </c>
      <c r="F91" s="54"/>
      <c r="G91" s="19">
        <f>IFERROR(__xludf.DUMMYFUNCTION("""COMPUTED_VALUE"""),16.53333333333333)</f>
        <v>16.53333333</v>
      </c>
      <c r="H91" s="17">
        <f>IFERROR(__xludf.DUMMYFUNCTION("""COMPUTED_VALUE"""),45596.0)</f>
        <v>45596</v>
      </c>
      <c r="I91" s="19">
        <f>IFERROR(__xludf.DUMMYFUNCTION("""COMPUTED_VALUE"""),0.5555555555555556)</f>
        <v>0.5555555556</v>
      </c>
      <c r="J91" s="21">
        <f>IFERROR(__xludf.DUMMYFUNCTION("""COMPUTED_VALUE"""),83.0)</f>
        <v>83</v>
      </c>
      <c r="K91" s="23">
        <f>IFERROR(__xludf.DUMMYFUNCTION("""COMPUTED_VALUE"""),7.3)</f>
        <v>7.3</v>
      </c>
      <c r="L91" s="24">
        <f>IFERROR(__xludf.DUMMYFUNCTION("""COMPUTED_VALUE"""),23.0)</f>
        <v>23</v>
      </c>
      <c r="M91" s="25" t="str">
        <f>IFERROR(__xludf.DUMMYFUNCTION("""COMPUTED_VALUE"""),"Shooter")</f>
        <v>Shooter</v>
      </c>
      <c r="N91" s="25"/>
      <c r="O91" s="26"/>
      <c r="P91" s="26"/>
    </row>
    <row r="92">
      <c r="A92" s="13" t="str">
        <f>IFERROR(__xludf.DUMMYFUNCTION("""COMPUTED_VALUE"""),"Sly 3: Honor Among Thieves")</f>
        <v>Sly 3: Honor Among Thieves</v>
      </c>
      <c r="B92" s="15" t="str">
        <f>IFERROR(__xludf.DUMMYFUNCTION("""COMPUTED_VALUE"""),"PS5/PS4")</f>
        <v>PS5/PS4</v>
      </c>
      <c r="C92" s="16" t="str">
        <f>IFERROR(__xludf.DUMMYFUNCTION("""COMPUTED_VALUE"""),"Premium (Classics)")</f>
        <v>Premium (Classics)</v>
      </c>
      <c r="D92" s="15" t="str">
        <f>IFERROR(__xludf.DUMMYFUNCTION("""COMPUTED_VALUE"""),"Active")</f>
        <v>Active</v>
      </c>
      <c r="E92" s="17">
        <f>IFERROR(__xludf.DUMMYFUNCTION("""COMPUTED_VALUE"""),45643.0)</f>
        <v>45643</v>
      </c>
      <c r="F92" s="54"/>
      <c r="G92" s="19">
        <f>IFERROR(__xludf.DUMMYFUNCTION("""COMPUTED_VALUE"""),21.633333333333333)</f>
        <v>21.63333333</v>
      </c>
      <c r="H92" s="17">
        <f>IFERROR(__xludf.DUMMYFUNCTION("""COMPUTED_VALUE"""),38621.0)</f>
        <v>38621</v>
      </c>
      <c r="I92" s="19">
        <f>IFERROR(__xludf.DUMMYFUNCTION("""COMPUTED_VALUE"""),19.225)</f>
        <v>19.225</v>
      </c>
      <c r="J92" s="21">
        <f>IFERROR(__xludf.DUMMYFUNCTION("""COMPUTED_VALUE"""),83.0)</f>
        <v>83</v>
      </c>
      <c r="K92" s="23">
        <f>IFERROR(__xludf.DUMMYFUNCTION("""COMPUTED_VALUE"""),8.9)</f>
        <v>8.9</v>
      </c>
      <c r="L92" s="24">
        <f>IFERROR(__xludf.DUMMYFUNCTION("""COMPUTED_VALUE"""),13.0)</f>
        <v>13</v>
      </c>
      <c r="M92" s="25" t="str">
        <f>IFERROR(__xludf.DUMMYFUNCTION("""COMPUTED_VALUE"""),"Platformer")</f>
        <v>Platformer</v>
      </c>
      <c r="N92" s="25" t="str">
        <f>IFERROR(__xludf.DUMMYFUNCTION("""COMPUTED_VALUE"""),"PS2")</f>
        <v>PS2</v>
      </c>
      <c r="O92" s="26" t="str">
        <f>IFERROR(__xludf.DUMMYFUNCTION("""COMPUTED_VALUE"""),"Yes")</f>
        <v>Yes</v>
      </c>
      <c r="P92" s="26"/>
    </row>
    <row r="93">
      <c r="A93" s="13" t="str">
        <f>IFERROR(__xludf.DUMMYFUNCTION("""COMPUTED_VALUE"""),"Two Point Campus")</f>
        <v>Two Point Campus</v>
      </c>
      <c r="B93" s="15" t="str">
        <f>IFERROR(__xludf.DUMMYFUNCTION("""COMPUTED_VALUE"""),"PS5/PS4")</f>
        <v>PS5/PS4</v>
      </c>
      <c r="C93" s="16" t="str">
        <f>IFERROR(__xludf.DUMMYFUNCTION("""COMPUTED_VALUE"""),"Extra")</f>
        <v>Extra</v>
      </c>
      <c r="D93" s="15" t="str">
        <f>IFERROR(__xludf.DUMMYFUNCTION("""COMPUTED_VALUE"""),"Active")</f>
        <v>Active</v>
      </c>
      <c r="E93" s="17">
        <f>IFERROR(__xludf.DUMMYFUNCTION("""COMPUTED_VALUE"""),45580.0)</f>
        <v>45580</v>
      </c>
      <c r="F93" s="18"/>
      <c r="G93" s="19">
        <f>IFERROR(__xludf.DUMMYFUNCTION("""COMPUTED_VALUE"""),23.700000000000003)</f>
        <v>23.7</v>
      </c>
      <c r="H93" s="17">
        <f>IFERROR(__xludf.DUMMYFUNCTION("""COMPUTED_VALUE"""),44782.0)</f>
        <v>44782</v>
      </c>
      <c r="I93" s="19">
        <f>IFERROR(__xludf.DUMMYFUNCTION("""COMPUTED_VALUE"""),2.183333333333333)</f>
        <v>2.183333333</v>
      </c>
      <c r="J93" s="21">
        <f>IFERROR(__xludf.DUMMYFUNCTION("""COMPUTED_VALUE"""),83.0)</f>
        <v>83</v>
      </c>
      <c r="K93" s="23">
        <f>IFERROR(__xludf.DUMMYFUNCTION("""COMPUTED_VALUE"""),7.2)</f>
        <v>7.2</v>
      </c>
      <c r="L93" s="17">
        <f>IFERROR(__xludf.DUMMYFUNCTION("""COMPUTED_VALUE"""),25.0)</f>
        <v>25</v>
      </c>
      <c r="M93" s="25" t="str">
        <f>IFERROR(__xludf.DUMMYFUNCTION("""COMPUTED_VALUE"""),"Tycoon")</f>
        <v>Tycoon</v>
      </c>
      <c r="N93" s="25"/>
      <c r="O93" s="26" t="str">
        <f>IFERROR(__xludf.DUMMYFUNCTION("""COMPUTED_VALUE"""),"Portal (PS5 + Premium)")</f>
        <v>Portal (PS5 + Premium)</v>
      </c>
      <c r="P93" s="26"/>
    </row>
    <row r="94">
      <c r="A94" s="13" t="str">
        <f>IFERROR(__xludf.DUMMYFUNCTION("""COMPUTED_VALUE"""),"GRIS")</f>
        <v>GRIS</v>
      </c>
      <c r="B94" s="15" t="str">
        <f>IFERROR(__xludf.DUMMYFUNCTION("""COMPUTED_VALUE"""),"PS5/PS4")</f>
        <v>PS5/PS4</v>
      </c>
      <c r="C94" s="16" t="str">
        <f>IFERROR(__xludf.DUMMYFUNCTION("""COMPUTED_VALUE"""),"Extra")</f>
        <v>Extra</v>
      </c>
      <c r="D94" s="15" t="str">
        <f>IFERROR(__xludf.DUMMYFUNCTION("""COMPUTED_VALUE"""),"Active")</f>
        <v>Active</v>
      </c>
      <c r="E94" s="17">
        <f>IFERROR(__xludf.DUMMYFUNCTION("""COMPUTED_VALUE"""),45580.0)</f>
        <v>45580</v>
      </c>
      <c r="F94" s="18"/>
      <c r="G94" s="19">
        <f>IFERROR(__xludf.DUMMYFUNCTION("""COMPUTED_VALUE"""),23.700000000000003)</f>
        <v>23.7</v>
      </c>
      <c r="H94" s="17">
        <f>IFERROR(__xludf.DUMMYFUNCTION("""COMPUTED_VALUE"""),43447.0)</f>
        <v>43447</v>
      </c>
      <c r="I94" s="19">
        <f>IFERROR(__xludf.DUMMYFUNCTION("""COMPUTED_VALUE"""),5.838888888888889)</f>
        <v>5.838888889</v>
      </c>
      <c r="J94" s="21">
        <f>IFERROR(__xludf.DUMMYFUNCTION("""COMPUTED_VALUE"""),83.0)</f>
        <v>83</v>
      </c>
      <c r="K94" s="23">
        <f>IFERROR(__xludf.DUMMYFUNCTION("""COMPUTED_VALUE"""),8.2)</f>
        <v>8.2</v>
      </c>
      <c r="L94" s="24">
        <f>IFERROR(__xludf.DUMMYFUNCTION("""COMPUTED_VALUE"""),4.0)</f>
        <v>4</v>
      </c>
      <c r="M94" s="25" t="str">
        <f>IFERROR(__xludf.DUMMYFUNCTION("""COMPUTED_VALUE"""),"Platformer")</f>
        <v>Platformer</v>
      </c>
      <c r="N94" s="25"/>
      <c r="O94" s="26" t="str">
        <f>IFERROR(__xludf.DUMMYFUNCTION("""COMPUTED_VALUE"""),"Yes")</f>
        <v>Yes</v>
      </c>
      <c r="P94" s="26"/>
    </row>
    <row r="95">
      <c r="A95" s="13" t="str">
        <f>IFERROR(__xludf.DUMMYFUNCTION("""COMPUTED_VALUE"""),"TimeSplitters: Future Perfect")</f>
        <v>TimeSplitters: Future Perfect</v>
      </c>
      <c r="B95" s="15" t="str">
        <f>IFERROR(__xludf.DUMMYFUNCTION("""COMPUTED_VALUE"""),"PS5/PS4")</f>
        <v>PS5/PS4</v>
      </c>
      <c r="C95" s="16" t="str">
        <f>IFERROR(__xludf.DUMMYFUNCTION("""COMPUTED_VALUE"""),"Premium (Classics)")</f>
        <v>Premium (Classics)</v>
      </c>
      <c r="D95" s="15" t="str">
        <f>IFERROR(__xludf.DUMMYFUNCTION("""COMPUTED_VALUE"""),"Active")</f>
        <v>Active</v>
      </c>
      <c r="E95" s="17">
        <f>IFERROR(__xludf.DUMMYFUNCTION("""COMPUTED_VALUE"""),45524.0)</f>
        <v>45524</v>
      </c>
      <c r="F95" s="18"/>
      <c r="G95" s="19">
        <f>IFERROR(__xludf.DUMMYFUNCTION("""COMPUTED_VALUE"""),25.53333333333333)</f>
        <v>25.53333333</v>
      </c>
      <c r="H95" s="17">
        <f>IFERROR(__xludf.DUMMYFUNCTION("""COMPUTED_VALUE"""),38432.0)</f>
        <v>38432</v>
      </c>
      <c r="I95" s="19">
        <f>IFERROR(__xludf.DUMMYFUNCTION("""COMPUTED_VALUE"""),19.413888888888888)</f>
        <v>19.41388889</v>
      </c>
      <c r="J95" s="21">
        <f>IFERROR(__xludf.DUMMYFUNCTION("""COMPUTED_VALUE"""),83.0)</f>
        <v>83</v>
      </c>
      <c r="K95" s="23">
        <f>IFERROR(__xludf.DUMMYFUNCTION("""COMPUTED_VALUE"""),8.4)</f>
        <v>8.4</v>
      </c>
      <c r="L95" s="24">
        <f>IFERROR(__xludf.DUMMYFUNCTION("""COMPUTED_VALUE"""),7.0)</f>
        <v>7</v>
      </c>
      <c r="M95" s="25" t="str">
        <f>IFERROR(__xludf.DUMMYFUNCTION("""COMPUTED_VALUE"""),"Shooter")</f>
        <v>Shooter</v>
      </c>
      <c r="N95" s="25" t="str">
        <f>IFERROR(__xludf.DUMMYFUNCTION("""COMPUTED_VALUE"""),"PS2")</f>
        <v>PS2</v>
      </c>
      <c r="O95" s="26" t="str">
        <f>IFERROR(__xludf.DUMMYFUNCTION("""COMPUTED_VALUE"""),"Yes")</f>
        <v>Yes</v>
      </c>
      <c r="P95" s="26"/>
    </row>
    <row r="96">
      <c r="A96" s="13" t="str">
        <f>IFERROR(__xludf.DUMMYFUNCTION("""COMPUTED_VALUE"""),"Pathfinder: Wrath of the Righteous")</f>
        <v>Pathfinder: Wrath of the Righteous</v>
      </c>
      <c r="B96" s="15" t="str">
        <f>IFERROR(__xludf.DUMMYFUNCTION("""COMPUTED_VALUE"""),"PS5/PS4")</f>
        <v>PS5/PS4</v>
      </c>
      <c r="C96" s="16" t="str">
        <f>IFERROR(__xludf.DUMMYFUNCTION("""COMPUTED_VALUE"""),"Extra")</f>
        <v>Extra</v>
      </c>
      <c r="D96" s="15" t="str">
        <f>IFERROR(__xludf.DUMMYFUNCTION("""COMPUTED_VALUE"""),"Active")</f>
        <v>Active</v>
      </c>
      <c r="E96" s="17">
        <f>IFERROR(__xludf.DUMMYFUNCTION("""COMPUTED_VALUE"""),45489.0)</f>
        <v>45489</v>
      </c>
      <c r="F96" s="54"/>
      <c r="G96" s="19">
        <f>IFERROR(__xludf.DUMMYFUNCTION("""COMPUTED_VALUE"""),26.666666666666668)</f>
        <v>26.66666667</v>
      </c>
      <c r="H96" s="17">
        <f>IFERROR(__xludf.DUMMYFUNCTION("""COMPUTED_VALUE"""),44441.0)</f>
        <v>44441</v>
      </c>
      <c r="I96" s="19">
        <f>IFERROR(__xludf.DUMMYFUNCTION("""COMPUTED_VALUE"""),2.8722222222222222)</f>
        <v>2.872222222</v>
      </c>
      <c r="J96" s="21">
        <f>IFERROR(__xludf.DUMMYFUNCTION("""COMPUTED_VALUE"""),83.0)</f>
        <v>83</v>
      </c>
      <c r="K96" s="23">
        <f>IFERROR(__xludf.DUMMYFUNCTION("""COMPUTED_VALUE"""),7.7)</f>
        <v>7.7</v>
      </c>
      <c r="L96" s="24">
        <f>IFERROR(__xludf.DUMMYFUNCTION("""COMPUTED_VALUE"""),55.0)</f>
        <v>55</v>
      </c>
      <c r="M96" s="25" t="str">
        <f>IFERROR(__xludf.DUMMYFUNCTION("""COMPUTED_VALUE"""),"RPG")</f>
        <v>RPG</v>
      </c>
      <c r="N96" s="25"/>
      <c r="O96" s="26" t="str">
        <f>IFERROR(__xludf.DUMMYFUNCTION("""COMPUTED_VALUE"""),"Portal (PS5 + Premium)")</f>
        <v>Portal (PS5 + Premium)</v>
      </c>
      <c r="P96" s="26"/>
    </row>
    <row r="97">
      <c r="A97" s="13" t="str">
        <f>IFERROR(__xludf.DUMMYFUNCTION("""COMPUTED_VALUE"""),"Anno 1800")</f>
        <v>Anno 1800</v>
      </c>
      <c r="B97" s="15" t="str">
        <f>IFERROR(__xludf.DUMMYFUNCTION("""COMPUTED_VALUE"""),"PS5")</f>
        <v>PS5</v>
      </c>
      <c r="C97" s="16" t="str">
        <f>IFERROR(__xludf.DUMMYFUNCTION("""COMPUTED_VALUE"""),"Extra (Ubisoft+ Classics)")</f>
        <v>Extra (Ubisoft+ Classics)</v>
      </c>
      <c r="D97" s="15" t="str">
        <f>IFERROR(__xludf.DUMMYFUNCTION("""COMPUTED_VALUE"""),"Active")</f>
        <v>Active</v>
      </c>
      <c r="E97" s="17">
        <f>IFERROR(__xludf.DUMMYFUNCTION("""COMPUTED_VALUE"""),45461.0)</f>
        <v>45461</v>
      </c>
      <c r="F97" s="54"/>
      <c r="G97" s="19">
        <f>IFERROR(__xludf.DUMMYFUNCTION("""COMPUTED_VALUE"""),27.599999999999998)</f>
        <v>27.6</v>
      </c>
      <c r="H97" s="17">
        <f>IFERROR(__xludf.DUMMYFUNCTION("""COMPUTED_VALUE"""),43571.0)</f>
        <v>43571</v>
      </c>
      <c r="I97" s="19">
        <f>IFERROR(__xludf.DUMMYFUNCTION("""COMPUTED_VALUE"""),5.1722222222222225)</f>
        <v>5.172222222</v>
      </c>
      <c r="J97" s="21">
        <f>IFERROR(__xludf.DUMMYFUNCTION("""COMPUTED_VALUE"""),83.0)</f>
        <v>83</v>
      </c>
      <c r="K97" s="23">
        <f>IFERROR(__xludf.DUMMYFUNCTION("""COMPUTED_VALUE"""),7.1)</f>
        <v>7.1</v>
      </c>
      <c r="L97" s="24">
        <f>IFERROR(__xludf.DUMMYFUNCTION("""COMPUTED_VALUE"""),14.0)</f>
        <v>14</v>
      </c>
      <c r="M97" s="25" t="str">
        <f>IFERROR(__xludf.DUMMYFUNCTION("""COMPUTED_VALUE"""),"Management")</f>
        <v>Management</v>
      </c>
      <c r="N97" s="25"/>
      <c r="O97" s="26" t="str">
        <f>IFERROR(__xludf.DUMMYFUNCTION("""COMPUTED_VALUE"""),"Portal (PS5 + Premium)")</f>
        <v>Portal (PS5 + Premium)</v>
      </c>
      <c r="P97" s="26"/>
    </row>
    <row r="98">
      <c r="A98" s="13" t="str">
        <f>IFERROR(__xludf.DUMMYFUNCTION("""COMPUTED_VALUE"""),"Sackboy: A Big Adventure")</f>
        <v>Sackboy: A Big Adventure</v>
      </c>
      <c r="B98" s="15" t="str">
        <f>IFERROR(__xludf.DUMMYFUNCTION("""COMPUTED_VALUE"""),"PS5/PS4")</f>
        <v>PS5/PS4</v>
      </c>
      <c r="C98" s="16" t="str">
        <f>IFERROR(__xludf.DUMMYFUNCTION("""COMPUTED_VALUE"""),"Extra")</f>
        <v>Extra</v>
      </c>
      <c r="D98" s="15" t="str">
        <f>IFERROR(__xludf.DUMMYFUNCTION("""COMPUTED_VALUE"""),"Active")</f>
        <v>Active</v>
      </c>
      <c r="E98" s="17">
        <f>IFERROR(__xludf.DUMMYFUNCTION("""COMPUTED_VALUE"""),45034.0)</f>
        <v>45034</v>
      </c>
      <c r="F98" s="54"/>
      <c r="G98" s="19">
        <f>IFERROR(__xludf.DUMMYFUNCTION("""COMPUTED_VALUE"""),41.6)</f>
        <v>41.6</v>
      </c>
      <c r="H98" s="17">
        <f>IFERROR(__xludf.DUMMYFUNCTION("""COMPUTED_VALUE"""),44147.0)</f>
        <v>44147</v>
      </c>
      <c r="I98" s="19">
        <f>IFERROR(__xludf.DUMMYFUNCTION("""COMPUTED_VALUE"""),2.433333333333333)</f>
        <v>2.433333333</v>
      </c>
      <c r="J98" s="21">
        <f>IFERROR(__xludf.DUMMYFUNCTION("""COMPUTED_VALUE"""),83.0)</f>
        <v>83</v>
      </c>
      <c r="K98" s="23">
        <f>IFERROR(__xludf.DUMMYFUNCTION("""COMPUTED_VALUE"""),7.8)</f>
        <v>7.8</v>
      </c>
      <c r="L98" s="24">
        <f>IFERROR(__xludf.DUMMYFUNCTION("""COMPUTED_VALUE"""),11.0)</f>
        <v>11</v>
      </c>
      <c r="M98" s="25" t="str">
        <f>IFERROR(__xludf.DUMMYFUNCTION("""COMPUTED_VALUE"""),"Platformer")</f>
        <v>Platformer</v>
      </c>
      <c r="N98" s="25"/>
      <c r="O98" s="26" t="str">
        <f>IFERROR(__xludf.DUMMYFUNCTION("""COMPUTED_VALUE"""),"Yes")</f>
        <v>Yes</v>
      </c>
      <c r="P98" s="26"/>
    </row>
    <row r="99">
      <c r="A99" s="13" t="str">
        <f>IFERROR(__xludf.DUMMYFUNCTION("""COMPUTED_VALUE"""),"Metro Exodus")</f>
        <v>Metro Exodus</v>
      </c>
      <c r="B99" s="15" t="str">
        <f>IFERROR(__xludf.DUMMYFUNCTION("""COMPUTED_VALUE"""),"PS5/PS4")</f>
        <v>PS5/PS4</v>
      </c>
      <c r="C99" s="16" t="str">
        <f>IFERROR(__xludf.DUMMYFUNCTION("""COMPUTED_VALUE"""),"Extra")</f>
        <v>Extra</v>
      </c>
      <c r="D99" s="15" t="str">
        <f>IFERROR(__xludf.DUMMYFUNCTION("""COMPUTED_VALUE"""),"Active")</f>
        <v>Active</v>
      </c>
      <c r="E99" s="17">
        <f>IFERROR(__xludf.DUMMYFUNCTION("""COMPUTED_VALUE"""),46259.0)</f>
        <v>46259</v>
      </c>
      <c r="F99" s="54"/>
      <c r="G99" s="19">
        <f>IFERROR(__xludf.DUMMYFUNCTION("""COMPUTED_VALUE"""),1.3666666666666667)</f>
        <v>1.366666667</v>
      </c>
      <c r="H99" s="17">
        <f>IFERROR(__xludf.DUMMYFUNCTION("""COMPUTED_VALUE"""),43511.0)</f>
        <v>43511</v>
      </c>
      <c r="I99" s="19">
        <f>IFERROR(__xludf.DUMMYFUNCTION("""COMPUTED_VALUE"""),7.527777777777778)</f>
        <v>7.527777778</v>
      </c>
      <c r="J99" s="21">
        <f>IFERROR(__xludf.DUMMYFUNCTION("""COMPUTED_VALUE"""),82.0)</f>
        <v>82</v>
      </c>
      <c r="K99" s="23">
        <f>IFERROR(__xludf.DUMMYFUNCTION("""COMPUTED_VALUE"""),7.4)</f>
        <v>7.4</v>
      </c>
      <c r="L99" s="24">
        <f>IFERROR(__xludf.DUMMYFUNCTION("""COMPUTED_VALUE"""),16.0)</f>
        <v>16</v>
      </c>
      <c r="M99" s="25" t="str">
        <f>IFERROR(__xludf.DUMMYFUNCTION("""COMPUTED_VALUE"""),"Shooter")</f>
        <v>Shooter</v>
      </c>
      <c r="N99" s="25"/>
      <c r="O99" s="26"/>
      <c r="P99" s="26"/>
    </row>
    <row r="100">
      <c r="A100" s="13" t="str">
        <f>IFERROR(__xludf.DUMMYFUNCTION("""COMPUTED_VALUE"""),"Helldivers 2")</f>
        <v>Helldivers 2</v>
      </c>
      <c r="B100" s="15" t="str">
        <f>IFERROR(__xludf.DUMMYFUNCTION("""COMPUTED_VALUE"""),"PS5")</f>
        <v>PS5</v>
      </c>
      <c r="C100" s="16" t="str">
        <f>IFERROR(__xludf.DUMMYFUNCTION("""COMPUTED_VALUE"""),"Extra")</f>
        <v>Extra</v>
      </c>
      <c r="D100" s="15" t="str">
        <f>IFERROR(__xludf.DUMMYFUNCTION("""COMPUTED_VALUE"""),"Active")</f>
        <v>Active</v>
      </c>
      <c r="E100" s="17">
        <f>IFERROR(__xludf.DUMMYFUNCTION("""COMPUTED_VALUE"""),46246.0)</f>
        <v>46246</v>
      </c>
      <c r="F100" s="54"/>
      <c r="G100" s="19">
        <f>IFERROR(__xludf.DUMMYFUNCTION("""COMPUTED_VALUE"""),1.7999999999999998)</f>
        <v>1.8</v>
      </c>
      <c r="H100" s="17">
        <f>IFERROR(__xludf.DUMMYFUNCTION("""COMPUTED_VALUE"""),45330.0)</f>
        <v>45330</v>
      </c>
      <c r="I100" s="19">
        <f>IFERROR(__xludf.DUMMYFUNCTION("""COMPUTED_VALUE"""),2.511111111111111)</f>
        <v>2.511111111</v>
      </c>
      <c r="J100" s="21">
        <f>IFERROR(__xludf.DUMMYFUNCTION("""COMPUTED_VALUE"""),82.0)</f>
        <v>82</v>
      </c>
      <c r="K100" s="23">
        <f>IFERROR(__xludf.DUMMYFUNCTION("""COMPUTED_VALUE"""),7.5)</f>
        <v>7.5</v>
      </c>
      <c r="L100" s="24">
        <f>IFERROR(__xludf.DUMMYFUNCTION("""COMPUTED_VALUE"""),32.0)</f>
        <v>32</v>
      </c>
      <c r="M100" s="25" t="str">
        <f>IFERROR(__xludf.DUMMYFUNCTION("""COMPUTED_VALUE"""),"Shooter")</f>
        <v>Shooter</v>
      </c>
      <c r="N100" s="25"/>
      <c r="O100" s="26" t="str">
        <f>IFERROR(__xludf.DUMMYFUNCTION("""COMPUTED_VALUE"""),"No")</f>
        <v>No</v>
      </c>
      <c r="P100" s="26"/>
    </row>
    <row r="101">
      <c r="A101" s="13" t="str">
        <f>IFERROR(__xludf.DUMMYFUNCTION("""COMPUTED_VALUE"""),"Warhammer 40,000: Space Marine II")</f>
        <v>Warhammer 40,000: Space Marine II</v>
      </c>
      <c r="B101" s="15" t="str">
        <f>IFERROR(__xludf.DUMMYFUNCTION("""COMPUTED_VALUE"""),"PS5")</f>
        <v>PS5</v>
      </c>
      <c r="C101" s="16" t="str">
        <f>IFERROR(__xludf.DUMMYFUNCTION("""COMPUTED_VALUE"""),"Extra")</f>
        <v>Extra</v>
      </c>
      <c r="D101" s="15" t="str">
        <f>IFERROR(__xludf.DUMMYFUNCTION("""COMPUTED_VALUE"""),"Active")</f>
        <v>Active</v>
      </c>
      <c r="E101" s="17">
        <f>IFERROR(__xludf.DUMMYFUNCTION("""COMPUTED_VALUE"""),46098.0)</f>
        <v>46098</v>
      </c>
      <c r="F101" s="54"/>
      <c r="G101" s="19">
        <f>IFERROR(__xludf.DUMMYFUNCTION("""COMPUTED_VALUE"""),6.633333333333334)</f>
        <v>6.633333333</v>
      </c>
      <c r="H101" s="17">
        <f>IFERROR(__xludf.DUMMYFUNCTION("""COMPUTED_VALUE"""),45540.0)</f>
        <v>45540</v>
      </c>
      <c r="I101" s="19">
        <f>IFERROR(__xludf.DUMMYFUNCTION("""COMPUTED_VALUE"""),1.5333333333333334)</f>
        <v>1.533333333</v>
      </c>
      <c r="J101" s="21">
        <f>IFERROR(__xludf.DUMMYFUNCTION("""COMPUTED_VALUE"""),82.0)</f>
        <v>82</v>
      </c>
      <c r="K101" s="23">
        <f>IFERROR(__xludf.DUMMYFUNCTION("""COMPUTED_VALUE"""),8.0)</f>
        <v>8</v>
      </c>
      <c r="L101" s="24">
        <f>IFERROR(__xludf.DUMMYFUNCTION("""COMPUTED_VALUE"""),9.0)</f>
        <v>9</v>
      </c>
      <c r="M101" s="25" t="str">
        <f>IFERROR(__xludf.DUMMYFUNCTION("""COMPUTED_VALUE"""),"Shooter")</f>
        <v>Shooter</v>
      </c>
      <c r="N101" s="25"/>
      <c r="O101" s="26" t="str">
        <f>IFERROR(__xludf.DUMMYFUNCTION("""COMPUTED_VALUE"""),"No")</f>
        <v>No</v>
      </c>
      <c r="P101" s="26"/>
    </row>
    <row r="102">
      <c r="A102" s="13" t="str">
        <f>IFERROR(__xludf.DUMMYFUNCTION("""COMPUTED_VALUE"""),"Coral Island")</f>
        <v>Coral Island</v>
      </c>
      <c r="B102" s="15" t="str">
        <f>IFERROR(__xludf.DUMMYFUNCTION("""COMPUTED_VALUE"""),"PS5")</f>
        <v>PS5</v>
      </c>
      <c r="C102" s="16" t="str">
        <f>IFERROR(__xludf.DUMMYFUNCTION("""COMPUTED_VALUE"""),"Extra")</f>
        <v>Extra</v>
      </c>
      <c r="D102" s="15" t="str">
        <f>IFERROR(__xludf.DUMMYFUNCTION("""COMPUTED_VALUE"""),"Active")</f>
        <v>Active</v>
      </c>
      <c r="E102" s="17">
        <f>IFERROR(__xludf.DUMMYFUNCTION("""COMPUTED_VALUE"""),45888.0)</f>
        <v>45888</v>
      </c>
      <c r="F102" s="54"/>
      <c r="G102" s="19">
        <f>IFERROR(__xludf.DUMMYFUNCTION("""COMPUTED_VALUE"""),13.566666666666666)</f>
        <v>13.56666667</v>
      </c>
      <c r="H102" s="17">
        <f>IFERROR(__xludf.DUMMYFUNCTION("""COMPUTED_VALUE"""),45244.0)</f>
        <v>45244</v>
      </c>
      <c r="I102" s="19">
        <f>IFERROR(__xludf.DUMMYFUNCTION("""COMPUTED_VALUE"""),1.7638888888888888)</f>
        <v>1.763888889</v>
      </c>
      <c r="J102" s="21">
        <f>IFERROR(__xludf.DUMMYFUNCTION("""COMPUTED_VALUE"""),82.0)</f>
        <v>82</v>
      </c>
      <c r="K102" s="23">
        <f>IFERROR(__xludf.DUMMYFUNCTION("""COMPUTED_VALUE"""),6.5)</f>
        <v>6.5</v>
      </c>
      <c r="L102" s="24">
        <f>IFERROR(__xludf.DUMMYFUNCTION("""COMPUTED_VALUE"""),57.0)</f>
        <v>57</v>
      </c>
      <c r="M102" s="25" t="str">
        <f>IFERROR(__xludf.DUMMYFUNCTION("""COMPUTED_VALUE"""),"Virtual Life")</f>
        <v>Virtual Life</v>
      </c>
      <c r="N102" s="25"/>
      <c r="O102" s="26" t="str">
        <f>IFERROR(__xludf.DUMMYFUNCTION("""COMPUTED_VALUE"""),"No")</f>
        <v>No</v>
      </c>
      <c r="P102" s="26"/>
    </row>
    <row r="103">
      <c r="A103" s="13" t="str">
        <f>IFERROR(__xludf.DUMMYFUNCTION("""COMPUTED_VALUE"""),"Citizen Sleeper")</f>
        <v>Citizen Sleeper</v>
      </c>
      <c r="B103" s="15" t="str">
        <f>IFERROR(__xludf.DUMMYFUNCTION("""COMPUTED_VALUE"""),"PS5/PS4")</f>
        <v>PS5/PS4</v>
      </c>
      <c r="C103" s="16" t="str">
        <f>IFERROR(__xludf.DUMMYFUNCTION("""COMPUTED_VALUE"""),"Extra")</f>
        <v>Extra</v>
      </c>
      <c r="D103" s="15" t="str">
        <f>IFERROR(__xludf.DUMMYFUNCTION("""COMPUTED_VALUE"""),"Active")</f>
        <v>Active</v>
      </c>
      <c r="E103" s="17">
        <f>IFERROR(__xludf.DUMMYFUNCTION("""COMPUTED_VALUE"""),45678.0)</f>
        <v>45678</v>
      </c>
      <c r="F103" s="54"/>
      <c r="G103" s="19">
        <f>IFERROR(__xludf.DUMMYFUNCTION("""COMPUTED_VALUE"""),20.5)</f>
        <v>20.5</v>
      </c>
      <c r="H103" s="17">
        <f>IFERROR(__xludf.DUMMYFUNCTION("""COMPUTED_VALUE"""),44686.0)</f>
        <v>44686</v>
      </c>
      <c r="I103" s="19">
        <f>IFERROR(__xludf.DUMMYFUNCTION("""COMPUTED_VALUE"""),2.7111111111111112)</f>
        <v>2.711111111</v>
      </c>
      <c r="J103" s="21">
        <f>IFERROR(__xludf.DUMMYFUNCTION("""COMPUTED_VALUE"""),82.0)</f>
        <v>82</v>
      </c>
      <c r="K103" s="23">
        <f>IFERROR(__xludf.DUMMYFUNCTION("""COMPUTED_VALUE"""),7.4)</f>
        <v>7.4</v>
      </c>
      <c r="L103" s="24">
        <f>IFERROR(__xludf.DUMMYFUNCTION("""COMPUTED_VALUE"""),7.0)</f>
        <v>7</v>
      </c>
      <c r="M103" s="25" t="str">
        <f>IFERROR(__xludf.DUMMYFUNCTION("""COMPUTED_VALUE"""),"RPG")</f>
        <v>RPG</v>
      </c>
      <c r="N103" s="25"/>
      <c r="O103" s="26" t="str">
        <f>IFERROR(__xludf.DUMMYFUNCTION("""COMPUTED_VALUE"""),"Yes")</f>
        <v>Yes</v>
      </c>
      <c r="P103" s="26"/>
    </row>
    <row r="104">
      <c r="A104" s="13" t="str">
        <f>IFERROR(__xludf.DUMMYFUNCTION("""COMPUTED_VALUE"""),"Chivalry 2")</f>
        <v>Chivalry 2</v>
      </c>
      <c r="B104" s="15" t="str">
        <f>IFERROR(__xludf.DUMMYFUNCTION("""COMPUTED_VALUE"""),"PS5/PS4")</f>
        <v>PS5/PS4</v>
      </c>
      <c r="C104" s="16" t="str">
        <f>IFERROR(__xludf.DUMMYFUNCTION("""COMPUTED_VALUE"""),"Extra")</f>
        <v>Extra</v>
      </c>
      <c r="D104" s="15" t="str">
        <f>IFERROR(__xludf.DUMMYFUNCTION("""COMPUTED_VALUE"""),"Active")</f>
        <v>Active</v>
      </c>
      <c r="E104" s="17">
        <f>IFERROR(__xludf.DUMMYFUNCTION("""COMPUTED_VALUE"""),45615.0)</f>
        <v>45615</v>
      </c>
      <c r="F104" s="54"/>
      <c r="G104" s="19">
        <f>IFERROR(__xludf.DUMMYFUNCTION("""COMPUTED_VALUE"""),22.566666666666666)</f>
        <v>22.56666667</v>
      </c>
      <c r="H104" s="17">
        <f>IFERROR(__xludf.DUMMYFUNCTION("""COMPUTED_VALUE"""),44355.0)</f>
        <v>44355</v>
      </c>
      <c r="I104" s="19">
        <f>IFERROR(__xludf.DUMMYFUNCTION("""COMPUTED_VALUE"""),3.4472222222222224)</f>
        <v>3.447222222</v>
      </c>
      <c r="J104" s="21">
        <f>IFERROR(__xludf.DUMMYFUNCTION("""COMPUTED_VALUE"""),82.0)</f>
        <v>82</v>
      </c>
      <c r="K104" s="23">
        <f>IFERROR(__xludf.DUMMYFUNCTION("""COMPUTED_VALUE"""),5.5)</f>
        <v>5.5</v>
      </c>
      <c r="L104" s="24">
        <f>IFERROR(__xludf.DUMMYFUNCTION("""COMPUTED_VALUE"""),21.0)</f>
        <v>21</v>
      </c>
      <c r="M104" s="25" t="str">
        <f>IFERROR(__xludf.DUMMYFUNCTION("""COMPUTED_VALUE"""),"Beat-'Em-Up")</f>
        <v>Beat-'Em-Up</v>
      </c>
      <c r="N104" s="25"/>
      <c r="O104" s="26" t="str">
        <f>IFERROR(__xludf.DUMMYFUNCTION("""COMPUTED_VALUE"""),"Yes")</f>
        <v>Yes</v>
      </c>
      <c r="P104" s="26"/>
    </row>
    <row r="105">
      <c r="A105" s="13" t="str">
        <f>IFERROR(__xludf.DUMMYFUNCTION("""COMPUTED_VALUE"""),"Tekken 6")</f>
        <v>Tekken 6</v>
      </c>
      <c r="B105" s="15" t="str">
        <f>IFERROR(__xludf.DUMMYFUNCTION("""COMPUTED_VALUE"""),"PS5/PS4")</f>
        <v>PS5/PS4</v>
      </c>
      <c r="C105" s="16" t="str">
        <f>IFERROR(__xludf.DUMMYFUNCTION("""COMPUTED_VALUE"""),"Premium (Classics)")</f>
        <v>Premium (Classics)</v>
      </c>
      <c r="D105" s="15" t="str">
        <f>IFERROR(__xludf.DUMMYFUNCTION("""COMPUTED_VALUE"""),"Active")</f>
        <v>Active</v>
      </c>
      <c r="E105" s="17">
        <f>IFERROR(__xludf.DUMMYFUNCTION("""COMPUTED_VALUE"""),45216.0)</f>
        <v>45216</v>
      </c>
      <c r="F105" s="18"/>
      <c r="G105" s="19">
        <f>IFERROR(__xludf.DUMMYFUNCTION("""COMPUTED_VALUE"""),35.63333333333333)</f>
        <v>35.63333333</v>
      </c>
      <c r="H105" s="17">
        <f>IFERROR(__xludf.DUMMYFUNCTION("""COMPUTED_VALUE"""),40113.0)</f>
        <v>40113</v>
      </c>
      <c r="I105" s="19">
        <f>IFERROR(__xludf.DUMMYFUNCTION("""COMPUTED_VALUE"""),13.972222222222221)</f>
        <v>13.97222222</v>
      </c>
      <c r="J105" s="21">
        <f>IFERROR(__xludf.DUMMYFUNCTION("""COMPUTED_VALUE"""),82.0)</f>
        <v>82</v>
      </c>
      <c r="K105" s="23">
        <f>IFERROR(__xludf.DUMMYFUNCTION("""COMPUTED_VALUE"""),7.5)</f>
        <v>7.5</v>
      </c>
      <c r="L105" s="24">
        <f>IFERROR(__xludf.DUMMYFUNCTION("""COMPUTED_VALUE"""),8.0)</f>
        <v>8</v>
      </c>
      <c r="M105" s="25" t="str">
        <f>IFERROR(__xludf.DUMMYFUNCTION("""COMPUTED_VALUE"""),"Fighting")</f>
        <v>Fighting</v>
      </c>
      <c r="N105" s="25" t="str">
        <f>IFERROR(__xludf.DUMMYFUNCTION("""COMPUTED_VALUE"""),"PSP")</f>
        <v>PSP</v>
      </c>
      <c r="O105" s="26" t="str">
        <f>IFERROR(__xludf.DUMMYFUNCTION("""COMPUTED_VALUE"""),"Yes")</f>
        <v>Yes</v>
      </c>
      <c r="P105" s="26"/>
    </row>
    <row r="106">
      <c r="A106" s="13" t="str">
        <f>IFERROR(__xludf.DUMMYFUNCTION("""COMPUTED_VALUE"""),"This War of Mine: Final Cut")</f>
        <v>This War of Mine: Final Cut</v>
      </c>
      <c r="B106" s="15" t="str">
        <f>IFERROR(__xludf.DUMMYFUNCTION("""COMPUTED_VALUE"""),"PS5")</f>
        <v>PS5</v>
      </c>
      <c r="C106" s="16" t="str">
        <f>IFERROR(__xludf.DUMMYFUNCTION("""COMPUTED_VALUE"""),"Extra")</f>
        <v>Extra</v>
      </c>
      <c r="D106" s="15" t="str">
        <f>IFERROR(__xludf.DUMMYFUNCTION("""COMPUTED_VALUE"""),"Active")</f>
        <v>Active</v>
      </c>
      <c r="E106" s="17">
        <f>IFERROR(__xludf.DUMMYFUNCTION("""COMPUTED_VALUE"""),45188.0)</f>
        <v>45188</v>
      </c>
      <c r="F106" s="54"/>
      <c r="G106" s="19">
        <f>IFERROR(__xludf.DUMMYFUNCTION("""COMPUTED_VALUE"""),36.56666666666666)</f>
        <v>36.56666667</v>
      </c>
      <c r="H106" s="17">
        <f>IFERROR(__xludf.DUMMYFUNCTION("""COMPUTED_VALUE"""),44691.0)</f>
        <v>44691</v>
      </c>
      <c r="I106" s="19">
        <f>IFERROR(__xludf.DUMMYFUNCTION("""COMPUTED_VALUE"""),1.3583333333333334)</f>
        <v>1.358333333</v>
      </c>
      <c r="J106" s="21">
        <f>IFERROR(__xludf.DUMMYFUNCTION("""COMPUTED_VALUE"""),82.0)</f>
        <v>82</v>
      </c>
      <c r="K106" s="23">
        <f>IFERROR(__xludf.DUMMYFUNCTION("""COMPUTED_VALUE"""),6.3)</f>
        <v>6.3</v>
      </c>
      <c r="L106" s="24">
        <f>IFERROR(__xludf.DUMMYFUNCTION("""COMPUTED_VALUE"""),11.0)</f>
        <v>11</v>
      </c>
      <c r="M106" s="25" t="str">
        <f>IFERROR(__xludf.DUMMYFUNCTION("""COMPUTED_VALUE"""),"Survival")</f>
        <v>Survival</v>
      </c>
      <c r="N106" s="25"/>
      <c r="O106" s="26" t="str">
        <f>IFERROR(__xludf.DUMMYFUNCTION("""COMPUTED_VALUE"""),"Portal (PS5 + Premium)")</f>
        <v>Portal (PS5 + Premium)</v>
      </c>
      <c r="P106" s="26"/>
    </row>
    <row r="107">
      <c r="A107" s="13" t="str">
        <f>IFERROR(__xludf.DUMMYFUNCTION("""COMPUTED_VALUE"""),"Harvest Moon: Back to Nature")</f>
        <v>Harvest Moon: Back to Nature</v>
      </c>
      <c r="B107" s="15" t="str">
        <f>IFERROR(__xludf.DUMMYFUNCTION("""COMPUTED_VALUE"""),"PS5/PS4")</f>
        <v>PS5/PS4</v>
      </c>
      <c r="C107" s="16" t="str">
        <f>IFERROR(__xludf.DUMMYFUNCTION("""COMPUTED_VALUE"""),"Premium (Classics)")</f>
        <v>Premium (Classics)</v>
      </c>
      <c r="D107" s="15" t="str">
        <f>IFERROR(__xludf.DUMMYFUNCTION("""COMPUTED_VALUE"""),"Active")</f>
        <v>Active</v>
      </c>
      <c r="E107" s="17">
        <f>IFERROR(__xludf.DUMMYFUNCTION("""COMPUTED_VALUE"""),44978.0)</f>
        <v>44978</v>
      </c>
      <c r="F107" s="54"/>
      <c r="G107" s="19">
        <f>IFERROR(__xludf.DUMMYFUNCTION("""COMPUTED_VALUE"""),43.5)</f>
        <v>43.5</v>
      </c>
      <c r="H107" s="17">
        <f>IFERROR(__xludf.DUMMYFUNCTION("""COMPUTED_VALUE"""),36852.0)</f>
        <v>36852</v>
      </c>
      <c r="I107" s="19">
        <f>IFERROR(__xludf.DUMMYFUNCTION("""COMPUTED_VALUE"""),22.247222222222224)</f>
        <v>22.24722222</v>
      </c>
      <c r="J107" s="21">
        <f>IFERROR(__xludf.DUMMYFUNCTION("""COMPUTED_VALUE"""),82.0)</f>
        <v>82</v>
      </c>
      <c r="K107" s="23">
        <f>IFERROR(__xludf.DUMMYFUNCTION("""COMPUTED_VALUE"""),8.8)</f>
        <v>8.8</v>
      </c>
      <c r="L107" s="24">
        <f>IFERROR(__xludf.DUMMYFUNCTION("""COMPUTED_VALUE"""),86.0)</f>
        <v>86</v>
      </c>
      <c r="M107" s="25" t="str">
        <f>IFERROR(__xludf.DUMMYFUNCTION("""COMPUTED_VALUE"""),"Strategy")</f>
        <v>Strategy</v>
      </c>
      <c r="N107" s="25" t="str">
        <f>IFERROR(__xludf.DUMMYFUNCTION("""COMPUTED_VALUE"""),"PS1")</f>
        <v>PS1</v>
      </c>
      <c r="O107" s="26" t="str">
        <f>IFERROR(__xludf.DUMMYFUNCTION("""COMPUTED_VALUE"""),"Yes")</f>
        <v>Yes</v>
      </c>
      <c r="P107" s="26"/>
    </row>
    <row r="108">
      <c r="A108" s="13" t="str">
        <f>IFERROR(__xludf.DUMMYFUNCTION("""COMPUTED_VALUE"""),"Death Stranding: Director's Cut")</f>
        <v>Death Stranding: Director's Cut</v>
      </c>
      <c r="B108" s="15" t="str">
        <f>IFERROR(__xludf.DUMMYFUNCTION("""COMPUTED_VALUE"""),"PS5/PS4")</f>
        <v>PS5/PS4</v>
      </c>
      <c r="C108" s="16" t="str">
        <f>IFERROR(__xludf.DUMMYFUNCTION("""COMPUTED_VALUE"""),"Extra")</f>
        <v>Extra</v>
      </c>
      <c r="D108" s="15" t="str">
        <f>IFERROR(__xludf.DUMMYFUNCTION("""COMPUTED_VALUE"""),"Active")</f>
        <v>Active</v>
      </c>
      <c r="E108" s="17">
        <f>IFERROR(__xludf.DUMMYFUNCTION("""COMPUTED_VALUE"""),44725.0)</f>
        <v>44725</v>
      </c>
      <c r="F108" s="54"/>
      <c r="G108" s="19">
        <f>IFERROR(__xludf.DUMMYFUNCTION("""COMPUTED_VALUE"""),51.766666666666666)</f>
        <v>51.76666667</v>
      </c>
      <c r="H108" s="17">
        <f>IFERROR(__xludf.DUMMYFUNCTION("""COMPUTED_VALUE"""),44463.0)</f>
        <v>44463</v>
      </c>
      <c r="I108" s="19">
        <f>IFERROR(__xludf.DUMMYFUNCTION("""COMPUTED_VALUE"""),0.7194444444444444)</f>
        <v>0.7194444444</v>
      </c>
      <c r="J108" s="21">
        <f>IFERROR(__xludf.DUMMYFUNCTION("""COMPUTED_VALUE"""),82.0)</f>
        <v>82</v>
      </c>
      <c r="K108" s="23">
        <f>IFERROR(__xludf.DUMMYFUNCTION("""COMPUTED_VALUE"""),8.1)</f>
        <v>8.1</v>
      </c>
      <c r="L108" s="24">
        <f>IFERROR(__xludf.DUMMYFUNCTION("""COMPUTED_VALUE"""),32.5)</f>
        <v>32.5</v>
      </c>
      <c r="M108" s="25" t="str">
        <f>IFERROR(__xludf.DUMMYFUNCTION("""COMPUTED_VALUE"""),"Action-Adventure")</f>
        <v>Action-Adventure</v>
      </c>
      <c r="N108" s="25" t="str">
        <f>IFERROR(__xludf.DUMMYFUNCTION("""COMPUTED_VALUE"""),"PS4 gets the base version")</f>
        <v>PS4 gets the base version</v>
      </c>
      <c r="O108" s="26" t="str">
        <f>IFERROR(__xludf.DUMMYFUNCTION("""COMPUTED_VALUE"""),"Yes")</f>
        <v>Yes</v>
      </c>
      <c r="P108" s="26"/>
    </row>
    <row r="109">
      <c r="A109" s="13" t="str">
        <f>IFERROR(__xludf.DUMMYFUNCTION("""COMPUTED_VALUE"""),"Marvel's Guardians Of The Galaxy")</f>
        <v>Marvel's Guardians Of The Galaxy</v>
      </c>
      <c r="B109" s="15" t="str">
        <f>IFERROR(__xludf.DUMMYFUNCTION("""COMPUTED_VALUE"""),"PS5/PS4")</f>
        <v>PS5/PS4</v>
      </c>
      <c r="C109" s="16" t="str">
        <f>IFERROR(__xludf.DUMMYFUNCTION("""COMPUTED_VALUE"""),"Extra")</f>
        <v>Extra</v>
      </c>
      <c r="D109" s="15" t="str">
        <f>IFERROR(__xludf.DUMMYFUNCTION("""COMPUTED_VALUE"""),"Active")</f>
        <v>Active</v>
      </c>
      <c r="E109" s="17">
        <f>IFERROR(__xludf.DUMMYFUNCTION("""COMPUTED_VALUE"""),44725.0)</f>
        <v>44725</v>
      </c>
      <c r="F109" s="54"/>
      <c r="G109" s="19">
        <f>IFERROR(__xludf.DUMMYFUNCTION("""COMPUTED_VALUE"""),51.766666666666666)</f>
        <v>51.76666667</v>
      </c>
      <c r="H109" s="17">
        <f>IFERROR(__xludf.DUMMYFUNCTION("""COMPUTED_VALUE"""),44495.0)</f>
        <v>44495</v>
      </c>
      <c r="I109" s="19">
        <f>IFERROR(__xludf.DUMMYFUNCTION("""COMPUTED_VALUE"""),0.6305555555555555)</f>
        <v>0.6305555556</v>
      </c>
      <c r="J109" s="21">
        <f>IFERROR(__xludf.DUMMYFUNCTION("""COMPUTED_VALUE"""),82.0)</f>
        <v>82</v>
      </c>
      <c r="K109" s="23">
        <f>IFERROR(__xludf.DUMMYFUNCTION("""COMPUTED_VALUE"""),8.4)</f>
        <v>8.4</v>
      </c>
      <c r="L109" s="24">
        <f>IFERROR(__xludf.DUMMYFUNCTION("""COMPUTED_VALUE"""),17.5)</f>
        <v>17.5</v>
      </c>
      <c r="M109" s="25" t="str">
        <f>IFERROR(__xludf.DUMMYFUNCTION("""COMPUTED_VALUE"""),"Action-Adventure")</f>
        <v>Action-Adventure</v>
      </c>
      <c r="N109" s="25"/>
      <c r="O109" s="26" t="str">
        <f>IFERROR(__xludf.DUMMYFUNCTION("""COMPUTED_VALUE"""),"Yes")</f>
        <v>Yes</v>
      </c>
      <c r="P109" s="26"/>
    </row>
    <row r="110">
      <c r="A110" s="13" t="str">
        <f>IFERROR(__xludf.DUMMYFUNCTION("""COMPUTED_VALUE"""),"Hot Shots Golf")</f>
        <v>Hot Shots Golf</v>
      </c>
      <c r="B110" s="15" t="str">
        <f>IFERROR(__xludf.DUMMYFUNCTION("""COMPUTED_VALUE"""),"PS5/PS4")</f>
        <v>PS5/PS4</v>
      </c>
      <c r="C110" s="16" t="str">
        <f>IFERROR(__xludf.DUMMYFUNCTION("""COMPUTED_VALUE"""),"Premium (Classics)")</f>
        <v>Premium (Classics)</v>
      </c>
      <c r="D110" s="15" t="str">
        <f>IFERROR(__xludf.DUMMYFUNCTION("""COMPUTED_VALUE"""),"Active")</f>
        <v>Active</v>
      </c>
      <c r="E110" s="17">
        <f>IFERROR(__xludf.DUMMYFUNCTION("""COMPUTED_VALUE"""),44725.0)</f>
        <v>44725</v>
      </c>
      <c r="F110" s="54"/>
      <c r="G110" s="19">
        <f>IFERROR(__xludf.DUMMYFUNCTION("""COMPUTED_VALUE"""),51.766666666666666)</f>
        <v>51.76666667</v>
      </c>
      <c r="H110" s="17">
        <f>IFERROR(__xludf.DUMMYFUNCTION("""COMPUTED_VALUE"""),36007.0)</f>
        <v>36007</v>
      </c>
      <c r="I110" s="19">
        <f>IFERROR(__xludf.DUMMYFUNCTION("""COMPUTED_VALUE"""),23.869444444444444)</f>
        <v>23.86944444</v>
      </c>
      <c r="J110" s="21">
        <f>IFERROR(__xludf.DUMMYFUNCTION("""COMPUTED_VALUE"""),82.0)</f>
        <v>82</v>
      </c>
      <c r="K110" s="23">
        <f>IFERROR(__xludf.DUMMYFUNCTION("""COMPUTED_VALUE"""),8.6)</f>
        <v>8.6</v>
      </c>
      <c r="L110" s="24"/>
      <c r="M110" s="25" t="str">
        <f>IFERROR(__xludf.DUMMYFUNCTION("""COMPUTED_VALUE"""),"Sports")</f>
        <v>Sports</v>
      </c>
      <c r="N110" s="25" t="str">
        <f>IFERROR(__xludf.DUMMYFUNCTION("""COMPUTED_VALUE"""),"PS1")</f>
        <v>PS1</v>
      </c>
      <c r="O110" s="26" t="str">
        <f>IFERROR(__xludf.DUMMYFUNCTION("""COMPUTED_VALUE"""),"Yes")</f>
        <v>Yes</v>
      </c>
      <c r="P110" s="26" t="str">
        <f>IFERROR(__xludf.DUMMYFUNCTION("""COMPUTED_VALUE"""),"")</f>
        <v/>
      </c>
    </row>
    <row r="111">
      <c r="A111" s="13" t="str">
        <f>IFERROR(__xludf.DUMMYFUNCTION("""COMPUTED_VALUE"""),"Gloomhaven: Mercenaries Edition")</f>
        <v>Gloomhaven: Mercenaries Edition</v>
      </c>
      <c r="B111" s="15" t="str">
        <f>IFERROR(__xludf.DUMMYFUNCTION("""COMPUTED_VALUE"""),"PS5/PS4")</f>
        <v>PS5/PS4</v>
      </c>
      <c r="C111" s="16" t="str">
        <f>IFERROR(__xludf.DUMMYFUNCTION("""COMPUTED_VALUE"""),"Extra")</f>
        <v>Extra</v>
      </c>
      <c r="D111" s="15" t="str">
        <f>IFERROR(__xludf.DUMMYFUNCTION("""COMPUTED_VALUE"""),"Leaving Soon")</f>
        <v>Leaving Soon</v>
      </c>
      <c r="E111" s="17">
        <f>IFERROR(__xludf.DUMMYFUNCTION("""COMPUTED_VALUE"""),45797.0)</f>
        <v>45797</v>
      </c>
      <c r="F111" s="54">
        <f>IFERROR(__xludf.DUMMYFUNCTION("""COMPUTED_VALUE"""),46314.0)</f>
        <v>46314</v>
      </c>
      <c r="G111" s="19">
        <f>IFERROR(__xludf.DUMMYFUNCTION("""COMPUTED_VALUE"""),16.96666666666667)</f>
        <v>16.96666667</v>
      </c>
      <c r="H111" s="17">
        <f>IFERROR(__xludf.DUMMYFUNCTION("""COMPUTED_VALUE"""),43663.0)</f>
        <v>43663</v>
      </c>
      <c r="I111" s="19">
        <f>IFERROR(__xludf.DUMMYFUNCTION("""COMPUTED_VALUE"""),5.841666666666667)</f>
        <v>5.841666667</v>
      </c>
      <c r="J111" s="21">
        <f>IFERROR(__xludf.DUMMYFUNCTION("""COMPUTED_VALUE"""),82.0)</f>
        <v>82</v>
      </c>
      <c r="K111" s="23">
        <f>IFERROR(__xludf.DUMMYFUNCTION("""COMPUTED_VALUE"""),6.6)</f>
        <v>6.6</v>
      </c>
      <c r="L111" s="24">
        <f>IFERROR(__xludf.DUMMYFUNCTION("""COMPUTED_VALUE"""),100.0)</f>
        <v>100</v>
      </c>
      <c r="M111" s="25" t="str">
        <f>IFERROR(__xludf.DUMMYFUNCTION("""COMPUTED_VALUE"""),"Board")</f>
        <v>Board</v>
      </c>
      <c r="N111" s="25"/>
      <c r="O111" s="26"/>
      <c r="P111" s="26"/>
    </row>
    <row r="112">
      <c r="A112" s="13" t="str">
        <f>IFERROR(__xludf.DUMMYFUNCTION("""COMPUTED_VALUE"""),"The Exit 8")</f>
        <v>The Exit 8</v>
      </c>
      <c r="B112" s="15" t="str">
        <f>IFERROR(__xludf.DUMMYFUNCTION("""COMPUTED_VALUE"""),"PS5/PS4")</f>
        <v>PS5/PS4</v>
      </c>
      <c r="C112" s="16" t="str">
        <f>IFERROR(__xludf.DUMMYFUNCTION("""COMPUTED_VALUE"""),"Extra")</f>
        <v>Extra</v>
      </c>
      <c r="D112" s="15" t="str">
        <f>IFERROR(__xludf.DUMMYFUNCTION("""COMPUTED_VALUE"""),"Active")</f>
        <v>Active</v>
      </c>
      <c r="E112" s="17">
        <f>IFERROR(__xludf.DUMMYFUNCTION("""COMPUTED_VALUE"""),46042.0)</f>
        <v>46042</v>
      </c>
      <c r="F112" s="54"/>
      <c r="G112" s="19">
        <f>IFERROR(__xludf.DUMMYFUNCTION("""COMPUTED_VALUE"""),8.533333333333333)</f>
        <v>8.533333333</v>
      </c>
      <c r="H112" s="17">
        <f>IFERROR(__xludf.DUMMYFUNCTION("""COMPUTED_VALUE"""),45399.0)</f>
        <v>45399</v>
      </c>
      <c r="I112" s="19">
        <f>IFERROR(__xludf.DUMMYFUNCTION("""COMPUTED_VALUE"""),1.7583333333333333)</f>
        <v>1.758333333</v>
      </c>
      <c r="J112" s="21">
        <f>IFERROR(__xludf.DUMMYFUNCTION("""COMPUTED_VALUE"""),81.66666666666667)</f>
        <v>81.66666667</v>
      </c>
      <c r="K112" s="23">
        <f>IFERROR(__xludf.DUMMYFUNCTION("""COMPUTED_VALUE"""),7.3)</f>
        <v>7.3</v>
      </c>
      <c r="L112" s="24">
        <f>IFERROR(__xludf.DUMMYFUNCTION("""COMPUTED_VALUE"""),1.0)</f>
        <v>1</v>
      </c>
      <c r="M112" s="25" t="str">
        <f>IFERROR(__xludf.DUMMYFUNCTION("""COMPUTED_VALUE"""),"Adventure")</f>
        <v>Adventure</v>
      </c>
      <c r="N112" s="25"/>
      <c r="O112" s="26"/>
      <c r="P112" s="26"/>
    </row>
    <row r="113">
      <c r="A113" s="13" t="str">
        <f>IFERROR(__xludf.DUMMYFUNCTION("""COMPUTED_VALUE"""),"Onimusha: Dawn of Dreams")</f>
        <v>Onimusha: Dawn of Dreams</v>
      </c>
      <c r="B113" s="15" t="str">
        <f>IFERROR(__xludf.DUMMYFUNCTION("""COMPUTED_VALUE"""),"PS5/PS4")</f>
        <v>PS5/PS4</v>
      </c>
      <c r="C113" s="16" t="str">
        <f>IFERROR(__xludf.DUMMYFUNCTION("""COMPUTED_VALUE"""),"Premium (Classics)")</f>
        <v>Premium (Classics)</v>
      </c>
      <c r="D113" s="15" t="str">
        <f>IFERROR(__xludf.DUMMYFUNCTION("""COMPUTED_VALUE"""),"Active")</f>
        <v>Active</v>
      </c>
      <c r="E113" s="17">
        <f>IFERROR(__xludf.DUMMYFUNCTION("""COMPUTED_VALUE"""),46252.0)</f>
        <v>46252</v>
      </c>
      <c r="F113" s="54"/>
      <c r="G113" s="19">
        <f>IFERROR(__xludf.DUMMYFUNCTION("""COMPUTED_VALUE"""),1.6)</f>
        <v>1.6</v>
      </c>
      <c r="H113" s="17">
        <f>IFERROR(__xludf.DUMMYFUNCTION("""COMPUTED_VALUE"""),38783.0)</f>
        <v>38783</v>
      </c>
      <c r="I113" s="19">
        <f>IFERROR(__xludf.DUMMYFUNCTION("""COMPUTED_VALUE"""),20.447222222222223)</f>
        <v>20.44722222</v>
      </c>
      <c r="J113" s="21">
        <f>IFERROR(__xludf.DUMMYFUNCTION("""COMPUTED_VALUE"""),81.0)</f>
        <v>81</v>
      </c>
      <c r="K113" s="23">
        <f>IFERROR(__xludf.DUMMYFUNCTION("""COMPUTED_VALUE"""),8.5)</f>
        <v>8.5</v>
      </c>
      <c r="L113" s="24">
        <f>IFERROR(__xludf.DUMMYFUNCTION("""COMPUTED_VALUE"""),20.0)</f>
        <v>20</v>
      </c>
      <c r="M113" s="25" t="str">
        <f>IFERROR(__xludf.DUMMYFUNCTION("""COMPUTED_VALUE"""),"Action-Adventure")</f>
        <v>Action-Adventure</v>
      </c>
      <c r="N113" s="25" t="str">
        <f>IFERROR(__xludf.DUMMYFUNCTION("""COMPUTED_VALUE"""),"PS2")</f>
        <v>PS2</v>
      </c>
      <c r="O113" s="26"/>
      <c r="P113" s="26"/>
    </row>
    <row r="114">
      <c r="A114" s="13" t="str">
        <f>IFERROR(__xludf.DUMMYFUNCTION("""COMPUTED_VALUE"""),"Venba")</f>
        <v>Venba</v>
      </c>
      <c r="B114" s="15" t="str">
        <f>IFERROR(__xludf.DUMMYFUNCTION("""COMPUTED_VALUE"""),"PS5")</f>
        <v>PS5</v>
      </c>
      <c r="C114" s="16" t="str">
        <f>IFERROR(__xludf.DUMMYFUNCTION("""COMPUTED_VALUE"""),"Extra")</f>
        <v>Extra</v>
      </c>
      <c r="D114" s="15" t="str">
        <f>IFERROR(__xludf.DUMMYFUNCTION("""COMPUTED_VALUE"""),"Active")</f>
        <v>Active</v>
      </c>
      <c r="E114" s="17">
        <f>IFERROR(__xludf.DUMMYFUNCTION("""COMPUTED_VALUE"""),46070.0)</f>
        <v>46070</v>
      </c>
      <c r="F114" s="54"/>
      <c r="G114" s="19">
        <f>IFERROR(__xludf.DUMMYFUNCTION("""COMPUTED_VALUE"""),7.633333333333333)</f>
        <v>7.633333333</v>
      </c>
      <c r="H114" s="17">
        <f>IFERROR(__xludf.DUMMYFUNCTION("""COMPUTED_VALUE"""),45138.0)</f>
        <v>45138</v>
      </c>
      <c r="I114" s="19">
        <f>IFERROR(__xludf.DUMMYFUNCTION("""COMPUTED_VALUE"""),2.547222222222222)</f>
        <v>2.547222222</v>
      </c>
      <c r="J114" s="21">
        <f>IFERROR(__xludf.DUMMYFUNCTION("""COMPUTED_VALUE"""),81.0)</f>
        <v>81</v>
      </c>
      <c r="K114" s="23">
        <f>IFERROR(__xludf.DUMMYFUNCTION("""COMPUTED_VALUE"""),7.7)</f>
        <v>7.7</v>
      </c>
      <c r="L114" s="24">
        <f>IFERROR(__xludf.DUMMYFUNCTION("""COMPUTED_VALUE"""),2.0)</f>
        <v>2</v>
      </c>
      <c r="M114" s="25" t="str">
        <f>IFERROR(__xludf.DUMMYFUNCTION("""COMPUTED_VALUE"""),"Adventure")</f>
        <v>Adventure</v>
      </c>
      <c r="N114" s="25"/>
      <c r="O114" s="26" t="str">
        <f>IFERROR(__xludf.DUMMYFUNCTION("""COMPUTED_VALUE"""),"No")</f>
        <v>No</v>
      </c>
      <c r="P114" s="26"/>
    </row>
    <row r="115">
      <c r="A115" s="13" t="str">
        <f>IFERROR(__xludf.DUMMYFUNCTION("""COMPUTED_VALUE"""),"Darkest Dungeon II")</f>
        <v>Darkest Dungeon II</v>
      </c>
      <c r="B115" s="15" t="str">
        <f>IFERROR(__xludf.DUMMYFUNCTION("""COMPUTED_VALUE"""),"PS5/PS4")</f>
        <v>PS5/PS4</v>
      </c>
      <c r="C115" s="16" t="str">
        <f>IFERROR(__xludf.DUMMYFUNCTION("""COMPUTED_VALUE"""),"Extra")</f>
        <v>Extra</v>
      </c>
      <c r="D115" s="15" t="str">
        <f>IFERROR(__xludf.DUMMYFUNCTION("""COMPUTED_VALUE"""),"Active")</f>
        <v>Active</v>
      </c>
      <c r="E115" s="17">
        <f>IFERROR(__xludf.DUMMYFUNCTION("""COMPUTED_VALUE"""),46042.0)</f>
        <v>46042</v>
      </c>
      <c r="F115" s="54"/>
      <c r="G115" s="19">
        <f>IFERROR(__xludf.DUMMYFUNCTION("""COMPUTED_VALUE"""),8.533333333333333)</f>
        <v>8.533333333</v>
      </c>
      <c r="H115" s="17">
        <f>IFERROR(__xludf.DUMMYFUNCTION("""COMPUTED_VALUE"""),45054.0)</f>
        <v>45054</v>
      </c>
      <c r="I115" s="19">
        <f>IFERROR(__xludf.DUMMYFUNCTION("""COMPUTED_VALUE"""),2.7)</f>
        <v>2.7</v>
      </c>
      <c r="J115" s="21">
        <f>IFERROR(__xludf.DUMMYFUNCTION("""COMPUTED_VALUE"""),81.0)</f>
        <v>81</v>
      </c>
      <c r="K115" s="23">
        <f>IFERROR(__xludf.DUMMYFUNCTION("""COMPUTED_VALUE"""),6.1)</f>
        <v>6.1</v>
      </c>
      <c r="L115" s="24">
        <f>IFERROR(__xludf.DUMMYFUNCTION("""COMPUTED_VALUE"""),27.0)</f>
        <v>27</v>
      </c>
      <c r="M115" s="25" t="str">
        <f>IFERROR(__xludf.DUMMYFUNCTION("""COMPUTED_VALUE"""),"Roguelike")</f>
        <v>Roguelike</v>
      </c>
      <c r="N115" s="25"/>
      <c r="O115" s="26"/>
      <c r="P115" s="26"/>
    </row>
    <row r="116">
      <c r="A116" s="13" t="str">
        <f>IFERROR(__xludf.DUMMYFUNCTION("""COMPUTED_VALUE"""),"Fate/Samurai Remnant")</f>
        <v>Fate/Samurai Remnant</v>
      </c>
      <c r="B116" s="15" t="str">
        <f>IFERROR(__xludf.DUMMYFUNCTION("""COMPUTED_VALUE"""),"PS5/PS4")</f>
        <v>PS5/PS4</v>
      </c>
      <c r="C116" s="16" t="str">
        <f>IFERROR(__xludf.DUMMYFUNCTION("""COMPUTED_VALUE"""),"Extra")</f>
        <v>Extra</v>
      </c>
      <c r="D116" s="15" t="str">
        <f>IFERROR(__xludf.DUMMYFUNCTION("""COMPUTED_VALUE"""),"Active")</f>
        <v>Active</v>
      </c>
      <c r="E116" s="17">
        <f>IFERROR(__xludf.DUMMYFUNCTION("""COMPUTED_VALUE"""),45916.0)</f>
        <v>45916</v>
      </c>
      <c r="F116" s="54"/>
      <c r="G116" s="19">
        <f>IFERROR(__xludf.DUMMYFUNCTION("""COMPUTED_VALUE"""),12.666666666666668)</f>
        <v>12.66666667</v>
      </c>
      <c r="H116" s="17">
        <f>IFERROR(__xludf.DUMMYFUNCTION("""COMPUTED_VALUE"""),45198.0)</f>
        <v>45198</v>
      </c>
      <c r="I116" s="19">
        <f>IFERROR(__xludf.DUMMYFUNCTION("""COMPUTED_VALUE"""),1.9638888888888888)</f>
        <v>1.963888889</v>
      </c>
      <c r="J116" s="21">
        <f>IFERROR(__xludf.DUMMYFUNCTION("""COMPUTED_VALUE"""),81.0)</f>
        <v>81</v>
      </c>
      <c r="K116" s="23">
        <f>IFERROR(__xludf.DUMMYFUNCTION("""COMPUTED_VALUE"""),8.0)</f>
        <v>8</v>
      </c>
      <c r="L116" s="24">
        <f>IFERROR(__xludf.DUMMYFUNCTION("""COMPUTED_VALUE"""),29.0)</f>
        <v>29</v>
      </c>
      <c r="M116" s="25" t="str">
        <f>IFERROR(__xludf.DUMMYFUNCTION("""COMPUTED_VALUE"""),"RPG")</f>
        <v>RPG</v>
      </c>
      <c r="N116" s="25"/>
      <c r="O116" s="26"/>
      <c r="P116" s="26"/>
    </row>
    <row r="117">
      <c r="A117" s="13" t="str">
        <f>IFERROR(__xludf.DUMMYFUNCTION("""COMPUTED_VALUE"""),"Atelier Ryza 3: Alchemist of the End &amp; the Secret Key")</f>
        <v>Atelier Ryza 3: Alchemist of the End &amp; the Secret Key</v>
      </c>
      <c r="B117" s="15" t="str">
        <f>IFERROR(__xludf.DUMMYFUNCTION("""COMPUTED_VALUE"""),"PS5/PS4")</f>
        <v>PS5/PS4</v>
      </c>
      <c r="C117" s="16" t="str">
        <f>IFERROR(__xludf.DUMMYFUNCTION("""COMPUTED_VALUE"""),"Extra")</f>
        <v>Extra</v>
      </c>
      <c r="D117" s="15" t="str">
        <f>IFERROR(__xludf.DUMMYFUNCTION("""COMPUTED_VALUE"""),"Active")</f>
        <v>Active</v>
      </c>
      <c r="E117" s="17">
        <f>IFERROR(__xludf.DUMMYFUNCTION("""COMPUTED_VALUE"""),45888.0)</f>
        <v>45888</v>
      </c>
      <c r="F117" s="54"/>
      <c r="G117" s="19">
        <f>IFERROR(__xludf.DUMMYFUNCTION("""COMPUTED_VALUE"""),13.566666666666666)</f>
        <v>13.56666667</v>
      </c>
      <c r="H117" s="17">
        <f>IFERROR(__xludf.DUMMYFUNCTION("""COMPUTED_VALUE"""),45009.0)</f>
        <v>45009</v>
      </c>
      <c r="I117" s="19">
        <f>IFERROR(__xludf.DUMMYFUNCTION("""COMPUTED_VALUE"""),2.4027777777777777)</f>
        <v>2.402777778</v>
      </c>
      <c r="J117" s="21">
        <f>IFERROR(__xludf.DUMMYFUNCTION("""COMPUTED_VALUE"""),81.0)</f>
        <v>81</v>
      </c>
      <c r="K117" s="23">
        <f>IFERROR(__xludf.DUMMYFUNCTION("""COMPUTED_VALUE"""),7.5)</f>
        <v>7.5</v>
      </c>
      <c r="L117" s="24">
        <f>IFERROR(__xludf.DUMMYFUNCTION("""COMPUTED_VALUE"""),34.0)</f>
        <v>34</v>
      </c>
      <c r="M117" s="25" t="str">
        <f>IFERROR(__xludf.DUMMYFUNCTION("""COMPUTED_VALUE"""),"RPG")</f>
        <v>RPG</v>
      </c>
      <c r="N117" s="25"/>
      <c r="O117" s="26"/>
      <c r="P117" s="26"/>
    </row>
    <row r="118">
      <c r="A118" s="13" t="str">
        <f>IFERROR(__xludf.DUMMYFUNCTION("""COMPUTED_VALUE"""),"Planet Zoo")</f>
        <v>Planet Zoo</v>
      </c>
      <c r="B118" s="15" t="str">
        <f>IFERROR(__xludf.DUMMYFUNCTION("""COMPUTED_VALUE"""),"PS5")</f>
        <v>PS5</v>
      </c>
      <c r="C118" s="16" t="str">
        <f>IFERROR(__xludf.DUMMYFUNCTION("""COMPUTED_VALUE"""),"Extra")</f>
        <v>Extra</v>
      </c>
      <c r="D118" s="15" t="str">
        <f>IFERROR(__xludf.DUMMYFUNCTION("""COMPUTED_VALUE"""),"Active")</f>
        <v>Active</v>
      </c>
      <c r="E118" s="17">
        <f>IFERROR(__xludf.DUMMYFUNCTION("""COMPUTED_VALUE"""),45853.0)</f>
        <v>45853</v>
      </c>
      <c r="F118" s="54"/>
      <c r="G118" s="19">
        <f>IFERROR(__xludf.DUMMYFUNCTION("""COMPUTED_VALUE"""),14.700000000000001)</f>
        <v>14.7</v>
      </c>
      <c r="H118" s="17">
        <f>IFERROR(__xludf.DUMMYFUNCTION("""COMPUTED_VALUE"""),43774.0)</f>
        <v>43774</v>
      </c>
      <c r="I118" s="19">
        <f>IFERROR(__xludf.DUMMYFUNCTION("""COMPUTED_VALUE"""),5.694444444444445)</f>
        <v>5.694444444</v>
      </c>
      <c r="J118" s="21">
        <f>IFERROR(__xludf.DUMMYFUNCTION("""COMPUTED_VALUE"""),81.0)</f>
        <v>81</v>
      </c>
      <c r="K118" s="23">
        <f>IFERROR(__xludf.DUMMYFUNCTION("""COMPUTED_VALUE"""),7.9)</f>
        <v>7.9</v>
      </c>
      <c r="L118" s="24">
        <f>IFERROR(__xludf.DUMMYFUNCTION("""COMPUTED_VALUE"""),34.0)</f>
        <v>34</v>
      </c>
      <c r="M118" s="25" t="str">
        <f>IFERROR(__xludf.DUMMYFUNCTION("""COMPUTED_VALUE"""),"Tycoon")</f>
        <v>Tycoon</v>
      </c>
      <c r="N118" s="25"/>
      <c r="O118" s="26" t="str">
        <f>IFERROR(__xludf.DUMMYFUNCTION("""COMPUTED_VALUE"""),"No")</f>
        <v>No</v>
      </c>
      <c r="P118" s="26"/>
    </row>
    <row r="119">
      <c r="A119" s="13" t="str">
        <f>IFERROR(__xludf.DUMMYFUNCTION("""COMPUTED_VALUE"""),"Granblue Fantasy Versus: Rising")</f>
        <v>Granblue Fantasy Versus: Rising</v>
      </c>
      <c r="B119" s="15" t="str">
        <f>IFERROR(__xludf.DUMMYFUNCTION("""COMPUTED_VALUE"""),"PS5/PS4")</f>
        <v>PS5/PS4</v>
      </c>
      <c r="C119" s="16" t="str">
        <f>IFERROR(__xludf.DUMMYFUNCTION("""COMPUTED_VALUE"""),"Extra")</f>
        <v>Extra</v>
      </c>
      <c r="D119" s="15" t="str">
        <f>IFERROR(__xludf.DUMMYFUNCTION("""COMPUTED_VALUE"""),"Active")</f>
        <v>Active</v>
      </c>
      <c r="E119" s="17">
        <f>IFERROR(__xludf.DUMMYFUNCTION("""COMPUTED_VALUE"""),45797.0)</f>
        <v>45797</v>
      </c>
      <c r="F119" s="54"/>
      <c r="G119" s="19">
        <f>IFERROR(__xludf.DUMMYFUNCTION("""COMPUTED_VALUE"""),16.53333333333333)</f>
        <v>16.53333333</v>
      </c>
      <c r="H119" s="17">
        <f>IFERROR(__xludf.DUMMYFUNCTION("""COMPUTED_VALUE"""),45274.0)</f>
        <v>45274</v>
      </c>
      <c r="I119" s="19">
        <f>IFERROR(__xludf.DUMMYFUNCTION("""COMPUTED_VALUE"""),1.4333333333333333)</f>
        <v>1.433333333</v>
      </c>
      <c r="J119" s="21">
        <f>IFERROR(__xludf.DUMMYFUNCTION("""COMPUTED_VALUE"""),81.0)</f>
        <v>81</v>
      </c>
      <c r="K119" s="23">
        <f>IFERROR(__xludf.DUMMYFUNCTION("""COMPUTED_VALUE"""),7.0)</f>
        <v>7</v>
      </c>
      <c r="L119" s="24">
        <f>IFERROR(__xludf.DUMMYFUNCTION("""COMPUTED_VALUE"""),13.0)</f>
        <v>13</v>
      </c>
      <c r="M119" s="25" t="str">
        <f>IFERROR(__xludf.DUMMYFUNCTION("""COMPUTED_VALUE"""),"Fighting")</f>
        <v>Fighting</v>
      </c>
      <c r="N119" s="25"/>
      <c r="O119" s="26"/>
      <c r="P119" s="26"/>
    </row>
    <row r="120">
      <c r="A120" s="13" t="str">
        <f>IFERROR(__xludf.DUMMYFUNCTION("""COMPUTED_VALUE"""),"Syberia: The World Before")</f>
        <v>Syberia: The World Before</v>
      </c>
      <c r="B120" s="15" t="str">
        <f>IFERROR(__xludf.DUMMYFUNCTION("""COMPUTED_VALUE"""),"PS5/PS4")</f>
        <v>PS5/PS4</v>
      </c>
      <c r="C120" s="16" t="str">
        <f>IFERROR(__xludf.DUMMYFUNCTION("""COMPUTED_VALUE"""),"Extra")</f>
        <v>Extra</v>
      </c>
      <c r="D120" s="15" t="str">
        <f>IFERROR(__xludf.DUMMYFUNCTION("""COMPUTED_VALUE"""),"Active")</f>
        <v>Active</v>
      </c>
      <c r="E120" s="17">
        <f>IFERROR(__xludf.DUMMYFUNCTION("""COMPUTED_VALUE"""),45734.0)</f>
        <v>45734</v>
      </c>
      <c r="F120" s="54"/>
      <c r="G120" s="19">
        <f>IFERROR(__xludf.DUMMYFUNCTION("""COMPUTED_VALUE"""),18.6)</f>
        <v>18.6</v>
      </c>
      <c r="H120" s="17">
        <f>IFERROR(__xludf.DUMMYFUNCTION("""COMPUTED_VALUE"""),44638.0)</f>
        <v>44638</v>
      </c>
      <c r="I120" s="19">
        <f>IFERROR(__xludf.DUMMYFUNCTION("""COMPUTED_VALUE"""),3.0)</f>
        <v>3</v>
      </c>
      <c r="J120" s="21">
        <f>IFERROR(__xludf.DUMMYFUNCTION("""COMPUTED_VALUE"""),81.0)</f>
        <v>81</v>
      </c>
      <c r="K120" s="23">
        <f>IFERROR(__xludf.DUMMYFUNCTION("""COMPUTED_VALUE"""),8.5)</f>
        <v>8.5</v>
      </c>
      <c r="L120" s="24">
        <f>IFERROR(__xludf.DUMMYFUNCTION("""COMPUTED_VALUE"""),14.0)</f>
        <v>14</v>
      </c>
      <c r="M120" s="25" t="str">
        <f>IFERROR(__xludf.DUMMYFUNCTION("""COMPUTED_VALUE"""),"Point-and-Click ")</f>
        <v>Point-and-Click </v>
      </c>
      <c r="N120" s="25"/>
      <c r="O120" s="26" t="str">
        <f>IFERROR(__xludf.DUMMYFUNCTION("""COMPUTED_VALUE"""),"No")</f>
        <v>No</v>
      </c>
      <c r="P120" s="26"/>
    </row>
    <row r="121">
      <c r="A121" s="13" t="str">
        <f>IFERROR(__xludf.DUMMYFUNCTION("""COMPUTED_VALUE"""),"MORDHAU")</f>
        <v>MORDHAU</v>
      </c>
      <c r="B121" s="15" t="str">
        <f>IFERROR(__xludf.DUMMYFUNCTION("""COMPUTED_VALUE"""),"PS5/PS4")</f>
        <v>PS5/PS4</v>
      </c>
      <c r="C121" s="16" t="str">
        <f>IFERROR(__xludf.DUMMYFUNCTION("""COMPUTED_VALUE"""),"Extra")</f>
        <v>Extra</v>
      </c>
      <c r="D121" s="15" t="str">
        <f>IFERROR(__xludf.DUMMYFUNCTION("""COMPUTED_VALUE"""),"Active")</f>
        <v>Active</v>
      </c>
      <c r="E121" s="17">
        <f>IFERROR(__xludf.DUMMYFUNCTION("""COMPUTED_VALUE"""),45705.0)</f>
        <v>45705</v>
      </c>
      <c r="F121" s="54"/>
      <c r="G121" s="19">
        <f>IFERROR(__xludf.DUMMYFUNCTION("""COMPUTED_VALUE"""),19.633333333333333)</f>
        <v>19.63333333</v>
      </c>
      <c r="H121" s="17">
        <f>IFERROR(__xludf.DUMMYFUNCTION("""COMPUTED_VALUE"""),43584.0)</f>
        <v>43584</v>
      </c>
      <c r="I121" s="19">
        <f>IFERROR(__xludf.DUMMYFUNCTION("""COMPUTED_VALUE"""),5.8)</f>
        <v>5.8</v>
      </c>
      <c r="J121" s="21">
        <f>IFERROR(__xludf.DUMMYFUNCTION("""COMPUTED_VALUE"""),81.0)</f>
        <v>81</v>
      </c>
      <c r="K121" s="23">
        <f>IFERROR(__xludf.DUMMYFUNCTION("""COMPUTED_VALUE"""),7.4)</f>
        <v>7.4</v>
      </c>
      <c r="L121" s="24">
        <f>IFERROR(__xludf.DUMMYFUNCTION("""COMPUTED_VALUE"""),101.0)</f>
        <v>101</v>
      </c>
      <c r="M121" s="25" t="str">
        <f>IFERROR(__xludf.DUMMYFUNCTION("""COMPUTED_VALUE"""),"Action-Adventure")</f>
        <v>Action-Adventure</v>
      </c>
      <c r="N121" s="25"/>
      <c r="O121" s="26" t="str">
        <f>IFERROR(__xludf.DUMMYFUNCTION("""COMPUTED_VALUE"""),"Yes")</f>
        <v>Yes</v>
      </c>
      <c r="P121" s="26"/>
    </row>
    <row r="122">
      <c r="A122" s="13" t="str">
        <f>IFERROR(__xludf.DUMMYFUNCTION("""COMPUTED_VALUE"""),"TimeSplitters")</f>
        <v>TimeSplitters</v>
      </c>
      <c r="B122" s="15" t="str">
        <f>IFERROR(__xludf.DUMMYFUNCTION("""COMPUTED_VALUE"""),"PS5/PS4")</f>
        <v>PS5/PS4</v>
      </c>
      <c r="C122" s="16" t="str">
        <f>IFERROR(__xludf.DUMMYFUNCTION("""COMPUTED_VALUE"""),"Premium (Classics)")</f>
        <v>Premium (Classics)</v>
      </c>
      <c r="D122" s="15" t="str">
        <f>IFERROR(__xludf.DUMMYFUNCTION("""COMPUTED_VALUE"""),"Active")</f>
        <v>Active</v>
      </c>
      <c r="E122" s="17">
        <f>IFERROR(__xludf.DUMMYFUNCTION("""COMPUTED_VALUE"""),45524.0)</f>
        <v>45524</v>
      </c>
      <c r="F122" s="54"/>
      <c r="G122" s="19">
        <f>IFERROR(__xludf.DUMMYFUNCTION("""COMPUTED_VALUE"""),25.53333333333333)</f>
        <v>25.53333333</v>
      </c>
      <c r="H122" s="17">
        <f>IFERROR(__xludf.DUMMYFUNCTION("""COMPUTED_VALUE"""),36822.0)</f>
        <v>36822</v>
      </c>
      <c r="I122" s="19">
        <f>IFERROR(__xludf.DUMMYFUNCTION("""COMPUTED_VALUE"""),23.825)</f>
        <v>23.825</v>
      </c>
      <c r="J122" s="21">
        <f>IFERROR(__xludf.DUMMYFUNCTION("""COMPUTED_VALUE"""),81.0)</f>
        <v>81</v>
      </c>
      <c r="K122" s="23">
        <f>IFERROR(__xludf.DUMMYFUNCTION("""COMPUTED_VALUE"""),7.8)</f>
        <v>7.8</v>
      </c>
      <c r="L122" s="24">
        <f>IFERROR(__xludf.DUMMYFUNCTION("""COMPUTED_VALUE"""),2.0)</f>
        <v>2</v>
      </c>
      <c r="M122" s="25" t="str">
        <f>IFERROR(__xludf.DUMMYFUNCTION("""COMPUTED_VALUE"""),"Shooter")</f>
        <v>Shooter</v>
      </c>
      <c r="N122" s="25" t="str">
        <f>IFERROR(__xludf.DUMMYFUNCTION("""COMPUTED_VALUE"""),"PS2")</f>
        <v>PS2</v>
      </c>
      <c r="O122" s="26" t="str">
        <f>IFERROR(__xludf.DUMMYFUNCTION("""COMPUTED_VALUE"""),"Yes")</f>
        <v>Yes</v>
      </c>
      <c r="P122" s="26"/>
    </row>
    <row r="123">
      <c r="A123" s="13" t="str">
        <f>IFERROR(__xludf.DUMMYFUNCTION("""COMPUTED_VALUE"""),"LEGO Star Wars II: The Original Trilogy")</f>
        <v>LEGO Star Wars II: The Original Trilogy</v>
      </c>
      <c r="B123" s="15" t="str">
        <f>IFERROR(__xludf.DUMMYFUNCTION("""COMPUTED_VALUE"""),"PS5/PS4")</f>
        <v>PS5/PS4</v>
      </c>
      <c r="C123" s="16" t="str">
        <f>IFERROR(__xludf.DUMMYFUNCTION("""COMPUTED_VALUE"""),"Premium (Classics)")</f>
        <v>Premium (Classics)</v>
      </c>
      <c r="D123" s="15" t="str">
        <f>IFERROR(__xludf.DUMMYFUNCTION("""COMPUTED_VALUE"""),"Active")</f>
        <v>Active</v>
      </c>
      <c r="E123" s="17">
        <f>IFERROR(__xludf.DUMMYFUNCTION("""COMPUTED_VALUE"""),45461.0)</f>
        <v>45461</v>
      </c>
      <c r="F123" s="54"/>
      <c r="G123" s="19">
        <f>IFERROR(__xludf.DUMMYFUNCTION("""COMPUTED_VALUE"""),27.599999999999998)</f>
        <v>27.6</v>
      </c>
      <c r="H123" s="17">
        <f>IFERROR(__xludf.DUMMYFUNCTION("""COMPUTED_VALUE"""),38972.0)</f>
        <v>38972</v>
      </c>
      <c r="I123" s="19">
        <f>IFERROR(__xludf.DUMMYFUNCTION("""COMPUTED_VALUE"""),17.766666666666666)</f>
        <v>17.76666667</v>
      </c>
      <c r="J123" s="21">
        <f>IFERROR(__xludf.DUMMYFUNCTION("""COMPUTED_VALUE"""),81.0)</f>
        <v>81</v>
      </c>
      <c r="K123" s="23">
        <f>IFERROR(__xludf.DUMMYFUNCTION("""COMPUTED_VALUE"""),8.0)</f>
        <v>8</v>
      </c>
      <c r="L123" s="24">
        <f>IFERROR(__xludf.DUMMYFUNCTION("""COMPUTED_VALUE"""),11.0)</f>
        <v>11</v>
      </c>
      <c r="M123" s="25" t="str">
        <f>IFERROR(__xludf.DUMMYFUNCTION("""COMPUTED_VALUE"""),"Action-Adventure")</f>
        <v>Action-Adventure</v>
      </c>
      <c r="N123" s="25" t="str">
        <f>IFERROR(__xludf.DUMMYFUNCTION("""COMPUTED_VALUE"""),"PS2 / PSP")</f>
        <v>PS2 / PSP</v>
      </c>
      <c r="O123" s="26" t="str">
        <f>IFERROR(__xludf.DUMMYFUNCTION("""COMPUTED_VALUE"""),"Yes")</f>
        <v>Yes</v>
      </c>
      <c r="P123" s="26"/>
    </row>
    <row r="124">
      <c r="A124" s="13" t="str">
        <f>IFERROR(__xludf.DUMMYFUNCTION("""COMPUTED_VALUE"""),"Resistance: Retribution")</f>
        <v>Resistance: Retribution</v>
      </c>
      <c r="B124" s="15" t="str">
        <f>IFERROR(__xludf.DUMMYFUNCTION("""COMPUTED_VALUE"""),"PS5/PS4")</f>
        <v>PS5/PS4</v>
      </c>
      <c r="C124" s="16" t="str">
        <f>IFERROR(__xludf.DUMMYFUNCTION("""COMPUTED_VALUE"""),"Premium (Classics)")</f>
        <v>Premium (Classics)</v>
      </c>
      <c r="D124" s="15" t="str">
        <f>IFERROR(__xludf.DUMMYFUNCTION("""COMPUTED_VALUE"""),"Active")</f>
        <v>Active</v>
      </c>
      <c r="E124" s="17">
        <f>IFERROR(__xludf.DUMMYFUNCTION("""COMPUTED_VALUE"""),45342.0)</f>
        <v>45342</v>
      </c>
      <c r="F124" s="54"/>
      <c r="G124" s="19">
        <f>IFERROR(__xludf.DUMMYFUNCTION("""COMPUTED_VALUE"""),31.53333333333333)</f>
        <v>31.53333333</v>
      </c>
      <c r="H124" s="17">
        <f>IFERROR(__xludf.DUMMYFUNCTION("""COMPUTED_VALUE"""),39889.0)</f>
        <v>39889</v>
      </c>
      <c r="I124" s="19">
        <f>IFERROR(__xludf.DUMMYFUNCTION("""COMPUTED_VALUE"""),14.925)</f>
        <v>14.925</v>
      </c>
      <c r="J124" s="21">
        <f>IFERROR(__xludf.DUMMYFUNCTION("""COMPUTED_VALUE"""),81.0)</f>
        <v>81</v>
      </c>
      <c r="K124" s="23">
        <f>IFERROR(__xludf.DUMMYFUNCTION("""COMPUTED_VALUE"""),7.9)</f>
        <v>7.9</v>
      </c>
      <c r="L124" s="24">
        <f>IFERROR(__xludf.DUMMYFUNCTION("""COMPUTED_VALUE"""),11.0)</f>
        <v>11</v>
      </c>
      <c r="M124" s="25" t="str">
        <f>IFERROR(__xludf.DUMMYFUNCTION("""COMPUTED_VALUE"""),"Shooter")</f>
        <v>Shooter</v>
      </c>
      <c r="N124" s="25" t="str">
        <f>IFERROR(__xludf.DUMMYFUNCTION("""COMPUTED_VALUE"""),"PSP")</f>
        <v>PSP</v>
      </c>
      <c r="O124" s="26" t="str">
        <f>IFERROR(__xludf.DUMMYFUNCTION("""COMPUTED_VALUE"""),"Yes")</f>
        <v>Yes</v>
      </c>
      <c r="P124" s="26"/>
    </row>
    <row r="125">
      <c r="A125" s="13" t="str">
        <f>IFERROR(__xludf.DUMMYFUNCTION("""COMPUTED_VALUE"""),"FAR: Changing Tides")</f>
        <v>FAR: Changing Tides</v>
      </c>
      <c r="B125" s="15" t="str">
        <f>IFERROR(__xludf.DUMMYFUNCTION("""COMPUTED_VALUE"""),"PS5/PS4")</f>
        <v>PS5/PS4</v>
      </c>
      <c r="C125" s="16" t="str">
        <f>IFERROR(__xludf.DUMMYFUNCTION("""COMPUTED_VALUE"""),"Extra")</f>
        <v>Extra</v>
      </c>
      <c r="D125" s="15" t="str">
        <f>IFERROR(__xludf.DUMMYFUNCTION("""COMPUTED_VALUE"""),"Active")</f>
        <v>Active</v>
      </c>
      <c r="E125" s="17">
        <f>IFERROR(__xludf.DUMMYFUNCTION("""COMPUTED_VALUE"""),45216.0)</f>
        <v>45216</v>
      </c>
      <c r="F125" s="54"/>
      <c r="G125" s="19">
        <f>IFERROR(__xludf.DUMMYFUNCTION("""COMPUTED_VALUE"""),35.63333333333333)</f>
        <v>35.63333333</v>
      </c>
      <c r="H125" s="17">
        <f>IFERROR(__xludf.DUMMYFUNCTION("""COMPUTED_VALUE"""),44621.0)</f>
        <v>44621</v>
      </c>
      <c r="I125" s="19">
        <f>IFERROR(__xludf.DUMMYFUNCTION("""COMPUTED_VALUE"""),1.6277777777777778)</f>
        <v>1.627777778</v>
      </c>
      <c r="J125" s="21">
        <f>IFERROR(__xludf.DUMMYFUNCTION("""COMPUTED_VALUE"""),81.0)</f>
        <v>81</v>
      </c>
      <c r="K125" s="23">
        <f>IFERROR(__xludf.DUMMYFUNCTION("""COMPUTED_VALUE"""),6.9)</f>
        <v>6.9</v>
      </c>
      <c r="L125" s="24">
        <f>IFERROR(__xludf.DUMMYFUNCTION("""COMPUTED_VALUE"""),6.0)</f>
        <v>6</v>
      </c>
      <c r="M125" s="25" t="str">
        <f>IFERROR(__xludf.DUMMYFUNCTION("""COMPUTED_VALUE"""),"Action-Adventure")</f>
        <v>Action-Adventure</v>
      </c>
      <c r="N125" s="25"/>
      <c r="O125" s="26" t="str">
        <f>IFERROR(__xludf.DUMMYFUNCTION("""COMPUTED_VALUE"""),"Yes")</f>
        <v>Yes</v>
      </c>
      <c r="P125" s="26"/>
    </row>
    <row r="126">
      <c r="A126" s="13" t="str">
        <f>IFERROR(__xludf.DUMMYFUNCTION("""COMPUTED_VALUE"""),"Hot Shots Golf 2")</f>
        <v>Hot Shots Golf 2</v>
      </c>
      <c r="B126" s="15" t="str">
        <f>IFERROR(__xludf.DUMMYFUNCTION("""COMPUTED_VALUE"""),"PS5/PS4")</f>
        <v>PS5/PS4</v>
      </c>
      <c r="C126" s="16" t="str">
        <f>IFERROR(__xludf.DUMMYFUNCTION("""COMPUTED_VALUE"""),"Premium (Classics)")</f>
        <v>Premium (Classics)</v>
      </c>
      <c r="D126" s="15" t="str">
        <f>IFERROR(__xludf.DUMMYFUNCTION("""COMPUTED_VALUE"""),"Active")</f>
        <v>Active</v>
      </c>
      <c r="E126" s="17">
        <f>IFERROR(__xludf.DUMMYFUNCTION("""COMPUTED_VALUE"""),44943.0)</f>
        <v>44943</v>
      </c>
      <c r="F126" s="54"/>
      <c r="G126" s="19">
        <f>IFERROR(__xludf.DUMMYFUNCTION("""COMPUTED_VALUE"""),44.63333333333333)</f>
        <v>44.63333333</v>
      </c>
      <c r="H126" s="17">
        <f>IFERROR(__xludf.DUMMYFUNCTION("""COMPUTED_VALUE"""),36644.0)</f>
        <v>36644</v>
      </c>
      <c r="I126" s="19">
        <f>IFERROR(__xludf.DUMMYFUNCTION("""COMPUTED_VALUE"""),22.719444444444445)</f>
        <v>22.71944444</v>
      </c>
      <c r="J126" s="21">
        <f>IFERROR(__xludf.DUMMYFUNCTION("""COMPUTED_VALUE"""),81.0)</f>
        <v>81</v>
      </c>
      <c r="K126" s="23">
        <f>IFERROR(__xludf.DUMMYFUNCTION("""COMPUTED_VALUE"""),8.7)</f>
        <v>8.7</v>
      </c>
      <c r="L126" s="24">
        <f>IFERROR(__xludf.DUMMYFUNCTION("""COMPUTED_VALUE"""),17.0)</f>
        <v>17</v>
      </c>
      <c r="M126" s="25" t="str">
        <f>IFERROR(__xludf.DUMMYFUNCTION("""COMPUTED_VALUE"""),"Sports")</f>
        <v>Sports</v>
      </c>
      <c r="N126" s="25" t="str">
        <f>IFERROR(__xludf.DUMMYFUNCTION("""COMPUTED_VALUE"""),"PS1")</f>
        <v>PS1</v>
      </c>
      <c r="O126" s="26" t="str">
        <f>IFERROR(__xludf.DUMMYFUNCTION("""COMPUTED_VALUE"""),"Yes")</f>
        <v>Yes</v>
      </c>
      <c r="P126" s="26"/>
    </row>
    <row r="127">
      <c r="A127" s="13" t="str">
        <f>IFERROR(__xludf.DUMMYFUNCTION("""COMPUTED_VALUE"""),"Ridge Racer 2")</f>
        <v>Ridge Racer 2</v>
      </c>
      <c r="B127" s="15" t="str">
        <f>IFERROR(__xludf.DUMMYFUNCTION("""COMPUTED_VALUE"""),"PS5/PS4")</f>
        <v>PS5/PS4</v>
      </c>
      <c r="C127" s="16" t="str">
        <f>IFERROR(__xludf.DUMMYFUNCTION("""COMPUTED_VALUE"""),"Premium (Classics)")</f>
        <v>Premium (Classics)</v>
      </c>
      <c r="D127" s="15" t="str">
        <f>IFERROR(__xludf.DUMMYFUNCTION("""COMPUTED_VALUE"""),"Active")</f>
        <v>Active</v>
      </c>
      <c r="E127" s="17">
        <f>IFERROR(__xludf.DUMMYFUNCTION("""COMPUTED_VALUE"""),44915.0)</f>
        <v>44915</v>
      </c>
      <c r="F127" s="54"/>
      <c r="G127" s="19">
        <f>IFERROR(__xludf.DUMMYFUNCTION("""COMPUTED_VALUE"""),45.53333333333333)</f>
        <v>45.53333333</v>
      </c>
      <c r="H127" s="17">
        <f>IFERROR(__xludf.DUMMYFUNCTION("""COMPUTED_VALUE"""),38974.0)</f>
        <v>38974</v>
      </c>
      <c r="I127" s="19">
        <f>IFERROR(__xludf.DUMMYFUNCTION("""COMPUTED_VALUE"""),16.266666666666666)</f>
        <v>16.26666667</v>
      </c>
      <c r="J127" s="21">
        <f>IFERROR(__xludf.DUMMYFUNCTION("""COMPUTED_VALUE"""),81.0)</f>
        <v>81</v>
      </c>
      <c r="K127" s="23">
        <f>IFERROR(__xludf.DUMMYFUNCTION("""COMPUTED_VALUE"""),7.8)</f>
        <v>7.8</v>
      </c>
      <c r="L127" s="24">
        <f>IFERROR(__xludf.DUMMYFUNCTION("""COMPUTED_VALUE"""),11.0)</f>
        <v>11</v>
      </c>
      <c r="M127" s="25" t="str">
        <f>IFERROR(__xludf.DUMMYFUNCTION("""COMPUTED_VALUE"""),"Racing")</f>
        <v>Racing</v>
      </c>
      <c r="N127" s="25" t="str">
        <f>IFERROR(__xludf.DUMMYFUNCTION("""COMPUTED_VALUE"""),"PSP")</f>
        <v>PSP</v>
      </c>
      <c r="O127" s="26" t="str">
        <f>IFERROR(__xludf.DUMMYFUNCTION("""COMPUTED_VALUE"""),"Yes")</f>
        <v>Yes</v>
      </c>
      <c r="P127" s="26"/>
    </row>
    <row r="128">
      <c r="A128" s="13" t="str">
        <f>IFERROR(__xludf.DUMMYFUNCTION("""COMPUTED_VALUE"""),"The Elder Scrolls V: Skyrim - Special Edition")</f>
        <v>The Elder Scrolls V: Skyrim - Special Edition</v>
      </c>
      <c r="B128" s="15" t="str">
        <f>IFERROR(__xludf.DUMMYFUNCTION("""COMPUTED_VALUE"""),"PS5/PS4")</f>
        <v>PS5/PS4</v>
      </c>
      <c r="C128" s="16" t="str">
        <f>IFERROR(__xludf.DUMMYFUNCTION("""COMPUTED_VALUE"""),"Extra")</f>
        <v>Extra</v>
      </c>
      <c r="D128" s="15" t="str">
        <f>IFERROR(__xludf.DUMMYFUNCTION("""COMPUTED_VALUE"""),"Active")</f>
        <v>Active</v>
      </c>
      <c r="E128" s="17">
        <f>IFERROR(__xludf.DUMMYFUNCTION("""COMPUTED_VALUE"""),44880.0)</f>
        <v>44880</v>
      </c>
      <c r="F128" s="54"/>
      <c r="G128" s="19">
        <f>IFERROR(__xludf.DUMMYFUNCTION("""COMPUTED_VALUE"""),46.7)</f>
        <v>46.7</v>
      </c>
      <c r="H128" s="17">
        <f>IFERROR(__xludf.DUMMYFUNCTION("""COMPUTED_VALUE"""),44511.0)</f>
        <v>44511</v>
      </c>
      <c r="I128" s="19">
        <f>IFERROR(__xludf.DUMMYFUNCTION("""COMPUTED_VALUE"""),1.011111111111111)</f>
        <v>1.011111111</v>
      </c>
      <c r="J128" s="21">
        <f>IFERROR(__xludf.DUMMYFUNCTION("""COMPUTED_VALUE"""),81.0)</f>
        <v>81</v>
      </c>
      <c r="K128" s="23">
        <f>IFERROR(__xludf.DUMMYFUNCTION("""COMPUTED_VALUE"""),7.6)</f>
        <v>7.6</v>
      </c>
      <c r="L128" s="24">
        <f>IFERROR(__xludf.DUMMYFUNCTION("""COMPUTED_VALUE"""),25.5)</f>
        <v>25.5</v>
      </c>
      <c r="M128" s="25" t="str">
        <f>IFERROR(__xludf.DUMMYFUNCTION("""COMPUTED_VALUE"""),"RPG")</f>
        <v>RPG</v>
      </c>
      <c r="N128" s="25"/>
      <c r="O128" s="26" t="str">
        <f>IFERROR(__xludf.DUMMYFUNCTION("""COMPUTED_VALUE"""),"Yes")</f>
        <v>Yes</v>
      </c>
      <c r="P128" s="26"/>
    </row>
    <row r="129">
      <c r="A129" s="13" t="str">
        <f>IFERROR(__xludf.DUMMYFUNCTION("""COMPUTED_VALUE"""),"Syphon Filter 2")</f>
        <v>Syphon Filter 2</v>
      </c>
      <c r="B129" s="15" t="str">
        <f>IFERROR(__xludf.DUMMYFUNCTION("""COMPUTED_VALUE"""),"PS5/PS4")</f>
        <v>PS5/PS4</v>
      </c>
      <c r="C129" s="16" t="str">
        <f>IFERROR(__xludf.DUMMYFUNCTION("""COMPUTED_VALUE"""),"Premium (Classics)")</f>
        <v>Premium (Classics)</v>
      </c>
      <c r="D129" s="15" t="str">
        <f>IFERROR(__xludf.DUMMYFUNCTION("""COMPUTED_VALUE"""),"Active")</f>
        <v>Active</v>
      </c>
      <c r="E129" s="17">
        <f>IFERROR(__xludf.DUMMYFUNCTION("""COMPUTED_VALUE"""),44824.0)</f>
        <v>44824</v>
      </c>
      <c r="F129" s="54"/>
      <c r="G129" s="19">
        <f>IFERROR(__xludf.DUMMYFUNCTION("""COMPUTED_VALUE"""),48.53333333333333)</f>
        <v>48.53333333</v>
      </c>
      <c r="H129" s="17">
        <f>IFERROR(__xludf.DUMMYFUNCTION("""COMPUTED_VALUE"""),36599.0)</f>
        <v>36599</v>
      </c>
      <c r="I129" s="19">
        <f>IFERROR(__xludf.DUMMYFUNCTION("""COMPUTED_VALUE"""),22.516666666666666)</f>
        <v>22.51666667</v>
      </c>
      <c r="J129" s="21">
        <f>IFERROR(__xludf.DUMMYFUNCTION("""COMPUTED_VALUE"""),81.0)</f>
        <v>81</v>
      </c>
      <c r="K129" s="23">
        <f>IFERROR(__xludf.DUMMYFUNCTION("""COMPUTED_VALUE"""),8.7)</f>
        <v>8.7</v>
      </c>
      <c r="L129" s="24">
        <f>IFERROR(__xludf.DUMMYFUNCTION("""COMPUTED_VALUE"""),10.0)</f>
        <v>10</v>
      </c>
      <c r="M129" s="25" t="str">
        <f>IFERROR(__xludf.DUMMYFUNCTION("""COMPUTED_VALUE"""),"Shooter")</f>
        <v>Shooter</v>
      </c>
      <c r="N129" s="25" t="str">
        <f>IFERROR(__xludf.DUMMYFUNCTION("""COMPUTED_VALUE"""),"PS1")</f>
        <v>PS1</v>
      </c>
      <c r="O129" s="26" t="str">
        <f>IFERROR(__xludf.DUMMYFUNCTION("""COMPUTED_VALUE"""),"Yes")</f>
        <v>Yes</v>
      </c>
      <c r="P129" s="26" t="str">
        <f>IFERROR(__xludf.DUMMYFUNCTION("""COMPUTED_VALUE"""),"")</f>
        <v/>
      </c>
    </row>
    <row r="130">
      <c r="A130" s="13" t="str">
        <f>IFERROR(__xludf.DUMMYFUNCTION("""COMPUTED_VALUE"""),"Observer: System Redux")</f>
        <v>Observer: System Redux</v>
      </c>
      <c r="B130" s="15" t="str">
        <f>IFERROR(__xludf.DUMMYFUNCTION("""COMPUTED_VALUE"""),"PS5/PS4")</f>
        <v>PS5/PS4</v>
      </c>
      <c r="C130" s="16" t="str">
        <f>IFERROR(__xludf.DUMMYFUNCTION("""COMPUTED_VALUE"""),"Extra")</f>
        <v>Extra</v>
      </c>
      <c r="D130" s="15" t="str">
        <f>IFERROR(__xludf.DUMMYFUNCTION("""COMPUTED_VALUE"""),"Active")</f>
        <v>Active</v>
      </c>
      <c r="E130" s="17">
        <f>IFERROR(__xludf.DUMMYFUNCTION("""COMPUTED_VALUE"""),44725.0)</f>
        <v>44725</v>
      </c>
      <c r="F130" s="54"/>
      <c r="G130" s="19">
        <f>IFERROR(__xludf.DUMMYFUNCTION("""COMPUTED_VALUE"""),51.766666666666666)</f>
        <v>51.76666667</v>
      </c>
      <c r="H130" s="17">
        <f>IFERROR(__xludf.DUMMYFUNCTION("""COMPUTED_VALUE"""),44145.0)</f>
        <v>44145</v>
      </c>
      <c r="I130" s="19">
        <f>IFERROR(__xludf.DUMMYFUNCTION("""COMPUTED_VALUE"""),1.5916666666666666)</f>
        <v>1.591666667</v>
      </c>
      <c r="J130" s="21">
        <f>IFERROR(__xludf.DUMMYFUNCTION("""COMPUTED_VALUE"""),81.0)</f>
        <v>81</v>
      </c>
      <c r="K130" s="23">
        <f>IFERROR(__xludf.DUMMYFUNCTION("""COMPUTED_VALUE"""),7.2)</f>
        <v>7.2</v>
      </c>
      <c r="L130" s="24">
        <f>IFERROR(__xludf.DUMMYFUNCTION("""COMPUTED_VALUE"""),7.0)</f>
        <v>7</v>
      </c>
      <c r="M130" s="25" t="str">
        <f>IFERROR(__xludf.DUMMYFUNCTION("""COMPUTED_VALUE"""),"Horror")</f>
        <v>Horror</v>
      </c>
      <c r="N130" s="25"/>
      <c r="O130" s="26" t="str">
        <f>IFERROR(__xludf.DUMMYFUNCTION("""COMPUTED_VALUE"""),"Yes")</f>
        <v>Yes</v>
      </c>
      <c r="P130" s="26"/>
    </row>
    <row r="131">
      <c r="A131" s="13" t="str">
        <f>IFERROR(__xludf.DUMMYFUNCTION("""COMPUTED_VALUE"""),"Worms World Party")</f>
        <v>Worms World Party</v>
      </c>
      <c r="B131" s="15" t="str">
        <f>IFERROR(__xludf.DUMMYFUNCTION("""COMPUTED_VALUE"""),"PS5/PS4")</f>
        <v>PS5/PS4</v>
      </c>
      <c r="C131" s="16" t="str">
        <f>IFERROR(__xludf.DUMMYFUNCTION("""COMPUTED_VALUE"""),"Premium (Classics)")</f>
        <v>Premium (Classics)</v>
      </c>
      <c r="D131" s="15" t="str">
        <f>IFERROR(__xludf.DUMMYFUNCTION("""COMPUTED_VALUE"""),"Active")</f>
        <v>Active</v>
      </c>
      <c r="E131" s="17">
        <f>IFERROR(__xludf.DUMMYFUNCTION("""COMPUTED_VALUE"""),44725.0)</f>
        <v>44725</v>
      </c>
      <c r="F131" s="54"/>
      <c r="G131" s="19">
        <f>IFERROR(__xludf.DUMMYFUNCTION("""COMPUTED_VALUE"""),51.766666666666666)</f>
        <v>51.76666667</v>
      </c>
      <c r="H131" s="17">
        <f>IFERROR(__xludf.DUMMYFUNCTION("""COMPUTED_VALUE"""),37134.0)</f>
        <v>37134</v>
      </c>
      <c r="I131" s="19">
        <f>IFERROR(__xludf.DUMMYFUNCTION("""COMPUTED_VALUE"""),20.78611111111111)</f>
        <v>20.78611111</v>
      </c>
      <c r="J131" s="21">
        <f>IFERROR(__xludf.DUMMYFUNCTION("""COMPUTED_VALUE"""),81.0)</f>
        <v>81</v>
      </c>
      <c r="K131" s="23">
        <f>IFERROR(__xludf.DUMMYFUNCTION("""COMPUTED_VALUE"""),8.4)</f>
        <v>8.4</v>
      </c>
      <c r="L131" s="24">
        <f>IFERROR(__xludf.DUMMYFUNCTION("""COMPUTED_VALUE"""),9.0)</f>
        <v>9</v>
      </c>
      <c r="M131" s="25" t="str">
        <f>IFERROR(__xludf.DUMMYFUNCTION("""COMPUTED_VALUE"""),"Strategy")</f>
        <v>Strategy</v>
      </c>
      <c r="N131" s="25" t="str">
        <f>IFERROR(__xludf.DUMMYFUNCTION("""COMPUTED_VALUE"""),"PS1")</f>
        <v>PS1</v>
      </c>
      <c r="O131" s="26" t="str">
        <f>IFERROR(__xludf.DUMMYFUNCTION("""COMPUTED_VALUE"""),"No")</f>
        <v>No</v>
      </c>
      <c r="P131" s="26" t="str">
        <f>IFERROR(__xludf.DUMMYFUNCTION("""COMPUTED_VALUE"""),"")</f>
        <v/>
      </c>
    </row>
    <row r="132">
      <c r="A132" s="13" t="str">
        <f>IFERROR(__xludf.DUMMYFUNCTION("""COMPUTED_VALUE"""),"Dungeons of Hinterberg")</f>
        <v>Dungeons of Hinterberg</v>
      </c>
      <c r="B132" s="15" t="str">
        <f>IFERROR(__xludf.DUMMYFUNCTION("""COMPUTED_VALUE"""),"PS5/PS4")</f>
        <v>PS5/PS4</v>
      </c>
      <c r="C132" s="16" t="str">
        <f>IFERROR(__xludf.DUMMYFUNCTION("""COMPUTED_VALUE"""),"Extra")</f>
        <v>Extra</v>
      </c>
      <c r="D132" s="15" t="str">
        <f>IFERROR(__xludf.DUMMYFUNCTION("""COMPUTED_VALUE"""),"Active")</f>
        <v>Active</v>
      </c>
      <c r="E132" s="17">
        <f>IFERROR(__xludf.DUMMYFUNCTION("""COMPUTED_VALUE"""),46294.0)</f>
        <v>46294</v>
      </c>
      <c r="F132" s="54"/>
      <c r="G132" s="19">
        <f>IFERROR(__xludf.DUMMYFUNCTION("""COMPUTED_VALUE"""),0.23333333333333334)</f>
        <v>0.2333333333</v>
      </c>
      <c r="H132" s="17">
        <f>IFERROR(__xludf.DUMMYFUNCTION("""COMPUTED_VALUE"""),45491.0)</f>
        <v>45491</v>
      </c>
      <c r="I132" s="19">
        <f>IFERROR(__xludf.DUMMYFUNCTION("""COMPUTED_VALUE"""),2.1972222222222224)</f>
        <v>2.197222222</v>
      </c>
      <c r="J132" s="21">
        <f>IFERROR(__xludf.DUMMYFUNCTION("""COMPUTED_VALUE"""),80.0)</f>
        <v>80</v>
      </c>
      <c r="K132" s="23">
        <f>IFERROR(__xludf.DUMMYFUNCTION("""COMPUTED_VALUE"""),7.7)</f>
        <v>7.7</v>
      </c>
      <c r="L132" s="24">
        <f>IFERROR(__xludf.DUMMYFUNCTION("""COMPUTED_VALUE"""),15.5)</f>
        <v>15.5</v>
      </c>
      <c r="M132" s="25" t="str">
        <f>IFERROR(__xludf.DUMMYFUNCTION("""COMPUTED_VALUE"""),"Action-Adventure")</f>
        <v>Action-Adventure</v>
      </c>
      <c r="N132" s="25"/>
      <c r="O132" s="26"/>
      <c r="P132" s="26"/>
    </row>
    <row r="133">
      <c r="A133" s="13" t="str">
        <f>IFERROR(__xludf.DUMMYFUNCTION("""COMPUTED_VALUE"""),"Sonic X Shadow Generations")</f>
        <v>Sonic X Shadow Generations</v>
      </c>
      <c r="B133" s="15" t="str">
        <f>IFERROR(__xludf.DUMMYFUNCTION("""COMPUTED_VALUE"""),"PS5/PS4")</f>
        <v>PS5/PS4</v>
      </c>
      <c r="C133" s="16" t="str">
        <f>IFERROR(__xludf.DUMMYFUNCTION("""COMPUTED_VALUE"""),"Extra")</f>
        <v>Extra</v>
      </c>
      <c r="D133" s="15" t="str">
        <f>IFERROR(__xludf.DUMMYFUNCTION("""COMPUTED_VALUE"""),"Active")</f>
        <v>Active</v>
      </c>
      <c r="E133" s="17">
        <f>IFERROR(__xludf.DUMMYFUNCTION("""COMPUTED_VALUE"""),46189.0)</f>
        <v>46189</v>
      </c>
      <c r="F133" s="54"/>
      <c r="G133" s="19">
        <f>IFERROR(__xludf.DUMMYFUNCTION("""COMPUTED_VALUE"""),3.666666666666667)</f>
        <v>3.666666667</v>
      </c>
      <c r="H133" s="17">
        <f>IFERROR(__xludf.DUMMYFUNCTION("""COMPUTED_VALUE"""),45590.0)</f>
        <v>45590</v>
      </c>
      <c r="I133" s="19">
        <f>IFERROR(__xludf.DUMMYFUNCTION("""COMPUTED_VALUE"""),1.6416666666666666)</f>
        <v>1.641666667</v>
      </c>
      <c r="J133" s="21">
        <f>IFERROR(__xludf.DUMMYFUNCTION("""COMPUTED_VALUE"""),80.0)</f>
        <v>80</v>
      </c>
      <c r="K133" s="23">
        <f>IFERROR(__xludf.DUMMYFUNCTION("""COMPUTED_VALUE"""),8.9)</f>
        <v>8.9</v>
      </c>
      <c r="L133" s="24">
        <f>IFERROR(__xludf.DUMMYFUNCTION("""COMPUTED_VALUE"""),7.0)</f>
        <v>7</v>
      </c>
      <c r="M133" s="68" t="str">
        <f>IFERROR(__xludf.DUMMYFUNCTION("""COMPUTED_VALUE"""),"Action-Adventure")</f>
        <v>Action-Adventure</v>
      </c>
      <c r="N133" s="68"/>
      <c r="O133" s="69"/>
      <c r="P133" s="69"/>
    </row>
    <row r="134">
      <c r="A134" s="13" t="str">
        <f>IFERROR(__xludf.DUMMYFUNCTION("""COMPUTED_VALUE"""),"Bramble: The Mountain King")</f>
        <v>Bramble: The Mountain King</v>
      </c>
      <c r="B134" s="15" t="str">
        <f>IFERROR(__xludf.DUMMYFUNCTION("""COMPUTED_VALUE"""),"PS5/PS4")</f>
        <v>PS5/PS4</v>
      </c>
      <c r="C134" s="16" t="str">
        <f>IFERROR(__xludf.DUMMYFUNCTION("""COMPUTED_VALUE"""),"Extra")</f>
        <v>Extra</v>
      </c>
      <c r="D134" s="15" t="str">
        <f>IFERROR(__xludf.DUMMYFUNCTION("""COMPUTED_VALUE"""),"Active")</f>
        <v>Active</v>
      </c>
      <c r="E134" s="17">
        <f>IFERROR(__xludf.DUMMYFUNCTION("""COMPUTED_VALUE"""),46161.0)</f>
        <v>46161</v>
      </c>
      <c r="F134" s="54"/>
      <c r="G134" s="19">
        <f>IFERROR(__xludf.DUMMYFUNCTION("""COMPUTED_VALUE"""),4.566666666666666)</f>
        <v>4.566666667</v>
      </c>
      <c r="H134" s="17">
        <f>IFERROR(__xludf.DUMMYFUNCTION("""COMPUTED_VALUE"""),45043.0)</f>
        <v>45043</v>
      </c>
      <c r="I134" s="19">
        <f>IFERROR(__xludf.DUMMYFUNCTION("""COMPUTED_VALUE"""),3.061111111111111)</f>
        <v>3.061111111</v>
      </c>
      <c r="J134" s="21">
        <f>IFERROR(__xludf.DUMMYFUNCTION("""COMPUTED_VALUE"""),80.0)</f>
        <v>80</v>
      </c>
      <c r="K134" s="23">
        <f>IFERROR(__xludf.DUMMYFUNCTION("""COMPUTED_VALUE"""),7.8)</f>
        <v>7.8</v>
      </c>
      <c r="L134" s="24">
        <f>IFERROR(__xludf.DUMMYFUNCTION("""COMPUTED_VALUE"""),4.0)</f>
        <v>4</v>
      </c>
      <c r="M134" s="25" t="str">
        <f>IFERROR(__xludf.DUMMYFUNCTION("""COMPUTED_VALUE"""),"Action-Adventure")</f>
        <v>Action-Adventure</v>
      </c>
      <c r="N134" s="25"/>
      <c r="O134" s="26"/>
      <c r="P134" s="26"/>
    </row>
    <row r="135">
      <c r="A135" s="13" t="str">
        <f>IFERROR(__xludf.DUMMYFUNCTION("""COMPUTED_VALUE"""),"Wo Long: Fallen Dynasty")</f>
        <v>Wo Long: Fallen Dynasty</v>
      </c>
      <c r="B135" s="15" t="str">
        <f>IFERROR(__xludf.DUMMYFUNCTION("""COMPUTED_VALUE"""),"PS5/PS4")</f>
        <v>PS5/PS4</v>
      </c>
      <c r="C135" s="16" t="str">
        <f>IFERROR(__xludf.DUMMYFUNCTION("""COMPUTED_VALUE"""),"Extra")</f>
        <v>Extra</v>
      </c>
      <c r="D135" s="15" t="str">
        <f>IFERROR(__xludf.DUMMYFUNCTION("""COMPUTED_VALUE"""),"Active")</f>
        <v>Active</v>
      </c>
      <c r="E135" s="17">
        <f>IFERROR(__xludf.DUMMYFUNCTION("""COMPUTED_VALUE"""),46007.0)</f>
        <v>46007</v>
      </c>
      <c r="F135" s="54"/>
      <c r="G135" s="19">
        <f>IFERROR(__xludf.DUMMYFUNCTION("""COMPUTED_VALUE"""),9.666666666666668)</f>
        <v>9.666666667</v>
      </c>
      <c r="H135" s="17">
        <f>IFERROR(__xludf.DUMMYFUNCTION("""COMPUTED_VALUE"""),44988.0)</f>
        <v>44988</v>
      </c>
      <c r="I135" s="19">
        <f>IFERROR(__xludf.DUMMYFUNCTION("""COMPUTED_VALUE"""),2.786111111111111)</f>
        <v>2.786111111</v>
      </c>
      <c r="J135" s="21">
        <f>IFERROR(__xludf.DUMMYFUNCTION("""COMPUTED_VALUE"""),80.0)</f>
        <v>80</v>
      </c>
      <c r="K135" s="23">
        <f>IFERROR(__xludf.DUMMYFUNCTION("""COMPUTED_VALUE"""),6.7)</f>
        <v>6.7</v>
      </c>
      <c r="L135" s="24">
        <f>IFERROR(__xludf.DUMMYFUNCTION("""COMPUTED_VALUE"""),30.0)</f>
        <v>30</v>
      </c>
      <c r="M135" s="25" t="str">
        <f>IFERROR(__xludf.DUMMYFUNCTION("""COMPUTED_VALUE"""),"Action-Adventure")</f>
        <v>Action-Adventure</v>
      </c>
      <c r="N135" s="25"/>
      <c r="O135" s="26"/>
      <c r="P135" s="26"/>
    </row>
    <row r="136">
      <c r="A136" s="13" t="str">
        <f>IFERROR(__xludf.DUMMYFUNCTION("""COMPUTED_VALUE"""),"Granblue Fantasy: Relink")</f>
        <v>Granblue Fantasy: Relink</v>
      </c>
      <c r="B136" s="15" t="str">
        <f>IFERROR(__xludf.DUMMYFUNCTION("""COMPUTED_VALUE"""),"PS5/PS4")</f>
        <v>PS5/PS4</v>
      </c>
      <c r="C136" s="16" t="str">
        <f>IFERROR(__xludf.DUMMYFUNCTION("""COMPUTED_VALUE"""),"Extra")</f>
        <v>Extra</v>
      </c>
      <c r="D136" s="15" t="str">
        <f>IFERROR(__xludf.DUMMYFUNCTION("""COMPUTED_VALUE"""),"Active")</f>
        <v>Active</v>
      </c>
      <c r="E136" s="17">
        <f>IFERROR(__xludf.DUMMYFUNCTION("""COMPUTED_VALUE"""),46007.0)</f>
        <v>46007</v>
      </c>
      <c r="F136" s="54"/>
      <c r="G136" s="19">
        <f>IFERROR(__xludf.DUMMYFUNCTION("""COMPUTED_VALUE"""),9.666666666666668)</f>
        <v>9.666666667</v>
      </c>
      <c r="H136" s="17">
        <f>IFERROR(__xludf.DUMMYFUNCTION("""COMPUTED_VALUE"""),45323.0)</f>
        <v>45323</v>
      </c>
      <c r="I136" s="19">
        <f>IFERROR(__xludf.DUMMYFUNCTION("""COMPUTED_VALUE"""),1.875)</f>
        <v>1.875</v>
      </c>
      <c r="J136" s="21">
        <f>IFERROR(__xludf.DUMMYFUNCTION("""COMPUTED_VALUE"""),80.0)</f>
        <v>80</v>
      </c>
      <c r="K136" s="23">
        <f>IFERROR(__xludf.DUMMYFUNCTION("""COMPUTED_VALUE"""),8.3)</f>
        <v>8.3</v>
      </c>
      <c r="L136" s="24">
        <f>IFERROR(__xludf.DUMMYFUNCTION("""COMPUTED_VALUE"""),20.0)</f>
        <v>20</v>
      </c>
      <c r="M136" s="25" t="str">
        <f>IFERROR(__xludf.DUMMYFUNCTION("""COMPUTED_VALUE"""),"Action-Adventure")</f>
        <v>Action-Adventure</v>
      </c>
      <c r="N136" s="25"/>
      <c r="O136" s="26"/>
      <c r="P136" s="26"/>
    </row>
    <row r="137">
      <c r="A137" s="13" t="str">
        <f>IFERROR(__xludf.DUMMYFUNCTION("""COMPUTED_VALUE"""),"Cat Quest III")</f>
        <v>Cat Quest III</v>
      </c>
      <c r="B137" s="15" t="str">
        <f>IFERROR(__xludf.DUMMYFUNCTION("""COMPUTED_VALUE"""),"PS5/PS4")</f>
        <v>PS5/PS4</v>
      </c>
      <c r="C137" s="16" t="str">
        <f>IFERROR(__xludf.DUMMYFUNCTION("""COMPUTED_VALUE"""),"Extra")</f>
        <v>Extra</v>
      </c>
      <c r="D137" s="15" t="str">
        <f>IFERROR(__xludf.DUMMYFUNCTION("""COMPUTED_VALUE"""),"Active")</f>
        <v>Active</v>
      </c>
      <c r="E137" s="17">
        <f>IFERROR(__xludf.DUMMYFUNCTION("""COMPUTED_VALUE"""),46007.0)</f>
        <v>46007</v>
      </c>
      <c r="F137" s="54"/>
      <c r="G137" s="19">
        <f>IFERROR(__xludf.DUMMYFUNCTION("""COMPUTED_VALUE"""),9.666666666666668)</f>
        <v>9.666666667</v>
      </c>
      <c r="H137" s="17">
        <f>IFERROR(__xludf.DUMMYFUNCTION("""COMPUTED_VALUE"""),45512.0)</f>
        <v>45512</v>
      </c>
      <c r="I137" s="19">
        <f>IFERROR(__xludf.DUMMYFUNCTION("""COMPUTED_VALUE"""),1.3555555555555556)</f>
        <v>1.355555556</v>
      </c>
      <c r="J137" s="21">
        <f>IFERROR(__xludf.DUMMYFUNCTION("""COMPUTED_VALUE"""),80.0)</f>
        <v>80</v>
      </c>
      <c r="K137" s="23">
        <f>IFERROR(__xludf.DUMMYFUNCTION("""COMPUTED_VALUE"""),8.0)</f>
        <v>8</v>
      </c>
      <c r="L137" s="24">
        <f>IFERROR(__xludf.DUMMYFUNCTION("""COMPUTED_VALUE"""),10.0)</f>
        <v>10</v>
      </c>
      <c r="M137" s="25" t="str">
        <f>IFERROR(__xludf.DUMMYFUNCTION("""COMPUTED_VALUE"""),"RPG")</f>
        <v>RPG</v>
      </c>
      <c r="N137" s="25"/>
      <c r="O137" s="26"/>
      <c r="P137" s="26"/>
    </row>
    <row r="138">
      <c r="A138" s="13" t="str">
        <f>IFERROR(__xludf.DUMMYFUNCTION("""COMPUTED_VALUE"""),"Pacific Drive")</f>
        <v>Pacific Drive</v>
      </c>
      <c r="B138" s="15" t="str">
        <f>IFERROR(__xludf.DUMMYFUNCTION("""COMPUTED_VALUE"""),"PS5")</f>
        <v>PS5</v>
      </c>
      <c r="C138" s="16" t="str">
        <f>IFERROR(__xludf.DUMMYFUNCTION("""COMPUTED_VALUE"""),"Extra")</f>
        <v>Extra</v>
      </c>
      <c r="D138" s="15" t="str">
        <f>IFERROR(__xludf.DUMMYFUNCTION("""COMPUTED_VALUE"""),"Active")</f>
        <v>Active</v>
      </c>
      <c r="E138" s="17">
        <f>IFERROR(__xludf.DUMMYFUNCTION("""COMPUTED_VALUE"""),45979.0)</f>
        <v>45979</v>
      </c>
      <c r="F138" s="18"/>
      <c r="G138" s="19">
        <f>IFERROR(__xludf.DUMMYFUNCTION("""COMPUTED_VALUE"""),10.6)</f>
        <v>10.6</v>
      </c>
      <c r="H138" s="17">
        <f>IFERROR(__xludf.DUMMYFUNCTION("""COMPUTED_VALUE"""),45343.0)</f>
        <v>45343</v>
      </c>
      <c r="I138" s="19">
        <f>IFERROR(__xludf.DUMMYFUNCTION("""COMPUTED_VALUE"""),1.7416666666666667)</f>
        <v>1.741666667</v>
      </c>
      <c r="J138" s="21">
        <f>IFERROR(__xludf.DUMMYFUNCTION("""COMPUTED_VALUE"""),80.0)</f>
        <v>80</v>
      </c>
      <c r="K138" s="23">
        <f>IFERROR(__xludf.DUMMYFUNCTION("""COMPUTED_VALUE"""),6.2)</f>
        <v>6.2</v>
      </c>
      <c r="L138" s="24" t="str">
        <f>IFERROR(__xludf.DUMMYFUNCTION("""COMPUTED_VALUE"""),"30")</f>
        <v>30</v>
      </c>
      <c r="M138" s="25" t="str">
        <f>IFERROR(__xludf.DUMMYFUNCTION("""COMPUTED_VALUE"""),"Survival")</f>
        <v>Survival</v>
      </c>
      <c r="N138" s="25"/>
      <c r="O138" s="26" t="str">
        <f>IFERROR(__xludf.DUMMYFUNCTION("""COMPUTED_VALUE"""),"No")</f>
        <v>No</v>
      </c>
      <c r="P138" s="26"/>
    </row>
    <row r="139">
      <c r="A139" s="13" t="str">
        <f>IFERROR(__xludf.DUMMYFUNCTION("""COMPUTED_VALUE"""),"Conscript")</f>
        <v>Conscript</v>
      </c>
      <c r="B139" s="15" t="str">
        <f>IFERROR(__xludf.DUMMYFUNCTION("""COMPUTED_VALUE"""),"PS5")</f>
        <v>PS5</v>
      </c>
      <c r="C139" s="16" t="str">
        <f>IFERROR(__xludf.DUMMYFUNCTION("""COMPUTED_VALUE"""),"Extra")</f>
        <v>Extra</v>
      </c>
      <c r="D139" s="15" t="str">
        <f>IFERROR(__xludf.DUMMYFUNCTION("""COMPUTED_VALUE"""),"Active")</f>
        <v>Active</v>
      </c>
      <c r="E139" s="17">
        <f>IFERROR(__xludf.DUMMYFUNCTION("""COMPUTED_VALUE"""),45916.0)</f>
        <v>45916</v>
      </c>
      <c r="F139" s="54"/>
      <c r="G139" s="19">
        <f>IFERROR(__xludf.DUMMYFUNCTION("""COMPUTED_VALUE"""),12.666666666666668)</f>
        <v>12.66666667</v>
      </c>
      <c r="H139" s="17">
        <f>IFERROR(__xludf.DUMMYFUNCTION("""COMPUTED_VALUE"""),45496.0)</f>
        <v>45496</v>
      </c>
      <c r="I139" s="19">
        <f>IFERROR(__xludf.DUMMYFUNCTION("""COMPUTED_VALUE"""),1.1472222222222221)</f>
        <v>1.147222222</v>
      </c>
      <c r="J139" s="21">
        <f>IFERROR(__xludf.DUMMYFUNCTION("""COMPUTED_VALUE"""),80.0)</f>
        <v>80</v>
      </c>
      <c r="K139" s="23">
        <f>IFERROR(__xludf.DUMMYFUNCTION("""COMPUTED_VALUE"""),8.3)</f>
        <v>8.3</v>
      </c>
      <c r="L139" s="24">
        <f>IFERROR(__xludf.DUMMYFUNCTION("""COMPUTED_VALUE"""),12.0)</f>
        <v>12</v>
      </c>
      <c r="M139" s="25" t="str">
        <f>IFERROR(__xludf.DUMMYFUNCTION("""COMPUTED_VALUE"""),"Survival")</f>
        <v>Survival</v>
      </c>
      <c r="N139" s="25"/>
      <c r="O139" s="26" t="str">
        <f>IFERROR(__xludf.DUMMYFUNCTION("""COMPUTED_VALUE"""),"No")</f>
        <v>No</v>
      </c>
      <c r="P139" s="26"/>
    </row>
    <row r="140">
      <c r="A140" s="13" t="str">
        <f>IFERROR(__xludf.DUMMYFUNCTION("""COMPUTED_VALUE"""),"The Rogue Prince of Persia")</f>
        <v>The Rogue Prince of Persia</v>
      </c>
      <c r="B140" s="15" t="str">
        <f>IFERROR(__xludf.DUMMYFUNCTION("""COMPUTED_VALUE"""),"PS5/PS4")</f>
        <v>PS5/PS4</v>
      </c>
      <c r="C140" s="16" t="str">
        <f>IFERROR(__xludf.DUMMYFUNCTION("""COMPUTED_VALUE"""),"Extra")</f>
        <v>Extra</v>
      </c>
      <c r="D140" s="15" t="str">
        <f>IFERROR(__xludf.DUMMYFUNCTION("""COMPUTED_VALUE"""),"Active")</f>
        <v>Active</v>
      </c>
      <c r="E140" s="17">
        <f>IFERROR(__xludf.DUMMYFUNCTION("""COMPUTED_VALUE"""),45889.0)</f>
        <v>45889</v>
      </c>
      <c r="F140" s="18"/>
      <c r="G140" s="19">
        <f>IFERROR(__xludf.DUMMYFUNCTION("""COMPUTED_VALUE"""),13.533333333333333)</f>
        <v>13.53333333</v>
      </c>
      <c r="H140" s="17">
        <f>IFERROR(__xludf.DUMMYFUNCTION("""COMPUTED_VALUE"""),45889.0)</f>
        <v>45889</v>
      </c>
      <c r="I140" s="19">
        <f>IFERROR(__xludf.DUMMYFUNCTION("""COMPUTED_VALUE"""),0.0)</f>
        <v>0</v>
      </c>
      <c r="J140" s="21">
        <f>IFERROR(__xludf.DUMMYFUNCTION("""COMPUTED_VALUE"""),80.0)</f>
        <v>80</v>
      </c>
      <c r="K140" s="23">
        <f>IFERROR(__xludf.DUMMYFUNCTION("""COMPUTED_VALUE"""),7.4)</f>
        <v>7.4</v>
      </c>
      <c r="L140" s="24">
        <f>IFERROR(__xludf.DUMMYFUNCTION("""COMPUTED_VALUE"""),10.0)</f>
        <v>10</v>
      </c>
      <c r="M140" s="70" t="str">
        <f>IFERROR(__xludf.DUMMYFUNCTION("""COMPUTED_VALUE"""),"Platformer")</f>
        <v>Platformer</v>
      </c>
      <c r="N140" s="25"/>
      <c r="O140" s="26"/>
      <c r="P140" s="26"/>
    </row>
    <row r="141">
      <c r="A141" s="13" t="str">
        <f>IFERROR(__xludf.DUMMYFUNCTION("""COMPUTED_VALUE"""),"INDIKA")</f>
        <v>INDIKA</v>
      </c>
      <c r="B141" s="15" t="str">
        <f>IFERROR(__xludf.DUMMYFUNCTION("""COMPUTED_VALUE"""),"PS5")</f>
        <v>PS5</v>
      </c>
      <c r="C141" s="16" t="str">
        <f>IFERROR(__xludf.DUMMYFUNCTION("""COMPUTED_VALUE"""),"Extra")</f>
        <v>Extra</v>
      </c>
      <c r="D141" s="15" t="str">
        <f>IFERROR(__xludf.DUMMYFUNCTION("""COMPUTED_VALUE"""),"Active")</f>
        <v>Active</v>
      </c>
      <c r="E141" s="17">
        <f>IFERROR(__xludf.DUMMYFUNCTION("""COMPUTED_VALUE"""),45888.0)</f>
        <v>45888</v>
      </c>
      <c r="F141" s="18"/>
      <c r="G141" s="19">
        <f>IFERROR(__xludf.DUMMYFUNCTION("""COMPUTED_VALUE"""),13.566666666666666)</f>
        <v>13.56666667</v>
      </c>
      <c r="H141" s="17">
        <f>IFERROR(__xludf.DUMMYFUNCTION("""COMPUTED_VALUE"""),45414.0)</f>
        <v>45414</v>
      </c>
      <c r="I141" s="19">
        <f>IFERROR(__xludf.DUMMYFUNCTION("""COMPUTED_VALUE"""),1.2972222222222223)</f>
        <v>1.297222222</v>
      </c>
      <c r="J141" s="21">
        <f>IFERROR(__xludf.DUMMYFUNCTION("""COMPUTED_VALUE"""),80.0)</f>
        <v>80</v>
      </c>
      <c r="K141" s="23">
        <f>IFERROR(__xludf.DUMMYFUNCTION("""COMPUTED_VALUE"""),7.1)</f>
        <v>7.1</v>
      </c>
      <c r="L141" s="24">
        <f>IFERROR(__xludf.DUMMYFUNCTION("""COMPUTED_VALUE"""),4.0)</f>
        <v>4</v>
      </c>
      <c r="M141" s="25" t="str">
        <f>IFERROR(__xludf.DUMMYFUNCTION("""COMPUTED_VALUE"""),"Action-Adventure")</f>
        <v>Action-Adventure</v>
      </c>
      <c r="N141" s="25"/>
      <c r="O141" s="26" t="str">
        <f>IFERROR(__xludf.DUMMYFUNCTION("""COMPUTED_VALUE"""),"No")</f>
        <v>No</v>
      </c>
      <c r="P141" s="26"/>
    </row>
    <row r="142">
      <c r="A142" s="13" t="str">
        <f>IFERROR(__xludf.DUMMYFUNCTION("""COMPUTED_VALUE"""),"Five Nights at Freddy's: Help Wanted 2")</f>
        <v>Five Nights at Freddy's: Help Wanted 2</v>
      </c>
      <c r="B142" s="15" t="str">
        <f>IFERROR(__xludf.DUMMYFUNCTION("""COMPUTED_VALUE"""),"PS5")</f>
        <v>PS5</v>
      </c>
      <c r="C142" s="16" t="str">
        <f>IFERROR(__xludf.DUMMYFUNCTION("""COMPUTED_VALUE"""),"Extra")</f>
        <v>Extra</v>
      </c>
      <c r="D142" s="15" t="str">
        <f>IFERROR(__xludf.DUMMYFUNCTION("""COMPUTED_VALUE"""),"Active")</f>
        <v>Active</v>
      </c>
      <c r="E142" s="17">
        <f>IFERROR(__xludf.DUMMYFUNCTION("""COMPUTED_VALUE"""),45825.0)</f>
        <v>45825</v>
      </c>
      <c r="F142" s="54"/>
      <c r="G142" s="19">
        <f>IFERROR(__xludf.DUMMYFUNCTION("""COMPUTED_VALUE"""),15.633333333333333)</f>
        <v>15.63333333</v>
      </c>
      <c r="H142" s="17">
        <f>IFERROR(__xludf.DUMMYFUNCTION("""COMPUTED_VALUE"""),43613.0)</f>
        <v>43613</v>
      </c>
      <c r="I142" s="19">
        <f>IFERROR(__xludf.DUMMYFUNCTION("""COMPUTED_VALUE"""),6.052777777777778)</f>
        <v>6.052777778</v>
      </c>
      <c r="J142" s="21">
        <f>IFERROR(__xludf.DUMMYFUNCTION("""COMPUTED_VALUE"""),80.0)</f>
        <v>80</v>
      </c>
      <c r="K142" s="23">
        <f>IFERROR(__xludf.DUMMYFUNCTION("""COMPUTED_VALUE"""),8.2)</f>
        <v>8.2</v>
      </c>
      <c r="L142" s="24">
        <f>IFERROR(__xludf.DUMMYFUNCTION("""COMPUTED_VALUE"""),9.0)</f>
        <v>9</v>
      </c>
      <c r="M142" s="25" t="str">
        <f>IFERROR(__xludf.DUMMYFUNCTION("""COMPUTED_VALUE"""),"Survival")</f>
        <v>Survival</v>
      </c>
      <c r="N142" s="25"/>
      <c r="O142" s="26" t="str">
        <f>IFERROR(__xludf.DUMMYFUNCTION("""COMPUTED_VALUE"""),"No")</f>
        <v>No</v>
      </c>
      <c r="P142" s="26"/>
    </row>
    <row r="143">
      <c r="A143" s="13" t="str">
        <f>IFERROR(__xludf.DUMMYFUNCTION("""COMPUTED_VALUE"""),"Five Nights at Freddy's: Help Wanted - Full Time Edition")</f>
        <v>Five Nights at Freddy's: Help Wanted - Full Time Edition</v>
      </c>
      <c r="B143" s="15" t="str">
        <f>IFERROR(__xludf.DUMMYFUNCTION("""COMPUTED_VALUE"""),"PS5/PS4")</f>
        <v>PS5/PS4</v>
      </c>
      <c r="C143" s="16" t="str">
        <f>IFERROR(__xludf.DUMMYFUNCTION("""COMPUTED_VALUE"""),"Extra")</f>
        <v>Extra</v>
      </c>
      <c r="D143" s="15" t="str">
        <f>IFERROR(__xludf.DUMMYFUNCTION("""COMPUTED_VALUE"""),"Active")</f>
        <v>Active</v>
      </c>
      <c r="E143" s="17">
        <f>IFERROR(__xludf.DUMMYFUNCTION("""COMPUTED_VALUE"""),45797.0)</f>
        <v>45797</v>
      </c>
      <c r="F143" s="54"/>
      <c r="G143" s="19">
        <f>IFERROR(__xludf.DUMMYFUNCTION("""COMPUTED_VALUE"""),16.53333333333333)</f>
        <v>16.53333333</v>
      </c>
      <c r="H143" s="17">
        <f>IFERROR(__xludf.DUMMYFUNCTION("""COMPUTED_VALUE"""),43613.0)</f>
        <v>43613</v>
      </c>
      <c r="I143" s="19">
        <f>IFERROR(__xludf.DUMMYFUNCTION("""COMPUTED_VALUE"""),5.977777777777778)</f>
        <v>5.977777778</v>
      </c>
      <c r="J143" s="21">
        <f>IFERROR(__xludf.DUMMYFUNCTION("""COMPUTED_VALUE"""),80.0)</f>
        <v>80</v>
      </c>
      <c r="K143" s="23">
        <f>IFERROR(__xludf.DUMMYFUNCTION("""COMPUTED_VALUE"""),8.2)</f>
        <v>8.2</v>
      </c>
      <c r="L143" s="24">
        <f>IFERROR(__xludf.DUMMYFUNCTION("""COMPUTED_VALUE"""),12.0)</f>
        <v>12</v>
      </c>
      <c r="M143" s="25" t="str">
        <f>IFERROR(__xludf.DUMMYFUNCTION("""COMPUTED_VALUE"""),"Survival")</f>
        <v>Survival</v>
      </c>
      <c r="N143" s="25"/>
      <c r="O143" s="26"/>
      <c r="P143" s="26"/>
    </row>
    <row r="144">
      <c r="A144" s="13" t="str">
        <f>IFERROR(__xludf.DUMMYFUNCTION("""COMPUTED_VALUE"""),"War of the Monsters")</f>
        <v>War of the Monsters</v>
      </c>
      <c r="B144" s="15" t="str">
        <f>IFERROR(__xludf.DUMMYFUNCTION("""COMPUTED_VALUE"""),"PS5/PS4")</f>
        <v>PS5/PS4</v>
      </c>
      <c r="C144" s="16" t="str">
        <f>IFERROR(__xludf.DUMMYFUNCTION("""COMPUTED_VALUE"""),"Premium (Classics)")</f>
        <v>Premium (Classics)</v>
      </c>
      <c r="D144" s="15" t="str">
        <f>IFERROR(__xludf.DUMMYFUNCTION("""COMPUTED_VALUE"""),"Active")</f>
        <v>Active</v>
      </c>
      <c r="E144" s="17">
        <f>IFERROR(__xludf.DUMMYFUNCTION("""COMPUTED_VALUE"""),45762.0)</f>
        <v>45762</v>
      </c>
      <c r="F144" s="54"/>
      <c r="G144" s="19">
        <f>IFERROR(__xludf.DUMMYFUNCTION("""COMPUTED_VALUE"""),17.700000000000003)</f>
        <v>17.7</v>
      </c>
      <c r="H144" s="17">
        <f>IFERROR(__xludf.DUMMYFUNCTION("""COMPUTED_VALUE"""),37635.0)</f>
        <v>37635</v>
      </c>
      <c r="I144" s="19">
        <f>IFERROR(__xludf.DUMMYFUNCTION("""COMPUTED_VALUE"""),22.252777777777776)</f>
        <v>22.25277778</v>
      </c>
      <c r="J144" s="21">
        <f>IFERROR(__xludf.DUMMYFUNCTION("""COMPUTED_VALUE"""),80.0)</f>
        <v>80</v>
      </c>
      <c r="K144" s="23">
        <f>IFERROR(__xludf.DUMMYFUNCTION("""COMPUTED_VALUE"""),8.0)</f>
        <v>8</v>
      </c>
      <c r="L144" s="24">
        <f>IFERROR(__xludf.DUMMYFUNCTION("""COMPUTED_VALUE"""),3.0)</f>
        <v>3</v>
      </c>
      <c r="M144" s="25" t="str">
        <f>IFERROR(__xludf.DUMMYFUNCTION("""COMPUTED_VALUE"""),"Fighting")</f>
        <v>Fighting</v>
      </c>
      <c r="N144" s="25" t="str">
        <f>IFERROR(__xludf.DUMMYFUNCTION("""COMPUTED_VALUE"""),"PS2")</f>
        <v>PS2</v>
      </c>
      <c r="O144" s="26"/>
      <c r="P144" s="26"/>
    </row>
    <row r="145">
      <c r="A145" s="13" t="str">
        <f>IFERROR(__xludf.DUMMYFUNCTION("""COMPUTED_VALUE"""),"Atlas Fallen: Reign Of Sand")</f>
        <v>Atlas Fallen: Reign Of Sand</v>
      </c>
      <c r="B145" s="15" t="str">
        <f>IFERROR(__xludf.DUMMYFUNCTION("""COMPUTED_VALUE"""),"PS5")</f>
        <v>PS5</v>
      </c>
      <c r="C145" s="16" t="str">
        <f>IFERROR(__xludf.DUMMYFUNCTION("""COMPUTED_VALUE"""),"Extra")</f>
        <v>Extra</v>
      </c>
      <c r="D145" s="15" t="str">
        <f>IFERROR(__xludf.DUMMYFUNCTION("""COMPUTED_VALUE"""),"Active")</f>
        <v>Active</v>
      </c>
      <c r="E145" s="17">
        <f>IFERROR(__xludf.DUMMYFUNCTION("""COMPUTED_VALUE"""),45678.0)</f>
        <v>45678</v>
      </c>
      <c r="F145" s="54"/>
      <c r="G145" s="19">
        <f>IFERROR(__xludf.DUMMYFUNCTION("""COMPUTED_VALUE"""),20.5)</f>
        <v>20.5</v>
      </c>
      <c r="H145" s="17">
        <f>IFERROR(__xludf.DUMMYFUNCTION("""COMPUTED_VALUE"""),45510.0)</f>
        <v>45510</v>
      </c>
      <c r="I145" s="19">
        <f>IFERROR(__xludf.DUMMYFUNCTION("""COMPUTED_VALUE"""),0.4583333333333333)</f>
        <v>0.4583333333</v>
      </c>
      <c r="J145" s="21">
        <f>IFERROR(__xludf.DUMMYFUNCTION("""COMPUTED_VALUE"""),80.0)</f>
        <v>80</v>
      </c>
      <c r="K145" s="23">
        <f>IFERROR(__xludf.DUMMYFUNCTION("""COMPUTED_VALUE"""),7.1)</f>
        <v>7.1</v>
      </c>
      <c r="L145" s="24">
        <f>IFERROR(__xludf.DUMMYFUNCTION("""COMPUTED_VALUE"""),11.0)</f>
        <v>11</v>
      </c>
      <c r="M145" s="25" t="str">
        <f>IFERROR(__xludf.DUMMYFUNCTION("""COMPUTED_VALUE"""),"RPG")</f>
        <v>RPG</v>
      </c>
      <c r="N145" s="25"/>
      <c r="O145" s="26" t="str">
        <f>IFERROR(__xludf.DUMMYFUNCTION("""COMPUTED_VALUE"""),"No")</f>
        <v>No</v>
      </c>
      <c r="P145" s="26"/>
    </row>
    <row r="146">
      <c r="A146" s="13" t="str">
        <f>IFERROR(__xludf.DUMMYFUNCTION("""COMPUTED_VALUE"""),"Tomb Raider: Legend")</f>
        <v>Tomb Raider: Legend</v>
      </c>
      <c r="B146" s="15" t="str">
        <f>IFERROR(__xludf.DUMMYFUNCTION("""COMPUTED_VALUE"""),"PS5/PS4")</f>
        <v>PS5/PS4</v>
      </c>
      <c r="C146" s="16" t="str">
        <f>IFERROR(__xludf.DUMMYFUNCTION("""COMPUTED_VALUE"""),"Premium (Classics)")</f>
        <v>Premium (Classics)</v>
      </c>
      <c r="D146" s="15" t="str">
        <f>IFERROR(__xludf.DUMMYFUNCTION("""COMPUTED_VALUE"""),"Active")</f>
        <v>Active</v>
      </c>
      <c r="E146" s="17">
        <f>IFERROR(__xludf.DUMMYFUNCTION("""COMPUTED_VALUE"""),45454.0)</f>
        <v>45454</v>
      </c>
      <c r="F146" s="54"/>
      <c r="G146" s="19">
        <f>IFERROR(__xludf.DUMMYFUNCTION("""COMPUTED_VALUE"""),27.833333333333336)</f>
        <v>27.83333333</v>
      </c>
      <c r="H146" s="17">
        <f>IFERROR(__xludf.DUMMYFUNCTION("""COMPUTED_VALUE"""),38818.0)</f>
        <v>38818</v>
      </c>
      <c r="I146" s="19">
        <f>IFERROR(__xludf.DUMMYFUNCTION("""COMPUTED_VALUE"""),18.166666666666668)</f>
        <v>18.16666667</v>
      </c>
      <c r="J146" s="21">
        <f>IFERROR(__xludf.DUMMYFUNCTION("""COMPUTED_VALUE"""),80.0)</f>
        <v>80</v>
      </c>
      <c r="K146" s="23">
        <f>IFERROR(__xludf.DUMMYFUNCTION("""COMPUTED_VALUE"""),7.9)</f>
        <v>7.9</v>
      </c>
      <c r="L146" s="24">
        <f>IFERROR(__xludf.DUMMYFUNCTION("""COMPUTED_VALUE"""),7.0)</f>
        <v>7</v>
      </c>
      <c r="M146" s="25" t="str">
        <f>IFERROR(__xludf.DUMMYFUNCTION("""COMPUTED_VALUE"""),"Action-Adventure")</f>
        <v>Action-Adventure</v>
      </c>
      <c r="N146" s="25" t="str">
        <f>IFERROR(__xludf.DUMMYFUNCTION("""COMPUTED_VALUE"""),"PS2")</f>
        <v>PS2</v>
      </c>
      <c r="O146" s="26" t="str">
        <f>IFERROR(__xludf.DUMMYFUNCTION("""COMPUTED_VALUE"""),"Yes")</f>
        <v>Yes</v>
      </c>
      <c r="P146" s="26"/>
    </row>
    <row r="147">
      <c r="A147" s="13" t="str">
        <f>IFERROR(__xludf.DUMMYFUNCTION("""COMPUTED_VALUE"""),"DREDGE")</f>
        <v>DREDGE</v>
      </c>
      <c r="B147" s="15" t="str">
        <f>IFERROR(__xludf.DUMMYFUNCTION("""COMPUTED_VALUE"""),"PS5")</f>
        <v>PS5</v>
      </c>
      <c r="C147" s="16" t="str">
        <f>IFERROR(__xludf.DUMMYFUNCTION("""COMPUTED_VALUE"""),"Extra")</f>
        <v>Extra</v>
      </c>
      <c r="D147" s="15" t="str">
        <f>IFERROR(__xludf.DUMMYFUNCTION("""COMPUTED_VALUE"""),"Active")</f>
        <v>Active</v>
      </c>
      <c r="E147" s="17">
        <f>IFERROR(__xludf.DUMMYFUNCTION("""COMPUTED_VALUE"""),45441.0)</f>
        <v>45441</v>
      </c>
      <c r="F147" s="54"/>
      <c r="G147" s="19">
        <f>IFERROR(__xludf.DUMMYFUNCTION("""COMPUTED_VALUE"""),28.233333333333334)</f>
        <v>28.23333333</v>
      </c>
      <c r="H147" s="17">
        <f>IFERROR(__xludf.DUMMYFUNCTION("""COMPUTED_VALUE"""),45015.0)</f>
        <v>45015</v>
      </c>
      <c r="I147" s="19">
        <f>IFERROR(__xludf.DUMMYFUNCTION("""COMPUTED_VALUE"""),1.163888888888889)</f>
        <v>1.163888889</v>
      </c>
      <c r="J147" s="21">
        <f>IFERROR(__xludf.DUMMYFUNCTION("""COMPUTED_VALUE"""),80.0)</f>
        <v>80</v>
      </c>
      <c r="K147" s="23">
        <f>IFERROR(__xludf.DUMMYFUNCTION("""COMPUTED_VALUE"""),8.0)</f>
        <v>8</v>
      </c>
      <c r="L147" s="24">
        <f>IFERROR(__xludf.DUMMYFUNCTION("""COMPUTED_VALUE"""),10.0)</f>
        <v>10</v>
      </c>
      <c r="M147" s="25" t="str">
        <f>IFERROR(__xludf.DUMMYFUNCTION("""COMPUTED_VALUE"""),"Action-Adventure")</f>
        <v>Action-Adventure</v>
      </c>
      <c r="N147" s="25"/>
      <c r="O147" s="26" t="str">
        <f>IFERROR(__xludf.DUMMYFUNCTION("""COMPUTED_VALUE"""),"Portal (PS5 + Premium)")</f>
        <v>Portal (PS5 + Premium)</v>
      </c>
      <c r="P147" s="26"/>
    </row>
    <row r="148">
      <c r="A148" s="13" t="str">
        <f>IFERROR(__xludf.DUMMYFUNCTION("""COMPUTED_VALUE"""),"Assassin's Creed Valhalla")</f>
        <v>Assassin's Creed Valhalla</v>
      </c>
      <c r="B148" s="15" t="str">
        <f>IFERROR(__xludf.DUMMYFUNCTION("""COMPUTED_VALUE"""),"PS5/PS4")</f>
        <v>PS5/PS4</v>
      </c>
      <c r="C148" s="16" t="str">
        <f>IFERROR(__xludf.DUMMYFUNCTION("""COMPUTED_VALUE"""),"Extra (Ubisoft+ Classics)")</f>
        <v>Extra (Ubisoft+ Classics)</v>
      </c>
      <c r="D148" s="15" t="str">
        <f>IFERROR(__xludf.DUMMYFUNCTION("""COMPUTED_VALUE"""),"Active")</f>
        <v>Active</v>
      </c>
      <c r="E148" s="17">
        <f>IFERROR(__xludf.DUMMYFUNCTION("""COMPUTED_VALUE"""),45342.0)</f>
        <v>45342</v>
      </c>
      <c r="F148" s="54"/>
      <c r="G148" s="19">
        <f>IFERROR(__xludf.DUMMYFUNCTION("""COMPUTED_VALUE"""),31.53333333333333)</f>
        <v>31.53333333</v>
      </c>
      <c r="H148" s="17">
        <f>IFERROR(__xludf.DUMMYFUNCTION("""COMPUTED_VALUE"""),44145.0)</f>
        <v>44145</v>
      </c>
      <c r="I148" s="19">
        <f>IFERROR(__xludf.DUMMYFUNCTION("""COMPUTED_VALUE"""),3.2777777777777777)</f>
        <v>3.277777778</v>
      </c>
      <c r="J148" s="21">
        <f>IFERROR(__xludf.DUMMYFUNCTION("""COMPUTED_VALUE"""),80.0)</f>
        <v>80</v>
      </c>
      <c r="K148" s="23">
        <f>IFERROR(__xludf.DUMMYFUNCTION("""COMPUTED_VALUE"""),7.2)</f>
        <v>7.2</v>
      </c>
      <c r="L148" s="24">
        <f>IFERROR(__xludf.DUMMYFUNCTION("""COMPUTED_VALUE"""),61.0)</f>
        <v>61</v>
      </c>
      <c r="M148" s="25" t="str">
        <f>IFERROR(__xludf.DUMMYFUNCTION("""COMPUTED_VALUE"""),"RPG")</f>
        <v>RPG</v>
      </c>
      <c r="N148" s="25"/>
      <c r="O148" s="26" t="str">
        <f>IFERROR(__xludf.DUMMYFUNCTION("""COMPUTED_VALUE"""),"Yes")</f>
        <v>Yes</v>
      </c>
      <c r="P148" s="26"/>
    </row>
    <row r="149">
      <c r="A149" s="13" t="str">
        <f>IFERROR(__xludf.DUMMYFUNCTION("""COMPUTED_VALUE"""),"Soulcalibur: Broken Destiny")</f>
        <v>Soulcalibur: Broken Destiny</v>
      </c>
      <c r="B149" s="15" t="str">
        <f>IFERROR(__xludf.DUMMYFUNCTION("""COMPUTED_VALUE"""),"PS5/PS4")</f>
        <v>PS5/PS4</v>
      </c>
      <c r="C149" s="16" t="str">
        <f>IFERROR(__xludf.DUMMYFUNCTION("""COMPUTED_VALUE"""),"Premium (Classics)")</f>
        <v>Premium (Classics)</v>
      </c>
      <c r="D149" s="15" t="str">
        <f>IFERROR(__xludf.DUMMYFUNCTION("""COMPUTED_VALUE"""),"Active")</f>
        <v>Active</v>
      </c>
      <c r="E149" s="17">
        <f>IFERROR(__xludf.DUMMYFUNCTION("""COMPUTED_VALUE"""),45216.0)</f>
        <v>45216</v>
      </c>
      <c r="F149" s="54"/>
      <c r="G149" s="19">
        <f>IFERROR(__xludf.DUMMYFUNCTION("""COMPUTED_VALUE"""),35.63333333333333)</f>
        <v>35.63333333</v>
      </c>
      <c r="H149" s="17">
        <f>IFERROR(__xludf.DUMMYFUNCTION("""COMPUTED_VALUE"""),40057.0)</f>
        <v>40057</v>
      </c>
      <c r="I149" s="19">
        <f>IFERROR(__xludf.DUMMYFUNCTION("""COMPUTED_VALUE"""),14.127777777777778)</f>
        <v>14.12777778</v>
      </c>
      <c r="J149" s="21">
        <f>IFERROR(__xludf.DUMMYFUNCTION("""COMPUTED_VALUE"""),80.0)</f>
        <v>80</v>
      </c>
      <c r="K149" s="23">
        <f>IFERROR(__xludf.DUMMYFUNCTION("""COMPUTED_VALUE"""),7.0)</f>
        <v>7</v>
      </c>
      <c r="L149" s="24">
        <f>IFERROR(__xludf.DUMMYFUNCTION("""COMPUTED_VALUE"""),4.0)</f>
        <v>4</v>
      </c>
      <c r="M149" s="25" t="str">
        <f>IFERROR(__xludf.DUMMYFUNCTION("""COMPUTED_VALUE"""),"Fighting")</f>
        <v>Fighting</v>
      </c>
      <c r="N149" s="25" t="str">
        <f>IFERROR(__xludf.DUMMYFUNCTION("""COMPUTED_VALUE"""),"PSP")</f>
        <v>PSP</v>
      </c>
      <c r="O149" s="26" t="str">
        <f>IFERROR(__xludf.DUMMYFUNCTION("""COMPUTED_VALUE"""),"Yes")</f>
        <v>Yes</v>
      </c>
      <c r="P149" s="26"/>
    </row>
    <row r="150">
      <c r="A150" s="13" t="str">
        <f>IFERROR(__xludf.DUMMYFUNCTION("""COMPUTED_VALUE"""),"My Friend Peppa Pig")</f>
        <v>My Friend Peppa Pig</v>
      </c>
      <c r="B150" s="15" t="str">
        <f>IFERROR(__xludf.DUMMYFUNCTION("""COMPUTED_VALUE"""),"PS5/PS4")</f>
        <v>PS5/PS4</v>
      </c>
      <c r="C150" s="16" t="str">
        <f>IFERROR(__xludf.DUMMYFUNCTION("""COMPUTED_VALUE"""),"Extra")</f>
        <v>Extra</v>
      </c>
      <c r="D150" s="15" t="str">
        <f>IFERROR(__xludf.DUMMYFUNCTION("""COMPUTED_VALUE"""),"Active")</f>
        <v>Active</v>
      </c>
      <c r="E150" s="17">
        <f>IFERROR(__xludf.DUMMYFUNCTION("""COMPUTED_VALUE"""),45097.0)</f>
        <v>45097</v>
      </c>
      <c r="F150" s="54"/>
      <c r="G150" s="19">
        <f>IFERROR(__xludf.DUMMYFUNCTION("""COMPUTED_VALUE"""),39.53333333333333)</f>
        <v>39.53333333</v>
      </c>
      <c r="H150" s="17">
        <f>IFERROR(__xludf.DUMMYFUNCTION("""COMPUTED_VALUE"""),44491.0)</f>
        <v>44491</v>
      </c>
      <c r="I150" s="19">
        <f>IFERROR(__xludf.DUMMYFUNCTION("""COMPUTED_VALUE"""),1.6611111111111112)</f>
        <v>1.661111111</v>
      </c>
      <c r="J150" s="21">
        <f>IFERROR(__xludf.DUMMYFUNCTION("""COMPUTED_VALUE"""),80.0)</f>
        <v>80</v>
      </c>
      <c r="K150" s="23">
        <f>IFERROR(__xludf.DUMMYFUNCTION("""COMPUTED_VALUE"""),8.7)</f>
        <v>8.7</v>
      </c>
      <c r="L150" s="24">
        <f>IFERROR(__xludf.DUMMYFUNCTION("""COMPUTED_VALUE"""),1.0)</f>
        <v>1</v>
      </c>
      <c r="M150" s="25" t="str">
        <f>IFERROR(__xludf.DUMMYFUNCTION("""COMPUTED_VALUE"""),"Action-Adventure")</f>
        <v>Action-Adventure</v>
      </c>
      <c r="N150" s="25"/>
      <c r="O150" s="26" t="str">
        <f>IFERROR(__xludf.DUMMYFUNCTION("""COMPUTED_VALUE"""),"Yes")</f>
        <v>Yes</v>
      </c>
      <c r="P150" s="26"/>
    </row>
    <row r="151">
      <c r="A151" s="13" t="str">
        <f>IFERROR(__xludf.DUMMYFUNCTION("""COMPUTED_VALUE"""),"Untitled Goose Game")</f>
        <v>Untitled Goose Game</v>
      </c>
      <c r="B151" s="15" t="str">
        <f>IFERROR(__xludf.DUMMYFUNCTION("""COMPUTED_VALUE"""),"PS5/PS4")</f>
        <v>PS5/PS4</v>
      </c>
      <c r="C151" s="16" t="str">
        <f>IFERROR(__xludf.DUMMYFUNCTION("""COMPUTED_VALUE"""),"Extra")</f>
        <v>Extra</v>
      </c>
      <c r="D151" s="15" t="str">
        <f>IFERROR(__xludf.DUMMYFUNCTION("""COMPUTED_VALUE"""),"Active")</f>
        <v>Active</v>
      </c>
      <c r="E151" s="17">
        <f>IFERROR(__xludf.DUMMYFUNCTION("""COMPUTED_VALUE"""),45006.0)</f>
        <v>45006</v>
      </c>
      <c r="F151" s="54"/>
      <c r="G151" s="19">
        <f>IFERROR(__xludf.DUMMYFUNCTION("""COMPUTED_VALUE"""),42.5)</f>
        <v>42.5</v>
      </c>
      <c r="H151" s="17">
        <f>IFERROR(__xludf.DUMMYFUNCTION("""COMPUTED_VALUE"""),43709.0)</f>
        <v>43709</v>
      </c>
      <c r="I151" s="19">
        <f>IFERROR(__xludf.DUMMYFUNCTION("""COMPUTED_VALUE"""),3.5555555555555554)</f>
        <v>3.555555556</v>
      </c>
      <c r="J151" s="21">
        <f>IFERROR(__xludf.DUMMYFUNCTION("""COMPUTED_VALUE"""),80.0)</f>
        <v>80</v>
      </c>
      <c r="K151" s="23">
        <f>IFERROR(__xludf.DUMMYFUNCTION("""COMPUTED_VALUE"""),7.1)</f>
        <v>7.1</v>
      </c>
      <c r="L151" s="24">
        <f>IFERROR(__xludf.DUMMYFUNCTION("""COMPUTED_VALUE"""),3.0)</f>
        <v>3</v>
      </c>
      <c r="M151" s="25" t="str">
        <f>IFERROR(__xludf.DUMMYFUNCTION("""COMPUTED_VALUE"""),"Action-Adventure")</f>
        <v>Action-Adventure</v>
      </c>
      <c r="N151" s="25"/>
      <c r="O151" s="26" t="str">
        <f>IFERROR(__xludf.DUMMYFUNCTION("""COMPUTED_VALUE"""),"Yes")</f>
        <v>Yes</v>
      </c>
      <c r="P151" s="26"/>
    </row>
    <row r="152">
      <c r="A152" s="13" t="str">
        <f>IFERROR(__xludf.DUMMYFUNCTION("""COMPUTED_VALUE"""),"The Pedestrian")</f>
        <v>The Pedestrian</v>
      </c>
      <c r="B152" s="15" t="str">
        <f>IFERROR(__xludf.DUMMYFUNCTION("""COMPUTED_VALUE"""),"PS5/PS4")</f>
        <v>PS5/PS4</v>
      </c>
      <c r="C152" s="16" t="str">
        <f>IFERROR(__xludf.DUMMYFUNCTION("""COMPUTED_VALUE"""),"Extra")</f>
        <v>Extra</v>
      </c>
      <c r="D152" s="15" t="str">
        <f>IFERROR(__xludf.DUMMYFUNCTION("""COMPUTED_VALUE"""),"Active")</f>
        <v>Active</v>
      </c>
      <c r="E152" s="17">
        <f>IFERROR(__xludf.DUMMYFUNCTION("""COMPUTED_VALUE"""),44915.0)</f>
        <v>44915</v>
      </c>
      <c r="F152" s="54"/>
      <c r="G152" s="19">
        <f>IFERROR(__xludf.DUMMYFUNCTION("""COMPUTED_VALUE"""),45.53333333333333)</f>
        <v>45.53333333</v>
      </c>
      <c r="H152" s="17">
        <f>IFERROR(__xludf.DUMMYFUNCTION("""COMPUTED_VALUE"""),44225.0)</f>
        <v>44225</v>
      </c>
      <c r="I152" s="19">
        <f>IFERROR(__xludf.DUMMYFUNCTION("""COMPUTED_VALUE"""),1.8916666666666666)</f>
        <v>1.891666667</v>
      </c>
      <c r="J152" s="21">
        <f>IFERROR(__xludf.DUMMYFUNCTION("""COMPUTED_VALUE"""),80.0)</f>
        <v>80</v>
      </c>
      <c r="K152" s="23">
        <f>IFERROR(__xludf.DUMMYFUNCTION("""COMPUTED_VALUE"""),7.5)</f>
        <v>7.5</v>
      </c>
      <c r="L152" s="24">
        <f>IFERROR(__xludf.DUMMYFUNCTION("""COMPUTED_VALUE"""),4.0)</f>
        <v>4</v>
      </c>
      <c r="M152" s="25" t="str">
        <f>IFERROR(__xludf.DUMMYFUNCTION("""COMPUTED_VALUE"""),"Puzzle")</f>
        <v>Puzzle</v>
      </c>
      <c r="N152" s="25"/>
      <c r="O152" s="26" t="str">
        <f>IFERROR(__xludf.DUMMYFUNCTION("""COMPUTED_VALUE"""),"Yes")</f>
        <v>Yes</v>
      </c>
      <c r="P152" s="26"/>
    </row>
    <row r="153">
      <c r="A153" s="13" t="str">
        <f>IFERROR(__xludf.DUMMYFUNCTION("""COMPUTED_VALUE"""),"Oddworld: Soulstorm: Enhanced Edition")</f>
        <v>Oddworld: Soulstorm: Enhanced Edition</v>
      </c>
      <c r="B153" s="15" t="str">
        <f>IFERROR(__xludf.DUMMYFUNCTION("""COMPUTED_VALUE"""),"PS5/PS4")</f>
        <v>PS5/PS4</v>
      </c>
      <c r="C153" s="16" t="str">
        <f>IFERROR(__xludf.DUMMYFUNCTION("""COMPUTED_VALUE"""),"Extra")</f>
        <v>Extra</v>
      </c>
      <c r="D153" s="15" t="str">
        <f>IFERROR(__xludf.DUMMYFUNCTION("""COMPUTED_VALUE"""),"Active")</f>
        <v>Active</v>
      </c>
      <c r="E153" s="17">
        <f>IFERROR(__xludf.DUMMYFUNCTION("""COMPUTED_VALUE"""),44880.0)</f>
        <v>44880</v>
      </c>
      <c r="F153" s="54"/>
      <c r="G153" s="19">
        <f>IFERROR(__xludf.DUMMYFUNCTION("""COMPUTED_VALUE"""),46.7)</f>
        <v>46.7</v>
      </c>
      <c r="H153" s="17">
        <f>IFERROR(__xludf.DUMMYFUNCTION("""COMPUTED_VALUE"""),44292.0)</f>
        <v>44292</v>
      </c>
      <c r="I153" s="19">
        <f>IFERROR(__xludf.DUMMYFUNCTION("""COMPUTED_VALUE"""),1.6083333333333334)</f>
        <v>1.608333333</v>
      </c>
      <c r="J153" s="21">
        <f>IFERROR(__xludf.DUMMYFUNCTION("""COMPUTED_VALUE"""),80.0)</f>
        <v>80</v>
      </c>
      <c r="K153" s="23">
        <f>IFERROR(__xludf.DUMMYFUNCTION("""COMPUTED_VALUE"""),5.5)</f>
        <v>5.5</v>
      </c>
      <c r="L153" s="24">
        <f>IFERROR(__xludf.DUMMYFUNCTION("""COMPUTED_VALUE"""),18.5)</f>
        <v>18.5</v>
      </c>
      <c r="M153" s="25" t="str">
        <f>IFERROR(__xludf.DUMMYFUNCTION("""COMPUTED_VALUE"""),"Platformer")</f>
        <v>Platformer</v>
      </c>
      <c r="N153" s="25"/>
      <c r="O153" s="26" t="str">
        <f>IFERROR(__xludf.DUMMYFUNCTION("""COMPUTED_VALUE"""),"Yes")</f>
        <v>Yes</v>
      </c>
      <c r="P153" s="26"/>
    </row>
    <row r="154">
      <c r="A154" s="13" t="str">
        <f>IFERROR(__xludf.DUMMYFUNCTION("""COMPUTED_VALUE"""),"Mr. Driller")</f>
        <v>Mr. Driller</v>
      </c>
      <c r="B154" s="15" t="str">
        <f>IFERROR(__xludf.DUMMYFUNCTION("""COMPUTED_VALUE"""),"PS5/PS4")</f>
        <v>PS5/PS4</v>
      </c>
      <c r="C154" s="16" t="str">
        <f>IFERROR(__xludf.DUMMYFUNCTION("""COMPUTED_VALUE"""),"Premium (Classics)")</f>
        <v>Premium (Classics)</v>
      </c>
      <c r="D154" s="15" t="str">
        <f>IFERROR(__xludf.DUMMYFUNCTION("""COMPUTED_VALUE"""),"Active")</f>
        <v>Active</v>
      </c>
      <c r="E154" s="17">
        <f>IFERROR(__xludf.DUMMYFUNCTION("""COMPUTED_VALUE"""),44725.0)</f>
        <v>44725</v>
      </c>
      <c r="F154" s="54"/>
      <c r="G154" s="19">
        <f>IFERROR(__xludf.DUMMYFUNCTION("""COMPUTED_VALUE"""),51.766666666666666)</f>
        <v>51.76666667</v>
      </c>
      <c r="H154" s="17">
        <f>IFERROR(__xludf.DUMMYFUNCTION("""COMPUTED_VALUE"""),36699.0)</f>
        <v>36699</v>
      </c>
      <c r="I154" s="19">
        <f>IFERROR(__xludf.DUMMYFUNCTION("""COMPUTED_VALUE"""),21.975)</f>
        <v>21.975</v>
      </c>
      <c r="J154" s="21">
        <f>IFERROR(__xludf.DUMMYFUNCTION("""COMPUTED_VALUE"""),80.0)</f>
        <v>80</v>
      </c>
      <c r="K154" s="23">
        <f>IFERROR(__xludf.DUMMYFUNCTION("""COMPUTED_VALUE"""),8.1)</f>
        <v>8.1</v>
      </c>
      <c r="L154" s="24"/>
      <c r="M154" s="25" t="str">
        <f>IFERROR(__xludf.DUMMYFUNCTION("""COMPUTED_VALUE"""),"Puzzle")</f>
        <v>Puzzle</v>
      </c>
      <c r="N154" s="25" t="str">
        <f>IFERROR(__xludf.DUMMYFUNCTION("""COMPUTED_VALUE"""),"PS1")</f>
        <v>PS1</v>
      </c>
      <c r="O154" s="26" t="str">
        <f>IFERROR(__xludf.DUMMYFUNCTION("""COMPUTED_VALUE"""),"No")</f>
        <v>No</v>
      </c>
      <c r="P154" s="26" t="str">
        <f>IFERROR(__xludf.DUMMYFUNCTION("""COMPUTED_VALUE"""),"")</f>
        <v/>
      </c>
    </row>
    <row r="155">
      <c r="A155" s="13" t="str">
        <f>IFERROR(__xludf.DUMMYFUNCTION("""COMPUTED_VALUE"""),"Resident Evil: Director's Cut")</f>
        <v>Resident Evil: Director's Cut</v>
      </c>
      <c r="B155" s="15" t="str">
        <f>IFERROR(__xludf.DUMMYFUNCTION("""COMPUTED_VALUE"""),"PS5/PS4")</f>
        <v>PS5/PS4</v>
      </c>
      <c r="C155" s="16" t="str">
        <f>IFERROR(__xludf.DUMMYFUNCTION("""COMPUTED_VALUE"""),"Premium (Classics)")</f>
        <v>Premium (Classics)</v>
      </c>
      <c r="D155" s="15" t="str">
        <f>IFERROR(__xludf.DUMMYFUNCTION("""COMPUTED_VALUE"""),"Active")</f>
        <v>Active</v>
      </c>
      <c r="E155" s="17">
        <f>IFERROR(__xludf.DUMMYFUNCTION("""COMPUTED_VALUE"""),44725.0)</f>
        <v>44725</v>
      </c>
      <c r="F155" s="54"/>
      <c r="G155" s="19">
        <f>IFERROR(__xludf.DUMMYFUNCTION("""COMPUTED_VALUE"""),51.766666666666666)</f>
        <v>51.76666667</v>
      </c>
      <c r="H155" s="17">
        <f>IFERROR(__xludf.DUMMYFUNCTION("""COMPUTED_VALUE"""),35125.0)</f>
        <v>35125</v>
      </c>
      <c r="I155" s="19">
        <f>IFERROR(__xludf.DUMMYFUNCTION("""COMPUTED_VALUE"""),26.283333333333335)</f>
        <v>26.28333333</v>
      </c>
      <c r="J155" s="21">
        <f>IFERROR(__xludf.DUMMYFUNCTION("""COMPUTED_VALUE"""),80.0)</f>
        <v>80</v>
      </c>
      <c r="K155" s="23">
        <f>IFERROR(__xludf.DUMMYFUNCTION("""COMPUTED_VALUE"""),8.0)</f>
        <v>8</v>
      </c>
      <c r="L155" s="24">
        <f>IFERROR(__xludf.DUMMYFUNCTION("""COMPUTED_VALUE"""),10.0)</f>
        <v>10</v>
      </c>
      <c r="M155" s="25" t="str">
        <f>IFERROR(__xludf.DUMMYFUNCTION("""COMPUTED_VALUE"""),"Survival")</f>
        <v>Survival</v>
      </c>
      <c r="N155" s="25" t="str">
        <f>IFERROR(__xludf.DUMMYFUNCTION("""COMPUTED_VALUE"""),"PS1")</f>
        <v>PS1</v>
      </c>
      <c r="O155" s="26" t="str">
        <f>IFERROR(__xludf.DUMMYFUNCTION("""COMPUTED_VALUE"""),"No")</f>
        <v>No</v>
      </c>
      <c r="P155" s="26" t="str">
        <f>IFERROR(__xludf.DUMMYFUNCTION("""COMPUTED_VALUE"""),"")</f>
        <v/>
      </c>
    </row>
    <row r="156">
      <c r="A156" s="13" t="str">
        <f>IFERROR(__xludf.DUMMYFUNCTION("""COMPUTED_VALUE"""),"Blades of Fire")</f>
        <v>Blades of Fire</v>
      </c>
      <c r="B156" s="15" t="str">
        <f>IFERROR(__xludf.DUMMYFUNCTION("""COMPUTED_VALUE"""),"PS5")</f>
        <v>PS5</v>
      </c>
      <c r="C156" s="16" t="str">
        <f>IFERROR(__xludf.DUMMYFUNCTION("""COMPUTED_VALUE"""),"Extra")</f>
        <v>Extra</v>
      </c>
      <c r="D156" s="15" t="str">
        <f>IFERROR(__xludf.DUMMYFUNCTION("""COMPUTED_VALUE"""),"Active")</f>
        <v>Active</v>
      </c>
      <c r="E156" s="17">
        <f>IFERROR(__xludf.DUMMYFUNCTION("""COMPUTED_VALUE"""),46189.0)</f>
        <v>46189</v>
      </c>
      <c r="F156" s="54"/>
      <c r="G156" s="19">
        <f>IFERROR(__xludf.DUMMYFUNCTION("""COMPUTED_VALUE"""),3.666666666666667)</f>
        <v>3.666666667</v>
      </c>
      <c r="H156" s="17">
        <f>IFERROR(__xludf.DUMMYFUNCTION("""COMPUTED_VALUE"""),45799.0)</f>
        <v>45799</v>
      </c>
      <c r="I156" s="19">
        <f>IFERROR(__xludf.DUMMYFUNCTION("""COMPUTED_VALUE"""),1.0666666666666667)</f>
        <v>1.066666667</v>
      </c>
      <c r="J156" s="21">
        <f>IFERROR(__xludf.DUMMYFUNCTION("""COMPUTED_VALUE"""),79.0)</f>
        <v>79</v>
      </c>
      <c r="K156" s="23">
        <f>IFERROR(__xludf.DUMMYFUNCTION("""COMPUTED_VALUE"""),8.2)</f>
        <v>8.2</v>
      </c>
      <c r="L156" s="24">
        <f>IFERROR(__xludf.DUMMYFUNCTION("""COMPUTED_VALUE"""),19.0)</f>
        <v>19</v>
      </c>
      <c r="M156" s="25" t="str">
        <f>IFERROR(__xludf.DUMMYFUNCTION("""COMPUTED_VALUE"""),"RPG")</f>
        <v>RPG</v>
      </c>
      <c r="N156" s="25"/>
      <c r="O156" s="26" t="str">
        <f>IFERROR(__xludf.DUMMYFUNCTION("""COMPUTED_VALUE"""),"No")</f>
        <v>No</v>
      </c>
      <c r="P156" s="26"/>
    </row>
    <row r="157">
      <c r="A157" s="13" t="str">
        <f>IFERROR(__xludf.DUMMYFUNCTION("""COMPUTED_VALUE"""),"Destiny 2: Legacy Collection (2025)")</f>
        <v>Destiny 2: Legacy Collection (2025)</v>
      </c>
      <c r="B157" s="15" t="str">
        <f>IFERROR(__xludf.DUMMYFUNCTION("""COMPUTED_VALUE"""),"PS5/PS4")</f>
        <v>PS5/PS4</v>
      </c>
      <c r="C157" s="16" t="str">
        <f>IFERROR(__xludf.DUMMYFUNCTION("""COMPUTED_VALUE"""),"Extra")</f>
        <v>Extra</v>
      </c>
      <c r="D157" s="15" t="str">
        <f>IFERROR(__xludf.DUMMYFUNCTION("""COMPUTED_VALUE"""),"Active")</f>
        <v>Active</v>
      </c>
      <c r="E157" s="17">
        <f>IFERROR(__xludf.DUMMYFUNCTION("""COMPUTED_VALUE"""),46182.0)</f>
        <v>46182</v>
      </c>
      <c r="F157" s="18"/>
      <c r="G157" s="19">
        <f>IFERROR(__xludf.DUMMYFUNCTION("""COMPUTED_VALUE"""),3.9000000000000004)</f>
        <v>3.9</v>
      </c>
      <c r="H157" s="17">
        <f>IFERROR(__xludf.DUMMYFUNCTION("""COMPUTED_VALUE"""),45853.0)</f>
        <v>45853</v>
      </c>
      <c r="I157" s="19">
        <f>IFERROR(__xludf.DUMMYFUNCTION("""COMPUTED_VALUE"""),0.9)</f>
        <v>0.9</v>
      </c>
      <c r="J157" s="21">
        <f>IFERROR(__xludf.DUMMYFUNCTION("""COMPUTED_VALUE"""),79.0)</f>
        <v>79</v>
      </c>
      <c r="K157" s="23">
        <f>IFERROR(__xludf.DUMMYFUNCTION("""COMPUTED_VALUE"""),5.6)</f>
        <v>5.6</v>
      </c>
      <c r="L157" s="24">
        <f>IFERROR(__xludf.DUMMYFUNCTION("""COMPUTED_VALUE"""),43.0)</f>
        <v>43</v>
      </c>
      <c r="M157" s="25" t="str">
        <f>IFERROR(__xludf.DUMMYFUNCTION("""COMPUTED_VALUE"""),"Shooter")</f>
        <v>Shooter</v>
      </c>
      <c r="N157" s="25" t="str">
        <f>IFERROR(__xludf.DUMMYFUNCTION("""COMPUTED_VALUE"""),"The Final Shape, Lightfall, The Witch Queen, Beyond Light, and Shadowkeep")</f>
        <v>The Final Shape, Lightfall, The Witch Queen, Beyond Light, and Shadowkeep</v>
      </c>
      <c r="O157" s="26"/>
      <c r="P157" s="26"/>
    </row>
    <row r="158">
      <c r="A158" s="13" t="str">
        <f>IFERROR(__xludf.DUMMYFUNCTION("""COMPUTED_VALUE"""),"Art of Rally")</f>
        <v>Art of Rally</v>
      </c>
      <c r="B158" s="15" t="str">
        <f>IFERROR(__xludf.DUMMYFUNCTION("""COMPUTED_VALUE"""),"PS5/PS4")</f>
        <v>PS5/PS4</v>
      </c>
      <c r="C158" s="16" t="str">
        <f>IFERROR(__xludf.DUMMYFUNCTION("""COMPUTED_VALUE"""),"Extra")</f>
        <v>Extra</v>
      </c>
      <c r="D158" s="15" t="str">
        <f>IFERROR(__xludf.DUMMYFUNCTION("""COMPUTED_VALUE"""),"Active")</f>
        <v>Active</v>
      </c>
      <c r="E158" s="17">
        <f>IFERROR(__xludf.DUMMYFUNCTION("""COMPUTED_VALUE"""),46042.0)</f>
        <v>46042</v>
      </c>
      <c r="F158" s="54"/>
      <c r="G158" s="19">
        <f>IFERROR(__xludf.DUMMYFUNCTION("""COMPUTED_VALUE"""),8.533333333333333)</f>
        <v>8.533333333</v>
      </c>
      <c r="H158" s="17">
        <f>IFERROR(__xludf.DUMMYFUNCTION("""COMPUTED_VALUE"""),44097.0)</f>
        <v>44097</v>
      </c>
      <c r="I158" s="19">
        <f>IFERROR(__xludf.DUMMYFUNCTION("""COMPUTED_VALUE"""),5.325)</f>
        <v>5.325</v>
      </c>
      <c r="J158" s="21">
        <f>IFERROR(__xludf.DUMMYFUNCTION("""COMPUTED_VALUE"""),79.0)</f>
        <v>79</v>
      </c>
      <c r="K158" s="23">
        <f>IFERROR(__xludf.DUMMYFUNCTION("""COMPUTED_VALUE"""),6.9)</f>
        <v>6.9</v>
      </c>
      <c r="L158" s="24">
        <f>IFERROR(__xludf.DUMMYFUNCTION("""COMPUTED_VALUE"""),16.0)</f>
        <v>16</v>
      </c>
      <c r="M158" s="25" t="str">
        <f>IFERROR(__xludf.DUMMYFUNCTION("""COMPUTED_VALUE"""),"Racing")</f>
        <v>Racing</v>
      </c>
      <c r="N158" s="25"/>
      <c r="O158" s="26"/>
      <c r="P158" s="26"/>
    </row>
    <row r="159">
      <c r="A159" s="13" t="str">
        <f>IFERROR(__xludf.DUMMYFUNCTION("""COMPUTED_VALUE"""),"Paw Patrol: Grand Prix")</f>
        <v>Paw Patrol: Grand Prix</v>
      </c>
      <c r="B159" s="15" t="str">
        <f>IFERROR(__xludf.DUMMYFUNCTION("""COMPUTED_VALUE"""),"PS5/PS4")</f>
        <v>PS5/PS4</v>
      </c>
      <c r="C159" s="16" t="str">
        <f>IFERROR(__xludf.DUMMYFUNCTION("""COMPUTED_VALUE"""),"Extra")</f>
        <v>Extra</v>
      </c>
      <c r="D159" s="15" t="str">
        <f>IFERROR(__xludf.DUMMYFUNCTION("""COMPUTED_VALUE"""),"Active")</f>
        <v>Active</v>
      </c>
      <c r="E159" s="17">
        <f>IFERROR(__xludf.DUMMYFUNCTION("""COMPUTED_VALUE"""),46007.0)</f>
        <v>46007</v>
      </c>
      <c r="F159" s="18"/>
      <c r="G159" s="19">
        <f>IFERROR(__xludf.DUMMYFUNCTION("""COMPUTED_VALUE"""),9.666666666666668)</f>
        <v>9.666666667</v>
      </c>
      <c r="H159" s="17">
        <f>IFERROR(__xludf.DUMMYFUNCTION("""COMPUTED_VALUE"""),45198.0)</f>
        <v>45198</v>
      </c>
      <c r="I159" s="19">
        <f>IFERROR(__xludf.DUMMYFUNCTION("""COMPUTED_VALUE"""),2.213888888888889)</f>
        <v>2.213888889</v>
      </c>
      <c r="J159" s="21">
        <f>IFERROR(__xludf.DUMMYFUNCTION("""COMPUTED_VALUE"""),79.0)</f>
        <v>79</v>
      </c>
      <c r="K159" s="23">
        <f>IFERROR(__xludf.DUMMYFUNCTION("""COMPUTED_VALUE"""),5.1)</f>
        <v>5.1</v>
      </c>
      <c r="L159" s="24">
        <f>IFERROR(__xludf.DUMMYFUNCTION("""COMPUTED_VALUE"""),2.0)</f>
        <v>2</v>
      </c>
      <c r="M159" s="25" t="str">
        <f>IFERROR(__xludf.DUMMYFUNCTION("""COMPUTED_VALUE"""),"Racing")</f>
        <v>Racing</v>
      </c>
      <c r="N159" s="25"/>
      <c r="O159" s="26"/>
      <c r="P159" s="26"/>
    </row>
    <row r="160">
      <c r="A160" s="13" t="str">
        <f>IFERROR(__xludf.DUMMYFUNCTION("""COMPUTED_VALUE"""),"Paw Patrol World")</f>
        <v>Paw Patrol World</v>
      </c>
      <c r="B160" s="15" t="str">
        <f>IFERROR(__xludf.DUMMYFUNCTION("""COMPUTED_VALUE"""),"PS5/PS4")</f>
        <v>PS5/PS4</v>
      </c>
      <c r="C160" s="16" t="str">
        <f>IFERROR(__xludf.DUMMYFUNCTION("""COMPUTED_VALUE"""),"Extra")</f>
        <v>Extra</v>
      </c>
      <c r="D160" s="15" t="str">
        <f>IFERROR(__xludf.DUMMYFUNCTION("""COMPUTED_VALUE"""),"Active")</f>
        <v>Active</v>
      </c>
      <c r="E160" s="17">
        <f>IFERROR(__xludf.DUMMYFUNCTION("""COMPUTED_VALUE"""),46007.0)</f>
        <v>46007</v>
      </c>
      <c r="F160" s="54"/>
      <c r="G160" s="19">
        <f>IFERROR(__xludf.DUMMYFUNCTION("""COMPUTED_VALUE"""),9.666666666666668)</f>
        <v>9.666666667</v>
      </c>
      <c r="H160" s="17">
        <f>IFERROR(__xludf.DUMMYFUNCTION("""COMPUTED_VALUE"""),45198.0)</f>
        <v>45198</v>
      </c>
      <c r="I160" s="19">
        <f>IFERROR(__xludf.DUMMYFUNCTION("""COMPUTED_VALUE"""),2.213888888888889)</f>
        <v>2.213888889</v>
      </c>
      <c r="J160" s="21">
        <f>IFERROR(__xludf.DUMMYFUNCTION("""COMPUTED_VALUE"""),79.0)</f>
        <v>79</v>
      </c>
      <c r="K160" s="23">
        <f>IFERROR(__xludf.DUMMYFUNCTION("""COMPUTED_VALUE"""),5.1)</f>
        <v>5.1</v>
      </c>
      <c r="L160" s="24">
        <f>IFERROR(__xludf.DUMMYFUNCTION("""COMPUTED_VALUE"""),4.0)</f>
        <v>4</v>
      </c>
      <c r="M160" s="25" t="str">
        <f>IFERROR(__xludf.DUMMYFUNCTION("""COMPUTED_VALUE"""),"Action-Adventure")</f>
        <v>Action-Adventure</v>
      </c>
      <c r="N160" s="25"/>
      <c r="O160" s="26"/>
      <c r="P160" s="26"/>
    </row>
    <row r="161">
      <c r="A161" s="13" t="str">
        <f>IFERROR(__xludf.DUMMYFUNCTION("""COMPUTED_VALUE"""),"Resident Evil 3: Nemesis")</f>
        <v>Resident Evil 3: Nemesis</v>
      </c>
      <c r="B161" s="15" t="str">
        <f>IFERROR(__xludf.DUMMYFUNCTION("""COMPUTED_VALUE"""),"PS5/PS4")</f>
        <v>PS5/PS4</v>
      </c>
      <c r="C161" s="16" t="str">
        <f>IFERROR(__xludf.DUMMYFUNCTION("""COMPUTED_VALUE"""),"Premium (Classics)")</f>
        <v>Premium (Classics)</v>
      </c>
      <c r="D161" s="15" t="str">
        <f>IFERROR(__xludf.DUMMYFUNCTION("""COMPUTED_VALUE"""),"Active")</f>
        <v>Active</v>
      </c>
      <c r="E161" s="17">
        <f>IFERROR(__xludf.DUMMYFUNCTION("""COMPUTED_VALUE"""),45888.0)</f>
        <v>45888</v>
      </c>
      <c r="F161" s="54"/>
      <c r="G161" s="19">
        <f>IFERROR(__xludf.DUMMYFUNCTION("""COMPUTED_VALUE"""),13.566666666666666)</f>
        <v>13.56666667</v>
      </c>
      <c r="H161" s="17">
        <f>IFERROR(__xludf.DUMMYFUNCTION("""COMPUTED_VALUE"""),36475.0)</f>
        <v>36475</v>
      </c>
      <c r="I161" s="19">
        <f>IFERROR(__xludf.DUMMYFUNCTION("""COMPUTED_VALUE"""),25.772222222222222)</f>
        <v>25.77222222</v>
      </c>
      <c r="J161" s="21">
        <f>IFERROR(__xludf.DUMMYFUNCTION("""COMPUTED_VALUE"""),79.0)</f>
        <v>79</v>
      </c>
      <c r="K161" s="23">
        <f>IFERROR(__xludf.DUMMYFUNCTION("""COMPUTED_VALUE"""),6.7)</f>
        <v>6.7</v>
      </c>
      <c r="L161" s="24">
        <f>IFERROR(__xludf.DUMMYFUNCTION("""COMPUTED_VALUE"""),6.0)</f>
        <v>6</v>
      </c>
      <c r="M161" s="25" t="str">
        <f>IFERROR(__xludf.DUMMYFUNCTION("""COMPUTED_VALUE"""),"Survival")</f>
        <v>Survival</v>
      </c>
      <c r="N161" s="25" t="str">
        <f>IFERROR(__xludf.DUMMYFUNCTION("""COMPUTED_VALUE"""),"PS1")</f>
        <v>PS1</v>
      </c>
      <c r="O161" s="26"/>
      <c r="P161" s="26"/>
    </row>
    <row r="162">
      <c r="A162" s="13" t="str">
        <f>IFERROR(__xludf.DUMMYFUNCTION("""COMPUTED_VALUE"""),"Eiyuden Chronicle: Hundred Heroes")</f>
        <v>Eiyuden Chronicle: Hundred Heroes</v>
      </c>
      <c r="B162" s="15" t="str">
        <f>IFERROR(__xludf.DUMMYFUNCTION("""COMPUTED_VALUE"""),"PS5/PS4")</f>
        <v>PS5/PS4</v>
      </c>
      <c r="C162" s="16" t="str">
        <f>IFERROR(__xludf.DUMMYFUNCTION("""COMPUTED_VALUE"""),"Extra")</f>
        <v>Extra</v>
      </c>
      <c r="D162" s="15" t="str">
        <f>IFERROR(__xludf.DUMMYFUNCTION("""COMPUTED_VALUE"""),"Active")</f>
        <v>Active</v>
      </c>
      <c r="E162" s="17">
        <f>IFERROR(__xludf.DUMMYFUNCTION("""COMPUTED_VALUE"""),45825.0)</f>
        <v>45825</v>
      </c>
      <c r="F162" s="54"/>
      <c r="G162" s="19">
        <f>IFERROR(__xludf.DUMMYFUNCTION("""COMPUTED_VALUE"""),15.633333333333333)</f>
        <v>15.63333333</v>
      </c>
      <c r="H162" s="17">
        <f>IFERROR(__xludf.DUMMYFUNCTION("""COMPUTED_VALUE"""),45405.0)</f>
        <v>45405</v>
      </c>
      <c r="I162" s="19">
        <f>IFERROR(__xludf.DUMMYFUNCTION("""COMPUTED_VALUE"""),1.15)</f>
        <v>1.15</v>
      </c>
      <c r="J162" s="21">
        <f>IFERROR(__xludf.DUMMYFUNCTION("""COMPUTED_VALUE"""),79.0)</f>
        <v>79</v>
      </c>
      <c r="K162" s="23">
        <f>IFERROR(__xludf.DUMMYFUNCTION("""COMPUTED_VALUE"""),7.1)</f>
        <v>7.1</v>
      </c>
      <c r="L162" s="24">
        <f>IFERROR(__xludf.DUMMYFUNCTION("""COMPUTED_VALUE"""),47.0)</f>
        <v>47</v>
      </c>
      <c r="M162" s="25" t="str">
        <f>IFERROR(__xludf.DUMMYFUNCTION("""COMPUTED_VALUE"""),"RPG")</f>
        <v>RPG</v>
      </c>
      <c r="N162" s="25"/>
      <c r="O162" s="26"/>
      <c r="P162" s="26"/>
    </row>
    <row r="163">
      <c r="A163" s="13" t="str">
        <f>IFERROR(__xludf.DUMMYFUNCTION("""COMPUTED_VALUE"""),"Coffee Talk Episode 2: Hibiscus &amp; Butterfly")</f>
        <v>Coffee Talk Episode 2: Hibiscus &amp; Butterfly</v>
      </c>
      <c r="B163" s="15" t="str">
        <f>IFERROR(__xludf.DUMMYFUNCTION("""COMPUTED_VALUE"""),"PS5/PS4")</f>
        <v>PS5/PS4</v>
      </c>
      <c r="C163" s="16" t="str">
        <f>IFERROR(__xludf.DUMMYFUNCTION("""COMPUTED_VALUE"""),"Extra")</f>
        <v>Extra</v>
      </c>
      <c r="D163" s="15" t="str">
        <f>IFERROR(__xludf.DUMMYFUNCTION("""COMPUTED_VALUE"""),"Active")</f>
        <v>Active</v>
      </c>
      <c r="E163" s="17">
        <f>IFERROR(__xludf.DUMMYFUNCTION("""COMPUTED_VALUE"""),45643.0)</f>
        <v>45643</v>
      </c>
      <c r="F163" s="54"/>
      <c r="G163" s="19">
        <f>IFERROR(__xludf.DUMMYFUNCTION("""COMPUTED_VALUE"""),21.633333333333333)</f>
        <v>21.63333333</v>
      </c>
      <c r="H163" s="17">
        <f>IFERROR(__xludf.DUMMYFUNCTION("""COMPUTED_VALUE"""),45036.0)</f>
        <v>45036</v>
      </c>
      <c r="I163" s="19">
        <f>IFERROR(__xludf.DUMMYFUNCTION("""COMPUTED_VALUE"""),1.6583333333333334)</f>
        <v>1.658333333</v>
      </c>
      <c r="J163" s="21">
        <f>IFERROR(__xludf.DUMMYFUNCTION("""COMPUTED_VALUE"""),79.0)</f>
        <v>79</v>
      </c>
      <c r="K163" s="23">
        <f>IFERROR(__xludf.DUMMYFUNCTION("""COMPUTED_VALUE"""),7.5)</f>
        <v>7.5</v>
      </c>
      <c r="L163" s="24">
        <f>IFERROR(__xludf.DUMMYFUNCTION("""COMPUTED_VALUE"""),7.0)</f>
        <v>7</v>
      </c>
      <c r="M163" s="25" t="str">
        <f>IFERROR(__xludf.DUMMYFUNCTION("""COMPUTED_VALUE"""),"Visual Novel ")</f>
        <v>Visual Novel </v>
      </c>
      <c r="N163" s="25"/>
      <c r="O163" s="26" t="str">
        <f>IFERROR(__xludf.DUMMYFUNCTION("""COMPUTED_VALUE"""),"Yes")</f>
        <v>Yes</v>
      </c>
      <c r="P163" s="26"/>
    </row>
    <row r="164">
      <c r="A164" s="13" t="str">
        <f>IFERROR(__xludf.DUMMYFUNCTION("""COMPUTED_VALUE"""),"Rally Cross")</f>
        <v>Rally Cross</v>
      </c>
      <c r="B164" s="15" t="str">
        <f>IFERROR(__xludf.DUMMYFUNCTION("""COMPUTED_VALUE"""),"PS5/PS4")</f>
        <v>PS5/PS4</v>
      </c>
      <c r="C164" s="16" t="str">
        <f>IFERROR(__xludf.DUMMYFUNCTION("""COMPUTED_VALUE"""),"Premium (Classics)")</f>
        <v>Premium (Classics)</v>
      </c>
      <c r="D164" s="15" t="str">
        <f>IFERROR(__xludf.DUMMYFUNCTION("""COMPUTED_VALUE"""),"Active")</f>
        <v>Active</v>
      </c>
      <c r="E164" s="17">
        <f>IFERROR(__xludf.DUMMYFUNCTION("""COMPUTED_VALUE"""),45307.0)</f>
        <v>45307</v>
      </c>
      <c r="F164" s="54"/>
      <c r="G164" s="19">
        <f>IFERROR(__xludf.DUMMYFUNCTION("""COMPUTED_VALUE"""),32.66666666666667)</f>
        <v>32.66666667</v>
      </c>
      <c r="H164" s="17">
        <f>IFERROR(__xludf.DUMMYFUNCTION("""COMPUTED_VALUE"""),35734.0)</f>
        <v>35734</v>
      </c>
      <c r="I164" s="19">
        <f>IFERROR(__xludf.DUMMYFUNCTION("""COMPUTED_VALUE"""),26.211111111111112)</f>
        <v>26.21111111</v>
      </c>
      <c r="J164" s="21">
        <f>IFERROR(__xludf.DUMMYFUNCTION("""COMPUTED_VALUE"""),79.0)</f>
        <v>79</v>
      </c>
      <c r="K164" s="23">
        <f>IFERROR(__xludf.DUMMYFUNCTION("""COMPUTED_VALUE"""),7.9)</f>
        <v>7.9</v>
      </c>
      <c r="L164" s="24">
        <f>IFERROR(__xludf.DUMMYFUNCTION("""COMPUTED_VALUE"""),7.0)</f>
        <v>7</v>
      </c>
      <c r="M164" s="25" t="str">
        <f>IFERROR(__xludf.DUMMYFUNCTION("""COMPUTED_VALUE"""),"Racing")</f>
        <v>Racing</v>
      </c>
      <c r="N164" s="25" t="str">
        <f>IFERROR(__xludf.DUMMYFUNCTION("""COMPUTED_VALUE"""),"PS1")</f>
        <v>PS1</v>
      </c>
      <c r="O164" s="26" t="str">
        <f>IFERROR(__xludf.DUMMYFUNCTION("""COMPUTED_VALUE"""),"Yes")</f>
        <v>Yes</v>
      </c>
      <c r="P164" s="26"/>
    </row>
    <row r="165">
      <c r="A165" s="13" t="str">
        <f>IFERROR(__xludf.DUMMYFUNCTION("""COMPUTED_VALUE"""),"Eldest Souls")</f>
        <v>Eldest Souls</v>
      </c>
      <c r="B165" s="15" t="str">
        <f>IFERROR(__xludf.DUMMYFUNCTION("""COMPUTED_VALUE"""),"PS5/PS4")</f>
        <v>PS5/PS4</v>
      </c>
      <c r="C165" s="16" t="str">
        <f>IFERROR(__xludf.DUMMYFUNCTION("""COMPUTED_VALUE"""),"Extra")</f>
        <v>Extra</v>
      </c>
      <c r="D165" s="15" t="str">
        <f>IFERROR(__xludf.DUMMYFUNCTION("""COMPUTED_VALUE"""),"Active")</f>
        <v>Active</v>
      </c>
      <c r="E165" s="17">
        <f>IFERROR(__xludf.DUMMYFUNCTION("""COMPUTED_VALUE"""),45216.0)</f>
        <v>45216</v>
      </c>
      <c r="F165" s="54"/>
      <c r="G165" s="19">
        <f>IFERROR(__xludf.DUMMYFUNCTION("""COMPUTED_VALUE"""),35.63333333333333)</f>
        <v>35.63333333</v>
      </c>
      <c r="H165" s="17">
        <f>IFERROR(__xludf.DUMMYFUNCTION("""COMPUTED_VALUE"""),44406.0)</f>
        <v>44406</v>
      </c>
      <c r="I165" s="19">
        <f>IFERROR(__xludf.DUMMYFUNCTION("""COMPUTED_VALUE"""),2.216666666666667)</f>
        <v>2.216666667</v>
      </c>
      <c r="J165" s="21">
        <f>IFERROR(__xludf.DUMMYFUNCTION("""COMPUTED_VALUE"""),79.0)</f>
        <v>79</v>
      </c>
      <c r="K165" s="23">
        <f>IFERROR(__xludf.DUMMYFUNCTION("""COMPUTED_VALUE"""),6.8)</f>
        <v>6.8</v>
      </c>
      <c r="L165" s="24">
        <f>IFERROR(__xludf.DUMMYFUNCTION("""COMPUTED_VALUE"""),5.0)</f>
        <v>5</v>
      </c>
      <c r="M165" s="25" t="str">
        <f>IFERROR(__xludf.DUMMYFUNCTION("""COMPUTED_VALUE"""),"RPG")</f>
        <v>RPG</v>
      </c>
      <c r="N165" s="25"/>
      <c r="O165" s="26" t="str">
        <f>IFERROR(__xludf.DUMMYFUNCTION("""COMPUTED_VALUE"""),"Yes")</f>
        <v>Yes</v>
      </c>
      <c r="P165" s="26"/>
    </row>
    <row r="166">
      <c r="A166" s="13" t="str">
        <f>IFERROR(__xludf.DUMMYFUNCTION("""COMPUTED_VALUE"""),"echochrome")</f>
        <v>echochrome</v>
      </c>
      <c r="B166" s="15" t="str">
        <f>IFERROR(__xludf.DUMMYFUNCTION("""COMPUTED_VALUE"""),"PS5/PS4")</f>
        <v>PS5/PS4</v>
      </c>
      <c r="C166" s="16" t="str">
        <f>IFERROR(__xludf.DUMMYFUNCTION("""COMPUTED_VALUE"""),"Premium (Classics)")</f>
        <v>Premium (Classics)</v>
      </c>
      <c r="D166" s="15" t="str">
        <f>IFERROR(__xludf.DUMMYFUNCTION("""COMPUTED_VALUE"""),"Active")</f>
        <v>Active</v>
      </c>
      <c r="E166" s="17">
        <f>IFERROR(__xludf.DUMMYFUNCTION("""COMPUTED_VALUE"""),44725.0)</f>
        <v>44725</v>
      </c>
      <c r="F166" s="54"/>
      <c r="G166" s="19">
        <f>IFERROR(__xludf.DUMMYFUNCTION("""COMPUTED_VALUE"""),51.766666666666666)</f>
        <v>51.76666667</v>
      </c>
      <c r="H166" s="17">
        <f>IFERROR(__xludf.DUMMYFUNCTION("""COMPUTED_VALUE"""),39569.0)</f>
        <v>39569</v>
      </c>
      <c r="I166" s="19">
        <f>IFERROR(__xludf.DUMMYFUNCTION("""COMPUTED_VALUE"""),14.116666666666667)</f>
        <v>14.11666667</v>
      </c>
      <c r="J166" s="21">
        <f>IFERROR(__xludf.DUMMYFUNCTION("""COMPUTED_VALUE"""),79.0)</f>
        <v>79</v>
      </c>
      <c r="K166" s="23">
        <f>IFERROR(__xludf.DUMMYFUNCTION("""COMPUTED_VALUE"""),7.4)</f>
        <v>7.4</v>
      </c>
      <c r="L166" s="24">
        <f>IFERROR(__xludf.DUMMYFUNCTION("""COMPUTED_VALUE"""),4.0)</f>
        <v>4</v>
      </c>
      <c r="M166" s="25" t="str">
        <f>IFERROR(__xludf.DUMMYFUNCTION("""COMPUTED_VALUE"""),"Puzzle")</f>
        <v>Puzzle</v>
      </c>
      <c r="N166" s="25" t="str">
        <f>IFERROR(__xludf.DUMMYFUNCTION("""COMPUTED_VALUE"""),"PSP")</f>
        <v>PSP</v>
      </c>
      <c r="O166" s="26" t="str">
        <f>IFERROR(__xludf.DUMMYFUNCTION("""COMPUTED_VALUE"""),"No")</f>
        <v>No</v>
      </c>
      <c r="P166" s="26" t="str">
        <f>IFERROR(__xludf.DUMMYFUNCTION("""COMPUTED_VALUE"""),"")</f>
        <v/>
      </c>
    </row>
    <row r="167">
      <c r="A167" s="13" t="str">
        <f>IFERROR(__xludf.DUMMYFUNCTION("""COMPUTED_VALUE"""),"PlateUp!")</f>
        <v>PlateUp!</v>
      </c>
      <c r="B167" s="15" t="str">
        <f>IFERROR(__xludf.DUMMYFUNCTION("""COMPUTED_VALUE"""),"PS5/PS4")</f>
        <v>PS5/PS4</v>
      </c>
      <c r="C167" s="16" t="str">
        <f>IFERROR(__xludf.DUMMYFUNCTION("""COMPUTED_VALUE"""),"Extra")</f>
        <v>Extra</v>
      </c>
      <c r="D167" s="15" t="str">
        <f>IFERROR(__xludf.DUMMYFUNCTION("""COMPUTED_VALUE"""),"Active")</f>
        <v>Active</v>
      </c>
      <c r="E167" s="17">
        <f>IFERROR(__xludf.DUMMYFUNCTION("""COMPUTED_VALUE"""),45762.0)</f>
        <v>45762</v>
      </c>
      <c r="F167" s="54"/>
      <c r="G167" s="19">
        <f>IFERROR(__xludf.DUMMYFUNCTION("""COMPUTED_VALUE"""),17.700000000000003)</f>
        <v>17.7</v>
      </c>
      <c r="H167" s="17">
        <f>IFERROR(__xludf.DUMMYFUNCTION("""COMPUTED_VALUE"""),44777.0)</f>
        <v>44777</v>
      </c>
      <c r="I167" s="19">
        <f>IFERROR(__xludf.DUMMYFUNCTION("""COMPUTED_VALUE"""),2.6972222222222224)</f>
        <v>2.697222222</v>
      </c>
      <c r="J167" s="21">
        <f>IFERROR(__xludf.DUMMYFUNCTION("""COMPUTED_VALUE"""),78.33333333333333)</f>
        <v>78.33333333</v>
      </c>
      <c r="K167" s="23">
        <f>IFERROR(__xludf.DUMMYFUNCTION("""COMPUTED_VALUE"""),6.9)</f>
        <v>6.9</v>
      </c>
      <c r="L167" s="24">
        <f>IFERROR(__xludf.DUMMYFUNCTION("""COMPUTED_VALUE"""),16.0)</f>
        <v>16</v>
      </c>
      <c r="M167" s="25" t="str">
        <f>IFERROR(__xludf.DUMMYFUNCTION("""COMPUTED_VALUE"""),"Arcade")</f>
        <v>Arcade</v>
      </c>
      <c r="N167" s="25"/>
      <c r="O167" s="26"/>
      <c r="P167" s="26"/>
    </row>
    <row r="168">
      <c r="A168" s="13" t="str">
        <f>IFERROR(__xludf.DUMMYFUNCTION("""COMPUTED_VALUE"""),"WWE 2K26")</f>
        <v>WWE 2K26</v>
      </c>
      <c r="B168" s="15" t="str">
        <f>IFERROR(__xludf.DUMMYFUNCTION("""COMPUTED_VALUE"""),"PS5")</f>
        <v>PS5</v>
      </c>
      <c r="C168" s="16" t="str">
        <f>IFERROR(__xludf.DUMMYFUNCTION("""COMPUTED_VALUE"""),"Extra")</f>
        <v>Extra</v>
      </c>
      <c r="D168" s="15" t="str">
        <f>IFERROR(__xludf.DUMMYFUNCTION("""COMPUTED_VALUE"""),"Active")</f>
        <v>Active</v>
      </c>
      <c r="E168" s="17">
        <f>IFERROR(__xludf.DUMMYFUNCTION("""COMPUTED_VALUE"""),46280.0)</f>
        <v>46280</v>
      </c>
      <c r="F168" s="54"/>
      <c r="G168" s="19">
        <f>IFERROR(__xludf.DUMMYFUNCTION("""COMPUTED_VALUE"""),0.7)</f>
        <v>0.7</v>
      </c>
      <c r="H168" s="17">
        <f>IFERROR(__xludf.DUMMYFUNCTION("""COMPUTED_VALUE"""),46094.0)</f>
        <v>46094</v>
      </c>
      <c r="I168" s="19">
        <f>IFERROR(__xludf.DUMMYFUNCTION("""COMPUTED_VALUE"""),0.5055555555555555)</f>
        <v>0.5055555556</v>
      </c>
      <c r="J168" s="21">
        <f>IFERROR(__xludf.DUMMYFUNCTION("""COMPUTED_VALUE"""),78.0)</f>
        <v>78</v>
      </c>
      <c r="K168" s="23">
        <f>IFERROR(__xludf.DUMMYFUNCTION("""COMPUTED_VALUE"""),3.5)</f>
        <v>3.5</v>
      </c>
      <c r="L168" s="24">
        <f>IFERROR(__xludf.DUMMYFUNCTION("""COMPUTED_VALUE"""),14.5)</f>
        <v>14.5</v>
      </c>
      <c r="M168" s="25" t="str">
        <f>IFERROR(__xludf.DUMMYFUNCTION("""COMPUTED_VALUE"""),"Wrestling")</f>
        <v>Wrestling</v>
      </c>
      <c r="N168" s="25"/>
      <c r="O168" s="26" t="str">
        <f>IFERROR(__xludf.DUMMYFUNCTION("""COMPUTED_VALUE"""),"No")</f>
        <v>No</v>
      </c>
      <c r="P168" s="26"/>
    </row>
    <row r="169">
      <c r="A169" s="13" t="str">
        <f>IFERROR(__xludf.DUMMYFUNCTION("""COMPUTED_VALUE"""),"Date Everything!")</f>
        <v>Date Everything!</v>
      </c>
      <c r="B169" s="15" t="str">
        <f>IFERROR(__xludf.DUMMYFUNCTION("""COMPUTED_VALUE"""),"PS5")</f>
        <v>PS5</v>
      </c>
      <c r="C169" s="16" t="str">
        <f>IFERROR(__xludf.DUMMYFUNCTION("""COMPUTED_VALUE"""),"Extra")</f>
        <v>Extra</v>
      </c>
      <c r="D169" s="15" t="str">
        <f>IFERROR(__xludf.DUMMYFUNCTION("""COMPUTED_VALUE"""),"Active")</f>
        <v>Active</v>
      </c>
      <c r="E169" s="17">
        <f>IFERROR(__xludf.DUMMYFUNCTION("""COMPUTED_VALUE"""),46275.0)</f>
        <v>46275</v>
      </c>
      <c r="F169" s="54"/>
      <c r="G169" s="19">
        <f>IFERROR(__xludf.DUMMYFUNCTION("""COMPUTED_VALUE"""),0.8666666666666666)</f>
        <v>0.8666666667</v>
      </c>
      <c r="H169" s="17">
        <f>IFERROR(__xludf.DUMMYFUNCTION("""COMPUTED_VALUE"""),45825.0)</f>
        <v>45825</v>
      </c>
      <c r="I169" s="19">
        <f>IFERROR(__xludf.DUMMYFUNCTION("""COMPUTED_VALUE"""),1.2305555555555556)</f>
        <v>1.230555556</v>
      </c>
      <c r="J169" s="21">
        <f>IFERROR(__xludf.DUMMYFUNCTION("""COMPUTED_VALUE"""),78.0)</f>
        <v>78</v>
      </c>
      <c r="K169" s="23">
        <f>IFERROR(__xludf.DUMMYFUNCTION("""COMPUTED_VALUE"""),6.7)</f>
        <v>6.7</v>
      </c>
      <c r="L169" s="24">
        <f>IFERROR(__xludf.DUMMYFUNCTION("""COMPUTED_VALUE"""),19.5)</f>
        <v>19.5</v>
      </c>
      <c r="M169" s="25" t="str">
        <f>IFERROR(__xludf.DUMMYFUNCTION("""COMPUTED_VALUE"""),"Action-Adventure")</f>
        <v>Action-Adventure</v>
      </c>
      <c r="N169" s="25"/>
      <c r="O169" s="26" t="str">
        <f>IFERROR(__xludf.DUMMYFUNCTION("""COMPUTED_VALUE"""),"No")</f>
        <v>No</v>
      </c>
      <c r="P169" s="26"/>
    </row>
    <row r="170">
      <c r="A170" s="13" t="str">
        <f>IFERROR(__xludf.DUMMYFUNCTION("""COMPUTED_VALUE"""),"Firefighting Simulator: Ignite")</f>
        <v>Firefighting Simulator: Ignite</v>
      </c>
      <c r="B170" s="15" t="str">
        <f>IFERROR(__xludf.DUMMYFUNCTION("""COMPUTED_VALUE"""),"PS5")</f>
        <v>PS5</v>
      </c>
      <c r="C170" s="16" t="str">
        <f>IFERROR(__xludf.DUMMYFUNCTION("""COMPUTED_VALUE"""),"Extra")</f>
        <v>Extra</v>
      </c>
      <c r="D170" s="15" t="str">
        <f>IFERROR(__xludf.DUMMYFUNCTION("""COMPUTED_VALUE"""),"Active")</f>
        <v>Active</v>
      </c>
      <c r="E170" s="17">
        <f>IFERROR(__xludf.DUMMYFUNCTION("""COMPUTED_VALUE"""),46224.0)</f>
        <v>46224</v>
      </c>
      <c r="F170" s="54"/>
      <c r="G170" s="19">
        <f>IFERROR(__xludf.DUMMYFUNCTION("""COMPUTED_VALUE"""),2.5)</f>
        <v>2.5</v>
      </c>
      <c r="H170" s="17">
        <f>IFERROR(__xludf.DUMMYFUNCTION("""COMPUTED_VALUE"""),45909.0)</f>
        <v>45909</v>
      </c>
      <c r="I170" s="19">
        <f>IFERROR(__xludf.DUMMYFUNCTION("""COMPUTED_VALUE"""),0.8666666666666667)</f>
        <v>0.8666666667</v>
      </c>
      <c r="J170" s="21">
        <f>IFERROR(__xludf.DUMMYFUNCTION("""COMPUTED_VALUE"""),78.0)</f>
        <v>78</v>
      </c>
      <c r="K170" s="23">
        <f>IFERROR(__xludf.DUMMYFUNCTION("""COMPUTED_VALUE"""),7.6)</f>
        <v>7.6</v>
      </c>
      <c r="L170" s="24">
        <f>IFERROR(__xludf.DUMMYFUNCTION("""COMPUTED_VALUE"""),15.0)</f>
        <v>15</v>
      </c>
      <c r="M170" s="25" t="str">
        <f>IFERROR(__xludf.DUMMYFUNCTION("""COMPUTED_VALUE"""),"Simulation")</f>
        <v>Simulation</v>
      </c>
      <c r="N170" s="25"/>
      <c r="O170" s="26" t="str">
        <f>IFERROR(__xludf.DUMMYFUNCTION("""COMPUTED_VALUE"""),"No")</f>
        <v>No</v>
      </c>
      <c r="P170" s="26"/>
    </row>
    <row r="171">
      <c r="A171" s="13" t="str">
        <f>IFERROR(__xludf.DUMMYFUNCTION("""COMPUTED_VALUE"""),"Insurgency: Sandstorm")</f>
        <v>Insurgency: Sandstorm</v>
      </c>
      <c r="B171" s="15" t="str">
        <f>IFERROR(__xludf.DUMMYFUNCTION("""COMPUTED_VALUE"""),"PS5/PS4")</f>
        <v>PS5/PS4</v>
      </c>
      <c r="C171" s="16" t="str">
        <f>IFERROR(__xludf.DUMMYFUNCTION("""COMPUTED_VALUE"""),"Extra")</f>
        <v>Extra</v>
      </c>
      <c r="D171" s="15" t="str">
        <f>IFERROR(__xludf.DUMMYFUNCTION("""COMPUTED_VALUE"""),"Active")</f>
        <v>Active</v>
      </c>
      <c r="E171" s="17">
        <f>IFERROR(__xludf.DUMMYFUNCTION("""COMPUTED_VALUE"""),45979.0)</f>
        <v>45979</v>
      </c>
      <c r="F171" s="54"/>
      <c r="G171" s="19">
        <f>IFERROR(__xludf.DUMMYFUNCTION("""COMPUTED_VALUE"""),10.6)</f>
        <v>10.6</v>
      </c>
      <c r="H171" s="17">
        <f>IFERROR(__xludf.DUMMYFUNCTION("""COMPUTED_VALUE"""),43446.0)</f>
        <v>43446</v>
      </c>
      <c r="I171" s="19">
        <f>IFERROR(__xludf.DUMMYFUNCTION("""COMPUTED_VALUE"""),6.933333333333334)</f>
        <v>6.933333333</v>
      </c>
      <c r="J171" s="21">
        <f>IFERROR(__xludf.DUMMYFUNCTION("""COMPUTED_VALUE"""),78.0)</f>
        <v>78</v>
      </c>
      <c r="K171" s="23">
        <f>IFERROR(__xludf.DUMMYFUNCTION("""COMPUTED_VALUE"""),8.0)</f>
        <v>8</v>
      </c>
      <c r="L171" s="24" t="str">
        <f>IFERROR(__xludf.DUMMYFUNCTION("""COMPUTED_VALUE"""),"15")</f>
        <v>15</v>
      </c>
      <c r="M171" s="25" t="str">
        <f>IFERROR(__xludf.DUMMYFUNCTION("""COMPUTED_VALUE"""),"Shooter")</f>
        <v>Shooter</v>
      </c>
      <c r="N171" s="25"/>
      <c r="O171" s="26"/>
      <c r="P171" s="26"/>
    </row>
    <row r="172">
      <c r="A172" s="13" t="str">
        <f>IFERROR(__xludf.DUMMYFUNCTION("""COMPUTED_VALUE"""),"Green Hell")</f>
        <v>Green Hell</v>
      </c>
      <c r="B172" s="15" t="str">
        <f>IFERROR(__xludf.DUMMYFUNCTION("""COMPUTED_VALUE"""),"PS5/PS4")</f>
        <v>PS5/PS4</v>
      </c>
      <c r="C172" s="16" t="str">
        <f>IFERROR(__xludf.DUMMYFUNCTION("""COMPUTED_VALUE"""),"Extra")</f>
        <v>Extra</v>
      </c>
      <c r="D172" s="15" t="str">
        <f>IFERROR(__xludf.DUMMYFUNCTION("""COMPUTED_VALUE"""),"Active")</f>
        <v>Active</v>
      </c>
      <c r="E172" s="17">
        <f>IFERROR(__xludf.DUMMYFUNCTION("""COMPUTED_VALUE"""),45916.0)</f>
        <v>45916</v>
      </c>
      <c r="F172" s="54"/>
      <c r="G172" s="19">
        <f>IFERROR(__xludf.DUMMYFUNCTION("""COMPUTED_VALUE"""),12.666666666666668)</f>
        <v>12.66666667</v>
      </c>
      <c r="H172" s="17">
        <f>IFERROR(__xludf.DUMMYFUNCTION("""COMPUTED_VALUE"""),43713.0)</f>
        <v>43713</v>
      </c>
      <c r="I172" s="19">
        <f>IFERROR(__xludf.DUMMYFUNCTION("""COMPUTED_VALUE"""),6.030555555555556)</f>
        <v>6.030555556</v>
      </c>
      <c r="J172" s="21">
        <f>IFERROR(__xludf.DUMMYFUNCTION("""COMPUTED_VALUE"""),78.0)</f>
        <v>78</v>
      </c>
      <c r="K172" s="23">
        <f>IFERROR(__xludf.DUMMYFUNCTION("""COMPUTED_VALUE"""),7.5)</f>
        <v>7.5</v>
      </c>
      <c r="L172" s="24">
        <f>IFERROR(__xludf.DUMMYFUNCTION("""COMPUTED_VALUE"""),17.0)</f>
        <v>17</v>
      </c>
      <c r="M172" s="25" t="str">
        <f>IFERROR(__xludf.DUMMYFUNCTION("""COMPUTED_VALUE"""),"Survival")</f>
        <v>Survival</v>
      </c>
      <c r="N172" s="25"/>
      <c r="O172" s="26"/>
      <c r="P172" s="26"/>
    </row>
    <row r="173">
      <c r="A173" s="13" t="str">
        <f>IFERROR(__xludf.DUMMYFUNCTION("""COMPUTED_VALUE"""),"Banishers: Ghosts of New Eden")</f>
        <v>Banishers: Ghosts of New Eden</v>
      </c>
      <c r="B173" s="15" t="str">
        <f>IFERROR(__xludf.DUMMYFUNCTION("""COMPUTED_VALUE"""),"PS5")</f>
        <v>PS5</v>
      </c>
      <c r="C173" s="16" t="str">
        <f>IFERROR(__xludf.DUMMYFUNCTION("""COMPUTED_VALUE"""),"Extra")</f>
        <v>Extra</v>
      </c>
      <c r="D173" s="15" t="str">
        <f>IFERROR(__xludf.DUMMYFUNCTION("""COMPUTED_VALUE"""),"Active")</f>
        <v>Active</v>
      </c>
      <c r="E173" s="17">
        <f>IFERROR(__xludf.DUMMYFUNCTION("""COMPUTED_VALUE"""),45853.0)</f>
        <v>45853</v>
      </c>
      <c r="F173" s="71"/>
      <c r="G173" s="19">
        <f>IFERROR(__xludf.DUMMYFUNCTION("""COMPUTED_VALUE"""),14.700000000000001)</f>
        <v>14.7</v>
      </c>
      <c r="H173" s="17">
        <f>IFERROR(__xludf.DUMMYFUNCTION("""COMPUTED_VALUE"""),45335.0)</f>
        <v>45335</v>
      </c>
      <c r="I173" s="19">
        <f>IFERROR(__xludf.DUMMYFUNCTION("""COMPUTED_VALUE"""),1.4222222222222223)</f>
        <v>1.422222222</v>
      </c>
      <c r="J173" s="21">
        <f>IFERROR(__xludf.DUMMYFUNCTION("""COMPUTED_VALUE"""),78.0)</f>
        <v>78</v>
      </c>
      <c r="K173" s="23">
        <f>IFERROR(__xludf.DUMMYFUNCTION("""COMPUTED_VALUE"""),7.8)</f>
        <v>7.8</v>
      </c>
      <c r="L173" s="24">
        <f>IFERROR(__xludf.DUMMYFUNCTION("""COMPUTED_VALUE"""),22.0)</f>
        <v>22</v>
      </c>
      <c r="M173" s="25" t="str">
        <f>IFERROR(__xludf.DUMMYFUNCTION("""COMPUTED_VALUE"""),"Action-Adventure")</f>
        <v>Action-Adventure</v>
      </c>
      <c r="N173" s="25"/>
      <c r="O173" s="26" t="str">
        <f>IFERROR(__xludf.DUMMYFUNCTION("""COMPUTED_VALUE"""),"No")</f>
        <v>No</v>
      </c>
      <c r="P173" s="26"/>
    </row>
    <row r="174">
      <c r="A174" s="13" t="str">
        <f>IFERROR(__xludf.DUMMYFUNCTION("""COMPUTED_VALUE"""),"Another Crab's Treasure")</f>
        <v>Another Crab's Treasure</v>
      </c>
      <c r="B174" s="15" t="str">
        <f>IFERROR(__xludf.DUMMYFUNCTION("""COMPUTED_VALUE"""),"PS5")</f>
        <v>PS5</v>
      </c>
      <c r="C174" s="16" t="str">
        <f>IFERROR(__xludf.DUMMYFUNCTION("""COMPUTED_VALUE"""),"Extra")</f>
        <v>Extra</v>
      </c>
      <c r="D174" s="15" t="str">
        <f>IFERROR(__xludf.DUMMYFUNCTION("""COMPUTED_VALUE"""),"Active")</f>
        <v>Active</v>
      </c>
      <c r="E174" s="17">
        <f>IFERROR(__xludf.DUMMYFUNCTION("""COMPUTED_VALUE"""),45806.0)</f>
        <v>45806</v>
      </c>
      <c r="F174" s="71"/>
      <c r="G174" s="19">
        <f>IFERROR(__xludf.DUMMYFUNCTION("""COMPUTED_VALUE"""),16.233333333333334)</f>
        <v>16.23333333</v>
      </c>
      <c r="H174" s="17">
        <f>IFERROR(__xludf.DUMMYFUNCTION("""COMPUTED_VALUE"""),45407.0)</f>
        <v>45407</v>
      </c>
      <c r="I174" s="19">
        <f>IFERROR(__xludf.DUMMYFUNCTION("""COMPUTED_VALUE"""),1.0944444444444446)</f>
        <v>1.094444444</v>
      </c>
      <c r="J174" s="21">
        <f>IFERROR(__xludf.DUMMYFUNCTION("""COMPUTED_VALUE"""),78.0)</f>
        <v>78</v>
      </c>
      <c r="K174" s="23">
        <f>IFERROR(__xludf.DUMMYFUNCTION("""COMPUTED_VALUE"""),7.6)</f>
        <v>7.6</v>
      </c>
      <c r="L174" s="24">
        <f>IFERROR(__xludf.DUMMYFUNCTION("""COMPUTED_VALUE"""),14.0)</f>
        <v>14</v>
      </c>
      <c r="M174" s="25" t="str">
        <f>IFERROR(__xludf.DUMMYFUNCTION("""COMPUTED_VALUE"""),"Action-Adventure")</f>
        <v>Action-Adventure</v>
      </c>
      <c r="N174" s="25"/>
      <c r="O174" s="26" t="str">
        <f>IFERROR(__xludf.DUMMYFUNCTION("""COMPUTED_VALUE"""),"No")</f>
        <v>No</v>
      </c>
      <c r="P174" s="26"/>
    </row>
    <row r="175">
      <c r="A175" s="13" t="str">
        <f>IFERROR(__xludf.DUMMYFUNCTION("""COMPUTED_VALUE"""),"Armored Core: Project Phantasma")</f>
        <v>Armored Core: Project Phantasma</v>
      </c>
      <c r="B175" s="15" t="str">
        <f>IFERROR(__xludf.DUMMYFUNCTION("""COMPUTED_VALUE"""),"PS5/PS4")</f>
        <v>PS5/PS4</v>
      </c>
      <c r="C175" s="16" t="str">
        <f>IFERROR(__xludf.DUMMYFUNCTION("""COMPUTED_VALUE"""),"Premium (Classics)")</f>
        <v>Premium (Classics)</v>
      </c>
      <c r="D175" s="15" t="str">
        <f>IFERROR(__xludf.DUMMYFUNCTION("""COMPUTED_VALUE"""),"Active")</f>
        <v>Active</v>
      </c>
      <c r="E175" s="17">
        <f>IFERROR(__xludf.DUMMYFUNCTION("""COMPUTED_VALUE"""),45734.0)</f>
        <v>45734</v>
      </c>
      <c r="F175" s="54"/>
      <c r="G175" s="19">
        <f>IFERROR(__xludf.DUMMYFUNCTION("""COMPUTED_VALUE"""),18.6)</f>
        <v>18.6</v>
      </c>
      <c r="H175" s="17">
        <f>IFERROR(__xludf.DUMMYFUNCTION("""COMPUTED_VALUE"""),36042.0)</f>
        <v>36042</v>
      </c>
      <c r="I175" s="19">
        <f>IFERROR(__xludf.DUMMYFUNCTION("""COMPUTED_VALUE"""),26.538888888888888)</f>
        <v>26.53888889</v>
      </c>
      <c r="J175" s="21">
        <f>IFERROR(__xludf.DUMMYFUNCTION("""COMPUTED_VALUE"""),78.0)</f>
        <v>78</v>
      </c>
      <c r="K175" s="23">
        <f>IFERROR(__xludf.DUMMYFUNCTION("""COMPUTED_VALUE"""),8.1)</f>
        <v>8.1</v>
      </c>
      <c r="L175" s="24">
        <f>IFERROR(__xludf.DUMMYFUNCTION("""COMPUTED_VALUE"""),4.0)</f>
        <v>4</v>
      </c>
      <c r="M175" s="25" t="str">
        <f>IFERROR(__xludf.DUMMYFUNCTION("""COMPUTED_VALUE"""),"RPG")</f>
        <v>RPG</v>
      </c>
      <c r="N175" s="25" t="str">
        <f>IFERROR(__xludf.DUMMYFUNCTION("""COMPUTED_VALUE"""),"PS1")</f>
        <v>PS1</v>
      </c>
      <c r="O175" s="26" t="str">
        <f>IFERROR(__xludf.DUMMYFUNCTION("""COMPUTED_VALUE"""),"Yes")</f>
        <v>Yes</v>
      </c>
      <c r="P175" s="26"/>
    </row>
    <row r="176">
      <c r="A176" s="13" t="str">
        <f>IFERROR(__xludf.DUMMYFUNCTION("""COMPUTED_VALUE"""),"Dropship: United Peace Force")</f>
        <v>Dropship: United Peace Force</v>
      </c>
      <c r="B176" s="15" t="str">
        <f>IFERROR(__xludf.DUMMYFUNCTION("""COMPUTED_VALUE"""),"PS5/PS4")</f>
        <v>PS5/PS4</v>
      </c>
      <c r="C176" s="16" t="str">
        <f>IFERROR(__xludf.DUMMYFUNCTION("""COMPUTED_VALUE"""),"Premium (Classics)")</f>
        <v>Premium (Classics)</v>
      </c>
      <c r="D176" s="15" t="str">
        <f>IFERROR(__xludf.DUMMYFUNCTION("""COMPUTED_VALUE"""),"Active")</f>
        <v>Active</v>
      </c>
      <c r="E176" s="17">
        <f>IFERROR(__xludf.DUMMYFUNCTION("""COMPUTED_VALUE"""),45705.0)</f>
        <v>45705</v>
      </c>
      <c r="F176" s="54"/>
      <c r="G176" s="19">
        <f>IFERROR(__xludf.DUMMYFUNCTION("""COMPUTED_VALUE"""),19.633333333333333)</f>
        <v>19.63333333</v>
      </c>
      <c r="H176" s="17">
        <f>IFERROR(__xludf.DUMMYFUNCTION("""COMPUTED_VALUE"""),37405.0)</f>
        <v>37405</v>
      </c>
      <c r="I176" s="19">
        <f>IFERROR(__xludf.DUMMYFUNCTION("""COMPUTED_VALUE"""),22.716666666666665)</f>
        <v>22.71666667</v>
      </c>
      <c r="J176" s="21">
        <f>IFERROR(__xludf.DUMMYFUNCTION("""COMPUTED_VALUE"""),78.0)</f>
        <v>78</v>
      </c>
      <c r="K176" s="23">
        <f>IFERROR(__xludf.DUMMYFUNCTION("""COMPUTED_VALUE"""),8.8)</f>
        <v>8.8</v>
      </c>
      <c r="L176" s="24">
        <f>IFERROR(__xludf.DUMMYFUNCTION("""COMPUTED_VALUE"""),12.0)</f>
        <v>12</v>
      </c>
      <c r="M176" s="25" t="str">
        <f>IFERROR(__xludf.DUMMYFUNCTION("""COMPUTED_VALUE"""),"Simulation")</f>
        <v>Simulation</v>
      </c>
      <c r="N176" s="25" t="str">
        <f>IFERROR(__xludf.DUMMYFUNCTION("""COMPUTED_VALUE"""),"PS2")</f>
        <v>PS2</v>
      </c>
      <c r="O176" s="26" t="str">
        <f>IFERROR(__xludf.DUMMYFUNCTION("""COMPUTED_VALUE"""),"Yes")</f>
        <v>Yes</v>
      </c>
      <c r="P176" s="26"/>
    </row>
    <row r="177">
      <c r="A177" s="13" t="str">
        <f>IFERROR(__xludf.DUMMYFUNCTION("""COMPUTED_VALUE"""),"PHOGS!")</f>
        <v>PHOGS!</v>
      </c>
      <c r="B177" s="15" t="str">
        <f>IFERROR(__xludf.DUMMYFUNCTION("""COMPUTED_VALUE"""),"PS5/PS4")</f>
        <v>PS5/PS4</v>
      </c>
      <c r="C177" s="16" t="str">
        <f>IFERROR(__xludf.DUMMYFUNCTION("""COMPUTED_VALUE"""),"Extra")</f>
        <v>Extra</v>
      </c>
      <c r="D177" s="15" t="str">
        <f>IFERROR(__xludf.DUMMYFUNCTION("""COMPUTED_VALUE"""),"Active")</f>
        <v>Active</v>
      </c>
      <c r="E177" s="17">
        <f>IFERROR(__xludf.DUMMYFUNCTION("""COMPUTED_VALUE"""),45643.0)</f>
        <v>45643</v>
      </c>
      <c r="F177" s="54"/>
      <c r="G177" s="19">
        <f>IFERROR(__xludf.DUMMYFUNCTION("""COMPUTED_VALUE"""),21.633333333333333)</f>
        <v>21.63333333</v>
      </c>
      <c r="H177" s="17">
        <f>IFERROR(__xludf.DUMMYFUNCTION("""COMPUTED_VALUE"""),44168.0)</f>
        <v>44168</v>
      </c>
      <c r="I177" s="19">
        <f>IFERROR(__xludf.DUMMYFUNCTION("""COMPUTED_VALUE"""),4.038888888888889)</f>
        <v>4.038888889</v>
      </c>
      <c r="J177" s="21">
        <f>IFERROR(__xludf.DUMMYFUNCTION("""COMPUTED_VALUE"""),78.0)</f>
        <v>78</v>
      </c>
      <c r="K177" s="23">
        <f>IFERROR(__xludf.DUMMYFUNCTION("""COMPUTED_VALUE"""),7.5)</f>
        <v>7.5</v>
      </c>
      <c r="L177" s="24">
        <f>IFERROR(__xludf.DUMMYFUNCTION("""COMPUTED_VALUE"""),8.0)</f>
        <v>8</v>
      </c>
      <c r="M177" s="25" t="str">
        <f>IFERROR(__xludf.DUMMYFUNCTION("""COMPUTED_VALUE"""),"Action-Adventure")</f>
        <v>Action-Adventure</v>
      </c>
      <c r="N177" s="25"/>
      <c r="O177" s="26" t="str">
        <f>IFERROR(__xludf.DUMMYFUNCTION("""COMPUTED_VALUE"""),"No")</f>
        <v>No</v>
      </c>
      <c r="P177" s="26"/>
    </row>
    <row r="178">
      <c r="A178" s="13" t="str">
        <f>IFERROR(__xludf.DUMMYFUNCTION("""COMPUTED_VALUE"""),"Killer Frequency")</f>
        <v>Killer Frequency</v>
      </c>
      <c r="B178" s="15" t="str">
        <f>IFERROR(__xludf.DUMMYFUNCTION("""COMPUTED_VALUE"""),"PS5/PS4")</f>
        <v>PS5/PS4</v>
      </c>
      <c r="C178" s="16" t="str">
        <f>IFERROR(__xludf.DUMMYFUNCTION("""COMPUTED_VALUE"""),"Extra")</f>
        <v>Extra</v>
      </c>
      <c r="D178" s="15" t="str">
        <f>IFERROR(__xludf.DUMMYFUNCTION("""COMPUTED_VALUE"""),"Active")</f>
        <v>Active</v>
      </c>
      <c r="E178" s="17">
        <f>IFERROR(__xludf.DUMMYFUNCTION("""COMPUTED_VALUE"""),45615.0)</f>
        <v>45615</v>
      </c>
      <c r="F178" s="54"/>
      <c r="G178" s="19">
        <f>IFERROR(__xludf.DUMMYFUNCTION("""COMPUTED_VALUE"""),22.566666666666666)</f>
        <v>22.56666667</v>
      </c>
      <c r="H178" s="17">
        <f>IFERROR(__xludf.DUMMYFUNCTION("""COMPUTED_VALUE"""),45078.0)</f>
        <v>45078</v>
      </c>
      <c r="I178" s="19">
        <f>IFERROR(__xludf.DUMMYFUNCTION("""COMPUTED_VALUE"""),1.4666666666666666)</f>
        <v>1.466666667</v>
      </c>
      <c r="J178" s="21">
        <f>IFERROR(__xludf.DUMMYFUNCTION("""COMPUTED_VALUE"""),78.0)</f>
        <v>78</v>
      </c>
      <c r="K178" s="23">
        <f>IFERROR(__xludf.DUMMYFUNCTION("""COMPUTED_VALUE"""),7.8)</f>
        <v>7.8</v>
      </c>
      <c r="L178" s="24">
        <f>IFERROR(__xludf.DUMMYFUNCTION("""COMPUTED_VALUE"""),5.0)</f>
        <v>5</v>
      </c>
      <c r="M178" s="25" t="str">
        <f>IFERROR(__xludf.DUMMYFUNCTION("""COMPUTED_VALUE"""),"Action-Adventure")</f>
        <v>Action-Adventure</v>
      </c>
      <c r="N178" s="25"/>
      <c r="O178" s="26" t="str">
        <f>IFERROR(__xludf.DUMMYFUNCTION("""COMPUTED_VALUE"""),"Yes")</f>
        <v>Yes</v>
      </c>
      <c r="P178" s="26"/>
    </row>
    <row r="179">
      <c r="A179" s="13" t="str">
        <f>IFERROR(__xludf.DUMMYFUNCTION("""COMPUTED_VALUE"""),"Construction Simulator")</f>
        <v>Construction Simulator</v>
      </c>
      <c r="B179" s="15" t="str">
        <f>IFERROR(__xludf.DUMMYFUNCTION("""COMPUTED_VALUE"""),"PS5/PS4")</f>
        <v>PS5/PS4</v>
      </c>
      <c r="C179" s="16" t="str">
        <f>IFERROR(__xludf.DUMMYFUNCTION("""COMPUTED_VALUE"""),"Extra")</f>
        <v>Extra</v>
      </c>
      <c r="D179" s="15" t="str">
        <f>IFERROR(__xludf.DUMMYFUNCTION("""COMPUTED_VALUE"""),"Active")</f>
        <v>Active</v>
      </c>
      <c r="E179" s="17">
        <f>IFERROR(__xludf.DUMMYFUNCTION("""COMPUTED_VALUE"""),45398.0)</f>
        <v>45398</v>
      </c>
      <c r="F179" s="54"/>
      <c r="G179" s="19">
        <f>IFERROR(__xludf.DUMMYFUNCTION("""COMPUTED_VALUE"""),29.666666666666668)</f>
        <v>29.66666667</v>
      </c>
      <c r="H179" s="17">
        <f>IFERROR(__xludf.DUMMYFUNCTION("""COMPUTED_VALUE"""),44824.0)</f>
        <v>44824</v>
      </c>
      <c r="I179" s="19">
        <f>IFERROR(__xludf.DUMMYFUNCTION("""COMPUTED_VALUE"""),1.5722222222222222)</f>
        <v>1.572222222</v>
      </c>
      <c r="J179" s="21">
        <f>IFERROR(__xludf.DUMMYFUNCTION("""COMPUTED_VALUE"""),78.0)</f>
        <v>78</v>
      </c>
      <c r="K179" s="23">
        <f>IFERROR(__xludf.DUMMYFUNCTION("""COMPUTED_VALUE"""),6.4)</f>
        <v>6.4</v>
      </c>
      <c r="L179" s="24">
        <f>IFERROR(__xludf.DUMMYFUNCTION("""COMPUTED_VALUE"""),45.0)</f>
        <v>45</v>
      </c>
      <c r="M179" s="25" t="str">
        <f>IFERROR(__xludf.DUMMYFUNCTION("""COMPUTED_VALUE"""),"Simulation")</f>
        <v>Simulation</v>
      </c>
      <c r="N179" s="25"/>
      <c r="O179" s="26" t="str">
        <f>IFERROR(__xludf.DUMMYFUNCTION("""COMPUTED_VALUE"""),"Yes")</f>
        <v>Yes</v>
      </c>
      <c r="P179" s="26"/>
    </row>
    <row r="180">
      <c r="A180" s="13" t="str">
        <f>IFERROR(__xludf.DUMMYFUNCTION("""COMPUTED_VALUE"""),"Cool Boarders")</f>
        <v>Cool Boarders</v>
      </c>
      <c r="B180" s="15" t="str">
        <f>IFERROR(__xludf.DUMMYFUNCTION("""COMPUTED_VALUE"""),"PS5/PS4")</f>
        <v>PS5/PS4</v>
      </c>
      <c r="C180" s="16" t="str">
        <f>IFERROR(__xludf.DUMMYFUNCTION("""COMPUTED_VALUE"""),"Premium (Classics)")</f>
        <v>Premium (Classics)</v>
      </c>
      <c r="D180" s="15" t="str">
        <f>IFERROR(__xludf.DUMMYFUNCTION("""COMPUTED_VALUE"""),"Active")</f>
        <v>Active</v>
      </c>
      <c r="E180" s="17">
        <f>IFERROR(__xludf.DUMMYFUNCTION("""COMPUTED_VALUE"""),45370.0)</f>
        <v>45370</v>
      </c>
      <c r="F180" s="54"/>
      <c r="G180" s="19">
        <f>IFERROR(__xludf.DUMMYFUNCTION("""COMPUTED_VALUE"""),30.566666666666663)</f>
        <v>30.56666667</v>
      </c>
      <c r="H180" s="17">
        <f>IFERROR(__xludf.DUMMYFUNCTION("""COMPUTED_VALUE"""),35307.0)</f>
        <v>35307</v>
      </c>
      <c r="I180" s="19">
        <f>IFERROR(__xludf.DUMMYFUNCTION("""COMPUTED_VALUE"""),27.552777777777777)</f>
        <v>27.55277778</v>
      </c>
      <c r="J180" s="21">
        <f>IFERROR(__xludf.DUMMYFUNCTION("""COMPUTED_VALUE"""),78.0)</f>
        <v>78</v>
      </c>
      <c r="K180" s="23">
        <f>IFERROR(__xludf.DUMMYFUNCTION("""COMPUTED_VALUE"""),5.3)</f>
        <v>5.3</v>
      </c>
      <c r="L180" s="24">
        <f>IFERROR(__xludf.DUMMYFUNCTION("""COMPUTED_VALUE"""),6.0)</f>
        <v>6</v>
      </c>
      <c r="M180" s="25" t="str">
        <f>IFERROR(__xludf.DUMMYFUNCTION("""COMPUTED_VALUE"""),"Sports")</f>
        <v>Sports</v>
      </c>
      <c r="N180" s="25" t="str">
        <f>IFERROR(__xludf.DUMMYFUNCTION("""COMPUTED_VALUE"""),"PS1")</f>
        <v>PS1</v>
      </c>
      <c r="O180" s="26" t="str">
        <f>IFERROR(__xludf.DUMMYFUNCTION("""COMPUTED_VALUE"""),"Yes")</f>
        <v>Yes</v>
      </c>
      <c r="P180" s="26"/>
    </row>
    <row r="181">
      <c r="A181" s="13" t="str">
        <f>IFERROR(__xludf.DUMMYFUNCTION("""COMPUTED_VALUE"""),"Roguebook")</f>
        <v>Roguebook</v>
      </c>
      <c r="B181" s="15" t="str">
        <f>IFERROR(__xludf.DUMMYFUNCTION("""COMPUTED_VALUE"""),"PS5/PS4")</f>
        <v>PS5/PS4</v>
      </c>
      <c r="C181" s="16" t="str">
        <f>IFERROR(__xludf.DUMMYFUNCTION("""COMPUTED_VALUE"""),"Extra")</f>
        <v>Extra</v>
      </c>
      <c r="D181" s="15" t="str">
        <f>IFERROR(__xludf.DUMMYFUNCTION("""COMPUTED_VALUE"""),"Active")</f>
        <v>Active</v>
      </c>
      <c r="E181" s="17">
        <f>IFERROR(__xludf.DUMMYFUNCTION("""COMPUTED_VALUE"""),45342.0)</f>
        <v>45342</v>
      </c>
      <c r="F181" s="54"/>
      <c r="G181" s="19">
        <f>IFERROR(__xludf.DUMMYFUNCTION("""COMPUTED_VALUE"""),31.53333333333333)</f>
        <v>31.53333333</v>
      </c>
      <c r="H181" s="17">
        <f>IFERROR(__xludf.DUMMYFUNCTION("""COMPUTED_VALUE"""),44364.0)</f>
        <v>44364</v>
      </c>
      <c r="I181" s="19">
        <f>IFERROR(__xludf.DUMMYFUNCTION("""COMPUTED_VALUE"""),2.675)</f>
        <v>2.675</v>
      </c>
      <c r="J181" s="21">
        <f>IFERROR(__xludf.DUMMYFUNCTION("""COMPUTED_VALUE"""),78.0)</f>
        <v>78</v>
      </c>
      <c r="K181" s="23">
        <f>IFERROR(__xludf.DUMMYFUNCTION("""COMPUTED_VALUE"""),6.5)</f>
        <v>6.5</v>
      </c>
      <c r="L181" s="24">
        <f>IFERROR(__xludf.DUMMYFUNCTION("""COMPUTED_VALUE"""),9.0)</f>
        <v>9</v>
      </c>
      <c r="M181" s="25" t="str">
        <f>IFERROR(__xludf.DUMMYFUNCTION("""COMPUTED_VALUE"""),"Card Battle")</f>
        <v>Card Battle</v>
      </c>
      <c r="N181" s="25"/>
      <c r="O181" s="26" t="str">
        <f>IFERROR(__xludf.DUMMYFUNCTION("""COMPUTED_VALUE"""),"Yes")</f>
        <v>Yes</v>
      </c>
      <c r="P181" s="26"/>
    </row>
    <row r="182">
      <c r="A182" s="13" t="str">
        <f>IFERROR(__xludf.DUMMYFUNCTION("""COMPUTED_VALUE"""),"Twisted Metal 2")</f>
        <v>Twisted Metal 2</v>
      </c>
      <c r="B182" s="15" t="str">
        <f>IFERROR(__xludf.DUMMYFUNCTION("""COMPUTED_VALUE"""),"PS5/PS4")</f>
        <v>PS5/PS4</v>
      </c>
      <c r="C182" s="16" t="str">
        <f>IFERROR(__xludf.DUMMYFUNCTION("""COMPUTED_VALUE"""),"Premium (Classics)")</f>
        <v>Premium (Classics)</v>
      </c>
      <c r="D182" s="15" t="str">
        <f>IFERROR(__xludf.DUMMYFUNCTION("""COMPUTED_VALUE"""),"Active")</f>
        <v>Active</v>
      </c>
      <c r="E182" s="17">
        <f>IFERROR(__xludf.DUMMYFUNCTION("""COMPUTED_VALUE"""),45125.0)</f>
        <v>45125</v>
      </c>
      <c r="F182" s="54"/>
      <c r="G182" s="19">
        <f>IFERROR(__xludf.DUMMYFUNCTION("""COMPUTED_VALUE"""),38.6)</f>
        <v>38.6</v>
      </c>
      <c r="H182" s="17">
        <f>IFERROR(__xludf.DUMMYFUNCTION("""COMPUTED_VALUE"""),35369.0)</f>
        <v>35369</v>
      </c>
      <c r="I182" s="19">
        <f>IFERROR(__xludf.DUMMYFUNCTION("""COMPUTED_VALUE"""),26.716666666666665)</f>
        <v>26.71666667</v>
      </c>
      <c r="J182" s="21">
        <f>IFERROR(__xludf.DUMMYFUNCTION("""COMPUTED_VALUE"""),78.0)</f>
        <v>78</v>
      </c>
      <c r="K182" s="23">
        <f>IFERROR(__xludf.DUMMYFUNCTION("""COMPUTED_VALUE"""),8.8)</f>
        <v>8.8</v>
      </c>
      <c r="L182" s="24">
        <f>IFERROR(__xludf.DUMMYFUNCTION("""COMPUTED_VALUE"""),5.0)</f>
        <v>5</v>
      </c>
      <c r="M182" s="25" t="str">
        <f>IFERROR(__xludf.DUMMYFUNCTION("""COMPUTED_VALUE"""),"Driving")</f>
        <v>Driving</v>
      </c>
      <c r="N182" s="25" t="str">
        <f>IFERROR(__xludf.DUMMYFUNCTION("""COMPUTED_VALUE"""),"PS1")</f>
        <v>PS1</v>
      </c>
      <c r="O182" s="26" t="str">
        <f>IFERROR(__xludf.DUMMYFUNCTION("""COMPUTED_VALUE"""),"Yes")</f>
        <v>Yes</v>
      </c>
      <c r="P182" s="26"/>
    </row>
    <row r="183">
      <c r="A183" s="13" t="str">
        <f>IFERROR(__xludf.DUMMYFUNCTION("""COMPUTED_VALUE"""),"Herc's Adventures")</f>
        <v>Herc's Adventures</v>
      </c>
      <c r="B183" s="15" t="str">
        <f>IFERROR(__xludf.DUMMYFUNCTION("""COMPUTED_VALUE"""),"PS5/PS4")</f>
        <v>PS5/PS4</v>
      </c>
      <c r="C183" s="16" t="str">
        <f>IFERROR(__xludf.DUMMYFUNCTION("""COMPUTED_VALUE"""),"Premium (Classics)")</f>
        <v>Premium (Classics)</v>
      </c>
      <c r="D183" s="15" t="str">
        <f>IFERROR(__xludf.DUMMYFUNCTION("""COMPUTED_VALUE"""),"Active")</f>
        <v>Active</v>
      </c>
      <c r="E183" s="17">
        <f>IFERROR(__xludf.DUMMYFUNCTION("""COMPUTED_VALUE"""),45097.0)</f>
        <v>45097</v>
      </c>
      <c r="F183" s="54"/>
      <c r="G183" s="19">
        <f>IFERROR(__xludf.DUMMYFUNCTION("""COMPUTED_VALUE"""),39.53333333333333)</f>
        <v>39.53333333</v>
      </c>
      <c r="H183" s="17">
        <f>IFERROR(__xludf.DUMMYFUNCTION("""COMPUTED_VALUE"""),35642.0)</f>
        <v>35642</v>
      </c>
      <c r="I183" s="19">
        <f>IFERROR(__xludf.DUMMYFUNCTION("""COMPUTED_VALUE"""),25.88888888888889)</f>
        <v>25.88888889</v>
      </c>
      <c r="J183" s="21">
        <f>IFERROR(__xludf.DUMMYFUNCTION("""COMPUTED_VALUE"""),78.0)</f>
        <v>78</v>
      </c>
      <c r="K183" s="23">
        <f>IFERROR(__xludf.DUMMYFUNCTION("""COMPUTED_VALUE"""),7.8)</f>
        <v>7.8</v>
      </c>
      <c r="L183" s="24">
        <f>IFERROR(__xludf.DUMMYFUNCTION("""COMPUTED_VALUE"""),13.0)</f>
        <v>13</v>
      </c>
      <c r="M183" s="25" t="str">
        <f>IFERROR(__xludf.DUMMYFUNCTION("""COMPUTED_VALUE"""),"Action-Adventure")</f>
        <v>Action-Adventure</v>
      </c>
      <c r="N183" s="25" t="str">
        <f>IFERROR(__xludf.DUMMYFUNCTION("""COMPUTED_VALUE"""),"PS1")</f>
        <v>PS1</v>
      </c>
      <c r="O183" s="26" t="str">
        <f>IFERROR(__xludf.DUMMYFUNCTION("""COMPUTED_VALUE"""),"Yes")</f>
        <v>Yes</v>
      </c>
      <c r="P183" s="26"/>
    </row>
    <row r="184">
      <c r="A184" s="13" t="str">
        <f>IFERROR(__xludf.DUMMYFUNCTION("""COMPUTED_VALUE"""),"Wild Arms")</f>
        <v>Wild Arms</v>
      </c>
      <c r="B184" s="15" t="str">
        <f>IFERROR(__xludf.DUMMYFUNCTION("""COMPUTED_VALUE"""),"PS5/PS4")</f>
        <v>PS5/PS4</v>
      </c>
      <c r="C184" s="16" t="str">
        <f>IFERROR(__xludf.DUMMYFUNCTION("""COMPUTED_VALUE"""),"Premium (Classics)")</f>
        <v>Premium (Classics)</v>
      </c>
      <c r="D184" s="15" t="str">
        <f>IFERROR(__xludf.DUMMYFUNCTION("""COMPUTED_VALUE"""),"Active")</f>
        <v>Active</v>
      </c>
      <c r="E184" s="17">
        <f>IFERROR(__xludf.DUMMYFUNCTION("""COMPUTED_VALUE"""),44725.0)</f>
        <v>44725</v>
      </c>
      <c r="F184" s="54"/>
      <c r="G184" s="19">
        <f>IFERROR(__xludf.DUMMYFUNCTION("""COMPUTED_VALUE"""),51.766666666666666)</f>
        <v>51.76666667</v>
      </c>
      <c r="H184" s="17">
        <f>IFERROR(__xludf.DUMMYFUNCTION("""COMPUTED_VALUE"""),35550.0)</f>
        <v>35550</v>
      </c>
      <c r="I184" s="19">
        <f>IFERROR(__xludf.DUMMYFUNCTION("""COMPUTED_VALUE"""),25.119444444444444)</f>
        <v>25.11944444</v>
      </c>
      <c r="J184" s="21">
        <f>IFERROR(__xludf.DUMMYFUNCTION("""COMPUTED_VALUE"""),78.0)</f>
        <v>78</v>
      </c>
      <c r="K184" s="23">
        <f>IFERROR(__xludf.DUMMYFUNCTION("""COMPUTED_VALUE"""),8.7)</f>
        <v>8.7</v>
      </c>
      <c r="L184" s="24">
        <f>IFERROR(__xludf.DUMMYFUNCTION("""COMPUTED_VALUE"""),28.0)</f>
        <v>28</v>
      </c>
      <c r="M184" s="25" t="str">
        <f>IFERROR(__xludf.DUMMYFUNCTION("""COMPUTED_VALUE"""),"RPG")</f>
        <v>RPG</v>
      </c>
      <c r="N184" s="25" t="str">
        <f>IFERROR(__xludf.DUMMYFUNCTION("""COMPUTED_VALUE"""),"PS1")</f>
        <v>PS1</v>
      </c>
      <c r="O184" s="26" t="str">
        <f>IFERROR(__xludf.DUMMYFUNCTION("""COMPUTED_VALUE"""),"No")</f>
        <v>No</v>
      </c>
      <c r="P184" s="26" t="str">
        <f>IFERROR(__xludf.DUMMYFUNCTION("""COMPUTED_VALUE"""),"")</f>
        <v/>
      </c>
    </row>
    <row r="185">
      <c r="A185" s="13" t="str">
        <f>IFERROR(__xludf.DUMMYFUNCTION("""COMPUTED_VALUE"""),"Jurassic World Evolution 2")</f>
        <v>Jurassic World Evolution 2</v>
      </c>
      <c r="B185" s="15" t="str">
        <f>IFERROR(__xludf.DUMMYFUNCTION("""COMPUTED_VALUE"""),"PS5/PS4")</f>
        <v>PS5/PS4</v>
      </c>
      <c r="C185" s="16" t="str">
        <f>IFERROR(__xludf.DUMMYFUNCTION("""COMPUTED_VALUE"""),"Extra")</f>
        <v>Extra</v>
      </c>
      <c r="D185" s="15" t="str">
        <f>IFERROR(__xludf.DUMMYFUNCTION("""COMPUTED_VALUE"""),"Leaving Soon")</f>
        <v>Leaving Soon</v>
      </c>
      <c r="E185" s="17">
        <f>IFERROR(__xludf.DUMMYFUNCTION("""COMPUTED_VALUE"""),45643.0)</f>
        <v>45643</v>
      </c>
      <c r="F185" s="54">
        <f>IFERROR(__xludf.DUMMYFUNCTION("""COMPUTED_VALUE"""),46314.0)</f>
        <v>46314</v>
      </c>
      <c r="G185" s="19">
        <f>IFERROR(__xludf.DUMMYFUNCTION("""COMPUTED_VALUE"""),22.066666666666666)</f>
        <v>22.06666667</v>
      </c>
      <c r="H185" s="17">
        <f>IFERROR(__xludf.DUMMYFUNCTION("""COMPUTED_VALUE"""),44509.0)</f>
        <v>44509</v>
      </c>
      <c r="I185" s="19">
        <f>IFERROR(__xludf.DUMMYFUNCTION("""COMPUTED_VALUE"""),3.1055555555555556)</f>
        <v>3.105555556</v>
      </c>
      <c r="J185" s="21">
        <f>IFERROR(__xludf.DUMMYFUNCTION("""COMPUTED_VALUE"""),78.0)</f>
        <v>78</v>
      </c>
      <c r="K185" s="23">
        <f>IFERROR(__xludf.DUMMYFUNCTION("""COMPUTED_VALUE"""),7.2)</f>
        <v>7.2</v>
      </c>
      <c r="L185" s="24">
        <f>IFERROR(__xludf.DUMMYFUNCTION("""COMPUTED_VALUE"""),6.0)</f>
        <v>6</v>
      </c>
      <c r="M185" s="25" t="str">
        <f>IFERROR(__xludf.DUMMYFUNCTION("""COMPUTED_VALUE"""),"Tycoon")</f>
        <v>Tycoon</v>
      </c>
      <c r="N185" s="25"/>
      <c r="O185" s="26" t="str">
        <f>IFERROR(__xludf.DUMMYFUNCTION("""COMPUTED_VALUE"""),"Yes")</f>
        <v>Yes</v>
      </c>
      <c r="P185" s="26"/>
    </row>
    <row r="186">
      <c r="A186" s="13" t="str">
        <f>IFERROR(__xludf.DUMMYFUNCTION("""COMPUTED_VALUE"""),"Hell is Us")</f>
        <v>Hell is Us</v>
      </c>
      <c r="B186" s="15" t="str">
        <f>IFERROR(__xludf.DUMMYFUNCTION("""COMPUTED_VALUE"""),"PS5")</f>
        <v>PS5</v>
      </c>
      <c r="C186" s="16" t="str">
        <f>IFERROR(__xludf.DUMMYFUNCTION("""COMPUTED_VALUE"""),"Extra")</f>
        <v>Extra</v>
      </c>
      <c r="D186" s="15" t="str">
        <f>IFERROR(__xludf.DUMMYFUNCTION("""COMPUTED_VALUE"""),"Active")</f>
        <v>Active</v>
      </c>
      <c r="E186" s="17">
        <f>IFERROR(__xludf.DUMMYFUNCTION("""COMPUTED_VALUE"""),46259.0)</f>
        <v>46259</v>
      </c>
      <c r="F186" s="71"/>
      <c r="G186" s="19">
        <f>IFERROR(__xludf.DUMMYFUNCTION("""COMPUTED_VALUE"""),1.3666666666666667)</f>
        <v>1.366666667</v>
      </c>
      <c r="H186" s="17">
        <f>IFERROR(__xludf.DUMMYFUNCTION("""COMPUTED_VALUE"""),45904.0)</f>
        <v>45904</v>
      </c>
      <c r="I186" s="19">
        <f>IFERROR(__xludf.DUMMYFUNCTION("""COMPUTED_VALUE"""),0.975)</f>
        <v>0.975</v>
      </c>
      <c r="J186" s="21">
        <f>IFERROR(__xludf.DUMMYFUNCTION("""COMPUTED_VALUE"""),77.0)</f>
        <v>77</v>
      </c>
      <c r="K186" s="23">
        <f>IFERROR(__xludf.DUMMYFUNCTION("""COMPUTED_VALUE"""),7.8)</f>
        <v>7.8</v>
      </c>
      <c r="L186" s="24">
        <f>IFERROR(__xludf.DUMMYFUNCTION("""COMPUTED_VALUE"""),21.0)</f>
        <v>21</v>
      </c>
      <c r="M186" s="25" t="str">
        <f>IFERROR(__xludf.DUMMYFUNCTION("""COMPUTED_VALUE"""),"Action-Adventure")</f>
        <v>Action-Adventure</v>
      </c>
      <c r="N186" s="25"/>
      <c r="O186" s="26" t="str">
        <f>IFERROR(__xludf.DUMMYFUNCTION("""COMPUTED_VALUE"""),"No")</f>
        <v>No</v>
      </c>
      <c r="P186" s="26"/>
    </row>
    <row r="187">
      <c r="A187" s="13" t="str">
        <f>IFERROR(__xludf.DUMMYFUNCTION("""COMPUTED_VALUE"""),"Expeditions: A MudRunner Game")</f>
        <v>Expeditions: A MudRunner Game</v>
      </c>
      <c r="B187" s="15" t="str">
        <f>IFERROR(__xludf.DUMMYFUNCTION("""COMPUTED_VALUE"""),"PS5/PS4")</f>
        <v>PS5/PS4</v>
      </c>
      <c r="C187" s="16" t="str">
        <f>IFERROR(__xludf.DUMMYFUNCTION("""COMPUTED_VALUE"""),"Extra")</f>
        <v>Extra</v>
      </c>
      <c r="D187" s="15" t="str">
        <f>IFERROR(__xludf.DUMMYFUNCTION("""COMPUTED_VALUE"""),"Active")</f>
        <v>Active</v>
      </c>
      <c r="E187" s="17">
        <f>IFERROR(__xludf.DUMMYFUNCTION("""COMPUTED_VALUE"""),46042.0)</f>
        <v>46042</v>
      </c>
      <c r="F187" s="54"/>
      <c r="G187" s="19">
        <f>IFERROR(__xludf.DUMMYFUNCTION("""COMPUTED_VALUE"""),8.533333333333333)</f>
        <v>8.533333333</v>
      </c>
      <c r="H187" s="17">
        <f>IFERROR(__xludf.DUMMYFUNCTION("""COMPUTED_VALUE"""),45356.0)</f>
        <v>45356</v>
      </c>
      <c r="I187" s="19">
        <f>IFERROR(__xludf.DUMMYFUNCTION("""COMPUTED_VALUE"""),1.875)</f>
        <v>1.875</v>
      </c>
      <c r="J187" s="21">
        <f>IFERROR(__xludf.DUMMYFUNCTION("""COMPUTED_VALUE"""),77.0)</f>
        <v>77</v>
      </c>
      <c r="K187" s="23">
        <f>IFERROR(__xludf.DUMMYFUNCTION("""COMPUTED_VALUE"""),5.4)</f>
        <v>5.4</v>
      </c>
      <c r="L187" s="24">
        <f>IFERROR(__xludf.DUMMYFUNCTION("""COMPUTED_VALUE"""),50.0)</f>
        <v>50</v>
      </c>
      <c r="M187" s="25" t="str">
        <f>IFERROR(__xludf.DUMMYFUNCTION("""COMPUTED_VALUE"""),"Racing")</f>
        <v>Racing</v>
      </c>
      <c r="N187" s="25"/>
      <c r="O187" s="26"/>
      <c r="P187" s="26"/>
    </row>
    <row r="188">
      <c r="A188" s="13" t="str">
        <f>IFERROR(__xludf.DUMMYFUNCTION("""COMPUTED_VALUE"""),"Tomb Raider: Anniversary")</f>
        <v>Tomb Raider: Anniversary</v>
      </c>
      <c r="B188" s="15" t="str">
        <f>IFERROR(__xludf.DUMMYFUNCTION("""COMPUTED_VALUE"""),"PS5/PS4")</f>
        <v>PS5/PS4</v>
      </c>
      <c r="C188" s="16" t="str">
        <f>IFERROR(__xludf.DUMMYFUNCTION("""COMPUTED_VALUE"""),"Premium (Classics)")</f>
        <v>Premium (Classics)</v>
      </c>
      <c r="D188" s="15" t="str">
        <f>IFERROR(__xludf.DUMMYFUNCTION("""COMPUTED_VALUE"""),"Active")</f>
        <v>Active</v>
      </c>
      <c r="E188" s="17">
        <f>IFERROR(__xludf.DUMMYFUNCTION("""COMPUTED_VALUE"""),45979.0)</f>
        <v>45979</v>
      </c>
      <c r="F188" s="54"/>
      <c r="G188" s="19">
        <f>IFERROR(__xludf.DUMMYFUNCTION("""COMPUTED_VALUE"""),10.6)</f>
        <v>10.6</v>
      </c>
      <c r="H188" s="17">
        <f>IFERROR(__xludf.DUMMYFUNCTION("""COMPUTED_VALUE"""),39378.0)</f>
        <v>39378</v>
      </c>
      <c r="I188" s="19">
        <f>IFERROR(__xludf.DUMMYFUNCTION("""COMPUTED_VALUE"""),18.069444444444443)</f>
        <v>18.06944444</v>
      </c>
      <c r="J188" s="21">
        <f>IFERROR(__xludf.DUMMYFUNCTION("""COMPUTED_VALUE"""),77.0)</f>
        <v>77</v>
      </c>
      <c r="K188" s="23">
        <f>IFERROR(__xludf.DUMMYFUNCTION("""COMPUTED_VALUE"""),7.9)</f>
        <v>7.9</v>
      </c>
      <c r="L188" s="24">
        <f>IFERROR(__xludf.DUMMYFUNCTION("""COMPUTED_VALUE"""),13.0)</f>
        <v>13</v>
      </c>
      <c r="M188" s="25" t="str">
        <f>IFERROR(__xludf.DUMMYFUNCTION("""COMPUTED_VALUE"""),"Action-Adventure")</f>
        <v>Action-Adventure</v>
      </c>
      <c r="N188" s="25" t="str">
        <f>IFERROR(__xludf.DUMMYFUNCTION("""COMPUTED_VALUE"""),"PS2")</f>
        <v>PS2</v>
      </c>
      <c r="O188" s="26" t="str">
        <f>IFERROR(__xludf.DUMMYFUNCTION("""COMPUTED_VALUE"""),"No")</f>
        <v>No</v>
      </c>
      <c r="P188" s="26"/>
    </row>
    <row r="189">
      <c r="A189" s="13" t="str">
        <f>IFERROR(__xludf.DUMMYFUNCTION("""COMPUTED_VALUE"""),"As Dusk Falls")</f>
        <v>As Dusk Falls</v>
      </c>
      <c r="B189" s="15" t="str">
        <f>IFERROR(__xludf.DUMMYFUNCTION("""COMPUTED_VALUE"""),"PS5/PS4")</f>
        <v>PS5/PS4</v>
      </c>
      <c r="C189" s="16" t="str">
        <f>IFERROR(__xludf.DUMMYFUNCTION("""COMPUTED_VALUE"""),"Extra")</f>
        <v>Extra</v>
      </c>
      <c r="D189" s="15" t="str">
        <f>IFERROR(__xludf.DUMMYFUNCTION("""COMPUTED_VALUE"""),"Active")</f>
        <v>Active</v>
      </c>
      <c r="E189" s="17">
        <f>IFERROR(__xludf.DUMMYFUNCTION("""COMPUTED_VALUE"""),45951.0)</f>
        <v>45951</v>
      </c>
      <c r="F189" s="54"/>
      <c r="G189" s="19">
        <f>IFERROR(__xludf.DUMMYFUNCTION("""COMPUTED_VALUE"""),11.5)</f>
        <v>11.5</v>
      </c>
      <c r="H189" s="17">
        <f>IFERROR(__xludf.DUMMYFUNCTION("""COMPUTED_VALUE"""),44761.0)</f>
        <v>44761</v>
      </c>
      <c r="I189" s="19">
        <f>IFERROR(__xludf.DUMMYFUNCTION("""COMPUTED_VALUE"""),3.2555555555555555)</f>
        <v>3.255555556</v>
      </c>
      <c r="J189" s="21">
        <f>IFERROR(__xludf.DUMMYFUNCTION("""COMPUTED_VALUE"""),77.0)</f>
        <v>77</v>
      </c>
      <c r="K189" s="23">
        <f>IFERROR(__xludf.DUMMYFUNCTION("""COMPUTED_VALUE"""),7.7)</f>
        <v>7.7</v>
      </c>
      <c r="L189" s="24">
        <f>IFERROR(__xludf.DUMMYFUNCTION("""COMPUTED_VALUE"""),7.0)</f>
        <v>7</v>
      </c>
      <c r="M189" s="25" t="str">
        <f>IFERROR(__xludf.DUMMYFUNCTION("""COMPUTED_VALUE"""),"Action-Adventure")</f>
        <v>Action-Adventure</v>
      </c>
      <c r="N189" s="25"/>
      <c r="O189" s="26"/>
      <c r="P189" s="26"/>
    </row>
    <row r="190">
      <c r="A190" s="13" t="str">
        <f>IFERROR(__xludf.DUMMYFUNCTION("""COMPUTED_VALUE"""),"Humankind")</f>
        <v>Humankind</v>
      </c>
      <c r="B190" s="15" t="str">
        <f>IFERROR(__xludf.DUMMYFUNCTION("""COMPUTED_VALUE"""),"PS5/PS4")</f>
        <v>PS5/PS4</v>
      </c>
      <c r="C190" s="16" t="str">
        <f>IFERROR(__xludf.DUMMYFUNCTION("""COMPUTED_VALUE"""),"Extra")</f>
        <v>Extra</v>
      </c>
      <c r="D190" s="15" t="str">
        <f>IFERROR(__xludf.DUMMYFUNCTION("""COMPUTED_VALUE"""),"Active")</f>
        <v>Active</v>
      </c>
      <c r="E190" s="17">
        <f>IFERROR(__xludf.DUMMYFUNCTION("""COMPUTED_VALUE"""),45797.0)</f>
        <v>45797</v>
      </c>
      <c r="F190" s="54"/>
      <c r="G190" s="19">
        <f>IFERROR(__xludf.DUMMYFUNCTION("""COMPUTED_VALUE"""),16.53333333333333)</f>
        <v>16.53333333</v>
      </c>
      <c r="H190" s="17">
        <f>IFERROR(__xludf.DUMMYFUNCTION("""COMPUTED_VALUE"""),44425.0)</f>
        <v>44425</v>
      </c>
      <c r="I190" s="19">
        <f>IFERROR(__xludf.DUMMYFUNCTION("""COMPUTED_VALUE"""),3.7583333333333333)</f>
        <v>3.758333333</v>
      </c>
      <c r="J190" s="21">
        <f>IFERROR(__xludf.DUMMYFUNCTION("""COMPUTED_VALUE"""),77.0)</f>
        <v>77</v>
      </c>
      <c r="K190" s="23">
        <f>IFERROR(__xludf.DUMMYFUNCTION("""COMPUTED_VALUE"""),6.7)</f>
        <v>6.7</v>
      </c>
      <c r="L190" s="24">
        <f>IFERROR(__xludf.DUMMYFUNCTION("""COMPUTED_VALUE"""),16.0)</f>
        <v>16</v>
      </c>
      <c r="M190" s="25" t="str">
        <f>IFERROR(__xludf.DUMMYFUNCTION("""COMPUTED_VALUE"""),"Strategy")</f>
        <v>Strategy</v>
      </c>
      <c r="N190" s="25"/>
      <c r="O190" s="26"/>
      <c r="P190" s="26"/>
    </row>
    <row r="191">
      <c r="A191" s="13" t="str">
        <f>IFERROR(__xludf.DUMMYFUNCTION("""COMPUTED_VALUE"""),"Orcs Must Die! 3")</f>
        <v>Orcs Must Die! 3</v>
      </c>
      <c r="B191" s="15" t="str">
        <f>IFERROR(__xludf.DUMMYFUNCTION("""COMPUTED_VALUE"""),"PS5/PS4")</f>
        <v>PS5/PS4</v>
      </c>
      <c r="C191" s="16" t="str">
        <f>IFERROR(__xludf.DUMMYFUNCTION("""COMPUTED_VALUE"""),"Extra")</f>
        <v>Extra</v>
      </c>
      <c r="D191" s="15" t="str">
        <f>IFERROR(__xludf.DUMMYFUNCTION("""COMPUTED_VALUE"""),"Active")</f>
        <v>Active</v>
      </c>
      <c r="E191" s="17">
        <f>IFERROR(__xludf.DUMMYFUNCTION("""COMPUTED_VALUE"""),45678.0)</f>
        <v>45678</v>
      </c>
      <c r="F191" s="54"/>
      <c r="G191" s="19">
        <f>IFERROR(__xludf.DUMMYFUNCTION("""COMPUTED_VALUE"""),20.5)</f>
        <v>20.5</v>
      </c>
      <c r="H191" s="17">
        <f>IFERROR(__xludf.DUMMYFUNCTION("""COMPUTED_VALUE"""),44400.0)</f>
        <v>44400</v>
      </c>
      <c r="I191" s="19">
        <f>IFERROR(__xludf.DUMMYFUNCTION("""COMPUTED_VALUE"""),3.4944444444444445)</f>
        <v>3.494444444</v>
      </c>
      <c r="J191" s="21">
        <f>IFERROR(__xludf.DUMMYFUNCTION("""COMPUTED_VALUE"""),77.0)</f>
        <v>77</v>
      </c>
      <c r="K191" s="23">
        <f>IFERROR(__xludf.DUMMYFUNCTION("""COMPUTED_VALUE"""),7.2)</f>
        <v>7.2</v>
      </c>
      <c r="L191" s="24">
        <f>IFERROR(__xludf.DUMMYFUNCTION("""COMPUTED_VALUE"""),10.0)</f>
        <v>10</v>
      </c>
      <c r="M191" s="25" t="str">
        <f>IFERROR(__xludf.DUMMYFUNCTION("""COMPUTED_VALUE"""),"Defense")</f>
        <v>Defense</v>
      </c>
      <c r="N191" s="25"/>
      <c r="O191" s="26" t="str">
        <f>IFERROR(__xludf.DUMMYFUNCTION("""COMPUTED_VALUE"""),"Yes")</f>
        <v>Yes</v>
      </c>
      <c r="P191" s="26"/>
    </row>
    <row r="192">
      <c r="A192" s="13" t="str">
        <f>IFERROR(__xludf.DUMMYFUNCTION("""COMPUTED_VALUE"""),"Jet Moto 2")</f>
        <v>Jet Moto 2</v>
      </c>
      <c r="B192" s="15" t="str">
        <f>IFERROR(__xludf.DUMMYFUNCTION("""COMPUTED_VALUE"""),"PS5/PS4")</f>
        <v>PS5/PS4</v>
      </c>
      <c r="C192" s="16" t="str">
        <f>IFERROR(__xludf.DUMMYFUNCTION("""COMPUTED_VALUE"""),"Premium (Classics)")</f>
        <v>Premium (Classics)</v>
      </c>
      <c r="D192" s="15" t="str">
        <f>IFERROR(__xludf.DUMMYFUNCTION("""COMPUTED_VALUE"""),"Active")</f>
        <v>Active</v>
      </c>
      <c r="E192" s="17">
        <f>IFERROR(__xludf.DUMMYFUNCTION("""COMPUTED_VALUE"""),45342.0)</f>
        <v>45342</v>
      </c>
      <c r="F192" s="54"/>
      <c r="G192" s="19">
        <f>IFERROR(__xludf.DUMMYFUNCTION("""COMPUTED_VALUE"""),31.53333333333333)</f>
        <v>31.53333333</v>
      </c>
      <c r="H192" s="17">
        <f>IFERROR(__xludf.DUMMYFUNCTION("""COMPUTED_VALUE"""),35734.0)</f>
        <v>35734</v>
      </c>
      <c r="I192" s="19">
        <f>IFERROR(__xludf.DUMMYFUNCTION("""COMPUTED_VALUE"""),26.305555555555557)</f>
        <v>26.30555556</v>
      </c>
      <c r="J192" s="21">
        <f>IFERROR(__xludf.DUMMYFUNCTION("""COMPUTED_VALUE"""),77.0)</f>
        <v>77</v>
      </c>
      <c r="K192" s="23">
        <f>IFERROR(__xludf.DUMMYFUNCTION("""COMPUTED_VALUE"""),7.8)</f>
        <v>7.8</v>
      </c>
      <c r="L192" s="24">
        <f>IFERROR(__xludf.DUMMYFUNCTION("""COMPUTED_VALUE"""),6.0)</f>
        <v>6</v>
      </c>
      <c r="M192" s="25" t="str">
        <f>IFERROR(__xludf.DUMMYFUNCTION("""COMPUTED_VALUE"""),"Racing")</f>
        <v>Racing</v>
      </c>
      <c r="N192" s="25" t="str">
        <f>IFERROR(__xludf.DUMMYFUNCTION("""COMPUTED_VALUE"""),"PS1")</f>
        <v>PS1</v>
      </c>
      <c r="O192" s="26" t="str">
        <f>IFERROR(__xludf.DUMMYFUNCTION("""COMPUTED_VALUE"""),"Yes")</f>
        <v>Yes</v>
      </c>
      <c r="P192" s="26"/>
    </row>
    <row r="193">
      <c r="A193" s="13" t="str">
        <f>IFERROR(__xludf.DUMMYFUNCTION("""COMPUTED_VALUE"""),"Sniper Elite 5")</f>
        <v>Sniper Elite 5</v>
      </c>
      <c r="B193" s="15" t="str">
        <f>IFERROR(__xludf.DUMMYFUNCTION("""COMPUTED_VALUE"""),"PS5/PS4")</f>
        <v>PS5/PS4</v>
      </c>
      <c r="C193" s="16" t="str">
        <f>IFERROR(__xludf.DUMMYFUNCTION("""COMPUTED_VALUE"""),"Extra")</f>
        <v>Extra</v>
      </c>
      <c r="D193" s="15" t="str">
        <f>IFERROR(__xludf.DUMMYFUNCTION("""COMPUTED_VALUE"""),"Active")</f>
        <v>Active</v>
      </c>
      <c r="E193" s="17">
        <f>IFERROR(__xludf.DUMMYFUNCTION("""COMPUTED_VALUE"""),45125.0)</f>
        <v>45125</v>
      </c>
      <c r="F193" s="54"/>
      <c r="G193" s="19">
        <f>IFERROR(__xludf.DUMMYFUNCTION("""COMPUTED_VALUE"""),38.6)</f>
        <v>38.6</v>
      </c>
      <c r="H193" s="17">
        <f>IFERROR(__xludf.DUMMYFUNCTION("""COMPUTED_VALUE"""),44646.0)</f>
        <v>44646</v>
      </c>
      <c r="I193" s="19">
        <f>IFERROR(__xludf.DUMMYFUNCTION("""COMPUTED_VALUE"""),1.3111111111111111)</f>
        <v>1.311111111</v>
      </c>
      <c r="J193" s="21">
        <f>IFERROR(__xludf.DUMMYFUNCTION("""COMPUTED_VALUE"""),77.0)</f>
        <v>77</v>
      </c>
      <c r="K193" s="23">
        <f>IFERROR(__xludf.DUMMYFUNCTION("""COMPUTED_VALUE"""),6.1)</f>
        <v>6.1</v>
      </c>
      <c r="L193" s="24">
        <f>IFERROR(__xludf.DUMMYFUNCTION("""COMPUTED_VALUE"""),10.0)</f>
        <v>10</v>
      </c>
      <c r="M193" s="25" t="str">
        <f>IFERROR(__xludf.DUMMYFUNCTION("""COMPUTED_VALUE"""),"Shooter")</f>
        <v>Shooter</v>
      </c>
      <c r="N193" s="25"/>
      <c r="O193" s="26" t="str">
        <f>IFERROR(__xludf.DUMMYFUNCTION("""COMPUTED_VALUE"""),"Portal (PS5 + Premium)")</f>
        <v>Portal (PS5 + Premium)</v>
      </c>
      <c r="P193" s="26"/>
    </row>
    <row r="194">
      <c r="A194" s="13" t="str">
        <f>IFERROR(__xludf.DUMMYFUNCTION("""COMPUTED_VALUE"""),"Killzone: Liberation")</f>
        <v>Killzone: Liberation</v>
      </c>
      <c r="B194" s="15" t="str">
        <f>IFERROR(__xludf.DUMMYFUNCTION("""COMPUTED_VALUE"""),"PS5/PS4")</f>
        <v>PS5/PS4</v>
      </c>
      <c r="C194" s="16" t="str">
        <f>IFERROR(__xludf.DUMMYFUNCTION("""COMPUTED_VALUE"""),"Premium (Classics)")</f>
        <v>Premium (Classics)</v>
      </c>
      <c r="D194" s="15" t="str">
        <f>IFERROR(__xludf.DUMMYFUNCTION("""COMPUTED_VALUE"""),"Active")</f>
        <v>Active</v>
      </c>
      <c r="E194" s="17">
        <f>IFERROR(__xludf.DUMMYFUNCTION("""COMPUTED_VALUE"""),45097.0)</f>
        <v>45097</v>
      </c>
      <c r="F194" s="54"/>
      <c r="G194" s="19">
        <f>IFERROR(__xludf.DUMMYFUNCTION("""COMPUTED_VALUE"""),39.53333333333333)</f>
        <v>39.53333333</v>
      </c>
      <c r="H194" s="17">
        <f>IFERROR(__xludf.DUMMYFUNCTION("""COMPUTED_VALUE"""),39021.0)</f>
        <v>39021</v>
      </c>
      <c r="I194" s="19">
        <f>IFERROR(__xludf.DUMMYFUNCTION("""COMPUTED_VALUE"""),16.63888888888889)</f>
        <v>16.63888889</v>
      </c>
      <c r="J194" s="21">
        <f>IFERROR(__xludf.DUMMYFUNCTION("""COMPUTED_VALUE"""),77.0)</f>
        <v>77</v>
      </c>
      <c r="K194" s="23">
        <f>IFERROR(__xludf.DUMMYFUNCTION("""COMPUTED_VALUE"""),7.9)</f>
        <v>7.9</v>
      </c>
      <c r="L194" s="24">
        <f>IFERROR(__xludf.DUMMYFUNCTION("""COMPUTED_VALUE"""),8.0)</f>
        <v>8</v>
      </c>
      <c r="M194" s="25" t="str">
        <f>IFERROR(__xludf.DUMMYFUNCTION("""COMPUTED_VALUE"""),"Shooter")</f>
        <v>Shooter</v>
      </c>
      <c r="N194" s="25" t="str">
        <f>IFERROR(__xludf.DUMMYFUNCTION("""COMPUTED_VALUE"""),"PSP")</f>
        <v>PSP</v>
      </c>
      <c r="O194" s="26" t="str">
        <f>IFERROR(__xludf.DUMMYFUNCTION("""COMPUTED_VALUE"""),"Yes")</f>
        <v>Yes</v>
      </c>
      <c r="P194" s="26"/>
    </row>
    <row r="195">
      <c r="A195" s="13" t="str">
        <f>IFERROR(__xludf.DUMMYFUNCTION("""COMPUTED_VALUE"""),"Immortals Fenyx Rising")</f>
        <v>Immortals Fenyx Rising</v>
      </c>
      <c r="B195" s="15" t="str">
        <f>IFERROR(__xludf.DUMMYFUNCTION("""COMPUTED_VALUE"""),"PS5/PS4")</f>
        <v>PS5/PS4</v>
      </c>
      <c r="C195" s="16" t="str">
        <f>IFERROR(__xludf.DUMMYFUNCTION("""COMPUTED_VALUE"""),"Extra")</f>
        <v>Extra</v>
      </c>
      <c r="D195" s="15" t="str">
        <f>IFERROR(__xludf.DUMMYFUNCTION("""COMPUTED_VALUE"""),"Active")</f>
        <v>Active</v>
      </c>
      <c r="E195" s="17">
        <f>IFERROR(__xludf.DUMMYFUNCTION("""COMPUTED_VALUE"""),45006.0)</f>
        <v>45006</v>
      </c>
      <c r="F195" s="18"/>
      <c r="G195" s="19">
        <f>IFERROR(__xludf.DUMMYFUNCTION("""COMPUTED_VALUE"""),42.5)</f>
        <v>42.5</v>
      </c>
      <c r="H195" s="17">
        <f>IFERROR(__xludf.DUMMYFUNCTION("""COMPUTED_VALUE"""),44168.0)</f>
        <v>44168</v>
      </c>
      <c r="I195" s="19">
        <f>IFERROR(__xludf.DUMMYFUNCTION("""COMPUTED_VALUE"""),2.3)</f>
        <v>2.3</v>
      </c>
      <c r="J195" s="21">
        <f>IFERROR(__xludf.DUMMYFUNCTION("""COMPUTED_VALUE"""),77.0)</f>
        <v>77</v>
      </c>
      <c r="K195" s="23">
        <f>IFERROR(__xludf.DUMMYFUNCTION("""COMPUTED_VALUE"""),7.6)</f>
        <v>7.6</v>
      </c>
      <c r="L195" s="24">
        <f>IFERROR(__xludf.DUMMYFUNCTION("""COMPUTED_VALUE"""),25.0)</f>
        <v>25</v>
      </c>
      <c r="M195" s="25" t="str">
        <f>IFERROR(__xludf.DUMMYFUNCTION("""COMPUTED_VALUE"""),"Action-Adventure")</f>
        <v>Action-Adventure</v>
      </c>
      <c r="N195" s="25"/>
      <c r="O195" s="26" t="str">
        <f>IFERROR(__xludf.DUMMYFUNCTION("""COMPUTED_VALUE"""),"Yes")</f>
        <v>Yes</v>
      </c>
      <c r="P195" s="26"/>
    </row>
    <row r="196">
      <c r="A196" s="13" t="str">
        <f>IFERROR(__xludf.DUMMYFUNCTION("""COMPUTED_VALUE"""),"Lake")</f>
        <v>Lake</v>
      </c>
      <c r="B196" s="15" t="str">
        <f>IFERROR(__xludf.DUMMYFUNCTION("""COMPUTED_VALUE"""),"PS5/PS4")</f>
        <v>PS5/PS4</v>
      </c>
      <c r="C196" s="16" t="str">
        <f>IFERROR(__xludf.DUMMYFUNCTION("""COMPUTED_VALUE"""),"Extra")</f>
        <v>Extra</v>
      </c>
      <c r="D196" s="15" t="str">
        <f>IFERROR(__xludf.DUMMYFUNCTION("""COMPUTED_VALUE"""),"Leaving Soon")</f>
        <v>Leaving Soon</v>
      </c>
      <c r="E196" s="17">
        <f>IFERROR(__xludf.DUMMYFUNCTION("""COMPUTED_VALUE"""),45062.0)</f>
        <v>45062</v>
      </c>
      <c r="F196" s="71">
        <f>IFERROR(__xludf.DUMMYFUNCTION("""COMPUTED_VALUE"""),46314.0)</f>
        <v>46314</v>
      </c>
      <c r="G196" s="19">
        <f>IFERROR(__xludf.DUMMYFUNCTION("""COMPUTED_VALUE"""),41.099999999999994)</f>
        <v>41.1</v>
      </c>
      <c r="H196" s="17">
        <f>IFERROR(__xludf.DUMMYFUNCTION("""COMPUTED_VALUE"""),44659.0)</f>
        <v>44659</v>
      </c>
      <c r="I196" s="19">
        <f>IFERROR(__xludf.DUMMYFUNCTION("""COMPUTED_VALUE"""),1.1055555555555556)</f>
        <v>1.105555556</v>
      </c>
      <c r="J196" s="21">
        <f>IFERROR(__xludf.DUMMYFUNCTION("""COMPUTED_VALUE"""),77.0)</f>
        <v>77</v>
      </c>
      <c r="K196" s="23">
        <f>IFERROR(__xludf.DUMMYFUNCTION("""COMPUTED_VALUE"""),7.5)</f>
        <v>7.5</v>
      </c>
      <c r="L196" s="24">
        <f>IFERROR(__xludf.DUMMYFUNCTION("""COMPUTED_VALUE"""),6.0)</f>
        <v>6</v>
      </c>
      <c r="M196" s="25" t="str">
        <f>IFERROR(__xludf.DUMMYFUNCTION("""COMPUTED_VALUE"""),"Action-Adventure")</f>
        <v>Action-Adventure</v>
      </c>
      <c r="N196" s="25"/>
      <c r="O196" s="26" t="str">
        <f>IFERROR(__xludf.DUMMYFUNCTION("""COMPUTED_VALUE"""),"Yes")</f>
        <v>Yes</v>
      </c>
      <c r="P196" s="26"/>
    </row>
    <row r="197">
      <c r="A197" s="13" t="str">
        <f>IFERROR(__xludf.DUMMYFUNCTION("""COMPUTED_VALUE"""),"Dying Light 2")</f>
        <v>Dying Light 2</v>
      </c>
      <c r="B197" s="15" t="str">
        <f>IFERROR(__xludf.DUMMYFUNCTION("""COMPUTED_VALUE"""),"PS5/PS4")</f>
        <v>PS5/PS4</v>
      </c>
      <c r="C197" s="16" t="str">
        <f>IFERROR(__xludf.DUMMYFUNCTION("""COMPUTED_VALUE"""),"Extra")</f>
        <v>Extra</v>
      </c>
      <c r="D197" s="15" t="str">
        <f>IFERROR(__xludf.DUMMYFUNCTION("""COMPUTED_VALUE"""),"Active")</f>
        <v>Active</v>
      </c>
      <c r="E197" s="17">
        <f>IFERROR(__xludf.DUMMYFUNCTION("""COMPUTED_VALUE"""),46259.0)</f>
        <v>46259</v>
      </c>
      <c r="F197" s="18"/>
      <c r="G197" s="19">
        <f>IFERROR(__xludf.DUMMYFUNCTION("""COMPUTED_VALUE"""),1.3666666666666667)</f>
        <v>1.366666667</v>
      </c>
      <c r="H197" s="17">
        <f>IFERROR(__xludf.DUMMYFUNCTION("""COMPUTED_VALUE"""),44596.0)</f>
        <v>44596</v>
      </c>
      <c r="I197" s="19">
        <f>IFERROR(__xludf.DUMMYFUNCTION("""COMPUTED_VALUE"""),4.558333333333334)</f>
        <v>4.558333333</v>
      </c>
      <c r="J197" s="21">
        <f>IFERROR(__xludf.DUMMYFUNCTION("""COMPUTED_VALUE"""),76.0)</f>
        <v>76</v>
      </c>
      <c r="K197" s="23">
        <f>IFERROR(__xludf.DUMMYFUNCTION("""COMPUTED_VALUE"""),7.2)</f>
        <v>7.2</v>
      </c>
      <c r="L197" s="24">
        <f>IFERROR(__xludf.DUMMYFUNCTION("""COMPUTED_VALUE"""),24.0)</f>
        <v>24</v>
      </c>
      <c r="M197" s="25" t="str">
        <f>IFERROR(__xludf.DUMMYFUNCTION("""COMPUTED_VALUE"""),"Survival")</f>
        <v>Survival</v>
      </c>
      <c r="N197" s="25"/>
      <c r="O197" s="26"/>
      <c r="P197" s="26"/>
    </row>
    <row r="198">
      <c r="A198" s="13" t="str">
        <f>IFERROR(__xludf.DUMMYFUNCTION("""COMPUTED_VALUE"""),"Rise of the Ronin")</f>
        <v>Rise of the Ronin</v>
      </c>
      <c r="B198" s="15" t="str">
        <f>IFERROR(__xludf.DUMMYFUNCTION("""COMPUTED_VALUE"""),"PS5")</f>
        <v>PS5</v>
      </c>
      <c r="C198" s="16" t="str">
        <f>IFERROR(__xludf.DUMMYFUNCTION("""COMPUTED_VALUE"""),"Extra")</f>
        <v>Extra</v>
      </c>
      <c r="D198" s="15" t="str">
        <f>IFERROR(__xludf.DUMMYFUNCTION("""COMPUTED_VALUE"""),"Active")</f>
        <v>Active</v>
      </c>
      <c r="E198" s="17">
        <f>IFERROR(__xludf.DUMMYFUNCTION("""COMPUTED_VALUE"""),46219.0)</f>
        <v>46219</v>
      </c>
      <c r="F198" s="54"/>
      <c r="G198" s="19">
        <f>IFERROR(__xludf.DUMMYFUNCTION("""COMPUTED_VALUE"""),2.6666666666666665)</f>
        <v>2.666666667</v>
      </c>
      <c r="H198" s="17">
        <f>IFERROR(__xludf.DUMMYFUNCTION("""COMPUTED_VALUE"""),45373.0)</f>
        <v>45373</v>
      </c>
      <c r="I198" s="19">
        <f>IFERROR(__xludf.DUMMYFUNCTION("""COMPUTED_VALUE"""),2.316666666666667)</f>
        <v>2.316666667</v>
      </c>
      <c r="J198" s="21">
        <f>IFERROR(__xludf.DUMMYFUNCTION("""COMPUTED_VALUE"""),76.0)</f>
        <v>76</v>
      </c>
      <c r="K198" s="23">
        <f>IFERROR(__xludf.DUMMYFUNCTION("""COMPUTED_VALUE"""),7.9)</f>
        <v>7.9</v>
      </c>
      <c r="L198" s="24">
        <f>IFERROR(__xludf.DUMMYFUNCTION("""COMPUTED_VALUE"""),25.0)</f>
        <v>25</v>
      </c>
      <c r="M198" s="25" t="str">
        <f>IFERROR(__xludf.DUMMYFUNCTION("""COMPUTED_VALUE"""),"RPG")</f>
        <v>RPG</v>
      </c>
      <c r="N198" s="25"/>
      <c r="O198" s="26" t="str">
        <f>IFERROR(__xludf.DUMMYFUNCTION("""COMPUTED_VALUE"""),"No")</f>
        <v>No</v>
      </c>
      <c r="P198" s="26"/>
    </row>
    <row r="199">
      <c r="A199" s="13" t="str">
        <f>IFERROR(__xludf.DUMMYFUNCTION("""COMPUTED_VALUE"""),"Kingdom Come: Deliverance")</f>
        <v>Kingdom Come: Deliverance</v>
      </c>
      <c r="B199" s="15" t="str">
        <f>IFERROR(__xludf.DUMMYFUNCTION("""COMPUTED_VALUE"""),"PS5/PS4")</f>
        <v>PS5/PS4</v>
      </c>
      <c r="C199" s="16" t="str">
        <f>IFERROR(__xludf.DUMMYFUNCTION("""COMPUTED_VALUE"""),"Extra")</f>
        <v>Extra</v>
      </c>
      <c r="D199" s="15" t="str">
        <f>IFERROR(__xludf.DUMMYFUNCTION("""COMPUTED_VALUE"""),"Active")</f>
        <v>Active</v>
      </c>
      <c r="E199" s="17">
        <f>IFERROR(__xludf.DUMMYFUNCTION("""COMPUTED_VALUE"""),46189.0)</f>
        <v>46189</v>
      </c>
      <c r="F199" s="54"/>
      <c r="G199" s="19">
        <f>IFERROR(__xludf.DUMMYFUNCTION("""COMPUTED_VALUE"""),3.666666666666667)</f>
        <v>3.666666667</v>
      </c>
      <c r="H199" s="17">
        <f>IFERROR(__xludf.DUMMYFUNCTION("""COMPUTED_VALUE"""),43144.0)</f>
        <v>43144</v>
      </c>
      <c r="I199" s="19">
        <f>IFERROR(__xludf.DUMMYFUNCTION("""COMPUTED_VALUE"""),8.341666666666667)</f>
        <v>8.341666667</v>
      </c>
      <c r="J199" s="21">
        <f>IFERROR(__xludf.DUMMYFUNCTION("""COMPUTED_VALUE"""),76.0)</f>
        <v>76</v>
      </c>
      <c r="K199" s="23">
        <f>IFERROR(__xludf.DUMMYFUNCTION("""COMPUTED_VALUE"""),8.0)</f>
        <v>8</v>
      </c>
      <c r="L199" s="24">
        <f>IFERROR(__xludf.DUMMYFUNCTION("""COMPUTED_VALUE"""),41.0)</f>
        <v>41</v>
      </c>
      <c r="M199" s="25" t="str">
        <f>IFERROR(__xludf.DUMMYFUNCTION("""COMPUTED_VALUE"""),"RPG")</f>
        <v>RPG</v>
      </c>
      <c r="N199" s="25"/>
      <c r="O199" s="26"/>
      <c r="P199" s="26"/>
    </row>
    <row r="200">
      <c r="A200" s="13" t="str">
        <f>IFERROR(__xludf.DUMMYFUNCTION("""COMPUTED_VALUE"""),"Assassin’s Creed Mirage")</f>
        <v>Assassin’s Creed Mirage</v>
      </c>
      <c r="B200" s="15" t="str">
        <f>IFERROR(__xludf.DUMMYFUNCTION("""COMPUTED_VALUE"""),"PS5/PS4")</f>
        <v>PS5/PS4</v>
      </c>
      <c r="C200" s="16" t="str">
        <f>IFERROR(__xludf.DUMMYFUNCTION("""COMPUTED_VALUE"""),"Extra")</f>
        <v>Extra</v>
      </c>
      <c r="D200" s="15" t="str">
        <f>IFERROR(__xludf.DUMMYFUNCTION("""COMPUTED_VALUE"""),"Active")</f>
        <v>Active</v>
      </c>
      <c r="E200" s="17">
        <f>IFERROR(__xludf.DUMMYFUNCTION("""COMPUTED_VALUE"""),46007.0)</f>
        <v>46007</v>
      </c>
      <c r="F200" s="54"/>
      <c r="G200" s="19">
        <f>IFERROR(__xludf.DUMMYFUNCTION("""COMPUTED_VALUE"""),9.666666666666668)</f>
        <v>9.666666667</v>
      </c>
      <c r="H200" s="17">
        <f>IFERROR(__xludf.DUMMYFUNCTION("""COMPUTED_VALUE"""),45204.0)</f>
        <v>45204</v>
      </c>
      <c r="I200" s="19">
        <f>IFERROR(__xludf.DUMMYFUNCTION("""COMPUTED_VALUE"""),2.1972222222222224)</f>
        <v>2.197222222</v>
      </c>
      <c r="J200" s="21">
        <f>IFERROR(__xludf.DUMMYFUNCTION("""COMPUTED_VALUE"""),76.0)</f>
        <v>76</v>
      </c>
      <c r="K200" s="23">
        <f>IFERROR(__xludf.DUMMYFUNCTION("""COMPUTED_VALUE"""),7.0)</f>
        <v>7</v>
      </c>
      <c r="L200" s="24">
        <f>IFERROR(__xludf.DUMMYFUNCTION("""COMPUTED_VALUE"""),29.0)</f>
        <v>29</v>
      </c>
      <c r="M200" s="25" t="str">
        <f>IFERROR(__xludf.DUMMYFUNCTION("""COMPUTED_VALUE"""),"Action-Adventure")</f>
        <v>Action-Adventure</v>
      </c>
      <c r="N200" s="25"/>
      <c r="O200" s="26"/>
      <c r="P200" s="26"/>
    </row>
    <row r="201">
      <c r="A201" s="13" t="str">
        <f>IFERROR(__xludf.DUMMYFUNCTION("""COMPUTED_VALUE"""),"Planet Coaster 2")</f>
        <v>Planet Coaster 2</v>
      </c>
      <c r="B201" s="15" t="str">
        <f>IFERROR(__xludf.DUMMYFUNCTION("""COMPUTED_VALUE"""),"PS5")</f>
        <v>PS5</v>
      </c>
      <c r="C201" s="16" t="str">
        <f>IFERROR(__xludf.DUMMYFUNCTION("""COMPUTED_VALUE"""),"Extra")</f>
        <v>Extra</v>
      </c>
      <c r="D201" s="15" t="str">
        <f>IFERROR(__xludf.DUMMYFUNCTION("""COMPUTED_VALUE"""),"Active")</f>
        <v>Active</v>
      </c>
      <c r="E201" s="17">
        <f>IFERROR(__xludf.DUMMYFUNCTION("""COMPUTED_VALUE"""),46007.0)</f>
        <v>46007</v>
      </c>
      <c r="F201" s="54"/>
      <c r="G201" s="19">
        <f>IFERROR(__xludf.DUMMYFUNCTION("""COMPUTED_VALUE"""),9.666666666666668)</f>
        <v>9.666666667</v>
      </c>
      <c r="H201" s="17">
        <f>IFERROR(__xludf.DUMMYFUNCTION("""COMPUTED_VALUE"""),45602.0)</f>
        <v>45602</v>
      </c>
      <c r="I201" s="19">
        <f>IFERROR(__xludf.DUMMYFUNCTION("""COMPUTED_VALUE"""),1.1111111111111112)</f>
        <v>1.111111111</v>
      </c>
      <c r="J201" s="21">
        <f>IFERROR(__xludf.DUMMYFUNCTION("""COMPUTED_VALUE"""),76.0)</f>
        <v>76</v>
      </c>
      <c r="K201" s="23">
        <f>IFERROR(__xludf.DUMMYFUNCTION("""COMPUTED_VALUE"""),5.8)</f>
        <v>5.8</v>
      </c>
      <c r="L201" s="24">
        <f>IFERROR(__xludf.DUMMYFUNCTION("""COMPUTED_VALUE"""),58.0)</f>
        <v>58</v>
      </c>
      <c r="M201" s="25" t="str">
        <f>IFERROR(__xludf.DUMMYFUNCTION("""COMPUTED_VALUE"""),"Simulation")</f>
        <v>Simulation</v>
      </c>
      <c r="N201" s="25"/>
      <c r="O201" s="26" t="str">
        <f>IFERROR(__xludf.DUMMYFUNCTION("""COMPUTED_VALUE"""),"No")</f>
        <v>No</v>
      </c>
      <c r="P201" s="26"/>
    </row>
    <row r="202">
      <c r="A202" s="13" t="str">
        <f>IFERROR(__xludf.DUMMYFUNCTION("""COMPUTED_VALUE"""),"Battle Engine Aquila")</f>
        <v>Battle Engine Aquila</v>
      </c>
      <c r="B202" s="15" t="str">
        <f>IFERROR(__xludf.DUMMYFUNCTION("""COMPUTED_VALUE"""),"PS5/PS4")</f>
        <v>PS5/PS4</v>
      </c>
      <c r="C202" s="16" t="str">
        <f>IFERROR(__xludf.DUMMYFUNCTION("""COMPUTED_VALUE"""),"Premium (Classics)")</f>
        <v>Premium (Classics)</v>
      </c>
      <c r="D202" s="15" t="str">
        <f>IFERROR(__xludf.DUMMYFUNCTION("""COMPUTED_VALUE"""),"Active")</f>
        <v>Active</v>
      </c>
      <c r="E202" s="17">
        <f>IFERROR(__xludf.DUMMYFUNCTION("""COMPUTED_VALUE"""),45797.0)</f>
        <v>45797</v>
      </c>
      <c r="F202" s="54"/>
      <c r="G202" s="19">
        <f>IFERROR(__xludf.DUMMYFUNCTION("""COMPUTED_VALUE"""),16.53333333333333)</f>
        <v>16.53333333</v>
      </c>
      <c r="H202" s="17">
        <f>IFERROR(__xludf.DUMMYFUNCTION("""COMPUTED_VALUE"""),37641.0)</f>
        <v>37641</v>
      </c>
      <c r="I202" s="19">
        <f>IFERROR(__xludf.DUMMYFUNCTION("""COMPUTED_VALUE"""),22.333333333333332)</f>
        <v>22.33333333</v>
      </c>
      <c r="J202" s="21">
        <f>IFERROR(__xludf.DUMMYFUNCTION("""COMPUTED_VALUE"""),76.0)</f>
        <v>76</v>
      </c>
      <c r="K202" s="23">
        <f>IFERROR(__xludf.DUMMYFUNCTION("""COMPUTED_VALUE"""),3.0)</f>
        <v>3</v>
      </c>
      <c r="L202" s="24">
        <f>IFERROR(__xludf.DUMMYFUNCTION("""COMPUTED_VALUE"""),5.0)</f>
        <v>5</v>
      </c>
      <c r="M202" s="25" t="str">
        <f>IFERROR(__xludf.DUMMYFUNCTION("""COMPUTED_VALUE"""),"Shooter")</f>
        <v>Shooter</v>
      </c>
      <c r="N202" s="25" t="str">
        <f>IFERROR(__xludf.DUMMYFUNCTION("""COMPUTED_VALUE"""),"PS2")</f>
        <v>PS2</v>
      </c>
      <c r="O202" s="26"/>
      <c r="P202" s="26"/>
    </row>
    <row r="203">
      <c r="A203" s="13" t="str">
        <f>IFERROR(__xludf.DUMMYFUNCTION("""COMPUTED_VALUE"""),"Coffee Talk")</f>
        <v>Coffee Talk</v>
      </c>
      <c r="B203" s="15" t="str">
        <f>IFERROR(__xludf.DUMMYFUNCTION("""COMPUTED_VALUE"""),"PS5/PS4")</f>
        <v>PS5/PS4</v>
      </c>
      <c r="C203" s="16" t="str">
        <f>IFERROR(__xludf.DUMMYFUNCTION("""COMPUTED_VALUE"""),"Extra")</f>
        <v>Extra</v>
      </c>
      <c r="D203" s="15" t="str">
        <f>IFERROR(__xludf.DUMMYFUNCTION("""COMPUTED_VALUE"""),"Active")</f>
        <v>Active</v>
      </c>
      <c r="E203" s="17">
        <f>IFERROR(__xludf.DUMMYFUNCTION("""COMPUTED_VALUE"""),45643.0)</f>
        <v>45643</v>
      </c>
      <c r="F203" s="54"/>
      <c r="G203" s="19">
        <f>IFERROR(__xludf.DUMMYFUNCTION("""COMPUTED_VALUE"""),21.633333333333333)</f>
        <v>21.63333333</v>
      </c>
      <c r="H203" s="17">
        <f>IFERROR(__xludf.DUMMYFUNCTION("""COMPUTED_VALUE"""),43859.0)</f>
        <v>43859</v>
      </c>
      <c r="I203" s="19">
        <f>IFERROR(__xludf.DUMMYFUNCTION("""COMPUTED_VALUE"""),4.883333333333334)</f>
        <v>4.883333333</v>
      </c>
      <c r="J203" s="21">
        <f>IFERROR(__xludf.DUMMYFUNCTION("""COMPUTED_VALUE"""),76.0)</f>
        <v>76</v>
      </c>
      <c r="K203" s="23">
        <f>IFERROR(__xludf.DUMMYFUNCTION("""COMPUTED_VALUE"""),7.5)</f>
        <v>7.5</v>
      </c>
      <c r="L203" s="24">
        <f>IFERROR(__xludf.DUMMYFUNCTION("""COMPUTED_VALUE"""),5.0)</f>
        <v>5</v>
      </c>
      <c r="M203" s="25" t="str">
        <f>IFERROR(__xludf.DUMMYFUNCTION("""COMPUTED_VALUE"""),"Visual Novel ")</f>
        <v>Visual Novel </v>
      </c>
      <c r="N203" s="25"/>
      <c r="O203" s="26" t="str">
        <f>IFERROR(__xludf.DUMMYFUNCTION("""COMPUTED_VALUE"""),"Yes")</f>
        <v>Yes</v>
      </c>
      <c r="P203" s="26"/>
    </row>
    <row r="204">
      <c r="A204" s="13" t="str">
        <f>IFERROR(__xludf.DUMMYFUNCTION("""COMPUTED_VALUE"""),"Blood Omen 2")</f>
        <v>Blood Omen 2</v>
      </c>
      <c r="B204" s="15" t="str">
        <f>IFERROR(__xludf.DUMMYFUNCTION("""COMPUTED_VALUE"""),"PS5/PS4")</f>
        <v>PS5/PS4</v>
      </c>
      <c r="C204" s="16" t="str">
        <f>IFERROR(__xludf.DUMMYFUNCTION("""COMPUTED_VALUE"""),"Premium (Classics)")</f>
        <v>Premium (Classics)</v>
      </c>
      <c r="D204" s="15" t="str">
        <f>IFERROR(__xludf.DUMMYFUNCTION("""COMPUTED_VALUE"""),"Active")</f>
        <v>Active</v>
      </c>
      <c r="E204" s="17">
        <f>IFERROR(__xludf.DUMMYFUNCTION("""COMPUTED_VALUE"""),45615.0)</f>
        <v>45615</v>
      </c>
      <c r="F204" s="54"/>
      <c r="G204" s="19">
        <f>IFERROR(__xludf.DUMMYFUNCTION("""COMPUTED_VALUE"""),22.566666666666666)</f>
        <v>22.56666667</v>
      </c>
      <c r="H204" s="17">
        <f>IFERROR(__xludf.DUMMYFUNCTION("""COMPUTED_VALUE"""),37336.0)</f>
        <v>37336</v>
      </c>
      <c r="I204" s="19">
        <f>IFERROR(__xludf.DUMMYFUNCTION("""COMPUTED_VALUE"""),22.66111111111111)</f>
        <v>22.66111111</v>
      </c>
      <c r="J204" s="21">
        <f>IFERROR(__xludf.DUMMYFUNCTION("""COMPUTED_VALUE"""),76.0)</f>
        <v>76</v>
      </c>
      <c r="K204" s="23">
        <f>IFERROR(__xludf.DUMMYFUNCTION("""COMPUTED_VALUE"""),7.4)</f>
        <v>7.4</v>
      </c>
      <c r="L204" s="24">
        <f>IFERROR(__xludf.DUMMYFUNCTION("""COMPUTED_VALUE"""),13.0)</f>
        <v>13</v>
      </c>
      <c r="M204" s="25" t="str">
        <f>IFERROR(__xludf.DUMMYFUNCTION("""COMPUTED_VALUE"""),"Survival")</f>
        <v>Survival</v>
      </c>
      <c r="N204" s="25" t="str">
        <f>IFERROR(__xludf.DUMMYFUNCTION("""COMPUTED_VALUE"""),"PS2")</f>
        <v>PS2</v>
      </c>
      <c r="O204" s="26" t="str">
        <f>IFERROR(__xludf.DUMMYFUNCTION("""COMPUTED_VALUE"""),"Yes")</f>
        <v>Yes</v>
      </c>
      <c r="P204" s="26"/>
    </row>
    <row r="205">
      <c r="A205" s="13" t="str">
        <f>IFERROR(__xludf.DUMMYFUNCTION("""COMPUTED_VALUE"""),"Twisted Metal")</f>
        <v>Twisted Metal</v>
      </c>
      <c r="B205" s="15" t="str">
        <f>IFERROR(__xludf.DUMMYFUNCTION("""COMPUTED_VALUE"""),"PS5/PS4")</f>
        <v>PS5/PS4</v>
      </c>
      <c r="C205" s="16" t="str">
        <f>IFERROR(__xludf.DUMMYFUNCTION("""COMPUTED_VALUE"""),"Premium (Classics)")</f>
        <v>Premium (Classics)</v>
      </c>
      <c r="D205" s="15" t="str">
        <f>IFERROR(__xludf.DUMMYFUNCTION("""COMPUTED_VALUE"""),"Active")</f>
        <v>Active</v>
      </c>
      <c r="E205" s="17">
        <f>IFERROR(__xludf.DUMMYFUNCTION("""COMPUTED_VALUE"""),45125.0)</f>
        <v>45125</v>
      </c>
      <c r="F205" s="54"/>
      <c r="G205" s="19">
        <f>IFERROR(__xludf.DUMMYFUNCTION("""COMPUTED_VALUE"""),38.6)</f>
        <v>38.6</v>
      </c>
      <c r="H205" s="17">
        <f>IFERROR(__xludf.DUMMYFUNCTION("""COMPUTED_VALUE"""),35008.0)</f>
        <v>35008</v>
      </c>
      <c r="I205" s="19">
        <f>IFERROR(__xludf.DUMMYFUNCTION("""COMPUTED_VALUE"""),27.70277777777778)</f>
        <v>27.70277778</v>
      </c>
      <c r="J205" s="21">
        <f>IFERROR(__xludf.DUMMYFUNCTION("""COMPUTED_VALUE"""),76.0)</f>
        <v>76</v>
      </c>
      <c r="K205" s="23">
        <f>IFERROR(__xludf.DUMMYFUNCTION("""COMPUTED_VALUE"""),8.4)</f>
        <v>8.4</v>
      </c>
      <c r="L205" s="24">
        <f>IFERROR(__xludf.DUMMYFUNCTION("""COMPUTED_VALUE"""),5.0)</f>
        <v>5</v>
      </c>
      <c r="M205" s="25" t="str">
        <f>IFERROR(__xludf.DUMMYFUNCTION("""COMPUTED_VALUE"""),"Driving")</f>
        <v>Driving</v>
      </c>
      <c r="N205" s="25" t="str">
        <f>IFERROR(__xludf.DUMMYFUNCTION("""COMPUTED_VALUE"""),"PS1")</f>
        <v>PS1</v>
      </c>
      <c r="O205" s="26" t="str">
        <f>IFERROR(__xludf.DUMMYFUNCTION("""COMPUTED_VALUE"""),"Yes")</f>
        <v>Yes</v>
      </c>
      <c r="P205" s="26"/>
    </row>
    <row r="206">
      <c r="A206" s="13" t="str">
        <f>IFERROR(__xludf.DUMMYFUNCTION("""COMPUTED_VALUE"""),"Worms")</f>
        <v>Worms</v>
      </c>
      <c r="B206" s="15" t="str">
        <f>IFERROR(__xludf.DUMMYFUNCTION("""COMPUTED_VALUE"""),"PS5/PS4")</f>
        <v>PS5/PS4</v>
      </c>
      <c r="C206" s="16" t="str">
        <f>IFERROR(__xludf.DUMMYFUNCTION("""COMPUTED_VALUE"""),"Premium (Classics)")</f>
        <v>Premium (Classics)</v>
      </c>
      <c r="D206" s="15" t="str">
        <f>IFERROR(__xludf.DUMMYFUNCTION("""COMPUTED_VALUE"""),"Active")</f>
        <v>Active</v>
      </c>
      <c r="E206" s="17">
        <f>IFERROR(__xludf.DUMMYFUNCTION("""COMPUTED_VALUE"""),45097.0)</f>
        <v>45097</v>
      </c>
      <c r="F206" s="54"/>
      <c r="G206" s="19">
        <f>IFERROR(__xludf.DUMMYFUNCTION("""COMPUTED_VALUE"""),39.53333333333333)</f>
        <v>39.53333333</v>
      </c>
      <c r="H206" s="17">
        <f>IFERROR(__xludf.DUMMYFUNCTION("""COMPUTED_VALUE"""),35003.0)</f>
        <v>35003</v>
      </c>
      <c r="I206" s="19">
        <f>IFERROR(__xludf.DUMMYFUNCTION("""COMPUTED_VALUE"""),27.63888888888889)</f>
        <v>27.63888889</v>
      </c>
      <c r="J206" s="21">
        <f>IFERROR(__xludf.DUMMYFUNCTION("""COMPUTED_VALUE"""),76.0)</f>
        <v>76</v>
      </c>
      <c r="K206" s="23">
        <f>IFERROR(__xludf.DUMMYFUNCTION("""COMPUTED_VALUE"""),8.2)</f>
        <v>8.2</v>
      </c>
      <c r="L206" s="24">
        <f>IFERROR(__xludf.DUMMYFUNCTION("""COMPUTED_VALUE"""),4.0)</f>
        <v>4</v>
      </c>
      <c r="M206" s="25" t="str">
        <f>IFERROR(__xludf.DUMMYFUNCTION("""COMPUTED_VALUE"""),"Strategy")</f>
        <v>Strategy</v>
      </c>
      <c r="N206" s="25" t="str">
        <f>IFERROR(__xludf.DUMMYFUNCTION("""COMPUTED_VALUE"""),"PS1")</f>
        <v>PS1</v>
      </c>
      <c r="O206" s="26" t="str">
        <f>IFERROR(__xludf.DUMMYFUNCTION("""COMPUTED_VALUE"""),"Yes")</f>
        <v>Yes</v>
      </c>
      <c r="P206" s="26"/>
    </row>
    <row r="207">
      <c r="A207" s="13" t="str">
        <f>IFERROR(__xludf.DUMMYFUNCTION("""COMPUTED_VALUE"""),"Riders Republic")</f>
        <v>Riders Republic</v>
      </c>
      <c r="B207" s="15" t="str">
        <f>IFERROR(__xludf.DUMMYFUNCTION("""COMPUTED_VALUE"""),"PS5/PS4")</f>
        <v>PS5/PS4</v>
      </c>
      <c r="C207" s="16" t="str">
        <f>IFERROR(__xludf.DUMMYFUNCTION("""COMPUTED_VALUE"""),"Extra (Ubisoft+ Classics)")</f>
        <v>Extra (Ubisoft+ Classics)</v>
      </c>
      <c r="D207" s="15" t="str">
        <f>IFERROR(__xludf.DUMMYFUNCTION("""COMPUTED_VALUE"""),"Active")</f>
        <v>Active</v>
      </c>
      <c r="E207" s="17">
        <f>IFERROR(__xludf.DUMMYFUNCTION("""COMPUTED_VALUE"""),45034.0)</f>
        <v>45034</v>
      </c>
      <c r="F207" s="54"/>
      <c r="G207" s="19">
        <f>IFERROR(__xludf.DUMMYFUNCTION("""COMPUTED_VALUE"""),41.6)</f>
        <v>41.6</v>
      </c>
      <c r="H207" s="17">
        <f>IFERROR(__xludf.DUMMYFUNCTION("""COMPUTED_VALUE"""),44497.0)</f>
        <v>44497</v>
      </c>
      <c r="I207" s="19">
        <f>IFERROR(__xludf.DUMMYFUNCTION("""COMPUTED_VALUE"""),1.4722222222222223)</f>
        <v>1.472222222</v>
      </c>
      <c r="J207" s="21">
        <f>IFERROR(__xludf.DUMMYFUNCTION("""COMPUTED_VALUE"""),76.0)</f>
        <v>76</v>
      </c>
      <c r="K207" s="23">
        <f>IFERROR(__xludf.DUMMYFUNCTION("""COMPUTED_VALUE"""),5.9)</f>
        <v>5.9</v>
      </c>
      <c r="L207" s="24">
        <f>IFERROR(__xludf.DUMMYFUNCTION("""COMPUTED_VALUE"""),19.0)</f>
        <v>19</v>
      </c>
      <c r="M207" s="25" t="str">
        <f>IFERROR(__xludf.DUMMYFUNCTION("""COMPUTED_VALUE"""),"Sports")</f>
        <v>Sports</v>
      </c>
      <c r="N207" s="25"/>
      <c r="O207" s="26" t="str">
        <f>IFERROR(__xludf.DUMMYFUNCTION("""COMPUTED_VALUE"""),"Yes")</f>
        <v>Yes</v>
      </c>
      <c r="P207" s="26"/>
    </row>
    <row r="208">
      <c r="A208" s="13" t="str">
        <f>IFERROR(__xludf.DUMMYFUNCTION("""COMPUTED_VALUE"""),"Sniper Elite: Resistance")</f>
        <v>Sniper Elite: Resistance</v>
      </c>
      <c r="B208" s="15" t="str">
        <f>IFERROR(__xludf.DUMMYFUNCTION("""COMPUTED_VALUE"""),"PS5/PS4")</f>
        <v>PS5/PS4</v>
      </c>
      <c r="C208" s="16" t="str">
        <f>IFERROR(__xludf.DUMMYFUNCTION("""COMPUTED_VALUE"""),"Extra")</f>
        <v>Extra</v>
      </c>
      <c r="D208" s="15" t="str">
        <f>IFERROR(__xludf.DUMMYFUNCTION("""COMPUTED_VALUE"""),"Active")</f>
        <v>Active</v>
      </c>
      <c r="E208" s="17">
        <f>IFERROR(__xludf.DUMMYFUNCTION("""COMPUTED_VALUE"""),46294.0)</f>
        <v>46294</v>
      </c>
      <c r="F208" s="54"/>
      <c r="G208" s="19">
        <f>IFERROR(__xludf.DUMMYFUNCTION("""COMPUTED_VALUE"""),0.23333333333333334)</f>
        <v>0.2333333333</v>
      </c>
      <c r="H208" s="17">
        <f>IFERROR(__xludf.DUMMYFUNCTION("""COMPUTED_VALUE"""),45687.0)</f>
        <v>45687</v>
      </c>
      <c r="I208" s="19">
        <f>IFERROR(__xludf.DUMMYFUNCTION("""COMPUTED_VALUE"""),1.663888888888889)</f>
        <v>1.663888889</v>
      </c>
      <c r="J208" s="21">
        <f>IFERROR(__xludf.DUMMYFUNCTION("""COMPUTED_VALUE"""),75.0)</f>
        <v>75</v>
      </c>
      <c r="K208" s="23">
        <f>IFERROR(__xludf.DUMMYFUNCTION("""COMPUTED_VALUE"""),5.9)</f>
        <v>5.9</v>
      </c>
      <c r="L208" s="24">
        <f>IFERROR(__xludf.DUMMYFUNCTION("""COMPUTED_VALUE"""),9.0)</f>
        <v>9</v>
      </c>
      <c r="M208" s="25" t="str">
        <f>IFERROR(__xludf.DUMMYFUNCTION("""COMPUTED_VALUE"""),"Shooter")</f>
        <v>Shooter</v>
      </c>
      <c r="N208" s="25"/>
      <c r="O208" s="26"/>
      <c r="P208" s="26"/>
    </row>
    <row r="209">
      <c r="A209" s="13" t="str">
        <f>IFERROR(__xludf.DUMMYFUNCTION("""COMPUTED_VALUE"""),"Farming Simulator 25")</f>
        <v>Farming Simulator 25</v>
      </c>
      <c r="B209" s="15" t="str">
        <f>IFERROR(__xludf.DUMMYFUNCTION("""COMPUTED_VALUE"""),"PS5")</f>
        <v>PS5</v>
      </c>
      <c r="C209" s="16" t="str">
        <f>IFERROR(__xludf.DUMMYFUNCTION("""COMPUTED_VALUE"""),"Extra")</f>
        <v>Extra</v>
      </c>
      <c r="D209" s="15" t="str">
        <f>IFERROR(__xludf.DUMMYFUNCTION("""COMPUTED_VALUE"""),"Active")</f>
        <v>Active</v>
      </c>
      <c r="E209" s="17">
        <f>IFERROR(__xludf.DUMMYFUNCTION("""COMPUTED_VALUE"""),46189.0)</f>
        <v>46189</v>
      </c>
      <c r="F209" s="54"/>
      <c r="G209" s="19">
        <f>IFERROR(__xludf.DUMMYFUNCTION("""COMPUTED_VALUE"""),3.666666666666667)</f>
        <v>3.666666667</v>
      </c>
      <c r="H209" s="17">
        <f>IFERROR(__xludf.DUMMYFUNCTION("""COMPUTED_VALUE"""),45608.0)</f>
        <v>45608</v>
      </c>
      <c r="I209" s="19">
        <f>IFERROR(__xludf.DUMMYFUNCTION("""COMPUTED_VALUE"""),1.5944444444444446)</f>
        <v>1.594444444</v>
      </c>
      <c r="J209" s="21">
        <f>IFERROR(__xludf.DUMMYFUNCTION("""COMPUTED_VALUE"""),75.0)</f>
        <v>75</v>
      </c>
      <c r="K209" s="23">
        <f>IFERROR(__xludf.DUMMYFUNCTION("""COMPUTED_VALUE"""),5.3)</f>
        <v>5.3</v>
      </c>
      <c r="L209" s="24">
        <f>IFERROR(__xludf.DUMMYFUNCTION("""COMPUTED_VALUE"""),37.0)</f>
        <v>37</v>
      </c>
      <c r="M209" s="25" t="str">
        <f>IFERROR(__xludf.DUMMYFUNCTION("""COMPUTED_VALUE"""),"Simulation")</f>
        <v>Simulation</v>
      </c>
      <c r="N209" s="25"/>
      <c r="O209" s="26" t="str">
        <f>IFERROR(__xludf.DUMMYFUNCTION("""COMPUTED_VALUE"""),"No")</f>
        <v>No</v>
      </c>
      <c r="P209" s="26"/>
    </row>
    <row r="210">
      <c r="A210" s="13" t="str">
        <f>IFERROR(__xludf.DUMMYFUNCTION("""COMPUTED_VALUE"""),"Black Desert")</f>
        <v>Black Desert</v>
      </c>
      <c r="B210" s="15" t="str">
        <f>IFERROR(__xludf.DUMMYFUNCTION("""COMPUTED_VALUE"""),"PS5")</f>
        <v>PS5</v>
      </c>
      <c r="C210" s="16" t="str">
        <f>IFERROR(__xludf.DUMMYFUNCTION("""COMPUTED_VALUE"""),"Extra")</f>
        <v>Extra</v>
      </c>
      <c r="D210" s="15" t="str">
        <f>IFERROR(__xludf.DUMMYFUNCTION("""COMPUTED_VALUE"""),"Active")</f>
        <v>Active</v>
      </c>
      <c r="E210" s="17">
        <f>IFERROR(__xludf.DUMMYFUNCTION("""COMPUTED_VALUE"""),46189.0)</f>
        <v>46189</v>
      </c>
      <c r="F210" s="54"/>
      <c r="G210" s="19">
        <f>IFERROR(__xludf.DUMMYFUNCTION("""COMPUTED_VALUE"""),3.666666666666667)</f>
        <v>3.666666667</v>
      </c>
      <c r="H210" s="17">
        <f>IFERROR(__xludf.DUMMYFUNCTION("""COMPUTED_VALUE"""),43528.0)</f>
        <v>43528</v>
      </c>
      <c r="I210" s="19">
        <f>IFERROR(__xludf.DUMMYFUNCTION("""COMPUTED_VALUE"""),7.283333333333333)</f>
        <v>7.283333333</v>
      </c>
      <c r="J210" s="21">
        <f>IFERROR(__xludf.DUMMYFUNCTION("""COMPUTED_VALUE"""),75.0)</f>
        <v>75</v>
      </c>
      <c r="K210" s="23">
        <f>IFERROR(__xludf.DUMMYFUNCTION("""COMPUTED_VALUE"""),6.2)</f>
        <v>6.2</v>
      </c>
      <c r="L210" s="24">
        <f>IFERROR(__xludf.DUMMYFUNCTION("""COMPUTED_VALUE"""),34.0)</f>
        <v>34</v>
      </c>
      <c r="M210" s="25" t="str">
        <f>IFERROR(__xludf.DUMMYFUNCTION("""COMPUTED_VALUE"""),"RPG")</f>
        <v>RPG</v>
      </c>
      <c r="N210" s="25"/>
      <c r="O210" s="26" t="str">
        <f>IFERROR(__xludf.DUMMYFUNCTION("""COMPUTED_VALUE"""),"No")</f>
        <v>No</v>
      </c>
      <c r="P210" s="26"/>
    </row>
    <row r="211">
      <c r="A211" s="13" t="str">
        <f>IFERROR(__xludf.DUMMYFUNCTION("""COMPUTED_VALUE"""),"Star Wars Outlaws")</f>
        <v>Star Wars Outlaws</v>
      </c>
      <c r="B211" s="15" t="str">
        <f>IFERROR(__xludf.DUMMYFUNCTION("""COMPUTED_VALUE"""),"PS5")</f>
        <v>PS5</v>
      </c>
      <c r="C211" s="16" t="str">
        <f>IFERROR(__xludf.DUMMYFUNCTION("""COMPUTED_VALUE"""),"Extra")</f>
        <v>Extra</v>
      </c>
      <c r="D211" s="15" t="str">
        <f>IFERROR(__xludf.DUMMYFUNCTION("""COMPUTED_VALUE"""),"Active")</f>
        <v>Active</v>
      </c>
      <c r="E211" s="17">
        <f>IFERROR(__xludf.DUMMYFUNCTION("""COMPUTED_VALUE"""),46161.0)</f>
        <v>46161</v>
      </c>
      <c r="F211" s="54"/>
      <c r="G211" s="19">
        <f>IFERROR(__xludf.DUMMYFUNCTION("""COMPUTED_VALUE"""),4.566666666666666)</f>
        <v>4.566666667</v>
      </c>
      <c r="H211" s="17">
        <f>IFERROR(__xludf.DUMMYFUNCTION("""COMPUTED_VALUE"""),45531.0)</f>
        <v>45531</v>
      </c>
      <c r="I211" s="19">
        <f>IFERROR(__xludf.DUMMYFUNCTION("""COMPUTED_VALUE"""),1.7277777777777779)</f>
        <v>1.727777778</v>
      </c>
      <c r="J211" s="21">
        <f>IFERROR(__xludf.DUMMYFUNCTION("""COMPUTED_VALUE"""),75.0)</f>
        <v>75</v>
      </c>
      <c r="K211" s="23">
        <f>IFERROR(__xludf.DUMMYFUNCTION("""COMPUTED_VALUE"""),5.6)</f>
        <v>5.6</v>
      </c>
      <c r="L211" s="24">
        <f>IFERROR(__xludf.DUMMYFUNCTION("""COMPUTED_VALUE"""),18.5)</f>
        <v>18.5</v>
      </c>
      <c r="M211" s="25" t="str">
        <f>IFERROR(__xludf.DUMMYFUNCTION("""COMPUTED_VALUE"""),"Action-Adventure")</f>
        <v>Action-Adventure</v>
      </c>
      <c r="N211" s="25"/>
      <c r="O211" s="26" t="str">
        <f>IFERROR(__xludf.DUMMYFUNCTION("""COMPUTED_VALUE"""),"No")</f>
        <v>No</v>
      </c>
      <c r="P211" s="26"/>
    </row>
    <row r="212">
      <c r="A212" s="13" t="str">
        <f>IFERROR(__xludf.DUMMYFUNCTION("""COMPUTED_VALUE"""),"Astroneer")</f>
        <v>Astroneer</v>
      </c>
      <c r="B212" s="15" t="str">
        <f>IFERROR(__xludf.DUMMYFUNCTION("""COMPUTED_VALUE"""),"PS5/PS4")</f>
        <v>PS5/PS4</v>
      </c>
      <c r="C212" s="16" t="str">
        <f>IFERROR(__xludf.DUMMYFUNCTION("""COMPUTED_VALUE"""),"Extra")</f>
        <v>Extra</v>
      </c>
      <c r="D212" s="15" t="str">
        <f>IFERROR(__xludf.DUMMYFUNCTION("""COMPUTED_VALUE"""),"Active")</f>
        <v>Active</v>
      </c>
      <c r="E212" s="17">
        <f>IFERROR(__xludf.DUMMYFUNCTION("""COMPUTED_VALUE"""),46098.0)</f>
        <v>46098</v>
      </c>
      <c r="F212" s="54"/>
      <c r="G212" s="19">
        <f>IFERROR(__xludf.DUMMYFUNCTION("""COMPUTED_VALUE"""),6.633333333333334)</f>
        <v>6.633333333</v>
      </c>
      <c r="H212" s="17">
        <f>IFERROR(__xludf.DUMMYFUNCTION("""COMPUTED_VALUE"""),43502.0)</f>
        <v>43502</v>
      </c>
      <c r="I212" s="19">
        <f>IFERROR(__xludf.DUMMYFUNCTION("""COMPUTED_VALUE"""),7.113888888888889)</f>
        <v>7.113888889</v>
      </c>
      <c r="J212" s="21">
        <f>IFERROR(__xludf.DUMMYFUNCTION("""COMPUTED_VALUE"""),75.0)</f>
        <v>75</v>
      </c>
      <c r="K212" s="23">
        <f>IFERROR(__xludf.DUMMYFUNCTION("""COMPUTED_VALUE"""),7.0)</f>
        <v>7</v>
      </c>
      <c r="L212" s="24">
        <f>IFERROR(__xludf.DUMMYFUNCTION("""COMPUTED_VALUE"""),18.0)</f>
        <v>18</v>
      </c>
      <c r="M212" s="25" t="str">
        <f>IFERROR(__xludf.DUMMYFUNCTION("""COMPUTED_VALUE"""),"Adventure")</f>
        <v>Adventure</v>
      </c>
      <c r="N212" s="25"/>
      <c r="O212" s="26"/>
      <c r="P212" s="26"/>
    </row>
    <row r="213">
      <c r="A213" s="13" t="str">
        <f>IFERROR(__xludf.DUMMYFUNCTION("""COMPUTED_VALUE"""),"A Little to the Left")</f>
        <v>A Little to the Left</v>
      </c>
      <c r="B213" s="15" t="str">
        <f>IFERROR(__xludf.DUMMYFUNCTION("""COMPUTED_VALUE"""),"PS5/PS4")</f>
        <v>PS5/PS4</v>
      </c>
      <c r="C213" s="16" t="str">
        <f>IFERROR(__xludf.DUMMYFUNCTION("""COMPUTED_VALUE"""),"Extra")</f>
        <v>Extra</v>
      </c>
      <c r="D213" s="15" t="str">
        <f>IFERROR(__xludf.DUMMYFUNCTION("""COMPUTED_VALUE"""),"Active")</f>
        <v>Active</v>
      </c>
      <c r="E213" s="17">
        <f>IFERROR(__xludf.DUMMYFUNCTION("""COMPUTED_VALUE"""),46042.0)</f>
        <v>46042</v>
      </c>
      <c r="F213" s="54"/>
      <c r="G213" s="19">
        <f>IFERROR(__xludf.DUMMYFUNCTION("""COMPUTED_VALUE"""),8.533333333333333)</f>
        <v>8.533333333</v>
      </c>
      <c r="H213" s="17">
        <f>IFERROR(__xludf.DUMMYFUNCTION("""COMPUTED_VALUE"""),44873.0)</f>
        <v>44873</v>
      </c>
      <c r="I213" s="19">
        <f>IFERROR(__xludf.DUMMYFUNCTION("""COMPUTED_VALUE"""),3.2)</f>
        <v>3.2</v>
      </c>
      <c r="J213" s="21">
        <f>IFERROR(__xludf.DUMMYFUNCTION("""COMPUTED_VALUE"""),75.0)</f>
        <v>75</v>
      </c>
      <c r="K213" s="23">
        <f>IFERROR(__xludf.DUMMYFUNCTION("""COMPUTED_VALUE"""),7.1)</f>
        <v>7.1</v>
      </c>
      <c r="L213" s="24">
        <f>IFERROR(__xludf.DUMMYFUNCTION("""COMPUTED_VALUE"""),4.0)</f>
        <v>4</v>
      </c>
      <c r="M213" s="25" t="str">
        <f>IFERROR(__xludf.DUMMYFUNCTION("""COMPUTED_VALUE"""),"Puzzle")</f>
        <v>Puzzle</v>
      </c>
      <c r="N213" s="25"/>
      <c r="O213" s="26"/>
      <c r="P213" s="26"/>
    </row>
    <row r="214">
      <c r="A214" s="13" t="str">
        <f>IFERROR(__xludf.DUMMYFUNCTION("""COMPUTED_VALUE"""),"Poppy Playtime: Chapter 1")</f>
        <v>Poppy Playtime: Chapter 1</v>
      </c>
      <c r="B214" s="15" t="str">
        <f>IFERROR(__xludf.DUMMYFUNCTION("""COMPUTED_VALUE"""),"PS5/PS4")</f>
        <v>PS5/PS4</v>
      </c>
      <c r="C214" s="16" t="str">
        <f>IFERROR(__xludf.DUMMYFUNCTION("""COMPUTED_VALUE"""),"Extra")</f>
        <v>Extra</v>
      </c>
      <c r="D214" s="15" t="str">
        <f>IFERROR(__xludf.DUMMYFUNCTION("""COMPUTED_VALUE"""),"Active")</f>
        <v>Active</v>
      </c>
      <c r="E214" s="17">
        <f>IFERROR(__xludf.DUMMYFUNCTION("""COMPUTED_VALUE"""),45951.0)</f>
        <v>45951</v>
      </c>
      <c r="F214" s="54"/>
      <c r="G214" s="19">
        <f>IFERROR(__xludf.DUMMYFUNCTION("""COMPUTED_VALUE"""),11.5)</f>
        <v>11.5</v>
      </c>
      <c r="H214" s="17">
        <f>IFERROR(__xludf.DUMMYFUNCTION("""COMPUTED_VALUE"""),45485.0)</f>
        <v>45485</v>
      </c>
      <c r="I214" s="19">
        <f>IFERROR(__xludf.DUMMYFUNCTION("""COMPUTED_VALUE"""),1.275)</f>
        <v>1.275</v>
      </c>
      <c r="J214" s="21">
        <f>IFERROR(__xludf.DUMMYFUNCTION("""COMPUTED_VALUE"""),75.0)</f>
        <v>75</v>
      </c>
      <c r="K214" s="23">
        <f>IFERROR(__xludf.DUMMYFUNCTION("""COMPUTED_VALUE"""),6.8)</f>
        <v>6.8</v>
      </c>
      <c r="L214" s="24">
        <f>IFERROR(__xludf.DUMMYFUNCTION("""COMPUTED_VALUE"""),1.0)</f>
        <v>1</v>
      </c>
      <c r="M214" s="25" t="str">
        <f>IFERROR(__xludf.DUMMYFUNCTION("""COMPUTED_VALUE"""),"Survival")</f>
        <v>Survival</v>
      </c>
      <c r="N214" s="25"/>
      <c r="O214" s="26"/>
      <c r="P214" s="26"/>
    </row>
    <row r="215">
      <c r="A215" s="13" t="str">
        <f>IFERROR(__xludf.DUMMYFUNCTION("""COMPUTED_VALUE"""),"Legacy of Kain: Defiance")</f>
        <v>Legacy of Kain: Defiance</v>
      </c>
      <c r="B215" s="15" t="str">
        <f>IFERROR(__xludf.DUMMYFUNCTION("""COMPUTED_VALUE"""),"PS5/PS4")</f>
        <v>PS5/PS4</v>
      </c>
      <c r="C215" s="16" t="str">
        <f>IFERROR(__xludf.DUMMYFUNCTION("""COMPUTED_VALUE"""),"Premium (Classics)")</f>
        <v>Premium (Classics)</v>
      </c>
      <c r="D215" s="15" t="str">
        <f>IFERROR(__xludf.DUMMYFUNCTION("""COMPUTED_VALUE"""),"Active")</f>
        <v>Active</v>
      </c>
      <c r="E215" s="17">
        <f>IFERROR(__xludf.DUMMYFUNCTION("""COMPUTED_VALUE"""),45916.0)</f>
        <v>45916</v>
      </c>
      <c r="F215" s="54"/>
      <c r="G215" s="19">
        <f>IFERROR(__xludf.DUMMYFUNCTION("""COMPUTED_VALUE"""),12.666666666666668)</f>
        <v>12.66666667</v>
      </c>
      <c r="H215" s="17">
        <f>IFERROR(__xludf.DUMMYFUNCTION("""COMPUTED_VALUE"""),37936.0)</f>
        <v>37936</v>
      </c>
      <c r="I215" s="19">
        <f>IFERROR(__xludf.DUMMYFUNCTION("""COMPUTED_VALUE"""),21.84722222222222)</f>
        <v>21.84722222</v>
      </c>
      <c r="J215" s="21">
        <f>IFERROR(__xludf.DUMMYFUNCTION("""COMPUTED_VALUE"""),75.0)</f>
        <v>75</v>
      </c>
      <c r="K215" s="23">
        <f>IFERROR(__xludf.DUMMYFUNCTION("""COMPUTED_VALUE"""),8.7)</f>
        <v>8.7</v>
      </c>
      <c r="L215" s="24">
        <f>IFERROR(__xludf.DUMMYFUNCTION("""COMPUTED_VALUE"""),12.0)</f>
        <v>12</v>
      </c>
      <c r="M215" s="25" t="str">
        <f>IFERROR(__xludf.DUMMYFUNCTION("""COMPUTED_VALUE"""),"Survival")</f>
        <v>Survival</v>
      </c>
      <c r="N215" s="25" t="str">
        <f>IFERROR(__xludf.DUMMYFUNCTION("""COMPUTED_VALUE"""),"PS2")</f>
        <v>PS2</v>
      </c>
      <c r="O215" s="26"/>
      <c r="P215" s="26"/>
    </row>
    <row r="216">
      <c r="A216" s="13" t="str">
        <f>IFERROR(__xludf.DUMMYFUNCTION("""COMPUTED_VALUE"""),"Endless Dungeon")</f>
        <v>Endless Dungeon</v>
      </c>
      <c r="B216" s="15" t="str">
        <f>IFERROR(__xludf.DUMMYFUNCTION("""COMPUTED_VALUE"""),"PS5/PS4")</f>
        <v>PS5/PS4</v>
      </c>
      <c r="C216" s="16" t="str">
        <f>IFERROR(__xludf.DUMMYFUNCTION("""COMPUTED_VALUE"""),"Extra")</f>
        <v>Extra</v>
      </c>
      <c r="D216" s="15" t="str">
        <f>IFERROR(__xludf.DUMMYFUNCTION("""COMPUTED_VALUE"""),"Active")</f>
        <v>Active</v>
      </c>
      <c r="E216" s="17">
        <f>IFERROR(__xludf.DUMMYFUNCTION("""COMPUTED_VALUE"""),45825.0)</f>
        <v>45825</v>
      </c>
      <c r="F216" s="54"/>
      <c r="G216" s="19">
        <f>IFERROR(__xludf.DUMMYFUNCTION("""COMPUTED_VALUE"""),15.633333333333333)</f>
        <v>15.63333333</v>
      </c>
      <c r="H216" s="17">
        <f>IFERROR(__xludf.DUMMYFUNCTION("""COMPUTED_VALUE"""),45218.0)</f>
        <v>45218</v>
      </c>
      <c r="I216" s="19">
        <f>IFERROR(__xludf.DUMMYFUNCTION("""COMPUTED_VALUE"""),1.6611111111111112)</f>
        <v>1.661111111</v>
      </c>
      <c r="J216" s="21">
        <f>IFERROR(__xludf.DUMMYFUNCTION("""COMPUTED_VALUE"""),75.0)</f>
        <v>75</v>
      </c>
      <c r="K216" s="23">
        <f>IFERROR(__xludf.DUMMYFUNCTION("""COMPUTED_VALUE"""),7.6)</f>
        <v>7.6</v>
      </c>
      <c r="L216" s="24">
        <f>IFERROR(__xludf.DUMMYFUNCTION("""COMPUTED_VALUE"""),15.0)</f>
        <v>15</v>
      </c>
      <c r="M216" s="25" t="str">
        <f>IFERROR(__xludf.DUMMYFUNCTION("""COMPUTED_VALUE"""),"Strategy")</f>
        <v>Strategy</v>
      </c>
      <c r="N216" s="25"/>
      <c r="O216" s="26"/>
      <c r="P216" s="26"/>
    </row>
    <row r="217">
      <c r="A217" s="13" t="str">
        <f>IFERROR(__xludf.DUMMYFUNCTION("""COMPUTED_VALUE"""),"Myst")</f>
        <v>Myst</v>
      </c>
      <c r="B217" s="15" t="str">
        <f>IFERROR(__xludf.DUMMYFUNCTION("""COMPUTED_VALUE"""),"PS5/PS4")</f>
        <v>PS5/PS4</v>
      </c>
      <c r="C217" s="16" t="str">
        <f>IFERROR(__xludf.DUMMYFUNCTION("""COMPUTED_VALUE"""),"Premium (Classics)")</f>
        <v>Premium (Classics)</v>
      </c>
      <c r="D217" s="15" t="str">
        <f>IFERROR(__xludf.DUMMYFUNCTION("""COMPUTED_VALUE"""),"Active")</f>
        <v>Active</v>
      </c>
      <c r="E217" s="17">
        <f>IFERROR(__xludf.DUMMYFUNCTION("""COMPUTED_VALUE"""),45813.0)</f>
        <v>45813</v>
      </c>
      <c r="F217" s="54"/>
      <c r="G217" s="19">
        <f>IFERROR(__xludf.DUMMYFUNCTION("""COMPUTED_VALUE"""),16.03333333333333)</f>
        <v>16.03333333</v>
      </c>
      <c r="H217" s="17">
        <f>IFERROR(__xludf.DUMMYFUNCTION("""COMPUTED_VALUE"""),34236.0)</f>
        <v>34236</v>
      </c>
      <c r="I217" s="19">
        <f>IFERROR(__xludf.DUMMYFUNCTION("""COMPUTED_VALUE"""),31.697222222222223)</f>
        <v>31.69722222</v>
      </c>
      <c r="J217" s="21">
        <f>IFERROR(__xludf.DUMMYFUNCTION("""COMPUTED_VALUE"""),75.0)</f>
        <v>75</v>
      </c>
      <c r="K217" s="23">
        <f>IFERROR(__xludf.DUMMYFUNCTION("""COMPUTED_VALUE"""),8.6)</f>
        <v>8.6</v>
      </c>
      <c r="L217" s="24">
        <f>IFERROR(__xludf.DUMMYFUNCTION("""COMPUTED_VALUE"""),6.0)</f>
        <v>6</v>
      </c>
      <c r="M217" s="25" t="str">
        <f>IFERROR(__xludf.DUMMYFUNCTION("""COMPUTED_VALUE"""),"Point-and-Click")</f>
        <v>Point-and-Click</v>
      </c>
      <c r="N217" s="25" t="str">
        <f>IFERROR(__xludf.DUMMYFUNCTION("""COMPUTED_VALUE"""),"PS1")</f>
        <v>PS1</v>
      </c>
      <c r="O217" s="26"/>
      <c r="P217" s="26"/>
    </row>
    <row r="218">
      <c r="A218" s="13" t="str">
        <f>IFERROR(__xludf.DUMMYFUNCTION("""COMPUTED_VALUE"""),"Armored Core: Master of Arena")</f>
        <v>Armored Core: Master of Arena</v>
      </c>
      <c r="B218" s="15" t="str">
        <f>IFERROR(__xludf.DUMMYFUNCTION("""COMPUTED_VALUE"""),"PS5/PS4")</f>
        <v>PS5/PS4</v>
      </c>
      <c r="C218" s="16" t="str">
        <f>IFERROR(__xludf.DUMMYFUNCTION("""COMPUTED_VALUE"""),"Premium (Classics)")</f>
        <v>Premium (Classics)</v>
      </c>
      <c r="D218" s="15" t="str">
        <f>IFERROR(__xludf.DUMMYFUNCTION("""COMPUTED_VALUE"""),"Active")</f>
        <v>Active</v>
      </c>
      <c r="E218" s="17">
        <f>IFERROR(__xludf.DUMMYFUNCTION("""COMPUTED_VALUE"""),45734.0)</f>
        <v>45734</v>
      </c>
      <c r="F218" s="54"/>
      <c r="G218" s="19">
        <f>IFERROR(__xludf.DUMMYFUNCTION("""COMPUTED_VALUE"""),18.6)</f>
        <v>18.6</v>
      </c>
      <c r="H218" s="17">
        <f>IFERROR(__xludf.DUMMYFUNCTION("""COMPUTED_VALUE"""),36559.0)</f>
        <v>36559</v>
      </c>
      <c r="I218" s="19">
        <f>IFERROR(__xludf.DUMMYFUNCTION("""COMPUTED_VALUE"""),25.125)</f>
        <v>25.125</v>
      </c>
      <c r="J218" s="21">
        <f>IFERROR(__xludf.DUMMYFUNCTION("""COMPUTED_VALUE"""),75.0)</f>
        <v>75</v>
      </c>
      <c r="K218" s="23">
        <f>IFERROR(__xludf.DUMMYFUNCTION("""COMPUTED_VALUE"""),8.2)</f>
        <v>8.2</v>
      </c>
      <c r="L218" s="24">
        <f>IFERROR(__xludf.DUMMYFUNCTION("""COMPUTED_VALUE"""),4.0)</f>
        <v>4</v>
      </c>
      <c r="M218" s="25" t="str">
        <f>IFERROR(__xludf.DUMMYFUNCTION("""COMPUTED_VALUE"""),"RPG")</f>
        <v>RPG</v>
      </c>
      <c r="N218" s="25" t="str">
        <f>IFERROR(__xludf.DUMMYFUNCTION("""COMPUTED_VALUE"""),"PS1")</f>
        <v>PS1</v>
      </c>
      <c r="O218" s="26" t="str">
        <f>IFERROR(__xludf.DUMMYFUNCTION("""COMPUTED_VALUE"""),"Yes")</f>
        <v>Yes</v>
      </c>
      <c r="P218" s="26"/>
    </row>
    <row r="219">
      <c r="A219" s="13" t="str">
        <f>IFERROR(__xludf.DUMMYFUNCTION("""COMPUTED_VALUE"""),"Chernobylite")</f>
        <v>Chernobylite</v>
      </c>
      <c r="B219" s="15" t="str">
        <f>IFERROR(__xludf.DUMMYFUNCTION("""COMPUTED_VALUE"""),"PS5/PS4")</f>
        <v>PS5/PS4</v>
      </c>
      <c r="C219" s="16" t="str">
        <f>IFERROR(__xludf.DUMMYFUNCTION("""COMPUTED_VALUE"""),"Extra")</f>
        <v>Extra</v>
      </c>
      <c r="D219" s="15" t="str">
        <f>IFERROR(__xludf.DUMMYFUNCTION("""COMPUTED_VALUE"""),"Active")</f>
        <v>Active</v>
      </c>
      <c r="E219" s="17">
        <f>IFERROR(__xludf.DUMMYFUNCTION("""COMPUTED_VALUE"""),45552.0)</f>
        <v>45552</v>
      </c>
      <c r="F219" s="54"/>
      <c r="G219" s="19">
        <f>IFERROR(__xludf.DUMMYFUNCTION("""COMPUTED_VALUE"""),24.633333333333333)</f>
        <v>24.63333333</v>
      </c>
      <c r="H219" s="17">
        <f>IFERROR(__xludf.DUMMYFUNCTION("""COMPUTED_VALUE"""),44405.0)</f>
        <v>44405</v>
      </c>
      <c r="I219" s="19">
        <f>IFERROR(__xludf.DUMMYFUNCTION("""COMPUTED_VALUE"""),3.136111111111111)</f>
        <v>3.136111111</v>
      </c>
      <c r="J219" s="21">
        <f>IFERROR(__xludf.DUMMYFUNCTION("""COMPUTED_VALUE"""),75.0)</f>
        <v>75</v>
      </c>
      <c r="K219" s="23">
        <f>IFERROR(__xludf.DUMMYFUNCTION("""COMPUTED_VALUE"""),7.8)</f>
        <v>7.8</v>
      </c>
      <c r="L219" s="24">
        <f>IFERROR(__xludf.DUMMYFUNCTION("""COMPUTED_VALUE"""),15.0)</f>
        <v>15</v>
      </c>
      <c r="M219" s="25" t="str">
        <f>IFERROR(__xludf.DUMMYFUNCTION("""COMPUTED_VALUE"""),"Survival")</f>
        <v>Survival</v>
      </c>
      <c r="N219" s="25"/>
      <c r="O219" s="26" t="str">
        <f>IFERROR(__xludf.DUMMYFUNCTION("""COMPUTED_VALUE"""),"Yes")</f>
        <v>Yes</v>
      </c>
      <c r="P219" s="26"/>
    </row>
    <row r="220">
      <c r="A220" s="13" t="str">
        <f>IFERROR(__xludf.DUMMYFUNCTION("""COMPUTED_VALUE"""),"SkyGunner")</f>
        <v>SkyGunner</v>
      </c>
      <c r="B220" s="15" t="str">
        <f>IFERROR(__xludf.DUMMYFUNCTION("""COMPUTED_VALUE"""),"PS5/PS4")</f>
        <v>PS5/PS4</v>
      </c>
      <c r="C220" s="16" t="str">
        <f>IFERROR(__xludf.DUMMYFUNCTION("""COMPUTED_VALUE"""),"Premium (Classics)")</f>
        <v>Premium (Classics)</v>
      </c>
      <c r="D220" s="15" t="str">
        <f>IFERROR(__xludf.DUMMYFUNCTION("""COMPUTED_VALUE"""),"Active")</f>
        <v>Active</v>
      </c>
      <c r="E220" s="17">
        <f>IFERROR(__xludf.DUMMYFUNCTION("""COMPUTED_VALUE"""),45552.0)</f>
        <v>45552</v>
      </c>
      <c r="F220" s="54"/>
      <c r="G220" s="19">
        <f>IFERROR(__xludf.DUMMYFUNCTION("""COMPUTED_VALUE"""),24.633333333333333)</f>
        <v>24.63333333</v>
      </c>
      <c r="H220" s="17">
        <f>IFERROR(__xludf.DUMMYFUNCTION("""COMPUTED_VALUE"""),37431.0)</f>
        <v>37431</v>
      </c>
      <c r="I220" s="19">
        <f>IFERROR(__xludf.DUMMYFUNCTION("""COMPUTED_VALUE"""),22.230555555555554)</f>
        <v>22.23055556</v>
      </c>
      <c r="J220" s="21">
        <f>IFERROR(__xludf.DUMMYFUNCTION("""COMPUTED_VALUE"""),75.0)</f>
        <v>75</v>
      </c>
      <c r="K220" s="23">
        <f>IFERROR(__xludf.DUMMYFUNCTION("""COMPUTED_VALUE"""),8.1)</f>
        <v>8.1</v>
      </c>
      <c r="L220" s="24">
        <f>IFERROR(__xludf.DUMMYFUNCTION("""COMPUTED_VALUE"""),3.0)</f>
        <v>3</v>
      </c>
      <c r="M220" s="25" t="str">
        <f>IFERROR(__xludf.DUMMYFUNCTION("""COMPUTED_VALUE"""),"Shooter")</f>
        <v>Shooter</v>
      </c>
      <c r="N220" s="25" t="str">
        <f>IFERROR(__xludf.DUMMYFUNCTION("""COMPUTED_VALUE"""),"PS2")</f>
        <v>PS2</v>
      </c>
      <c r="O220" s="26" t="str">
        <f>IFERROR(__xludf.DUMMYFUNCTION("""COMPUTED_VALUE"""),"Yes")</f>
        <v>Yes</v>
      </c>
      <c r="P220" s="26"/>
    </row>
    <row r="221">
      <c r="A221" s="13" t="str">
        <f>IFERROR(__xludf.DUMMYFUNCTION("""COMPUTED_VALUE"""),"No More Heroes III")</f>
        <v>No More Heroes III</v>
      </c>
      <c r="B221" s="15" t="str">
        <f>IFERROR(__xludf.DUMMYFUNCTION("""COMPUTED_VALUE"""),"PS5/PS4")</f>
        <v>PS5/PS4</v>
      </c>
      <c r="C221" s="16" t="str">
        <f>IFERROR(__xludf.DUMMYFUNCTION("""COMPUTED_VALUE"""),"Extra")</f>
        <v>Extra</v>
      </c>
      <c r="D221" s="15" t="str">
        <f>IFERROR(__xludf.DUMMYFUNCTION("""COMPUTED_VALUE"""),"Active")</f>
        <v>Active</v>
      </c>
      <c r="E221" s="17">
        <f>IFERROR(__xludf.DUMMYFUNCTION("""COMPUTED_VALUE"""),45489.0)</f>
        <v>45489</v>
      </c>
      <c r="F221" s="54"/>
      <c r="G221" s="19">
        <f>IFERROR(__xludf.DUMMYFUNCTION("""COMPUTED_VALUE"""),26.666666666666668)</f>
        <v>26.66666667</v>
      </c>
      <c r="H221" s="17">
        <f>IFERROR(__xludf.DUMMYFUNCTION("""COMPUTED_VALUE"""),44435.0)</f>
        <v>44435</v>
      </c>
      <c r="I221" s="19">
        <f>IFERROR(__xludf.DUMMYFUNCTION("""COMPUTED_VALUE"""),2.886111111111111)</f>
        <v>2.886111111</v>
      </c>
      <c r="J221" s="21">
        <f>IFERROR(__xludf.DUMMYFUNCTION("""COMPUTED_VALUE"""),75.0)</f>
        <v>75</v>
      </c>
      <c r="K221" s="23">
        <f>IFERROR(__xludf.DUMMYFUNCTION("""COMPUTED_VALUE"""),8.1)</f>
        <v>8.1</v>
      </c>
      <c r="L221" s="24">
        <f>IFERROR(__xludf.DUMMYFUNCTION("""COMPUTED_VALUE"""),12.0)</f>
        <v>12</v>
      </c>
      <c r="M221" s="25" t="str">
        <f>IFERROR(__xludf.DUMMYFUNCTION("""COMPUTED_VALUE"""),"Action-Adventure")</f>
        <v>Action-Adventure</v>
      </c>
      <c r="N221" s="25"/>
      <c r="O221" s="26" t="str">
        <f>IFERROR(__xludf.DUMMYFUNCTION("""COMPUTED_VALUE"""),"Yes")</f>
        <v>Yes</v>
      </c>
      <c r="P221" s="26"/>
    </row>
    <row r="222">
      <c r="A222" s="13" t="str">
        <f>IFERROR(__xludf.DUMMYFUNCTION("""COMPUTED_VALUE"""),"Deceive Inc.")</f>
        <v>Deceive Inc.</v>
      </c>
      <c r="B222" s="15" t="str">
        <f>IFERROR(__xludf.DUMMYFUNCTION("""COMPUTED_VALUE"""),"PS5")</f>
        <v>PS5</v>
      </c>
      <c r="C222" s="16" t="str">
        <f>IFERROR(__xludf.DUMMYFUNCTION("""COMPUTED_VALUE"""),"Extra")</f>
        <v>Extra</v>
      </c>
      <c r="D222" s="15" t="str">
        <f>IFERROR(__xludf.DUMMYFUNCTION("""COMPUTED_VALUE"""),"Active")</f>
        <v>Active</v>
      </c>
      <c r="E222" s="17">
        <f>IFERROR(__xludf.DUMMYFUNCTION("""COMPUTED_VALUE"""),45433.0)</f>
        <v>45433</v>
      </c>
      <c r="F222" s="54"/>
      <c r="G222" s="19">
        <f>IFERROR(__xludf.DUMMYFUNCTION("""COMPUTED_VALUE"""),28.5)</f>
        <v>28.5</v>
      </c>
      <c r="H222" s="17">
        <f>IFERROR(__xludf.DUMMYFUNCTION("""COMPUTED_VALUE"""),45006.0)</f>
        <v>45006</v>
      </c>
      <c r="I222" s="19">
        <f>IFERROR(__xludf.DUMMYFUNCTION("""COMPUTED_VALUE"""),1.1666666666666667)</f>
        <v>1.166666667</v>
      </c>
      <c r="J222" s="21">
        <f>IFERROR(__xludf.DUMMYFUNCTION("""COMPUTED_VALUE"""),75.0)</f>
        <v>75</v>
      </c>
      <c r="K222" s="23">
        <f>IFERROR(__xludf.DUMMYFUNCTION("""COMPUTED_VALUE"""),6.4)</f>
        <v>6.4</v>
      </c>
      <c r="L222" s="24">
        <f>IFERROR(__xludf.DUMMYFUNCTION("""COMPUTED_VALUE"""),17.0)</f>
        <v>17</v>
      </c>
      <c r="M222" s="25" t="str">
        <f>IFERROR(__xludf.DUMMYFUNCTION("""COMPUTED_VALUE"""),"Shooter")</f>
        <v>Shooter</v>
      </c>
      <c r="N222" s="25"/>
      <c r="O222" s="26" t="str">
        <f>IFERROR(__xludf.DUMMYFUNCTION("""COMPUTED_VALUE"""),"Portal (PS5 + Premium)")</f>
        <v>Portal (PS5 + Premium)</v>
      </c>
      <c r="P222" s="26"/>
    </row>
    <row r="223">
      <c r="A223" s="13" t="str">
        <f>IFERROR(__xludf.DUMMYFUNCTION("""COMPUTED_VALUE"""),"Pursuit Force")</f>
        <v>Pursuit Force</v>
      </c>
      <c r="B223" s="15" t="str">
        <f>IFERROR(__xludf.DUMMYFUNCTION("""COMPUTED_VALUE"""),"PS5/PS4")</f>
        <v>PS5/PS4</v>
      </c>
      <c r="C223" s="16" t="str">
        <f>IFERROR(__xludf.DUMMYFUNCTION("""COMPUTED_VALUE"""),"Premium (Classics)")</f>
        <v>Premium (Classics)</v>
      </c>
      <c r="D223" s="15" t="str">
        <f>IFERROR(__xludf.DUMMYFUNCTION("""COMPUTED_VALUE"""),"Active")</f>
        <v>Active</v>
      </c>
      <c r="E223" s="17">
        <f>IFERROR(__xludf.DUMMYFUNCTION("""COMPUTED_VALUE"""),45062.0)</f>
        <v>45062</v>
      </c>
      <c r="F223" s="54"/>
      <c r="G223" s="19">
        <f>IFERROR(__xludf.DUMMYFUNCTION("""COMPUTED_VALUE"""),40.666666666666664)</f>
        <v>40.66666667</v>
      </c>
      <c r="H223" s="17">
        <f>IFERROR(__xludf.DUMMYFUNCTION("""COMPUTED_VALUE"""),38783.0)</f>
        <v>38783</v>
      </c>
      <c r="I223" s="19">
        <f>IFERROR(__xludf.DUMMYFUNCTION("""COMPUTED_VALUE"""),17.191666666666666)</f>
        <v>17.19166667</v>
      </c>
      <c r="J223" s="21">
        <f>IFERROR(__xludf.DUMMYFUNCTION("""COMPUTED_VALUE"""),75.0)</f>
        <v>75</v>
      </c>
      <c r="K223" s="23">
        <f>IFERROR(__xludf.DUMMYFUNCTION("""COMPUTED_VALUE"""),7.3)</f>
        <v>7.3</v>
      </c>
      <c r="L223" s="24">
        <f>IFERROR(__xludf.DUMMYFUNCTION("""COMPUTED_VALUE"""),9.0)</f>
        <v>9</v>
      </c>
      <c r="M223" s="25" t="str">
        <f>IFERROR(__xludf.DUMMYFUNCTION("""COMPUTED_VALUE"""),"Racing")</f>
        <v>Racing</v>
      </c>
      <c r="N223" s="25" t="str">
        <f>IFERROR(__xludf.DUMMYFUNCTION("""COMPUTED_VALUE"""),"PSP")</f>
        <v>PSP</v>
      </c>
      <c r="O223" s="26" t="str">
        <f>IFERROR(__xludf.DUMMYFUNCTION("""COMPUTED_VALUE"""),"Yes")</f>
        <v>Yes</v>
      </c>
      <c r="P223" s="26"/>
    </row>
    <row r="224">
      <c r="A224" s="13" t="str">
        <f>IFERROR(__xludf.DUMMYFUNCTION("""COMPUTED_VALUE"""),"Pinball Heroes")</f>
        <v>Pinball Heroes</v>
      </c>
      <c r="B224" s="15" t="str">
        <f>IFERROR(__xludf.DUMMYFUNCTION("""COMPUTED_VALUE"""),"PS5/PS4")</f>
        <v>PS5/PS4</v>
      </c>
      <c r="C224" s="16" t="str">
        <f>IFERROR(__xludf.DUMMYFUNCTION("""COMPUTED_VALUE"""),"Premium (Classics)")</f>
        <v>Premium (Classics)</v>
      </c>
      <c r="D224" s="15" t="str">
        <f>IFERROR(__xludf.DUMMYFUNCTION("""COMPUTED_VALUE"""),"Active")</f>
        <v>Active</v>
      </c>
      <c r="E224" s="17">
        <f>IFERROR(__xludf.DUMMYFUNCTION("""COMPUTED_VALUE"""),44915.0)</f>
        <v>44915</v>
      </c>
      <c r="F224" s="54"/>
      <c r="G224" s="19">
        <f>IFERROR(__xludf.DUMMYFUNCTION("""COMPUTED_VALUE"""),45.53333333333333)</f>
        <v>45.53333333</v>
      </c>
      <c r="H224" s="17">
        <f>IFERROR(__xludf.DUMMYFUNCTION("""COMPUTED_VALUE"""),39406.0)</f>
        <v>39406</v>
      </c>
      <c r="I224" s="19">
        <f>IFERROR(__xludf.DUMMYFUNCTION("""COMPUTED_VALUE"""),15.083333333333334)</f>
        <v>15.08333333</v>
      </c>
      <c r="J224" s="21">
        <f>IFERROR(__xludf.DUMMYFUNCTION("""COMPUTED_VALUE"""),75.0)</f>
        <v>75</v>
      </c>
      <c r="K224" s="23">
        <f>IFERROR(__xludf.DUMMYFUNCTION("""COMPUTED_VALUE"""),7.8)</f>
        <v>7.8</v>
      </c>
      <c r="L224" s="24">
        <f>IFERROR(__xludf.DUMMYFUNCTION("""COMPUTED_VALUE"""),1.5)</f>
        <v>1.5</v>
      </c>
      <c r="M224" s="25" t="str">
        <f>IFERROR(__xludf.DUMMYFUNCTION("""COMPUTED_VALUE"""),"Sports")</f>
        <v>Sports</v>
      </c>
      <c r="N224" s="25" t="str">
        <f>IFERROR(__xludf.DUMMYFUNCTION("""COMPUTED_VALUE"""),"PSP")</f>
        <v>PSP</v>
      </c>
      <c r="O224" s="26" t="str">
        <f>IFERROR(__xludf.DUMMYFUNCTION("""COMPUTED_VALUE"""),"Yes")</f>
        <v>Yes</v>
      </c>
      <c r="P224" s="26"/>
    </row>
    <row r="225">
      <c r="A225" s="13" t="str">
        <f>IFERROR(__xludf.DUMMYFUNCTION("""COMPUTED_VALUE"""),"The Gardens Between")</f>
        <v>The Gardens Between</v>
      </c>
      <c r="B225" s="15" t="str">
        <f>IFERROR(__xludf.DUMMYFUNCTION("""COMPUTED_VALUE"""),"PS5/PS4")</f>
        <v>PS5/PS4</v>
      </c>
      <c r="C225" s="16" t="str">
        <f>IFERROR(__xludf.DUMMYFUNCTION("""COMPUTED_VALUE"""),"Extra")</f>
        <v>Extra</v>
      </c>
      <c r="D225" s="15" t="str">
        <f>IFERROR(__xludf.DUMMYFUNCTION("""COMPUTED_VALUE"""),"Active")</f>
        <v>Active</v>
      </c>
      <c r="E225" s="17">
        <f>IFERROR(__xludf.DUMMYFUNCTION("""COMPUTED_VALUE"""),44880.0)</f>
        <v>44880</v>
      </c>
      <c r="F225" s="54"/>
      <c r="G225" s="19">
        <f>IFERROR(__xludf.DUMMYFUNCTION("""COMPUTED_VALUE"""),46.7)</f>
        <v>46.7</v>
      </c>
      <c r="H225" s="17">
        <f>IFERROR(__xludf.DUMMYFUNCTION("""COMPUTED_VALUE"""),43363.0)</f>
        <v>43363</v>
      </c>
      <c r="I225" s="19">
        <f>IFERROR(__xludf.DUMMYFUNCTION("""COMPUTED_VALUE"""),4.152777777777778)</f>
        <v>4.152777778</v>
      </c>
      <c r="J225" s="21">
        <f>IFERROR(__xludf.DUMMYFUNCTION("""COMPUTED_VALUE"""),75.0)</f>
        <v>75</v>
      </c>
      <c r="K225" s="23">
        <f>IFERROR(__xludf.DUMMYFUNCTION("""COMPUTED_VALUE"""),6.1)</f>
        <v>6.1</v>
      </c>
      <c r="L225" s="24">
        <f>IFERROR(__xludf.DUMMYFUNCTION("""COMPUTED_VALUE"""),2.5)</f>
        <v>2.5</v>
      </c>
      <c r="M225" s="25" t="str">
        <f>IFERROR(__xludf.DUMMYFUNCTION("""COMPUTED_VALUE"""),"Action-Adventure")</f>
        <v>Action-Adventure</v>
      </c>
      <c r="N225" s="25"/>
      <c r="O225" s="26" t="str">
        <f>IFERROR(__xludf.DUMMYFUNCTION("""COMPUTED_VALUE"""),"Yes")</f>
        <v>Yes</v>
      </c>
      <c r="P225" s="26"/>
    </row>
    <row r="226">
      <c r="A226" s="13" t="str">
        <f>IFERROR(__xludf.DUMMYFUNCTION("""COMPUTED_VALUE"""),"Deliver Us the Moon")</f>
        <v>Deliver Us the Moon</v>
      </c>
      <c r="B226" s="15" t="str">
        <f>IFERROR(__xludf.DUMMYFUNCTION("""COMPUTED_VALUE"""),"PS5/PS4")</f>
        <v>PS5/PS4</v>
      </c>
      <c r="C226" s="16" t="str">
        <f>IFERROR(__xludf.DUMMYFUNCTION("""COMPUTED_VALUE"""),"Extra")</f>
        <v>Extra</v>
      </c>
      <c r="D226" s="15" t="str">
        <f>IFERROR(__xludf.DUMMYFUNCTION("""COMPUTED_VALUE"""),"Active")</f>
        <v>Active</v>
      </c>
      <c r="E226" s="17">
        <f>IFERROR(__xludf.DUMMYFUNCTION("""COMPUTED_VALUE"""),44725.0)</f>
        <v>44725</v>
      </c>
      <c r="F226" s="18"/>
      <c r="G226" s="19">
        <f>IFERROR(__xludf.DUMMYFUNCTION("""COMPUTED_VALUE"""),51.766666666666666)</f>
        <v>51.76666667</v>
      </c>
      <c r="H226" s="17">
        <f>IFERROR(__xludf.DUMMYFUNCTION("""COMPUTED_VALUE"""),43748.0)</f>
        <v>43748</v>
      </c>
      <c r="I226" s="19">
        <f>IFERROR(__xludf.DUMMYFUNCTION("""COMPUTED_VALUE"""),2.675)</f>
        <v>2.675</v>
      </c>
      <c r="J226" s="21">
        <f>IFERROR(__xludf.DUMMYFUNCTION("""COMPUTED_VALUE"""),75.0)</f>
        <v>75</v>
      </c>
      <c r="K226" s="23">
        <f>IFERROR(__xludf.DUMMYFUNCTION("""COMPUTED_VALUE"""),7.3)</f>
        <v>7.3</v>
      </c>
      <c r="L226" s="24">
        <f>IFERROR(__xludf.DUMMYFUNCTION("""COMPUTED_VALUE"""),5.0)</f>
        <v>5</v>
      </c>
      <c r="M226" s="25" t="str">
        <f>IFERROR(__xludf.DUMMYFUNCTION("""COMPUTED_VALUE"""),"Interactive Story")</f>
        <v>Interactive Story</v>
      </c>
      <c r="N226" s="25"/>
      <c r="O226" s="26" t="str">
        <f>IFERROR(__xludf.DUMMYFUNCTION("""COMPUTED_VALUE"""),"Yes")</f>
        <v>Yes</v>
      </c>
      <c r="P226" s="26"/>
    </row>
    <row r="227">
      <c r="A227" s="13" t="str">
        <f>IFERROR(__xludf.DUMMYFUNCTION("""COMPUTED_VALUE"""),"The Thaumaturge")</f>
        <v>The Thaumaturge</v>
      </c>
      <c r="B227" s="15" t="str">
        <f>IFERROR(__xludf.DUMMYFUNCTION("""COMPUTED_VALUE"""),"PS5")</f>
        <v>PS5</v>
      </c>
      <c r="C227" s="16" t="str">
        <f>IFERROR(__xludf.DUMMYFUNCTION("""COMPUTED_VALUE"""),"Extra")</f>
        <v>Extra</v>
      </c>
      <c r="D227" s="15" t="str">
        <f>IFERROR(__xludf.DUMMYFUNCTION("""COMPUTED_VALUE"""),"Active")</f>
        <v>Active</v>
      </c>
      <c r="E227" s="17">
        <f>IFERROR(__xludf.DUMMYFUNCTION("""COMPUTED_VALUE"""),46161.0)</f>
        <v>46161</v>
      </c>
      <c r="F227" s="54"/>
      <c r="G227" s="19">
        <f>IFERROR(__xludf.DUMMYFUNCTION("""COMPUTED_VALUE"""),4.566666666666666)</f>
        <v>4.566666667</v>
      </c>
      <c r="H227" s="17">
        <f>IFERROR(__xludf.DUMMYFUNCTION("""COMPUTED_VALUE"""),45355.0)</f>
        <v>45355</v>
      </c>
      <c r="I227" s="19">
        <f>IFERROR(__xludf.DUMMYFUNCTION("""COMPUTED_VALUE"""),2.2083333333333335)</f>
        <v>2.208333333</v>
      </c>
      <c r="J227" s="21">
        <f>IFERROR(__xludf.DUMMYFUNCTION("""COMPUTED_VALUE"""),74.0)</f>
        <v>74</v>
      </c>
      <c r="K227" s="23">
        <f>IFERROR(__xludf.DUMMYFUNCTION("""COMPUTED_VALUE"""),7.1)</f>
        <v>7.1</v>
      </c>
      <c r="L227" s="24">
        <f>IFERROR(__xludf.DUMMYFUNCTION("""COMPUTED_VALUE"""),21.0)</f>
        <v>21</v>
      </c>
      <c r="M227" s="25" t="str">
        <f>IFERROR(__xludf.DUMMYFUNCTION("""COMPUTED_VALUE"""),"RPG")</f>
        <v>RPG</v>
      </c>
      <c r="N227" s="25"/>
      <c r="O227" s="26" t="str">
        <f>IFERROR(__xludf.DUMMYFUNCTION("""COMPUTED_VALUE"""),"No")</f>
        <v>No</v>
      </c>
      <c r="P227" s="26"/>
    </row>
    <row r="228">
      <c r="A228" s="13" t="str">
        <f>IFERROR(__xludf.DUMMYFUNCTION("""COMPUTED_VALUE"""),"The Crew: Motorfest")</f>
        <v>The Crew: Motorfest</v>
      </c>
      <c r="B228" s="15" t="str">
        <f>IFERROR(__xludf.DUMMYFUNCTION("""COMPUTED_VALUE"""),"PS5/PS4")</f>
        <v>PS5/PS4</v>
      </c>
      <c r="C228" s="16" t="str">
        <f>IFERROR(__xludf.DUMMYFUNCTION("""COMPUTED_VALUE"""),"Extra")</f>
        <v>Extra</v>
      </c>
      <c r="D228" s="15" t="str">
        <f>IFERROR(__xludf.DUMMYFUNCTION("""COMPUTED_VALUE"""),"Active")</f>
        <v>Active</v>
      </c>
      <c r="E228" s="17">
        <f>IFERROR(__xludf.DUMMYFUNCTION("""COMPUTED_VALUE"""),46133.0)</f>
        <v>46133</v>
      </c>
      <c r="F228" s="54"/>
      <c r="G228" s="19">
        <f>IFERROR(__xludf.DUMMYFUNCTION("""COMPUTED_VALUE"""),5.5)</f>
        <v>5.5</v>
      </c>
      <c r="H228" s="17">
        <f>IFERROR(__xludf.DUMMYFUNCTION("""COMPUTED_VALUE"""),45183.0)</f>
        <v>45183</v>
      </c>
      <c r="I228" s="19">
        <f>IFERROR(__xludf.DUMMYFUNCTION("""COMPUTED_VALUE"""),2.602777777777778)</f>
        <v>2.602777778</v>
      </c>
      <c r="J228" s="21">
        <f>IFERROR(__xludf.DUMMYFUNCTION("""COMPUTED_VALUE"""),74.0)</f>
        <v>74</v>
      </c>
      <c r="K228" s="23">
        <f>IFERROR(__xludf.DUMMYFUNCTION("""COMPUTED_VALUE"""),6.3)</f>
        <v>6.3</v>
      </c>
      <c r="L228" s="24">
        <f>IFERROR(__xludf.DUMMYFUNCTION("""COMPUTED_VALUE"""),20.0)</f>
        <v>20</v>
      </c>
      <c r="M228" s="25" t="str">
        <f>IFERROR(__xludf.DUMMYFUNCTION("""COMPUTED_VALUE"""),"Racing")</f>
        <v>Racing</v>
      </c>
      <c r="N228" s="25"/>
      <c r="O228" s="26"/>
      <c r="P228" s="26"/>
    </row>
    <row r="229">
      <c r="A229" s="13" t="str">
        <f>IFERROR(__xludf.DUMMYFUNCTION("""COMPUTED_VALUE"""),"Lord of the Rings: Return to Moria")</f>
        <v>Lord of the Rings: Return to Moria</v>
      </c>
      <c r="B229" s="15" t="str">
        <f>IFERROR(__xludf.DUMMYFUNCTION("""COMPUTED_VALUE"""),"PS5")</f>
        <v>PS5</v>
      </c>
      <c r="C229" s="16" t="str">
        <f>IFERROR(__xludf.DUMMYFUNCTION("""COMPUTED_VALUE"""),"Extra")</f>
        <v>Extra</v>
      </c>
      <c r="D229" s="15" t="str">
        <f>IFERROR(__xludf.DUMMYFUNCTION("""COMPUTED_VALUE"""),"Active")</f>
        <v>Active</v>
      </c>
      <c r="E229" s="17">
        <f>IFERROR(__xludf.DUMMYFUNCTION("""COMPUTED_VALUE"""),46098.0)</f>
        <v>46098</v>
      </c>
      <c r="F229" s="54"/>
      <c r="G229" s="19">
        <f>IFERROR(__xludf.DUMMYFUNCTION("""COMPUTED_VALUE"""),6.633333333333334)</f>
        <v>6.633333333</v>
      </c>
      <c r="H229" s="17">
        <f>IFERROR(__xludf.DUMMYFUNCTION("""COMPUTED_VALUE"""),45223.0)</f>
        <v>45223</v>
      </c>
      <c r="I229" s="19">
        <f>IFERROR(__xludf.DUMMYFUNCTION("""COMPUTED_VALUE"""),2.397222222222222)</f>
        <v>2.397222222</v>
      </c>
      <c r="J229" s="21">
        <f>IFERROR(__xludf.DUMMYFUNCTION("""COMPUTED_VALUE"""),74.0)</f>
        <v>74</v>
      </c>
      <c r="K229" s="23">
        <f>IFERROR(__xludf.DUMMYFUNCTION("""COMPUTED_VALUE"""),6.7)</f>
        <v>6.7</v>
      </c>
      <c r="L229" s="24">
        <f>IFERROR(__xludf.DUMMYFUNCTION("""COMPUTED_VALUE"""),25.0)</f>
        <v>25</v>
      </c>
      <c r="M229" s="25" t="str">
        <f>IFERROR(__xludf.DUMMYFUNCTION("""COMPUTED_VALUE"""),"Action-Adventure")</f>
        <v>Action-Adventure</v>
      </c>
      <c r="N229" s="25"/>
      <c r="O229" s="26" t="str">
        <f>IFERROR(__xludf.DUMMYFUNCTION("""COMPUTED_VALUE"""),"No")</f>
        <v>No</v>
      </c>
      <c r="P229" s="26"/>
    </row>
    <row r="230">
      <c r="A230" s="13" t="str">
        <f>IFERROR(__xludf.DUMMYFUNCTION("""COMPUTED_VALUE"""),"You Suck at Parking")</f>
        <v>You Suck at Parking</v>
      </c>
      <c r="B230" s="15" t="str">
        <f>IFERROR(__xludf.DUMMYFUNCTION("""COMPUTED_VALUE"""),"PS5/PS4")</f>
        <v>PS5/PS4</v>
      </c>
      <c r="C230" s="16" t="str">
        <f>IFERROR(__xludf.DUMMYFUNCTION("""COMPUTED_VALUE"""),"Extra")</f>
        <v>Extra</v>
      </c>
      <c r="D230" s="15" t="str">
        <f>IFERROR(__xludf.DUMMYFUNCTION("""COMPUTED_VALUE"""),"Active")</f>
        <v>Active</v>
      </c>
      <c r="E230" s="17">
        <f>IFERROR(__xludf.DUMMYFUNCTION("""COMPUTED_VALUE"""),45734.0)</f>
        <v>45734</v>
      </c>
      <c r="F230" s="54"/>
      <c r="G230" s="19">
        <f>IFERROR(__xludf.DUMMYFUNCTION("""COMPUTED_VALUE"""),18.6)</f>
        <v>18.6</v>
      </c>
      <c r="H230" s="17">
        <f>IFERROR(__xludf.DUMMYFUNCTION("""COMPUTED_VALUE"""),44818.0)</f>
        <v>44818</v>
      </c>
      <c r="I230" s="19">
        <f>IFERROR(__xludf.DUMMYFUNCTION("""COMPUTED_VALUE"""),2.511111111111111)</f>
        <v>2.511111111</v>
      </c>
      <c r="J230" s="21">
        <f>IFERROR(__xludf.DUMMYFUNCTION("""COMPUTED_VALUE"""),74.0)</f>
        <v>74</v>
      </c>
      <c r="K230" s="23">
        <f>IFERROR(__xludf.DUMMYFUNCTION("""COMPUTED_VALUE"""),5.3)</f>
        <v>5.3</v>
      </c>
      <c r="L230" s="24">
        <f>IFERROR(__xludf.DUMMYFUNCTION("""COMPUTED_VALUE"""),8.0)</f>
        <v>8</v>
      </c>
      <c r="M230" s="25" t="str">
        <f>IFERROR(__xludf.DUMMYFUNCTION("""COMPUTED_VALUE"""),"Racing ")</f>
        <v>Racing </v>
      </c>
      <c r="N230" s="25"/>
      <c r="O230" s="26" t="str">
        <f>IFERROR(__xludf.DUMMYFUNCTION("""COMPUTED_VALUE"""),"No")</f>
        <v>No</v>
      </c>
      <c r="P230" s="26"/>
    </row>
    <row r="231">
      <c r="A231" s="13" t="str">
        <f>IFERROR(__xludf.DUMMYFUNCTION("""COMPUTED_VALUE"""),"Armored Core")</f>
        <v>Armored Core</v>
      </c>
      <c r="B231" s="15" t="str">
        <f>IFERROR(__xludf.DUMMYFUNCTION("""COMPUTED_VALUE"""),"PS5/PS4")</f>
        <v>PS5/PS4</v>
      </c>
      <c r="C231" s="16" t="str">
        <f>IFERROR(__xludf.DUMMYFUNCTION("""COMPUTED_VALUE"""),"Premium (Classics)")</f>
        <v>Premium (Classics)</v>
      </c>
      <c r="D231" s="15" t="str">
        <f>IFERROR(__xludf.DUMMYFUNCTION("""COMPUTED_VALUE"""),"Active")</f>
        <v>Active</v>
      </c>
      <c r="E231" s="17">
        <f>IFERROR(__xludf.DUMMYFUNCTION("""COMPUTED_VALUE"""),45734.0)</f>
        <v>45734</v>
      </c>
      <c r="F231" s="54"/>
      <c r="G231" s="19">
        <f>IFERROR(__xludf.DUMMYFUNCTION("""COMPUTED_VALUE"""),18.6)</f>
        <v>18.6</v>
      </c>
      <c r="H231" s="17">
        <f>IFERROR(__xludf.DUMMYFUNCTION("""COMPUTED_VALUE"""),35621.0)</f>
        <v>35621</v>
      </c>
      <c r="I231" s="19">
        <f>IFERROR(__xludf.DUMMYFUNCTION("""COMPUTED_VALUE"""),27.68888888888889)</f>
        <v>27.68888889</v>
      </c>
      <c r="J231" s="21">
        <f>IFERROR(__xludf.DUMMYFUNCTION("""COMPUTED_VALUE"""),74.0)</f>
        <v>74</v>
      </c>
      <c r="K231" s="23">
        <f>IFERROR(__xludf.DUMMYFUNCTION("""COMPUTED_VALUE"""),7.9)</f>
        <v>7.9</v>
      </c>
      <c r="L231" s="24">
        <f>IFERROR(__xludf.DUMMYFUNCTION("""COMPUTED_VALUE"""),8.0)</f>
        <v>8</v>
      </c>
      <c r="M231" s="25" t="str">
        <f>IFERROR(__xludf.DUMMYFUNCTION("""COMPUTED_VALUE"""),"RPG")</f>
        <v>RPG</v>
      </c>
      <c r="N231" s="25" t="str">
        <f>IFERROR(__xludf.DUMMYFUNCTION("""COMPUTED_VALUE"""),"PS1")</f>
        <v>PS1</v>
      </c>
      <c r="O231" s="26" t="str">
        <f>IFERROR(__xludf.DUMMYFUNCTION("""COMPUTED_VALUE"""),"Yes")</f>
        <v>Yes</v>
      </c>
      <c r="P231" s="26"/>
    </row>
    <row r="232">
      <c r="A232" s="13" t="str">
        <f>IFERROR(__xludf.DUMMYFUNCTION("""COMPUTED_VALUE"""),"Patapon 3")</f>
        <v>Patapon 3</v>
      </c>
      <c r="B232" s="15" t="str">
        <f>IFERROR(__xludf.DUMMYFUNCTION("""COMPUTED_VALUE"""),"PS5/PS4")</f>
        <v>PS5/PS4</v>
      </c>
      <c r="C232" s="16" t="str">
        <f>IFERROR(__xludf.DUMMYFUNCTION("""COMPUTED_VALUE"""),"Premium (Classics)")</f>
        <v>Premium (Classics)</v>
      </c>
      <c r="D232" s="15" t="str">
        <f>IFERROR(__xludf.DUMMYFUNCTION("""COMPUTED_VALUE"""),"Active")</f>
        <v>Active</v>
      </c>
      <c r="E232" s="17">
        <f>IFERROR(__xludf.DUMMYFUNCTION("""COMPUTED_VALUE"""),45705.0)</f>
        <v>45705</v>
      </c>
      <c r="F232" s="54"/>
      <c r="G232" s="19">
        <f>IFERROR(__xludf.DUMMYFUNCTION("""COMPUTED_VALUE"""),19.633333333333333)</f>
        <v>19.63333333</v>
      </c>
      <c r="H232" s="17">
        <f>IFERROR(__xludf.DUMMYFUNCTION("""COMPUTED_VALUE"""),40645.0)</f>
        <v>40645</v>
      </c>
      <c r="I232" s="19">
        <f>IFERROR(__xludf.DUMMYFUNCTION("""COMPUTED_VALUE"""),13.847222222222221)</f>
        <v>13.84722222</v>
      </c>
      <c r="J232" s="21">
        <f>IFERROR(__xludf.DUMMYFUNCTION("""COMPUTED_VALUE"""),74.0)</f>
        <v>74</v>
      </c>
      <c r="K232" s="23">
        <f>IFERROR(__xludf.DUMMYFUNCTION("""COMPUTED_VALUE"""),7.3)</f>
        <v>7.3</v>
      </c>
      <c r="L232" s="24">
        <f>IFERROR(__xludf.DUMMYFUNCTION("""COMPUTED_VALUE"""),26.0)</f>
        <v>26</v>
      </c>
      <c r="M232" s="25" t="str">
        <f>IFERROR(__xludf.DUMMYFUNCTION("""COMPUTED_VALUE"""),"Action-Adventure")</f>
        <v>Action-Adventure</v>
      </c>
      <c r="N232" s="25" t="str">
        <f>IFERROR(__xludf.DUMMYFUNCTION("""COMPUTED_VALUE"""),"PSP")</f>
        <v>PSP</v>
      </c>
      <c r="O232" s="26" t="str">
        <f>IFERROR(__xludf.DUMMYFUNCTION("""COMPUTED_VALUE"""),"Yes")</f>
        <v>Yes</v>
      </c>
      <c r="P232" s="26"/>
    </row>
    <row r="233">
      <c r="A233" s="13" t="str">
        <f>IFERROR(__xludf.DUMMYFUNCTION("""COMPUTED_VALUE"""),"MediEvil II")</f>
        <v>MediEvil II</v>
      </c>
      <c r="B233" s="15" t="str">
        <f>IFERROR(__xludf.DUMMYFUNCTION("""COMPUTED_VALUE"""),"PS5/PS4")</f>
        <v>PS5/PS4</v>
      </c>
      <c r="C233" s="16" t="str">
        <f>IFERROR(__xludf.DUMMYFUNCTION("""COMPUTED_VALUE"""),"Premium (Classics)")</f>
        <v>Premium (Classics)</v>
      </c>
      <c r="D233" s="15" t="str">
        <f>IFERROR(__xludf.DUMMYFUNCTION("""COMPUTED_VALUE"""),"Active")</f>
        <v>Active</v>
      </c>
      <c r="E233" s="17">
        <f>IFERROR(__xludf.DUMMYFUNCTION("""COMPUTED_VALUE"""),45678.0)</f>
        <v>45678</v>
      </c>
      <c r="F233" s="54"/>
      <c r="G233" s="19">
        <f>IFERROR(__xludf.DUMMYFUNCTION("""COMPUTED_VALUE"""),20.5)</f>
        <v>20.5</v>
      </c>
      <c r="H233" s="17">
        <f>IFERROR(__xludf.DUMMYFUNCTION("""COMPUTED_VALUE"""),36646.0)</f>
        <v>36646</v>
      </c>
      <c r="I233" s="19">
        <f>IFERROR(__xludf.DUMMYFUNCTION("""COMPUTED_VALUE"""),24.725)</f>
        <v>24.725</v>
      </c>
      <c r="J233" s="21">
        <f>IFERROR(__xludf.DUMMYFUNCTION("""COMPUTED_VALUE"""),74.0)</f>
        <v>74</v>
      </c>
      <c r="K233" s="23">
        <f>IFERROR(__xludf.DUMMYFUNCTION("""COMPUTED_VALUE"""),8.2)</f>
        <v>8.2</v>
      </c>
      <c r="L233" s="24">
        <f>IFERROR(__xludf.DUMMYFUNCTION("""COMPUTED_VALUE"""),7.0)</f>
        <v>7</v>
      </c>
      <c r="M233" s="25" t="str">
        <f>IFERROR(__xludf.DUMMYFUNCTION("""COMPUTED_VALUE"""),"Action-Adventure")</f>
        <v>Action-Adventure</v>
      </c>
      <c r="N233" s="25" t="str">
        <f>IFERROR(__xludf.DUMMYFUNCTION("""COMPUTED_VALUE"""),"PS1")</f>
        <v>PS1</v>
      </c>
      <c r="O233" s="26" t="str">
        <f>IFERROR(__xludf.DUMMYFUNCTION("""COMPUTED_VALUE"""),"Yes")</f>
        <v>Yes</v>
      </c>
      <c r="P233" s="26"/>
    </row>
    <row r="234">
      <c r="A234" s="13" t="str">
        <f>IFERROR(__xludf.DUMMYFUNCTION("""COMPUTED_VALUE"""),"WRC Generations")</f>
        <v>WRC Generations</v>
      </c>
      <c r="B234" s="15" t="str">
        <f>IFERROR(__xludf.DUMMYFUNCTION("""COMPUTED_VALUE"""),"PS5/PS4")</f>
        <v>PS5/PS4</v>
      </c>
      <c r="C234" s="16" t="str">
        <f>IFERROR(__xludf.DUMMYFUNCTION("""COMPUTED_VALUE"""),"Extra")</f>
        <v>Extra</v>
      </c>
      <c r="D234" s="15" t="str">
        <f>IFERROR(__xludf.DUMMYFUNCTION("""COMPUTED_VALUE"""),"Active")</f>
        <v>Active</v>
      </c>
      <c r="E234" s="17">
        <f>IFERROR(__xludf.DUMMYFUNCTION("""COMPUTED_VALUE"""),45643.0)</f>
        <v>45643</v>
      </c>
      <c r="F234" s="54"/>
      <c r="G234" s="19">
        <f>IFERROR(__xludf.DUMMYFUNCTION("""COMPUTED_VALUE"""),21.633333333333333)</f>
        <v>21.63333333</v>
      </c>
      <c r="H234" s="17">
        <f>IFERROR(__xludf.DUMMYFUNCTION("""COMPUTED_VALUE"""),44868.0)</f>
        <v>44868</v>
      </c>
      <c r="I234" s="19">
        <f>IFERROR(__xludf.DUMMYFUNCTION("""COMPUTED_VALUE"""),2.1222222222222222)</f>
        <v>2.122222222</v>
      </c>
      <c r="J234" s="21">
        <f>IFERROR(__xludf.DUMMYFUNCTION("""COMPUTED_VALUE"""),74.0)</f>
        <v>74</v>
      </c>
      <c r="K234" s="23">
        <f>IFERROR(__xludf.DUMMYFUNCTION("""COMPUTED_VALUE"""),7.2)</f>
        <v>7.2</v>
      </c>
      <c r="L234" s="24">
        <f>IFERROR(__xludf.DUMMYFUNCTION("""COMPUTED_VALUE"""),15.0)</f>
        <v>15</v>
      </c>
      <c r="M234" s="25" t="str">
        <f>IFERROR(__xludf.DUMMYFUNCTION("""COMPUTED_VALUE"""),"Racing")</f>
        <v>Racing</v>
      </c>
      <c r="N234" s="25"/>
      <c r="O234" s="26" t="str">
        <f>IFERROR(__xludf.DUMMYFUNCTION("""COMPUTED_VALUE"""),"No")</f>
        <v>No</v>
      </c>
      <c r="P234" s="26"/>
    </row>
    <row r="235">
      <c r="A235" s="13" t="str">
        <f>IFERROR(__xludf.DUMMYFUNCTION("""COMPUTED_VALUE"""),"Dino Crisis")</f>
        <v>Dino Crisis</v>
      </c>
      <c r="B235" s="15" t="str">
        <f>IFERROR(__xludf.DUMMYFUNCTION("""COMPUTED_VALUE"""),"PS5/PS4")</f>
        <v>PS5/PS4</v>
      </c>
      <c r="C235" s="16" t="str">
        <f>IFERROR(__xludf.DUMMYFUNCTION("""COMPUTED_VALUE"""),"Premium (Classics)")</f>
        <v>Premium (Classics)</v>
      </c>
      <c r="D235" s="15" t="str">
        <f>IFERROR(__xludf.DUMMYFUNCTION("""COMPUTED_VALUE"""),"Active")</f>
        <v>Active</v>
      </c>
      <c r="E235" s="17">
        <f>IFERROR(__xludf.DUMMYFUNCTION("""COMPUTED_VALUE"""),45580.0)</f>
        <v>45580</v>
      </c>
      <c r="F235" s="54"/>
      <c r="G235" s="19">
        <f>IFERROR(__xludf.DUMMYFUNCTION("""COMPUTED_VALUE"""),23.700000000000003)</f>
        <v>23.7</v>
      </c>
      <c r="H235" s="17">
        <f>IFERROR(__xludf.DUMMYFUNCTION("""COMPUTED_VALUE"""),36844.0)</f>
        <v>36844</v>
      </c>
      <c r="I235" s="19">
        <f>IFERROR(__xludf.DUMMYFUNCTION("""COMPUTED_VALUE"""),23.919444444444444)</f>
        <v>23.91944444</v>
      </c>
      <c r="J235" s="21">
        <f>IFERROR(__xludf.DUMMYFUNCTION("""COMPUTED_VALUE"""),74.0)</f>
        <v>74</v>
      </c>
      <c r="K235" s="23">
        <f>IFERROR(__xludf.DUMMYFUNCTION("""COMPUTED_VALUE"""),8.8)</f>
        <v>8.8</v>
      </c>
      <c r="L235" s="24">
        <f>IFERROR(__xludf.DUMMYFUNCTION("""COMPUTED_VALUE"""),7.0)</f>
        <v>7</v>
      </c>
      <c r="M235" s="25" t="str">
        <f>IFERROR(__xludf.DUMMYFUNCTION("""COMPUTED_VALUE"""),"Survival")</f>
        <v>Survival</v>
      </c>
      <c r="N235" s="25" t="str">
        <f>IFERROR(__xludf.DUMMYFUNCTION("""COMPUTED_VALUE"""),"PS1")</f>
        <v>PS1</v>
      </c>
      <c r="O235" s="26" t="str">
        <f>IFERROR(__xludf.DUMMYFUNCTION("""COMPUTED_VALUE"""),"Yes")</f>
        <v>Yes</v>
      </c>
      <c r="P235" s="26"/>
    </row>
    <row r="236">
      <c r="A236" s="13" t="str">
        <f>IFERROR(__xludf.DUMMYFUNCTION("""COMPUTED_VALUE"""),"Summoner")</f>
        <v>Summoner</v>
      </c>
      <c r="B236" s="15" t="str">
        <f>IFERROR(__xludf.DUMMYFUNCTION("""COMPUTED_VALUE"""),"PS5/PS4")</f>
        <v>PS5/PS4</v>
      </c>
      <c r="C236" s="16" t="str">
        <f>IFERROR(__xludf.DUMMYFUNCTION("""COMPUTED_VALUE"""),"Premium (Classics)")</f>
        <v>Premium (Classics)</v>
      </c>
      <c r="D236" s="15" t="str">
        <f>IFERROR(__xludf.DUMMYFUNCTION("""COMPUTED_VALUE"""),"Active")</f>
        <v>Active</v>
      </c>
      <c r="E236" s="17">
        <f>IFERROR(__xludf.DUMMYFUNCTION("""COMPUTED_VALUE"""),45489.0)</f>
        <v>45489</v>
      </c>
      <c r="F236" s="54"/>
      <c r="G236" s="19">
        <f>IFERROR(__xludf.DUMMYFUNCTION("""COMPUTED_VALUE"""),26.666666666666668)</f>
        <v>26.66666667</v>
      </c>
      <c r="H236" s="17">
        <f>IFERROR(__xludf.DUMMYFUNCTION("""COMPUTED_VALUE"""),36823.0)</f>
        <v>36823</v>
      </c>
      <c r="I236" s="19">
        <f>IFERROR(__xludf.DUMMYFUNCTION("""COMPUTED_VALUE"""),23.727777777777778)</f>
        <v>23.72777778</v>
      </c>
      <c r="J236" s="21">
        <f>IFERROR(__xludf.DUMMYFUNCTION("""COMPUTED_VALUE"""),74.0)</f>
        <v>74</v>
      </c>
      <c r="K236" s="23">
        <f>IFERROR(__xludf.DUMMYFUNCTION("""COMPUTED_VALUE"""),7.6)</f>
        <v>7.6</v>
      </c>
      <c r="L236" s="24">
        <f>IFERROR(__xludf.DUMMYFUNCTION("""COMPUTED_VALUE"""),27.0)</f>
        <v>27</v>
      </c>
      <c r="M236" s="25" t="str">
        <f>IFERROR(__xludf.DUMMYFUNCTION("""COMPUTED_VALUE"""),"RPG")</f>
        <v>RPG</v>
      </c>
      <c r="N236" s="25" t="str">
        <f>IFERROR(__xludf.DUMMYFUNCTION("""COMPUTED_VALUE"""),"PS2")</f>
        <v>PS2</v>
      </c>
      <c r="O236" s="26" t="str">
        <f>IFERROR(__xludf.DUMMYFUNCTION("""COMPUTED_VALUE"""),"Yes")</f>
        <v>Yes</v>
      </c>
      <c r="P236" s="26"/>
    </row>
    <row r="237">
      <c r="A237" s="13" t="str">
        <f>IFERROR(__xludf.DUMMYFUNCTION("""COMPUTED_VALUE"""),"Mystic Pillars: Remastered")</f>
        <v>Mystic Pillars: Remastered</v>
      </c>
      <c r="B237" s="15" t="str">
        <f>IFERROR(__xludf.DUMMYFUNCTION("""COMPUTED_VALUE"""),"PS5")</f>
        <v>PS5</v>
      </c>
      <c r="C237" s="16" t="str">
        <f>IFERROR(__xludf.DUMMYFUNCTION("""COMPUTED_VALUE"""),"Extra")</f>
        <v>Extra</v>
      </c>
      <c r="D237" s="15" t="str">
        <f>IFERROR(__xludf.DUMMYFUNCTION("""COMPUTED_VALUE"""),"Active")</f>
        <v>Active</v>
      </c>
      <c r="E237" s="17">
        <f>IFERROR(__xludf.DUMMYFUNCTION("""COMPUTED_VALUE"""),45370.0)</f>
        <v>45370</v>
      </c>
      <c r="F237" s="54"/>
      <c r="G237" s="19">
        <f>IFERROR(__xludf.DUMMYFUNCTION("""COMPUTED_VALUE"""),30.566666666666663)</f>
        <v>30.56666667</v>
      </c>
      <c r="H237" s="17">
        <f>IFERROR(__xludf.DUMMYFUNCTION("""COMPUTED_VALUE"""),44350.0)</f>
        <v>44350</v>
      </c>
      <c r="I237" s="19">
        <f>IFERROR(__xludf.DUMMYFUNCTION("""COMPUTED_VALUE"""),2.7944444444444443)</f>
        <v>2.794444444</v>
      </c>
      <c r="J237" s="21">
        <f>IFERROR(__xludf.DUMMYFUNCTION("""COMPUTED_VALUE"""),74.0)</f>
        <v>74</v>
      </c>
      <c r="K237" s="23">
        <f>IFERROR(__xludf.DUMMYFUNCTION("""COMPUTED_VALUE"""),2.0)</f>
        <v>2</v>
      </c>
      <c r="L237" s="24">
        <f>IFERROR(__xludf.DUMMYFUNCTION("""COMPUTED_VALUE"""),2.0)</f>
        <v>2</v>
      </c>
      <c r="M237" s="25" t="str">
        <f>IFERROR(__xludf.DUMMYFUNCTION("""COMPUTED_VALUE"""),"Puzzle")</f>
        <v>Puzzle</v>
      </c>
      <c r="N237" s="25"/>
      <c r="O237" s="26" t="str">
        <f>IFERROR(__xludf.DUMMYFUNCTION("""COMPUTED_VALUE"""),"Portal (PS5 + Premium)")</f>
        <v>Portal (PS5 + Premium)</v>
      </c>
      <c r="P237" s="26"/>
    </row>
    <row r="238">
      <c r="A238" s="13" t="str">
        <f>IFERROR(__xludf.DUMMYFUNCTION("""COMPUTED_VALUE"""),"The Legend of Dragoon")</f>
        <v>The Legend of Dragoon</v>
      </c>
      <c r="B238" s="15" t="str">
        <f>IFERROR(__xludf.DUMMYFUNCTION("""COMPUTED_VALUE"""),"PS5/PS4")</f>
        <v>PS5/PS4</v>
      </c>
      <c r="C238" s="16" t="str">
        <f>IFERROR(__xludf.DUMMYFUNCTION("""COMPUTED_VALUE"""),"Premium (Classics)")</f>
        <v>Premium (Classics)</v>
      </c>
      <c r="D238" s="15" t="str">
        <f>IFERROR(__xludf.DUMMYFUNCTION("""COMPUTED_VALUE"""),"Active")</f>
        <v>Active</v>
      </c>
      <c r="E238" s="17">
        <f>IFERROR(__xludf.DUMMYFUNCTION("""COMPUTED_VALUE"""),44978.0)</f>
        <v>44978</v>
      </c>
      <c r="F238" s="54"/>
      <c r="G238" s="19">
        <f>IFERROR(__xludf.DUMMYFUNCTION("""COMPUTED_VALUE"""),43.5)</f>
        <v>43.5</v>
      </c>
      <c r="H238" s="17">
        <f>IFERROR(__xludf.DUMMYFUNCTION("""COMPUTED_VALUE"""),36688.0)</f>
        <v>36688</v>
      </c>
      <c r="I238" s="19">
        <f>IFERROR(__xludf.DUMMYFUNCTION("""COMPUTED_VALUE"""),22.694444444444443)</f>
        <v>22.69444444</v>
      </c>
      <c r="J238" s="21">
        <f>IFERROR(__xludf.DUMMYFUNCTION("""COMPUTED_VALUE"""),74.0)</f>
        <v>74</v>
      </c>
      <c r="K238" s="23">
        <f>IFERROR(__xludf.DUMMYFUNCTION("""COMPUTED_VALUE"""),8.8)</f>
        <v>8.8</v>
      </c>
      <c r="L238" s="24">
        <f>IFERROR(__xludf.DUMMYFUNCTION("""COMPUTED_VALUE"""),49.0)</f>
        <v>49</v>
      </c>
      <c r="M238" s="25" t="str">
        <f>IFERROR(__xludf.DUMMYFUNCTION("""COMPUTED_VALUE"""),"RPG")</f>
        <v>RPG</v>
      </c>
      <c r="N238" s="25" t="str">
        <f>IFERROR(__xludf.DUMMYFUNCTION("""COMPUTED_VALUE"""),"PS1")</f>
        <v>PS1</v>
      </c>
      <c r="O238" s="26" t="str">
        <f>IFERROR(__xludf.DUMMYFUNCTION("""COMPUTED_VALUE"""),"Yes")</f>
        <v>Yes</v>
      </c>
      <c r="P238" s="26"/>
    </row>
    <row r="239">
      <c r="A239" s="13" t="str">
        <f>IFERROR(__xludf.DUMMYFUNCTION("""COMPUTED_VALUE"""),"Hotline Miami 2: Wrong Number")</f>
        <v>Hotline Miami 2: Wrong Number</v>
      </c>
      <c r="B239" s="15" t="str">
        <f>IFERROR(__xludf.DUMMYFUNCTION("""COMPUTED_VALUE"""),"PS5/PS4")</f>
        <v>PS5/PS4</v>
      </c>
      <c r="C239" s="16" t="str">
        <f>IFERROR(__xludf.DUMMYFUNCTION("""COMPUTED_VALUE"""),"Extra")</f>
        <v>Extra</v>
      </c>
      <c r="D239" s="15" t="str">
        <f>IFERROR(__xludf.DUMMYFUNCTION("""COMPUTED_VALUE"""),"Active")</f>
        <v>Active</v>
      </c>
      <c r="E239" s="17">
        <f>IFERROR(__xludf.DUMMYFUNCTION("""COMPUTED_VALUE"""),44725.0)</f>
        <v>44725</v>
      </c>
      <c r="F239" s="54"/>
      <c r="G239" s="19">
        <f>IFERROR(__xludf.DUMMYFUNCTION("""COMPUTED_VALUE"""),51.766666666666666)</f>
        <v>51.76666667</v>
      </c>
      <c r="H239" s="17">
        <f>IFERROR(__xludf.DUMMYFUNCTION("""COMPUTED_VALUE"""),42073.0)</f>
        <v>42073</v>
      </c>
      <c r="I239" s="19">
        <f>IFERROR(__xludf.DUMMYFUNCTION("""COMPUTED_VALUE"""),7.258333333333334)</f>
        <v>7.258333333</v>
      </c>
      <c r="J239" s="21">
        <f>IFERROR(__xludf.DUMMYFUNCTION("""COMPUTED_VALUE"""),74.0)</f>
        <v>74</v>
      </c>
      <c r="K239" s="23">
        <f>IFERROR(__xludf.DUMMYFUNCTION("""COMPUTED_VALUE"""),7.7)</f>
        <v>7.7</v>
      </c>
      <c r="L239" s="24">
        <f>IFERROR(__xludf.DUMMYFUNCTION("""COMPUTED_VALUE"""),8.5)</f>
        <v>8.5</v>
      </c>
      <c r="M239" s="25" t="str">
        <f>IFERROR(__xludf.DUMMYFUNCTION("""COMPUTED_VALUE"""),"Action-Adventure")</f>
        <v>Action-Adventure</v>
      </c>
      <c r="N239" s="25"/>
      <c r="O239" s="26" t="str">
        <f>IFERROR(__xludf.DUMMYFUNCTION("""COMPUTED_VALUE"""),"No")</f>
        <v>No</v>
      </c>
      <c r="P239" s="26"/>
    </row>
    <row r="240">
      <c r="A240" s="13" t="str">
        <f>IFERROR(__xludf.DUMMYFUNCTION("""COMPUTED_VALUE"""),"Disney's Atlantis: The Lost Empire")</f>
        <v>Disney's Atlantis: The Lost Empire</v>
      </c>
      <c r="B240" s="15" t="str">
        <f>IFERROR(__xludf.DUMMYFUNCTION("""COMPUTED_VALUE"""),"PS5/PS4")</f>
        <v>PS5/PS4</v>
      </c>
      <c r="C240" s="16" t="str">
        <f>IFERROR(__xludf.DUMMYFUNCTION("""COMPUTED_VALUE"""),"Premium (Classics)")</f>
        <v>Premium (Classics)</v>
      </c>
      <c r="D240" s="15" t="str">
        <f>IFERROR(__xludf.DUMMYFUNCTION("""COMPUTED_VALUE"""),"Active")</f>
        <v>Active</v>
      </c>
      <c r="E240" s="17">
        <f>IFERROR(__xludf.DUMMYFUNCTION("""COMPUTED_VALUE"""),46252.0)</f>
        <v>46252</v>
      </c>
      <c r="F240" s="54"/>
      <c r="G240" s="19">
        <f>IFERROR(__xludf.DUMMYFUNCTION("""COMPUTED_VALUE"""),1.6)</f>
        <v>1.6</v>
      </c>
      <c r="H240" s="17">
        <f>IFERROR(__xludf.DUMMYFUNCTION("""COMPUTED_VALUE"""),37153.0)</f>
        <v>37153</v>
      </c>
      <c r="I240" s="19">
        <f>IFERROR(__xludf.DUMMYFUNCTION("""COMPUTED_VALUE"""),24.913888888888888)</f>
        <v>24.91388889</v>
      </c>
      <c r="J240" s="21">
        <f>IFERROR(__xludf.DUMMYFUNCTION("""COMPUTED_VALUE"""),73.0)</f>
        <v>73</v>
      </c>
      <c r="K240" s="23">
        <f>IFERROR(__xludf.DUMMYFUNCTION("""COMPUTED_VALUE"""),7.3)</f>
        <v>7.3</v>
      </c>
      <c r="L240" s="24">
        <f>IFERROR(__xludf.DUMMYFUNCTION("""COMPUTED_VALUE"""),6.0)</f>
        <v>6</v>
      </c>
      <c r="M240" s="25" t="str">
        <f>IFERROR(__xludf.DUMMYFUNCTION("""COMPUTED_VALUE"""),"Platformer")</f>
        <v>Platformer</v>
      </c>
      <c r="N240" s="25" t="str">
        <f>IFERROR(__xludf.DUMMYFUNCTION("""COMPUTED_VALUE"""),"PS1")</f>
        <v>PS1</v>
      </c>
      <c r="O240" s="26"/>
      <c r="P240" s="26"/>
    </row>
    <row r="241">
      <c r="A241" s="13" t="str">
        <f>IFERROR(__xludf.DUMMYFUNCTION("""COMPUTED_VALUE"""),"Life is Strange: Double Exposure")</f>
        <v>Life is Strange: Double Exposure</v>
      </c>
      <c r="B241" s="15" t="str">
        <f>IFERROR(__xludf.DUMMYFUNCTION("""COMPUTED_VALUE"""),"PS5")</f>
        <v>PS5</v>
      </c>
      <c r="C241" s="16" t="str">
        <f>IFERROR(__xludf.DUMMYFUNCTION("""COMPUTED_VALUE"""),"Extra")</f>
        <v>Extra</v>
      </c>
      <c r="D241" s="15" t="str">
        <f>IFERROR(__xludf.DUMMYFUNCTION("""COMPUTED_VALUE"""),"Active")</f>
        <v>Active</v>
      </c>
      <c r="E241" s="17">
        <f>IFERROR(__xludf.DUMMYFUNCTION("""COMPUTED_VALUE"""),46189.0)</f>
        <v>46189</v>
      </c>
      <c r="F241" s="54"/>
      <c r="G241" s="19">
        <f>IFERROR(__xludf.DUMMYFUNCTION("""COMPUTED_VALUE"""),3.666666666666667)</f>
        <v>3.666666667</v>
      </c>
      <c r="H241" s="17">
        <f>IFERROR(__xludf.DUMMYFUNCTION("""COMPUTED_VALUE"""),45594.0)</f>
        <v>45594</v>
      </c>
      <c r="I241" s="19">
        <f>IFERROR(__xludf.DUMMYFUNCTION("""COMPUTED_VALUE"""),1.6305555555555555)</f>
        <v>1.630555556</v>
      </c>
      <c r="J241" s="21">
        <f>IFERROR(__xludf.DUMMYFUNCTION("""COMPUTED_VALUE"""),73.0)</f>
        <v>73</v>
      </c>
      <c r="K241" s="23">
        <f>IFERROR(__xludf.DUMMYFUNCTION("""COMPUTED_VALUE"""),4.7)</f>
        <v>4.7</v>
      </c>
      <c r="L241" s="24">
        <f>IFERROR(__xludf.DUMMYFUNCTION("""COMPUTED_VALUE"""),13.0)</f>
        <v>13</v>
      </c>
      <c r="M241" s="25" t="str">
        <f>IFERROR(__xludf.DUMMYFUNCTION("""COMPUTED_VALUE"""),"Action-Adventure")</f>
        <v>Action-Adventure</v>
      </c>
      <c r="N241" s="25"/>
      <c r="O241" s="26" t="str">
        <f>IFERROR(__xludf.DUMMYFUNCTION("""COMPUTED_VALUE"""),"No")</f>
        <v>No</v>
      </c>
      <c r="P241" s="26"/>
    </row>
    <row r="242">
      <c r="A242" s="13" t="str">
        <f>IFERROR(__xludf.DUMMYFUNCTION("""COMPUTED_VALUE"""),"Metal Eden")</f>
        <v>Metal Eden</v>
      </c>
      <c r="B242" s="15" t="str">
        <f>IFERROR(__xludf.DUMMYFUNCTION("""COMPUTED_VALUE"""),"PS5")</f>
        <v>PS5</v>
      </c>
      <c r="C242" s="16" t="str">
        <f>IFERROR(__xludf.DUMMYFUNCTION("""COMPUTED_VALUE"""),"Extra")</f>
        <v>Extra</v>
      </c>
      <c r="D242" s="15" t="str">
        <f>IFERROR(__xludf.DUMMYFUNCTION("""COMPUTED_VALUE"""),"Active")</f>
        <v>Active</v>
      </c>
      <c r="E242" s="17">
        <f>IFERROR(__xludf.DUMMYFUNCTION("""COMPUTED_VALUE"""),46098.0)</f>
        <v>46098</v>
      </c>
      <c r="F242" s="71"/>
      <c r="G242" s="19">
        <f>IFERROR(__xludf.DUMMYFUNCTION("""COMPUTED_VALUE"""),6.633333333333334)</f>
        <v>6.633333333</v>
      </c>
      <c r="H242" s="17">
        <f>IFERROR(__xludf.DUMMYFUNCTION("""COMPUTED_VALUE"""),45783.0)</f>
        <v>45783</v>
      </c>
      <c r="I242" s="19">
        <f>IFERROR(__xludf.DUMMYFUNCTION("""COMPUTED_VALUE"""),0.8638888888888889)</f>
        <v>0.8638888889</v>
      </c>
      <c r="J242" s="21">
        <f>IFERROR(__xludf.DUMMYFUNCTION("""COMPUTED_VALUE"""),73.0)</f>
        <v>73</v>
      </c>
      <c r="K242" s="23">
        <f>IFERROR(__xludf.DUMMYFUNCTION("""COMPUTED_VALUE"""),7.4)</f>
        <v>7.4</v>
      </c>
      <c r="L242" s="24">
        <f>IFERROR(__xludf.DUMMYFUNCTION("""COMPUTED_VALUE"""),6.0)</f>
        <v>6</v>
      </c>
      <c r="M242" s="25" t="str">
        <f>IFERROR(__xludf.DUMMYFUNCTION("""COMPUTED_VALUE"""),"Shooter")</f>
        <v>Shooter</v>
      </c>
      <c r="N242" s="25"/>
      <c r="O242" s="26" t="str">
        <f>IFERROR(__xludf.DUMMYFUNCTION("""COMPUTED_VALUE"""),"No")</f>
        <v>No</v>
      </c>
      <c r="P242" s="26"/>
    </row>
    <row r="243">
      <c r="A243" s="13" t="str">
        <f>IFERROR(__xludf.DUMMYFUNCTION("""COMPUTED_VALUE"""),"Train Sim World 5")</f>
        <v>Train Sim World 5</v>
      </c>
      <c r="B243" s="15" t="str">
        <f>IFERROR(__xludf.DUMMYFUNCTION("""COMPUTED_VALUE"""),"PS5/PS4")</f>
        <v>PS5/PS4</v>
      </c>
      <c r="C243" s="16" t="str">
        <f>IFERROR(__xludf.DUMMYFUNCTION("""COMPUTED_VALUE"""),"Extra")</f>
        <v>Extra</v>
      </c>
      <c r="D243" s="15" t="str">
        <f>IFERROR(__xludf.DUMMYFUNCTION("""COMPUTED_VALUE"""),"Active")</f>
        <v>Active</v>
      </c>
      <c r="E243" s="17">
        <f>IFERROR(__xludf.DUMMYFUNCTION("""COMPUTED_VALUE"""),45825.0)</f>
        <v>45825</v>
      </c>
      <c r="F243" s="54"/>
      <c r="G243" s="19">
        <f>IFERROR(__xludf.DUMMYFUNCTION("""COMPUTED_VALUE"""),15.633333333333333)</f>
        <v>15.63333333</v>
      </c>
      <c r="H243" s="17">
        <f>IFERROR(__xludf.DUMMYFUNCTION("""COMPUTED_VALUE"""),45552.0)</f>
        <v>45552</v>
      </c>
      <c r="I243" s="19">
        <f>IFERROR(__xludf.DUMMYFUNCTION("""COMPUTED_VALUE"""),0.75)</f>
        <v>0.75</v>
      </c>
      <c r="J243" s="21">
        <f>IFERROR(__xludf.DUMMYFUNCTION("""COMPUTED_VALUE"""),73.0)</f>
        <v>73</v>
      </c>
      <c r="K243" s="23">
        <f>IFERROR(__xludf.DUMMYFUNCTION("""COMPUTED_VALUE"""),5.5)</f>
        <v>5.5</v>
      </c>
      <c r="L243" s="24">
        <f>IFERROR(__xludf.DUMMYFUNCTION("""COMPUTED_VALUE"""),112.0)</f>
        <v>112</v>
      </c>
      <c r="M243" s="25" t="str">
        <f>IFERROR(__xludf.DUMMYFUNCTION("""COMPUTED_VALUE"""),"Simulation")</f>
        <v>Simulation</v>
      </c>
      <c r="N243" s="25"/>
      <c r="O243" s="26"/>
      <c r="P243" s="26"/>
    </row>
    <row r="244">
      <c r="A244" s="13" t="str">
        <f>IFERROR(__xludf.DUMMYFUNCTION("""COMPUTED_VALUE"""),"Arcade Paradise")</f>
        <v>Arcade Paradise</v>
      </c>
      <c r="B244" s="15" t="str">
        <f>IFERROR(__xludf.DUMMYFUNCTION("""COMPUTED_VALUE"""),"PS5/PS4")</f>
        <v>PS5/PS4</v>
      </c>
      <c r="C244" s="16" t="str">
        <f>IFERROR(__xludf.DUMMYFUNCTION("""COMPUTED_VALUE"""),"Extra")</f>
        <v>Extra</v>
      </c>
      <c r="D244" s="15" t="str">
        <f>IFERROR(__xludf.DUMMYFUNCTION("""COMPUTED_VALUE"""),"Active")</f>
        <v>Active</v>
      </c>
      <c r="E244" s="17">
        <f>IFERROR(__xludf.DUMMYFUNCTION("""COMPUTED_VALUE"""),45734.0)</f>
        <v>45734</v>
      </c>
      <c r="F244" s="54"/>
      <c r="G244" s="19">
        <f>IFERROR(__xludf.DUMMYFUNCTION("""COMPUTED_VALUE"""),18.6)</f>
        <v>18.6</v>
      </c>
      <c r="H244" s="17">
        <f>IFERROR(__xludf.DUMMYFUNCTION("""COMPUTED_VALUE"""),44784.0)</f>
        <v>44784</v>
      </c>
      <c r="I244" s="19">
        <f>IFERROR(__xludf.DUMMYFUNCTION("""COMPUTED_VALUE"""),2.602777777777778)</f>
        <v>2.602777778</v>
      </c>
      <c r="J244" s="21">
        <f>IFERROR(__xludf.DUMMYFUNCTION("""COMPUTED_VALUE"""),73.0)</f>
        <v>73</v>
      </c>
      <c r="K244" s="23">
        <f>IFERROR(__xludf.DUMMYFUNCTION("""COMPUTED_VALUE"""),6.7)</f>
        <v>6.7</v>
      </c>
      <c r="L244" s="24">
        <f>IFERROR(__xludf.DUMMYFUNCTION("""COMPUTED_VALUE"""),25.0)</f>
        <v>25</v>
      </c>
      <c r="M244" s="25" t="str">
        <f>IFERROR(__xludf.DUMMYFUNCTION("""COMPUTED_VALUE"""),"Virtual Career ")</f>
        <v>Virtual Career </v>
      </c>
      <c r="N244" s="25"/>
      <c r="O244" s="26" t="str">
        <f>IFERROR(__xludf.DUMMYFUNCTION("""COMPUTED_VALUE"""),"Yes")</f>
        <v>Yes</v>
      </c>
      <c r="P244" s="26"/>
    </row>
    <row r="245">
      <c r="A245" s="13" t="str">
        <f>IFERROR(__xludf.DUMMYFUNCTION("""COMPUTED_VALUE"""),"Salt and Sacrifice")</f>
        <v>Salt and Sacrifice</v>
      </c>
      <c r="B245" s="15" t="str">
        <f>IFERROR(__xludf.DUMMYFUNCTION("""COMPUTED_VALUE"""),"PS5/PS4")</f>
        <v>PS5/PS4</v>
      </c>
      <c r="C245" s="16" t="str">
        <f>IFERROR(__xludf.DUMMYFUNCTION("""COMPUTED_VALUE"""),"Extra")</f>
        <v>Extra</v>
      </c>
      <c r="D245" s="15" t="str">
        <f>IFERROR(__xludf.DUMMYFUNCTION("""COMPUTED_VALUE"""),"Active")</f>
        <v>Active</v>
      </c>
      <c r="E245" s="17">
        <f>IFERROR(__xludf.DUMMYFUNCTION("""COMPUTED_VALUE"""),45279.0)</f>
        <v>45279</v>
      </c>
      <c r="F245" s="54"/>
      <c r="G245" s="19">
        <f>IFERROR(__xludf.DUMMYFUNCTION("""COMPUTED_VALUE"""),33.56666666666666)</f>
        <v>33.56666667</v>
      </c>
      <c r="H245" s="17">
        <f>IFERROR(__xludf.DUMMYFUNCTION("""COMPUTED_VALUE"""),44691.0)</f>
        <v>44691</v>
      </c>
      <c r="I245" s="19">
        <f>IFERROR(__xludf.DUMMYFUNCTION("""COMPUTED_VALUE"""),1.6083333333333334)</f>
        <v>1.608333333</v>
      </c>
      <c r="J245" s="21">
        <f>IFERROR(__xludf.DUMMYFUNCTION("""COMPUTED_VALUE"""),73.0)</f>
        <v>73</v>
      </c>
      <c r="K245" s="23">
        <f>IFERROR(__xludf.DUMMYFUNCTION("""COMPUTED_VALUE"""),4.4)</f>
        <v>4.4</v>
      </c>
      <c r="L245" s="24">
        <f>IFERROR(__xludf.DUMMYFUNCTION("""COMPUTED_VALUE"""),16.0)</f>
        <v>16</v>
      </c>
      <c r="M245" s="25" t="str">
        <f>IFERROR(__xludf.DUMMYFUNCTION("""COMPUTED_VALUE"""),"Metroidvania")</f>
        <v>Metroidvania</v>
      </c>
      <c r="N245" s="25"/>
      <c r="O245" s="26" t="str">
        <f>IFERROR(__xludf.DUMMYFUNCTION("""COMPUTED_VALUE"""),"Yes")</f>
        <v>Yes</v>
      </c>
      <c r="P245" s="26"/>
    </row>
    <row r="246">
      <c r="A246" s="13" t="str">
        <f>IFERROR(__xludf.DUMMYFUNCTION("""COMPUTED_VALUE"""),"Call of the Sea")</f>
        <v>Call of the Sea</v>
      </c>
      <c r="B246" s="15" t="str">
        <f>IFERROR(__xludf.DUMMYFUNCTION("""COMPUTED_VALUE"""),"PS5/PS4")</f>
        <v>PS5/PS4</v>
      </c>
      <c r="C246" s="16" t="str">
        <f>IFERROR(__xludf.DUMMYFUNCTION("""COMPUTED_VALUE"""),"Extra")</f>
        <v>Extra</v>
      </c>
      <c r="D246" s="15" t="str">
        <f>IFERROR(__xludf.DUMMYFUNCTION("""COMPUTED_VALUE"""),"Active")</f>
        <v>Active</v>
      </c>
      <c r="E246" s="17">
        <f>IFERROR(__xludf.DUMMYFUNCTION("""COMPUTED_VALUE"""),45188.0)</f>
        <v>45188</v>
      </c>
      <c r="F246" s="54"/>
      <c r="G246" s="19">
        <f>IFERROR(__xludf.DUMMYFUNCTION("""COMPUTED_VALUE"""),36.56666666666666)</f>
        <v>36.56666667</v>
      </c>
      <c r="H246" s="17">
        <f>IFERROR(__xludf.DUMMYFUNCTION("""COMPUTED_VALUE"""),44173.0)</f>
        <v>44173</v>
      </c>
      <c r="I246" s="19">
        <f>IFERROR(__xludf.DUMMYFUNCTION("""COMPUTED_VALUE"""),2.7805555555555554)</f>
        <v>2.780555556</v>
      </c>
      <c r="J246" s="21">
        <f>IFERROR(__xludf.DUMMYFUNCTION("""COMPUTED_VALUE"""),73.0)</f>
        <v>73</v>
      </c>
      <c r="K246" s="23">
        <f>IFERROR(__xludf.DUMMYFUNCTION("""COMPUTED_VALUE"""),7.3)</f>
        <v>7.3</v>
      </c>
      <c r="L246" s="24">
        <f>IFERROR(__xludf.DUMMYFUNCTION("""COMPUTED_VALUE"""),6.0)</f>
        <v>6</v>
      </c>
      <c r="M246" s="25" t="str">
        <f>IFERROR(__xludf.DUMMYFUNCTION("""COMPUTED_VALUE"""),"Action-Adventure")</f>
        <v>Action-Adventure</v>
      </c>
      <c r="N246" s="25"/>
      <c r="O246" s="26" t="str">
        <f>IFERROR(__xludf.DUMMYFUNCTION("""COMPUTED_VALUE"""),"Yes")</f>
        <v>Yes</v>
      </c>
      <c r="P246" s="26"/>
    </row>
    <row r="247">
      <c r="A247" s="13" t="str">
        <f>IFERROR(__xludf.DUMMYFUNCTION("""COMPUTED_VALUE"""),"Pursuit Force: Extreme Justice")</f>
        <v>Pursuit Force: Extreme Justice</v>
      </c>
      <c r="B247" s="15" t="str">
        <f>IFERROR(__xludf.DUMMYFUNCTION("""COMPUTED_VALUE"""),"PS5/PS4")</f>
        <v>PS5/PS4</v>
      </c>
      <c r="C247" s="16" t="str">
        <f>IFERROR(__xludf.DUMMYFUNCTION("""COMPUTED_VALUE"""),"Premium (Classics)")</f>
        <v>Premium (Classics)</v>
      </c>
      <c r="D247" s="15" t="str">
        <f>IFERROR(__xludf.DUMMYFUNCTION("""COMPUTED_VALUE"""),"Active")</f>
        <v>Active</v>
      </c>
      <c r="E247" s="17">
        <f>IFERROR(__xludf.DUMMYFUNCTION("""COMPUTED_VALUE"""),45153.0)</f>
        <v>45153</v>
      </c>
      <c r="F247" s="54"/>
      <c r="G247" s="19">
        <f>IFERROR(__xludf.DUMMYFUNCTION("""COMPUTED_VALUE"""),37.7)</f>
        <v>37.7</v>
      </c>
      <c r="H247" s="17">
        <f>IFERROR(__xludf.DUMMYFUNCTION("""COMPUTED_VALUE"""),39476.0)</f>
        <v>39476</v>
      </c>
      <c r="I247" s="19">
        <f>IFERROR(__xludf.DUMMYFUNCTION("""COMPUTED_VALUE"""),15.544444444444444)</f>
        <v>15.54444444</v>
      </c>
      <c r="J247" s="21">
        <f>IFERROR(__xludf.DUMMYFUNCTION("""COMPUTED_VALUE"""),73.0)</f>
        <v>73</v>
      </c>
      <c r="K247" s="23">
        <f>IFERROR(__xludf.DUMMYFUNCTION("""COMPUTED_VALUE"""),7.7)</f>
        <v>7.7</v>
      </c>
      <c r="L247" s="24">
        <f>IFERROR(__xludf.DUMMYFUNCTION("""COMPUTED_VALUE"""),8.0)</f>
        <v>8</v>
      </c>
      <c r="M247" s="25" t="str">
        <f>IFERROR(__xludf.DUMMYFUNCTION("""COMPUTED_VALUE"""),"Simulation")</f>
        <v>Simulation</v>
      </c>
      <c r="N247" s="25" t="str">
        <f>IFERROR(__xludf.DUMMYFUNCTION("""COMPUTED_VALUE"""),"PSP")</f>
        <v>PSP</v>
      </c>
      <c r="O247" s="26" t="str">
        <f>IFERROR(__xludf.DUMMYFUNCTION("""COMPUTED_VALUE"""),"Yes")</f>
        <v>Yes</v>
      </c>
      <c r="P247" s="26"/>
    </row>
    <row r="248">
      <c r="A248" s="13" t="str">
        <f>IFERROR(__xludf.DUMMYFUNCTION("""COMPUTED_VALUE"""),"Far Cry 6")</f>
        <v>Far Cry 6</v>
      </c>
      <c r="B248" s="15" t="str">
        <f>IFERROR(__xludf.DUMMYFUNCTION("""COMPUTED_VALUE"""),"PS5/PS4")</f>
        <v>PS5/PS4</v>
      </c>
      <c r="C248" s="16" t="str">
        <f>IFERROR(__xludf.DUMMYFUNCTION("""COMPUTED_VALUE"""),"Extra (Ubisoft+ Classics)")</f>
        <v>Extra (Ubisoft+ Classics)</v>
      </c>
      <c r="D248" s="15" t="str">
        <f>IFERROR(__xludf.DUMMYFUNCTION("""COMPUTED_VALUE"""),"Active")</f>
        <v>Active</v>
      </c>
      <c r="E248" s="17">
        <f>IFERROR(__xludf.DUMMYFUNCTION("""COMPUTED_VALUE"""),45097.0)</f>
        <v>45097</v>
      </c>
      <c r="F248" s="54"/>
      <c r="G248" s="19">
        <f>IFERROR(__xludf.DUMMYFUNCTION("""COMPUTED_VALUE"""),39.53333333333333)</f>
        <v>39.53333333</v>
      </c>
      <c r="H248" s="17">
        <f>IFERROR(__xludf.DUMMYFUNCTION("""COMPUTED_VALUE"""),44476.0)</f>
        <v>44476</v>
      </c>
      <c r="I248" s="19">
        <f>IFERROR(__xludf.DUMMYFUNCTION("""COMPUTED_VALUE"""),1.7027777777777777)</f>
        <v>1.702777778</v>
      </c>
      <c r="J248" s="21">
        <f>IFERROR(__xludf.DUMMYFUNCTION("""COMPUTED_VALUE"""),73.0)</f>
        <v>73</v>
      </c>
      <c r="K248" s="23">
        <f>IFERROR(__xludf.DUMMYFUNCTION("""COMPUTED_VALUE"""),4.9)</f>
        <v>4.9</v>
      </c>
      <c r="L248" s="24">
        <f>IFERROR(__xludf.DUMMYFUNCTION("""COMPUTED_VALUE"""),23.0)</f>
        <v>23</v>
      </c>
      <c r="M248" s="25" t="str">
        <f>IFERROR(__xludf.DUMMYFUNCTION("""COMPUTED_VALUE"""),"Shooter")</f>
        <v>Shooter</v>
      </c>
      <c r="N248" s="25"/>
      <c r="O248" s="26" t="str">
        <f>IFERROR(__xludf.DUMMYFUNCTION("""COMPUTED_VALUE"""),"Yes")</f>
        <v>Yes</v>
      </c>
      <c r="P248" s="26"/>
    </row>
    <row r="249">
      <c r="A249" s="13" t="str">
        <f>IFERROR(__xludf.DUMMYFUNCTION("""COMPUTED_VALUE"""),"Tom Clancy's Rainbow Six: Extraction")</f>
        <v>Tom Clancy's Rainbow Six: Extraction</v>
      </c>
      <c r="B249" s="15" t="str">
        <f>IFERROR(__xludf.DUMMYFUNCTION("""COMPUTED_VALUE"""),"PS5/PS4")</f>
        <v>PS5/PS4</v>
      </c>
      <c r="C249" s="16" t="str">
        <f>IFERROR(__xludf.DUMMYFUNCTION("""COMPUTED_VALUE"""),"Extra")</f>
        <v>Extra</v>
      </c>
      <c r="D249" s="15" t="str">
        <f>IFERROR(__xludf.DUMMYFUNCTION("""COMPUTED_VALUE"""),"Active")</f>
        <v>Active</v>
      </c>
      <c r="E249" s="17">
        <f>IFERROR(__xludf.DUMMYFUNCTION("""COMPUTED_VALUE"""),45006.0)</f>
        <v>45006</v>
      </c>
      <c r="F249" s="18"/>
      <c r="G249" s="19">
        <f>IFERROR(__xludf.DUMMYFUNCTION("""COMPUTED_VALUE"""),42.5)</f>
        <v>42.5</v>
      </c>
      <c r="H249" s="17">
        <f>IFERROR(__xludf.DUMMYFUNCTION("""COMPUTED_VALUE"""),44581.0)</f>
        <v>44581</v>
      </c>
      <c r="I249" s="19">
        <f>IFERROR(__xludf.DUMMYFUNCTION("""COMPUTED_VALUE"""),1.1694444444444445)</f>
        <v>1.169444444</v>
      </c>
      <c r="J249" s="21">
        <f>IFERROR(__xludf.DUMMYFUNCTION("""COMPUTED_VALUE"""),73.0)</f>
        <v>73</v>
      </c>
      <c r="K249" s="23">
        <f>IFERROR(__xludf.DUMMYFUNCTION("""COMPUTED_VALUE"""),5.2)</f>
        <v>5.2</v>
      </c>
      <c r="L249" s="24">
        <f>IFERROR(__xludf.DUMMYFUNCTION("""COMPUTED_VALUE"""),10.0)</f>
        <v>10</v>
      </c>
      <c r="M249" s="25" t="str">
        <f>IFERROR(__xludf.DUMMYFUNCTION("""COMPUTED_VALUE"""),"Shooter")</f>
        <v>Shooter</v>
      </c>
      <c r="N249" s="25"/>
      <c r="O249" s="26" t="str">
        <f>IFERROR(__xludf.DUMMYFUNCTION("""COMPUTED_VALUE"""),"Yes")</f>
        <v>Yes</v>
      </c>
      <c r="P249" s="26"/>
    </row>
    <row r="250">
      <c r="A250" s="13" t="str">
        <f>IFERROR(__xludf.DUMMYFUNCTION("""COMPUTED_VALUE"""),"Syphon Filter 3")</f>
        <v>Syphon Filter 3</v>
      </c>
      <c r="B250" s="15" t="str">
        <f>IFERROR(__xludf.DUMMYFUNCTION("""COMPUTED_VALUE"""),"PS5/PS4")</f>
        <v>PS5/PS4</v>
      </c>
      <c r="C250" s="16" t="str">
        <f>IFERROR(__xludf.DUMMYFUNCTION("""COMPUTED_VALUE"""),"Premium (Classics)")</f>
        <v>Premium (Classics)</v>
      </c>
      <c r="D250" s="15" t="str">
        <f>IFERROR(__xludf.DUMMYFUNCTION("""COMPUTED_VALUE"""),"Active")</f>
        <v>Active</v>
      </c>
      <c r="E250" s="17">
        <f>IFERROR(__xludf.DUMMYFUNCTION("""COMPUTED_VALUE"""),44943.0)</f>
        <v>44943</v>
      </c>
      <c r="F250" s="54"/>
      <c r="G250" s="19">
        <f>IFERROR(__xludf.DUMMYFUNCTION("""COMPUTED_VALUE"""),44.63333333333333)</f>
        <v>44.63333333</v>
      </c>
      <c r="H250" s="17">
        <f>IFERROR(__xludf.DUMMYFUNCTION("""COMPUTED_VALUE"""),37200.0)</f>
        <v>37200</v>
      </c>
      <c r="I250" s="19">
        <f>IFERROR(__xludf.DUMMYFUNCTION("""COMPUTED_VALUE"""),21.2)</f>
        <v>21.2</v>
      </c>
      <c r="J250" s="21">
        <f>IFERROR(__xludf.DUMMYFUNCTION("""COMPUTED_VALUE"""),73.0)</f>
        <v>73</v>
      </c>
      <c r="K250" s="23">
        <f>IFERROR(__xludf.DUMMYFUNCTION("""COMPUTED_VALUE"""),8.6)</f>
        <v>8.6</v>
      </c>
      <c r="L250" s="24">
        <f>IFERROR(__xludf.DUMMYFUNCTION("""COMPUTED_VALUE"""),8.0)</f>
        <v>8</v>
      </c>
      <c r="M250" s="25" t="str">
        <f>IFERROR(__xludf.DUMMYFUNCTION("""COMPUTED_VALUE"""),"Shooter")</f>
        <v>Shooter</v>
      </c>
      <c r="N250" s="25" t="str">
        <f>IFERROR(__xludf.DUMMYFUNCTION("""COMPUTED_VALUE"""),"PS1")</f>
        <v>PS1</v>
      </c>
      <c r="O250" s="26" t="str">
        <f>IFERROR(__xludf.DUMMYFUNCTION("""COMPUTED_VALUE"""),"Yes")</f>
        <v>Yes</v>
      </c>
      <c r="P250" s="26"/>
    </row>
    <row r="251">
      <c r="A251" s="13" t="str">
        <f>IFERROR(__xludf.DUMMYFUNCTION("""COMPUTED_VALUE"""),"Tom Clancy's Rainbow Six Siege")</f>
        <v>Tom Clancy's Rainbow Six Siege</v>
      </c>
      <c r="B251" s="15" t="str">
        <f>IFERROR(__xludf.DUMMYFUNCTION("""COMPUTED_VALUE"""),"PS5/PS4")</f>
        <v>PS5/PS4</v>
      </c>
      <c r="C251" s="16" t="str">
        <f>IFERROR(__xludf.DUMMYFUNCTION("""COMPUTED_VALUE"""),"Extra (Ubisoft+ Classics)")</f>
        <v>Extra (Ubisoft+ Classics)</v>
      </c>
      <c r="D251" s="15" t="str">
        <f>IFERROR(__xludf.DUMMYFUNCTION("""COMPUTED_VALUE"""),"Active")</f>
        <v>Active</v>
      </c>
      <c r="E251" s="17">
        <f>IFERROR(__xludf.DUMMYFUNCTION("""COMPUTED_VALUE"""),44880.0)</f>
        <v>44880</v>
      </c>
      <c r="F251" s="54"/>
      <c r="G251" s="19">
        <f>IFERROR(__xludf.DUMMYFUNCTION("""COMPUTED_VALUE"""),46.7)</f>
        <v>46.7</v>
      </c>
      <c r="H251" s="17">
        <f>IFERROR(__xludf.DUMMYFUNCTION("""COMPUTED_VALUE"""),42339.0)</f>
        <v>42339</v>
      </c>
      <c r="I251" s="19">
        <f>IFERROR(__xludf.DUMMYFUNCTION("""COMPUTED_VALUE"""),6.955555555555556)</f>
        <v>6.955555556</v>
      </c>
      <c r="J251" s="21">
        <f>IFERROR(__xludf.DUMMYFUNCTION("""COMPUTED_VALUE"""),73.0)</f>
        <v>73</v>
      </c>
      <c r="K251" s="23">
        <f>IFERROR(__xludf.DUMMYFUNCTION("""COMPUTED_VALUE"""),7.2)</f>
        <v>7.2</v>
      </c>
      <c r="L251" s="24">
        <f>IFERROR(__xludf.DUMMYFUNCTION("""COMPUTED_VALUE"""),10.5)</f>
        <v>10.5</v>
      </c>
      <c r="M251" s="25" t="str">
        <f>IFERROR(__xludf.DUMMYFUNCTION("""COMPUTED_VALUE"""),"Shooter")</f>
        <v>Shooter</v>
      </c>
      <c r="N251" s="25"/>
      <c r="O251" s="26" t="str">
        <f>IFERROR(__xludf.DUMMYFUNCTION("""COMPUTED_VALUE"""),"Yes")</f>
        <v>Yes</v>
      </c>
      <c r="P251" s="26"/>
    </row>
    <row r="252">
      <c r="A252" s="13" t="str">
        <f>IFERROR(__xludf.DUMMYFUNCTION("""COMPUTED_VALUE"""),"LocoRoco Midnight Carnival")</f>
        <v>LocoRoco Midnight Carnival</v>
      </c>
      <c r="B252" s="15" t="str">
        <f>IFERROR(__xludf.DUMMYFUNCTION("""COMPUTED_VALUE"""),"PS5")</f>
        <v>PS5</v>
      </c>
      <c r="C252" s="16" t="str">
        <f>IFERROR(__xludf.DUMMYFUNCTION("""COMPUTED_VALUE"""),"Premium (Classics)")</f>
        <v>Premium (Classics)</v>
      </c>
      <c r="D252" s="15" t="str">
        <f>IFERROR(__xludf.DUMMYFUNCTION("""COMPUTED_VALUE"""),"Active")</f>
        <v>Active</v>
      </c>
      <c r="E252" s="17">
        <f>IFERROR(__xludf.DUMMYFUNCTION("""COMPUTED_VALUE"""),44761.0)</f>
        <v>44761</v>
      </c>
      <c r="F252" s="54"/>
      <c r="G252" s="19">
        <f>IFERROR(__xludf.DUMMYFUNCTION("""COMPUTED_VALUE"""),50.56666666666666)</f>
        <v>50.56666667</v>
      </c>
      <c r="H252" s="17">
        <f>IFERROR(__xludf.DUMMYFUNCTION("""COMPUTED_VALUE"""),40115.0)</f>
        <v>40115</v>
      </c>
      <c r="I252" s="19">
        <f>IFERROR(__xludf.DUMMYFUNCTION("""COMPUTED_VALUE"""),12.722222222222221)</f>
        <v>12.72222222</v>
      </c>
      <c r="J252" s="21">
        <f>IFERROR(__xludf.DUMMYFUNCTION("""COMPUTED_VALUE"""),73.0)</f>
        <v>73</v>
      </c>
      <c r="K252" s="23">
        <f>IFERROR(__xludf.DUMMYFUNCTION("""COMPUTED_VALUE"""),7.7)</f>
        <v>7.7</v>
      </c>
      <c r="L252" s="24">
        <f>IFERROR(__xludf.DUMMYFUNCTION("""COMPUTED_VALUE"""),3.5)</f>
        <v>3.5</v>
      </c>
      <c r="M252" s="25" t="str">
        <f>IFERROR(__xludf.DUMMYFUNCTION("""COMPUTED_VALUE"""),"Puzzle")</f>
        <v>Puzzle</v>
      </c>
      <c r="N252" s="25" t="str">
        <f>IFERROR(__xludf.DUMMYFUNCTION("""COMPUTED_VALUE"""),"PSP")</f>
        <v>PSP</v>
      </c>
      <c r="O252" s="26" t="str">
        <f>IFERROR(__xludf.DUMMYFUNCTION("""COMPUTED_VALUE"""),"No")</f>
        <v>No</v>
      </c>
      <c r="P252" s="26"/>
    </row>
    <row r="253">
      <c r="A253" s="13" t="str">
        <f>IFERROR(__xludf.DUMMYFUNCTION("""COMPUTED_VALUE"""),"Maneater")</f>
        <v>Maneater</v>
      </c>
      <c r="B253" s="15" t="str">
        <f>IFERROR(__xludf.DUMMYFUNCTION("""COMPUTED_VALUE"""),"PS5/PS4")</f>
        <v>PS5/PS4</v>
      </c>
      <c r="C253" s="16" t="str">
        <f>IFERROR(__xludf.DUMMYFUNCTION("""COMPUTED_VALUE"""),"Extra")</f>
        <v>Extra</v>
      </c>
      <c r="D253" s="15" t="str">
        <f>IFERROR(__xludf.DUMMYFUNCTION("""COMPUTED_VALUE"""),"Active")</f>
        <v>Active</v>
      </c>
      <c r="E253" s="17">
        <f>IFERROR(__xludf.DUMMYFUNCTION("""COMPUTED_VALUE"""),44201.0)</f>
        <v>44201</v>
      </c>
      <c r="F253" s="54"/>
      <c r="G253" s="19">
        <f>IFERROR(__xludf.DUMMYFUNCTION("""COMPUTED_VALUE"""),69.03333333333333)</f>
        <v>69.03333333</v>
      </c>
      <c r="H253" s="17">
        <f>IFERROR(__xludf.DUMMYFUNCTION("""COMPUTED_VALUE"""),43973.0)</f>
        <v>43973</v>
      </c>
      <c r="I253" s="19">
        <f>IFERROR(__xludf.DUMMYFUNCTION("""COMPUTED_VALUE"""),0.6194444444444445)</f>
        <v>0.6194444444</v>
      </c>
      <c r="J253" s="21">
        <f>IFERROR(__xludf.DUMMYFUNCTION("""COMPUTED_VALUE"""),73.0)</f>
        <v>73</v>
      </c>
      <c r="K253" s="23">
        <f>IFERROR(__xludf.DUMMYFUNCTION("""COMPUTED_VALUE"""),7.3)</f>
        <v>7.3</v>
      </c>
      <c r="L253" s="24">
        <f>IFERROR(__xludf.DUMMYFUNCTION("""COMPUTED_VALUE"""),8.0)</f>
        <v>8</v>
      </c>
      <c r="M253" s="25" t="str">
        <f>IFERROR(__xludf.DUMMYFUNCTION("""COMPUTED_VALUE"""),"RPG")</f>
        <v>RPG</v>
      </c>
      <c r="N253" s="25"/>
      <c r="O253" s="26" t="str">
        <f>IFERROR(__xludf.DUMMYFUNCTION("""COMPUTED_VALUE"""),"Yes")</f>
        <v>Yes</v>
      </c>
      <c r="P253" s="26"/>
    </row>
    <row r="254">
      <c r="A254" s="13" t="str">
        <f>IFERROR(__xludf.DUMMYFUNCTION("""COMPUTED_VALUE"""),"Avatar: Frontiers of Pandora")</f>
        <v>Avatar: Frontiers of Pandora</v>
      </c>
      <c r="B254" s="15" t="str">
        <f>IFERROR(__xludf.DUMMYFUNCTION("""COMPUTED_VALUE"""),"PS5")</f>
        <v>PS5</v>
      </c>
      <c r="C254" s="16" t="str">
        <f>IFERROR(__xludf.DUMMYFUNCTION("""COMPUTED_VALUE"""),"Extra")</f>
        <v>Extra</v>
      </c>
      <c r="D254" s="15" t="str">
        <f>IFERROR(__xludf.DUMMYFUNCTION("""COMPUTED_VALUE"""),"Active")</f>
        <v>Active</v>
      </c>
      <c r="E254" s="17">
        <f>IFERROR(__xludf.DUMMYFUNCTION("""COMPUTED_VALUE"""),46224.0)</f>
        <v>46224</v>
      </c>
      <c r="F254" s="54"/>
      <c r="G254" s="19">
        <f>IFERROR(__xludf.DUMMYFUNCTION("""COMPUTED_VALUE"""),2.5)</f>
        <v>2.5</v>
      </c>
      <c r="H254" s="17">
        <f>IFERROR(__xludf.DUMMYFUNCTION("""COMPUTED_VALUE"""),45267.0)</f>
        <v>45267</v>
      </c>
      <c r="I254" s="19">
        <f>IFERROR(__xludf.DUMMYFUNCTION("""COMPUTED_VALUE"""),2.6222222222222222)</f>
        <v>2.622222222</v>
      </c>
      <c r="J254" s="21">
        <f>IFERROR(__xludf.DUMMYFUNCTION("""COMPUTED_VALUE"""),72.0)</f>
        <v>72</v>
      </c>
      <c r="K254" s="23">
        <f>IFERROR(__xludf.DUMMYFUNCTION("""COMPUTED_VALUE"""),7.1)</f>
        <v>7.1</v>
      </c>
      <c r="L254" s="24">
        <f>IFERROR(__xludf.DUMMYFUNCTION("""COMPUTED_VALUE"""),21.0)</f>
        <v>21</v>
      </c>
      <c r="M254" s="25" t="str">
        <f>IFERROR(__xludf.DUMMYFUNCTION("""COMPUTED_VALUE"""),"Action-Adventure")</f>
        <v>Action-Adventure</v>
      </c>
      <c r="N254" s="25"/>
      <c r="O254" s="26" t="str">
        <f>IFERROR(__xludf.DUMMYFUNCTION("""COMPUTED_VALUE"""),"No")</f>
        <v>No</v>
      </c>
      <c r="P254" s="26"/>
    </row>
    <row r="255">
      <c r="A255" s="13" t="str">
        <f>IFERROR(__xludf.DUMMYFUNCTION("""COMPUTED_VALUE"""),"Wizard with a Gun")</f>
        <v>Wizard with a Gun</v>
      </c>
      <c r="B255" s="15" t="str">
        <f>IFERROR(__xludf.DUMMYFUNCTION("""COMPUTED_VALUE"""),"PS5")</f>
        <v>PS5</v>
      </c>
      <c r="C255" s="16" t="str">
        <f>IFERROR(__xludf.DUMMYFUNCTION("""COMPUTED_VALUE"""),"Extra")</f>
        <v>Extra</v>
      </c>
      <c r="D255" s="15" t="str">
        <f>IFERROR(__xludf.DUMMYFUNCTION("""COMPUTED_VALUE"""),"Active")</f>
        <v>Active</v>
      </c>
      <c r="E255" s="17">
        <f>IFERROR(__xludf.DUMMYFUNCTION("""COMPUTED_VALUE"""),45951.0)</f>
        <v>45951</v>
      </c>
      <c r="F255" s="54"/>
      <c r="G255" s="19">
        <f>IFERROR(__xludf.DUMMYFUNCTION("""COMPUTED_VALUE"""),11.5)</f>
        <v>11.5</v>
      </c>
      <c r="H255" s="17">
        <f>IFERROR(__xludf.DUMMYFUNCTION("""COMPUTED_VALUE"""),45215.0)</f>
        <v>45215</v>
      </c>
      <c r="I255" s="19">
        <f>IFERROR(__xludf.DUMMYFUNCTION("""COMPUTED_VALUE"""),2.013888888888889)</f>
        <v>2.013888889</v>
      </c>
      <c r="J255" s="21">
        <f>IFERROR(__xludf.DUMMYFUNCTION("""COMPUTED_VALUE"""),72.0)</f>
        <v>72</v>
      </c>
      <c r="K255" s="23">
        <f>IFERROR(__xludf.DUMMYFUNCTION("""COMPUTED_VALUE"""),5.3)</f>
        <v>5.3</v>
      </c>
      <c r="L255" s="24">
        <f>IFERROR(__xludf.DUMMYFUNCTION("""COMPUTED_VALUE"""),14.0)</f>
        <v>14</v>
      </c>
      <c r="M255" s="25" t="str">
        <f>IFERROR(__xludf.DUMMYFUNCTION("""COMPUTED_VALUE"""),"Sandbox")</f>
        <v>Sandbox</v>
      </c>
      <c r="N255" s="25"/>
      <c r="O255" s="26" t="str">
        <f>IFERROR(__xludf.DUMMYFUNCTION("""COMPUTED_VALUE"""),"No")</f>
        <v>No</v>
      </c>
      <c r="P255" s="26"/>
    </row>
    <row r="256">
      <c r="A256" s="13" t="str">
        <f>IFERROR(__xludf.DUMMYFUNCTION("""COMPUTED_VALUE"""),"The Invincible")</f>
        <v>The Invincible</v>
      </c>
      <c r="B256" s="15" t="str">
        <f>IFERROR(__xludf.DUMMYFUNCTION("""COMPUTED_VALUE"""),"PS5")</f>
        <v>PS5</v>
      </c>
      <c r="C256" s="16" t="str">
        <f>IFERROR(__xludf.DUMMYFUNCTION("""COMPUTED_VALUE"""),"Extra")</f>
        <v>Extra</v>
      </c>
      <c r="D256" s="15" t="str">
        <f>IFERROR(__xludf.DUMMYFUNCTION("""COMPUTED_VALUE"""),"Active")</f>
        <v>Active</v>
      </c>
      <c r="E256" s="17">
        <f>IFERROR(__xludf.DUMMYFUNCTION("""COMPUTED_VALUE"""),45916.0)</f>
        <v>45916</v>
      </c>
      <c r="F256" s="54"/>
      <c r="G256" s="19">
        <f>IFERROR(__xludf.DUMMYFUNCTION("""COMPUTED_VALUE"""),12.666666666666668)</f>
        <v>12.66666667</v>
      </c>
      <c r="H256" s="17">
        <f>IFERROR(__xludf.DUMMYFUNCTION("""COMPUTED_VALUE"""),45236.0)</f>
        <v>45236</v>
      </c>
      <c r="I256" s="19">
        <f>IFERROR(__xludf.DUMMYFUNCTION("""COMPUTED_VALUE"""),1.8611111111111112)</f>
        <v>1.861111111</v>
      </c>
      <c r="J256" s="21">
        <f>IFERROR(__xludf.DUMMYFUNCTION("""COMPUTED_VALUE"""),72.0)</f>
        <v>72</v>
      </c>
      <c r="K256" s="23">
        <f>IFERROR(__xludf.DUMMYFUNCTION("""COMPUTED_VALUE"""),7.9)</f>
        <v>7.9</v>
      </c>
      <c r="L256" s="24">
        <f>IFERROR(__xludf.DUMMYFUNCTION("""COMPUTED_VALUE"""),7.0)</f>
        <v>7</v>
      </c>
      <c r="M256" s="25" t="str">
        <f>IFERROR(__xludf.DUMMYFUNCTION("""COMPUTED_VALUE"""),"Action-Adventure")</f>
        <v>Action-Adventure</v>
      </c>
      <c r="N256" s="25"/>
      <c r="O256" s="26" t="str">
        <f>IFERROR(__xludf.DUMMYFUNCTION("""COMPUTED_VALUE"""),"No")</f>
        <v>No</v>
      </c>
      <c r="P256" s="26"/>
    </row>
    <row r="257">
      <c r="A257" s="13" t="str">
        <f>IFERROR(__xludf.DUMMYFUNCTION("""COMPUTED_VALUE"""),"Story of Seasons: A Wonderful Life")</f>
        <v>Story of Seasons: A Wonderful Life</v>
      </c>
      <c r="B257" s="15" t="str">
        <f>IFERROR(__xludf.DUMMYFUNCTION("""COMPUTED_VALUE"""),"PS5")</f>
        <v>PS5</v>
      </c>
      <c r="C257" s="16" t="str">
        <f>IFERROR(__xludf.DUMMYFUNCTION("""COMPUTED_VALUE"""),"Extra")</f>
        <v>Extra</v>
      </c>
      <c r="D257" s="15" t="str">
        <f>IFERROR(__xludf.DUMMYFUNCTION("""COMPUTED_VALUE"""),"Active")</f>
        <v>Active</v>
      </c>
      <c r="E257" s="17">
        <f>IFERROR(__xludf.DUMMYFUNCTION("""COMPUTED_VALUE"""),45797.0)</f>
        <v>45797</v>
      </c>
      <c r="F257" s="54"/>
      <c r="G257" s="19">
        <f>IFERROR(__xludf.DUMMYFUNCTION("""COMPUTED_VALUE"""),16.53333333333333)</f>
        <v>16.53333333</v>
      </c>
      <c r="H257" s="17">
        <f>IFERROR(__xludf.DUMMYFUNCTION("""COMPUTED_VALUE"""),45104.0)</f>
        <v>45104</v>
      </c>
      <c r="I257" s="19">
        <f>IFERROR(__xludf.DUMMYFUNCTION("""COMPUTED_VALUE"""),1.8972222222222221)</f>
        <v>1.897222222</v>
      </c>
      <c r="J257" s="21">
        <f>IFERROR(__xludf.DUMMYFUNCTION("""COMPUTED_VALUE"""),72.0)</f>
        <v>72</v>
      </c>
      <c r="K257" s="23">
        <f>IFERROR(__xludf.DUMMYFUNCTION("""COMPUTED_VALUE"""),7.5)</f>
        <v>7.5</v>
      </c>
      <c r="L257" s="24">
        <f>IFERROR(__xludf.DUMMYFUNCTION("""COMPUTED_VALUE"""),24.0)</f>
        <v>24</v>
      </c>
      <c r="M257" s="25" t="str">
        <f>IFERROR(__xludf.DUMMYFUNCTION("""COMPUTED_VALUE"""),"Virtual Life")</f>
        <v>Virtual Life</v>
      </c>
      <c r="N257" s="25"/>
      <c r="O257" s="26" t="str">
        <f>IFERROR(__xludf.DUMMYFUNCTION("""COMPUTED_VALUE"""),"No")</f>
        <v>No</v>
      </c>
      <c r="P257" s="26"/>
    </row>
    <row r="258">
      <c r="A258" s="13" t="str">
        <f>IFERROR(__xludf.DUMMYFUNCTION("""COMPUTED_VALUE"""),"Alone in the Dark 2")</f>
        <v>Alone in the Dark 2</v>
      </c>
      <c r="B258" s="15" t="str">
        <f>IFERROR(__xludf.DUMMYFUNCTION("""COMPUTED_VALUE"""),"PS5/PS4")</f>
        <v>PS5/PS4</v>
      </c>
      <c r="C258" s="16" t="str">
        <f>IFERROR(__xludf.DUMMYFUNCTION("""COMPUTED_VALUE"""),"Premium (Classics)")</f>
        <v>Premium (Classics)</v>
      </c>
      <c r="D258" s="15" t="str">
        <f>IFERROR(__xludf.DUMMYFUNCTION("""COMPUTED_VALUE"""),"Active")</f>
        <v>Active</v>
      </c>
      <c r="E258" s="17">
        <f>IFERROR(__xludf.DUMMYFUNCTION("""COMPUTED_VALUE"""),45762.0)</f>
        <v>45762</v>
      </c>
      <c r="F258" s="54"/>
      <c r="G258" s="19">
        <f>IFERROR(__xludf.DUMMYFUNCTION("""COMPUTED_VALUE"""),17.700000000000003)</f>
        <v>17.7</v>
      </c>
      <c r="H258" s="17">
        <f>IFERROR(__xludf.DUMMYFUNCTION("""COMPUTED_VALUE"""),34243.0)</f>
        <v>34243</v>
      </c>
      <c r="I258" s="19">
        <f>IFERROR(__xludf.DUMMYFUNCTION("""COMPUTED_VALUE"""),31.538888888888888)</f>
        <v>31.53888889</v>
      </c>
      <c r="J258" s="21">
        <f>IFERROR(__xludf.DUMMYFUNCTION("""COMPUTED_VALUE"""),72.0)</f>
        <v>72</v>
      </c>
      <c r="K258" s="23">
        <f>IFERROR(__xludf.DUMMYFUNCTION("""COMPUTED_VALUE"""),7.2)</f>
        <v>7.2</v>
      </c>
      <c r="L258" s="24">
        <f>IFERROR(__xludf.DUMMYFUNCTION("""COMPUTED_VALUE"""),4.0)</f>
        <v>4</v>
      </c>
      <c r="M258" s="25" t="str">
        <f>IFERROR(__xludf.DUMMYFUNCTION("""COMPUTED_VALUE"""),"Survival")</f>
        <v>Survival</v>
      </c>
      <c r="N258" s="25" t="str">
        <f>IFERROR(__xludf.DUMMYFUNCTION("""COMPUTED_VALUE"""),"PS1")</f>
        <v>PS1</v>
      </c>
      <c r="O258" s="26"/>
      <c r="P258" s="26"/>
    </row>
    <row r="259">
      <c r="A259" s="13" t="str">
        <f>IFERROR(__xludf.DUMMYFUNCTION("""COMPUTED_VALUE"""),"Wild Card Football")</f>
        <v>Wild Card Football</v>
      </c>
      <c r="B259" s="15" t="str">
        <f>IFERROR(__xludf.DUMMYFUNCTION("""COMPUTED_VALUE"""),"PS5/PS4")</f>
        <v>PS5/PS4</v>
      </c>
      <c r="C259" s="16" t="str">
        <f>IFERROR(__xludf.DUMMYFUNCTION("""COMPUTED_VALUE"""),"Extra")</f>
        <v>Extra</v>
      </c>
      <c r="D259" s="15" t="str">
        <f>IFERROR(__xludf.DUMMYFUNCTION("""COMPUTED_VALUE"""),"Active")</f>
        <v>Active</v>
      </c>
      <c r="E259" s="17">
        <f>IFERROR(__xludf.DUMMYFUNCTION("""COMPUTED_VALUE"""),45552.0)</f>
        <v>45552</v>
      </c>
      <c r="F259" s="54"/>
      <c r="G259" s="19">
        <f>IFERROR(__xludf.DUMMYFUNCTION("""COMPUTED_VALUE"""),24.633333333333333)</f>
        <v>24.63333333</v>
      </c>
      <c r="H259" s="17">
        <f>IFERROR(__xludf.DUMMYFUNCTION("""COMPUTED_VALUE"""),45209.0)</f>
        <v>45209</v>
      </c>
      <c r="I259" s="19">
        <f>IFERROR(__xludf.DUMMYFUNCTION("""COMPUTED_VALUE"""),0.9361111111111111)</f>
        <v>0.9361111111</v>
      </c>
      <c r="J259" s="21">
        <f>IFERROR(__xludf.DUMMYFUNCTION("""COMPUTED_VALUE"""),72.0)</f>
        <v>72</v>
      </c>
      <c r="K259" s="23">
        <f>IFERROR(__xludf.DUMMYFUNCTION("""COMPUTED_VALUE"""),8.3)</f>
        <v>8.3</v>
      </c>
      <c r="L259" s="24">
        <f>IFERROR(__xludf.DUMMYFUNCTION("""COMPUTED_VALUE"""),12.0)</f>
        <v>12</v>
      </c>
      <c r="M259" s="25" t="str">
        <f>IFERROR(__xludf.DUMMYFUNCTION("""COMPUTED_VALUE"""),"Sports")</f>
        <v>Sports</v>
      </c>
      <c r="N259" s="25"/>
      <c r="O259" s="26" t="str">
        <f>IFERROR(__xludf.DUMMYFUNCTION("""COMPUTED_VALUE"""),"No")</f>
        <v>No</v>
      </c>
      <c r="P259" s="26"/>
    </row>
    <row r="260">
      <c r="A260" s="13" t="str">
        <f>IFERROR(__xludf.DUMMYFUNCTION("""COMPUTED_VALUE"""),"Secret Agent Clank")</f>
        <v>Secret Agent Clank</v>
      </c>
      <c r="B260" s="15" t="str">
        <f>IFERROR(__xludf.DUMMYFUNCTION("""COMPUTED_VALUE"""),"PS5/PS4")</f>
        <v>PS5/PS4</v>
      </c>
      <c r="C260" s="16" t="str">
        <f>IFERROR(__xludf.DUMMYFUNCTION("""COMPUTED_VALUE"""),"Premium (Classics)")</f>
        <v>Premium (Classics)</v>
      </c>
      <c r="D260" s="15" t="str">
        <f>IFERROR(__xludf.DUMMYFUNCTION("""COMPUTED_VALUE"""),"Active")</f>
        <v>Active</v>
      </c>
      <c r="E260" s="17">
        <f>IFERROR(__xludf.DUMMYFUNCTION("""COMPUTED_VALUE"""),45552.0)</f>
        <v>45552</v>
      </c>
      <c r="F260" s="54"/>
      <c r="G260" s="19">
        <f>IFERROR(__xludf.DUMMYFUNCTION("""COMPUTED_VALUE"""),24.633333333333333)</f>
        <v>24.63333333</v>
      </c>
      <c r="H260" s="17">
        <f>IFERROR(__xludf.DUMMYFUNCTION("""COMPUTED_VALUE"""),39616.0)</f>
        <v>39616</v>
      </c>
      <c r="I260" s="19">
        <f>IFERROR(__xludf.DUMMYFUNCTION("""COMPUTED_VALUE"""),16.25)</f>
        <v>16.25</v>
      </c>
      <c r="J260" s="21">
        <f>IFERROR(__xludf.DUMMYFUNCTION("""COMPUTED_VALUE"""),72.0)</f>
        <v>72</v>
      </c>
      <c r="K260" s="23">
        <f>IFERROR(__xludf.DUMMYFUNCTION("""COMPUTED_VALUE"""),7.4)</f>
        <v>7.4</v>
      </c>
      <c r="L260" s="24">
        <f>IFERROR(__xludf.DUMMYFUNCTION("""COMPUTED_VALUE"""),8.0)</f>
        <v>8</v>
      </c>
      <c r="M260" s="25" t="str">
        <f>IFERROR(__xludf.DUMMYFUNCTION("""COMPUTED_VALUE"""),"Platformer")</f>
        <v>Platformer</v>
      </c>
      <c r="N260" s="25" t="str">
        <f>IFERROR(__xludf.DUMMYFUNCTION("""COMPUTED_VALUE"""),"PSP")</f>
        <v>PSP</v>
      </c>
      <c r="O260" s="26" t="str">
        <f>IFERROR(__xludf.DUMMYFUNCTION("""COMPUTED_VALUE"""),"Yes")</f>
        <v>Yes</v>
      </c>
      <c r="P260" s="26"/>
    </row>
    <row r="261">
      <c r="A261" s="13" t="str">
        <f>IFERROR(__xludf.DUMMYFUNCTION("""COMPUTED_VALUE"""),"G-Police")</f>
        <v>G-Police</v>
      </c>
      <c r="B261" s="15" t="str">
        <f>IFERROR(__xludf.DUMMYFUNCTION("""COMPUTED_VALUE"""),"PS5/PS4")</f>
        <v>PS5/PS4</v>
      </c>
      <c r="C261" s="16" t="str">
        <f>IFERROR(__xludf.DUMMYFUNCTION("""COMPUTED_VALUE"""),"Premium (Classics)")</f>
        <v>Premium (Classics)</v>
      </c>
      <c r="D261" s="15" t="str">
        <f>IFERROR(__xludf.DUMMYFUNCTION("""COMPUTED_VALUE"""),"Active")</f>
        <v>Active</v>
      </c>
      <c r="E261" s="17">
        <f>IFERROR(__xludf.DUMMYFUNCTION("""COMPUTED_VALUE"""),45433.0)</f>
        <v>45433</v>
      </c>
      <c r="F261" s="54"/>
      <c r="G261" s="19">
        <f>IFERROR(__xludf.DUMMYFUNCTION("""COMPUTED_VALUE"""),28.5)</f>
        <v>28.5</v>
      </c>
      <c r="H261" s="17">
        <f>IFERROR(__xludf.DUMMYFUNCTION("""COMPUTED_VALUE"""),35703.0)</f>
        <v>35703</v>
      </c>
      <c r="I261" s="19">
        <f>IFERROR(__xludf.DUMMYFUNCTION("""COMPUTED_VALUE"""),26.641666666666666)</f>
        <v>26.64166667</v>
      </c>
      <c r="J261" s="21">
        <f>IFERROR(__xludf.DUMMYFUNCTION("""COMPUTED_VALUE"""),72.0)</f>
        <v>72</v>
      </c>
      <c r="K261" s="23">
        <f>IFERROR(__xludf.DUMMYFUNCTION("""COMPUTED_VALUE"""),7.8)</f>
        <v>7.8</v>
      </c>
      <c r="L261" s="24">
        <f>IFERROR(__xludf.DUMMYFUNCTION("""COMPUTED_VALUE"""),15.0)</f>
        <v>15</v>
      </c>
      <c r="M261" s="72" t="str">
        <f>IFERROR(__xludf.DUMMYFUNCTION("""COMPUTED_VALUE"""),"Action-Adventure")</f>
        <v>Action-Adventure</v>
      </c>
      <c r="N261" s="72" t="str">
        <f>IFERROR(__xludf.DUMMYFUNCTION("""COMPUTED_VALUE"""),"PS1")</f>
        <v>PS1</v>
      </c>
      <c r="O261" s="73" t="str">
        <f>IFERROR(__xludf.DUMMYFUNCTION("""COMPUTED_VALUE"""),"Yes")</f>
        <v>Yes</v>
      </c>
      <c r="P261" s="73"/>
    </row>
    <row r="262">
      <c r="A262" s="13" t="str">
        <f>IFERROR(__xludf.DUMMYFUNCTION("""COMPUTED_VALUE"""),"Kingdom of Paradise")</f>
        <v>Kingdom of Paradise</v>
      </c>
      <c r="B262" s="15" t="str">
        <f>IFERROR(__xludf.DUMMYFUNCTION("""COMPUTED_VALUE"""),"PS5/PS4")</f>
        <v>PS5/PS4</v>
      </c>
      <c r="C262" s="16" t="str">
        <f>IFERROR(__xludf.DUMMYFUNCTION("""COMPUTED_VALUE"""),"Premium (Classics)")</f>
        <v>Premium (Classics)</v>
      </c>
      <c r="D262" s="15" t="str">
        <f>IFERROR(__xludf.DUMMYFUNCTION("""COMPUTED_VALUE"""),"Active")</f>
        <v>Active</v>
      </c>
      <c r="E262" s="17">
        <f>IFERROR(__xludf.DUMMYFUNCTION("""COMPUTED_VALUE"""),44824.0)</f>
        <v>44824</v>
      </c>
      <c r="F262" s="18"/>
      <c r="G262" s="19">
        <f>IFERROR(__xludf.DUMMYFUNCTION("""COMPUTED_VALUE"""),48.53333333333333)</f>
        <v>48.53333333</v>
      </c>
      <c r="H262" s="17">
        <f>IFERROR(__xludf.DUMMYFUNCTION("""COMPUTED_VALUE"""),38671.0)</f>
        <v>38671</v>
      </c>
      <c r="I262" s="19">
        <f>IFERROR(__xludf.DUMMYFUNCTION("""COMPUTED_VALUE"""),16.84722222222222)</f>
        <v>16.84722222</v>
      </c>
      <c r="J262" s="21">
        <f>IFERROR(__xludf.DUMMYFUNCTION("""COMPUTED_VALUE"""),72.0)</f>
        <v>72</v>
      </c>
      <c r="K262" s="23">
        <f>IFERROR(__xludf.DUMMYFUNCTION("""COMPUTED_VALUE"""),7.5)</f>
        <v>7.5</v>
      </c>
      <c r="L262" s="24">
        <f>IFERROR(__xludf.DUMMYFUNCTION("""COMPUTED_VALUE"""),22.0)</f>
        <v>22</v>
      </c>
      <c r="M262" s="25" t="str">
        <f>IFERROR(__xludf.DUMMYFUNCTION("""COMPUTED_VALUE"""),"Action-Adventure")</f>
        <v>Action-Adventure</v>
      </c>
      <c r="N262" s="25" t="str">
        <f>IFERROR(__xludf.DUMMYFUNCTION("""COMPUTED_VALUE"""),"PSP")</f>
        <v>PSP</v>
      </c>
      <c r="O262" s="26" t="str">
        <f>IFERROR(__xludf.DUMMYFUNCTION("""COMPUTED_VALUE"""),"Yes")</f>
        <v>Yes</v>
      </c>
      <c r="P262" s="26"/>
    </row>
    <row r="263">
      <c r="A263" s="13" t="str">
        <f>IFERROR(__xludf.DUMMYFUNCTION("""COMPUTED_VALUE"""),"SIREN")</f>
        <v>SIREN</v>
      </c>
      <c r="B263" s="15" t="str">
        <f>IFERROR(__xludf.DUMMYFUNCTION("""COMPUTED_VALUE"""),"PS5/PS4")</f>
        <v>PS5/PS4</v>
      </c>
      <c r="C263" s="16" t="str">
        <f>IFERROR(__xludf.DUMMYFUNCTION("""COMPUTED_VALUE"""),"Premium (Classics)")</f>
        <v>Premium (Classics)</v>
      </c>
      <c r="D263" s="15" t="str">
        <f>IFERROR(__xludf.DUMMYFUNCTION("""COMPUTED_VALUE"""),"Active")</f>
        <v>Active</v>
      </c>
      <c r="E263" s="17">
        <f>IFERROR(__xludf.DUMMYFUNCTION("""COMPUTED_VALUE"""),44725.0)</f>
        <v>44725</v>
      </c>
      <c r="F263" s="54"/>
      <c r="G263" s="19">
        <f>IFERROR(__xludf.DUMMYFUNCTION("""COMPUTED_VALUE"""),51.766666666666666)</f>
        <v>51.76666667</v>
      </c>
      <c r="H263" s="17">
        <f>IFERROR(__xludf.DUMMYFUNCTION("""COMPUTED_VALUE"""),38078.0)</f>
        <v>38078</v>
      </c>
      <c r="I263" s="19">
        <f>IFERROR(__xludf.DUMMYFUNCTION("""COMPUTED_VALUE"""),18.2)</f>
        <v>18.2</v>
      </c>
      <c r="J263" s="21">
        <f>IFERROR(__xludf.DUMMYFUNCTION("""COMPUTED_VALUE"""),72.0)</f>
        <v>72</v>
      </c>
      <c r="K263" s="23">
        <f>IFERROR(__xludf.DUMMYFUNCTION("""COMPUTED_VALUE"""),8.1)</f>
        <v>8.1</v>
      </c>
      <c r="L263" s="24">
        <f>IFERROR(__xludf.DUMMYFUNCTION("""COMPUTED_VALUE"""),20.0)</f>
        <v>20</v>
      </c>
      <c r="M263" s="25" t="str">
        <f>IFERROR(__xludf.DUMMYFUNCTION("""COMPUTED_VALUE"""),"Survival")</f>
        <v>Survival</v>
      </c>
      <c r="N263" s="25" t="str">
        <f>IFERROR(__xludf.DUMMYFUNCTION("""COMPUTED_VALUE"""),"PS2")</f>
        <v>PS2</v>
      </c>
      <c r="O263" s="26" t="str">
        <f>IFERROR(__xludf.DUMMYFUNCTION("""COMPUTED_VALUE"""),"Yes")</f>
        <v>Yes</v>
      </c>
      <c r="P263" s="26" t="str">
        <f>IFERROR(__xludf.DUMMYFUNCTION("""COMPUTED_VALUE"""),"")</f>
        <v/>
      </c>
    </row>
    <row r="264">
      <c r="A264" s="13" t="str">
        <f>IFERROR(__xludf.DUMMYFUNCTION("""COMPUTED_VALUE"""),"Flintlock: The Siege of Dawn")</f>
        <v>Flintlock: The Siege of Dawn</v>
      </c>
      <c r="B264" s="15" t="str">
        <f>IFERROR(__xludf.DUMMYFUNCTION("""COMPUTED_VALUE"""),"PS5")</f>
        <v>PS5</v>
      </c>
      <c r="C264" s="16" t="str">
        <f>IFERROR(__xludf.DUMMYFUNCTION("""COMPUTED_VALUE"""),"Extra")</f>
        <v>Extra</v>
      </c>
      <c r="D264" s="15" t="str">
        <f>IFERROR(__xludf.DUMMYFUNCTION("""COMPUTED_VALUE"""),"Active")</f>
        <v>Active</v>
      </c>
      <c r="E264" s="17">
        <f>IFERROR(__xludf.DUMMYFUNCTION("""COMPUTED_VALUE"""),46161.0)</f>
        <v>46161</v>
      </c>
      <c r="F264" s="54"/>
      <c r="G264" s="19">
        <f>IFERROR(__xludf.DUMMYFUNCTION("""COMPUTED_VALUE"""),4.566666666666666)</f>
        <v>4.566666667</v>
      </c>
      <c r="H264" s="17">
        <f>IFERROR(__xludf.DUMMYFUNCTION("""COMPUTED_VALUE"""),45490.0)</f>
        <v>45490</v>
      </c>
      <c r="I264" s="19">
        <f>IFERROR(__xludf.DUMMYFUNCTION("""COMPUTED_VALUE"""),1.8388888888888888)</f>
        <v>1.838888889</v>
      </c>
      <c r="J264" s="21">
        <f>IFERROR(__xludf.DUMMYFUNCTION("""COMPUTED_VALUE"""),71.0)</f>
        <v>71</v>
      </c>
      <c r="K264" s="23">
        <f>IFERROR(__xludf.DUMMYFUNCTION("""COMPUTED_VALUE"""),5.8)</f>
        <v>5.8</v>
      </c>
      <c r="L264" s="24">
        <f>IFERROR(__xludf.DUMMYFUNCTION("""COMPUTED_VALUE"""),10.0)</f>
        <v>10</v>
      </c>
      <c r="M264" s="25" t="str">
        <f>IFERROR(__xludf.DUMMYFUNCTION("""COMPUTED_VALUE"""),"RPG")</f>
        <v>RPG</v>
      </c>
      <c r="N264" s="25"/>
      <c r="O264" s="26" t="str">
        <f>IFERROR(__xludf.DUMMYFUNCTION("""COMPUTED_VALUE"""),"No")</f>
        <v>No</v>
      </c>
      <c r="P264" s="26"/>
    </row>
    <row r="265">
      <c r="A265" s="13" t="str">
        <f>IFERROR(__xludf.DUMMYFUNCTION("""COMPUTED_VALUE"""),"The Casting of Frank Stone")</f>
        <v>The Casting of Frank Stone</v>
      </c>
      <c r="B265" s="15" t="str">
        <f>IFERROR(__xludf.DUMMYFUNCTION("""COMPUTED_VALUE"""),"PS5")</f>
        <v>PS5</v>
      </c>
      <c r="C265" s="16" t="str">
        <f>IFERROR(__xludf.DUMMYFUNCTION("""COMPUTED_VALUE"""),"Extra")</f>
        <v>Extra</v>
      </c>
      <c r="D265" s="15" t="str">
        <f>IFERROR(__xludf.DUMMYFUNCTION("""COMPUTED_VALUE"""),"Active")</f>
        <v>Active</v>
      </c>
      <c r="E265" s="17">
        <f>IFERROR(__xludf.DUMMYFUNCTION("""COMPUTED_VALUE"""),46133.0)</f>
        <v>46133</v>
      </c>
      <c r="F265" s="54"/>
      <c r="G265" s="19">
        <f>IFERROR(__xludf.DUMMYFUNCTION("""COMPUTED_VALUE"""),5.5)</f>
        <v>5.5</v>
      </c>
      <c r="H265" s="17">
        <f>IFERROR(__xludf.DUMMYFUNCTION("""COMPUTED_VALUE"""),45538.0)</f>
        <v>45538</v>
      </c>
      <c r="I265" s="19">
        <f>IFERROR(__xludf.DUMMYFUNCTION("""COMPUTED_VALUE"""),1.6333333333333333)</f>
        <v>1.633333333</v>
      </c>
      <c r="J265" s="21">
        <f>IFERROR(__xludf.DUMMYFUNCTION("""COMPUTED_VALUE"""),71.0)</f>
        <v>71</v>
      </c>
      <c r="K265" s="23">
        <f>IFERROR(__xludf.DUMMYFUNCTION("""COMPUTED_VALUE"""),6.7)</f>
        <v>6.7</v>
      </c>
      <c r="L265" s="24">
        <f>IFERROR(__xludf.DUMMYFUNCTION("""COMPUTED_VALUE"""),7.0)</f>
        <v>7</v>
      </c>
      <c r="M265" s="25" t="str">
        <f>IFERROR(__xludf.DUMMYFUNCTION("""COMPUTED_VALUE"""),"Action-Adventure")</f>
        <v>Action-Adventure</v>
      </c>
      <c r="N265" s="25"/>
      <c r="O265" s="26" t="str">
        <f>IFERROR(__xludf.DUMMYFUNCTION("""COMPUTED_VALUE"""),"No")</f>
        <v>No</v>
      </c>
      <c r="P265" s="26"/>
    </row>
    <row r="266">
      <c r="A266" s="13" t="str">
        <f>IFERROR(__xludf.DUMMYFUNCTION("""COMPUTED_VALUE"""),"Somerville")</f>
        <v>Somerville</v>
      </c>
      <c r="B266" s="15" t="str">
        <f>IFERROR(__xludf.DUMMYFUNCTION("""COMPUTED_VALUE"""),"PS5/PS4")</f>
        <v>PS5/PS4</v>
      </c>
      <c r="C266" s="16" t="str">
        <f>IFERROR(__xludf.DUMMYFUNCTION("""COMPUTED_VALUE"""),"Extra")</f>
        <v>Extra</v>
      </c>
      <c r="D266" s="15" t="str">
        <f>IFERROR(__xludf.DUMMYFUNCTION("""COMPUTED_VALUE"""),"Active")</f>
        <v>Active</v>
      </c>
      <c r="E266" s="17">
        <f>IFERROR(__xludf.DUMMYFUNCTION("""COMPUTED_VALUE"""),45705.0)</f>
        <v>45705</v>
      </c>
      <c r="F266" s="54"/>
      <c r="G266" s="19">
        <f>IFERROR(__xludf.DUMMYFUNCTION("""COMPUTED_VALUE"""),19.633333333333333)</f>
        <v>19.63333333</v>
      </c>
      <c r="H266" s="17">
        <f>IFERROR(__xludf.DUMMYFUNCTION("""COMPUTED_VALUE"""),44880.0)</f>
        <v>44880</v>
      </c>
      <c r="I266" s="19">
        <f>IFERROR(__xludf.DUMMYFUNCTION("""COMPUTED_VALUE"""),2.2555555555555555)</f>
        <v>2.255555556</v>
      </c>
      <c r="J266" s="21">
        <f>IFERROR(__xludf.DUMMYFUNCTION("""COMPUTED_VALUE"""),71.0)</f>
        <v>71</v>
      </c>
      <c r="K266" s="23">
        <f>IFERROR(__xludf.DUMMYFUNCTION("""COMPUTED_VALUE"""),5.5)</f>
        <v>5.5</v>
      </c>
      <c r="L266" s="24">
        <f>IFERROR(__xludf.DUMMYFUNCTION("""COMPUTED_VALUE"""),4.21)</f>
        <v>4.21</v>
      </c>
      <c r="M266" s="25" t="str">
        <f>IFERROR(__xludf.DUMMYFUNCTION("""COMPUTED_VALUE"""),"Action-Adventure")</f>
        <v>Action-Adventure</v>
      </c>
      <c r="N266" s="25"/>
      <c r="O266" s="26" t="str">
        <f>IFERROR(__xludf.DUMMYFUNCTION("""COMPUTED_VALUE"""),"No")</f>
        <v>No</v>
      </c>
      <c r="P266" s="26"/>
    </row>
    <row r="267">
      <c r="A267" s="13" t="str">
        <f>IFERROR(__xludf.DUMMYFUNCTION("""COMPUTED_VALUE"""),"ANNO: Mutationem")</f>
        <v>ANNO: Mutationem</v>
      </c>
      <c r="B267" s="15" t="str">
        <f>IFERROR(__xludf.DUMMYFUNCTION("""COMPUTED_VALUE"""),"PS5/PS4")</f>
        <v>PS5/PS4</v>
      </c>
      <c r="C267" s="16" t="str">
        <f>IFERROR(__xludf.DUMMYFUNCTION("""COMPUTED_VALUE"""),"Extra")</f>
        <v>Extra</v>
      </c>
      <c r="D267" s="15" t="str">
        <f>IFERROR(__xludf.DUMMYFUNCTION("""COMPUTED_VALUE"""),"Active")</f>
        <v>Active</v>
      </c>
      <c r="E267" s="17">
        <f>IFERROR(__xludf.DUMMYFUNCTION("""COMPUTED_VALUE"""),45678.0)</f>
        <v>45678</v>
      </c>
      <c r="F267" s="54"/>
      <c r="G267" s="19">
        <f>IFERROR(__xludf.DUMMYFUNCTION("""COMPUTED_VALUE"""),20.5)</f>
        <v>20.5</v>
      </c>
      <c r="H267" s="17">
        <f>IFERROR(__xludf.DUMMYFUNCTION("""COMPUTED_VALUE"""),44637.0)</f>
        <v>44637</v>
      </c>
      <c r="I267" s="19">
        <f>IFERROR(__xludf.DUMMYFUNCTION("""COMPUTED_VALUE"""),2.8444444444444446)</f>
        <v>2.844444444</v>
      </c>
      <c r="J267" s="21">
        <f>IFERROR(__xludf.DUMMYFUNCTION("""COMPUTED_VALUE"""),71.0)</f>
        <v>71</v>
      </c>
      <c r="K267" s="23">
        <f>IFERROR(__xludf.DUMMYFUNCTION("""COMPUTED_VALUE"""),6.8)</f>
        <v>6.8</v>
      </c>
      <c r="L267" s="24">
        <f>IFERROR(__xludf.DUMMYFUNCTION("""COMPUTED_VALUE"""),11.0)</f>
        <v>11</v>
      </c>
      <c r="M267" s="25" t="str">
        <f>IFERROR(__xludf.DUMMYFUNCTION("""COMPUTED_VALUE"""),"Metroidvania ")</f>
        <v>Metroidvania </v>
      </c>
      <c r="N267" s="25"/>
      <c r="O267" s="26" t="str">
        <f>IFERROR(__xludf.DUMMYFUNCTION("""COMPUTED_VALUE"""),"Yes")</f>
        <v>Yes</v>
      </c>
      <c r="P267" s="26"/>
    </row>
    <row r="268">
      <c r="A268" s="13" t="str">
        <f>IFERROR(__xludf.DUMMYFUNCTION("""COMPUTED_VALUE"""),"Gods Eater: Burst")</f>
        <v>Gods Eater: Burst</v>
      </c>
      <c r="B268" s="15" t="str">
        <f>IFERROR(__xludf.DUMMYFUNCTION("""COMPUTED_VALUE"""),"PS5/PS4")</f>
        <v>PS5/PS4</v>
      </c>
      <c r="C268" s="16" t="str">
        <f>IFERROR(__xludf.DUMMYFUNCTION("""COMPUTED_VALUE"""),"Premium (Classics)")</f>
        <v>Premium (Classics)</v>
      </c>
      <c r="D268" s="15" t="str">
        <f>IFERROR(__xludf.DUMMYFUNCTION("""COMPUTED_VALUE"""),"Active")</f>
        <v>Active</v>
      </c>
      <c r="E268" s="17">
        <f>IFERROR(__xludf.DUMMYFUNCTION("""COMPUTED_VALUE"""),45370.0)</f>
        <v>45370</v>
      </c>
      <c r="F268" s="54"/>
      <c r="G268" s="19">
        <f>IFERROR(__xludf.DUMMYFUNCTION("""COMPUTED_VALUE"""),30.566666666666663)</f>
        <v>30.56666667</v>
      </c>
      <c r="H268" s="17">
        <f>IFERROR(__xludf.DUMMYFUNCTION("""COMPUTED_VALUE"""),40617.0)</f>
        <v>40617</v>
      </c>
      <c r="I268" s="19">
        <f>IFERROR(__xludf.DUMMYFUNCTION("""COMPUTED_VALUE"""),13.011111111111111)</f>
        <v>13.01111111</v>
      </c>
      <c r="J268" s="21">
        <f>IFERROR(__xludf.DUMMYFUNCTION("""COMPUTED_VALUE"""),71.0)</f>
        <v>71</v>
      </c>
      <c r="K268" s="23">
        <f>IFERROR(__xludf.DUMMYFUNCTION("""COMPUTED_VALUE"""),8.0)</f>
        <v>8</v>
      </c>
      <c r="L268" s="24">
        <f>IFERROR(__xludf.DUMMYFUNCTION("""COMPUTED_VALUE"""),38.0)</f>
        <v>38</v>
      </c>
      <c r="M268" s="25" t="str">
        <f>IFERROR(__xludf.DUMMYFUNCTION("""COMPUTED_VALUE"""),"RPG")</f>
        <v>RPG</v>
      </c>
      <c r="N268" s="25" t="str">
        <f>IFERROR(__xludf.DUMMYFUNCTION("""COMPUTED_VALUE"""),"PSP")</f>
        <v>PSP</v>
      </c>
      <c r="O268" s="26" t="str">
        <f>IFERROR(__xludf.DUMMYFUNCTION("""COMPUTED_VALUE"""),"Yes")</f>
        <v>Yes</v>
      </c>
      <c r="P268" s="26"/>
    </row>
    <row r="269">
      <c r="A269" s="13" t="str">
        <f>IFERROR(__xludf.DUMMYFUNCTION("""COMPUTED_VALUE"""),"Jak and Daxter: The Lost Frontier")</f>
        <v>Jak and Daxter: The Lost Frontier</v>
      </c>
      <c r="B269" s="15" t="str">
        <f>IFERROR(__xludf.DUMMYFUNCTION("""COMPUTED_VALUE"""),"PS5/PS4")</f>
        <v>PS5/PS4</v>
      </c>
      <c r="C269" s="16" t="str">
        <f>IFERROR(__xludf.DUMMYFUNCTION("""COMPUTED_VALUE"""),"Premium (Classics)")</f>
        <v>Premium (Classics)</v>
      </c>
      <c r="D269" s="15" t="str">
        <f>IFERROR(__xludf.DUMMYFUNCTION("""COMPUTED_VALUE"""),"Active")</f>
        <v>Active</v>
      </c>
      <c r="E269" s="17">
        <f>IFERROR(__xludf.DUMMYFUNCTION("""COMPUTED_VALUE"""),45370.0)</f>
        <v>45370</v>
      </c>
      <c r="F269" s="54"/>
      <c r="G269" s="19">
        <f>IFERROR(__xludf.DUMMYFUNCTION("""COMPUTED_VALUE"""),30.566666666666663)</f>
        <v>30.56666667</v>
      </c>
      <c r="H269" s="17">
        <f>IFERROR(__xludf.DUMMYFUNCTION("""COMPUTED_VALUE"""),40120.0)</f>
        <v>40120</v>
      </c>
      <c r="I269" s="19">
        <f>IFERROR(__xludf.DUMMYFUNCTION("""COMPUTED_VALUE"""),14.377777777777778)</f>
        <v>14.37777778</v>
      </c>
      <c r="J269" s="21">
        <f>IFERROR(__xludf.DUMMYFUNCTION("""COMPUTED_VALUE"""),71.0)</f>
        <v>71</v>
      </c>
      <c r="K269" s="23">
        <f>IFERROR(__xludf.DUMMYFUNCTION("""COMPUTED_VALUE"""),7.2)</f>
        <v>7.2</v>
      </c>
      <c r="L269" s="24">
        <f>IFERROR(__xludf.DUMMYFUNCTION("""COMPUTED_VALUE"""),8.0)</f>
        <v>8</v>
      </c>
      <c r="M269" s="25" t="str">
        <f>IFERROR(__xludf.DUMMYFUNCTION("""COMPUTED_VALUE"""),"Platformer")</f>
        <v>Platformer</v>
      </c>
      <c r="N269" s="25" t="str">
        <f>IFERROR(__xludf.DUMMYFUNCTION("""COMPUTED_VALUE"""),"PSP")</f>
        <v>PSP</v>
      </c>
      <c r="O269" s="26" t="str">
        <f>IFERROR(__xludf.DUMMYFUNCTION("""COMPUTED_VALUE"""),"Yes")</f>
        <v>Yes</v>
      </c>
      <c r="P269" s="26"/>
    </row>
    <row r="270">
      <c r="A270" s="13" t="str">
        <f>IFERROR(__xludf.DUMMYFUNCTION("""COMPUTED_VALUE"""),"UNO")</f>
        <v>UNO</v>
      </c>
      <c r="B270" s="15" t="str">
        <f>IFERROR(__xludf.DUMMYFUNCTION("""COMPUTED_VALUE"""),"PS5/PS4")</f>
        <v>PS5/PS4</v>
      </c>
      <c r="C270" s="16" t="str">
        <f>IFERROR(__xludf.DUMMYFUNCTION("""COMPUTED_VALUE"""),"Extra (Ubisoft+ Classics)")</f>
        <v>Extra (Ubisoft+ Classics)</v>
      </c>
      <c r="D270" s="15" t="str">
        <f>IFERROR(__xludf.DUMMYFUNCTION("""COMPUTED_VALUE"""),"Active")</f>
        <v>Active</v>
      </c>
      <c r="E270" s="17">
        <f>IFERROR(__xludf.DUMMYFUNCTION("""COMPUTED_VALUE"""),44789.0)</f>
        <v>44789</v>
      </c>
      <c r="F270" s="54"/>
      <c r="G270" s="19">
        <f>IFERROR(__xludf.DUMMYFUNCTION("""COMPUTED_VALUE"""),49.66666666666667)</f>
        <v>49.66666667</v>
      </c>
      <c r="H270" s="17">
        <f>IFERROR(__xludf.DUMMYFUNCTION("""COMPUTED_VALUE"""),42598.0)</f>
        <v>42598</v>
      </c>
      <c r="I270" s="19">
        <f>IFERROR(__xludf.DUMMYFUNCTION("""COMPUTED_VALUE"""),6.0)</f>
        <v>6</v>
      </c>
      <c r="J270" s="21">
        <f>IFERROR(__xludf.DUMMYFUNCTION("""COMPUTED_VALUE"""),71.0)</f>
        <v>71</v>
      </c>
      <c r="K270" s="23">
        <f>IFERROR(__xludf.DUMMYFUNCTION("""COMPUTED_VALUE"""),6.3)</f>
        <v>6.3</v>
      </c>
      <c r="L270" s="24">
        <f>IFERROR(__xludf.DUMMYFUNCTION("""COMPUTED_VALUE"""),5.0)</f>
        <v>5</v>
      </c>
      <c r="M270" s="25" t="str">
        <f>IFERROR(__xludf.DUMMYFUNCTION("""COMPUTED_VALUE"""),"Card Battle")</f>
        <v>Card Battle</v>
      </c>
      <c r="N270" s="25"/>
      <c r="O270" s="26" t="str">
        <f>IFERROR(__xludf.DUMMYFUNCTION("""COMPUTED_VALUE"""),"Yes")</f>
        <v>Yes</v>
      </c>
      <c r="P270" s="26"/>
    </row>
    <row r="271">
      <c r="A271" s="13" t="str">
        <f>IFERROR(__xludf.DUMMYFUNCTION("""COMPUTED_VALUE"""),"No Heroes Allowed: No Puzzles Either!")</f>
        <v>No Heroes Allowed: No Puzzles Either!</v>
      </c>
      <c r="B271" s="15" t="str">
        <f>IFERROR(__xludf.DUMMYFUNCTION("""COMPUTED_VALUE"""),"PS5")</f>
        <v>PS5</v>
      </c>
      <c r="C271" s="16" t="str">
        <f>IFERROR(__xludf.DUMMYFUNCTION("""COMPUTED_VALUE"""),"Premium (Classics)")</f>
        <v>Premium (Classics)</v>
      </c>
      <c r="D271" s="15" t="str">
        <f>IFERROR(__xludf.DUMMYFUNCTION("""COMPUTED_VALUE"""),"Active")</f>
        <v>Active</v>
      </c>
      <c r="E271" s="17">
        <f>IFERROR(__xludf.DUMMYFUNCTION("""COMPUTED_VALUE"""),44761.0)</f>
        <v>44761</v>
      </c>
      <c r="F271" s="54"/>
      <c r="G271" s="19">
        <f>IFERROR(__xludf.DUMMYFUNCTION("""COMPUTED_VALUE"""),50.56666666666666)</f>
        <v>50.56666667</v>
      </c>
      <c r="H271" s="17">
        <f>IFERROR(__xludf.DUMMYFUNCTION("""COMPUTED_VALUE"""),40290.0)</f>
        <v>40290</v>
      </c>
      <c r="I271" s="19">
        <f>IFERROR(__xludf.DUMMYFUNCTION("""COMPUTED_VALUE"""),12.241666666666667)</f>
        <v>12.24166667</v>
      </c>
      <c r="J271" s="21">
        <f>IFERROR(__xludf.DUMMYFUNCTION("""COMPUTED_VALUE"""),71.0)</f>
        <v>71</v>
      </c>
      <c r="K271" s="23">
        <f>IFERROR(__xludf.DUMMYFUNCTION("""COMPUTED_VALUE"""),6.7)</f>
        <v>6.7</v>
      </c>
      <c r="L271" s="24">
        <f>IFERROR(__xludf.DUMMYFUNCTION("""COMPUTED_VALUE"""),6.0)</f>
        <v>6</v>
      </c>
      <c r="M271" s="25" t="str">
        <f>IFERROR(__xludf.DUMMYFUNCTION("""COMPUTED_VALUE"""),"Puzzle")</f>
        <v>Puzzle</v>
      </c>
      <c r="N271" s="25" t="str">
        <f>IFERROR(__xludf.DUMMYFUNCTION("""COMPUTED_VALUE"""),"PSP")</f>
        <v>PSP</v>
      </c>
      <c r="O271" s="26" t="str">
        <f>IFERROR(__xludf.DUMMYFUNCTION("""COMPUTED_VALUE"""),"No")</f>
        <v>No</v>
      </c>
      <c r="P271" s="26"/>
    </row>
    <row r="272">
      <c r="A272" s="13" t="str">
        <f>IFERROR(__xludf.DUMMYFUNCTION("""COMPUTED_VALUE"""),"Mighty Morphin Power Rangers: Rita’s Rewind")</f>
        <v>Mighty Morphin Power Rangers: Rita’s Rewind</v>
      </c>
      <c r="B272" s="15" t="str">
        <f>IFERROR(__xludf.DUMMYFUNCTION("""COMPUTED_VALUE"""),"PS5/PS4")</f>
        <v>PS5/PS4</v>
      </c>
      <c r="C272" s="16" t="str">
        <f>IFERROR(__xludf.DUMMYFUNCTION("""COMPUTED_VALUE"""),"Extra")</f>
        <v>Extra</v>
      </c>
      <c r="D272" s="15" t="str">
        <f>IFERROR(__xludf.DUMMYFUNCTION("""COMPUTED_VALUE"""),"Active")</f>
        <v>Active</v>
      </c>
      <c r="E272" s="17">
        <f>IFERROR(__xludf.DUMMYFUNCTION("""COMPUTED_VALUE"""),46231.0)</f>
        <v>46231</v>
      </c>
      <c r="F272" s="18"/>
      <c r="G272" s="19">
        <f>IFERROR(__xludf.DUMMYFUNCTION("""COMPUTED_VALUE"""),2.2666666666666666)</f>
        <v>2.266666667</v>
      </c>
      <c r="H272" s="17">
        <f>IFERROR(__xludf.DUMMYFUNCTION("""COMPUTED_VALUE"""),45636.0)</f>
        <v>45636</v>
      </c>
      <c r="I272" s="19">
        <f>IFERROR(__xludf.DUMMYFUNCTION("""COMPUTED_VALUE"""),1.6333333333333333)</f>
        <v>1.633333333</v>
      </c>
      <c r="J272" s="21">
        <f>IFERROR(__xludf.DUMMYFUNCTION("""COMPUTED_VALUE"""),70.0)</f>
        <v>70</v>
      </c>
      <c r="K272" s="23">
        <f>IFERROR(__xludf.DUMMYFUNCTION("""COMPUTED_VALUE"""),5.9)</f>
        <v>5.9</v>
      </c>
      <c r="L272" s="24">
        <f>IFERROR(__xludf.DUMMYFUNCTION("""COMPUTED_VALUE"""),3.0)</f>
        <v>3</v>
      </c>
      <c r="M272" s="25" t="str">
        <f>IFERROR(__xludf.DUMMYFUNCTION("""COMPUTED_VALUE"""),"Action")</f>
        <v>Action</v>
      </c>
      <c r="N272" s="25"/>
      <c r="O272" s="26"/>
      <c r="P272" s="26"/>
    </row>
    <row r="273">
      <c r="A273" s="13" t="str">
        <f>IFERROR(__xludf.DUMMYFUNCTION("""COMPUTED_VALUE"""),"Time Crisis")</f>
        <v>Time Crisis</v>
      </c>
      <c r="B273" s="15" t="str">
        <f>IFERROR(__xludf.DUMMYFUNCTION("""COMPUTED_VALUE"""),"PS5/PS4")</f>
        <v>PS5/PS4</v>
      </c>
      <c r="C273" s="16" t="str">
        <f>IFERROR(__xludf.DUMMYFUNCTION("""COMPUTED_VALUE"""),"Premium (Classics)")</f>
        <v>Premium (Classics)</v>
      </c>
      <c r="D273" s="15" t="str">
        <f>IFERROR(__xludf.DUMMYFUNCTION("""COMPUTED_VALUE"""),"Active")</f>
        <v>Active</v>
      </c>
      <c r="E273" s="17">
        <f>IFERROR(__xludf.DUMMYFUNCTION("""COMPUTED_VALUE"""),46161.0)</f>
        <v>46161</v>
      </c>
      <c r="F273" s="18"/>
      <c r="G273" s="19">
        <f>IFERROR(__xludf.DUMMYFUNCTION("""COMPUTED_VALUE"""),4.566666666666666)</f>
        <v>4.566666667</v>
      </c>
      <c r="H273" s="17">
        <f>IFERROR(__xludf.DUMMYFUNCTION("""COMPUTED_VALUE"""),34973.0)</f>
        <v>34973</v>
      </c>
      <c r="I273" s="19">
        <f>IFERROR(__xludf.DUMMYFUNCTION("""COMPUTED_VALUE"""),30.633333333333333)</f>
        <v>30.63333333</v>
      </c>
      <c r="J273" s="21">
        <f>IFERROR(__xludf.DUMMYFUNCTION("""COMPUTED_VALUE"""),70.0)</f>
        <v>70</v>
      </c>
      <c r="K273" s="23">
        <f>IFERROR(__xludf.DUMMYFUNCTION("""COMPUTED_VALUE"""),7.5)</f>
        <v>7.5</v>
      </c>
      <c r="L273" s="24">
        <f>IFERROR(__xludf.DUMMYFUNCTION("""COMPUTED_VALUE"""),1.0)</f>
        <v>1</v>
      </c>
      <c r="M273" s="25" t="str">
        <f>IFERROR(__xludf.DUMMYFUNCTION("""COMPUTED_VALUE"""),"Shooter")</f>
        <v>Shooter</v>
      </c>
      <c r="N273" s="25" t="str">
        <f>IFERROR(__xludf.DUMMYFUNCTION("""COMPUTED_VALUE"""),"PS1")</f>
        <v>PS1</v>
      </c>
      <c r="O273" s="26" t="str">
        <f>IFERROR(__xludf.DUMMYFUNCTION("""COMPUTED_VALUE"""),"No")</f>
        <v>No</v>
      </c>
      <c r="P273" s="26"/>
    </row>
    <row r="274">
      <c r="A274" s="13" t="str">
        <f>IFERROR(__xludf.DUMMYFUNCTION("""COMPUTED_VALUE"""),"Wild Arms 4")</f>
        <v>Wild Arms 4</v>
      </c>
      <c r="B274" s="15" t="str">
        <f>IFERROR(__xludf.DUMMYFUNCTION("""COMPUTED_VALUE"""),"PS5/PS4")</f>
        <v>PS5/PS4</v>
      </c>
      <c r="C274" s="16" t="str">
        <f>IFERROR(__xludf.DUMMYFUNCTION("""COMPUTED_VALUE"""),"Premium (Classics)")</f>
        <v>Premium (Classics)</v>
      </c>
      <c r="D274" s="15" t="str">
        <f>IFERROR(__xludf.DUMMYFUNCTION("""COMPUTED_VALUE"""),"Active")</f>
        <v>Active</v>
      </c>
      <c r="E274" s="17">
        <f>IFERROR(__xludf.DUMMYFUNCTION("""COMPUTED_VALUE"""),46133.0)</f>
        <v>46133</v>
      </c>
      <c r="F274" s="54"/>
      <c r="G274" s="19">
        <f>IFERROR(__xludf.DUMMYFUNCTION("""COMPUTED_VALUE"""),5.5)</f>
        <v>5.5</v>
      </c>
      <c r="H274" s="17">
        <f>IFERROR(__xludf.DUMMYFUNCTION("""COMPUTED_VALUE"""),38671.0)</f>
        <v>38671</v>
      </c>
      <c r="I274" s="19">
        <f>IFERROR(__xludf.DUMMYFUNCTION("""COMPUTED_VALUE"""),20.433333333333334)</f>
        <v>20.43333333</v>
      </c>
      <c r="J274" s="21">
        <f>IFERROR(__xludf.DUMMYFUNCTION("""COMPUTED_VALUE"""),70.0)</f>
        <v>70</v>
      </c>
      <c r="K274" s="23">
        <f>IFERROR(__xludf.DUMMYFUNCTION("""COMPUTED_VALUE"""),7.7)</f>
        <v>7.7</v>
      </c>
      <c r="L274" s="24">
        <f>IFERROR(__xludf.DUMMYFUNCTION("""COMPUTED_VALUE"""),33.0)</f>
        <v>33</v>
      </c>
      <c r="M274" s="25" t="str">
        <f>IFERROR(__xludf.DUMMYFUNCTION("""COMPUTED_VALUE"""),"RPG")</f>
        <v>RPG</v>
      </c>
      <c r="N274" s="25" t="str">
        <f>IFERROR(__xludf.DUMMYFUNCTION("""COMPUTED_VALUE"""),"PS2")</f>
        <v>PS2</v>
      </c>
      <c r="O274" s="26"/>
      <c r="P274" s="26"/>
    </row>
    <row r="275">
      <c r="A275" s="13" t="str">
        <f>IFERROR(__xludf.DUMMYFUNCTION("""COMPUTED_VALUE"""),"Lego Horizon Adventures")</f>
        <v>Lego Horizon Adventures</v>
      </c>
      <c r="B275" s="15" t="str">
        <f>IFERROR(__xludf.DUMMYFUNCTION("""COMPUTED_VALUE"""),"PS5")</f>
        <v>PS5</v>
      </c>
      <c r="C275" s="16" t="str">
        <f>IFERROR(__xludf.DUMMYFUNCTION("""COMPUTED_VALUE"""),"Extra")</f>
        <v>Extra</v>
      </c>
      <c r="D275" s="15" t="str">
        <f>IFERROR(__xludf.DUMMYFUNCTION("""COMPUTED_VALUE"""),"Active")</f>
        <v>Active</v>
      </c>
      <c r="E275" s="17">
        <f>IFERROR(__xludf.DUMMYFUNCTION("""COMPUTED_VALUE"""),46007.0)</f>
        <v>46007</v>
      </c>
      <c r="F275" s="54"/>
      <c r="G275" s="19">
        <f>IFERROR(__xludf.DUMMYFUNCTION("""COMPUTED_VALUE"""),9.666666666666668)</f>
        <v>9.666666667</v>
      </c>
      <c r="H275" s="17">
        <f>IFERROR(__xludf.DUMMYFUNCTION("""COMPUTED_VALUE"""),45610.0)</f>
        <v>45610</v>
      </c>
      <c r="I275" s="19">
        <f>IFERROR(__xludf.DUMMYFUNCTION("""COMPUTED_VALUE"""),1.0888888888888888)</f>
        <v>1.088888889</v>
      </c>
      <c r="J275" s="21">
        <f>IFERROR(__xludf.DUMMYFUNCTION("""COMPUTED_VALUE"""),70.0)</f>
        <v>70</v>
      </c>
      <c r="K275" s="23">
        <f>IFERROR(__xludf.DUMMYFUNCTION("""COMPUTED_VALUE"""),5.8)</f>
        <v>5.8</v>
      </c>
      <c r="L275" s="24">
        <f>IFERROR(__xludf.DUMMYFUNCTION("""COMPUTED_VALUE"""),7.0)</f>
        <v>7</v>
      </c>
      <c r="M275" s="25" t="str">
        <f>IFERROR(__xludf.DUMMYFUNCTION("""COMPUTED_VALUE"""),"Action-Adventure")</f>
        <v>Action-Adventure</v>
      </c>
      <c r="N275" s="25"/>
      <c r="O275" s="26" t="str">
        <f>IFERROR(__xludf.DUMMYFUNCTION("""COMPUTED_VALUE"""),"No")</f>
        <v>No</v>
      </c>
      <c r="P275" s="26"/>
    </row>
    <row r="276">
      <c r="A276" s="13" t="str">
        <f>IFERROR(__xludf.DUMMYFUNCTION("""COMPUTED_VALUE"""),"Monster Jam Showdown")</f>
        <v>Monster Jam Showdown</v>
      </c>
      <c r="B276" s="15" t="str">
        <f>IFERROR(__xludf.DUMMYFUNCTION("""COMPUTED_VALUE"""),"PS5/PS4")</f>
        <v>PS5/PS4</v>
      </c>
      <c r="C276" s="16" t="str">
        <f>IFERROR(__xludf.DUMMYFUNCTION("""COMPUTED_VALUE"""),"Extra")</f>
        <v>Extra</v>
      </c>
      <c r="D276" s="15" t="str">
        <f>IFERROR(__xludf.DUMMYFUNCTION("""COMPUTED_VALUE"""),"Active")</f>
        <v>Active</v>
      </c>
      <c r="E276" s="17">
        <f>IFERROR(__xludf.DUMMYFUNCTION("""COMPUTED_VALUE"""),45979.0)</f>
        <v>45979</v>
      </c>
      <c r="F276" s="54"/>
      <c r="G276" s="19">
        <f>IFERROR(__xludf.DUMMYFUNCTION("""COMPUTED_VALUE"""),10.6)</f>
        <v>10.6</v>
      </c>
      <c r="H276" s="17">
        <f>IFERROR(__xludf.DUMMYFUNCTION("""COMPUTED_VALUE"""),45533.0)</f>
        <v>45533</v>
      </c>
      <c r="I276" s="19">
        <f>IFERROR(__xludf.DUMMYFUNCTION("""COMPUTED_VALUE"""),1.2194444444444446)</f>
        <v>1.219444444</v>
      </c>
      <c r="J276" s="21">
        <f>IFERROR(__xludf.DUMMYFUNCTION("""COMPUTED_VALUE"""),70.0)</f>
        <v>70</v>
      </c>
      <c r="K276" s="23">
        <f>IFERROR(__xludf.DUMMYFUNCTION("""COMPUTED_VALUE"""),8.0)</f>
        <v>8</v>
      </c>
      <c r="L276" s="24">
        <f>IFERROR(__xludf.DUMMYFUNCTION("""COMPUTED_VALUE"""),21.0)</f>
        <v>21</v>
      </c>
      <c r="M276" s="25" t="str">
        <f>IFERROR(__xludf.DUMMYFUNCTION("""COMPUTED_VALUE"""),"Racing")</f>
        <v>Racing</v>
      </c>
      <c r="N276" s="25"/>
      <c r="O276" s="26"/>
      <c r="P276" s="26"/>
    </row>
    <row r="277">
      <c r="A277" s="13" t="str">
        <f>IFERROR(__xludf.DUMMYFUNCTION("""COMPUTED_VALUE"""),"Until Dawn (2024)")</f>
        <v>Until Dawn (2024)</v>
      </c>
      <c r="B277" s="15" t="str">
        <f>IFERROR(__xludf.DUMMYFUNCTION("""COMPUTED_VALUE"""),"PS5")</f>
        <v>PS5</v>
      </c>
      <c r="C277" s="16" t="str">
        <f>IFERROR(__xludf.DUMMYFUNCTION("""COMPUTED_VALUE"""),"Extra")</f>
        <v>Extra</v>
      </c>
      <c r="D277" s="15" t="str">
        <f>IFERROR(__xludf.DUMMYFUNCTION("""COMPUTED_VALUE"""),"Active")</f>
        <v>Active</v>
      </c>
      <c r="E277" s="17">
        <f>IFERROR(__xludf.DUMMYFUNCTION("""COMPUTED_VALUE"""),45951.0)</f>
        <v>45951</v>
      </c>
      <c r="F277" s="54"/>
      <c r="G277" s="19">
        <f>IFERROR(__xludf.DUMMYFUNCTION("""COMPUTED_VALUE"""),11.5)</f>
        <v>11.5</v>
      </c>
      <c r="H277" s="17">
        <f>IFERROR(__xludf.DUMMYFUNCTION("""COMPUTED_VALUE"""),45569.0)</f>
        <v>45569</v>
      </c>
      <c r="I277" s="19">
        <f>IFERROR(__xludf.DUMMYFUNCTION("""COMPUTED_VALUE"""),1.0472222222222223)</f>
        <v>1.047222222</v>
      </c>
      <c r="J277" s="21">
        <f>IFERROR(__xludf.DUMMYFUNCTION("""COMPUTED_VALUE"""),70.0)</f>
        <v>70</v>
      </c>
      <c r="K277" s="23">
        <f>IFERROR(__xludf.DUMMYFUNCTION("""COMPUTED_VALUE"""),6.6)</f>
        <v>6.6</v>
      </c>
      <c r="L277" s="24">
        <f>IFERROR(__xludf.DUMMYFUNCTION("""COMPUTED_VALUE"""),8.0)</f>
        <v>8</v>
      </c>
      <c r="M277" s="26" t="str">
        <f>IFERROR(__xludf.DUMMYFUNCTION("""COMPUTED_VALUE"""),"Action-Adventure")</f>
        <v>Action-Adventure</v>
      </c>
      <c r="N277" s="25"/>
      <c r="O277" s="26" t="str">
        <f>IFERROR(__xludf.DUMMYFUNCTION("""COMPUTED_VALUE"""),"No")</f>
        <v>No</v>
      </c>
      <c r="P277" s="26"/>
    </row>
    <row r="278">
      <c r="A278" s="13" t="str">
        <f>IFERROR(__xludf.DUMMYFUNCTION("""COMPUTED_VALUE"""),"Under The Waves")</f>
        <v>Under The Waves</v>
      </c>
      <c r="B278" s="15" t="str">
        <f>IFERROR(__xludf.DUMMYFUNCTION("""COMPUTED_VALUE"""),"PS5/PS4")</f>
        <v>PS5/PS4</v>
      </c>
      <c r="C278" s="16" t="str">
        <f>IFERROR(__xludf.DUMMYFUNCTION("""COMPUTED_VALUE"""),"Extra")</f>
        <v>Extra</v>
      </c>
      <c r="D278" s="15" t="str">
        <f>IFERROR(__xludf.DUMMYFUNCTION("""COMPUTED_VALUE"""),"Active")</f>
        <v>Active</v>
      </c>
      <c r="E278" s="17">
        <f>IFERROR(__xludf.DUMMYFUNCTION("""COMPUTED_VALUE"""),45552.0)</f>
        <v>45552</v>
      </c>
      <c r="F278" s="54"/>
      <c r="G278" s="19">
        <f>IFERROR(__xludf.DUMMYFUNCTION("""COMPUTED_VALUE"""),24.633333333333333)</f>
        <v>24.63333333</v>
      </c>
      <c r="H278" s="17">
        <f>IFERROR(__xludf.DUMMYFUNCTION("""COMPUTED_VALUE"""),45167.0)</f>
        <v>45167</v>
      </c>
      <c r="I278" s="19">
        <f>IFERROR(__xludf.DUMMYFUNCTION("""COMPUTED_VALUE"""),1.05)</f>
        <v>1.05</v>
      </c>
      <c r="J278" s="21">
        <f>IFERROR(__xludf.DUMMYFUNCTION("""COMPUTED_VALUE"""),70.0)</f>
        <v>70</v>
      </c>
      <c r="K278" s="23">
        <f>IFERROR(__xludf.DUMMYFUNCTION("""COMPUTED_VALUE"""),6.4)</f>
        <v>6.4</v>
      </c>
      <c r="L278" s="24">
        <f>IFERROR(__xludf.DUMMYFUNCTION("""COMPUTED_VALUE"""),8.0)</f>
        <v>8</v>
      </c>
      <c r="M278" s="25" t="str">
        <f>IFERROR(__xludf.DUMMYFUNCTION("""COMPUTED_VALUE"""),"Action-Adventure")</f>
        <v>Action-Adventure</v>
      </c>
      <c r="N278" s="25"/>
      <c r="O278" s="26" t="str">
        <f>IFERROR(__xludf.DUMMYFUNCTION("""COMPUTED_VALUE"""),"Portal (PS5 + Premium)")</f>
        <v>Portal (PS5 + Premium)</v>
      </c>
      <c r="P278" s="26"/>
    </row>
    <row r="279">
      <c r="A279" s="13" t="str">
        <f>IFERROR(__xludf.DUMMYFUNCTION("""COMPUTED_VALUE"""),"Thrillville: Off the Rails")</f>
        <v>Thrillville: Off the Rails</v>
      </c>
      <c r="B279" s="15" t="str">
        <f>IFERROR(__xludf.DUMMYFUNCTION("""COMPUTED_VALUE"""),"PS5/PS4")</f>
        <v>PS5/PS4</v>
      </c>
      <c r="C279" s="16" t="str">
        <f>IFERROR(__xludf.DUMMYFUNCTION("""COMPUTED_VALUE"""),"Premium (Classics)")</f>
        <v>Premium (Classics)</v>
      </c>
      <c r="D279" s="15" t="str">
        <f>IFERROR(__xludf.DUMMYFUNCTION("""COMPUTED_VALUE"""),"Active")</f>
        <v>Active</v>
      </c>
      <c r="E279" s="17">
        <f>IFERROR(__xludf.DUMMYFUNCTION("""COMPUTED_VALUE"""),45279.0)</f>
        <v>45279</v>
      </c>
      <c r="F279" s="54"/>
      <c r="G279" s="19">
        <f>IFERROR(__xludf.DUMMYFUNCTION("""COMPUTED_VALUE"""),33.56666666666666)</f>
        <v>33.56666667</v>
      </c>
      <c r="H279" s="17">
        <f>IFERROR(__xludf.DUMMYFUNCTION("""COMPUTED_VALUE"""),39364.0)</f>
        <v>39364</v>
      </c>
      <c r="I279" s="19">
        <f>IFERROR(__xludf.DUMMYFUNCTION("""COMPUTED_VALUE"""),16.194444444444443)</f>
        <v>16.19444444</v>
      </c>
      <c r="J279" s="21">
        <f>IFERROR(__xludf.DUMMYFUNCTION("""COMPUTED_VALUE"""),70.0)</f>
        <v>70</v>
      </c>
      <c r="K279" s="23">
        <f>IFERROR(__xludf.DUMMYFUNCTION("""COMPUTED_VALUE"""),2.9)</f>
        <v>2.9</v>
      </c>
      <c r="L279" s="24">
        <f>IFERROR(__xludf.DUMMYFUNCTION("""COMPUTED_VALUE"""),7.0)</f>
        <v>7</v>
      </c>
      <c r="M279" s="25" t="str">
        <f>IFERROR(__xludf.DUMMYFUNCTION("""COMPUTED_VALUE"""),"Strategy")</f>
        <v>Strategy</v>
      </c>
      <c r="N279" s="25" t="str">
        <f>IFERROR(__xludf.DUMMYFUNCTION("""COMPUTED_VALUE"""),"PS2")</f>
        <v>PS2</v>
      </c>
      <c r="O279" s="26" t="str">
        <f>IFERROR(__xludf.DUMMYFUNCTION("""COMPUTED_VALUE"""),"No")</f>
        <v>No</v>
      </c>
      <c r="P279" s="26"/>
    </row>
    <row r="280">
      <c r="A280" s="13" t="str">
        <f>IFERROR(__xludf.DUMMYFUNCTION("""COMPUTED_VALUE"""),"Tails Noir")</f>
        <v>Tails Noir</v>
      </c>
      <c r="B280" s="15" t="str">
        <f>IFERROR(__xludf.DUMMYFUNCTION("""COMPUTED_VALUE"""),"PS5/PS4")</f>
        <v>PS5/PS4</v>
      </c>
      <c r="C280" s="16" t="str">
        <f>IFERROR(__xludf.DUMMYFUNCTION("""COMPUTED_VALUE"""),"Extra")</f>
        <v>Extra</v>
      </c>
      <c r="D280" s="15" t="str">
        <f>IFERROR(__xludf.DUMMYFUNCTION("""COMPUTED_VALUE"""),"Active")</f>
        <v>Active</v>
      </c>
      <c r="E280" s="17">
        <f>IFERROR(__xludf.DUMMYFUNCTION("""COMPUTED_VALUE"""),45188.0)</f>
        <v>45188</v>
      </c>
      <c r="F280" s="54"/>
      <c r="G280" s="19">
        <f>IFERROR(__xludf.DUMMYFUNCTION("""COMPUTED_VALUE"""),36.56666666666666)</f>
        <v>36.56666667</v>
      </c>
      <c r="H280" s="17">
        <f>IFERROR(__xludf.DUMMYFUNCTION("""COMPUTED_VALUE"""),44263.0)</f>
        <v>44263</v>
      </c>
      <c r="I280" s="19">
        <f>IFERROR(__xludf.DUMMYFUNCTION("""COMPUTED_VALUE"""),2.5305555555555554)</f>
        <v>2.530555556</v>
      </c>
      <c r="J280" s="21">
        <f>IFERROR(__xludf.DUMMYFUNCTION("""COMPUTED_VALUE"""),70.0)</f>
        <v>70</v>
      </c>
      <c r="K280" s="23">
        <f>IFERROR(__xludf.DUMMYFUNCTION("""COMPUTED_VALUE"""),7.0)</f>
        <v>7</v>
      </c>
      <c r="L280" s="24">
        <f>IFERROR(__xludf.DUMMYFUNCTION("""COMPUTED_VALUE"""),6.0)</f>
        <v>6</v>
      </c>
      <c r="M280" s="25" t="str">
        <f>IFERROR(__xludf.DUMMYFUNCTION("""COMPUTED_VALUE"""),"Adventure")</f>
        <v>Adventure</v>
      </c>
      <c r="N280" s="25"/>
      <c r="O280" s="26" t="str">
        <f>IFERROR(__xludf.DUMMYFUNCTION("""COMPUTED_VALUE"""),"Yes")</f>
        <v>Yes</v>
      </c>
      <c r="P280" s="26"/>
    </row>
    <row r="281">
      <c r="A281" s="13" t="str">
        <f>IFERROR(__xludf.DUMMYFUNCTION("""COMPUTED_VALUE"""),"Watch Dogs: Legion")</f>
        <v>Watch Dogs: Legion</v>
      </c>
      <c r="B281" s="15" t="str">
        <f>IFERROR(__xludf.DUMMYFUNCTION("""COMPUTED_VALUE"""),"PS5/PS4")</f>
        <v>PS5/PS4</v>
      </c>
      <c r="C281" s="16" t="str">
        <f>IFERROR(__xludf.DUMMYFUNCTION("""COMPUTED_VALUE"""),"Extra (Ubisoft+ Classics)")</f>
        <v>Extra (Ubisoft+ Classics)</v>
      </c>
      <c r="D281" s="15" t="str">
        <f>IFERROR(__xludf.DUMMYFUNCTION("""COMPUTED_VALUE"""),"Active")</f>
        <v>Active</v>
      </c>
      <c r="E281" s="17">
        <f>IFERROR(__xludf.DUMMYFUNCTION("""COMPUTED_VALUE"""),45062.0)</f>
        <v>45062</v>
      </c>
      <c r="F281" s="54"/>
      <c r="G281" s="19">
        <f>IFERROR(__xludf.DUMMYFUNCTION("""COMPUTED_VALUE"""),40.666666666666664)</f>
        <v>40.66666667</v>
      </c>
      <c r="H281" s="17">
        <f>IFERROR(__xludf.DUMMYFUNCTION("""COMPUTED_VALUE"""),44133.0)</f>
        <v>44133</v>
      </c>
      <c r="I281" s="19">
        <f>IFERROR(__xludf.DUMMYFUNCTION("""COMPUTED_VALUE"""),2.547222222222222)</f>
        <v>2.547222222</v>
      </c>
      <c r="J281" s="21">
        <f>IFERROR(__xludf.DUMMYFUNCTION("""COMPUTED_VALUE"""),70.0)</f>
        <v>70</v>
      </c>
      <c r="K281" s="23">
        <f>IFERROR(__xludf.DUMMYFUNCTION("""COMPUTED_VALUE"""),5.5)</f>
        <v>5.5</v>
      </c>
      <c r="L281" s="24">
        <f>IFERROR(__xludf.DUMMYFUNCTION("""COMPUTED_VALUE"""),18.0)</f>
        <v>18</v>
      </c>
      <c r="M281" s="25" t="str">
        <f>IFERROR(__xludf.DUMMYFUNCTION("""COMPUTED_VALUE"""),"Action-Adventure")</f>
        <v>Action-Adventure</v>
      </c>
      <c r="N281" s="25"/>
      <c r="O281" s="26" t="str">
        <f>IFERROR(__xludf.DUMMYFUNCTION("""COMPUTED_VALUE"""),"Yes")</f>
        <v>Yes</v>
      </c>
      <c r="P281" s="26"/>
    </row>
    <row r="282">
      <c r="A282" s="13" t="str">
        <f>IFERROR(__xludf.DUMMYFUNCTION("""COMPUTED_VALUE"""),"Ben 10: Power Trip")</f>
        <v>Ben 10: Power Trip</v>
      </c>
      <c r="B282" s="15" t="str">
        <f>IFERROR(__xludf.DUMMYFUNCTION("""COMPUTED_VALUE"""),"PS5/PS4")</f>
        <v>PS5/PS4</v>
      </c>
      <c r="C282" s="16" t="str">
        <f>IFERROR(__xludf.DUMMYFUNCTION("""COMPUTED_VALUE"""),"Extra")</f>
        <v>Extra</v>
      </c>
      <c r="D282" s="15" t="str">
        <f>IFERROR(__xludf.DUMMYFUNCTION("""COMPUTED_VALUE"""),"Active")</f>
        <v>Active</v>
      </c>
      <c r="E282" s="17">
        <f>IFERROR(__xludf.DUMMYFUNCTION("""COMPUTED_VALUE"""),44915.0)</f>
        <v>44915</v>
      </c>
      <c r="F282" s="18"/>
      <c r="G282" s="19">
        <f>IFERROR(__xludf.DUMMYFUNCTION("""COMPUTED_VALUE"""),45.53333333333333)</f>
        <v>45.53333333</v>
      </c>
      <c r="H282" s="17">
        <f>IFERROR(__xludf.DUMMYFUNCTION("""COMPUTED_VALUE"""),44113.0)</f>
        <v>44113</v>
      </c>
      <c r="I282" s="19">
        <f>IFERROR(__xludf.DUMMYFUNCTION("""COMPUTED_VALUE"""),2.1972222222222224)</f>
        <v>2.197222222</v>
      </c>
      <c r="J282" s="21">
        <f>IFERROR(__xludf.DUMMYFUNCTION("""COMPUTED_VALUE"""),70.0)</f>
        <v>70</v>
      </c>
      <c r="K282" s="23">
        <f>IFERROR(__xludf.DUMMYFUNCTION("""COMPUTED_VALUE"""),5.2)</f>
        <v>5.2</v>
      </c>
      <c r="L282" s="24">
        <f>IFERROR(__xludf.DUMMYFUNCTION("""COMPUTED_VALUE"""),4.0)</f>
        <v>4</v>
      </c>
      <c r="M282" s="25" t="str">
        <f>IFERROR(__xludf.DUMMYFUNCTION("""COMPUTED_VALUE"""),"Action-Adventure")</f>
        <v>Action-Adventure</v>
      </c>
      <c r="N282" s="25"/>
      <c r="O282" s="26" t="str">
        <f>IFERROR(__xludf.DUMMYFUNCTION("""COMPUTED_VALUE"""),"Yes")</f>
        <v>Yes</v>
      </c>
      <c r="P282" s="26"/>
    </row>
    <row r="283">
      <c r="A283" s="13" t="str">
        <f>IFERROR(__xludf.DUMMYFUNCTION("""COMPUTED_VALUE"""),"Monster Truck Championship")</f>
        <v>Monster Truck Championship</v>
      </c>
      <c r="B283" s="15" t="str">
        <f>IFERROR(__xludf.DUMMYFUNCTION("""COMPUTED_VALUE"""),"PS5/PS4")</f>
        <v>PS5/PS4</v>
      </c>
      <c r="C283" s="16" t="str">
        <f>IFERROR(__xludf.DUMMYFUNCTION("""COMPUTED_VALUE"""),"Extra")</f>
        <v>Extra</v>
      </c>
      <c r="D283" s="15" t="str">
        <f>IFERROR(__xludf.DUMMYFUNCTION("""COMPUTED_VALUE"""),"Active")</f>
        <v>Active</v>
      </c>
      <c r="E283" s="17">
        <f>IFERROR(__xludf.DUMMYFUNCTION("""COMPUTED_VALUE"""),44725.0)</f>
        <v>44725</v>
      </c>
      <c r="F283" s="54"/>
      <c r="G283" s="19">
        <f>IFERROR(__xludf.DUMMYFUNCTION("""COMPUTED_VALUE"""),51.766666666666666)</f>
        <v>51.76666667</v>
      </c>
      <c r="H283" s="17">
        <f>IFERROR(__xludf.DUMMYFUNCTION("""COMPUTED_VALUE"""),44119.0)</f>
        <v>44119</v>
      </c>
      <c r="I283" s="19">
        <f>IFERROR(__xludf.DUMMYFUNCTION("""COMPUTED_VALUE"""),1.6611111111111112)</f>
        <v>1.661111111</v>
      </c>
      <c r="J283" s="21">
        <f>IFERROR(__xludf.DUMMYFUNCTION("""COMPUTED_VALUE"""),70.0)</f>
        <v>70</v>
      </c>
      <c r="K283" s="23">
        <f>IFERROR(__xludf.DUMMYFUNCTION("""COMPUTED_VALUE"""),3.8)</f>
        <v>3.8</v>
      </c>
      <c r="L283" s="24">
        <f>IFERROR(__xludf.DUMMYFUNCTION("""COMPUTED_VALUE"""),9.0)</f>
        <v>9</v>
      </c>
      <c r="M283" s="25" t="str">
        <f>IFERROR(__xludf.DUMMYFUNCTION("""COMPUTED_VALUE"""),"Racing")</f>
        <v>Racing</v>
      </c>
      <c r="N283" s="25"/>
      <c r="O283" s="26" t="str">
        <f>IFERROR(__xludf.DUMMYFUNCTION("""COMPUTED_VALUE"""),"Yes")</f>
        <v>Yes</v>
      </c>
      <c r="P283" s="26"/>
    </row>
    <row r="284">
      <c r="A284" s="13" t="str">
        <f>IFERROR(__xludf.DUMMYFUNCTION("""COMPUTED_VALUE"""),"Jumping Flash!")</f>
        <v>Jumping Flash!</v>
      </c>
      <c r="B284" s="15" t="str">
        <f>IFERROR(__xludf.DUMMYFUNCTION("""COMPUTED_VALUE"""),"PS5/PS4")</f>
        <v>PS5/PS4</v>
      </c>
      <c r="C284" s="16" t="str">
        <f>IFERROR(__xludf.DUMMYFUNCTION("""COMPUTED_VALUE"""),"Premium (Classics)")</f>
        <v>Premium (Classics)</v>
      </c>
      <c r="D284" s="15" t="str">
        <f>IFERROR(__xludf.DUMMYFUNCTION("""COMPUTED_VALUE"""),"Active")</f>
        <v>Active</v>
      </c>
      <c r="E284" s="17">
        <f>IFERROR(__xludf.DUMMYFUNCTION("""COMPUTED_VALUE"""),44725.0)</f>
        <v>44725</v>
      </c>
      <c r="F284" s="54"/>
      <c r="G284" s="19">
        <f>IFERROR(__xludf.DUMMYFUNCTION("""COMPUTED_VALUE"""),51.766666666666666)</f>
        <v>51.76666667</v>
      </c>
      <c r="H284" s="17">
        <f>IFERROR(__xludf.DUMMYFUNCTION("""COMPUTED_VALUE"""),35004.0)</f>
        <v>35004</v>
      </c>
      <c r="I284" s="19">
        <f>IFERROR(__xludf.DUMMYFUNCTION("""COMPUTED_VALUE"""),26.616666666666667)</f>
        <v>26.61666667</v>
      </c>
      <c r="J284" s="21">
        <f>IFERROR(__xludf.DUMMYFUNCTION("""COMPUTED_VALUE"""),70.0)</f>
        <v>70</v>
      </c>
      <c r="K284" s="23">
        <f>IFERROR(__xludf.DUMMYFUNCTION("""COMPUTED_VALUE"""),7.9)</f>
        <v>7.9</v>
      </c>
      <c r="L284" s="24">
        <f>IFERROR(__xludf.DUMMYFUNCTION("""COMPUTED_VALUE"""),4.0)</f>
        <v>4</v>
      </c>
      <c r="M284" s="25" t="str">
        <f>IFERROR(__xludf.DUMMYFUNCTION("""COMPUTED_VALUE"""),"Platformer")</f>
        <v>Platformer</v>
      </c>
      <c r="N284" s="25" t="str">
        <f>IFERROR(__xludf.DUMMYFUNCTION("""COMPUTED_VALUE"""),"PS1")</f>
        <v>PS1</v>
      </c>
      <c r="O284" s="26" t="str">
        <f>IFERROR(__xludf.DUMMYFUNCTION("""COMPUTED_VALUE"""),"No")</f>
        <v>No</v>
      </c>
      <c r="P284" s="26" t="str">
        <f>IFERROR(__xludf.DUMMYFUNCTION("""COMPUTED_VALUE"""),"")</f>
        <v/>
      </c>
    </row>
    <row r="285">
      <c r="A285" s="13" t="str">
        <f>IFERROR(__xludf.DUMMYFUNCTION("""COMPUTED_VALUE"""),"Mega Man X Command Mission")</f>
        <v>Mega Man X Command Mission</v>
      </c>
      <c r="B285" s="15" t="str">
        <f>IFERROR(__xludf.DUMMYFUNCTION("""COMPUTED_VALUE"""),"PS5/PS4")</f>
        <v>PS5/PS4</v>
      </c>
      <c r="C285" s="16" t="str">
        <f>IFERROR(__xludf.DUMMYFUNCTION("""COMPUTED_VALUE"""),"Premium (Classics)")</f>
        <v>Premium (Classics)</v>
      </c>
      <c r="D285" s="15" t="str">
        <f>IFERROR(__xludf.DUMMYFUNCTION("""COMPUTED_VALUE"""),"Active")</f>
        <v>Active</v>
      </c>
      <c r="E285" s="17">
        <f>IFERROR(__xludf.DUMMYFUNCTION("""COMPUTED_VALUE"""),46280.0)</f>
        <v>46280</v>
      </c>
      <c r="F285" s="54"/>
      <c r="G285" s="19">
        <f>IFERROR(__xludf.DUMMYFUNCTION("""COMPUTED_VALUE"""),0.7)</f>
        <v>0.7</v>
      </c>
      <c r="H285" s="17">
        <f>IFERROR(__xludf.DUMMYFUNCTION("""COMPUTED_VALUE"""),38251.0)</f>
        <v>38251</v>
      </c>
      <c r="I285" s="19">
        <f>IFERROR(__xludf.DUMMYFUNCTION("""COMPUTED_VALUE"""),21.983333333333334)</f>
        <v>21.98333333</v>
      </c>
      <c r="J285" s="21">
        <f>IFERROR(__xludf.DUMMYFUNCTION("""COMPUTED_VALUE"""),69.0)</f>
        <v>69</v>
      </c>
      <c r="K285" s="23">
        <f>IFERROR(__xludf.DUMMYFUNCTION("""COMPUTED_VALUE"""),7.0)</f>
        <v>7</v>
      </c>
      <c r="L285" s="24">
        <f>IFERROR(__xludf.DUMMYFUNCTION("""COMPUTED_VALUE"""),22.0)</f>
        <v>22</v>
      </c>
      <c r="M285" s="25" t="str">
        <f>IFERROR(__xludf.DUMMYFUNCTION("""COMPUTED_VALUE"""),"RPG")</f>
        <v>RPG</v>
      </c>
      <c r="N285" s="25" t="str">
        <f>IFERROR(__xludf.DUMMYFUNCTION("""COMPUTED_VALUE"""),"PS2")</f>
        <v>PS2</v>
      </c>
      <c r="O285" s="26"/>
      <c r="P285" s="26"/>
    </row>
    <row r="286">
      <c r="A286" s="13" t="str">
        <f>IFERROR(__xludf.DUMMYFUNCTION("""COMPUTED_VALUE"""),"Enotria: The Last Song Standard Edition")</f>
        <v>Enotria: The Last Song Standard Edition</v>
      </c>
      <c r="B286" s="15" t="str">
        <f>IFERROR(__xludf.DUMMYFUNCTION("""COMPUTED_VALUE"""),"PS5")</f>
        <v>PS5</v>
      </c>
      <c r="C286" s="16" t="str">
        <f>IFERROR(__xludf.DUMMYFUNCTION("""COMPUTED_VALUE"""),"Extra")</f>
        <v>Extra</v>
      </c>
      <c r="D286" s="15" t="str">
        <f>IFERROR(__xludf.DUMMYFUNCTION("""COMPUTED_VALUE"""),"Active")</f>
        <v>Active</v>
      </c>
      <c r="E286" s="17">
        <f>IFERROR(__xludf.DUMMYFUNCTION("""COMPUTED_VALUE"""),46161.0)</f>
        <v>46161</v>
      </c>
      <c r="F286" s="54"/>
      <c r="G286" s="19">
        <f>IFERROR(__xludf.DUMMYFUNCTION("""COMPUTED_VALUE"""),4.566666666666666)</f>
        <v>4.566666667</v>
      </c>
      <c r="H286" s="17">
        <f>IFERROR(__xludf.DUMMYFUNCTION("""COMPUTED_VALUE"""),45551.0)</f>
        <v>45551</v>
      </c>
      <c r="I286" s="19">
        <f>IFERROR(__xludf.DUMMYFUNCTION("""COMPUTED_VALUE"""),1.675)</f>
        <v>1.675</v>
      </c>
      <c r="J286" s="21">
        <f>IFERROR(__xludf.DUMMYFUNCTION("""COMPUTED_VALUE"""),69.0)</f>
        <v>69</v>
      </c>
      <c r="K286" s="23">
        <f>IFERROR(__xludf.DUMMYFUNCTION("""COMPUTED_VALUE"""),6.1)</f>
        <v>6.1</v>
      </c>
      <c r="L286" s="24">
        <f>IFERROR(__xludf.DUMMYFUNCTION("""COMPUTED_VALUE"""),29.0)</f>
        <v>29</v>
      </c>
      <c r="M286" s="25" t="str">
        <f>IFERROR(__xludf.DUMMYFUNCTION("""COMPUTED_VALUE"""),"RPG")</f>
        <v>RPG</v>
      </c>
      <c r="N286" s="25"/>
      <c r="O286" s="26"/>
      <c r="P286" s="26"/>
    </row>
    <row r="287">
      <c r="A287" s="13" t="str">
        <f>IFERROR(__xludf.DUMMYFUNCTION("""COMPUTED_VALUE"""),"Ghosthunter")</f>
        <v>Ghosthunter</v>
      </c>
      <c r="B287" s="15" t="str">
        <f>IFERROR(__xludf.DUMMYFUNCTION("""COMPUTED_VALUE"""),"PS5/PS4")</f>
        <v>PS5/PS4</v>
      </c>
      <c r="C287" s="16" t="str">
        <f>IFERROR(__xludf.DUMMYFUNCTION("""COMPUTED_VALUE"""),"Premium (Classics)")</f>
        <v>Premium (Classics)</v>
      </c>
      <c r="D287" s="15" t="str">
        <f>IFERROR(__xludf.DUMMYFUNCTION("""COMPUTED_VALUE"""),"Active")</f>
        <v>Active</v>
      </c>
      <c r="E287" s="17">
        <f>IFERROR(__xludf.DUMMYFUNCTION("""COMPUTED_VALUE"""),45461.0)</f>
        <v>45461</v>
      </c>
      <c r="F287" s="54"/>
      <c r="G287" s="19">
        <f>IFERROR(__xludf.DUMMYFUNCTION("""COMPUTED_VALUE"""),27.599999999999998)</f>
        <v>27.6</v>
      </c>
      <c r="H287" s="17">
        <f>IFERROR(__xludf.DUMMYFUNCTION("""COMPUTED_VALUE"""),38216.0)</f>
        <v>38216</v>
      </c>
      <c r="I287" s="19">
        <f>IFERROR(__xludf.DUMMYFUNCTION("""COMPUTED_VALUE"""),19.836111111111112)</f>
        <v>19.83611111</v>
      </c>
      <c r="J287" s="21">
        <f>IFERROR(__xludf.DUMMYFUNCTION("""COMPUTED_VALUE"""),69.0)</f>
        <v>69</v>
      </c>
      <c r="K287" s="23">
        <f>IFERROR(__xludf.DUMMYFUNCTION("""COMPUTED_VALUE"""),8.4)</f>
        <v>8.4</v>
      </c>
      <c r="L287" s="24">
        <f>IFERROR(__xludf.DUMMYFUNCTION("""COMPUTED_VALUE"""),10.0)</f>
        <v>10</v>
      </c>
      <c r="M287" s="25" t="str">
        <f>IFERROR(__xludf.DUMMYFUNCTION("""COMPUTED_VALUE"""),"Survival")</f>
        <v>Survival</v>
      </c>
      <c r="N287" s="25" t="str">
        <f>IFERROR(__xludf.DUMMYFUNCTION("""COMPUTED_VALUE"""),"PS2")</f>
        <v>PS2</v>
      </c>
      <c r="O287" s="26" t="str">
        <f>IFERROR(__xludf.DUMMYFUNCTION("""COMPUTED_VALUE"""),"Yes")</f>
        <v>Yes</v>
      </c>
      <c r="P287" s="26"/>
    </row>
    <row r="288">
      <c r="A288" s="13" t="str">
        <f>IFERROR(__xludf.DUMMYFUNCTION("""COMPUTED_VALUE"""),"Raji: An Ancient Epic")</f>
        <v>Raji: An Ancient Epic</v>
      </c>
      <c r="B288" s="15" t="str">
        <f>IFERROR(__xludf.DUMMYFUNCTION("""COMPUTED_VALUE"""),"PS5/PS4")</f>
        <v>PS5/PS4</v>
      </c>
      <c r="C288" s="16" t="str">
        <f>IFERROR(__xludf.DUMMYFUNCTION("""COMPUTED_VALUE"""),"Extra")</f>
        <v>Extra</v>
      </c>
      <c r="D288" s="15" t="str">
        <f>IFERROR(__xludf.DUMMYFUNCTION("""COMPUTED_VALUE"""),"Active")</f>
        <v>Active</v>
      </c>
      <c r="E288" s="17">
        <f>IFERROR(__xludf.DUMMYFUNCTION("""COMPUTED_VALUE"""),45398.0)</f>
        <v>45398</v>
      </c>
      <c r="F288" s="54"/>
      <c r="G288" s="19">
        <f>IFERROR(__xludf.DUMMYFUNCTION("""COMPUTED_VALUE"""),29.666666666666668)</f>
        <v>29.66666667</v>
      </c>
      <c r="H288" s="17">
        <f>IFERROR(__xludf.DUMMYFUNCTION("""COMPUTED_VALUE"""),44061.0)</f>
        <v>44061</v>
      </c>
      <c r="I288" s="19">
        <f>IFERROR(__xludf.DUMMYFUNCTION("""COMPUTED_VALUE"""),3.661111111111111)</f>
        <v>3.661111111</v>
      </c>
      <c r="J288" s="21">
        <f>IFERROR(__xludf.DUMMYFUNCTION("""COMPUTED_VALUE"""),69.0)</f>
        <v>69</v>
      </c>
      <c r="K288" s="23">
        <f>IFERROR(__xludf.DUMMYFUNCTION("""COMPUTED_VALUE"""),7.6)</f>
        <v>7.6</v>
      </c>
      <c r="L288" s="24">
        <f>IFERROR(__xludf.DUMMYFUNCTION("""COMPUTED_VALUE"""),5.0)</f>
        <v>5</v>
      </c>
      <c r="M288" s="25" t="str">
        <f>IFERROR(__xludf.DUMMYFUNCTION("""COMPUTED_VALUE"""),"Action-Adventure")</f>
        <v>Action-Adventure</v>
      </c>
      <c r="N288" s="25"/>
      <c r="O288" s="26" t="str">
        <f>IFERROR(__xludf.DUMMYFUNCTION("""COMPUTED_VALUE"""),"Portal (PS5 + Premium)")</f>
        <v>Portal (PS5 + Premium)</v>
      </c>
      <c r="P288" s="26"/>
    </row>
    <row r="289">
      <c r="A289" s="13" t="str">
        <f>IFERROR(__xludf.DUMMYFUNCTION("""COMPUTED_VALUE"""),"Thrillville")</f>
        <v>Thrillville</v>
      </c>
      <c r="B289" s="15" t="str">
        <f>IFERROR(__xludf.DUMMYFUNCTION("""COMPUTED_VALUE"""),"PS5/PS4")</f>
        <v>PS5/PS4</v>
      </c>
      <c r="C289" s="16" t="str">
        <f>IFERROR(__xludf.DUMMYFUNCTION("""COMPUTED_VALUE"""),"Premium (Classics)")</f>
        <v>Premium (Classics)</v>
      </c>
      <c r="D289" s="15" t="str">
        <f>IFERROR(__xludf.DUMMYFUNCTION("""COMPUTED_VALUE"""),"Active")</f>
        <v>Active</v>
      </c>
      <c r="E289" s="17">
        <f>IFERROR(__xludf.DUMMYFUNCTION("""COMPUTED_VALUE"""),45279.0)</f>
        <v>45279</v>
      </c>
      <c r="F289" s="54"/>
      <c r="G289" s="19">
        <f>IFERROR(__xludf.DUMMYFUNCTION("""COMPUTED_VALUE"""),33.56666666666666)</f>
        <v>33.56666667</v>
      </c>
      <c r="H289" s="17">
        <f>IFERROR(__xludf.DUMMYFUNCTION("""COMPUTED_VALUE"""),39042.0)</f>
        <v>39042</v>
      </c>
      <c r="I289" s="19">
        <f>IFERROR(__xludf.DUMMYFUNCTION("""COMPUTED_VALUE"""),17.07777777777778)</f>
        <v>17.07777778</v>
      </c>
      <c r="J289" s="21">
        <f>IFERROR(__xludf.DUMMYFUNCTION("""COMPUTED_VALUE"""),69.0)</f>
        <v>69</v>
      </c>
      <c r="K289" s="23">
        <f>IFERROR(__xludf.DUMMYFUNCTION("""COMPUTED_VALUE"""),2.3)</f>
        <v>2.3</v>
      </c>
      <c r="L289" s="24">
        <f>IFERROR(__xludf.DUMMYFUNCTION("""COMPUTED_VALUE"""),6.0)</f>
        <v>6</v>
      </c>
      <c r="M289" s="25" t="str">
        <f>IFERROR(__xludf.DUMMYFUNCTION("""COMPUTED_VALUE"""),"Strategy")</f>
        <v>Strategy</v>
      </c>
      <c r="N289" s="25" t="str">
        <f>IFERROR(__xludf.DUMMYFUNCTION("""COMPUTED_VALUE"""),"PS2")</f>
        <v>PS2</v>
      </c>
      <c r="O289" s="26" t="str">
        <f>IFERROR(__xludf.DUMMYFUNCTION("""COMPUTED_VALUE"""),"Portal (PS5 + Premium)")</f>
        <v>Portal (PS5 + Premium)</v>
      </c>
      <c r="P289" s="26"/>
    </row>
    <row r="290">
      <c r="A290" s="13" t="str">
        <f>IFERROR(__xludf.DUMMYFUNCTION("""COMPUTED_VALUE"""),"Gravity Crash Portable")</f>
        <v>Gravity Crash Portable</v>
      </c>
      <c r="B290" s="15" t="str">
        <f>IFERROR(__xludf.DUMMYFUNCTION("""COMPUTED_VALUE"""),"PS5/PS4")</f>
        <v>PS5/PS4</v>
      </c>
      <c r="C290" s="16" t="str">
        <f>IFERROR(__xludf.DUMMYFUNCTION("""COMPUTED_VALUE"""),"Premium (Classics)")</f>
        <v>Premium (Classics)</v>
      </c>
      <c r="D290" s="15" t="str">
        <f>IFERROR(__xludf.DUMMYFUNCTION("""COMPUTED_VALUE"""),"Active")</f>
        <v>Active</v>
      </c>
      <c r="E290" s="17">
        <f>IFERROR(__xludf.DUMMYFUNCTION("""COMPUTED_VALUE"""),45125.0)</f>
        <v>45125</v>
      </c>
      <c r="F290" s="54"/>
      <c r="G290" s="19">
        <f>IFERROR(__xludf.DUMMYFUNCTION("""COMPUTED_VALUE"""),38.6)</f>
        <v>38.6</v>
      </c>
      <c r="H290" s="17">
        <f>IFERROR(__xludf.DUMMYFUNCTION("""COMPUTED_VALUE"""),40379.0)</f>
        <v>40379</v>
      </c>
      <c r="I290" s="19">
        <f>IFERROR(__xludf.DUMMYFUNCTION("""COMPUTED_VALUE"""),12.994444444444444)</f>
        <v>12.99444444</v>
      </c>
      <c r="J290" s="21">
        <f>IFERROR(__xludf.DUMMYFUNCTION("""COMPUTED_VALUE"""),69.0)</f>
        <v>69</v>
      </c>
      <c r="K290" s="23">
        <f>IFERROR(__xludf.DUMMYFUNCTION("""COMPUTED_VALUE"""),7.0)</f>
        <v>7</v>
      </c>
      <c r="L290" s="24">
        <f>IFERROR(__xludf.DUMMYFUNCTION("""COMPUTED_VALUE"""),8.0)</f>
        <v>8</v>
      </c>
      <c r="M290" s="25" t="str">
        <f>IFERROR(__xludf.DUMMYFUNCTION("""COMPUTED_VALUE"""),"Action-Adventure")</f>
        <v>Action-Adventure</v>
      </c>
      <c r="N290" s="25" t="str">
        <f>IFERROR(__xludf.DUMMYFUNCTION("""COMPUTED_VALUE"""),"PSP")</f>
        <v>PSP</v>
      </c>
      <c r="O290" s="26" t="str">
        <f>IFERROR(__xludf.DUMMYFUNCTION("""COMPUTED_VALUE"""),"Yes")</f>
        <v>Yes</v>
      </c>
      <c r="P290" s="26"/>
    </row>
    <row r="291">
      <c r="A291" s="13" t="str">
        <f>IFERROR(__xludf.DUMMYFUNCTION("""COMPUTED_VALUE"""),"Ape Academy 2")</f>
        <v>Ape Academy 2</v>
      </c>
      <c r="B291" s="15" t="str">
        <f>IFERROR(__xludf.DUMMYFUNCTION("""COMPUTED_VALUE"""),"PS5/PS4")</f>
        <v>PS5/PS4</v>
      </c>
      <c r="C291" s="16" t="str">
        <f>IFERROR(__xludf.DUMMYFUNCTION("""COMPUTED_VALUE"""),"Premium (Classics)")</f>
        <v>Premium (Classics)</v>
      </c>
      <c r="D291" s="15" t="str">
        <f>IFERROR(__xludf.DUMMYFUNCTION("""COMPUTED_VALUE"""),"Active")</f>
        <v>Active</v>
      </c>
      <c r="E291" s="17">
        <f>IFERROR(__xludf.DUMMYFUNCTION("""COMPUTED_VALUE"""),45006.0)</f>
        <v>45006</v>
      </c>
      <c r="F291" s="54"/>
      <c r="G291" s="19">
        <f>IFERROR(__xludf.DUMMYFUNCTION("""COMPUTED_VALUE"""),42.5)</f>
        <v>42.5</v>
      </c>
      <c r="H291" s="17">
        <f>IFERROR(__xludf.DUMMYFUNCTION("""COMPUTED_VALUE"""),38973.0)</f>
        <v>38973</v>
      </c>
      <c r="I291" s="19">
        <f>IFERROR(__xludf.DUMMYFUNCTION("""COMPUTED_VALUE"""),16.522222222222222)</f>
        <v>16.52222222</v>
      </c>
      <c r="J291" s="21">
        <f>IFERROR(__xludf.DUMMYFUNCTION("""COMPUTED_VALUE"""),69.0)</f>
        <v>69</v>
      </c>
      <c r="K291" s="23">
        <f>IFERROR(__xludf.DUMMYFUNCTION("""COMPUTED_VALUE"""),7.7)</f>
        <v>7.7</v>
      </c>
      <c r="L291" s="24">
        <f>IFERROR(__xludf.DUMMYFUNCTION("""COMPUTED_VALUE"""),4.0)</f>
        <v>4</v>
      </c>
      <c r="M291" s="25" t="str">
        <f>IFERROR(__xludf.DUMMYFUNCTION("""COMPUTED_VALUE"""),"Party")</f>
        <v>Party</v>
      </c>
      <c r="N291" s="25" t="str">
        <f>IFERROR(__xludf.DUMMYFUNCTION("""COMPUTED_VALUE"""),"PSP")</f>
        <v>PSP</v>
      </c>
      <c r="O291" s="26" t="str">
        <f>IFERROR(__xludf.DUMMYFUNCTION("""COMPUTED_VALUE"""),"Yes")</f>
        <v>Yes</v>
      </c>
      <c r="P291" s="26"/>
    </row>
    <row r="292">
      <c r="A292" s="13" t="str">
        <f>IFERROR(__xludf.DUMMYFUNCTION("""COMPUTED_VALUE"""),"Super Stardust Portable")</f>
        <v>Super Stardust Portable</v>
      </c>
      <c r="B292" s="15" t="str">
        <f>IFERROR(__xludf.DUMMYFUNCTION("""COMPUTED_VALUE"""),"PS5/PS4")</f>
        <v>PS5/PS4</v>
      </c>
      <c r="C292" s="16" t="str">
        <f>IFERROR(__xludf.DUMMYFUNCTION("""COMPUTED_VALUE"""),"Premium (Classics)")</f>
        <v>Premium (Classics)</v>
      </c>
      <c r="D292" s="15" t="str">
        <f>IFERROR(__xludf.DUMMYFUNCTION("""COMPUTED_VALUE"""),"Active")</f>
        <v>Active</v>
      </c>
      <c r="E292" s="17">
        <f>IFERROR(__xludf.DUMMYFUNCTION("""COMPUTED_VALUE"""),44725.0)</f>
        <v>44725</v>
      </c>
      <c r="F292" s="54"/>
      <c r="G292" s="19">
        <f>IFERROR(__xludf.DUMMYFUNCTION("""COMPUTED_VALUE"""),51.766666666666666)</f>
        <v>51.76666667</v>
      </c>
      <c r="H292" s="17">
        <f>IFERROR(__xludf.DUMMYFUNCTION("""COMPUTED_VALUE"""),39261.0)</f>
        <v>39261</v>
      </c>
      <c r="I292" s="19">
        <f>IFERROR(__xludf.DUMMYFUNCTION("""COMPUTED_VALUE"""),14.958333333333334)</f>
        <v>14.95833333</v>
      </c>
      <c r="J292" s="21">
        <f>IFERROR(__xludf.DUMMYFUNCTION("""COMPUTED_VALUE"""),69.0)</f>
        <v>69</v>
      </c>
      <c r="K292" s="23">
        <f>IFERROR(__xludf.DUMMYFUNCTION("""COMPUTED_VALUE"""),5.6)</f>
        <v>5.6</v>
      </c>
      <c r="L292" s="24">
        <f>IFERROR(__xludf.DUMMYFUNCTION("""COMPUTED_VALUE"""),3.0)</f>
        <v>3</v>
      </c>
      <c r="M292" s="25" t="str">
        <f>IFERROR(__xludf.DUMMYFUNCTION("""COMPUTED_VALUE"""),"Shooter")</f>
        <v>Shooter</v>
      </c>
      <c r="N292" s="25" t="str">
        <f>IFERROR(__xludf.DUMMYFUNCTION("""COMPUTED_VALUE"""),"PSP, PS4 version added 1/24 after PS5 version came 6/23/22")</f>
        <v>PSP, PS4 version added 1/24 after PS5 version came 6/23/22</v>
      </c>
      <c r="O292" s="26" t="str">
        <f>IFERROR(__xludf.DUMMYFUNCTION("""COMPUTED_VALUE"""),"No")</f>
        <v>No</v>
      </c>
      <c r="P292" s="26" t="str">
        <f>IFERROR(__xludf.DUMMYFUNCTION("""COMPUTED_VALUE"""),"")</f>
        <v/>
      </c>
    </row>
    <row r="293">
      <c r="A293" s="13" t="str">
        <f>IFERROR(__xludf.DUMMYFUNCTION("""COMPUTED_VALUE"""),"Assetto Corsa Competizione")</f>
        <v>Assetto Corsa Competizione</v>
      </c>
      <c r="B293" s="15" t="str">
        <f>IFERROR(__xludf.DUMMYFUNCTION("""COMPUTED_VALUE"""),"PS5/PS4")</f>
        <v>PS5/PS4</v>
      </c>
      <c r="C293" s="16" t="str">
        <f>IFERROR(__xludf.DUMMYFUNCTION("""COMPUTED_VALUE"""),"Extra")</f>
        <v>Extra</v>
      </c>
      <c r="D293" s="15" t="str">
        <f>IFERROR(__xludf.DUMMYFUNCTION("""COMPUTED_VALUE"""),"Active")</f>
        <v>Active</v>
      </c>
      <c r="E293" s="17">
        <f>IFERROR(__xludf.DUMMYFUNCTION("""COMPUTED_VALUE"""),44201.0)</f>
        <v>44201</v>
      </c>
      <c r="F293" s="54"/>
      <c r="G293" s="19">
        <f>IFERROR(__xludf.DUMMYFUNCTION("""COMPUTED_VALUE"""),69.03333333333333)</f>
        <v>69.03333333</v>
      </c>
      <c r="H293" s="17">
        <f>IFERROR(__xludf.DUMMYFUNCTION("""COMPUTED_VALUE"""),43355.0)</f>
        <v>43355</v>
      </c>
      <c r="I293" s="19">
        <f>IFERROR(__xludf.DUMMYFUNCTION("""COMPUTED_VALUE"""),2.313888888888889)</f>
        <v>2.313888889</v>
      </c>
      <c r="J293" s="21">
        <f>IFERROR(__xludf.DUMMYFUNCTION("""COMPUTED_VALUE"""),69.0)</f>
        <v>69</v>
      </c>
      <c r="K293" s="23">
        <f>IFERROR(__xludf.DUMMYFUNCTION("""COMPUTED_VALUE"""),7.4)</f>
        <v>7.4</v>
      </c>
      <c r="L293" s="24">
        <f>IFERROR(__xludf.DUMMYFUNCTION("""COMPUTED_VALUE"""),12.0)</f>
        <v>12</v>
      </c>
      <c r="M293" s="25" t="str">
        <f>IFERROR(__xludf.DUMMYFUNCTION("""COMPUTED_VALUE"""),"Racing")</f>
        <v>Racing</v>
      </c>
      <c r="N293" s="25"/>
      <c r="O293" s="26" t="str">
        <f>IFERROR(__xludf.DUMMYFUNCTION("""COMPUTED_VALUE"""),"Yes")</f>
        <v>Yes</v>
      </c>
      <c r="P293" s="26"/>
    </row>
    <row r="294">
      <c r="A294" s="13" t="str">
        <f>IFERROR(__xludf.DUMMYFUNCTION("""COMPUTED_VALUE"""),"Nightmares From the Deep 2: The Siren's Call")</f>
        <v>Nightmares From the Deep 2: The Siren's Call</v>
      </c>
      <c r="B294" s="15" t="str">
        <f>IFERROR(__xludf.DUMMYFUNCTION("""COMPUTED_VALUE"""),"PS5/PS4")</f>
        <v>PS5/PS4</v>
      </c>
      <c r="C294" s="16" t="str">
        <f>IFERROR(__xludf.DUMMYFUNCTION("""COMPUTED_VALUE"""),"Extra")</f>
        <v>Extra</v>
      </c>
      <c r="D294" s="15" t="str">
        <f>IFERROR(__xludf.DUMMYFUNCTION("""COMPUTED_VALUE"""),"Active")</f>
        <v>Active</v>
      </c>
      <c r="E294" s="17">
        <f>IFERROR(__xludf.DUMMYFUNCTION("""COMPUTED_VALUE"""),43648.0)</f>
        <v>43648</v>
      </c>
      <c r="F294" s="54"/>
      <c r="G294" s="19">
        <f>IFERROR(__xludf.DUMMYFUNCTION("""COMPUTED_VALUE"""),87.13333333333333)</f>
        <v>87.13333333</v>
      </c>
      <c r="H294" s="17">
        <f>IFERROR(__xludf.DUMMYFUNCTION("""COMPUTED_VALUE"""),42608.0)</f>
        <v>42608</v>
      </c>
      <c r="I294" s="19">
        <f>IFERROR(__xludf.DUMMYFUNCTION("""COMPUTED_VALUE"""),2.85)</f>
        <v>2.85</v>
      </c>
      <c r="J294" s="21">
        <f>IFERROR(__xludf.DUMMYFUNCTION("""COMPUTED_VALUE"""),69.0)</f>
        <v>69</v>
      </c>
      <c r="K294" s="23">
        <f>IFERROR(__xludf.DUMMYFUNCTION("""COMPUTED_VALUE"""),8.3)</f>
        <v>8.3</v>
      </c>
      <c r="L294" s="24">
        <f>IFERROR(__xludf.DUMMYFUNCTION("""COMPUTED_VALUE"""),4.0)</f>
        <v>4</v>
      </c>
      <c r="M294" s="25" t="str">
        <f>IFERROR(__xludf.DUMMYFUNCTION("""COMPUTED_VALUE"""),"Hidden Object")</f>
        <v>Hidden Object</v>
      </c>
      <c r="N294" s="25"/>
      <c r="O294" s="26" t="str">
        <f>IFERROR(__xludf.DUMMYFUNCTION("""COMPUTED_VALUE"""),"No")</f>
        <v>No</v>
      </c>
      <c r="P294" s="26"/>
    </row>
    <row r="295">
      <c r="A295" s="13" t="str">
        <f>IFERROR(__xludf.DUMMYFUNCTION("""COMPUTED_VALUE"""),"Football Manager 26")</f>
        <v>Football Manager 26</v>
      </c>
      <c r="B295" s="15" t="str">
        <f>IFERROR(__xludf.DUMMYFUNCTION("""COMPUTED_VALUE"""),"PS5")</f>
        <v>PS5</v>
      </c>
      <c r="C295" s="16" t="str">
        <f>IFERROR(__xludf.DUMMYFUNCTION("""COMPUTED_VALUE"""),"Extra")</f>
        <v>Extra</v>
      </c>
      <c r="D295" s="15" t="str">
        <f>IFERROR(__xludf.DUMMYFUNCTION("""COMPUTED_VALUE"""),"Active")</f>
        <v>Active</v>
      </c>
      <c r="E295" s="17">
        <f>IFERROR(__xludf.DUMMYFUNCTION("""COMPUTED_VALUE"""),46133.0)</f>
        <v>46133</v>
      </c>
      <c r="F295" s="54"/>
      <c r="G295" s="19">
        <f>IFERROR(__xludf.DUMMYFUNCTION("""COMPUTED_VALUE"""),5.5)</f>
        <v>5.5</v>
      </c>
      <c r="H295" s="17">
        <f>IFERROR(__xludf.DUMMYFUNCTION("""COMPUTED_VALUE"""),45965.0)</f>
        <v>45965</v>
      </c>
      <c r="I295" s="19">
        <f>IFERROR(__xludf.DUMMYFUNCTION("""COMPUTED_VALUE"""),0.4638888888888889)</f>
        <v>0.4638888889</v>
      </c>
      <c r="J295" s="21">
        <f>IFERROR(__xludf.DUMMYFUNCTION("""COMPUTED_VALUE"""),68.0)</f>
        <v>68</v>
      </c>
      <c r="K295" s="23">
        <f>IFERROR(__xludf.DUMMYFUNCTION("""COMPUTED_VALUE"""),2.8)</f>
        <v>2.8</v>
      </c>
      <c r="L295" s="24">
        <f>IFERROR(__xludf.DUMMYFUNCTION("""COMPUTED_VALUE"""),87.0)</f>
        <v>87</v>
      </c>
      <c r="M295" s="25" t="str">
        <f>IFERROR(__xludf.DUMMYFUNCTION("""COMPUTED_VALUE"""),"Simulation")</f>
        <v>Simulation</v>
      </c>
      <c r="N295" s="25"/>
      <c r="O295" s="26" t="str">
        <f>IFERROR(__xludf.DUMMYFUNCTION("""COMPUTED_VALUE"""),"No")</f>
        <v>No</v>
      </c>
      <c r="P295" s="26"/>
    </row>
    <row r="296">
      <c r="A296" s="13" t="str">
        <f>IFERROR(__xludf.DUMMYFUNCTION("""COMPUTED_VALUE"""),"Warriors: Abyss")</f>
        <v>Warriors: Abyss</v>
      </c>
      <c r="B296" s="15" t="str">
        <f>IFERROR(__xludf.DUMMYFUNCTION("""COMPUTED_VALUE"""),"PS5/PS4")</f>
        <v>PS5/PS4</v>
      </c>
      <c r="C296" s="16" t="str">
        <f>IFERROR(__xludf.DUMMYFUNCTION("""COMPUTED_VALUE"""),"Extra")</f>
        <v>Extra</v>
      </c>
      <c r="D296" s="15" t="str">
        <f>IFERROR(__xludf.DUMMYFUNCTION("""COMPUTED_VALUE"""),"Active")</f>
        <v>Active</v>
      </c>
      <c r="E296" s="17">
        <f>IFERROR(__xludf.DUMMYFUNCTION("""COMPUTED_VALUE"""),46133.0)</f>
        <v>46133</v>
      </c>
      <c r="F296" s="54"/>
      <c r="G296" s="19">
        <f>IFERROR(__xludf.DUMMYFUNCTION("""COMPUTED_VALUE"""),5.5)</f>
        <v>5.5</v>
      </c>
      <c r="H296" s="17">
        <f>IFERROR(__xludf.DUMMYFUNCTION("""COMPUTED_VALUE"""),45700.0)</f>
        <v>45700</v>
      </c>
      <c r="I296" s="19">
        <f>IFERROR(__xludf.DUMMYFUNCTION("""COMPUTED_VALUE"""),1.1916666666666667)</f>
        <v>1.191666667</v>
      </c>
      <c r="J296" s="21">
        <f>IFERROR(__xludf.DUMMYFUNCTION("""COMPUTED_VALUE"""),68.0)</f>
        <v>68</v>
      </c>
      <c r="K296" s="23">
        <f>IFERROR(__xludf.DUMMYFUNCTION("""COMPUTED_VALUE"""),7.6)</f>
        <v>7.6</v>
      </c>
      <c r="L296" s="24">
        <f>IFERROR(__xludf.DUMMYFUNCTION("""COMPUTED_VALUE"""),6.0)</f>
        <v>6</v>
      </c>
      <c r="M296" s="25" t="str">
        <f>IFERROR(__xludf.DUMMYFUNCTION("""COMPUTED_VALUE"""),"Action")</f>
        <v>Action</v>
      </c>
      <c r="N296" s="25"/>
      <c r="O296" s="26"/>
      <c r="P296" s="26"/>
    </row>
    <row r="297">
      <c r="A297" s="13" t="str">
        <f>IFERROR(__xludf.DUMMYFUNCTION("""COMPUTED_VALUE"""),"Space Engineers")</f>
        <v>Space Engineers</v>
      </c>
      <c r="B297" s="15" t="str">
        <f>IFERROR(__xludf.DUMMYFUNCTION("""COMPUTED_VALUE"""),"PS5/PS4")</f>
        <v>PS5/PS4</v>
      </c>
      <c r="C297" s="16" t="str">
        <f>IFERROR(__xludf.DUMMYFUNCTION("""COMPUTED_VALUE"""),"Extra")</f>
        <v>Extra</v>
      </c>
      <c r="D297" s="15" t="str">
        <f>IFERROR(__xludf.DUMMYFUNCTION("""COMPUTED_VALUE"""),"Active")</f>
        <v>Active</v>
      </c>
      <c r="E297" s="17">
        <f>IFERROR(__xludf.DUMMYFUNCTION("""COMPUTED_VALUE"""),45552.0)</f>
        <v>45552</v>
      </c>
      <c r="F297" s="54"/>
      <c r="G297" s="19">
        <f>IFERROR(__xludf.DUMMYFUNCTION("""COMPUTED_VALUE"""),24.633333333333333)</f>
        <v>24.63333333</v>
      </c>
      <c r="H297" s="17">
        <f>IFERROR(__xludf.DUMMYFUNCTION("""COMPUTED_VALUE"""),43936.0)</f>
        <v>43936</v>
      </c>
      <c r="I297" s="19">
        <f>IFERROR(__xludf.DUMMYFUNCTION("""COMPUTED_VALUE"""),4.4222222222222225)</f>
        <v>4.422222222</v>
      </c>
      <c r="J297" s="21">
        <f>IFERROR(__xludf.DUMMYFUNCTION("""COMPUTED_VALUE"""),68.0)</f>
        <v>68</v>
      </c>
      <c r="K297" s="23">
        <f>IFERROR(__xludf.DUMMYFUNCTION("""COMPUTED_VALUE"""),4.7)</f>
        <v>4.7</v>
      </c>
      <c r="L297" s="24">
        <f>IFERROR(__xludf.DUMMYFUNCTION("""COMPUTED_VALUE"""),20.0)</f>
        <v>20</v>
      </c>
      <c r="M297" s="25" t="str">
        <f>IFERROR(__xludf.DUMMYFUNCTION("""COMPUTED_VALUE"""),"Sandbox")</f>
        <v>Sandbox</v>
      </c>
      <c r="N297" s="25"/>
      <c r="O297" s="26" t="str">
        <f>IFERROR(__xludf.DUMMYFUNCTION("""COMPUTED_VALUE"""),"No")</f>
        <v>No</v>
      </c>
      <c r="P297" s="26"/>
    </row>
    <row r="298">
      <c r="A298" s="13" t="str">
        <f>IFERROR(__xludf.DUMMYFUNCTION("""COMPUTED_VALUE"""),"Worms Pinball")</f>
        <v>Worms Pinball</v>
      </c>
      <c r="B298" s="15" t="str">
        <f>IFERROR(__xludf.DUMMYFUNCTION("""COMPUTED_VALUE"""),"PS5/PS4")</f>
        <v>PS5/PS4</v>
      </c>
      <c r="C298" s="16" t="str">
        <f>IFERROR(__xludf.DUMMYFUNCTION("""COMPUTED_VALUE"""),"Premium (Classics)")</f>
        <v>Premium (Classics)</v>
      </c>
      <c r="D298" s="15" t="str">
        <f>IFERROR(__xludf.DUMMYFUNCTION("""COMPUTED_VALUE"""),"Active")</f>
        <v>Active</v>
      </c>
      <c r="E298" s="17">
        <f>IFERROR(__xludf.DUMMYFUNCTION("""COMPUTED_VALUE"""),45433.0)</f>
        <v>45433</v>
      </c>
      <c r="F298" s="54"/>
      <c r="G298" s="19">
        <f>IFERROR(__xludf.DUMMYFUNCTION("""COMPUTED_VALUE"""),28.5)</f>
        <v>28.5</v>
      </c>
      <c r="H298" s="17">
        <f>IFERROR(__xludf.DUMMYFUNCTION("""COMPUTED_VALUE"""),36464.0)</f>
        <v>36464</v>
      </c>
      <c r="I298" s="19">
        <f>IFERROR(__xludf.DUMMYFUNCTION("""COMPUTED_VALUE"""),24.558333333333334)</f>
        <v>24.55833333</v>
      </c>
      <c r="J298" s="21">
        <f>IFERROR(__xludf.DUMMYFUNCTION("""COMPUTED_VALUE"""),68.0)</f>
        <v>68</v>
      </c>
      <c r="K298" s="23">
        <f>IFERROR(__xludf.DUMMYFUNCTION("""COMPUTED_VALUE"""),7.6)</f>
        <v>7.6</v>
      </c>
      <c r="L298" s="24">
        <f>IFERROR(__xludf.DUMMYFUNCTION("""COMPUTED_VALUE"""),1.0)</f>
        <v>1</v>
      </c>
      <c r="M298" s="25" t="str">
        <f>IFERROR(__xludf.DUMMYFUNCTION("""COMPUTED_VALUE"""),"Simulation")</f>
        <v>Simulation</v>
      </c>
      <c r="N298" s="25" t="str">
        <f>IFERROR(__xludf.DUMMYFUNCTION("""COMPUTED_VALUE"""),"PS1")</f>
        <v>PS1</v>
      </c>
      <c r="O298" s="26" t="str">
        <f>IFERROR(__xludf.DUMMYFUNCTION("""COMPUTED_VALUE"""),"Yes")</f>
        <v>Yes</v>
      </c>
      <c r="P298" s="26"/>
    </row>
    <row r="299">
      <c r="A299" s="13" t="str">
        <f>IFERROR(__xludf.DUMMYFUNCTION("""COMPUTED_VALUE"""),"Thymesia")</f>
        <v>Thymesia</v>
      </c>
      <c r="B299" s="15" t="str">
        <f>IFERROR(__xludf.DUMMYFUNCTION("""COMPUTED_VALUE"""),"PS5")</f>
        <v>PS5</v>
      </c>
      <c r="C299" s="16" t="str">
        <f>IFERROR(__xludf.DUMMYFUNCTION("""COMPUTED_VALUE"""),"Extra")</f>
        <v>Extra</v>
      </c>
      <c r="D299" s="15" t="str">
        <f>IFERROR(__xludf.DUMMYFUNCTION("""COMPUTED_VALUE"""),"Active")</f>
        <v>Active</v>
      </c>
      <c r="E299" s="17">
        <f>IFERROR(__xludf.DUMMYFUNCTION("""COMPUTED_VALUE"""),45062.0)</f>
        <v>45062</v>
      </c>
      <c r="F299" s="54"/>
      <c r="G299" s="19">
        <f>IFERROR(__xludf.DUMMYFUNCTION("""COMPUTED_VALUE"""),40.666666666666664)</f>
        <v>40.66666667</v>
      </c>
      <c r="H299" s="17">
        <f>IFERROR(__xludf.DUMMYFUNCTION("""COMPUTED_VALUE"""),44791.0)</f>
        <v>44791</v>
      </c>
      <c r="I299" s="19">
        <f>IFERROR(__xludf.DUMMYFUNCTION("""COMPUTED_VALUE"""),0.7444444444444445)</f>
        <v>0.7444444444</v>
      </c>
      <c r="J299" s="21">
        <f>IFERROR(__xludf.DUMMYFUNCTION("""COMPUTED_VALUE"""),68.0)</f>
        <v>68</v>
      </c>
      <c r="K299" s="23">
        <f>IFERROR(__xludf.DUMMYFUNCTION("""COMPUTED_VALUE"""),7.5)</f>
        <v>7.5</v>
      </c>
      <c r="L299" s="24">
        <f>IFERROR(__xludf.DUMMYFUNCTION("""COMPUTED_VALUE"""),7.0)</f>
        <v>7</v>
      </c>
      <c r="M299" s="25" t="str">
        <f>IFERROR(__xludf.DUMMYFUNCTION("""COMPUTED_VALUE"""),"RPG")</f>
        <v>RPG</v>
      </c>
      <c r="N299" s="25"/>
      <c r="O299" s="26" t="str">
        <f>IFERROR(__xludf.DUMMYFUNCTION("""COMPUTED_VALUE"""),"Portal (PS5 + Premium)")</f>
        <v>Portal (PS5 + Premium)</v>
      </c>
      <c r="P299" s="26"/>
    </row>
    <row r="300">
      <c r="A300" s="13" t="str">
        <f>IFERROR(__xludf.DUMMYFUNCTION("""COMPUTED_VALUE"""),"Human: Fall Flat")</f>
        <v>Human: Fall Flat</v>
      </c>
      <c r="B300" s="15" t="str">
        <f>IFERROR(__xludf.DUMMYFUNCTION("""COMPUTED_VALUE"""),"PS5/PS4")</f>
        <v>PS5/PS4</v>
      </c>
      <c r="C300" s="16" t="str">
        <f>IFERROR(__xludf.DUMMYFUNCTION("""COMPUTED_VALUE"""),"Extra")</f>
        <v>Extra</v>
      </c>
      <c r="D300" s="15" t="str">
        <f>IFERROR(__xludf.DUMMYFUNCTION("""COMPUTED_VALUE"""),"Active")</f>
        <v>Active</v>
      </c>
      <c r="E300" s="17">
        <f>IFERROR(__xludf.DUMMYFUNCTION("""COMPUTED_VALUE"""),44725.0)</f>
        <v>44725</v>
      </c>
      <c r="F300" s="54"/>
      <c r="G300" s="19">
        <f>IFERROR(__xludf.DUMMYFUNCTION("""COMPUTED_VALUE"""),51.766666666666666)</f>
        <v>51.76666667</v>
      </c>
      <c r="H300" s="17">
        <f>IFERROR(__xludf.DUMMYFUNCTION("""COMPUTED_VALUE"""),42573.0)</f>
        <v>42573</v>
      </c>
      <c r="I300" s="19">
        <f>IFERROR(__xludf.DUMMYFUNCTION("""COMPUTED_VALUE"""),5.891666666666667)</f>
        <v>5.891666667</v>
      </c>
      <c r="J300" s="21">
        <f>IFERROR(__xludf.DUMMYFUNCTION("""COMPUTED_VALUE"""),68.0)</f>
        <v>68</v>
      </c>
      <c r="K300" s="23">
        <f>IFERROR(__xludf.DUMMYFUNCTION("""COMPUTED_VALUE"""),7.2)</f>
        <v>7.2</v>
      </c>
      <c r="L300" s="24">
        <f>IFERROR(__xludf.DUMMYFUNCTION("""COMPUTED_VALUE"""),6.0)</f>
        <v>6</v>
      </c>
      <c r="M300" s="25" t="str">
        <f>IFERROR(__xludf.DUMMYFUNCTION("""COMPUTED_VALUE"""),"Platformer")</f>
        <v>Platformer</v>
      </c>
      <c r="N300" s="25"/>
      <c r="O300" s="26" t="str">
        <f>IFERROR(__xludf.DUMMYFUNCTION("""COMPUTED_VALUE"""),"Yes")</f>
        <v>Yes</v>
      </c>
      <c r="P300" s="26" t="str">
        <f>IFERROR(__xludf.DUMMYFUNCTION("""COMPUTED_VALUE"""),"Yes")</f>
        <v>Yes</v>
      </c>
    </row>
    <row r="301">
      <c r="A301" s="13" t="str">
        <f>IFERROR(__xludf.DUMMYFUNCTION("""COMPUTED_VALUE"""),"Warhammer: Chaosbane - Slayer Edition")</f>
        <v>Warhammer: Chaosbane - Slayer Edition</v>
      </c>
      <c r="B301" s="15" t="str">
        <f>IFERROR(__xludf.DUMMYFUNCTION("""COMPUTED_VALUE"""),"PS5/PS4")</f>
        <v>PS5/PS4</v>
      </c>
      <c r="C301" s="16" t="str">
        <f>IFERROR(__xludf.DUMMYFUNCTION("""COMPUTED_VALUE"""),"Extra")</f>
        <v>Extra</v>
      </c>
      <c r="D301" s="15" t="str">
        <f>IFERROR(__xludf.DUMMYFUNCTION("""COMPUTED_VALUE"""),"Active")</f>
        <v>Active</v>
      </c>
      <c r="E301" s="17">
        <f>IFERROR(__xludf.DUMMYFUNCTION("""COMPUTED_VALUE"""),44725.0)</f>
        <v>44725</v>
      </c>
      <c r="F301" s="54"/>
      <c r="G301" s="19">
        <f>IFERROR(__xludf.DUMMYFUNCTION("""COMPUTED_VALUE"""),51.766666666666666)</f>
        <v>51.76666667</v>
      </c>
      <c r="H301" s="17">
        <f>IFERROR(__xludf.DUMMYFUNCTION("""COMPUTED_VALUE"""),43616.0)</f>
        <v>43616</v>
      </c>
      <c r="I301" s="19">
        <f>IFERROR(__xludf.DUMMYFUNCTION("""COMPUTED_VALUE"""),3.036111111111111)</f>
        <v>3.036111111</v>
      </c>
      <c r="J301" s="21">
        <f>IFERROR(__xludf.DUMMYFUNCTION("""COMPUTED_VALUE"""),68.0)</f>
        <v>68</v>
      </c>
      <c r="K301" s="23">
        <f>IFERROR(__xludf.DUMMYFUNCTION("""COMPUTED_VALUE"""),6.4)</f>
        <v>6.4</v>
      </c>
      <c r="L301" s="24">
        <f>IFERROR(__xludf.DUMMYFUNCTION("""COMPUTED_VALUE"""),10.0)</f>
        <v>10</v>
      </c>
      <c r="M301" s="25" t="str">
        <f>IFERROR(__xludf.DUMMYFUNCTION("""COMPUTED_VALUE"""),"RPG")</f>
        <v>RPG</v>
      </c>
      <c r="N301" s="25"/>
      <c r="O301" s="26" t="str">
        <f>IFERROR(__xludf.DUMMYFUNCTION("""COMPUTED_VALUE"""),"Portal (PS5 + Premium)")</f>
        <v>Portal (PS5 + Premium)</v>
      </c>
      <c r="P301" s="26" t="str">
        <f>IFERROR(__xludf.DUMMYFUNCTION("""COMPUTED_VALUE"""),"Yes")</f>
        <v>Yes</v>
      </c>
    </row>
    <row r="302">
      <c r="A302" s="13" t="str">
        <f>IFERROR(__xludf.DUMMYFUNCTION("""COMPUTED_VALUE"""),"Arcana Heart 3: LOVE MAX!!!!!")</f>
        <v>Arcana Heart 3: LOVE MAX!!!!!</v>
      </c>
      <c r="B302" s="15" t="str">
        <f>IFERROR(__xludf.DUMMYFUNCTION("""COMPUTED_VALUE"""),"PS5/PS4")</f>
        <v>PS5/PS4</v>
      </c>
      <c r="C302" s="16" t="str">
        <f>IFERROR(__xludf.DUMMYFUNCTION("""COMPUTED_VALUE"""),"Extra")</f>
        <v>Extra</v>
      </c>
      <c r="D302" s="15" t="str">
        <f>IFERROR(__xludf.DUMMYFUNCTION("""COMPUTED_VALUE"""),"Active")</f>
        <v>Active</v>
      </c>
      <c r="E302" s="17">
        <f>IFERROR(__xludf.DUMMYFUNCTION("""COMPUTED_VALUE"""),42556.0)</f>
        <v>42556</v>
      </c>
      <c r="F302" s="54"/>
      <c r="G302" s="19">
        <f>IFERROR(__xludf.DUMMYFUNCTION("""COMPUTED_VALUE"""),123.03333333333333)</f>
        <v>123.0333333</v>
      </c>
      <c r="H302" s="17">
        <f>IFERROR(__xludf.DUMMYFUNCTION("""COMPUTED_VALUE"""),41883.0)</f>
        <v>41883</v>
      </c>
      <c r="I302" s="19">
        <f>IFERROR(__xludf.DUMMYFUNCTION("""COMPUTED_VALUE"""),1.8444444444444446)</f>
        <v>1.844444444</v>
      </c>
      <c r="J302" s="21">
        <f>IFERROR(__xludf.DUMMYFUNCTION("""COMPUTED_VALUE"""),68.0)</f>
        <v>68</v>
      </c>
      <c r="K302" s="23">
        <f>IFERROR(__xludf.DUMMYFUNCTION("""COMPUTED_VALUE"""),7.7)</f>
        <v>7.7</v>
      </c>
      <c r="L302" s="24"/>
      <c r="M302" s="25" t="str">
        <f>IFERROR(__xludf.DUMMYFUNCTION("""COMPUTED_VALUE"""),"Fighting")</f>
        <v>Fighting</v>
      </c>
      <c r="N302" s="25" t="str">
        <f>IFERROR(__xludf.DUMMYFUNCTION("""COMPUTED_VALUE"""),"PS3")</f>
        <v>PS3</v>
      </c>
      <c r="O302" s="26" t="str">
        <f>IFERROR(__xludf.DUMMYFUNCTION("""COMPUTED_VALUE"""),"Yes")</f>
        <v>Yes</v>
      </c>
      <c r="P302" s="26" t="str">
        <f>IFERROR(__xludf.DUMMYFUNCTION("""COMPUTED_VALUE"""),"")</f>
        <v/>
      </c>
    </row>
    <row r="303">
      <c r="A303" s="13" t="str">
        <f>IFERROR(__xludf.DUMMYFUNCTION("""COMPUTED_VALUE"""),"A Quiet Place: The Road Ahead")</f>
        <v>A Quiet Place: The Road Ahead</v>
      </c>
      <c r="B303" s="15" t="str">
        <f>IFERROR(__xludf.DUMMYFUNCTION("""COMPUTED_VALUE"""),"PS5")</f>
        <v>PS5</v>
      </c>
      <c r="C303" s="16" t="str">
        <f>IFERROR(__xludf.DUMMYFUNCTION("""COMPUTED_VALUE"""),"Extra")</f>
        <v>Extra</v>
      </c>
      <c r="D303" s="15" t="str">
        <f>IFERROR(__xludf.DUMMYFUNCTION("""COMPUTED_VALUE"""),"Active")</f>
        <v>Active</v>
      </c>
      <c r="E303" s="17">
        <f>IFERROR(__xludf.DUMMYFUNCTION("""COMPUTED_VALUE"""),46042.0)</f>
        <v>46042</v>
      </c>
      <c r="F303" s="54"/>
      <c r="G303" s="19">
        <f>IFERROR(__xludf.DUMMYFUNCTION("""COMPUTED_VALUE"""),8.533333333333333)</f>
        <v>8.533333333</v>
      </c>
      <c r="H303" s="17">
        <f>IFERROR(__xludf.DUMMYFUNCTION("""COMPUTED_VALUE"""),45582.0)</f>
        <v>45582</v>
      </c>
      <c r="I303" s="19">
        <f>IFERROR(__xludf.DUMMYFUNCTION("""COMPUTED_VALUE"""),1.2583333333333333)</f>
        <v>1.258333333</v>
      </c>
      <c r="J303" s="21">
        <f>IFERROR(__xludf.DUMMYFUNCTION("""COMPUTED_VALUE"""),67.0)</f>
        <v>67</v>
      </c>
      <c r="K303" s="23">
        <f>IFERROR(__xludf.DUMMYFUNCTION("""COMPUTED_VALUE"""),6.9)</f>
        <v>6.9</v>
      </c>
      <c r="L303" s="24">
        <f>IFERROR(__xludf.DUMMYFUNCTION("""COMPUTED_VALUE"""),7.0)</f>
        <v>7</v>
      </c>
      <c r="M303" s="25" t="str">
        <f>IFERROR(__xludf.DUMMYFUNCTION("""COMPUTED_VALUE"""),"Action-Adventure")</f>
        <v>Action-Adventure</v>
      </c>
      <c r="N303" s="25"/>
      <c r="O303" s="26" t="str">
        <f>IFERROR(__xludf.DUMMYFUNCTION("""COMPUTED_VALUE"""),"No")</f>
        <v>No</v>
      </c>
      <c r="P303" s="26"/>
    </row>
    <row r="304">
      <c r="A304" s="13" t="str">
        <f>IFERROR(__xludf.DUMMYFUNCTION("""COMPUTED_VALUE"""),"2Xtreme")</f>
        <v>2Xtreme</v>
      </c>
      <c r="B304" s="15" t="str">
        <f>IFERROR(__xludf.DUMMYFUNCTION("""COMPUTED_VALUE"""),"PS5/PS4")</f>
        <v>PS5/PS4</v>
      </c>
      <c r="C304" s="16" t="str">
        <f>IFERROR(__xludf.DUMMYFUNCTION("""COMPUTED_VALUE"""),"Premium (Classics)")</f>
        <v>Premium (Classics)</v>
      </c>
      <c r="D304" s="15" t="str">
        <f>IFERROR(__xludf.DUMMYFUNCTION("""COMPUTED_VALUE"""),"Active")</f>
        <v>Active</v>
      </c>
      <c r="E304" s="17">
        <f>IFERROR(__xludf.DUMMYFUNCTION("""COMPUTED_VALUE"""),45433.0)</f>
        <v>45433</v>
      </c>
      <c r="F304" s="54"/>
      <c r="G304" s="19">
        <f>IFERROR(__xludf.DUMMYFUNCTION("""COMPUTED_VALUE"""),28.5)</f>
        <v>28.5</v>
      </c>
      <c r="H304" s="17">
        <f>IFERROR(__xludf.DUMMYFUNCTION("""COMPUTED_VALUE"""),35370.0)</f>
        <v>35370</v>
      </c>
      <c r="I304" s="19">
        <f>IFERROR(__xludf.DUMMYFUNCTION("""COMPUTED_VALUE"""),27.555555555555557)</f>
        <v>27.55555556</v>
      </c>
      <c r="J304" s="21">
        <f>IFERROR(__xludf.DUMMYFUNCTION("""COMPUTED_VALUE"""),67.0)</f>
        <v>67</v>
      </c>
      <c r="K304" s="23">
        <f>IFERROR(__xludf.DUMMYFUNCTION("""COMPUTED_VALUE"""),7.5)</f>
        <v>7.5</v>
      </c>
      <c r="L304" s="24">
        <f>IFERROR(__xludf.DUMMYFUNCTION("""COMPUTED_VALUE"""),1.0)</f>
        <v>1</v>
      </c>
      <c r="M304" s="25" t="str">
        <f>IFERROR(__xludf.DUMMYFUNCTION("""COMPUTED_VALUE"""),"Racing")</f>
        <v>Racing</v>
      </c>
      <c r="N304" s="25" t="str">
        <f>IFERROR(__xludf.DUMMYFUNCTION("""COMPUTED_VALUE"""),"PS1")</f>
        <v>PS1</v>
      </c>
      <c r="O304" s="26" t="str">
        <f>IFERROR(__xludf.DUMMYFUNCTION("""COMPUTED_VALUE"""),"Yes")</f>
        <v>Yes</v>
      </c>
      <c r="P304" s="26"/>
    </row>
    <row r="305">
      <c r="A305" s="13" t="str">
        <f>IFERROR(__xludf.DUMMYFUNCTION("""COMPUTED_VALUE"""),"MediEvil")</f>
        <v>MediEvil</v>
      </c>
      <c r="B305" s="15" t="str">
        <f>IFERROR(__xludf.DUMMYFUNCTION("""COMPUTED_VALUE"""),"PS5/PS4")</f>
        <v>PS5/PS4</v>
      </c>
      <c r="C305" s="16" t="str">
        <f>IFERROR(__xludf.DUMMYFUNCTION("""COMPUTED_VALUE"""),"Premium (Classics)")</f>
        <v>Premium (Classics)</v>
      </c>
      <c r="D305" s="15" t="str">
        <f>IFERROR(__xludf.DUMMYFUNCTION("""COMPUTED_VALUE"""),"Active")</f>
        <v>Active</v>
      </c>
      <c r="E305" s="17">
        <f>IFERROR(__xludf.DUMMYFUNCTION("""COMPUTED_VALUE"""),45398.0)</f>
        <v>45398</v>
      </c>
      <c r="F305" s="54"/>
      <c r="G305" s="19">
        <f>IFERROR(__xludf.DUMMYFUNCTION("""COMPUTED_VALUE"""),29.666666666666668)</f>
        <v>29.66666667</v>
      </c>
      <c r="H305" s="17">
        <f>IFERROR(__xludf.DUMMYFUNCTION("""COMPUTED_VALUE"""),36069.0)</f>
        <v>36069</v>
      </c>
      <c r="I305" s="19">
        <f>IFERROR(__xludf.DUMMYFUNCTION("""COMPUTED_VALUE"""),25.541666666666668)</f>
        <v>25.54166667</v>
      </c>
      <c r="J305" s="21">
        <f>IFERROR(__xludf.DUMMYFUNCTION("""COMPUTED_VALUE"""),67.0)</f>
        <v>67</v>
      </c>
      <c r="K305" s="23">
        <f>IFERROR(__xludf.DUMMYFUNCTION("""COMPUTED_VALUE"""),8.0)</f>
        <v>8</v>
      </c>
      <c r="L305" s="24">
        <f>IFERROR(__xludf.DUMMYFUNCTION("""COMPUTED_VALUE"""),7.0)</f>
        <v>7</v>
      </c>
      <c r="M305" s="25" t="str">
        <f>IFERROR(__xludf.DUMMYFUNCTION("""COMPUTED_VALUE"""),"Action-Adventure")</f>
        <v>Action-Adventure</v>
      </c>
      <c r="N305" s="25" t="str">
        <f>IFERROR(__xludf.DUMMYFUNCTION("""COMPUTED_VALUE"""),"PS1")</f>
        <v>PS1</v>
      </c>
      <c r="O305" s="26" t="str">
        <f>IFERROR(__xludf.DUMMYFUNCTION("""COMPUTED_VALUE"""),"Yes")</f>
        <v>Yes</v>
      </c>
      <c r="P305" s="26"/>
    </row>
    <row r="306">
      <c r="A306" s="13" t="str">
        <f>IFERROR(__xludf.DUMMYFUNCTION("""COMPUTED_VALUE"""),"Session: Skate Sim")</f>
        <v>Session: Skate Sim</v>
      </c>
      <c r="B306" s="15" t="str">
        <f>IFERROR(__xludf.DUMMYFUNCTION("""COMPUTED_VALUE"""),"PS5/PS4")</f>
        <v>PS5/PS4</v>
      </c>
      <c r="C306" s="16" t="str">
        <f>IFERROR(__xludf.DUMMYFUNCTION("""COMPUTED_VALUE"""),"Extra")</f>
        <v>Extra</v>
      </c>
      <c r="D306" s="15" t="str">
        <f>IFERROR(__xludf.DUMMYFUNCTION("""COMPUTED_VALUE"""),"Active")</f>
        <v>Active</v>
      </c>
      <c r="E306" s="17">
        <f>IFERROR(__xludf.DUMMYFUNCTION("""COMPUTED_VALUE"""),45307.0)</f>
        <v>45307</v>
      </c>
      <c r="F306" s="54"/>
      <c r="G306" s="19">
        <f>IFERROR(__xludf.DUMMYFUNCTION("""COMPUTED_VALUE"""),32.66666666666667)</f>
        <v>32.66666667</v>
      </c>
      <c r="H306" s="17">
        <f>IFERROR(__xludf.DUMMYFUNCTION("""COMPUTED_VALUE"""),44826.0)</f>
        <v>44826</v>
      </c>
      <c r="I306" s="19">
        <f>IFERROR(__xludf.DUMMYFUNCTION("""COMPUTED_VALUE"""),1.3166666666666667)</f>
        <v>1.316666667</v>
      </c>
      <c r="J306" s="21">
        <f>IFERROR(__xludf.DUMMYFUNCTION("""COMPUTED_VALUE"""),67.0)</f>
        <v>67</v>
      </c>
      <c r="K306" s="23">
        <f>IFERROR(__xludf.DUMMYFUNCTION("""COMPUTED_VALUE"""),6.1)</f>
        <v>6.1</v>
      </c>
      <c r="L306" s="24">
        <f>IFERROR(__xludf.DUMMYFUNCTION("""COMPUTED_VALUE"""),3.0)</f>
        <v>3</v>
      </c>
      <c r="M306" s="25" t="str">
        <f>IFERROR(__xludf.DUMMYFUNCTION("""COMPUTED_VALUE"""),"Sports")</f>
        <v>Sports</v>
      </c>
      <c r="N306" s="25"/>
      <c r="O306" s="26" t="str">
        <f>IFERROR(__xludf.DUMMYFUNCTION("""COMPUTED_VALUE"""),"Yes")</f>
        <v>Yes</v>
      </c>
      <c r="P306" s="26"/>
    </row>
    <row r="307">
      <c r="A307" s="13" t="str">
        <f>IFERROR(__xludf.DUMMYFUNCTION("""COMPUTED_VALUE"""),"World War Z")</f>
        <v>World War Z</v>
      </c>
      <c r="B307" s="15" t="str">
        <f>IFERROR(__xludf.DUMMYFUNCTION("""COMPUTED_VALUE"""),"PS5/PS4")</f>
        <v>PS5/PS4</v>
      </c>
      <c r="C307" s="16" t="str">
        <f>IFERROR(__xludf.DUMMYFUNCTION("""COMPUTED_VALUE"""),"Extra")</f>
        <v>Extra</v>
      </c>
      <c r="D307" s="15" t="str">
        <f>IFERROR(__xludf.DUMMYFUNCTION("""COMPUTED_VALUE"""),"Active")</f>
        <v>Active</v>
      </c>
      <c r="E307" s="17">
        <f>IFERROR(__xludf.DUMMYFUNCTION("""COMPUTED_VALUE"""),45125.0)</f>
        <v>45125</v>
      </c>
      <c r="F307" s="54"/>
      <c r="G307" s="19">
        <f>IFERROR(__xludf.DUMMYFUNCTION("""COMPUTED_VALUE"""),38.6)</f>
        <v>38.6</v>
      </c>
      <c r="H307" s="17">
        <f>IFERROR(__xludf.DUMMYFUNCTION("""COMPUTED_VALUE"""),43571.0)</f>
        <v>43571</v>
      </c>
      <c r="I307" s="19">
        <f>IFERROR(__xludf.DUMMYFUNCTION("""COMPUTED_VALUE"""),4.2555555555555555)</f>
        <v>4.255555556</v>
      </c>
      <c r="J307" s="21">
        <f>IFERROR(__xludf.DUMMYFUNCTION("""COMPUTED_VALUE"""),67.0)</f>
        <v>67</v>
      </c>
      <c r="K307" s="23">
        <f>IFERROR(__xludf.DUMMYFUNCTION("""COMPUTED_VALUE"""),6.3)</f>
        <v>6.3</v>
      </c>
      <c r="L307" s="24">
        <f>IFERROR(__xludf.DUMMYFUNCTION("""COMPUTED_VALUE"""),8.0)</f>
        <v>8</v>
      </c>
      <c r="M307" s="25" t="str">
        <f>IFERROR(__xludf.DUMMYFUNCTION("""COMPUTED_VALUE"""),"Shooter")</f>
        <v>Shooter</v>
      </c>
      <c r="N307" s="25"/>
      <c r="O307" s="26" t="str">
        <f>IFERROR(__xludf.DUMMYFUNCTION("""COMPUTED_VALUE"""),"Portal (PS5 + Premium)")</f>
        <v>Portal (PS5 + Premium)</v>
      </c>
      <c r="P307" s="26"/>
    </row>
    <row r="308">
      <c r="A308" s="13" t="str">
        <f>IFERROR(__xludf.DUMMYFUNCTION("""COMPUTED_VALUE"""),"RAGE 2")</f>
        <v>RAGE 2</v>
      </c>
      <c r="B308" s="15" t="str">
        <f>IFERROR(__xludf.DUMMYFUNCTION("""COMPUTED_VALUE"""),"PS5/PS4")</f>
        <v>PS5/PS4</v>
      </c>
      <c r="C308" s="16" t="str">
        <f>IFERROR(__xludf.DUMMYFUNCTION("""COMPUTED_VALUE"""),"Extra")</f>
        <v>Extra</v>
      </c>
      <c r="D308" s="15" t="str">
        <f>IFERROR(__xludf.DUMMYFUNCTION("""COMPUTED_VALUE"""),"Active")</f>
        <v>Active</v>
      </c>
      <c r="E308" s="17">
        <f>IFERROR(__xludf.DUMMYFUNCTION("""COMPUTED_VALUE"""),45006.0)</f>
        <v>45006</v>
      </c>
      <c r="F308" s="54"/>
      <c r="G308" s="19">
        <f>IFERROR(__xludf.DUMMYFUNCTION("""COMPUTED_VALUE"""),42.5)</f>
        <v>42.5</v>
      </c>
      <c r="H308" s="17">
        <f>IFERROR(__xludf.DUMMYFUNCTION("""COMPUTED_VALUE"""),43599.0)</f>
        <v>43599</v>
      </c>
      <c r="I308" s="19">
        <f>IFERROR(__xludf.DUMMYFUNCTION("""COMPUTED_VALUE"""),3.852777777777778)</f>
        <v>3.852777778</v>
      </c>
      <c r="J308" s="21">
        <f>IFERROR(__xludf.DUMMYFUNCTION("""COMPUTED_VALUE"""),67.0)</f>
        <v>67</v>
      </c>
      <c r="K308" s="23">
        <f>IFERROR(__xludf.DUMMYFUNCTION("""COMPUTED_VALUE"""),6.1)</f>
        <v>6.1</v>
      </c>
      <c r="L308" s="24">
        <f>IFERROR(__xludf.DUMMYFUNCTION("""COMPUTED_VALUE"""),11.0)</f>
        <v>11</v>
      </c>
      <c r="M308" s="25" t="str">
        <f>IFERROR(__xludf.DUMMYFUNCTION("""COMPUTED_VALUE"""),"Shooter")</f>
        <v>Shooter</v>
      </c>
      <c r="N308" s="25"/>
      <c r="O308" s="26" t="str">
        <f>IFERROR(__xludf.DUMMYFUNCTION("""COMPUTED_VALUE"""),"Yes")</f>
        <v>Yes</v>
      </c>
      <c r="P308" s="26"/>
    </row>
    <row r="309">
      <c r="A309" s="13" t="str">
        <f>IFERROR(__xludf.DUMMYFUNCTION("""COMPUTED_VALUE"""),"Echoes of the End: Enhanced Edition")</f>
        <v>Echoes of the End: Enhanced Edition</v>
      </c>
      <c r="B309" s="15" t="str">
        <f>IFERROR(__xludf.DUMMYFUNCTION("""COMPUTED_VALUE"""),"PS5")</f>
        <v>PS5</v>
      </c>
      <c r="C309" s="16" t="str">
        <f>IFERROR(__xludf.DUMMYFUNCTION("""COMPUTED_VALUE"""),"Extra")</f>
        <v>Extra</v>
      </c>
      <c r="D309" s="15" t="str">
        <f>IFERROR(__xludf.DUMMYFUNCTION("""COMPUTED_VALUE"""),"Active")</f>
        <v>Active</v>
      </c>
      <c r="E309" s="17">
        <f>IFERROR(__xludf.DUMMYFUNCTION("""COMPUTED_VALUE"""),46070.0)</f>
        <v>46070</v>
      </c>
      <c r="F309" s="54"/>
      <c r="G309" s="19">
        <f>IFERROR(__xludf.DUMMYFUNCTION("""COMPUTED_VALUE"""),7.633333333333333)</f>
        <v>7.633333333</v>
      </c>
      <c r="H309" s="17">
        <f>IFERROR(__xludf.DUMMYFUNCTION("""COMPUTED_VALUE"""),45881.0)</f>
        <v>45881</v>
      </c>
      <c r="I309" s="19">
        <f>IFERROR(__xludf.DUMMYFUNCTION("""COMPUTED_VALUE"""),0.5138888888888888)</f>
        <v>0.5138888889</v>
      </c>
      <c r="J309" s="21">
        <f>IFERROR(__xludf.DUMMYFUNCTION("""COMPUTED_VALUE"""),66.0)</f>
        <v>66</v>
      </c>
      <c r="K309" s="23">
        <f>IFERROR(__xludf.DUMMYFUNCTION("""COMPUTED_VALUE"""),6.9)</f>
        <v>6.9</v>
      </c>
      <c r="L309" s="24">
        <f>IFERROR(__xludf.DUMMYFUNCTION("""COMPUTED_VALUE"""),11.0)</f>
        <v>11</v>
      </c>
      <c r="M309" s="25" t="str">
        <f>IFERROR(__xludf.DUMMYFUNCTION("""COMPUTED_VALUE"""),"Action-Adventure")</f>
        <v>Action-Adventure</v>
      </c>
      <c r="N309" s="25"/>
      <c r="O309" s="26" t="str">
        <f>IFERROR(__xludf.DUMMYFUNCTION("""COMPUTED_VALUE"""),"No")</f>
        <v>No</v>
      </c>
      <c r="P309" s="26"/>
    </row>
    <row r="310">
      <c r="A310" s="13" t="str">
        <f>IFERROR(__xludf.DUMMYFUNCTION("""COMPUTED_VALUE"""),"Tin Hearts")</f>
        <v>Tin Hearts</v>
      </c>
      <c r="B310" s="15" t="str">
        <f>IFERROR(__xludf.DUMMYFUNCTION("""COMPUTED_VALUE"""),"PS5/PSVR2")</f>
        <v>PS5/PSVR2</v>
      </c>
      <c r="C310" s="16" t="str">
        <f>IFERROR(__xludf.DUMMYFUNCTION("""COMPUTED_VALUE"""),"Extra")</f>
        <v>Extra</v>
      </c>
      <c r="D310" s="15" t="str">
        <f>IFERROR(__xludf.DUMMYFUNCTION("""COMPUTED_VALUE"""),"Active")</f>
        <v>Active</v>
      </c>
      <c r="E310" s="17">
        <f>IFERROR(__xludf.DUMMYFUNCTION("""COMPUTED_VALUE"""),45705.0)</f>
        <v>45705</v>
      </c>
      <c r="F310" s="54"/>
      <c r="G310" s="19">
        <f>IFERROR(__xludf.DUMMYFUNCTION("""COMPUTED_VALUE"""),19.633333333333333)</f>
        <v>19.63333333</v>
      </c>
      <c r="H310" s="17">
        <f>IFERROR(__xludf.DUMMYFUNCTION("""COMPUTED_VALUE"""),45062.0)</f>
        <v>45062</v>
      </c>
      <c r="I310" s="19">
        <f>IFERROR(__xludf.DUMMYFUNCTION("""COMPUTED_VALUE"""),1.7527777777777778)</f>
        <v>1.752777778</v>
      </c>
      <c r="J310" s="21">
        <f>IFERROR(__xludf.DUMMYFUNCTION("""COMPUTED_VALUE"""),66.0)</f>
        <v>66</v>
      </c>
      <c r="K310" s="23">
        <f>IFERROR(__xludf.DUMMYFUNCTION("""COMPUTED_VALUE"""),8.3)</f>
        <v>8.3</v>
      </c>
      <c r="L310" s="24">
        <f>IFERROR(__xludf.DUMMYFUNCTION("""COMPUTED_VALUE"""),16.0)</f>
        <v>16</v>
      </c>
      <c r="M310" s="25" t="str">
        <f>IFERROR(__xludf.DUMMYFUNCTION("""COMPUTED_VALUE"""),"Puzzle")</f>
        <v>Puzzle</v>
      </c>
      <c r="N310" s="25"/>
      <c r="O310" s="26" t="str">
        <f>IFERROR(__xludf.DUMMYFUNCTION("""COMPUTED_VALUE"""),"No")</f>
        <v>No</v>
      </c>
      <c r="P310" s="26"/>
    </row>
    <row r="311">
      <c r="A311" s="13" t="str">
        <f>IFERROR(__xludf.DUMMYFUNCTION("""COMPUTED_VALUE"""),"Alone in the Dark: The New Nightmare")</f>
        <v>Alone in the Dark: The New Nightmare</v>
      </c>
      <c r="B311" s="15" t="str">
        <f>IFERROR(__xludf.DUMMYFUNCTION("""COMPUTED_VALUE"""),"PS5/PS4")</f>
        <v>PS5/PS4</v>
      </c>
      <c r="C311" s="16" t="str">
        <f>IFERROR(__xludf.DUMMYFUNCTION("""COMPUTED_VALUE"""),"Premium (Classics)")</f>
        <v>Premium (Classics)</v>
      </c>
      <c r="D311" s="15" t="str">
        <f>IFERROR(__xludf.DUMMYFUNCTION("""COMPUTED_VALUE"""),"Active")</f>
        <v>Active</v>
      </c>
      <c r="E311" s="17">
        <f>IFERROR(__xludf.DUMMYFUNCTION("""COMPUTED_VALUE"""),45398.0)</f>
        <v>45398</v>
      </c>
      <c r="F311" s="54"/>
      <c r="G311" s="19">
        <f>IFERROR(__xludf.DUMMYFUNCTION("""COMPUTED_VALUE"""),29.666666666666668)</f>
        <v>29.66666667</v>
      </c>
      <c r="H311" s="17">
        <f>IFERROR(__xludf.DUMMYFUNCTION("""COMPUTED_VALUE"""),37067.0)</f>
        <v>37067</v>
      </c>
      <c r="I311" s="19">
        <f>IFERROR(__xludf.DUMMYFUNCTION("""COMPUTED_VALUE"""),22.808333333333334)</f>
        <v>22.80833333</v>
      </c>
      <c r="J311" s="21">
        <f>IFERROR(__xludf.DUMMYFUNCTION("""COMPUTED_VALUE"""),66.0)</f>
        <v>66</v>
      </c>
      <c r="K311" s="23">
        <f>IFERROR(__xludf.DUMMYFUNCTION("""COMPUTED_VALUE"""),7.9)</f>
        <v>7.9</v>
      </c>
      <c r="L311" s="24">
        <f>IFERROR(__xludf.DUMMYFUNCTION("""COMPUTED_VALUE"""),8.0)</f>
        <v>8</v>
      </c>
      <c r="M311" s="25" t="str">
        <f>IFERROR(__xludf.DUMMYFUNCTION("""COMPUTED_VALUE"""),"Survival")</f>
        <v>Survival</v>
      </c>
      <c r="N311" s="25" t="str">
        <f>IFERROR(__xludf.DUMMYFUNCTION("""COMPUTED_VALUE"""),"PS1")</f>
        <v>PS1</v>
      </c>
      <c r="O311" s="26" t="str">
        <f>IFERROR(__xludf.DUMMYFUNCTION("""COMPUTED_VALUE"""),"Yes")</f>
        <v>Yes</v>
      </c>
      <c r="P311" s="26"/>
    </row>
    <row r="312">
      <c r="A312" s="13" t="str">
        <f>IFERROR(__xludf.DUMMYFUNCTION("""COMPUTED_VALUE"""),"Ape Escape: On the Loose")</f>
        <v>Ape Escape: On the Loose</v>
      </c>
      <c r="B312" s="15" t="str">
        <f>IFERROR(__xludf.DUMMYFUNCTION("""COMPUTED_VALUE"""),"PS5/PS4")</f>
        <v>PS5/PS4</v>
      </c>
      <c r="C312" s="16" t="str">
        <f>IFERROR(__xludf.DUMMYFUNCTION("""COMPUTED_VALUE"""),"Premium (Classics)")</f>
        <v>Premium (Classics)</v>
      </c>
      <c r="D312" s="15" t="str">
        <f>IFERROR(__xludf.DUMMYFUNCTION("""COMPUTED_VALUE"""),"Active")</f>
        <v>Active</v>
      </c>
      <c r="E312" s="17">
        <f>IFERROR(__xludf.DUMMYFUNCTION("""COMPUTED_VALUE"""),45153.0)</f>
        <v>45153</v>
      </c>
      <c r="F312" s="54"/>
      <c r="G312" s="19">
        <f>IFERROR(__xludf.DUMMYFUNCTION("""COMPUTED_VALUE"""),37.7)</f>
        <v>37.7</v>
      </c>
      <c r="H312" s="17">
        <f>IFERROR(__xludf.DUMMYFUNCTION("""COMPUTED_VALUE"""),38433.0)</f>
        <v>38433</v>
      </c>
      <c r="I312" s="19">
        <f>IFERROR(__xludf.DUMMYFUNCTION("""COMPUTED_VALUE"""),18.397222222222222)</f>
        <v>18.39722222</v>
      </c>
      <c r="J312" s="21">
        <f>IFERROR(__xludf.DUMMYFUNCTION("""COMPUTED_VALUE"""),66.0)</f>
        <v>66</v>
      </c>
      <c r="K312" s="23">
        <f>IFERROR(__xludf.DUMMYFUNCTION("""COMPUTED_VALUE"""),7.0)</f>
        <v>7</v>
      </c>
      <c r="L312" s="24">
        <f>IFERROR(__xludf.DUMMYFUNCTION("""COMPUTED_VALUE"""),7.0)</f>
        <v>7</v>
      </c>
      <c r="M312" s="75" t="str">
        <f>IFERROR(__xludf.DUMMYFUNCTION("""COMPUTED_VALUE"""),"Platformer")</f>
        <v>Platformer</v>
      </c>
      <c r="N312" s="25" t="str">
        <f>IFERROR(__xludf.DUMMYFUNCTION("""COMPUTED_VALUE"""),"PSP")</f>
        <v>PSP</v>
      </c>
      <c r="O312" s="26" t="str">
        <f>IFERROR(__xludf.DUMMYFUNCTION("""COMPUTED_VALUE"""),"Yes")</f>
        <v>Yes</v>
      </c>
      <c r="P312" s="26"/>
    </row>
    <row r="313">
      <c r="A313" s="13" t="str">
        <f>IFERROR(__xludf.DUMMYFUNCTION("""COMPUTED_VALUE"""),"MediEvil: Resurrection")</f>
        <v>MediEvil: Resurrection</v>
      </c>
      <c r="B313" s="15" t="str">
        <f>IFERROR(__xludf.DUMMYFUNCTION("""COMPUTED_VALUE"""),"PS5/PS4")</f>
        <v>PS5/PS4</v>
      </c>
      <c r="C313" s="16" t="str">
        <f>IFERROR(__xludf.DUMMYFUNCTION("""COMPUTED_VALUE"""),"Premium (Classics)")</f>
        <v>Premium (Classics)</v>
      </c>
      <c r="D313" s="15" t="str">
        <f>IFERROR(__xludf.DUMMYFUNCTION("""COMPUTED_VALUE"""),"Active")</f>
        <v>Active</v>
      </c>
      <c r="E313" s="17">
        <f>IFERROR(__xludf.DUMMYFUNCTION("""COMPUTED_VALUE"""),45153.0)</f>
        <v>45153</v>
      </c>
      <c r="F313" s="54"/>
      <c r="G313" s="19">
        <f>IFERROR(__xludf.DUMMYFUNCTION("""COMPUTED_VALUE"""),37.7)</f>
        <v>37.7</v>
      </c>
      <c r="H313" s="17">
        <f>IFERROR(__xludf.DUMMYFUNCTION("""COMPUTED_VALUE"""),38608.0)</f>
        <v>38608</v>
      </c>
      <c r="I313" s="19">
        <f>IFERROR(__xludf.DUMMYFUNCTION("""COMPUTED_VALUE"""),17.92222222222222)</f>
        <v>17.92222222</v>
      </c>
      <c r="J313" s="21">
        <f>IFERROR(__xludf.DUMMYFUNCTION("""COMPUTED_VALUE"""),66.0)</f>
        <v>66</v>
      </c>
      <c r="K313" s="23">
        <f>IFERROR(__xludf.DUMMYFUNCTION("""COMPUTED_VALUE"""),8.5)</f>
        <v>8.5</v>
      </c>
      <c r="L313" s="24">
        <f>IFERROR(__xludf.DUMMYFUNCTION("""COMPUTED_VALUE"""),10.0)</f>
        <v>10</v>
      </c>
      <c r="M313" s="25" t="str">
        <f>IFERROR(__xludf.DUMMYFUNCTION("""COMPUTED_VALUE"""),"Action-Adventure")</f>
        <v>Action-Adventure</v>
      </c>
      <c r="N313" s="25" t="str">
        <f>IFERROR(__xludf.DUMMYFUNCTION("""COMPUTED_VALUE"""),"PSP")</f>
        <v>PSP</v>
      </c>
      <c r="O313" s="26" t="str">
        <f>IFERROR(__xludf.DUMMYFUNCTION("""COMPUTED_VALUE"""),"Yes")</f>
        <v>Yes</v>
      </c>
      <c r="P313" s="26"/>
    </row>
    <row r="314">
      <c r="A314" s="13" t="str">
        <f>IFERROR(__xludf.DUMMYFUNCTION("""COMPUTED_VALUE"""),"FBC: Firebreak")</f>
        <v>FBC: Firebreak</v>
      </c>
      <c r="B314" s="15" t="str">
        <f>IFERROR(__xludf.DUMMYFUNCTION("""COMPUTED_VALUE"""),"PS5")</f>
        <v>PS5</v>
      </c>
      <c r="C314" s="16" t="str">
        <f>IFERROR(__xludf.DUMMYFUNCTION("""COMPUTED_VALUE"""),"Extra")</f>
        <v>Extra</v>
      </c>
      <c r="D314" s="15" t="str">
        <f>IFERROR(__xludf.DUMMYFUNCTION("""COMPUTED_VALUE"""),"Active")</f>
        <v>Active</v>
      </c>
      <c r="E314" s="17">
        <f>IFERROR(__xludf.DUMMYFUNCTION("""COMPUTED_VALUE"""),45825.0)</f>
        <v>45825</v>
      </c>
      <c r="F314" s="54"/>
      <c r="G314" s="19">
        <f>IFERROR(__xludf.DUMMYFUNCTION("""COMPUTED_VALUE"""),15.633333333333333)</f>
        <v>15.63333333</v>
      </c>
      <c r="H314" s="17">
        <f>IFERROR(__xludf.DUMMYFUNCTION("""COMPUTED_VALUE"""),45825.0)</f>
        <v>45825</v>
      </c>
      <c r="I314" s="19">
        <f>IFERROR(__xludf.DUMMYFUNCTION("""COMPUTED_VALUE"""),0.0)</f>
        <v>0</v>
      </c>
      <c r="J314" s="21">
        <f>IFERROR(__xludf.DUMMYFUNCTION("""COMPUTED_VALUE"""),65.0)</f>
        <v>65</v>
      </c>
      <c r="K314" s="23">
        <f>IFERROR(__xludf.DUMMYFUNCTION("""COMPUTED_VALUE"""),5.1)</f>
        <v>5.1</v>
      </c>
      <c r="L314" s="24">
        <f>IFERROR(__xludf.DUMMYFUNCTION("""COMPUTED_VALUE"""),6.0)</f>
        <v>6</v>
      </c>
      <c r="M314" s="25" t="str">
        <f>IFERROR(__xludf.DUMMYFUNCTION("""COMPUTED_VALUE"""),"Shooter")</f>
        <v>Shooter</v>
      </c>
      <c r="N314" s="25"/>
      <c r="O314" s="26" t="str">
        <f>IFERROR(__xludf.DUMMYFUNCTION("""COMPUTED_VALUE"""),"No")</f>
        <v>No</v>
      </c>
      <c r="P314" s="26"/>
    </row>
    <row r="315">
      <c r="A315" s="13" t="str">
        <f>IFERROR(__xludf.DUMMYFUNCTION("""COMPUTED_VALUE"""),"Mister Mosquito")</f>
        <v>Mister Mosquito</v>
      </c>
      <c r="B315" s="15" t="str">
        <f>IFERROR(__xludf.DUMMYFUNCTION("""COMPUTED_VALUE"""),"PS5/PS4")</f>
        <v>PS5/PS4</v>
      </c>
      <c r="C315" s="16" t="str">
        <f>IFERROR(__xludf.DUMMYFUNCTION("""COMPUTED_VALUE"""),"Premium (Classics)")</f>
        <v>Premium (Classics)</v>
      </c>
      <c r="D315" s="15" t="str">
        <f>IFERROR(__xludf.DUMMYFUNCTION("""COMPUTED_VALUE"""),"Active")</f>
        <v>Active</v>
      </c>
      <c r="E315" s="17">
        <f>IFERROR(__xludf.DUMMYFUNCTION("""COMPUTED_VALUE"""),45552.0)</f>
        <v>45552</v>
      </c>
      <c r="F315" s="54"/>
      <c r="G315" s="19">
        <f>IFERROR(__xludf.DUMMYFUNCTION("""COMPUTED_VALUE"""),24.633333333333333)</f>
        <v>24.63333333</v>
      </c>
      <c r="H315" s="17">
        <f>IFERROR(__xludf.DUMMYFUNCTION("""COMPUTED_VALUE"""),37327.0)</f>
        <v>37327</v>
      </c>
      <c r="I315" s="19">
        <f>IFERROR(__xludf.DUMMYFUNCTION("""COMPUTED_VALUE"""),22.51388888888889)</f>
        <v>22.51388889</v>
      </c>
      <c r="J315" s="21">
        <f>IFERROR(__xludf.DUMMYFUNCTION("""COMPUTED_VALUE"""),65.0)</f>
        <v>65</v>
      </c>
      <c r="K315" s="23">
        <f>IFERROR(__xludf.DUMMYFUNCTION("""COMPUTED_VALUE"""),6.2)</f>
        <v>6.2</v>
      </c>
      <c r="L315" s="24">
        <f>IFERROR(__xludf.DUMMYFUNCTION("""COMPUTED_VALUE"""),3.0)</f>
        <v>3</v>
      </c>
      <c r="M315" s="25" t="str">
        <f>IFERROR(__xludf.DUMMYFUNCTION("""COMPUTED_VALUE"""),"Action-Adventure")</f>
        <v>Action-Adventure</v>
      </c>
      <c r="N315" s="25" t="str">
        <f>IFERROR(__xludf.DUMMYFUNCTION("""COMPUTED_VALUE"""),"PS2")</f>
        <v>PS2</v>
      </c>
      <c r="O315" s="26" t="str">
        <f>IFERROR(__xludf.DUMMYFUNCTION("""COMPUTED_VALUE"""),"Yes")</f>
        <v>Yes</v>
      </c>
      <c r="P315" s="26"/>
    </row>
    <row r="316">
      <c r="A316" s="13" t="str">
        <f>IFERROR(__xludf.DUMMYFUNCTION("""COMPUTED_VALUE"""),"Star Wars Rebel Assault II: The Hidden Empire")</f>
        <v>Star Wars Rebel Assault II: The Hidden Empire</v>
      </c>
      <c r="B316" s="15" t="str">
        <f>IFERROR(__xludf.DUMMYFUNCTION("""COMPUTED_VALUE"""),"PS5/PS4")</f>
        <v>PS5/PS4</v>
      </c>
      <c r="C316" s="16" t="str">
        <f>IFERROR(__xludf.DUMMYFUNCTION("""COMPUTED_VALUE"""),"Premium (Classics)")</f>
        <v>Premium (Classics)</v>
      </c>
      <c r="D316" s="15" t="str">
        <f>IFERROR(__xludf.DUMMYFUNCTION("""COMPUTED_VALUE"""),"Active")</f>
        <v>Active</v>
      </c>
      <c r="E316" s="17">
        <f>IFERROR(__xludf.DUMMYFUNCTION("""COMPUTED_VALUE"""),45398.0)</f>
        <v>45398</v>
      </c>
      <c r="F316" s="54"/>
      <c r="G316" s="19">
        <f>IFERROR(__xludf.DUMMYFUNCTION("""COMPUTED_VALUE"""),29.666666666666668)</f>
        <v>29.66666667</v>
      </c>
      <c r="H316" s="17">
        <f>IFERROR(__xludf.DUMMYFUNCTION("""COMPUTED_VALUE"""),35010.0)</f>
        <v>35010</v>
      </c>
      <c r="I316" s="19">
        <f>IFERROR(__xludf.DUMMYFUNCTION("""COMPUTED_VALUE"""),28.441666666666666)</f>
        <v>28.44166667</v>
      </c>
      <c r="J316" s="21">
        <f>IFERROR(__xludf.DUMMYFUNCTION("""COMPUTED_VALUE"""),65.0)</f>
        <v>65</v>
      </c>
      <c r="K316" s="23">
        <f>IFERROR(__xludf.DUMMYFUNCTION("""COMPUTED_VALUE"""),7.7)</f>
        <v>7.7</v>
      </c>
      <c r="L316" s="24">
        <f>IFERROR(__xludf.DUMMYFUNCTION("""COMPUTED_VALUE"""),6.0)</f>
        <v>6</v>
      </c>
      <c r="M316" s="25" t="str">
        <f>IFERROR(__xludf.DUMMYFUNCTION("""COMPUTED_VALUE"""),"Shooter")</f>
        <v>Shooter</v>
      </c>
      <c r="N316" s="25" t="str">
        <f>IFERROR(__xludf.DUMMYFUNCTION("""COMPUTED_VALUE"""),"PS1")</f>
        <v>PS1</v>
      </c>
      <c r="O316" s="26" t="str">
        <f>IFERROR(__xludf.DUMMYFUNCTION("""COMPUTED_VALUE"""),"Yes")</f>
        <v>Yes</v>
      </c>
      <c r="P316" s="26"/>
    </row>
    <row r="317">
      <c r="A317" s="13" t="str">
        <f>IFERROR(__xludf.DUMMYFUNCTION("""COMPUTED_VALUE"""),"Disney/PIXAR Up")</f>
        <v>Disney/PIXAR Up</v>
      </c>
      <c r="B317" s="15" t="str">
        <f>IFERROR(__xludf.DUMMYFUNCTION("""COMPUTED_VALUE"""),"PS5/PS4")</f>
        <v>PS5/PS4</v>
      </c>
      <c r="C317" s="16" t="str">
        <f>IFERROR(__xludf.DUMMYFUNCTION("""COMPUTED_VALUE"""),"Premium (Classics)")</f>
        <v>Premium (Classics)</v>
      </c>
      <c r="D317" s="15" t="str">
        <f>IFERROR(__xludf.DUMMYFUNCTION("""COMPUTED_VALUE"""),"Active")</f>
        <v>Active</v>
      </c>
      <c r="E317" s="17">
        <f>IFERROR(__xludf.DUMMYFUNCTION("""COMPUTED_VALUE"""),45251.0)</f>
        <v>45251</v>
      </c>
      <c r="F317" s="54"/>
      <c r="G317" s="19">
        <f>IFERROR(__xludf.DUMMYFUNCTION("""COMPUTED_VALUE"""),34.5)</f>
        <v>34.5</v>
      </c>
      <c r="H317" s="17">
        <f>IFERROR(__xludf.DUMMYFUNCTION("""COMPUTED_VALUE"""),39959.0)</f>
        <v>39959</v>
      </c>
      <c r="I317" s="19">
        <f>IFERROR(__xludf.DUMMYFUNCTION("""COMPUTED_VALUE"""),14.48611111111111)</f>
        <v>14.48611111</v>
      </c>
      <c r="J317" s="21">
        <f>IFERROR(__xludf.DUMMYFUNCTION("""COMPUTED_VALUE"""),65.0)</f>
        <v>65</v>
      </c>
      <c r="K317" s="23">
        <f>IFERROR(__xludf.DUMMYFUNCTION("""COMPUTED_VALUE"""),6.8)</f>
        <v>6.8</v>
      </c>
      <c r="L317" s="24">
        <f>IFERROR(__xludf.DUMMYFUNCTION("""COMPUTED_VALUE"""),5.0)</f>
        <v>5</v>
      </c>
      <c r="M317" s="25" t="str">
        <f>IFERROR(__xludf.DUMMYFUNCTION("""COMPUTED_VALUE"""),"Action-Adventure")</f>
        <v>Action-Adventure</v>
      </c>
      <c r="N317" s="25" t="str">
        <f>IFERROR(__xludf.DUMMYFUNCTION("""COMPUTED_VALUE"""),"PSP")</f>
        <v>PSP</v>
      </c>
      <c r="O317" s="26" t="str">
        <f>IFERROR(__xludf.DUMMYFUNCTION("""COMPUTED_VALUE"""),"Yes")</f>
        <v>Yes</v>
      </c>
      <c r="P317" s="26"/>
    </row>
    <row r="318">
      <c r="A318" s="13" t="str">
        <f>IFERROR(__xludf.DUMMYFUNCTION("""COMPUTED_VALUE"""),"PAW Patrol The Movie: Adventure City Calls")</f>
        <v>PAW Patrol The Movie: Adventure City Calls</v>
      </c>
      <c r="B318" s="15" t="str">
        <f>IFERROR(__xludf.DUMMYFUNCTION("""COMPUTED_VALUE"""),"PS5/PS4")</f>
        <v>PS5/PS4</v>
      </c>
      <c r="C318" s="16" t="str">
        <f>IFERROR(__xludf.DUMMYFUNCTION("""COMPUTED_VALUE"""),"Extra")</f>
        <v>Extra</v>
      </c>
      <c r="D318" s="15" t="str">
        <f>IFERROR(__xludf.DUMMYFUNCTION("""COMPUTED_VALUE"""),"Active")</f>
        <v>Active</v>
      </c>
      <c r="E318" s="17">
        <f>IFERROR(__xludf.DUMMYFUNCTION("""COMPUTED_VALUE"""),45188.0)</f>
        <v>45188</v>
      </c>
      <c r="F318" s="54"/>
      <c r="G318" s="19">
        <f>IFERROR(__xludf.DUMMYFUNCTION("""COMPUTED_VALUE"""),36.56666666666666)</f>
        <v>36.56666667</v>
      </c>
      <c r="H318" s="17">
        <f>IFERROR(__xludf.DUMMYFUNCTION("""COMPUTED_VALUE"""),44421.0)</f>
        <v>44421</v>
      </c>
      <c r="I318" s="19">
        <f>IFERROR(__xludf.DUMMYFUNCTION("""COMPUTED_VALUE"""),2.1)</f>
        <v>2.1</v>
      </c>
      <c r="J318" s="21">
        <f>IFERROR(__xludf.DUMMYFUNCTION("""COMPUTED_VALUE"""),65.0)</f>
        <v>65</v>
      </c>
      <c r="K318" s="23">
        <f>IFERROR(__xludf.DUMMYFUNCTION("""COMPUTED_VALUE"""),4.0)</f>
        <v>4</v>
      </c>
      <c r="L318" s="24">
        <f>IFERROR(__xludf.DUMMYFUNCTION("""COMPUTED_VALUE"""),2.0)</f>
        <v>2</v>
      </c>
      <c r="M318" s="25" t="str">
        <f>IFERROR(__xludf.DUMMYFUNCTION("""COMPUTED_VALUE"""),"Action-Adventure")</f>
        <v>Action-Adventure</v>
      </c>
      <c r="N318" s="25"/>
      <c r="O318" s="26" t="str">
        <f>IFERROR(__xludf.DUMMYFUNCTION("""COMPUTED_VALUE"""),"Yes")</f>
        <v>Yes</v>
      </c>
      <c r="P318" s="26"/>
    </row>
    <row r="319">
      <c r="A319" s="13" t="str">
        <f>IFERROR(__xludf.DUMMYFUNCTION("""COMPUTED_VALUE"""),"Dead by Daylight")</f>
        <v>Dead by Daylight</v>
      </c>
      <c r="B319" s="15" t="str">
        <f>IFERROR(__xludf.DUMMYFUNCTION("""COMPUTED_VALUE"""),"PS5/PS4")</f>
        <v>PS5/PS4</v>
      </c>
      <c r="C319" s="16" t="str">
        <f>IFERROR(__xludf.DUMMYFUNCTION("""COMPUTED_VALUE"""),"Extra")</f>
        <v>Extra</v>
      </c>
      <c r="D319" s="15" t="str">
        <f>IFERROR(__xludf.DUMMYFUNCTION("""COMPUTED_VALUE"""),"Active")</f>
        <v>Active</v>
      </c>
      <c r="E319" s="17">
        <f>IFERROR(__xludf.DUMMYFUNCTION("""COMPUTED_VALUE"""),44789.0)</f>
        <v>44789</v>
      </c>
      <c r="F319" s="54"/>
      <c r="G319" s="19">
        <f>IFERROR(__xludf.DUMMYFUNCTION("""COMPUTED_VALUE"""),49.66666666666667)</f>
        <v>49.66666667</v>
      </c>
      <c r="H319" s="17">
        <f>IFERROR(__xludf.DUMMYFUNCTION("""COMPUTED_VALUE"""),42535.0)</f>
        <v>42535</v>
      </c>
      <c r="I319" s="19">
        <f>IFERROR(__xludf.DUMMYFUNCTION("""COMPUTED_VALUE"""),6.1722222222222225)</f>
        <v>6.172222222</v>
      </c>
      <c r="J319" s="21">
        <f>IFERROR(__xludf.DUMMYFUNCTION("""COMPUTED_VALUE"""),64.0)</f>
        <v>64</v>
      </c>
      <c r="K319" s="23">
        <f>IFERROR(__xludf.DUMMYFUNCTION("""COMPUTED_VALUE"""),5.1)</f>
        <v>5.1</v>
      </c>
      <c r="L319" s="24">
        <f>IFERROR(__xludf.DUMMYFUNCTION("""COMPUTED_VALUE"""),398.0)</f>
        <v>398</v>
      </c>
      <c r="M319" s="25" t="str">
        <f>IFERROR(__xludf.DUMMYFUNCTION("""COMPUTED_VALUE"""),"Action-Adventure")</f>
        <v>Action-Adventure</v>
      </c>
      <c r="N319" s="25"/>
      <c r="O319" s="26" t="str">
        <f>IFERROR(__xludf.DUMMYFUNCTION("""COMPUTED_VALUE"""),"Yes")</f>
        <v>Yes</v>
      </c>
      <c r="P319" s="26"/>
    </row>
    <row r="320">
      <c r="A320" s="13" t="str">
        <f>IFERROR(__xludf.DUMMYFUNCTION("""COMPUTED_VALUE"""),"Spirit of the North: Enhanced Edition")</f>
        <v>Spirit of the North: Enhanced Edition</v>
      </c>
      <c r="B320" s="15" t="str">
        <f>IFERROR(__xludf.DUMMYFUNCTION("""COMPUTED_VALUE"""),"PS5")</f>
        <v>PS5</v>
      </c>
      <c r="C320" s="16" t="str">
        <f>IFERROR(__xludf.DUMMYFUNCTION("""COMPUTED_VALUE"""),"Extra")</f>
        <v>Extra</v>
      </c>
      <c r="D320" s="15" t="str">
        <f>IFERROR(__xludf.DUMMYFUNCTION("""COMPUTED_VALUE"""),"Active")</f>
        <v>Active</v>
      </c>
      <c r="E320" s="17">
        <f>IFERROR(__xludf.DUMMYFUNCTION("""COMPUTED_VALUE"""),44761.0)</f>
        <v>44761</v>
      </c>
      <c r="F320" s="54"/>
      <c r="G320" s="19">
        <f>IFERROR(__xludf.DUMMYFUNCTION("""COMPUTED_VALUE"""),50.56666666666666)</f>
        <v>50.56666667</v>
      </c>
      <c r="H320" s="17">
        <f>IFERROR(__xludf.DUMMYFUNCTION("""COMPUTED_VALUE"""),43770.0)</f>
        <v>43770</v>
      </c>
      <c r="I320" s="19">
        <f>IFERROR(__xludf.DUMMYFUNCTION("""COMPUTED_VALUE"""),2.716666666666667)</f>
        <v>2.716666667</v>
      </c>
      <c r="J320" s="21">
        <f>IFERROR(__xludf.DUMMYFUNCTION("""COMPUTED_VALUE"""),64.0)</f>
        <v>64</v>
      </c>
      <c r="K320" s="23">
        <f>IFERROR(__xludf.DUMMYFUNCTION("""COMPUTED_VALUE"""),6.0)</f>
        <v>6</v>
      </c>
      <c r="L320" s="24">
        <f>IFERROR(__xludf.DUMMYFUNCTION("""COMPUTED_VALUE"""),5.5)</f>
        <v>5.5</v>
      </c>
      <c r="M320" s="25" t="str">
        <f>IFERROR(__xludf.DUMMYFUNCTION("""COMPUTED_VALUE"""),"Action-Adventure")</f>
        <v>Action-Adventure</v>
      </c>
      <c r="N320" s="25"/>
      <c r="O320" s="26" t="str">
        <f>IFERROR(__xludf.DUMMYFUNCTION("""COMPUTED_VALUE"""),"Portal (PS5 + Premium)")</f>
        <v>Portal (PS5 + Premium)</v>
      </c>
      <c r="P320" s="26"/>
    </row>
    <row r="321">
      <c r="A321" s="13" t="str">
        <f>IFERROR(__xludf.DUMMYFUNCTION("""COMPUTED_VALUE"""),"Squirrel with a Gun")</f>
        <v>Squirrel with a Gun</v>
      </c>
      <c r="B321" s="15" t="str">
        <f>IFERROR(__xludf.DUMMYFUNCTION("""COMPUTED_VALUE"""),"PS5")</f>
        <v>PS5</v>
      </c>
      <c r="C321" s="16" t="str">
        <f>IFERROR(__xludf.DUMMYFUNCTION("""COMPUTED_VALUE"""),"Extra")</f>
        <v>Extra</v>
      </c>
      <c r="D321" s="15" t="str">
        <f>IFERROR(__xludf.DUMMYFUNCTION("""COMPUTED_VALUE"""),"Active")</f>
        <v>Active</v>
      </c>
      <c r="E321" s="17">
        <f>IFERROR(__xludf.DUMMYFUNCTION("""COMPUTED_VALUE"""),46133.0)</f>
        <v>46133</v>
      </c>
      <c r="F321" s="54"/>
      <c r="G321" s="19">
        <f>IFERROR(__xludf.DUMMYFUNCTION("""COMPUTED_VALUE"""),5.5)</f>
        <v>5.5</v>
      </c>
      <c r="H321" s="17">
        <f>IFERROR(__xludf.DUMMYFUNCTION("""COMPUTED_VALUE"""),45533.0)</f>
        <v>45533</v>
      </c>
      <c r="I321" s="19">
        <f>IFERROR(__xludf.DUMMYFUNCTION("""COMPUTED_VALUE"""),1.6444444444444444)</f>
        <v>1.644444444</v>
      </c>
      <c r="J321" s="21">
        <f>IFERROR(__xludf.DUMMYFUNCTION("""COMPUTED_VALUE"""),63.0)</f>
        <v>63</v>
      </c>
      <c r="K321" s="23">
        <f>IFERROR(__xludf.DUMMYFUNCTION("""COMPUTED_VALUE"""),6.4)</f>
        <v>6.4</v>
      </c>
      <c r="L321" s="24">
        <f>IFERROR(__xludf.DUMMYFUNCTION("""COMPUTED_VALUE"""),6.0)</f>
        <v>6</v>
      </c>
      <c r="M321" s="25" t="str">
        <f>IFERROR(__xludf.DUMMYFUNCTION("""COMPUTED_VALUE"""),"Shooter")</f>
        <v>Shooter</v>
      </c>
      <c r="N321" s="25"/>
      <c r="O321" s="26" t="str">
        <f>IFERROR(__xludf.DUMMYFUNCTION("""COMPUTED_VALUE"""),"No")</f>
        <v>No</v>
      </c>
      <c r="P321" s="26"/>
    </row>
    <row r="322">
      <c r="A322" s="13" t="str">
        <f>IFERROR(__xludf.DUMMYFUNCTION("""COMPUTED_VALUE"""),"Hotel Transylvania: Scary-Tale Adventures")</f>
        <v>Hotel Transylvania: Scary-Tale Adventures</v>
      </c>
      <c r="B322" s="15" t="str">
        <f>IFERROR(__xludf.DUMMYFUNCTION("""COMPUTED_VALUE"""),"PS5/PS4")</f>
        <v>PS5/PS4</v>
      </c>
      <c r="C322" s="16" t="str">
        <f>IFERROR(__xludf.DUMMYFUNCTION("""COMPUTED_VALUE"""),"Extra")</f>
        <v>Extra</v>
      </c>
      <c r="D322" s="15" t="str">
        <f>IFERROR(__xludf.DUMMYFUNCTION("""COMPUTED_VALUE"""),"Active")</f>
        <v>Active</v>
      </c>
      <c r="E322" s="17">
        <f>IFERROR(__xludf.DUMMYFUNCTION("""COMPUTED_VALUE"""),45153.0)</f>
        <v>45153</v>
      </c>
      <c r="F322" s="54"/>
      <c r="G322" s="19">
        <f>IFERROR(__xludf.DUMMYFUNCTION("""COMPUTED_VALUE"""),37.7)</f>
        <v>37.7</v>
      </c>
      <c r="H322" s="17">
        <f>IFERROR(__xludf.DUMMYFUNCTION("""COMPUTED_VALUE"""),44631.0)</f>
        <v>44631</v>
      </c>
      <c r="I322" s="19">
        <f>IFERROR(__xludf.DUMMYFUNCTION("""COMPUTED_VALUE"""),1.4277777777777778)</f>
        <v>1.427777778</v>
      </c>
      <c r="J322" s="21">
        <f>IFERROR(__xludf.DUMMYFUNCTION("""COMPUTED_VALUE"""),63.0)</f>
        <v>63</v>
      </c>
      <c r="K322" s="23">
        <f>IFERROR(__xludf.DUMMYFUNCTION("""COMPUTED_VALUE"""),1.0)</f>
        <v>1</v>
      </c>
      <c r="L322" s="24">
        <f>IFERROR(__xludf.DUMMYFUNCTION("""COMPUTED_VALUE"""),5.0)</f>
        <v>5</v>
      </c>
      <c r="M322" s="25" t="str">
        <f>IFERROR(__xludf.DUMMYFUNCTION("""COMPUTED_VALUE"""),"Platformer")</f>
        <v>Platformer</v>
      </c>
      <c r="N322" s="25"/>
      <c r="O322" s="26" t="str">
        <f>IFERROR(__xludf.DUMMYFUNCTION("""COMPUTED_VALUE"""),"Yes")</f>
        <v>Yes</v>
      </c>
      <c r="P322" s="26"/>
    </row>
    <row r="323">
      <c r="A323" s="13" t="str">
        <f>IFERROR(__xludf.DUMMYFUNCTION("""COMPUTED_VALUE"""),"Star Wars Demolition")</f>
        <v>Star Wars Demolition</v>
      </c>
      <c r="B323" s="15" t="str">
        <f>IFERROR(__xludf.DUMMYFUNCTION("""COMPUTED_VALUE"""),"PS5/PS4")</f>
        <v>PS5/PS4</v>
      </c>
      <c r="C323" s="16" t="str">
        <f>IFERROR(__xludf.DUMMYFUNCTION("""COMPUTED_VALUE"""),"Premium (Classics)")</f>
        <v>Premium (Classics)</v>
      </c>
      <c r="D323" s="15" t="str">
        <f>IFERROR(__xludf.DUMMYFUNCTION("""COMPUTED_VALUE"""),"Active")</f>
        <v>Active</v>
      </c>
      <c r="E323" s="17">
        <f>IFERROR(__xludf.DUMMYFUNCTION("""COMPUTED_VALUE"""),44943.0)</f>
        <v>44943</v>
      </c>
      <c r="F323" s="54"/>
      <c r="G323" s="19">
        <f>IFERROR(__xludf.DUMMYFUNCTION("""COMPUTED_VALUE"""),44.63333333333333)</f>
        <v>44.63333333</v>
      </c>
      <c r="H323" s="17">
        <f>IFERROR(__xludf.DUMMYFUNCTION("""COMPUTED_VALUE"""),36842.0)</f>
        <v>36842</v>
      </c>
      <c r="I323" s="19">
        <f>IFERROR(__xludf.DUMMYFUNCTION("""COMPUTED_VALUE"""),22.180555555555557)</f>
        <v>22.18055556</v>
      </c>
      <c r="J323" s="21">
        <f>IFERROR(__xludf.DUMMYFUNCTION("""COMPUTED_VALUE"""),63.0)</f>
        <v>63</v>
      </c>
      <c r="K323" s="23">
        <f>IFERROR(__xludf.DUMMYFUNCTION("""COMPUTED_VALUE"""),7.1)</f>
        <v>7.1</v>
      </c>
      <c r="L323" s="24">
        <f>IFERROR(__xludf.DUMMYFUNCTION("""COMPUTED_VALUE"""),20.0)</f>
        <v>20</v>
      </c>
      <c r="M323" s="25" t="str">
        <f>IFERROR(__xludf.DUMMYFUNCTION("""COMPUTED_VALUE"""),"Action-Adventure")</f>
        <v>Action-Adventure</v>
      </c>
      <c r="N323" s="25" t="str">
        <f>IFERROR(__xludf.DUMMYFUNCTION("""COMPUTED_VALUE"""),"PS1")</f>
        <v>PS1</v>
      </c>
      <c r="O323" s="26" t="str">
        <f>IFERROR(__xludf.DUMMYFUNCTION("""COMPUTED_VALUE"""),"Yes")</f>
        <v>Yes</v>
      </c>
      <c r="P323" s="26"/>
    </row>
    <row r="324">
      <c r="A324" s="13" t="str">
        <f>IFERROR(__xludf.DUMMYFUNCTION("""COMPUTED_VALUE"""),"Slitterhead")</f>
        <v>Slitterhead</v>
      </c>
      <c r="B324" s="15" t="str">
        <f>IFERROR(__xludf.DUMMYFUNCTION("""COMPUTED_VALUE"""),"PS5/PS4")</f>
        <v>PS5/PS4</v>
      </c>
      <c r="C324" s="16" t="str">
        <f>IFERROR(__xludf.DUMMYFUNCTION("""COMPUTED_VALUE"""),"Extra")</f>
        <v>Extra</v>
      </c>
      <c r="D324" s="15" t="str">
        <f>IFERROR(__xludf.DUMMYFUNCTION("""COMPUTED_VALUE"""),"Active")</f>
        <v>Active</v>
      </c>
      <c r="E324" s="17">
        <f>IFERROR(__xludf.DUMMYFUNCTION("""COMPUTED_VALUE"""),46287.0)</f>
        <v>46287</v>
      </c>
      <c r="F324" s="54"/>
      <c r="G324" s="19">
        <f>IFERROR(__xludf.DUMMYFUNCTION("""COMPUTED_VALUE"""),0.4666666666666667)</f>
        <v>0.4666666667</v>
      </c>
      <c r="H324" s="17">
        <f>IFERROR(__xludf.DUMMYFUNCTION("""COMPUTED_VALUE"""),45604.0)</f>
        <v>45604</v>
      </c>
      <c r="I324" s="19">
        <f>IFERROR(__xludf.DUMMYFUNCTION("""COMPUTED_VALUE"""),1.8722222222222222)</f>
        <v>1.872222222</v>
      </c>
      <c r="J324" s="21">
        <f>IFERROR(__xludf.DUMMYFUNCTION("""COMPUTED_VALUE"""),62.0)</f>
        <v>62</v>
      </c>
      <c r="K324" s="23">
        <f>IFERROR(__xludf.DUMMYFUNCTION("""COMPUTED_VALUE"""),7.5)</f>
        <v>7.5</v>
      </c>
      <c r="L324" s="24">
        <f>IFERROR(__xludf.DUMMYFUNCTION("""COMPUTED_VALUE"""),13.5)</f>
        <v>13.5</v>
      </c>
      <c r="M324" s="25" t="str">
        <f>IFERROR(__xludf.DUMMYFUNCTION("""COMPUTED_VALUE"""),"Survival")</f>
        <v>Survival</v>
      </c>
      <c r="N324" s="25"/>
      <c r="O324" s="26"/>
      <c r="P324" s="26"/>
    </row>
    <row r="325">
      <c r="A325" s="13" t="str">
        <f>IFERROR(__xludf.DUMMYFUNCTION("""COMPUTED_VALUE"""),"Star Wars Episode I: The Phantom Menace")</f>
        <v>Star Wars Episode I: The Phantom Menace</v>
      </c>
      <c r="B325" s="15" t="str">
        <f>IFERROR(__xludf.DUMMYFUNCTION("""COMPUTED_VALUE"""),"PS5/PS4")</f>
        <v>PS5/PS4</v>
      </c>
      <c r="C325" s="16" t="str">
        <f>IFERROR(__xludf.DUMMYFUNCTION("""COMPUTED_VALUE"""),"Premium (Classics)")</f>
        <v>Premium (Classics)</v>
      </c>
      <c r="D325" s="15" t="str">
        <f>IFERROR(__xludf.DUMMYFUNCTION("""COMPUTED_VALUE"""),"Active")</f>
        <v>Active</v>
      </c>
      <c r="E325" s="17">
        <f>IFERROR(__xludf.DUMMYFUNCTION("""COMPUTED_VALUE"""),45307.0)</f>
        <v>45307</v>
      </c>
      <c r="F325" s="54"/>
      <c r="G325" s="19">
        <f>IFERROR(__xludf.DUMMYFUNCTION("""COMPUTED_VALUE"""),32.66666666666667)</f>
        <v>32.66666667</v>
      </c>
      <c r="H325" s="17">
        <f>IFERROR(__xludf.DUMMYFUNCTION("""COMPUTED_VALUE"""),36311.0)</f>
        <v>36311</v>
      </c>
      <c r="I325" s="19">
        <f>IFERROR(__xludf.DUMMYFUNCTION("""COMPUTED_VALUE"""),24.627777777777776)</f>
        <v>24.62777778</v>
      </c>
      <c r="J325" s="21">
        <f>IFERROR(__xludf.DUMMYFUNCTION("""COMPUTED_VALUE"""),62.0)</f>
        <v>62</v>
      </c>
      <c r="K325" s="23">
        <f>IFERROR(__xludf.DUMMYFUNCTION("""COMPUTED_VALUE"""),7.4)</f>
        <v>7.4</v>
      </c>
      <c r="L325" s="24">
        <f>IFERROR(__xludf.DUMMYFUNCTION("""COMPUTED_VALUE"""),8.0)</f>
        <v>8</v>
      </c>
      <c r="M325" s="25" t="str">
        <f>IFERROR(__xludf.DUMMYFUNCTION("""COMPUTED_VALUE"""),"Action-Adventure")</f>
        <v>Action-Adventure</v>
      </c>
      <c r="N325" s="25" t="str">
        <f>IFERROR(__xludf.DUMMYFUNCTION("""COMPUTED_VALUE"""),"PS1")</f>
        <v>PS1</v>
      </c>
      <c r="O325" s="26" t="str">
        <f>IFERROR(__xludf.DUMMYFUNCTION("""COMPUTED_VALUE"""),"Yes")</f>
        <v>Yes</v>
      </c>
      <c r="P325" s="26"/>
    </row>
    <row r="326">
      <c r="A326" s="13" t="str">
        <f>IFERROR(__xludf.DUMMYFUNCTION("""COMPUTED_VALUE"""),"Destruction AllStars")</f>
        <v>Destruction AllStars</v>
      </c>
      <c r="B326" s="15" t="str">
        <f>IFERROR(__xludf.DUMMYFUNCTION("""COMPUTED_VALUE"""),"PS5")</f>
        <v>PS5</v>
      </c>
      <c r="C326" s="16" t="str">
        <f>IFERROR(__xludf.DUMMYFUNCTION("""COMPUTED_VALUE"""),"Extra")</f>
        <v>Extra</v>
      </c>
      <c r="D326" s="15" t="str">
        <f>IFERROR(__xludf.DUMMYFUNCTION("""COMPUTED_VALUE"""),"Active")</f>
        <v>Active</v>
      </c>
      <c r="E326" s="17">
        <f>IFERROR(__xludf.DUMMYFUNCTION("""COMPUTED_VALUE"""),44229.0)</f>
        <v>44229</v>
      </c>
      <c r="F326" s="54"/>
      <c r="G326" s="19">
        <f>IFERROR(__xludf.DUMMYFUNCTION("""COMPUTED_VALUE"""),68.13333333333334)</f>
        <v>68.13333333</v>
      </c>
      <c r="H326" s="17">
        <f>IFERROR(__xludf.DUMMYFUNCTION("""COMPUTED_VALUE"""),44229.0)</f>
        <v>44229</v>
      </c>
      <c r="I326" s="19">
        <f>IFERROR(__xludf.DUMMYFUNCTION("""COMPUTED_VALUE"""),0.0)</f>
        <v>0</v>
      </c>
      <c r="J326" s="21">
        <f>IFERROR(__xludf.DUMMYFUNCTION("""COMPUTED_VALUE"""),62.0)</f>
        <v>62</v>
      </c>
      <c r="K326" s="23">
        <f>IFERROR(__xludf.DUMMYFUNCTION("""COMPUTED_VALUE"""),4.9)</f>
        <v>4.9</v>
      </c>
      <c r="L326" s="24">
        <f>IFERROR(__xludf.DUMMYFUNCTION("""COMPUTED_VALUE"""),3.5)</f>
        <v>3.5</v>
      </c>
      <c r="M326" s="25" t="str">
        <f>IFERROR(__xludf.DUMMYFUNCTION("""COMPUTED_VALUE"""),"Action-Adventure")</f>
        <v>Action-Adventure</v>
      </c>
      <c r="N326" s="25"/>
      <c r="O326" s="26" t="str">
        <f>IFERROR(__xludf.DUMMYFUNCTION("""COMPUTED_VALUE"""),"Portal (PS5 + Premium)")</f>
        <v>Portal (PS5 + Premium)</v>
      </c>
      <c r="P326" s="26"/>
    </row>
    <row r="327">
      <c r="A327" s="13" t="str">
        <f>IFERROR(__xludf.DUMMYFUNCTION("""COMPUTED_VALUE"""),"OVERPASS 2")</f>
        <v>OVERPASS 2</v>
      </c>
      <c r="B327" s="15" t="str">
        <f>IFERROR(__xludf.DUMMYFUNCTION("""COMPUTED_VALUE"""),"PS5")</f>
        <v>PS5</v>
      </c>
      <c r="C327" s="16" t="str">
        <f>IFERROR(__xludf.DUMMYFUNCTION("""COMPUTED_VALUE"""),"Extra")</f>
        <v>Extra</v>
      </c>
      <c r="D327" s="15" t="str">
        <f>IFERROR(__xludf.DUMMYFUNCTION("""COMPUTED_VALUE"""),"Active")</f>
        <v>Active</v>
      </c>
      <c r="E327" s="17">
        <f>IFERROR(__xludf.DUMMYFUNCTION("""COMPUTED_VALUE"""),45580.0)</f>
        <v>45580</v>
      </c>
      <c r="F327" s="54"/>
      <c r="G327" s="19">
        <f>IFERROR(__xludf.DUMMYFUNCTION("""COMPUTED_VALUE"""),23.700000000000003)</f>
        <v>23.7</v>
      </c>
      <c r="H327" s="17">
        <f>IFERROR(__xludf.DUMMYFUNCTION("""COMPUTED_VALUE"""),45216.0)</f>
        <v>45216</v>
      </c>
      <c r="I327" s="19">
        <f>IFERROR(__xludf.DUMMYFUNCTION("""COMPUTED_VALUE"""),0.9944444444444445)</f>
        <v>0.9944444444</v>
      </c>
      <c r="J327" s="21">
        <f>IFERROR(__xludf.DUMMYFUNCTION("""COMPUTED_VALUE"""),60.0)</f>
        <v>60</v>
      </c>
      <c r="K327" s="23">
        <f>IFERROR(__xludf.DUMMYFUNCTION("""COMPUTED_VALUE"""),4.0)</f>
        <v>4</v>
      </c>
      <c r="L327" s="24">
        <f>IFERROR(__xludf.DUMMYFUNCTION("""COMPUTED_VALUE"""),8.0)</f>
        <v>8</v>
      </c>
      <c r="M327" s="25" t="str">
        <f>IFERROR(__xludf.DUMMYFUNCTION("""COMPUTED_VALUE"""),"Racing")</f>
        <v>Racing</v>
      </c>
      <c r="N327" s="25"/>
      <c r="O327" s="26" t="str">
        <f>IFERROR(__xludf.DUMMYFUNCTION("""COMPUTED_VALUE"""),"Portal (PS5 + Premium)")</f>
        <v>Portal (PS5 + Premium)</v>
      </c>
      <c r="P327" s="26"/>
    </row>
    <row r="328">
      <c r="A328" s="13" t="str">
        <f>IFERROR(__xludf.DUMMYFUNCTION("""COMPUTED_VALUE"""),"Blood Bowl III")</f>
        <v>Blood Bowl III</v>
      </c>
      <c r="B328" s="15" t="str">
        <f>IFERROR(__xludf.DUMMYFUNCTION("""COMPUTED_VALUE"""),"PS5/PS4")</f>
        <v>PS5/PS4</v>
      </c>
      <c r="C328" s="16" t="str">
        <f>IFERROR(__xludf.DUMMYFUNCTION("""COMPUTED_VALUE"""),"Extra")</f>
        <v>Extra</v>
      </c>
      <c r="D328" s="15" t="str">
        <f>IFERROR(__xludf.DUMMYFUNCTION("""COMPUTED_VALUE"""),"Active")</f>
        <v>Active</v>
      </c>
      <c r="E328" s="17">
        <f>IFERROR(__xludf.DUMMYFUNCTION("""COMPUTED_VALUE"""),45370.0)</f>
        <v>45370</v>
      </c>
      <c r="F328" s="54"/>
      <c r="G328" s="19">
        <f>IFERROR(__xludf.DUMMYFUNCTION("""COMPUTED_VALUE"""),30.566666666666663)</f>
        <v>30.56666667</v>
      </c>
      <c r="H328" s="17">
        <f>IFERROR(__xludf.DUMMYFUNCTION("""COMPUTED_VALUE"""),44980.0)</f>
        <v>44980</v>
      </c>
      <c r="I328" s="19">
        <f>IFERROR(__xludf.DUMMYFUNCTION("""COMPUTED_VALUE"""),1.0722222222222222)</f>
        <v>1.072222222</v>
      </c>
      <c r="J328" s="21">
        <f>IFERROR(__xludf.DUMMYFUNCTION("""COMPUTED_VALUE"""),60.0)</f>
        <v>60</v>
      </c>
      <c r="K328" s="23">
        <f>IFERROR(__xludf.DUMMYFUNCTION("""COMPUTED_VALUE"""),1.6)</f>
        <v>1.6</v>
      </c>
      <c r="L328" s="24">
        <f>IFERROR(__xludf.DUMMYFUNCTION("""COMPUTED_VALUE"""),15.0)</f>
        <v>15</v>
      </c>
      <c r="M328" s="25" t="str">
        <f>IFERROR(__xludf.DUMMYFUNCTION("""COMPUTED_VALUE"""),"Sports")</f>
        <v>Sports</v>
      </c>
      <c r="N328" s="25"/>
      <c r="O328" s="26" t="str">
        <f>IFERROR(__xludf.DUMMYFUNCTION("""COMPUTED_VALUE"""),"Yes")</f>
        <v>Yes</v>
      </c>
      <c r="P328" s="26"/>
    </row>
    <row r="329">
      <c r="A329" s="13" t="str">
        <f>IFERROR(__xludf.DUMMYFUNCTION("""COMPUTED_VALUE"""),"PJ Masks: Heroes of the Night")</f>
        <v>PJ Masks: Heroes of the Night</v>
      </c>
      <c r="B329" s="15" t="str">
        <f>IFERROR(__xludf.DUMMYFUNCTION("""COMPUTED_VALUE"""),"PS5/PS4")</f>
        <v>PS5/PS4</v>
      </c>
      <c r="C329" s="16" t="str">
        <f>IFERROR(__xludf.DUMMYFUNCTION("""COMPUTED_VALUE"""),"Extra")</f>
        <v>Extra</v>
      </c>
      <c r="D329" s="15" t="str">
        <f>IFERROR(__xludf.DUMMYFUNCTION("""COMPUTED_VALUE"""),"Active")</f>
        <v>Active</v>
      </c>
      <c r="E329" s="17">
        <f>IFERROR(__xludf.DUMMYFUNCTION("""COMPUTED_VALUE"""),45153.0)</f>
        <v>45153</v>
      </c>
      <c r="F329" s="54"/>
      <c r="G329" s="19">
        <f>IFERROR(__xludf.DUMMYFUNCTION("""COMPUTED_VALUE"""),37.7)</f>
        <v>37.7</v>
      </c>
      <c r="H329" s="17">
        <f>IFERROR(__xludf.DUMMYFUNCTION("""COMPUTED_VALUE"""),44498.0)</f>
        <v>44498</v>
      </c>
      <c r="I329" s="19">
        <f>IFERROR(__xludf.DUMMYFUNCTION("""COMPUTED_VALUE"""),1.7944444444444445)</f>
        <v>1.794444444</v>
      </c>
      <c r="J329" s="21">
        <f>IFERROR(__xludf.DUMMYFUNCTION("""COMPUTED_VALUE"""),60.0)</f>
        <v>60</v>
      </c>
      <c r="K329" s="23">
        <f>IFERROR(__xludf.DUMMYFUNCTION("""COMPUTED_VALUE"""),5.0)</f>
        <v>5</v>
      </c>
      <c r="L329" s="24">
        <f>IFERROR(__xludf.DUMMYFUNCTION("""COMPUTED_VALUE"""),3.0)</f>
        <v>3</v>
      </c>
      <c r="M329" s="25" t="str">
        <f>IFERROR(__xludf.DUMMYFUNCTION("""COMPUTED_VALUE"""),"Platformer")</f>
        <v>Platformer</v>
      </c>
      <c r="N329" s="25"/>
      <c r="O329" s="26" t="str">
        <f>IFERROR(__xludf.DUMMYFUNCTION("""COMPUTED_VALUE"""),"Yes")</f>
        <v>Yes</v>
      </c>
      <c r="P329" s="26"/>
    </row>
    <row r="330">
      <c r="A330" s="13" t="str">
        <f>IFERROR(__xludf.DUMMYFUNCTION("""COMPUTED_VALUE"""),"PAW Patrol Mighty Pups Save Adventure Bay")</f>
        <v>PAW Patrol Mighty Pups Save Adventure Bay</v>
      </c>
      <c r="B330" s="15" t="str">
        <f>IFERROR(__xludf.DUMMYFUNCTION("""COMPUTED_VALUE"""),"PS5/PS4")</f>
        <v>PS5/PS4</v>
      </c>
      <c r="C330" s="16" t="str">
        <f>IFERROR(__xludf.DUMMYFUNCTION("""COMPUTED_VALUE"""),"Extra")</f>
        <v>Extra</v>
      </c>
      <c r="D330" s="15" t="str">
        <f>IFERROR(__xludf.DUMMYFUNCTION("""COMPUTED_VALUE"""),"Active")</f>
        <v>Active</v>
      </c>
      <c r="E330" s="17">
        <f>IFERROR(__xludf.DUMMYFUNCTION("""COMPUTED_VALUE"""),45097.0)</f>
        <v>45097</v>
      </c>
      <c r="F330" s="54"/>
      <c r="G330" s="19">
        <f>IFERROR(__xludf.DUMMYFUNCTION("""COMPUTED_VALUE"""),39.53333333333333)</f>
        <v>39.53333333</v>
      </c>
      <c r="H330" s="17">
        <f>IFERROR(__xludf.DUMMYFUNCTION("""COMPUTED_VALUE"""),44141.0)</f>
        <v>44141</v>
      </c>
      <c r="I330" s="19">
        <f>IFERROR(__xludf.DUMMYFUNCTION("""COMPUTED_VALUE"""),2.6222222222222222)</f>
        <v>2.622222222</v>
      </c>
      <c r="J330" s="21">
        <f>IFERROR(__xludf.DUMMYFUNCTION("""COMPUTED_VALUE"""),60.0)</f>
        <v>60</v>
      </c>
      <c r="K330" s="23">
        <f>IFERROR(__xludf.DUMMYFUNCTION("""COMPUTED_VALUE"""),7.0)</f>
        <v>7</v>
      </c>
      <c r="L330" s="24">
        <f>IFERROR(__xludf.DUMMYFUNCTION("""COMPUTED_VALUE"""),3.0)</f>
        <v>3</v>
      </c>
      <c r="M330" s="25" t="str">
        <f>IFERROR(__xludf.DUMMYFUNCTION("""COMPUTED_VALUE"""),"Action-Adventure")</f>
        <v>Action-Adventure</v>
      </c>
      <c r="N330" s="25"/>
      <c r="O330" s="26" t="str">
        <f>IFERROR(__xludf.DUMMYFUNCTION("""COMPUTED_VALUE"""),"Yes")</f>
        <v>Yes</v>
      </c>
      <c r="P330" s="26"/>
    </row>
    <row r="331">
      <c r="A331" s="13" t="str">
        <f>IFERROR(__xludf.DUMMYFUNCTION("""COMPUTED_VALUE"""),"Bus Simulator 21: Next Stop")</f>
        <v>Bus Simulator 21: Next Stop</v>
      </c>
      <c r="B331" s="15" t="str">
        <f>IFERROR(__xludf.DUMMYFUNCTION("""COMPUTED_VALUE"""),"PS5/PS4")</f>
        <v>PS5/PS4</v>
      </c>
      <c r="C331" s="16" t="str">
        <f>IFERROR(__xludf.DUMMYFUNCTION("""COMPUTED_VALUE"""),"Extra")</f>
        <v>Extra</v>
      </c>
      <c r="D331" s="15" t="str">
        <f>IFERROR(__xludf.DUMMYFUNCTION("""COMPUTED_VALUE"""),"Active")</f>
        <v>Active</v>
      </c>
      <c r="E331" s="17">
        <f>IFERROR(__xludf.DUMMYFUNCTION("""COMPUTED_VALUE"""),45062.0)</f>
        <v>45062</v>
      </c>
      <c r="F331" s="54"/>
      <c r="G331" s="19">
        <f>IFERROR(__xludf.DUMMYFUNCTION("""COMPUTED_VALUE"""),40.666666666666664)</f>
        <v>40.66666667</v>
      </c>
      <c r="H331" s="17">
        <f>IFERROR(__xludf.DUMMYFUNCTION("""COMPUTED_VALUE"""),44446.0)</f>
        <v>44446</v>
      </c>
      <c r="I331" s="19">
        <f>IFERROR(__xludf.DUMMYFUNCTION("""COMPUTED_VALUE"""),1.6916666666666667)</f>
        <v>1.691666667</v>
      </c>
      <c r="J331" s="21">
        <f>IFERROR(__xludf.DUMMYFUNCTION("""COMPUTED_VALUE"""),60.0)</f>
        <v>60</v>
      </c>
      <c r="K331" s="23">
        <f>IFERROR(__xludf.DUMMYFUNCTION("""COMPUTED_VALUE"""),4.5)</f>
        <v>4.5</v>
      </c>
      <c r="L331" s="24">
        <f>IFERROR(__xludf.DUMMYFUNCTION("""COMPUTED_VALUE"""),26.0)</f>
        <v>26</v>
      </c>
      <c r="M331" s="25" t="str">
        <f>IFERROR(__xludf.DUMMYFUNCTION("""COMPUTED_VALUE"""),"Simulation")</f>
        <v>Simulation</v>
      </c>
      <c r="N331" s="25"/>
      <c r="O331" s="26" t="str">
        <f>IFERROR(__xludf.DUMMYFUNCTION("""COMPUTED_VALUE"""),"Yes")</f>
        <v>Yes</v>
      </c>
      <c r="P331" s="26"/>
    </row>
    <row r="332">
      <c r="A332" s="13" t="str">
        <f>IFERROR(__xludf.DUMMYFUNCTION("""COMPUTED_VALUE"""),"Blade Dancer: Lineage of Light")</f>
        <v>Blade Dancer: Lineage of Light</v>
      </c>
      <c r="B332" s="15" t="str">
        <f>IFERROR(__xludf.DUMMYFUNCTION("""COMPUTED_VALUE"""),"PS5/PS4")</f>
        <v>PS5/PS4</v>
      </c>
      <c r="C332" s="16" t="str">
        <f>IFERROR(__xludf.DUMMYFUNCTION("""COMPUTED_VALUE"""),"Premium (Classics)")</f>
        <v>Premium (Classics)</v>
      </c>
      <c r="D332" s="15" t="str">
        <f>IFERROR(__xludf.DUMMYFUNCTION("""COMPUTED_VALUE"""),"Active")</f>
        <v>Active</v>
      </c>
      <c r="E332" s="17">
        <f>IFERROR(__xludf.DUMMYFUNCTION("""COMPUTED_VALUE"""),45062.0)</f>
        <v>45062</v>
      </c>
      <c r="F332" s="54"/>
      <c r="G332" s="19">
        <f>IFERROR(__xludf.DUMMYFUNCTION("""COMPUTED_VALUE"""),40.666666666666664)</f>
        <v>40.66666667</v>
      </c>
      <c r="H332" s="17">
        <f>IFERROR(__xludf.DUMMYFUNCTION("""COMPUTED_VALUE"""),38899.0)</f>
        <v>38899</v>
      </c>
      <c r="I332" s="19">
        <f>IFERROR(__xludf.DUMMYFUNCTION("""COMPUTED_VALUE"""),16.875)</f>
        <v>16.875</v>
      </c>
      <c r="J332" s="21">
        <f>IFERROR(__xludf.DUMMYFUNCTION("""COMPUTED_VALUE"""),60.0)</f>
        <v>60</v>
      </c>
      <c r="K332" s="23">
        <f>IFERROR(__xludf.DUMMYFUNCTION("""COMPUTED_VALUE"""),6.5)</f>
        <v>6.5</v>
      </c>
      <c r="L332" s="24">
        <f>IFERROR(__xludf.DUMMYFUNCTION("""COMPUTED_VALUE"""),28.0)</f>
        <v>28</v>
      </c>
      <c r="M332" s="25" t="str">
        <f>IFERROR(__xludf.DUMMYFUNCTION("""COMPUTED_VALUE"""),"RPG")</f>
        <v>RPG</v>
      </c>
      <c r="N332" s="25" t="str">
        <f>IFERROR(__xludf.DUMMYFUNCTION("""COMPUTED_VALUE"""),"PSP")</f>
        <v>PSP</v>
      </c>
      <c r="O332" s="26" t="str">
        <f>IFERROR(__xludf.DUMMYFUNCTION("""COMPUTED_VALUE"""),"Yes")</f>
        <v>Yes</v>
      </c>
      <c r="P332" s="26"/>
    </row>
    <row r="333">
      <c r="A333" s="13" t="str">
        <f>IFERROR(__xludf.DUMMYFUNCTION("""COMPUTED_VALUE"""),"Alex Kidd in Miracle World DX")</f>
        <v>Alex Kidd in Miracle World DX</v>
      </c>
      <c r="B333" s="15" t="str">
        <f>IFERROR(__xludf.DUMMYFUNCTION("""COMPUTED_VALUE"""),"PS5/PS4")</f>
        <v>PS5/PS4</v>
      </c>
      <c r="C333" s="16" t="str">
        <f>IFERROR(__xludf.DUMMYFUNCTION("""COMPUTED_VALUE"""),"Extra")</f>
        <v>Extra</v>
      </c>
      <c r="D333" s="15" t="str">
        <f>IFERROR(__xludf.DUMMYFUNCTION("""COMPUTED_VALUE"""),"Active")</f>
        <v>Active</v>
      </c>
      <c r="E333" s="17">
        <f>IFERROR(__xludf.DUMMYFUNCTION("""COMPUTED_VALUE"""),44824.0)</f>
        <v>44824</v>
      </c>
      <c r="F333" s="54"/>
      <c r="G333" s="19">
        <f>IFERROR(__xludf.DUMMYFUNCTION("""COMPUTED_VALUE"""),48.53333333333333)</f>
        <v>48.53333333</v>
      </c>
      <c r="H333" s="17">
        <f>IFERROR(__xludf.DUMMYFUNCTION("""COMPUTED_VALUE"""),44369.0)</f>
        <v>44369</v>
      </c>
      <c r="I333" s="19">
        <f>IFERROR(__xludf.DUMMYFUNCTION("""COMPUTED_VALUE"""),1.2444444444444445)</f>
        <v>1.244444444</v>
      </c>
      <c r="J333" s="21">
        <f>IFERROR(__xludf.DUMMYFUNCTION("""COMPUTED_VALUE"""),60.0)</f>
        <v>60</v>
      </c>
      <c r="K333" s="23">
        <f>IFERROR(__xludf.DUMMYFUNCTION("""COMPUTED_VALUE"""),6.5)</f>
        <v>6.5</v>
      </c>
      <c r="L333" s="24">
        <f>IFERROR(__xludf.DUMMYFUNCTION("""COMPUTED_VALUE"""),2.5)</f>
        <v>2.5</v>
      </c>
      <c r="M333" s="25" t="str">
        <f>IFERROR(__xludf.DUMMYFUNCTION("""COMPUTED_VALUE"""),"Platformer")</f>
        <v>Platformer</v>
      </c>
      <c r="N333" s="25"/>
      <c r="O333" s="26" t="str">
        <f>IFERROR(__xludf.DUMMYFUNCTION("""COMPUTED_VALUE"""),"Yes")</f>
        <v>Yes</v>
      </c>
      <c r="P333" s="26"/>
    </row>
    <row r="334">
      <c r="A334" s="13" t="str">
        <f>IFERROR(__xludf.DUMMYFUNCTION("""COMPUTED_VALUE"""),"Skull and Bones")</f>
        <v>Skull and Bones</v>
      </c>
      <c r="B334" s="15" t="str">
        <f>IFERROR(__xludf.DUMMYFUNCTION("""COMPUTED_VALUE"""),"PS5")</f>
        <v>PS5</v>
      </c>
      <c r="C334" s="16" t="str">
        <f>IFERROR(__xludf.DUMMYFUNCTION("""COMPUTED_VALUE"""),"Extra (Ubisoft+ Classics)")</f>
        <v>Extra (Ubisoft+ Classics)</v>
      </c>
      <c r="D334" s="15" t="str">
        <f>IFERROR(__xludf.DUMMYFUNCTION("""COMPUTED_VALUE"""),"Active")</f>
        <v>Active</v>
      </c>
      <c r="E334" s="17">
        <f>IFERROR(__xludf.DUMMYFUNCTION("""COMPUTED_VALUE"""),45810.0)</f>
        <v>45810</v>
      </c>
      <c r="F334" s="54"/>
      <c r="G334" s="19">
        <f>IFERROR(__xludf.DUMMYFUNCTION("""COMPUTED_VALUE"""),16.133333333333333)</f>
        <v>16.13333333</v>
      </c>
      <c r="H334" s="17">
        <f>IFERROR(__xludf.DUMMYFUNCTION("""COMPUTED_VALUE"""),45338.0)</f>
        <v>45338</v>
      </c>
      <c r="I334" s="19">
        <f>IFERROR(__xludf.DUMMYFUNCTION("""COMPUTED_VALUE"""),1.2944444444444445)</f>
        <v>1.294444444</v>
      </c>
      <c r="J334" s="21">
        <f>IFERROR(__xludf.DUMMYFUNCTION("""COMPUTED_VALUE"""),59.0)</f>
        <v>59</v>
      </c>
      <c r="K334" s="23">
        <f>IFERROR(__xludf.DUMMYFUNCTION("""COMPUTED_VALUE"""),3.3)</f>
        <v>3.3</v>
      </c>
      <c r="L334" s="24">
        <f>IFERROR(__xludf.DUMMYFUNCTION("""COMPUTED_VALUE"""),32.0)</f>
        <v>32</v>
      </c>
      <c r="M334" s="25" t="str">
        <f>IFERROR(__xludf.DUMMYFUNCTION("""COMPUTED_VALUE"""),"Action-Adventure")</f>
        <v>Action-Adventure</v>
      </c>
      <c r="N334" s="25"/>
      <c r="O334" s="26" t="str">
        <f>IFERROR(__xludf.DUMMYFUNCTION("""COMPUTED_VALUE"""),"No")</f>
        <v>No</v>
      </c>
      <c r="P334" s="26"/>
    </row>
    <row r="335">
      <c r="A335" s="13" t="str">
        <f>IFERROR(__xludf.DUMMYFUNCTION("""COMPUTED_VALUE"""),"Tennis World Tour 2")</f>
        <v>Tennis World Tour 2</v>
      </c>
      <c r="B335" s="15" t="str">
        <f>IFERROR(__xludf.DUMMYFUNCTION("""COMPUTED_VALUE"""),"PS5/PS4")</f>
        <v>PS5/PS4</v>
      </c>
      <c r="C335" s="16" t="str">
        <f>IFERROR(__xludf.DUMMYFUNCTION("""COMPUTED_VALUE"""),"Extra")</f>
        <v>Extra</v>
      </c>
      <c r="D335" s="15" t="str">
        <f>IFERROR(__xludf.DUMMYFUNCTION("""COMPUTED_VALUE"""),"Active")</f>
        <v>Active</v>
      </c>
      <c r="E335" s="17">
        <f>IFERROR(__xludf.DUMMYFUNCTION("""COMPUTED_VALUE"""),44725.0)</f>
        <v>44725</v>
      </c>
      <c r="F335" s="54"/>
      <c r="G335" s="19">
        <f>IFERROR(__xludf.DUMMYFUNCTION("""COMPUTED_VALUE"""),51.766666666666666)</f>
        <v>51.76666667</v>
      </c>
      <c r="H335" s="17">
        <f>IFERROR(__xludf.DUMMYFUNCTION("""COMPUTED_VALUE"""),43242.0)</f>
        <v>43242</v>
      </c>
      <c r="I335" s="19">
        <f>IFERROR(__xludf.DUMMYFUNCTION("""COMPUTED_VALUE"""),4.058333333333334)</f>
        <v>4.058333333</v>
      </c>
      <c r="J335" s="21">
        <f>IFERROR(__xludf.DUMMYFUNCTION("""COMPUTED_VALUE"""),59.0)</f>
        <v>59</v>
      </c>
      <c r="K335" s="23">
        <f>IFERROR(__xludf.DUMMYFUNCTION("""COMPUTED_VALUE"""),3.0)</f>
        <v>3</v>
      </c>
      <c r="L335" s="24">
        <f>IFERROR(__xludf.DUMMYFUNCTION("""COMPUTED_VALUE"""),10.0)</f>
        <v>10</v>
      </c>
      <c r="M335" s="25" t="str">
        <f>IFERROR(__xludf.DUMMYFUNCTION("""COMPUTED_VALUE"""),"Sports")</f>
        <v>Sports</v>
      </c>
      <c r="N335" s="25"/>
      <c r="O335" s="26" t="str">
        <f>IFERROR(__xludf.DUMMYFUNCTION("""COMPUTED_VALUE"""),"Yes")</f>
        <v>Yes</v>
      </c>
      <c r="P335" s="26" t="str">
        <f>IFERROR(__xludf.DUMMYFUNCTION("""COMPUTED_VALUE"""),"Yes")</f>
        <v>Yes</v>
      </c>
    </row>
    <row r="336">
      <c r="A336" s="13" t="str">
        <f>IFERROR(__xludf.DUMMYFUNCTION("""COMPUTED_VALUE"""),"Police Simulator: Patrol Officers")</f>
        <v>Police Simulator: Patrol Officers</v>
      </c>
      <c r="B336" s="15" t="str">
        <f>IFERROR(__xludf.DUMMYFUNCTION("""COMPUTED_VALUE"""),"PS5/PS4")</f>
        <v>PS5/PS4</v>
      </c>
      <c r="C336" s="16" t="str">
        <f>IFERROR(__xludf.DUMMYFUNCTION("""COMPUTED_VALUE"""),"Extra")</f>
        <v>Extra</v>
      </c>
      <c r="D336" s="15" t="str">
        <f>IFERROR(__xludf.DUMMYFUNCTION("""COMPUTED_VALUE"""),"Active")</f>
        <v>Active</v>
      </c>
      <c r="E336" s="17">
        <f>IFERROR(__xludf.DUMMYFUNCTION("""COMPUTED_VALUE"""),45461.0)</f>
        <v>45461</v>
      </c>
      <c r="F336" s="54"/>
      <c r="G336" s="19">
        <f>IFERROR(__xludf.DUMMYFUNCTION("""COMPUTED_VALUE"""),27.599999999999998)</f>
        <v>27.6</v>
      </c>
      <c r="H336" s="17">
        <f>IFERROR(__xludf.DUMMYFUNCTION("""COMPUTED_VALUE"""),44875.0)</f>
        <v>44875</v>
      </c>
      <c r="I336" s="19">
        <f>IFERROR(__xludf.DUMMYFUNCTION("""COMPUTED_VALUE"""),1.6055555555555556)</f>
        <v>1.605555556</v>
      </c>
      <c r="J336" s="21">
        <f>IFERROR(__xludf.DUMMYFUNCTION("""COMPUTED_VALUE"""),58.0)</f>
        <v>58</v>
      </c>
      <c r="K336" s="23">
        <f>IFERROR(__xludf.DUMMYFUNCTION("""COMPUTED_VALUE"""),6.3)</f>
        <v>6.3</v>
      </c>
      <c r="L336" s="24">
        <f>IFERROR(__xludf.DUMMYFUNCTION("""COMPUTED_VALUE"""),28.0)</f>
        <v>28</v>
      </c>
      <c r="M336" s="25" t="str">
        <f>IFERROR(__xludf.DUMMYFUNCTION("""COMPUTED_VALUE"""),"Simulation")</f>
        <v>Simulation</v>
      </c>
      <c r="N336" s="25"/>
      <c r="O336" s="26" t="str">
        <f>IFERROR(__xludf.DUMMYFUNCTION("""COMPUTED_VALUE"""),"Yes")</f>
        <v>Yes</v>
      </c>
      <c r="P336" s="26"/>
    </row>
    <row r="337">
      <c r="A337" s="13" t="str">
        <f>IFERROR(__xludf.DUMMYFUNCTION("""COMPUTED_VALUE"""),"Cricket 24")</f>
        <v>Cricket 24</v>
      </c>
      <c r="B337" s="15" t="str">
        <f>IFERROR(__xludf.DUMMYFUNCTION("""COMPUTED_VALUE"""),"PS5/PS4")</f>
        <v>PS5/PS4</v>
      </c>
      <c r="C337" s="16" t="str">
        <f>IFERROR(__xludf.DUMMYFUNCTION("""COMPUTED_VALUE"""),"Extra")</f>
        <v>Extra</v>
      </c>
      <c r="D337" s="15" t="str">
        <f>IFERROR(__xludf.DUMMYFUNCTION("""COMPUTED_VALUE"""),"Active")</f>
        <v>Active</v>
      </c>
      <c r="E337" s="17">
        <f>IFERROR(__xludf.DUMMYFUNCTION("""COMPUTED_VALUE"""),45448.0)</f>
        <v>45448</v>
      </c>
      <c r="F337" s="54"/>
      <c r="G337" s="19">
        <f>IFERROR(__xludf.DUMMYFUNCTION("""COMPUTED_VALUE"""),28.033333333333335)</f>
        <v>28.03333333</v>
      </c>
      <c r="H337" s="17">
        <f>IFERROR(__xludf.DUMMYFUNCTION("""COMPUTED_VALUE"""),45204.0)</f>
        <v>45204</v>
      </c>
      <c r="I337" s="19">
        <f>IFERROR(__xludf.DUMMYFUNCTION("""COMPUTED_VALUE"""),0.6666666666666666)</f>
        <v>0.6666666667</v>
      </c>
      <c r="J337" s="21">
        <f>IFERROR(__xludf.DUMMYFUNCTION("""COMPUTED_VALUE"""),57.0)</f>
        <v>57</v>
      </c>
      <c r="K337" s="23">
        <f>IFERROR(__xludf.DUMMYFUNCTION("""COMPUTED_VALUE"""),5.1)</f>
        <v>5.1</v>
      </c>
      <c r="L337" s="24">
        <f>IFERROR(__xludf.DUMMYFUNCTION("""COMPUTED_VALUE"""),12.0)</f>
        <v>12</v>
      </c>
      <c r="M337" s="25" t="str">
        <f>IFERROR(__xludf.DUMMYFUNCTION("""COMPUTED_VALUE"""),"Sports")</f>
        <v>Sports</v>
      </c>
      <c r="N337" s="25"/>
      <c r="O337" s="26" t="str">
        <f>IFERROR(__xludf.DUMMYFUNCTION("""COMPUTED_VALUE"""),"Yes")</f>
        <v>Yes</v>
      </c>
      <c r="P337" s="26"/>
    </row>
    <row r="338">
      <c r="A338" s="13" t="str">
        <f>IFERROR(__xludf.DUMMYFUNCTION("""COMPUTED_VALUE"""),"Bluey: The Videogame")</f>
        <v>Bluey: The Videogame</v>
      </c>
      <c r="B338" s="15" t="str">
        <f>IFERROR(__xludf.DUMMYFUNCTION("""COMPUTED_VALUE"""),"PS5/PS4")</f>
        <v>PS5/PS4</v>
      </c>
      <c r="C338" s="16" t="str">
        <f>IFERROR(__xludf.DUMMYFUNCTION("""COMPUTED_VALUE"""),"Extra")</f>
        <v>Extra</v>
      </c>
      <c r="D338" s="15" t="str">
        <f>IFERROR(__xludf.DUMMYFUNCTION("""COMPUTED_VALUE"""),"Active")</f>
        <v>Active</v>
      </c>
      <c r="E338" s="17">
        <f>IFERROR(__xludf.DUMMYFUNCTION("""COMPUTED_VALUE"""),45853.0)</f>
        <v>45853</v>
      </c>
      <c r="F338" s="18"/>
      <c r="G338" s="19">
        <f>IFERROR(__xludf.DUMMYFUNCTION("""COMPUTED_VALUE"""),14.700000000000001)</f>
        <v>14.7</v>
      </c>
      <c r="H338" s="17">
        <f>IFERROR(__xludf.DUMMYFUNCTION("""COMPUTED_VALUE"""),45247.0)</f>
        <v>45247</v>
      </c>
      <c r="I338" s="19">
        <f>IFERROR(__xludf.DUMMYFUNCTION("""COMPUTED_VALUE"""),1.6611111111111112)</f>
        <v>1.661111111</v>
      </c>
      <c r="J338" s="21">
        <f>IFERROR(__xludf.DUMMYFUNCTION("""COMPUTED_VALUE"""),56.0)</f>
        <v>56</v>
      </c>
      <c r="K338" s="23">
        <f>IFERROR(__xludf.DUMMYFUNCTION("""COMPUTED_VALUE"""),4.8)</f>
        <v>4.8</v>
      </c>
      <c r="L338" s="24">
        <f>IFERROR(__xludf.DUMMYFUNCTION("""COMPUTED_VALUE"""),2.0)</f>
        <v>2</v>
      </c>
      <c r="M338" s="25" t="str">
        <f>IFERROR(__xludf.DUMMYFUNCTION("""COMPUTED_VALUE"""),"Action-Adventure")</f>
        <v>Action-Adventure</v>
      </c>
      <c r="N338" s="25"/>
      <c r="O338" s="26"/>
      <c r="P338" s="26"/>
    </row>
    <row r="339">
      <c r="A339" s="13" t="str">
        <f>IFERROR(__xludf.DUMMYFUNCTION("""COMPUTED_VALUE"""),"Werewolf: The Apocalypse - Earthblood")</f>
        <v>Werewolf: The Apocalypse - Earthblood</v>
      </c>
      <c r="B339" s="15" t="str">
        <f>IFERROR(__xludf.DUMMYFUNCTION("""COMPUTED_VALUE"""),"PS5/PS4")</f>
        <v>PS5/PS4</v>
      </c>
      <c r="C339" s="16" t="str">
        <f>IFERROR(__xludf.DUMMYFUNCTION("""COMPUTED_VALUE"""),"Extra")</f>
        <v>Extra</v>
      </c>
      <c r="D339" s="15" t="str">
        <f>IFERROR(__xludf.DUMMYFUNCTION("""COMPUTED_VALUE"""),"Active")</f>
        <v>Active</v>
      </c>
      <c r="E339" s="17">
        <f>IFERROR(__xludf.DUMMYFUNCTION("""COMPUTED_VALUE"""),44656.0)</f>
        <v>44656</v>
      </c>
      <c r="F339" s="54"/>
      <c r="G339" s="19">
        <f>IFERROR(__xludf.DUMMYFUNCTION("""COMPUTED_VALUE"""),54.03333333333334)</f>
        <v>54.03333333</v>
      </c>
      <c r="H339" s="17">
        <f>IFERROR(__xludf.DUMMYFUNCTION("""COMPUTED_VALUE"""),44231.0)</f>
        <v>44231</v>
      </c>
      <c r="I339" s="19">
        <f>IFERROR(__xludf.DUMMYFUNCTION("""COMPUTED_VALUE"""),1.1694444444444445)</f>
        <v>1.169444444</v>
      </c>
      <c r="J339" s="21">
        <f>IFERROR(__xludf.DUMMYFUNCTION("""COMPUTED_VALUE"""),56.0)</f>
        <v>56</v>
      </c>
      <c r="K339" s="23">
        <f>IFERROR(__xludf.DUMMYFUNCTION("""COMPUTED_VALUE"""),5.5)</f>
        <v>5.5</v>
      </c>
      <c r="L339" s="24">
        <f>IFERROR(__xludf.DUMMYFUNCTION("""COMPUTED_VALUE"""),8.5)</f>
        <v>8.5</v>
      </c>
      <c r="M339" s="25" t="str">
        <f>IFERROR(__xludf.DUMMYFUNCTION("""COMPUTED_VALUE"""),"Action-Adventure")</f>
        <v>Action-Adventure</v>
      </c>
      <c r="N339" s="25"/>
      <c r="O339" s="26" t="str">
        <f>IFERROR(__xludf.DUMMYFUNCTION("""COMPUTED_VALUE"""),"Portal (PS5 + Premium)")</f>
        <v>Portal (PS5 + Premium)</v>
      </c>
      <c r="P339" s="26"/>
    </row>
    <row r="340">
      <c r="A340" s="13" t="str">
        <f>IFERROR(__xludf.DUMMYFUNCTION("""COMPUTED_VALUE"""),"Indiana Jones and the Staff of Kings")</f>
        <v>Indiana Jones and the Staff of Kings</v>
      </c>
      <c r="B340" s="15" t="str">
        <f>IFERROR(__xludf.DUMMYFUNCTION("""COMPUTED_VALUE"""),"PS5/PS4")</f>
        <v>PS5/PS4</v>
      </c>
      <c r="C340" s="16" t="str">
        <f>IFERROR(__xludf.DUMMYFUNCTION("""COMPUTED_VALUE"""),"Premium (Classics)")</f>
        <v>Premium (Classics)</v>
      </c>
      <c r="D340" s="15" t="str">
        <f>IFERROR(__xludf.DUMMYFUNCTION("""COMPUTED_VALUE"""),"Active")</f>
        <v>Active</v>
      </c>
      <c r="E340" s="17">
        <f>IFERROR(__xludf.DUMMYFUNCTION("""COMPUTED_VALUE"""),45678.0)</f>
        <v>45678</v>
      </c>
      <c r="F340" s="54"/>
      <c r="G340" s="19">
        <f>IFERROR(__xludf.DUMMYFUNCTION("""COMPUTED_VALUE"""),20.5)</f>
        <v>20.5</v>
      </c>
      <c r="H340" s="17">
        <f>IFERROR(__xludf.DUMMYFUNCTION("""COMPUTED_VALUE"""),39973.0)</f>
        <v>39973</v>
      </c>
      <c r="I340" s="19">
        <f>IFERROR(__xludf.DUMMYFUNCTION("""COMPUTED_VALUE"""),15.616666666666667)</f>
        <v>15.61666667</v>
      </c>
      <c r="J340" s="21">
        <f>IFERROR(__xludf.DUMMYFUNCTION("""COMPUTED_VALUE"""),55.0)</f>
        <v>55</v>
      </c>
      <c r="K340" s="23">
        <f>IFERROR(__xludf.DUMMYFUNCTION("""COMPUTED_VALUE"""),7.3)</f>
        <v>7.3</v>
      </c>
      <c r="L340" s="24">
        <f>IFERROR(__xludf.DUMMYFUNCTION("""COMPUTED_VALUE"""),8.0)</f>
        <v>8</v>
      </c>
      <c r="M340" s="25" t="str">
        <f>IFERROR(__xludf.DUMMYFUNCTION("""COMPUTED_VALUE"""),"Action-Adventure")</f>
        <v>Action-Adventure</v>
      </c>
      <c r="N340" s="25" t="str">
        <f>IFERROR(__xludf.DUMMYFUNCTION("""COMPUTED_VALUE"""),"PS2")</f>
        <v>PS2</v>
      </c>
      <c r="O340" s="26" t="str">
        <f>IFERROR(__xludf.DUMMYFUNCTION("""COMPUTED_VALUE"""),"Yes")</f>
        <v>Yes</v>
      </c>
      <c r="P340" s="26"/>
    </row>
    <row r="341">
      <c r="A341" s="13" t="str">
        <f>IFERROR(__xludf.DUMMYFUNCTION("""COMPUTED_VALUE"""),"Car Mechanic Simulator")</f>
        <v>Car Mechanic Simulator</v>
      </c>
      <c r="B341" s="15" t="str">
        <f>IFERROR(__xludf.DUMMYFUNCTION("""COMPUTED_VALUE"""),"PS5/PS4")</f>
        <v>PS5/PS4</v>
      </c>
      <c r="C341" s="16" t="str">
        <f>IFERROR(__xludf.DUMMYFUNCTION("""COMPUTED_VALUE"""),"Extra")</f>
        <v>Extra</v>
      </c>
      <c r="D341" s="15" t="str">
        <f>IFERROR(__xludf.DUMMYFUNCTION("""COMPUTED_VALUE"""),"Active")</f>
        <v>Active</v>
      </c>
      <c r="E341" s="17">
        <f>IFERROR(__xludf.DUMMYFUNCTION("""COMPUTED_VALUE"""),44348.0)</f>
        <v>44348</v>
      </c>
      <c r="F341" s="54"/>
      <c r="G341" s="19">
        <f>IFERROR(__xludf.DUMMYFUNCTION("""COMPUTED_VALUE"""),64.16666666666667)</f>
        <v>64.16666667</v>
      </c>
      <c r="H341" s="17">
        <f>IFERROR(__xludf.DUMMYFUNCTION("""COMPUTED_VALUE"""),43511.0)</f>
        <v>43511</v>
      </c>
      <c r="I341" s="19">
        <f>IFERROR(__xludf.DUMMYFUNCTION("""COMPUTED_VALUE"""),2.2944444444444443)</f>
        <v>2.294444444</v>
      </c>
      <c r="J341" s="21">
        <f>IFERROR(__xludf.DUMMYFUNCTION("""COMPUTED_VALUE"""),55.0)</f>
        <v>55</v>
      </c>
      <c r="K341" s="23">
        <f>IFERROR(__xludf.DUMMYFUNCTION("""COMPUTED_VALUE"""),6.4)</f>
        <v>6.4</v>
      </c>
      <c r="L341" s="24">
        <f>IFERROR(__xludf.DUMMYFUNCTION("""COMPUTED_VALUE"""),25.0)</f>
        <v>25</v>
      </c>
      <c r="M341" s="25" t="str">
        <f>IFERROR(__xludf.DUMMYFUNCTION("""COMPUTED_VALUE"""),"Simulation")</f>
        <v>Simulation</v>
      </c>
      <c r="N341" s="25"/>
      <c r="O341" s="26" t="str">
        <f>IFERROR(__xludf.DUMMYFUNCTION("""COMPUTED_VALUE"""),"Yes")</f>
        <v>Yes</v>
      </c>
      <c r="P341" s="26"/>
    </row>
    <row r="342">
      <c r="A342" s="13" t="str">
        <f>IFERROR(__xludf.DUMMYFUNCTION("""COMPUTED_VALUE"""),"Disney/Pixar Buzz Lightyear of Star Command")</f>
        <v>Disney/Pixar Buzz Lightyear of Star Command</v>
      </c>
      <c r="B342" s="15" t="str">
        <f>IFERROR(__xludf.DUMMYFUNCTION("""COMPUTED_VALUE"""),"PS5/PS4")</f>
        <v>PS5/PS4</v>
      </c>
      <c r="C342" s="16" t="str">
        <f>IFERROR(__xludf.DUMMYFUNCTION("""COMPUTED_VALUE"""),"Premium (Classics)")</f>
        <v>Premium (Classics)</v>
      </c>
      <c r="D342" s="15" t="str">
        <f>IFERROR(__xludf.DUMMYFUNCTION("""COMPUTED_VALUE"""),"Active")</f>
        <v>Active</v>
      </c>
      <c r="E342" s="17">
        <f>IFERROR(__xludf.DUMMYFUNCTION("""COMPUTED_VALUE"""),45279.0)</f>
        <v>45279</v>
      </c>
      <c r="F342" s="54"/>
      <c r="G342" s="19">
        <f>IFERROR(__xludf.DUMMYFUNCTION("""COMPUTED_VALUE"""),33.56666666666666)</f>
        <v>33.56666667</v>
      </c>
      <c r="H342" s="17">
        <f>IFERROR(__xludf.DUMMYFUNCTION("""COMPUTED_VALUE"""),36795.0)</f>
        <v>36795</v>
      </c>
      <c r="I342" s="19">
        <f>IFERROR(__xludf.DUMMYFUNCTION("""COMPUTED_VALUE"""),23.230555555555554)</f>
        <v>23.23055556</v>
      </c>
      <c r="J342" s="21">
        <f>IFERROR(__xludf.DUMMYFUNCTION("""COMPUTED_VALUE"""),54.0)</f>
        <v>54</v>
      </c>
      <c r="K342" s="23">
        <f>IFERROR(__xludf.DUMMYFUNCTION("""COMPUTED_VALUE"""),8.3)</f>
        <v>8.3</v>
      </c>
      <c r="L342" s="24">
        <f>IFERROR(__xludf.DUMMYFUNCTION("""COMPUTED_VALUE"""),7.0)</f>
        <v>7</v>
      </c>
      <c r="M342" s="25" t="str">
        <f>IFERROR(__xludf.DUMMYFUNCTION("""COMPUTED_VALUE"""),"Action-Adventure")</f>
        <v>Action-Adventure</v>
      </c>
      <c r="N342" s="25" t="str">
        <f>IFERROR(__xludf.DUMMYFUNCTION("""COMPUTED_VALUE"""),"PS1")</f>
        <v>PS1</v>
      </c>
      <c r="O342" s="26" t="str">
        <f>IFERROR(__xludf.DUMMYFUNCTION("""COMPUTED_VALUE"""),"Portal (PS5 + Premium)")</f>
        <v>Portal (PS5 + Premium)</v>
      </c>
      <c r="P342" s="26"/>
    </row>
    <row r="343">
      <c r="A343" s="13" t="str">
        <f>IFERROR(__xludf.DUMMYFUNCTION("""COMPUTED_VALUE"""),"Test Drive Unlimited: Solar Crown")</f>
        <v>Test Drive Unlimited: Solar Crown</v>
      </c>
      <c r="B343" s="15" t="str">
        <f>IFERROR(__xludf.DUMMYFUNCTION("""COMPUTED_VALUE"""),"PS5")</f>
        <v>PS5</v>
      </c>
      <c r="C343" s="16" t="str">
        <f>IFERROR(__xludf.DUMMYFUNCTION("""COMPUTED_VALUE"""),"Extra")</f>
        <v>Extra</v>
      </c>
      <c r="D343" s="15" t="str">
        <f>IFERROR(__xludf.DUMMYFUNCTION("""COMPUTED_VALUE"""),"Active")</f>
        <v>Active</v>
      </c>
      <c r="E343" s="17">
        <f>IFERROR(__xludf.DUMMYFUNCTION("""COMPUTED_VALUE"""),46070.0)</f>
        <v>46070</v>
      </c>
      <c r="F343" s="54"/>
      <c r="G343" s="19">
        <f>IFERROR(__xludf.DUMMYFUNCTION("""COMPUTED_VALUE"""),7.633333333333333)</f>
        <v>7.633333333</v>
      </c>
      <c r="H343" s="17">
        <f>IFERROR(__xludf.DUMMYFUNCTION("""COMPUTED_VALUE"""),45547.0)</f>
        <v>45547</v>
      </c>
      <c r="I343" s="19">
        <f>IFERROR(__xludf.DUMMYFUNCTION("""COMPUTED_VALUE"""),1.4305555555555556)</f>
        <v>1.430555556</v>
      </c>
      <c r="J343" s="21">
        <f>IFERROR(__xludf.DUMMYFUNCTION("""COMPUTED_VALUE"""),53.0)</f>
        <v>53</v>
      </c>
      <c r="K343" s="23">
        <f>IFERROR(__xludf.DUMMYFUNCTION("""COMPUTED_VALUE"""),4.0)</f>
        <v>4</v>
      </c>
      <c r="L343" s="24">
        <f>IFERROR(__xludf.DUMMYFUNCTION("""COMPUTED_VALUE"""),27.0)</f>
        <v>27</v>
      </c>
      <c r="M343" s="25" t="str">
        <f>IFERROR(__xludf.DUMMYFUNCTION("""COMPUTED_VALUE"""),"Racing")</f>
        <v>Racing</v>
      </c>
      <c r="N343" s="25"/>
      <c r="O343" s="26" t="str">
        <f>IFERROR(__xludf.DUMMYFUNCTION("""COMPUTED_VALUE"""),"No")</f>
        <v>No</v>
      </c>
      <c r="P343" s="26"/>
    </row>
    <row r="344">
      <c r="A344" s="13" t="str">
        <f>IFERROR(__xludf.DUMMYFUNCTION("""COMPUTED_VALUE"""),"Ape Escape Academy")</f>
        <v>Ape Escape Academy</v>
      </c>
      <c r="B344" s="15" t="str">
        <f>IFERROR(__xludf.DUMMYFUNCTION("""COMPUTED_VALUE"""),"PS5/PS4")</f>
        <v>PS5/PS4</v>
      </c>
      <c r="C344" s="16" t="str">
        <f>IFERROR(__xludf.DUMMYFUNCTION("""COMPUTED_VALUE"""),"Premium (Classics)")</f>
        <v>Premium (Classics)</v>
      </c>
      <c r="D344" s="15" t="str">
        <f>IFERROR(__xludf.DUMMYFUNCTION("""COMPUTED_VALUE"""),"Active")</f>
        <v>Active</v>
      </c>
      <c r="E344" s="17">
        <f>IFERROR(__xludf.DUMMYFUNCTION("""COMPUTED_VALUE"""),45216.0)</f>
        <v>45216</v>
      </c>
      <c r="F344" s="54"/>
      <c r="G344" s="19">
        <f>IFERROR(__xludf.DUMMYFUNCTION("""COMPUTED_VALUE"""),35.63333333333333)</f>
        <v>35.63333333</v>
      </c>
      <c r="H344" s="17">
        <f>IFERROR(__xludf.DUMMYFUNCTION("""COMPUTED_VALUE"""),38734.0)</f>
        <v>38734</v>
      </c>
      <c r="I344" s="19">
        <f>IFERROR(__xludf.DUMMYFUNCTION("""COMPUTED_VALUE"""),17.75)</f>
        <v>17.75</v>
      </c>
      <c r="J344" s="21">
        <f>IFERROR(__xludf.DUMMYFUNCTION("""COMPUTED_VALUE"""),51.0)</f>
        <v>51</v>
      </c>
      <c r="K344" s="23">
        <f>IFERROR(__xludf.DUMMYFUNCTION("""COMPUTED_VALUE"""),5.7)</f>
        <v>5.7</v>
      </c>
      <c r="L344" s="24">
        <f>IFERROR(__xludf.DUMMYFUNCTION("""COMPUTED_VALUE"""),3.0)</f>
        <v>3</v>
      </c>
      <c r="M344" s="25" t="str">
        <f>IFERROR(__xludf.DUMMYFUNCTION("""COMPUTED_VALUE"""),"Party")</f>
        <v>Party</v>
      </c>
      <c r="N344" s="25" t="str">
        <f>IFERROR(__xludf.DUMMYFUNCTION("""COMPUTED_VALUE"""),"PSP")</f>
        <v>PSP</v>
      </c>
      <c r="O344" s="26" t="str">
        <f>IFERROR(__xludf.DUMMYFUNCTION("""COMPUTED_VALUE"""),"Yes")</f>
        <v>Yes</v>
      </c>
      <c r="P344" s="26"/>
    </row>
    <row r="345">
      <c r="A345" s="13" t="str">
        <f>IFERROR(__xludf.DUMMYFUNCTION("""COMPUTED_VALUE"""),"Disney Pixar Wall-E")</f>
        <v>Disney Pixar Wall-E</v>
      </c>
      <c r="B345" s="15" t="str">
        <f>IFERROR(__xludf.DUMMYFUNCTION("""COMPUTED_VALUE"""),"PS5/PS4")</f>
        <v>PS5/PS4</v>
      </c>
      <c r="C345" s="16" t="str">
        <f>IFERROR(__xludf.DUMMYFUNCTION("""COMPUTED_VALUE"""),"Premium (Classics)")</f>
        <v>Premium (Classics)</v>
      </c>
      <c r="D345" s="15" t="str">
        <f>IFERROR(__xludf.DUMMYFUNCTION("""COMPUTED_VALUE"""),"Active")</f>
        <v>Active</v>
      </c>
      <c r="E345" s="17">
        <f>IFERROR(__xludf.DUMMYFUNCTION("""COMPUTED_VALUE"""),46070.0)</f>
        <v>46070</v>
      </c>
      <c r="F345" s="54"/>
      <c r="G345" s="19">
        <f>IFERROR(__xludf.DUMMYFUNCTION("""COMPUTED_VALUE"""),7.633333333333333)</f>
        <v>7.633333333</v>
      </c>
      <c r="H345" s="17">
        <f>IFERROR(__xludf.DUMMYFUNCTION("""COMPUTED_VALUE"""),39623.0)</f>
        <v>39623</v>
      </c>
      <c r="I345" s="19">
        <f>IFERROR(__xludf.DUMMYFUNCTION("""COMPUTED_VALUE"""),17.647222222222222)</f>
        <v>17.64722222</v>
      </c>
      <c r="J345" s="21">
        <f>IFERROR(__xludf.DUMMYFUNCTION("""COMPUTED_VALUE"""),50.0)</f>
        <v>50</v>
      </c>
      <c r="K345" s="23">
        <f>IFERROR(__xludf.DUMMYFUNCTION("""COMPUTED_VALUE"""),6.8)</f>
        <v>6.8</v>
      </c>
      <c r="L345" s="24">
        <f>IFERROR(__xludf.DUMMYFUNCTION("""COMPUTED_VALUE"""),8.0)</f>
        <v>8</v>
      </c>
      <c r="M345" s="25" t="str">
        <f>IFERROR(__xludf.DUMMYFUNCTION("""COMPUTED_VALUE"""),"Action-Adventure")</f>
        <v>Action-Adventure</v>
      </c>
      <c r="N345" s="25" t="str">
        <f>IFERROR(__xludf.DUMMYFUNCTION("""COMPUTED_VALUE"""),"PS2")</f>
        <v>PS2</v>
      </c>
      <c r="O345" s="26"/>
      <c r="P345" s="26"/>
    </row>
    <row r="346">
      <c r="A346" s="13" t="str">
        <f>IFERROR(__xludf.DUMMYFUNCTION("""COMPUTED_VALUE"""),"Crime Boss: Rockay City")</f>
        <v>Crime Boss: Rockay City</v>
      </c>
      <c r="B346" s="15" t="str">
        <f>IFERROR(__xludf.DUMMYFUNCTION("""COMPUTED_VALUE"""),"PS5")</f>
        <v>PS5</v>
      </c>
      <c r="C346" s="16" t="str">
        <f>IFERROR(__xludf.DUMMYFUNCTION("""COMPUTED_VALUE"""),"Extra")</f>
        <v>Extra</v>
      </c>
      <c r="D346" s="15" t="str">
        <f>IFERROR(__xludf.DUMMYFUNCTION("""COMPUTED_VALUE"""),"Active")</f>
        <v>Active</v>
      </c>
      <c r="E346" s="17">
        <f>IFERROR(__xludf.DUMMYFUNCTION("""COMPUTED_VALUE"""),45433.0)</f>
        <v>45433</v>
      </c>
      <c r="F346" s="54"/>
      <c r="G346" s="19">
        <f>IFERROR(__xludf.DUMMYFUNCTION("""COMPUTED_VALUE"""),28.5)</f>
        <v>28.5</v>
      </c>
      <c r="H346" s="17">
        <f>IFERROR(__xludf.DUMMYFUNCTION("""COMPUTED_VALUE"""),45013.0)</f>
        <v>45013</v>
      </c>
      <c r="I346" s="19">
        <f>IFERROR(__xludf.DUMMYFUNCTION("""COMPUTED_VALUE"""),1.1472222222222221)</f>
        <v>1.147222222</v>
      </c>
      <c r="J346" s="21">
        <f>IFERROR(__xludf.DUMMYFUNCTION("""COMPUTED_VALUE"""),43.0)</f>
        <v>43</v>
      </c>
      <c r="K346" s="23">
        <f>IFERROR(__xludf.DUMMYFUNCTION("""COMPUTED_VALUE"""),5.5)</f>
        <v>5.5</v>
      </c>
      <c r="L346" s="24">
        <f>IFERROR(__xludf.DUMMYFUNCTION("""COMPUTED_VALUE"""),6.0)</f>
        <v>6</v>
      </c>
      <c r="M346" s="25" t="str">
        <f>IFERROR(__xludf.DUMMYFUNCTION("""COMPUTED_VALUE"""),"Shooter")</f>
        <v>Shooter</v>
      </c>
      <c r="N346" s="25"/>
      <c r="O346" s="26" t="str">
        <f>IFERROR(__xludf.DUMMYFUNCTION("""COMPUTED_VALUE"""),"Portal (PS5 + Premium)")</f>
        <v>Portal (PS5 + Premium)</v>
      </c>
      <c r="P346" s="26"/>
    </row>
    <row r="347">
      <c r="A347" s="13" t="str">
        <f>IFERROR(__xludf.DUMMYFUNCTION("""COMPUTED_VALUE"""),"Twisted Metal 4")</f>
        <v>Twisted Metal 4</v>
      </c>
      <c r="B347" s="15" t="str">
        <f>IFERROR(__xludf.DUMMYFUNCTION("""COMPUTED_VALUE"""),"PS5/PS4")</f>
        <v>PS5/PS4</v>
      </c>
      <c r="C347" s="16" t="str">
        <f>IFERROR(__xludf.DUMMYFUNCTION("""COMPUTED_VALUE"""),"Premium (Classics)")</f>
        <v>Premium (Classics)</v>
      </c>
      <c r="D347" s="15" t="str">
        <f>IFERROR(__xludf.DUMMYFUNCTION("""COMPUTED_VALUE"""),"Active")</f>
        <v>Active</v>
      </c>
      <c r="E347" s="17">
        <f>IFERROR(__xludf.DUMMYFUNCTION("""COMPUTED_VALUE"""),45853.0)</f>
        <v>45853</v>
      </c>
      <c r="F347" s="54"/>
      <c r="G347" s="19">
        <f>IFERROR(__xludf.DUMMYFUNCTION("""COMPUTED_VALUE"""),14.700000000000001)</f>
        <v>14.7</v>
      </c>
      <c r="H347" s="17">
        <f>IFERROR(__xludf.DUMMYFUNCTION("""COMPUTED_VALUE"""),36479.0)</f>
        <v>36479</v>
      </c>
      <c r="I347" s="19">
        <f>IFERROR(__xludf.DUMMYFUNCTION("""COMPUTED_VALUE"""),25.666666666666668)</f>
        <v>25.66666667</v>
      </c>
      <c r="J347" s="21">
        <f>IFERROR(__xludf.DUMMYFUNCTION("""COMPUTED_VALUE"""),8.0)</f>
        <v>8</v>
      </c>
      <c r="K347" s="23">
        <f>IFERROR(__xludf.DUMMYFUNCTION("""COMPUTED_VALUE"""),7.1)</f>
        <v>7.1</v>
      </c>
      <c r="L347" s="24">
        <f>IFERROR(__xludf.DUMMYFUNCTION("""COMPUTED_VALUE"""),4.0)</f>
        <v>4</v>
      </c>
      <c r="M347" s="25" t="str">
        <f>IFERROR(__xludf.DUMMYFUNCTION("""COMPUTED_VALUE"""),"Simulation")</f>
        <v>Simulation</v>
      </c>
      <c r="N347" s="25" t="str">
        <f>IFERROR(__xludf.DUMMYFUNCTION("""COMPUTED_VALUE"""),"PS1")</f>
        <v>PS1</v>
      </c>
      <c r="O347" s="26"/>
      <c r="P347" s="26"/>
    </row>
    <row r="348">
      <c r="A348" s="13" t="str">
        <f>IFERROR(__xludf.DUMMYFUNCTION("""COMPUTED_VALUE"""),"RuneScape: Dragonwilds")</f>
        <v>RuneScape: Dragonwilds</v>
      </c>
      <c r="B348" s="15" t="str">
        <f>IFERROR(__xludf.DUMMYFUNCTION("""COMPUTED_VALUE"""),"PS5")</f>
        <v>PS5</v>
      </c>
      <c r="C348" s="16" t="str">
        <f>IFERROR(__xludf.DUMMYFUNCTION("""COMPUTED_VALUE"""),"Extra")</f>
        <v>Extra</v>
      </c>
      <c r="D348" s="15" t="str">
        <f>IFERROR(__xludf.DUMMYFUNCTION("""COMPUTED_VALUE"""),"Active")</f>
        <v>Active</v>
      </c>
      <c r="E348" s="17">
        <f>IFERROR(__xludf.DUMMYFUNCTION("""COMPUTED_VALUE"""),46280.0)</f>
        <v>46280</v>
      </c>
      <c r="F348" s="54"/>
      <c r="G348" s="19">
        <f>IFERROR(__xludf.DUMMYFUNCTION("""COMPUTED_VALUE"""),0.7)</f>
        <v>0.7</v>
      </c>
      <c r="H348" s="17">
        <f>IFERROR(__xludf.DUMMYFUNCTION("""COMPUTED_VALUE"""),46280.0)</f>
        <v>46280</v>
      </c>
      <c r="I348" s="19">
        <f>IFERROR(__xludf.DUMMYFUNCTION("""COMPUTED_VALUE"""),0.0)</f>
        <v>0</v>
      </c>
      <c r="J348" s="21"/>
      <c r="K348" s="23"/>
      <c r="L348" s="24">
        <f>IFERROR(__xludf.DUMMYFUNCTION("""COMPUTED_VALUE"""),20.0)</f>
        <v>20</v>
      </c>
      <c r="M348" s="25" t="str">
        <f>IFERROR(__xludf.DUMMYFUNCTION("""COMPUTED_VALUE"""),"Action-Adventure")</f>
        <v>Action-Adventure</v>
      </c>
      <c r="N348" s="25"/>
      <c r="O348" s="26" t="str">
        <f>IFERROR(__xludf.DUMMYFUNCTION("""COMPUTED_VALUE"""),"No")</f>
        <v>No</v>
      </c>
      <c r="P348" s="26"/>
    </row>
    <row r="349">
      <c r="A349" s="13" t="str">
        <f>IFERROR(__xludf.DUMMYFUNCTION("""COMPUTED_VALUE"""),"Twisted Metal III")</f>
        <v>Twisted Metal III</v>
      </c>
      <c r="B349" s="15" t="str">
        <f>IFERROR(__xludf.DUMMYFUNCTION("""COMPUTED_VALUE"""),"PS5/PS4")</f>
        <v>PS5/PS4</v>
      </c>
      <c r="C349" s="16" t="str">
        <f>IFERROR(__xludf.DUMMYFUNCTION("""COMPUTED_VALUE"""),"Premium (Classics)")</f>
        <v>Premium (Classics)</v>
      </c>
      <c r="D349" s="15" t="str">
        <f>IFERROR(__xludf.DUMMYFUNCTION("""COMPUTED_VALUE"""),"Active")</f>
        <v>Active</v>
      </c>
      <c r="E349" s="17">
        <f>IFERROR(__xludf.DUMMYFUNCTION("""COMPUTED_VALUE"""),45853.0)</f>
        <v>45853</v>
      </c>
      <c r="F349" s="54"/>
      <c r="G349" s="19">
        <f>IFERROR(__xludf.DUMMYFUNCTION("""COMPUTED_VALUE"""),14.700000000000001)</f>
        <v>14.7</v>
      </c>
      <c r="H349" s="17">
        <f>IFERROR(__xludf.DUMMYFUNCTION("""COMPUTED_VALUE"""),36109.0)</f>
        <v>36109</v>
      </c>
      <c r="I349" s="19">
        <f>IFERROR(__xludf.DUMMYFUNCTION("""COMPUTED_VALUE"""),26.680555555555557)</f>
        <v>26.68055556</v>
      </c>
      <c r="J349" s="21"/>
      <c r="K349" s="23">
        <f>IFERROR(__xludf.DUMMYFUNCTION("""COMPUTED_VALUE"""),6.1)</f>
        <v>6.1</v>
      </c>
      <c r="L349" s="24">
        <f>IFERROR(__xludf.DUMMYFUNCTION("""COMPUTED_VALUE"""),4.0)</f>
        <v>4</v>
      </c>
      <c r="M349" s="25" t="str">
        <f>IFERROR(__xludf.DUMMYFUNCTION("""COMPUTED_VALUE"""),"Driving")</f>
        <v>Driving</v>
      </c>
      <c r="N349" s="25" t="str">
        <f>IFERROR(__xludf.DUMMYFUNCTION("""COMPUTED_VALUE"""),"PS1")</f>
        <v>PS1</v>
      </c>
      <c r="O349" s="26"/>
      <c r="P349" s="26"/>
    </row>
    <row r="350">
      <c r="A350" s="13" t="str">
        <f>IFERROR(__xludf.DUMMYFUNCTION("""COMPUTED_VALUE"""),"Jet Moto")</f>
        <v>Jet Moto</v>
      </c>
      <c r="B350" s="15" t="str">
        <f>IFERROR(__xludf.DUMMYFUNCTION("""COMPUTED_VALUE"""),"PS5/PS4")</f>
        <v>PS5/PS4</v>
      </c>
      <c r="C350" s="16" t="str">
        <f>IFERROR(__xludf.DUMMYFUNCTION("""COMPUTED_VALUE"""),"Premium (Classics)")</f>
        <v>Premium (Classics)</v>
      </c>
      <c r="D350" s="15" t="str">
        <f>IFERROR(__xludf.DUMMYFUNCTION("""COMPUTED_VALUE"""),"Active")</f>
        <v>Active</v>
      </c>
      <c r="E350" s="17">
        <f>IFERROR(__xludf.DUMMYFUNCTION("""COMPUTED_VALUE"""),45251.0)</f>
        <v>45251</v>
      </c>
      <c r="F350" s="54"/>
      <c r="G350" s="19">
        <f>IFERROR(__xludf.DUMMYFUNCTION("""COMPUTED_VALUE"""),34.5)</f>
        <v>34.5</v>
      </c>
      <c r="H350" s="17">
        <f>IFERROR(__xludf.DUMMYFUNCTION("""COMPUTED_VALUE"""),35764.0)</f>
        <v>35764</v>
      </c>
      <c r="I350" s="19">
        <f>IFERROR(__xludf.DUMMYFUNCTION("""COMPUTED_VALUE"""),25.975)</f>
        <v>25.975</v>
      </c>
      <c r="J350" s="21"/>
      <c r="K350" s="23">
        <f>IFERROR(__xludf.DUMMYFUNCTION("""COMPUTED_VALUE"""),7.6)</f>
        <v>7.6</v>
      </c>
      <c r="L350" s="24">
        <f>IFERROR(__xludf.DUMMYFUNCTION("""COMPUTED_VALUE"""),6.0)</f>
        <v>6</v>
      </c>
      <c r="M350" s="25" t="str">
        <f>IFERROR(__xludf.DUMMYFUNCTION("""COMPUTED_VALUE"""),"Racing")</f>
        <v>Racing</v>
      </c>
      <c r="N350" s="25" t="str">
        <f>IFERROR(__xludf.DUMMYFUNCTION("""COMPUTED_VALUE"""),"PS1")</f>
        <v>PS1</v>
      </c>
      <c r="O350" s="26" t="str">
        <f>IFERROR(__xludf.DUMMYFUNCTION("""COMPUTED_VALUE"""),"Yes")</f>
        <v>Yes</v>
      </c>
      <c r="P350" s="26"/>
    </row>
    <row r="351">
      <c r="A351" s="13" t="str">
        <f>IFERROR(__xludf.DUMMYFUNCTION("""COMPUTED_VALUE"""),"IQ Final")</f>
        <v>IQ Final</v>
      </c>
      <c r="B351" s="15" t="str">
        <f>IFERROR(__xludf.DUMMYFUNCTION("""COMPUTED_VALUE"""),"PS5/PS4")</f>
        <v>PS5/PS4</v>
      </c>
      <c r="C351" s="16" t="str">
        <f>IFERROR(__xludf.DUMMYFUNCTION("""COMPUTED_VALUE"""),"Premium (Classics)")</f>
        <v>Premium (Classics)</v>
      </c>
      <c r="D351" s="15" t="str">
        <f>IFERROR(__xludf.DUMMYFUNCTION("""COMPUTED_VALUE"""),"Active")</f>
        <v>Active</v>
      </c>
      <c r="E351" s="17">
        <f>IFERROR(__xludf.DUMMYFUNCTION("""COMPUTED_VALUE"""),45216.0)</f>
        <v>45216</v>
      </c>
      <c r="F351" s="54"/>
      <c r="G351" s="19">
        <f>IFERROR(__xludf.DUMMYFUNCTION("""COMPUTED_VALUE"""),35.63333333333333)</f>
        <v>35.63333333</v>
      </c>
      <c r="H351" s="17">
        <f>IFERROR(__xludf.DUMMYFUNCTION("""COMPUTED_VALUE"""),36152.0)</f>
        <v>36152</v>
      </c>
      <c r="I351" s="19">
        <f>IFERROR(__xludf.DUMMYFUNCTION("""COMPUTED_VALUE"""),24.816666666666666)</f>
        <v>24.81666667</v>
      </c>
      <c r="J351" s="21"/>
      <c r="K351" s="23"/>
      <c r="L351" s="24">
        <f>IFERROR(__xludf.DUMMYFUNCTION("""COMPUTED_VALUE"""),2.0)</f>
        <v>2</v>
      </c>
      <c r="M351" s="25" t="str">
        <f>IFERROR(__xludf.DUMMYFUNCTION("""COMPUTED_VALUE"""),"Puzzle")</f>
        <v>Puzzle</v>
      </c>
      <c r="N351" s="25" t="str">
        <f>IFERROR(__xludf.DUMMYFUNCTION("""COMPUTED_VALUE"""),"PSP")</f>
        <v>PSP</v>
      </c>
      <c r="O351" s="26" t="str">
        <f>IFERROR(__xludf.DUMMYFUNCTION("""COMPUTED_VALUE"""),"No")</f>
        <v>No</v>
      </c>
      <c r="P351" s="26"/>
    </row>
    <row r="352">
      <c r="A352" s="13" t="str">
        <f>IFERROR(__xludf.DUMMYFUNCTION("""COMPUTED_VALUE"""),"Bassmaster Fishing")</f>
        <v>Bassmaster Fishing</v>
      </c>
      <c r="B352" s="15" t="str">
        <f>IFERROR(__xludf.DUMMYFUNCTION("""COMPUTED_VALUE"""),"PS5/PS4")</f>
        <v>PS5/PS4</v>
      </c>
      <c r="C352" s="16" t="str">
        <f>IFERROR(__xludf.DUMMYFUNCTION("""COMPUTED_VALUE"""),"Extra")</f>
        <v>Extra</v>
      </c>
      <c r="D352" s="15" t="str">
        <f>IFERROR(__xludf.DUMMYFUNCTION("""COMPUTED_VALUE"""),"Active")</f>
        <v>Active</v>
      </c>
      <c r="E352" s="17">
        <f>IFERROR(__xludf.DUMMYFUNCTION("""COMPUTED_VALUE"""),45034.0)</f>
        <v>45034</v>
      </c>
      <c r="F352" s="54"/>
      <c r="G352" s="19">
        <f>IFERROR(__xludf.DUMMYFUNCTION("""COMPUTED_VALUE"""),41.6)</f>
        <v>41.6</v>
      </c>
      <c r="H352" s="17">
        <f>IFERROR(__xludf.DUMMYFUNCTION("""COMPUTED_VALUE"""),35122.0)</f>
        <v>35122</v>
      </c>
      <c r="I352" s="19">
        <f>IFERROR(__xludf.DUMMYFUNCTION("""COMPUTED_VALUE"""),27.141666666666666)</f>
        <v>27.14166667</v>
      </c>
      <c r="J352" s="21"/>
      <c r="K352" s="23">
        <f>IFERROR(__xludf.DUMMYFUNCTION("""COMPUTED_VALUE"""),4.0)</f>
        <v>4</v>
      </c>
      <c r="L352" s="24"/>
      <c r="M352" s="25" t="str">
        <f>IFERROR(__xludf.DUMMYFUNCTION("""COMPUTED_VALUE"""),"Sports")</f>
        <v>Sports</v>
      </c>
      <c r="N352" s="25"/>
      <c r="O352" s="26" t="str">
        <f>IFERROR(__xludf.DUMMYFUNCTION("""COMPUTED_VALUE"""),"No")</f>
        <v>No</v>
      </c>
      <c r="P352" s="26"/>
    </row>
    <row r="353">
      <c r="A353" s="52"/>
      <c r="B353" s="15"/>
      <c r="C353" s="16"/>
      <c r="D353" s="15"/>
      <c r="E353" s="17"/>
      <c r="F353" s="54"/>
      <c r="G353" s="19"/>
      <c r="H353" s="17"/>
      <c r="I353" s="19"/>
      <c r="J353" s="21"/>
      <c r="K353" s="57"/>
      <c r="L353" s="24"/>
      <c r="M353" s="25"/>
      <c r="N353" s="25"/>
      <c r="O353" s="26"/>
      <c r="P353" s="26"/>
    </row>
    <row r="354">
      <c r="A354" s="52"/>
      <c r="B354" s="15"/>
      <c r="C354" s="16"/>
      <c r="D354" s="15"/>
      <c r="E354" s="17"/>
      <c r="F354" s="18"/>
      <c r="G354" s="19"/>
      <c r="H354" s="17"/>
      <c r="I354" s="19"/>
      <c r="J354" s="21"/>
      <c r="K354" s="57"/>
      <c r="L354" s="24"/>
      <c r="M354" s="25"/>
      <c r="N354" s="25"/>
      <c r="O354" s="26"/>
      <c r="P354" s="26"/>
    </row>
    <row r="355">
      <c r="A355" s="52"/>
      <c r="B355" s="15"/>
      <c r="C355" s="16"/>
      <c r="D355" s="15"/>
      <c r="E355" s="17"/>
      <c r="F355" s="54"/>
      <c r="G355" s="19"/>
      <c r="H355" s="17"/>
      <c r="I355" s="19"/>
      <c r="J355" s="21"/>
      <c r="K355" s="57"/>
      <c r="L355" s="24"/>
      <c r="M355" s="25"/>
      <c r="N355" s="25"/>
      <c r="O355" s="26"/>
      <c r="P355" s="26"/>
    </row>
    <row r="356">
      <c r="A356" s="52"/>
      <c r="B356" s="15"/>
      <c r="C356" s="16"/>
      <c r="D356" s="15"/>
      <c r="E356" s="17"/>
      <c r="F356" s="18"/>
      <c r="G356" s="19"/>
      <c r="H356" s="17"/>
      <c r="I356" s="19"/>
      <c r="J356" s="21"/>
      <c r="K356" s="57"/>
      <c r="L356" s="24"/>
      <c r="M356" s="25"/>
      <c r="N356" s="25"/>
      <c r="O356" s="26"/>
      <c r="P356" s="26"/>
    </row>
    <row r="357">
      <c r="A357" s="52"/>
      <c r="B357" s="15"/>
      <c r="C357" s="16"/>
      <c r="D357" s="15"/>
      <c r="E357" s="17"/>
      <c r="F357" s="54"/>
      <c r="G357" s="19"/>
      <c r="H357" s="17"/>
      <c r="I357" s="19"/>
      <c r="J357" s="21"/>
      <c r="K357" s="57"/>
      <c r="L357" s="24"/>
      <c r="M357" s="25"/>
      <c r="N357" s="25"/>
      <c r="O357" s="26"/>
      <c r="P357" s="26"/>
    </row>
    <row r="358">
      <c r="A358" s="52"/>
      <c r="B358" s="15"/>
      <c r="C358" s="16"/>
      <c r="D358" s="15"/>
      <c r="E358" s="17"/>
      <c r="F358" s="54"/>
      <c r="G358" s="19"/>
      <c r="H358" s="17"/>
      <c r="I358" s="19"/>
      <c r="J358" s="21"/>
      <c r="K358" s="57"/>
      <c r="L358" s="24"/>
      <c r="M358" s="25"/>
      <c r="N358" s="25"/>
      <c r="O358" s="26"/>
      <c r="P358" s="26"/>
    </row>
    <row r="359">
      <c r="A359" s="52"/>
      <c r="B359" s="15"/>
      <c r="C359" s="16"/>
      <c r="D359" s="15"/>
      <c r="E359" s="17"/>
      <c r="F359" s="54"/>
      <c r="G359" s="19"/>
      <c r="H359" s="17"/>
      <c r="I359" s="19"/>
      <c r="J359" s="21"/>
      <c r="K359" s="57"/>
      <c r="L359" s="24"/>
      <c r="M359" s="25"/>
      <c r="N359" s="25"/>
      <c r="O359" s="26"/>
      <c r="P359" s="26"/>
    </row>
    <row r="360">
      <c r="A360" s="52"/>
      <c r="B360" s="15"/>
      <c r="C360" s="16"/>
      <c r="D360" s="15"/>
      <c r="E360" s="17"/>
      <c r="F360" s="18"/>
      <c r="G360" s="19"/>
      <c r="H360" s="17"/>
      <c r="I360" s="19"/>
      <c r="J360" s="21"/>
      <c r="K360" s="57"/>
      <c r="L360" s="24"/>
      <c r="M360" s="25"/>
      <c r="N360" s="25"/>
      <c r="O360" s="26"/>
      <c r="P360" s="26"/>
    </row>
    <row r="361">
      <c r="A361" s="52"/>
      <c r="B361" s="15"/>
      <c r="C361" s="16"/>
      <c r="D361" s="15"/>
      <c r="E361" s="17"/>
      <c r="F361" s="54"/>
      <c r="G361" s="19"/>
      <c r="H361" s="17"/>
      <c r="I361" s="19"/>
      <c r="J361" s="21"/>
      <c r="K361" s="57"/>
      <c r="L361" s="24"/>
      <c r="M361" s="25"/>
      <c r="N361" s="25"/>
      <c r="O361" s="26"/>
      <c r="P361" s="26"/>
    </row>
    <row r="362">
      <c r="A362" s="52"/>
      <c r="B362" s="15"/>
      <c r="C362" s="16"/>
      <c r="D362" s="15"/>
      <c r="E362" s="17"/>
      <c r="F362" s="54"/>
      <c r="G362" s="19"/>
      <c r="H362" s="17"/>
      <c r="I362" s="19"/>
      <c r="J362" s="21"/>
      <c r="K362" s="57"/>
      <c r="L362" s="24"/>
      <c r="M362" s="25"/>
      <c r="N362" s="25"/>
      <c r="O362" s="26"/>
      <c r="P362" s="26"/>
    </row>
    <row r="363">
      <c r="A363" s="52"/>
      <c r="B363" s="15"/>
      <c r="C363" s="16"/>
      <c r="D363" s="15"/>
      <c r="E363" s="17"/>
      <c r="F363" s="54"/>
      <c r="G363" s="19"/>
      <c r="H363" s="17"/>
      <c r="I363" s="19"/>
      <c r="J363" s="21"/>
      <c r="K363" s="57"/>
      <c r="L363" s="24"/>
      <c r="M363" s="25"/>
      <c r="N363" s="25"/>
      <c r="O363" s="26"/>
      <c r="P363" s="26"/>
    </row>
    <row r="364">
      <c r="A364" s="52"/>
      <c r="B364" s="15"/>
      <c r="C364" s="16"/>
      <c r="D364" s="15"/>
      <c r="E364" s="17"/>
      <c r="F364" s="54"/>
      <c r="G364" s="19"/>
      <c r="H364" s="17"/>
      <c r="I364" s="19"/>
      <c r="J364" s="21"/>
      <c r="K364" s="57"/>
      <c r="L364" s="24"/>
      <c r="M364" s="25"/>
      <c r="N364" s="25"/>
      <c r="O364" s="26"/>
      <c r="P364" s="26"/>
    </row>
    <row r="365">
      <c r="A365" s="52"/>
      <c r="B365" s="15"/>
      <c r="C365" s="16"/>
      <c r="D365" s="15"/>
      <c r="E365" s="17"/>
      <c r="F365" s="54"/>
      <c r="G365" s="19"/>
      <c r="H365" s="17"/>
      <c r="I365" s="19"/>
      <c r="J365" s="21"/>
      <c r="K365" s="57"/>
      <c r="L365" s="24"/>
      <c r="M365" s="25"/>
      <c r="N365" s="25"/>
      <c r="O365" s="26"/>
      <c r="P365" s="26"/>
    </row>
    <row r="366">
      <c r="A366" s="52"/>
      <c r="B366" s="15"/>
      <c r="C366" s="16"/>
      <c r="D366" s="15"/>
      <c r="E366" s="17"/>
      <c r="F366" s="54"/>
      <c r="G366" s="19"/>
      <c r="H366" s="17"/>
      <c r="I366" s="19"/>
      <c r="J366" s="21"/>
      <c r="K366" s="57"/>
      <c r="L366" s="24"/>
      <c r="M366" s="25"/>
      <c r="N366" s="25"/>
      <c r="O366" s="26"/>
      <c r="P366" s="26"/>
    </row>
    <row r="367">
      <c r="A367" s="52"/>
      <c r="B367" s="15"/>
      <c r="C367" s="16"/>
      <c r="D367" s="15"/>
      <c r="E367" s="17"/>
      <c r="F367" s="54"/>
      <c r="G367" s="19"/>
      <c r="H367" s="17"/>
      <c r="I367" s="19"/>
      <c r="J367" s="21"/>
      <c r="K367" s="57"/>
      <c r="L367" s="24"/>
      <c r="M367" s="25"/>
      <c r="N367" s="25"/>
      <c r="O367" s="26"/>
      <c r="P367" s="26"/>
    </row>
    <row r="368">
      <c r="A368" s="52"/>
      <c r="B368" s="15"/>
      <c r="C368" s="16"/>
      <c r="D368" s="15"/>
      <c r="E368" s="17"/>
      <c r="F368" s="54"/>
      <c r="G368" s="19"/>
      <c r="H368" s="17"/>
      <c r="I368" s="19"/>
      <c r="J368" s="21"/>
      <c r="K368" s="57"/>
      <c r="L368" s="24"/>
      <c r="M368" s="25"/>
      <c r="N368" s="25"/>
      <c r="O368" s="26"/>
      <c r="P368" s="26"/>
    </row>
    <row r="369">
      <c r="A369" s="52"/>
      <c r="B369" s="15"/>
      <c r="C369" s="16"/>
      <c r="D369" s="15"/>
      <c r="E369" s="17"/>
      <c r="F369" s="54"/>
      <c r="G369" s="19"/>
      <c r="H369" s="17"/>
      <c r="I369" s="19"/>
      <c r="J369" s="21"/>
      <c r="K369" s="57"/>
      <c r="L369" s="24"/>
      <c r="M369" s="25"/>
      <c r="N369" s="25"/>
      <c r="O369" s="26"/>
      <c r="P369" s="26"/>
    </row>
    <row r="370">
      <c r="A370" s="52"/>
      <c r="B370" s="15"/>
      <c r="C370" s="16"/>
      <c r="D370" s="15"/>
      <c r="E370" s="17"/>
      <c r="F370" s="54"/>
      <c r="G370" s="19"/>
      <c r="H370" s="17"/>
      <c r="I370" s="19"/>
      <c r="J370" s="21"/>
      <c r="K370" s="57"/>
      <c r="L370" s="24"/>
      <c r="M370" s="25"/>
      <c r="N370" s="25"/>
      <c r="O370" s="26"/>
      <c r="P370" s="26"/>
    </row>
    <row r="371">
      <c r="A371" s="52"/>
      <c r="B371" s="15"/>
      <c r="C371" s="16"/>
      <c r="D371" s="15"/>
      <c r="E371" s="17"/>
      <c r="F371" s="54"/>
      <c r="G371" s="19"/>
      <c r="H371" s="17"/>
      <c r="I371" s="19"/>
      <c r="J371" s="21"/>
      <c r="K371" s="57"/>
      <c r="L371" s="24"/>
      <c r="M371" s="25"/>
      <c r="N371" s="25"/>
      <c r="O371" s="26"/>
      <c r="P371" s="26"/>
    </row>
    <row r="372">
      <c r="A372" s="52"/>
      <c r="B372" s="15"/>
      <c r="C372" s="16"/>
      <c r="D372" s="15"/>
      <c r="E372" s="17"/>
      <c r="F372" s="54"/>
      <c r="G372" s="19"/>
      <c r="H372" s="17"/>
      <c r="I372" s="19"/>
      <c r="J372" s="21"/>
      <c r="K372" s="57"/>
      <c r="L372" s="24"/>
      <c r="M372" s="25"/>
      <c r="N372" s="25"/>
      <c r="O372" s="26"/>
      <c r="P372" s="26"/>
    </row>
    <row r="373">
      <c r="A373" s="52"/>
      <c r="B373" s="15"/>
      <c r="C373" s="16"/>
      <c r="D373" s="15"/>
      <c r="E373" s="17"/>
      <c r="F373" s="54"/>
      <c r="G373" s="19"/>
      <c r="H373" s="17"/>
      <c r="I373" s="19"/>
      <c r="J373" s="21"/>
      <c r="K373" s="57"/>
      <c r="L373" s="24"/>
      <c r="M373" s="25"/>
      <c r="N373" s="25"/>
      <c r="O373" s="26"/>
      <c r="P373" s="26"/>
    </row>
    <row r="374">
      <c r="A374" s="52"/>
      <c r="B374" s="15"/>
      <c r="C374" s="16"/>
      <c r="D374" s="15"/>
      <c r="E374" s="17"/>
      <c r="F374" s="54"/>
      <c r="G374" s="19"/>
      <c r="H374" s="17"/>
      <c r="I374" s="19"/>
      <c r="J374" s="21"/>
      <c r="K374" s="57"/>
      <c r="L374" s="24"/>
      <c r="M374" s="25"/>
      <c r="N374" s="25"/>
      <c r="O374" s="26"/>
      <c r="P374" s="26"/>
    </row>
    <row r="375">
      <c r="A375" s="52"/>
      <c r="B375" s="15"/>
      <c r="C375" s="16"/>
      <c r="D375" s="15"/>
      <c r="E375" s="17"/>
      <c r="F375" s="54"/>
      <c r="G375" s="19"/>
      <c r="H375" s="17"/>
      <c r="I375" s="19"/>
      <c r="J375" s="21"/>
      <c r="K375" s="57"/>
      <c r="L375" s="24"/>
      <c r="M375" s="25"/>
      <c r="N375" s="25"/>
      <c r="O375" s="26"/>
      <c r="P375" s="26"/>
    </row>
    <row r="376">
      <c r="A376" s="52"/>
      <c r="B376" s="15"/>
      <c r="C376" s="16"/>
      <c r="D376" s="15"/>
      <c r="E376" s="17"/>
      <c r="F376" s="54"/>
      <c r="G376" s="19"/>
      <c r="H376" s="17"/>
      <c r="I376" s="19"/>
      <c r="J376" s="21"/>
      <c r="K376" s="57"/>
      <c r="L376" s="24"/>
      <c r="M376" s="25"/>
      <c r="N376" s="25"/>
      <c r="O376" s="26"/>
      <c r="P376" s="26"/>
    </row>
    <row r="377">
      <c r="A377" s="52"/>
      <c r="B377" s="15"/>
      <c r="C377" s="16"/>
      <c r="D377" s="15"/>
      <c r="E377" s="17"/>
      <c r="F377" s="54"/>
      <c r="G377" s="19"/>
      <c r="H377" s="17"/>
      <c r="I377" s="19"/>
      <c r="J377" s="21"/>
      <c r="K377" s="57"/>
      <c r="L377" s="24"/>
      <c r="M377" s="25"/>
      <c r="N377" s="25"/>
      <c r="O377" s="26"/>
      <c r="P377" s="26"/>
    </row>
    <row r="378">
      <c r="A378" s="52"/>
      <c r="B378" s="15"/>
      <c r="C378" s="16"/>
      <c r="D378" s="15"/>
      <c r="E378" s="17"/>
      <c r="F378" s="54"/>
      <c r="G378" s="19"/>
      <c r="H378" s="17"/>
      <c r="I378" s="19"/>
      <c r="J378" s="21"/>
      <c r="K378" s="57"/>
      <c r="L378" s="24"/>
      <c r="M378" s="25"/>
      <c r="N378" s="25"/>
      <c r="O378" s="26"/>
      <c r="P378" s="26"/>
    </row>
    <row r="379">
      <c r="A379" s="52"/>
      <c r="B379" s="15"/>
      <c r="C379" s="16"/>
      <c r="D379" s="15"/>
      <c r="E379" s="17"/>
      <c r="F379" s="54"/>
      <c r="G379" s="19"/>
      <c r="H379" s="17"/>
      <c r="I379" s="19"/>
      <c r="J379" s="21"/>
      <c r="K379" s="57"/>
      <c r="L379" s="24"/>
      <c r="M379" s="25"/>
      <c r="N379" s="25"/>
      <c r="O379" s="26"/>
      <c r="P379" s="26"/>
    </row>
    <row r="380">
      <c r="A380" s="52"/>
      <c r="B380" s="15"/>
      <c r="C380" s="16"/>
      <c r="D380" s="15"/>
      <c r="E380" s="17"/>
      <c r="F380" s="54"/>
      <c r="G380" s="19"/>
      <c r="H380" s="17"/>
      <c r="I380" s="19"/>
      <c r="J380" s="21"/>
      <c r="K380" s="57"/>
      <c r="L380" s="24"/>
      <c r="M380" s="25"/>
      <c r="N380" s="25"/>
      <c r="O380" s="26"/>
      <c r="P380" s="26"/>
    </row>
    <row r="381">
      <c r="A381" s="52"/>
      <c r="B381" s="15"/>
      <c r="C381" s="16"/>
      <c r="D381" s="15"/>
      <c r="E381" s="17"/>
      <c r="F381" s="54"/>
      <c r="G381" s="19"/>
      <c r="H381" s="17"/>
      <c r="I381" s="19"/>
      <c r="J381" s="21"/>
      <c r="K381" s="57"/>
      <c r="L381" s="24"/>
      <c r="M381" s="25"/>
      <c r="N381" s="25"/>
      <c r="O381" s="26"/>
      <c r="P381" s="26"/>
    </row>
    <row r="382">
      <c r="A382" s="52"/>
      <c r="B382" s="15"/>
      <c r="C382" s="16"/>
      <c r="D382" s="15"/>
      <c r="E382" s="17"/>
      <c r="F382" s="54"/>
      <c r="G382" s="19"/>
      <c r="H382" s="17"/>
      <c r="I382" s="19"/>
      <c r="J382" s="21"/>
      <c r="K382" s="57"/>
      <c r="L382" s="24"/>
      <c r="M382" s="25"/>
      <c r="N382" s="25"/>
      <c r="O382" s="26"/>
      <c r="P382" s="26"/>
    </row>
    <row r="383">
      <c r="A383" s="52"/>
      <c r="B383" s="15"/>
      <c r="C383" s="16"/>
      <c r="D383" s="15"/>
      <c r="E383" s="17"/>
      <c r="F383" s="54"/>
      <c r="G383" s="19"/>
      <c r="H383" s="17"/>
      <c r="I383" s="19"/>
      <c r="J383" s="21"/>
      <c r="K383" s="57"/>
      <c r="L383" s="24"/>
      <c r="M383" s="25"/>
      <c r="N383" s="25"/>
      <c r="O383" s="26"/>
      <c r="P383" s="26"/>
    </row>
    <row r="384">
      <c r="A384" s="52"/>
      <c r="B384" s="15"/>
      <c r="C384" s="16"/>
      <c r="D384" s="15"/>
      <c r="E384" s="17"/>
      <c r="F384" s="54"/>
      <c r="G384" s="19"/>
      <c r="H384" s="17"/>
      <c r="I384" s="19"/>
      <c r="J384" s="21"/>
      <c r="K384" s="57"/>
      <c r="L384" s="24"/>
      <c r="M384" s="25"/>
      <c r="N384" s="25"/>
      <c r="O384" s="26"/>
      <c r="P384" s="26"/>
    </row>
    <row r="385">
      <c r="A385" s="52"/>
      <c r="B385" s="15"/>
      <c r="C385" s="16"/>
      <c r="D385" s="15"/>
      <c r="E385" s="17"/>
      <c r="F385" s="54"/>
      <c r="G385" s="19"/>
      <c r="H385" s="17"/>
      <c r="I385" s="19"/>
      <c r="J385" s="21"/>
      <c r="K385" s="57"/>
      <c r="L385" s="24"/>
      <c r="M385" s="25"/>
      <c r="N385" s="25"/>
      <c r="O385" s="26"/>
      <c r="P385" s="26"/>
    </row>
    <row r="386">
      <c r="A386" s="52"/>
      <c r="B386" s="15"/>
      <c r="C386" s="16"/>
      <c r="D386" s="15"/>
      <c r="E386" s="17"/>
      <c r="F386" s="54"/>
      <c r="G386" s="19"/>
      <c r="H386" s="17"/>
      <c r="I386" s="19"/>
      <c r="J386" s="21"/>
      <c r="K386" s="57"/>
      <c r="L386" s="24"/>
      <c r="M386" s="25"/>
      <c r="N386" s="25"/>
      <c r="O386" s="26"/>
      <c r="P386" s="26"/>
    </row>
    <row r="387">
      <c r="A387" s="52"/>
      <c r="B387" s="15"/>
      <c r="C387" s="16"/>
      <c r="D387" s="15"/>
      <c r="E387" s="17"/>
      <c r="F387" s="54"/>
      <c r="G387" s="19"/>
      <c r="H387" s="17"/>
      <c r="I387" s="19"/>
      <c r="J387" s="21"/>
      <c r="K387" s="57"/>
      <c r="L387" s="24"/>
      <c r="M387" s="25"/>
      <c r="N387" s="25"/>
      <c r="O387" s="26"/>
      <c r="P387" s="26"/>
    </row>
    <row r="388">
      <c r="A388" s="52"/>
      <c r="B388" s="15"/>
      <c r="C388" s="16"/>
      <c r="D388" s="15"/>
      <c r="E388" s="17"/>
      <c r="F388" s="54"/>
      <c r="G388" s="19"/>
      <c r="H388" s="17"/>
      <c r="I388" s="19"/>
      <c r="J388" s="21"/>
      <c r="K388" s="57"/>
      <c r="L388" s="24"/>
      <c r="M388" s="25"/>
      <c r="N388" s="25"/>
      <c r="O388" s="26"/>
      <c r="P388" s="26"/>
    </row>
    <row r="389">
      <c r="A389" s="52"/>
      <c r="B389" s="15"/>
      <c r="C389" s="16"/>
      <c r="D389" s="15"/>
      <c r="E389" s="17"/>
      <c r="F389" s="54"/>
      <c r="G389" s="19"/>
      <c r="H389" s="17"/>
      <c r="I389" s="19"/>
      <c r="J389" s="21"/>
      <c r="K389" s="57"/>
      <c r="L389" s="24"/>
      <c r="M389" s="25"/>
      <c r="N389" s="25"/>
      <c r="O389" s="26"/>
      <c r="P389" s="26"/>
    </row>
    <row r="390">
      <c r="A390" s="52"/>
      <c r="B390" s="15"/>
      <c r="C390" s="16"/>
      <c r="D390" s="15"/>
      <c r="E390" s="17"/>
      <c r="F390" s="54"/>
      <c r="G390" s="19"/>
      <c r="H390" s="17"/>
      <c r="I390" s="19"/>
      <c r="J390" s="21"/>
      <c r="K390" s="57"/>
      <c r="L390" s="24"/>
      <c r="M390" s="25"/>
      <c r="N390" s="25"/>
      <c r="O390" s="26"/>
      <c r="P390" s="26"/>
    </row>
    <row r="391">
      <c r="A391" s="52"/>
      <c r="B391" s="15"/>
      <c r="C391" s="16"/>
      <c r="D391" s="15"/>
      <c r="E391" s="17"/>
      <c r="F391" s="54"/>
      <c r="G391" s="19"/>
      <c r="H391" s="17"/>
      <c r="I391" s="19"/>
      <c r="J391" s="21"/>
      <c r="K391" s="57"/>
      <c r="L391" s="24"/>
      <c r="M391" s="25"/>
      <c r="N391" s="25"/>
      <c r="O391" s="26"/>
      <c r="P391" s="26"/>
    </row>
    <row r="392">
      <c r="A392" s="52"/>
      <c r="B392" s="15"/>
      <c r="C392" s="16"/>
      <c r="D392" s="15"/>
      <c r="E392" s="17"/>
      <c r="F392" s="54"/>
      <c r="G392" s="19"/>
      <c r="H392" s="17"/>
      <c r="I392" s="19"/>
      <c r="J392" s="21"/>
      <c r="K392" s="57"/>
      <c r="L392" s="24"/>
      <c r="M392" s="25"/>
      <c r="N392" s="25"/>
      <c r="O392" s="26"/>
      <c r="P392" s="26"/>
    </row>
    <row r="393">
      <c r="A393" s="52"/>
      <c r="B393" s="15"/>
      <c r="C393" s="16"/>
      <c r="D393" s="15"/>
      <c r="E393" s="17"/>
      <c r="F393" s="54"/>
      <c r="G393" s="19"/>
      <c r="H393" s="17"/>
      <c r="I393" s="19"/>
      <c r="J393" s="21"/>
      <c r="K393" s="57"/>
      <c r="L393" s="24"/>
      <c r="M393" s="25"/>
      <c r="N393" s="25"/>
      <c r="O393" s="26"/>
      <c r="P393" s="26"/>
    </row>
    <row r="394">
      <c r="A394" s="52"/>
      <c r="B394" s="15"/>
      <c r="C394" s="16"/>
      <c r="D394" s="15"/>
      <c r="E394" s="17"/>
      <c r="F394" s="54"/>
      <c r="G394" s="19"/>
      <c r="H394" s="17"/>
      <c r="I394" s="19"/>
      <c r="J394" s="21"/>
      <c r="K394" s="57"/>
      <c r="L394" s="24"/>
      <c r="M394" s="25"/>
      <c r="N394" s="25"/>
      <c r="O394" s="26"/>
      <c r="P394" s="26"/>
    </row>
    <row r="395">
      <c r="A395" s="52"/>
      <c r="B395" s="15"/>
      <c r="C395" s="16"/>
      <c r="D395" s="15"/>
      <c r="E395" s="17"/>
      <c r="F395" s="54"/>
      <c r="G395" s="19"/>
      <c r="H395" s="17"/>
      <c r="I395" s="19"/>
      <c r="J395" s="21"/>
      <c r="K395" s="57"/>
      <c r="L395" s="24"/>
      <c r="M395" s="25"/>
      <c r="N395" s="25"/>
      <c r="O395" s="26"/>
      <c r="P395" s="26"/>
    </row>
    <row r="396">
      <c r="A396" s="52"/>
      <c r="B396" s="15"/>
      <c r="C396" s="16"/>
      <c r="D396" s="15"/>
      <c r="E396" s="17"/>
      <c r="F396" s="54"/>
      <c r="G396" s="19"/>
      <c r="H396" s="17"/>
      <c r="I396" s="19"/>
      <c r="J396" s="21"/>
      <c r="K396" s="57"/>
      <c r="L396" s="24"/>
      <c r="M396" s="25"/>
      <c r="N396" s="25"/>
      <c r="O396" s="26"/>
      <c r="P396" s="26"/>
    </row>
    <row r="397">
      <c r="A397" s="52"/>
      <c r="B397" s="15"/>
      <c r="C397" s="16"/>
      <c r="D397" s="15"/>
      <c r="E397" s="17"/>
      <c r="F397" s="54"/>
      <c r="G397" s="19"/>
      <c r="H397" s="17"/>
      <c r="I397" s="19"/>
      <c r="J397" s="21"/>
      <c r="K397" s="57"/>
      <c r="L397" s="24"/>
      <c r="M397" s="25"/>
      <c r="N397" s="25"/>
      <c r="O397" s="26"/>
      <c r="P397" s="26"/>
    </row>
    <row r="398">
      <c r="A398" s="52"/>
      <c r="B398" s="15"/>
      <c r="C398" s="16"/>
      <c r="D398" s="15"/>
      <c r="E398" s="17"/>
      <c r="F398" s="54"/>
      <c r="G398" s="19"/>
      <c r="H398" s="17"/>
      <c r="I398" s="19"/>
      <c r="J398" s="21"/>
      <c r="K398" s="57"/>
      <c r="L398" s="24"/>
      <c r="M398" s="25"/>
      <c r="N398" s="25"/>
      <c r="O398" s="26"/>
      <c r="P398" s="26"/>
    </row>
    <row r="399">
      <c r="A399" s="52"/>
      <c r="B399" s="15"/>
      <c r="C399" s="16"/>
      <c r="D399" s="15"/>
      <c r="E399" s="17"/>
      <c r="F399" s="54"/>
      <c r="G399" s="19"/>
      <c r="H399" s="17"/>
      <c r="I399" s="19"/>
      <c r="J399" s="21"/>
      <c r="K399" s="57"/>
      <c r="L399" s="24"/>
      <c r="M399" s="25"/>
      <c r="N399" s="25"/>
      <c r="O399" s="26"/>
      <c r="P399" s="26"/>
    </row>
    <row r="400">
      <c r="A400" s="52"/>
      <c r="B400" s="15"/>
      <c r="C400" s="16"/>
      <c r="D400" s="15"/>
      <c r="E400" s="17"/>
      <c r="F400" s="54"/>
      <c r="G400" s="19"/>
      <c r="H400" s="17"/>
      <c r="I400" s="19"/>
      <c r="J400" s="21"/>
      <c r="K400" s="57"/>
      <c r="L400" s="24"/>
      <c r="M400" s="25"/>
      <c r="N400" s="25"/>
      <c r="O400" s="26"/>
      <c r="P400" s="26"/>
    </row>
    <row r="401">
      <c r="A401" s="52"/>
      <c r="B401" s="15"/>
      <c r="C401" s="16"/>
      <c r="D401" s="15"/>
      <c r="E401" s="17"/>
      <c r="F401" s="54"/>
      <c r="G401" s="19"/>
      <c r="H401" s="17"/>
      <c r="I401" s="19"/>
      <c r="J401" s="21"/>
      <c r="K401" s="57"/>
      <c r="L401" s="24"/>
      <c r="M401" s="25"/>
      <c r="N401" s="25"/>
      <c r="O401" s="26"/>
      <c r="P401" s="26"/>
    </row>
    <row r="402">
      <c r="A402" s="52"/>
      <c r="B402" s="15"/>
      <c r="C402" s="16"/>
      <c r="D402" s="15"/>
      <c r="E402" s="17"/>
      <c r="F402" s="54"/>
      <c r="G402" s="19"/>
      <c r="H402" s="17"/>
      <c r="I402" s="19"/>
      <c r="J402" s="21"/>
      <c r="K402" s="57"/>
      <c r="L402" s="24"/>
      <c r="M402" s="25"/>
      <c r="N402" s="25"/>
      <c r="O402" s="26"/>
      <c r="P402" s="26"/>
    </row>
    <row r="403">
      <c r="A403" s="52"/>
      <c r="B403" s="15"/>
      <c r="C403" s="16"/>
      <c r="D403" s="15"/>
      <c r="E403" s="17"/>
      <c r="F403" s="54"/>
      <c r="G403" s="19"/>
      <c r="H403" s="17"/>
      <c r="I403" s="19"/>
      <c r="J403" s="21"/>
      <c r="K403" s="57"/>
      <c r="L403" s="24"/>
      <c r="M403" s="25"/>
      <c r="N403" s="25"/>
      <c r="O403" s="26"/>
      <c r="P403" s="26"/>
    </row>
    <row r="404">
      <c r="A404" s="52"/>
      <c r="B404" s="15"/>
      <c r="C404" s="16"/>
      <c r="D404" s="15"/>
      <c r="E404" s="17"/>
      <c r="F404" s="54"/>
      <c r="G404" s="19"/>
      <c r="H404" s="17"/>
      <c r="I404" s="19"/>
      <c r="J404" s="21"/>
      <c r="K404" s="57"/>
      <c r="L404" s="24"/>
      <c r="M404" s="25"/>
      <c r="N404" s="25"/>
      <c r="O404" s="26"/>
      <c r="P404" s="26"/>
    </row>
    <row r="405">
      <c r="A405" s="52"/>
      <c r="B405" s="15"/>
      <c r="C405" s="16"/>
      <c r="D405" s="15"/>
      <c r="E405" s="17"/>
      <c r="F405" s="54"/>
      <c r="G405" s="19"/>
      <c r="H405" s="17"/>
      <c r="I405" s="19"/>
      <c r="J405" s="21"/>
      <c r="K405" s="57"/>
      <c r="L405" s="24"/>
      <c r="M405" s="25"/>
      <c r="N405" s="25"/>
      <c r="O405" s="26"/>
      <c r="P405" s="26"/>
    </row>
    <row r="406">
      <c r="A406" s="52"/>
      <c r="B406" s="15"/>
      <c r="C406" s="16"/>
      <c r="D406" s="15"/>
      <c r="E406" s="17"/>
      <c r="F406" s="54"/>
      <c r="G406" s="19"/>
      <c r="H406" s="17"/>
      <c r="I406" s="19"/>
      <c r="J406" s="21"/>
      <c r="K406" s="57"/>
      <c r="L406" s="24"/>
      <c r="M406" s="25"/>
      <c r="N406" s="25"/>
      <c r="O406" s="26"/>
      <c r="P406" s="26"/>
    </row>
    <row r="407">
      <c r="A407" s="52"/>
      <c r="B407" s="15"/>
      <c r="C407" s="16"/>
      <c r="D407" s="15"/>
      <c r="E407" s="17"/>
      <c r="F407" s="54"/>
      <c r="G407" s="19"/>
      <c r="H407" s="17"/>
      <c r="I407" s="19"/>
      <c r="J407" s="21"/>
      <c r="K407" s="57"/>
      <c r="L407" s="24"/>
      <c r="M407" s="25"/>
      <c r="N407" s="25"/>
      <c r="O407" s="26"/>
      <c r="P407" s="26"/>
    </row>
    <row r="408">
      <c r="A408" s="52"/>
      <c r="B408" s="15"/>
      <c r="C408" s="16"/>
      <c r="D408" s="15"/>
      <c r="E408" s="17"/>
      <c r="F408" s="54"/>
      <c r="G408" s="19"/>
      <c r="H408" s="17"/>
      <c r="I408" s="19"/>
      <c r="J408" s="21"/>
      <c r="K408" s="57"/>
      <c r="L408" s="24"/>
      <c r="M408" s="25"/>
      <c r="N408" s="25"/>
      <c r="O408" s="26"/>
      <c r="P408" s="26"/>
    </row>
    <row r="409">
      <c r="A409" s="52"/>
      <c r="B409" s="15"/>
      <c r="C409" s="16"/>
      <c r="D409" s="15"/>
      <c r="E409" s="17"/>
      <c r="F409" s="54"/>
      <c r="G409" s="19"/>
      <c r="H409" s="17"/>
      <c r="I409" s="19"/>
      <c r="J409" s="21"/>
      <c r="K409" s="57"/>
      <c r="L409" s="24"/>
      <c r="M409" s="25"/>
      <c r="N409" s="25"/>
      <c r="O409" s="26"/>
      <c r="P409" s="26"/>
    </row>
    <row r="410">
      <c r="A410" s="52"/>
      <c r="B410" s="15"/>
      <c r="C410" s="16"/>
      <c r="D410" s="15"/>
      <c r="E410" s="17"/>
      <c r="F410" s="54"/>
      <c r="G410" s="19"/>
      <c r="H410" s="17"/>
      <c r="I410" s="19"/>
      <c r="J410" s="21"/>
      <c r="K410" s="57"/>
      <c r="L410" s="24"/>
      <c r="M410" s="25"/>
      <c r="N410" s="25"/>
      <c r="O410" s="26"/>
      <c r="P410" s="26"/>
    </row>
    <row r="411">
      <c r="A411" s="52"/>
      <c r="B411" s="15"/>
      <c r="C411" s="16"/>
      <c r="D411" s="15"/>
      <c r="E411" s="17"/>
      <c r="F411" s="54"/>
      <c r="G411" s="19"/>
      <c r="H411" s="17"/>
      <c r="I411" s="19"/>
      <c r="J411" s="21"/>
      <c r="K411" s="57"/>
      <c r="L411" s="24"/>
      <c r="M411" s="25"/>
      <c r="N411" s="25"/>
      <c r="O411" s="26"/>
      <c r="P411" s="26"/>
    </row>
    <row r="412">
      <c r="A412" s="52"/>
      <c r="B412" s="15"/>
      <c r="C412" s="16"/>
      <c r="D412" s="15"/>
      <c r="E412" s="17"/>
      <c r="F412" s="54"/>
      <c r="G412" s="19"/>
      <c r="H412" s="17"/>
      <c r="I412" s="19"/>
      <c r="J412" s="21"/>
      <c r="K412" s="57"/>
      <c r="L412" s="24"/>
      <c r="M412" s="25"/>
      <c r="N412" s="25"/>
      <c r="O412" s="26"/>
      <c r="P412" s="26"/>
    </row>
    <row r="413">
      <c r="A413" s="52"/>
      <c r="B413" s="15"/>
      <c r="C413" s="16"/>
      <c r="D413" s="15"/>
      <c r="E413" s="17"/>
      <c r="F413" s="54"/>
      <c r="G413" s="19"/>
      <c r="H413" s="17"/>
      <c r="I413" s="19"/>
      <c r="J413" s="21"/>
      <c r="K413" s="57"/>
      <c r="L413" s="24"/>
      <c r="M413" s="25"/>
      <c r="N413" s="25"/>
      <c r="O413" s="26"/>
      <c r="P413" s="26"/>
    </row>
    <row r="414">
      <c r="A414" s="52"/>
      <c r="B414" s="15"/>
      <c r="C414" s="16"/>
      <c r="D414" s="15"/>
      <c r="E414" s="17"/>
      <c r="F414" s="54"/>
      <c r="G414" s="19"/>
      <c r="H414" s="17"/>
      <c r="I414" s="19"/>
      <c r="J414" s="21"/>
      <c r="K414" s="57"/>
      <c r="L414" s="24"/>
      <c r="M414" s="25"/>
      <c r="N414" s="25"/>
      <c r="O414" s="26"/>
      <c r="P414" s="26"/>
    </row>
    <row r="415">
      <c r="A415" s="52"/>
      <c r="B415" s="15"/>
      <c r="C415" s="16"/>
      <c r="D415" s="15"/>
      <c r="E415" s="17"/>
      <c r="F415" s="54"/>
      <c r="G415" s="19"/>
      <c r="H415" s="17"/>
      <c r="I415" s="19"/>
      <c r="J415" s="21"/>
      <c r="K415" s="57"/>
      <c r="L415" s="24"/>
      <c r="M415" s="25"/>
      <c r="N415" s="25"/>
      <c r="O415" s="26"/>
      <c r="P415" s="26"/>
    </row>
    <row r="416">
      <c r="A416" s="52"/>
      <c r="B416" s="15"/>
      <c r="C416" s="16"/>
      <c r="D416" s="15"/>
      <c r="E416" s="17"/>
      <c r="F416" s="54"/>
      <c r="G416" s="19"/>
      <c r="H416" s="17"/>
      <c r="I416" s="19"/>
      <c r="J416" s="21"/>
      <c r="K416" s="57"/>
      <c r="L416" s="24"/>
      <c r="M416" s="25"/>
      <c r="N416" s="25"/>
      <c r="O416" s="26"/>
      <c r="P416" s="26"/>
    </row>
    <row r="417">
      <c r="A417" s="52"/>
      <c r="B417" s="15"/>
      <c r="C417" s="16"/>
      <c r="D417" s="15"/>
      <c r="E417" s="17"/>
      <c r="F417" s="54"/>
      <c r="G417" s="19"/>
      <c r="H417" s="17"/>
      <c r="I417" s="19"/>
      <c r="J417" s="21"/>
      <c r="K417" s="57"/>
      <c r="L417" s="24"/>
      <c r="M417" s="25"/>
      <c r="N417" s="25"/>
      <c r="O417" s="26"/>
      <c r="P417" s="26"/>
    </row>
    <row r="418">
      <c r="A418" s="52"/>
      <c r="B418" s="15"/>
      <c r="C418" s="16"/>
      <c r="D418" s="15"/>
      <c r="E418" s="17"/>
      <c r="F418" s="54"/>
      <c r="G418" s="19"/>
      <c r="H418" s="17"/>
      <c r="I418" s="19"/>
      <c r="J418" s="21"/>
      <c r="K418" s="57"/>
      <c r="L418" s="24"/>
      <c r="M418" s="25"/>
      <c r="N418" s="25"/>
      <c r="O418" s="26"/>
      <c r="P418" s="26"/>
    </row>
    <row r="419">
      <c r="A419" s="52"/>
      <c r="B419" s="15"/>
      <c r="C419" s="16"/>
      <c r="D419" s="15"/>
      <c r="E419" s="17"/>
      <c r="F419" s="54"/>
      <c r="G419" s="19"/>
      <c r="H419" s="17"/>
      <c r="I419" s="19"/>
      <c r="J419" s="21"/>
      <c r="K419" s="57"/>
      <c r="L419" s="24"/>
      <c r="M419" s="25"/>
      <c r="N419" s="25"/>
      <c r="O419" s="26"/>
      <c r="P419" s="26"/>
    </row>
    <row r="420">
      <c r="A420" s="52"/>
      <c r="B420" s="15"/>
      <c r="C420" s="16"/>
      <c r="D420" s="15"/>
      <c r="E420" s="17"/>
      <c r="F420" s="54"/>
      <c r="G420" s="19"/>
      <c r="H420" s="17"/>
      <c r="I420" s="19"/>
      <c r="J420" s="21"/>
      <c r="K420" s="57"/>
      <c r="L420" s="24"/>
      <c r="M420" s="25"/>
      <c r="N420" s="25"/>
      <c r="O420" s="26"/>
      <c r="P420" s="26"/>
    </row>
    <row r="421">
      <c r="A421" s="52"/>
      <c r="B421" s="15"/>
      <c r="C421" s="16"/>
      <c r="D421" s="15"/>
      <c r="E421" s="17"/>
      <c r="F421" s="54"/>
      <c r="G421" s="19"/>
      <c r="H421" s="17"/>
      <c r="I421" s="19"/>
      <c r="J421" s="21"/>
      <c r="K421" s="57"/>
      <c r="L421" s="24"/>
      <c r="M421" s="25"/>
      <c r="N421" s="25"/>
      <c r="O421" s="26"/>
      <c r="P421" s="26"/>
    </row>
    <row r="422">
      <c r="A422" s="52"/>
      <c r="B422" s="15"/>
      <c r="C422" s="16"/>
      <c r="D422" s="15"/>
      <c r="E422" s="17"/>
      <c r="F422" s="54"/>
      <c r="G422" s="19"/>
      <c r="H422" s="17"/>
      <c r="I422" s="19"/>
      <c r="J422" s="21"/>
      <c r="K422" s="57"/>
      <c r="L422" s="24"/>
      <c r="M422" s="25"/>
      <c r="N422" s="25"/>
      <c r="O422" s="26"/>
      <c r="P422" s="26"/>
    </row>
    <row r="423">
      <c r="A423" s="52"/>
      <c r="B423" s="15"/>
      <c r="C423" s="16"/>
      <c r="D423" s="15"/>
      <c r="E423" s="17"/>
      <c r="F423" s="54"/>
      <c r="G423" s="19"/>
      <c r="H423" s="17"/>
      <c r="I423" s="19"/>
      <c r="J423" s="21"/>
      <c r="K423" s="57"/>
      <c r="L423" s="24"/>
      <c r="M423" s="25"/>
      <c r="N423" s="25"/>
      <c r="O423" s="26"/>
      <c r="P423" s="26"/>
    </row>
    <row r="424">
      <c r="A424" s="52"/>
      <c r="B424" s="15"/>
      <c r="C424" s="16"/>
      <c r="D424" s="15"/>
      <c r="E424" s="17"/>
      <c r="F424" s="54"/>
      <c r="G424" s="19"/>
      <c r="H424" s="17"/>
      <c r="I424" s="19"/>
      <c r="J424" s="21"/>
      <c r="K424" s="57"/>
      <c r="L424" s="24"/>
      <c r="M424" s="25"/>
      <c r="N424" s="25"/>
      <c r="O424" s="26"/>
      <c r="P424" s="26"/>
    </row>
    <row r="425">
      <c r="A425" s="52"/>
      <c r="B425" s="15"/>
      <c r="C425" s="16"/>
      <c r="D425" s="15"/>
      <c r="E425" s="17"/>
      <c r="F425" s="54"/>
      <c r="G425" s="19"/>
      <c r="H425" s="17"/>
      <c r="I425" s="19"/>
      <c r="J425" s="21"/>
      <c r="K425" s="57"/>
      <c r="L425" s="24"/>
      <c r="M425" s="25"/>
      <c r="N425" s="25"/>
      <c r="O425" s="26"/>
      <c r="P425" s="26"/>
    </row>
    <row r="426">
      <c r="A426" s="52"/>
      <c r="B426" s="15"/>
      <c r="C426" s="16"/>
      <c r="D426" s="15"/>
      <c r="E426" s="17"/>
      <c r="F426" s="54"/>
      <c r="G426" s="19"/>
      <c r="H426" s="17"/>
      <c r="I426" s="19"/>
      <c r="J426" s="21"/>
      <c r="K426" s="57"/>
      <c r="L426" s="24"/>
      <c r="M426" s="25"/>
      <c r="N426" s="25"/>
      <c r="O426" s="26"/>
      <c r="P426" s="26"/>
    </row>
    <row r="427">
      <c r="A427" s="52"/>
      <c r="B427" s="15"/>
      <c r="C427" s="16"/>
      <c r="D427" s="15"/>
      <c r="E427" s="17"/>
      <c r="F427" s="54"/>
      <c r="G427" s="19"/>
      <c r="H427" s="17"/>
      <c r="I427" s="19"/>
      <c r="J427" s="21"/>
      <c r="K427" s="57"/>
      <c r="L427" s="24"/>
      <c r="M427" s="25"/>
      <c r="N427" s="25"/>
      <c r="O427" s="26"/>
      <c r="P427" s="26"/>
    </row>
    <row r="428">
      <c r="A428" s="52"/>
      <c r="B428" s="15"/>
      <c r="C428" s="16"/>
      <c r="D428" s="15"/>
      <c r="E428" s="17"/>
      <c r="F428" s="54"/>
      <c r="G428" s="19"/>
      <c r="H428" s="17"/>
      <c r="I428" s="19"/>
      <c r="J428" s="21"/>
      <c r="K428" s="57"/>
      <c r="L428" s="24"/>
      <c r="M428" s="25"/>
      <c r="N428" s="25"/>
      <c r="O428" s="26"/>
      <c r="P428" s="26"/>
    </row>
    <row r="429">
      <c r="A429" s="52"/>
      <c r="B429" s="15"/>
      <c r="C429" s="16"/>
      <c r="D429" s="15"/>
      <c r="E429" s="17"/>
      <c r="F429" s="54"/>
      <c r="G429" s="19"/>
      <c r="H429" s="17"/>
      <c r="I429" s="19"/>
      <c r="J429" s="21"/>
      <c r="K429" s="57"/>
      <c r="L429" s="24"/>
      <c r="M429" s="25"/>
      <c r="N429" s="25"/>
      <c r="O429" s="26"/>
      <c r="P429" s="26"/>
    </row>
    <row r="430">
      <c r="A430" s="52"/>
      <c r="B430" s="15"/>
      <c r="C430" s="16"/>
      <c r="D430" s="15"/>
      <c r="E430" s="17"/>
      <c r="F430" s="54"/>
      <c r="G430" s="19"/>
      <c r="H430" s="17"/>
      <c r="I430" s="19"/>
      <c r="J430" s="21"/>
      <c r="K430" s="57"/>
      <c r="L430" s="24"/>
      <c r="M430" s="25"/>
      <c r="N430" s="25"/>
      <c r="O430" s="26"/>
      <c r="P430" s="26"/>
    </row>
    <row r="431">
      <c r="A431" s="52"/>
      <c r="B431" s="15"/>
      <c r="C431" s="16"/>
      <c r="D431" s="15"/>
      <c r="E431" s="17"/>
      <c r="F431" s="54"/>
      <c r="G431" s="19"/>
      <c r="H431" s="17"/>
      <c r="I431" s="19"/>
      <c r="J431" s="21"/>
      <c r="K431" s="57"/>
      <c r="L431" s="24"/>
      <c r="M431" s="25"/>
      <c r="N431" s="25"/>
      <c r="O431" s="26"/>
      <c r="P431" s="26"/>
    </row>
    <row r="432">
      <c r="A432" s="52"/>
      <c r="B432" s="15"/>
      <c r="C432" s="16"/>
      <c r="D432" s="15"/>
      <c r="E432" s="17"/>
      <c r="F432" s="54"/>
      <c r="G432" s="19"/>
      <c r="H432" s="17"/>
      <c r="I432" s="19"/>
      <c r="J432" s="21"/>
      <c r="K432" s="57"/>
      <c r="L432" s="24"/>
      <c r="M432" s="25"/>
      <c r="N432" s="25"/>
      <c r="O432" s="26"/>
      <c r="P432" s="26"/>
    </row>
    <row r="433">
      <c r="A433" s="52"/>
      <c r="B433" s="15"/>
      <c r="C433" s="16"/>
      <c r="D433" s="15"/>
      <c r="E433" s="17"/>
      <c r="F433" s="54"/>
      <c r="G433" s="19"/>
      <c r="H433" s="17"/>
      <c r="I433" s="19"/>
      <c r="J433" s="21"/>
      <c r="K433" s="57"/>
      <c r="L433" s="24"/>
      <c r="M433" s="25"/>
      <c r="N433" s="25"/>
      <c r="O433" s="26"/>
      <c r="P433" s="26"/>
    </row>
    <row r="434">
      <c r="A434" s="52"/>
      <c r="B434" s="15"/>
      <c r="C434" s="16"/>
      <c r="D434" s="15"/>
      <c r="E434" s="17"/>
      <c r="F434" s="54"/>
      <c r="G434" s="19"/>
      <c r="H434" s="17"/>
      <c r="I434" s="19"/>
      <c r="J434" s="21"/>
      <c r="K434" s="57"/>
      <c r="L434" s="24"/>
      <c r="M434" s="25"/>
      <c r="N434" s="25"/>
      <c r="O434" s="26"/>
      <c r="P434" s="26"/>
    </row>
    <row r="435">
      <c r="A435" s="52"/>
      <c r="B435" s="15"/>
      <c r="C435" s="16"/>
      <c r="D435" s="15"/>
      <c r="E435" s="17"/>
      <c r="F435" s="54"/>
      <c r="G435" s="19"/>
      <c r="H435" s="17"/>
      <c r="I435" s="19"/>
      <c r="J435" s="21"/>
      <c r="K435" s="57"/>
      <c r="L435" s="24"/>
      <c r="M435" s="25"/>
      <c r="N435" s="25"/>
      <c r="O435" s="26"/>
      <c r="P435" s="26"/>
    </row>
    <row r="436">
      <c r="A436" s="52"/>
      <c r="B436" s="15"/>
      <c r="C436" s="16"/>
      <c r="D436" s="15"/>
      <c r="E436" s="17"/>
      <c r="F436" s="54"/>
      <c r="G436" s="19"/>
      <c r="H436" s="17"/>
      <c r="I436" s="19"/>
      <c r="J436" s="21"/>
      <c r="K436" s="57"/>
      <c r="L436" s="24"/>
      <c r="M436" s="25"/>
      <c r="N436" s="25"/>
      <c r="O436" s="26"/>
      <c r="P436" s="26"/>
    </row>
    <row r="437">
      <c r="A437" s="52"/>
      <c r="B437" s="15"/>
      <c r="C437" s="16"/>
      <c r="D437" s="15"/>
      <c r="E437" s="17"/>
      <c r="F437" s="54"/>
      <c r="G437" s="19"/>
      <c r="H437" s="17"/>
      <c r="I437" s="19"/>
      <c r="J437" s="21"/>
      <c r="K437" s="57"/>
      <c r="L437" s="24"/>
      <c r="M437" s="25"/>
      <c r="N437" s="25"/>
      <c r="O437" s="26"/>
      <c r="P437" s="26"/>
    </row>
    <row r="438">
      <c r="A438" s="52"/>
      <c r="B438" s="15"/>
      <c r="C438" s="16"/>
      <c r="D438" s="15"/>
      <c r="E438" s="17"/>
      <c r="F438" s="54"/>
      <c r="G438" s="19"/>
      <c r="H438" s="17"/>
      <c r="I438" s="19"/>
      <c r="J438" s="21"/>
      <c r="K438" s="57"/>
      <c r="L438" s="24"/>
      <c r="M438" s="25"/>
      <c r="N438" s="25"/>
      <c r="O438" s="26"/>
      <c r="P438" s="26"/>
    </row>
    <row r="439">
      <c r="A439" s="52"/>
      <c r="B439" s="15"/>
      <c r="C439" s="16"/>
      <c r="D439" s="15"/>
      <c r="E439" s="17"/>
      <c r="F439" s="54"/>
      <c r="G439" s="19"/>
      <c r="H439" s="17"/>
      <c r="I439" s="19"/>
      <c r="J439" s="21"/>
      <c r="K439" s="57"/>
      <c r="L439" s="24"/>
      <c r="M439" s="25"/>
      <c r="N439" s="25"/>
      <c r="O439" s="26"/>
      <c r="P439" s="26"/>
    </row>
    <row r="440">
      <c r="A440" s="52"/>
      <c r="B440" s="15"/>
      <c r="C440" s="16"/>
      <c r="D440" s="15"/>
      <c r="E440" s="17"/>
      <c r="F440" s="54"/>
      <c r="G440" s="19"/>
      <c r="H440" s="17"/>
      <c r="I440" s="19"/>
      <c r="J440" s="21"/>
      <c r="K440" s="57"/>
      <c r="L440" s="24"/>
      <c r="M440" s="25"/>
      <c r="N440" s="25"/>
      <c r="O440" s="26"/>
      <c r="P440" s="26"/>
    </row>
    <row r="441">
      <c r="A441" s="52"/>
      <c r="B441" s="15"/>
      <c r="C441" s="16"/>
      <c r="D441" s="15"/>
      <c r="E441" s="17"/>
      <c r="F441" s="54"/>
      <c r="G441" s="19"/>
      <c r="H441" s="17"/>
      <c r="I441" s="19"/>
      <c r="J441" s="21"/>
      <c r="K441" s="57"/>
      <c r="L441" s="24"/>
      <c r="M441" s="25"/>
      <c r="N441" s="25"/>
      <c r="O441" s="26"/>
      <c r="P441" s="26"/>
    </row>
    <row r="442">
      <c r="A442" s="52"/>
      <c r="B442" s="15"/>
      <c r="C442" s="16"/>
      <c r="D442" s="15"/>
      <c r="E442" s="17"/>
      <c r="F442" s="54"/>
      <c r="G442" s="19"/>
      <c r="H442" s="17"/>
      <c r="I442" s="19"/>
      <c r="J442" s="21"/>
      <c r="K442" s="57"/>
      <c r="L442" s="24"/>
      <c r="M442" s="25"/>
      <c r="N442" s="25"/>
      <c r="O442" s="26"/>
      <c r="P442" s="26"/>
    </row>
    <row r="443">
      <c r="A443" s="52"/>
      <c r="B443" s="15"/>
      <c r="C443" s="16"/>
      <c r="D443" s="15"/>
      <c r="E443" s="17"/>
      <c r="F443" s="54"/>
      <c r="G443" s="19"/>
      <c r="H443" s="17"/>
      <c r="I443" s="19"/>
      <c r="J443" s="21"/>
      <c r="K443" s="57"/>
      <c r="L443" s="24"/>
      <c r="M443" s="25"/>
      <c r="N443" s="25"/>
      <c r="O443" s="26"/>
      <c r="P443" s="26"/>
    </row>
    <row r="444">
      <c r="A444" s="52"/>
      <c r="B444" s="15"/>
      <c r="C444" s="16"/>
      <c r="D444" s="15"/>
      <c r="E444" s="17"/>
      <c r="F444" s="54"/>
      <c r="G444" s="19"/>
      <c r="H444" s="17"/>
      <c r="I444" s="19"/>
      <c r="J444" s="21"/>
      <c r="K444" s="57"/>
      <c r="L444" s="24"/>
      <c r="M444" s="25"/>
      <c r="N444" s="25"/>
      <c r="O444" s="26"/>
      <c r="P444" s="26"/>
    </row>
    <row r="445">
      <c r="A445" s="52"/>
      <c r="B445" s="15"/>
      <c r="C445" s="16"/>
      <c r="D445" s="15"/>
      <c r="E445" s="17"/>
      <c r="F445" s="54"/>
      <c r="G445" s="19"/>
      <c r="H445" s="17"/>
      <c r="I445" s="19"/>
      <c r="J445" s="21"/>
      <c r="K445" s="57"/>
      <c r="L445" s="24"/>
      <c r="M445" s="25"/>
      <c r="N445" s="25"/>
      <c r="O445" s="26"/>
      <c r="P445" s="26"/>
    </row>
    <row r="446">
      <c r="A446" s="52"/>
      <c r="B446" s="15"/>
      <c r="C446" s="16"/>
      <c r="D446" s="15"/>
      <c r="E446" s="17"/>
      <c r="F446" s="54"/>
      <c r="G446" s="19"/>
      <c r="H446" s="17"/>
      <c r="I446" s="19"/>
      <c r="J446" s="21"/>
      <c r="K446" s="57"/>
      <c r="L446" s="24"/>
      <c r="M446" s="25"/>
      <c r="N446" s="25"/>
      <c r="O446" s="26"/>
      <c r="P446" s="26"/>
    </row>
    <row r="447">
      <c r="A447" s="52"/>
      <c r="B447" s="15"/>
      <c r="C447" s="16"/>
      <c r="D447" s="15"/>
      <c r="E447" s="17"/>
      <c r="F447" s="54"/>
      <c r="G447" s="19"/>
      <c r="H447" s="17"/>
      <c r="I447" s="19"/>
      <c r="J447" s="21"/>
      <c r="K447" s="57"/>
      <c r="L447" s="24"/>
      <c r="M447" s="25"/>
      <c r="N447" s="25"/>
      <c r="O447" s="26"/>
      <c r="P447" s="26"/>
    </row>
    <row r="448">
      <c r="A448" s="52"/>
      <c r="B448" s="15"/>
      <c r="C448" s="16"/>
      <c r="D448" s="15"/>
      <c r="E448" s="17"/>
      <c r="F448" s="54"/>
      <c r="G448" s="19"/>
      <c r="H448" s="17"/>
      <c r="I448" s="19"/>
      <c r="J448" s="21"/>
      <c r="K448" s="57"/>
      <c r="L448" s="24"/>
      <c r="M448" s="25"/>
      <c r="N448" s="25"/>
      <c r="O448" s="26"/>
      <c r="P448" s="26"/>
    </row>
    <row r="449">
      <c r="A449" s="52"/>
      <c r="B449" s="15"/>
      <c r="C449" s="16"/>
      <c r="D449" s="15"/>
      <c r="E449" s="17"/>
      <c r="F449" s="54"/>
      <c r="G449" s="19"/>
      <c r="H449" s="17"/>
      <c r="I449" s="19"/>
      <c r="J449" s="21"/>
      <c r="K449" s="57"/>
      <c r="L449" s="24"/>
      <c r="M449" s="25"/>
      <c r="N449" s="25"/>
      <c r="O449" s="26"/>
      <c r="P449" s="26"/>
    </row>
    <row r="450">
      <c r="A450" s="52"/>
      <c r="B450" s="15"/>
      <c r="C450" s="16"/>
      <c r="D450" s="15"/>
      <c r="E450" s="17"/>
      <c r="F450" s="54"/>
      <c r="G450" s="19"/>
      <c r="H450" s="17"/>
      <c r="I450" s="19"/>
      <c r="J450" s="21"/>
      <c r="K450" s="57"/>
      <c r="L450" s="24"/>
      <c r="M450" s="25"/>
      <c r="N450" s="25"/>
      <c r="O450" s="26"/>
      <c r="P450" s="26"/>
    </row>
    <row r="451">
      <c r="A451" s="52"/>
      <c r="B451" s="15"/>
      <c r="C451" s="16"/>
      <c r="D451" s="15"/>
      <c r="E451" s="17"/>
      <c r="F451" s="54"/>
      <c r="G451" s="19"/>
      <c r="H451" s="17"/>
      <c r="I451" s="19"/>
      <c r="J451" s="21"/>
      <c r="K451" s="57"/>
      <c r="L451" s="24"/>
      <c r="M451" s="25"/>
      <c r="N451" s="25"/>
      <c r="O451" s="26"/>
      <c r="P451" s="26"/>
    </row>
    <row r="452">
      <c r="A452" s="52"/>
      <c r="B452" s="15"/>
      <c r="C452" s="16"/>
      <c r="D452" s="15"/>
      <c r="E452" s="17"/>
      <c r="F452" s="54"/>
      <c r="G452" s="19"/>
      <c r="H452" s="17"/>
      <c r="I452" s="19"/>
      <c r="J452" s="21"/>
      <c r="K452" s="57"/>
      <c r="L452" s="24"/>
      <c r="M452" s="25"/>
      <c r="N452" s="25"/>
      <c r="O452" s="26"/>
      <c r="P452" s="26"/>
    </row>
    <row r="453">
      <c r="A453" s="52"/>
      <c r="B453" s="15"/>
      <c r="C453" s="16"/>
      <c r="D453" s="15"/>
      <c r="E453" s="17"/>
      <c r="F453" s="54"/>
      <c r="G453" s="19"/>
      <c r="H453" s="17"/>
      <c r="I453" s="19"/>
      <c r="J453" s="21"/>
      <c r="K453" s="57"/>
      <c r="L453" s="24"/>
      <c r="M453" s="25"/>
      <c r="N453" s="25"/>
      <c r="O453" s="26"/>
      <c r="P453" s="26"/>
    </row>
    <row r="454">
      <c r="A454" s="52"/>
      <c r="B454" s="15"/>
      <c r="C454" s="16"/>
      <c r="D454" s="15"/>
      <c r="E454" s="17"/>
      <c r="F454" s="54"/>
      <c r="G454" s="19"/>
      <c r="H454" s="17"/>
      <c r="I454" s="19"/>
      <c r="J454" s="21"/>
      <c r="K454" s="57"/>
      <c r="L454" s="24"/>
      <c r="M454" s="25"/>
      <c r="N454" s="25"/>
      <c r="O454" s="26"/>
      <c r="P454" s="26"/>
    </row>
    <row r="455">
      <c r="A455" s="52"/>
      <c r="B455" s="15"/>
      <c r="C455" s="16"/>
      <c r="D455" s="15"/>
      <c r="E455" s="17"/>
      <c r="F455" s="54"/>
      <c r="G455" s="19"/>
      <c r="H455" s="17"/>
      <c r="I455" s="19"/>
      <c r="J455" s="21"/>
      <c r="K455" s="57"/>
      <c r="L455" s="24"/>
      <c r="M455" s="25"/>
      <c r="N455" s="25"/>
      <c r="O455" s="26"/>
      <c r="P455" s="26"/>
    </row>
    <row r="456">
      <c r="A456" s="52"/>
      <c r="B456" s="15"/>
      <c r="C456" s="16"/>
      <c r="D456" s="15"/>
      <c r="E456" s="17"/>
      <c r="F456" s="54"/>
      <c r="G456" s="19"/>
      <c r="H456" s="17"/>
      <c r="I456" s="19"/>
      <c r="J456" s="21"/>
      <c r="K456" s="57"/>
      <c r="L456" s="24"/>
      <c r="M456" s="25"/>
      <c r="N456" s="25"/>
      <c r="O456" s="26"/>
      <c r="P456" s="26"/>
    </row>
    <row r="457">
      <c r="A457" s="52"/>
      <c r="B457" s="15"/>
      <c r="C457" s="16"/>
      <c r="D457" s="15"/>
      <c r="E457" s="17"/>
      <c r="F457" s="54"/>
      <c r="G457" s="19"/>
      <c r="H457" s="17"/>
      <c r="I457" s="19"/>
      <c r="J457" s="21"/>
      <c r="K457" s="57"/>
      <c r="L457" s="24"/>
      <c r="M457" s="25"/>
      <c r="N457" s="25"/>
      <c r="O457" s="26"/>
      <c r="P457" s="26"/>
    </row>
    <row r="458">
      <c r="A458" s="52"/>
      <c r="B458" s="15"/>
      <c r="C458" s="16"/>
      <c r="D458" s="15"/>
      <c r="E458" s="17"/>
      <c r="F458" s="54"/>
      <c r="G458" s="19"/>
      <c r="H458" s="17"/>
      <c r="I458" s="19"/>
      <c r="J458" s="21"/>
      <c r="K458" s="57"/>
      <c r="L458" s="24"/>
      <c r="M458" s="25"/>
      <c r="N458" s="25"/>
      <c r="O458" s="26"/>
      <c r="P458" s="26"/>
    </row>
    <row r="459">
      <c r="A459" s="52"/>
      <c r="B459" s="15"/>
      <c r="C459" s="16"/>
      <c r="D459" s="15"/>
      <c r="E459" s="17"/>
      <c r="F459" s="54"/>
      <c r="G459" s="19"/>
      <c r="H459" s="17"/>
      <c r="I459" s="19"/>
      <c r="J459" s="21"/>
      <c r="K459" s="57"/>
      <c r="L459" s="24"/>
      <c r="M459" s="25"/>
      <c r="N459" s="25"/>
      <c r="O459" s="26"/>
      <c r="P459" s="26"/>
    </row>
    <row r="460">
      <c r="A460" s="52"/>
      <c r="B460" s="15"/>
      <c r="C460" s="16"/>
      <c r="D460" s="15"/>
      <c r="E460" s="17"/>
      <c r="F460" s="54"/>
      <c r="G460" s="19"/>
      <c r="H460" s="17"/>
      <c r="I460" s="19"/>
      <c r="J460" s="21"/>
      <c r="K460" s="57"/>
      <c r="L460" s="24"/>
      <c r="M460" s="25"/>
      <c r="N460" s="25"/>
      <c r="O460" s="26"/>
      <c r="P460" s="26"/>
    </row>
    <row r="461">
      <c r="A461" s="52"/>
      <c r="B461" s="15"/>
      <c r="C461" s="16"/>
      <c r="D461" s="15"/>
      <c r="E461" s="17"/>
      <c r="F461" s="54"/>
      <c r="G461" s="19"/>
      <c r="H461" s="17"/>
      <c r="I461" s="19"/>
      <c r="J461" s="21"/>
      <c r="K461" s="57"/>
      <c r="L461" s="24"/>
      <c r="M461" s="25"/>
      <c r="N461" s="25"/>
      <c r="O461" s="26"/>
      <c r="P461" s="26"/>
    </row>
    <row r="462">
      <c r="A462" s="52"/>
      <c r="B462" s="15"/>
      <c r="C462" s="16"/>
      <c r="D462" s="15"/>
      <c r="E462" s="17"/>
      <c r="F462" s="54"/>
      <c r="G462" s="19"/>
      <c r="H462" s="17"/>
      <c r="I462" s="19"/>
      <c r="J462" s="21"/>
      <c r="K462" s="57"/>
      <c r="L462" s="24"/>
      <c r="M462" s="25"/>
      <c r="N462" s="25"/>
      <c r="O462" s="26"/>
      <c r="P462" s="26"/>
    </row>
    <row r="463">
      <c r="A463" s="52"/>
      <c r="B463" s="15"/>
      <c r="C463" s="16"/>
      <c r="D463" s="15"/>
      <c r="E463" s="17"/>
      <c r="F463" s="54"/>
      <c r="G463" s="19"/>
      <c r="H463" s="17"/>
      <c r="I463" s="19"/>
      <c r="J463" s="21"/>
      <c r="K463" s="57"/>
      <c r="L463" s="24"/>
      <c r="M463" s="25"/>
      <c r="N463" s="25"/>
      <c r="O463" s="26"/>
      <c r="P463" s="26"/>
    </row>
    <row r="464">
      <c r="A464" s="52"/>
      <c r="B464" s="15"/>
      <c r="C464" s="16"/>
      <c r="D464" s="15"/>
      <c r="E464" s="17"/>
      <c r="F464" s="54"/>
      <c r="G464" s="19"/>
      <c r="H464" s="17"/>
      <c r="I464" s="19"/>
      <c r="J464" s="21"/>
      <c r="K464" s="57"/>
      <c r="L464" s="24"/>
      <c r="M464" s="25"/>
      <c r="N464" s="25"/>
      <c r="O464" s="26"/>
      <c r="P464" s="26"/>
    </row>
    <row r="465">
      <c r="A465" s="52"/>
      <c r="B465" s="15"/>
      <c r="C465" s="16"/>
      <c r="D465" s="15"/>
      <c r="E465" s="17"/>
      <c r="F465" s="54"/>
      <c r="G465" s="19"/>
      <c r="H465" s="17"/>
      <c r="I465" s="19"/>
      <c r="J465" s="21"/>
      <c r="K465" s="57"/>
      <c r="L465" s="24"/>
      <c r="M465" s="25"/>
      <c r="N465" s="25"/>
      <c r="O465" s="26"/>
      <c r="P465" s="26"/>
    </row>
    <row r="466">
      <c r="A466" s="52"/>
      <c r="B466" s="15"/>
      <c r="C466" s="16"/>
      <c r="D466" s="15"/>
      <c r="E466" s="17"/>
      <c r="F466" s="54"/>
      <c r="G466" s="19"/>
      <c r="H466" s="17"/>
      <c r="I466" s="19"/>
      <c r="J466" s="21"/>
      <c r="K466" s="57"/>
      <c r="L466" s="24"/>
      <c r="M466" s="25"/>
      <c r="N466" s="25"/>
      <c r="O466" s="26"/>
      <c r="P466" s="26"/>
    </row>
    <row r="467">
      <c r="A467" s="52"/>
      <c r="B467" s="15"/>
      <c r="C467" s="16"/>
      <c r="D467" s="15"/>
      <c r="E467" s="17"/>
      <c r="F467" s="54"/>
      <c r="G467" s="19"/>
      <c r="H467" s="17"/>
      <c r="I467" s="19"/>
      <c r="J467" s="21"/>
      <c r="K467" s="57"/>
      <c r="L467" s="24"/>
      <c r="M467" s="25"/>
      <c r="N467" s="25"/>
      <c r="O467" s="26"/>
      <c r="P467" s="26"/>
    </row>
    <row r="468">
      <c r="A468" s="52"/>
      <c r="B468" s="15"/>
      <c r="C468" s="16"/>
      <c r="D468" s="15"/>
      <c r="E468" s="17"/>
      <c r="F468" s="54"/>
      <c r="G468" s="19"/>
      <c r="H468" s="17"/>
      <c r="I468" s="19"/>
      <c r="J468" s="21"/>
      <c r="K468" s="57"/>
      <c r="L468" s="24"/>
      <c r="M468" s="25"/>
      <c r="N468" s="25"/>
      <c r="O468" s="26"/>
      <c r="P468" s="26"/>
    </row>
    <row r="469">
      <c r="A469" s="52"/>
      <c r="B469" s="15"/>
      <c r="C469" s="16"/>
      <c r="D469" s="15"/>
      <c r="E469" s="17"/>
      <c r="F469" s="54"/>
      <c r="G469" s="19"/>
      <c r="H469" s="17"/>
      <c r="I469" s="19"/>
      <c r="J469" s="21"/>
      <c r="K469" s="57"/>
      <c r="L469" s="24"/>
      <c r="M469" s="25"/>
      <c r="N469" s="25"/>
      <c r="O469" s="26"/>
      <c r="P469" s="26"/>
    </row>
    <row r="470">
      <c r="A470" s="52"/>
      <c r="B470" s="15"/>
      <c r="C470" s="16"/>
      <c r="D470" s="15"/>
      <c r="E470" s="17"/>
      <c r="F470" s="54"/>
      <c r="G470" s="19"/>
      <c r="H470" s="17"/>
      <c r="I470" s="19"/>
      <c r="J470" s="21"/>
      <c r="K470" s="57"/>
      <c r="L470" s="24"/>
      <c r="M470" s="25"/>
      <c r="N470" s="25"/>
      <c r="O470" s="26"/>
      <c r="P470" s="26"/>
    </row>
    <row r="471">
      <c r="A471" s="52"/>
      <c r="B471" s="15"/>
      <c r="C471" s="16"/>
      <c r="D471" s="15"/>
      <c r="E471" s="17"/>
      <c r="F471" s="54"/>
      <c r="G471" s="19"/>
      <c r="H471" s="17"/>
      <c r="I471" s="19"/>
      <c r="J471" s="21"/>
      <c r="K471" s="57"/>
      <c r="L471" s="24"/>
      <c r="M471" s="25"/>
      <c r="N471" s="25"/>
      <c r="O471" s="26"/>
      <c r="P471" s="26"/>
    </row>
    <row r="472">
      <c r="A472" s="52"/>
      <c r="B472" s="15"/>
      <c r="C472" s="16"/>
      <c r="D472" s="15"/>
      <c r="E472" s="17"/>
      <c r="F472" s="54"/>
      <c r="G472" s="19"/>
      <c r="H472" s="17"/>
      <c r="I472" s="19"/>
      <c r="J472" s="21"/>
      <c r="K472" s="57"/>
      <c r="L472" s="24"/>
      <c r="M472" s="25"/>
      <c r="N472" s="25"/>
      <c r="O472" s="26"/>
      <c r="P472" s="26"/>
    </row>
    <row r="473">
      <c r="A473" s="52"/>
      <c r="B473" s="15"/>
      <c r="C473" s="16"/>
      <c r="D473" s="15"/>
      <c r="E473" s="17"/>
      <c r="F473" s="54"/>
      <c r="G473" s="19"/>
      <c r="H473" s="17"/>
      <c r="I473" s="19"/>
      <c r="J473" s="21"/>
      <c r="K473" s="57"/>
      <c r="L473" s="24"/>
      <c r="M473" s="25"/>
      <c r="N473" s="25"/>
      <c r="O473" s="26"/>
      <c r="P473" s="26"/>
    </row>
    <row r="474">
      <c r="A474" s="52"/>
      <c r="B474" s="15"/>
      <c r="C474" s="16"/>
      <c r="D474" s="15"/>
      <c r="E474" s="17"/>
      <c r="F474" s="54"/>
      <c r="G474" s="19"/>
      <c r="H474" s="17"/>
      <c r="I474" s="19"/>
      <c r="J474" s="21"/>
      <c r="K474" s="57"/>
      <c r="L474" s="24"/>
      <c r="M474" s="25"/>
      <c r="N474" s="25"/>
      <c r="O474" s="26"/>
      <c r="P474" s="26"/>
    </row>
    <row r="475">
      <c r="A475" s="52"/>
      <c r="B475" s="15"/>
      <c r="C475" s="16"/>
      <c r="D475" s="15"/>
      <c r="E475" s="17"/>
      <c r="F475" s="54"/>
      <c r="G475" s="19"/>
      <c r="H475" s="17"/>
      <c r="I475" s="19"/>
      <c r="J475" s="21"/>
      <c r="K475" s="57"/>
      <c r="L475" s="24"/>
      <c r="M475" s="25"/>
      <c r="N475" s="25"/>
      <c r="O475" s="26"/>
      <c r="P475" s="26"/>
    </row>
    <row r="476">
      <c r="A476" s="52"/>
      <c r="B476" s="15"/>
      <c r="C476" s="16"/>
      <c r="D476" s="15"/>
      <c r="E476" s="17"/>
      <c r="F476" s="54"/>
      <c r="G476" s="19"/>
      <c r="H476" s="17"/>
      <c r="I476" s="19"/>
      <c r="J476" s="21"/>
      <c r="K476" s="57"/>
      <c r="L476" s="24"/>
      <c r="M476" s="25"/>
      <c r="N476" s="25"/>
      <c r="O476" s="26"/>
      <c r="P476" s="26"/>
    </row>
    <row r="477">
      <c r="A477" s="52"/>
      <c r="B477" s="15"/>
      <c r="C477" s="16"/>
      <c r="D477" s="15"/>
      <c r="E477" s="17"/>
      <c r="F477" s="54"/>
      <c r="G477" s="19"/>
      <c r="H477" s="17"/>
      <c r="I477" s="19"/>
      <c r="J477" s="21"/>
      <c r="K477" s="57"/>
      <c r="L477" s="24"/>
      <c r="M477" s="25"/>
      <c r="N477" s="25"/>
      <c r="O477" s="26"/>
      <c r="P477" s="26"/>
    </row>
    <row r="478">
      <c r="A478" s="52"/>
      <c r="B478" s="15"/>
      <c r="C478" s="16"/>
      <c r="D478" s="15"/>
      <c r="E478" s="17"/>
      <c r="F478" s="54"/>
      <c r="G478" s="19"/>
      <c r="H478" s="17"/>
      <c r="I478" s="19"/>
      <c r="J478" s="21"/>
      <c r="K478" s="57"/>
      <c r="L478" s="24"/>
      <c r="M478" s="25"/>
      <c r="N478" s="25"/>
      <c r="O478" s="26"/>
      <c r="P478" s="26"/>
    </row>
    <row r="479">
      <c r="A479" s="52"/>
      <c r="B479" s="15"/>
      <c r="C479" s="16"/>
      <c r="D479" s="15"/>
      <c r="E479" s="17"/>
      <c r="F479" s="54"/>
      <c r="G479" s="19"/>
      <c r="H479" s="17"/>
      <c r="I479" s="19"/>
      <c r="J479" s="21"/>
      <c r="K479" s="57"/>
      <c r="L479" s="24"/>
      <c r="M479" s="25"/>
      <c r="N479" s="25"/>
      <c r="O479" s="26"/>
      <c r="P479" s="26"/>
    </row>
    <row r="480">
      <c r="A480" s="52"/>
      <c r="B480" s="15"/>
      <c r="C480" s="16"/>
      <c r="D480" s="15"/>
      <c r="E480" s="17"/>
      <c r="F480" s="54"/>
      <c r="G480" s="19"/>
      <c r="H480" s="17"/>
      <c r="I480" s="19"/>
      <c r="J480" s="21"/>
      <c r="K480" s="57"/>
      <c r="L480" s="24"/>
      <c r="M480" s="25"/>
      <c r="N480" s="25"/>
      <c r="O480" s="26"/>
      <c r="P480" s="26"/>
    </row>
    <row r="481">
      <c r="A481" s="52"/>
      <c r="B481" s="15"/>
      <c r="C481" s="16"/>
      <c r="D481" s="15"/>
      <c r="E481" s="17"/>
      <c r="F481" s="54"/>
      <c r="G481" s="19"/>
      <c r="H481" s="17"/>
      <c r="I481" s="19"/>
      <c r="J481" s="21"/>
      <c r="K481" s="57"/>
      <c r="L481" s="24"/>
      <c r="M481" s="25"/>
      <c r="N481" s="25"/>
      <c r="O481" s="26"/>
      <c r="P481" s="26"/>
    </row>
    <row r="482">
      <c r="A482" s="52"/>
      <c r="B482" s="15"/>
      <c r="C482" s="16"/>
      <c r="D482" s="15"/>
      <c r="E482" s="17"/>
      <c r="F482" s="54"/>
      <c r="G482" s="19"/>
      <c r="H482" s="17"/>
      <c r="I482" s="19"/>
      <c r="J482" s="21"/>
      <c r="K482" s="57"/>
      <c r="L482" s="24"/>
      <c r="M482" s="25"/>
      <c r="N482" s="25"/>
      <c r="O482" s="26"/>
      <c r="P482" s="26"/>
    </row>
    <row r="483">
      <c r="A483" s="52"/>
      <c r="B483" s="15"/>
      <c r="C483" s="16"/>
      <c r="D483" s="15"/>
      <c r="E483" s="17"/>
      <c r="F483" s="54"/>
      <c r="G483" s="19"/>
      <c r="H483" s="17"/>
      <c r="I483" s="19"/>
      <c r="J483" s="21"/>
      <c r="K483" s="57"/>
      <c r="L483" s="24"/>
      <c r="M483" s="25"/>
      <c r="N483" s="25"/>
      <c r="O483" s="26"/>
      <c r="P483" s="26"/>
    </row>
    <row r="484">
      <c r="A484" s="52"/>
      <c r="B484" s="15"/>
      <c r="C484" s="16"/>
      <c r="D484" s="15"/>
      <c r="E484" s="17"/>
      <c r="F484" s="54"/>
      <c r="G484" s="19"/>
      <c r="H484" s="17"/>
      <c r="I484" s="19"/>
      <c r="J484" s="21"/>
      <c r="K484" s="57"/>
      <c r="L484" s="24"/>
      <c r="M484" s="25"/>
      <c r="N484" s="25"/>
      <c r="O484" s="26"/>
      <c r="P484" s="26"/>
    </row>
    <row r="485">
      <c r="A485" s="52"/>
      <c r="B485" s="15"/>
      <c r="C485" s="16"/>
      <c r="D485" s="15"/>
      <c r="E485" s="17"/>
      <c r="F485" s="54"/>
      <c r="G485" s="19"/>
      <c r="H485" s="17"/>
      <c r="I485" s="19"/>
      <c r="J485" s="21"/>
      <c r="K485" s="57"/>
      <c r="L485" s="24"/>
      <c r="M485" s="25"/>
      <c r="N485" s="25"/>
      <c r="O485" s="26"/>
      <c r="P485" s="26"/>
    </row>
    <row r="486">
      <c r="A486" s="52"/>
      <c r="B486" s="15"/>
      <c r="C486" s="16"/>
      <c r="D486" s="15"/>
      <c r="E486" s="17"/>
      <c r="F486" s="54"/>
      <c r="G486" s="19"/>
      <c r="H486" s="17"/>
      <c r="I486" s="19"/>
      <c r="J486" s="21"/>
      <c r="K486" s="57"/>
      <c r="L486" s="24"/>
      <c r="M486" s="25"/>
      <c r="N486" s="25"/>
      <c r="O486" s="26"/>
      <c r="P486" s="26"/>
    </row>
    <row r="487">
      <c r="A487" s="52"/>
      <c r="B487" s="15"/>
      <c r="C487" s="16"/>
      <c r="D487" s="15"/>
      <c r="E487" s="17"/>
      <c r="F487" s="54"/>
      <c r="G487" s="19"/>
      <c r="H487" s="17"/>
      <c r="I487" s="19"/>
      <c r="J487" s="21"/>
      <c r="K487" s="57"/>
      <c r="L487" s="24"/>
      <c r="M487" s="25"/>
      <c r="N487" s="25"/>
      <c r="O487" s="26"/>
      <c r="P487" s="26"/>
    </row>
    <row r="488">
      <c r="A488" s="52"/>
      <c r="B488" s="15"/>
      <c r="C488" s="16"/>
      <c r="D488" s="15"/>
      <c r="E488" s="17"/>
      <c r="F488" s="54"/>
      <c r="G488" s="19"/>
      <c r="H488" s="17"/>
      <c r="I488" s="19"/>
      <c r="J488" s="21"/>
      <c r="K488" s="57"/>
      <c r="L488" s="24"/>
      <c r="M488" s="25"/>
      <c r="N488" s="25"/>
      <c r="O488" s="26"/>
      <c r="P488" s="26"/>
    </row>
    <row r="489">
      <c r="A489" s="52"/>
      <c r="B489" s="15"/>
      <c r="C489" s="16"/>
      <c r="D489" s="15"/>
      <c r="E489" s="17"/>
      <c r="F489" s="54"/>
      <c r="G489" s="19"/>
      <c r="H489" s="17"/>
      <c r="I489" s="19"/>
      <c r="J489" s="21"/>
      <c r="K489" s="57"/>
      <c r="L489" s="24"/>
      <c r="M489" s="25"/>
      <c r="N489" s="25"/>
      <c r="O489" s="26"/>
      <c r="P489" s="26"/>
    </row>
    <row r="490">
      <c r="A490" s="52"/>
      <c r="B490" s="15"/>
      <c r="C490" s="16"/>
      <c r="D490" s="15"/>
      <c r="E490" s="17"/>
      <c r="F490" s="54"/>
      <c r="G490" s="19"/>
      <c r="H490" s="17"/>
      <c r="I490" s="19"/>
      <c r="J490" s="21"/>
      <c r="K490" s="57"/>
      <c r="L490" s="24"/>
      <c r="M490" s="25"/>
      <c r="N490" s="25"/>
      <c r="O490" s="26"/>
      <c r="P490" s="26"/>
    </row>
    <row r="491">
      <c r="A491" s="52"/>
      <c r="B491" s="15"/>
      <c r="C491" s="16"/>
      <c r="D491" s="15"/>
      <c r="E491" s="17"/>
      <c r="F491" s="54"/>
      <c r="G491" s="19"/>
      <c r="H491" s="17"/>
      <c r="I491" s="19"/>
      <c r="J491" s="21"/>
      <c r="K491" s="57"/>
      <c r="L491" s="24"/>
      <c r="M491" s="25"/>
      <c r="N491" s="25"/>
      <c r="O491" s="26"/>
      <c r="P491" s="26"/>
    </row>
    <row r="492">
      <c r="A492" s="52"/>
      <c r="B492" s="15"/>
      <c r="C492" s="16"/>
      <c r="D492" s="15"/>
      <c r="E492" s="17"/>
      <c r="F492" s="54"/>
      <c r="G492" s="19"/>
      <c r="H492" s="17"/>
      <c r="I492" s="19"/>
      <c r="J492" s="21"/>
      <c r="K492" s="57"/>
      <c r="L492" s="24"/>
      <c r="M492" s="25"/>
      <c r="N492" s="25"/>
      <c r="O492" s="26"/>
      <c r="P492" s="26"/>
    </row>
    <row r="493">
      <c r="A493" s="52"/>
      <c r="B493" s="15"/>
      <c r="C493" s="16"/>
      <c r="D493" s="15"/>
      <c r="E493" s="17"/>
      <c r="F493" s="54"/>
      <c r="G493" s="19"/>
      <c r="H493" s="17"/>
      <c r="I493" s="19"/>
      <c r="J493" s="21"/>
      <c r="K493" s="57"/>
      <c r="L493" s="24"/>
      <c r="M493" s="25"/>
      <c r="N493" s="25"/>
      <c r="O493" s="26"/>
      <c r="P493" s="26"/>
    </row>
    <row r="494">
      <c r="A494" s="52"/>
      <c r="B494" s="15"/>
      <c r="C494" s="16"/>
      <c r="D494" s="15"/>
      <c r="E494" s="17"/>
      <c r="F494" s="54"/>
      <c r="G494" s="19"/>
      <c r="H494" s="17"/>
      <c r="I494" s="19"/>
      <c r="J494" s="21"/>
      <c r="K494" s="57"/>
      <c r="L494" s="24"/>
      <c r="M494" s="25"/>
      <c r="N494" s="25"/>
      <c r="O494" s="26"/>
      <c r="P494" s="26"/>
    </row>
    <row r="495">
      <c r="A495" s="52"/>
      <c r="B495" s="15"/>
      <c r="C495" s="16"/>
      <c r="D495" s="15"/>
      <c r="E495" s="17"/>
      <c r="F495" s="54"/>
      <c r="G495" s="19"/>
      <c r="H495" s="17"/>
      <c r="I495" s="19"/>
      <c r="J495" s="21"/>
      <c r="K495" s="57"/>
      <c r="L495" s="24"/>
      <c r="M495" s="25"/>
      <c r="N495" s="25"/>
      <c r="O495" s="26"/>
      <c r="P495" s="26"/>
    </row>
    <row r="496">
      <c r="A496" s="52"/>
      <c r="B496" s="15"/>
      <c r="C496" s="16"/>
      <c r="D496" s="15"/>
      <c r="E496" s="17"/>
      <c r="F496" s="54"/>
      <c r="G496" s="19"/>
      <c r="H496" s="17"/>
      <c r="I496" s="19"/>
      <c r="J496" s="21"/>
      <c r="K496" s="57"/>
      <c r="L496" s="24"/>
      <c r="M496" s="25"/>
      <c r="N496" s="25"/>
      <c r="O496" s="26"/>
      <c r="P496" s="26"/>
    </row>
    <row r="497">
      <c r="A497" s="52"/>
      <c r="B497" s="15"/>
      <c r="C497" s="16"/>
      <c r="D497" s="15"/>
      <c r="E497" s="17"/>
      <c r="F497" s="54"/>
      <c r="G497" s="19"/>
      <c r="H497" s="17"/>
      <c r="I497" s="19"/>
      <c r="J497" s="21"/>
      <c r="K497" s="57"/>
      <c r="L497" s="24"/>
      <c r="M497" s="25"/>
      <c r="N497" s="25"/>
      <c r="O497" s="26"/>
      <c r="P497" s="26"/>
    </row>
    <row r="498">
      <c r="A498" s="52"/>
      <c r="B498" s="15"/>
      <c r="C498" s="16"/>
      <c r="D498" s="15"/>
      <c r="E498" s="17"/>
      <c r="F498" s="54"/>
      <c r="G498" s="19"/>
      <c r="H498" s="17"/>
      <c r="I498" s="19"/>
      <c r="J498" s="21"/>
      <c r="K498" s="57"/>
      <c r="L498" s="24"/>
      <c r="M498" s="25"/>
      <c r="N498" s="25"/>
      <c r="O498" s="26"/>
      <c r="P498" s="26"/>
    </row>
    <row r="499">
      <c r="A499" s="52"/>
      <c r="B499" s="15"/>
      <c r="C499" s="16"/>
      <c r="D499" s="15"/>
      <c r="E499" s="17"/>
      <c r="F499" s="54"/>
      <c r="G499" s="19"/>
      <c r="H499" s="17"/>
      <c r="I499" s="19"/>
      <c r="J499" s="21"/>
      <c r="K499" s="57"/>
      <c r="L499" s="24"/>
      <c r="M499" s="25"/>
      <c r="N499" s="25"/>
      <c r="O499" s="26"/>
      <c r="P499" s="26"/>
    </row>
    <row r="500">
      <c r="A500" s="52"/>
      <c r="B500" s="15"/>
      <c r="C500" s="16"/>
      <c r="D500" s="15"/>
      <c r="E500" s="17"/>
      <c r="F500" s="54"/>
      <c r="G500" s="19"/>
      <c r="H500" s="17"/>
      <c r="I500" s="19"/>
      <c r="J500" s="21"/>
      <c r="K500" s="57"/>
      <c r="L500" s="24"/>
      <c r="M500" s="25"/>
      <c r="N500" s="25"/>
      <c r="O500" s="26"/>
      <c r="P500" s="26"/>
    </row>
    <row r="501">
      <c r="A501" s="52"/>
      <c r="B501" s="15"/>
      <c r="C501" s="16"/>
      <c r="D501" s="15"/>
      <c r="E501" s="17"/>
      <c r="F501" s="54"/>
      <c r="G501" s="19"/>
      <c r="H501" s="17"/>
      <c r="I501" s="19"/>
      <c r="J501" s="21"/>
      <c r="K501" s="57"/>
      <c r="L501" s="24"/>
      <c r="M501" s="25"/>
      <c r="N501" s="25"/>
      <c r="O501" s="26"/>
      <c r="P501" s="26"/>
    </row>
    <row r="502">
      <c r="A502" s="52"/>
      <c r="B502" s="15"/>
      <c r="C502" s="16"/>
      <c r="D502" s="15"/>
      <c r="E502" s="17"/>
      <c r="F502" s="54"/>
      <c r="G502" s="19"/>
      <c r="H502" s="17"/>
      <c r="I502" s="19"/>
      <c r="J502" s="21"/>
      <c r="K502" s="57"/>
      <c r="L502" s="24"/>
      <c r="M502" s="25"/>
      <c r="N502" s="25"/>
      <c r="O502" s="26"/>
      <c r="P502" s="26"/>
    </row>
    <row r="503">
      <c r="A503" s="52"/>
      <c r="B503" s="15"/>
      <c r="C503" s="16"/>
      <c r="D503" s="15"/>
      <c r="E503" s="17"/>
      <c r="F503" s="54"/>
      <c r="G503" s="19"/>
      <c r="H503" s="17"/>
      <c r="I503" s="19"/>
      <c r="J503" s="21"/>
      <c r="K503" s="57"/>
      <c r="L503" s="24"/>
      <c r="M503" s="25"/>
      <c r="N503" s="25"/>
      <c r="O503" s="26"/>
      <c r="P503" s="26"/>
    </row>
    <row r="504">
      <c r="A504" s="52"/>
      <c r="B504" s="15"/>
      <c r="C504" s="16"/>
      <c r="D504" s="15"/>
      <c r="E504" s="17"/>
      <c r="F504" s="54"/>
      <c r="G504" s="19"/>
      <c r="H504" s="17"/>
      <c r="I504" s="19"/>
      <c r="J504" s="21"/>
      <c r="K504" s="57"/>
      <c r="L504" s="24"/>
      <c r="M504" s="25"/>
      <c r="N504" s="25"/>
      <c r="O504" s="26"/>
      <c r="P504" s="26"/>
    </row>
    <row r="505">
      <c r="A505" s="52"/>
      <c r="B505" s="15"/>
      <c r="C505" s="16"/>
      <c r="D505" s="15"/>
      <c r="E505" s="17"/>
      <c r="F505" s="54"/>
      <c r="G505" s="19"/>
      <c r="H505" s="17"/>
      <c r="I505" s="19"/>
      <c r="J505" s="21"/>
      <c r="K505" s="57"/>
      <c r="L505" s="24"/>
      <c r="M505" s="25"/>
      <c r="N505" s="25"/>
      <c r="O505" s="26"/>
      <c r="P505" s="26"/>
    </row>
    <row r="506">
      <c r="A506" s="52"/>
      <c r="B506" s="15"/>
      <c r="C506" s="16"/>
      <c r="D506" s="15"/>
      <c r="E506" s="17"/>
      <c r="F506" s="54"/>
      <c r="G506" s="19"/>
      <c r="H506" s="17"/>
      <c r="I506" s="19"/>
      <c r="J506" s="21"/>
      <c r="K506" s="57"/>
      <c r="L506" s="24"/>
      <c r="M506" s="25"/>
      <c r="N506" s="25"/>
      <c r="O506" s="26"/>
      <c r="P506" s="26"/>
    </row>
    <row r="507">
      <c r="A507" s="52"/>
      <c r="B507" s="15"/>
      <c r="C507" s="16"/>
      <c r="D507" s="15"/>
      <c r="E507" s="17"/>
      <c r="F507" s="54"/>
      <c r="G507" s="19"/>
      <c r="H507" s="17"/>
      <c r="I507" s="19"/>
      <c r="J507" s="21"/>
      <c r="K507" s="57"/>
      <c r="L507" s="24"/>
      <c r="M507" s="25"/>
      <c r="N507" s="25"/>
      <c r="O507" s="26"/>
      <c r="P507" s="26"/>
    </row>
    <row r="508">
      <c r="A508" s="52"/>
      <c r="B508" s="15"/>
      <c r="C508" s="16"/>
      <c r="D508" s="15"/>
      <c r="E508" s="17"/>
      <c r="F508" s="54"/>
      <c r="G508" s="19"/>
      <c r="H508" s="17"/>
      <c r="I508" s="19"/>
      <c r="J508" s="21"/>
      <c r="K508" s="57"/>
      <c r="L508" s="24"/>
      <c r="M508" s="25"/>
      <c r="N508" s="25"/>
      <c r="O508" s="26"/>
      <c r="P508" s="26"/>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19.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4" width="45.0"/>
    <col customWidth="1" min="15" max="16" width="9.29"/>
  </cols>
  <sheetData>
    <row r="1">
      <c r="A1" s="1" t="s">
        <v>0</v>
      </c>
      <c r="B1" s="2">
        <f>COUNTIF(D2:D1393,"Active")+COUNTIF(D2:D1393,"Leaving Soon")</f>
        <v>573</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List'!A2:P1393, REGEXMATCH('Master List'!B2:B1393, ""PS4""), NOT(REGEXMATCH('Master List'!D2:D1393, ""Removed"")), NOT(REGEXMATCH('Master List'!C2:C1393, ""Essential"")), NOT(REGEXMATCH('Master List'!C2:C1393, ""Streaming"")) ), 10, fa"&amp;"lse)"),"Thank Goodness You’re Here!")</f>
        <v>Thank Goodness You’re Here!</v>
      </c>
      <c r="B3" s="15" t="str">
        <f>IFERROR(__xludf.DUMMYFUNCTION("""COMPUTED_VALUE"""),"PS5/PS4")</f>
        <v>PS5/PS4</v>
      </c>
      <c r="C3" s="16" t="str">
        <f>IFERROR(__xludf.DUMMYFUNCTION("""COMPUTED_VALUE"""),"Extra")</f>
        <v>Extra</v>
      </c>
      <c r="D3" s="15" t="str">
        <f>IFERROR(__xludf.DUMMYFUNCTION("""COMPUTED_VALUE"""),"Active")</f>
        <v>Active</v>
      </c>
      <c r="E3" s="17">
        <f>IFERROR(__xludf.DUMMYFUNCTION("""COMPUTED_VALUE"""),45979.0)</f>
        <v>45979</v>
      </c>
      <c r="F3" s="18"/>
      <c r="G3" s="19">
        <f>IFERROR(__xludf.DUMMYFUNCTION("""COMPUTED_VALUE"""),10.6)</f>
        <v>10.6</v>
      </c>
      <c r="H3" s="17">
        <f>IFERROR(__xludf.DUMMYFUNCTION("""COMPUTED_VALUE"""),45505.0)</f>
        <v>45505</v>
      </c>
      <c r="I3" s="19">
        <f>IFERROR(__xludf.DUMMYFUNCTION("""COMPUTED_VALUE"""),1.2972222222222223)</f>
        <v>1.297222222</v>
      </c>
      <c r="J3" s="21">
        <f>IFERROR(__xludf.DUMMYFUNCTION("""COMPUTED_VALUE"""),100.0)</f>
        <v>100</v>
      </c>
      <c r="K3" s="23">
        <f>IFERROR(__xludf.DUMMYFUNCTION("""COMPUTED_VALUE"""),7.8)</f>
        <v>7.8</v>
      </c>
      <c r="L3" s="24" t="str">
        <f>IFERROR(__xludf.DUMMYFUNCTION("""COMPUTED_VALUE"""),"2")</f>
        <v>2</v>
      </c>
      <c r="M3" s="25" t="str">
        <f>IFERROR(__xludf.DUMMYFUNCTION("""COMPUTED_VALUE"""),"Action-Adventure")</f>
        <v>Action-Adventure</v>
      </c>
      <c r="N3" s="25"/>
      <c r="O3" s="26"/>
      <c r="P3" s="26"/>
    </row>
    <row r="4">
      <c r="A4" s="13" t="str">
        <f>IFERROR(__xludf.DUMMYFUNCTION("""COMPUTED_VALUE"""),"Red Dead Redemption 2")</f>
        <v>Red Dead Redemption 2</v>
      </c>
      <c r="B4" s="15" t="str">
        <f>IFERROR(__xludf.DUMMYFUNCTION("""COMPUTED_VALUE"""),"PS4")</f>
        <v>PS4</v>
      </c>
      <c r="C4" s="16" t="str">
        <f>IFERROR(__xludf.DUMMYFUNCTION("""COMPUTED_VALUE"""),"Extra")</f>
        <v>Extra</v>
      </c>
      <c r="D4" s="15" t="str">
        <f>IFERROR(__xludf.DUMMYFUNCTION("""COMPUTED_VALUE"""),"Active")</f>
        <v>Active</v>
      </c>
      <c r="E4" s="17">
        <f>IFERROR(__xludf.DUMMYFUNCTION("""COMPUTED_VALUE"""),46161.0)</f>
        <v>46161</v>
      </c>
      <c r="F4" s="18"/>
      <c r="G4" s="19">
        <f>IFERROR(__xludf.DUMMYFUNCTION("""COMPUTED_VALUE"""),4.566666666666666)</f>
        <v>4.566666667</v>
      </c>
      <c r="H4" s="17">
        <f>IFERROR(__xludf.DUMMYFUNCTION("""COMPUTED_VALUE"""),43399.0)</f>
        <v>43399</v>
      </c>
      <c r="I4" s="19">
        <f>IFERROR(__xludf.DUMMYFUNCTION("""COMPUTED_VALUE"""),7.563888888888889)</f>
        <v>7.563888889</v>
      </c>
      <c r="J4" s="21">
        <f>IFERROR(__xludf.DUMMYFUNCTION("""COMPUTED_VALUE"""),97.0)</f>
        <v>97</v>
      </c>
      <c r="K4" s="23">
        <f>IFERROR(__xludf.DUMMYFUNCTION("""COMPUTED_VALUE"""),9.0)</f>
        <v>9</v>
      </c>
      <c r="L4" s="24">
        <f>IFERROR(__xludf.DUMMYFUNCTION("""COMPUTED_VALUE"""),50.5)</f>
        <v>50.5</v>
      </c>
      <c r="M4" s="25" t="str">
        <f>IFERROR(__xludf.DUMMYFUNCTION("""COMPUTED_VALUE"""),"Action-Adventure")</f>
        <v>Action-Adventure</v>
      </c>
      <c r="N4" s="25"/>
      <c r="O4" s="26"/>
      <c r="P4" s="26"/>
    </row>
    <row r="5">
      <c r="A5" s="13" t="str">
        <f>IFERROR(__xludf.DUMMYFUNCTION("""COMPUTED_VALUE"""),"Grand Theft Auto V")</f>
        <v>Grand Theft Auto V</v>
      </c>
      <c r="B5" s="15" t="str">
        <f>IFERROR(__xludf.DUMMYFUNCTION("""COMPUTED_VALUE"""),"PS5/PS4")</f>
        <v>PS5/PS4</v>
      </c>
      <c r="C5" s="16" t="str">
        <f>IFERROR(__xludf.DUMMYFUNCTION("""COMPUTED_VALUE"""),"Extra")</f>
        <v>Extra</v>
      </c>
      <c r="D5" s="15" t="str">
        <f>IFERROR(__xludf.DUMMYFUNCTION("""COMPUTED_VALUE"""),"Active")</f>
        <v>Active</v>
      </c>
      <c r="E5" s="17">
        <f>IFERROR(__xludf.DUMMYFUNCTION("""COMPUTED_VALUE"""),45979.0)</f>
        <v>45979</v>
      </c>
      <c r="F5" s="18"/>
      <c r="G5" s="19">
        <f>IFERROR(__xludf.DUMMYFUNCTION("""COMPUTED_VALUE"""),10.6)</f>
        <v>10.6</v>
      </c>
      <c r="H5" s="17">
        <f>IFERROR(__xludf.DUMMYFUNCTION("""COMPUTED_VALUE"""),41961.0)</f>
        <v>41961</v>
      </c>
      <c r="I5" s="19">
        <f>IFERROR(__xludf.DUMMYFUNCTION("""COMPUTED_VALUE"""),11.0)</f>
        <v>11</v>
      </c>
      <c r="J5" s="21">
        <f>IFERROR(__xludf.DUMMYFUNCTION("""COMPUTED_VALUE"""),97.0)</f>
        <v>97</v>
      </c>
      <c r="K5" s="23">
        <f>IFERROR(__xludf.DUMMYFUNCTION("""COMPUTED_VALUE"""),8.4)</f>
        <v>8.4</v>
      </c>
      <c r="L5" s="24">
        <f>IFERROR(__xludf.DUMMYFUNCTION("""COMPUTED_VALUE"""),32.0)</f>
        <v>32</v>
      </c>
      <c r="M5" s="25" t="str">
        <f>IFERROR(__xludf.DUMMYFUNCTION("""COMPUTED_VALUE"""),"Action-Adventure")</f>
        <v>Action-Adventure</v>
      </c>
      <c r="N5" s="25"/>
      <c r="O5" s="26" t="str">
        <f>IFERROR(__xludf.DUMMYFUNCTION("""COMPUTED_VALUE"""),"Yes")</f>
        <v>Yes</v>
      </c>
      <c r="P5" s="26"/>
    </row>
    <row r="6">
      <c r="A6" s="13" t="str">
        <f>IFERROR(__xludf.DUMMYFUNCTION("""COMPUTED_VALUE"""),"Tekken 3")</f>
        <v>Tekken 3</v>
      </c>
      <c r="B6" s="15" t="str">
        <f>IFERROR(__xludf.DUMMYFUNCTION("""COMPUTED_VALUE"""),"PS5/PS4")</f>
        <v>PS5/PS4</v>
      </c>
      <c r="C6" s="16" t="str">
        <f>IFERROR(__xludf.DUMMYFUNCTION("""COMPUTED_VALUE"""),"Premium (Classics)")</f>
        <v>Premium (Classics)</v>
      </c>
      <c r="D6" s="15" t="str">
        <f>IFERROR(__xludf.DUMMYFUNCTION("""COMPUTED_VALUE"""),"Active")</f>
        <v>Active</v>
      </c>
      <c r="E6" s="17">
        <f>IFERROR(__xludf.DUMMYFUNCTION("""COMPUTED_VALUE"""),45951.0)</f>
        <v>45951</v>
      </c>
      <c r="F6" s="18"/>
      <c r="G6" s="19">
        <f>IFERROR(__xludf.DUMMYFUNCTION("""COMPUTED_VALUE"""),11.5)</f>
        <v>11.5</v>
      </c>
      <c r="H6" s="17">
        <f>IFERROR(__xludf.DUMMYFUNCTION("""COMPUTED_VALUE"""),35914.0)</f>
        <v>35914</v>
      </c>
      <c r="I6" s="19">
        <f>IFERROR(__xludf.DUMMYFUNCTION("""COMPUTED_VALUE"""),2.0)</f>
        <v>2</v>
      </c>
      <c r="J6" s="21">
        <f>IFERROR(__xludf.DUMMYFUNCTION("""COMPUTED_VALUE"""),96.0)</f>
        <v>96</v>
      </c>
      <c r="K6" s="23">
        <f>IFERROR(__xludf.DUMMYFUNCTION("""COMPUTED_VALUE"""),8.8)</f>
        <v>8.8</v>
      </c>
      <c r="L6" s="24">
        <f>IFERROR(__xludf.DUMMYFUNCTION("""COMPUTED_VALUE"""),2.0)</f>
        <v>2</v>
      </c>
      <c r="M6" s="25" t="str">
        <f>IFERROR(__xludf.DUMMYFUNCTION("""COMPUTED_VALUE"""),"Fighting")</f>
        <v>Fighting</v>
      </c>
      <c r="N6" s="25" t="str">
        <f>IFERROR(__xludf.DUMMYFUNCTION("""COMPUTED_VALUE"""),"PS1")</f>
        <v>PS1</v>
      </c>
      <c r="O6" s="26"/>
      <c r="P6" s="26"/>
    </row>
    <row r="7">
      <c r="A7" s="13" t="str">
        <f>IFERROR(__xludf.DUMMYFUNCTION("""COMPUTED_VALUE"""),"Persona 5 Royal")</f>
        <v>Persona 5 Royal</v>
      </c>
      <c r="B7" s="15" t="str">
        <f>IFERROR(__xludf.DUMMYFUNCTION("""COMPUTED_VALUE"""),"PS5/PS4")</f>
        <v>PS5/PS4</v>
      </c>
      <c r="C7" s="16" t="str">
        <f>IFERROR(__xludf.DUMMYFUNCTION("""COMPUTED_VALUE"""),"Extra")</f>
        <v>Extra</v>
      </c>
      <c r="D7" s="15" t="str">
        <f>IFERROR(__xludf.DUMMYFUNCTION("""COMPUTED_VALUE"""),"Active")</f>
        <v>Active</v>
      </c>
      <c r="E7" s="17">
        <f>IFERROR(__xludf.DUMMYFUNCTION("""COMPUTED_VALUE"""),46098.0)</f>
        <v>46098</v>
      </c>
      <c r="F7" s="18"/>
      <c r="G7" s="19">
        <f>IFERROR(__xludf.DUMMYFUNCTION("""COMPUTED_VALUE"""),6.633333333333334)</f>
        <v>6.633333333</v>
      </c>
      <c r="H7" s="17">
        <f>IFERROR(__xludf.DUMMYFUNCTION("""COMPUTED_VALUE"""),43921.0)</f>
        <v>43921</v>
      </c>
      <c r="I7" s="19">
        <f>IFERROR(__xludf.DUMMYFUNCTION("""COMPUTED_VALUE"""),5.963888888888889)</f>
        <v>5.963888889</v>
      </c>
      <c r="J7" s="21">
        <f>IFERROR(__xludf.DUMMYFUNCTION("""COMPUTED_VALUE"""),95.0)</f>
        <v>95</v>
      </c>
      <c r="K7" s="23">
        <f>IFERROR(__xludf.DUMMYFUNCTION("""COMPUTED_VALUE"""),8.7)</f>
        <v>8.7</v>
      </c>
      <c r="L7" s="24">
        <f>IFERROR(__xludf.DUMMYFUNCTION("""COMPUTED_VALUE"""),103.0)</f>
        <v>103</v>
      </c>
      <c r="M7" s="25" t="str">
        <f>IFERROR(__xludf.DUMMYFUNCTION("""COMPUTED_VALUE"""),"RPG")</f>
        <v>RPG</v>
      </c>
      <c r="N7" s="25" t="str">
        <f>IFERROR(__xludf.DUMMYFUNCTION("""COMPUTED_VALUE"""),"Royal for PS5, Ultimate Edition for PS4")</f>
        <v>Royal for PS5, Ultimate Edition for PS4</v>
      </c>
      <c r="O7" s="26"/>
      <c r="P7" s="26"/>
    </row>
    <row r="8">
      <c r="A8" s="13" t="str">
        <f>IFERROR(__xludf.DUMMYFUNCTION("""COMPUTED_VALUE"""),"God of War: Ragnarök")</f>
        <v>God of War: Ragnarök</v>
      </c>
      <c r="B8" s="15" t="str">
        <f>IFERROR(__xludf.DUMMYFUNCTION("""COMPUTED_VALUE"""),"PS5/PS4")</f>
        <v>PS5/PS4</v>
      </c>
      <c r="C8" s="16" t="str">
        <f>IFERROR(__xludf.DUMMYFUNCTION("""COMPUTED_VALUE"""),"Extra")</f>
        <v>Extra</v>
      </c>
      <c r="D8" s="15" t="str">
        <f>IFERROR(__xludf.DUMMYFUNCTION("""COMPUTED_VALUE"""),"Active")</f>
        <v>Active</v>
      </c>
      <c r="E8" s="17">
        <f>IFERROR(__xludf.DUMMYFUNCTION("""COMPUTED_VALUE"""),45678.0)</f>
        <v>45678</v>
      </c>
      <c r="F8" s="18"/>
      <c r="G8" s="19">
        <f>IFERROR(__xludf.DUMMYFUNCTION("""COMPUTED_VALUE"""),20.5)</f>
        <v>20.5</v>
      </c>
      <c r="H8" s="17">
        <f>IFERROR(__xludf.DUMMYFUNCTION("""COMPUTED_VALUE"""),44874.0)</f>
        <v>44874</v>
      </c>
      <c r="I8" s="19">
        <f>IFERROR(__xludf.DUMMYFUNCTION("""COMPUTED_VALUE"""),2.2)</f>
        <v>2.2</v>
      </c>
      <c r="J8" s="21">
        <f>IFERROR(__xludf.DUMMYFUNCTION("""COMPUTED_VALUE"""),94.0)</f>
        <v>94</v>
      </c>
      <c r="K8" s="23">
        <f>IFERROR(__xludf.DUMMYFUNCTION("""COMPUTED_VALUE"""),8.2)</f>
        <v>8.2</v>
      </c>
      <c r="L8" s="24">
        <f>IFERROR(__xludf.DUMMYFUNCTION("""COMPUTED_VALUE"""),27.0)</f>
        <v>27</v>
      </c>
      <c r="M8" s="25" t="str">
        <f>IFERROR(__xludf.DUMMYFUNCTION("""COMPUTED_VALUE"""),"Action-Adventure")</f>
        <v>Action-Adventure</v>
      </c>
      <c r="N8" s="25"/>
      <c r="O8" s="26" t="str">
        <f>IFERROR(__xludf.DUMMYFUNCTION("""COMPUTED_VALUE"""),"Yes")</f>
        <v>Yes</v>
      </c>
      <c r="P8" s="26"/>
    </row>
    <row r="9">
      <c r="A9" s="35" t="str">
        <f>IFERROR(__xludf.DUMMYFUNCTION("""COMPUTED_VALUE"""),"Celeste")</f>
        <v>Celeste</v>
      </c>
      <c r="B9" s="15" t="str">
        <f>IFERROR(__xludf.DUMMYFUNCTION("""COMPUTED_VALUE"""),"PS4")</f>
        <v>PS4</v>
      </c>
      <c r="C9" s="16" t="str">
        <f>IFERROR(__xludf.DUMMYFUNCTION("""COMPUTED_VALUE"""),"Extra")</f>
        <v>Extra</v>
      </c>
      <c r="D9" s="15" t="str">
        <f>IFERROR(__xludf.DUMMYFUNCTION("""COMPUTED_VALUE"""),"Active")</f>
        <v>Active</v>
      </c>
      <c r="E9" s="17">
        <f>IFERROR(__xludf.DUMMYFUNCTION("""COMPUTED_VALUE"""),44725.0)</f>
        <v>44725</v>
      </c>
      <c r="F9" s="18"/>
      <c r="G9" s="19">
        <f>IFERROR(__xludf.DUMMYFUNCTION("""COMPUTED_VALUE"""),51.766666666666666)</f>
        <v>51.76666667</v>
      </c>
      <c r="H9" s="17">
        <f>IFERROR(__xludf.DUMMYFUNCTION("""COMPUTED_VALUE"""),43125.0)</f>
        <v>43125</v>
      </c>
      <c r="I9" s="19">
        <f>IFERROR(__xludf.DUMMYFUNCTION("""COMPUTED_VALUE"""),4.383333333333334)</f>
        <v>4.383333333</v>
      </c>
      <c r="J9" s="21">
        <f>IFERROR(__xludf.DUMMYFUNCTION("""COMPUTED_VALUE"""),93.0)</f>
        <v>93</v>
      </c>
      <c r="K9" s="23">
        <f>IFERROR(__xludf.DUMMYFUNCTION("""COMPUTED_VALUE"""),8.7)</f>
        <v>8.7</v>
      </c>
      <c r="L9" s="24">
        <f>IFERROR(__xludf.DUMMYFUNCTION("""COMPUTED_VALUE"""),8.0)</f>
        <v>8</v>
      </c>
      <c r="M9" s="25" t="str">
        <f>IFERROR(__xludf.DUMMYFUNCTION("""COMPUTED_VALUE"""),"Platformer")</f>
        <v>Platformer</v>
      </c>
      <c r="N9" s="25"/>
      <c r="O9" s="26" t="str">
        <f>IFERROR(__xludf.DUMMYFUNCTION("""COMPUTED_VALUE"""),"Yes")</f>
        <v>Yes</v>
      </c>
      <c r="P9" s="26"/>
    </row>
    <row r="10">
      <c r="A10" s="13" t="str">
        <f>IFERROR(__xludf.DUMMYFUNCTION("""COMPUTED_VALUE"""),"Uncharted 4: A Thief's End")</f>
        <v>Uncharted 4: A Thief's End</v>
      </c>
      <c r="B10" s="15" t="str">
        <f>IFERROR(__xludf.DUMMYFUNCTION("""COMPUTED_VALUE"""),"PS4")</f>
        <v>PS4</v>
      </c>
      <c r="C10" s="16" t="str">
        <f>IFERROR(__xludf.DUMMYFUNCTION("""COMPUTED_VALUE"""),"Extra")</f>
        <v>Extra</v>
      </c>
      <c r="D10" s="15" t="str">
        <f>IFERROR(__xludf.DUMMYFUNCTION("""COMPUTED_VALUE"""),"Active")</f>
        <v>Active</v>
      </c>
      <c r="E10" s="17">
        <f>IFERROR(__xludf.DUMMYFUNCTION("""COMPUTED_VALUE"""),43928.0)</f>
        <v>43928</v>
      </c>
      <c r="F10" s="18"/>
      <c r="G10" s="19">
        <f>IFERROR(__xludf.DUMMYFUNCTION("""COMPUTED_VALUE"""),77.96666666666667)</f>
        <v>77.96666667</v>
      </c>
      <c r="H10" s="17">
        <f>IFERROR(__xludf.DUMMYFUNCTION("""COMPUTED_VALUE"""),42500.0)</f>
        <v>42500</v>
      </c>
      <c r="I10" s="19">
        <f>IFERROR(__xludf.DUMMYFUNCTION("""COMPUTED_VALUE"""),3.908333333333333)</f>
        <v>3.908333333</v>
      </c>
      <c r="J10" s="21">
        <f>IFERROR(__xludf.DUMMYFUNCTION("""COMPUTED_VALUE"""),93.0)</f>
        <v>93</v>
      </c>
      <c r="K10" s="23">
        <f>IFERROR(__xludf.DUMMYFUNCTION("""COMPUTED_VALUE"""),8.5)</f>
        <v>8.5</v>
      </c>
      <c r="L10" s="24">
        <f>IFERROR(__xludf.DUMMYFUNCTION("""COMPUTED_VALUE"""),15.0)</f>
        <v>15</v>
      </c>
      <c r="M10" s="25" t="str">
        <f>IFERROR(__xludf.DUMMYFUNCTION("""COMPUTED_VALUE"""),"Action-Adventure")</f>
        <v>Action-Adventure</v>
      </c>
      <c r="N10" s="25"/>
      <c r="O10" s="26" t="str">
        <f>IFERROR(__xludf.DUMMYFUNCTION("""COMPUTED_VALUE"""),"Yes")</f>
        <v>Yes</v>
      </c>
      <c r="P10" s="26"/>
    </row>
    <row r="11">
      <c r="A11" s="13" t="str">
        <f>IFERROR(__xludf.DUMMYFUNCTION("""COMPUTED_VALUE"""),"Undertale")</f>
        <v>Undertale</v>
      </c>
      <c r="B11" s="15" t="str">
        <f>IFERROR(__xludf.DUMMYFUNCTION("""COMPUTED_VALUE"""),"PS4")</f>
        <v>PS4</v>
      </c>
      <c r="C11" s="16" t="str">
        <f>IFERROR(__xludf.DUMMYFUNCTION("""COMPUTED_VALUE"""),"Extra")</f>
        <v>Extra</v>
      </c>
      <c r="D11" s="15" t="str">
        <f>IFERROR(__xludf.DUMMYFUNCTION("""COMPUTED_VALUE"""),"Active")</f>
        <v>Active</v>
      </c>
      <c r="E11" s="17">
        <f>IFERROR(__xludf.DUMMYFUNCTION("""COMPUTED_VALUE"""),45125.0)</f>
        <v>45125</v>
      </c>
      <c r="F11" s="18"/>
      <c r="G11" s="19">
        <f>IFERROR(__xludf.DUMMYFUNCTION("""COMPUTED_VALUE"""),38.6)</f>
        <v>38.6</v>
      </c>
      <c r="H11" s="17">
        <f>IFERROR(__xludf.DUMMYFUNCTION("""COMPUTED_VALUE"""),42962.0)</f>
        <v>42962</v>
      </c>
      <c r="I11" s="19">
        <f>IFERROR(__xludf.DUMMYFUNCTION("""COMPUTED_VALUE"""),5.925)</f>
        <v>5.925</v>
      </c>
      <c r="J11" s="21">
        <f>IFERROR(__xludf.DUMMYFUNCTION("""COMPUTED_VALUE"""),92.0)</f>
        <v>92</v>
      </c>
      <c r="K11" s="23">
        <f>IFERROR(__xludf.DUMMYFUNCTION("""COMPUTED_VALUE"""),7.3)</f>
        <v>7.3</v>
      </c>
      <c r="L11" s="24">
        <f>IFERROR(__xludf.DUMMYFUNCTION("""COMPUTED_VALUE"""),7.0)</f>
        <v>7</v>
      </c>
      <c r="M11" s="25" t="str">
        <f>IFERROR(__xludf.DUMMYFUNCTION("""COMPUTED_VALUE"""),"RPG")</f>
        <v>RPG</v>
      </c>
      <c r="N11" s="25"/>
      <c r="O11" s="26" t="str">
        <f>IFERROR(__xludf.DUMMYFUNCTION("""COMPUTED_VALUE"""),"Yes")</f>
        <v>Yes</v>
      </c>
      <c r="P11" s="26"/>
    </row>
    <row r="12">
      <c r="A12" s="13" t="str">
        <f>IFERROR(__xludf.DUMMYFUNCTION("""COMPUTED_VALUE"""),"Gitaroo Man")</f>
        <v>Gitaroo Man</v>
      </c>
      <c r="B12" s="15" t="str">
        <f>IFERROR(__xludf.DUMMYFUNCTION("""COMPUTED_VALUE"""),"PS5/PS4")</f>
        <v>PS5/PS4</v>
      </c>
      <c r="C12" s="16" t="str">
        <f>IFERROR(__xludf.DUMMYFUNCTION("""COMPUTED_VALUE"""),"Premium (Classics)")</f>
        <v>Premium (Classics)</v>
      </c>
      <c r="D12" s="15" t="str">
        <f>IFERROR(__xludf.DUMMYFUNCTION("""COMPUTED_VALUE"""),"Active")</f>
        <v>Active</v>
      </c>
      <c r="E12" s="53">
        <f>IFERROR(__xludf.DUMMYFUNCTION("""COMPUTED_VALUE"""),46189.0)</f>
        <v>46189</v>
      </c>
      <c r="F12" s="54"/>
      <c r="G12" s="19">
        <f>IFERROR(__xludf.DUMMYFUNCTION("""COMPUTED_VALUE"""),3.666666666666667)</f>
        <v>3.666666667</v>
      </c>
      <c r="H12" s="17">
        <f>IFERROR(__xludf.DUMMYFUNCTION("""COMPUTED_VALUE"""),37431.0)</f>
        <v>37431</v>
      </c>
      <c r="I12" s="19">
        <f>IFERROR(__xludf.DUMMYFUNCTION("""COMPUTED_VALUE"""),23.977777777777778)</f>
        <v>23.97777778</v>
      </c>
      <c r="J12" s="21">
        <f>IFERROR(__xludf.DUMMYFUNCTION("""COMPUTED_VALUE"""),91.0)</f>
        <v>91</v>
      </c>
      <c r="K12" s="23">
        <f>IFERROR(__xludf.DUMMYFUNCTION("""COMPUTED_VALUE"""),8.8)</f>
        <v>8.8</v>
      </c>
      <c r="L12" s="24">
        <f>IFERROR(__xludf.DUMMYFUNCTION("""COMPUTED_VALUE"""),4.0)</f>
        <v>4</v>
      </c>
      <c r="M12" s="25" t="str">
        <f>IFERROR(__xludf.DUMMYFUNCTION("""COMPUTED_VALUE"""),"Rhythm")</f>
        <v>Rhythm</v>
      </c>
      <c r="N12" s="25" t="str">
        <f>IFERROR(__xludf.DUMMYFUNCTION("""COMPUTED_VALUE"""),"PS2")</f>
        <v>PS2</v>
      </c>
      <c r="O12" s="26"/>
      <c r="P12" s="26"/>
    </row>
    <row r="13">
      <c r="A13" s="13" t="str">
        <f>IFERROR(__xludf.DUMMYFUNCTION("""COMPUTED_VALUE"""),"Resident Evil 2")</f>
        <v>Resident Evil 2</v>
      </c>
      <c r="B13" s="15" t="str">
        <f>IFERROR(__xludf.DUMMYFUNCTION("""COMPUTED_VALUE"""),"PS5/PS4")</f>
        <v>PS5/PS4</v>
      </c>
      <c r="C13" s="16" t="str">
        <f>IFERROR(__xludf.DUMMYFUNCTION("""COMPUTED_VALUE"""),"Premium (Classics)")</f>
        <v>Premium (Classics)</v>
      </c>
      <c r="D13" s="15" t="str">
        <f>IFERROR(__xludf.DUMMYFUNCTION("""COMPUTED_VALUE"""),"Active")</f>
        <v>Active</v>
      </c>
      <c r="E13" s="17">
        <f>IFERROR(__xludf.DUMMYFUNCTION("""COMPUTED_VALUE"""),45888.0)</f>
        <v>45888</v>
      </c>
      <c r="F13" s="54"/>
      <c r="G13" s="19">
        <f>IFERROR(__xludf.DUMMYFUNCTION("""COMPUTED_VALUE"""),13.566666666666666)</f>
        <v>13.56666667</v>
      </c>
      <c r="H13" s="17">
        <f>IFERROR(__xludf.DUMMYFUNCTION("""COMPUTED_VALUE"""),35824.0)</f>
        <v>35824</v>
      </c>
      <c r="I13" s="19">
        <f>IFERROR(__xludf.DUMMYFUNCTION("""COMPUTED_VALUE"""),27.555555555555557)</f>
        <v>27.55555556</v>
      </c>
      <c r="J13" s="21">
        <f>IFERROR(__xludf.DUMMYFUNCTION("""COMPUTED_VALUE"""),91.0)</f>
        <v>91</v>
      </c>
      <c r="K13" s="23">
        <f>IFERROR(__xludf.DUMMYFUNCTION("""COMPUTED_VALUE"""),8.9)</f>
        <v>8.9</v>
      </c>
      <c r="L13" s="24">
        <f>IFERROR(__xludf.DUMMYFUNCTION("""COMPUTED_VALUE"""),9.0)</f>
        <v>9</v>
      </c>
      <c r="M13" s="25" t="str">
        <f>IFERROR(__xludf.DUMMYFUNCTION("""COMPUTED_VALUE"""),"Survival")</f>
        <v>Survival</v>
      </c>
      <c r="N13" s="25" t="str">
        <f>IFERROR(__xludf.DUMMYFUNCTION("""COMPUTED_VALUE"""),"PS1")</f>
        <v>PS1</v>
      </c>
      <c r="O13" s="26"/>
      <c r="P13" s="26"/>
    </row>
    <row r="14">
      <c r="A14" s="13" t="str">
        <f>IFERROR(__xludf.DUMMYFUNCTION("""COMPUTED_VALUE"""),"Blood Omen: Legacy of Kain")</f>
        <v>Blood Omen: Legacy of Kain</v>
      </c>
      <c r="B14" s="15" t="str">
        <f>IFERROR(__xludf.DUMMYFUNCTION("""COMPUTED_VALUE"""),"PS5/PS4")</f>
        <v>PS5/PS4</v>
      </c>
      <c r="C14" s="16" t="str">
        <f>IFERROR(__xludf.DUMMYFUNCTION("""COMPUTED_VALUE"""),"Premium (Classics)")</f>
        <v>Premium (Classics)</v>
      </c>
      <c r="D14" s="15" t="str">
        <f>IFERROR(__xludf.DUMMYFUNCTION("""COMPUTED_VALUE"""),"Active")</f>
        <v>Active</v>
      </c>
      <c r="E14" s="17">
        <f>IFERROR(__xludf.DUMMYFUNCTION("""COMPUTED_VALUE"""),45615.0)</f>
        <v>45615</v>
      </c>
      <c r="F14" s="54"/>
      <c r="G14" s="19">
        <f>IFERROR(__xludf.DUMMYFUNCTION("""COMPUTED_VALUE"""),22.566666666666666)</f>
        <v>22.56666667</v>
      </c>
      <c r="H14" s="17">
        <f>IFERROR(__xludf.DUMMYFUNCTION("""COMPUTED_VALUE"""),35370.0)</f>
        <v>35370</v>
      </c>
      <c r="I14" s="19">
        <f>IFERROR(__xludf.DUMMYFUNCTION("""COMPUTED_VALUE"""),28.05)</f>
        <v>28.05</v>
      </c>
      <c r="J14" s="21">
        <f>IFERROR(__xludf.DUMMYFUNCTION("""COMPUTED_VALUE"""),91.0)</f>
        <v>91</v>
      </c>
      <c r="K14" s="23">
        <f>IFERROR(__xludf.DUMMYFUNCTION("""COMPUTED_VALUE"""),8.8)</f>
        <v>8.8</v>
      </c>
      <c r="L14" s="24">
        <f>IFERROR(__xludf.DUMMYFUNCTION("""COMPUTED_VALUE"""),18.0)</f>
        <v>18</v>
      </c>
      <c r="M14" s="25" t="str">
        <f>IFERROR(__xludf.DUMMYFUNCTION("""COMPUTED_VALUE"""),"Action-Adventure")</f>
        <v>Action-Adventure</v>
      </c>
      <c r="N14" s="25" t="str">
        <f>IFERROR(__xludf.DUMMYFUNCTION("""COMPUTED_VALUE"""),"PS1")</f>
        <v>PS1</v>
      </c>
      <c r="O14" s="26" t="str">
        <f>IFERROR(__xludf.DUMMYFUNCTION("""COMPUTED_VALUE"""),"Yes")</f>
        <v>Yes</v>
      </c>
      <c r="P14" s="26"/>
    </row>
    <row r="15">
      <c r="A15" s="13" t="str">
        <f>IFERROR(__xludf.DUMMYFUNCTION("""COMPUTED_VALUE"""),"Shadow of the Colossus")</f>
        <v>Shadow of the Colossus</v>
      </c>
      <c r="B15" s="15" t="str">
        <f>IFERROR(__xludf.DUMMYFUNCTION("""COMPUTED_VALUE"""),"PS4")</f>
        <v>PS4</v>
      </c>
      <c r="C15" s="16" t="str">
        <f>IFERROR(__xludf.DUMMYFUNCTION("""COMPUTED_VALUE"""),"Extra")</f>
        <v>Extra</v>
      </c>
      <c r="D15" s="15" t="str">
        <f>IFERROR(__xludf.DUMMYFUNCTION("""COMPUTED_VALUE"""),"Active")</f>
        <v>Active</v>
      </c>
      <c r="E15" s="17">
        <f>IFERROR(__xludf.DUMMYFUNCTION("""COMPUTED_VALUE"""),44725.0)</f>
        <v>44725</v>
      </c>
      <c r="F15" s="54"/>
      <c r="G15" s="19">
        <f>IFERROR(__xludf.DUMMYFUNCTION("""COMPUTED_VALUE"""),51.766666666666666)</f>
        <v>51.76666667</v>
      </c>
      <c r="H15" s="17">
        <f>IFERROR(__xludf.DUMMYFUNCTION("""COMPUTED_VALUE"""),43137.0)</f>
        <v>43137</v>
      </c>
      <c r="I15" s="19">
        <f>IFERROR(__xludf.DUMMYFUNCTION("""COMPUTED_VALUE"""),4.352777777777778)</f>
        <v>4.352777778</v>
      </c>
      <c r="J15" s="21">
        <f>IFERROR(__xludf.DUMMYFUNCTION("""COMPUTED_VALUE"""),91.0)</f>
        <v>91</v>
      </c>
      <c r="K15" s="23">
        <f>IFERROR(__xludf.DUMMYFUNCTION("""COMPUTED_VALUE"""),8.8)</f>
        <v>8.8</v>
      </c>
      <c r="L15" s="24">
        <f>IFERROR(__xludf.DUMMYFUNCTION("""COMPUTED_VALUE"""),8.0)</f>
        <v>8</v>
      </c>
      <c r="M15" s="25" t="str">
        <f>IFERROR(__xludf.DUMMYFUNCTION("""COMPUTED_VALUE"""),"Action-Adventure")</f>
        <v>Action-Adventure</v>
      </c>
      <c r="N15" s="25"/>
      <c r="O15" s="26" t="str">
        <f>IFERROR(__xludf.DUMMYFUNCTION("""COMPUTED_VALUE"""),"Yes")</f>
        <v>Yes</v>
      </c>
      <c r="P15" s="26"/>
    </row>
    <row r="16">
      <c r="A16" s="13" t="str">
        <f>IFERROR(__xludf.DUMMYFUNCTION("""COMPUTED_VALUE"""),"Bloodborne")</f>
        <v>Bloodborne</v>
      </c>
      <c r="B16" s="15" t="str">
        <f>IFERROR(__xludf.DUMMYFUNCTION("""COMPUTED_VALUE"""),"PS4")</f>
        <v>PS4</v>
      </c>
      <c r="C16" s="16" t="str">
        <f>IFERROR(__xludf.DUMMYFUNCTION("""COMPUTED_VALUE"""),"Extra")</f>
        <v>Extra</v>
      </c>
      <c r="D16" s="15" t="str">
        <f>IFERROR(__xludf.DUMMYFUNCTION("""COMPUTED_VALUE"""),"Active")</f>
        <v>Active</v>
      </c>
      <c r="E16" s="17">
        <f>IFERROR(__xludf.DUMMYFUNCTION("""COMPUTED_VALUE"""),44147.0)</f>
        <v>44147</v>
      </c>
      <c r="F16" s="54"/>
      <c r="G16" s="19">
        <f>IFERROR(__xludf.DUMMYFUNCTION("""COMPUTED_VALUE"""),70.80000000000001)</f>
        <v>70.8</v>
      </c>
      <c r="H16" s="17">
        <f>IFERROR(__xludf.DUMMYFUNCTION("""COMPUTED_VALUE"""),42248.0)</f>
        <v>42248</v>
      </c>
      <c r="I16" s="19">
        <f>IFERROR(__xludf.DUMMYFUNCTION("""COMPUTED_VALUE"""),5.197222222222222)</f>
        <v>5.197222222</v>
      </c>
      <c r="J16" s="21">
        <f>IFERROR(__xludf.DUMMYFUNCTION("""COMPUTED_VALUE"""),91.0)</f>
        <v>91</v>
      </c>
      <c r="K16" s="23">
        <f>IFERROR(__xludf.DUMMYFUNCTION("""COMPUTED_VALUE"""),8.9)</f>
        <v>8.9</v>
      </c>
      <c r="L16" s="24">
        <f>IFERROR(__xludf.DUMMYFUNCTION("""COMPUTED_VALUE"""),33.5)</f>
        <v>33.5</v>
      </c>
      <c r="M16" s="25" t="str">
        <f>IFERROR(__xludf.DUMMYFUNCTION("""COMPUTED_VALUE"""),"RPG")</f>
        <v>RPG</v>
      </c>
      <c r="N16" s="25"/>
      <c r="O16" s="26" t="str">
        <f>IFERROR(__xludf.DUMMYFUNCTION("""COMPUTED_VALUE"""),"Yes")</f>
        <v>Yes</v>
      </c>
      <c r="P16" s="26"/>
    </row>
    <row r="17">
      <c r="A17" s="13" t="str">
        <f>IFERROR(__xludf.DUMMYFUNCTION("""COMPUTED_VALUE"""),"Hollow Knight: Voidheart Edition")</f>
        <v>Hollow Knight: Voidheart Edition</v>
      </c>
      <c r="B17" s="15" t="str">
        <f>IFERROR(__xludf.DUMMYFUNCTION("""COMPUTED_VALUE"""),"PS4")</f>
        <v>PS4</v>
      </c>
      <c r="C17" s="16" t="str">
        <f>IFERROR(__xludf.DUMMYFUNCTION("""COMPUTED_VALUE"""),"Extra")</f>
        <v>Extra</v>
      </c>
      <c r="D17" s="15" t="str">
        <f>IFERROR(__xludf.DUMMYFUNCTION("""COMPUTED_VALUE"""),"Active")</f>
        <v>Active</v>
      </c>
      <c r="E17" s="17">
        <f>IFERROR(__xludf.DUMMYFUNCTION("""COMPUTED_VALUE"""),44138.0)</f>
        <v>44138</v>
      </c>
      <c r="F17" s="54"/>
      <c r="G17" s="19">
        <f>IFERROR(__xludf.DUMMYFUNCTION("""COMPUTED_VALUE"""),71.1)</f>
        <v>71.1</v>
      </c>
      <c r="H17" s="17">
        <f>IFERROR(__xludf.DUMMYFUNCTION("""COMPUTED_VALUE"""),42790.0)</f>
        <v>42790</v>
      </c>
      <c r="I17" s="19">
        <f>IFERROR(__xludf.DUMMYFUNCTION("""COMPUTED_VALUE"""),3.691666666666667)</f>
        <v>3.691666667</v>
      </c>
      <c r="J17" s="21">
        <f>IFERROR(__xludf.DUMMYFUNCTION("""COMPUTED_VALUE"""),91.0)</f>
        <v>91</v>
      </c>
      <c r="K17" s="23">
        <f>IFERROR(__xludf.DUMMYFUNCTION("""COMPUTED_VALUE"""),8.7)</f>
        <v>8.7</v>
      </c>
      <c r="L17" s="24">
        <f>IFERROR(__xludf.DUMMYFUNCTION("""COMPUTED_VALUE"""),26.5)</f>
        <v>26.5</v>
      </c>
      <c r="M17" s="25" t="str">
        <f>IFERROR(__xludf.DUMMYFUNCTION("""COMPUTED_VALUE"""),"Platformer")</f>
        <v>Platformer</v>
      </c>
      <c r="N17" s="25"/>
      <c r="O17" s="26" t="str">
        <f>IFERROR(__xludf.DUMMYFUNCTION("""COMPUTED_VALUE"""),"Yes")</f>
        <v>Yes</v>
      </c>
      <c r="P17" s="26"/>
    </row>
    <row r="18">
      <c r="A18" s="13" t="str">
        <f>IFERROR(__xludf.DUMMYFUNCTION("""COMPUTED_VALUE"""),"Rugby 25")</f>
        <v>Rugby 25</v>
      </c>
      <c r="B18" s="15" t="str">
        <f>IFERROR(__xludf.DUMMYFUNCTION("""COMPUTED_VALUE"""),"PS5/PS4")</f>
        <v>PS5/PS4</v>
      </c>
      <c r="C18" s="16" t="str">
        <f>IFERROR(__xludf.DUMMYFUNCTION("""COMPUTED_VALUE"""),"Extra")</f>
        <v>Extra</v>
      </c>
      <c r="D18" s="15" t="str">
        <f>IFERROR(__xludf.DUMMYFUNCTION("""COMPUTED_VALUE"""),"Active")</f>
        <v>Active</v>
      </c>
      <c r="E18" s="17">
        <f>IFERROR(__xludf.DUMMYFUNCTION("""COMPUTED_VALUE"""),46070.0)</f>
        <v>46070</v>
      </c>
      <c r="F18" s="54"/>
      <c r="G18" s="19">
        <f>IFERROR(__xludf.DUMMYFUNCTION("""COMPUTED_VALUE"""),7.633333333333333)</f>
        <v>7.633333333</v>
      </c>
      <c r="H18" s="17">
        <f>IFERROR(__xludf.DUMMYFUNCTION("""COMPUTED_VALUE"""),45701.0)</f>
        <v>45701</v>
      </c>
      <c r="I18" s="19">
        <f>IFERROR(__xludf.DUMMYFUNCTION("""COMPUTED_VALUE"""),1.011111111111111)</f>
        <v>1.011111111</v>
      </c>
      <c r="J18" s="21">
        <f>IFERROR(__xludf.DUMMYFUNCTION("""COMPUTED_VALUE"""),90.0)</f>
        <v>90</v>
      </c>
      <c r="K18" s="23">
        <f>IFERROR(__xludf.DUMMYFUNCTION("""COMPUTED_VALUE"""),7.4)</f>
        <v>7.4</v>
      </c>
      <c r="L18" s="24">
        <f>IFERROR(__xludf.DUMMYFUNCTION("""COMPUTED_VALUE"""),16.0)</f>
        <v>16</v>
      </c>
      <c r="M18" s="25" t="str">
        <f>IFERROR(__xludf.DUMMYFUNCTION("""COMPUTED_VALUE"""),"Sports")</f>
        <v>Sports</v>
      </c>
      <c r="N18" s="25"/>
      <c r="O18" s="26"/>
      <c r="P18" s="26"/>
    </row>
    <row r="19">
      <c r="A19" s="13" t="str">
        <f>IFERROR(__xludf.DUMMYFUNCTION("""COMPUTED_VALUE"""),"Deus Ex: The Conspiracy")</f>
        <v>Deus Ex: The Conspiracy</v>
      </c>
      <c r="B19" s="15" t="str">
        <f>IFERROR(__xludf.DUMMYFUNCTION("""COMPUTED_VALUE"""),"PS5/PS4")</f>
        <v>PS5/PS4</v>
      </c>
      <c r="C19" s="16" t="str">
        <f>IFERROR(__xludf.DUMMYFUNCTION("""COMPUTED_VALUE"""),"Premium (Classics)")</f>
        <v>Premium (Classics)</v>
      </c>
      <c r="D19" s="15" t="str">
        <f>IFERROR(__xludf.DUMMYFUNCTION("""COMPUTED_VALUE"""),"Active")</f>
        <v>Active</v>
      </c>
      <c r="E19" s="17">
        <f>IFERROR(__xludf.DUMMYFUNCTION("""COMPUTED_VALUE"""),45825.0)</f>
        <v>45825</v>
      </c>
      <c r="F19" s="54"/>
      <c r="G19" s="19">
        <f>IFERROR(__xludf.DUMMYFUNCTION("""COMPUTED_VALUE"""),15.633333333333333)</f>
        <v>15.63333333</v>
      </c>
      <c r="H19" s="17">
        <f>IFERROR(__xludf.DUMMYFUNCTION("""COMPUTED_VALUE"""),36700.0)</f>
        <v>36700</v>
      </c>
      <c r="I19" s="19">
        <f>IFERROR(__xludf.DUMMYFUNCTION("""COMPUTED_VALUE"""),24.983333333333334)</f>
        <v>24.98333333</v>
      </c>
      <c r="J19" s="21">
        <f>IFERROR(__xludf.DUMMYFUNCTION("""COMPUTED_VALUE"""),90.0)</f>
        <v>90</v>
      </c>
      <c r="K19" s="23">
        <f>IFERROR(__xludf.DUMMYFUNCTION("""COMPUTED_VALUE"""),9.0)</f>
        <v>9</v>
      </c>
      <c r="L19" s="24">
        <f>IFERROR(__xludf.DUMMYFUNCTION("""COMPUTED_VALUE"""),23.0)</f>
        <v>23</v>
      </c>
      <c r="M19" s="25" t="str">
        <f>IFERROR(__xludf.DUMMYFUNCTION("""COMPUTED_VALUE"""),"Action-Adventure")</f>
        <v>Action-Adventure</v>
      </c>
      <c r="N19" s="25" t="str">
        <f>IFERROR(__xludf.DUMMYFUNCTION("""COMPUTED_VALUE"""),"PS2")</f>
        <v>PS2</v>
      </c>
      <c r="O19" s="26"/>
      <c r="P19" s="26"/>
    </row>
    <row r="20">
      <c r="A20" s="13" t="str">
        <f>IFERROR(__xludf.DUMMYFUNCTION("""COMPUTED_VALUE"""),"Jak and Daxter: The Precursor Legacy")</f>
        <v>Jak and Daxter: The Precursor Legacy</v>
      </c>
      <c r="B20" s="15" t="str">
        <f>IFERROR(__xludf.DUMMYFUNCTION("""COMPUTED_VALUE"""),"PS5/PS4")</f>
        <v>PS5/PS4</v>
      </c>
      <c r="C20" s="16" t="str">
        <f>IFERROR(__xludf.DUMMYFUNCTION("""COMPUTED_VALUE"""),"Premium (Classics)")</f>
        <v>Premium (Classics)</v>
      </c>
      <c r="D20" s="15" t="str">
        <f>IFERROR(__xludf.DUMMYFUNCTION("""COMPUTED_VALUE"""),"Active")</f>
        <v>Active</v>
      </c>
      <c r="E20" s="17">
        <f>IFERROR(__xludf.DUMMYFUNCTION("""COMPUTED_VALUE"""),45643.0)</f>
        <v>45643</v>
      </c>
      <c r="F20" s="54"/>
      <c r="G20" s="19">
        <f>IFERROR(__xludf.DUMMYFUNCTION("""COMPUTED_VALUE"""),21.633333333333333)</f>
        <v>21.63333333</v>
      </c>
      <c r="H20" s="17">
        <f>IFERROR(__xludf.DUMMYFUNCTION("""COMPUTED_VALUE"""),37229.0)</f>
        <v>37229</v>
      </c>
      <c r="I20" s="19">
        <f>IFERROR(__xludf.DUMMYFUNCTION("""COMPUTED_VALUE"""),23.03611111111111)</f>
        <v>23.03611111</v>
      </c>
      <c r="J20" s="21">
        <f>IFERROR(__xludf.DUMMYFUNCTION("""COMPUTED_VALUE"""),90.0)</f>
        <v>90</v>
      </c>
      <c r="K20" s="23">
        <f>IFERROR(__xludf.DUMMYFUNCTION("""COMPUTED_VALUE"""),8.7)</f>
        <v>8.7</v>
      </c>
      <c r="L20" s="24">
        <f>IFERROR(__xludf.DUMMYFUNCTION("""COMPUTED_VALUE"""),10.0)</f>
        <v>10</v>
      </c>
      <c r="M20" s="25" t="str">
        <f>IFERROR(__xludf.DUMMYFUNCTION("""COMPUTED_VALUE"""),"Platformer")</f>
        <v>Platformer</v>
      </c>
      <c r="N20" s="25" t="str">
        <f>IFERROR(__xludf.DUMMYFUNCTION("""COMPUTED_VALUE"""),"PS2")</f>
        <v>PS2</v>
      </c>
      <c r="O20" s="26" t="str">
        <f>IFERROR(__xludf.DUMMYFUNCTION("""COMPUTED_VALUE"""),"Yes")</f>
        <v>Yes</v>
      </c>
      <c r="P20" s="26"/>
    </row>
    <row r="21">
      <c r="A21" s="13" t="str">
        <f>IFERROR(__xludf.DUMMYFUNCTION("""COMPUTED_VALUE"""),"TimeSplitters 2")</f>
        <v>TimeSplitters 2</v>
      </c>
      <c r="B21" s="15" t="str">
        <f>IFERROR(__xludf.DUMMYFUNCTION("""COMPUTED_VALUE"""),"PS5/PS4")</f>
        <v>PS5/PS4</v>
      </c>
      <c r="C21" s="16" t="str">
        <f>IFERROR(__xludf.DUMMYFUNCTION("""COMPUTED_VALUE"""),"Premium (Classics)")</f>
        <v>Premium (Classics)</v>
      </c>
      <c r="D21" s="15" t="str">
        <f>IFERROR(__xludf.DUMMYFUNCTION("""COMPUTED_VALUE"""),"Active")</f>
        <v>Active</v>
      </c>
      <c r="E21" s="17">
        <f>IFERROR(__xludf.DUMMYFUNCTION("""COMPUTED_VALUE"""),45524.0)</f>
        <v>45524</v>
      </c>
      <c r="F21" s="18"/>
      <c r="G21" s="19">
        <f>IFERROR(__xludf.DUMMYFUNCTION("""COMPUTED_VALUE"""),25.53333333333333)</f>
        <v>25.53333333</v>
      </c>
      <c r="H21" s="17">
        <f>IFERROR(__xludf.DUMMYFUNCTION("""COMPUTED_VALUE"""),37537.0)</f>
        <v>37537</v>
      </c>
      <c r="I21" s="19">
        <f>IFERROR(__xludf.DUMMYFUNCTION("""COMPUTED_VALUE"""),21.866666666666667)</f>
        <v>21.86666667</v>
      </c>
      <c r="J21" s="21">
        <f>IFERROR(__xludf.DUMMYFUNCTION("""COMPUTED_VALUE"""),90.0)</f>
        <v>90</v>
      </c>
      <c r="K21" s="23">
        <f>IFERROR(__xludf.DUMMYFUNCTION("""COMPUTED_VALUE"""),8.6)</f>
        <v>8.6</v>
      </c>
      <c r="L21" s="24">
        <f>IFERROR(__xludf.DUMMYFUNCTION("""COMPUTED_VALUE"""),9.0)</f>
        <v>9</v>
      </c>
      <c r="M21" s="25" t="str">
        <f>IFERROR(__xludf.DUMMYFUNCTION("""COMPUTED_VALUE"""),"Shooter")</f>
        <v>Shooter</v>
      </c>
      <c r="N21" s="25" t="str">
        <f>IFERROR(__xludf.DUMMYFUNCTION("""COMPUTED_VALUE"""),"PS2")</f>
        <v>PS2</v>
      </c>
      <c r="O21" s="26" t="str">
        <f>IFERROR(__xludf.DUMMYFUNCTION("""COMPUTED_VALUE"""),"Yes")</f>
        <v>Yes</v>
      </c>
      <c r="P21" s="26"/>
    </row>
    <row r="22">
      <c r="A22" s="13" t="str">
        <f>IFERROR(__xludf.DUMMYFUNCTION("""COMPUTED_VALUE"""),"Melty Blood: Type Lumina")</f>
        <v>Melty Blood: Type Lumina</v>
      </c>
      <c r="B22" s="15" t="str">
        <f>IFERROR(__xludf.DUMMYFUNCTION("""COMPUTED_VALUE"""),"PS4")</f>
        <v>PS4</v>
      </c>
      <c r="C22" s="16" t="str">
        <f>IFERROR(__xludf.DUMMYFUNCTION("""COMPUTED_VALUE"""),"Extra")</f>
        <v>Extra</v>
      </c>
      <c r="D22" s="15" t="str">
        <f>IFERROR(__xludf.DUMMYFUNCTION("""COMPUTED_VALUE"""),"Active")</f>
        <v>Active</v>
      </c>
      <c r="E22" s="17">
        <f>IFERROR(__xludf.DUMMYFUNCTION("""COMPUTED_VALUE"""),45125.0)</f>
        <v>45125</v>
      </c>
      <c r="F22" s="54"/>
      <c r="G22" s="19">
        <f>IFERROR(__xludf.DUMMYFUNCTION("""COMPUTED_VALUE"""),38.6)</f>
        <v>38.6</v>
      </c>
      <c r="H22" s="17">
        <f>IFERROR(__xludf.DUMMYFUNCTION("""COMPUTED_VALUE"""),44469.0)</f>
        <v>44469</v>
      </c>
      <c r="I22" s="19">
        <f>IFERROR(__xludf.DUMMYFUNCTION("""COMPUTED_VALUE"""),1.8)</f>
        <v>1.8</v>
      </c>
      <c r="J22" s="21">
        <f>IFERROR(__xludf.DUMMYFUNCTION("""COMPUTED_VALUE"""),90.0)</f>
        <v>90</v>
      </c>
      <c r="K22" s="23">
        <f>IFERROR(__xludf.DUMMYFUNCTION("""COMPUTED_VALUE"""),6.9)</f>
        <v>6.9</v>
      </c>
      <c r="L22" s="24">
        <f>IFERROR(__xludf.DUMMYFUNCTION("""COMPUTED_VALUE"""),6.0)</f>
        <v>6</v>
      </c>
      <c r="M22" s="25" t="str">
        <f>IFERROR(__xludf.DUMMYFUNCTION("""COMPUTED_VALUE"""),"Action-Adventure")</f>
        <v>Action-Adventure</v>
      </c>
      <c r="N22" s="25"/>
      <c r="O22" s="26" t="str">
        <f>IFERROR(__xludf.DUMMYFUNCTION("""COMPUTED_VALUE"""),"Yes")</f>
        <v>Yes</v>
      </c>
      <c r="P22" s="26"/>
    </row>
    <row r="23">
      <c r="A23" s="13" t="str">
        <f>IFERROR(__xludf.DUMMYFUNCTION("""COMPUTED_VALUE"""),"Rayman Legends")</f>
        <v>Rayman Legends</v>
      </c>
      <c r="B23" s="15" t="str">
        <f>IFERROR(__xludf.DUMMYFUNCTION("""COMPUTED_VALUE"""),"PS4")</f>
        <v>PS4</v>
      </c>
      <c r="C23" s="16" t="str">
        <f>IFERROR(__xludf.DUMMYFUNCTION("""COMPUTED_VALUE"""),"Extra (Ubisoft+ Classics)")</f>
        <v>Extra (Ubisoft+ Classics)</v>
      </c>
      <c r="D23" s="15" t="str">
        <f>IFERROR(__xludf.DUMMYFUNCTION("""COMPUTED_VALUE"""),"Active")</f>
        <v>Active</v>
      </c>
      <c r="E23" s="17">
        <f>IFERROR(__xludf.DUMMYFUNCTION("""COMPUTED_VALUE"""),44824.0)</f>
        <v>44824</v>
      </c>
      <c r="F23" s="18"/>
      <c r="G23" s="19">
        <f>IFERROR(__xludf.DUMMYFUNCTION("""COMPUTED_VALUE"""),48.53333333333333)</f>
        <v>48.53333333</v>
      </c>
      <c r="H23" s="17">
        <f>IFERROR(__xludf.DUMMYFUNCTION("""COMPUTED_VALUE"""),41515.0)</f>
        <v>41515</v>
      </c>
      <c r="I23" s="19">
        <f>IFERROR(__xludf.DUMMYFUNCTION("""COMPUTED_VALUE"""),9.058333333333334)</f>
        <v>9.058333333</v>
      </c>
      <c r="J23" s="21">
        <f>IFERROR(__xludf.DUMMYFUNCTION("""COMPUTED_VALUE"""),90.0)</f>
        <v>90</v>
      </c>
      <c r="K23" s="23">
        <f>IFERROR(__xludf.DUMMYFUNCTION("""COMPUTED_VALUE"""),8.3)</f>
        <v>8.3</v>
      </c>
      <c r="L23" s="24">
        <f>IFERROR(__xludf.DUMMYFUNCTION("""COMPUTED_VALUE"""),10.0)</f>
        <v>10</v>
      </c>
      <c r="M23" s="25" t="str">
        <f>IFERROR(__xludf.DUMMYFUNCTION("""COMPUTED_VALUE"""),"Platformer")</f>
        <v>Platformer</v>
      </c>
      <c r="N23" s="25"/>
      <c r="O23" s="26" t="str">
        <f>IFERROR(__xludf.DUMMYFUNCTION("""COMPUTED_VALUE"""),"Yes")</f>
        <v>Yes</v>
      </c>
      <c r="P23" s="26"/>
    </row>
    <row r="24">
      <c r="A24" s="13" t="str">
        <f>IFERROR(__xludf.DUMMYFUNCTION("""COMPUTED_VALUE"""),"Tetris Effect: Connected")</f>
        <v>Tetris Effect: Connected</v>
      </c>
      <c r="B24" s="15" t="str">
        <f>IFERROR(__xludf.DUMMYFUNCTION("""COMPUTED_VALUE"""),"PS4/PSVR")</f>
        <v>PS4/PSVR</v>
      </c>
      <c r="C24" s="16" t="str">
        <f>IFERROR(__xludf.DUMMYFUNCTION("""COMPUTED_VALUE"""),"Extra")</f>
        <v>Extra</v>
      </c>
      <c r="D24" s="15" t="str">
        <f>IFERROR(__xludf.DUMMYFUNCTION("""COMPUTED_VALUE"""),"Active")</f>
        <v>Active</v>
      </c>
      <c r="E24" s="17">
        <f>IFERROR(__xludf.DUMMYFUNCTION("""COMPUTED_VALUE"""),44725.0)</f>
        <v>44725</v>
      </c>
      <c r="F24" s="18"/>
      <c r="G24" s="19">
        <f>IFERROR(__xludf.DUMMYFUNCTION("""COMPUTED_VALUE"""),51.766666666666666)</f>
        <v>51.76666667</v>
      </c>
      <c r="H24" s="17">
        <f>IFERROR(__xludf.DUMMYFUNCTION("""COMPUTED_VALUE"""),44145.0)</f>
        <v>44145</v>
      </c>
      <c r="I24" s="19">
        <f>IFERROR(__xludf.DUMMYFUNCTION("""COMPUTED_VALUE"""),1.5916666666666666)</f>
        <v>1.591666667</v>
      </c>
      <c r="J24" s="21">
        <f>IFERROR(__xludf.DUMMYFUNCTION("""COMPUTED_VALUE"""),90.0)</f>
        <v>90</v>
      </c>
      <c r="K24" s="23">
        <f>IFERROR(__xludf.DUMMYFUNCTION("""COMPUTED_VALUE"""),7.4)</f>
        <v>7.4</v>
      </c>
      <c r="L24" s="24">
        <f>IFERROR(__xludf.DUMMYFUNCTION("""COMPUTED_VALUE"""),3.0)</f>
        <v>3</v>
      </c>
      <c r="M24" s="25" t="str">
        <f>IFERROR(__xludf.DUMMYFUNCTION("""COMPUTED_VALUE"""),"Puzzle")</f>
        <v>Puzzle</v>
      </c>
      <c r="N24" s="25"/>
      <c r="O24" s="26" t="str">
        <f>IFERROR(__xludf.DUMMYFUNCTION("""COMPUTED_VALUE"""),"No")</f>
        <v>No</v>
      </c>
      <c r="P24" s="26" t="str">
        <f>IFERROR(__xludf.DUMMYFUNCTION("""COMPUTED_VALUE"""),"Yes")</f>
        <v>Yes</v>
      </c>
    </row>
    <row r="25">
      <c r="A25" s="13" t="str">
        <f>IFERROR(__xludf.DUMMYFUNCTION("""COMPUTED_VALUE"""),"Ape Escape")</f>
        <v>Ape Escape</v>
      </c>
      <c r="B25" s="15" t="str">
        <f>IFERROR(__xludf.DUMMYFUNCTION("""COMPUTED_VALUE"""),"PS5/PS4")</f>
        <v>PS5/PS4</v>
      </c>
      <c r="C25" s="16" t="str">
        <f>IFERROR(__xludf.DUMMYFUNCTION("""COMPUTED_VALUE"""),"Premium (Classics)")</f>
        <v>Premium (Classics)</v>
      </c>
      <c r="D25" s="15" t="str">
        <f>IFERROR(__xludf.DUMMYFUNCTION("""COMPUTED_VALUE"""),"Active")</f>
        <v>Active</v>
      </c>
      <c r="E25" s="17">
        <f>IFERROR(__xludf.DUMMYFUNCTION("""COMPUTED_VALUE"""),44725.0)</f>
        <v>44725</v>
      </c>
      <c r="F25" s="54"/>
      <c r="G25" s="19">
        <f>IFERROR(__xludf.DUMMYFUNCTION("""COMPUTED_VALUE"""),51.766666666666666)</f>
        <v>51.76666667</v>
      </c>
      <c r="H25" s="17">
        <f>IFERROR(__xludf.DUMMYFUNCTION("""COMPUTED_VALUE"""),36281.0)</f>
        <v>36281</v>
      </c>
      <c r="I25" s="19">
        <f>IFERROR(__xludf.DUMMYFUNCTION("""COMPUTED_VALUE"""),23.116666666666667)</f>
        <v>23.11666667</v>
      </c>
      <c r="J25" s="21">
        <f>IFERROR(__xludf.DUMMYFUNCTION("""COMPUTED_VALUE"""),90.0)</f>
        <v>90</v>
      </c>
      <c r="K25" s="23">
        <f>IFERROR(__xludf.DUMMYFUNCTION("""COMPUTED_VALUE"""),8.2)</f>
        <v>8.2</v>
      </c>
      <c r="L25" s="24">
        <f>IFERROR(__xludf.DUMMYFUNCTION("""COMPUTED_VALUE"""),12.0)</f>
        <v>12</v>
      </c>
      <c r="M25" s="25" t="str">
        <f>IFERROR(__xludf.DUMMYFUNCTION("""COMPUTED_VALUE"""),"Platformer")</f>
        <v>Platformer</v>
      </c>
      <c r="N25" s="25" t="str">
        <f>IFERROR(__xludf.DUMMYFUNCTION("""COMPUTED_VALUE"""),"PS1")</f>
        <v>PS1</v>
      </c>
      <c r="O25" s="26" t="str">
        <f>IFERROR(__xludf.DUMMYFUNCTION("""COMPUTED_VALUE"""),"Yes")</f>
        <v>Yes</v>
      </c>
      <c r="P25" s="26" t="str">
        <f>IFERROR(__xludf.DUMMYFUNCTION("""COMPUTED_VALUE"""),"")</f>
        <v/>
      </c>
    </row>
    <row r="26">
      <c r="A26" s="13" t="str">
        <f>IFERROR(__xludf.DUMMYFUNCTION("""COMPUTED_VALUE"""),"Syphon Filter")</f>
        <v>Syphon Filter</v>
      </c>
      <c r="B26" s="15" t="str">
        <f>IFERROR(__xludf.DUMMYFUNCTION("""COMPUTED_VALUE"""),"PS5/PS4")</f>
        <v>PS5/PS4</v>
      </c>
      <c r="C26" s="16" t="str">
        <f>IFERROR(__xludf.DUMMYFUNCTION("""COMPUTED_VALUE"""),"Premium (Classics)")</f>
        <v>Premium (Classics)</v>
      </c>
      <c r="D26" s="15" t="str">
        <f>IFERROR(__xludf.DUMMYFUNCTION("""COMPUTED_VALUE"""),"Active")</f>
        <v>Active</v>
      </c>
      <c r="E26" s="17">
        <f>IFERROR(__xludf.DUMMYFUNCTION("""COMPUTED_VALUE"""),44725.0)</f>
        <v>44725</v>
      </c>
      <c r="F26" s="54"/>
      <c r="G26" s="19">
        <f>IFERROR(__xludf.DUMMYFUNCTION("""COMPUTED_VALUE"""),51.766666666666666)</f>
        <v>51.76666667</v>
      </c>
      <c r="H26" s="17">
        <f>IFERROR(__xludf.DUMMYFUNCTION("""COMPUTED_VALUE"""),36161.0)</f>
        <v>36161</v>
      </c>
      <c r="I26" s="19">
        <f>IFERROR(__xludf.DUMMYFUNCTION("""COMPUTED_VALUE"""),23.45)</f>
        <v>23.45</v>
      </c>
      <c r="J26" s="21">
        <f>IFERROR(__xludf.DUMMYFUNCTION("""COMPUTED_VALUE"""),90.0)</f>
        <v>90</v>
      </c>
      <c r="K26" s="23">
        <f>IFERROR(__xludf.DUMMYFUNCTION("""COMPUTED_VALUE"""),8.4)</f>
        <v>8.4</v>
      </c>
      <c r="L26" s="24">
        <f>IFERROR(__xludf.DUMMYFUNCTION("""COMPUTED_VALUE"""),8.0)</f>
        <v>8</v>
      </c>
      <c r="M26" s="25" t="str">
        <f>IFERROR(__xludf.DUMMYFUNCTION("""COMPUTED_VALUE"""),"Shooter")</f>
        <v>Shooter</v>
      </c>
      <c r="N26" s="25" t="str">
        <f>IFERROR(__xludf.DUMMYFUNCTION("""COMPUTED_VALUE"""),"PS1")</f>
        <v>PS1</v>
      </c>
      <c r="O26" s="26" t="str">
        <f>IFERROR(__xludf.DUMMYFUNCTION("""COMPUTED_VALUE"""),"Yes")</f>
        <v>Yes</v>
      </c>
      <c r="P26" s="26" t="str">
        <f>IFERROR(__xludf.DUMMYFUNCTION("""COMPUTED_VALUE"""),"")</f>
        <v/>
      </c>
    </row>
    <row r="27">
      <c r="A27" s="13" t="str">
        <f>IFERROR(__xludf.DUMMYFUNCTION("""COMPUTED_VALUE"""),"Jak and Daxter: The Precursor Legacy")</f>
        <v>Jak and Daxter: The Precursor Legacy</v>
      </c>
      <c r="B27" s="15" t="str">
        <f>IFERROR(__xludf.DUMMYFUNCTION("""COMPUTED_VALUE"""),"PS4")</f>
        <v>PS4</v>
      </c>
      <c r="C27" s="16" t="str">
        <f>IFERROR(__xludf.DUMMYFUNCTION("""COMPUTED_VALUE"""),"Premium (Classics)")</f>
        <v>Premium (Classics)</v>
      </c>
      <c r="D27" s="15" t="str">
        <f>IFERROR(__xludf.DUMMYFUNCTION("""COMPUTED_VALUE"""),"Active")</f>
        <v>Active</v>
      </c>
      <c r="E27" s="17">
        <f>IFERROR(__xludf.DUMMYFUNCTION("""COMPUTED_VALUE"""),44725.0)</f>
        <v>44725</v>
      </c>
      <c r="F27" s="54"/>
      <c r="G27" s="19">
        <f>IFERROR(__xludf.DUMMYFUNCTION("""COMPUTED_VALUE"""),51.766666666666666)</f>
        <v>51.76666667</v>
      </c>
      <c r="H27" s="17">
        <f>IFERROR(__xludf.DUMMYFUNCTION("""COMPUTED_VALUE"""),37226.0)</f>
        <v>37226</v>
      </c>
      <c r="I27" s="19">
        <f>IFERROR(__xludf.DUMMYFUNCTION("""COMPUTED_VALUE"""),20.533333333333335)</f>
        <v>20.53333333</v>
      </c>
      <c r="J27" s="21">
        <f>IFERROR(__xludf.DUMMYFUNCTION("""COMPUTED_VALUE"""),90.0)</f>
        <v>90</v>
      </c>
      <c r="K27" s="23">
        <f>IFERROR(__xludf.DUMMYFUNCTION("""COMPUTED_VALUE"""),8.8)</f>
        <v>8.8</v>
      </c>
      <c r="L27" s="24">
        <f>IFERROR(__xludf.DUMMYFUNCTION("""COMPUTED_VALUE"""),12.0)</f>
        <v>12</v>
      </c>
      <c r="M27" s="25" t="str">
        <f>IFERROR(__xludf.DUMMYFUNCTION("""COMPUTED_VALUE"""),"Platformer")</f>
        <v>Platformer</v>
      </c>
      <c r="N27" s="25" t="str">
        <f>IFERROR(__xludf.DUMMYFUNCTION("""COMPUTED_VALUE"""),"PS2")</f>
        <v>PS2</v>
      </c>
      <c r="O27" s="26" t="str">
        <f>IFERROR(__xludf.DUMMYFUNCTION("""COMPUTED_VALUE"""),"No")</f>
        <v>No</v>
      </c>
      <c r="P27" s="26" t="str">
        <f>IFERROR(__xludf.DUMMYFUNCTION("""COMPUTED_VALUE"""),"")</f>
        <v/>
      </c>
    </row>
    <row r="28">
      <c r="A28" s="13" t="str">
        <f>IFERROR(__xludf.DUMMYFUNCTION("""COMPUTED_VALUE"""),"Grandia")</f>
        <v>Grandia</v>
      </c>
      <c r="B28" s="15" t="str">
        <f>IFERROR(__xludf.DUMMYFUNCTION("""COMPUTED_VALUE"""),"PS5/PS4")</f>
        <v>PS5/PS4</v>
      </c>
      <c r="C28" s="16" t="str">
        <f>IFERROR(__xludf.DUMMYFUNCTION("""COMPUTED_VALUE"""),"Premium (Classics)")</f>
        <v>Premium (Classics)</v>
      </c>
      <c r="D28" s="15" t="str">
        <f>IFERROR(__xludf.DUMMYFUNCTION("""COMPUTED_VALUE"""),"Active")</f>
        <v>Active</v>
      </c>
      <c r="E28" s="17">
        <f>IFERROR(__xludf.DUMMYFUNCTION("""COMPUTED_VALUE"""),45251.0)</f>
        <v>45251</v>
      </c>
      <c r="F28" s="54"/>
      <c r="G28" s="19">
        <f>IFERROR(__xludf.DUMMYFUNCTION("""COMPUTED_VALUE"""),34.5)</f>
        <v>34.5</v>
      </c>
      <c r="H28" s="17">
        <f>IFERROR(__xludf.DUMMYFUNCTION("""COMPUTED_VALUE"""),36433.0)</f>
        <v>36433</v>
      </c>
      <c r="I28" s="19">
        <f>IFERROR(__xludf.DUMMYFUNCTION("""COMPUTED_VALUE"""),24.141666666666666)</f>
        <v>24.14166667</v>
      </c>
      <c r="J28" s="21">
        <f>IFERROR(__xludf.DUMMYFUNCTION("""COMPUTED_VALUE"""),89.0)</f>
        <v>89</v>
      </c>
      <c r="K28" s="23">
        <f>IFERROR(__xludf.DUMMYFUNCTION("""COMPUTED_VALUE"""),7.7)</f>
        <v>7.7</v>
      </c>
      <c r="L28" s="24">
        <f>IFERROR(__xludf.DUMMYFUNCTION("""COMPUTED_VALUE"""),43.0)</f>
        <v>43</v>
      </c>
      <c r="M28" s="25" t="str">
        <f>IFERROR(__xludf.DUMMYFUNCTION("""COMPUTED_VALUE"""),"RPG")</f>
        <v>RPG</v>
      </c>
      <c r="N28" s="25" t="str">
        <f>IFERROR(__xludf.DUMMYFUNCTION("""COMPUTED_VALUE"""),"PS1")</f>
        <v>PS1</v>
      </c>
      <c r="O28" s="26" t="str">
        <f>IFERROR(__xludf.DUMMYFUNCTION("""COMPUTED_VALUE"""),"Yes")</f>
        <v>Yes</v>
      </c>
      <c r="P28" s="26"/>
    </row>
    <row r="29">
      <c r="A29" s="13" t="str">
        <f>IFERROR(__xludf.DUMMYFUNCTION("""COMPUTED_VALUE"""),"Dreams")</f>
        <v>Dreams</v>
      </c>
      <c r="B29" s="15" t="str">
        <f>IFERROR(__xludf.DUMMYFUNCTION("""COMPUTED_VALUE"""),"PS4/PSVR")</f>
        <v>PS4/PSVR</v>
      </c>
      <c r="C29" s="16" t="str">
        <f>IFERROR(__xludf.DUMMYFUNCTION("""COMPUTED_VALUE"""),"Extra")</f>
        <v>Extra</v>
      </c>
      <c r="D29" s="15" t="str">
        <f>IFERROR(__xludf.DUMMYFUNCTION("""COMPUTED_VALUE"""),"Active")</f>
        <v>Active</v>
      </c>
      <c r="E29" s="17">
        <f>IFERROR(__xludf.DUMMYFUNCTION("""COMPUTED_VALUE"""),45153.0)</f>
        <v>45153</v>
      </c>
      <c r="F29" s="54"/>
      <c r="G29" s="19">
        <f>IFERROR(__xludf.DUMMYFUNCTION("""COMPUTED_VALUE"""),37.7)</f>
        <v>37.7</v>
      </c>
      <c r="H29" s="17">
        <f>IFERROR(__xludf.DUMMYFUNCTION("""COMPUTED_VALUE"""),43875.0)</f>
        <v>43875</v>
      </c>
      <c r="I29" s="19">
        <f>IFERROR(__xludf.DUMMYFUNCTION("""COMPUTED_VALUE"""),3.5027777777777778)</f>
        <v>3.502777778</v>
      </c>
      <c r="J29" s="21">
        <f>IFERROR(__xludf.DUMMYFUNCTION("""COMPUTED_VALUE"""),89.0)</f>
        <v>89</v>
      </c>
      <c r="K29" s="23">
        <f>IFERROR(__xludf.DUMMYFUNCTION("""COMPUTED_VALUE"""),8.7)</f>
        <v>8.7</v>
      </c>
      <c r="L29" s="24">
        <f>IFERROR(__xludf.DUMMYFUNCTION("""COMPUTED_VALUE"""),3.0)</f>
        <v>3</v>
      </c>
      <c r="M29" s="25" t="str">
        <f>IFERROR(__xludf.DUMMYFUNCTION("""COMPUTED_VALUE"""),"Action-Adventure")</f>
        <v>Action-Adventure</v>
      </c>
      <c r="N29" s="25"/>
      <c r="O29" s="26" t="str">
        <f>IFERROR(__xludf.DUMMYFUNCTION("""COMPUTED_VALUE"""),"Yes")</f>
        <v>Yes</v>
      </c>
      <c r="P29" s="26"/>
    </row>
    <row r="30">
      <c r="A30" s="13" t="str">
        <f>IFERROR(__xludf.DUMMYFUNCTION("""COMPUTED_VALUE"""),"Final Fantasy VII: Remake Intergrade")</f>
        <v>Final Fantasy VII: Remake Intergrade</v>
      </c>
      <c r="B30" s="15" t="str">
        <f>IFERROR(__xludf.DUMMYFUNCTION("""COMPUTED_VALUE"""),"PS5/PS4")</f>
        <v>PS5/PS4</v>
      </c>
      <c r="C30" s="16" t="str">
        <f>IFERROR(__xludf.DUMMYFUNCTION("""COMPUTED_VALUE"""),"Extra")</f>
        <v>Extra</v>
      </c>
      <c r="D30" s="15" t="str">
        <f>IFERROR(__xludf.DUMMYFUNCTION("""COMPUTED_VALUE"""),"Active")</f>
        <v>Active</v>
      </c>
      <c r="E30" s="17">
        <f>IFERROR(__xludf.DUMMYFUNCTION("""COMPUTED_VALUE"""),44761.0)</f>
        <v>44761</v>
      </c>
      <c r="F30" s="54"/>
      <c r="G30" s="19">
        <f>IFERROR(__xludf.DUMMYFUNCTION("""COMPUTED_VALUE"""),50.56666666666666)</f>
        <v>50.56666667</v>
      </c>
      <c r="H30" s="17">
        <f>IFERROR(__xludf.DUMMYFUNCTION("""COMPUTED_VALUE"""),44357.0)</f>
        <v>44357</v>
      </c>
      <c r="I30" s="19">
        <f>IFERROR(__xludf.DUMMYFUNCTION("""COMPUTED_VALUE"""),1.1083333333333334)</f>
        <v>1.108333333</v>
      </c>
      <c r="J30" s="21">
        <f>IFERROR(__xludf.DUMMYFUNCTION("""COMPUTED_VALUE"""),89.0)</f>
        <v>89</v>
      </c>
      <c r="K30" s="23">
        <f>IFERROR(__xludf.DUMMYFUNCTION("""COMPUTED_VALUE"""),8.4)</f>
        <v>8.4</v>
      </c>
      <c r="L30" s="24">
        <f>IFERROR(__xludf.DUMMYFUNCTION("""COMPUTED_VALUE"""),33.0)</f>
        <v>33</v>
      </c>
      <c r="M30" s="25" t="str">
        <f>IFERROR(__xludf.DUMMYFUNCTION("""COMPUTED_VALUE"""),"RPG")</f>
        <v>RPG</v>
      </c>
      <c r="N30" s="25" t="str">
        <f>IFERROR(__xludf.DUMMYFUNCTION("""COMPUTED_VALUE"""),"PS4 gets the base version")</f>
        <v>PS4 gets the base version</v>
      </c>
      <c r="O30" s="26" t="str">
        <f>IFERROR(__xludf.DUMMYFUNCTION("""COMPUTED_VALUE"""),"Yes")</f>
        <v>Yes</v>
      </c>
      <c r="P30" s="26"/>
    </row>
    <row r="31">
      <c r="A31" s="13" t="str">
        <f>IFERROR(__xludf.DUMMYFUNCTION("""COMPUTED_VALUE"""),"Tekken 2")</f>
        <v>Tekken 2</v>
      </c>
      <c r="B31" s="15" t="str">
        <f>IFERROR(__xludf.DUMMYFUNCTION("""COMPUTED_VALUE"""),"PS5/PS4")</f>
        <v>PS5/PS4</v>
      </c>
      <c r="C31" s="16" t="str">
        <f>IFERROR(__xludf.DUMMYFUNCTION("""COMPUTED_VALUE"""),"Premium (Classics)")</f>
        <v>Premium (Classics)</v>
      </c>
      <c r="D31" s="15" t="str">
        <f>IFERROR(__xludf.DUMMYFUNCTION("""COMPUTED_VALUE"""),"Active")</f>
        <v>Active</v>
      </c>
      <c r="E31" s="17">
        <f>IFERROR(__xludf.DUMMYFUNCTION("""COMPUTED_VALUE"""),44725.0)</f>
        <v>44725</v>
      </c>
      <c r="F31" s="54"/>
      <c r="G31" s="19">
        <f>IFERROR(__xludf.DUMMYFUNCTION("""COMPUTED_VALUE"""),51.766666666666666)</f>
        <v>51.76666667</v>
      </c>
      <c r="H31" s="17">
        <f>IFERROR(__xludf.DUMMYFUNCTION("""COMPUTED_VALUE"""),34912.0)</f>
        <v>34912</v>
      </c>
      <c r="I31" s="19">
        <f>IFERROR(__xludf.DUMMYFUNCTION("""COMPUTED_VALUE"""),26.866666666666667)</f>
        <v>26.86666667</v>
      </c>
      <c r="J31" s="21">
        <f>IFERROR(__xludf.DUMMYFUNCTION("""COMPUTED_VALUE"""),89.0)</f>
        <v>89</v>
      </c>
      <c r="K31" s="23">
        <f>IFERROR(__xludf.DUMMYFUNCTION("""COMPUTED_VALUE"""),7.8)</f>
        <v>7.8</v>
      </c>
      <c r="L31" s="24"/>
      <c r="M31" s="25" t="str">
        <f>IFERROR(__xludf.DUMMYFUNCTION("""COMPUTED_VALUE"""),"Fighting")</f>
        <v>Fighting</v>
      </c>
      <c r="N31" s="25" t="str">
        <f>IFERROR(__xludf.DUMMYFUNCTION("""COMPUTED_VALUE"""),"PS1")</f>
        <v>PS1</v>
      </c>
      <c r="O31" s="26" t="str">
        <f>IFERROR(__xludf.DUMMYFUNCTION("""COMPUTED_VALUE"""),"No")</f>
        <v>No</v>
      </c>
      <c r="P31" s="26" t="str">
        <f>IFERROR(__xludf.DUMMYFUNCTION("""COMPUTED_VALUE"""),"")</f>
        <v/>
      </c>
    </row>
    <row r="32">
      <c r="A32" s="13" t="str">
        <f>IFERROR(__xludf.DUMMYFUNCTION("""COMPUTED_VALUE"""),"Dead Cells")</f>
        <v>Dead Cells</v>
      </c>
      <c r="B32" s="15" t="str">
        <f>IFERROR(__xludf.DUMMYFUNCTION("""COMPUTED_VALUE"""),"PS5/PS4")</f>
        <v>PS5/PS4</v>
      </c>
      <c r="C32" s="16" t="str">
        <f>IFERROR(__xludf.DUMMYFUNCTION("""COMPUTED_VALUE"""),"Extra")</f>
        <v>Extra</v>
      </c>
      <c r="D32" s="15" t="str">
        <f>IFERROR(__xludf.DUMMYFUNCTION("""COMPUTED_VALUE"""),"Active")</f>
        <v>Active</v>
      </c>
      <c r="E32" s="17">
        <f>IFERROR(__xludf.DUMMYFUNCTION("""COMPUTED_VALUE"""),44047.0)</f>
        <v>44047</v>
      </c>
      <c r="F32" s="54"/>
      <c r="G32" s="19">
        <f>IFERROR(__xludf.DUMMYFUNCTION("""COMPUTED_VALUE"""),74.06666666666666)</f>
        <v>74.06666667</v>
      </c>
      <c r="H32" s="17">
        <f>IFERROR(__xludf.DUMMYFUNCTION("""COMPUTED_VALUE"""),42865.0)</f>
        <v>42865</v>
      </c>
      <c r="I32" s="19">
        <f>IFERROR(__xludf.DUMMYFUNCTION("""COMPUTED_VALUE"""),3.2333333333333334)</f>
        <v>3.233333333</v>
      </c>
      <c r="J32" s="21">
        <f>IFERROR(__xludf.DUMMYFUNCTION("""COMPUTED_VALUE"""),89.0)</f>
        <v>89</v>
      </c>
      <c r="K32" s="23">
        <f>IFERROR(__xludf.DUMMYFUNCTION("""COMPUTED_VALUE"""),8.5)</f>
        <v>8.5</v>
      </c>
      <c r="L32" s="24">
        <f>IFERROR(__xludf.DUMMYFUNCTION("""COMPUTED_VALUE"""),14.0)</f>
        <v>14</v>
      </c>
      <c r="M32" s="25" t="str">
        <f>IFERROR(__xludf.DUMMYFUNCTION("""COMPUTED_VALUE"""),"Platformer")</f>
        <v>Platformer</v>
      </c>
      <c r="N32" s="25"/>
      <c r="O32" s="26" t="str">
        <f>IFERROR(__xludf.DUMMYFUNCTION("""COMPUTED_VALUE"""),"Yes")</f>
        <v>Yes</v>
      </c>
      <c r="P32" s="26"/>
    </row>
    <row r="33">
      <c r="A33" s="13" t="str">
        <f>IFERROR(__xludf.DUMMYFUNCTION("""COMPUTED_VALUE"""),"Child of Light")</f>
        <v>Child of Light</v>
      </c>
      <c r="B33" s="15" t="str">
        <f>IFERROR(__xludf.DUMMYFUNCTION("""COMPUTED_VALUE"""),"PS4")</f>
        <v>PS4</v>
      </c>
      <c r="C33" s="16" t="str">
        <f>IFERROR(__xludf.DUMMYFUNCTION("""COMPUTED_VALUE"""),"Extra (Ubisoft+ Classics)")</f>
        <v>Extra (Ubisoft+ Classics)</v>
      </c>
      <c r="D33" s="15" t="str">
        <f>IFERROR(__xludf.DUMMYFUNCTION("""COMPUTED_VALUE"""),"Active")</f>
        <v>Active</v>
      </c>
      <c r="E33" s="17">
        <f>IFERROR(__xludf.DUMMYFUNCTION("""COMPUTED_VALUE"""),42584.0)</f>
        <v>42584</v>
      </c>
      <c r="F33" s="54"/>
      <c r="G33" s="19">
        <f>IFERROR(__xludf.DUMMYFUNCTION("""COMPUTED_VALUE"""),122.13333333333333)</f>
        <v>122.1333333</v>
      </c>
      <c r="H33" s="17">
        <f>IFERROR(__xludf.DUMMYFUNCTION("""COMPUTED_VALUE"""),41759.0)</f>
        <v>41759</v>
      </c>
      <c r="I33" s="19">
        <f>IFERROR(__xludf.DUMMYFUNCTION("""COMPUTED_VALUE"""),2.2555555555555555)</f>
        <v>2.255555556</v>
      </c>
      <c r="J33" s="21">
        <f>IFERROR(__xludf.DUMMYFUNCTION("""COMPUTED_VALUE"""),89.0)</f>
        <v>89</v>
      </c>
      <c r="K33" s="23">
        <f>IFERROR(__xludf.DUMMYFUNCTION("""COMPUTED_VALUE"""),8.0)</f>
        <v>8</v>
      </c>
      <c r="L33" s="24">
        <f>IFERROR(__xludf.DUMMYFUNCTION("""COMPUTED_VALUE"""),12.0)</f>
        <v>12</v>
      </c>
      <c r="M33" s="25" t="str">
        <f>IFERROR(__xludf.DUMMYFUNCTION("""COMPUTED_VALUE"""),"RPG")</f>
        <v>RPG</v>
      </c>
      <c r="N33" s="25"/>
      <c r="O33" s="26" t="str">
        <f>IFERROR(__xludf.DUMMYFUNCTION("""COMPUTED_VALUE"""),"Yes")</f>
        <v>Yes</v>
      </c>
      <c r="P33" s="26" t="str">
        <f>IFERROR(__xludf.DUMMYFUNCTION("""COMPUTED_VALUE"""),"Yes")</f>
        <v>Yes</v>
      </c>
    </row>
    <row r="34">
      <c r="A34" s="13" t="str">
        <f>IFERROR(__xludf.DUMMYFUNCTION("""COMPUTED_VALUE"""),"Tekken: Dark Resurrection")</f>
        <v>Tekken: Dark Resurrection</v>
      </c>
      <c r="B34" s="15" t="str">
        <f>IFERROR(__xludf.DUMMYFUNCTION("""COMPUTED_VALUE"""),"PS5/PS4")</f>
        <v>PS5/PS4</v>
      </c>
      <c r="C34" s="16" t="str">
        <f>IFERROR(__xludf.DUMMYFUNCTION("""COMPUTED_VALUE"""),"Premium (Classics)")</f>
        <v>Premium (Classics)</v>
      </c>
      <c r="D34" s="15" t="str">
        <f>IFERROR(__xludf.DUMMYFUNCTION("""COMPUTED_VALUE"""),"Active")</f>
        <v>Active</v>
      </c>
      <c r="E34" s="17">
        <f>IFERROR(__xludf.DUMMYFUNCTION("""COMPUTED_VALUE"""),46098.0)</f>
        <v>46098</v>
      </c>
      <c r="F34" s="54"/>
      <c r="G34" s="19">
        <f>IFERROR(__xludf.DUMMYFUNCTION("""COMPUTED_VALUE"""),6.633333333333334)</f>
        <v>6.633333333</v>
      </c>
      <c r="H34" s="17">
        <f>IFERROR(__xludf.DUMMYFUNCTION("""COMPUTED_VALUE"""),38923.0)</f>
        <v>38923</v>
      </c>
      <c r="I34" s="19">
        <f>IFERROR(__xludf.DUMMYFUNCTION("""COMPUTED_VALUE"""),19.644444444444446)</f>
        <v>19.64444444</v>
      </c>
      <c r="J34" s="21">
        <f>IFERROR(__xludf.DUMMYFUNCTION("""COMPUTED_VALUE"""),88.0)</f>
        <v>88</v>
      </c>
      <c r="K34" s="23">
        <f>IFERROR(__xludf.DUMMYFUNCTION("""COMPUTED_VALUE"""),8.5)</f>
        <v>8.5</v>
      </c>
      <c r="L34" s="24">
        <f>IFERROR(__xludf.DUMMYFUNCTION("""COMPUTED_VALUE"""),2.0)</f>
        <v>2</v>
      </c>
      <c r="M34" s="25" t="str">
        <f>IFERROR(__xludf.DUMMYFUNCTION("""COMPUTED_VALUE"""),"Fighting")</f>
        <v>Fighting</v>
      </c>
      <c r="N34" s="25" t="str">
        <f>IFERROR(__xludf.DUMMYFUNCTION("""COMPUTED_VALUE"""),"PSP")</f>
        <v>PSP</v>
      </c>
      <c r="O34" s="26"/>
      <c r="P34" s="26"/>
    </row>
    <row r="35">
      <c r="A35" s="13" t="str">
        <f>IFERROR(__xludf.DUMMYFUNCTION("""COMPUTED_VALUE"""),"Ridge Racer")</f>
        <v>Ridge Racer</v>
      </c>
      <c r="B35" s="15" t="str">
        <f>IFERROR(__xludf.DUMMYFUNCTION("""COMPUTED_VALUE"""),"PS5/PS4")</f>
        <v>PS5/PS4</v>
      </c>
      <c r="C35" s="16" t="str">
        <f>IFERROR(__xludf.DUMMYFUNCTION("""COMPUTED_VALUE"""),"Premium (Classics)")</f>
        <v>Premium (Classics)</v>
      </c>
      <c r="D35" s="15" t="str">
        <f>IFERROR(__xludf.DUMMYFUNCTION("""COMPUTED_VALUE"""),"Active")</f>
        <v>Active</v>
      </c>
      <c r="E35" s="17">
        <f>IFERROR(__xludf.DUMMYFUNCTION("""COMPUTED_VALUE"""),46042.0)</f>
        <v>46042</v>
      </c>
      <c r="F35" s="54"/>
      <c r="G35" s="19">
        <f>IFERROR(__xludf.DUMMYFUNCTION("""COMPUTED_VALUE"""),8.533333333333333)</f>
        <v>8.533333333</v>
      </c>
      <c r="H35" s="17">
        <f>IFERROR(__xludf.DUMMYFUNCTION("""COMPUTED_VALUE"""),38433.0)</f>
        <v>38433</v>
      </c>
      <c r="I35" s="19">
        <f>IFERROR(__xludf.DUMMYFUNCTION("""COMPUTED_VALUE"""),20.82777777777778)</f>
        <v>20.82777778</v>
      </c>
      <c r="J35" s="21">
        <f>IFERROR(__xludf.DUMMYFUNCTION("""COMPUTED_VALUE"""),88.0)</f>
        <v>88</v>
      </c>
      <c r="K35" s="23">
        <f>IFERROR(__xludf.DUMMYFUNCTION("""COMPUTED_VALUE"""),8.1)</f>
        <v>8.1</v>
      </c>
      <c r="L35" s="24">
        <f>IFERROR(__xludf.DUMMYFUNCTION("""COMPUTED_VALUE"""),9.0)</f>
        <v>9</v>
      </c>
      <c r="M35" s="25" t="str">
        <f>IFERROR(__xludf.DUMMYFUNCTION("""COMPUTED_VALUE"""),"Racing")</f>
        <v>Racing</v>
      </c>
      <c r="N35" s="25" t="str">
        <f>IFERROR(__xludf.DUMMYFUNCTION("""COMPUTED_VALUE"""),"PSP")</f>
        <v>PSP</v>
      </c>
      <c r="O35" s="26"/>
      <c r="P35" s="26"/>
    </row>
    <row r="36">
      <c r="A36" s="13" t="str">
        <f>IFERROR(__xludf.DUMMYFUNCTION("""COMPUTED_VALUE"""),"Sly 2: Band of Thieves")</f>
        <v>Sly 2: Band of Thieves</v>
      </c>
      <c r="B36" s="15" t="str">
        <f>IFERROR(__xludf.DUMMYFUNCTION("""COMPUTED_VALUE"""),"PS5/PS4")</f>
        <v>PS5/PS4</v>
      </c>
      <c r="C36" s="16" t="str">
        <f>IFERROR(__xludf.DUMMYFUNCTION("""COMPUTED_VALUE"""),"Premium (Classics)")</f>
        <v>Premium (Classics)</v>
      </c>
      <c r="D36" s="15" t="str">
        <f>IFERROR(__xludf.DUMMYFUNCTION("""COMPUTED_VALUE"""),"Active")</f>
        <v>Active</v>
      </c>
      <c r="E36" s="17">
        <f>IFERROR(__xludf.DUMMYFUNCTION("""COMPUTED_VALUE"""),45643.0)</f>
        <v>45643</v>
      </c>
      <c r="F36" s="54"/>
      <c r="G36" s="19">
        <f>IFERROR(__xludf.DUMMYFUNCTION("""COMPUTED_VALUE"""),21.633333333333333)</f>
        <v>21.63333333</v>
      </c>
      <c r="H36" s="17">
        <f>IFERROR(__xludf.DUMMYFUNCTION("""COMPUTED_VALUE"""),38244.0)</f>
        <v>38244</v>
      </c>
      <c r="I36" s="19">
        <f>IFERROR(__xludf.DUMMYFUNCTION("""COMPUTED_VALUE"""),20.258333333333333)</f>
        <v>20.25833333</v>
      </c>
      <c r="J36" s="21">
        <f>IFERROR(__xludf.DUMMYFUNCTION("""COMPUTED_VALUE"""),88.0)</f>
        <v>88</v>
      </c>
      <c r="K36" s="23">
        <f>IFERROR(__xludf.DUMMYFUNCTION("""COMPUTED_VALUE"""),8.9)</f>
        <v>8.9</v>
      </c>
      <c r="L36" s="24">
        <f>IFERROR(__xludf.DUMMYFUNCTION("""COMPUTED_VALUE"""),15.0)</f>
        <v>15</v>
      </c>
      <c r="M36" s="25" t="str">
        <f>IFERROR(__xludf.DUMMYFUNCTION("""COMPUTED_VALUE"""),"Platformer")</f>
        <v>Platformer</v>
      </c>
      <c r="N36" s="25" t="str">
        <f>IFERROR(__xludf.DUMMYFUNCTION("""COMPUTED_VALUE"""),"PS2")</f>
        <v>PS2</v>
      </c>
      <c r="O36" s="26" t="str">
        <f>IFERROR(__xludf.DUMMYFUNCTION("""COMPUTED_VALUE"""),"Yes")</f>
        <v>Yes</v>
      </c>
      <c r="P36" s="26"/>
    </row>
    <row r="37">
      <c r="A37" s="13" t="str">
        <f>IFERROR(__xludf.DUMMYFUNCTION("""COMPUTED_VALUE"""),"Dishonored 2")</f>
        <v>Dishonored 2</v>
      </c>
      <c r="B37" s="15" t="str">
        <f>IFERROR(__xludf.DUMMYFUNCTION("""COMPUTED_VALUE"""),"PS4")</f>
        <v>PS4</v>
      </c>
      <c r="C37" s="16" t="str">
        <f>IFERROR(__xludf.DUMMYFUNCTION("""COMPUTED_VALUE"""),"Extra")</f>
        <v>Extra</v>
      </c>
      <c r="D37" s="15" t="str">
        <f>IFERROR(__xludf.DUMMYFUNCTION("""COMPUTED_VALUE"""),"Active")</f>
        <v>Active</v>
      </c>
      <c r="E37" s="17">
        <f>IFERROR(__xludf.DUMMYFUNCTION("""COMPUTED_VALUE"""),45062.0)</f>
        <v>45062</v>
      </c>
      <c r="F37" s="54"/>
      <c r="G37" s="19">
        <f>IFERROR(__xludf.DUMMYFUNCTION("""COMPUTED_VALUE"""),40.666666666666664)</f>
        <v>40.66666667</v>
      </c>
      <c r="H37" s="17">
        <f>IFERROR(__xludf.DUMMYFUNCTION("""COMPUTED_VALUE"""),42684.0)</f>
        <v>42684</v>
      </c>
      <c r="I37" s="19">
        <f>IFERROR(__xludf.DUMMYFUNCTION("""COMPUTED_VALUE"""),6.516666666666667)</f>
        <v>6.516666667</v>
      </c>
      <c r="J37" s="21">
        <f>IFERROR(__xludf.DUMMYFUNCTION("""COMPUTED_VALUE"""),88.0)</f>
        <v>88</v>
      </c>
      <c r="K37" s="23">
        <f>IFERROR(__xludf.DUMMYFUNCTION("""COMPUTED_VALUE"""),8.5)</f>
        <v>8.5</v>
      </c>
      <c r="L37" s="24">
        <f>IFERROR(__xludf.DUMMYFUNCTION("""COMPUTED_VALUE"""),13.0)</f>
        <v>13</v>
      </c>
      <c r="M37" s="25" t="str">
        <f>IFERROR(__xludf.DUMMYFUNCTION("""COMPUTED_VALUE"""),"Shooter")</f>
        <v>Shooter</v>
      </c>
      <c r="N37" s="25"/>
      <c r="O37" s="26" t="str">
        <f>IFERROR(__xludf.DUMMYFUNCTION("""COMPUTED_VALUE"""),"Yes")</f>
        <v>Yes</v>
      </c>
      <c r="P37" s="26"/>
    </row>
    <row r="38">
      <c r="A38" s="13" t="str">
        <f>IFERROR(__xludf.DUMMYFUNCTION("""COMPUTED_VALUE"""),"Rise of the Tomb Raider: 20 Year Celebration")</f>
        <v>Rise of the Tomb Raider: 20 Year Celebration</v>
      </c>
      <c r="B38" s="15" t="str">
        <f>IFERROR(__xludf.DUMMYFUNCTION("""COMPUTED_VALUE"""),"PS4/PSVR")</f>
        <v>PS4/PSVR</v>
      </c>
      <c r="C38" s="16" t="str">
        <f>IFERROR(__xludf.DUMMYFUNCTION("""COMPUTED_VALUE"""),"Extra")</f>
        <v>Extra</v>
      </c>
      <c r="D38" s="15" t="str">
        <f>IFERROR(__xludf.DUMMYFUNCTION("""COMPUTED_VALUE"""),"Active")</f>
        <v>Active</v>
      </c>
      <c r="E38" s="17">
        <f>IFERROR(__xludf.DUMMYFUNCTION("""COMPUTED_VALUE"""),45062.0)</f>
        <v>45062</v>
      </c>
      <c r="F38" s="54"/>
      <c r="G38" s="19">
        <f>IFERROR(__xludf.DUMMYFUNCTION("""COMPUTED_VALUE"""),40.666666666666664)</f>
        <v>40.66666667</v>
      </c>
      <c r="H38" s="17">
        <f>IFERROR(__xludf.DUMMYFUNCTION("""COMPUTED_VALUE"""),42654.0)</f>
        <v>42654</v>
      </c>
      <c r="I38" s="19">
        <f>IFERROR(__xludf.DUMMYFUNCTION("""COMPUTED_VALUE"""),6.597222222222222)</f>
        <v>6.597222222</v>
      </c>
      <c r="J38" s="21">
        <f>IFERROR(__xludf.DUMMYFUNCTION("""COMPUTED_VALUE"""),88.0)</f>
        <v>88</v>
      </c>
      <c r="K38" s="23">
        <f>IFERROR(__xludf.DUMMYFUNCTION("""COMPUTED_VALUE"""),8.0)</f>
        <v>8</v>
      </c>
      <c r="L38" s="24">
        <f>IFERROR(__xludf.DUMMYFUNCTION("""COMPUTED_VALUE"""),15.0)</f>
        <v>15</v>
      </c>
      <c r="M38" s="25" t="str">
        <f>IFERROR(__xludf.DUMMYFUNCTION("""COMPUTED_VALUE"""),"Action-Adventure")</f>
        <v>Action-Adventure</v>
      </c>
      <c r="N38" s="25"/>
      <c r="O38" s="26" t="str">
        <f>IFERROR(__xludf.DUMMYFUNCTION("""COMPUTED_VALUE"""),"Yes")</f>
        <v>Yes</v>
      </c>
      <c r="P38" s="26"/>
    </row>
    <row r="39">
      <c r="A39" s="13" t="str">
        <f>IFERROR(__xludf.DUMMYFUNCTION("""COMPUTED_VALUE"""),"R4: Ridge Racer Type 4")</f>
        <v>R4: Ridge Racer Type 4</v>
      </c>
      <c r="B39" s="15" t="str">
        <f>IFERROR(__xludf.DUMMYFUNCTION("""COMPUTED_VALUE"""),"PS5/PS4")</f>
        <v>PS5/PS4</v>
      </c>
      <c r="C39" s="16" t="str">
        <f>IFERROR(__xludf.DUMMYFUNCTION("""COMPUTED_VALUE"""),"Premium (Classics)")</f>
        <v>Premium (Classics)</v>
      </c>
      <c r="D39" s="15" t="str">
        <f>IFERROR(__xludf.DUMMYFUNCTION("""COMPUTED_VALUE"""),"Active")</f>
        <v>Active</v>
      </c>
      <c r="E39" s="17">
        <f>IFERROR(__xludf.DUMMYFUNCTION("""COMPUTED_VALUE"""),45006.0)</f>
        <v>45006</v>
      </c>
      <c r="F39" s="54"/>
      <c r="G39" s="19">
        <f>IFERROR(__xludf.DUMMYFUNCTION("""COMPUTED_VALUE"""),42.5)</f>
        <v>42.5</v>
      </c>
      <c r="H39" s="17">
        <f>IFERROR(__xludf.DUMMYFUNCTION("""COMPUTED_VALUE"""),36281.0)</f>
        <v>36281</v>
      </c>
      <c r="I39" s="19">
        <f>IFERROR(__xludf.DUMMYFUNCTION("""COMPUTED_VALUE"""),23.88888888888889)</f>
        <v>23.88888889</v>
      </c>
      <c r="J39" s="21">
        <f>IFERROR(__xludf.DUMMYFUNCTION("""COMPUTED_VALUE"""),88.0)</f>
        <v>88</v>
      </c>
      <c r="K39" s="23">
        <f>IFERROR(__xludf.DUMMYFUNCTION("""COMPUTED_VALUE"""),8.7)</f>
        <v>8.7</v>
      </c>
      <c r="L39" s="24">
        <f>IFERROR(__xludf.DUMMYFUNCTION("""COMPUTED_VALUE"""),2.0)</f>
        <v>2</v>
      </c>
      <c r="M39" s="25" t="str">
        <f>IFERROR(__xludf.DUMMYFUNCTION("""COMPUTED_VALUE"""),"Racing")</f>
        <v>Racing</v>
      </c>
      <c r="N39" s="25" t="str">
        <f>IFERROR(__xludf.DUMMYFUNCTION("""COMPUTED_VALUE"""),"PS1")</f>
        <v>PS1</v>
      </c>
      <c r="O39" s="26" t="str">
        <f>IFERROR(__xludf.DUMMYFUNCTION("""COMPUTED_VALUE"""),"Yes")</f>
        <v>Yes</v>
      </c>
      <c r="P39" s="26"/>
    </row>
    <row r="40">
      <c r="A40" s="13" t="str">
        <f>IFERROR(__xludf.DUMMYFUNCTION("""COMPUTED_VALUE"""),"Oddworld: Abe's Exoddus")</f>
        <v>Oddworld: Abe's Exoddus</v>
      </c>
      <c r="B40" s="15" t="str">
        <f>IFERROR(__xludf.DUMMYFUNCTION("""COMPUTED_VALUE"""),"PS5/PS4")</f>
        <v>PS5/PS4</v>
      </c>
      <c r="C40" s="16" t="str">
        <f>IFERROR(__xludf.DUMMYFUNCTION("""COMPUTED_VALUE"""),"Premium (Classics)")</f>
        <v>Premium (Classics)</v>
      </c>
      <c r="D40" s="15" t="str">
        <f>IFERROR(__xludf.DUMMYFUNCTION("""COMPUTED_VALUE"""),"Active")</f>
        <v>Active</v>
      </c>
      <c r="E40" s="17">
        <f>IFERROR(__xludf.DUMMYFUNCTION("""COMPUTED_VALUE"""),44915.0)</f>
        <v>44915</v>
      </c>
      <c r="F40" s="54"/>
      <c r="G40" s="19">
        <f>IFERROR(__xludf.DUMMYFUNCTION("""COMPUTED_VALUE"""),45.53333333333333)</f>
        <v>45.53333333</v>
      </c>
      <c r="H40" s="17">
        <f>IFERROR(__xludf.DUMMYFUNCTION("""COMPUTED_VALUE"""),36099.0)</f>
        <v>36099</v>
      </c>
      <c r="I40" s="19">
        <f>IFERROR(__xludf.DUMMYFUNCTION("""COMPUTED_VALUE"""),24.13888888888889)</f>
        <v>24.13888889</v>
      </c>
      <c r="J40" s="21">
        <f>IFERROR(__xludf.DUMMYFUNCTION("""COMPUTED_VALUE"""),88.0)</f>
        <v>88</v>
      </c>
      <c r="K40" s="23">
        <f>IFERROR(__xludf.DUMMYFUNCTION("""COMPUTED_VALUE"""),8.6)</f>
        <v>8.6</v>
      </c>
      <c r="L40" s="24">
        <f>IFERROR(__xludf.DUMMYFUNCTION("""COMPUTED_VALUE"""),15.0)</f>
        <v>15</v>
      </c>
      <c r="M40" s="25" t="str">
        <f>IFERROR(__xludf.DUMMYFUNCTION("""COMPUTED_VALUE"""),"Action-Adventure")</f>
        <v>Action-Adventure</v>
      </c>
      <c r="N40" s="25" t="str">
        <f>IFERROR(__xludf.DUMMYFUNCTION("""COMPUTED_VALUE"""),"PS1")</f>
        <v>PS1</v>
      </c>
      <c r="O40" s="26" t="str">
        <f>IFERROR(__xludf.DUMMYFUNCTION("""COMPUTED_VALUE"""),"Yes")</f>
        <v>Yes</v>
      </c>
      <c r="P40" s="26"/>
    </row>
    <row r="41">
      <c r="A41" s="13" t="str">
        <f>IFERROR(__xludf.DUMMYFUNCTION("""COMPUTED_VALUE"""),"Nioh")</f>
        <v>Nioh</v>
      </c>
      <c r="B41" s="15" t="str">
        <f>IFERROR(__xludf.DUMMYFUNCTION("""COMPUTED_VALUE"""),"PS4")</f>
        <v>PS4</v>
      </c>
      <c r="C41" s="16" t="str">
        <f>IFERROR(__xludf.DUMMYFUNCTION("""COMPUTED_VALUE"""),"Extra")</f>
        <v>Extra</v>
      </c>
      <c r="D41" s="15" t="str">
        <f>IFERROR(__xludf.DUMMYFUNCTION("""COMPUTED_VALUE"""),"Active")</f>
        <v>Active</v>
      </c>
      <c r="E41" s="17">
        <f>IFERROR(__xludf.DUMMYFUNCTION("""COMPUTED_VALUE"""),44320.0)</f>
        <v>44320</v>
      </c>
      <c r="F41" s="54"/>
      <c r="G41" s="19">
        <f>IFERROR(__xludf.DUMMYFUNCTION("""COMPUTED_VALUE"""),65.06666666666666)</f>
        <v>65.06666667</v>
      </c>
      <c r="H41" s="17">
        <f>IFERROR(__xludf.DUMMYFUNCTION("""COMPUTED_VALUE"""),42773.0)</f>
        <v>42773</v>
      </c>
      <c r="I41" s="19">
        <f>IFERROR(__xludf.DUMMYFUNCTION("""COMPUTED_VALUE"""),4.241666666666666)</f>
        <v>4.241666667</v>
      </c>
      <c r="J41" s="21">
        <f>IFERROR(__xludf.DUMMYFUNCTION("""COMPUTED_VALUE"""),88.0)</f>
        <v>88</v>
      </c>
      <c r="K41" s="23">
        <f>IFERROR(__xludf.DUMMYFUNCTION("""COMPUTED_VALUE"""),8.5)</f>
        <v>8.5</v>
      </c>
      <c r="L41" s="24">
        <f>IFERROR(__xludf.DUMMYFUNCTION("""COMPUTED_VALUE"""),35.0)</f>
        <v>35</v>
      </c>
      <c r="M41" s="25" t="str">
        <f>IFERROR(__xludf.DUMMYFUNCTION("""COMPUTED_VALUE"""),"RPG")</f>
        <v>RPG</v>
      </c>
      <c r="N41" s="25"/>
      <c r="O41" s="26" t="str">
        <f>IFERROR(__xludf.DUMMYFUNCTION("""COMPUTED_VALUE"""),"Yes")</f>
        <v>Yes</v>
      </c>
      <c r="P41" s="26"/>
    </row>
    <row r="42">
      <c r="A42" s="13" t="str">
        <f>IFERROR(__xludf.DUMMYFUNCTION("""COMPUTED_VALUE"""),"XCOM 2")</f>
        <v>XCOM 2</v>
      </c>
      <c r="B42" s="15" t="str">
        <f>IFERROR(__xludf.DUMMYFUNCTION("""COMPUTED_VALUE"""),"PS4")</f>
        <v>PS4</v>
      </c>
      <c r="C42" s="16" t="str">
        <f>IFERROR(__xludf.DUMMYFUNCTION("""COMPUTED_VALUE"""),"Extra")</f>
        <v>Extra</v>
      </c>
      <c r="D42" s="15" t="str">
        <f>IFERROR(__xludf.DUMMYFUNCTION("""COMPUTED_VALUE"""),"Active")</f>
        <v>Active</v>
      </c>
      <c r="E42" s="17">
        <f>IFERROR(__xludf.DUMMYFUNCTION("""COMPUTED_VALUE"""),43256.0)</f>
        <v>43256</v>
      </c>
      <c r="F42" s="54"/>
      <c r="G42" s="19">
        <f>IFERROR(__xludf.DUMMYFUNCTION("""COMPUTED_VALUE"""),100.03333333333333)</f>
        <v>100.0333333</v>
      </c>
      <c r="H42" s="17">
        <f>IFERROR(__xludf.DUMMYFUNCTION("""COMPUTED_VALUE"""),42405.0)</f>
        <v>42405</v>
      </c>
      <c r="I42" s="19">
        <f>IFERROR(__xludf.DUMMYFUNCTION("""COMPUTED_VALUE"""),2.3333333333333335)</f>
        <v>2.333333333</v>
      </c>
      <c r="J42" s="21">
        <f>IFERROR(__xludf.DUMMYFUNCTION("""COMPUTED_VALUE"""),88.0)</f>
        <v>88</v>
      </c>
      <c r="K42" s="23">
        <f>IFERROR(__xludf.DUMMYFUNCTION("""COMPUTED_VALUE"""),8.1)</f>
        <v>8.1</v>
      </c>
      <c r="L42" s="24">
        <f>IFERROR(__xludf.DUMMYFUNCTION("""COMPUTED_VALUE"""),32.0)</f>
        <v>32</v>
      </c>
      <c r="M42" s="25" t="str">
        <f>IFERROR(__xludf.DUMMYFUNCTION("""COMPUTED_VALUE"""),"Strategy")</f>
        <v>Strategy</v>
      </c>
      <c r="N42" s="25"/>
      <c r="O42" s="26" t="str">
        <f>IFERROR(__xludf.DUMMYFUNCTION("""COMPUTED_VALUE"""),"Yes")</f>
        <v>Yes</v>
      </c>
      <c r="P42" s="26"/>
    </row>
    <row r="43">
      <c r="A43" s="13" t="str">
        <f>IFERROR(__xludf.DUMMYFUNCTION("""COMPUTED_VALUE"""),"The Last of Us: Left Behind")</f>
        <v>The Last of Us: Left Behind</v>
      </c>
      <c r="B43" s="15" t="str">
        <f>IFERROR(__xludf.DUMMYFUNCTION("""COMPUTED_VALUE"""),"PS4")</f>
        <v>PS4</v>
      </c>
      <c r="C43" s="16" t="str">
        <f>IFERROR(__xludf.DUMMYFUNCTION("""COMPUTED_VALUE"""),"Extra")</f>
        <v>Extra</v>
      </c>
      <c r="D43" s="15" t="str">
        <f>IFERROR(__xludf.DUMMYFUNCTION("""COMPUTED_VALUE"""),"Active")</f>
        <v>Active</v>
      </c>
      <c r="E43" s="17">
        <f>IFERROR(__xludf.DUMMYFUNCTION("""COMPUTED_VALUE"""),42556.0)</f>
        <v>42556</v>
      </c>
      <c r="F43" s="54"/>
      <c r="G43" s="19">
        <f>IFERROR(__xludf.DUMMYFUNCTION("""COMPUTED_VALUE"""),123.03333333333333)</f>
        <v>123.0333333</v>
      </c>
      <c r="H43" s="17">
        <f>IFERROR(__xludf.DUMMYFUNCTION("""COMPUTED_VALUE"""),41671.0)</f>
        <v>41671</v>
      </c>
      <c r="I43" s="19">
        <f>IFERROR(__xludf.DUMMYFUNCTION("""COMPUTED_VALUE"""),2.4277777777777776)</f>
        <v>2.427777778</v>
      </c>
      <c r="J43" s="21">
        <f>IFERROR(__xludf.DUMMYFUNCTION("""COMPUTED_VALUE"""),88.0)</f>
        <v>88</v>
      </c>
      <c r="K43" s="23">
        <f>IFERROR(__xludf.DUMMYFUNCTION("""COMPUTED_VALUE"""),8.1)</f>
        <v>8.1</v>
      </c>
      <c r="L43" s="24">
        <f>IFERROR(__xludf.DUMMYFUNCTION("""COMPUTED_VALUE"""),2.5)</f>
        <v>2.5</v>
      </c>
      <c r="M43" s="25" t="str">
        <f>IFERROR(__xludf.DUMMYFUNCTION("""COMPUTED_VALUE"""),"Action-Adventure")</f>
        <v>Action-Adventure</v>
      </c>
      <c r="N43" s="25"/>
      <c r="O43" s="26" t="str">
        <f>IFERROR(__xludf.DUMMYFUNCTION("""COMPUTED_VALUE"""),"Yes")</f>
        <v>Yes</v>
      </c>
      <c r="P43" s="26"/>
    </row>
    <row r="44">
      <c r="A44" s="13" t="str">
        <f>IFERROR(__xludf.DUMMYFUNCTION("""COMPUTED_VALUE"""),"Blasphemous 2")</f>
        <v>Blasphemous 2</v>
      </c>
      <c r="B44" s="15" t="str">
        <f>IFERROR(__xludf.DUMMYFUNCTION("""COMPUTED_VALUE"""),"PS5/PS4")</f>
        <v>PS5/PS4</v>
      </c>
      <c r="C44" s="16" t="str">
        <f>IFERROR(__xludf.DUMMYFUNCTION("""COMPUTED_VALUE"""),"Extra")</f>
        <v>Extra</v>
      </c>
      <c r="D44" s="15" t="str">
        <f>IFERROR(__xludf.DUMMYFUNCTION("""COMPUTED_VALUE"""),"Active")</f>
        <v>Active</v>
      </c>
      <c r="E44" s="17">
        <f>IFERROR(__xludf.DUMMYFUNCTION("""COMPUTED_VALUE"""),46098.0)</f>
        <v>46098</v>
      </c>
      <c r="F44" s="54"/>
      <c r="G44" s="19">
        <f>IFERROR(__xludf.DUMMYFUNCTION("""COMPUTED_VALUE"""),6.633333333333334)</f>
        <v>6.633333333</v>
      </c>
      <c r="H44" s="17">
        <f>IFERROR(__xludf.DUMMYFUNCTION("""COMPUTED_VALUE"""),45162.0)</f>
        <v>45162</v>
      </c>
      <c r="I44" s="19">
        <f>IFERROR(__xludf.DUMMYFUNCTION("""COMPUTED_VALUE"""),2.563888888888889)</f>
        <v>2.563888889</v>
      </c>
      <c r="J44" s="21">
        <f>IFERROR(__xludf.DUMMYFUNCTION("""COMPUTED_VALUE"""),87.0)</f>
        <v>87</v>
      </c>
      <c r="K44" s="23">
        <f>IFERROR(__xludf.DUMMYFUNCTION("""COMPUTED_VALUE"""),8.6)</f>
        <v>8.6</v>
      </c>
      <c r="L44" s="24">
        <f>IFERROR(__xludf.DUMMYFUNCTION("""COMPUTED_VALUE"""),15.0)</f>
        <v>15</v>
      </c>
      <c r="M44" s="25" t="str">
        <f>IFERROR(__xludf.DUMMYFUNCTION("""COMPUTED_VALUE"""),"Action-Adventure")</f>
        <v>Action-Adventure</v>
      </c>
      <c r="N44" s="25"/>
      <c r="O44" s="26"/>
      <c r="P44" s="26"/>
    </row>
    <row r="45">
      <c r="A45" s="13" t="str">
        <f>IFERROR(__xludf.DUMMYFUNCTION("""COMPUTED_VALUE"""),"Neva")</f>
        <v>Neva</v>
      </c>
      <c r="B45" s="15" t="str">
        <f>IFERROR(__xludf.DUMMYFUNCTION("""COMPUTED_VALUE"""),"PS5/PS4")</f>
        <v>PS5/PS4</v>
      </c>
      <c r="C45" s="16" t="str">
        <f>IFERROR(__xludf.DUMMYFUNCTION("""COMPUTED_VALUE"""),"Extra")</f>
        <v>Extra</v>
      </c>
      <c r="D45" s="15" t="str">
        <f>IFERROR(__xludf.DUMMYFUNCTION("""COMPUTED_VALUE"""),"Active")</f>
        <v>Active</v>
      </c>
      <c r="E45" s="17">
        <f>IFERROR(__xludf.DUMMYFUNCTION("""COMPUTED_VALUE"""),46070.0)</f>
        <v>46070</v>
      </c>
      <c r="F45" s="54"/>
      <c r="G45" s="19">
        <f>IFERROR(__xludf.DUMMYFUNCTION("""COMPUTED_VALUE"""),7.633333333333333)</f>
        <v>7.633333333</v>
      </c>
      <c r="H45" s="17">
        <f>IFERROR(__xludf.DUMMYFUNCTION("""COMPUTED_VALUE"""),45580.0)</f>
        <v>45580</v>
      </c>
      <c r="I45" s="19">
        <f>IFERROR(__xludf.DUMMYFUNCTION("""COMPUTED_VALUE"""),1.3388888888888888)</f>
        <v>1.338888889</v>
      </c>
      <c r="J45" s="21">
        <f>IFERROR(__xludf.DUMMYFUNCTION("""COMPUTED_VALUE"""),87.0)</f>
        <v>87</v>
      </c>
      <c r="K45" s="23">
        <f>IFERROR(__xludf.DUMMYFUNCTION("""COMPUTED_VALUE"""),8.3)</f>
        <v>8.3</v>
      </c>
      <c r="L45" s="24">
        <f>IFERROR(__xludf.DUMMYFUNCTION("""COMPUTED_VALUE"""),4.0)</f>
        <v>4</v>
      </c>
      <c r="M45" s="25" t="str">
        <f>IFERROR(__xludf.DUMMYFUNCTION("""COMPUTED_VALUE"""),"Action-Adventure")</f>
        <v>Action-Adventure</v>
      </c>
      <c r="N45" s="25"/>
      <c r="O45" s="26"/>
      <c r="P45" s="26"/>
    </row>
    <row r="46">
      <c r="A46" s="13" t="str">
        <f>IFERROR(__xludf.DUMMYFUNCTION("""COMPUTED_VALUE"""),"Marvel's Spider-Man")</f>
        <v>Marvel's Spider-Man</v>
      </c>
      <c r="B46" s="15" t="str">
        <f>IFERROR(__xludf.DUMMYFUNCTION("""COMPUTED_VALUE"""),"PS5/PS4")</f>
        <v>PS5/PS4</v>
      </c>
      <c r="C46" s="16" t="str">
        <f>IFERROR(__xludf.DUMMYFUNCTION("""COMPUTED_VALUE"""),"Extra")</f>
        <v>Extra</v>
      </c>
      <c r="D46" s="15" t="str">
        <f>IFERROR(__xludf.DUMMYFUNCTION("""COMPUTED_VALUE"""),"Active")</f>
        <v>Active</v>
      </c>
      <c r="E46" s="17">
        <f>IFERROR(__xludf.DUMMYFUNCTION("""COMPUTED_VALUE"""),45888.0)</f>
        <v>45888</v>
      </c>
      <c r="F46" s="54"/>
      <c r="G46" s="19">
        <f>IFERROR(__xludf.DUMMYFUNCTION("""COMPUTED_VALUE"""),13.566666666666666)</f>
        <v>13.56666667</v>
      </c>
      <c r="H46" s="17">
        <f>IFERROR(__xludf.DUMMYFUNCTION("""COMPUTED_VALUE"""),43350.0)</f>
        <v>43350</v>
      </c>
      <c r="I46" s="19">
        <f>IFERROR(__xludf.DUMMYFUNCTION("""COMPUTED_VALUE"""),6.95)</f>
        <v>6.95</v>
      </c>
      <c r="J46" s="21">
        <f>IFERROR(__xludf.DUMMYFUNCTION("""COMPUTED_VALUE"""),87.0)</f>
        <v>87</v>
      </c>
      <c r="K46" s="23">
        <f>IFERROR(__xludf.DUMMYFUNCTION("""COMPUTED_VALUE"""),8.7)</f>
        <v>8.7</v>
      </c>
      <c r="L46" s="24">
        <f>IFERROR(__xludf.DUMMYFUNCTION("""COMPUTED_VALUE"""),17.0)</f>
        <v>17</v>
      </c>
      <c r="M46" s="25" t="str">
        <f>IFERROR(__xludf.DUMMYFUNCTION("""COMPUTED_VALUE"""),"Action-Adventure")</f>
        <v>Action-Adventure</v>
      </c>
      <c r="N46" s="25" t="str">
        <f>IFERROR(__xludf.DUMMYFUNCTION("""COMPUTED_VALUE"""),"Remasteref for PS5 and GOTy for PS4")</f>
        <v>Remasteref for PS5 and GOTy for PS4</v>
      </c>
      <c r="O46" s="26"/>
      <c r="P46" s="26"/>
    </row>
    <row r="47">
      <c r="A47" s="13" t="str">
        <f>IFERROR(__xludf.DUMMYFUNCTION("""COMPUTED_VALUE"""),"Jeanne d'Arc")</f>
        <v>Jeanne d'Arc</v>
      </c>
      <c r="B47" s="15" t="str">
        <f>IFERROR(__xludf.DUMMYFUNCTION("""COMPUTED_VALUE"""),"PS5/PS4")</f>
        <v>PS5/PS4</v>
      </c>
      <c r="C47" s="16" t="str">
        <f>IFERROR(__xludf.DUMMYFUNCTION("""COMPUTED_VALUE"""),"Premium (Classics)")</f>
        <v>Premium (Classics)</v>
      </c>
      <c r="D47" s="15" t="str">
        <f>IFERROR(__xludf.DUMMYFUNCTION("""COMPUTED_VALUE"""),"Active")</f>
        <v>Active</v>
      </c>
      <c r="E47" s="17">
        <f>IFERROR(__xludf.DUMMYFUNCTION("""COMPUTED_VALUE"""),45489.0)</f>
        <v>45489</v>
      </c>
      <c r="F47" s="54"/>
      <c r="G47" s="19">
        <f>IFERROR(__xludf.DUMMYFUNCTION("""COMPUTED_VALUE"""),26.666666666666668)</f>
        <v>26.66666667</v>
      </c>
      <c r="H47" s="17">
        <f>IFERROR(__xludf.DUMMYFUNCTION("""COMPUTED_VALUE"""),39315.0)</f>
        <v>39315</v>
      </c>
      <c r="I47" s="19">
        <f>IFERROR(__xludf.DUMMYFUNCTION("""COMPUTED_VALUE"""),16.90277777777778)</f>
        <v>16.90277778</v>
      </c>
      <c r="J47" s="21">
        <f>IFERROR(__xludf.DUMMYFUNCTION("""COMPUTED_VALUE"""),87.0)</f>
        <v>87</v>
      </c>
      <c r="K47" s="23">
        <f>IFERROR(__xludf.DUMMYFUNCTION("""COMPUTED_VALUE"""),8.8)</f>
        <v>8.8</v>
      </c>
      <c r="L47" s="24">
        <f>IFERROR(__xludf.DUMMYFUNCTION("""COMPUTED_VALUE"""),32.0)</f>
        <v>32</v>
      </c>
      <c r="M47" s="25" t="str">
        <f>IFERROR(__xludf.DUMMYFUNCTION("""COMPUTED_VALUE"""),"Strategy")</f>
        <v>Strategy</v>
      </c>
      <c r="N47" s="25" t="str">
        <f>IFERROR(__xludf.DUMMYFUNCTION("""COMPUTED_VALUE"""),"PSP")</f>
        <v>PSP</v>
      </c>
      <c r="O47" s="26" t="str">
        <f>IFERROR(__xludf.DUMMYFUNCTION("""COMPUTED_VALUE"""),"Yes")</f>
        <v>Yes</v>
      </c>
      <c r="P47" s="26"/>
    </row>
    <row r="48">
      <c r="A48" s="13" t="str">
        <f>IFERROR(__xludf.DUMMYFUNCTION("""COMPUTED_VALUE"""),"Destiny 2: The Witch Queen")</f>
        <v>Destiny 2: The Witch Queen</v>
      </c>
      <c r="B48" s="15" t="str">
        <f>IFERROR(__xludf.DUMMYFUNCTION("""COMPUTED_VALUE"""),"PS5/PS4")</f>
        <v>PS5/PS4</v>
      </c>
      <c r="C48" s="16" t="str">
        <f>IFERROR(__xludf.DUMMYFUNCTION("""COMPUTED_VALUE"""),"Extra")</f>
        <v>Extra</v>
      </c>
      <c r="D48" s="15" t="str">
        <f>IFERROR(__xludf.DUMMYFUNCTION("""COMPUTED_VALUE"""),"Active")</f>
        <v>Active</v>
      </c>
      <c r="E48" s="17">
        <f>IFERROR(__xludf.DUMMYFUNCTION("""COMPUTED_VALUE"""),45153.0)</f>
        <v>45153</v>
      </c>
      <c r="F48" s="18"/>
      <c r="G48" s="19">
        <f>IFERROR(__xludf.DUMMYFUNCTION("""COMPUTED_VALUE"""),37.7)</f>
        <v>37.7</v>
      </c>
      <c r="H48" s="17">
        <f>IFERROR(__xludf.DUMMYFUNCTION("""COMPUTED_VALUE"""),44614.0)</f>
        <v>44614</v>
      </c>
      <c r="I48" s="19">
        <f>IFERROR(__xludf.DUMMYFUNCTION("""COMPUTED_VALUE"""),1.4805555555555556)</f>
        <v>1.480555556</v>
      </c>
      <c r="J48" s="21">
        <f>IFERROR(__xludf.DUMMYFUNCTION("""COMPUTED_VALUE"""),87.0)</f>
        <v>87</v>
      </c>
      <c r="K48" s="23">
        <f>IFERROR(__xludf.DUMMYFUNCTION("""COMPUTED_VALUE"""),7.9)</f>
        <v>7.9</v>
      </c>
      <c r="L48" s="24">
        <f>IFERROR(__xludf.DUMMYFUNCTION("""COMPUTED_VALUE"""),12.0)</f>
        <v>12</v>
      </c>
      <c r="M48" s="25" t="str">
        <f>IFERROR(__xludf.DUMMYFUNCTION("""COMPUTED_VALUE"""),"Shooter")</f>
        <v>Shooter</v>
      </c>
      <c r="N48" s="25"/>
      <c r="O48" s="26" t="str">
        <f>IFERROR(__xludf.DUMMYFUNCTION("""COMPUTED_VALUE"""),"No")</f>
        <v>No</v>
      </c>
      <c r="P48" s="26"/>
    </row>
    <row r="49">
      <c r="A49" s="13" t="str">
        <f>IFERROR(__xludf.DUMMYFUNCTION("""COMPUTED_VALUE"""),"DOOM: Eternal")</f>
        <v>DOOM: Eternal</v>
      </c>
      <c r="B49" s="15" t="str">
        <f>IFERROR(__xludf.DUMMYFUNCTION("""COMPUTED_VALUE"""),"PS5/PS4")</f>
        <v>PS5/PS4</v>
      </c>
      <c r="C49" s="16" t="str">
        <f>IFERROR(__xludf.DUMMYFUNCTION("""COMPUTED_VALUE"""),"Extra")</f>
        <v>Extra</v>
      </c>
      <c r="D49" s="15" t="str">
        <f>IFERROR(__xludf.DUMMYFUNCTION("""COMPUTED_VALUE"""),"Active")</f>
        <v>Active</v>
      </c>
      <c r="E49" s="17">
        <f>IFERROR(__xludf.DUMMYFUNCTION("""COMPUTED_VALUE"""),45034.0)</f>
        <v>45034</v>
      </c>
      <c r="F49" s="18"/>
      <c r="G49" s="19">
        <f>IFERROR(__xludf.DUMMYFUNCTION("""COMPUTED_VALUE"""),41.6)</f>
        <v>41.6</v>
      </c>
      <c r="H49" s="17">
        <f>IFERROR(__xludf.DUMMYFUNCTION("""COMPUTED_VALUE"""),43910.0)</f>
        <v>43910</v>
      </c>
      <c r="I49" s="19">
        <f>IFERROR(__xludf.DUMMYFUNCTION("""COMPUTED_VALUE"""),3.077777777777778)</f>
        <v>3.077777778</v>
      </c>
      <c r="J49" s="21">
        <f>IFERROR(__xludf.DUMMYFUNCTION("""COMPUTED_VALUE"""),87.0)</f>
        <v>87</v>
      </c>
      <c r="K49" s="23">
        <f>IFERROR(__xludf.DUMMYFUNCTION("""COMPUTED_VALUE"""),8.9)</f>
        <v>8.9</v>
      </c>
      <c r="L49" s="24">
        <f>IFERROR(__xludf.DUMMYFUNCTION("""COMPUTED_VALUE"""),15.0)</f>
        <v>15</v>
      </c>
      <c r="M49" s="25" t="str">
        <f>IFERROR(__xludf.DUMMYFUNCTION("""COMPUTED_VALUE"""),"Shooter")</f>
        <v>Shooter</v>
      </c>
      <c r="N49" s="25"/>
      <c r="O49" s="26" t="str">
        <f>IFERROR(__xludf.DUMMYFUNCTION("""COMPUTED_VALUE"""),"Portal (PS5 + Premium)")</f>
        <v>Portal (PS5 + Premium)</v>
      </c>
      <c r="P49" s="26"/>
    </row>
    <row r="50">
      <c r="A50" s="13" t="str">
        <f>IFERROR(__xludf.DUMMYFUNCTION("""COMPUTED_VALUE"""),"Monster Boy and the Cursed Kingdom")</f>
        <v>Monster Boy and the Cursed Kingdom</v>
      </c>
      <c r="B50" s="15" t="str">
        <f>IFERROR(__xludf.DUMMYFUNCTION("""COMPUTED_VALUE"""),"PS5/PS4")</f>
        <v>PS5/PS4</v>
      </c>
      <c r="C50" s="16" t="str">
        <f>IFERROR(__xludf.DUMMYFUNCTION("""COMPUTED_VALUE"""),"Extra")</f>
        <v>Extra</v>
      </c>
      <c r="D50" s="15" t="str">
        <f>IFERROR(__xludf.DUMMYFUNCTION("""COMPUTED_VALUE"""),"Active")</f>
        <v>Active</v>
      </c>
      <c r="E50" s="17">
        <f>IFERROR(__xludf.DUMMYFUNCTION("""COMPUTED_VALUE"""),45034.0)</f>
        <v>45034</v>
      </c>
      <c r="F50" s="54"/>
      <c r="G50" s="19">
        <f>IFERROR(__xludf.DUMMYFUNCTION("""COMPUTED_VALUE"""),41.6)</f>
        <v>41.6</v>
      </c>
      <c r="H50" s="17">
        <f>IFERROR(__xludf.DUMMYFUNCTION("""COMPUTED_VALUE"""),43438.0)</f>
        <v>43438</v>
      </c>
      <c r="I50" s="19">
        <f>IFERROR(__xludf.DUMMYFUNCTION("""COMPUTED_VALUE"""),4.372222222222222)</f>
        <v>4.372222222</v>
      </c>
      <c r="J50" s="21">
        <f>IFERROR(__xludf.DUMMYFUNCTION("""COMPUTED_VALUE"""),87.0)</f>
        <v>87</v>
      </c>
      <c r="K50" s="23">
        <f>IFERROR(__xludf.DUMMYFUNCTION("""COMPUTED_VALUE"""),8.0)</f>
        <v>8</v>
      </c>
      <c r="L50" s="24">
        <f>IFERROR(__xludf.DUMMYFUNCTION("""COMPUTED_VALUE"""),19.0)</f>
        <v>19</v>
      </c>
      <c r="M50" s="25" t="str">
        <f>IFERROR(__xludf.DUMMYFUNCTION("""COMPUTED_VALUE"""),"Platformer")</f>
        <v>Platformer</v>
      </c>
      <c r="N50" s="25"/>
      <c r="O50" s="26" t="str">
        <f>IFERROR(__xludf.DUMMYFUNCTION("""COMPUTED_VALUE"""),"Yes")</f>
        <v>Yes</v>
      </c>
      <c r="P50" s="26"/>
    </row>
    <row r="51">
      <c r="A51" s="13" t="str">
        <f>IFERROR(__xludf.DUMMYFUNCTION("""COMPUTED_VALUE"""),"Wolfenstein II: The New Colossus")</f>
        <v>Wolfenstein II: The New Colossus</v>
      </c>
      <c r="B51" s="15" t="str">
        <f>IFERROR(__xludf.DUMMYFUNCTION("""COMPUTED_VALUE"""),"PS4")</f>
        <v>PS4</v>
      </c>
      <c r="C51" s="16" t="str">
        <f>IFERROR(__xludf.DUMMYFUNCTION("""COMPUTED_VALUE"""),"Extra")</f>
        <v>Extra</v>
      </c>
      <c r="D51" s="15" t="str">
        <f>IFERROR(__xludf.DUMMYFUNCTION("""COMPUTED_VALUE"""),"Active")</f>
        <v>Active</v>
      </c>
      <c r="E51" s="17">
        <f>IFERROR(__xludf.DUMMYFUNCTION("""COMPUTED_VALUE"""),45034.0)</f>
        <v>45034</v>
      </c>
      <c r="F51" s="54"/>
      <c r="G51" s="19">
        <f>IFERROR(__xludf.DUMMYFUNCTION("""COMPUTED_VALUE"""),41.6)</f>
        <v>41.6</v>
      </c>
      <c r="H51" s="17">
        <f>IFERROR(__xludf.DUMMYFUNCTION("""COMPUTED_VALUE"""),43035.0)</f>
        <v>43035</v>
      </c>
      <c r="I51" s="19">
        <f>IFERROR(__xludf.DUMMYFUNCTION("""COMPUTED_VALUE"""),5.475)</f>
        <v>5.475</v>
      </c>
      <c r="J51" s="21">
        <f>IFERROR(__xludf.DUMMYFUNCTION("""COMPUTED_VALUE"""),87.0)</f>
        <v>87</v>
      </c>
      <c r="K51" s="23">
        <f>IFERROR(__xludf.DUMMYFUNCTION("""COMPUTED_VALUE"""),7.5)</f>
        <v>7.5</v>
      </c>
      <c r="L51" s="24">
        <f>IFERROR(__xludf.DUMMYFUNCTION("""COMPUTED_VALUE"""),11.0)</f>
        <v>11</v>
      </c>
      <c r="M51" s="25" t="str">
        <f>IFERROR(__xludf.DUMMYFUNCTION("""COMPUTED_VALUE"""),"Shooter")</f>
        <v>Shooter</v>
      </c>
      <c r="N51" s="25"/>
      <c r="O51" s="26" t="str">
        <f>IFERROR(__xludf.DUMMYFUNCTION("""COMPUTED_VALUE"""),"Yes")</f>
        <v>Yes</v>
      </c>
      <c r="P51" s="26"/>
    </row>
    <row r="52">
      <c r="A52" s="13" t="str">
        <f>IFERROR(__xludf.DUMMYFUNCTION("""COMPUTED_VALUE"""),"DOOM 3")</f>
        <v>DOOM 3</v>
      </c>
      <c r="B52" s="15" t="str">
        <f>IFERROR(__xludf.DUMMYFUNCTION("""COMPUTED_VALUE"""),"PS4")</f>
        <v>PS4</v>
      </c>
      <c r="C52" s="16" t="str">
        <f>IFERROR(__xludf.DUMMYFUNCTION("""COMPUTED_VALUE"""),"Premium (Classics)")</f>
        <v>Premium (Classics)</v>
      </c>
      <c r="D52" s="15" t="str">
        <f>IFERROR(__xludf.DUMMYFUNCTION("""COMPUTED_VALUE"""),"Active")</f>
        <v>Active</v>
      </c>
      <c r="E52" s="17">
        <f>IFERROR(__xludf.DUMMYFUNCTION("""COMPUTED_VALUE"""),45034.0)</f>
        <v>45034</v>
      </c>
      <c r="F52" s="54"/>
      <c r="G52" s="19">
        <f>IFERROR(__xludf.DUMMYFUNCTION("""COMPUTED_VALUE"""),41.6)</f>
        <v>41.6</v>
      </c>
      <c r="H52" s="17">
        <f>IFERROR(__xludf.DUMMYFUNCTION("""COMPUTED_VALUE"""),38202.0)</f>
        <v>38202</v>
      </c>
      <c r="I52" s="19">
        <f>IFERROR(__xludf.DUMMYFUNCTION("""COMPUTED_VALUE"""),18.708333333333332)</f>
        <v>18.70833333</v>
      </c>
      <c r="J52" s="21">
        <f>IFERROR(__xludf.DUMMYFUNCTION("""COMPUTED_VALUE"""),87.0)</f>
        <v>87</v>
      </c>
      <c r="K52" s="23">
        <f>IFERROR(__xludf.DUMMYFUNCTION("""COMPUTED_VALUE"""),7.7)</f>
        <v>7.7</v>
      </c>
      <c r="L52" s="24">
        <f>IFERROR(__xludf.DUMMYFUNCTION("""COMPUTED_VALUE"""),11.0)</f>
        <v>11</v>
      </c>
      <c r="M52" s="25" t="str">
        <f>IFERROR(__xludf.DUMMYFUNCTION("""COMPUTED_VALUE"""),"Shooter")</f>
        <v>Shooter</v>
      </c>
      <c r="N52" s="25" t="str">
        <f>IFERROR(__xludf.DUMMYFUNCTION("""COMPUTED_VALUE"""),"Windows")</f>
        <v>Windows</v>
      </c>
      <c r="O52" s="26" t="str">
        <f>IFERROR(__xludf.DUMMYFUNCTION("""COMPUTED_VALUE"""),"Yes")</f>
        <v>Yes</v>
      </c>
      <c r="P52" s="26"/>
    </row>
    <row r="53">
      <c r="A53" s="13" t="str">
        <f>IFERROR(__xludf.DUMMYFUNCTION("""COMPUTED_VALUE"""),"Syphon Filter: Dark Mirror")</f>
        <v>Syphon Filter: Dark Mirror</v>
      </c>
      <c r="B53" s="15" t="str">
        <f>IFERROR(__xludf.DUMMYFUNCTION("""COMPUTED_VALUE"""),"PS5/PS4")</f>
        <v>PS5/PS4</v>
      </c>
      <c r="C53" s="16" t="str">
        <f>IFERROR(__xludf.DUMMYFUNCTION("""COMPUTED_VALUE"""),"Premium (Classics)")</f>
        <v>Premium (Classics)</v>
      </c>
      <c r="D53" s="15" t="str">
        <f>IFERROR(__xludf.DUMMYFUNCTION("""COMPUTED_VALUE"""),"Active")</f>
        <v>Active</v>
      </c>
      <c r="E53" s="17">
        <f>IFERROR(__xludf.DUMMYFUNCTION("""COMPUTED_VALUE"""),45006.0)</f>
        <v>45006</v>
      </c>
      <c r="F53" s="54"/>
      <c r="G53" s="19">
        <f>IFERROR(__xludf.DUMMYFUNCTION("""COMPUTED_VALUE"""),42.5)</f>
        <v>42.5</v>
      </c>
      <c r="H53" s="17">
        <f>IFERROR(__xludf.DUMMYFUNCTION("""COMPUTED_VALUE"""),38790.0)</f>
        <v>38790</v>
      </c>
      <c r="I53" s="19">
        <f>IFERROR(__xludf.DUMMYFUNCTION("""COMPUTED_VALUE"""),17.019444444444446)</f>
        <v>17.01944444</v>
      </c>
      <c r="J53" s="21">
        <f>IFERROR(__xludf.DUMMYFUNCTION("""COMPUTED_VALUE"""),87.0)</f>
        <v>87</v>
      </c>
      <c r="K53" s="23">
        <f>IFERROR(__xludf.DUMMYFUNCTION("""COMPUTED_VALUE"""),8.5)</f>
        <v>8.5</v>
      </c>
      <c r="L53" s="24">
        <f>IFERROR(__xludf.DUMMYFUNCTION("""COMPUTED_VALUE"""),7.0)</f>
        <v>7</v>
      </c>
      <c r="M53" s="25" t="str">
        <f>IFERROR(__xludf.DUMMYFUNCTION("""COMPUTED_VALUE"""),"Shooter")</f>
        <v>Shooter</v>
      </c>
      <c r="N53" s="25" t="str">
        <f>IFERROR(__xludf.DUMMYFUNCTION("""COMPUTED_VALUE"""),"PSP")</f>
        <v>PSP</v>
      </c>
      <c r="O53" s="26" t="str">
        <f>IFERROR(__xludf.DUMMYFUNCTION("""COMPUTED_VALUE"""),"Yes")</f>
        <v>Yes</v>
      </c>
      <c r="P53" s="26"/>
    </row>
    <row r="54">
      <c r="A54" s="13" t="str">
        <f>IFERROR(__xludf.DUMMYFUNCTION("""COMPUTED_VALUE"""),"Dark Cloud 2")</f>
        <v>Dark Cloud 2</v>
      </c>
      <c r="B54" s="15" t="str">
        <f>IFERROR(__xludf.DUMMYFUNCTION("""COMPUTED_VALUE"""),"PS4")</f>
        <v>PS4</v>
      </c>
      <c r="C54" s="16" t="str">
        <f>IFERROR(__xludf.DUMMYFUNCTION("""COMPUTED_VALUE"""),"Premium (Classics)")</f>
        <v>Premium (Classics)</v>
      </c>
      <c r="D54" s="15" t="str">
        <f>IFERROR(__xludf.DUMMYFUNCTION("""COMPUTED_VALUE"""),"Active")</f>
        <v>Active</v>
      </c>
      <c r="E54" s="17">
        <f>IFERROR(__xludf.DUMMYFUNCTION("""COMPUTED_VALUE"""),44725.0)</f>
        <v>44725</v>
      </c>
      <c r="F54" s="54"/>
      <c r="G54" s="19">
        <f>IFERROR(__xludf.DUMMYFUNCTION("""COMPUTED_VALUE"""),51.766666666666666)</f>
        <v>51.76666667</v>
      </c>
      <c r="H54" s="17">
        <f>IFERROR(__xludf.DUMMYFUNCTION("""COMPUTED_VALUE"""),37653.0)</f>
        <v>37653</v>
      </c>
      <c r="I54" s="19">
        <f>IFERROR(__xludf.DUMMYFUNCTION("""COMPUTED_VALUE"""),19.366666666666667)</f>
        <v>19.36666667</v>
      </c>
      <c r="J54" s="21">
        <f>IFERROR(__xludf.DUMMYFUNCTION("""COMPUTED_VALUE"""),87.0)</f>
        <v>87</v>
      </c>
      <c r="K54" s="23">
        <f>IFERROR(__xludf.DUMMYFUNCTION("""COMPUTED_VALUE"""),8.5)</f>
        <v>8.5</v>
      </c>
      <c r="L54" s="24">
        <f>IFERROR(__xludf.DUMMYFUNCTION("""COMPUTED_VALUE"""),50.0)</f>
        <v>50</v>
      </c>
      <c r="M54" s="25" t="str">
        <f>IFERROR(__xludf.DUMMYFUNCTION("""COMPUTED_VALUE"""),"RPG")</f>
        <v>RPG</v>
      </c>
      <c r="N54" s="25" t="str">
        <f>IFERROR(__xludf.DUMMYFUNCTION("""COMPUTED_VALUE"""),"PS2")</f>
        <v>PS2</v>
      </c>
      <c r="O54" s="26" t="str">
        <f>IFERROR(__xludf.DUMMYFUNCTION("""COMPUTED_VALUE"""),"Yes")</f>
        <v>Yes</v>
      </c>
      <c r="P54" s="26" t="str">
        <f>IFERROR(__xludf.DUMMYFUNCTION("""COMPUTED_VALUE"""),"")</f>
        <v/>
      </c>
    </row>
    <row r="55">
      <c r="A55" s="13" t="str">
        <f>IFERROR(__xludf.DUMMYFUNCTION("""COMPUTED_VALUE"""),"Jak II")</f>
        <v>Jak II</v>
      </c>
      <c r="B55" s="15" t="str">
        <f>IFERROR(__xludf.DUMMYFUNCTION("""COMPUTED_VALUE"""),"PS4")</f>
        <v>PS4</v>
      </c>
      <c r="C55" s="16" t="str">
        <f>IFERROR(__xludf.DUMMYFUNCTION("""COMPUTED_VALUE"""),"Premium (Classics)")</f>
        <v>Premium (Classics)</v>
      </c>
      <c r="D55" s="15" t="str">
        <f>IFERROR(__xludf.DUMMYFUNCTION("""COMPUTED_VALUE"""),"Active")</f>
        <v>Active</v>
      </c>
      <c r="E55" s="17">
        <f>IFERROR(__xludf.DUMMYFUNCTION("""COMPUTED_VALUE"""),44725.0)</f>
        <v>44725</v>
      </c>
      <c r="F55" s="54"/>
      <c r="G55" s="19">
        <f>IFERROR(__xludf.DUMMYFUNCTION("""COMPUTED_VALUE"""),51.766666666666666)</f>
        <v>51.76666667</v>
      </c>
      <c r="H55" s="17">
        <f>IFERROR(__xludf.DUMMYFUNCTION("""COMPUTED_VALUE"""),37895.0)</f>
        <v>37895</v>
      </c>
      <c r="I55" s="19">
        <f>IFERROR(__xludf.DUMMYFUNCTION("""COMPUTED_VALUE"""),18.7)</f>
        <v>18.7</v>
      </c>
      <c r="J55" s="21">
        <f>IFERROR(__xludf.DUMMYFUNCTION("""COMPUTED_VALUE"""),87.0)</f>
        <v>87</v>
      </c>
      <c r="K55" s="23">
        <f>IFERROR(__xludf.DUMMYFUNCTION("""COMPUTED_VALUE"""),8.3)</f>
        <v>8.3</v>
      </c>
      <c r="L55" s="24">
        <f>IFERROR(__xludf.DUMMYFUNCTION("""COMPUTED_VALUE"""),18.0)</f>
        <v>18</v>
      </c>
      <c r="M55" s="25" t="str">
        <f>IFERROR(__xludf.DUMMYFUNCTION("""COMPUTED_VALUE"""),"Platformer")</f>
        <v>Platformer</v>
      </c>
      <c r="N55" s="25" t="str">
        <f>IFERROR(__xludf.DUMMYFUNCTION("""COMPUTED_VALUE"""),"PS2")</f>
        <v>PS2</v>
      </c>
      <c r="O55" s="26" t="str">
        <f>IFERROR(__xludf.DUMMYFUNCTION("""COMPUTED_VALUE"""),"No")</f>
        <v>No</v>
      </c>
      <c r="P55" s="26" t="str">
        <f>IFERROR(__xludf.DUMMYFUNCTION("""COMPUTED_VALUE"""),"")</f>
        <v/>
      </c>
    </row>
    <row r="56">
      <c r="A56" s="13" t="str">
        <f>IFERROR(__xludf.DUMMYFUNCTION("""COMPUTED_VALUE"""),"Fallout 4")</f>
        <v>Fallout 4</v>
      </c>
      <c r="B56" s="15" t="str">
        <f>IFERROR(__xludf.DUMMYFUNCTION("""COMPUTED_VALUE"""),"PS4")</f>
        <v>PS4</v>
      </c>
      <c r="C56" s="16" t="str">
        <f>IFERROR(__xludf.DUMMYFUNCTION("""COMPUTED_VALUE"""),"Extra")</f>
        <v>Extra</v>
      </c>
      <c r="D56" s="15" t="str">
        <f>IFERROR(__xludf.DUMMYFUNCTION("""COMPUTED_VALUE"""),"Active")</f>
        <v>Active</v>
      </c>
      <c r="E56" s="17">
        <f>IFERROR(__xludf.DUMMYFUNCTION("""COMPUTED_VALUE"""),44147.0)</f>
        <v>44147</v>
      </c>
      <c r="F56" s="54"/>
      <c r="G56" s="19">
        <f>IFERROR(__xludf.DUMMYFUNCTION("""COMPUTED_VALUE"""),70.80000000000001)</f>
        <v>70.8</v>
      </c>
      <c r="H56" s="17">
        <f>IFERROR(__xludf.DUMMYFUNCTION("""COMPUTED_VALUE"""),42318.0)</f>
        <v>42318</v>
      </c>
      <c r="I56" s="19">
        <f>IFERROR(__xludf.DUMMYFUNCTION("""COMPUTED_VALUE"""),5.0055555555555555)</f>
        <v>5.005555556</v>
      </c>
      <c r="J56" s="21">
        <f>IFERROR(__xludf.DUMMYFUNCTION("""COMPUTED_VALUE"""),87.0)</f>
        <v>87</v>
      </c>
      <c r="K56" s="23">
        <f>IFERROR(__xludf.DUMMYFUNCTION("""COMPUTED_VALUE"""),6.5)</f>
        <v>6.5</v>
      </c>
      <c r="L56" s="24">
        <f>IFERROR(__xludf.DUMMYFUNCTION("""COMPUTED_VALUE"""),27.0)</f>
        <v>27</v>
      </c>
      <c r="M56" s="25" t="str">
        <f>IFERROR(__xludf.DUMMYFUNCTION("""COMPUTED_VALUE"""),"RPG")</f>
        <v>RPG</v>
      </c>
      <c r="N56" s="25"/>
      <c r="O56" s="26" t="str">
        <f>IFERROR(__xludf.DUMMYFUNCTION("""COMPUTED_VALUE"""),"Yes")</f>
        <v>Yes</v>
      </c>
      <c r="P56" s="26"/>
    </row>
    <row r="57">
      <c r="A57" s="13" t="str">
        <f>IFERROR(__xludf.DUMMYFUNCTION("""COMPUTED_VALUE"""),"Hotline Miami")</f>
        <v>Hotline Miami</v>
      </c>
      <c r="B57" s="15" t="str">
        <f>IFERROR(__xludf.DUMMYFUNCTION("""COMPUTED_VALUE"""),"PS5/PS4")</f>
        <v>PS5/PS4</v>
      </c>
      <c r="C57" s="16" t="str">
        <f>IFERROR(__xludf.DUMMYFUNCTION("""COMPUTED_VALUE"""),"Extra")</f>
        <v>Extra</v>
      </c>
      <c r="D57" s="15" t="str">
        <f>IFERROR(__xludf.DUMMYFUNCTION("""COMPUTED_VALUE"""),"Active")</f>
        <v>Active</v>
      </c>
      <c r="E57" s="17">
        <f>IFERROR(__xludf.DUMMYFUNCTION("""COMPUTED_VALUE"""),42017.0)</f>
        <v>42017</v>
      </c>
      <c r="F57" s="54"/>
      <c r="G57" s="19">
        <f>IFERROR(__xludf.DUMMYFUNCTION("""COMPUTED_VALUE"""),140.76666666666668)</f>
        <v>140.7666667</v>
      </c>
      <c r="H57" s="17">
        <f>IFERROR(__xludf.DUMMYFUNCTION("""COMPUTED_VALUE"""),41205.0)</f>
        <v>41205</v>
      </c>
      <c r="I57" s="19">
        <f>IFERROR(__xludf.DUMMYFUNCTION("""COMPUTED_VALUE"""),2.2222222222222223)</f>
        <v>2.222222222</v>
      </c>
      <c r="J57" s="21">
        <f>IFERROR(__xludf.DUMMYFUNCTION("""COMPUTED_VALUE"""),87.0)</f>
        <v>87</v>
      </c>
      <c r="K57" s="23">
        <f>IFERROR(__xludf.DUMMYFUNCTION("""COMPUTED_VALUE"""),8.4)</f>
        <v>8.4</v>
      </c>
      <c r="L57" s="24">
        <f>IFERROR(__xludf.DUMMYFUNCTION("""COMPUTED_VALUE"""),5.0)</f>
        <v>5</v>
      </c>
      <c r="M57" s="25" t="str">
        <f>IFERROR(__xludf.DUMMYFUNCTION("""COMPUTED_VALUE"""),"Action-Adventure")</f>
        <v>Action-Adventure</v>
      </c>
      <c r="N57" s="25"/>
      <c r="O57" s="26" t="str">
        <f>IFERROR(__xludf.DUMMYFUNCTION("""COMPUTED_VALUE"""),"No")</f>
        <v>No</v>
      </c>
      <c r="P57" s="26"/>
    </row>
    <row r="58">
      <c r="A58" s="13" t="str">
        <f>IFERROR(__xludf.DUMMYFUNCTION("""COMPUTED_VALUE"""),"Vampire Survivors")</f>
        <v>Vampire Survivors</v>
      </c>
      <c r="B58" s="15" t="str">
        <f>IFERROR(__xludf.DUMMYFUNCTION("""COMPUTED_VALUE"""),"PS5/PS4")</f>
        <v>PS5/PS4</v>
      </c>
      <c r="C58" s="16" t="str">
        <f>IFERROR(__xludf.DUMMYFUNCTION("""COMPUTED_VALUE"""),"Extra")</f>
        <v>Extra</v>
      </c>
      <c r="D58" s="15" t="str">
        <f>IFERROR(__xludf.DUMMYFUNCTION("""COMPUTED_VALUE"""),"Active")</f>
        <v>Active</v>
      </c>
      <c r="E58" s="17">
        <f>IFERROR(__xludf.DUMMYFUNCTION("""COMPUTED_VALUE"""),46252.0)</f>
        <v>46252</v>
      </c>
      <c r="F58" s="54"/>
      <c r="G58" s="19">
        <f>IFERROR(__xludf.DUMMYFUNCTION("""COMPUTED_VALUE"""),1.6)</f>
        <v>1.6</v>
      </c>
      <c r="H58" s="17">
        <f>IFERROR(__xludf.DUMMYFUNCTION("""COMPUTED_VALUE"""),44854.0)</f>
        <v>44854</v>
      </c>
      <c r="I58" s="19">
        <f>IFERROR(__xludf.DUMMYFUNCTION("""COMPUTED_VALUE"""),3.827777777777778)</f>
        <v>3.827777778</v>
      </c>
      <c r="J58" s="21">
        <f>IFERROR(__xludf.DUMMYFUNCTION("""COMPUTED_VALUE"""),86.0)</f>
        <v>86</v>
      </c>
      <c r="K58" s="23">
        <f>IFERROR(__xludf.DUMMYFUNCTION("""COMPUTED_VALUE"""),8.1)</f>
        <v>8.1</v>
      </c>
      <c r="L58" s="24">
        <f>IFERROR(__xludf.DUMMYFUNCTION("""COMPUTED_VALUE"""),15.0)</f>
        <v>15</v>
      </c>
      <c r="M58" s="25" t="str">
        <f>IFERROR(__xludf.DUMMYFUNCTION("""COMPUTED_VALUE"""),"Shoot-'Em-Up")</f>
        <v>Shoot-'Em-Up</v>
      </c>
      <c r="N58" s="25"/>
      <c r="O58" s="26"/>
      <c r="P58" s="26"/>
    </row>
    <row r="59">
      <c r="A59" s="13" t="str">
        <f>IFERROR(__xludf.DUMMYFUNCTION("""COMPUTED_VALUE"""),"Soulcalibur III")</f>
        <v>Soulcalibur III</v>
      </c>
      <c r="B59" s="15" t="str">
        <f>IFERROR(__xludf.DUMMYFUNCTION("""COMPUTED_VALUE"""),"PS5/PS4")</f>
        <v>PS5/PS4</v>
      </c>
      <c r="C59" s="16" t="str">
        <f>IFERROR(__xludf.DUMMYFUNCTION("""COMPUTED_VALUE"""),"Premium (Classics)")</f>
        <v>Premium (Classics)</v>
      </c>
      <c r="D59" s="15" t="str">
        <f>IFERROR(__xludf.DUMMYFUNCTION("""COMPUTED_VALUE"""),"Active")</f>
        <v>Active</v>
      </c>
      <c r="E59" s="17">
        <f>IFERROR(__xludf.DUMMYFUNCTION("""COMPUTED_VALUE"""),46007.0)</f>
        <v>46007</v>
      </c>
      <c r="F59" s="54"/>
      <c r="G59" s="19">
        <f>IFERROR(__xludf.DUMMYFUNCTION("""COMPUTED_VALUE"""),9.666666666666668)</f>
        <v>9.666666667</v>
      </c>
      <c r="H59" s="17">
        <f>IFERROR(__xludf.DUMMYFUNCTION("""COMPUTED_VALUE"""),38650.0)</f>
        <v>38650</v>
      </c>
      <c r="I59" s="19">
        <f>IFERROR(__xludf.DUMMYFUNCTION("""COMPUTED_VALUE"""),20.141666666666666)</f>
        <v>20.14166667</v>
      </c>
      <c r="J59" s="21">
        <f>IFERROR(__xludf.DUMMYFUNCTION("""COMPUTED_VALUE"""),86.0)</f>
        <v>86</v>
      </c>
      <c r="K59" s="23">
        <f>IFERROR(__xludf.DUMMYFUNCTION("""COMPUTED_VALUE"""),8.5)</f>
        <v>8.5</v>
      </c>
      <c r="L59" s="24">
        <f>IFERROR(__xludf.DUMMYFUNCTION("""COMPUTED_VALUE"""),3.0)</f>
        <v>3</v>
      </c>
      <c r="M59" s="25" t="str">
        <f>IFERROR(__xludf.DUMMYFUNCTION("""COMPUTED_VALUE"""),"Fighting")</f>
        <v>Fighting</v>
      </c>
      <c r="N59" s="25" t="str">
        <f>IFERROR(__xludf.DUMMYFUNCTION("""COMPUTED_VALUE"""),"PS2")</f>
        <v>PS2</v>
      </c>
      <c r="O59" s="26"/>
      <c r="P59" s="26"/>
    </row>
    <row r="60">
      <c r="A60" s="13" t="str">
        <f>IFERROR(__xludf.DUMMYFUNCTION("""COMPUTED_VALUE"""),"Cyberpunk 2077")</f>
        <v>Cyberpunk 2077</v>
      </c>
      <c r="B60" s="15" t="str">
        <f>IFERROR(__xludf.DUMMYFUNCTION("""COMPUTED_VALUE"""),"PS5/PS4")</f>
        <v>PS5/PS4</v>
      </c>
      <c r="C60" s="16" t="str">
        <f>IFERROR(__xludf.DUMMYFUNCTION("""COMPUTED_VALUE"""),"Extra")</f>
        <v>Extra</v>
      </c>
      <c r="D60" s="15" t="str">
        <f>IFERROR(__xludf.DUMMYFUNCTION("""COMPUTED_VALUE"""),"Active")</f>
        <v>Active</v>
      </c>
      <c r="E60" s="17">
        <f>IFERROR(__xludf.DUMMYFUNCTION("""COMPUTED_VALUE"""),45847.0)</f>
        <v>45847</v>
      </c>
      <c r="F60" s="54"/>
      <c r="G60" s="19">
        <f>IFERROR(__xludf.DUMMYFUNCTION("""COMPUTED_VALUE"""),14.9)</f>
        <v>14.9</v>
      </c>
      <c r="H60" s="17">
        <f>IFERROR(__xludf.DUMMYFUNCTION("""COMPUTED_VALUE"""),44175.0)</f>
        <v>44175</v>
      </c>
      <c r="I60" s="19">
        <f>IFERROR(__xludf.DUMMYFUNCTION("""COMPUTED_VALUE"""),4.580555555555556)</f>
        <v>4.580555556</v>
      </c>
      <c r="J60" s="21">
        <f>IFERROR(__xludf.DUMMYFUNCTION("""COMPUTED_VALUE"""),86.0)</f>
        <v>86</v>
      </c>
      <c r="K60" s="23">
        <f>IFERROR(__xludf.DUMMYFUNCTION("""COMPUTED_VALUE"""),7.3)</f>
        <v>7.3</v>
      </c>
      <c r="L60" s="24">
        <f>IFERROR(__xludf.DUMMYFUNCTION("""COMPUTED_VALUE"""),26.0)</f>
        <v>26</v>
      </c>
      <c r="M60" s="25" t="str">
        <f>IFERROR(__xludf.DUMMYFUNCTION("""COMPUTED_VALUE"""),"RPG")</f>
        <v>RPG</v>
      </c>
      <c r="N60" s="25"/>
      <c r="O60" s="26"/>
      <c r="P60" s="26"/>
    </row>
    <row r="61">
      <c r="A61" s="13" t="str">
        <f>IFERROR(__xludf.DUMMYFUNCTION("""COMPUTED_VALUE"""),"Prince of Persia: The Lost Crown")</f>
        <v>Prince of Persia: The Lost Crown</v>
      </c>
      <c r="B61" s="15" t="str">
        <f>IFERROR(__xludf.DUMMYFUNCTION("""COMPUTED_VALUE"""),"PS5/PS4")</f>
        <v>PS5/PS4</v>
      </c>
      <c r="C61" s="16" t="str">
        <f>IFERROR(__xludf.DUMMYFUNCTION("""COMPUTED_VALUE"""),"Extra")</f>
        <v>Extra</v>
      </c>
      <c r="D61" s="15" t="str">
        <f>IFERROR(__xludf.DUMMYFUNCTION("""COMPUTED_VALUE"""),"Active")</f>
        <v>Active</v>
      </c>
      <c r="E61" s="17">
        <f>IFERROR(__xludf.DUMMYFUNCTION("""COMPUTED_VALUE"""),45734.0)</f>
        <v>45734</v>
      </c>
      <c r="F61" s="54"/>
      <c r="G61" s="19">
        <f>IFERROR(__xludf.DUMMYFUNCTION("""COMPUTED_VALUE"""),18.6)</f>
        <v>18.6</v>
      </c>
      <c r="H61" s="17">
        <f>IFERROR(__xludf.DUMMYFUNCTION("""COMPUTED_VALUE"""),45309.0)</f>
        <v>45309</v>
      </c>
      <c r="I61" s="19">
        <f>IFERROR(__xludf.DUMMYFUNCTION("""COMPUTED_VALUE"""),1.1666666666666667)</f>
        <v>1.166666667</v>
      </c>
      <c r="J61" s="21">
        <f>IFERROR(__xludf.DUMMYFUNCTION("""COMPUTED_VALUE"""),86.0)</f>
        <v>86</v>
      </c>
      <c r="K61" s="23">
        <f>IFERROR(__xludf.DUMMYFUNCTION("""COMPUTED_VALUE"""),8.5)</f>
        <v>8.5</v>
      </c>
      <c r="L61" s="24">
        <f>IFERROR(__xludf.DUMMYFUNCTION("""COMPUTED_VALUE"""),17.0)</f>
        <v>17</v>
      </c>
      <c r="M61" s="25" t="str">
        <f>IFERROR(__xludf.DUMMYFUNCTION("""COMPUTED_VALUE"""),"Metroidvania")</f>
        <v>Metroidvania</v>
      </c>
      <c r="N61" s="25"/>
      <c r="O61" s="26" t="str">
        <f>IFERROR(__xludf.DUMMYFUNCTION("""COMPUTED_VALUE"""),"No")</f>
        <v>No</v>
      </c>
      <c r="P61" s="26"/>
    </row>
    <row r="62">
      <c r="A62" s="13" t="str">
        <f>IFERROR(__xludf.DUMMYFUNCTION("""COMPUTED_VALUE"""),"Bang-On Balls: Chronicles")</f>
        <v>Bang-On Balls: Chronicles</v>
      </c>
      <c r="B62" s="15" t="str">
        <f>IFERROR(__xludf.DUMMYFUNCTION("""COMPUTED_VALUE"""),"PS5/PS4")</f>
        <v>PS5/PS4</v>
      </c>
      <c r="C62" s="16" t="str">
        <f>IFERROR(__xludf.DUMMYFUNCTION("""COMPUTED_VALUE"""),"Extra")</f>
        <v>Extra</v>
      </c>
      <c r="D62" s="15" t="str">
        <f>IFERROR(__xludf.DUMMYFUNCTION("""COMPUTED_VALUE"""),"Active")</f>
        <v>Active</v>
      </c>
      <c r="E62" s="17">
        <f>IFERROR(__xludf.DUMMYFUNCTION("""COMPUTED_VALUE"""),45734.0)</f>
        <v>45734</v>
      </c>
      <c r="F62" s="54"/>
      <c r="G62" s="19">
        <f>IFERROR(__xludf.DUMMYFUNCTION("""COMPUTED_VALUE"""),18.6)</f>
        <v>18.6</v>
      </c>
      <c r="H62" s="17">
        <f>IFERROR(__xludf.DUMMYFUNCTION("""COMPUTED_VALUE"""),45204.0)</f>
        <v>45204</v>
      </c>
      <c r="I62" s="19">
        <f>IFERROR(__xludf.DUMMYFUNCTION("""COMPUTED_VALUE"""),1.4527777777777777)</f>
        <v>1.452777778</v>
      </c>
      <c r="J62" s="21">
        <f>IFERROR(__xludf.DUMMYFUNCTION("""COMPUTED_VALUE"""),86.0)</f>
        <v>86</v>
      </c>
      <c r="K62" s="23">
        <f>IFERROR(__xludf.DUMMYFUNCTION("""COMPUTED_VALUE"""),7.8)</f>
        <v>7.8</v>
      </c>
      <c r="L62" s="24">
        <f>IFERROR(__xludf.DUMMYFUNCTION("""COMPUTED_VALUE"""),3.0)</f>
        <v>3</v>
      </c>
      <c r="M62" s="25" t="str">
        <f>IFERROR(__xludf.DUMMYFUNCTION("""COMPUTED_VALUE"""),"Platformer")</f>
        <v>Platformer</v>
      </c>
      <c r="N62" s="25"/>
      <c r="O62" s="26" t="str">
        <f>IFERROR(__xludf.DUMMYFUNCTION("""COMPUTED_VALUE"""),"Yes")</f>
        <v>Yes</v>
      </c>
      <c r="P62" s="26"/>
    </row>
    <row r="63">
      <c r="A63" s="13" t="str">
        <f>IFERROR(__xludf.DUMMYFUNCTION("""COMPUTED_VALUE"""),"Sly Cooper and the Thievius Raccoonus")</f>
        <v>Sly Cooper and the Thievius Raccoonus</v>
      </c>
      <c r="B63" s="15" t="str">
        <f>IFERROR(__xludf.DUMMYFUNCTION("""COMPUTED_VALUE"""),"PS5/PS4")</f>
        <v>PS5/PS4</v>
      </c>
      <c r="C63" s="16" t="str">
        <f>IFERROR(__xludf.DUMMYFUNCTION("""COMPUTED_VALUE"""),"Premium (Classics)")</f>
        <v>Premium (Classics)</v>
      </c>
      <c r="D63" s="15" t="str">
        <f>IFERROR(__xludf.DUMMYFUNCTION("""COMPUTED_VALUE"""),"Active")</f>
        <v>Active</v>
      </c>
      <c r="E63" s="17">
        <f>IFERROR(__xludf.DUMMYFUNCTION("""COMPUTED_VALUE"""),45454.0)</f>
        <v>45454</v>
      </c>
      <c r="F63" s="54"/>
      <c r="G63" s="19">
        <f>IFERROR(__xludf.DUMMYFUNCTION("""COMPUTED_VALUE"""),27.833333333333336)</f>
        <v>27.83333333</v>
      </c>
      <c r="H63" s="17">
        <f>IFERROR(__xludf.DUMMYFUNCTION("""COMPUTED_VALUE"""),37522.0)</f>
        <v>37522</v>
      </c>
      <c r="I63" s="19">
        <f>IFERROR(__xludf.DUMMYFUNCTION("""COMPUTED_VALUE"""),21.716666666666665)</f>
        <v>21.71666667</v>
      </c>
      <c r="J63" s="21">
        <f>IFERROR(__xludf.DUMMYFUNCTION("""COMPUTED_VALUE"""),86.0)</f>
        <v>86</v>
      </c>
      <c r="K63" s="23">
        <f>IFERROR(__xludf.DUMMYFUNCTION("""COMPUTED_VALUE"""),8.7)</f>
        <v>8.7</v>
      </c>
      <c r="L63" s="24">
        <f>IFERROR(__xludf.DUMMYFUNCTION("""COMPUTED_VALUE"""),7.0)</f>
        <v>7</v>
      </c>
      <c r="M63" s="25" t="str">
        <f>IFERROR(__xludf.DUMMYFUNCTION("""COMPUTED_VALUE"""),"Platformer")</f>
        <v>Platformer</v>
      </c>
      <c r="N63" s="25" t="str">
        <f>IFERROR(__xludf.DUMMYFUNCTION("""COMPUTED_VALUE"""),"PS2")</f>
        <v>PS2</v>
      </c>
      <c r="O63" s="26" t="str">
        <f>IFERROR(__xludf.DUMMYFUNCTION("""COMPUTED_VALUE"""),"Yes")</f>
        <v>Yes</v>
      </c>
      <c r="P63" s="26"/>
    </row>
    <row r="64">
      <c r="A64" s="13" t="str">
        <f>IFERROR(__xludf.DUMMYFUNCTION("""COMPUTED_VALUE"""),"Humanity")</f>
        <v>Humanity</v>
      </c>
      <c r="B64" s="15" t="str">
        <f>IFERROR(__xludf.DUMMYFUNCTION("""COMPUTED_VALUE"""),"PS5/PS4")</f>
        <v>PS5/PS4</v>
      </c>
      <c r="C64" s="16" t="str">
        <f>IFERROR(__xludf.DUMMYFUNCTION("""COMPUTED_VALUE"""),"Extra")</f>
        <v>Extra</v>
      </c>
      <c r="D64" s="15" t="str">
        <f>IFERROR(__xludf.DUMMYFUNCTION("""COMPUTED_VALUE"""),"Active")</f>
        <v>Active</v>
      </c>
      <c r="E64" s="17">
        <f>IFERROR(__xludf.DUMMYFUNCTION("""COMPUTED_VALUE"""),45062.0)</f>
        <v>45062</v>
      </c>
      <c r="F64" s="54"/>
      <c r="G64" s="19">
        <f>IFERROR(__xludf.DUMMYFUNCTION("""COMPUTED_VALUE"""),40.666666666666664)</f>
        <v>40.66666667</v>
      </c>
      <c r="H64" s="17">
        <f>IFERROR(__xludf.DUMMYFUNCTION("""COMPUTED_VALUE"""),45062.0)</f>
        <v>45062</v>
      </c>
      <c r="I64" s="19">
        <f>IFERROR(__xludf.DUMMYFUNCTION("""COMPUTED_VALUE"""),0.0)</f>
        <v>0</v>
      </c>
      <c r="J64" s="21">
        <f>IFERROR(__xludf.DUMMYFUNCTION("""COMPUTED_VALUE"""),86.0)</f>
        <v>86</v>
      </c>
      <c r="K64" s="23">
        <f>IFERROR(__xludf.DUMMYFUNCTION("""COMPUTED_VALUE"""),8.9)</f>
        <v>8.9</v>
      </c>
      <c r="L64" s="24">
        <f>IFERROR(__xludf.DUMMYFUNCTION("""COMPUTED_VALUE"""),12.0)</f>
        <v>12</v>
      </c>
      <c r="M64" s="25" t="str">
        <f>IFERROR(__xludf.DUMMYFUNCTION("""COMPUTED_VALUE"""),"Action-Adventure")</f>
        <v>Action-Adventure</v>
      </c>
      <c r="N64" s="25"/>
      <c r="O64" s="26" t="str">
        <f>IFERROR(__xludf.DUMMYFUNCTION("""COMPUTED_VALUE"""),"Yes")</f>
        <v>Yes</v>
      </c>
      <c r="P64" s="26"/>
    </row>
    <row r="65">
      <c r="A65" s="13" t="str">
        <f>IFERROR(__xludf.DUMMYFUNCTION("""COMPUTED_VALUE"""),"Marvel's Spider-Man: Miles Morales")</f>
        <v>Marvel's Spider-Man: Miles Morales</v>
      </c>
      <c r="B65" s="15" t="str">
        <f>IFERROR(__xludf.DUMMYFUNCTION("""COMPUTED_VALUE"""),"PS5/PS4")</f>
        <v>PS5/PS4</v>
      </c>
      <c r="C65" s="16" t="str">
        <f>IFERROR(__xludf.DUMMYFUNCTION("""COMPUTED_VALUE"""),"Extra")</f>
        <v>Extra</v>
      </c>
      <c r="D65" s="15" t="str">
        <f>IFERROR(__xludf.DUMMYFUNCTION("""COMPUTED_VALUE"""),"Active")</f>
        <v>Active</v>
      </c>
      <c r="E65" s="17">
        <f>IFERROR(__xludf.DUMMYFUNCTION("""COMPUTED_VALUE"""),44725.0)</f>
        <v>44725</v>
      </c>
      <c r="F65" s="54"/>
      <c r="G65" s="19">
        <f>IFERROR(__xludf.DUMMYFUNCTION("""COMPUTED_VALUE"""),51.766666666666666)</f>
        <v>51.76666667</v>
      </c>
      <c r="H65" s="17">
        <f>IFERROR(__xludf.DUMMYFUNCTION("""COMPUTED_VALUE"""),44147.0)</f>
        <v>44147</v>
      </c>
      <c r="I65" s="19">
        <f>IFERROR(__xludf.DUMMYFUNCTION("""COMPUTED_VALUE"""),1.586111111111111)</f>
        <v>1.586111111</v>
      </c>
      <c r="J65" s="21">
        <f>IFERROR(__xludf.DUMMYFUNCTION("""COMPUTED_VALUE"""),86.0)</f>
        <v>86</v>
      </c>
      <c r="K65" s="23">
        <f>IFERROR(__xludf.DUMMYFUNCTION("""COMPUTED_VALUE"""),7.6)</f>
        <v>7.6</v>
      </c>
      <c r="L65" s="24">
        <f>IFERROR(__xludf.DUMMYFUNCTION("""COMPUTED_VALUE"""),7.5)</f>
        <v>7.5</v>
      </c>
      <c r="M65" s="25" t="str">
        <f>IFERROR(__xludf.DUMMYFUNCTION("""COMPUTED_VALUE"""),"Action-Adventure")</f>
        <v>Action-Adventure</v>
      </c>
      <c r="N65" s="25"/>
      <c r="O65" s="26" t="str">
        <f>IFERROR(__xludf.DUMMYFUNCTION("""COMPUTED_VALUE"""),"Yes")</f>
        <v>Yes</v>
      </c>
      <c r="P65" s="26"/>
    </row>
    <row r="66">
      <c r="A66" s="13" t="str">
        <f>IFERROR(__xludf.DUMMYFUNCTION("""COMPUTED_VALUE"""),"Desperados III")</f>
        <v>Desperados III</v>
      </c>
      <c r="B66" s="15" t="str">
        <f>IFERROR(__xludf.DUMMYFUNCTION("""COMPUTED_VALUE"""),"PS4")</f>
        <v>PS4</v>
      </c>
      <c r="C66" s="16" t="str">
        <f>IFERROR(__xludf.DUMMYFUNCTION("""COMPUTED_VALUE"""),"Extra")</f>
        <v>Extra</v>
      </c>
      <c r="D66" s="15" t="str">
        <f>IFERROR(__xludf.DUMMYFUNCTION("""COMPUTED_VALUE"""),"Active")</f>
        <v>Active</v>
      </c>
      <c r="E66" s="17">
        <f>IFERROR(__xludf.DUMMYFUNCTION("""COMPUTED_VALUE"""),44725.0)</f>
        <v>44725</v>
      </c>
      <c r="F66" s="54"/>
      <c r="G66" s="19">
        <f>IFERROR(__xludf.DUMMYFUNCTION("""COMPUTED_VALUE"""),51.766666666666666)</f>
        <v>51.76666667</v>
      </c>
      <c r="H66" s="17">
        <f>IFERROR(__xludf.DUMMYFUNCTION("""COMPUTED_VALUE"""),43998.0)</f>
        <v>43998</v>
      </c>
      <c r="I66" s="19">
        <f>IFERROR(__xludf.DUMMYFUNCTION("""COMPUTED_VALUE"""),1.9916666666666667)</f>
        <v>1.991666667</v>
      </c>
      <c r="J66" s="21">
        <f>IFERROR(__xludf.DUMMYFUNCTION("""COMPUTED_VALUE"""),86.0)</f>
        <v>86</v>
      </c>
      <c r="K66" s="23">
        <f>IFERROR(__xludf.DUMMYFUNCTION("""COMPUTED_VALUE"""),7.9)</f>
        <v>7.9</v>
      </c>
      <c r="L66" s="24">
        <f>IFERROR(__xludf.DUMMYFUNCTION("""COMPUTED_VALUE"""),26.5)</f>
        <v>26.5</v>
      </c>
      <c r="M66" s="25" t="str">
        <f>IFERROR(__xludf.DUMMYFUNCTION("""COMPUTED_VALUE"""),"Strategy")</f>
        <v>Strategy</v>
      </c>
      <c r="N66" s="25"/>
      <c r="O66" s="26" t="str">
        <f>IFERROR(__xludf.DUMMYFUNCTION("""COMPUTED_VALUE"""),"Yes")</f>
        <v>Yes</v>
      </c>
      <c r="P66" s="26"/>
    </row>
    <row r="67">
      <c r="A67" s="13" t="str">
        <f>IFERROR(__xludf.DUMMYFUNCTION("""COMPUTED_VALUE"""),"DOOM (2016)")</f>
        <v>DOOM (2016)</v>
      </c>
      <c r="B67" s="15" t="str">
        <f>IFERROR(__xludf.DUMMYFUNCTION("""COMPUTED_VALUE"""),"PS4")</f>
        <v>PS4</v>
      </c>
      <c r="C67" s="16" t="str">
        <f>IFERROR(__xludf.DUMMYFUNCTION("""COMPUTED_VALUE"""),"Extra")</f>
        <v>Extra</v>
      </c>
      <c r="D67" s="15" t="str">
        <f>IFERROR(__xludf.DUMMYFUNCTION("""COMPUTED_VALUE"""),"Active")</f>
        <v>Active</v>
      </c>
      <c r="E67" s="17">
        <f>IFERROR(__xludf.DUMMYFUNCTION("""COMPUTED_VALUE"""),44725.0)</f>
        <v>44725</v>
      </c>
      <c r="F67" s="54"/>
      <c r="G67" s="19">
        <f>IFERROR(__xludf.DUMMYFUNCTION("""COMPUTED_VALUE"""),51.766666666666666)</f>
        <v>51.76666667</v>
      </c>
      <c r="H67" s="17">
        <f>IFERROR(__xludf.DUMMYFUNCTION("""COMPUTED_VALUE"""),42491.0)</f>
        <v>42491</v>
      </c>
      <c r="I67" s="19">
        <f>IFERROR(__xludf.DUMMYFUNCTION("""COMPUTED_VALUE"""),6.116666666666666)</f>
        <v>6.116666667</v>
      </c>
      <c r="J67" s="21">
        <f>IFERROR(__xludf.DUMMYFUNCTION("""COMPUTED_VALUE"""),86.0)</f>
        <v>86</v>
      </c>
      <c r="K67" s="23">
        <f>IFERROR(__xludf.DUMMYFUNCTION("""COMPUTED_VALUE"""),8.5)</f>
        <v>8.5</v>
      </c>
      <c r="L67" s="24">
        <f>IFERROR(__xludf.DUMMYFUNCTION("""COMPUTED_VALUE"""),11.5)</f>
        <v>11.5</v>
      </c>
      <c r="M67" s="25" t="str">
        <f>IFERROR(__xludf.DUMMYFUNCTION("""COMPUTED_VALUE"""),"Shooter")</f>
        <v>Shooter</v>
      </c>
      <c r="N67" s="25"/>
      <c r="O67" s="26" t="str">
        <f>IFERROR(__xludf.DUMMYFUNCTION("""COMPUTED_VALUE"""),"Yes")</f>
        <v>Yes</v>
      </c>
      <c r="P67" s="26"/>
    </row>
    <row r="68">
      <c r="A68" s="13" t="str">
        <f>IFERROR(__xludf.DUMMYFUNCTION("""COMPUTED_VALUE"""),"Worms Armageddon")</f>
        <v>Worms Armageddon</v>
      </c>
      <c r="B68" s="15" t="str">
        <f>IFERROR(__xludf.DUMMYFUNCTION("""COMPUTED_VALUE"""),"PS5/PS4")</f>
        <v>PS5/PS4</v>
      </c>
      <c r="C68" s="16" t="str">
        <f>IFERROR(__xludf.DUMMYFUNCTION("""COMPUTED_VALUE"""),"Premium (Classics)")</f>
        <v>Premium (Classics)</v>
      </c>
      <c r="D68" s="15" t="str">
        <f>IFERROR(__xludf.DUMMYFUNCTION("""COMPUTED_VALUE"""),"Active")</f>
        <v>Active</v>
      </c>
      <c r="E68" s="17">
        <f>IFERROR(__xludf.DUMMYFUNCTION("""COMPUTED_VALUE"""),44725.0)</f>
        <v>44725</v>
      </c>
      <c r="F68" s="54"/>
      <c r="G68" s="19">
        <f>IFERROR(__xludf.DUMMYFUNCTION("""COMPUTED_VALUE"""),51.766666666666666)</f>
        <v>51.76666667</v>
      </c>
      <c r="H68" s="17">
        <f>IFERROR(__xludf.DUMMYFUNCTION("""COMPUTED_VALUE"""),36311.0)</f>
        <v>36311</v>
      </c>
      <c r="I68" s="19">
        <f>IFERROR(__xludf.DUMMYFUNCTION("""COMPUTED_VALUE"""),23.03611111111111)</f>
        <v>23.03611111</v>
      </c>
      <c r="J68" s="21">
        <f>IFERROR(__xludf.DUMMYFUNCTION("""COMPUTED_VALUE"""),86.0)</f>
        <v>86</v>
      </c>
      <c r="K68" s="23">
        <f>IFERROR(__xludf.DUMMYFUNCTION("""COMPUTED_VALUE"""),8.8)</f>
        <v>8.8</v>
      </c>
      <c r="L68" s="24"/>
      <c r="M68" s="25" t="str">
        <f>IFERROR(__xludf.DUMMYFUNCTION("""COMPUTED_VALUE"""),"Strategy")</f>
        <v>Strategy</v>
      </c>
      <c r="N68" s="25" t="str">
        <f>IFERROR(__xludf.DUMMYFUNCTION("""COMPUTED_VALUE"""),"PS1")</f>
        <v>PS1</v>
      </c>
      <c r="O68" s="26" t="str">
        <f>IFERROR(__xludf.DUMMYFUNCTION("""COMPUTED_VALUE"""),"No")</f>
        <v>No</v>
      </c>
      <c r="P68" s="26" t="str">
        <f>IFERROR(__xludf.DUMMYFUNCTION("""COMPUTED_VALUE"""),"")</f>
        <v/>
      </c>
    </row>
    <row r="69">
      <c r="A69" s="13" t="str">
        <f>IFERROR(__xludf.DUMMYFUNCTION("""COMPUTED_VALUE"""),"UNCHARTED: The Nathan Drake Collection")</f>
        <v>UNCHARTED: The Nathan Drake Collection</v>
      </c>
      <c r="B69" s="15" t="str">
        <f>IFERROR(__xludf.DUMMYFUNCTION("""COMPUTED_VALUE"""),"PS4")</f>
        <v>PS4</v>
      </c>
      <c r="C69" s="16" t="str">
        <f>IFERROR(__xludf.DUMMYFUNCTION("""COMPUTED_VALUE"""),"Premium (Remasters)")</f>
        <v>Premium (Remasters)</v>
      </c>
      <c r="D69" s="15" t="str">
        <f>IFERROR(__xludf.DUMMYFUNCTION("""COMPUTED_VALUE"""),"Active")</f>
        <v>Active</v>
      </c>
      <c r="E69" s="17">
        <f>IFERROR(__xludf.DUMMYFUNCTION("""COMPUTED_VALUE"""),44725.0)</f>
        <v>44725</v>
      </c>
      <c r="F69" s="54"/>
      <c r="G69" s="19">
        <f>IFERROR(__xludf.DUMMYFUNCTION("""COMPUTED_VALUE"""),51.766666666666666)</f>
        <v>51.76666667</v>
      </c>
      <c r="H69" s="17">
        <f>IFERROR(__xludf.DUMMYFUNCTION("""COMPUTED_VALUE"""),42278.0)</f>
        <v>42278</v>
      </c>
      <c r="I69" s="19">
        <f>IFERROR(__xludf.DUMMYFUNCTION("""COMPUTED_VALUE"""),6.7)</f>
        <v>6.7</v>
      </c>
      <c r="J69" s="21">
        <f>IFERROR(__xludf.DUMMYFUNCTION("""COMPUTED_VALUE"""),86.0)</f>
        <v>86</v>
      </c>
      <c r="K69" s="23">
        <f>IFERROR(__xludf.DUMMYFUNCTION("""COMPUTED_VALUE"""),8.6)</f>
        <v>8.6</v>
      </c>
      <c r="L69" s="24">
        <f>IFERROR(__xludf.DUMMYFUNCTION("""COMPUTED_VALUE"""),34.0)</f>
        <v>34</v>
      </c>
      <c r="M69" s="25" t="str">
        <f>IFERROR(__xludf.DUMMYFUNCTION("""COMPUTED_VALUE"""),"Action-Adventure")</f>
        <v>Action-Adventure</v>
      </c>
      <c r="N69" s="25" t="str">
        <f>IFERROR(__xludf.DUMMYFUNCTION("""COMPUTED_VALUE"""),"PS3")</f>
        <v>PS3</v>
      </c>
      <c r="O69" s="26" t="str">
        <f>IFERROR(__xludf.DUMMYFUNCTION("""COMPUTED_VALUE"""),"No")</f>
        <v>No</v>
      </c>
      <c r="P69" s="26"/>
    </row>
    <row r="70">
      <c r="A70" s="13" t="str">
        <f>IFERROR(__xludf.DUMMYFUNCTION("""COMPUTED_VALUE"""),"Indigo Prophecy")</f>
        <v>Indigo Prophecy</v>
      </c>
      <c r="B70" s="15" t="str">
        <f>IFERROR(__xludf.DUMMYFUNCTION("""COMPUTED_VALUE"""),"PS5/PS4")</f>
        <v>PS5/PS4</v>
      </c>
      <c r="C70" s="16" t="str">
        <f>IFERROR(__xludf.DUMMYFUNCTION("""COMPUTED_VALUE"""),"Premium (Classics)")</f>
        <v>Premium (Classics)</v>
      </c>
      <c r="D70" s="15" t="str">
        <f>IFERROR(__xludf.DUMMYFUNCTION("""COMPUTED_VALUE"""),"Active")</f>
        <v>Active</v>
      </c>
      <c r="E70" s="17">
        <f>IFERROR(__xludf.DUMMYFUNCTION("""COMPUTED_VALUE"""),46224.0)</f>
        <v>46224</v>
      </c>
      <c r="F70" s="54"/>
      <c r="G70" s="19">
        <f>IFERROR(__xludf.DUMMYFUNCTION("""COMPUTED_VALUE"""),2.5)</f>
        <v>2.5</v>
      </c>
      <c r="H70" s="17">
        <f>IFERROR(__xludf.DUMMYFUNCTION("""COMPUTED_VALUE"""),38615.0)</f>
        <v>38615</v>
      </c>
      <c r="I70" s="19">
        <f>IFERROR(__xludf.DUMMYFUNCTION("""COMPUTED_VALUE"""),20.836111111111112)</f>
        <v>20.83611111</v>
      </c>
      <c r="J70" s="21">
        <f>IFERROR(__xludf.DUMMYFUNCTION("""COMPUTED_VALUE"""),85.0)</f>
        <v>85</v>
      </c>
      <c r="K70" s="23">
        <f>IFERROR(__xludf.DUMMYFUNCTION("""COMPUTED_VALUE"""),8.5)</f>
        <v>8.5</v>
      </c>
      <c r="L70" s="24">
        <f>IFERROR(__xludf.DUMMYFUNCTION("""COMPUTED_VALUE"""),9.0)</f>
        <v>9</v>
      </c>
      <c r="M70" s="25" t="str">
        <f>IFERROR(__xludf.DUMMYFUNCTION("""COMPUTED_VALUE"""),"Action-Adventure")</f>
        <v>Action-Adventure</v>
      </c>
      <c r="N70" s="25" t="str">
        <f>IFERROR(__xludf.DUMMYFUNCTION("""COMPUTED_VALUE"""),"PS2")</f>
        <v>PS2</v>
      </c>
      <c r="O70" s="26"/>
      <c r="P70" s="26"/>
    </row>
    <row r="71">
      <c r="A71" s="13" t="str">
        <f>IFERROR(__xludf.DUMMYFUNCTION("""COMPUTED_VALUE"""),"Horizon Zero Dawn: Remastered")</f>
        <v>Horizon Zero Dawn: Remastered</v>
      </c>
      <c r="B71" s="15" t="str">
        <f>IFERROR(__xludf.DUMMYFUNCTION("""COMPUTED_VALUE"""),"PS5/PS4")</f>
        <v>PS5/PS4</v>
      </c>
      <c r="C71" s="16" t="str">
        <f>IFERROR(__xludf.DUMMYFUNCTION("""COMPUTED_VALUE"""),"Extra")</f>
        <v>Extra</v>
      </c>
      <c r="D71" s="15" t="str">
        <f>IFERROR(__xludf.DUMMYFUNCTION("""COMPUTED_VALUE"""),"Active")</f>
        <v>Active</v>
      </c>
      <c r="E71" s="17">
        <f>IFERROR(__xludf.DUMMYFUNCTION("""COMPUTED_VALUE"""),46133.0)</f>
        <v>46133</v>
      </c>
      <c r="F71" s="54"/>
      <c r="G71" s="19">
        <f>IFERROR(__xludf.DUMMYFUNCTION("""COMPUTED_VALUE"""),5.5)</f>
        <v>5.5</v>
      </c>
      <c r="H71" s="17">
        <f>IFERROR(__xludf.DUMMYFUNCTION("""COMPUTED_VALUE"""),45596.0)</f>
        <v>45596</v>
      </c>
      <c r="I71" s="19">
        <f>IFERROR(__xludf.DUMMYFUNCTION("""COMPUTED_VALUE"""),1.475)</f>
        <v>1.475</v>
      </c>
      <c r="J71" s="21">
        <f>IFERROR(__xludf.DUMMYFUNCTION("""COMPUTED_VALUE"""),85.0)</f>
        <v>85</v>
      </c>
      <c r="K71" s="23">
        <f>IFERROR(__xludf.DUMMYFUNCTION("""COMPUTED_VALUE"""),7.2)</f>
        <v>7.2</v>
      </c>
      <c r="L71" s="24">
        <f>IFERROR(__xludf.DUMMYFUNCTION("""COMPUTED_VALUE"""),23.0)</f>
        <v>23</v>
      </c>
      <c r="M71" s="26" t="str">
        <f>IFERROR(__xludf.DUMMYFUNCTION("""COMPUTED_VALUE"""),"Action-Adventure")</f>
        <v>Action-Adventure</v>
      </c>
      <c r="N71" s="25" t="str">
        <f>IFERROR(__xludf.DUMMYFUNCTION("""COMPUTED_VALUE"""),"Remastered for PS5, Complete for PS4")</f>
        <v>Remastered for PS5, Complete for PS4</v>
      </c>
      <c r="O71" s="26"/>
      <c r="P71" s="26"/>
    </row>
    <row r="72">
      <c r="A72" s="13" t="str">
        <f>IFERROR(__xludf.DUMMYFUNCTION("""COMPUTED_VALUE"""),"Skate Story")</f>
        <v>Skate Story</v>
      </c>
      <c r="B72" s="15" t="str">
        <f>IFERROR(__xludf.DUMMYFUNCTION("""COMPUTED_VALUE"""),"PS5/PS4")</f>
        <v>PS5/PS4</v>
      </c>
      <c r="C72" s="16" t="str">
        <f>IFERROR(__xludf.DUMMYFUNCTION("""COMPUTED_VALUE"""),"Extra")</f>
        <v>Extra</v>
      </c>
      <c r="D72" s="15" t="str">
        <f>IFERROR(__xludf.DUMMYFUNCTION("""COMPUTED_VALUE"""),"Active")</f>
        <v>Active</v>
      </c>
      <c r="E72" s="17">
        <f>IFERROR(__xludf.DUMMYFUNCTION("""COMPUTED_VALUE"""),45999.0)</f>
        <v>45999</v>
      </c>
      <c r="F72" s="54"/>
      <c r="G72" s="19">
        <f>IFERROR(__xludf.DUMMYFUNCTION("""COMPUTED_VALUE"""),9.933333333333334)</f>
        <v>9.933333333</v>
      </c>
      <c r="H72" s="17">
        <f>IFERROR(__xludf.DUMMYFUNCTION("""COMPUTED_VALUE"""),45999.0)</f>
        <v>45999</v>
      </c>
      <c r="I72" s="19">
        <f>IFERROR(__xludf.DUMMYFUNCTION("""COMPUTED_VALUE"""),0.0)</f>
        <v>0</v>
      </c>
      <c r="J72" s="21">
        <f>IFERROR(__xludf.DUMMYFUNCTION("""COMPUTED_VALUE"""),85.0)</f>
        <v>85</v>
      </c>
      <c r="K72" s="23">
        <f>IFERROR(__xludf.DUMMYFUNCTION("""COMPUTED_VALUE"""),7.1)</f>
        <v>7.1</v>
      </c>
      <c r="L72" s="24">
        <f>IFERROR(__xludf.DUMMYFUNCTION("""COMPUTED_VALUE"""),6.0)</f>
        <v>6</v>
      </c>
      <c r="M72" s="25" t="str">
        <f>IFERROR(__xludf.DUMMYFUNCTION("""COMPUTED_VALUE"""),"Sports")</f>
        <v>Sports</v>
      </c>
      <c r="N72" s="25"/>
      <c r="O72" s="26"/>
      <c r="P72" s="26"/>
    </row>
    <row r="73">
      <c r="A73" s="13" t="str">
        <f>IFERROR(__xludf.DUMMYFUNCTION("""COMPUTED_VALUE"""),"A Space for the Unbound")</f>
        <v>A Space for the Unbound</v>
      </c>
      <c r="B73" s="15" t="str">
        <f>IFERROR(__xludf.DUMMYFUNCTION("""COMPUTED_VALUE"""),"PS5/PS4")</f>
        <v>PS5/PS4</v>
      </c>
      <c r="C73" s="16" t="str">
        <f>IFERROR(__xludf.DUMMYFUNCTION("""COMPUTED_VALUE"""),"Extra")</f>
        <v>Extra</v>
      </c>
      <c r="D73" s="15" t="str">
        <f>IFERROR(__xludf.DUMMYFUNCTION("""COMPUTED_VALUE"""),"Active")</f>
        <v>Active</v>
      </c>
      <c r="E73" s="17">
        <f>IFERROR(__xludf.DUMMYFUNCTION("""COMPUTED_VALUE"""),45643.0)</f>
        <v>45643</v>
      </c>
      <c r="F73" s="54"/>
      <c r="G73" s="19">
        <f>IFERROR(__xludf.DUMMYFUNCTION("""COMPUTED_VALUE"""),21.633333333333333)</f>
        <v>21.63333333</v>
      </c>
      <c r="H73" s="17">
        <f>IFERROR(__xludf.DUMMYFUNCTION("""COMPUTED_VALUE"""),44945.0)</f>
        <v>44945</v>
      </c>
      <c r="I73" s="19">
        <f>IFERROR(__xludf.DUMMYFUNCTION("""COMPUTED_VALUE"""),1.9111111111111112)</f>
        <v>1.911111111</v>
      </c>
      <c r="J73" s="21">
        <f>IFERROR(__xludf.DUMMYFUNCTION("""COMPUTED_VALUE"""),85.0)</f>
        <v>85</v>
      </c>
      <c r="K73" s="23">
        <f>IFERROR(__xludf.DUMMYFUNCTION("""COMPUTED_VALUE"""),7.8)</f>
        <v>7.8</v>
      </c>
      <c r="L73" s="24">
        <f>IFERROR(__xludf.DUMMYFUNCTION("""COMPUTED_VALUE"""),10.0)</f>
        <v>10</v>
      </c>
      <c r="M73" s="25" t="str">
        <f>IFERROR(__xludf.DUMMYFUNCTION("""COMPUTED_VALUE"""),"Action-Adventure")</f>
        <v>Action-Adventure</v>
      </c>
      <c r="N73" s="25"/>
      <c r="O73" s="26" t="str">
        <f>IFERROR(__xludf.DUMMYFUNCTION("""COMPUTED_VALUE"""),"Yes")</f>
        <v>Yes</v>
      </c>
      <c r="P73" s="26"/>
    </row>
    <row r="74">
      <c r="A74" s="13" t="str">
        <f>IFERROR(__xludf.DUMMYFUNCTION("""COMPUTED_VALUE"""),"Ratchet and Clank: Size Matters")</f>
        <v>Ratchet and Clank: Size Matters</v>
      </c>
      <c r="B74" s="15" t="str">
        <f>IFERROR(__xludf.DUMMYFUNCTION("""COMPUTED_VALUE"""),"PS5/PS4")</f>
        <v>PS5/PS4</v>
      </c>
      <c r="C74" s="16" t="str">
        <f>IFERROR(__xludf.DUMMYFUNCTION("""COMPUTED_VALUE"""),"Premium (Classics)")</f>
        <v>Premium (Classics)</v>
      </c>
      <c r="D74" s="15" t="str">
        <f>IFERROR(__xludf.DUMMYFUNCTION("""COMPUTED_VALUE"""),"Active")</f>
        <v>Active</v>
      </c>
      <c r="E74" s="17">
        <f>IFERROR(__xludf.DUMMYFUNCTION("""COMPUTED_VALUE"""),45489.0)</f>
        <v>45489</v>
      </c>
      <c r="F74" s="54"/>
      <c r="G74" s="19">
        <f>IFERROR(__xludf.DUMMYFUNCTION("""COMPUTED_VALUE"""),26.666666666666668)</f>
        <v>26.66666667</v>
      </c>
      <c r="H74" s="17">
        <f>IFERROR(__xludf.DUMMYFUNCTION("""COMPUTED_VALUE"""),39126.0)</f>
        <v>39126</v>
      </c>
      <c r="I74" s="19">
        <f>IFERROR(__xludf.DUMMYFUNCTION("""COMPUTED_VALUE"""),17.425)</f>
        <v>17.425</v>
      </c>
      <c r="J74" s="21">
        <f>IFERROR(__xludf.DUMMYFUNCTION("""COMPUTED_VALUE"""),85.0)</f>
        <v>85</v>
      </c>
      <c r="K74" s="23">
        <f>IFERROR(__xludf.DUMMYFUNCTION("""COMPUTED_VALUE"""),7.9)</f>
        <v>7.9</v>
      </c>
      <c r="L74" s="24">
        <f>IFERROR(__xludf.DUMMYFUNCTION("""COMPUTED_VALUE"""),7.0)</f>
        <v>7</v>
      </c>
      <c r="M74" s="25" t="str">
        <f>IFERROR(__xludf.DUMMYFUNCTION("""COMPUTED_VALUE"""),"Platformer")</f>
        <v>Platformer</v>
      </c>
      <c r="N74" s="25" t="str">
        <f>IFERROR(__xludf.DUMMYFUNCTION("""COMPUTED_VALUE"""),"PSP")</f>
        <v>PSP</v>
      </c>
      <c r="O74" s="26" t="str">
        <f>IFERROR(__xludf.DUMMYFUNCTION("""COMPUTED_VALUE"""),"Yes")</f>
        <v>Yes</v>
      </c>
      <c r="P74" s="26"/>
    </row>
    <row r="75">
      <c r="A75" s="13" t="str">
        <f>IFERROR(__xludf.DUMMYFUNCTION("""COMPUTED_VALUE"""),"Far Cry 4")</f>
        <v>Far Cry 4</v>
      </c>
      <c r="B75" s="15" t="str">
        <f>IFERROR(__xludf.DUMMYFUNCTION("""COMPUTED_VALUE"""),"PS4")</f>
        <v>PS4</v>
      </c>
      <c r="C75" s="16" t="str">
        <f>IFERROR(__xludf.DUMMYFUNCTION("""COMPUTED_VALUE"""),"Extra")</f>
        <v>Extra</v>
      </c>
      <c r="D75" s="15" t="str">
        <f>IFERROR(__xludf.DUMMYFUNCTION("""COMPUTED_VALUE"""),"Active")</f>
        <v>Active</v>
      </c>
      <c r="E75" s="17">
        <f>IFERROR(__xludf.DUMMYFUNCTION("""COMPUTED_VALUE"""),45461.0)</f>
        <v>45461</v>
      </c>
      <c r="F75" s="54"/>
      <c r="G75" s="19">
        <f>IFERROR(__xludf.DUMMYFUNCTION("""COMPUTED_VALUE"""),27.599999999999998)</f>
        <v>27.6</v>
      </c>
      <c r="H75" s="17">
        <f>IFERROR(__xludf.DUMMYFUNCTION("""COMPUTED_VALUE"""),41961.0)</f>
        <v>41961</v>
      </c>
      <c r="I75" s="19">
        <f>IFERROR(__xludf.DUMMYFUNCTION("""COMPUTED_VALUE"""),9.583333333333334)</f>
        <v>9.583333333</v>
      </c>
      <c r="J75" s="21">
        <f>IFERROR(__xludf.DUMMYFUNCTION("""COMPUTED_VALUE"""),85.0)</f>
        <v>85</v>
      </c>
      <c r="K75" s="23">
        <f>IFERROR(__xludf.DUMMYFUNCTION("""COMPUTED_VALUE"""),7.7)</f>
        <v>7.7</v>
      </c>
      <c r="L75" s="24">
        <f>IFERROR(__xludf.DUMMYFUNCTION("""COMPUTED_VALUE"""),18.0)</f>
        <v>18</v>
      </c>
      <c r="M75" s="25" t="str">
        <f>IFERROR(__xludf.DUMMYFUNCTION("""COMPUTED_VALUE"""),"Shooter")</f>
        <v>Shooter</v>
      </c>
      <c r="N75" s="25"/>
      <c r="O75" s="26" t="str">
        <f>IFERROR(__xludf.DUMMYFUNCTION("""COMPUTED_VALUE"""),"No")</f>
        <v>No</v>
      </c>
      <c r="P75" s="26"/>
    </row>
    <row r="76">
      <c r="A76" s="13" t="str">
        <f>IFERROR(__xludf.DUMMYFUNCTION("""COMPUTED_VALUE"""),"Daxter")</f>
        <v>Daxter</v>
      </c>
      <c r="B76" s="15" t="str">
        <f>IFERROR(__xludf.DUMMYFUNCTION("""COMPUTED_VALUE"""),"PS5/PS4")</f>
        <v>PS5/PS4</v>
      </c>
      <c r="C76" s="16" t="str">
        <f>IFERROR(__xludf.DUMMYFUNCTION("""COMPUTED_VALUE"""),"Premium (Classics)")</f>
        <v>Premium (Classics)</v>
      </c>
      <c r="D76" s="15" t="str">
        <f>IFERROR(__xludf.DUMMYFUNCTION("""COMPUTED_VALUE"""),"Active")</f>
        <v>Active</v>
      </c>
      <c r="E76" s="17">
        <f>IFERROR(__xludf.DUMMYFUNCTION("""COMPUTED_VALUE"""),45461.0)</f>
        <v>45461</v>
      </c>
      <c r="F76" s="54"/>
      <c r="G76" s="19">
        <f>IFERROR(__xludf.DUMMYFUNCTION("""COMPUTED_VALUE"""),27.599999999999998)</f>
        <v>27.6</v>
      </c>
      <c r="H76" s="17">
        <f>IFERROR(__xludf.DUMMYFUNCTION("""COMPUTED_VALUE"""),38790.0)</f>
        <v>38790</v>
      </c>
      <c r="I76" s="19">
        <f>IFERROR(__xludf.DUMMYFUNCTION("""COMPUTED_VALUE"""),18.261111111111113)</f>
        <v>18.26111111</v>
      </c>
      <c r="J76" s="21">
        <f>IFERROR(__xludf.DUMMYFUNCTION("""COMPUTED_VALUE"""),85.0)</f>
        <v>85</v>
      </c>
      <c r="K76" s="23">
        <f>IFERROR(__xludf.DUMMYFUNCTION("""COMPUTED_VALUE"""),8.4)</f>
        <v>8.4</v>
      </c>
      <c r="L76" s="24">
        <f>IFERROR(__xludf.DUMMYFUNCTION("""COMPUTED_VALUE"""),8.0)</f>
        <v>8</v>
      </c>
      <c r="M76" s="25" t="str">
        <f>IFERROR(__xludf.DUMMYFUNCTION("""COMPUTED_VALUE"""),"Platformer")</f>
        <v>Platformer</v>
      </c>
      <c r="N76" s="25" t="str">
        <f>IFERROR(__xludf.DUMMYFUNCTION("""COMPUTED_VALUE"""),"PSP")</f>
        <v>PSP</v>
      </c>
      <c r="O76" s="26" t="str">
        <f>IFERROR(__xludf.DUMMYFUNCTION("""COMPUTED_VALUE"""),"Yes")</f>
        <v>Yes</v>
      </c>
      <c r="P76" s="26"/>
    </row>
    <row r="77">
      <c r="A77" s="13" t="str">
        <f>IFERROR(__xludf.DUMMYFUNCTION("""COMPUTED_VALUE"""),"Shadow Tactics: Blades of the Shogun")</f>
        <v>Shadow Tactics: Blades of the Shogun</v>
      </c>
      <c r="B77" s="15" t="str">
        <f>IFERROR(__xludf.DUMMYFUNCTION("""COMPUTED_VALUE"""),"PS4")</f>
        <v>PS4</v>
      </c>
      <c r="C77" s="16" t="str">
        <f>IFERROR(__xludf.DUMMYFUNCTION("""COMPUTED_VALUE"""),"Extra")</f>
        <v>Extra</v>
      </c>
      <c r="D77" s="15" t="str">
        <f>IFERROR(__xludf.DUMMYFUNCTION("""COMPUTED_VALUE"""),"Active")</f>
        <v>Active</v>
      </c>
      <c r="E77" s="17">
        <f>IFERROR(__xludf.DUMMYFUNCTION("""COMPUTED_VALUE"""),45307.0)</f>
        <v>45307</v>
      </c>
      <c r="F77" s="54"/>
      <c r="G77" s="19">
        <f>IFERROR(__xludf.DUMMYFUNCTION("""COMPUTED_VALUE"""),32.66666666666667)</f>
        <v>32.66666667</v>
      </c>
      <c r="H77" s="17">
        <f>IFERROR(__xludf.DUMMYFUNCTION("""COMPUTED_VALUE"""),42710.0)</f>
        <v>42710</v>
      </c>
      <c r="I77" s="19">
        <f>IFERROR(__xludf.DUMMYFUNCTION("""COMPUTED_VALUE"""),7.111111111111111)</f>
        <v>7.111111111</v>
      </c>
      <c r="J77" s="21">
        <f>IFERROR(__xludf.DUMMYFUNCTION("""COMPUTED_VALUE"""),85.0)</f>
        <v>85</v>
      </c>
      <c r="K77" s="23">
        <f>IFERROR(__xludf.DUMMYFUNCTION("""COMPUTED_VALUE"""),8.5)</f>
        <v>8.5</v>
      </c>
      <c r="L77" s="24">
        <f>IFERROR(__xludf.DUMMYFUNCTION("""COMPUTED_VALUE"""),25.0)</f>
        <v>25</v>
      </c>
      <c r="M77" s="25" t="str">
        <f>IFERROR(__xludf.DUMMYFUNCTION("""COMPUTED_VALUE"""),"Strategy")</f>
        <v>Strategy</v>
      </c>
      <c r="N77" s="25"/>
      <c r="O77" s="26" t="str">
        <f>IFERROR(__xludf.DUMMYFUNCTION("""COMPUTED_VALUE"""),"Yes")</f>
        <v>Yes</v>
      </c>
      <c r="P77" s="26"/>
    </row>
    <row r="78">
      <c r="A78" s="13" t="str">
        <f>IFERROR(__xludf.DUMMYFUNCTION("""COMPUTED_VALUE"""),"Tomb Raider: Definitive Edition")</f>
        <v>Tomb Raider: Definitive Edition</v>
      </c>
      <c r="B78" s="15" t="str">
        <f>IFERROR(__xludf.DUMMYFUNCTION("""COMPUTED_VALUE"""),"PS4")</f>
        <v>PS4</v>
      </c>
      <c r="C78" s="16" t="str">
        <f>IFERROR(__xludf.DUMMYFUNCTION("""COMPUTED_VALUE"""),"Extra")</f>
        <v>Extra</v>
      </c>
      <c r="D78" s="15" t="str">
        <f>IFERROR(__xludf.DUMMYFUNCTION("""COMPUTED_VALUE"""),"Active")</f>
        <v>Active</v>
      </c>
      <c r="E78" s="17">
        <f>IFERROR(__xludf.DUMMYFUNCTION("""COMPUTED_VALUE"""),45062.0)</f>
        <v>45062</v>
      </c>
      <c r="F78" s="54"/>
      <c r="G78" s="19">
        <f>IFERROR(__xludf.DUMMYFUNCTION("""COMPUTED_VALUE"""),40.666666666666664)</f>
        <v>40.66666667</v>
      </c>
      <c r="H78" s="17">
        <f>IFERROR(__xludf.DUMMYFUNCTION("""COMPUTED_VALUE"""),41667.0)</f>
        <v>41667</v>
      </c>
      <c r="I78" s="19">
        <f>IFERROR(__xludf.DUMMYFUNCTION("""COMPUTED_VALUE"""),9.3)</f>
        <v>9.3</v>
      </c>
      <c r="J78" s="21">
        <f>IFERROR(__xludf.DUMMYFUNCTION("""COMPUTED_VALUE"""),85.0)</f>
        <v>85</v>
      </c>
      <c r="K78" s="23">
        <f>IFERROR(__xludf.DUMMYFUNCTION("""COMPUTED_VALUE"""),8.1)</f>
        <v>8.1</v>
      </c>
      <c r="L78" s="24">
        <f>IFERROR(__xludf.DUMMYFUNCTION("""COMPUTED_VALUE"""),12.0)</f>
        <v>12</v>
      </c>
      <c r="M78" s="25" t="str">
        <f>IFERROR(__xludf.DUMMYFUNCTION("""COMPUTED_VALUE"""),"Action-Adventure")</f>
        <v>Action-Adventure</v>
      </c>
      <c r="N78" s="25"/>
      <c r="O78" s="26" t="str">
        <f>IFERROR(__xludf.DUMMYFUNCTION("""COMPUTED_VALUE"""),"Yes")</f>
        <v>Yes</v>
      </c>
      <c r="P78" s="26"/>
    </row>
    <row r="79">
      <c r="A79" s="13" t="str">
        <f>IFERROR(__xludf.DUMMYFUNCTION("""COMPUTED_VALUE"""),"Syphon Filter: Logan's Shadow")</f>
        <v>Syphon Filter: Logan's Shadow</v>
      </c>
      <c r="B79" s="15" t="str">
        <f>IFERROR(__xludf.DUMMYFUNCTION("""COMPUTED_VALUE"""),"PS5/PS4")</f>
        <v>PS5/PS4</v>
      </c>
      <c r="C79" s="16" t="str">
        <f>IFERROR(__xludf.DUMMYFUNCTION("""COMPUTED_VALUE"""),"Premium (Classics)")</f>
        <v>Premium (Classics)</v>
      </c>
      <c r="D79" s="15" t="str">
        <f>IFERROR(__xludf.DUMMYFUNCTION("""COMPUTED_VALUE"""),"Active")</f>
        <v>Active</v>
      </c>
      <c r="E79" s="17">
        <f>IFERROR(__xludf.DUMMYFUNCTION("""COMPUTED_VALUE"""),45062.0)</f>
        <v>45062</v>
      </c>
      <c r="F79" s="54"/>
      <c r="G79" s="19">
        <f>IFERROR(__xludf.DUMMYFUNCTION("""COMPUTED_VALUE"""),40.666666666666664)</f>
        <v>40.66666667</v>
      </c>
      <c r="H79" s="17">
        <f>IFERROR(__xludf.DUMMYFUNCTION("""COMPUTED_VALUE"""),39357.0)</f>
        <v>39357</v>
      </c>
      <c r="I79" s="19">
        <f>IFERROR(__xludf.DUMMYFUNCTION("""COMPUTED_VALUE"""),15.622222222222222)</f>
        <v>15.62222222</v>
      </c>
      <c r="J79" s="21">
        <f>IFERROR(__xludf.DUMMYFUNCTION("""COMPUTED_VALUE"""),85.0)</f>
        <v>85</v>
      </c>
      <c r="K79" s="23">
        <f>IFERROR(__xludf.DUMMYFUNCTION("""COMPUTED_VALUE"""),8.0)</f>
        <v>8</v>
      </c>
      <c r="L79" s="24">
        <f>IFERROR(__xludf.DUMMYFUNCTION("""COMPUTED_VALUE"""),10.0)</f>
        <v>10</v>
      </c>
      <c r="M79" s="25" t="str">
        <f>IFERROR(__xludf.DUMMYFUNCTION("""COMPUTED_VALUE"""),"Shooter")</f>
        <v>Shooter</v>
      </c>
      <c r="N79" s="25" t="str">
        <f>IFERROR(__xludf.DUMMYFUNCTION("""COMPUTED_VALUE"""),"PSP")</f>
        <v>PSP</v>
      </c>
      <c r="O79" s="26" t="str">
        <f>IFERROR(__xludf.DUMMYFUNCTION("""COMPUTED_VALUE"""),"Yes")</f>
        <v>Yes</v>
      </c>
      <c r="P79" s="26"/>
    </row>
    <row r="80">
      <c r="A80" s="13" t="str">
        <f>IFERROR(__xludf.DUMMYFUNCTION("""COMPUTED_VALUE"""),"The Forgotten City")</f>
        <v>The Forgotten City</v>
      </c>
      <c r="B80" s="15" t="str">
        <f>IFERROR(__xludf.DUMMYFUNCTION("""COMPUTED_VALUE"""),"PS5/PS4")</f>
        <v>PS5/PS4</v>
      </c>
      <c r="C80" s="16" t="str">
        <f>IFERROR(__xludf.DUMMYFUNCTION("""COMPUTED_VALUE"""),"Extra")</f>
        <v>Extra</v>
      </c>
      <c r="D80" s="15" t="str">
        <f>IFERROR(__xludf.DUMMYFUNCTION("""COMPUTED_VALUE"""),"Active")</f>
        <v>Active</v>
      </c>
      <c r="E80" s="17">
        <f>IFERROR(__xludf.DUMMYFUNCTION("""COMPUTED_VALUE"""),44978.0)</f>
        <v>44978</v>
      </c>
      <c r="F80" s="54"/>
      <c r="G80" s="19">
        <f>IFERROR(__xludf.DUMMYFUNCTION("""COMPUTED_VALUE"""),43.5)</f>
        <v>43.5</v>
      </c>
      <c r="H80" s="17">
        <f>IFERROR(__xludf.DUMMYFUNCTION("""COMPUTED_VALUE"""),44405.0)</f>
        <v>44405</v>
      </c>
      <c r="I80" s="19">
        <f>IFERROR(__xludf.DUMMYFUNCTION("""COMPUTED_VALUE"""),1.5638888888888889)</f>
        <v>1.563888889</v>
      </c>
      <c r="J80" s="21">
        <f>IFERROR(__xludf.DUMMYFUNCTION("""COMPUTED_VALUE"""),85.0)</f>
        <v>85</v>
      </c>
      <c r="K80" s="23">
        <f>IFERROR(__xludf.DUMMYFUNCTION("""COMPUTED_VALUE"""),8.2)</f>
        <v>8.2</v>
      </c>
      <c r="L80" s="24">
        <f>IFERROR(__xludf.DUMMYFUNCTION("""COMPUTED_VALUE"""),6.0)</f>
        <v>6</v>
      </c>
      <c r="M80" s="25" t="str">
        <f>IFERROR(__xludf.DUMMYFUNCTION("""COMPUTED_VALUE"""),"Action-Adventure")</f>
        <v>Action-Adventure</v>
      </c>
      <c r="N80" s="25"/>
      <c r="O80" s="26" t="str">
        <f>IFERROR(__xludf.DUMMYFUNCTION("""COMPUTED_VALUE"""),"Yes")</f>
        <v>Yes</v>
      </c>
      <c r="P80" s="26"/>
    </row>
    <row r="81">
      <c r="A81" s="13" t="str">
        <f>IFERROR(__xludf.DUMMYFUNCTION("""COMPUTED_VALUE"""),"Ys VIII: Lacrimosa of DANA")</f>
        <v>Ys VIII: Lacrimosa of DANA</v>
      </c>
      <c r="B81" s="15" t="str">
        <f>IFERROR(__xludf.DUMMYFUNCTION("""COMPUTED_VALUE"""),"PS5/PS4")</f>
        <v>PS5/PS4</v>
      </c>
      <c r="C81" s="16" t="str">
        <f>IFERROR(__xludf.DUMMYFUNCTION("""COMPUTED_VALUE"""),"Extra")</f>
        <v>Extra</v>
      </c>
      <c r="D81" s="15" t="str">
        <f>IFERROR(__xludf.DUMMYFUNCTION("""COMPUTED_VALUE"""),"Active")</f>
        <v>Active</v>
      </c>
      <c r="E81" s="17">
        <f>IFERROR(__xludf.DUMMYFUNCTION("""COMPUTED_VALUE"""),44880.0)</f>
        <v>44880</v>
      </c>
      <c r="F81" s="54"/>
      <c r="G81" s="19">
        <f>IFERROR(__xludf.DUMMYFUNCTION("""COMPUTED_VALUE"""),46.7)</f>
        <v>46.7</v>
      </c>
      <c r="H81" s="17">
        <f>IFERROR(__xludf.DUMMYFUNCTION("""COMPUTED_VALUE"""),42572.0)</f>
        <v>42572</v>
      </c>
      <c r="I81" s="19">
        <f>IFERROR(__xludf.DUMMYFUNCTION("""COMPUTED_VALUE"""),6.316666666666666)</f>
        <v>6.316666667</v>
      </c>
      <c r="J81" s="21">
        <f>IFERROR(__xludf.DUMMYFUNCTION("""COMPUTED_VALUE"""),85.0)</f>
        <v>85</v>
      </c>
      <c r="K81" s="23">
        <f>IFERROR(__xludf.DUMMYFUNCTION("""COMPUTED_VALUE"""),8.6)</f>
        <v>8.6</v>
      </c>
      <c r="L81" s="24">
        <f>IFERROR(__xludf.DUMMYFUNCTION("""COMPUTED_VALUE"""),37.0)</f>
        <v>37</v>
      </c>
      <c r="M81" s="25" t="str">
        <f>IFERROR(__xludf.DUMMYFUNCTION("""COMPUTED_VALUE"""),"RPG")</f>
        <v>RPG</v>
      </c>
      <c r="N81" s="25"/>
      <c r="O81" s="26" t="str">
        <f>IFERROR(__xludf.DUMMYFUNCTION("""COMPUTED_VALUE"""),"No")</f>
        <v>No</v>
      </c>
      <c r="P81" s="26"/>
    </row>
    <row r="82">
      <c r="A82" s="13" t="str">
        <f>IFERROR(__xludf.DUMMYFUNCTION("""COMPUTED_VALUE"""),"Ghost of Tsushima: Director's Cut")</f>
        <v>Ghost of Tsushima: Director's Cut</v>
      </c>
      <c r="B82" s="15" t="str">
        <f>IFERROR(__xludf.DUMMYFUNCTION("""COMPUTED_VALUE"""),"PS5/PS4")</f>
        <v>PS5/PS4</v>
      </c>
      <c r="C82" s="16" t="str">
        <f>IFERROR(__xludf.DUMMYFUNCTION("""COMPUTED_VALUE"""),"Extra")</f>
        <v>Extra</v>
      </c>
      <c r="D82" s="15" t="str">
        <f>IFERROR(__xludf.DUMMYFUNCTION("""COMPUTED_VALUE"""),"Active")</f>
        <v>Active</v>
      </c>
      <c r="E82" s="17">
        <f>IFERROR(__xludf.DUMMYFUNCTION("""COMPUTED_VALUE"""),44725.0)</f>
        <v>44725</v>
      </c>
      <c r="F82" s="54"/>
      <c r="G82" s="19">
        <f>IFERROR(__xludf.DUMMYFUNCTION("""COMPUTED_VALUE"""),51.766666666666666)</f>
        <v>51.76666667</v>
      </c>
      <c r="H82" s="17">
        <f>IFERROR(__xludf.DUMMYFUNCTION("""COMPUTED_VALUE"""),44428.0)</f>
        <v>44428</v>
      </c>
      <c r="I82" s="19">
        <f>IFERROR(__xludf.DUMMYFUNCTION("""COMPUTED_VALUE"""),0.8138888888888889)</f>
        <v>0.8138888889</v>
      </c>
      <c r="J82" s="21">
        <f>IFERROR(__xludf.DUMMYFUNCTION("""COMPUTED_VALUE"""),85.0)</f>
        <v>85</v>
      </c>
      <c r="K82" s="23">
        <f>IFERROR(__xludf.DUMMYFUNCTION("""COMPUTED_VALUE"""),8.4)</f>
        <v>8.4</v>
      </c>
      <c r="L82" s="24">
        <f>IFERROR(__xludf.DUMMYFUNCTION("""COMPUTED_VALUE"""),25.0)</f>
        <v>25</v>
      </c>
      <c r="M82" s="25" t="str">
        <f>IFERROR(__xludf.DUMMYFUNCTION("""COMPUTED_VALUE"""),"Action-Adventure")</f>
        <v>Action-Adventure</v>
      </c>
      <c r="N82" s="25"/>
      <c r="O82" s="26" t="str">
        <f>IFERROR(__xludf.DUMMYFUNCTION("""COMPUTED_VALUE"""),"Yes")</f>
        <v>Yes</v>
      </c>
      <c r="P82" s="26"/>
    </row>
    <row r="83">
      <c r="A83" s="13" t="str">
        <f>IFERROR(__xludf.DUMMYFUNCTION("""COMPUTED_VALUE"""),"Frostpunk")</f>
        <v>Frostpunk</v>
      </c>
      <c r="B83" s="15" t="str">
        <f>IFERROR(__xludf.DUMMYFUNCTION("""COMPUTED_VALUE"""),"PS4")</f>
        <v>PS4</v>
      </c>
      <c r="C83" s="16" t="str">
        <f>IFERROR(__xludf.DUMMYFUNCTION("""COMPUTED_VALUE"""),"Extra")</f>
        <v>Extra</v>
      </c>
      <c r="D83" s="15" t="str">
        <f>IFERROR(__xludf.DUMMYFUNCTION("""COMPUTED_VALUE"""),"Active")</f>
        <v>Active</v>
      </c>
      <c r="E83" s="17">
        <f>IFERROR(__xludf.DUMMYFUNCTION("""COMPUTED_VALUE"""),44725.0)</f>
        <v>44725</v>
      </c>
      <c r="F83" s="54"/>
      <c r="G83" s="19">
        <f>IFERROR(__xludf.DUMMYFUNCTION("""COMPUTED_VALUE"""),51.766666666666666)</f>
        <v>51.76666667</v>
      </c>
      <c r="H83" s="17">
        <f>IFERROR(__xludf.DUMMYFUNCTION("""COMPUTED_VALUE"""),43191.0)</f>
        <v>43191</v>
      </c>
      <c r="I83" s="19">
        <f>IFERROR(__xludf.DUMMYFUNCTION("""COMPUTED_VALUE"""),4.2)</f>
        <v>4.2</v>
      </c>
      <c r="J83" s="21">
        <f>IFERROR(__xludf.DUMMYFUNCTION("""COMPUTED_VALUE"""),85.0)</f>
        <v>85</v>
      </c>
      <c r="K83" s="23">
        <f>IFERROR(__xludf.DUMMYFUNCTION("""COMPUTED_VALUE"""),8.0)</f>
        <v>8</v>
      </c>
      <c r="L83" s="24">
        <f>IFERROR(__xludf.DUMMYFUNCTION("""COMPUTED_VALUE"""),10.5)</f>
        <v>10.5</v>
      </c>
      <c r="M83" s="25" t="str">
        <f>IFERROR(__xludf.DUMMYFUNCTION("""COMPUTED_VALUE"""),"Strategy")</f>
        <v>Strategy</v>
      </c>
      <c r="N83" s="25"/>
      <c r="O83" s="26" t="str">
        <f>IFERROR(__xludf.DUMMYFUNCTION("""COMPUTED_VALUE"""),"Yes")</f>
        <v>Yes</v>
      </c>
      <c r="P83" s="26"/>
    </row>
    <row r="84">
      <c r="A84" s="13" t="str">
        <f>IFERROR(__xludf.DUMMYFUNCTION("""COMPUTED_VALUE"""),"Mahjong")</f>
        <v>Mahjong</v>
      </c>
      <c r="B84" s="15" t="str">
        <f>IFERROR(__xludf.DUMMYFUNCTION("""COMPUTED_VALUE"""),"PS4")</f>
        <v>PS4</v>
      </c>
      <c r="C84" s="16" t="str">
        <f>IFERROR(__xludf.DUMMYFUNCTION("""COMPUTED_VALUE"""),"Extra")</f>
        <v>Extra</v>
      </c>
      <c r="D84" s="15" t="str">
        <f>IFERROR(__xludf.DUMMYFUNCTION("""COMPUTED_VALUE"""),"Active")</f>
        <v>Active</v>
      </c>
      <c r="E84" s="17">
        <f>IFERROR(__xludf.DUMMYFUNCTION("""COMPUTED_VALUE"""),44725.0)</f>
        <v>44725</v>
      </c>
      <c r="F84" s="54"/>
      <c r="G84" s="19">
        <f>IFERROR(__xludf.DUMMYFUNCTION("""COMPUTED_VALUE"""),51.766666666666666)</f>
        <v>51.76666667</v>
      </c>
      <c r="H84" s="17">
        <f>IFERROR(__xludf.DUMMYFUNCTION("""COMPUTED_VALUE"""),42786.0)</f>
        <v>42786</v>
      </c>
      <c r="I84" s="19">
        <f>IFERROR(__xludf.DUMMYFUNCTION("""COMPUTED_VALUE"""),5.313888888888889)</f>
        <v>5.313888889</v>
      </c>
      <c r="J84" s="21">
        <f>IFERROR(__xludf.DUMMYFUNCTION("""COMPUTED_VALUE"""),85.0)</f>
        <v>85</v>
      </c>
      <c r="K84" s="23"/>
      <c r="L84" s="24">
        <f>IFERROR(__xludf.DUMMYFUNCTION("""COMPUTED_VALUE"""),6.0)</f>
        <v>6</v>
      </c>
      <c r="M84" s="25" t="str">
        <f>IFERROR(__xludf.DUMMYFUNCTION("""COMPUTED_VALUE"""),"Puzzle")</f>
        <v>Puzzle</v>
      </c>
      <c r="N84" s="25"/>
      <c r="O84" s="26" t="str">
        <f>IFERROR(__xludf.DUMMYFUNCTION("""COMPUTED_VALUE"""),"Yes")</f>
        <v>Yes</v>
      </c>
      <c r="P84" s="26"/>
    </row>
    <row r="85">
      <c r="A85" s="13" t="str">
        <f>IFERROR(__xludf.DUMMYFUNCTION("""COMPUTED_VALUE"""),"Ys VIII: Lacrimosa of DANA")</f>
        <v>Ys VIII: Lacrimosa of DANA</v>
      </c>
      <c r="B85" s="15" t="str">
        <f>IFERROR(__xludf.DUMMYFUNCTION("""COMPUTED_VALUE"""),"PS4")</f>
        <v>PS4</v>
      </c>
      <c r="C85" s="16" t="str">
        <f>IFERROR(__xludf.DUMMYFUNCTION("""COMPUTED_VALUE"""),"Extra")</f>
        <v>Extra</v>
      </c>
      <c r="D85" s="15" t="str">
        <f>IFERROR(__xludf.DUMMYFUNCTION("""COMPUTED_VALUE"""),"Active")</f>
        <v>Active</v>
      </c>
      <c r="E85" s="17">
        <f>IFERROR(__xludf.DUMMYFUNCTION("""COMPUTED_VALUE"""),44725.0)</f>
        <v>44725</v>
      </c>
      <c r="F85" s="54"/>
      <c r="G85" s="19">
        <f>IFERROR(__xludf.DUMMYFUNCTION("""COMPUTED_VALUE"""),51.766666666666666)</f>
        <v>51.76666667</v>
      </c>
      <c r="H85" s="17">
        <f>IFERROR(__xludf.DUMMYFUNCTION("""COMPUTED_VALUE"""),42990.0)</f>
        <v>42990</v>
      </c>
      <c r="I85" s="19">
        <f>IFERROR(__xludf.DUMMYFUNCTION("""COMPUTED_VALUE"""),4.752777777777778)</f>
        <v>4.752777778</v>
      </c>
      <c r="J85" s="21">
        <f>IFERROR(__xludf.DUMMYFUNCTION("""COMPUTED_VALUE"""),85.0)</f>
        <v>85</v>
      </c>
      <c r="K85" s="23">
        <f>IFERROR(__xludf.DUMMYFUNCTION("""COMPUTED_VALUE"""),8.4)</f>
        <v>8.4</v>
      </c>
      <c r="L85" s="24">
        <f>IFERROR(__xludf.DUMMYFUNCTION("""COMPUTED_VALUE"""),37.0)</f>
        <v>37</v>
      </c>
      <c r="M85" s="25" t="str">
        <f>IFERROR(__xludf.DUMMYFUNCTION("""COMPUTED_VALUE"""),"RPG")</f>
        <v>RPG</v>
      </c>
      <c r="N85" s="25"/>
      <c r="O85" s="26" t="str">
        <f>IFERROR(__xludf.DUMMYFUNCTION("""COMPUTED_VALUE"""),"No")</f>
        <v>No</v>
      </c>
      <c r="P85" s="26"/>
    </row>
    <row r="86">
      <c r="A86" s="13" t="str">
        <f>IFERROR(__xludf.DUMMYFUNCTION("""COMPUTED_VALUE"""),"South Park: The Stick of Truth")</f>
        <v>South Park: The Stick of Truth</v>
      </c>
      <c r="B86" s="15" t="str">
        <f>IFERROR(__xludf.DUMMYFUNCTION("""COMPUTED_VALUE"""),"PS4")</f>
        <v>PS4</v>
      </c>
      <c r="C86" s="16" t="str">
        <f>IFERROR(__xludf.DUMMYFUNCTION("""COMPUTED_VALUE"""),"Extra (Ubisoft+ Classics)")</f>
        <v>Extra (Ubisoft+ Classics)</v>
      </c>
      <c r="D86" s="15" t="str">
        <f>IFERROR(__xludf.DUMMYFUNCTION("""COMPUTED_VALUE"""),"Active")</f>
        <v>Active</v>
      </c>
      <c r="E86" s="17">
        <f>IFERROR(__xludf.DUMMYFUNCTION("""COMPUTED_VALUE"""),44725.0)</f>
        <v>44725</v>
      </c>
      <c r="F86" s="54"/>
      <c r="G86" s="19">
        <f>IFERROR(__xludf.DUMMYFUNCTION("""COMPUTED_VALUE"""),51.766666666666666)</f>
        <v>51.76666667</v>
      </c>
      <c r="H86" s="17">
        <f>IFERROR(__xludf.DUMMYFUNCTION("""COMPUTED_VALUE"""),41702.0)</f>
        <v>41702</v>
      </c>
      <c r="I86" s="19">
        <f>IFERROR(__xludf.DUMMYFUNCTION("""COMPUTED_VALUE"""),8.275)</f>
        <v>8.275</v>
      </c>
      <c r="J86" s="21">
        <f>IFERROR(__xludf.DUMMYFUNCTION("""COMPUTED_VALUE"""),85.0)</f>
        <v>85</v>
      </c>
      <c r="K86" s="23">
        <f>IFERROR(__xludf.DUMMYFUNCTION("""COMPUTED_VALUE"""),8.6)</f>
        <v>8.6</v>
      </c>
      <c r="L86" s="24">
        <f>IFERROR(__xludf.DUMMYFUNCTION("""COMPUTED_VALUE"""),11.0)</f>
        <v>11</v>
      </c>
      <c r="M86" s="25" t="str">
        <f>IFERROR(__xludf.DUMMYFUNCTION("""COMPUTED_VALUE"""),"RPG")</f>
        <v>RPG</v>
      </c>
      <c r="N86" s="25"/>
      <c r="O86" s="26" t="str">
        <f>IFERROR(__xludf.DUMMYFUNCTION("""COMPUTED_VALUE"""),"Yes")</f>
        <v>Yes</v>
      </c>
      <c r="P86" s="26"/>
    </row>
    <row r="87">
      <c r="A87" s="13" t="str">
        <f>IFERROR(__xludf.DUMMYFUNCTION("""COMPUTED_VALUE"""),"Oddworld: Abe's Oddysee")</f>
        <v>Oddworld: Abe's Oddysee</v>
      </c>
      <c r="B87" s="15" t="str">
        <f>IFERROR(__xludf.DUMMYFUNCTION("""COMPUTED_VALUE"""),"PS5/PS4")</f>
        <v>PS5/PS4</v>
      </c>
      <c r="C87" s="16" t="str">
        <f>IFERROR(__xludf.DUMMYFUNCTION("""COMPUTED_VALUE"""),"Premium (Classics)")</f>
        <v>Premium (Classics)</v>
      </c>
      <c r="D87" s="15" t="str">
        <f>IFERROR(__xludf.DUMMYFUNCTION("""COMPUTED_VALUE"""),"Active")</f>
        <v>Active</v>
      </c>
      <c r="E87" s="17">
        <f>IFERROR(__xludf.DUMMYFUNCTION("""COMPUTED_VALUE"""),44725.0)</f>
        <v>44725</v>
      </c>
      <c r="F87" s="54"/>
      <c r="G87" s="19">
        <f>IFERROR(__xludf.DUMMYFUNCTION("""COMPUTED_VALUE"""),51.766666666666666)</f>
        <v>51.76666667</v>
      </c>
      <c r="H87" s="17">
        <f>IFERROR(__xludf.DUMMYFUNCTION("""COMPUTED_VALUE"""),35674.0)</f>
        <v>35674</v>
      </c>
      <c r="I87" s="19">
        <f>IFERROR(__xludf.DUMMYFUNCTION("""COMPUTED_VALUE"""),24.783333333333335)</f>
        <v>24.78333333</v>
      </c>
      <c r="J87" s="21">
        <f>IFERROR(__xludf.DUMMYFUNCTION("""COMPUTED_VALUE"""),85.0)</f>
        <v>85</v>
      </c>
      <c r="K87" s="23">
        <f>IFERROR(__xludf.DUMMYFUNCTION("""COMPUTED_VALUE"""),8.7)</f>
        <v>8.7</v>
      </c>
      <c r="L87" s="24">
        <f>IFERROR(__xludf.DUMMYFUNCTION("""COMPUTED_VALUE"""),7.0)</f>
        <v>7</v>
      </c>
      <c r="M87" s="25" t="str">
        <f>IFERROR(__xludf.DUMMYFUNCTION("""COMPUTED_VALUE"""),"Platformer")</f>
        <v>Platformer</v>
      </c>
      <c r="N87" s="25" t="str">
        <f>IFERROR(__xludf.DUMMYFUNCTION("""COMPUTED_VALUE"""),"PS1")</f>
        <v>PS1</v>
      </c>
      <c r="O87" s="26" t="str">
        <f>IFERROR(__xludf.DUMMYFUNCTION("""COMPUTED_VALUE"""),"No")</f>
        <v>No</v>
      </c>
      <c r="P87" s="26" t="str">
        <f>IFERROR(__xludf.DUMMYFUNCTION("""COMPUTED_VALUE"""),"")</f>
        <v/>
      </c>
    </row>
    <row r="88">
      <c r="A88" s="13" t="str">
        <f>IFERROR(__xludf.DUMMYFUNCTION("""COMPUTED_VALUE"""),"WipEout: Omega Collection")</f>
        <v>WipEout: Omega Collection</v>
      </c>
      <c r="B88" s="15" t="str">
        <f>IFERROR(__xludf.DUMMYFUNCTION("""COMPUTED_VALUE"""),"PS4/PSVR")</f>
        <v>PS4/PSVR</v>
      </c>
      <c r="C88" s="16" t="str">
        <f>IFERROR(__xludf.DUMMYFUNCTION("""COMPUTED_VALUE"""),"Premium (Remasters)")</f>
        <v>Premium (Remasters)</v>
      </c>
      <c r="D88" s="15" t="str">
        <f>IFERROR(__xludf.DUMMYFUNCTION("""COMPUTED_VALUE"""),"Active")</f>
        <v>Active</v>
      </c>
      <c r="E88" s="17">
        <f>IFERROR(__xludf.DUMMYFUNCTION("""COMPUTED_VALUE"""),43683.0)</f>
        <v>43683</v>
      </c>
      <c r="F88" s="54"/>
      <c r="G88" s="19">
        <f>IFERROR(__xludf.DUMMYFUNCTION("""COMPUTED_VALUE"""),86.0)</f>
        <v>86</v>
      </c>
      <c r="H88" s="17">
        <f>IFERROR(__xludf.DUMMYFUNCTION("""COMPUTED_VALUE"""),41365.0)</f>
        <v>41365</v>
      </c>
      <c r="I88" s="19">
        <f>IFERROR(__xludf.DUMMYFUNCTION("""COMPUTED_VALUE"""),6.347222222222222)</f>
        <v>6.347222222</v>
      </c>
      <c r="J88" s="21">
        <f>IFERROR(__xludf.DUMMYFUNCTION("""COMPUTED_VALUE"""),85.0)</f>
        <v>85</v>
      </c>
      <c r="K88" s="23">
        <f>IFERROR(__xludf.DUMMYFUNCTION("""COMPUTED_VALUE"""),8.2)</f>
        <v>8.2</v>
      </c>
      <c r="L88" s="24">
        <f>IFERROR(__xludf.DUMMYFUNCTION("""COMPUTED_VALUE"""),8.0)</f>
        <v>8</v>
      </c>
      <c r="M88" s="25" t="str">
        <f>IFERROR(__xludf.DUMMYFUNCTION("""COMPUTED_VALUE"""),"Racing")</f>
        <v>Racing</v>
      </c>
      <c r="N88" s="25" t="str">
        <f>IFERROR(__xludf.DUMMYFUNCTION("""COMPUTED_VALUE"""),"PS3")</f>
        <v>PS3</v>
      </c>
      <c r="O88" s="26" t="str">
        <f>IFERROR(__xludf.DUMMYFUNCTION("""COMPUTED_VALUE"""),"No")</f>
        <v>No</v>
      </c>
      <c r="P88" s="26" t="str">
        <f>IFERROR(__xludf.DUMMYFUNCTION("""COMPUTED_VALUE"""),"Yes")</f>
        <v>Yes</v>
      </c>
    </row>
    <row r="89">
      <c r="A89" s="13" t="str">
        <f>IFERROR(__xludf.DUMMYFUNCTION("""COMPUTED_VALUE"""),"Ninja Gaiden: Ragebound")</f>
        <v>Ninja Gaiden: Ragebound</v>
      </c>
      <c r="B89" s="15" t="str">
        <f>IFERROR(__xludf.DUMMYFUNCTION("""COMPUTED_VALUE"""),"PS5/PS4")</f>
        <v>PS5/PS4</v>
      </c>
      <c r="C89" s="16" t="str">
        <f>IFERROR(__xludf.DUMMYFUNCTION("""COMPUTED_VALUE"""),"Extra")</f>
        <v>Extra</v>
      </c>
      <c r="D89" s="15" t="str">
        <f>IFERROR(__xludf.DUMMYFUNCTION("""COMPUTED_VALUE"""),"Active")</f>
        <v>Active</v>
      </c>
      <c r="E89" s="17">
        <f>IFERROR(__xludf.DUMMYFUNCTION("""COMPUTED_VALUE"""),46294.0)</f>
        <v>46294</v>
      </c>
      <c r="F89" s="54"/>
      <c r="G89" s="19">
        <f>IFERROR(__xludf.DUMMYFUNCTION("""COMPUTED_VALUE"""),0.23333333333333334)</f>
        <v>0.2333333333</v>
      </c>
      <c r="H89" s="17">
        <f>IFERROR(__xludf.DUMMYFUNCTION("""COMPUTED_VALUE"""),45869.0)</f>
        <v>45869</v>
      </c>
      <c r="I89" s="19">
        <f>IFERROR(__xludf.DUMMYFUNCTION("""COMPUTED_VALUE"""),1.163888888888889)</f>
        <v>1.163888889</v>
      </c>
      <c r="J89" s="21">
        <f>IFERROR(__xludf.DUMMYFUNCTION("""COMPUTED_VALUE"""),84.0)</f>
        <v>84</v>
      </c>
      <c r="K89" s="23">
        <f>IFERROR(__xludf.DUMMYFUNCTION("""COMPUTED_VALUE"""),7.9)</f>
        <v>7.9</v>
      </c>
      <c r="L89" s="24">
        <f>IFERROR(__xludf.DUMMYFUNCTION("""COMPUTED_VALUE"""),6.0)</f>
        <v>6</v>
      </c>
      <c r="M89" s="25" t="str">
        <f>IFERROR(__xludf.DUMMYFUNCTION("""COMPUTED_VALUE"""),"Platformer")</f>
        <v>Platformer</v>
      </c>
      <c r="N89" s="25"/>
      <c r="O89" s="26"/>
      <c r="P89" s="26"/>
    </row>
    <row r="90">
      <c r="A90" s="13" t="str">
        <f>IFERROR(__xludf.DUMMYFUNCTION("""COMPUTED_VALUE"""),"Psi-Ops: The Mindgate Conspiracy")</f>
        <v>Psi-Ops: The Mindgate Conspiracy</v>
      </c>
      <c r="B90" s="15" t="str">
        <f>IFERROR(__xludf.DUMMYFUNCTION("""COMPUTED_VALUE"""),"PS5/PS4")</f>
        <v>PS5/PS4</v>
      </c>
      <c r="C90" s="16" t="str">
        <f>IFERROR(__xludf.DUMMYFUNCTION("""COMPUTED_VALUE"""),"Premium (Classics)")</f>
        <v>Premium (Classics)</v>
      </c>
      <c r="D90" s="15" t="str">
        <f>IFERROR(__xludf.DUMMYFUNCTION("""COMPUTED_VALUE"""),"Active")</f>
        <v>Active</v>
      </c>
      <c r="E90" s="17">
        <f>IFERROR(__xludf.DUMMYFUNCTION("""COMPUTED_VALUE"""),46224.0)</f>
        <v>46224</v>
      </c>
      <c r="F90" s="54"/>
      <c r="G90" s="19">
        <f>IFERROR(__xludf.DUMMYFUNCTION("""COMPUTED_VALUE"""),2.5)</f>
        <v>2.5</v>
      </c>
      <c r="H90" s="17">
        <f>IFERROR(__xludf.DUMMYFUNCTION("""COMPUTED_VALUE"""),38152.0)</f>
        <v>38152</v>
      </c>
      <c r="I90" s="19">
        <f>IFERROR(__xludf.DUMMYFUNCTION("""COMPUTED_VALUE"""),22.102777777777778)</f>
        <v>22.10277778</v>
      </c>
      <c r="J90" s="21">
        <f>IFERROR(__xludf.DUMMYFUNCTION("""COMPUTED_VALUE"""),84.0)</f>
        <v>84</v>
      </c>
      <c r="K90" s="23">
        <f>IFERROR(__xludf.DUMMYFUNCTION("""COMPUTED_VALUE"""),6.9)</f>
        <v>6.9</v>
      </c>
      <c r="L90" s="24">
        <f>IFERROR(__xludf.DUMMYFUNCTION("""COMPUTED_VALUE"""),10.0)</f>
        <v>10</v>
      </c>
      <c r="M90" s="25" t="str">
        <f>IFERROR(__xludf.DUMMYFUNCTION("""COMPUTED_VALUE"""),"Shooter")</f>
        <v>Shooter</v>
      </c>
      <c r="N90" s="25" t="str">
        <f>IFERROR(__xludf.DUMMYFUNCTION("""COMPUTED_VALUE"""),"PS2")</f>
        <v>PS2</v>
      </c>
      <c r="O90" s="26"/>
      <c r="P90" s="26"/>
    </row>
    <row r="91">
      <c r="A91" s="13" t="str">
        <f>IFERROR(__xludf.DUMMYFUNCTION("""COMPUTED_VALUE"""),"Broken Sword - Shadows of the Templar: Reforged")</f>
        <v>Broken Sword - Shadows of the Templar: Reforged</v>
      </c>
      <c r="B91" s="15" t="str">
        <f>IFERROR(__xludf.DUMMYFUNCTION("""COMPUTED_VALUE"""),"PS5/PS4")</f>
        <v>PS5/PS4</v>
      </c>
      <c r="C91" s="16" t="str">
        <f>IFERROR(__xludf.DUMMYFUNCTION("""COMPUTED_VALUE"""),"Extra")</f>
        <v>Extra</v>
      </c>
      <c r="D91" s="15" t="str">
        <f>IFERROR(__xludf.DUMMYFUNCTION("""COMPUTED_VALUE"""),"Active")</f>
        <v>Active</v>
      </c>
      <c r="E91" s="17">
        <f>IFERROR(__xludf.DUMMYFUNCTION("""COMPUTED_VALUE"""),46161.0)</f>
        <v>46161</v>
      </c>
      <c r="F91" s="54"/>
      <c r="G91" s="19">
        <f>IFERROR(__xludf.DUMMYFUNCTION("""COMPUTED_VALUE"""),4.566666666666666)</f>
        <v>4.566666667</v>
      </c>
      <c r="H91" s="17">
        <f>IFERROR(__xludf.DUMMYFUNCTION("""COMPUTED_VALUE"""),45554.0)</f>
        <v>45554</v>
      </c>
      <c r="I91" s="19">
        <f>IFERROR(__xludf.DUMMYFUNCTION("""COMPUTED_VALUE"""),1.6666666666666667)</f>
        <v>1.666666667</v>
      </c>
      <c r="J91" s="21">
        <f>IFERROR(__xludf.DUMMYFUNCTION("""COMPUTED_VALUE"""),84.0)</f>
        <v>84</v>
      </c>
      <c r="K91" s="23">
        <f>IFERROR(__xludf.DUMMYFUNCTION("""COMPUTED_VALUE"""),8.8)</f>
        <v>8.8</v>
      </c>
      <c r="L91" s="24">
        <f>IFERROR(__xludf.DUMMYFUNCTION("""COMPUTED_VALUE"""),10.0)</f>
        <v>10</v>
      </c>
      <c r="M91" s="25" t="str">
        <f>IFERROR(__xludf.DUMMYFUNCTION("""COMPUTED_VALUE"""),"Point-and-Click")</f>
        <v>Point-and-Click</v>
      </c>
      <c r="N91" s="25"/>
      <c r="O91" s="26"/>
      <c r="P91" s="26"/>
    </row>
    <row r="92">
      <c r="A92" s="13" t="str">
        <f>IFERROR(__xludf.DUMMYFUNCTION("""COMPUTED_VALUE"""),"Season: A Letter to the Future")</f>
        <v>Season: A Letter to the Future</v>
      </c>
      <c r="B92" s="15" t="str">
        <f>IFERROR(__xludf.DUMMYFUNCTION("""COMPUTED_VALUE"""),"PS5/PS4")</f>
        <v>PS5/PS4</v>
      </c>
      <c r="C92" s="16" t="str">
        <f>IFERROR(__xludf.DUMMYFUNCTION("""COMPUTED_VALUE"""),"Extra")</f>
        <v>Extra</v>
      </c>
      <c r="D92" s="15" t="str">
        <f>IFERROR(__xludf.DUMMYFUNCTION("""COMPUTED_VALUE"""),"Active")</f>
        <v>Active</v>
      </c>
      <c r="E92" s="17">
        <f>IFERROR(__xludf.DUMMYFUNCTION("""COMPUTED_VALUE"""),46070.0)</f>
        <v>46070</v>
      </c>
      <c r="F92" s="54"/>
      <c r="G92" s="19">
        <f>IFERROR(__xludf.DUMMYFUNCTION("""COMPUTED_VALUE"""),7.633333333333333)</f>
        <v>7.633333333</v>
      </c>
      <c r="H92" s="17">
        <f>IFERROR(__xludf.DUMMYFUNCTION("""COMPUTED_VALUE"""),44957.0)</f>
        <v>44957</v>
      </c>
      <c r="I92" s="19">
        <f>IFERROR(__xludf.DUMMYFUNCTION("""COMPUTED_VALUE"""),3.047222222222222)</f>
        <v>3.047222222</v>
      </c>
      <c r="J92" s="21">
        <f>IFERROR(__xludf.DUMMYFUNCTION("""COMPUTED_VALUE"""),84.0)</f>
        <v>84</v>
      </c>
      <c r="K92" s="23">
        <f>IFERROR(__xludf.DUMMYFUNCTION("""COMPUTED_VALUE"""),8.3)</f>
        <v>8.3</v>
      </c>
      <c r="L92" s="24">
        <f>IFERROR(__xludf.DUMMYFUNCTION("""COMPUTED_VALUE"""),10.0)</f>
        <v>10</v>
      </c>
      <c r="M92" s="25" t="str">
        <f>IFERROR(__xludf.DUMMYFUNCTION("""COMPUTED_VALUE"""),"Action-Adventure")</f>
        <v>Action-Adventure</v>
      </c>
      <c r="N92" s="25"/>
      <c r="O92" s="26"/>
      <c r="P92" s="26"/>
    </row>
    <row r="93">
      <c r="A93" s="13" t="str">
        <f>IFERROR(__xludf.DUMMYFUNCTION("""COMPUTED_VALUE"""),"Resident Evil: Village")</f>
        <v>Resident Evil: Village</v>
      </c>
      <c r="B93" s="15" t="str">
        <f>IFERROR(__xludf.DUMMYFUNCTION("""COMPUTED_VALUE"""),"PS5/PS4")</f>
        <v>PS5/PS4</v>
      </c>
      <c r="C93" s="16" t="str">
        <f>IFERROR(__xludf.DUMMYFUNCTION("""COMPUTED_VALUE"""),"Extra")</f>
        <v>Extra</v>
      </c>
      <c r="D93" s="15" t="str">
        <f>IFERROR(__xludf.DUMMYFUNCTION("""COMPUTED_VALUE"""),"Active")</f>
        <v>Active</v>
      </c>
      <c r="E93" s="17">
        <f>IFERROR(__xludf.DUMMYFUNCTION("""COMPUTED_VALUE"""),46042.0)</f>
        <v>46042</v>
      </c>
      <c r="F93" s="18"/>
      <c r="G93" s="19">
        <f>IFERROR(__xludf.DUMMYFUNCTION("""COMPUTED_VALUE"""),8.533333333333333)</f>
        <v>8.533333333</v>
      </c>
      <c r="H93" s="17">
        <f>IFERROR(__xludf.DUMMYFUNCTION("""COMPUTED_VALUE"""),44323.0)</f>
        <v>44323</v>
      </c>
      <c r="I93" s="19">
        <f>IFERROR(__xludf.DUMMYFUNCTION("""COMPUTED_VALUE"""),4.7027777777777775)</f>
        <v>4.702777778</v>
      </c>
      <c r="J93" s="21">
        <f>IFERROR(__xludf.DUMMYFUNCTION("""COMPUTED_VALUE"""),84.0)</f>
        <v>84</v>
      </c>
      <c r="K93" s="23">
        <f>IFERROR(__xludf.DUMMYFUNCTION("""COMPUTED_VALUE"""),8.5)</f>
        <v>8.5</v>
      </c>
      <c r="L93" s="17">
        <f>IFERROR(__xludf.DUMMYFUNCTION("""COMPUTED_VALUE"""),10.0)</f>
        <v>10</v>
      </c>
      <c r="M93" s="25" t="str">
        <f>IFERROR(__xludf.DUMMYFUNCTION("""COMPUTED_VALUE"""),"Action-Adventure")</f>
        <v>Action-Adventure</v>
      </c>
      <c r="N93" s="25"/>
      <c r="O93" s="26"/>
      <c r="P93" s="26"/>
    </row>
    <row r="94">
      <c r="A94" s="13" t="str">
        <f>IFERROR(__xludf.DUMMYFUNCTION("""COMPUTED_VALUE"""),"Crow Country")</f>
        <v>Crow Country</v>
      </c>
      <c r="B94" s="15" t="str">
        <f>IFERROR(__xludf.DUMMYFUNCTION("""COMPUTED_VALUE"""),"PS5/PS4")</f>
        <v>PS5/PS4</v>
      </c>
      <c r="C94" s="16" t="str">
        <f>IFERROR(__xludf.DUMMYFUNCTION("""COMPUTED_VALUE"""),"Extra")</f>
        <v>Extra</v>
      </c>
      <c r="D94" s="15" t="str">
        <f>IFERROR(__xludf.DUMMYFUNCTION("""COMPUTED_VALUE"""),"Active")</f>
        <v>Active</v>
      </c>
      <c r="E94" s="17">
        <f>IFERROR(__xludf.DUMMYFUNCTION("""COMPUTED_VALUE"""),45916.0)</f>
        <v>45916</v>
      </c>
      <c r="F94" s="18"/>
      <c r="G94" s="19">
        <f>IFERROR(__xludf.DUMMYFUNCTION("""COMPUTED_VALUE"""),12.666666666666668)</f>
        <v>12.66666667</v>
      </c>
      <c r="H94" s="17">
        <f>IFERROR(__xludf.DUMMYFUNCTION("""COMPUTED_VALUE"""),45421.0)</f>
        <v>45421</v>
      </c>
      <c r="I94" s="19">
        <f>IFERROR(__xludf.DUMMYFUNCTION("""COMPUTED_VALUE"""),1.3527777777777779)</f>
        <v>1.352777778</v>
      </c>
      <c r="J94" s="21">
        <f>IFERROR(__xludf.DUMMYFUNCTION("""COMPUTED_VALUE"""),84.0)</f>
        <v>84</v>
      </c>
      <c r="K94" s="23">
        <f>IFERROR(__xludf.DUMMYFUNCTION("""COMPUTED_VALUE"""),8.0)</f>
        <v>8</v>
      </c>
      <c r="L94" s="24">
        <f>IFERROR(__xludf.DUMMYFUNCTION("""COMPUTED_VALUE"""),6.0)</f>
        <v>6</v>
      </c>
      <c r="M94" s="25" t="str">
        <f>IFERROR(__xludf.DUMMYFUNCTION("""COMPUTED_VALUE"""),"Survival")</f>
        <v>Survival</v>
      </c>
      <c r="N94" s="25"/>
      <c r="O94" s="26"/>
      <c r="P94" s="26"/>
    </row>
    <row r="95">
      <c r="A95" s="13" t="str">
        <f>IFERROR(__xludf.DUMMYFUNCTION("""COMPUTED_VALUE"""),"Hogwarts Legacy")</f>
        <v>Hogwarts Legacy</v>
      </c>
      <c r="B95" s="15" t="str">
        <f>IFERROR(__xludf.DUMMYFUNCTION("""COMPUTED_VALUE"""),"PS5/PS4")</f>
        <v>PS5/PS4</v>
      </c>
      <c r="C95" s="16" t="str">
        <f>IFERROR(__xludf.DUMMYFUNCTION("""COMPUTED_VALUE"""),"Extra")</f>
        <v>Extra</v>
      </c>
      <c r="D95" s="15" t="str">
        <f>IFERROR(__xludf.DUMMYFUNCTION("""COMPUTED_VALUE"""),"Active")</f>
        <v>Active</v>
      </c>
      <c r="E95" s="17">
        <f>IFERROR(__xludf.DUMMYFUNCTION("""COMPUTED_VALUE"""),45762.0)</f>
        <v>45762</v>
      </c>
      <c r="F95" s="18"/>
      <c r="G95" s="19">
        <f>IFERROR(__xludf.DUMMYFUNCTION("""COMPUTED_VALUE"""),17.700000000000003)</f>
        <v>17.7</v>
      </c>
      <c r="H95" s="17">
        <f>IFERROR(__xludf.DUMMYFUNCTION("""COMPUTED_VALUE"""),44964.0)</f>
        <v>44964</v>
      </c>
      <c r="I95" s="19">
        <f>IFERROR(__xludf.DUMMYFUNCTION("""COMPUTED_VALUE"""),2.188888888888889)</f>
        <v>2.188888889</v>
      </c>
      <c r="J95" s="21">
        <f>IFERROR(__xludf.DUMMYFUNCTION("""COMPUTED_VALUE"""),84.0)</f>
        <v>84</v>
      </c>
      <c r="K95" s="23">
        <f>IFERROR(__xludf.DUMMYFUNCTION("""COMPUTED_VALUE"""),8.2)</f>
        <v>8.2</v>
      </c>
      <c r="L95" s="24">
        <f>IFERROR(__xludf.DUMMYFUNCTION("""COMPUTED_VALUE"""),27.0)</f>
        <v>27</v>
      </c>
      <c r="M95" s="25" t="str">
        <f>IFERROR(__xludf.DUMMYFUNCTION("""COMPUTED_VALUE"""),"RPG")</f>
        <v>RPG</v>
      </c>
      <c r="N95" s="25"/>
      <c r="O95" s="26"/>
      <c r="P95" s="26"/>
    </row>
    <row r="96">
      <c r="A96" s="13" t="str">
        <f>IFERROR(__xludf.DUMMYFUNCTION("""COMPUTED_VALUE"""),"Overcooked! All You Can Eat")</f>
        <v>Overcooked! All You Can Eat</v>
      </c>
      <c r="B96" s="15" t="str">
        <f>IFERROR(__xludf.DUMMYFUNCTION("""COMPUTED_VALUE"""),"PS5/PS4")</f>
        <v>PS5/PS4</v>
      </c>
      <c r="C96" s="16" t="str">
        <f>IFERROR(__xludf.DUMMYFUNCTION("""COMPUTED_VALUE"""),"Extra")</f>
        <v>Extra</v>
      </c>
      <c r="D96" s="15" t="str">
        <f>IFERROR(__xludf.DUMMYFUNCTION("""COMPUTED_VALUE"""),"Active")</f>
        <v>Active</v>
      </c>
      <c r="E96" s="17">
        <f>IFERROR(__xludf.DUMMYFUNCTION("""COMPUTED_VALUE"""),45615.0)</f>
        <v>45615</v>
      </c>
      <c r="F96" s="54"/>
      <c r="G96" s="19">
        <f>IFERROR(__xludf.DUMMYFUNCTION("""COMPUTED_VALUE"""),22.566666666666666)</f>
        <v>22.56666667</v>
      </c>
      <c r="H96" s="17">
        <f>IFERROR(__xludf.DUMMYFUNCTION("""COMPUTED_VALUE"""),44147.0)</f>
        <v>44147</v>
      </c>
      <c r="I96" s="19">
        <f>IFERROR(__xludf.DUMMYFUNCTION("""COMPUTED_VALUE"""),4.019444444444445)</f>
        <v>4.019444444</v>
      </c>
      <c r="J96" s="21">
        <f>IFERROR(__xludf.DUMMYFUNCTION("""COMPUTED_VALUE"""),84.0)</f>
        <v>84</v>
      </c>
      <c r="K96" s="23">
        <f>IFERROR(__xludf.DUMMYFUNCTION("""COMPUTED_VALUE"""),7.2)</f>
        <v>7.2</v>
      </c>
      <c r="L96" s="24">
        <f>IFERROR(__xludf.DUMMYFUNCTION("""COMPUTED_VALUE"""),24.0)</f>
        <v>24</v>
      </c>
      <c r="M96" s="25" t="str">
        <f>IFERROR(__xludf.DUMMYFUNCTION("""COMPUTED_VALUE"""),"Arcade")</f>
        <v>Arcade</v>
      </c>
      <c r="N96" s="25"/>
      <c r="O96" s="26" t="str">
        <f>IFERROR(__xludf.DUMMYFUNCTION("""COMPUTED_VALUE"""),"Yes")</f>
        <v>Yes</v>
      </c>
      <c r="P96" s="26"/>
    </row>
    <row r="97">
      <c r="A97" s="13" t="str">
        <f>IFERROR(__xludf.DUMMYFUNCTION("""COMPUTED_VALUE"""),"Deus Ex: Mankind Divided")</f>
        <v>Deus Ex: Mankind Divided</v>
      </c>
      <c r="B97" s="15" t="str">
        <f>IFERROR(__xludf.DUMMYFUNCTION("""COMPUTED_VALUE"""),"PS4")</f>
        <v>PS4</v>
      </c>
      <c r="C97" s="16" t="str">
        <f>IFERROR(__xludf.DUMMYFUNCTION("""COMPUTED_VALUE"""),"Extra")</f>
        <v>Extra</v>
      </c>
      <c r="D97" s="15" t="str">
        <f>IFERROR(__xludf.DUMMYFUNCTION("""COMPUTED_VALUE"""),"Active")</f>
        <v>Active</v>
      </c>
      <c r="E97" s="17">
        <f>IFERROR(__xludf.DUMMYFUNCTION("""COMPUTED_VALUE"""),45097.0)</f>
        <v>45097</v>
      </c>
      <c r="F97" s="54"/>
      <c r="G97" s="19">
        <f>IFERROR(__xludf.DUMMYFUNCTION("""COMPUTED_VALUE"""),39.53333333333333)</f>
        <v>39.53333333</v>
      </c>
      <c r="H97" s="17">
        <f>IFERROR(__xludf.DUMMYFUNCTION("""COMPUTED_VALUE"""),42605.0)</f>
        <v>42605</v>
      </c>
      <c r="I97" s="19">
        <f>IFERROR(__xludf.DUMMYFUNCTION("""COMPUTED_VALUE"""),6.825)</f>
        <v>6.825</v>
      </c>
      <c r="J97" s="21">
        <f>IFERROR(__xludf.DUMMYFUNCTION("""COMPUTED_VALUE"""),84.0)</f>
        <v>84</v>
      </c>
      <c r="K97" s="23">
        <f>IFERROR(__xludf.DUMMYFUNCTION("""COMPUTED_VALUE"""),7.9)</f>
        <v>7.9</v>
      </c>
      <c r="L97" s="24">
        <f>IFERROR(__xludf.DUMMYFUNCTION("""COMPUTED_VALUE"""),26.0)</f>
        <v>26</v>
      </c>
      <c r="M97" s="25" t="str">
        <f>IFERROR(__xludf.DUMMYFUNCTION("""COMPUTED_VALUE"""),"Action-Adventure")</f>
        <v>Action-Adventure</v>
      </c>
      <c r="N97" s="25"/>
      <c r="O97" s="26" t="str">
        <f>IFERROR(__xludf.DUMMYFUNCTION("""COMPUTED_VALUE"""),"Yes")</f>
        <v>Yes</v>
      </c>
      <c r="P97" s="26"/>
    </row>
    <row r="98">
      <c r="A98" s="13" t="str">
        <f>IFERROR(__xludf.DUMMYFUNCTION("""COMPUTED_VALUE"""),"Oddworld: New 'n' Tasty")</f>
        <v>Oddworld: New 'n' Tasty</v>
      </c>
      <c r="B98" s="15" t="str">
        <f>IFERROR(__xludf.DUMMYFUNCTION("""COMPUTED_VALUE"""),"PS4")</f>
        <v>PS4</v>
      </c>
      <c r="C98" s="16" t="str">
        <f>IFERROR(__xludf.DUMMYFUNCTION("""COMPUTED_VALUE"""),"Extra")</f>
        <v>Extra</v>
      </c>
      <c r="D98" s="15" t="str">
        <f>IFERROR(__xludf.DUMMYFUNCTION("""COMPUTED_VALUE"""),"Active")</f>
        <v>Active</v>
      </c>
      <c r="E98" s="17">
        <f>IFERROR(__xludf.DUMMYFUNCTION("""COMPUTED_VALUE"""),44725.0)</f>
        <v>44725</v>
      </c>
      <c r="F98" s="54"/>
      <c r="G98" s="19">
        <f>IFERROR(__xludf.DUMMYFUNCTION("""COMPUTED_VALUE"""),51.766666666666666)</f>
        <v>51.76666667</v>
      </c>
      <c r="H98" s="17">
        <f>IFERROR(__xludf.DUMMYFUNCTION("""COMPUTED_VALUE"""),41842.0)</f>
        <v>41842</v>
      </c>
      <c r="I98" s="19">
        <f>IFERROR(__xludf.DUMMYFUNCTION("""COMPUTED_VALUE"""),7.891666666666667)</f>
        <v>7.891666667</v>
      </c>
      <c r="J98" s="21">
        <f>IFERROR(__xludf.DUMMYFUNCTION("""COMPUTED_VALUE"""),84.0)</f>
        <v>84</v>
      </c>
      <c r="K98" s="23">
        <f>IFERROR(__xludf.DUMMYFUNCTION("""COMPUTED_VALUE"""),7.7)</f>
        <v>7.7</v>
      </c>
      <c r="L98" s="24">
        <f>IFERROR(__xludf.DUMMYFUNCTION("""COMPUTED_VALUE"""),9.0)</f>
        <v>9</v>
      </c>
      <c r="M98" s="25" t="str">
        <f>IFERROR(__xludf.DUMMYFUNCTION("""COMPUTED_VALUE"""),"Platformer")</f>
        <v>Platformer</v>
      </c>
      <c r="N98" s="25"/>
      <c r="O98" s="26" t="str">
        <f>IFERROR(__xludf.DUMMYFUNCTION("""COMPUTED_VALUE"""),"Yes")</f>
        <v>Yes</v>
      </c>
      <c r="P98" s="26"/>
    </row>
    <row r="99">
      <c r="A99" s="13" t="str">
        <f>IFERROR(__xludf.DUMMYFUNCTION("""COMPUTED_VALUE"""),"Prey")</f>
        <v>Prey</v>
      </c>
      <c r="B99" s="15" t="str">
        <f>IFERROR(__xludf.DUMMYFUNCTION("""COMPUTED_VALUE"""),"PS4")</f>
        <v>PS4</v>
      </c>
      <c r="C99" s="16" t="str">
        <f>IFERROR(__xludf.DUMMYFUNCTION("""COMPUTED_VALUE"""),"Extra")</f>
        <v>Extra</v>
      </c>
      <c r="D99" s="15" t="str">
        <f>IFERROR(__xludf.DUMMYFUNCTION("""COMPUTED_VALUE"""),"Active")</f>
        <v>Active</v>
      </c>
      <c r="E99" s="17">
        <f>IFERROR(__xludf.DUMMYFUNCTION("""COMPUTED_VALUE"""),44725.0)</f>
        <v>44725</v>
      </c>
      <c r="F99" s="54"/>
      <c r="G99" s="19">
        <f>IFERROR(__xludf.DUMMYFUNCTION("""COMPUTED_VALUE"""),51.766666666666666)</f>
        <v>51.76666667</v>
      </c>
      <c r="H99" s="17">
        <f>IFERROR(__xludf.DUMMYFUNCTION("""COMPUTED_VALUE"""),42860.0)</f>
        <v>42860</v>
      </c>
      <c r="I99" s="19">
        <f>IFERROR(__xludf.DUMMYFUNCTION("""COMPUTED_VALUE"""),5.105555555555555)</f>
        <v>5.105555556</v>
      </c>
      <c r="J99" s="21">
        <f>IFERROR(__xludf.DUMMYFUNCTION("""COMPUTED_VALUE"""),84.0)</f>
        <v>84</v>
      </c>
      <c r="K99" s="23">
        <f>IFERROR(__xludf.DUMMYFUNCTION("""COMPUTED_VALUE"""),8.1)</f>
        <v>8.1</v>
      </c>
      <c r="L99" s="24">
        <f>IFERROR(__xludf.DUMMYFUNCTION("""COMPUTED_VALUE"""),16.0)</f>
        <v>16</v>
      </c>
      <c r="M99" s="25" t="str">
        <f>IFERROR(__xludf.DUMMYFUNCTION("""COMPUTED_VALUE"""),"Shooter")</f>
        <v>Shooter</v>
      </c>
      <c r="N99" s="25"/>
      <c r="O99" s="26" t="str">
        <f>IFERROR(__xludf.DUMMYFUNCTION("""COMPUTED_VALUE"""),"Yes")</f>
        <v>Yes</v>
      </c>
      <c r="P99" s="26"/>
    </row>
    <row r="100">
      <c r="A100" s="13" t="str">
        <f>IFERROR(__xludf.DUMMYFUNCTION("""COMPUTED_VALUE"""),"I.Q Intelligent Qube")</f>
        <v>I.Q Intelligent Qube</v>
      </c>
      <c r="B100" s="15" t="str">
        <f>IFERROR(__xludf.DUMMYFUNCTION("""COMPUTED_VALUE"""),"PS5/PS4")</f>
        <v>PS5/PS4</v>
      </c>
      <c r="C100" s="16" t="str">
        <f>IFERROR(__xludf.DUMMYFUNCTION("""COMPUTED_VALUE"""),"Premium (Classics)")</f>
        <v>Premium (Classics)</v>
      </c>
      <c r="D100" s="15" t="str">
        <f>IFERROR(__xludf.DUMMYFUNCTION("""COMPUTED_VALUE"""),"Active")</f>
        <v>Active</v>
      </c>
      <c r="E100" s="17">
        <f>IFERROR(__xludf.DUMMYFUNCTION("""COMPUTED_VALUE"""),44725.0)</f>
        <v>44725</v>
      </c>
      <c r="F100" s="54"/>
      <c r="G100" s="19">
        <f>IFERROR(__xludf.DUMMYFUNCTION("""COMPUTED_VALUE"""),51.766666666666666)</f>
        <v>51.76666667</v>
      </c>
      <c r="H100" s="17">
        <f>IFERROR(__xludf.DUMMYFUNCTION("""COMPUTED_VALUE"""),35764.0)</f>
        <v>35764</v>
      </c>
      <c r="I100" s="19">
        <f>IFERROR(__xludf.DUMMYFUNCTION("""COMPUTED_VALUE"""),24.53611111111111)</f>
        <v>24.53611111</v>
      </c>
      <c r="J100" s="21">
        <f>IFERROR(__xludf.DUMMYFUNCTION("""COMPUTED_VALUE"""),84.0)</f>
        <v>84</v>
      </c>
      <c r="K100" s="23">
        <f>IFERROR(__xludf.DUMMYFUNCTION("""COMPUTED_VALUE"""),8.5)</f>
        <v>8.5</v>
      </c>
      <c r="L100" s="24"/>
      <c r="M100" s="25" t="str">
        <f>IFERROR(__xludf.DUMMYFUNCTION("""COMPUTED_VALUE"""),"Puzzle")</f>
        <v>Puzzle</v>
      </c>
      <c r="N100" s="25" t="str">
        <f>IFERROR(__xludf.DUMMYFUNCTION("""COMPUTED_VALUE"""),"PS1")</f>
        <v>PS1</v>
      </c>
      <c r="O100" s="26" t="str">
        <f>IFERROR(__xludf.DUMMYFUNCTION("""COMPUTED_VALUE"""),"Yes")</f>
        <v>Yes</v>
      </c>
      <c r="P100" s="26" t="str">
        <f>IFERROR(__xludf.DUMMYFUNCTION("""COMPUTED_VALUE"""),"")</f>
        <v/>
      </c>
    </row>
    <row r="101">
      <c r="A101" s="13" t="str">
        <f>IFERROR(__xludf.DUMMYFUNCTION("""COMPUTED_VALUE"""),"Jak 3")</f>
        <v>Jak 3</v>
      </c>
      <c r="B101" s="15" t="str">
        <f>IFERROR(__xludf.DUMMYFUNCTION("""COMPUTED_VALUE"""),"PS4")</f>
        <v>PS4</v>
      </c>
      <c r="C101" s="16" t="str">
        <f>IFERROR(__xludf.DUMMYFUNCTION("""COMPUTED_VALUE"""),"Premium (Classics)")</f>
        <v>Premium (Classics)</v>
      </c>
      <c r="D101" s="15" t="str">
        <f>IFERROR(__xludf.DUMMYFUNCTION("""COMPUTED_VALUE"""),"Active")</f>
        <v>Active</v>
      </c>
      <c r="E101" s="17">
        <f>IFERROR(__xludf.DUMMYFUNCTION("""COMPUTED_VALUE"""),44725.0)</f>
        <v>44725</v>
      </c>
      <c r="F101" s="54"/>
      <c r="G101" s="19">
        <f>IFERROR(__xludf.DUMMYFUNCTION("""COMPUTED_VALUE"""),51.766666666666666)</f>
        <v>51.76666667</v>
      </c>
      <c r="H101" s="17">
        <f>IFERROR(__xludf.DUMMYFUNCTION("""COMPUTED_VALUE"""),38292.0)</f>
        <v>38292</v>
      </c>
      <c r="I101" s="19">
        <f>IFERROR(__xludf.DUMMYFUNCTION("""COMPUTED_VALUE"""),17.616666666666667)</f>
        <v>17.61666667</v>
      </c>
      <c r="J101" s="21">
        <f>IFERROR(__xludf.DUMMYFUNCTION("""COMPUTED_VALUE"""),84.0)</f>
        <v>84</v>
      </c>
      <c r="K101" s="23">
        <f>IFERROR(__xludf.DUMMYFUNCTION("""COMPUTED_VALUE"""),8.5)</f>
        <v>8.5</v>
      </c>
      <c r="L101" s="24">
        <f>IFERROR(__xludf.DUMMYFUNCTION("""COMPUTED_VALUE"""),18.0)</f>
        <v>18</v>
      </c>
      <c r="M101" s="25" t="str">
        <f>IFERROR(__xludf.DUMMYFUNCTION("""COMPUTED_VALUE"""),"Platformer")</f>
        <v>Platformer</v>
      </c>
      <c r="N101" s="25" t="str">
        <f>IFERROR(__xludf.DUMMYFUNCTION("""COMPUTED_VALUE"""),"PS2")</f>
        <v>PS2</v>
      </c>
      <c r="O101" s="26" t="str">
        <f>IFERROR(__xludf.DUMMYFUNCTION("""COMPUTED_VALUE"""),"Yes")</f>
        <v>Yes</v>
      </c>
      <c r="P101" s="26" t="str">
        <f>IFERROR(__xludf.DUMMYFUNCTION("""COMPUTED_VALUE"""),"")</f>
        <v/>
      </c>
    </row>
    <row r="102">
      <c r="A102" s="13" t="str">
        <f>IFERROR(__xludf.DUMMYFUNCTION("""COMPUTED_VALUE"""),"UNCHARTED: The Lost Legacy")</f>
        <v>UNCHARTED: The Lost Legacy</v>
      </c>
      <c r="B102" s="15" t="str">
        <f>IFERROR(__xludf.DUMMYFUNCTION("""COMPUTED_VALUE"""),"PS4")</f>
        <v>PS4</v>
      </c>
      <c r="C102" s="16" t="str">
        <f>IFERROR(__xludf.DUMMYFUNCTION("""COMPUTED_VALUE"""),"Extra")</f>
        <v>Extra</v>
      </c>
      <c r="D102" s="15" t="str">
        <f>IFERROR(__xludf.DUMMYFUNCTION("""COMPUTED_VALUE"""),"Active")</f>
        <v>Active</v>
      </c>
      <c r="E102" s="17">
        <f>IFERROR(__xludf.DUMMYFUNCTION("""COMPUTED_VALUE"""),43928.0)</f>
        <v>43928</v>
      </c>
      <c r="F102" s="54"/>
      <c r="G102" s="19">
        <f>IFERROR(__xludf.DUMMYFUNCTION("""COMPUTED_VALUE"""),77.96666666666667)</f>
        <v>77.96666667</v>
      </c>
      <c r="H102" s="17">
        <f>IFERROR(__xludf.DUMMYFUNCTION("""COMPUTED_VALUE"""),42969.0)</f>
        <v>42969</v>
      </c>
      <c r="I102" s="19">
        <f>IFERROR(__xludf.DUMMYFUNCTION("""COMPUTED_VALUE"""),2.625)</f>
        <v>2.625</v>
      </c>
      <c r="J102" s="21">
        <f>IFERROR(__xludf.DUMMYFUNCTION("""COMPUTED_VALUE"""),84.0)</f>
        <v>84</v>
      </c>
      <c r="K102" s="23">
        <f>IFERROR(__xludf.DUMMYFUNCTION("""COMPUTED_VALUE"""),7.8)</f>
        <v>7.8</v>
      </c>
      <c r="L102" s="24">
        <f>IFERROR(__xludf.DUMMYFUNCTION("""COMPUTED_VALUE"""),8.0)</f>
        <v>8</v>
      </c>
      <c r="M102" s="25" t="str">
        <f>IFERROR(__xludf.DUMMYFUNCTION("""COMPUTED_VALUE"""),"Action-Adventure")</f>
        <v>Action-Adventure</v>
      </c>
      <c r="N102" s="25"/>
      <c r="O102" s="26" t="str">
        <f>IFERROR(__xludf.DUMMYFUNCTION("""COMPUTED_VALUE"""),"No")</f>
        <v>No</v>
      </c>
      <c r="P102" s="26"/>
    </row>
    <row r="103">
      <c r="A103" s="13" t="str">
        <f>IFERROR(__xludf.DUMMYFUNCTION("""COMPUTED_VALUE"""),"Resogun")</f>
        <v>Resogun</v>
      </c>
      <c r="B103" s="15" t="str">
        <f>IFERROR(__xludf.DUMMYFUNCTION("""COMPUTED_VALUE"""),"PS4")</f>
        <v>PS4</v>
      </c>
      <c r="C103" s="16" t="str">
        <f>IFERROR(__xludf.DUMMYFUNCTION("""COMPUTED_VALUE"""),"Extra")</f>
        <v>Extra</v>
      </c>
      <c r="D103" s="15" t="str">
        <f>IFERROR(__xludf.DUMMYFUNCTION("""COMPUTED_VALUE"""),"Active")</f>
        <v>Active</v>
      </c>
      <c r="E103" s="17">
        <f>IFERROR(__xludf.DUMMYFUNCTION("""COMPUTED_VALUE"""),42922.0)</f>
        <v>42922</v>
      </c>
      <c r="F103" s="54"/>
      <c r="G103" s="19">
        <f>IFERROR(__xludf.DUMMYFUNCTION("""COMPUTED_VALUE"""),111.0)</f>
        <v>111</v>
      </c>
      <c r="H103" s="17">
        <f>IFERROR(__xludf.DUMMYFUNCTION("""COMPUTED_VALUE"""),41593.0)</f>
        <v>41593</v>
      </c>
      <c r="I103" s="19">
        <f>IFERROR(__xludf.DUMMYFUNCTION("""COMPUTED_VALUE"""),3.6416666666666666)</f>
        <v>3.641666667</v>
      </c>
      <c r="J103" s="21">
        <f>IFERROR(__xludf.DUMMYFUNCTION("""COMPUTED_VALUE"""),84.0)</f>
        <v>84</v>
      </c>
      <c r="K103" s="23">
        <f>IFERROR(__xludf.DUMMYFUNCTION("""COMPUTED_VALUE"""),8.1)</f>
        <v>8.1</v>
      </c>
      <c r="L103" s="24">
        <f>IFERROR(__xludf.DUMMYFUNCTION("""COMPUTED_VALUE"""),4.0)</f>
        <v>4</v>
      </c>
      <c r="M103" s="25" t="str">
        <f>IFERROR(__xludf.DUMMYFUNCTION("""COMPUTED_VALUE"""),"Shooter")</f>
        <v>Shooter</v>
      </c>
      <c r="N103" s="25"/>
      <c r="O103" s="26" t="str">
        <f>IFERROR(__xludf.DUMMYFUNCTION("""COMPUTED_VALUE"""),"Yes")</f>
        <v>Yes</v>
      </c>
      <c r="P103" s="26"/>
    </row>
    <row r="104">
      <c r="A104" s="13" t="str">
        <f>IFERROR(__xludf.DUMMYFUNCTION("""COMPUTED_VALUE"""),"Yakuza: Like a Dragon")</f>
        <v>Yakuza: Like a Dragon</v>
      </c>
      <c r="B104" s="15" t="str">
        <f>IFERROR(__xludf.DUMMYFUNCTION("""COMPUTED_VALUE"""),"PS5/PS4")</f>
        <v>PS5/PS4</v>
      </c>
      <c r="C104" s="16" t="str">
        <f>IFERROR(__xludf.DUMMYFUNCTION("""COMPUTED_VALUE"""),"Extra")</f>
        <v>Extra</v>
      </c>
      <c r="D104" s="15" t="str">
        <f>IFERROR(__xludf.DUMMYFUNCTION("""COMPUTED_VALUE"""),"Leaving Soon")</f>
        <v>Leaving Soon</v>
      </c>
      <c r="E104" s="17">
        <f>IFERROR(__xludf.DUMMYFUNCTION("""COMPUTED_VALUE"""),45951.0)</f>
        <v>45951</v>
      </c>
      <c r="F104" s="54">
        <f>IFERROR(__xludf.DUMMYFUNCTION("""COMPUTED_VALUE"""),46314.0)</f>
        <v>46314</v>
      </c>
      <c r="G104" s="19">
        <f>IFERROR(__xludf.DUMMYFUNCTION("""COMPUTED_VALUE"""),11.933333333333334)</f>
        <v>11.93333333</v>
      </c>
      <c r="H104" s="17">
        <f>IFERROR(__xludf.DUMMYFUNCTION("""COMPUTED_VALUE"""),44145.0)</f>
        <v>44145</v>
      </c>
      <c r="I104" s="19">
        <f>IFERROR(__xludf.DUMMYFUNCTION("""COMPUTED_VALUE"""),4.947222222222222)</f>
        <v>4.947222222</v>
      </c>
      <c r="J104" s="21">
        <f>IFERROR(__xludf.DUMMYFUNCTION("""COMPUTED_VALUE"""),84.0)</f>
        <v>84</v>
      </c>
      <c r="K104" s="23">
        <f>IFERROR(__xludf.DUMMYFUNCTION("""COMPUTED_VALUE"""),8.2)</f>
        <v>8.2</v>
      </c>
      <c r="L104" s="24">
        <f>IFERROR(__xludf.DUMMYFUNCTION("""COMPUTED_VALUE"""),46.0)</f>
        <v>46</v>
      </c>
      <c r="M104" s="25" t="str">
        <f>IFERROR(__xludf.DUMMYFUNCTION("""COMPUTED_VALUE"""),"RPG")</f>
        <v>RPG</v>
      </c>
      <c r="N104" s="25"/>
      <c r="O104" s="26"/>
      <c r="P104" s="26"/>
    </row>
    <row r="105">
      <c r="A105" s="13" t="str">
        <f>IFERROR(__xludf.DUMMYFUNCTION("""COMPUTED_VALUE"""),"Metro Redux")</f>
        <v>Metro Redux</v>
      </c>
      <c r="B105" s="15" t="str">
        <f>IFERROR(__xludf.DUMMYFUNCTION("""COMPUTED_VALUE"""),"PS4")</f>
        <v>PS4</v>
      </c>
      <c r="C105" s="16" t="str">
        <f>IFERROR(__xludf.DUMMYFUNCTION("""COMPUTED_VALUE"""),"Premium (Remasters)")</f>
        <v>Premium (Remasters)</v>
      </c>
      <c r="D105" s="15" t="str">
        <f>IFERROR(__xludf.DUMMYFUNCTION("""COMPUTED_VALUE"""),"Active")</f>
        <v>Active</v>
      </c>
      <c r="E105" s="17">
        <f>IFERROR(__xludf.DUMMYFUNCTION("""COMPUTED_VALUE"""),46280.0)</f>
        <v>46280</v>
      </c>
      <c r="F105" s="18"/>
      <c r="G105" s="19">
        <f>IFERROR(__xludf.DUMMYFUNCTION("""COMPUTED_VALUE"""),0.7)</f>
        <v>0.7</v>
      </c>
      <c r="H105" s="17">
        <f>IFERROR(__xludf.DUMMYFUNCTION("""COMPUTED_VALUE"""),41877.0)</f>
        <v>41877</v>
      </c>
      <c r="I105" s="19">
        <f>IFERROR(__xludf.DUMMYFUNCTION("""COMPUTED_VALUE"""),12.052777777777777)</f>
        <v>12.05277778</v>
      </c>
      <c r="J105" s="21">
        <f>IFERROR(__xludf.DUMMYFUNCTION("""COMPUTED_VALUE"""),83.0)</f>
        <v>83</v>
      </c>
      <c r="K105" s="23">
        <f>IFERROR(__xludf.DUMMYFUNCTION("""COMPUTED_VALUE"""),8.1)</f>
        <v>8.1</v>
      </c>
      <c r="L105" s="24">
        <f>IFERROR(__xludf.DUMMYFUNCTION("""COMPUTED_VALUE"""),17.0)</f>
        <v>17</v>
      </c>
      <c r="M105" s="25" t="str">
        <f>IFERROR(__xludf.DUMMYFUNCTION("""COMPUTED_VALUE"""),"Shooter")</f>
        <v>Shooter</v>
      </c>
      <c r="N105" s="25" t="str">
        <f>IFERROR(__xludf.DUMMYFUNCTION("""COMPUTED_VALUE"""),"PS3, remasters of Metro 2033 and Metro: Last Light")</f>
        <v>PS3, remasters of Metro 2033 and Metro: Last Light</v>
      </c>
      <c r="O105" s="26"/>
      <c r="P105" s="26"/>
    </row>
    <row r="106">
      <c r="A106" s="13" t="str">
        <f>IFERROR(__xludf.DUMMYFUNCTION("""COMPUTED_VALUE"""),"Like a Dragon: Infinite Wealth")</f>
        <v>Like a Dragon: Infinite Wealth</v>
      </c>
      <c r="B106" s="15" t="str">
        <f>IFERROR(__xludf.DUMMYFUNCTION("""COMPUTED_VALUE"""),"PS5/PS4")</f>
        <v>PS5/PS4</v>
      </c>
      <c r="C106" s="16" t="str">
        <f>IFERROR(__xludf.DUMMYFUNCTION("""COMPUTED_VALUE"""),"Extra")</f>
        <v>Extra</v>
      </c>
      <c r="D106" s="15" t="str">
        <f>IFERROR(__xludf.DUMMYFUNCTION("""COMPUTED_VALUE"""),"Active")</f>
        <v>Active</v>
      </c>
      <c r="E106" s="17">
        <f>IFERROR(__xludf.DUMMYFUNCTION("""COMPUTED_VALUE"""),46042.0)</f>
        <v>46042</v>
      </c>
      <c r="F106" s="54"/>
      <c r="G106" s="19">
        <f>IFERROR(__xludf.DUMMYFUNCTION("""COMPUTED_VALUE"""),8.533333333333333)</f>
        <v>8.533333333</v>
      </c>
      <c r="H106" s="17">
        <f>IFERROR(__xludf.DUMMYFUNCTION("""COMPUTED_VALUE"""),45317.0)</f>
        <v>45317</v>
      </c>
      <c r="I106" s="19">
        <f>IFERROR(__xludf.DUMMYFUNCTION("""COMPUTED_VALUE"""),1.9833333333333334)</f>
        <v>1.983333333</v>
      </c>
      <c r="J106" s="21">
        <f>IFERROR(__xludf.DUMMYFUNCTION("""COMPUTED_VALUE"""),83.0)</f>
        <v>83</v>
      </c>
      <c r="K106" s="23">
        <f>IFERROR(__xludf.DUMMYFUNCTION("""COMPUTED_VALUE"""),8.2)</f>
        <v>8.2</v>
      </c>
      <c r="L106" s="24">
        <f>IFERROR(__xludf.DUMMYFUNCTION("""COMPUTED_VALUE"""),44.0)</f>
        <v>44</v>
      </c>
      <c r="M106" s="25" t="str">
        <f>IFERROR(__xludf.DUMMYFUNCTION("""COMPUTED_VALUE"""),"Action-Adventure")</f>
        <v>Action-Adventure</v>
      </c>
      <c r="N106" s="25"/>
      <c r="O106" s="26"/>
      <c r="P106" s="26"/>
    </row>
    <row r="107">
      <c r="A107" s="13" t="str">
        <f>IFERROR(__xludf.DUMMYFUNCTION("""COMPUTED_VALUE"""),"Riven")</f>
        <v>Riven</v>
      </c>
      <c r="B107" s="15" t="str">
        <f>IFERROR(__xludf.DUMMYFUNCTION("""COMPUTED_VALUE"""),"PS5/PS4")</f>
        <v>PS5/PS4</v>
      </c>
      <c r="C107" s="16" t="str">
        <f>IFERROR(__xludf.DUMMYFUNCTION("""COMPUTED_VALUE"""),"Premium (Classics)")</f>
        <v>Premium (Classics)</v>
      </c>
      <c r="D107" s="15" t="str">
        <f>IFERROR(__xludf.DUMMYFUNCTION("""COMPUTED_VALUE"""),"Active")</f>
        <v>Active</v>
      </c>
      <c r="E107" s="17">
        <f>IFERROR(__xludf.DUMMYFUNCTION("""COMPUTED_VALUE"""),45813.0)</f>
        <v>45813</v>
      </c>
      <c r="F107" s="54"/>
      <c r="G107" s="19">
        <f>IFERROR(__xludf.DUMMYFUNCTION("""COMPUTED_VALUE"""),16.03333333333333)</f>
        <v>16.03333333</v>
      </c>
      <c r="H107" s="17">
        <f>IFERROR(__xludf.DUMMYFUNCTION("""COMPUTED_VALUE"""),35734.0)</f>
        <v>35734</v>
      </c>
      <c r="I107" s="19">
        <f>IFERROR(__xludf.DUMMYFUNCTION("""COMPUTED_VALUE"""),27.59722222222222)</f>
        <v>27.59722222</v>
      </c>
      <c r="J107" s="21">
        <f>IFERROR(__xludf.DUMMYFUNCTION("""COMPUTED_VALUE"""),83.0)</f>
        <v>83</v>
      </c>
      <c r="K107" s="23">
        <f>IFERROR(__xludf.DUMMYFUNCTION("""COMPUTED_VALUE"""),7.6)</f>
        <v>7.6</v>
      </c>
      <c r="L107" s="24">
        <f>IFERROR(__xludf.DUMMYFUNCTION("""COMPUTED_VALUE"""),10.0)</f>
        <v>10</v>
      </c>
      <c r="M107" s="25" t="str">
        <f>IFERROR(__xludf.DUMMYFUNCTION("""COMPUTED_VALUE"""),"Puzzle")</f>
        <v>Puzzle</v>
      </c>
      <c r="N107" s="25" t="str">
        <f>IFERROR(__xludf.DUMMYFUNCTION("""COMPUTED_VALUE"""),"PS1")</f>
        <v>PS1</v>
      </c>
      <c r="O107" s="26"/>
      <c r="P107" s="26"/>
    </row>
    <row r="108">
      <c r="A108" s="13" t="str">
        <f>IFERROR(__xludf.DUMMYFUNCTION("""COMPUTED_VALUE"""),"S.T.A.L.K.E.R.: Legends of the Zone Trilogy")</f>
        <v>S.T.A.L.K.E.R.: Legends of the Zone Trilogy</v>
      </c>
      <c r="B108" s="15" t="str">
        <f>IFERROR(__xludf.DUMMYFUNCTION("""COMPUTED_VALUE"""),"PS5/PS4")</f>
        <v>PS5/PS4</v>
      </c>
      <c r="C108" s="16" t="str">
        <f>IFERROR(__xludf.DUMMYFUNCTION("""COMPUTED_VALUE"""),"Extra")</f>
        <v>Extra</v>
      </c>
      <c r="D108" s="15" t="str">
        <f>IFERROR(__xludf.DUMMYFUNCTION("""COMPUTED_VALUE"""),"Active")</f>
        <v>Active</v>
      </c>
      <c r="E108" s="17">
        <f>IFERROR(__xludf.DUMMYFUNCTION("""COMPUTED_VALUE"""),45797.0)</f>
        <v>45797</v>
      </c>
      <c r="F108" s="54"/>
      <c r="G108" s="19">
        <f>IFERROR(__xludf.DUMMYFUNCTION("""COMPUTED_VALUE"""),16.53333333333333)</f>
        <v>16.53333333</v>
      </c>
      <c r="H108" s="17">
        <f>IFERROR(__xludf.DUMMYFUNCTION("""COMPUTED_VALUE"""),45596.0)</f>
        <v>45596</v>
      </c>
      <c r="I108" s="19">
        <f>IFERROR(__xludf.DUMMYFUNCTION("""COMPUTED_VALUE"""),0.5555555555555556)</f>
        <v>0.5555555556</v>
      </c>
      <c r="J108" s="21">
        <f>IFERROR(__xludf.DUMMYFUNCTION("""COMPUTED_VALUE"""),83.0)</f>
        <v>83</v>
      </c>
      <c r="K108" s="23">
        <f>IFERROR(__xludf.DUMMYFUNCTION("""COMPUTED_VALUE"""),7.3)</f>
        <v>7.3</v>
      </c>
      <c r="L108" s="24">
        <f>IFERROR(__xludf.DUMMYFUNCTION("""COMPUTED_VALUE"""),23.0)</f>
        <v>23</v>
      </c>
      <c r="M108" s="25" t="str">
        <f>IFERROR(__xludf.DUMMYFUNCTION("""COMPUTED_VALUE"""),"Shooter")</f>
        <v>Shooter</v>
      </c>
      <c r="N108" s="25"/>
      <c r="O108" s="26"/>
      <c r="P108" s="26"/>
    </row>
    <row r="109">
      <c r="A109" s="13" t="str">
        <f>IFERROR(__xludf.DUMMYFUNCTION("""COMPUTED_VALUE"""),"Sly 3: Honor Among Thieves")</f>
        <v>Sly 3: Honor Among Thieves</v>
      </c>
      <c r="B109" s="15" t="str">
        <f>IFERROR(__xludf.DUMMYFUNCTION("""COMPUTED_VALUE"""),"PS5/PS4")</f>
        <v>PS5/PS4</v>
      </c>
      <c r="C109" s="16" t="str">
        <f>IFERROR(__xludf.DUMMYFUNCTION("""COMPUTED_VALUE"""),"Premium (Classics)")</f>
        <v>Premium (Classics)</v>
      </c>
      <c r="D109" s="15" t="str">
        <f>IFERROR(__xludf.DUMMYFUNCTION("""COMPUTED_VALUE"""),"Active")</f>
        <v>Active</v>
      </c>
      <c r="E109" s="17">
        <f>IFERROR(__xludf.DUMMYFUNCTION("""COMPUTED_VALUE"""),45643.0)</f>
        <v>45643</v>
      </c>
      <c r="F109" s="54"/>
      <c r="G109" s="19">
        <f>IFERROR(__xludf.DUMMYFUNCTION("""COMPUTED_VALUE"""),21.633333333333333)</f>
        <v>21.63333333</v>
      </c>
      <c r="H109" s="17">
        <f>IFERROR(__xludf.DUMMYFUNCTION("""COMPUTED_VALUE"""),38621.0)</f>
        <v>38621</v>
      </c>
      <c r="I109" s="19">
        <f>IFERROR(__xludf.DUMMYFUNCTION("""COMPUTED_VALUE"""),19.225)</f>
        <v>19.225</v>
      </c>
      <c r="J109" s="21">
        <f>IFERROR(__xludf.DUMMYFUNCTION("""COMPUTED_VALUE"""),83.0)</f>
        <v>83</v>
      </c>
      <c r="K109" s="23">
        <f>IFERROR(__xludf.DUMMYFUNCTION("""COMPUTED_VALUE"""),8.9)</f>
        <v>8.9</v>
      </c>
      <c r="L109" s="24">
        <f>IFERROR(__xludf.DUMMYFUNCTION("""COMPUTED_VALUE"""),13.0)</f>
        <v>13</v>
      </c>
      <c r="M109" s="25" t="str">
        <f>IFERROR(__xludf.DUMMYFUNCTION("""COMPUTED_VALUE"""),"Platformer")</f>
        <v>Platformer</v>
      </c>
      <c r="N109" s="25" t="str">
        <f>IFERROR(__xludf.DUMMYFUNCTION("""COMPUTED_VALUE"""),"PS2")</f>
        <v>PS2</v>
      </c>
      <c r="O109" s="26" t="str">
        <f>IFERROR(__xludf.DUMMYFUNCTION("""COMPUTED_VALUE"""),"Yes")</f>
        <v>Yes</v>
      </c>
      <c r="P109" s="26"/>
    </row>
    <row r="110">
      <c r="A110" s="13" t="str">
        <f>IFERROR(__xludf.DUMMYFUNCTION("""COMPUTED_VALUE"""),"Stick Fight: The Game")</f>
        <v>Stick Fight: The Game</v>
      </c>
      <c r="B110" s="15" t="str">
        <f>IFERROR(__xludf.DUMMYFUNCTION("""COMPUTED_VALUE"""),"PS4")</f>
        <v>PS4</v>
      </c>
      <c r="C110" s="16" t="str">
        <f>IFERROR(__xludf.DUMMYFUNCTION("""COMPUTED_VALUE"""),"Extra")</f>
        <v>Extra</v>
      </c>
      <c r="D110" s="15" t="str">
        <f>IFERROR(__xludf.DUMMYFUNCTION("""COMPUTED_VALUE"""),"Active")</f>
        <v>Active</v>
      </c>
      <c r="E110" s="17">
        <f>IFERROR(__xludf.DUMMYFUNCTION("""COMPUTED_VALUE"""),45615.0)</f>
        <v>45615</v>
      </c>
      <c r="F110" s="54"/>
      <c r="G110" s="19">
        <f>IFERROR(__xludf.DUMMYFUNCTION("""COMPUTED_VALUE"""),22.566666666666666)</f>
        <v>22.56666667</v>
      </c>
      <c r="H110" s="17">
        <f>IFERROR(__xludf.DUMMYFUNCTION("""COMPUTED_VALUE"""),44287.0)</f>
        <v>44287</v>
      </c>
      <c r="I110" s="19">
        <f>IFERROR(__xludf.DUMMYFUNCTION("""COMPUTED_VALUE"""),3.6333333333333333)</f>
        <v>3.633333333</v>
      </c>
      <c r="J110" s="21">
        <f>IFERROR(__xludf.DUMMYFUNCTION("""COMPUTED_VALUE"""),83.0)</f>
        <v>83</v>
      </c>
      <c r="K110" s="23">
        <f>IFERROR(__xludf.DUMMYFUNCTION("""COMPUTED_VALUE"""),7.8)</f>
        <v>7.8</v>
      </c>
      <c r="L110" s="24">
        <f>IFERROR(__xludf.DUMMYFUNCTION("""COMPUTED_VALUE"""),8.0)</f>
        <v>8</v>
      </c>
      <c r="M110" s="25" t="str">
        <f>IFERROR(__xludf.DUMMYFUNCTION("""COMPUTED_VALUE"""),"Platformer")</f>
        <v>Platformer</v>
      </c>
      <c r="N110" s="25"/>
      <c r="O110" s="26" t="str">
        <f>IFERROR(__xludf.DUMMYFUNCTION("""COMPUTED_VALUE"""),"No")</f>
        <v>No</v>
      </c>
      <c r="P110" s="26"/>
    </row>
    <row r="111">
      <c r="A111" s="13" t="str">
        <f>IFERROR(__xludf.DUMMYFUNCTION("""COMPUTED_VALUE"""),"Two Point Campus")</f>
        <v>Two Point Campus</v>
      </c>
      <c r="B111" s="15" t="str">
        <f>IFERROR(__xludf.DUMMYFUNCTION("""COMPUTED_VALUE"""),"PS5/PS4")</f>
        <v>PS5/PS4</v>
      </c>
      <c r="C111" s="16" t="str">
        <f>IFERROR(__xludf.DUMMYFUNCTION("""COMPUTED_VALUE"""),"Extra")</f>
        <v>Extra</v>
      </c>
      <c r="D111" s="15" t="str">
        <f>IFERROR(__xludf.DUMMYFUNCTION("""COMPUTED_VALUE"""),"Active")</f>
        <v>Active</v>
      </c>
      <c r="E111" s="17">
        <f>IFERROR(__xludf.DUMMYFUNCTION("""COMPUTED_VALUE"""),45580.0)</f>
        <v>45580</v>
      </c>
      <c r="F111" s="54"/>
      <c r="G111" s="19">
        <f>IFERROR(__xludf.DUMMYFUNCTION("""COMPUTED_VALUE"""),23.700000000000003)</f>
        <v>23.7</v>
      </c>
      <c r="H111" s="17">
        <f>IFERROR(__xludf.DUMMYFUNCTION("""COMPUTED_VALUE"""),44782.0)</f>
        <v>44782</v>
      </c>
      <c r="I111" s="19">
        <f>IFERROR(__xludf.DUMMYFUNCTION("""COMPUTED_VALUE"""),2.183333333333333)</f>
        <v>2.183333333</v>
      </c>
      <c r="J111" s="21">
        <f>IFERROR(__xludf.DUMMYFUNCTION("""COMPUTED_VALUE"""),83.0)</f>
        <v>83</v>
      </c>
      <c r="K111" s="23">
        <f>IFERROR(__xludf.DUMMYFUNCTION("""COMPUTED_VALUE"""),7.2)</f>
        <v>7.2</v>
      </c>
      <c r="L111" s="24">
        <f>IFERROR(__xludf.DUMMYFUNCTION("""COMPUTED_VALUE"""),25.0)</f>
        <v>25</v>
      </c>
      <c r="M111" s="25" t="str">
        <f>IFERROR(__xludf.DUMMYFUNCTION("""COMPUTED_VALUE"""),"Tycoon")</f>
        <v>Tycoon</v>
      </c>
      <c r="N111" s="25"/>
      <c r="O111" s="26" t="str">
        <f>IFERROR(__xludf.DUMMYFUNCTION("""COMPUTED_VALUE"""),"Portal (PS5 + Premium)")</f>
        <v>Portal (PS5 + Premium)</v>
      </c>
      <c r="P111" s="26"/>
    </row>
    <row r="112">
      <c r="A112" s="13" t="str">
        <f>IFERROR(__xludf.DUMMYFUNCTION("""COMPUTED_VALUE"""),"GRIS")</f>
        <v>GRIS</v>
      </c>
      <c r="B112" s="15" t="str">
        <f>IFERROR(__xludf.DUMMYFUNCTION("""COMPUTED_VALUE"""),"PS5/PS4")</f>
        <v>PS5/PS4</v>
      </c>
      <c r="C112" s="16" t="str">
        <f>IFERROR(__xludf.DUMMYFUNCTION("""COMPUTED_VALUE"""),"Extra")</f>
        <v>Extra</v>
      </c>
      <c r="D112" s="15" t="str">
        <f>IFERROR(__xludf.DUMMYFUNCTION("""COMPUTED_VALUE"""),"Active")</f>
        <v>Active</v>
      </c>
      <c r="E112" s="17">
        <f>IFERROR(__xludf.DUMMYFUNCTION("""COMPUTED_VALUE"""),45580.0)</f>
        <v>45580</v>
      </c>
      <c r="F112" s="54"/>
      <c r="G112" s="19">
        <f>IFERROR(__xludf.DUMMYFUNCTION("""COMPUTED_VALUE"""),23.700000000000003)</f>
        <v>23.7</v>
      </c>
      <c r="H112" s="17">
        <f>IFERROR(__xludf.DUMMYFUNCTION("""COMPUTED_VALUE"""),43447.0)</f>
        <v>43447</v>
      </c>
      <c r="I112" s="19">
        <f>IFERROR(__xludf.DUMMYFUNCTION("""COMPUTED_VALUE"""),5.838888888888889)</f>
        <v>5.838888889</v>
      </c>
      <c r="J112" s="21">
        <f>IFERROR(__xludf.DUMMYFUNCTION("""COMPUTED_VALUE"""),83.0)</f>
        <v>83</v>
      </c>
      <c r="K112" s="23">
        <f>IFERROR(__xludf.DUMMYFUNCTION("""COMPUTED_VALUE"""),8.2)</f>
        <v>8.2</v>
      </c>
      <c r="L112" s="24">
        <f>IFERROR(__xludf.DUMMYFUNCTION("""COMPUTED_VALUE"""),4.0)</f>
        <v>4</v>
      </c>
      <c r="M112" s="25" t="str">
        <f>IFERROR(__xludf.DUMMYFUNCTION("""COMPUTED_VALUE"""),"Platformer")</f>
        <v>Platformer</v>
      </c>
      <c r="N112" s="25"/>
      <c r="O112" s="26" t="str">
        <f>IFERROR(__xludf.DUMMYFUNCTION("""COMPUTED_VALUE"""),"Yes")</f>
        <v>Yes</v>
      </c>
      <c r="P112" s="26"/>
    </row>
    <row r="113">
      <c r="A113" s="13" t="str">
        <f>IFERROR(__xludf.DUMMYFUNCTION("""COMPUTED_VALUE"""),"TimeSplitters: Future Perfect")</f>
        <v>TimeSplitters: Future Perfect</v>
      </c>
      <c r="B113" s="15" t="str">
        <f>IFERROR(__xludf.DUMMYFUNCTION("""COMPUTED_VALUE"""),"PS5/PS4")</f>
        <v>PS5/PS4</v>
      </c>
      <c r="C113" s="16" t="str">
        <f>IFERROR(__xludf.DUMMYFUNCTION("""COMPUTED_VALUE"""),"Premium (Classics)")</f>
        <v>Premium (Classics)</v>
      </c>
      <c r="D113" s="15" t="str">
        <f>IFERROR(__xludf.DUMMYFUNCTION("""COMPUTED_VALUE"""),"Active")</f>
        <v>Active</v>
      </c>
      <c r="E113" s="17">
        <f>IFERROR(__xludf.DUMMYFUNCTION("""COMPUTED_VALUE"""),45524.0)</f>
        <v>45524</v>
      </c>
      <c r="F113" s="54"/>
      <c r="G113" s="19">
        <f>IFERROR(__xludf.DUMMYFUNCTION("""COMPUTED_VALUE"""),25.53333333333333)</f>
        <v>25.53333333</v>
      </c>
      <c r="H113" s="17">
        <f>IFERROR(__xludf.DUMMYFUNCTION("""COMPUTED_VALUE"""),38432.0)</f>
        <v>38432</v>
      </c>
      <c r="I113" s="19">
        <f>IFERROR(__xludf.DUMMYFUNCTION("""COMPUTED_VALUE"""),19.413888888888888)</f>
        <v>19.41388889</v>
      </c>
      <c r="J113" s="21">
        <f>IFERROR(__xludf.DUMMYFUNCTION("""COMPUTED_VALUE"""),83.0)</f>
        <v>83</v>
      </c>
      <c r="K113" s="23">
        <f>IFERROR(__xludf.DUMMYFUNCTION("""COMPUTED_VALUE"""),8.4)</f>
        <v>8.4</v>
      </c>
      <c r="L113" s="24">
        <f>IFERROR(__xludf.DUMMYFUNCTION("""COMPUTED_VALUE"""),7.0)</f>
        <v>7</v>
      </c>
      <c r="M113" s="25" t="str">
        <f>IFERROR(__xludf.DUMMYFUNCTION("""COMPUTED_VALUE"""),"Shooter")</f>
        <v>Shooter</v>
      </c>
      <c r="N113" s="25" t="str">
        <f>IFERROR(__xludf.DUMMYFUNCTION("""COMPUTED_VALUE"""),"PS2")</f>
        <v>PS2</v>
      </c>
      <c r="O113" s="26" t="str">
        <f>IFERROR(__xludf.DUMMYFUNCTION("""COMPUTED_VALUE"""),"Yes")</f>
        <v>Yes</v>
      </c>
      <c r="P113" s="26"/>
    </row>
    <row r="114">
      <c r="A114" s="13" t="str">
        <f>IFERROR(__xludf.DUMMYFUNCTION("""COMPUTED_VALUE"""),"Pathfinder: Wrath of the Righteous")</f>
        <v>Pathfinder: Wrath of the Righteous</v>
      </c>
      <c r="B114" s="15" t="str">
        <f>IFERROR(__xludf.DUMMYFUNCTION("""COMPUTED_VALUE"""),"PS5/PS4")</f>
        <v>PS5/PS4</v>
      </c>
      <c r="C114" s="16" t="str">
        <f>IFERROR(__xludf.DUMMYFUNCTION("""COMPUTED_VALUE"""),"Extra")</f>
        <v>Extra</v>
      </c>
      <c r="D114" s="15" t="str">
        <f>IFERROR(__xludf.DUMMYFUNCTION("""COMPUTED_VALUE"""),"Active")</f>
        <v>Active</v>
      </c>
      <c r="E114" s="17">
        <f>IFERROR(__xludf.DUMMYFUNCTION("""COMPUTED_VALUE"""),45489.0)</f>
        <v>45489</v>
      </c>
      <c r="F114" s="54"/>
      <c r="G114" s="19">
        <f>IFERROR(__xludf.DUMMYFUNCTION("""COMPUTED_VALUE"""),26.666666666666668)</f>
        <v>26.66666667</v>
      </c>
      <c r="H114" s="17">
        <f>IFERROR(__xludf.DUMMYFUNCTION("""COMPUTED_VALUE"""),44441.0)</f>
        <v>44441</v>
      </c>
      <c r="I114" s="19">
        <f>IFERROR(__xludf.DUMMYFUNCTION("""COMPUTED_VALUE"""),2.8722222222222222)</f>
        <v>2.872222222</v>
      </c>
      <c r="J114" s="21">
        <f>IFERROR(__xludf.DUMMYFUNCTION("""COMPUTED_VALUE"""),83.0)</f>
        <v>83</v>
      </c>
      <c r="K114" s="23">
        <f>IFERROR(__xludf.DUMMYFUNCTION("""COMPUTED_VALUE"""),7.7)</f>
        <v>7.7</v>
      </c>
      <c r="L114" s="24">
        <f>IFERROR(__xludf.DUMMYFUNCTION("""COMPUTED_VALUE"""),55.0)</f>
        <v>55</v>
      </c>
      <c r="M114" s="25" t="str">
        <f>IFERROR(__xludf.DUMMYFUNCTION("""COMPUTED_VALUE"""),"RPG")</f>
        <v>RPG</v>
      </c>
      <c r="N114" s="25"/>
      <c r="O114" s="26" t="str">
        <f>IFERROR(__xludf.DUMMYFUNCTION("""COMPUTED_VALUE"""),"Portal (PS5 + Premium)")</f>
        <v>Portal (PS5 + Premium)</v>
      </c>
      <c r="P114" s="26"/>
    </row>
    <row r="115">
      <c r="A115" s="13" t="str">
        <f>IFERROR(__xludf.DUMMYFUNCTION("""COMPUTED_VALUE"""),"Sackboy: A Big Adventure")</f>
        <v>Sackboy: A Big Adventure</v>
      </c>
      <c r="B115" s="15" t="str">
        <f>IFERROR(__xludf.DUMMYFUNCTION("""COMPUTED_VALUE"""),"PS5/PS4")</f>
        <v>PS5/PS4</v>
      </c>
      <c r="C115" s="16" t="str">
        <f>IFERROR(__xludf.DUMMYFUNCTION("""COMPUTED_VALUE"""),"Extra")</f>
        <v>Extra</v>
      </c>
      <c r="D115" s="15" t="str">
        <f>IFERROR(__xludf.DUMMYFUNCTION("""COMPUTED_VALUE"""),"Active")</f>
        <v>Active</v>
      </c>
      <c r="E115" s="17">
        <f>IFERROR(__xludf.DUMMYFUNCTION("""COMPUTED_VALUE"""),45034.0)</f>
        <v>45034</v>
      </c>
      <c r="F115" s="54"/>
      <c r="G115" s="19">
        <f>IFERROR(__xludf.DUMMYFUNCTION("""COMPUTED_VALUE"""),41.6)</f>
        <v>41.6</v>
      </c>
      <c r="H115" s="17">
        <f>IFERROR(__xludf.DUMMYFUNCTION("""COMPUTED_VALUE"""),44147.0)</f>
        <v>44147</v>
      </c>
      <c r="I115" s="19">
        <f>IFERROR(__xludf.DUMMYFUNCTION("""COMPUTED_VALUE"""),2.433333333333333)</f>
        <v>2.433333333</v>
      </c>
      <c r="J115" s="21">
        <f>IFERROR(__xludf.DUMMYFUNCTION("""COMPUTED_VALUE"""),83.0)</f>
        <v>83</v>
      </c>
      <c r="K115" s="23">
        <f>IFERROR(__xludf.DUMMYFUNCTION("""COMPUTED_VALUE"""),7.8)</f>
        <v>7.8</v>
      </c>
      <c r="L115" s="24">
        <f>IFERROR(__xludf.DUMMYFUNCTION("""COMPUTED_VALUE"""),11.0)</f>
        <v>11</v>
      </c>
      <c r="M115" s="25" t="str">
        <f>IFERROR(__xludf.DUMMYFUNCTION("""COMPUTED_VALUE"""),"Platformer")</f>
        <v>Platformer</v>
      </c>
      <c r="N115" s="25"/>
      <c r="O115" s="26" t="str">
        <f>IFERROR(__xludf.DUMMYFUNCTION("""COMPUTED_VALUE"""),"Yes")</f>
        <v>Yes</v>
      </c>
      <c r="P115" s="26"/>
    </row>
    <row r="116">
      <c r="A116" s="13" t="str">
        <f>IFERROR(__xludf.DUMMYFUNCTION("""COMPUTED_VALUE"""),"DOOM")</f>
        <v>DOOM</v>
      </c>
      <c r="B116" s="15" t="str">
        <f>IFERROR(__xludf.DUMMYFUNCTION("""COMPUTED_VALUE"""),"PS4")</f>
        <v>PS4</v>
      </c>
      <c r="C116" s="16" t="str">
        <f>IFERROR(__xludf.DUMMYFUNCTION("""COMPUTED_VALUE"""),"Premium (Classics)")</f>
        <v>Premium (Classics)</v>
      </c>
      <c r="D116" s="15" t="str">
        <f>IFERROR(__xludf.DUMMYFUNCTION("""COMPUTED_VALUE"""),"Active")</f>
        <v>Active</v>
      </c>
      <c r="E116" s="17">
        <f>IFERROR(__xludf.DUMMYFUNCTION("""COMPUTED_VALUE"""),45034.0)</f>
        <v>45034</v>
      </c>
      <c r="F116" s="54"/>
      <c r="G116" s="19">
        <f>IFERROR(__xludf.DUMMYFUNCTION("""COMPUTED_VALUE"""),41.6)</f>
        <v>41.6</v>
      </c>
      <c r="H116" s="17">
        <f>IFERROR(__xludf.DUMMYFUNCTION("""COMPUTED_VALUE"""),34313.0)</f>
        <v>34313</v>
      </c>
      <c r="I116" s="19">
        <f>IFERROR(__xludf.DUMMYFUNCTION("""COMPUTED_VALUE"""),29.355555555555554)</f>
        <v>29.35555556</v>
      </c>
      <c r="J116" s="21">
        <f>IFERROR(__xludf.DUMMYFUNCTION("""COMPUTED_VALUE"""),83.0)</f>
        <v>83</v>
      </c>
      <c r="K116" s="23">
        <f>IFERROR(__xludf.DUMMYFUNCTION("""COMPUTED_VALUE"""),8.1)</f>
        <v>8.1</v>
      </c>
      <c r="L116" s="24">
        <f>IFERROR(__xludf.DUMMYFUNCTION("""COMPUTED_VALUE"""),5.0)</f>
        <v>5</v>
      </c>
      <c r="M116" s="25" t="str">
        <f>IFERROR(__xludf.DUMMYFUNCTION("""COMPUTED_VALUE"""),"Shooter")</f>
        <v>Shooter</v>
      </c>
      <c r="N116" s="25" t="str">
        <f>IFERROR(__xludf.DUMMYFUNCTION("""COMPUTED_VALUE"""),"PS1")</f>
        <v>PS1</v>
      </c>
      <c r="O116" s="26" t="str">
        <f>IFERROR(__xludf.DUMMYFUNCTION("""COMPUTED_VALUE"""),"Yes")</f>
        <v>Yes</v>
      </c>
      <c r="P116" s="26"/>
    </row>
    <row r="117">
      <c r="A117" s="13" t="str">
        <f>IFERROR(__xludf.DUMMYFUNCTION("""COMPUTED_VALUE"""),"DOOM II: Hell on Earth")</f>
        <v>DOOM II: Hell on Earth</v>
      </c>
      <c r="B117" s="15" t="str">
        <f>IFERROR(__xludf.DUMMYFUNCTION("""COMPUTED_VALUE"""),"PS4")</f>
        <v>PS4</v>
      </c>
      <c r="C117" s="16" t="str">
        <f>IFERROR(__xludf.DUMMYFUNCTION("""COMPUTED_VALUE"""),"Premium (Classics)")</f>
        <v>Premium (Classics)</v>
      </c>
      <c r="D117" s="15" t="str">
        <f>IFERROR(__xludf.DUMMYFUNCTION("""COMPUTED_VALUE"""),"Active")</f>
        <v>Active</v>
      </c>
      <c r="E117" s="17">
        <f>IFERROR(__xludf.DUMMYFUNCTION("""COMPUTED_VALUE"""),45034.0)</f>
        <v>45034</v>
      </c>
      <c r="F117" s="54"/>
      <c r="G117" s="19">
        <f>IFERROR(__xludf.DUMMYFUNCTION("""COMPUTED_VALUE"""),41.6)</f>
        <v>41.6</v>
      </c>
      <c r="H117" s="17">
        <f>IFERROR(__xludf.DUMMYFUNCTION("""COMPUTED_VALUE"""),34607.0)</f>
        <v>34607</v>
      </c>
      <c r="I117" s="19">
        <f>IFERROR(__xludf.DUMMYFUNCTION("""COMPUTED_VALUE"""),28.55)</f>
        <v>28.55</v>
      </c>
      <c r="J117" s="21">
        <f>IFERROR(__xludf.DUMMYFUNCTION("""COMPUTED_VALUE"""),83.0)</f>
        <v>83</v>
      </c>
      <c r="K117" s="23">
        <f>IFERROR(__xludf.DUMMYFUNCTION("""COMPUTED_VALUE"""),8.9)</f>
        <v>8.9</v>
      </c>
      <c r="L117" s="24">
        <f>IFERROR(__xludf.DUMMYFUNCTION("""COMPUTED_VALUE"""),7.0)</f>
        <v>7</v>
      </c>
      <c r="M117" s="25" t="str">
        <f>IFERROR(__xludf.DUMMYFUNCTION("""COMPUTED_VALUE"""),"Shooter")</f>
        <v>Shooter</v>
      </c>
      <c r="N117" s="25" t="str">
        <f>IFERROR(__xludf.DUMMYFUNCTION("""COMPUTED_VALUE"""),"PS1")</f>
        <v>PS1</v>
      </c>
      <c r="O117" s="26" t="str">
        <f>IFERROR(__xludf.DUMMYFUNCTION("""COMPUTED_VALUE"""),"Yes")</f>
        <v>Yes</v>
      </c>
      <c r="P117" s="26"/>
    </row>
    <row r="118">
      <c r="A118" s="13" t="str">
        <f>IFERROR(__xludf.DUMMYFUNCTION("""COMPUTED_VALUE"""),"Assassin's Creed Odyssey")</f>
        <v>Assassin's Creed Odyssey</v>
      </c>
      <c r="B118" s="15" t="str">
        <f>IFERROR(__xludf.DUMMYFUNCTION("""COMPUTED_VALUE"""),"PS4")</f>
        <v>PS4</v>
      </c>
      <c r="C118" s="16" t="str">
        <f>IFERROR(__xludf.DUMMYFUNCTION("""COMPUTED_VALUE"""),"Extra (Ubisoft+ Classics)")</f>
        <v>Extra (Ubisoft+ Classics)</v>
      </c>
      <c r="D118" s="15" t="str">
        <f>IFERROR(__xludf.DUMMYFUNCTION("""COMPUTED_VALUE"""),"Active")</f>
        <v>Active</v>
      </c>
      <c r="E118" s="17">
        <f>IFERROR(__xludf.DUMMYFUNCTION("""COMPUTED_VALUE"""),44852.0)</f>
        <v>44852</v>
      </c>
      <c r="F118" s="54"/>
      <c r="G118" s="19">
        <f>IFERROR(__xludf.DUMMYFUNCTION("""COMPUTED_VALUE"""),47.6)</f>
        <v>47.6</v>
      </c>
      <c r="H118" s="17">
        <f>IFERROR(__xludf.DUMMYFUNCTION("""COMPUTED_VALUE"""),43375.0)</f>
        <v>43375</v>
      </c>
      <c r="I118" s="19">
        <f>IFERROR(__xludf.DUMMYFUNCTION("""COMPUTED_VALUE"""),4.044444444444444)</f>
        <v>4.044444444</v>
      </c>
      <c r="J118" s="21">
        <f>IFERROR(__xludf.DUMMYFUNCTION("""COMPUTED_VALUE"""),83.0)</f>
        <v>83</v>
      </c>
      <c r="K118" s="23">
        <f>IFERROR(__xludf.DUMMYFUNCTION("""COMPUTED_VALUE"""),6.5)</f>
        <v>6.5</v>
      </c>
      <c r="L118" s="24">
        <f>IFERROR(__xludf.DUMMYFUNCTION("""COMPUTED_VALUE"""),44.5)</f>
        <v>44.5</v>
      </c>
      <c r="M118" s="25" t="str">
        <f>IFERROR(__xludf.DUMMYFUNCTION("""COMPUTED_VALUE"""),"RPG")</f>
        <v>RPG</v>
      </c>
      <c r="N118" s="25"/>
      <c r="O118" s="26" t="str">
        <f>IFERROR(__xludf.DUMMYFUNCTION("""COMPUTED_VALUE"""),"Yes")</f>
        <v>Yes</v>
      </c>
      <c r="P118" s="26"/>
    </row>
    <row r="119">
      <c r="A119" s="13" t="str">
        <f>IFERROR(__xludf.DUMMYFUNCTION("""COMPUTED_VALUE"""),"Assassin's Creed IV: Black Flag")</f>
        <v>Assassin's Creed IV: Black Flag</v>
      </c>
      <c r="B119" s="15" t="str">
        <f>IFERROR(__xludf.DUMMYFUNCTION("""COMPUTED_VALUE"""),"PS4")</f>
        <v>PS4</v>
      </c>
      <c r="C119" s="16" t="str">
        <f>IFERROR(__xludf.DUMMYFUNCTION("""COMPUTED_VALUE"""),"Extra (Ubisoft+ Classics)")</f>
        <v>Extra (Ubisoft+ Classics)</v>
      </c>
      <c r="D119" s="15" t="str">
        <f>IFERROR(__xludf.DUMMYFUNCTION("""COMPUTED_VALUE"""),"Active")</f>
        <v>Active</v>
      </c>
      <c r="E119" s="17">
        <f>IFERROR(__xludf.DUMMYFUNCTION("""COMPUTED_VALUE"""),44761.0)</f>
        <v>44761</v>
      </c>
      <c r="F119" s="54"/>
      <c r="G119" s="19">
        <f>IFERROR(__xludf.DUMMYFUNCTION("""COMPUTED_VALUE"""),50.56666666666666)</f>
        <v>50.56666667</v>
      </c>
      <c r="H119" s="17">
        <f>IFERROR(__xludf.DUMMYFUNCTION("""COMPUTED_VALUE"""),41576.0)</f>
        <v>41576</v>
      </c>
      <c r="I119" s="19">
        <f>IFERROR(__xludf.DUMMYFUNCTION("""COMPUTED_VALUE"""),8.722222222222221)</f>
        <v>8.722222222</v>
      </c>
      <c r="J119" s="21">
        <f>IFERROR(__xludf.DUMMYFUNCTION("""COMPUTED_VALUE"""),83.0)</f>
        <v>83</v>
      </c>
      <c r="K119" s="23">
        <f>IFERROR(__xludf.DUMMYFUNCTION("""COMPUTED_VALUE"""),8.0)</f>
        <v>8</v>
      </c>
      <c r="L119" s="24">
        <f>IFERROR(__xludf.DUMMYFUNCTION("""COMPUTED_VALUE"""),23.0)</f>
        <v>23</v>
      </c>
      <c r="M119" s="25" t="str">
        <f>IFERROR(__xludf.DUMMYFUNCTION("""COMPUTED_VALUE"""),"RPG")</f>
        <v>RPG</v>
      </c>
      <c r="N119" s="25"/>
      <c r="O119" s="26" t="str">
        <f>IFERROR(__xludf.DUMMYFUNCTION("""COMPUTED_VALUE"""),"Yes")</f>
        <v>Yes</v>
      </c>
      <c r="P119" s="26"/>
    </row>
    <row r="120">
      <c r="A120" s="13" t="str">
        <f>IFERROR(__xludf.DUMMYFUNCTION("""COMPUTED_VALUE"""),"Chess Ultra")</f>
        <v>Chess Ultra</v>
      </c>
      <c r="B120" s="15" t="str">
        <f>IFERROR(__xludf.DUMMYFUNCTION("""COMPUTED_VALUE"""),"PS4/PSVR")</f>
        <v>PS4/PSVR</v>
      </c>
      <c r="C120" s="16" t="str">
        <f>IFERROR(__xludf.DUMMYFUNCTION("""COMPUTED_VALUE"""),"Extra")</f>
        <v>Extra</v>
      </c>
      <c r="D120" s="15" t="str">
        <f>IFERROR(__xludf.DUMMYFUNCTION("""COMPUTED_VALUE"""),"Active")</f>
        <v>Active</v>
      </c>
      <c r="E120" s="17">
        <f>IFERROR(__xludf.DUMMYFUNCTION("""COMPUTED_VALUE"""),44725.0)</f>
        <v>44725</v>
      </c>
      <c r="F120" s="54"/>
      <c r="G120" s="19">
        <f>IFERROR(__xludf.DUMMYFUNCTION("""COMPUTED_VALUE"""),51.766666666666666)</f>
        <v>51.76666667</v>
      </c>
      <c r="H120" s="17">
        <f>IFERROR(__xludf.DUMMYFUNCTION("""COMPUTED_VALUE"""),42887.0)</f>
        <v>42887</v>
      </c>
      <c r="I120" s="19">
        <f>IFERROR(__xludf.DUMMYFUNCTION("""COMPUTED_VALUE"""),5.033333333333333)</f>
        <v>5.033333333</v>
      </c>
      <c r="J120" s="21">
        <f>IFERROR(__xludf.DUMMYFUNCTION("""COMPUTED_VALUE"""),83.0)</f>
        <v>83</v>
      </c>
      <c r="K120" s="23">
        <f>IFERROR(__xludf.DUMMYFUNCTION("""COMPUTED_VALUE"""),7.1)</f>
        <v>7.1</v>
      </c>
      <c r="L120" s="24">
        <f>IFERROR(__xludf.DUMMYFUNCTION("""COMPUTED_VALUE"""),2.0)</f>
        <v>2</v>
      </c>
      <c r="M120" s="25" t="str">
        <f>IFERROR(__xludf.DUMMYFUNCTION("""COMPUTED_VALUE"""),"Simulation")</f>
        <v>Simulation</v>
      </c>
      <c r="N120" s="25"/>
      <c r="O120" s="26" t="str">
        <f>IFERROR(__xludf.DUMMYFUNCTION("""COMPUTED_VALUE"""),"Yes")</f>
        <v>Yes</v>
      </c>
      <c r="P120" s="26" t="str">
        <f>IFERROR(__xludf.DUMMYFUNCTION("""COMPUTED_VALUE"""),"Yes")</f>
        <v>Yes</v>
      </c>
    </row>
    <row r="121">
      <c r="A121" s="13" t="str">
        <f>IFERROR(__xludf.DUMMYFUNCTION("""COMPUTED_VALUE"""),"Children of Morta")</f>
        <v>Children of Morta</v>
      </c>
      <c r="B121" s="15" t="str">
        <f>IFERROR(__xludf.DUMMYFUNCTION("""COMPUTED_VALUE"""),"PS4")</f>
        <v>PS4</v>
      </c>
      <c r="C121" s="16" t="str">
        <f>IFERROR(__xludf.DUMMYFUNCTION("""COMPUTED_VALUE"""),"Extra")</f>
        <v>Extra</v>
      </c>
      <c r="D121" s="15" t="str">
        <f>IFERROR(__xludf.DUMMYFUNCTION("""COMPUTED_VALUE"""),"Active")</f>
        <v>Active</v>
      </c>
      <c r="E121" s="17">
        <f>IFERROR(__xludf.DUMMYFUNCTION("""COMPUTED_VALUE"""),44725.0)</f>
        <v>44725</v>
      </c>
      <c r="F121" s="54"/>
      <c r="G121" s="19">
        <f>IFERROR(__xludf.DUMMYFUNCTION("""COMPUTED_VALUE"""),51.766666666666666)</f>
        <v>51.76666667</v>
      </c>
      <c r="H121" s="17">
        <f>IFERROR(__xludf.DUMMYFUNCTION("""COMPUTED_VALUE"""),43711.0)</f>
        <v>43711</v>
      </c>
      <c r="I121" s="19">
        <f>IFERROR(__xludf.DUMMYFUNCTION("""COMPUTED_VALUE"""),2.7777777777777777)</f>
        <v>2.777777778</v>
      </c>
      <c r="J121" s="21">
        <f>IFERROR(__xludf.DUMMYFUNCTION("""COMPUTED_VALUE"""),83.0)</f>
        <v>83</v>
      </c>
      <c r="K121" s="23">
        <f>IFERROR(__xludf.DUMMYFUNCTION("""COMPUTED_VALUE"""),7.9)</f>
        <v>7.9</v>
      </c>
      <c r="L121" s="24">
        <f>IFERROR(__xludf.DUMMYFUNCTION("""COMPUTED_VALUE"""),14.5)</f>
        <v>14.5</v>
      </c>
      <c r="M121" s="25" t="str">
        <f>IFERROR(__xludf.DUMMYFUNCTION("""COMPUTED_VALUE"""),"RPG")</f>
        <v>RPG</v>
      </c>
      <c r="N121" s="25"/>
      <c r="O121" s="26" t="str">
        <f>IFERROR(__xludf.DUMMYFUNCTION("""COMPUTED_VALUE"""),"Yes")</f>
        <v>Yes</v>
      </c>
      <c r="P121" s="26" t="str">
        <f>IFERROR(__xludf.DUMMYFUNCTION("""COMPUTED_VALUE"""),"Yes")</f>
        <v>Yes</v>
      </c>
    </row>
    <row r="122">
      <c r="A122" s="13" t="str">
        <f>IFERROR(__xludf.DUMMYFUNCTION("""COMPUTED_VALUE"""),"Terraria")</f>
        <v>Terraria</v>
      </c>
      <c r="B122" s="15" t="str">
        <f>IFERROR(__xludf.DUMMYFUNCTION("""COMPUTED_VALUE"""),"PS4")</f>
        <v>PS4</v>
      </c>
      <c r="C122" s="16" t="str">
        <f>IFERROR(__xludf.DUMMYFUNCTION("""COMPUTED_VALUE"""),"Extra")</f>
        <v>Extra</v>
      </c>
      <c r="D122" s="15" t="str">
        <f>IFERROR(__xludf.DUMMYFUNCTION("""COMPUTED_VALUE"""),"Active")</f>
        <v>Active</v>
      </c>
      <c r="E122" s="17">
        <f>IFERROR(__xludf.DUMMYFUNCTION("""COMPUTED_VALUE"""),44725.0)</f>
        <v>44725</v>
      </c>
      <c r="F122" s="54"/>
      <c r="G122" s="19">
        <f>IFERROR(__xludf.DUMMYFUNCTION("""COMPUTED_VALUE"""),51.766666666666666)</f>
        <v>51.76666667</v>
      </c>
      <c r="H122" s="17">
        <f>IFERROR(__xludf.DUMMYFUNCTION("""COMPUTED_VALUE"""),41359.0)</f>
        <v>41359</v>
      </c>
      <c r="I122" s="19">
        <f>IFERROR(__xludf.DUMMYFUNCTION("""COMPUTED_VALUE"""),9.213888888888889)</f>
        <v>9.213888889</v>
      </c>
      <c r="J122" s="21">
        <f>IFERROR(__xludf.DUMMYFUNCTION("""COMPUTED_VALUE"""),83.0)</f>
        <v>83</v>
      </c>
      <c r="K122" s="23">
        <f>IFERROR(__xludf.DUMMYFUNCTION("""COMPUTED_VALUE"""),8.2)</f>
        <v>8.2</v>
      </c>
      <c r="L122" s="24">
        <f>IFERROR(__xludf.DUMMYFUNCTION("""COMPUTED_VALUE"""),50.0)</f>
        <v>50</v>
      </c>
      <c r="M122" s="25" t="str">
        <f>IFERROR(__xludf.DUMMYFUNCTION("""COMPUTED_VALUE"""),"Action-Adventure")</f>
        <v>Action-Adventure</v>
      </c>
      <c r="N122" s="25"/>
      <c r="O122" s="26" t="str">
        <f>IFERROR(__xludf.DUMMYFUNCTION("""COMPUTED_VALUE"""),"Yes")</f>
        <v>Yes</v>
      </c>
      <c r="P122" s="26" t="str">
        <f>IFERROR(__xludf.DUMMYFUNCTION("""COMPUTED_VALUE"""),"Yes")</f>
        <v>Yes</v>
      </c>
    </row>
    <row r="123">
      <c r="A123" s="13" t="str">
        <f>IFERROR(__xludf.DUMMYFUNCTION("""COMPUTED_VALUE"""),"Rogue Galaxy")</f>
        <v>Rogue Galaxy</v>
      </c>
      <c r="B123" s="15" t="str">
        <f>IFERROR(__xludf.DUMMYFUNCTION("""COMPUTED_VALUE"""),"PS4")</f>
        <v>PS4</v>
      </c>
      <c r="C123" s="16" t="str">
        <f>IFERROR(__xludf.DUMMYFUNCTION("""COMPUTED_VALUE"""),"Premium (Classics)")</f>
        <v>Premium (Classics)</v>
      </c>
      <c r="D123" s="15" t="str">
        <f>IFERROR(__xludf.DUMMYFUNCTION("""COMPUTED_VALUE"""),"Active")</f>
        <v>Active</v>
      </c>
      <c r="E123" s="17">
        <f>IFERROR(__xludf.DUMMYFUNCTION("""COMPUTED_VALUE"""),44725.0)</f>
        <v>44725</v>
      </c>
      <c r="F123" s="54"/>
      <c r="G123" s="19">
        <f>IFERROR(__xludf.DUMMYFUNCTION("""COMPUTED_VALUE"""),51.766666666666666)</f>
        <v>51.76666667</v>
      </c>
      <c r="H123" s="17">
        <f>IFERROR(__xludf.DUMMYFUNCTION("""COMPUTED_VALUE"""),38687.0)</f>
        <v>38687</v>
      </c>
      <c r="I123" s="19">
        <f>IFERROR(__xludf.DUMMYFUNCTION("""COMPUTED_VALUE"""),16.533333333333335)</f>
        <v>16.53333333</v>
      </c>
      <c r="J123" s="21">
        <f>IFERROR(__xludf.DUMMYFUNCTION("""COMPUTED_VALUE"""),83.0)</f>
        <v>83</v>
      </c>
      <c r="K123" s="23">
        <f>IFERROR(__xludf.DUMMYFUNCTION("""COMPUTED_VALUE"""),8.2)</f>
        <v>8.2</v>
      </c>
      <c r="L123" s="24">
        <f>IFERROR(__xludf.DUMMYFUNCTION("""COMPUTED_VALUE"""),40.0)</f>
        <v>40</v>
      </c>
      <c r="M123" s="25" t="str">
        <f>IFERROR(__xludf.DUMMYFUNCTION("""COMPUTED_VALUE"""),"RPG")</f>
        <v>RPG</v>
      </c>
      <c r="N123" s="25" t="str">
        <f>IFERROR(__xludf.DUMMYFUNCTION("""COMPUTED_VALUE"""),"PS2")</f>
        <v>PS2</v>
      </c>
      <c r="O123" s="26" t="str">
        <f>IFERROR(__xludf.DUMMYFUNCTION("""COMPUTED_VALUE"""),"Yes")</f>
        <v>Yes</v>
      </c>
      <c r="P123" s="26" t="str">
        <f>IFERROR(__xludf.DUMMYFUNCTION("""COMPUTED_VALUE"""),"")</f>
        <v/>
      </c>
    </row>
    <row r="124">
      <c r="A124" s="13" t="str">
        <f>IFERROR(__xludf.DUMMYFUNCTION("""COMPUTED_VALUE"""),"Cities: Skylines")</f>
        <v>Cities: Skylines</v>
      </c>
      <c r="B124" s="15" t="str">
        <f>IFERROR(__xludf.DUMMYFUNCTION("""COMPUTED_VALUE"""),"PS4")</f>
        <v>PS4</v>
      </c>
      <c r="C124" s="16" t="str">
        <f>IFERROR(__xludf.DUMMYFUNCTION("""COMPUTED_VALUE"""),"Extra")</f>
        <v>Extra</v>
      </c>
      <c r="D124" s="15" t="str">
        <f>IFERROR(__xludf.DUMMYFUNCTION("""COMPUTED_VALUE"""),"Active")</f>
        <v>Active</v>
      </c>
      <c r="E124" s="17">
        <f>IFERROR(__xludf.DUMMYFUNCTION("""COMPUTED_VALUE"""),43865.0)</f>
        <v>43865</v>
      </c>
      <c r="F124" s="54"/>
      <c r="G124" s="19">
        <f>IFERROR(__xludf.DUMMYFUNCTION("""COMPUTED_VALUE"""),80.06666666666666)</f>
        <v>80.06666667</v>
      </c>
      <c r="H124" s="17">
        <f>IFERROR(__xludf.DUMMYFUNCTION("""COMPUTED_VALUE"""),42073.0)</f>
        <v>42073</v>
      </c>
      <c r="I124" s="19">
        <f>IFERROR(__xludf.DUMMYFUNCTION("""COMPUTED_VALUE"""),4.9)</f>
        <v>4.9</v>
      </c>
      <c r="J124" s="21">
        <f>IFERROR(__xludf.DUMMYFUNCTION("""COMPUTED_VALUE"""),83.0)</f>
        <v>83</v>
      </c>
      <c r="K124" s="23">
        <f>IFERROR(__xludf.DUMMYFUNCTION("""COMPUTED_VALUE"""),8.6)</f>
        <v>8.6</v>
      </c>
      <c r="L124" s="24">
        <f>IFERROR(__xludf.DUMMYFUNCTION("""COMPUTED_VALUE"""),27.0)</f>
        <v>27</v>
      </c>
      <c r="M124" s="25" t="str">
        <f>IFERROR(__xludf.DUMMYFUNCTION("""COMPUTED_VALUE"""),"Simulation")</f>
        <v>Simulation</v>
      </c>
      <c r="N124" s="25"/>
      <c r="O124" s="26" t="str">
        <f>IFERROR(__xludf.DUMMYFUNCTION("""COMPUTED_VALUE"""),"Yes")</f>
        <v>Yes</v>
      </c>
      <c r="P124" s="26"/>
    </row>
    <row r="125">
      <c r="A125" s="13" t="str">
        <f>IFERROR(__xludf.DUMMYFUNCTION("""COMPUTED_VALUE"""),"Metro Exodus")</f>
        <v>Metro Exodus</v>
      </c>
      <c r="B125" s="15" t="str">
        <f>IFERROR(__xludf.DUMMYFUNCTION("""COMPUTED_VALUE"""),"PS5/PS4")</f>
        <v>PS5/PS4</v>
      </c>
      <c r="C125" s="16" t="str">
        <f>IFERROR(__xludf.DUMMYFUNCTION("""COMPUTED_VALUE"""),"Extra")</f>
        <v>Extra</v>
      </c>
      <c r="D125" s="15" t="str">
        <f>IFERROR(__xludf.DUMMYFUNCTION("""COMPUTED_VALUE"""),"Active")</f>
        <v>Active</v>
      </c>
      <c r="E125" s="17">
        <f>IFERROR(__xludf.DUMMYFUNCTION("""COMPUTED_VALUE"""),46259.0)</f>
        <v>46259</v>
      </c>
      <c r="F125" s="54"/>
      <c r="G125" s="19">
        <f>IFERROR(__xludf.DUMMYFUNCTION("""COMPUTED_VALUE"""),1.3666666666666667)</f>
        <v>1.366666667</v>
      </c>
      <c r="H125" s="17">
        <f>IFERROR(__xludf.DUMMYFUNCTION("""COMPUTED_VALUE"""),43511.0)</f>
        <v>43511</v>
      </c>
      <c r="I125" s="19">
        <f>IFERROR(__xludf.DUMMYFUNCTION("""COMPUTED_VALUE"""),7.527777777777778)</f>
        <v>7.527777778</v>
      </c>
      <c r="J125" s="21">
        <f>IFERROR(__xludf.DUMMYFUNCTION("""COMPUTED_VALUE"""),82.0)</f>
        <v>82</v>
      </c>
      <c r="K125" s="23">
        <f>IFERROR(__xludf.DUMMYFUNCTION("""COMPUTED_VALUE"""),7.4)</f>
        <v>7.4</v>
      </c>
      <c r="L125" s="24">
        <f>IFERROR(__xludf.DUMMYFUNCTION("""COMPUTED_VALUE"""),16.0)</f>
        <v>16</v>
      </c>
      <c r="M125" s="25" t="str">
        <f>IFERROR(__xludf.DUMMYFUNCTION("""COMPUTED_VALUE"""),"Shooter")</f>
        <v>Shooter</v>
      </c>
      <c r="N125" s="25"/>
      <c r="O125" s="26"/>
      <c r="P125" s="26"/>
    </row>
    <row r="126">
      <c r="A126" s="13" t="str">
        <f>IFERROR(__xludf.DUMMYFUNCTION("""COMPUTED_VALUE"""),"Citizen Sleeper")</f>
        <v>Citizen Sleeper</v>
      </c>
      <c r="B126" s="15" t="str">
        <f>IFERROR(__xludf.DUMMYFUNCTION("""COMPUTED_VALUE"""),"PS5/PS4")</f>
        <v>PS5/PS4</v>
      </c>
      <c r="C126" s="16" t="str">
        <f>IFERROR(__xludf.DUMMYFUNCTION("""COMPUTED_VALUE"""),"Extra")</f>
        <v>Extra</v>
      </c>
      <c r="D126" s="15" t="str">
        <f>IFERROR(__xludf.DUMMYFUNCTION("""COMPUTED_VALUE"""),"Active")</f>
        <v>Active</v>
      </c>
      <c r="E126" s="17">
        <f>IFERROR(__xludf.DUMMYFUNCTION("""COMPUTED_VALUE"""),45678.0)</f>
        <v>45678</v>
      </c>
      <c r="F126" s="54"/>
      <c r="G126" s="19">
        <f>IFERROR(__xludf.DUMMYFUNCTION("""COMPUTED_VALUE"""),20.5)</f>
        <v>20.5</v>
      </c>
      <c r="H126" s="17">
        <f>IFERROR(__xludf.DUMMYFUNCTION("""COMPUTED_VALUE"""),44686.0)</f>
        <v>44686</v>
      </c>
      <c r="I126" s="19">
        <f>IFERROR(__xludf.DUMMYFUNCTION("""COMPUTED_VALUE"""),2.7111111111111112)</f>
        <v>2.711111111</v>
      </c>
      <c r="J126" s="21">
        <f>IFERROR(__xludf.DUMMYFUNCTION("""COMPUTED_VALUE"""),82.0)</f>
        <v>82</v>
      </c>
      <c r="K126" s="23">
        <f>IFERROR(__xludf.DUMMYFUNCTION("""COMPUTED_VALUE"""),7.4)</f>
        <v>7.4</v>
      </c>
      <c r="L126" s="24">
        <f>IFERROR(__xludf.DUMMYFUNCTION("""COMPUTED_VALUE"""),7.0)</f>
        <v>7</v>
      </c>
      <c r="M126" s="25" t="str">
        <f>IFERROR(__xludf.DUMMYFUNCTION("""COMPUTED_VALUE"""),"RPG")</f>
        <v>RPG</v>
      </c>
      <c r="N126" s="25"/>
      <c r="O126" s="26" t="str">
        <f>IFERROR(__xludf.DUMMYFUNCTION("""COMPUTED_VALUE"""),"Yes")</f>
        <v>Yes</v>
      </c>
      <c r="P126" s="26"/>
    </row>
    <row r="127">
      <c r="A127" s="13" t="str">
        <f>IFERROR(__xludf.DUMMYFUNCTION("""COMPUTED_VALUE"""),"Chivalry 2")</f>
        <v>Chivalry 2</v>
      </c>
      <c r="B127" s="15" t="str">
        <f>IFERROR(__xludf.DUMMYFUNCTION("""COMPUTED_VALUE"""),"PS5/PS4")</f>
        <v>PS5/PS4</v>
      </c>
      <c r="C127" s="16" t="str">
        <f>IFERROR(__xludf.DUMMYFUNCTION("""COMPUTED_VALUE"""),"Extra")</f>
        <v>Extra</v>
      </c>
      <c r="D127" s="15" t="str">
        <f>IFERROR(__xludf.DUMMYFUNCTION("""COMPUTED_VALUE"""),"Active")</f>
        <v>Active</v>
      </c>
      <c r="E127" s="17">
        <f>IFERROR(__xludf.DUMMYFUNCTION("""COMPUTED_VALUE"""),45615.0)</f>
        <v>45615</v>
      </c>
      <c r="F127" s="54"/>
      <c r="G127" s="19">
        <f>IFERROR(__xludf.DUMMYFUNCTION("""COMPUTED_VALUE"""),22.566666666666666)</f>
        <v>22.56666667</v>
      </c>
      <c r="H127" s="17">
        <f>IFERROR(__xludf.DUMMYFUNCTION("""COMPUTED_VALUE"""),44355.0)</f>
        <v>44355</v>
      </c>
      <c r="I127" s="19">
        <f>IFERROR(__xludf.DUMMYFUNCTION("""COMPUTED_VALUE"""),3.4472222222222224)</f>
        <v>3.447222222</v>
      </c>
      <c r="J127" s="21">
        <f>IFERROR(__xludf.DUMMYFUNCTION("""COMPUTED_VALUE"""),82.0)</f>
        <v>82</v>
      </c>
      <c r="K127" s="23">
        <f>IFERROR(__xludf.DUMMYFUNCTION("""COMPUTED_VALUE"""),5.5)</f>
        <v>5.5</v>
      </c>
      <c r="L127" s="24">
        <f>IFERROR(__xludf.DUMMYFUNCTION("""COMPUTED_VALUE"""),21.0)</f>
        <v>21</v>
      </c>
      <c r="M127" s="25" t="str">
        <f>IFERROR(__xludf.DUMMYFUNCTION("""COMPUTED_VALUE"""),"Beat-'Em-Up")</f>
        <v>Beat-'Em-Up</v>
      </c>
      <c r="N127" s="25"/>
      <c r="O127" s="26" t="str">
        <f>IFERROR(__xludf.DUMMYFUNCTION("""COMPUTED_VALUE"""),"Yes")</f>
        <v>Yes</v>
      </c>
      <c r="P127" s="26"/>
    </row>
    <row r="128">
      <c r="A128" s="13" t="str">
        <f>IFERROR(__xludf.DUMMYFUNCTION("""COMPUTED_VALUE"""),"DOOM + DOOM II: Enhanced")</f>
        <v>DOOM + DOOM II: Enhanced</v>
      </c>
      <c r="B128" s="15" t="str">
        <f>IFERROR(__xludf.DUMMYFUNCTION("""COMPUTED_VALUE"""),"PS4")</f>
        <v>PS4</v>
      </c>
      <c r="C128" s="16" t="str">
        <f>IFERROR(__xludf.DUMMYFUNCTION("""COMPUTED_VALUE"""),"Premium (Remasters)")</f>
        <v>Premium (Remasters)</v>
      </c>
      <c r="D128" s="15" t="str">
        <f>IFERROR(__xludf.DUMMYFUNCTION("""COMPUTED_VALUE"""),"Active")</f>
        <v>Active</v>
      </c>
      <c r="E128" s="17">
        <f>IFERROR(__xludf.DUMMYFUNCTION("""COMPUTED_VALUE"""),45538.0)</f>
        <v>45538</v>
      </c>
      <c r="F128" s="54"/>
      <c r="G128" s="19">
        <f>IFERROR(__xludf.DUMMYFUNCTION("""COMPUTED_VALUE"""),25.1)</f>
        <v>25.1</v>
      </c>
      <c r="H128" s="17">
        <f>IFERROR(__xludf.DUMMYFUNCTION("""COMPUTED_VALUE"""),45512.0)</f>
        <v>45512</v>
      </c>
      <c r="I128" s="19">
        <f>IFERROR(__xludf.DUMMYFUNCTION("""COMPUTED_VALUE"""),0.06944444444444445)</f>
        <v>0.06944444444</v>
      </c>
      <c r="J128" s="21">
        <f>IFERROR(__xludf.DUMMYFUNCTION("""COMPUTED_VALUE"""),82.0)</f>
        <v>82</v>
      </c>
      <c r="K128" s="23">
        <f>IFERROR(__xludf.DUMMYFUNCTION("""COMPUTED_VALUE"""),9.5)</f>
        <v>9.5</v>
      </c>
      <c r="L128" s="24">
        <f>IFERROR(__xludf.DUMMYFUNCTION("""COMPUTED_VALUE"""),12.0)</f>
        <v>12</v>
      </c>
      <c r="M128" s="25" t="str">
        <f>IFERROR(__xludf.DUMMYFUNCTION("""COMPUTED_VALUE"""),"Shooter")</f>
        <v>Shooter</v>
      </c>
      <c r="N128" s="25" t="str">
        <f>IFERROR(__xludf.DUMMYFUNCTION("""COMPUTED_VALUE"""),"MS-DOS")</f>
        <v>MS-DOS</v>
      </c>
      <c r="O128" s="26" t="str">
        <f>IFERROR(__xludf.DUMMYFUNCTION("""COMPUTED_VALUE"""),"No")</f>
        <v>No</v>
      </c>
      <c r="P128" s="26"/>
    </row>
    <row r="129">
      <c r="A129" s="13" t="str">
        <f>IFERROR(__xludf.DUMMYFUNCTION("""COMPUTED_VALUE"""),"Watch Dogs 2")</f>
        <v>Watch Dogs 2</v>
      </c>
      <c r="B129" s="15" t="str">
        <f>IFERROR(__xludf.DUMMYFUNCTION("""COMPUTED_VALUE"""),"PS4")</f>
        <v>PS4</v>
      </c>
      <c r="C129" s="16" t="str">
        <f>IFERROR(__xludf.DUMMYFUNCTION("""COMPUTED_VALUE"""),"Extra (Ubisoft+ Classics)")</f>
        <v>Extra (Ubisoft+ Classics)</v>
      </c>
      <c r="D129" s="15" t="str">
        <f>IFERROR(__xludf.DUMMYFUNCTION("""COMPUTED_VALUE"""),"Active")</f>
        <v>Active</v>
      </c>
      <c r="E129" s="17">
        <f>IFERROR(__xludf.DUMMYFUNCTION("""COMPUTED_VALUE"""),45524.0)</f>
        <v>45524</v>
      </c>
      <c r="F129" s="54"/>
      <c r="G129" s="19">
        <f>IFERROR(__xludf.DUMMYFUNCTION("""COMPUTED_VALUE"""),25.53333333333333)</f>
        <v>25.53333333</v>
      </c>
      <c r="H129" s="17">
        <f>IFERROR(__xludf.DUMMYFUNCTION("""COMPUTED_VALUE"""),42689.0)</f>
        <v>42689</v>
      </c>
      <c r="I129" s="19">
        <f>IFERROR(__xludf.DUMMYFUNCTION("""COMPUTED_VALUE"""),7.763888888888889)</f>
        <v>7.763888889</v>
      </c>
      <c r="J129" s="21">
        <f>IFERROR(__xludf.DUMMYFUNCTION("""COMPUTED_VALUE"""),82.0)</f>
        <v>82</v>
      </c>
      <c r="K129" s="23">
        <f>IFERROR(__xludf.DUMMYFUNCTION("""COMPUTED_VALUE"""),7.7)</f>
        <v>7.7</v>
      </c>
      <c r="L129" s="24">
        <f>IFERROR(__xludf.DUMMYFUNCTION("""COMPUTED_VALUE"""),20.0)</f>
        <v>20</v>
      </c>
      <c r="M129" s="25" t="str">
        <f>IFERROR(__xludf.DUMMYFUNCTION("""COMPUTED_VALUE"""),"Action-Adventure")</f>
        <v>Action-Adventure</v>
      </c>
      <c r="N129" s="25"/>
      <c r="O129" s="26" t="str">
        <f>IFERROR(__xludf.DUMMYFUNCTION("""COMPUTED_VALUE"""),"Yes")</f>
        <v>Yes</v>
      </c>
      <c r="P129" s="26"/>
    </row>
    <row r="130">
      <c r="A130" s="13" t="str">
        <f>IFERROR(__xludf.DUMMYFUNCTION("""COMPUTED_VALUE"""),"Tekken 6")</f>
        <v>Tekken 6</v>
      </c>
      <c r="B130" s="15" t="str">
        <f>IFERROR(__xludf.DUMMYFUNCTION("""COMPUTED_VALUE"""),"PS5/PS4")</f>
        <v>PS5/PS4</v>
      </c>
      <c r="C130" s="16" t="str">
        <f>IFERROR(__xludf.DUMMYFUNCTION("""COMPUTED_VALUE"""),"Premium (Classics)")</f>
        <v>Premium (Classics)</v>
      </c>
      <c r="D130" s="15" t="str">
        <f>IFERROR(__xludf.DUMMYFUNCTION("""COMPUTED_VALUE"""),"Active")</f>
        <v>Active</v>
      </c>
      <c r="E130" s="17">
        <f>IFERROR(__xludf.DUMMYFUNCTION("""COMPUTED_VALUE"""),45216.0)</f>
        <v>45216</v>
      </c>
      <c r="F130" s="54"/>
      <c r="G130" s="19">
        <f>IFERROR(__xludf.DUMMYFUNCTION("""COMPUTED_VALUE"""),35.63333333333333)</f>
        <v>35.63333333</v>
      </c>
      <c r="H130" s="17">
        <f>IFERROR(__xludf.DUMMYFUNCTION("""COMPUTED_VALUE"""),40113.0)</f>
        <v>40113</v>
      </c>
      <c r="I130" s="19">
        <f>IFERROR(__xludf.DUMMYFUNCTION("""COMPUTED_VALUE"""),13.972222222222221)</f>
        <v>13.97222222</v>
      </c>
      <c r="J130" s="21">
        <f>IFERROR(__xludf.DUMMYFUNCTION("""COMPUTED_VALUE"""),82.0)</f>
        <v>82</v>
      </c>
      <c r="K130" s="23">
        <f>IFERROR(__xludf.DUMMYFUNCTION("""COMPUTED_VALUE"""),7.5)</f>
        <v>7.5</v>
      </c>
      <c r="L130" s="24">
        <f>IFERROR(__xludf.DUMMYFUNCTION("""COMPUTED_VALUE"""),8.0)</f>
        <v>8</v>
      </c>
      <c r="M130" s="25" t="str">
        <f>IFERROR(__xludf.DUMMYFUNCTION("""COMPUTED_VALUE"""),"Fighting")</f>
        <v>Fighting</v>
      </c>
      <c r="N130" s="25" t="str">
        <f>IFERROR(__xludf.DUMMYFUNCTION("""COMPUTED_VALUE"""),"PSP")</f>
        <v>PSP</v>
      </c>
      <c r="O130" s="26" t="str">
        <f>IFERROR(__xludf.DUMMYFUNCTION("""COMPUTED_VALUE"""),"Yes")</f>
        <v>Yes</v>
      </c>
      <c r="P130" s="26"/>
    </row>
    <row r="131">
      <c r="A131" s="13" t="str">
        <f>IFERROR(__xludf.DUMMYFUNCTION("""COMPUTED_VALUE"""),"Two Point Hospital: Jumbo Edition")</f>
        <v>Two Point Hospital: Jumbo Edition</v>
      </c>
      <c r="B131" s="15" t="str">
        <f>IFERROR(__xludf.DUMMYFUNCTION("""COMPUTED_VALUE"""),"PS4")</f>
        <v>PS4</v>
      </c>
      <c r="C131" s="16" t="str">
        <f>IFERROR(__xludf.DUMMYFUNCTION("""COMPUTED_VALUE"""),"Extra")</f>
        <v>Extra</v>
      </c>
      <c r="D131" s="15" t="str">
        <f>IFERROR(__xludf.DUMMYFUNCTION("""COMPUTED_VALUE"""),"Active")</f>
        <v>Active</v>
      </c>
      <c r="E131" s="17">
        <f>IFERROR(__xludf.DUMMYFUNCTION("""COMPUTED_VALUE"""),45153.0)</f>
        <v>45153</v>
      </c>
      <c r="F131" s="54"/>
      <c r="G131" s="19">
        <f>IFERROR(__xludf.DUMMYFUNCTION("""COMPUTED_VALUE"""),37.7)</f>
        <v>37.7</v>
      </c>
      <c r="H131" s="17">
        <f>IFERROR(__xludf.DUMMYFUNCTION("""COMPUTED_VALUE"""),43886.0)</f>
        <v>43886</v>
      </c>
      <c r="I131" s="19">
        <f>IFERROR(__xludf.DUMMYFUNCTION("""COMPUTED_VALUE"""),3.4722222222222223)</f>
        <v>3.472222222</v>
      </c>
      <c r="J131" s="21">
        <f>IFERROR(__xludf.DUMMYFUNCTION("""COMPUTED_VALUE"""),82.0)</f>
        <v>82</v>
      </c>
      <c r="K131" s="23">
        <f>IFERROR(__xludf.DUMMYFUNCTION("""COMPUTED_VALUE"""),7.3)</f>
        <v>7.3</v>
      </c>
      <c r="L131" s="24">
        <f>IFERROR(__xludf.DUMMYFUNCTION("""COMPUTED_VALUE"""),39.0)</f>
        <v>39</v>
      </c>
      <c r="M131" s="25" t="str">
        <f>IFERROR(__xludf.DUMMYFUNCTION("""COMPUTED_VALUE"""),"Simulation")</f>
        <v>Simulation</v>
      </c>
      <c r="N131" s="25"/>
      <c r="O131" s="26" t="str">
        <f>IFERROR(__xludf.DUMMYFUNCTION("""COMPUTED_VALUE"""),"Yes")</f>
        <v>Yes</v>
      </c>
      <c r="P131" s="26"/>
    </row>
    <row r="132">
      <c r="A132" s="13" t="str">
        <f>IFERROR(__xludf.DUMMYFUNCTION("""COMPUTED_VALUE"""),"Dishonored: Death of the Outsider")</f>
        <v>Dishonored: Death of the Outsider</v>
      </c>
      <c r="B132" s="15" t="str">
        <f>IFERROR(__xludf.DUMMYFUNCTION("""COMPUTED_VALUE"""),"PS4")</f>
        <v>PS4</v>
      </c>
      <c r="C132" s="16" t="str">
        <f>IFERROR(__xludf.DUMMYFUNCTION("""COMPUTED_VALUE"""),"Extra")</f>
        <v>Extra</v>
      </c>
      <c r="D132" s="15" t="str">
        <f>IFERROR(__xludf.DUMMYFUNCTION("""COMPUTED_VALUE"""),"Active")</f>
        <v>Active</v>
      </c>
      <c r="E132" s="17">
        <f>IFERROR(__xludf.DUMMYFUNCTION("""COMPUTED_VALUE"""),45062.0)</f>
        <v>45062</v>
      </c>
      <c r="F132" s="54"/>
      <c r="G132" s="19">
        <f>IFERROR(__xludf.DUMMYFUNCTION("""COMPUTED_VALUE"""),40.666666666666664)</f>
        <v>40.66666667</v>
      </c>
      <c r="H132" s="17">
        <f>IFERROR(__xludf.DUMMYFUNCTION("""COMPUTED_VALUE"""),42993.0)</f>
        <v>42993</v>
      </c>
      <c r="I132" s="19">
        <f>IFERROR(__xludf.DUMMYFUNCTION("""COMPUTED_VALUE"""),5.669444444444444)</f>
        <v>5.669444444</v>
      </c>
      <c r="J132" s="21">
        <f>IFERROR(__xludf.DUMMYFUNCTION("""COMPUTED_VALUE"""),82.0)</f>
        <v>82</v>
      </c>
      <c r="K132" s="23">
        <f>IFERROR(__xludf.DUMMYFUNCTION("""COMPUTED_VALUE"""),8.0)</f>
        <v>8</v>
      </c>
      <c r="L132" s="24">
        <f>IFERROR(__xludf.DUMMYFUNCTION("""COMPUTED_VALUE"""),7.0)</f>
        <v>7</v>
      </c>
      <c r="M132" s="25" t="str">
        <f>IFERROR(__xludf.DUMMYFUNCTION("""COMPUTED_VALUE"""),"Shooter")</f>
        <v>Shooter</v>
      </c>
      <c r="N132" s="25"/>
      <c r="O132" s="26" t="str">
        <f>IFERROR(__xludf.DUMMYFUNCTION("""COMPUTED_VALUE"""),"Yes")</f>
        <v>Yes</v>
      </c>
      <c r="P132" s="26"/>
    </row>
    <row r="133">
      <c r="A133" s="13" t="str">
        <f>IFERROR(__xludf.DUMMYFUNCTION("""COMPUTED_VALUE"""),"Harvest Moon: Back to Nature")</f>
        <v>Harvest Moon: Back to Nature</v>
      </c>
      <c r="B133" s="15" t="str">
        <f>IFERROR(__xludf.DUMMYFUNCTION("""COMPUTED_VALUE"""),"PS5/PS4")</f>
        <v>PS5/PS4</v>
      </c>
      <c r="C133" s="16" t="str">
        <f>IFERROR(__xludf.DUMMYFUNCTION("""COMPUTED_VALUE"""),"Premium (Classics)")</f>
        <v>Premium (Classics)</v>
      </c>
      <c r="D133" s="15" t="str">
        <f>IFERROR(__xludf.DUMMYFUNCTION("""COMPUTED_VALUE"""),"Active")</f>
        <v>Active</v>
      </c>
      <c r="E133" s="17">
        <f>IFERROR(__xludf.DUMMYFUNCTION("""COMPUTED_VALUE"""),44978.0)</f>
        <v>44978</v>
      </c>
      <c r="F133" s="54"/>
      <c r="G133" s="19">
        <f>IFERROR(__xludf.DUMMYFUNCTION("""COMPUTED_VALUE"""),43.5)</f>
        <v>43.5</v>
      </c>
      <c r="H133" s="17">
        <f>IFERROR(__xludf.DUMMYFUNCTION("""COMPUTED_VALUE"""),36852.0)</f>
        <v>36852</v>
      </c>
      <c r="I133" s="19">
        <f>IFERROR(__xludf.DUMMYFUNCTION("""COMPUTED_VALUE"""),22.247222222222224)</f>
        <v>22.24722222</v>
      </c>
      <c r="J133" s="21">
        <f>IFERROR(__xludf.DUMMYFUNCTION("""COMPUTED_VALUE"""),82.0)</f>
        <v>82</v>
      </c>
      <c r="K133" s="23">
        <f>IFERROR(__xludf.DUMMYFUNCTION("""COMPUTED_VALUE"""),8.8)</f>
        <v>8.8</v>
      </c>
      <c r="L133" s="24">
        <f>IFERROR(__xludf.DUMMYFUNCTION("""COMPUTED_VALUE"""),86.0)</f>
        <v>86</v>
      </c>
      <c r="M133" s="68" t="str">
        <f>IFERROR(__xludf.DUMMYFUNCTION("""COMPUTED_VALUE"""),"Strategy")</f>
        <v>Strategy</v>
      </c>
      <c r="N133" s="68" t="str">
        <f>IFERROR(__xludf.DUMMYFUNCTION("""COMPUTED_VALUE"""),"PS1")</f>
        <v>PS1</v>
      </c>
      <c r="O133" s="69" t="str">
        <f>IFERROR(__xludf.DUMMYFUNCTION("""COMPUTED_VALUE"""),"Yes")</f>
        <v>Yes</v>
      </c>
      <c r="P133" s="69"/>
    </row>
    <row r="134">
      <c r="A134" s="13" t="str">
        <f>IFERROR(__xludf.DUMMYFUNCTION("""COMPUTED_VALUE"""),"Tom Clancy's The Division 2")</f>
        <v>Tom Clancy's The Division 2</v>
      </c>
      <c r="B134" s="15" t="str">
        <f>IFERROR(__xludf.DUMMYFUNCTION("""COMPUTED_VALUE"""),"PS4")</f>
        <v>PS4</v>
      </c>
      <c r="C134" s="16" t="str">
        <f>IFERROR(__xludf.DUMMYFUNCTION("""COMPUTED_VALUE"""),"Extra (Ubisoft+ Classics)")</f>
        <v>Extra (Ubisoft+ Classics)</v>
      </c>
      <c r="D134" s="15" t="str">
        <f>IFERROR(__xludf.DUMMYFUNCTION("""COMPUTED_VALUE"""),"Active")</f>
        <v>Active</v>
      </c>
      <c r="E134" s="17">
        <f>IFERROR(__xludf.DUMMYFUNCTION("""COMPUTED_VALUE"""),44880.0)</f>
        <v>44880</v>
      </c>
      <c r="F134" s="54"/>
      <c r="G134" s="19">
        <f>IFERROR(__xludf.DUMMYFUNCTION("""COMPUTED_VALUE"""),46.7)</f>
        <v>46.7</v>
      </c>
      <c r="H134" s="17">
        <f>IFERROR(__xludf.DUMMYFUNCTION("""COMPUTED_VALUE"""),43539.0)</f>
        <v>43539</v>
      </c>
      <c r="I134" s="19">
        <f>IFERROR(__xludf.DUMMYFUNCTION("""COMPUTED_VALUE"""),3.6666666666666665)</f>
        <v>3.666666667</v>
      </c>
      <c r="J134" s="21">
        <f>IFERROR(__xludf.DUMMYFUNCTION("""COMPUTED_VALUE"""),82.0)</f>
        <v>82</v>
      </c>
      <c r="K134" s="23">
        <f>IFERROR(__xludf.DUMMYFUNCTION("""COMPUTED_VALUE"""),6.2)</f>
        <v>6.2</v>
      </c>
      <c r="L134" s="24">
        <f>IFERROR(__xludf.DUMMYFUNCTION("""COMPUTED_VALUE"""),26.5)</f>
        <v>26.5</v>
      </c>
      <c r="M134" s="25" t="str">
        <f>IFERROR(__xludf.DUMMYFUNCTION("""COMPUTED_VALUE"""),"Shooter")</f>
        <v>Shooter</v>
      </c>
      <c r="N134" s="25"/>
      <c r="O134" s="26" t="str">
        <f>IFERROR(__xludf.DUMMYFUNCTION("""COMPUTED_VALUE"""),"Yes")</f>
        <v>Yes</v>
      </c>
      <c r="P134" s="26"/>
    </row>
    <row r="135">
      <c r="A135" s="13" t="str">
        <f>IFERROR(__xludf.DUMMYFUNCTION("""COMPUTED_VALUE"""),"Death Stranding: Director's Cut")</f>
        <v>Death Stranding: Director's Cut</v>
      </c>
      <c r="B135" s="15" t="str">
        <f>IFERROR(__xludf.DUMMYFUNCTION("""COMPUTED_VALUE"""),"PS5/PS4")</f>
        <v>PS5/PS4</v>
      </c>
      <c r="C135" s="16" t="str">
        <f>IFERROR(__xludf.DUMMYFUNCTION("""COMPUTED_VALUE"""),"Extra")</f>
        <v>Extra</v>
      </c>
      <c r="D135" s="15" t="str">
        <f>IFERROR(__xludf.DUMMYFUNCTION("""COMPUTED_VALUE"""),"Active")</f>
        <v>Active</v>
      </c>
      <c r="E135" s="17">
        <f>IFERROR(__xludf.DUMMYFUNCTION("""COMPUTED_VALUE"""),44725.0)</f>
        <v>44725</v>
      </c>
      <c r="F135" s="54"/>
      <c r="G135" s="19">
        <f>IFERROR(__xludf.DUMMYFUNCTION("""COMPUTED_VALUE"""),51.766666666666666)</f>
        <v>51.76666667</v>
      </c>
      <c r="H135" s="17">
        <f>IFERROR(__xludf.DUMMYFUNCTION("""COMPUTED_VALUE"""),44463.0)</f>
        <v>44463</v>
      </c>
      <c r="I135" s="19">
        <f>IFERROR(__xludf.DUMMYFUNCTION("""COMPUTED_VALUE"""),0.7194444444444444)</f>
        <v>0.7194444444</v>
      </c>
      <c r="J135" s="21">
        <f>IFERROR(__xludf.DUMMYFUNCTION("""COMPUTED_VALUE"""),82.0)</f>
        <v>82</v>
      </c>
      <c r="K135" s="23">
        <f>IFERROR(__xludf.DUMMYFUNCTION("""COMPUTED_VALUE"""),8.1)</f>
        <v>8.1</v>
      </c>
      <c r="L135" s="24">
        <f>IFERROR(__xludf.DUMMYFUNCTION("""COMPUTED_VALUE"""),32.5)</f>
        <v>32.5</v>
      </c>
      <c r="M135" s="25" t="str">
        <f>IFERROR(__xludf.DUMMYFUNCTION("""COMPUTED_VALUE"""),"Action-Adventure")</f>
        <v>Action-Adventure</v>
      </c>
      <c r="N135" s="25" t="str">
        <f>IFERROR(__xludf.DUMMYFUNCTION("""COMPUTED_VALUE"""),"PS4 gets the base version")</f>
        <v>PS4 gets the base version</v>
      </c>
      <c r="O135" s="26" t="str">
        <f>IFERROR(__xludf.DUMMYFUNCTION("""COMPUTED_VALUE"""),"Yes")</f>
        <v>Yes</v>
      </c>
      <c r="P135" s="26"/>
    </row>
    <row r="136">
      <c r="A136" s="13" t="str">
        <f>IFERROR(__xludf.DUMMYFUNCTION("""COMPUTED_VALUE"""),"Marvel's Guardians Of The Galaxy")</f>
        <v>Marvel's Guardians Of The Galaxy</v>
      </c>
      <c r="B136" s="15" t="str">
        <f>IFERROR(__xludf.DUMMYFUNCTION("""COMPUTED_VALUE"""),"PS5/PS4")</f>
        <v>PS5/PS4</v>
      </c>
      <c r="C136" s="16" t="str">
        <f>IFERROR(__xludf.DUMMYFUNCTION("""COMPUTED_VALUE"""),"Extra")</f>
        <v>Extra</v>
      </c>
      <c r="D136" s="15" t="str">
        <f>IFERROR(__xludf.DUMMYFUNCTION("""COMPUTED_VALUE"""),"Active")</f>
        <v>Active</v>
      </c>
      <c r="E136" s="17">
        <f>IFERROR(__xludf.DUMMYFUNCTION("""COMPUTED_VALUE"""),44725.0)</f>
        <v>44725</v>
      </c>
      <c r="F136" s="54"/>
      <c r="G136" s="19">
        <f>IFERROR(__xludf.DUMMYFUNCTION("""COMPUTED_VALUE"""),51.766666666666666)</f>
        <v>51.76666667</v>
      </c>
      <c r="H136" s="17">
        <f>IFERROR(__xludf.DUMMYFUNCTION("""COMPUTED_VALUE"""),44495.0)</f>
        <v>44495</v>
      </c>
      <c r="I136" s="19">
        <f>IFERROR(__xludf.DUMMYFUNCTION("""COMPUTED_VALUE"""),0.6305555555555555)</f>
        <v>0.6305555556</v>
      </c>
      <c r="J136" s="21">
        <f>IFERROR(__xludf.DUMMYFUNCTION("""COMPUTED_VALUE"""),82.0)</f>
        <v>82</v>
      </c>
      <c r="K136" s="23">
        <f>IFERROR(__xludf.DUMMYFUNCTION("""COMPUTED_VALUE"""),8.4)</f>
        <v>8.4</v>
      </c>
      <c r="L136" s="24">
        <f>IFERROR(__xludf.DUMMYFUNCTION("""COMPUTED_VALUE"""),17.5)</f>
        <v>17.5</v>
      </c>
      <c r="M136" s="25" t="str">
        <f>IFERROR(__xludf.DUMMYFUNCTION("""COMPUTED_VALUE"""),"Action-Adventure")</f>
        <v>Action-Adventure</v>
      </c>
      <c r="N136" s="25"/>
      <c r="O136" s="26" t="str">
        <f>IFERROR(__xludf.DUMMYFUNCTION("""COMPUTED_VALUE"""),"Yes")</f>
        <v>Yes</v>
      </c>
      <c r="P136" s="26"/>
    </row>
    <row r="137">
      <c r="A137" s="13" t="str">
        <f>IFERROR(__xludf.DUMMYFUNCTION("""COMPUTED_VALUE"""),"Age of Wonders: Planetfall")</f>
        <v>Age of Wonders: Planetfall</v>
      </c>
      <c r="B137" s="15" t="str">
        <f>IFERROR(__xludf.DUMMYFUNCTION("""COMPUTED_VALUE"""),"PS4")</f>
        <v>PS4</v>
      </c>
      <c r="C137" s="16" t="str">
        <f>IFERROR(__xludf.DUMMYFUNCTION("""COMPUTED_VALUE"""),"Extra")</f>
        <v>Extra</v>
      </c>
      <c r="D137" s="15" t="str">
        <f>IFERROR(__xludf.DUMMYFUNCTION("""COMPUTED_VALUE"""),"Active")</f>
        <v>Active</v>
      </c>
      <c r="E137" s="17">
        <f>IFERROR(__xludf.DUMMYFUNCTION("""COMPUTED_VALUE"""),44725.0)</f>
        <v>44725</v>
      </c>
      <c r="F137" s="54"/>
      <c r="G137" s="19">
        <f>IFERROR(__xludf.DUMMYFUNCTION("""COMPUTED_VALUE"""),51.766666666666666)</f>
        <v>51.76666667</v>
      </c>
      <c r="H137" s="17">
        <f>IFERROR(__xludf.DUMMYFUNCTION("""COMPUTED_VALUE"""),43683.0)</f>
        <v>43683</v>
      </c>
      <c r="I137" s="19">
        <f>IFERROR(__xludf.DUMMYFUNCTION("""COMPUTED_VALUE"""),2.852777777777778)</f>
        <v>2.852777778</v>
      </c>
      <c r="J137" s="21">
        <f>IFERROR(__xludf.DUMMYFUNCTION("""COMPUTED_VALUE"""),82.0)</f>
        <v>82</v>
      </c>
      <c r="K137" s="23">
        <f>IFERROR(__xludf.DUMMYFUNCTION("""COMPUTED_VALUE"""),7.4)</f>
        <v>7.4</v>
      </c>
      <c r="L137" s="24">
        <f>IFERROR(__xludf.DUMMYFUNCTION("""COMPUTED_VALUE"""),56.5)</f>
        <v>56.5</v>
      </c>
      <c r="M137" s="25" t="str">
        <f>IFERROR(__xludf.DUMMYFUNCTION("""COMPUTED_VALUE"""),"Strategy")</f>
        <v>Strategy</v>
      </c>
      <c r="N137" s="25"/>
      <c r="O137" s="26" t="str">
        <f>IFERROR(__xludf.DUMMYFUNCTION("""COMPUTED_VALUE"""),"Yes")</f>
        <v>Yes</v>
      </c>
      <c r="P137" s="26" t="str">
        <f>IFERROR(__xludf.DUMMYFUNCTION("""COMPUTED_VALUE"""),"Yes")</f>
        <v>Yes</v>
      </c>
    </row>
    <row r="138">
      <c r="A138" s="13" t="str">
        <f>IFERROR(__xludf.DUMMYFUNCTION("""COMPUTED_VALUE"""),"Disgaea 5: Alliance of Vengeance")</f>
        <v>Disgaea 5: Alliance of Vengeance</v>
      </c>
      <c r="B138" s="15" t="str">
        <f>IFERROR(__xludf.DUMMYFUNCTION("""COMPUTED_VALUE"""),"PS4")</f>
        <v>PS4</v>
      </c>
      <c r="C138" s="16" t="str">
        <f>IFERROR(__xludf.DUMMYFUNCTION("""COMPUTED_VALUE"""),"Extra")</f>
        <v>Extra</v>
      </c>
      <c r="D138" s="15" t="str">
        <f>IFERROR(__xludf.DUMMYFUNCTION("""COMPUTED_VALUE"""),"Active")</f>
        <v>Active</v>
      </c>
      <c r="E138" s="17">
        <f>IFERROR(__xludf.DUMMYFUNCTION("""COMPUTED_VALUE"""),44725.0)</f>
        <v>44725</v>
      </c>
      <c r="F138" s="18"/>
      <c r="G138" s="19">
        <f>IFERROR(__xludf.DUMMYFUNCTION("""COMPUTED_VALUE"""),51.766666666666666)</f>
        <v>51.76666667</v>
      </c>
      <c r="H138" s="17">
        <f>IFERROR(__xludf.DUMMYFUNCTION("""COMPUTED_VALUE"""),42278.0)</f>
        <v>42278</v>
      </c>
      <c r="I138" s="19">
        <f>IFERROR(__xludf.DUMMYFUNCTION("""COMPUTED_VALUE"""),6.7)</f>
        <v>6.7</v>
      </c>
      <c r="J138" s="21">
        <f>IFERROR(__xludf.DUMMYFUNCTION("""COMPUTED_VALUE"""),82.0)</f>
        <v>82</v>
      </c>
      <c r="K138" s="23">
        <f>IFERROR(__xludf.DUMMYFUNCTION("""COMPUTED_VALUE"""),8.2)</f>
        <v>8.2</v>
      </c>
      <c r="L138" s="24">
        <f>IFERROR(__xludf.DUMMYFUNCTION("""COMPUTED_VALUE"""),40.5)</f>
        <v>40.5</v>
      </c>
      <c r="M138" s="25" t="str">
        <f>IFERROR(__xludf.DUMMYFUNCTION("""COMPUTED_VALUE"""),"RPG")</f>
        <v>RPG</v>
      </c>
      <c r="N138" s="25"/>
      <c r="O138" s="26" t="str">
        <f>IFERROR(__xludf.DUMMYFUNCTION("""COMPUTED_VALUE"""),"Yes")</f>
        <v>Yes</v>
      </c>
      <c r="P138" s="26"/>
    </row>
    <row r="139">
      <c r="A139" s="13" t="str">
        <f>IFERROR(__xludf.DUMMYFUNCTION("""COMPUTED_VALUE"""),"The Last Guardian")</f>
        <v>The Last Guardian</v>
      </c>
      <c r="B139" s="15" t="str">
        <f>IFERROR(__xludf.DUMMYFUNCTION("""COMPUTED_VALUE"""),"PS4")</f>
        <v>PS4</v>
      </c>
      <c r="C139" s="16" t="str">
        <f>IFERROR(__xludf.DUMMYFUNCTION("""COMPUTED_VALUE"""),"Extra")</f>
        <v>Extra</v>
      </c>
      <c r="D139" s="15" t="str">
        <f>IFERROR(__xludf.DUMMYFUNCTION("""COMPUTED_VALUE"""),"Active")</f>
        <v>Active</v>
      </c>
      <c r="E139" s="17">
        <f>IFERROR(__xludf.DUMMYFUNCTION("""COMPUTED_VALUE"""),44725.0)</f>
        <v>44725</v>
      </c>
      <c r="F139" s="54"/>
      <c r="G139" s="19">
        <f>IFERROR(__xludf.DUMMYFUNCTION("""COMPUTED_VALUE"""),51.766666666666666)</f>
        <v>51.76666667</v>
      </c>
      <c r="H139" s="17">
        <f>IFERROR(__xludf.DUMMYFUNCTION("""COMPUTED_VALUE"""),42710.0)</f>
        <v>42710</v>
      </c>
      <c r="I139" s="19">
        <f>IFERROR(__xludf.DUMMYFUNCTION("""COMPUTED_VALUE"""),5.519444444444445)</f>
        <v>5.519444444</v>
      </c>
      <c r="J139" s="21">
        <f>IFERROR(__xludf.DUMMYFUNCTION("""COMPUTED_VALUE"""),82.0)</f>
        <v>82</v>
      </c>
      <c r="K139" s="23">
        <f>IFERROR(__xludf.DUMMYFUNCTION("""COMPUTED_VALUE"""),7.9)</f>
        <v>7.9</v>
      </c>
      <c r="L139" s="24">
        <f>IFERROR(__xludf.DUMMYFUNCTION("""COMPUTED_VALUE"""),12.0)</f>
        <v>12</v>
      </c>
      <c r="M139" s="25" t="str">
        <f>IFERROR(__xludf.DUMMYFUNCTION("""COMPUTED_VALUE"""),"Action-Adventure")</f>
        <v>Action-Adventure</v>
      </c>
      <c r="N139" s="25"/>
      <c r="O139" s="26" t="str">
        <f>IFERROR(__xludf.DUMMYFUNCTION("""COMPUTED_VALUE"""),"Yes")</f>
        <v>Yes</v>
      </c>
      <c r="P139" s="26"/>
    </row>
    <row r="140">
      <c r="A140" s="13" t="str">
        <f>IFERROR(__xludf.DUMMYFUNCTION("""COMPUTED_VALUE"""),"Far Cry 3: Blood Dragon - Classic Edition")</f>
        <v>Far Cry 3: Blood Dragon - Classic Edition</v>
      </c>
      <c r="B140" s="15" t="str">
        <f>IFERROR(__xludf.DUMMYFUNCTION("""COMPUTED_VALUE"""),"PS4")</f>
        <v>PS4</v>
      </c>
      <c r="C140" s="16" t="str">
        <f>IFERROR(__xludf.DUMMYFUNCTION("""COMPUTED_VALUE"""),"Extra (Ubisoft+ Classics)")</f>
        <v>Extra (Ubisoft+ Classics)</v>
      </c>
      <c r="D140" s="15" t="str">
        <f>IFERROR(__xludf.DUMMYFUNCTION("""COMPUTED_VALUE"""),"Active")</f>
        <v>Active</v>
      </c>
      <c r="E140" s="17">
        <f>IFERROR(__xludf.DUMMYFUNCTION("""COMPUTED_VALUE"""),44725.0)</f>
        <v>44725</v>
      </c>
      <c r="F140" s="18"/>
      <c r="G140" s="19">
        <f>IFERROR(__xludf.DUMMYFUNCTION("""COMPUTED_VALUE"""),51.766666666666666)</f>
        <v>51.76666667</v>
      </c>
      <c r="H140" s="17">
        <f>IFERROR(__xludf.DUMMYFUNCTION("""COMPUTED_VALUE"""),43998.0)</f>
        <v>43998</v>
      </c>
      <c r="I140" s="19">
        <f>IFERROR(__xludf.DUMMYFUNCTION("""COMPUTED_VALUE"""),1.9916666666666667)</f>
        <v>1.991666667</v>
      </c>
      <c r="J140" s="21">
        <f>IFERROR(__xludf.DUMMYFUNCTION("""COMPUTED_VALUE"""),82.0)</f>
        <v>82</v>
      </c>
      <c r="K140" s="23">
        <f>IFERROR(__xludf.DUMMYFUNCTION("""COMPUTED_VALUE"""),8.2)</f>
        <v>8.2</v>
      </c>
      <c r="L140" s="24">
        <f>IFERROR(__xludf.DUMMYFUNCTION("""COMPUTED_VALUE"""),6.0)</f>
        <v>6</v>
      </c>
      <c r="M140" s="70" t="str">
        <f>IFERROR(__xludf.DUMMYFUNCTION("""COMPUTED_VALUE"""),"Shooter")</f>
        <v>Shooter</v>
      </c>
      <c r="N140" s="25"/>
      <c r="O140" s="26" t="str">
        <f>IFERROR(__xludf.DUMMYFUNCTION("""COMPUTED_VALUE"""),"Yes")</f>
        <v>Yes</v>
      </c>
      <c r="P140" s="26"/>
    </row>
    <row r="141">
      <c r="A141" s="13" t="str">
        <f>IFERROR(__xludf.DUMMYFUNCTION("""COMPUTED_VALUE"""),"Hot Shots Golf")</f>
        <v>Hot Shots Golf</v>
      </c>
      <c r="B141" s="15" t="str">
        <f>IFERROR(__xludf.DUMMYFUNCTION("""COMPUTED_VALUE"""),"PS5/PS4")</f>
        <v>PS5/PS4</v>
      </c>
      <c r="C141" s="16" t="str">
        <f>IFERROR(__xludf.DUMMYFUNCTION("""COMPUTED_VALUE"""),"Premium (Classics)")</f>
        <v>Premium (Classics)</v>
      </c>
      <c r="D141" s="15" t="str">
        <f>IFERROR(__xludf.DUMMYFUNCTION("""COMPUTED_VALUE"""),"Active")</f>
        <v>Active</v>
      </c>
      <c r="E141" s="17">
        <f>IFERROR(__xludf.DUMMYFUNCTION("""COMPUTED_VALUE"""),44725.0)</f>
        <v>44725</v>
      </c>
      <c r="F141" s="18"/>
      <c r="G141" s="19">
        <f>IFERROR(__xludf.DUMMYFUNCTION("""COMPUTED_VALUE"""),51.766666666666666)</f>
        <v>51.76666667</v>
      </c>
      <c r="H141" s="17">
        <f>IFERROR(__xludf.DUMMYFUNCTION("""COMPUTED_VALUE"""),36007.0)</f>
        <v>36007</v>
      </c>
      <c r="I141" s="19">
        <f>IFERROR(__xludf.DUMMYFUNCTION("""COMPUTED_VALUE"""),23.869444444444444)</f>
        <v>23.86944444</v>
      </c>
      <c r="J141" s="21">
        <f>IFERROR(__xludf.DUMMYFUNCTION("""COMPUTED_VALUE"""),82.0)</f>
        <v>82</v>
      </c>
      <c r="K141" s="23">
        <f>IFERROR(__xludf.DUMMYFUNCTION("""COMPUTED_VALUE"""),8.6)</f>
        <v>8.6</v>
      </c>
      <c r="L141" s="24"/>
      <c r="M141" s="25" t="str">
        <f>IFERROR(__xludf.DUMMYFUNCTION("""COMPUTED_VALUE"""),"Sports")</f>
        <v>Sports</v>
      </c>
      <c r="N141" s="25" t="str">
        <f>IFERROR(__xludf.DUMMYFUNCTION("""COMPUTED_VALUE"""),"PS1")</f>
        <v>PS1</v>
      </c>
      <c r="O141" s="26" t="str">
        <f>IFERROR(__xludf.DUMMYFUNCTION("""COMPUTED_VALUE"""),"Yes")</f>
        <v>Yes</v>
      </c>
      <c r="P141" s="26" t="str">
        <f>IFERROR(__xludf.DUMMYFUNCTION("""COMPUTED_VALUE"""),"")</f>
        <v/>
      </c>
    </row>
    <row r="142">
      <c r="A142" s="13" t="str">
        <f>IFERROR(__xludf.DUMMYFUNCTION("""COMPUTED_VALUE"""),"Ape Escape 2")</f>
        <v>Ape Escape 2</v>
      </c>
      <c r="B142" s="15" t="str">
        <f>IFERROR(__xludf.DUMMYFUNCTION("""COMPUTED_VALUE"""),"PS4")</f>
        <v>PS4</v>
      </c>
      <c r="C142" s="16" t="str">
        <f>IFERROR(__xludf.DUMMYFUNCTION("""COMPUTED_VALUE"""),"Premium (Classics)")</f>
        <v>Premium (Classics)</v>
      </c>
      <c r="D142" s="15" t="str">
        <f>IFERROR(__xludf.DUMMYFUNCTION("""COMPUTED_VALUE"""),"Active")</f>
        <v>Active</v>
      </c>
      <c r="E142" s="17">
        <f>IFERROR(__xludf.DUMMYFUNCTION("""COMPUTED_VALUE"""),44725.0)</f>
        <v>44725</v>
      </c>
      <c r="F142" s="54"/>
      <c r="G142" s="19">
        <f>IFERROR(__xludf.DUMMYFUNCTION("""COMPUTED_VALUE"""),51.766666666666666)</f>
        <v>51.76666667</v>
      </c>
      <c r="H142" s="17">
        <f>IFERROR(__xludf.DUMMYFUNCTION("""COMPUTED_VALUE"""),37803.0)</f>
        <v>37803</v>
      </c>
      <c r="I142" s="19">
        <f>IFERROR(__xludf.DUMMYFUNCTION("""COMPUTED_VALUE"""),18.95)</f>
        <v>18.95</v>
      </c>
      <c r="J142" s="21">
        <f>IFERROR(__xludf.DUMMYFUNCTION("""COMPUTED_VALUE"""),82.0)</f>
        <v>82</v>
      </c>
      <c r="K142" s="23">
        <f>IFERROR(__xludf.DUMMYFUNCTION("""COMPUTED_VALUE"""),8.2)</f>
        <v>8.2</v>
      </c>
      <c r="L142" s="24">
        <f>IFERROR(__xludf.DUMMYFUNCTION("""COMPUTED_VALUE"""),10.0)</f>
        <v>10</v>
      </c>
      <c r="M142" s="25" t="str">
        <f>IFERROR(__xludf.DUMMYFUNCTION("""COMPUTED_VALUE"""),"Platformer")</f>
        <v>Platformer</v>
      </c>
      <c r="N142" s="25" t="str">
        <f>IFERROR(__xludf.DUMMYFUNCTION("""COMPUTED_VALUE"""),"PS2")</f>
        <v>PS2</v>
      </c>
      <c r="O142" s="26" t="str">
        <f>IFERROR(__xludf.DUMMYFUNCTION("""COMPUTED_VALUE"""),"Yes")</f>
        <v>Yes</v>
      </c>
      <c r="P142" s="26" t="str">
        <f>IFERROR(__xludf.DUMMYFUNCTION("""COMPUTED_VALUE"""),"")</f>
        <v/>
      </c>
    </row>
    <row r="143">
      <c r="A143" s="13" t="str">
        <f>IFERROR(__xludf.DUMMYFUNCTION("""COMPUTED_VALUE"""),"Gloomhaven: Mercenaries Edition")</f>
        <v>Gloomhaven: Mercenaries Edition</v>
      </c>
      <c r="B143" s="15" t="str">
        <f>IFERROR(__xludf.DUMMYFUNCTION("""COMPUTED_VALUE"""),"PS5/PS4")</f>
        <v>PS5/PS4</v>
      </c>
      <c r="C143" s="16" t="str">
        <f>IFERROR(__xludf.DUMMYFUNCTION("""COMPUTED_VALUE"""),"Extra")</f>
        <v>Extra</v>
      </c>
      <c r="D143" s="15" t="str">
        <f>IFERROR(__xludf.DUMMYFUNCTION("""COMPUTED_VALUE"""),"Leaving Soon")</f>
        <v>Leaving Soon</v>
      </c>
      <c r="E143" s="17">
        <f>IFERROR(__xludf.DUMMYFUNCTION("""COMPUTED_VALUE"""),45797.0)</f>
        <v>45797</v>
      </c>
      <c r="F143" s="54">
        <f>IFERROR(__xludf.DUMMYFUNCTION("""COMPUTED_VALUE"""),46314.0)</f>
        <v>46314</v>
      </c>
      <c r="G143" s="19">
        <f>IFERROR(__xludf.DUMMYFUNCTION("""COMPUTED_VALUE"""),16.96666666666667)</f>
        <v>16.96666667</v>
      </c>
      <c r="H143" s="17">
        <f>IFERROR(__xludf.DUMMYFUNCTION("""COMPUTED_VALUE"""),43663.0)</f>
        <v>43663</v>
      </c>
      <c r="I143" s="19">
        <f>IFERROR(__xludf.DUMMYFUNCTION("""COMPUTED_VALUE"""),5.841666666666667)</f>
        <v>5.841666667</v>
      </c>
      <c r="J143" s="21">
        <f>IFERROR(__xludf.DUMMYFUNCTION("""COMPUTED_VALUE"""),82.0)</f>
        <v>82</v>
      </c>
      <c r="K143" s="23">
        <f>IFERROR(__xludf.DUMMYFUNCTION("""COMPUTED_VALUE"""),6.6)</f>
        <v>6.6</v>
      </c>
      <c r="L143" s="24">
        <f>IFERROR(__xludf.DUMMYFUNCTION("""COMPUTED_VALUE"""),100.0)</f>
        <v>100</v>
      </c>
      <c r="M143" s="25" t="str">
        <f>IFERROR(__xludf.DUMMYFUNCTION("""COMPUTED_VALUE"""),"Board")</f>
        <v>Board</v>
      </c>
      <c r="N143" s="25"/>
      <c r="O143" s="26"/>
      <c r="P143" s="26"/>
    </row>
    <row r="144">
      <c r="A144" s="13" t="str">
        <f>IFERROR(__xludf.DUMMYFUNCTION("""COMPUTED_VALUE"""),"The Exit 8")</f>
        <v>The Exit 8</v>
      </c>
      <c r="B144" s="15" t="str">
        <f>IFERROR(__xludf.DUMMYFUNCTION("""COMPUTED_VALUE"""),"PS5/PS4")</f>
        <v>PS5/PS4</v>
      </c>
      <c r="C144" s="16" t="str">
        <f>IFERROR(__xludf.DUMMYFUNCTION("""COMPUTED_VALUE"""),"Extra")</f>
        <v>Extra</v>
      </c>
      <c r="D144" s="15" t="str">
        <f>IFERROR(__xludf.DUMMYFUNCTION("""COMPUTED_VALUE"""),"Active")</f>
        <v>Active</v>
      </c>
      <c r="E144" s="17">
        <f>IFERROR(__xludf.DUMMYFUNCTION("""COMPUTED_VALUE"""),46042.0)</f>
        <v>46042</v>
      </c>
      <c r="F144" s="54"/>
      <c r="G144" s="19">
        <f>IFERROR(__xludf.DUMMYFUNCTION("""COMPUTED_VALUE"""),8.533333333333333)</f>
        <v>8.533333333</v>
      </c>
      <c r="H144" s="17">
        <f>IFERROR(__xludf.DUMMYFUNCTION("""COMPUTED_VALUE"""),45399.0)</f>
        <v>45399</v>
      </c>
      <c r="I144" s="19">
        <f>IFERROR(__xludf.DUMMYFUNCTION("""COMPUTED_VALUE"""),1.7583333333333333)</f>
        <v>1.758333333</v>
      </c>
      <c r="J144" s="21">
        <f>IFERROR(__xludf.DUMMYFUNCTION("""COMPUTED_VALUE"""),81.66666666666667)</f>
        <v>81.66666667</v>
      </c>
      <c r="K144" s="23">
        <f>IFERROR(__xludf.DUMMYFUNCTION("""COMPUTED_VALUE"""),7.3)</f>
        <v>7.3</v>
      </c>
      <c r="L144" s="24">
        <f>IFERROR(__xludf.DUMMYFUNCTION("""COMPUTED_VALUE"""),1.0)</f>
        <v>1</v>
      </c>
      <c r="M144" s="25" t="str">
        <f>IFERROR(__xludf.DUMMYFUNCTION("""COMPUTED_VALUE"""),"Adventure")</f>
        <v>Adventure</v>
      </c>
      <c r="N144" s="25"/>
      <c r="O144" s="26"/>
      <c r="P144" s="26"/>
    </row>
    <row r="145">
      <c r="A145" s="13" t="str">
        <f>IFERROR(__xludf.DUMMYFUNCTION("""COMPUTED_VALUE"""),"Onimusha: Dawn of Dreams")</f>
        <v>Onimusha: Dawn of Dreams</v>
      </c>
      <c r="B145" s="15" t="str">
        <f>IFERROR(__xludf.DUMMYFUNCTION("""COMPUTED_VALUE"""),"PS5/PS4")</f>
        <v>PS5/PS4</v>
      </c>
      <c r="C145" s="16" t="str">
        <f>IFERROR(__xludf.DUMMYFUNCTION("""COMPUTED_VALUE"""),"Premium (Classics)")</f>
        <v>Premium (Classics)</v>
      </c>
      <c r="D145" s="15" t="str">
        <f>IFERROR(__xludf.DUMMYFUNCTION("""COMPUTED_VALUE"""),"Active")</f>
        <v>Active</v>
      </c>
      <c r="E145" s="17">
        <f>IFERROR(__xludf.DUMMYFUNCTION("""COMPUTED_VALUE"""),46252.0)</f>
        <v>46252</v>
      </c>
      <c r="F145" s="54"/>
      <c r="G145" s="19">
        <f>IFERROR(__xludf.DUMMYFUNCTION("""COMPUTED_VALUE"""),1.6)</f>
        <v>1.6</v>
      </c>
      <c r="H145" s="17">
        <f>IFERROR(__xludf.DUMMYFUNCTION("""COMPUTED_VALUE"""),38783.0)</f>
        <v>38783</v>
      </c>
      <c r="I145" s="19">
        <f>IFERROR(__xludf.DUMMYFUNCTION("""COMPUTED_VALUE"""),20.447222222222223)</f>
        <v>20.44722222</v>
      </c>
      <c r="J145" s="21">
        <f>IFERROR(__xludf.DUMMYFUNCTION("""COMPUTED_VALUE"""),81.0)</f>
        <v>81</v>
      </c>
      <c r="K145" s="23">
        <f>IFERROR(__xludf.DUMMYFUNCTION("""COMPUTED_VALUE"""),8.5)</f>
        <v>8.5</v>
      </c>
      <c r="L145" s="24">
        <f>IFERROR(__xludf.DUMMYFUNCTION("""COMPUTED_VALUE"""),20.0)</f>
        <v>20</v>
      </c>
      <c r="M145" s="25" t="str">
        <f>IFERROR(__xludf.DUMMYFUNCTION("""COMPUTED_VALUE"""),"Action-Adventure")</f>
        <v>Action-Adventure</v>
      </c>
      <c r="N145" s="25" t="str">
        <f>IFERROR(__xludf.DUMMYFUNCTION("""COMPUTED_VALUE"""),"PS2")</f>
        <v>PS2</v>
      </c>
      <c r="O145" s="26"/>
      <c r="P145" s="26"/>
    </row>
    <row r="146">
      <c r="A146" s="13" t="str">
        <f>IFERROR(__xludf.DUMMYFUNCTION("""COMPUTED_VALUE"""),"Monster Hunter Stories 2: Wings of Ruin")</f>
        <v>Monster Hunter Stories 2: Wings of Ruin</v>
      </c>
      <c r="B146" s="15" t="str">
        <f>IFERROR(__xludf.DUMMYFUNCTION("""COMPUTED_VALUE"""),"PS4")</f>
        <v>PS4</v>
      </c>
      <c r="C146" s="16" t="str">
        <f>IFERROR(__xludf.DUMMYFUNCTION("""COMPUTED_VALUE"""),"Extra")</f>
        <v>Extra</v>
      </c>
      <c r="D146" s="15" t="str">
        <f>IFERROR(__xludf.DUMMYFUNCTION("""COMPUTED_VALUE"""),"Active")</f>
        <v>Active</v>
      </c>
      <c r="E146" s="17">
        <f>IFERROR(__xludf.DUMMYFUNCTION("""COMPUTED_VALUE"""),46070.0)</f>
        <v>46070</v>
      </c>
      <c r="F146" s="54"/>
      <c r="G146" s="19">
        <f>IFERROR(__xludf.DUMMYFUNCTION("""COMPUTED_VALUE"""),7.633333333333333)</f>
        <v>7.633333333</v>
      </c>
      <c r="H146" s="17">
        <f>IFERROR(__xludf.DUMMYFUNCTION("""COMPUTED_VALUE"""),44386.0)</f>
        <v>44386</v>
      </c>
      <c r="I146" s="19">
        <f>IFERROR(__xludf.DUMMYFUNCTION("""COMPUTED_VALUE"""),4.605555555555555)</f>
        <v>4.605555556</v>
      </c>
      <c r="J146" s="21">
        <f>IFERROR(__xludf.DUMMYFUNCTION("""COMPUTED_VALUE"""),81.0)</f>
        <v>81</v>
      </c>
      <c r="K146" s="23">
        <f>IFERROR(__xludf.DUMMYFUNCTION("""COMPUTED_VALUE"""),8.6)</f>
        <v>8.6</v>
      </c>
      <c r="L146" s="24">
        <f>IFERROR(__xludf.DUMMYFUNCTION("""COMPUTED_VALUE"""),41.0)</f>
        <v>41</v>
      </c>
      <c r="M146" s="25" t="str">
        <f>IFERROR(__xludf.DUMMYFUNCTION("""COMPUTED_VALUE"""),"RPG")</f>
        <v>RPG</v>
      </c>
      <c r="N146" s="25"/>
      <c r="O146" s="26"/>
      <c r="P146" s="26"/>
    </row>
    <row r="147">
      <c r="A147" s="13" t="str">
        <f>IFERROR(__xludf.DUMMYFUNCTION("""COMPUTED_VALUE"""),"Darkest Dungeon II")</f>
        <v>Darkest Dungeon II</v>
      </c>
      <c r="B147" s="15" t="str">
        <f>IFERROR(__xludf.DUMMYFUNCTION("""COMPUTED_VALUE"""),"PS5/PS4")</f>
        <v>PS5/PS4</v>
      </c>
      <c r="C147" s="16" t="str">
        <f>IFERROR(__xludf.DUMMYFUNCTION("""COMPUTED_VALUE"""),"Extra")</f>
        <v>Extra</v>
      </c>
      <c r="D147" s="15" t="str">
        <f>IFERROR(__xludf.DUMMYFUNCTION("""COMPUTED_VALUE"""),"Active")</f>
        <v>Active</v>
      </c>
      <c r="E147" s="17">
        <f>IFERROR(__xludf.DUMMYFUNCTION("""COMPUTED_VALUE"""),46042.0)</f>
        <v>46042</v>
      </c>
      <c r="F147" s="54"/>
      <c r="G147" s="19">
        <f>IFERROR(__xludf.DUMMYFUNCTION("""COMPUTED_VALUE"""),8.533333333333333)</f>
        <v>8.533333333</v>
      </c>
      <c r="H147" s="17">
        <f>IFERROR(__xludf.DUMMYFUNCTION("""COMPUTED_VALUE"""),45054.0)</f>
        <v>45054</v>
      </c>
      <c r="I147" s="19">
        <f>IFERROR(__xludf.DUMMYFUNCTION("""COMPUTED_VALUE"""),2.7)</f>
        <v>2.7</v>
      </c>
      <c r="J147" s="21">
        <f>IFERROR(__xludf.DUMMYFUNCTION("""COMPUTED_VALUE"""),81.0)</f>
        <v>81</v>
      </c>
      <c r="K147" s="23">
        <f>IFERROR(__xludf.DUMMYFUNCTION("""COMPUTED_VALUE"""),6.1)</f>
        <v>6.1</v>
      </c>
      <c r="L147" s="24">
        <f>IFERROR(__xludf.DUMMYFUNCTION("""COMPUTED_VALUE"""),27.0)</f>
        <v>27</v>
      </c>
      <c r="M147" s="25" t="str">
        <f>IFERROR(__xludf.DUMMYFUNCTION("""COMPUTED_VALUE"""),"Roguelike")</f>
        <v>Roguelike</v>
      </c>
      <c r="N147" s="25"/>
      <c r="O147" s="26"/>
      <c r="P147" s="26"/>
    </row>
    <row r="148">
      <c r="A148" s="13" t="str">
        <f>IFERROR(__xludf.DUMMYFUNCTION("""COMPUTED_VALUE"""),"Fate/Samurai Remnant")</f>
        <v>Fate/Samurai Remnant</v>
      </c>
      <c r="B148" s="15" t="str">
        <f>IFERROR(__xludf.DUMMYFUNCTION("""COMPUTED_VALUE"""),"PS5/PS4")</f>
        <v>PS5/PS4</v>
      </c>
      <c r="C148" s="16" t="str">
        <f>IFERROR(__xludf.DUMMYFUNCTION("""COMPUTED_VALUE"""),"Extra")</f>
        <v>Extra</v>
      </c>
      <c r="D148" s="15" t="str">
        <f>IFERROR(__xludf.DUMMYFUNCTION("""COMPUTED_VALUE"""),"Active")</f>
        <v>Active</v>
      </c>
      <c r="E148" s="17">
        <f>IFERROR(__xludf.DUMMYFUNCTION("""COMPUTED_VALUE"""),45916.0)</f>
        <v>45916</v>
      </c>
      <c r="F148" s="54"/>
      <c r="G148" s="19">
        <f>IFERROR(__xludf.DUMMYFUNCTION("""COMPUTED_VALUE"""),12.666666666666668)</f>
        <v>12.66666667</v>
      </c>
      <c r="H148" s="17">
        <f>IFERROR(__xludf.DUMMYFUNCTION("""COMPUTED_VALUE"""),45198.0)</f>
        <v>45198</v>
      </c>
      <c r="I148" s="19">
        <f>IFERROR(__xludf.DUMMYFUNCTION("""COMPUTED_VALUE"""),1.9638888888888888)</f>
        <v>1.963888889</v>
      </c>
      <c r="J148" s="21">
        <f>IFERROR(__xludf.DUMMYFUNCTION("""COMPUTED_VALUE"""),81.0)</f>
        <v>81</v>
      </c>
      <c r="K148" s="23">
        <f>IFERROR(__xludf.DUMMYFUNCTION("""COMPUTED_VALUE"""),8.0)</f>
        <v>8</v>
      </c>
      <c r="L148" s="24">
        <f>IFERROR(__xludf.DUMMYFUNCTION("""COMPUTED_VALUE"""),29.0)</f>
        <v>29</v>
      </c>
      <c r="M148" s="25" t="str">
        <f>IFERROR(__xludf.DUMMYFUNCTION("""COMPUTED_VALUE"""),"RPG")</f>
        <v>RPG</v>
      </c>
      <c r="N148" s="25"/>
      <c r="O148" s="26"/>
      <c r="P148" s="26"/>
    </row>
    <row r="149">
      <c r="A149" s="13" t="str">
        <f>IFERROR(__xludf.DUMMYFUNCTION("""COMPUTED_VALUE"""),"Atelier Ryza 3: Alchemist of the End &amp; the Secret Key")</f>
        <v>Atelier Ryza 3: Alchemist of the End &amp; the Secret Key</v>
      </c>
      <c r="B149" s="15" t="str">
        <f>IFERROR(__xludf.DUMMYFUNCTION("""COMPUTED_VALUE"""),"PS5/PS4")</f>
        <v>PS5/PS4</v>
      </c>
      <c r="C149" s="16" t="str">
        <f>IFERROR(__xludf.DUMMYFUNCTION("""COMPUTED_VALUE"""),"Extra")</f>
        <v>Extra</v>
      </c>
      <c r="D149" s="15" t="str">
        <f>IFERROR(__xludf.DUMMYFUNCTION("""COMPUTED_VALUE"""),"Active")</f>
        <v>Active</v>
      </c>
      <c r="E149" s="17">
        <f>IFERROR(__xludf.DUMMYFUNCTION("""COMPUTED_VALUE"""),45888.0)</f>
        <v>45888</v>
      </c>
      <c r="F149" s="54"/>
      <c r="G149" s="19">
        <f>IFERROR(__xludf.DUMMYFUNCTION("""COMPUTED_VALUE"""),13.566666666666666)</f>
        <v>13.56666667</v>
      </c>
      <c r="H149" s="17">
        <f>IFERROR(__xludf.DUMMYFUNCTION("""COMPUTED_VALUE"""),45009.0)</f>
        <v>45009</v>
      </c>
      <c r="I149" s="19">
        <f>IFERROR(__xludf.DUMMYFUNCTION("""COMPUTED_VALUE"""),2.4027777777777777)</f>
        <v>2.402777778</v>
      </c>
      <c r="J149" s="21">
        <f>IFERROR(__xludf.DUMMYFUNCTION("""COMPUTED_VALUE"""),81.0)</f>
        <v>81</v>
      </c>
      <c r="K149" s="23">
        <f>IFERROR(__xludf.DUMMYFUNCTION("""COMPUTED_VALUE"""),7.5)</f>
        <v>7.5</v>
      </c>
      <c r="L149" s="24">
        <f>IFERROR(__xludf.DUMMYFUNCTION("""COMPUTED_VALUE"""),34.0)</f>
        <v>34</v>
      </c>
      <c r="M149" s="25" t="str">
        <f>IFERROR(__xludf.DUMMYFUNCTION("""COMPUTED_VALUE"""),"RPG")</f>
        <v>RPG</v>
      </c>
      <c r="N149" s="25"/>
      <c r="O149" s="26"/>
      <c r="P149" s="26"/>
    </row>
    <row r="150">
      <c r="A150" s="13" t="str">
        <f>IFERROR(__xludf.DUMMYFUNCTION("""COMPUTED_VALUE"""),"Granblue Fantasy Versus: Rising")</f>
        <v>Granblue Fantasy Versus: Rising</v>
      </c>
      <c r="B150" s="15" t="str">
        <f>IFERROR(__xludf.DUMMYFUNCTION("""COMPUTED_VALUE"""),"PS5/PS4")</f>
        <v>PS5/PS4</v>
      </c>
      <c r="C150" s="16" t="str">
        <f>IFERROR(__xludf.DUMMYFUNCTION("""COMPUTED_VALUE"""),"Extra")</f>
        <v>Extra</v>
      </c>
      <c r="D150" s="15" t="str">
        <f>IFERROR(__xludf.DUMMYFUNCTION("""COMPUTED_VALUE"""),"Active")</f>
        <v>Active</v>
      </c>
      <c r="E150" s="17">
        <f>IFERROR(__xludf.DUMMYFUNCTION("""COMPUTED_VALUE"""),45797.0)</f>
        <v>45797</v>
      </c>
      <c r="F150" s="54"/>
      <c r="G150" s="19">
        <f>IFERROR(__xludf.DUMMYFUNCTION("""COMPUTED_VALUE"""),16.53333333333333)</f>
        <v>16.53333333</v>
      </c>
      <c r="H150" s="17">
        <f>IFERROR(__xludf.DUMMYFUNCTION("""COMPUTED_VALUE"""),45274.0)</f>
        <v>45274</v>
      </c>
      <c r="I150" s="19">
        <f>IFERROR(__xludf.DUMMYFUNCTION("""COMPUTED_VALUE"""),1.4333333333333333)</f>
        <v>1.433333333</v>
      </c>
      <c r="J150" s="21">
        <f>IFERROR(__xludf.DUMMYFUNCTION("""COMPUTED_VALUE"""),81.0)</f>
        <v>81</v>
      </c>
      <c r="K150" s="23">
        <f>IFERROR(__xludf.DUMMYFUNCTION("""COMPUTED_VALUE"""),7.0)</f>
        <v>7</v>
      </c>
      <c r="L150" s="24">
        <f>IFERROR(__xludf.DUMMYFUNCTION("""COMPUTED_VALUE"""),13.0)</f>
        <v>13</v>
      </c>
      <c r="M150" s="25" t="str">
        <f>IFERROR(__xludf.DUMMYFUNCTION("""COMPUTED_VALUE"""),"Fighting")</f>
        <v>Fighting</v>
      </c>
      <c r="N150" s="25"/>
      <c r="O150" s="26"/>
      <c r="P150" s="26"/>
    </row>
    <row r="151">
      <c r="A151" s="13" t="str">
        <f>IFERROR(__xludf.DUMMYFUNCTION("""COMPUTED_VALUE"""),"Syberia: The World Before")</f>
        <v>Syberia: The World Before</v>
      </c>
      <c r="B151" s="15" t="str">
        <f>IFERROR(__xludf.DUMMYFUNCTION("""COMPUTED_VALUE"""),"PS5/PS4")</f>
        <v>PS5/PS4</v>
      </c>
      <c r="C151" s="16" t="str">
        <f>IFERROR(__xludf.DUMMYFUNCTION("""COMPUTED_VALUE"""),"Extra")</f>
        <v>Extra</v>
      </c>
      <c r="D151" s="15" t="str">
        <f>IFERROR(__xludf.DUMMYFUNCTION("""COMPUTED_VALUE"""),"Active")</f>
        <v>Active</v>
      </c>
      <c r="E151" s="17">
        <f>IFERROR(__xludf.DUMMYFUNCTION("""COMPUTED_VALUE"""),45734.0)</f>
        <v>45734</v>
      </c>
      <c r="F151" s="54"/>
      <c r="G151" s="19">
        <f>IFERROR(__xludf.DUMMYFUNCTION("""COMPUTED_VALUE"""),18.6)</f>
        <v>18.6</v>
      </c>
      <c r="H151" s="17">
        <f>IFERROR(__xludf.DUMMYFUNCTION("""COMPUTED_VALUE"""),44638.0)</f>
        <v>44638</v>
      </c>
      <c r="I151" s="19">
        <f>IFERROR(__xludf.DUMMYFUNCTION("""COMPUTED_VALUE"""),3.0)</f>
        <v>3</v>
      </c>
      <c r="J151" s="21">
        <f>IFERROR(__xludf.DUMMYFUNCTION("""COMPUTED_VALUE"""),81.0)</f>
        <v>81</v>
      </c>
      <c r="K151" s="23">
        <f>IFERROR(__xludf.DUMMYFUNCTION("""COMPUTED_VALUE"""),8.5)</f>
        <v>8.5</v>
      </c>
      <c r="L151" s="24">
        <f>IFERROR(__xludf.DUMMYFUNCTION("""COMPUTED_VALUE"""),14.0)</f>
        <v>14</v>
      </c>
      <c r="M151" s="25" t="str">
        <f>IFERROR(__xludf.DUMMYFUNCTION("""COMPUTED_VALUE"""),"Point-and-Click ")</f>
        <v>Point-and-Click </v>
      </c>
      <c r="N151" s="25"/>
      <c r="O151" s="26" t="str">
        <f>IFERROR(__xludf.DUMMYFUNCTION("""COMPUTED_VALUE"""),"No")</f>
        <v>No</v>
      </c>
      <c r="P151" s="26"/>
    </row>
    <row r="152">
      <c r="A152" s="13" t="str">
        <f>IFERROR(__xludf.DUMMYFUNCTION("""COMPUTED_VALUE"""),"MORDHAU")</f>
        <v>MORDHAU</v>
      </c>
      <c r="B152" s="15" t="str">
        <f>IFERROR(__xludf.DUMMYFUNCTION("""COMPUTED_VALUE"""),"PS5/PS4")</f>
        <v>PS5/PS4</v>
      </c>
      <c r="C152" s="16" t="str">
        <f>IFERROR(__xludf.DUMMYFUNCTION("""COMPUTED_VALUE"""),"Extra")</f>
        <v>Extra</v>
      </c>
      <c r="D152" s="15" t="str">
        <f>IFERROR(__xludf.DUMMYFUNCTION("""COMPUTED_VALUE"""),"Active")</f>
        <v>Active</v>
      </c>
      <c r="E152" s="17">
        <f>IFERROR(__xludf.DUMMYFUNCTION("""COMPUTED_VALUE"""),45705.0)</f>
        <v>45705</v>
      </c>
      <c r="F152" s="54"/>
      <c r="G152" s="19">
        <f>IFERROR(__xludf.DUMMYFUNCTION("""COMPUTED_VALUE"""),19.633333333333333)</f>
        <v>19.63333333</v>
      </c>
      <c r="H152" s="17">
        <f>IFERROR(__xludf.DUMMYFUNCTION("""COMPUTED_VALUE"""),43584.0)</f>
        <v>43584</v>
      </c>
      <c r="I152" s="19">
        <f>IFERROR(__xludf.DUMMYFUNCTION("""COMPUTED_VALUE"""),5.8)</f>
        <v>5.8</v>
      </c>
      <c r="J152" s="21">
        <f>IFERROR(__xludf.DUMMYFUNCTION("""COMPUTED_VALUE"""),81.0)</f>
        <v>81</v>
      </c>
      <c r="K152" s="23">
        <f>IFERROR(__xludf.DUMMYFUNCTION("""COMPUTED_VALUE"""),7.4)</f>
        <v>7.4</v>
      </c>
      <c r="L152" s="24">
        <f>IFERROR(__xludf.DUMMYFUNCTION("""COMPUTED_VALUE"""),101.0)</f>
        <v>101</v>
      </c>
      <c r="M152" s="25" t="str">
        <f>IFERROR(__xludf.DUMMYFUNCTION("""COMPUTED_VALUE"""),"Action-Adventure")</f>
        <v>Action-Adventure</v>
      </c>
      <c r="N152" s="25"/>
      <c r="O152" s="26" t="str">
        <f>IFERROR(__xludf.DUMMYFUNCTION("""COMPUTED_VALUE"""),"Yes")</f>
        <v>Yes</v>
      </c>
      <c r="P152" s="26"/>
    </row>
    <row r="153">
      <c r="A153" s="13" t="str">
        <f>IFERROR(__xludf.DUMMYFUNCTION("""COMPUTED_VALUE"""),"Far Cry 5")</f>
        <v>Far Cry 5</v>
      </c>
      <c r="B153" s="15" t="str">
        <f>IFERROR(__xludf.DUMMYFUNCTION("""COMPUTED_VALUE"""),"PS4")</f>
        <v>PS4</v>
      </c>
      <c r="C153" s="16" t="str">
        <f>IFERROR(__xludf.DUMMYFUNCTION("""COMPUTED_VALUE"""),"Extra (Ubisoft+ Classics)")</f>
        <v>Extra (Ubisoft+ Classics)</v>
      </c>
      <c r="D153" s="15" t="str">
        <f>IFERROR(__xludf.DUMMYFUNCTION("""COMPUTED_VALUE"""),"Active")</f>
        <v>Active</v>
      </c>
      <c r="E153" s="17">
        <f>IFERROR(__xludf.DUMMYFUNCTION("""COMPUTED_VALUE"""),45552.0)</f>
        <v>45552</v>
      </c>
      <c r="F153" s="54"/>
      <c r="G153" s="19">
        <f>IFERROR(__xludf.DUMMYFUNCTION("""COMPUTED_VALUE"""),24.633333333333333)</f>
        <v>24.63333333</v>
      </c>
      <c r="H153" s="17">
        <f>IFERROR(__xludf.DUMMYFUNCTION("""COMPUTED_VALUE"""),43186.0)</f>
        <v>43186</v>
      </c>
      <c r="I153" s="19">
        <f>IFERROR(__xludf.DUMMYFUNCTION("""COMPUTED_VALUE"""),6.472222222222222)</f>
        <v>6.472222222</v>
      </c>
      <c r="J153" s="21">
        <f>IFERROR(__xludf.DUMMYFUNCTION("""COMPUTED_VALUE"""),81.0)</f>
        <v>81</v>
      </c>
      <c r="K153" s="23">
        <f>IFERROR(__xludf.DUMMYFUNCTION("""COMPUTED_VALUE"""),6.9)</f>
        <v>6.9</v>
      </c>
      <c r="L153" s="24">
        <f>IFERROR(__xludf.DUMMYFUNCTION("""COMPUTED_VALUE"""),18.0)</f>
        <v>18</v>
      </c>
      <c r="M153" s="25" t="str">
        <f>IFERROR(__xludf.DUMMYFUNCTION("""COMPUTED_VALUE"""),"Shooter")</f>
        <v>Shooter</v>
      </c>
      <c r="N153" s="25" t="str">
        <f>IFERROR(__xludf.DUMMYFUNCTION("""COMPUTED_VALUE"""),"Returning game")</f>
        <v>Returning game</v>
      </c>
      <c r="O153" s="26" t="str">
        <f>IFERROR(__xludf.DUMMYFUNCTION("""COMPUTED_VALUE"""),"Yes")</f>
        <v>Yes</v>
      </c>
      <c r="P153" s="26"/>
    </row>
    <row r="154">
      <c r="A154" s="13" t="str">
        <f>IFERROR(__xludf.DUMMYFUNCTION("""COMPUTED_VALUE"""),"TimeSplitters")</f>
        <v>TimeSplitters</v>
      </c>
      <c r="B154" s="15" t="str">
        <f>IFERROR(__xludf.DUMMYFUNCTION("""COMPUTED_VALUE"""),"PS5/PS4")</f>
        <v>PS5/PS4</v>
      </c>
      <c r="C154" s="16" t="str">
        <f>IFERROR(__xludf.DUMMYFUNCTION("""COMPUTED_VALUE"""),"Premium (Classics)")</f>
        <v>Premium (Classics)</v>
      </c>
      <c r="D154" s="15" t="str">
        <f>IFERROR(__xludf.DUMMYFUNCTION("""COMPUTED_VALUE"""),"Active")</f>
        <v>Active</v>
      </c>
      <c r="E154" s="17">
        <f>IFERROR(__xludf.DUMMYFUNCTION("""COMPUTED_VALUE"""),45524.0)</f>
        <v>45524</v>
      </c>
      <c r="F154" s="54"/>
      <c r="G154" s="19">
        <f>IFERROR(__xludf.DUMMYFUNCTION("""COMPUTED_VALUE"""),25.53333333333333)</f>
        <v>25.53333333</v>
      </c>
      <c r="H154" s="17">
        <f>IFERROR(__xludf.DUMMYFUNCTION("""COMPUTED_VALUE"""),36822.0)</f>
        <v>36822</v>
      </c>
      <c r="I154" s="19">
        <f>IFERROR(__xludf.DUMMYFUNCTION("""COMPUTED_VALUE"""),23.825)</f>
        <v>23.825</v>
      </c>
      <c r="J154" s="21">
        <f>IFERROR(__xludf.DUMMYFUNCTION("""COMPUTED_VALUE"""),81.0)</f>
        <v>81</v>
      </c>
      <c r="K154" s="23">
        <f>IFERROR(__xludf.DUMMYFUNCTION("""COMPUTED_VALUE"""),7.8)</f>
        <v>7.8</v>
      </c>
      <c r="L154" s="24">
        <f>IFERROR(__xludf.DUMMYFUNCTION("""COMPUTED_VALUE"""),2.0)</f>
        <v>2</v>
      </c>
      <c r="M154" s="25" t="str">
        <f>IFERROR(__xludf.DUMMYFUNCTION("""COMPUTED_VALUE"""),"Shooter")</f>
        <v>Shooter</v>
      </c>
      <c r="N154" s="25" t="str">
        <f>IFERROR(__xludf.DUMMYFUNCTION("""COMPUTED_VALUE"""),"PS2")</f>
        <v>PS2</v>
      </c>
      <c r="O154" s="26" t="str">
        <f>IFERROR(__xludf.DUMMYFUNCTION("""COMPUTED_VALUE"""),"Yes")</f>
        <v>Yes</v>
      </c>
      <c r="P154" s="26"/>
    </row>
    <row r="155">
      <c r="A155" s="13" t="str">
        <f>IFERROR(__xludf.DUMMYFUNCTION("""COMPUTED_VALUE"""),"LEGO Star Wars II: The Original Trilogy")</f>
        <v>LEGO Star Wars II: The Original Trilogy</v>
      </c>
      <c r="B155" s="15" t="str">
        <f>IFERROR(__xludf.DUMMYFUNCTION("""COMPUTED_VALUE"""),"PS5/PS4")</f>
        <v>PS5/PS4</v>
      </c>
      <c r="C155" s="16" t="str">
        <f>IFERROR(__xludf.DUMMYFUNCTION("""COMPUTED_VALUE"""),"Premium (Classics)")</f>
        <v>Premium (Classics)</v>
      </c>
      <c r="D155" s="15" t="str">
        <f>IFERROR(__xludf.DUMMYFUNCTION("""COMPUTED_VALUE"""),"Active")</f>
        <v>Active</v>
      </c>
      <c r="E155" s="17">
        <f>IFERROR(__xludf.DUMMYFUNCTION("""COMPUTED_VALUE"""),45461.0)</f>
        <v>45461</v>
      </c>
      <c r="F155" s="54"/>
      <c r="G155" s="19">
        <f>IFERROR(__xludf.DUMMYFUNCTION("""COMPUTED_VALUE"""),27.599999999999998)</f>
        <v>27.6</v>
      </c>
      <c r="H155" s="17">
        <f>IFERROR(__xludf.DUMMYFUNCTION("""COMPUTED_VALUE"""),38972.0)</f>
        <v>38972</v>
      </c>
      <c r="I155" s="19">
        <f>IFERROR(__xludf.DUMMYFUNCTION("""COMPUTED_VALUE"""),17.766666666666666)</f>
        <v>17.76666667</v>
      </c>
      <c r="J155" s="21">
        <f>IFERROR(__xludf.DUMMYFUNCTION("""COMPUTED_VALUE"""),81.0)</f>
        <v>81</v>
      </c>
      <c r="K155" s="23">
        <f>IFERROR(__xludf.DUMMYFUNCTION("""COMPUTED_VALUE"""),8.0)</f>
        <v>8</v>
      </c>
      <c r="L155" s="24">
        <f>IFERROR(__xludf.DUMMYFUNCTION("""COMPUTED_VALUE"""),11.0)</f>
        <v>11</v>
      </c>
      <c r="M155" s="25" t="str">
        <f>IFERROR(__xludf.DUMMYFUNCTION("""COMPUTED_VALUE"""),"Action-Adventure")</f>
        <v>Action-Adventure</v>
      </c>
      <c r="N155" s="25" t="str">
        <f>IFERROR(__xludf.DUMMYFUNCTION("""COMPUTED_VALUE"""),"PS2 / PSP")</f>
        <v>PS2 / PSP</v>
      </c>
      <c r="O155" s="26" t="str">
        <f>IFERROR(__xludf.DUMMYFUNCTION("""COMPUTED_VALUE"""),"Yes")</f>
        <v>Yes</v>
      </c>
      <c r="P155" s="26"/>
    </row>
    <row r="156">
      <c r="A156" s="13" t="str">
        <f>IFERROR(__xludf.DUMMYFUNCTION("""COMPUTED_VALUE"""),"Resistance: Retribution")</f>
        <v>Resistance: Retribution</v>
      </c>
      <c r="B156" s="15" t="str">
        <f>IFERROR(__xludf.DUMMYFUNCTION("""COMPUTED_VALUE"""),"PS5/PS4")</f>
        <v>PS5/PS4</v>
      </c>
      <c r="C156" s="16" t="str">
        <f>IFERROR(__xludf.DUMMYFUNCTION("""COMPUTED_VALUE"""),"Premium (Classics)")</f>
        <v>Premium (Classics)</v>
      </c>
      <c r="D156" s="15" t="str">
        <f>IFERROR(__xludf.DUMMYFUNCTION("""COMPUTED_VALUE"""),"Active")</f>
        <v>Active</v>
      </c>
      <c r="E156" s="17">
        <f>IFERROR(__xludf.DUMMYFUNCTION("""COMPUTED_VALUE"""),45342.0)</f>
        <v>45342</v>
      </c>
      <c r="F156" s="54"/>
      <c r="G156" s="19">
        <f>IFERROR(__xludf.DUMMYFUNCTION("""COMPUTED_VALUE"""),31.53333333333333)</f>
        <v>31.53333333</v>
      </c>
      <c r="H156" s="17">
        <f>IFERROR(__xludf.DUMMYFUNCTION("""COMPUTED_VALUE"""),39889.0)</f>
        <v>39889</v>
      </c>
      <c r="I156" s="19">
        <f>IFERROR(__xludf.DUMMYFUNCTION("""COMPUTED_VALUE"""),14.925)</f>
        <v>14.925</v>
      </c>
      <c r="J156" s="21">
        <f>IFERROR(__xludf.DUMMYFUNCTION("""COMPUTED_VALUE"""),81.0)</f>
        <v>81</v>
      </c>
      <c r="K156" s="23">
        <f>IFERROR(__xludf.DUMMYFUNCTION("""COMPUTED_VALUE"""),7.9)</f>
        <v>7.9</v>
      </c>
      <c r="L156" s="24">
        <f>IFERROR(__xludf.DUMMYFUNCTION("""COMPUTED_VALUE"""),11.0)</f>
        <v>11</v>
      </c>
      <c r="M156" s="25" t="str">
        <f>IFERROR(__xludf.DUMMYFUNCTION("""COMPUTED_VALUE"""),"Shooter")</f>
        <v>Shooter</v>
      </c>
      <c r="N156" s="25" t="str">
        <f>IFERROR(__xludf.DUMMYFUNCTION("""COMPUTED_VALUE"""),"PSP")</f>
        <v>PSP</v>
      </c>
      <c r="O156" s="26" t="str">
        <f>IFERROR(__xludf.DUMMYFUNCTION("""COMPUTED_VALUE"""),"Yes")</f>
        <v>Yes</v>
      </c>
      <c r="P156" s="26"/>
    </row>
    <row r="157">
      <c r="A157" s="13" t="str">
        <f>IFERROR(__xludf.DUMMYFUNCTION("""COMPUTED_VALUE"""),"FAR: Changing Tides")</f>
        <v>FAR: Changing Tides</v>
      </c>
      <c r="B157" s="15" t="str">
        <f>IFERROR(__xludf.DUMMYFUNCTION("""COMPUTED_VALUE"""),"PS5/PS4")</f>
        <v>PS5/PS4</v>
      </c>
      <c r="C157" s="16" t="str">
        <f>IFERROR(__xludf.DUMMYFUNCTION("""COMPUTED_VALUE"""),"Extra")</f>
        <v>Extra</v>
      </c>
      <c r="D157" s="15" t="str">
        <f>IFERROR(__xludf.DUMMYFUNCTION("""COMPUTED_VALUE"""),"Active")</f>
        <v>Active</v>
      </c>
      <c r="E157" s="17">
        <f>IFERROR(__xludf.DUMMYFUNCTION("""COMPUTED_VALUE"""),45216.0)</f>
        <v>45216</v>
      </c>
      <c r="F157" s="18"/>
      <c r="G157" s="19">
        <f>IFERROR(__xludf.DUMMYFUNCTION("""COMPUTED_VALUE"""),35.63333333333333)</f>
        <v>35.63333333</v>
      </c>
      <c r="H157" s="17">
        <f>IFERROR(__xludf.DUMMYFUNCTION("""COMPUTED_VALUE"""),44621.0)</f>
        <v>44621</v>
      </c>
      <c r="I157" s="19">
        <f>IFERROR(__xludf.DUMMYFUNCTION("""COMPUTED_VALUE"""),1.6277777777777778)</f>
        <v>1.627777778</v>
      </c>
      <c r="J157" s="21">
        <f>IFERROR(__xludf.DUMMYFUNCTION("""COMPUTED_VALUE"""),81.0)</f>
        <v>81</v>
      </c>
      <c r="K157" s="23">
        <f>IFERROR(__xludf.DUMMYFUNCTION("""COMPUTED_VALUE"""),6.9)</f>
        <v>6.9</v>
      </c>
      <c r="L157" s="24">
        <f>IFERROR(__xludf.DUMMYFUNCTION("""COMPUTED_VALUE"""),6.0)</f>
        <v>6</v>
      </c>
      <c r="M157" s="25" t="str">
        <f>IFERROR(__xludf.DUMMYFUNCTION("""COMPUTED_VALUE"""),"Action-Adventure")</f>
        <v>Action-Adventure</v>
      </c>
      <c r="N157" s="25"/>
      <c r="O157" s="26" t="str">
        <f>IFERROR(__xludf.DUMMYFUNCTION("""COMPUTED_VALUE"""),"Yes")</f>
        <v>Yes</v>
      </c>
      <c r="P157" s="26"/>
    </row>
    <row r="158">
      <c r="A158" s="13" t="str">
        <f>IFERROR(__xludf.DUMMYFUNCTION("""COMPUTED_VALUE"""),"Hot Shots Golf 2")</f>
        <v>Hot Shots Golf 2</v>
      </c>
      <c r="B158" s="15" t="str">
        <f>IFERROR(__xludf.DUMMYFUNCTION("""COMPUTED_VALUE"""),"PS5/PS4")</f>
        <v>PS5/PS4</v>
      </c>
      <c r="C158" s="16" t="str">
        <f>IFERROR(__xludf.DUMMYFUNCTION("""COMPUTED_VALUE"""),"Premium (Classics)")</f>
        <v>Premium (Classics)</v>
      </c>
      <c r="D158" s="15" t="str">
        <f>IFERROR(__xludf.DUMMYFUNCTION("""COMPUTED_VALUE"""),"Active")</f>
        <v>Active</v>
      </c>
      <c r="E158" s="17">
        <f>IFERROR(__xludf.DUMMYFUNCTION("""COMPUTED_VALUE"""),44943.0)</f>
        <v>44943</v>
      </c>
      <c r="F158" s="54"/>
      <c r="G158" s="19">
        <f>IFERROR(__xludf.DUMMYFUNCTION("""COMPUTED_VALUE"""),44.63333333333333)</f>
        <v>44.63333333</v>
      </c>
      <c r="H158" s="17">
        <f>IFERROR(__xludf.DUMMYFUNCTION("""COMPUTED_VALUE"""),36644.0)</f>
        <v>36644</v>
      </c>
      <c r="I158" s="19">
        <f>IFERROR(__xludf.DUMMYFUNCTION("""COMPUTED_VALUE"""),22.719444444444445)</f>
        <v>22.71944444</v>
      </c>
      <c r="J158" s="21">
        <f>IFERROR(__xludf.DUMMYFUNCTION("""COMPUTED_VALUE"""),81.0)</f>
        <v>81</v>
      </c>
      <c r="K158" s="23">
        <f>IFERROR(__xludf.DUMMYFUNCTION("""COMPUTED_VALUE"""),8.7)</f>
        <v>8.7</v>
      </c>
      <c r="L158" s="24">
        <f>IFERROR(__xludf.DUMMYFUNCTION("""COMPUTED_VALUE"""),17.0)</f>
        <v>17</v>
      </c>
      <c r="M158" s="25" t="str">
        <f>IFERROR(__xludf.DUMMYFUNCTION("""COMPUTED_VALUE"""),"Sports")</f>
        <v>Sports</v>
      </c>
      <c r="N158" s="25" t="str">
        <f>IFERROR(__xludf.DUMMYFUNCTION("""COMPUTED_VALUE"""),"PS1")</f>
        <v>PS1</v>
      </c>
      <c r="O158" s="26" t="str">
        <f>IFERROR(__xludf.DUMMYFUNCTION("""COMPUTED_VALUE"""),"Yes")</f>
        <v>Yes</v>
      </c>
      <c r="P158" s="26"/>
    </row>
    <row r="159">
      <c r="A159" s="13" t="str">
        <f>IFERROR(__xludf.DUMMYFUNCTION("""COMPUTED_VALUE"""),"Ridge Racer 2")</f>
        <v>Ridge Racer 2</v>
      </c>
      <c r="B159" s="15" t="str">
        <f>IFERROR(__xludf.DUMMYFUNCTION("""COMPUTED_VALUE"""),"PS5/PS4")</f>
        <v>PS5/PS4</v>
      </c>
      <c r="C159" s="16" t="str">
        <f>IFERROR(__xludf.DUMMYFUNCTION("""COMPUTED_VALUE"""),"Premium (Classics)")</f>
        <v>Premium (Classics)</v>
      </c>
      <c r="D159" s="15" t="str">
        <f>IFERROR(__xludf.DUMMYFUNCTION("""COMPUTED_VALUE"""),"Active")</f>
        <v>Active</v>
      </c>
      <c r="E159" s="17">
        <f>IFERROR(__xludf.DUMMYFUNCTION("""COMPUTED_VALUE"""),44915.0)</f>
        <v>44915</v>
      </c>
      <c r="F159" s="18"/>
      <c r="G159" s="19">
        <f>IFERROR(__xludf.DUMMYFUNCTION("""COMPUTED_VALUE"""),45.53333333333333)</f>
        <v>45.53333333</v>
      </c>
      <c r="H159" s="17">
        <f>IFERROR(__xludf.DUMMYFUNCTION("""COMPUTED_VALUE"""),38974.0)</f>
        <v>38974</v>
      </c>
      <c r="I159" s="19">
        <f>IFERROR(__xludf.DUMMYFUNCTION("""COMPUTED_VALUE"""),16.266666666666666)</f>
        <v>16.26666667</v>
      </c>
      <c r="J159" s="21">
        <f>IFERROR(__xludf.DUMMYFUNCTION("""COMPUTED_VALUE"""),81.0)</f>
        <v>81</v>
      </c>
      <c r="K159" s="23">
        <f>IFERROR(__xludf.DUMMYFUNCTION("""COMPUTED_VALUE"""),7.8)</f>
        <v>7.8</v>
      </c>
      <c r="L159" s="24">
        <f>IFERROR(__xludf.DUMMYFUNCTION("""COMPUTED_VALUE"""),11.0)</f>
        <v>11</v>
      </c>
      <c r="M159" s="25" t="str">
        <f>IFERROR(__xludf.DUMMYFUNCTION("""COMPUTED_VALUE"""),"Racing")</f>
        <v>Racing</v>
      </c>
      <c r="N159" s="25" t="str">
        <f>IFERROR(__xludf.DUMMYFUNCTION("""COMPUTED_VALUE"""),"PSP")</f>
        <v>PSP</v>
      </c>
      <c r="O159" s="26" t="str">
        <f>IFERROR(__xludf.DUMMYFUNCTION("""COMPUTED_VALUE"""),"Yes")</f>
        <v>Yes</v>
      </c>
      <c r="P159" s="26"/>
    </row>
    <row r="160">
      <c r="A160" s="13" t="str">
        <f>IFERROR(__xludf.DUMMYFUNCTION("""COMPUTED_VALUE"""),"The Elder Scrolls V: Skyrim - Special Edition")</f>
        <v>The Elder Scrolls V: Skyrim - Special Edition</v>
      </c>
      <c r="B160" s="15" t="str">
        <f>IFERROR(__xludf.DUMMYFUNCTION("""COMPUTED_VALUE"""),"PS5/PS4")</f>
        <v>PS5/PS4</v>
      </c>
      <c r="C160" s="16" t="str">
        <f>IFERROR(__xludf.DUMMYFUNCTION("""COMPUTED_VALUE"""),"Extra")</f>
        <v>Extra</v>
      </c>
      <c r="D160" s="15" t="str">
        <f>IFERROR(__xludf.DUMMYFUNCTION("""COMPUTED_VALUE"""),"Active")</f>
        <v>Active</v>
      </c>
      <c r="E160" s="17">
        <f>IFERROR(__xludf.DUMMYFUNCTION("""COMPUTED_VALUE"""),44880.0)</f>
        <v>44880</v>
      </c>
      <c r="F160" s="54"/>
      <c r="G160" s="19">
        <f>IFERROR(__xludf.DUMMYFUNCTION("""COMPUTED_VALUE"""),46.7)</f>
        <v>46.7</v>
      </c>
      <c r="H160" s="17">
        <f>IFERROR(__xludf.DUMMYFUNCTION("""COMPUTED_VALUE"""),44511.0)</f>
        <v>44511</v>
      </c>
      <c r="I160" s="19">
        <f>IFERROR(__xludf.DUMMYFUNCTION("""COMPUTED_VALUE"""),1.011111111111111)</f>
        <v>1.011111111</v>
      </c>
      <c r="J160" s="21">
        <f>IFERROR(__xludf.DUMMYFUNCTION("""COMPUTED_VALUE"""),81.0)</f>
        <v>81</v>
      </c>
      <c r="K160" s="23">
        <f>IFERROR(__xludf.DUMMYFUNCTION("""COMPUTED_VALUE"""),7.6)</f>
        <v>7.6</v>
      </c>
      <c r="L160" s="24">
        <f>IFERROR(__xludf.DUMMYFUNCTION("""COMPUTED_VALUE"""),25.5)</f>
        <v>25.5</v>
      </c>
      <c r="M160" s="25" t="str">
        <f>IFERROR(__xludf.DUMMYFUNCTION("""COMPUTED_VALUE"""),"RPG")</f>
        <v>RPG</v>
      </c>
      <c r="N160" s="25"/>
      <c r="O160" s="26" t="str">
        <f>IFERROR(__xludf.DUMMYFUNCTION("""COMPUTED_VALUE"""),"Yes")</f>
        <v>Yes</v>
      </c>
      <c r="P160" s="26"/>
    </row>
    <row r="161">
      <c r="A161" s="13" t="str">
        <f>IFERROR(__xludf.DUMMYFUNCTION("""COMPUTED_VALUE"""),"Assassin's Creed Origins")</f>
        <v>Assassin's Creed Origins</v>
      </c>
      <c r="B161" s="15" t="str">
        <f>IFERROR(__xludf.DUMMYFUNCTION("""COMPUTED_VALUE"""),"PS4")</f>
        <v>PS4</v>
      </c>
      <c r="C161" s="16" t="str">
        <f>IFERROR(__xludf.DUMMYFUNCTION("""COMPUTED_VALUE"""),"Extra (Ubisoft+ Classics)")</f>
        <v>Extra (Ubisoft+ Classics)</v>
      </c>
      <c r="D161" s="15" t="str">
        <f>IFERROR(__xludf.DUMMYFUNCTION("""COMPUTED_VALUE"""),"Active")</f>
        <v>Active</v>
      </c>
      <c r="E161" s="17">
        <f>IFERROR(__xludf.DUMMYFUNCTION("""COMPUTED_VALUE"""),44824.0)</f>
        <v>44824</v>
      </c>
      <c r="F161" s="54"/>
      <c r="G161" s="19">
        <f>IFERROR(__xludf.DUMMYFUNCTION("""COMPUTED_VALUE"""),48.53333333333333)</f>
        <v>48.53333333</v>
      </c>
      <c r="H161" s="17">
        <f>IFERROR(__xludf.DUMMYFUNCTION("""COMPUTED_VALUE"""),43035.0)</f>
        <v>43035</v>
      </c>
      <c r="I161" s="19">
        <f>IFERROR(__xludf.DUMMYFUNCTION("""COMPUTED_VALUE"""),4.897222222222222)</f>
        <v>4.897222222</v>
      </c>
      <c r="J161" s="21">
        <f>IFERROR(__xludf.DUMMYFUNCTION("""COMPUTED_VALUE"""),81.0)</f>
        <v>81</v>
      </c>
      <c r="K161" s="23">
        <f>IFERROR(__xludf.DUMMYFUNCTION("""COMPUTED_VALUE"""),7.2)</f>
        <v>7.2</v>
      </c>
      <c r="L161" s="24">
        <f>IFERROR(__xludf.DUMMYFUNCTION("""COMPUTED_VALUE"""),30.0)</f>
        <v>30</v>
      </c>
      <c r="M161" s="25" t="str">
        <f>IFERROR(__xludf.DUMMYFUNCTION("""COMPUTED_VALUE"""),"RPG")</f>
        <v>RPG</v>
      </c>
      <c r="N161" s="25"/>
      <c r="O161" s="26" t="str">
        <f>IFERROR(__xludf.DUMMYFUNCTION("""COMPUTED_VALUE"""),"Yes")</f>
        <v>Yes</v>
      </c>
      <c r="P161" s="26"/>
    </row>
    <row r="162">
      <c r="A162" s="13" t="str">
        <f>IFERROR(__xludf.DUMMYFUNCTION("""COMPUTED_VALUE"""),"Syphon Filter 2")</f>
        <v>Syphon Filter 2</v>
      </c>
      <c r="B162" s="15" t="str">
        <f>IFERROR(__xludf.DUMMYFUNCTION("""COMPUTED_VALUE"""),"PS5/PS4")</f>
        <v>PS5/PS4</v>
      </c>
      <c r="C162" s="16" t="str">
        <f>IFERROR(__xludf.DUMMYFUNCTION("""COMPUTED_VALUE"""),"Premium (Classics)")</f>
        <v>Premium (Classics)</v>
      </c>
      <c r="D162" s="15" t="str">
        <f>IFERROR(__xludf.DUMMYFUNCTION("""COMPUTED_VALUE"""),"Active")</f>
        <v>Active</v>
      </c>
      <c r="E162" s="17">
        <f>IFERROR(__xludf.DUMMYFUNCTION("""COMPUTED_VALUE"""),44824.0)</f>
        <v>44824</v>
      </c>
      <c r="F162" s="54"/>
      <c r="G162" s="19">
        <f>IFERROR(__xludf.DUMMYFUNCTION("""COMPUTED_VALUE"""),48.53333333333333)</f>
        <v>48.53333333</v>
      </c>
      <c r="H162" s="17">
        <f>IFERROR(__xludf.DUMMYFUNCTION("""COMPUTED_VALUE"""),36599.0)</f>
        <v>36599</v>
      </c>
      <c r="I162" s="19">
        <f>IFERROR(__xludf.DUMMYFUNCTION("""COMPUTED_VALUE"""),22.516666666666666)</f>
        <v>22.51666667</v>
      </c>
      <c r="J162" s="21">
        <f>IFERROR(__xludf.DUMMYFUNCTION("""COMPUTED_VALUE"""),81.0)</f>
        <v>81</v>
      </c>
      <c r="K162" s="23">
        <f>IFERROR(__xludf.DUMMYFUNCTION("""COMPUTED_VALUE"""),8.7)</f>
        <v>8.7</v>
      </c>
      <c r="L162" s="24">
        <f>IFERROR(__xludf.DUMMYFUNCTION("""COMPUTED_VALUE"""),10.0)</f>
        <v>10</v>
      </c>
      <c r="M162" s="25" t="str">
        <f>IFERROR(__xludf.DUMMYFUNCTION("""COMPUTED_VALUE"""),"Shooter")</f>
        <v>Shooter</v>
      </c>
      <c r="N162" s="25" t="str">
        <f>IFERROR(__xludf.DUMMYFUNCTION("""COMPUTED_VALUE"""),"PS1")</f>
        <v>PS1</v>
      </c>
      <c r="O162" s="26" t="str">
        <f>IFERROR(__xludf.DUMMYFUNCTION("""COMPUTED_VALUE"""),"Yes")</f>
        <v>Yes</v>
      </c>
      <c r="P162" s="26" t="str">
        <f>IFERROR(__xludf.DUMMYFUNCTION("""COMPUTED_VALUE"""),"")</f>
        <v/>
      </c>
    </row>
    <row r="163">
      <c r="A163" s="13" t="str">
        <f>IFERROR(__xludf.DUMMYFUNCTION("""COMPUTED_VALUE"""),"Observer: System Redux")</f>
        <v>Observer: System Redux</v>
      </c>
      <c r="B163" s="15" t="str">
        <f>IFERROR(__xludf.DUMMYFUNCTION("""COMPUTED_VALUE"""),"PS5/PS4")</f>
        <v>PS5/PS4</v>
      </c>
      <c r="C163" s="16" t="str">
        <f>IFERROR(__xludf.DUMMYFUNCTION("""COMPUTED_VALUE"""),"Extra")</f>
        <v>Extra</v>
      </c>
      <c r="D163" s="15" t="str">
        <f>IFERROR(__xludf.DUMMYFUNCTION("""COMPUTED_VALUE"""),"Active")</f>
        <v>Active</v>
      </c>
      <c r="E163" s="17">
        <f>IFERROR(__xludf.DUMMYFUNCTION("""COMPUTED_VALUE"""),44725.0)</f>
        <v>44725</v>
      </c>
      <c r="F163" s="54"/>
      <c r="G163" s="19">
        <f>IFERROR(__xludf.DUMMYFUNCTION("""COMPUTED_VALUE"""),51.766666666666666)</f>
        <v>51.76666667</v>
      </c>
      <c r="H163" s="17">
        <f>IFERROR(__xludf.DUMMYFUNCTION("""COMPUTED_VALUE"""),44145.0)</f>
        <v>44145</v>
      </c>
      <c r="I163" s="19">
        <f>IFERROR(__xludf.DUMMYFUNCTION("""COMPUTED_VALUE"""),1.5916666666666666)</f>
        <v>1.591666667</v>
      </c>
      <c r="J163" s="21">
        <f>IFERROR(__xludf.DUMMYFUNCTION("""COMPUTED_VALUE"""),81.0)</f>
        <v>81</v>
      </c>
      <c r="K163" s="23">
        <f>IFERROR(__xludf.DUMMYFUNCTION("""COMPUTED_VALUE"""),7.2)</f>
        <v>7.2</v>
      </c>
      <c r="L163" s="24">
        <f>IFERROR(__xludf.DUMMYFUNCTION("""COMPUTED_VALUE"""),7.0)</f>
        <v>7</v>
      </c>
      <c r="M163" s="25" t="str">
        <f>IFERROR(__xludf.DUMMYFUNCTION("""COMPUTED_VALUE"""),"Horror")</f>
        <v>Horror</v>
      </c>
      <c r="N163" s="25"/>
      <c r="O163" s="26" t="str">
        <f>IFERROR(__xludf.DUMMYFUNCTION("""COMPUTED_VALUE"""),"Yes")</f>
        <v>Yes</v>
      </c>
      <c r="P163" s="26"/>
    </row>
    <row r="164">
      <c r="A164" s="13" t="str">
        <f>IFERROR(__xludf.DUMMYFUNCTION("""COMPUTED_VALUE"""),"Gravity Rush 2")</f>
        <v>Gravity Rush 2</v>
      </c>
      <c r="B164" s="15" t="str">
        <f>IFERROR(__xludf.DUMMYFUNCTION("""COMPUTED_VALUE"""),"PS4")</f>
        <v>PS4</v>
      </c>
      <c r="C164" s="16" t="str">
        <f>IFERROR(__xludf.DUMMYFUNCTION("""COMPUTED_VALUE"""),"Extra")</f>
        <v>Extra</v>
      </c>
      <c r="D164" s="15" t="str">
        <f>IFERROR(__xludf.DUMMYFUNCTION("""COMPUTED_VALUE"""),"Active")</f>
        <v>Active</v>
      </c>
      <c r="E164" s="17">
        <f>IFERROR(__xludf.DUMMYFUNCTION("""COMPUTED_VALUE"""),44725.0)</f>
        <v>44725</v>
      </c>
      <c r="F164" s="54"/>
      <c r="G164" s="19">
        <f>IFERROR(__xludf.DUMMYFUNCTION("""COMPUTED_VALUE"""),51.766666666666666)</f>
        <v>51.76666667</v>
      </c>
      <c r="H164" s="17">
        <f>IFERROR(__xludf.DUMMYFUNCTION("""COMPUTED_VALUE"""),42736.0)</f>
        <v>42736</v>
      </c>
      <c r="I164" s="19">
        <f>IFERROR(__xludf.DUMMYFUNCTION("""COMPUTED_VALUE"""),5.45)</f>
        <v>5.45</v>
      </c>
      <c r="J164" s="21">
        <f>IFERROR(__xludf.DUMMYFUNCTION("""COMPUTED_VALUE"""),81.0)</f>
        <v>81</v>
      </c>
      <c r="K164" s="23">
        <f>IFERROR(__xludf.DUMMYFUNCTION("""COMPUTED_VALUE"""),8.0)</f>
        <v>8</v>
      </c>
      <c r="L164" s="24">
        <f>IFERROR(__xludf.DUMMYFUNCTION("""COMPUTED_VALUE"""),9.0)</f>
        <v>9</v>
      </c>
      <c r="M164" s="25" t="str">
        <f>IFERROR(__xludf.DUMMYFUNCTION("""COMPUTED_VALUE"""),"Action-Adventure")</f>
        <v>Action-Adventure</v>
      </c>
      <c r="N164" s="25"/>
      <c r="O164" s="26" t="str">
        <f>IFERROR(__xludf.DUMMYFUNCTION("""COMPUTED_VALUE"""),"Yes")</f>
        <v>Yes</v>
      </c>
      <c r="P164" s="26"/>
    </row>
    <row r="165">
      <c r="A165" s="13" t="str">
        <f>IFERROR(__xludf.DUMMYFUNCTION("""COMPUTED_VALUE"""),"Trackmania Turbo")</f>
        <v>Trackmania Turbo</v>
      </c>
      <c r="B165" s="15" t="str">
        <f>IFERROR(__xludf.DUMMYFUNCTION("""COMPUTED_VALUE"""),"PS4/PSVR")</f>
        <v>PS4/PSVR</v>
      </c>
      <c r="C165" s="16" t="str">
        <f>IFERROR(__xludf.DUMMYFUNCTION("""COMPUTED_VALUE"""),"Extra (Ubisoft+ Classics)")</f>
        <v>Extra (Ubisoft+ Classics)</v>
      </c>
      <c r="D165" s="15" t="str">
        <f>IFERROR(__xludf.DUMMYFUNCTION("""COMPUTED_VALUE"""),"Active")</f>
        <v>Active</v>
      </c>
      <c r="E165" s="17">
        <f>IFERROR(__xludf.DUMMYFUNCTION("""COMPUTED_VALUE"""),44725.0)</f>
        <v>44725</v>
      </c>
      <c r="F165" s="54"/>
      <c r="G165" s="19">
        <f>IFERROR(__xludf.DUMMYFUNCTION("""COMPUTED_VALUE"""),51.766666666666666)</f>
        <v>51.76666667</v>
      </c>
      <c r="H165" s="17">
        <f>IFERROR(__xludf.DUMMYFUNCTION("""COMPUTED_VALUE"""),42451.0)</f>
        <v>42451</v>
      </c>
      <c r="I165" s="19">
        <f>IFERROR(__xludf.DUMMYFUNCTION("""COMPUTED_VALUE"""),6.225)</f>
        <v>6.225</v>
      </c>
      <c r="J165" s="21">
        <f>IFERROR(__xludf.DUMMYFUNCTION("""COMPUTED_VALUE"""),81.0)</f>
        <v>81</v>
      </c>
      <c r="K165" s="23">
        <f>IFERROR(__xludf.DUMMYFUNCTION("""COMPUTED_VALUE"""),7.5)</f>
        <v>7.5</v>
      </c>
      <c r="L165" s="24">
        <f>IFERROR(__xludf.DUMMYFUNCTION("""COMPUTED_VALUE"""),14.0)</f>
        <v>14</v>
      </c>
      <c r="M165" s="25" t="str">
        <f>IFERROR(__xludf.DUMMYFUNCTION("""COMPUTED_VALUE"""),"Racing")</f>
        <v>Racing</v>
      </c>
      <c r="N165" s="25"/>
      <c r="O165" s="26" t="str">
        <f>IFERROR(__xludf.DUMMYFUNCTION("""COMPUTED_VALUE"""),"Yes")</f>
        <v>Yes</v>
      </c>
      <c r="P165" s="26" t="str">
        <f>IFERROR(__xludf.DUMMYFUNCTION("""COMPUTED_VALUE"""),"Yes")</f>
        <v>Yes</v>
      </c>
    </row>
    <row r="166">
      <c r="A166" s="13" t="str">
        <f>IFERROR(__xludf.DUMMYFUNCTION("""COMPUTED_VALUE"""),"Worms World Party")</f>
        <v>Worms World Party</v>
      </c>
      <c r="B166" s="15" t="str">
        <f>IFERROR(__xludf.DUMMYFUNCTION("""COMPUTED_VALUE"""),"PS5/PS4")</f>
        <v>PS5/PS4</v>
      </c>
      <c r="C166" s="16" t="str">
        <f>IFERROR(__xludf.DUMMYFUNCTION("""COMPUTED_VALUE"""),"Premium (Classics)")</f>
        <v>Premium (Classics)</v>
      </c>
      <c r="D166" s="15" t="str">
        <f>IFERROR(__xludf.DUMMYFUNCTION("""COMPUTED_VALUE"""),"Active")</f>
        <v>Active</v>
      </c>
      <c r="E166" s="17">
        <f>IFERROR(__xludf.DUMMYFUNCTION("""COMPUTED_VALUE"""),44725.0)</f>
        <v>44725</v>
      </c>
      <c r="F166" s="54"/>
      <c r="G166" s="19">
        <f>IFERROR(__xludf.DUMMYFUNCTION("""COMPUTED_VALUE"""),51.766666666666666)</f>
        <v>51.76666667</v>
      </c>
      <c r="H166" s="17">
        <f>IFERROR(__xludf.DUMMYFUNCTION("""COMPUTED_VALUE"""),37134.0)</f>
        <v>37134</v>
      </c>
      <c r="I166" s="19">
        <f>IFERROR(__xludf.DUMMYFUNCTION("""COMPUTED_VALUE"""),20.78611111111111)</f>
        <v>20.78611111</v>
      </c>
      <c r="J166" s="21">
        <f>IFERROR(__xludf.DUMMYFUNCTION("""COMPUTED_VALUE"""),81.0)</f>
        <v>81</v>
      </c>
      <c r="K166" s="23">
        <f>IFERROR(__xludf.DUMMYFUNCTION("""COMPUTED_VALUE"""),8.4)</f>
        <v>8.4</v>
      </c>
      <c r="L166" s="24">
        <f>IFERROR(__xludf.DUMMYFUNCTION("""COMPUTED_VALUE"""),9.0)</f>
        <v>9</v>
      </c>
      <c r="M166" s="25" t="str">
        <f>IFERROR(__xludf.DUMMYFUNCTION("""COMPUTED_VALUE"""),"Strategy")</f>
        <v>Strategy</v>
      </c>
      <c r="N166" s="25" t="str">
        <f>IFERROR(__xludf.DUMMYFUNCTION("""COMPUTED_VALUE"""),"PS1")</f>
        <v>PS1</v>
      </c>
      <c r="O166" s="26" t="str">
        <f>IFERROR(__xludf.DUMMYFUNCTION("""COMPUTED_VALUE"""),"No")</f>
        <v>No</v>
      </c>
      <c r="P166" s="26" t="str">
        <f>IFERROR(__xludf.DUMMYFUNCTION("""COMPUTED_VALUE"""),"")</f>
        <v/>
      </c>
    </row>
    <row r="167">
      <c r="A167" s="13" t="str">
        <f>IFERROR(__xludf.DUMMYFUNCTION("""COMPUTED_VALUE"""),"Star Wars: Jedi Starfighter")</f>
        <v>Star Wars: Jedi Starfighter</v>
      </c>
      <c r="B167" s="15" t="str">
        <f>IFERROR(__xludf.DUMMYFUNCTION("""COMPUTED_VALUE"""),"PS4")</f>
        <v>PS4</v>
      </c>
      <c r="C167" s="16" t="str">
        <f>IFERROR(__xludf.DUMMYFUNCTION("""COMPUTED_VALUE"""),"Premium (Classics)")</f>
        <v>Premium (Classics)</v>
      </c>
      <c r="D167" s="15" t="str">
        <f>IFERROR(__xludf.DUMMYFUNCTION("""COMPUTED_VALUE"""),"Active")</f>
        <v>Active</v>
      </c>
      <c r="E167" s="17">
        <f>IFERROR(__xludf.DUMMYFUNCTION("""COMPUTED_VALUE"""),44725.0)</f>
        <v>44725</v>
      </c>
      <c r="F167" s="54"/>
      <c r="G167" s="19">
        <f>IFERROR(__xludf.DUMMYFUNCTION("""COMPUTED_VALUE"""),51.766666666666666)</f>
        <v>51.76666667</v>
      </c>
      <c r="H167" s="17">
        <f>IFERROR(__xludf.DUMMYFUNCTION("""COMPUTED_VALUE"""),37316.0)</f>
        <v>37316</v>
      </c>
      <c r="I167" s="19">
        <f>IFERROR(__xludf.DUMMYFUNCTION("""COMPUTED_VALUE"""),20.283333333333335)</f>
        <v>20.28333333</v>
      </c>
      <c r="J167" s="21">
        <f>IFERROR(__xludf.DUMMYFUNCTION("""COMPUTED_VALUE"""),81.0)</f>
        <v>81</v>
      </c>
      <c r="K167" s="23">
        <f>IFERROR(__xludf.DUMMYFUNCTION("""COMPUTED_VALUE"""),7.4)</f>
        <v>7.4</v>
      </c>
      <c r="L167" s="24">
        <f>IFERROR(__xludf.DUMMYFUNCTION("""COMPUTED_VALUE"""),8.0)</f>
        <v>8</v>
      </c>
      <c r="M167" s="25" t="str">
        <f>IFERROR(__xludf.DUMMYFUNCTION("""COMPUTED_VALUE"""),"Shooter")</f>
        <v>Shooter</v>
      </c>
      <c r="N167" s="25" t="str">
        <f>IFERROR(__xludf.DUMMYFUNCTION("""COMPUTED_VALUE"""),"PS2")</f>
        <v>PS2</v>
      </c>
      <c r="O167" s="26" t="str">
        <f>IFERROR(__xludf.DUMMYFUNCTION("""COMPUTED_VALUE"""),"Yes")</f>
        <v>Yes</v>
      </c>
      <c r="P167" s="26" t="str">
        <f>IFERROR(__xludf.DUMMYFUNCTION("""COMPUTED_VALUE"""),"")</f>
        <v/>
      </c>
    </row>
    <row r="168">
      <c r="A168" s="13" t="str">
        <f>IFERROR(__xludf.DUMMYFUNCTION("""COMPUTED_VALUE"""),"Trine 4: The Nightmare Prince")</f>
        <v>Trine 4: The Nightmare Prince</v>
      </c>
      <c r="B168" s="15" t="str">
        <f>IFERROR(__xludf.DUMMYFUNCTION("""COMPUTED_VALUE"""),"PS4")</f>
        <v>PS4</v>
      </c>
      <c r="C168" s="16" t="str">
        <f>IFERROR(__xludf.DUMMYFUNCTION("""COMPUTED_VALUE"""),"Extra")</f>
        <v>Extra</v>
      </c>
      <c r="D168" s="15" t="str">
        <f>IFERROR(__xludf.DUMMYFUNCTION("""COMPUTED_VALUE"""),"Active")</f>
        <v>Active</v>
      </c>
      <c r="E168" s="17">
        <f>IFERROR(__xludf.DUMMYFUNCTION("""COMPUTED_VALUE"""),44110.0)</f>
        <v>44110</v>
      </c>
      <c r="F168" s="54"/>
      <c r="G168" s="19">
        <f>IFERROR(__xludf.DUMMYFUNCTION("""COMPUTED_VALUE"""),72.0)</f>
        <v>72</v>
      </c>
      <c r="H168" s="17">
        <f>IFERROR(__xludf.DUMMYFUNCTION("""COMPUTED_VALUE"""),43746.0)</f>
        <v>43746</v>
      </c>
      <c r="I168" s="19">
        <f>IFERROR(__xludf.DUMMYFUNCTION("""COMPUTED_VALUE"""),0.9944444444444445)</f>
        <v>0.9944444444</v>
      </c>
      <c r="J168" s="21">
        <f>IFERROR(__xludf.DUMMYFUNCTION("""COMPUTED_VALUE"""),81.0)</f>
        <v>81</v>
      </c>
      <c r="K168" s="23">
        <f>IFERROR(__xludf.DUMMYFUNCTION("""COMPUTED_VALUE"""),7.7)</f>
        <v>7.7</v>
      </c>
      <c r="L168" s="24">
        <f>IFERROR(__xludf.DUMMYFUNCTION("""COMPUTED_VALUE"""),10.0)</f>
        <v>10</v>
      </c>
      <c r="M168" s="25" t="str">
        <f>IFERROR(__xludf.DUMMYFUNCTION("""COMPUTED_VALUE"""),"Platformer")</f>
        <v>Platformer</v>
      </c>
      <c r="N168" s="25"/>
      <c r="O168" s="26" t="str">
        <f>IFERROR(__xludf.DUMMYFUNCTION("""COMPUTED_VALUE"""),"Yes")</f>
        <v>Yes</v>
      </c>
      <c r="P168" s="26" t="str">
        <f>IFERROR(__xludf.DUMMYFUNCTION("""COMPUTED_VALUE"""),"Yes")</f>
        <v>Yes</v>
      </c>
    </row>
    <row r="169">
      <c r="A169" s="13" t="str">
        <f>IFERROR(__xludf.DUMMYFUNCTION("""COMPUTED_VALUE"""),"Tearaway Unfolded")</f>
        <v>Tearaway Unfolded</v>
      </c>
      <c r="B169" s="15" t="str">
        <f>IFERROR(__xludf.DUMMYFUNCTION("""COMPUTED_VALUE"""),"PS4")</f>
        <v>PS4</v>
      </c>
      <c r="C169" s="16" t="str">
        <f>IFERROR(__xludf.DUMMYFUNCTION("""COMPUTED_VALUE"""),"Extra")</f>
        <v>Extra</v>
      </c>
      <c r="D169" s="15" t="str">
        <f>IFERROR(__xludf.DUMMYFUNCTION("""COMPUTED_VALUE"""),"Active")</f>
        <v>Active</v>
      </c>
      <c r="E169" s="17">
        <f>IFERROR(__xludf.DUMMYFUNCTION("""COMPUTED_VALUE"""),42922.0)</f>
        <v>42922</v>
      </c>
      <c r="F169" s="54"/>
      <c r="G169" s="19">
        <f>IFERROR(__xludf.DUMMYFUNCTION("""COMPUTED_VALUE"""),111.0)</f>
        <v>111</v>
      </c>
      <c r="H169" s="17">
        <f>IFERROR(__xludf.DUMMYFUNCTION("""COMPUTED_VALUE"""),42255.0)</f>
        <v>42255</v>
      </c>
      <c r="I169" s="19">
        <f>IFERROR(__xludf.DUMMYFUNCTION("""COMPUTED_VALUE"""),1.8277777777777777)</f>
        <v>1.827777778</v>
      </c>
      <c r="J169" s="21">
        <f>IFERROR(__xludf.DUMMYFUNCTION("""COMPUTED_VALUE"""),81.0)</f>
        <v>81</v>
      </c>
      <c r="K169" s="23">
        <f>IFERROR(__xludf.DUMMYFUNCTION("""COMPUTED_VALUE"""),7.8)</f>
        <v>7.8</v>
      </c>
      <c r="L169" s="24">
        <f>IFERROR(__xludf.DUMMYFUNCTION("""COMPUTED_VALUE"""),8.0)</f>
        <v>8</v>
      </c>
      <c r="M169" s="25" t="str">
        <f>IFERROR(__xludf.DUMMYFUNCTION("""COMPUTED_VALUE"""),"Platformer")</f>
        <v>Platformer</v>
      </c>
      <c r="N169" s="25"/>
      <c r="O169" s="26" t="str">
        <f>IFERROR(__xludf.DUMMYFUNCTION("""COMPUTED_VALUE"""),"Yes")</f>
        <v>Yes</v>
      </c>
      <c r="P169" s="26"/>
    </row>
    <row r="170">
      <c r="A170" s="13" t="str">
        <f>IFERROR(__xludf.DUMMYFUNCTION("""COMPUTED_VALUE"""),"God of War III: Remastered")</f>
        <v>God of War III: Remastered</v>
      </c>
      <c r="B170" s="15" t="str">
        <f>IFERROR(__xludf.DUMMYFUNCTION("""COMPUTED_VALUE"""),"PS4")</f>
        <v>PS4</v>
      </c>
      <c r="C170" s="16" t="str">
        <f>IFERROR(__xludf.DUMMYFUNCTION("""COMPUTED_VALUE"""),"Premium (Remasters)")</f>
        <v>Premium (Remasters)</v>
      </c>
      <c r="D170" s="15" t="str">
        <f>IFERROR(__xludf.DUMMYFUNCTION("""COMPUTED_VALUE"""),"Active")</f>
        <v>Active</v>
      </c>
      <c r="E170" s="17">
        <f>IFERROR(__xludf.DUMMYFUNCTION("""COMPUTED_VALUE"""),42922.0)</f>
        <v>42922</v>
      </c>
      <c r="F170" s="54"/>
      <c r="G170" s="19">
        <f>IFERROR(__xludf.DUMMYFUNCTION("""COMPUTED_VALUE"""),111.0)</f>
        <v>111</v>
      </c>
      <c r="H170" s="17">
        <f>IFERROR(__xludf.DUMMYFUNCTION("""COMPUTED_VALUE"""),42186.0)</f>
        <v>42186</v>
      </c>
      <c r="I170" s="19">
        <f>IFERROR(__xludf.DUMMYFUNCTION("""COMPUTED_VALUE"""),2.013888888888889)</f>
        <v>2.013888889</v>
      </c>
      <c r="J170" s="21">
        <f>IFERROR(__xludf.DUMMYFUNCTION("""COMPUTED_VALUE"""),81.0)</f>
        <v>81</v>
      </c>
      <c r="K170" s="23">
        <f>IFERROR(__xludf.DUMMYFUNCTION("""COMPUTED_VALUE"""),8.4)</f>
        <v>8.4</v>
      </c>
      <c r="L170" s="24">
        <f>IFERROR(__xludf.DUMMYFUNCTION("""COMPUTED_VALUE"""),9.0)</f>
        <v>9</v>
      </c>
      <c r="M170" s="25" t="str">
        <f>IFERROR(__xludf.DUMMYFUNCTION("""COMPUTED_VALUE"""),"Action-Adventure")</f>
        <v>Action-Adventure</v>
      </c>
      <c r="N170" s="25" t="str">
        <f>IFERROR(__xludf.DUMMYFUNCTION("""COMPUTED_VALUE"""),"PS3")</f>
        <v>PS3</v>
      </c>
      <c r="O170" s="26" t="str">
        <f>IFERROR(__xludf.DUMMYFUNCTION("""COMPUTED_VALUE"""),"Yes")</f>
        <v>Yes</v>
      </c>
      <c r="P170" s="26"/>
    </row>
    <row r="171">
      <c r="A171" s="13" t="str">
        <f>IFERROR(__xludf.DUMMYFUNCTION("""COMPUTED_VALUE"""),"Dungeons of Hinterberg")</f>
        <v>Dungeons of Hinterberg</v>
      </c>
      <c r="B171" s="15" t="str">
        <f>IFERROR(__xludf.DUMMYFUNCTION("""COMPUTED_VALUE"""),"PS5/PS4")</f>
        <v>PS5/PS4</v>
      </c>
      <c r="C171" s="16" t="str">
        <f>IFERROR(__xludf.DUMMYFUNCTION("""COMPUTED_VALUE"""),"Extra")</f>
        <v>Extra</v>
      </c>
      <c r="D171" s="15" t="str">
        <f>IFERROR(__xludf.DUMMYFUNCTION("""COMPUTED_VALUE"""),"Active")</f>
        <v>Active</v>
      </c>
      <c r="E171" s="17">
        <f>IFERROR(__xludf.DUMMYFUNCTION("""COMPUTED_VALUE"""),46294.0)</f>
        <v>46294</v>
      </c>
      <c r="F171" s="54"/>
      <c r="G171" s="19">
        <f>IFERROR(__xludf.DUMMYFUNCTION("""COMPUTED_VALUE"""),0.23333333333333334)</f>
        <v>0.2333333333</v>
      </c>
      <c r="H171" s="17">
        <f>IFERROR(__xludf.DUMMYFUNCTION("""COMPUTED_VALUE"""),45491.0)</f>
        <v>45491</v>
      </c>
      <c r="I171" s="19">
        <f>IFERROR(__xludf.DUMMYFUNCTION("""COMPUTED_VALUE"""),2.1972222222222224)</f>
        <v>2.197222222</v>
      </c>
      <c r="J171" s="21">
        <f>IFERROR(__xludf.DUMMYFUNCTION("""COMPUTED_VALUE"""),80.0)</f>
        <v>80</v>
      </c>
      <c r="K171" s="23">
        <f>IFERROR(__xludf.DUMMYFUNCTION("""COMPUTED_VALUE"""),7.7)</f>
        <v>7.7</v>
      </c>
      <c r="L171" s="24">
        <f>IFERROR(__xludf.DUMMYFUNCTION("""COMPUTED_VALUE"""),15.5)</f>
        <v>15.5</v>
      </c>
      <c r="M171" s="25" t="str">
        <f>IFERROR(__xludf.DUMMYFUNCTION("""COMPUTED_VALUE"""),"Action-Adventure")</f>
        <v>Action-Adventure</v>
      </c>
      <c r="N171" s="25"/>
      <c r="O171" s="26"/>
      <c r="P171" s="26"/>
    </row>
    <row r="172">
      <c r="A172" s="13" t="str">
        <f>IFERROR(__xludf.DUMMYFUNCTION("""COMPUTED_VALUE"""),"Sonic X Shadow Generations")</f>
        <v>Sonic X Shadow Generations</v>
      </c>
      <c r="B172" s="15" t="str">
        <f>IFERROR(__xludf.DUMMYFUNCTION("""COMPUTED_VALUE"""),"PS5/PS4")</f>
        <v>PS5/PS4</v>
      </c>
      <c r="C172" s="16" t="str">
        <f>IFERROR(__xludf.DUMMYFUNCTION("""COMPUTED_VALUE"""),"Extra")</f>
        <v>Extra</v>
      </c>
      <c r="D172" s="15" t="str">
        <f>IFERROR(__xludf.DUMMYFUNCTION("""COMPUTED_VALUE"""),"Active")</f>
        <v>Active</v>
      </c>
      <c r="E172" s="17">
        <f>IFERROR(__xludf.DUMMYFUNCTION("""COMPUTED_VALUE"""),46189.0)</f>
        <v>46189</v>
      </c>
      <c r="F172" s="54"/>
      <c r="G172" s="19">
        <f>IFERROR(__xludf.DUMMYFUNCTION("""COMPUTED_VALUE"""),3.666666666666667)</f>
        <v>3.666666667</v>
      </c>
      <c r="H172" s="17">
        <f>IFERROR(__xludf.DUMMYFUNCTION("""COMPUTED_VALUE"""),45590.0)</f>
        <v>45590</v>
      </c>
      <c r="I172" s="19">
        <f>IFERROR(__xludf.DUMMYFUNCTION("""COMPUTED_VALUE"""),1.6416666666666666)</f>
        <v>1.641666667</v>
      </c>
      <c r="J172" s="21">
        <f>IFERROR(__xludf.DUMMYFUNCTION("""COMPUTED_VALUE"""),80.0)</f>
        <v>80</v>
      </c>
      <c r="K172" s="23">
        <f>IFERROR(__xludf.DUMMYFUNCTION("""COMPUTED_VALUE"""),8.9)</f>
        <v>8.9</v>
      </c>
      <c r="L172" s="24">
        <f>IFERROR(__xludf.DUMMYFUNCTION("""COMPUTED_VALUE"""),7.0)</f>
        <v>7</v>
      </c>
      <c r="M172" s="25" t="str">
        <f>IFERROR(__xludf.DUMMYFUNCTION("""COMPUTED_VALUE"""),"Action-Adventure")</f>
        <v>Action-Adventure</v>
      </c>
      <c r="N172" s="25"/>
      <c r="O172" s="26"/>
      <c r="P172" s="26"/>
    </row>
    <row r="173">
      <c r="A173" s="13" t="str">
        <f>IFERROR(__xludf.DUMMYFUNCTION("""COMPUTED_VALUE"""),"Bramble: The Mountain King")</f>
        <v>Bramble: The Mountain King</v>
      </c>
      <c r="B173" s="15" t="str">
        <f>IFERROR(__xludf.DUMMYFUNCTION("""COMPUTED_VALUE"""),"PS5/PS4")</f>
        <v>PS5/PS4</v>
      </c>
      <c r="C173" s="16" t="str">
        <f>IFERROR(__xludf.DUMMYFUNCTION("""COMPUTED_VALUE"""),"Extra")</f>
        <v>Extra</v>
      </c>
      <c r="D173" s="15" t="str">
        <f>IFERROR(__xludf.DUMMYFUNCTION("""COMPUTED_VALUE"""),"Active")</f>
        <v>Active</v>
      </c>
      <c r="E173" s="17">
        <f>IFERROR(__xludf.DUMMYFUNCTION("""COMPUTED_VALUE"""),46161.0)</f>
        <v>46161</v>
      </c>
      <c r="F173" s="71"/>
      <c r="G173" s="19">
        <f>IFERROR(__xludf.DUMMYFUNCTION("""COMPUTED_VALUE"""),4.566666666666666)</f>
        <v>4.566666667</v>
      </c>
      <c r="H173" s="17">
        <f>IFERROR(__xludf.DUMMYFUNCTION("""COMPUTED_VALUE"""),45043.0)</f>
        <v>45043</v>
      </c>
      <c r="I173" s="19">
        <f>IFERROR(__xludf.DUMMYFUNCTION("""COMPUTED_VALUE"""),3.061111111111111)</f>
        <v>3.061111111</v>
      </c>
      <c r="J173" s="21">
        <f>IFERROR(__xludf.DUMMYFUNCTION("""COMPUTED_VALUE"""),80.0)</f>
        <v>80</v>
      </c>
      <c r="K173" s="23">
        <f>IFERROR(__xludf.DUMMYFUNCTION("""COMPUTED_VALUE"""),7.8)</f>
        <v>7.8</v>
      </c>
      <c r="L173" s="24">
        <f>IFERROR(__xludf.DUMMYFUNCTION("""COMPUTED_VALUE"""),4.0)</f>
        <v>4</v>
      </c>
      <c r="M173" s="25" t="str">
        <f>IFERROR(__xludf.DUMMYFUNCTION("""COMPUTED_VALUE"""),"Action-Adventure")</f>
        <v>Action-Adventure</v>
      </c>
      <c r="N173" s="25"/>
      <c r="O173" s="26"/>
      <c r="P173" s="26"/>
    </row>
    <row r="174">
      <c r="A174" s="13" t="str">
        <f>IFERROR(__xludf.DUMMYFUNCTION("""COMPUTED_VALUE"""),"Wo Long: Fallen Dynasty")</f>
        <v>Wo Long: Fallen Dynasty</v>
      </c>
      <c r="B174" s="15" t="str">
        <f>IFERROR(__xludf.DUMMYFUNCTION("""COMPUTED_VALUE"""),"PS5/PS4")</f>
        <v>PS5/PS4</v>
      </c>
      <c r="C174" s="16" t="str">
        <f>IFERROR(__xludf.DUMMYFUNCTION("""COMPUTED_VALUE"""),"Extra")</f>
        <v>Extra</v>
      </c>
      <c r="D174" s="15" t="str">
        <f>IFERROR(__xludf.DUMMYFUNCTION("""COMPUTED_VALUE"""),"Active")</f>
        <v>Active</v>
      </c>
      <c r="E174" s="17">
        <f>IFERROR(__xludf.DUMMYFUNCTION("""COMPUTED_VALUE"""),46007.0)</f>
        <v>46007</v>
      </c>
      <c r="F174" s="71"/>
      <c r="G174" s="19">
        <f>IFERROR(__xludf.DUMMYFUNCTION("""COMPUTED_VALUE"""),9.666666666666668)</f>
        <v>9.666666667</v>
      </c>
      <c r="H174" s="17">
        <f>IFERROR(__xludf.DUMMYFUNCTION("""COMPUTED_VALUE"""),44988.0)</f>
        <v>44988</v>
      </c>
      <c r="I174" s="19">
        <f>IFERROR(__xludf.DUMMYFUNCTION("""COMPUTED_VALUE"""),2.786111111111111)</f>
        <v>2.786111111</v>
      </c>
      <c r="J174" s="21">
        <f>IFERROR(__xludf.DUMMYFUNCTION("""COMPUTED_VALUE"""),80.0)</f>
        <v>80</v>
      </c>
      <c r="K174" s="23">
        <f>IFERROR(__xludf.DUMMYFUNCTION("""COMPUTED_VALUE"""),6.7)</f>
        <v>6.7</v>
      </c>
      <c r="L174" s="24">
        <f>IFERROR(__xludf.DUMMYFUNCTION("""COMPUTED_VALUE"""),30.0)</f>
        <v>30</v>
      </c>
      <c r="M174" s="25" t="str">
        <f>IFERROR(__xludf.DUMMYFUNCTION("""COMPUTED_VALUE"""),"Action-Adventure")</f>
        <v>Action-Adventure</v>
      </c>
      <c r="N174" s="25"/>
      <c r="O174" s="26"/>
      <c r="P174" s="26"/>
    </row>
    <row r="175">
      <c r="A175" s="13" t="str">
        <f>IFERROR(__xludf.DUMMYFUNCTION("""COMPUTED_VALUE"""),"Granblue Fantasy: Relink")</f>
        <v>Granblue Fantasy: Relink</v>
      </c>
      <c r="B175" s="15" t="str">
        <f>IFERROR(__xludf.DUMMYFUNCTION("""COMPUTED_VALUE"""),"PS5/PS4")</f>
        <v>PS5/PS4</v>
      </c>
      <c r="C175" s="16" t="str">
        <f>IFERROR(__xludf.DUMMYFUNCTION("""COMPUTED_VALUE"""),"Extra")</f>
        <v>Extra</v>
      </c>
      <c r="D175" s="15" t="str">
        <f>IFERROR(__xludf.DUMMYFUNCTION("""COMPUTED_VALUE"""),"Active")</f>
        <v>Active</v>
      </c>
      <c r="E175" s="17">
        <f>IFERROR(__xludf.DUMMYFUNCTION("""COMPUTED_VALUE"""),46007.0)</f>
        <v>46007</v>
      </c>
      <c r="F175" s="54"/>
      <c r="G175" s="19">
        <f>IFERROR(__xludf.DUMMYFUNCTION("""COMPUTED_VALUE"""),9.666666666666668)</f>
        <v>9.666666667</v>
      </c>
      <c r="H175" s="17">
        <f>IFERROR(__xludf.DUMMYFUNCTION("""COMPUTED_VALUE"""),45323.0)</f>
        <v>45323</v>
      </c>
      <c r="I175" s="19">
        <f>IFERROR(__xludf.DUMMYFUNCTION("""COMPUTED_VALUE"""),1.875)</f>
        <v>1.875</v>
      </c>
      <c r="J175" s="21">
        <f>IFERROR(__xludf.DUMMYFUNCTION("""COMPUTED_VALUE"""),80.0)</f>
        <v>80</v>
      </c>
      <c r="K175" s="23">
        <f>IFERROR(__xludf.DUMMYFUNCTION("""COMPUTED_VALUE"""),8.3)</f>
        <v>8.3</v>
      </c>
      <c r="L175" s="24">
        <f>IFERROR(__xludf.DUMMYFUNCTION("""COMPUTED_VALUE"""),20.0)</f>
        <v>20</v>
      </c>
      <c r="M175" s="25" t="str">
        <f>IFERROR(__xludf.DUMMYFUNCTION("""COMPUTED_VALUE"""),"Action-Adventure")</f>
        <v>Action-Adventure</v>
      </c>
      <c r="N175" s="25"/>
      <c r="O175" s="26"/>
      <c r="P175" s="26"/>
    </row>
    <row r="176">
      <c r="A176" s="13" t="str">
        <f>IFERROR(__xludf.DUMMYFUNCTION("""COMPUTED_VALUE"""),"Cat Quest III")</f>
        <v>Cat Quest III</v>
      </c>
      <c r="B176" s="15" t="str">
        <f>IFERROR(__xludf.DUMMYFUNCTION("""COMPUTED_VALUE"""),"PS5/PS4")</f>
        <v>PS5/PS4</v>
      </c>
      <c r="C176" s="16" t="str">
        <f>IFERROR(__xludf.DUMMYFUNCTION("""COMPUTED_VALUE"""),"Extra")</f>
        <v>Extra</v>
      </c>
      <c r="D176" s="15" t="str">
        <f>IFERROR(__xludf.DUMMYFUNCTION("""COMPUTED_VALUE"""),"Active")</f>
        <v>Active</v>
      </c>
      <c r="E176" s="17">
        <f>IFERROR(__xludf.DUMMYFUNCTION("""COMPUTED_VALUE"""),46007.0)</f>
        <v>46007</v>
      </c>
      <c r="F176" s="54"/>
      <c r="G176" s="19">
        <f>IFERROR(__xludf.DUMMYFUNCTION("""COMPUTED_VALUE"""),9.666666666666668)</f>
        <v>9.666666667</v>
      </c>
      <c r="H176" s="17">
        <f>IFERROR(__xludf.DUMMYFUNCTION("""COMPUTED_VALUE"""),45512.0)</f>
        <v>45512</v>
      </c>
      <c r="I176" s="19">
        <f>IFERROR(__xludf.DUMMYFUNCTION("""COMPUTED_VALUE"""),1.3555555555555556)</f>
        <v>1.355555556</v>
      </c>
      <c r="J176" s="21">
        <f>IFERROR(__xludf.DUMMYFUNCTION("""COMPUTED_VALUE"""),80.0)</f>
        <v>80</v>
      </c>
      <c r="K176" s="23">
        <f>IFERROR(__xludf.DUMMYFUNCTION("""COMPUTED_VALUE"""),8.0)</f>
        <v>8</v>
      </c>
      <c r="L176" s="24">
        <f>IFERROR(__xludf.DUMMYFUNCTION("""COMPUTED_VALUE"""),10.0)</f>
        <v>10</v>
      </c>
      <c r="M176" s="25" t="str">
        <f>IFERROR(__xludf.DUMMYFUNCTION("""COMPUTED_VALUE"""),"RPG")</f>
        <v>RPG</v>
      </c>
      <c r="N176" s="25"/>
      <c r="O176" s="26"/>
      <c r="P176" s="26"/>
    </row>
    <row r="177">
      <c r="A177" s="13" t="str">
        <f>IFERROR(__xludf.DUMMYFUNCTION("""COMPUTED_VALUE"""),"The Rogue Prince of Persia")</f>
        <v>The Rogue Prince of Persia</v>
      </c>
      <c r="B177" s="15" t="str">
        <f>IFERROR(__xludf.DUMMYFUNCTION("""COMPUTED_VALUE"""),"PS5/PS4")</f>
        <v>PS5/PS4</v>
      </c>
      <c r="C177" s="16" t="str">
        <f>IFERROR(__xludf.DUMMYFUNCTION("""COMPUTED_VALUE"""),"Extra")</f>
        <v>Extra</v>
      </c>
      <c r="D177" s="15" t="str">
        <f>IFERROR(__xludf.DUMMYFUNCTION("""COMPUTED_VALUE"""),"Active")</f>
        <v>Active</v>
      </c>
      <c r="E177" s="17">
        <f>IFERROR(__xludf.DUMMYFUNCTION("""COMPUTED_VALUE"""),45889.0)</f>
        <v>45889</v>
      </c>
      <c r="F177" s="54"/>
      <c r="G177" s="19">
        <f>IFERROR(__xludf.DUMMYFUNCTION("""COMPUTED_VALUE"""),13.533333333333333)</f>
        <v>13.53333333</v>
      </c>
      <c r="H177" s="17">
        <f>IFERROR(__xludf.DUMMYFUNCTION("""COMPUTED_VALUE"""),45889.0)</f>
        <v>45889</v>
      </c>
      <c r="I177" s="19">
        <f>IFERROR(__xludf.DUMMYFUNCTION("""COMPUTED_VALUE"""),0.0)</f>
        <v>0</v>
      </c>
      <c r="J177" s="21">
        <f>IFERROR(__xludf.DUMMYFUNCTION("""COMPUTED_VALUE"""),80.0)</f>
        <v>80</v>
      </c>
      <c r="K177" s="23">
        <f>IFERROR(__xludf.DUMMYFUNCTION("""COMPUTED_VALUE"""),7.4)</f>
        <v>7.4</v>
      </c>
      <c r="L177" s="24">
        <f>IFERROR(__xludf.DUMMYFUNCTION("""COMPUTED_VALUE"""),10.0)</f>
        <v>10</v>
      </c>
      <c r="M177" s="25" t="str">
        <f>IFERROR(__xludf.DUMMYFUNCTION("""COMPUTED_VALUE"""),"Platformer")</f>
        <v>Platformer</v>
      </c>
      <c r="N177" s="25"/>
      <c r="O177" s="26"/>
      <c r="P177" s="26"/>
    </row>
    <row r="178">
      <c r="A178" s="13" t="str">
        <f>IFERROR(__xludf.DUMMYFUNCTION("""COMPUTED_VALUE"""),"Five Nights at Freddy's: Help Wanted - Full Time Edition")</f>
        <v>Five Nights at Freddy's: Help Wanted - Full Time Edition</v>
      </c>
      <c r="B178" s="15" t="str">
        <f>IFERROR(__xludf.DUMMYFUNCTION("""COMPUTED_VALUE"""),"PS5/PS4")</f>
        <v>PS5/PS4</v>
      </c>
      <c r="C178" s="16" t="str">
        <f>IFERROR(__xludf.DUMMYFUNCTION("""COMPUTED_VALUE"""),"Extra")</f>
        <v>Extra</v>
      </c>
      <c r="D178" s="15" t="str">
        <f>IFERROR(__xludf.DUMMYFUNCTION("""COMPUTED_VALUE"""),"Active")</f>
        <v>Active</v>
      </c>
      <c r="E178" s="17">
        <f>IFERROR(__xludf.DUMMYFUNCTION("""COMPUTED_VALUE"""),45797.0)</f>
        <v>45797</v>
      </c>
      <c r="F178" s="54"/>
      <c r="G178" s="19">
        <f>IFERROR(__xludf.DUMMYFUNCTION("""COMPUTED_VALUE"""),16.53333333333333)</f>
        <v>16.53333333</v>
      </c>
      <c r="H178" s="17">
        <f>IFERROR(__xludf.DUMMYFUNCTION("""COMPUTED_VALUE"""),43613.0)</f>
        <v>43613</v>
      </c>
      <c r="I178" s="19">
        <f>IFERROR(__xludf.DUMMYFUNCTION("""COMPUTED_VALUE"""),5.977777777777778)</f>
        <v>5.977777778</v>
      </c>
      <c r="J178" s="21">
        <f>IFERROR(__xludf.DUMMYFUNCTION("""COMPUTED_VALUE"""),80.0)</f>
        <v>80</v>
      </c>
      <c r="K178" s="23">
        <f>IFERROR(__xludf.DUMMYFUNCTION("""COMPUTED_VALUE"""),8.2)</f>
        <v>8.2</v>
      </c>
      <c r="L178" s="24">
        <f>IFERROR(__xludf.DUMMYFUNCTION("""COMPUTED_VALUE"""),12.0)</f>
        <v>12</v>
      </c>
      <c r="M178" s="25" t="str">
        <f>IFERROR(__xludf.DUMMYFUNCTION("""COMPUTED_VALUE"""),"Survival")</f>
        <v>Survival</v>
      </c>
      <c r="N178" s="25"/>
      <c r="O178" s="26"/>
      <c r="P178" s="26"/>
    </row>
    <row r="179">
      <c r="A179" s="13" t="str">
        <f>IFERROR(__xludf.DUMMYFUNCTION("""COMPUTED_VALUE"""),"War of the Monsters")</f>
        <v>War of the Monsters</v>
      </c>
      <c r="B179" s="15" t="str">
        <f>IFERROR(__xludf.DUMMYFUNCTION("""COMPUTED_VALUE"""),"PS5/PS4")</f>
        <v>PS5/PS4</v>
      </c>
      <c r="C179" s="16" t="str">
        <f>IFERROR(__xludf.DUMMYFUNCTION("""COMPUTED_VALUE"""),"Premium (Classics)")</f>
        <v>Premium (Classics)</v>
      </c>
      <c r="D179" s="15" t="str">
        <f>IFERROR(__xludf.DUMMYFUNCTION("""COMPUTED_VALUE"""),"Active")</f>
        <v>Active</v>
      </c>
      <c r="E179" s="17">
        <f>IFERROR(__xludf.DUMMYFUNCTION("""COMPUTED_VALUE"""),45762.0)</f>
        <v>45762</v>
      </c>
      <c r="F179" s="54"/>
      <c r="G179" s="19">
        <f>IFERROR(__xludf.DUMMYFUNCTION("""COMPUTED_VALUE"""),17.700000000000003)</f>
        <v>17.7</v>
      </c>
      <c r="H179" s="17">
        <f>IFERROR(__xludf.DUMMYFUNCTION("""COMPUTED_VALUE"""),37635.0)</f>
        <v>37635</v>
      </c>
      <c r="I179" s="19">
        <f>IFERROR(__xludf.DUMMYFUNCTION("""COMPUTED_VALUE"""),22.252777777777776)</f>
        <v>22.25277778</v>
      </c>
      <c r="J179" s="21">
        <f>IFERROR(__xludf.DUMMYFUNCTION("""COMPUTED_VALUE"""),80.0)</f>
        <v>80</v>
      </c>
      <c r="K179" s="23">
        <f>IFERROR(__xludf.DUMMYFUNCTION("""COMPUTED_VALUE"""),8.0)</f>
        <v>8</v>
      </c>
      <c r="L179" s="24">
        <f>IFERROR(__xludf.DUMMYFUNCTION("""COMPUTED_VALUE"""),3.0)</f>
        <v>3</v>
      </c>
      <c r="M179" s="25" t="str">
        <f>IFERROR(__xludf.DUMMYFUNCTION("""COMPUTED_VALUE"""),"Fighting")</f>
        <v>Fighting</v>
      </c>
      <c r="N179" s="25" t="str">
        <f>IFERROR(__xludf.DUMMYFUNCTION("""COMPUTED_VALUE"""),"PS2")</f>
        <v>PS2</v>
      </c>
      <c r="O179" s="26"/>
      <c r="P179" s="26"/>
    </row>
    <row r="180">
      <c r="A180" s="13" t="str">
        <f>IFERROR(__xludf.DUMMYFUNCTION("""COMPUTED_VALUE"""),"Tomb Raider: Legend")</f>
        <v>Tomb Raider: Legend</v>
      </c>
      <c r="B180" s="15" t="str">
        <f>IFERROR(__xludf.DUMMYFUNCTION("""COMPUTED_VALUE"""),"PS5/PS4")</f>
        <v>PS5/PS4</v>
      </c>
      <c r="C180" s="16" t="str">
        <f>IFERROR(__xludf.DUMMYFUNCTION("""COMPUTED_VALUE"""),"Premium (Classics)")</f>
        <v>Premium (Classics)</v>
      </c>
      <c r="D180" s="15" t="str">
        <f>IFERROR(__xludf.DUMMYFUNCTION("""COMPUTED_VALUE"""),"Active")</f>
        <v>Active</v>
      </c>
      <c r="E180" s="17">
        <f>IFERROR(__xludf.DUMMYFUNCTION("""COMPUTED_VALUE"""),45454.0)</f>
        <v>45454</v>
      </c>
      <c r="F180" s="54"/>
      <c r="G180" s="19">
        <f>IFERROR(__xludf.DUMMYFUNCTION("""COMPUTED_VALUE"""),27.833333333333336)</f>
        <v>27.83333333</v>
      </c>
      <c r="H180" s="17">
        <f>IFERROR(__xludf.DUMMYFUNCTION("""COMPUTED_VALUE"""),38818.0)</f>
        <v>38818</v>
      </c>
      <c r="I180" s="19">
        <f>IFERROR(__xludf.DUMMYFUNCTION("""COMPUTED_VALUE"""),18.166666666666668)</f>
        <v>18.16666667</v>
      </c>
      <c r="J180" s="21">
        <f>IFERROR(__xludf.DUMMYFUNCTION("""COMPUTED_VALUE"""),80.0)</f>
        <v>80</v>
      </c>
      <c r="K180" s="23">
        <f>IFERROR(__xludf.DUMMYFUNCTION("""COMPUTED_VALUE"""),7.9)</f>
        <v>7.9</v>
      </c>
      <c r="L180" s="24">
        <f>IFERROR(__xludf.DUMMYFUNCTION("""COMPUTED_VALUE"""),7.0)</f>
        <v>7</v>
      </c>
      <c r="M180" s="25" t="str">
        <f>IFERROR(__xludf.DUMMYFUNCTION("""COMPUTED_VALUE"""),"Action-Adventure")</f>
        <v>Action-Adventure</v>
      </c>
      <c r="N180" s="25" t="str">
        <f>IFERROR(__xludf.DUMMYFUNCTION("""COMPUTED_VALUE"""),"PS2")</f>
        <v>PS2</v>
      </c>
      <c r="O180" s="26" t="str">
        <f>IFERROR(__xludf.DUMMYFUNCTION("""COMPUTED_VALUE"""),"Yes")</f>
        <v>Yes</v>
      </c>
      <c r="P180" s="26"/>
    </row>
    <row r="181">
      <c r="A181" s="13" t="str">
        <f>IFERROR(__xludf.DUMMYFUNCTION("""COMPUTED_VALUE"""),"Watch Dogs")</f>
        <v>Watch Dogs</v>
      </c>
      <c r="B181" s="15" t="str">
        <f>IFERROR(__xludf.DUMMYFUNCTION("""COMPUTED_VALUE"""),"PS4")</f>
        <v>PS4</v>
      </c>
      <c r="C181" s="16" t="str">
        <f>IFERROR(__xludf.DUMMYFUNCTION("""COMPUTED_VALUE"""),"Extra (Ubisoft+ Classics)")</f>
        <v>Extra (Ubisoft+ Classics)</v>
      </c>
      <c r="D181" s="15" t="str">
        <f>IFERROR(__xludf.DUMMYFUNCTION("""COMPUTED_VALUE"""),"Active")</f>
        <v>Active</v>
      </c>
      <c r="E181" s="17">
        <f>IFERROR(__xludf.DUMMYFUNCTION("""COMPUTED_VALUE"""),45433.0)</f>
        <v>45433</v>
      </c>
      <c r="F181" s="54"/>
      <c r="G181" s="19">
        <f>IFERROR(__xludf.DUMMYFUNCTION("""COMPUTED_VALUE"""),28.5)</f>
        <v>28.5</v>
      </c>
      <c r="H181" s="17">
        <f>IFERROR(__xludf.DUMMYFUNCTION("""COMPUTED_VALUE"""),41786.0)</f>
        <v>41786</v>
      </c>
      <c r="I181" s="19">
        <f>IFERROR(__xludf.DUMMYFUNCTION("""COMPUTED_VALUE"""),9.983333333333333)</f>
        <v>9.983333333</v>
      </c>
      <c r="J181" s="21">
        <f>IFERROR(__xludf.DUMMYFUNCTION("""COMPUTED_VALUE"""),80.0)</f>
        <v>80</v>
      </c>
      <c r="K181" s="23">
        <f>IFERROR(__xludf.DUMMYFUNCTION("""COMPUTED_VALUE"""),6.8)</f>
        <v>6.8</v>
      </c>
      <c r="L181" s="24">
        <f>IFERROR(__xludf.DUMMYFUNCTION("""COMPUTED_VALUE"""),20.0)</f>
        <v>20</v>
      </c>
      <c r="M181" s="25" t="str">
        <f>IFERROR(__xludf.DUMMYFUNCTION("""COMPUTED_VALUE"""),"Action-Adventure")</f>
        <v>Action-Adventure</v>
      </c>
      <c r="N181" s="25"/>
      <c r="O181" s="26" t="str">
        <f>IFERROR(__xludf.DUMMYFUNCTION("""COMPUTED_VALUE"""),"Yes")</f>
        <v>Yes</v>
      </c>
      <c r="P181" s="26"/>
    </row>
    <row r="182">
      <c r="A182" s="13" t="str">
        <f>IFERROR(__xludf.DUMMYFUNCTION("""COMPUTED_VALUE"""),"Assassin's Creed Valhalla")</f>
        <v>Assassin's Creed Valhalla</v>
      </c>
      <c r="B182" s="15" t="str">
        <f>IFERROR(__xludf.DUMMYFUNCTION("""COMPUTED_VALUE"""),"PS5/PS4")</f>
        <v>PS5/PS4</v>
      </c>
      <c r="C182" s="16" t="str">
        <f>IFERROR(__xludf.DUMMYFUNCTION("""COMPUTED_VALUE"""),"Extra (Ubisoft+ Classics)")</f>
        <v>Extra (Ubisoft+ Classics)</v>
      </c>
      <c r="D182" s="15" t="str">
        <f>IFERROR(__xludf.DUMMYFUNCTION("""COMPUTED_VALUE"""),"Active")</f>
        <v>Active</v>
      </c>
      <c r="E182" s="17">
        <f>IFERROR(__xludf.DUMMYFUNCTION("""COMPUTED_VALUE"""),45342.0)</f>
        <v>45342</v>
      </c>
      <c r="F182" s="54"/>
      <c r="G182" s="19">
        <f>IFERROR(__xludf.DUMMYFUNCTION("""COMPUTED_VALUE"""),31.53333333333333)</f>
        <v>31.53333333</v>
      </c>
      <c r="H182" s="17">
        <f>IFERROR(__xludf.DUMMYFUNCTION("""COMPUTED_VALUE"""),44145.0)</f>
        <v>44145</v>
      </c>
      <c r="I182" s="19">
        <f>IFERROR(__xludf.DUMMYFUNCTION("""COMPUTED_VALUE"""),3.2777777777777777)</f>
        <v>3.277777778</v>
      </c>
      <c r="J182" s="21">
        <f>IFERROR(__xludf.DUMMYFUNCTION("""COMPUTED_VALUE"""),80.0)</f>
        <v>80</v>
      </c>
      <c r="K182" s="23">
        <f>IFERROR(__xludf.DUMMYFUNCTION("""COMPUTED_VALUE"""),7.2)</f>
        <v>7.2</v>
      </c>
      <c r="L182" s="24">
        <f>IFERROR(__xludf.DUMMYFUNCTION("""COMPUTED_VALUE"""),61.0)</f>
        <v>61</v>
      </c>
      <c r="M182" s="25" t="str">
        <f>IFERROR(__xludf.DUMMYFUNCTION("""COMPUTED_VALUE"""),"RPG")</f>
        <v>RPG</v>
      </c>
      <c r="N182" s="25"/>
      <c r="O182" s="26" t="str">
        <f>IFERROR(__xludf.DUMMYFUNCTION("""COMPUTED_VALUE"""),"Yes")</f>
        <v>Yes</v>
      </c>
      <c r="P182" s="26"/>
    </row>
    <row r="183">
      <c r="A183" s="13" t="str">
        <f>IFERROR(__xludf.DUMMYFUNCTION("""COMPUTED_VALUE"""),"LEGO City Undercover")</f>
        <v>LEGO City Undercover</v>
      </c>
      <c r="B183" s="15" t="str">
        <f>IFERROR(__xludf.DUMMYFUNCTION("""COMPUTED_VALUE"""),"PS4")</f>
        <v>PS4</v>
      </c>
      <c r="C183" s="16" t="str">
        <f>IFERROR(__xludf.DUMMYFUNCTION("""COMPUTED_VALUE"""),"Extra")</f>
        <v>Extra</v>
      </c>
      <c r="D183" s="15" t="str">
        <f>IFERROR(__xludf.DUMMYFUNCTION("""COMPUTED_VALUE"""),"Active")</f>
        <v>Active</v>
      </c>
      <c r="E183" s="17">
        <f>IFERROR(__xludf.DUMMYFUNCTION("""COMPUTED_VALUE"""),45307.0)</f>
        <v>45307</v>
      </c>
      <c r="F183" s="54"/>
      <c r="G183" s="19">
        <f>IFERROR(__xludf.DUMMYFUNCTION("""COMPUTED_VALUE"""),32.66666666666667)</f>
        <v>32.66666667</v>
      </c>
      <c r="H183" s="17">
        <f>IFERROR(__xludf.DUMMYFUNCTION("""COMPUTED_VALUE"""),41351.0)</f>
        <v>41351</v>
      </c>
      <c r="I183" s="19">
        <f>IFERROR(__xludf.DUMMYFUNCTION("""COMPUTED_VALUE"""),10.827777777777778)</f>
        <v>10.82777778</v>
      </c>
      <c r="J183" s="21">
        <f>IFERROR(__xludf.DUMMYFUNCTION("""COMPUTED_VALUE"""),80.0)</f>
        <v>80</v>
      </c>
      <c r="K183" s="23">
        <f>IFERROR(__xludf.DUMMYFUNCTION("""COMPUTED_VALUE"""),8.3)</f>
        <v>8.3</v>
      </c>
      <c r="L183" s="24">
        <f>IFERROR(__xludf.DUMMYFUNCTION("""COMPUTED_VALUE"""),16.0)</f>
        <v>16</v>
      </c>
      <c r="M183" s="25" t="str">
        <f>IFERROR(__xludf.DUMMYFUNCTION("""COMPUTED_VALUE"""),"Action-Adventure")</f>
        <v>Action-Adventure</v>
      </c>
      <c r="N183" s="25"/>
      <c r="O183" s="26" t="str">
        <f>IFERROR(__xludf.DUMMYFUNCTION("""COMPUTED_VALUE"""),"Yes")</f>
        <v>Yes</v>
      </c>
      <c r="P183" s="26"/>
    </row>
    <row r="184">
      <c r="A184" s="13" t="str">
        <f>IFERROR(__xludf.DUMMYFUNCTION("""COMPUTED_VALUE"""),"Soulcalibur: Broken Destiny")</f>
        <v>Soulcalibur: Broken Destiny</v>
      </c>
      <c r="B184" s="15" t="str">
        <f>IFERROR(__xludf.DUMMYFUNCTION("""COMPUTED_VALUE"""),"PS5/PS4")</f>
        <v>PS5/PS4</v>
      </c>
      <c r="C184" s="16" t="str">
        <f>IFERROR(__xludf.DUMMYFUNCTION("""COMPUTED_VALUE"""),"Premium (Classics)")</f>
        <v>Premium (Classics)</v>
      </c>
      <c r="D184" s="15" t="str">
        <f>IFERROR(__xludf.DUMMYFUNCTION("""COMPUTED_VALUE"""),"Active")</f>
        <v>Active</v>
      </c>
      <c r="E184" s="17">
        <f>IFERROR(__xludf.DUMMYFUNCTION("""COMPUTED_VALUE"""),45216.0)</f>
        <v>45216</v>
      </c>
      <c r="F184" s="54"/>
      <c r="G184" s="19">
        <f>IFERROR(__xludf.DUMMYFUNCTION("""COMPUTED_VALUE"""),35.63333333333333)</f>
        <v>35.63333333</v>
      </c>
      <c r="H184" s="17">
        <f>IFERROR(__xludf.DUMMYFUNCTION("""COMPUTED_VALUE"""),40057.0)</f>
        <v>40057</v>
      </c>
      <c r="I184" s="19">
        <f>IFERROR(__xludf.DUMMYFUNCTION("""COMPUTED_VALUE"""),14.127777777777778)</f>
        <v>14.12777778</v>
      </c>
      <c r="J184" s="21">
        <f>IFERROR(__xludf.DUMMYFUNCTION("""COMPUTED_VALUE"""),80.0)</f>
        <v>80</v>
      </c>
      <c r="K184" s="23">
        <f>IFERROR(__xludf.DUMMYFUNCTION("""COMPUTED_VALUE"""),7.0)</f>
        <v>7</v>
      </c>
      <c r="L184" s="24">
        <f>IFERROR(__xludf.DUMMYFUNCTION("""COMPUTED_VALUE"""),4.0)</f>
        <v>4</v>
      </c>
      <c r="M184" s="25" t="str">
        <f>IFERROR(__xludf.DUMMYFUNCTION("""COMPUTED_VALUE"""),"Fighting")</f>
        <v>Fighting</v>
      </c>
      <c r="N184" s="25" t="str">
        <f>IFERROR(__xludf.DUMMYFUNCTION("""COMPUTED_VALUE"""),"PSP")</f>
        <v>PSP</v>
      </c>
      <c r="O184" s="26" t="str">
        <f>IFERROR(__xludf.DUMMYFUNCTION("""COMPUTED_VALUE"""),"Yes")</f>
        <v>Yes</v>
      </c>
      <c r="P184" s="26"/>
    </row>
    <row r="185">
      <c r="A185" s="13" t="str">
        <f>IFERROR(__xludf.DUMMYFUNCTION("""COMPUTED_VALUE"""),"My Friend Peppa Pig")</f>
        <v>My Friend Peppa Pig</v>
      </c>
      <c r="B185" s="15" t="str">
        <f>IFERROR(__xludf.DUMMYFUNCTION("""COMPUTED_VALUE"""),"PS5/PS4")</f>
        <v>PS5/PS4</v>
      </c>
      <c r="C185" s="16" t="str">
        <f>IFERROR(__xludf.DUMMYFUNCTION("""COMPUTED_VALUE"""),"Extra")</f>
        <v>Extra</v>
      </c>
      <c r="D185" s="15" t="str">
        <f>IFERROR(__xludf.DUMMYFUNCTION("""COMPUTED_VALUE"""),"Active")</f>
        <v>Active</v>
      </c>
      <c r="E185" s="17">
        <f>IFERROR(__xludf.DUMMYFUNCTION("""COMPUTED_VALUE"""),45097.0)</f>
        <v>45097</v>
      </c>
      <c r="F185" s="54"/>
      <c r="G185" s="19">
        <f>IFERROR(__xludf.DUMMYFUNCTION("""COMPUTED_VALUE"""),39.53333333333333)</f>
        <v>39.53333333</v>
      </c>
      <c r="H185" s="17">
        <f>IFERROR(__xludf.DUMMYFUNCTION("""COMPUTED_VALUE"""),44491.0)</f>
        <v>44491</v>
      </c>
      <c r="I185" s="19">
        <f>IFERROR(__xludf.DUMMYFUNCTION("""COMPUTED_VALUE"""),1.6611111111111112)</f>
        <v>1.661111111</v>
      </c>
      <c r="J185" s="21">
        <f>IFERROR(__xludf.DUMMYFUNCTION("""COMPUTED_VALUE"""),80.0)</f>
        <v>80</v>
      </c>
      <c r="K185" s="23">
        <f>IFERROR(__xludf.DUMMYFUNCTION("""COMPUTED_VALUE"""),8.7)</f>
        <v>8.7</v>
      </c>
      <c r="L185" s="24">
        <f>IFERROR(__xludf.DUMMYFUNCTION("""COMPUTED_VALUE"""),1.0)</f>
        <v>1</v>
      </c>
      <c r="M185" s="25" t="str">
        <f>IFERROR(__xludf.DUMMYFUNCTION("""COMPUTED_VALUE"""),"Action-Adventure")</f>
        <v>Action-Adventure</v>
      </c>
      <c r="N185" s="25"/>
      <c r="O185" s="26" t="str">
        <f>IFERROR(__xludf.DUMMYFUNCTION("""COMPUTED_VALUE"""),"Yes")</f>
        <v>Yes</v>
      </c>
      <c r="P185" s="26"/>
    </row>
    <row r="186">
      <c r="A186" s="13" t="str">
        <f>IFERROR(__xludf.DUMMYFUNCTION("""COMPUTED_VALUE"""),"Lonely Mountains: Downhill")</f>
        <v>Lonely Mountains: Downhill</v>
      </c>
      <c r="B186" s="15" t="str">
        <f>IFERROR(__xludf.DUMMYFUNCTION("""COMPUTED_VALUE"""),"PS4")</f>
        <v>PS4</v>
      </c>
      <c r="C186" s="16" t="str">
        <f>IFERROR(__xludf.DUMMYFUNCTION("""COMPUTED_VALUE"""),"Extra")</f>
        <v>Extra</v>
      </c>
      <c r="D186" s="15" t="str">
        <f>IFERROR(__xludf.DUMMYFUNCTION("""COMPUTED_VALUE"""),"Active")</f>
        <v>Active</v>
      </c>
      <c r="E186" s="17">
        <f>IFERROR(__xludf.DUMMYFUNCTION("""COMPUTED_VALUE"""),45097.0)</f>
        <v>45097</v>
      </c>
      <c r="F186" s="71"/>
      <c r="G186" s="19">
        <f>IFERROR(__xludf.DUMMYFUNCTION("""COMPUTED_VALUE"""),39.53333333333333)</f>
        <v>39.53333333</v>
      </c>
      <c r="H186" s="17">
        <f>IFERROR(__xludf.DUMMYFUNCTION("""COMPUTED_VALUE"""),43761.0)</f>
        <v>43761</v>
      </c>
      <c r="I186" s="19">
        <f>IFERROR(__xludf.DUMMYFUNCTION("""COMPUTED_VALUE"""),3.658333333333333)</f>
        <v>3.658333333</v>
      </c>
      <c r="J186" s="21">
        <f>IFERROR(__xludf.DUMMYFUNCTION("""COMPUTED_VALUE"""),80.0)</f>
        <v>80</v>
      </c>
      <c r="K186" s="23">
        <f>IFERROR(__xludf.DUMMYFUNCTION("""COMPUTED_VALUE"""),5.5)</f>
        <v>5.5</v>
      </c>
      <c r="L186" s="24">
        <f>IFERROR(__xludf.DUMMYFUNCTION("""COMPUTED_VALUE"""),6.0)</f>
        <v>6</v>
      </c>
      <c r="M186" s="25" t="str">
        <f>IFERROR(__xludf.DUMMYFUNCTION("""COMPUTED_VALUE"""),"Sports")</f>
        <v>Sports</v>
      </c>
      <c r="N186" s="25"/>
      <c r="O186" s="26" t="str">
        <f>IFERROR(__xludf.DUMMYFUNCTION("""COMPUTED_VALUE"""),"Yes")</f>
        <v>Yes</v>
      </c>
      <c r="P186" s="26"/>
    </row>
    <row r="187">
      <c r="A187" s="13" t="str">
        <f>IFERROR(__xludf.DUMMYFUNCTION("""COMPUTED_VALUE"""),"Dishonored: Definitive Edition")</f>
        <v>Dishonored: Definitive Edition</v>
      </c>
      <c r="B187" s="15" t="str">
        <f>IFERROR(__xludf.DUMMYFUNCTION("""COMPUTED_VALUE"""),"PS4")</f>
        <v>PS4</v>
      </c>
      <c r="C187" s="16" t="str">
        <f>IFERROR(__xludf.DUMMYFUNCTION("""COMPUTED_VALUE"""),"Premium (Remasters)")</f>
        <v>Premium (Remasters)</v>
      </c>
      <c r="D187" s="15" t="str">
        <f>IFERROR(__xludf.DUMMYFUNCTION("""COMPUTED_VALUE"""),"Active")</f>
        <v>Active</v>
      </c>
      <c r="E187" s="17">
        <f>IFERROR(__xludf.DUMMYFUNCTION("""COMPUTED_VALUE"""),45034.0)</f>
        <v>45034</v>
      </c>
      <c r="F187" s="54"/>
      <c r="G187" s="19">
        <f>IFERROR(__xludf.DUMMYFUNCTION("""COMPUTED_VALUE"""),41.6)</f>
        <v>41.6</v>
      </c>
      <c r="H187" s="17">
        <f>IFERROR(__xludf.DUMMYFUNCTION("""COMPUTED_VALUE"""),42241.0)</f>
        <v>42241</v>
      </c>
      <c r="I187" s="19">
        <f>IFERROR(__xludf.DUMMYFUNCTION("""COMPUTED_VALUE"""),7.647222222222222)</f>
        <v>7.647222222</v>
      </c>
      <c r="J187" s="21">
        <f>IFERROR(__xludf.DUMMYFUNCTION("""COMPUTED_VALUE"""),80.0)</f>
        <v>80</v>
      </c>
      <c r="K187" s="23">
        <f>IFERROR(__xludf.DUMMYFUNCTION("""COMPUTED_VALUE"""),8.3)</f>
        <v>8.3</v>
      </c>
      <c r="L187" s="24">
        <f>IFERROR(__xludf.DUMMYFUNCTION("""COMPUTED_VALUE"""),13.0)</f>
        <v>13</v>
      </c>
      <c r="M187" s="25" t="str">
        <f>IFERROR(__xludf.DUMMYFUNCTION("""COMPUTED_VALUE"""),"Shooter")</f>
        <v>Shooter</v>
      </c>
      <c r="N187" s="25" t="str">
        <f>IFERROR(__xludf.DUMMYFUNCTION("""COMPUTED_VALUE"""),"PS3")</f>
        <v>PS3</v>
      </c>
      <c r="O187" s="26" t="str">
        <f>IFERROR(__xludf.DUMMYFUNCTION("""COMPUTED_VALUE"""),"Yes")</f>
        <v>Yes</v>
      </c>
      <c r="P187" s="26"/>
    </row>
    <row r="188">
      <c r="A188" s="13" t="str">
        <f>IFERROR(__xludf.DUMMYFUNCTION("""COMPUTED_VALUE"""),"Untitled Goose Game")</f>
        <v>Untitled Goose Game</v>
      </c>
      <c r="B188" s="15" t="str">
        <f>IFERROR(__xludf.DUMMYFUNCTION("""COMPUTED_VALUE"""),"PS5/PS4")</f>
        <v>PS5/PS4</v>
      </c>
      <c r="C188" s="16" t="str">
        <f>IFERROR(__xludf.DUMMYFUNCTION("""COMPUTED_VALUE"""),"Extra")</f>
        <v>Extra</v>
      </c>
      <c r="D188" s="15" t="str">
        <f>IFERROR(__xludf.DUMMYFUNCTION("""COMPUTED_VALUE"""),"Active")</f>
        <v>Active</v>
      </c>
      <c r="E188" s="17">
        <f>IFERROR(__xludf.DUMMYFUNCTION("""COMPUTED_VALUE"""),45006.0)</f>
        <v>45006</v>
      </c>
      <c r="F188" s="54"/>
      <c r="G188" s="19">
        <f>IFERROR(__xludf.DUMMYFUNCTION("""COMPUTED_VALUE"""),42.5)</f>
        <v>42.5</v>
      </c>
      <c r="H188" s="17">
        <f>IFERROR(__xludf.DUMMYFUNCTION("""COMPUTED_VALUE"""),43709.0)</f>
        <v>43709</v>
      </c>
      <c r="I188" s="19">
        <f>IFERROR(__xludf.DUMMYFUNCTION("""COMPUTED_VALUE"""),3.5555555555555554)</f>
        <v>3.555555556</v>
      </c>
      <c r="J188" s="21">
        <f>IFERROR(__xludf.DUMMYFUNCTION("""COMPUTED_VALUE"""),80.0)</f>
        <v>80</v>
      </c>
      <c r="K188" s="23">
        <f>IFERROR(__xludf.DUMMYFUNCTION("""COMPUTED_VALUE"""),7.1)</f>
        <v>7.1</v>
      </c>
      <c r="L188" s="24">
        <f>IFERROR(__xludf.DUMMYFUNCTION("""COMPUTED_VALUE"""),3.0)</f>
        <v>3</v>
      </c>
      <c r="M188" s="25" t="str">
        <f>IFERROR(__xludf.DUMMYFUNCTION("""COMPUTED_VALUE"""),"Action-Adventure")</f>
        <v>Action-Adventure</v>
      </c>
      <c r="N188" s="25"/>
      <c r="O188" s="26" t="str">
        <f>IFERROR(__xludf.DUMMYFUNCTION("""COMPUTED_VALUE"""),"Yes")</f>
        <v>Yes</v>
      </c>
      <c r="P188" s="26"/>
    </row>
    <row r="189">
      <c r="A189" s="13" t="str">
        <f>IFERROR(__xludf.DUMMYFUNCTION("""COMPUTED_VALUE"""),"The Pedestrian")</f>
        <v>The Pedestrian</v>
      </c>
      <c r="B189" s="15" t="str">
        <f>IFERROR(__xludf.DUMMYFUNCTION("""COMPUTED_VALUE"""),"PS5/PS4")</f>
        <v>PS5/PS4</v>
      </c>
      <c r="C189" s="16" t="str">
        <f>IFERROR(__xludf.DUMMYFUNCTION("""COMPUTED_VALUE"""),"Extra")</f>
        <v>Extra</v>
      </c>
      <c r="D189" s="15" t="str">
        <f>IFERROR(__xludf.DUMMYFUNCTION("""COMPUTED_VALUE"""),"Active")</f>
        <v>Active</v>
      </c>
      <c r="E189" s="17">
        <f>IFERROR(__xludf.DUMMYFUNCTION("""COMPUTED_VALUE"""),44915.0)</f>
        <v>44915</v>
      </c>
      <c r="F189" s="54"/>
      <c r="G189" s="19">
        <f>IFERROR(__xludf.DUMMYFUNCTION("""COMPUTED_VALUE"""),45.53333333333333)</f>
        <v>45.53333333</v>
      </c>
      <c r="H189" s="17">
        <f>IFERROR(__xludf.DUMMYFUNCTION("""COMPUTED_VALUE"""),44225.0)</f>
        <v>44225</v>
      </c>
      <c r="I189" s="19">
        <f>IFERROR(__xludf.DUMMYFUNCTION("""COMPUTED_VALUE"""),1.8916666666666666)</f>
        <v>1.891666667</v>
      </c>
      <c r="J189" s="21">
        <f>IFERROR(__xludf.DUMMYFUNCTION("""COMPUTED_VALUE"""),80.0)</f>
        <v>80</v>
      </c>
      <c r="K189" s="23">
        <f>IFERROR(__xludf.DUMMYFUNCTION("""COMPUTED_VALUE"""),7.5)</f>
        <v>7.5</v>
      </c>
      <c r="L189" s="24">
        <f>IFERROR(__xludf.DUMMYFUNCTION("""COMPUTED_VALUE"""),4.0)</f>
        <v>4</v>
      </c>
      <c r="M189" s="25" t="str">
        <f>IFERROR(__xludf.DUMMYFUNCTION("""COMPUTED_VALUE"""),"Puzzle")</f>
        <v>Puzzle</v>
      </c>
      <c r="N189" s="25"/>
      <c r="O189" s="26" t="str">
        <f>IFERROR(__xludf.DUMMYFUNCTION("""COMPUTED_VALUE"""),"Yes")</f>
        <v>Yes</v>
      </c>
      <c r="P189" s="26"/>
    </row>
    <row r="190">
      <c r="A190" s="13" t="str">
        <f>IFERROR(__xludf.DUMMYFUNCTION("""COMPUTED_VALUE"""),"Oddworld: Soulstorm: Enhanced Edition")</f>
        <v>Oddworld: Soulstorm: Enhanced Edition</v>
      </c>
      <c r="B190" s="15" t="str">
        <f>IFERROR(__xludf.DUMMYFUNCTION("""COMPUTED_VALUE"""),"PS5/PS4")</f>
        <v>PS5/PS4</v>
      </c>
      <c r="C190" s="16" t="str">
        <f>IFERROR(__xludf.DUMMYFUNCTION("""COMPUTED_VALUE"""),"Extra")</f>
        <v>Extra</v>
      </c>
      <c r="D190" s="15" t="str">
        <f>IFERROR(__xludf.DUMMYFUNCTION("""COMPUTED_VALUE"""),"Active")</f>
        <v>Active</v>
      </c>
      <c r="E190" s="17">
        <f>IFERROR(__xludf.DUMMYFUNCTION("""COMPUTED_VALUE"""),44880.0)</f>
        <v>44880</v>
      </c>
      <c r="F190" s="54"/>
      <c r="G190" s="19">
        <f>IFERROR(__xludf.DUMMYFUNCTION("""COMPUTED_VALUE"""),46.7)</f>
        <v>46.7</v>
      </c>
      <c r="H190" s="17">
        <f>IFERROR(__xludf.DUMMYFUNCTION("""COMPUTED_VALUE"""),44292.0)</f>
        <v>44292</v>
      </c>
      <c r="I190" s="19">
        <f>IFERROR(__xludf.DUMMYFUNCTION("""COMPUTED_VALUE"""),1.6083333333333334)</f>
        <v>1.608333333</v>
      </c>
      <c r="J190" s="21">
        <f>IFERROR(__xludf.DUMMYFUNCTION("""COMPUTED_VALUE"""),80.0)</f>
        <v>80</v>
      </c>
      <c r="K190" s="23">
        <f>IFERROR(__xludf.DUMMYFUNCTION("""COMPUTED_VALUE"""),5.5)</f>
        <v>5.5</v>
      </c>
      <c r="L190" s="24">
        <f>IFERROR(__xludf.DUMMYFUNCTION("""COMPUTED_VALUE"""),18.5)</f>
        <v>18.5</v>
      </c>
      <c r="M190" s="25" t="str">
        <f>IFERROR(__xludf.DUMMYFUNCTION("""COMPUTED_VALUE"""),"Platformer")</f>
        <v>Platformer</v>
      </c>
      <c r="N190" s="25"/>
      <c r="O190" s="26" t="str">
        <f>IFERROR(__xludf.DUMMYFUNCTION("""COMPUTED_VALUE"""),"Yes")</f>
        <v>Yes</v>
      </c>
      <c r="P190" s="26"/>
    </row>
    <row r="191">
      <c r="A191" s="13" t="str">
        <f>IFERROR(__xludf.DUMMYFUNCTION("""COMPUTED_VALUE"""),"Wheel of Fortune (2017)")</f>
        <v>Wheel of Fortune (2017)</v>
      </c>
      <c r="B191" s="15" t="str">
        <f>IFERROR(__xludf.DUMMYFUNCTION("""COMPUTED_VALUE"""),"PS4")</f>
        <v>PS4</v>
      </c>
      <c r="C191" s="16" t="str">
        <f>IFERROR(__xludf.DUMMYFUNCTION("""COMPUTED_VALUE"""),"Extra")</f>
        <v>Extra</v>
      </c>
      <c r="D191" s="15" t="str">
        <f>IFERROR(__xludf.DUMMYFUNCTION("""COMPUTED_VALUE"""),"Active")</f>
        <v>Active</v>
      </c>
      <c r="E191" s="17">
        <f>IFERROR(__xludf.DUMMYFUNCTION("""COMPUTED_VALUE"""),44789.0)</f>
        <v>44789</v>
      </c>
      <c r="F191" s="54"/>
      <c r="G191" s="19">
        <f>IFERROR(__xludf.DUMMYFUNCTION("""COMPUTED_VALUE"""),49.66666666666667)</f>
        <v>49.66666667</v>
      </c>
      <c r="H191" s="17">
        <f>IFERROR(__xludf.DUMMYFUNCTION("""COMPUTED_VALUE"""),43046.0)</f>
        <v>43046</v>
      </c>
      <c r="I191" s="19">
        <f>IFERROR(__xludf.DUMMYFUNCTION("""COMPUTED_VALUE"""),4.775)</f>
        <v>4.775</v>
      </c>
      <c r="J191" s="21">
        <f>IFERROR(__xludf.DUMMYFUNCTION("""COMPUTED_VALUE"""),80.0)</f>
        <v>80</v>
      </c>
      <c r="K191" s="23">
        <f>IFERROR(__xludf.DUMMYFUNCTION("""COMPUTED_VALUE"""),7.0)</f>
        <v>7</v>
      </c>
      <c r="L191" s="24">
        <f>IFERROR(__xludf.DUMMYFUNCTION("""COMPUTED_VALUE"""),0.5)</f>
        <v>0.5</v>
      </c>
      <c r="M191" s="25" t="str">
        <f>IFERROR(__xludf.DUMMYFUNCTION("""COMPUTED_VALUE"""),"Puzzle")</f>
        <v>Puzzle</v>
      </c>
      <c r="N191" s="25"/>
      <c r="O191" s="26" t="str">
        <f>IFERROR(__xludf.DUMMYFUNCTION("""COMPUTED_VALUE"""),"Yes")</f>
        <v>Yes</v>
      </c>
      <c r="P191" s="26"/>
    </row>
    <row r="192">
      <c r="A192" s="13" t="str">
        <f>IFERROR(__xludf.DUMMYFUNCTION("""COMPUTED_VALUE"""),"Prison Architect")</f>
        <v>Prison Architect</v>
      </c>
      <c r="B192" s="15" t="str">
        <f>IFERROR(__xludf.DUMMYFUNCTION("""COMPUTED_VALUE"""),"PS4")</f>
        <v>PS4</v>
      </c>
      <c r="C192" s="16" t="str">
        <f>IFERROR(__xludf.DUMMYFUNCTION("""COMPUTED_VALUE"""),"Extra")</f>
        <v>Extra</v>
      </c>
      <c r="D192" s="15" t="str">
        <f>IFERROR(__xludf.DUMMYFUNCTION("""COMPUTED_VALUE"""),"Active")</f>
        <v>Active</v>
      </c>
      <c r="E192" s="17">
        <f>IFERROR(__xludf.DUMMYFUNCTION("""COMPUTED_VALUE"""),44725.0)</f>
        <v>44725</v>
      </c>
      <c r="F192" s="54"/>
      <c r="G192" s="19">
        <f>IFERROR(__xludf.DUMMYFUNCTION("""COMPUTED_VALUE"""),51.766666666666666)</f>
        <v>51.76666667</v>
      </c>
      <c r="H192" s="17">
        <f>IFERROR(__xludf.DUMMYFUNCTION("""COMPUTED_VALUE"""),42283.0)</f>
        <v>42283</v>
      </c>
      <c r="I192" s="19">
        <f>IFERROR(__xludf.DUMMYFUNCTION("""COMPUTED_VALUE"""),6.686111111111111)</f>
        <v>6.686111111</v>
      </c>
      <c r="J192" s="21">
        <f>IFERROR(__xludf.DUMMYFUNCTION("""COMPUTED_VALUE"""),80.0)</f>
        <v>80</v>
      </c>
      <c r="K192" s="23">
        <f>IFERROR(__xludf.DUMMYFUNCTION("""COMPUTED_VALUE"""),7.6)</f>
        <v>7.6</v>
      </c>
      <c r="L192" s="24">
        <f>IFERROR(__xludf.DUMMYFUNCTION("""COMPUTED_VALUE"""),17.0)</f>
        <v>17</v>
      </c>
      <c r="M192" s="25" t="str">
        <f>IFERROR(__xludf.DUMMYFUNCTION("""COMPUTED_VALUE"""),"Strategy")</f>
        <v>Strategy</v>
      </c>
      <c r="N192" s="25"/>
      <c r="O192" s="26" t="str">
        <f>IFERROR(__xludf.DUMMYFUNCTION("""COMPUTED_VALUE"""),"Yes")</f>
        <v>Yes</v>
      </c>
      <c r="P192" s="26"/>
    </row>
    <row r="193">
      <c r="A193" s="13" t="str">
        <f>IFERROR(__xludf.DUMMYFUNCTION("""COMPUTED_VALUE"""),"Tricky Towers")</f>
        <v>Tricky Towers</v>
      </c>
      <c r="B193" s="15" t="str">
        <f>IFERROR(__xludf.DUMMYFUNCTION("""COMPUTED_VALUE"""),"PS4")</f>
        <v>PS4</v>
      </c>
      <c r="C193" s="16" t="str">
        <f>IFERROR(__xludf.DUMMYFUNCTION("""COMPUTED_VALUE"""),"Extra")</f>
        <v>Extra</v>
      </c>
      <c r="D193" s="15" t="str">
        <f>IFERROR(__xludf.DUMMYFUNCTION("""COMPUTED_VALUE"""),"Active")</f>
        <v>Active</v>
      </c>
      <c r="E193" s="17">
        <f>IFERROR(__xludf.DUMMYFUNCTION("""COMPUTED_VALUE"""),44725.0)</f>
        <v>44725</v>
      </c>
      <c r="F193" s="54"/>
      <c r="G193" s="19">
        <f>IFERROR(__xludf.DUMMYFUNCTION("""COMPUTED_VALUE"""),51.766666666666666)</f>
        <v>51.76666667</v>
      </c>
      <c r="H193" s="17">
        <f>IFERROR(__xludf.DUMMYFUNCTION("""COMPUTED_VALUE"""),42584.0)</f>
        <v>42584</v>
      </c>
      <c r="I193" s="19">
        <f>IFERROR(__xludf.DUMMYFUNCTION("""COMPUTED_VALUE"""),5.863888888888889)</f>
        <v>5.863888889</v>
      </c>
      <c r="J193" s="21">
        <f>IFERROR(__xludf.DUMMYFUNCTION("""COMPUTED_VALUE"""),80.0)</f>
        <v>80</v>
      </c>
      <c r="K193" s="23">
        <f>IFERROR(__xludf.DUMMYFUNCTION("""COMPUTED_VALUE"""),7.2)</f>
        <v>7.2</v>
      </c>
      <c r="L193" s="24">
        <f>IFERROR(__xludf.DUMMYFUNCTION("""COMPUTED_VALUE"""),10.0)</f>
        <v>10</v>
      </c>
      <c r="M193" s="25" t="str">
        <f>IFERROR(__xludf.DUMMYFUNCTION("""COMPUTED_VALUE"""),"Puzzle")</f>
        <v>Puzzle</v>
      </c>
      <c r="N193" s="25"/>
      <c r="O193" s="26" t="str">
        <f>IFERROR(__xludf.DUMMYFUNCTION("""COMPUTED_VALUE"""),"Yes")</f>
        <v>Yes</v>
      </c>
      <c r="P193" s="26" t="str">
        <f>IFERROR(__xludf.DUMMYFUNCTION("""COMPUTED_VALUE"""),"Yes")</f>
        <v>Yes</v>
      </c>
    </row>
    <row r="194">
      <c r="A194" s="13" t="str">
        <f>IFERROR(__xludf.DUMMYFUNCTION("""COMPUTED_VALUE"""),"Tom Clancy's The Division")</f>
        <v>Tom Clancy's The Division</v>
      </c>
      <c r="B194" s="15" t="str">
        <f>IFERROR(__xludf.DUMMYFUNCTION("""COMPUTED_VALUE"""),"PS4")</f>
        <v>PS4</v>
      </c>
      <c r="C194" s="16" t="str">
        <f>IFERROR(__xludf.DUMMYFUNCTION("""COMPUTED_VALUE"""),"Extra (Ubisoft+ Classics)")</f>
        <v>Extra (Ubisoft+ Classics)</v>
      </c>
      <c r="D194" s="15" t="str">
        <f>IFERROR(__xludf.DUMMYFUNCTION("""COMPUTED_VALUE"""),"Active")</f>
        <v>Active</v>
      </c>
      <c r="E194" s="17">
        <f>IFERROR(__xludf.DUMMYFUNCTION("""COMPUTED_VALUE"""),44725.0)</f>
        <v>44725</v>
      </c>
      <c r="F194" s="54"/>
      <c r="G194" s="19">
        <f>IFERROR(__xludf.DUMMYFUNCTION("""COMPUTED_VALUE"""),51.766666666666666)</f>
        <v>51.76666667</v>
      </c>
      <c r="H194" s="17">
        <f>IFERROR(__xludf.DUMMYFUNCTION("""COMPUTED_VALUE"""),42437.0)</f>
        <v>42437</v>
      </c>
      <c r="I194" s="19">
        <f>IFERROR(__xludf.DUMMYFUNCTION("""COMPUTED_VALUE"""),6.263888888888889)</f>
        <v>6.263888889</v>
      </c>
      <c r="J194" s="21">
        <f>IFERROR(__xludf.DUMMYFUNCTION("""COMPUTED_VALUE"""),80.0)</f>
        <v>80</v>
      </c>
      <c r="K194" s="23">
        <f>IFERROR(__xludf.DUMMYFUNCTION("""COMPUTED_VALUE"""),6.7)</f>
        <v>6.7</v>
      </c>
      <c r="L194" s="24">
        <f>IFERROR(__xludf.DUMMYFUNCTION("""COMPUTED_VALUE"""),40.0)</f>
        <v>40</v>
      </c>
      <c r="M194" s="25" t="str">
        <f>IFERROR(__xludf.DUMMYFUNCTION("""COMPUTED_VALUE"""),"Shooter")</f>
        <v>Shooter</v>
      </c>
      <c r="N194" s="25"/>
      <c r="O194" s="26" t="str">
        <f>IFERROR(__xludf.DUMMYFUNCTION("""COMPUTED_VALUE"""),"Yes")</f>
        <v>Yes</v>
      </c>
      <c r="P194" s="26"/>
    </row>
    <row r="195">
      <c r="A195" s="13" t="str">
        <f>IFERROR(__xludf.DUMMYFUNCTION("""COMPUTED_VALUE"""),"Mr. Driller")</f>
        <v>Mr. Driller</v>
      </c>
      <c r="B195" s="15" t="str">
        <f>IFERROR(__xludf.DUMMYFUNCTION("""COMPUTED_VALUE"""),"PS5/PS4")</f>
        <v>PS5/PS4</v>
      </c>
      <c r="C195" s="16" t="str">
        <f>IFERROR(__xludf.DUMMYFUNCTION("""COMPUTED_VALUE"""),"Premium (Classics)")</f>
        <v>Premium (Classics)</v>
      </c>
      <c r="D195" s="15" t="str">
        <f>IFERROR(__xludf.DUMMYFUNCTION("""COMPUTED_VALUE"""),"Active")</f>
        <v>Active</v>
      </c>
      <c r="E195" s="17">
        <f>IFERROR(__xludf.DUMMYFUNCTION("""COMPUTED_VALUE"""),44725.0)</f>
        <v>44725</v>
      </c>
      <c r="F195" s="18"/>
      <c r="G195" s="19">
        <f>IFERROR(__xludf.DUMMYFUNCTION("""COMPUTED_VALUE"""),51.766666666666666)</f>
        <v>51.76666667</v>
      </c>
      <c r="H195" s="17">
        <f>IFERROR(__xludf.DUMMYFUNCTION("""COMPUTED_VALUE"""),36699.0)</f>
        <v>36699</v>
      </c>
      <c r="I195" s="19">
        <f>IFERROR(__xludf.DUMMYFUNCTION("""COMPUTED_VALUE"""),21.975)</f>
        <v>21.975</v>
      </c>
      <c r="J195" s="21">
        <f>IFERROR(__xludf.DUMMYFUNCTION("""COMPUTED_VALUE"""),80.0)</f>
        <v>80</v>
      </c>
      <c r="K195" s="23">
        <f>IFERROR(__xludf.DUMMYFUNCTION("""COMPUTED_VALUE"""),8.1)</f>
        <v>8.1</v>
      </c>
      <c r="L195" s="24"/>
      <c r="M195" s="25" t="str">
        <f>IFERROR(__xludf.DUMMYFUNCTION("""COMPUTED_VALUE"""),"Puzzle")</f>
        <v>Puzzle</v>
      </c>
      <c r="N195" s="25" t="str">
        <f>IFERROR(__xludf.DUMMYFUNCTION("""COMPUTED_VALUE"""),"PS1")</f>
        <v>PS1</v>
      </c>
      <c r="O195" s="26" t="str">
        <f>IFERROR(__xludf.DUMMYFUNCTION("""COMPUTED_VALUE"""),"No")</f>
        <v>No</v>
      </c>
      <c r="P195" s="26" t="str">
        <f>IFERROR(__xludf.DUMMYFUNCTION("""COMPUTED_VALUE"""),"")</f>
        <v/>
      </c>
    </row>
    <row r="196">
      <c r="A196" s="13" t="str">
        <f>IFERROR(__xludf.DUMMYFUNCTION("""COMPUTED_VALUE"""),"Resident Evil: Director's Cut")</f>
        <v>Resident Evil: Director's Cut</v>
      </c>
      <c r="B196" s="15" t="str">
        <f>IFERROR(__xludf.DUMMYFUNCTION("""COMPUTED_VALUE"""),"PS5/PS4")</f>
        <v>PS5/PS4</v>
      </c>
      <c r="C196" s="16" t="str">
        <f>IFERROR(__xludf.DUMMYFUNCTION("""COMPUTED_VALUE"""),"Premium (Classics)")</f>
        <v>Premium (Classics)</v>
      </c>
      <c r="D196" s="15" t="str">
        <f>IFERROR(__xludf.DUMMYFUNCTION("""COMPUTED_VALUE"""),"Active")</f>
        <v>Active</v>
      </c>
      <c r="E196" s="17">
        <f>IFERROR(__xludf.DUMMYFUNCTION("""COMPUTED_VALUE"""),44725.0)</f>
        <v>44725</v>
      </c>
      <c r="F196" s="71"/>
      <c r="G196" s="19">
        <f>IFERROR(__xludf.DUMMYFUNCTION("""COMPUTED_VALUE"""),51.766666666666666)</f>
        <v>51.76666667</v>
      </c>
      <c r="H196" s="17">
        <f>IFERROR(__xludf.DUMMYFUNCTION("""COMPUTED_VALUE"""),35125.0)</f>
        <v>35125</v>
      </c>
      <c r="I196" s="19">
        <f>IFERROR(__xludf.DUMMYFUNCTION("""COMPUTED_VALUE"""),26.283333333333335)</f>
        <v>26.28333333</v>
      </c>
      <c r="J196" s="21">
        <f>IFERROR(__xludf.DUMMYFUNCTION("""COMPUTED_VALUE"""),80.0)</f>
        <v>80</v>
      </c>
      <c r="K196" s="23">
        <f>IFERROR(__xludf.DUMMYFUNCTION("""COMPUTED_VALUE"""),8.0)</f>
        <v>8</v>
      </c>
      <c r="L196" s="24">
        <f>IFERROR(__xludf.DUMMYFUNCTION("""COMPUTED_VALUE"""),10.0)</f>
        <v>10</v>
      </c>
      <c r="M196" s="25" t="str">
        <f>IFERROR(__xludf.DUMMYFUNCTION("""COMPUTED_VALUE"""),"Survival")</f>
        <v>Survival</v>
      </c>
      <c r="N196" s="25" t="str">
        <f>IFERROR(__xludf.DUMMYFUNCTION("""COMPUTED_VALUE"""),"PS1")</f>
        <v>PS1</v>
      </c>
      <c r="O196" s="26" t="str">
        <f>IFERROR(__xludf.DUMMYFUNCTION("""COMPUTED_VALUE"""),"No")</f>
        <v>No</v>
      </c>
      <c r="P196" s="26" t="str">
        <f>IFERROR(__xludf.DUMMYFUNCTION("""COMPUTED_VALUE"""),"")</f>
        <v/>
      </c>
    </row>
    <row r="197">
      <c r="A197" s="13" t="str">
        <f>IFERROR(__xludf.DUMMYFUNCTION("""COMPUTED_VALUE"""),"Dark Cloud")</f>
        <v>Dark Cloud</v>
      </c>
      <c r="B197" s="15" t="str">
        <f>IFERROR(__xludf.DUMMYFUNCTION("""COMPUTED_VALUE"""),"PS4")</f>
        <v>PS4</v>
      </c>
      <c r="C197" s="16" t="str">
        <f>IFERROR(__xludf.DUMMYFUNCTION("""COMPUTED_VALUE"""),"Premium (Classics)")</f>
        <v>Premium (Classics)</v>
      </c>
      <c r="D197" s="15" t="str">
        <f>IFERROR(__xludf.DUMMYFUNCTION("""COMPUTED_VALUE"""),"Active")</f>
        <v>Active</v>
      </c>
      <c r="E197" s="17">
        <f>IFERROR(__xludf.DUMMYFUNCTION("""COMPUTED_VALUE"""),44725.0)</f>
        <v>44725</v>
      </c>
      <c r="F197" s="18"/>
      <c r="G197" s="19">
        <f>IFERROR(__xludf.DUMMYFUNCTION("""COMPUTED_VALUE"""),51.766666666666666)</f>
        <v>51.76666667</v>
      </c>
      <c r="H197" s="17">
        <f>IFERROR(__xludf.DUMMYFUNCTION("""COMPUTED_VALUE"""),37012.0)</f>
        <v>37012</v>
      </c>
      <c r="I197" s="19">
        <f>IFERROR(__xludf.DUMMYFUNCTION("""COMPUTED_VALUE"""),21.116666666666667)</f>
        <v>21.11666667</v>
      </c>
      <c r="J197" s="21">
        <f>IFERROR(__xludf.DUMMYFUNCTION("""COMPUTED_VALUE"""),80.0)</f>
        <v>80</v>
      </c>
      <c r="K197" s="23">
        <f>IFERROR(__xludf.DUMMYFUNCTION("""COMPUTED_VALUE"""),8.6)</f>
        <v>8.6</v>
      </c>
      <c r="L197" s="24">
        <f>IFERROR(__xludf.DUMMYFUNCTION("""COMPUTED_VALUE"""),40.0)</f>
        <v>40</v>
      </c>
      <c r="M197" s="25" t="str">
        <f>IFERROR(__xludf.DUMMYFUNCTION("""COMPUTED_VALUE"""),"RPG")</f>
        <v>RPG</v>
      </c>
      <c r="N197" s="25" t="str">
        <f>IFERROR(__xludf.DUMMYFUNCTION("""COMPUTED_VALUE"""),"PS2")</f>
        <v>PS2</v>
      </c>
      <c r="O197" s="26" t="str">
        <f>IFERROR(__xludf.DUMMYFUNCTION("""COMPUTED_VALUE"""),"Yes")</f>
        <v>Yes</v>
      </c>
      <c r="P197" s="26" t="str">
        <f>IFERROR(__xludf.DUMMYFUNCTION("""COMPUTED_VALUE"""),"")</f>
        <v/>
      </c>
    </row>
    <row r="198">
      <c r="A198" s="13" t="str">
        <f>IFERROR(__xludf.DUMMYFUNCTION("""COMPUTED_VALUE"""),"The Mark of Kri")</f>
        <v>The Mark of Kri</v>
      </c>
      <c r="B198" s="15" t="str">
        <f>IFERROR(__xludf.DUMMYFUNCTION("""COMPUTED_VALUE"""),"PS4")</f>
        <v>PS4</v>
      </c>
      <c r="C198" s="16" t="str">
        <f>IFERROR(__xludf.DUMMYFUNCTION("""COMPUTED_VALUE"""),"Premium (Classics)")</f>
        <v>Premium (Classics)</v>
      </c>
      <c r="D198" s="15" t="str">
        <f>IFERROR(__xludf.DUMMYFUNCTION("""COMPUTED_VALUE"""),"Active")</f>
        <v>Active</v>
      </c>
      <c r="E198" s="17">
        <f>IFERROR(__xludf.DUMMYFUNCTION("""COMPUTED_VALUE"""),44725.0)</f>
        <v>44725</v>
      </c>
      <c r="F198" s="54"/>
      <c r="G198" s="19">
        <f>IFERROR(__xludf.DUMMYFUNCTION("""COMPUTED_VALUE"""),51.766666666666666)</f>
        <v>51.76666667</v>
      </c>
      <c r="H198" s="17">
        <f>IFERROR(__xludf.DUMMYFUNCTION("""COMPUTED_VALUE"""),37438.0)</f>
        <v>37438</v>
      </c>
      <c r="I198" s="19">
        <f>IFERROR(__xludf.DUMMYFUNCTION("""COMPUTED_VALUE"""),19.95)</f>
        <v>19.95</v>
      </c>
      <c r="J198" s="21">
        <f>IFERROR(__xludf.DUMMYFUNCTION("""COMPUTED_VALUE"""),80.0)</f>
        <v>80</v>
      </c>
      <c r="K198" s="23">
        <f>IFERROR(__xludf.DUMMYFUNCTION("""COMPUTED_VALUE"""),6.6)</f>
        <v>6.6</v>
      </c>
      <c r="L198" s="24">
        <f>IFERROR(__xludf.DUMMYFUNCTION("""COMPUTED_VALUE"""),9.0)</f>
        <v>9</v>
      </c>
      <c r="M198" s="25" t="str">
        <f>IFERROR(__xludf.DUMMYFUNCTION("""COMPUTED_VALUE"""),"Action-Adventure")</f>
        <v>Action-Adventure</v>
      </c>
      <c r="N198" s="25" t="str">
        <f>IFERROR(__xludf.DUMMYFUNCTION("""COMPUTED_VALUE"""),"PS2")</f>
        <v>PS2</v>
      </c>
      <c r="O198" s="26" t="str">
        <f>IFERROR(__xludf.DUMMYFUNCTION("""COMPUTED_VALUE"""),"No")</f>
        <v>No</v>
      </c>
      <c r="P198" s="26" t="str">
        <f>IFERROR(__xludf.DUMMYFUNCTION("""COMPUTED_VALUE"""),"")</f>
        <v/>
      </c>
    </row>
    <row r="199">
      <c r="A199" s="13" t="str">
        <f>IFERROR(__xludf.DUMMYFUNCTION("""COMPUTED_VALUE"""),"War of the Monsters")</f>
        <v>War of the Monsters</v>
      </c>
      <c r="B199" s="15" t="str">
        <f>IFERROR(__xludf.DUMMYFUNCTION("""COMPUTED_VALUE"""),"PS4")</f>
        <v>PS4</v>
      </c>
      <c r="C199" s="16" t="str">
        <f>IFERROR(__xludf.DUMMYFUNCTION("""COMPUTED_VALUE"""),"Premium (Classics)")</f>
        <v>Premium (Classics)</v>
      </c>
      <c r="D199" s="15" t="str">
        <f>IFERROR(__xludf.DUMMYFUNCTION("""COMPUTED_VALUE"""),"Active")</f>
        <v>Active</v>
      </c>
      <c r="E199" s="17">
        <f>IFERROR(__xludf.DUMMYFUNCTION("""COMPUTED_VALUE"""),44725.0)</f>
        <v>44725</v>
      </c>
      <c r="F199" s="54"/>
      <c r="G199" s="19">
        <f>IFERROR(__xludf.DUMMYFUNCTION("""COMPUTED_VALUE"""),51.766666666666666)</f>
        <v>51.76666667</v>
      </c>
      <c r="H199" s="17">
        <f>IFERROR(__xludf.DUMMYFUNCTION("""COMPUTED_VALUE"""),37622.0)</f>
        <v>37622</v>
      </c>
      <c r="I199" s="19">
        <f>IFERROR(__xludf.DUMMYFUNCTION("""COMPUTED_VALUE"""),19.45)</f>
        <v>19.45</v>
      </c>
      <c r="J199" s="21">
        <f>IFERROR(__xludf.DUMMYFUNCTION("""COMPUTED_VALUE"""),80.0)</f>
        <v>80</v>
      </c>
      <c r="K199" s="23">
        <f>IFERROR(__xludf.DUMMYFUNCTION("""COMPUTED_VALUE"""),8.2)</f>
        <v>8.2</v>
      </c>
      <c r="L199" s="24">
        <f>IFERROR(__xludf.DUMMYFUNCTION("""COMPUTED_VALUE"""),6.0)</f>
        <v>6</v>
      </c>
      <c r="M199" s="25" t="str">
        <f>IFERROR(__xludf.DUMMYFUNCTION("""COMPUTED_VALUE"""),"Fighting")</f>
        <v>Fighting</v>
      </c>
      <c r="N199" s="25" t="str">
        <f>IFERROR(__xludf.DUMMYFUNCTION("""COMPUTED_VALUE"""),"PS2")</f>
        <v>PS2</v>
      </c>
      <c r="O199" s="26" t="str">
        <f>IFERROR(__xludf.DUMMYFUNCTION("""COMPUTED_VALUE"""),"No")</f>
        <v>No</v>
      </c>
      <c r="P199" s="26" t="str">
        <f>IFERROR(__xludf.DUMMYFUNCTION("""COMPUTED_VALUE"""),"")</f>
        <v/>
      </c>
    </row>
    <row r="200">
      <c r="A200" s="13" t="str">
        <f>IFERROR(__xludf.DUMMYFUNCTION("""COMPUTED_VALUE"""),"Lumines: Remastered")</f>
        <v>Lumines: Remastered</v>
      </c>
      <c r="B200" s="15" t="str">
        <f>IFERROR(__xludf.DUMMYFUNCTION("""COMPUTED_VALUE"""),"PS4")</f>
        <v>PS4</v>
      </c>
      <c r="C200" s="16" t="str">
        <f>IFERROR(__xludf.DUMMYFUNCTION("""COMPUTED_VALUE"""),"Premium (Remasters)")</f>
        <v>Premium (Remasters)</v>
      </c>
      <c r="D200" s="15" t="str">
        <f>IFERROR(__xludf.DUMMYFUNCTION("""COMPUTED_VALUE"""),"Active")</f>
        <v>Active</v>
      </c>
      <c r="E200" s="17">
        <f>IFERROR(__xludf.DUMMYFUNCTION("""COMPUTED_VALUE"""),44725.0)</f>
        <v>44725</v>
      </c>
      <c r="F200" s="54"/>
      <c r="G200" s="19">
        <f>IFERROR(__xludf.DUMMYFUNCTION("""COMPUTED_VALUE"""),51.766666666666666)</f>
        <v>51.76666667</v>
      </c>
      <c r="H200" s="17">
        <f>IFERROR(__xludf.DUMMYFUNCTION("""COMPUTED_VALUE"""),43252.0)</f>
        <v>43252</v>
      </c>
      <c r="I200" s="19">
        <f>IFERROR(__xludf.DUMMYFUNCTION("""COMPUTED_VALUE"""),4.033333333333333)</f>
        <v>4.033333333</v>
      </c>
      <c r="J200" s="21">
        <f>IFERROR(__xludf.DUMMYFUNCTION("""COMPUTED_VALUE"""),80.0)</f>
        <v>80</v>
      </c>
      <c r="K200" s="23">
        <f>IFERROR(__xludf.DUMMYFUNCTION("""COMPUTED_VALUE"""),7.6)</f>
        <v>7.6</v>
      </c>
      <c r="L200" s="24">
        <f>IFERROR(__xludf.DUMMYFUNCTION("""COMPUTED_VALUE"""),5.0)</f>
        <v>5</v>
      </c>
      <c r="M200" s="25" t="str">
        <f>IFERROR(__xludf.DUMMYFUNCTION("""COMPUTED_VALUE"""),"Puzzle")</f>
        <v>Puzzle</v>
      </c>
      <c r="N200" s="25" t="str">
        <f>IFERROR(__xludf.DUMMYFUNCTION("""COMPUTED_VALUE"""),"PSP")</f>
        <v>PSP</v>
      </c>
      <c r="O200" s="26" t="str">
        <f>IFERROR(__xludf.DUMMYFUNCTION("""COMPUTED_VALUE"""),"No")</f>
        <v>No</v>
      </c>
      <c r="P200" s="26" t="str">
        <f>IFERROR(__xludf.DUMMYFUNCTION("""COMPUTED_VALUE"""),"Yes")</f>
        <v>Yes</v>
      </c>
    </row>
    <row r="201">
      <c r="A201" s="13" t="str">
        <f>IFERROR(__xludf.DUMMYFUNCTION("""COMPUTED_VALUE"""),"Detroit: Become Human")</f>
        <v>Detroit: Become Human</v>
      </c>
      <c r="B201" s="15" t="str">
        <f>IFERROR(__xludf.DUMMYFUNCTION("""COMPUTED_VALUE"""),"PS4")</f>
        <v>PS4</v>
      </c>
      <c r="C201" s="16" t="str">
        <f>IFERROR(__xludf.DUMMYFUNCTION("""COMPUTED_VALUE"""),"Extra")</f>
        <v>Extra</v>
      </c>
      <c r="D201" s="15" t="str">
        <f>IFERROR(__xludf.DUMMYFUNCTION("""COMPUTED_VALUE"""),"Active")</f>
        <v>Active</v>
      </c>
      <c r="E201" s="17">
        <f>IFERROR(__xludf.DUMMYFUNCTION("""COMPUTED_VALUE"""),44147.0)</f>
        <v>44147</v>
      </c>
      <c r="F201" s="54"/>
      <c r="G201" s="19">
        <f>IFERROR(__xludf.DUMMYFUNCTION("""COMPUTED_VALUE"""),70.80000000000001)</f>
        <v>70.8</v>
      </c>
      <c r="H201" s="17">
        <f>IFERROR(__xludf.DUMMYFUNCTION("""COMPUTED_VALUE"""),43221.0)</f>
        <v>43221</v>
      </c>
      <c r="I201" s="19">
        <f>IFERROR(__xludf.DUMMYFUNCTION("""COMPUTED_VALUE"""),2.5305555555555554)</f>
        <v>2.530555556</v>
      </c>
      <c r="J201" s="21">
        <f>IFERROR(__xludf.DUMMYFUNCTION("""COMPUTED_VALUE"""),80.0)</f>
        <v>80</v>
      </c>
      <c r="K201" s="23">
        <f>IFERROR(__xludf.DUMMYFUNCTION("""COMPUTED_VALUE"""),8.4)</f>
        <v>8.4</v>
      </c>
      <c r="L201" s="24">
        <f>IFERROR(__xludf.DUMMYFUNCTION("""COMPUTED_VALUE"""),12.0)</f>
        <v>12</v>
      </c>
      <c r="M201" s="25" t="str">
        <f>IFERROR(__xludf.DUMMYFUNCTION("""COMPUTED_VALUE"""),"Interactive Story")</f>
        <v>Interactive Story</v>
      </c>
      <c r="N201" s="25"/>
      <c r="O201" s="26" t="str">
        <f>IFERROR(__xludf.DUMMYFUNCTION("""COMPUTED_VALUE"""),"Yes")</f>
        <v>Yes</v>
      </c>
      <c r="P201" s="26"/>
    </row>
    <row r="202">
      <c r="A202" s="13" t="str">
        <f>IFERROR(__xludf.DUMMYFUNCTION("""COMPUTED_VALUE"""),"Battle Chasers: Nightwar")</f>
        <v>Battle Chasers: Nightwar</v>
      </c>
      <c r="B202" s="15" t="str">
        <f>IFERROR(__xludf.DUMMYFUNCTION("""COMPUTED_VALUE"""),"PS4")</f>
        <v>PS4</v>
      </c>
      <c r="C202" s="16" t="str">
        <f>IFERROR(__xludf.DUMMYFUNCTION("""COMPUTED_VALUE"""),"Extra")</f>
        <v>Extra</v>
      </c>
      <c r="D202" s="15" t="str">
        <f>IFERROR(__xludf.DUMMYFUNCTION("""COMPUTED_VALUE"""),"Active")</f>
        <v>Active</v>
      </c>
      <c r="E202" s="17">
        <f>IFERROR(__xludf.DUMMYFUNCTION("""COMPUTED_VALUE"""),43411.0)</f>
        <v>43411</v>
      </c>
      <c r="F202" s="54"/>
      <c r="G202" s="19">
        <f>IFERROR(__xludf.DUMMYFUNCTION("""COMPUTED_VALUE"""),94.96666666666667)</f>
        <v>94.96666667</v>
      </c>
      <c r="H202" s="17">
        <f>IFERROR(__xludf.DUMMYFUNCTION("""COMPUTED_VALUE"""),43011.0)</f>
        <v>43011</v>
      </c>
      <c r="I202" s="19">
        <f>IFERROR(__xludf.DUMMYFUNCTION("""COMPUTED_VALUE"""),1.0944444444444446)</f>
        <v>1.094444444</v>
      </c>
      <c r="J202" s="21">
        <f>IFERROR(__xludf.DUMMYFUNCTION("""COMPUTED_VALUE"""),80.0)</f>
        <v>80</v>
      </c>
      <c r="K202" s="23">
        <f>IFERROR(__xludf.DUMMYFUNCTION("""COMPUTED_VALUE"""),7.0)</f>
        <v>7</v>
      </c>
      <c r="L202" s="24">
        <f>IFERROR(__xludf.DUMMYFUNCTION("""COMPUTED_VALUE"""),29.0)</f>
        <v>29</v>
      </c>
      <c r="M202" s="25" t="str">
        <f>IFERROR(__xludf.DUMMYFUNCTION("""COMPUTED_VALUE"""),"RPG")</f>
        <v>RPG</v>
      </c>
      <c r="N202" s="25"/>
      <c r="O202" s="26" t="str">
        <f>IFERROR(__xludf.DUMMYFUNCTION("""COMPUTED_VALUE"""),"Yes")</f>
        <v>Yes</v>
      </c>
      <c r="P202" s="26"/>
    </row>
    <row r="203">
      <c r="A203" s="13" t="str">
        <f>IFERROR(__xludf.DUMMYFUNCTION("""COMPUTED_VALUE"""),"Trials Fusion")</f>
        <v>Trials Fusion</v>
      </c>
      <c r="B203" s="15" t="str">
        <f>IFERROR(__xludf.DUMMYFUNCTION("""COMPUTED_VALUE"""),"PS4")</f>
        <v>PS4</v>
      </c>
      <c r="C203" s="16" t="str">
        <f>IFERROR(__xludf.DUMMYFUNCTION("""COMPUTED_VALUE"""),"Extra (Ubisoft+ Classics)")</f>
        <v>Extra (Ubisoft+ Classics)</v>
      </c>
      <c r="D203" s="15" t="str">
        <f>IFERROR(__xludf.DUMMYFUNCTION("""COMPUTED_VALUE"""),"Active")</f>
        <v>Active</v>
      </c>
      <c r="E203" s="17">
        <f>IFERROR(__xludf.DUMMYFUNCTION("""COMPUTED_VALUE"""),43256.0)</f>
        <v>43256</v>
      </c>
      <c r="F203" s="54"/>
      <c r="G203" s="19">
        <f>IFERROR(__xludf.DUMMYFUNCTION("""COMPUTED_VALUE"""),100.03333333333333)</f>
        <v>100.0333333</v>
      </c>
      <c r="H203" s="17">
        <f>IFERROR(__xludf.DUMMYFUNCTION("""COMPUTED_VALUE"""),41744.0)</f>
        <v>41744</v>
      </c>
      <c r="I203" s="19">
        <f>IFERROR(__xludf.DUMMYFUNCTION("""COMPUTED_VALUE"""),4.138888888888889)</f>
        <v>4.138888889</v>
      </c>
      <c r="J203" s="21">
        <f>IFERROR(__xludf.DUMMYFUNCTION("""COMPUTED_VALUE"""),80.0)</f>
        <v>80</v>
      </c>
      <c r="K203" s="23">
        <f>IFERROR(__xludf.DUMMYFUNCTION("""COMPUTED_VALUE"""),7.3)</f>
        <v>7.3</v>
      </c>
      <c r="L203" s="24">
        <f>IFERROR(__xludf.DUMMYFUNCTION("""COMPUTED_VALUE"""),12.0)</f>
        <v>12</v>
      </c>
      <c r="M203" s="25" t="str">
        <f>IFERROR(__xludf.DUMMYFUNCTION("""COMPUTED_VALUE"""),"Racing")</f>
        <v>Racing</v>
      </c>
      <c r="N203" s="25"/>
      <c r="O203" s="26" t="str">
        <f>IFERROR(__xludf.DUMMYFUNCTION("""COMPUTED_VALUE"""),"Yes")</f>
        <v>Yes</v>
      </c>
      <c r="P203" s="26" t="str">
        <f>IFERROR(__xludf.DUMMYFUNCTION("""COMPUTED_VALUE"""),"Yes")</f>
        <v>Yes</v>
      </c>
    </row>
    <row r="204">
      <c r="A204" s="13" t="str">
        <f>IFERROR(__xludf.DUMMYFUNCTION("""COMPUTED_VALUE"""),"Gravity Rush: Remastered")</f>
        <v>Gravity Rush: Remastered</v>
      </c>
      <c r="B204" s="15" t="str">
        <f>IFERROR(__xludf.DUMMYFUNCTION("""COMPUTED_VALUE"""),"PS4")</f>
        <v>PS4</v>
      </c>
      <c r="C204" s="16" t="str">
        <f>IFERROR(__xludf.DUMMYFUNCTION("""COMPUTED_VALUE"""),"Premium (Remasters)")</f>
        <v>Premium (Remasters)</v>
      </c>
      <c r="D204" s="15" t="str">
        <f>IFERROR(__xludf.DUMMYFUNCTION("""COMPUTED_VALUE"""),"Active")</f>
        <v>Active</v>
      </c>
      <c r="E204" s="17">
        <f>IFERROR(__xludf.DUMMYFUNCTION("""COMPUTED_VALUE"""),43109.0)</f>
        <v>43109</v>
      </c>
      <c r="F204" s="54"/>
      <c r="G204" s="19">
        <f>IFERROR(__xludf.DUMMYFUNCTION("""COMPUTED_VALUE"""),104.9)</f>
        <v>104.9</v>
      </c>
      <c r="H204" s="17">
        <f>IFERROR(__xludf.DUMMYFUNCTION("""COMPUTED_VALUE"""),42401.0)</f>
        <v>42401</v>
      </c>
      <c r="I204" s="19">
        <f>IFERROR(__xludf.DUMMYFUNCTION("""COMPUTED_VALUE"""),1.9388888888888889)</f>
        <v>1.938888889</v>
      </c>
      <c r="J204" s="21">
        <f>IFERROR(__xludf.DUMMYFUNCTION("""COMPUTED_VALUE"""),80.0)</f>
        <v>80</v>
      </c>
      <c r="K204" s="23">
        <f>IFERROR(__xludf.DUMMYFUNCTION("""COMPUTED_VALUE"""),8.1)</f>
        <v>8.1</v>
      </c>
      <c r="L204" s="24">
        <f>IFERROR(__xludf.DUMMYFUNCTION("""COMPUTED_VALUE"""),20.0)</f>
        <v>20</v>
      </c>
      <c r="M204" s="25" t="str">
        <f>IFERROR(__xludf.DUMMYFUNCTION("""COMPUTED_VALUE"""),"Action-Adventure")</f>
        <v>Action-Adventure</v>
      </c>
      <c r="N204" s="25" t="str">
        <f>IFERROR(__xludf.DUMMYFUNCTION("""COMPUTED_VALUE"""),"PS Vita")</f>
        <v>PS Vita</v>
      </c>
      <c r="O204" s="26" t="str">
        <f>IFERROR(__xludf.DUMMYFUNCTION("""COMPUTED_VALUE"""),"Yes")</f>
        <v>Yes</v>
      </c>
      <c r="P204" s="26"/>
    </row>
    <row r="205">
      <c r="A205" s="13" t="str">
        <f>IFERROR(__xludf.DUMMYFUNCTION("""COMPUTED_VALUE"""),"Harvest Moon: Light of Hope - Special Edition")</f>
        <v>Harvest Moon: Light of Hope - Special Edition</v>
      </c>
      <c r="B205" s="15" t="str">
        <f>IFERROR(__xludf.DUMMYFUNCTION("""COMPUTED_VALUE"""),"PS4")</f>
        <v>PS4</v>
      </c>
      <c r="C205" s="16" t="str">
        <f>IFERROR(__xludf.DUMMYFUNCTION("""COMPUTED_VALUE"""),"Extra")</f>
        <v>Extra</v>
      </c>
      <c r="D205" s="15" t="str">
        <f>IFERROR(__xludf.DUMMYFUNCTION("""COMPUTED_VALUE"""),"Leaving Soon")</f>
        <v>Leaving Soon</v>
      </c>
      <c r="E205" s="17">
        <f>IFERROR(__xludf.DUMMYFUNCTION("""COMPUTED_VALUE"""),44725.0)</f>
        <v>44725</v>
      </c>
      <c r="F205" s="54">
        <f>IFERROR(__xludf.DUMMYFUNCTION("""COMPUTED_VALUE"""),46314.0)</f>
        <v>46314</v>
      </c>
      <c r="G205" s="19">
        <f>IFERROR(__xludf.DUMMYFUNCTION("""COMPUTED_VALUE"""),52.199999999999996)</f>
        <v>52.2</v>
      </c>
      <c r="H205" s="17">
        <f>IFERROR(__xludf.DUMMYFUNCTION("""COMPUTED_VALUE"""),43053.0)</f>
        <v>43053</v>
      </c>
      <c r="I205" s="19">
        <f>IFERROR(__xludf.DUMMYFUNCTION("""COMPUTED_VALUE"""),4.580555555555556)</f>
        <v>4.580555556</v>
      </c>
      <c r="J205" s="21">
        <f>IFERROR(__xludf.DUMMYFUNCTION("""COMPUTED_VALUE"""),80.0)</f>
        <v>80</v>
      </c>
      <c r="K205" s="23">
        <f>IFERROR(__xludf.DUMMYFUNCTION("""COMPUTED_VALUE"""),6.2)</f>
        <v>6.2</v>
      </c>
      <c r="L205" s="24">
        <f>IFERROR(__xludf.DUMMYFUNCTION("""COMPUTED_VALUE"""),18.5)</f>
        <v>18.5</v>
      </c>
      <c r="M205" s="25" t="str">
        <f>IFERROR(__xludf.DUMMYFUNCTION("""COMPUTED_VALUE"""),"Strategy")</f>
        <v>Strategy</v>
      </c>
      <c r="N205" s="25"/>
      <c r="O205" s="26" t="str">
        <f>IFERROR(__xludf.DUMMYFUNCTION("""COMPUTED_VALUE"""),"No")</f>
        <v>No</v>
      </c>
      <c r="P205" s="26"/>
    </row>
    <row r="206">
      <c r="A206" s="13" t="str">
        <f>IFERROR(__xludf.DUMMYFUNCTION("""COMPUTED_VALUE"""),"Destiny 2: Legacy Collection (2025)")</f>
        <v>Destiny 2: Legacy Collection (2025)</v>
      </c>
      <c r="B206" s="15" t="str">
        <f>IFERROR(__xludf.DUMMYFUNCTION("""COMPUTED_VALUE"""),"PS5/PS4")</f>
        <v>PS5/PS4</v>
      </c>
      <c r="C206" s="16" t="str">
        <f>IFERROR(__xludf.DUMMYFUNCTION("""COMPUTED_VALUE"""),"Extra")</f>
        <v>Extra</v>
      </c>
      <c r="D206" s="15" t="str">
        <f>IFERROR(__xludf.DUMMYFUNCTION("""COMPUTED_VALUE"""),"Active")</f>
        <v>Active</v>
      </c>
      <c r="E206" s="17">
        <f>IFERROR(__xludf.DUMMYFUNCTION("""COMPUTED_VALUE"""),46182.0)</f>
        <v>46182</v>
      </c>
      <c r="F206" s="54"/>
      <c r="G206" s="19">
        <f>IFERROR(__xludf.DUMMYFUNCTION("""COMPUTED_VALUE"""),3.9000000000000004)</f>
        <v>3.9</v>
      </c>
      <c r="H206" s="17">
        <f>IFERROR(__xludf.DUMMYFUNCTION("""COMPUTED_VALUE"""),45853.0)</f>
        <v>45853</v>
      </c>
      <c r="I206" s="19">
        <f>IFERROR(__xludf.DUMMYFUNCTION("""COMPUTED_VALUE"""),0.9)</f>
        <v>0.9</v>
      </c>
      <c r="J206" s="21">
        <f>IFERROR(__xludf.DUMMYFUNCTION("""COMPUTED_VALUE"""),79.0)</f>
        <v>79</v>
      </c>
      <c r="K206" s="23">
        <f>IFERROR(__xludf.DUMMYFUNCTION("""COMPUTED_VALUE"""),5.6)</f>
        <v>5.6</v>
      </c>
      <c r="L206" s="24">
        <f>IFERROR(__xludf.DUMMYFUNCTION("""COMPUTED_VALUE"""),43.0)</f>
        <v>43</v>
      </c>
      <c r="M206" s="25" t="str">
        <f>IFERROR(__xludf.DUMMYFUNCTION("""COMPUTED_VALUE"""),"Shooter")</f>
        <v>Shooter</v>
      </c>
      <c r="N206" s="25" t="str">
        <f>IFERROR(__xludf.DUMMYFUNCTION("""COMPUTED_VALUE"""),"The Final Shape, Lightfall, The Witch Queen, Beyond Light, and Shadowkeep")</f>
        <v>The Final Shape, Lightfall, The Witch Queen, Beyond Light, and Shadowkeep</v>
      </c>
      <c r="O206" s="26"/>
      <c r="P206" s="26"/>
    </row>
    <row r="207">
      <c r="A207" s="13" t="str">
        <f>IFERROR(__xludf.DUMMYFUNCTION("""COMPUTED_VALUE"""),"Monster Hunter Stories")</f>
        <v>Monster Hunter Stories</v>
      </c>
      <c r="B207" s="15" t="str">
        <f>IFERROR(__xludf.DUMMYFUNCTION("""COMPUTED_VALUE"""),"PS4")</f>
        <v>PS4</v>
      </c>
      <c r="C207" s="16" t="str">
        <f>IFERROR(__xludf.DUMMYFUNCTION("""COMPUTED_VALUE"""),"Extra")</f>
        <v>Extra</v>
      </c>
      <c r="D207" s="15" t="str">
        <f>IFERROR(__xludf.DUMMYFUNCTION("""COMPUTED_VALUE"""),"Active")</f>
        <v>Active</v>
      </c>
      <c r="E207" s="17">
        <f>IFERROR(__xludf.DUMMYFUNCTION("""COMPUTED_VALUE"""),46070.0)</f>
        <v>46070</v>
      </c>
      <c r="F207" s="54"/>
      <c r="G207" s="19">
        <f>IFERROR(__xludf.DUMMYFUNCTION("""COMPUTED_VALUE"""),7.633333333333333)</f>
        <v>7.633333333</v>
      </c>
      <c r="H207" s="17">
        <f>IFERROR(__xludf.DUMMYFUNCTION("""COMPUTED_VALUE"""),42986.0)</f>
        <v>42986</v>
      </c>
      <c r="I207" s="19">
        <f>IFERROR(__xludf.DUMMYFUNCTION("""COMPUTED_VALUE"""),8.441666666666666)</f>
        <v>8.441666667</v>
      </c>
      <c r="J207" s="21">
        <f>IFERROR(__xludf.DUMMYFUNCTION("""COMPUTED_VALUE"""),79.0)</f>
        <v>79</v>
      </c>
      <c r="K207" s="23">
        <f>IFERROR(__xludf.DUMMYFUNCTION("""COMPUTED_VALUE"""),7.9)</f>
        <v>7.9</v>
      </c>
      <c r="L207" s="24">
        <f>IFERROR(__xludf.DUMMYFUNCTION("""COMPUTED_VALUE"""),35.0)</f>
        <v>35</v>
      </c>
      <c r="M207" s="25" t="str">
        <f>IFERROR(__xludf.DUMMYFUNCTION("""COMPUTED_VALUE"""),"RPG")</f>
        <v>RPG</v>
      </c>
      <c r="N207" s="25"/>
      <c r="O207" s="26"/>
      <c r="P207" s="26"/>
    </row>
    <row r="208">
      <c r="A208" s="13" t="str">
        <f>IFERROR(__xludf.DUMMYFUNCTION("""COMPUTED_VALUE"""),"Art of Rally")</f>
        <v>Art of Rally</v>
      </c>
      <c r="B208" s="15" t="str">
        <f>IFERROR(__xludf.DUMMYFUNCTION("""COMPUTED_VALUE"""),"PS5/PS4")</f>
        <v>PS5/PS4</v>
      </c>
      <c r="C208" s="16" t="str">
        <f>IFERROR(__xludf.DUMMYFUNCTION("""COMPUTED_VALUE"""),"Extra")</f>
        <v>Extra</v>
      </c>
      <c r="D208" s="15" t="str">
        <f>IFERROR(__xludf.DUMMYFUNCTION("""COMPUTED_VALUE"""),"Active")</f>
        <v>Active</v>
      </c>
      <c r="E208" s="17">
        <f>IFERROR(__xludf.DUMMYFUNCTION("""COMPUTED_VALUE"""),46042.0)</f>
        <v>46042</v>
      </c>
      <c r="F208" s="54"/>
      <c r="G208" s="19">
        <f>IFERROR(__xludf.DUMMYFUNCTION("""COMPUTED_VALUE"""),8.533333333333333)</f>
        <v>8.533333333</v>
      </c>
      <c r="H208" s="17">
        <f>IFERROR(__xludf.DUMMYFUNCTION("""COMPUTED_VALUE"""),44097.0)</f>
        <v>44097</v>
      </c>
      <c r="I208" s="19">
        <f>IFERROR(__xludf.DUMMYFUNCTION("""COMPUTED_VALUE"""),5.325)</f>
        <v>5.325</v>
      </c>
      <c r="J208" s="21">
        <f>IFERROR(__xludf.DUMMYFUNCTION("""COMPUTED_VALUE"""),79.0)</f>
        <v>79</v>
      </c>
      <c r="K208" s="23">
        <f>IFERROR(__xludf.DUMMYFUNCTION("""COMPUTED_VALUE"""),6.9)</f>
        <v>6.9</v>
      </c>
      <c r="L208" s="24">
        <f>IFERROR(__xludf.DUMMYFUNCTION("""COMPUTED_VALUE"""),16.0)</f>
        <v>16</v>
      </c>
      <c r="M208" s="25" t="str">
        <f>IFERROR(__xludf.DUMMYFUNCTION("""COMPUTED_VALUE"""),"Racing")</f>
        <v>Racing</v>
      </c>
      <c r="N208" s="25"/>
      <c r="O208" s="26"/>
      <c r="P208" s="26"/>
    </row>
    <row r="209">
      <c r="A209" s="13" t="str">
        <f>IFERROR(__xludf.DUMMYFUNCTION("""COMPUTED_VALUE"""),"Paw Patrol: Grand Prix")</f>
        <v>Paw Patrol: Grand Prix</v>
      </c>
      <c r="B209" s="15" t="str">
        <f>IFERROR(__xludf.DUMMYFUNCTION("""COMPUTED_VALUE"""),"PS5/PS4")</f>
        <v>PS5/PS4</v>
      </c>
      <c r="C209" s="16" t="str">
        <f>IFERROR(__xludf.DUMMYFUNCTION("""COMPUTED_VALUE"""),"Extra")</f>
        <v>Extra</v>
      </c>
      <c r="D209" s="15" t="str">
        <f>IFERROR(__xludf.DUMMYFUNCTION("""COMPUTED_VALUE"""),"Active")</f>
        <v>Active</v>
      </c>
      <c r="E209" s="17">
        <f>IFERROR(__xludf.DUMMYFUNCTION("""COMPUTED_VALUE"""),46007.0)</f>
        <v>46007</v>
      </c>
      <c r="F209" s="54"/>
      <c r="G209" s="19">
        <f>IFERROR(__xludf.DUMMYFUNCTION("""COMPUTED_VALUE"""),9.666666666666668)</f>
        <v>9.666666667</v>
      </c>
      <c r="H209" s="17">
        <f>IFERROR(__xludf.DUMMYFUNCTION("""COMPUTED_VALUE"""),45198.0)</f>
        <v>45198</v>
      </c>
      <c r="I209" s="19">
        <f>IFERROR(__xludf.DUMMYFUNCTION("""COMPUTED_VALUE"""),2.213888888888889)</f>
        <v>2.213888889</v>
      </c>
      <c r="J209" s="21">
        <f>IFERROR(__xludf.DUMMYFUNCTION("""COMPUTED_VALUE"""),79.0)</f>
        <v>79</v>
      </c>
      <c r="K209" s="23">
        <f>IFERROR(__xludf.DUMMYFUNCTION("""COMPUTED_VALUE"""),5.1)</f>
        <v>5.1</v>
      </c>
      <c r="L209" s="24">
        <f>IFERROR(__xludf.DUMMYFUNCTION("""COMPUTED_VALUE"""),2.0)</f>
        <v>2</v>
      </c>
      <c r="M209" s="25" t="str">
        <f>IFERROR(__xludf.DUMMYFUNCTION("""COMPUTED_VALUE"""),"Racing")</f>
        <v>Racing</v>
      </c>
      <c r="N209" s="25"/>
      <c r="O209" s="26"/>
      <c r="P209" s="26"/>
    </row>
    <row r="210">
      <c r="A210" s="13" t="str">
        <f>IFERROR(__xludf.DUMMYFUNCTION("""COMPUTED_VALUE"""),"Paw Patrol World")</f>
        <v>Paw Patrol World</v>
      </c>
      <c r="B210" s="15" t="str">
        <f>IFERROR(__xludf.DUMMYFUNCTION("""COMPUTED_VALUE"""),"PS5/PS4")</f>
        <v>PS5/PS4</v>
      </c>
      <c r="C210" s="16" t="str">
        <f>IFERROR(__xludf.DUMMYFUNCTION("""COMPUTED_VALUE"""),"Extra")</f>
        <v>Extra</v>
      </c>
      <c r="D210" s="15" t="str">
        <f>IFERROR(__xludf.DUMMYFUNCTION("""COMPUTED_VALUE"""),"Active")</f>
        <v>Active</v>
      </c>
      <c r="E210" s="17">
        <f>IFERROR(__xludf.DUMMYFUNCTION("""COMPUTED_VALUE"""),46007.0)</f>
        <v>46007</v>
      </c>
      <c r="F210" s="54"/>
      <c r="G210" s="19">
        <f>IFERROR(__xludf.DUMMYFUNCTION("""COMPUTED_VALUE"""),9.666666666666668)</f>
        <v>9.666666667</v>
      </c>
      <c r="H210" s="17">
        <f>IFERROR(__xludf.DUMMYFUNCTION("""COMPUTED_VALUE"""),45198.0)</f>
        <v>45198</v>
      </c>
      <c r="I210" s="19">
        <f>IFERROR(__xludf.DUMMYFUNCTION("""COMPUTED_VALUE"""),2.213888888888889)</f>
        <v>2.213888889</v>
      </c>
      <c r="J210" s="21">
        <f>IFERROR(__xludf.DUMMYFUNCTION("""COMPUTED_VALUE"""),79.0)</f>
        <v>79</v>
      </c>
      <c r="K210" s="23">
        <f>IFERROR(__xludf.DUMMYFUNCTION("""COMPUTED_VALUE"""),5.1)</f>
        <v>5.1</v>
      </c>
      <c r="L210" s="24">
        <f>IFERROR(__xludf.DUMMYFUNCTION("""COMPUTED_VALUE"""),4.0)</f>
        <v>4</v>
      </c>
      <c r="M210" s="25" t="str">
        <f>IFERROR(__xludf.DUMMYFUNCTION("""COMPUTED_VALUE"""),"Action-Adventure")</f>
        <v>Action-Adventure</v>
      </c>
      <c r="N210" s="25"/>
      <c r="O210" s="26"/>
      <c r="P210" s="26"/>
    </row>
    <row r="211">
      <c r="A211" s="13" t="str">
        <f>IFERROR(__xludf.DUMMYFUNCTION("""COMPUTED_VALUE"""),"Resident Evil 3: Nemesis")</f>
        <v>Resident Evil 3: Nemesis</v>
      </c>
      <c r="B211" s="15" t="str">
        <f>IFERROR(__xludf.DUMMYFUNCTION("""COMPUTED_VALUE"""),"PS5/PS4")</f>
        <v>PS5/PS4</v>
      </c>
      <c r="C211" s="16" t="str">
        <f>IFERROR(__xludf.DUMMYFUNCTION("""COMPUTED_VALUE"""),"Premium (Classics)")</f>
        <v>Premium (Classics)</v>
      </c>
      <c r="D211" s="15" t="str">
        <f>IFERROR(__xludf.DUMMYFUNCTION("""COMPUTED_VALUE"""),"Active")</f>
        <v>Active</v>
      </c>
      <c r="E211" s="17">
        <f>IFERROR(__xludf.DUMMYFUNCTION("""COMPUTED_VALUE"""),45888.0)</f>
        <v>45888</v>
      </c>
      <c r="F211" s="54"/>
      <c r="G211" s="19">
        <f>IFERROR(__xludf.DUMMYFUNCTION("""COMPUTED_VALUE"""),13.566666666666666)</f>
        <v>13.56666667</v>
      </c>
      <c r="H211" s="17">
        <f>IFERROR(__xludf.DUMMYFUNCTION("""COMPUTED_VALUE"""),36475.0)</f>
        <v>36475</v>
      </c>
      <c r="I211" s="19">
        <f>IFERROR(__xludf.DUMMYFUNCTION("""COMPUTED_VALUE"""),25.772222222222222)</f>
        <v>25.77222222</v>
      </c>
      <c r="J211" s="21">
        <f>IFERROR(__xludf.DUMMYFUNCTION("""COMPUTED_VALUE"""),79.0)</f>
        <v>79</v>
      </c>
      <c r="K211" s="23">
        <f>IFERROR(__xludf.DUMMYFUNCTION("""COMPUTED_VALUE"""),6.7)</f>
        <v>6.7</v>
      </c>
      <c r="L211" s="24">
        <f>IFERROR(__xludf.DUMMYFUNCTION("""COMPUTED_VALUE"""),6.0)</f>
        <v>6</v>
      </c>
      <c r="M211" s="25" t="str">
        <f>IFERROR(__xludf.DUMMYFUNCTION("""COMPUTED_VALUE"""),"Survival")</f>
        <v>Survival</v>
      </c>
      <c r="N211" s="25" t="str">
        <f>IFERROR(__xludf.DUMMYFUNCTION("""COMPUTED_VALUE"""),"PS1")</f>
        <v>PS1</v>
      </c>
      <c r="O211" s="26"/>
      <c r="P211" s="26"/>
    </row>
    <row r="212">
      <c r="A212" s="13" t="str">
        <f>IFERROR(__xludf.DUMMYFUNCTION("""COMPUTED_VALUE"""),"Eiyuden Chronicle: Hundred Heroes")</f>
        <v>Eiyuden Chronicle: Hundred Heroes</v>
      </c>
      <c r="B212" s="15" t="str">
        <f>IFERROR(__xludf.DUMMYFUNCTION("""COMPUTED_VALUE"""),"PS5/PS4")</f>
        <v>PS5/PS4</v>
      </c>
      <c r="C212" s="16" t="str">
        <f>IFERROR(__xludf.DUMMYFUNCTION("""COMPUTED_VALUE"""),"Extra")</f>
        <v>Extra</v>
      </c>
      <c r="D212" s="15" t="str">
        <f>IFERROR(__xludf.DUMMYFUNCTION("""COMPUTED_VALUE"""),"Active")</f>
        <v>Active</v>
      </c>
      <c r="E212" s="17">
        <f>IFERROR(__xludf.DUMMYFUNCTION("""COMPUTED_VALUE"""),45825.0)</f>
        <v>45825</v>
      </c>
      <c r="F212" s="54"/>
      <c r="G212" s="19">
        <f>IFERROR(__xludf.DUMMYFUNCTION("""COMPUTED_VALUE"""),15.633333333333333)</f>
        <v>15.63333333</v>
      </c>
      <c r="H212" s="17">
        <f>IFERROR(__xludf.DUMMYFUNCTION("""COMPUTED_VALUE"""),45405.0)</f>
        <v>45405</v>
      </c>
      <c r="I212" s="19">
        <f>IFERROR(__xludf.DUMMYFUNCTION("""COMPUTED_VALUE"""),1.15)</f>
        <v>1.15</v>
      </c>
      <c r="J212" s="21">
        <f>IFERROR(__xludf.DUMMYFUNCTION("""COMPUTED_VALUE"""),79.0)</f>
        <v>79</v>
      </c>
      <c r="K212" s="23">
        <f>IFERROR(__xludf.DUMMYFUNCTION("""COMPUTED_VALUE"""),7.1)</f>
        <v>7.1</v>
      </c>
      <c r="L212" s="24">
        <f>IFERROR(__xludf.DUMMYFUNCTION("""COMPUTED_VALUE"""),47.0)</f>
        <v>47</v>
      </c>
      <c r="M212" s="25" t="str">
        <f>IFERROR(__xludf.DUMMYFUNCTION("""COMPUTED_VALUE"""),"RPG")</f>
        <v>RPG</v>
      </c>
      <c r="N212" s="25"/>
      <c r="O212" s="26"/>
      <c r="P212" s="26"/>
    </row>
    <row r="213">
      <c r="A213" s="13" t="str">
        <f>IFERROR(__xludf.DUMMYFUNCTION("""COMPUTED_VALUE"""),"Coffee Talk Episode 2: Hibiscus &amp; Butterfly")</f>
        <v>Coffee Talk Episode 2: Hibiscus &amp; Butterfly</v>
      </c>
      <c r="B213" s="15" t="str">
        <f>IFERROR(__xludf.DUMMYFUNCTION("""COMPUTED_VALUE"""),"PS5/PS4")</f>
        <v>PS5/PS4</v>
      </c>
      <c r="C213" s="16" t="str">
        <f>IFERROR(__xludf.DUMMYFUNCTION("""COMPUTED_VALUE"""),"Extra")</f>
        <v>Extra</v>
      </c>
      <c r="D213" s="15" t="str">
        <f>IFERROR(__xludf.DUMMYFUNCTION("""COMPUTED_VALUE"""),"Active")</f>
        <v>Active</v>
      </c>
      <c r="E213" s="17">
        <f>IFERROR(__xludf.DUMMYFUNCTION("""COMPUTED_VALUE"""),45643.0)</f>
        <v>45643</v>
      </c>
      <c r="F213" s="54"/>
      <c r="G213" s="19">
        <f>IFERROR(__xludf.DUMMYFUNCTION("""COMPUTED_VALUE"""),21.633333333333333)</f>
        <v>21.63333333</v>
      </c>
      <c r="H213" s="17">
        <f>IFERROR(__xludf.DUMMYFUNCTION("""COMPUTED_VALUE"""),45036.0)</f>
        <v>45036</v>
      </c>
      <c r="I213" s="19">
        <f>IFERROR(__xludf.DUMMYFUNCTION("""COMPUTED_VALUE"""),1.6583333333333334)</f>
        <v>1.658333333</v>
      </c>
      <c r="J213" s="21">
        <f>IFERROR(__xludf.DUMMYFUNCTION("""COMPUTED_VALUE"""),79.0)</f>
        <v>79</v>
      </c>
      <c r="K213" s="23">
        <f>IFERROR(__xludf.DUMMYFUNCTION("""COMPUTED_VALUE"""),7.5)</f>
        <v>7.5</v>
      </c>
      <c r="L213" s="24">
        <f>IFERROR(__xludf.DUMMYFUNCTION("""COMPUTED_VALUE"""),7.0)</f>
        <v>7</v>
      </c>
      <c r="M213" s="25" t="str">
        <f>IFERROR(__xludf.DUMMYFUNCTION("""COMPUTED_VALUE"""),"Visual Novel ")</f>
        <v>Visual Novel </v>
      </c>
      <c r="N213" s="25"/>
      <c r="O213" s="26" t="str">
        <f>IFERROR(__xludf.DUMMYFUNCTION("""COMPUTED_VALUE"""),"Yes")</f>
        <v>Yes</v>
      </c>
      <c r="P213" s="26"/>
    </row>
    <row r="214">
      <c r="A214" s="13" t="str">
        <f>IFERROR(__xludf.DUMMYFUNCTION("""COMPUTED_VALUE"""),"LEGO DC Super-Villains")</f>
        <v>LEGO DC Super-Villains</v>
      </c>
      <c r="B214" s="15" t="str">
        <f>IFERROR(__xludf.DUMMYFUNCTION("""COMPUTED_VALUE"""),"PS4")</f>
        <v>PS4</v>
      </c>
      <c r="C214" s="16" t="str">
        <f>IFERROR(__xludf.DUMMYFUNCTION("""COMPUTED_VALUE"""),"Extra")</f>
        <v>Extra</v>
      </c>
      <c r="D214" s="15" t="str">
        <f>IFERROR(__xludf.DUMMYFUNCTION("""COMPUTED_VALUE"""),"Active")</f>
        <v>Active</v>
      </c>
      <c r="E214" s="17">
        <f>IFERROR(__xludf.DUMMYFUNCTION("""COMPUTED_VALUE"""),45370.0)</f>
        <v>45370</v>
      </c>
      <c r="F214" s="54"/>
      <c r="G214" s="19">
        <f>IFERROR(__xludf.DUMMYFUNCTION("""COMPUTED_VALUE"""),30.566666666666663)</f>
        <v>30.56666667</v>
      </c>
      <c r="H214" s="17">
        <f>IFERROR(__xludf.DUMMYFUNCTION("""COMPUTED_VALUE"""),41079.0)</f>
        <v>41079</v>
      </c>
      <c r="I214" s="19">
        <f>IFERROR(__xludf.DUMMYFUNCTION("""COMPUTED_VALUE"""),11.75)</f>
        <v>11.75</v>
      </c>
      <c r="J214" s="21">
        <f>IFERROR(__xludf.DUMMYFUNCTION("""COMPUTED_VALUE"""),79.0)</f>
        <v>79</v>
      </c>
      <c r="K214" s="23">
        <f>IFERROR(__xludf.DUMMYFUNCTION("""COMPUTED_VALUE"""),7.0)</f>
        <v>7</v>
      </c>
      <c r="L214" s="24">
        <f>IFERROR(__xludf.DUMMYFUNCTION("""COMPUTED_VALUE"""),10.0)</f>
        <v>10</v>
      </c>
      <c r="M214" s="25" t="str">
        <f>IFERROR(__xludf.DUMMYFUNCTION("""COMPUTED_VALUE"""),"Action-Adventure")</f>
        <v>Action-Adventure</v>
      </c>
      <c r="N214" s="25"/>
      <c r="O214" s="26" t="str">
        <f>IFERROR(__xludf.DUMMYFUNCTION("""COMPUTED_VALUE"""),"Yes")</f>
        <v>Yes</v>
      </c>
      <c r="P214" s="26"/>
    </row>
    <row r="215">
      <c r="A215" s="13" t="str">
        <f>IFERROR(__xludf.DUMMYFUNCTION("""COMPUTED_VALUE"""),"Rally Cross")</f>
        <v>Rally Cross</v>
      </c>
      <c r="B215" s="15" t="str">
        <f>IFERROR(__xludf.DUMMYFUNCTION("""COMPUTED_VALUE"""),"PS5/PS4")</f>
        <v>PS5/PS4</v>
      </c>
      <c r="C215" s="16" t="str">
        <f>IFERROR(__xludf.DUMMYFUNCTION("""COMPUTED_VALUE"""),"Premium (Classics)")</f>
        <v>Premium (Classics)</v>
      </c>
      <c r="D215" s="15" t="str">
        <f>IFERROR(__xludf.DUMMYFUNCTION("""COMPUTED_VALUE"""),"Active")</f>
        <v>Active</v>
      </c>
      <c r="E215" s="17">
        <f>IFERROR(__xludf.DUMMYFUNCTION("""COMPUTED_VALUE"""),45307.0)</f>
        <v>45307</v>
      </c>
      <c r="F215" s="54"/>
      <c r="G215" s="19">
        <f>IFERROR(__xludf.DUMMYFUNCTION("""COMPUTED_VALUE"""),32.66666666666667)</f>
        <v>32.66666667</v>
      </c>
      <c r="H215" s="17">
        <f>IFERROR(__xludf.DUMMYFUNCTION("""COMPUTED_VALUE"""),35734.0)</f>
        <v>35734</v>
      </c>
      <c r="I215" s="19">
        <f>IFERROR(__xludf.DUMMYFUNCTION("""COMPUTED_VALUE"""),26.211111111111112)</f>
        <v>26.21111111</v>
      </c>
      <c r="J215" s="21">
        <f>IFERROR(__xludf.DUMMYFUNCTION("""COMPUTED_VALUE"""),79.0)</f>
        <v>79</v>
      </c>
      <c r="K215" s="23">
        <f>IFERROR(__xludf.DUMMYFUNCTION("""COMPUTED_VALUE"""),7.9)</f>
        <v>7.9</v>
      </c>
      <c r="L215" s="24">
        <f>IFERROR(__xludf.DUMMYFUNCTION("""COMPUTED_VALUE"""),7.0)</f>
        <v>7</v>
      </c>
      <c r="M215" s="25" t="str">
        <f>IFERROR(__xludf.DUMMYFUNCTION("""COMPUTED_VALUE"""),"Racing")</f>
        <v>Racing</v>
      </c>
      <c r="N215" s="25" t="str">
        <f>IFERROR(__xludf.DUMMYFUNCTION("""COMPUTED_VALUE"""),"PS1")</f>
        <v>PS1</v>
      </c>
      <c r="O215" s="26" t="str">
        <f>IFERROR(__xludf.DUMMYFUNCTION("""COMPUTED_VALUE"""),"Yes")</f>
        <v>Yes</v>
      </c>
      <c r="P215" s="26"/>
    </row>
    <row r="216">
      <c r="A216" s="13" t="str">
        <f>IFERROR(__xludf.DUMMYFUNCTION("""COMPUTED_VALUE"""),"Eldest Souls")</f>
        <v>Eldest Souls</v>
      </c>
      <c r="B216" s="15" t="str">
        <f>IFERROR(__xludf.DUMMYFUNCTION("""COMPUTED_VALUE"""),"PS5/PS4")</f>
        <v>PS5/PS4</v>
      </c>
      <c r="C216" s="16" t="str">
        <f>IFERROR(__xludf.DUMMYFUNCTION("""COMPUTED_VALUE"""),"Extra")</f>
        <v>Extra</v>
      </c>
      <c r="D216" s="15" t="str">
        <f>IFERROR(__xludf.DUMMYFUNCTION("""COMPUTED_VALUE"""),"Active")</f>
        <v>Active</v>
      </c>
      <c r="E216" s="17">
        <f>IFERROR(__xludf.DUMMYFUNCTION("""COMPUTED_VALUE"""),45216.0)</f>
        <v>45216</v>
      </c>
      <c r="F216" s="54"/>
      <c r="G216" s="19">
        <f>IFERROR(__xludf.DUMMYFUNCTION("""COMPUTED_VALUE"""),35.63333333333333)</f>
        <v>35.63333333</v>
      </c>
      <c r="H216" s="17">
        <f>IFERROR(__xludf.DUMMYFUNCTION("""COMPUTED_VALUE"""),44406.0)</f>
        <v>44406</v>
      </c>
      <c r="I216" s="19">
        <f>IFERROR(__xludf.DUMMYFUNCTION("""COMPUTED_VALUE"""),2.216666666666667)</f>
        <v>2.216666667</v>
      </c>
      <c r="J216" s="21">
        <f>IFERROR(__xludf.DUMMYFUNCTION("""COMPUTED_VALUE"""),79.0)</f>
        <v>79</v>
      </c>
      <c r="K216" s="23">
        <f>IFERROR(__xludf.DUMMYFUNCTION("""COMPUTED_VALUE"""),6.8)</f>
        <v>6.8</v>
      </c>
      <c r="L216" s="24">
        <f>IFERROR(__xludf.DUMMYFUNCTION("""COMPUTED_VALUE"""),5.0)</f>
        <v>5</v>
      </c>
      <c r="M216" s="25" t="str">
        <f>IFERROR(__xludf.DUMMYFUNCTION("""COMPUTED_VALUE"""),"RPG")</f>
        <v>RPG</v>
      </c>
      <c r="N216" s="25"/>
      <c r="O216" s="26" t="str">
        <f>IFERROR(__xludf.DUMMYFUNCTION("""COMPUTED_VALUE"""),"Yes")</f>
        <v>Yes</v>
      </c>
      <c r="P216" s="26"/>
    </row>
    <row r="217">
      <c r="A217" s="13" t="str">
        <f>IFERROR(__xludf.DUMMYFUNCTION("""COMPUTED_VALUE"""),"A Hat in Time")</f>
        <v>A Hat in Time</v>
      </c>
      <c r="B217" s="15" t="str">
        <f>IFERROR(__xludf.DUMMYFUNCTION("""COMPUTED_VALUE"""),"PS4")</f>
        <v>PS4</v>
      </c>
      <c r="C217" s="16" t="str">
        <f>IFERROR(__xludf.DUMMYFUNCTION("""COMPUTED_VALUE"""),"Extra")</f>
        <v>Extra</v>
      </c>
      <c r="D217" s="15" t="str">
        <f>IFERROR(__xludf.DUMMYFUNCTION("""COMPUTED_VALUE"""),"Active")</f>
        <v>Active</v>
      </c>
      <c r="E217" s="17">
        <f>IFERROR(__xludf.DUMMYFUNCTION("""COMPUTED_VALUE"""),45097.0)</f>
        <v>45097</v>
      </c>
      <c r="F217" s="54"/>
      <c r="G217" s="19">
        <f>IFERROR(__xludf.DUMMYFUNCTION("""COMPUTED_VALUE"""),39.53333333333333)</f>
        <v>39.53333333</v>
      </c>
      <c r="H217" s="17">
        <f>IFERROR(__xludf.DUMMYFUNCTION("""COMPUTED_VALUE"""),43074.0)</f>
        <v>43074</v>
      </c>
      <c r="I217" s="19">
        <f>IFERROR(__xludf.DUMMYFUNCTION("""COMPUTED_VALUE"""),5.541666666666667)</f>
        <v>5.541666667</v>
      </c>
      <c r="J217" s="21">
        <f>IFERROR(__xludf.DUMMYFUNCTION("""COMPUTED_VALUE"""),79.0)</f>
        <v>79</v>
      </c>
      <c r="K217" s="23">
        <f>IFERROR(__xludf.DUMMYFUNCTION("""COMPUTED_VALUE"""),8.2)</f>
        <v>8.2</v>
      </c>
      <c r="L217" s="24">
        <f>IFERROR(__xludf.DUMMYFUNCTION("""COMPUTED_VALUE"""),10.0)</f>
        <v>10</v>
      </c>
      <c r="M217" s="25" t="str">
        <f>IFERROR(__xludf.DUMMYFUNCTION("""COMPUTED_VALUE"""),"Action-Adventure")</f>
        <v>Action-Adventure</v>
      </c>
      <c r="N217" s="25"/>
      <c r="O217" s="26" t="str">
        <f>IFERROR(__xludf.DUMMYFUNCTION("""COMPUTED_VALUE"""),"Yes")</f>
        <v>Yes</v>
      </c>
      <c r="P217" s="26"/>
    </row>
    <row r="218">
      <c r="A218" s="13" t="str">
        <f>IFERROR(__xludf.DUMMYFUNCTION("""COMPUTED_VALUE"""),"Little Nightmares")</f>
        <v>Little Nightmares</v>
      </c>
      <c r="B218" s="15" t="str">
        <f>IFERROR(__xludf.DUMMYFUNCTION("""COMPUTED_VALUE"""),"PS4")</f>
        <v>PS4</v>
      </c>
      <c r="C218" s="16" t="str">
        <f>IFERROR(__xludf.DUMMYFUNCTION("""COMPUTED_VALUE"""),"Extra")</f>
        <v>Extra</v>
      </c>
      <c r="D218" s="15" t="str">
        <f>IFERROR(__xludf.DUMMYFUNCTION("""COMPUTED_VALUE"""),"Active")</f>
        <v>Active</v>
      </c>
      <c r="E218" s="17">
        <f>IFERROR(__xludf.DUMMYFUNCTION("""COMPUTED_VALUE"""),44725.0)</f>
        <v>44725</v>
      </c>
      <c r="F218" s="54"/>
      <c r="G218" s="19">
        <f>IFERROR(__xludf.DUMMYFUNCTION("""COMPUTED_VALUE"""),51.766666666666666)</f>
        <v>51.76666667</v>
      </c>
      <c r="H218" s="17">
        <f>IFERROR(__xludf.DUMMYFUNCTION("""COMPUTED_VALUE"""),42853.0)</f>
        <v>42853</v>
      </c>
      <c r="I218" s="19">
        <f>IFERROR(__xludf.DUMMYFUNCTION("""COMPUTED_VALUE"""),5.125)</f>
        <v>5.125</v>
      </c>
      <c r="J218" s="21">
        <f>IFERROR(__xludf.DUMMYFUNCTION("""COMPUTED_VALUE"""),79.0)</f>
        <v>79</v>
      </c>
      <c r="K218" s="23">
        <f>IFERROR(__xludf.DUMMYFUNCTION("""COMPUTED_VALUE"""),8.0)</f>
        <v>8</v>
      </c>
      <c r="L218" s="24">
        <f>IFERROR(__xludf.DUMMYFUNCTION("""COMPUTED_VALUE"""),3.5)</f>
        <v>3.5</v>
      </c>
      <c r="M218" s="25" t="str">
        <f>IFERROR(__xludf.DUMMYFUNCTION("""COMPUTED_VALUE"""),"Action-Adventure")</f>
        <v>Action-Adventure</v>
      </c>
      <c r="N218" s="25"/>
      <c r="O218" s="26" t="str">
        <f>IFERROR(__xludf.DUMMYFUNCTION("""COMPUTED_VALUE"""),"Yes")</f>
        <v>Yes</v>
      </c>
      <c r="P218" s="26"/>
    </row>
    <row r="219">
      <c r="A219" s="13" t="str">
        <f>IFERROR(__xludf.DUMMYFUNCTION("""COMPUTED_VALUE"""),"Trials Rising")</f>
        <v>Trials Rising</v>
      </c>
      <c r="B219" s="15" t="str">
        <f>IFERROR(__xludf.DUMMYFUNCTION("""COMPUTED_VALUE"""),"PS4")</f>
        <v>PS4</v>
      </c>
      <c r="C219" s="16" t="str">
        <f>IFERROR(__xludf.DUMMYFUNCTION("""COMPUTED_VALUE"""),"Extra (Ubisoft+ Classics)")</f>
        <v>Extra (Ubisoft+ Classics)</v>
      </c>
      <c r="D219" s="15" t="str">
        <f>IFERROR(__xludf.DUMMYFUNCTION("""COMPUTED_VALUE"""),"Active")</f>
        <v>Active</v>
      </c>
      <c r="E219" s="17">
        <f>IFERROR(__xludf.DUMMYFUNCTION("""COMPUTED_VALUE"""),44725.0)</f>
        <v>44725</v>
      </c>
      <c r="F219" s="54"/>
      <c r="G219" s="19">
        <f>IFERROR(__xludf.DUMMYFUNCTION("""COMPUTED_VALUE"""),51.766666666666666)</f>
        <v>51.76666667</v>
      </c>
      <c r="H219" s="17">
        <f>IFERROR(__xludf.DUMMYFUNCTION("""COMPUTED_VALUE"""),43522.0)</f>
        <v>43522</v>
      </c>
      <c r="I219" s="19">
        <f>IFERROR(__xludf.DUMMYFUNCTION("""COMPUTED_VALUE"""),3.297222222222222)</f>
        <v>3.297222222</v>
      </c>
      <c r="J219" s="21">
        <f>IFERROR(__xludf.DUMMYFUNCTION("""COMPUTED_VALUE"""),79.0)</f>
        <v>79</v>
      </c>
      <c r="K219" s="23">
        <f>IFERROR(__xludf.DUMMYFUNCTION("""COMPUTED_VALUE"""),6.5)</f>
        <v>6.5</v>
      </c>
      <c r="L219" s="24">
        <f>IFERROR(__xludf.DUMMYFUNCTION("""COMPUTED_VALUE"""),13.0)</f>
        <v>13</v>
      </c>
      <c r="M219" s="25" t="str">
        <f>IFERROR(__xludf.DUMMYFUNCTION("""COMPUTED_VALUE"""),"Racing")</f>
        <v>Racing</v>
      </c>
      <c r="N219" s="25"/>
      <c r="O219" s="26" t="str">
        <f>IFERROR(__xludf.DUMMYFUNCTION("""COMPUTED_VALUE"""),"Yes")</f>
        <v>Yes</v>
      </c>
      <c r="P219" s="26" t="str">
        <f>IFERROR(__xludf.DUMMYFUNCTION("""COMPUTED_VALUE"""),"Yes")</f>
        <v>Yes</v>
      </c>
    </row>
    <row r="220">
      <c r="A220" s="13" t="str">
        <f>IFERROR(__xludf.DUMMYFUNCTION("""COMPUTED_VALUE"""),"echochrome")</f>
        <v>echochrome</v>
      </c>
      <c r="B220" s="15" t="str">
        <f>IFERROR(__xludf.DUMMYFUNCTION("""COMPUTED_VALUE"""),"PS5/PS4")</f>
        <v>PS5/PS4</v>
      </c>
      <c r="C220" s="16" t="str">
        <f>IFERROR(__xludf.DUMMYFUNCTION("""COMPUTED_VALUE"""),"Premium (Classics)")</f>
        <v>Premium (Classics)</v>
      </c>
      <c r="D220" s="15" t="str">
        <f>IFERROR(__xludf.DUMMYFUNCTION("""COMPUTED_VALUE"""),"Active")</f>
        <v>Active</v>
      </c>
      <c r="E220" s="17">
        <f>IFERROR(__xludf.DUMMYFUNCTION("""COMPUTED_VALUE"""),44725.0)</f>
        <v>44725</v>
      </c>
      <c r="F220" s="54"/>
      <c r="G220" s="19">
        <f>IFERROR(__xludf.DUMMYFUNCTION("""COMPUTED_VALUE"""),51.766666666666666)</f>
        <v>51.76666667</v>
      </c>
      <c r="H220" s="17">
        <f>IFERROR(__xludf.DUMMYFUNCTION("""COMPUTED_VALUE"""),39569.0)</f>
        <v>39569</v>
      </c>
      <c r="I220" s="19">
        <f>IFERROR(__xludf.DUMMYFUNCTION("""COMPUTED_VALUE"""),14.116666666666667)</f>
        <v>14.11666667</v>
      </c>
      <c r="J220" s="21">
        <f>IFERROR(__xludf.DUMMYFUNCTION("""COMPUTED_VALUE"""),79.0)</f>
        <v>79</v>
      </c>
      <c r="K220" s="23">
        <f>IFERROR(__xludf.DUMMYFUNCTION("""COMPUTED_VALUE"""),7.4)</f>
        <v>7.4</v>
      </c>
      <c r="L220" s="24">
        <f>IFERROR(__xludf.DUMMYFUNCTION("""COMPUTED_VALUE"""),4.0)</f>
        <v>4</v>
      </c>
      <c r="M220" s="25" t="str">
        <f>IFERROR(__xludf.DUMMYFUNCTION("""COMPUTED_VALUE"""),"Puzzle")</f>
        <v>Puzzle</v>
      </c>
      <c r="N220" s="25" t="str">
        <f>IFERROR(__xludf.DUMMYFUNCTION("""COMPUTED_VALUE"""),"PSP")</f>
        <v>PSP</v>
      </c>
      <c r="O220" s="26" t="str">
        <f>IFERROR(__xludf.DUMMYFUNCTION("""COMPUTED_VALUE"""),"No")</f>
        <v>No</v>
      </c>
      <c r="P220" s="26" t="str">
        <f>IFERROR(__xludf.DUMMYFUNCTION("""COMPUTED_VALUE"""),"")</f>
        <v/>
      </c>
    </row>
    <row r="221">
      <c r="A221" s="13" t="str">
        <f>IFERROR(__xludf.DUMMYFUNCTION("""COMPUTED_VALUE"""),"LocoRoco 2: Remastered")</f>
        <v>LocoRoco 2: Remastered</v>
      </c>
      <c r="B221" s="15" t="str">
        <f>IFERROR(__xludf.DUMMYFUNCTION("""COMPUTED_VALUE"""),"PS4")</f>
        <v>PS4</v>
      </c>
      <c r="C221" s="16" t="str">
        <f>IFERROR(__xludf.DUMMYFUNCTION("""COMPUTED_VALUE"""),"Premium (Remasters)")</f>
        <v>Premium (Remasters)</v>
      </c>
      <c r="D221" s="15" t="str">
        <f>IFERROR(__xludf.DUMMYFUNCTION("""COMPUTED_VALUE"""),"Active")</f>
        <v>Active</v>
      </c>
      <c r="E221" s="17">
        <f>IFERROR(__xludf.DUMMYFUNCTION("""COMPUTED_VALUE"""),44725.0)</f>
        <v>44725</v>
      </c>
      <c r="F221" s="54"/>
      <c r="G221" s="19">
        <f>IFERROR(__xludf.DUMMYFUNCTION("""COMPUTED_VALUE"""),51.766666666666666)</f>
        <v>51.76666667</v>
      </c>
      <c r="H221" s="17">
        <f>IFERROR(__xludf.DUMMYFUNCTION("""COMPUTED_VALUE"""),43070.0)</f>
        <v>43070</v>
      </c>
      <c r="I221" s="19">
        <f>IFERROR(__xludf.DUMMYFUNCTION("""COMPUTED_VALUE"""),4.533333333333333)</f>
        <v>4.533333333</v>
      </c>
      <c r="J221" s="21">
        <f>IFERROR(__xludf.DUMMYFUNCTION("""COMPUTED_VALUE"""),79.0)</f>
        <v>79</v>
      </c>
      <c r="K221" s="23">
        <f>IFERROR(__xludf.DUMMYFUNCTION("""COMPUTED_VALUE"""),7.5)</f>
        <v>7.5</v>
      </c>
      <c r="L221" s="24">
        <f>IFERROR(__xludf.DUMMYFUNCTION("""COMPUTED_VALUE"""),7.0)</f>
        <v>7</v>
      </c>
      <c r="M221" s="25" t="str">
        <f>IFERROR(__xludf.DUMMYFUNCTION("""COMPUTED_VALUE"""),"Platformer")</f>
        <v>Platformer</v>
      </c>
      <c r="N221" s="25" t="str">
        <f>IFERROR(__xludf.DUMMYFUNCTION("""COMPUTED_VALUE"""),"PSP")</f>
        <v>PSP</v>
      </c>
      <c r="O221" s="26" t="str">
        <f>IFERROR(__xludf.DUMMYFUNCTION("""COMPUTED_VALUE"""),"No")</f>
        <v>No</v>
      </c>
      <c r="P221" s="26"/>
    </row>
    <row r="222">
      <c r="A222" s="13" t="str">
        <f>IFERROR(__xludf.DUMMYFUNCTION("""COMPUTED_VALUE"""),"Warhammer Vermintide 2")</f>
        <v>Warhammer Vermintide 2</v>
      </c>
      <c r="B222" s="15" t="str">
        <f>IFERROR(__xludf.DUMMYFUNCTION("""COMPUTED_VALUE"""),"PS4")</f>
        <v>PS4</v>
      </c>
      <c r="C222" s="16" t="str">
        <f>IFERROR(__xludf.DUMMYFUNCTION("""COMPUTED_VALUE"""),"Extra")</f>
        <v>Extra</v>
      </c>
      <c r="D222" s="15" t="str">
        <f>IFERROR(__xludf.DUMMYFUNCTION("""COMPUTED_VALUE"""),"Active")</f>
        <v>Active</v>
      </c>
      <c r="E222" s="17">
        <f>IFERROR(__xludf.DUMMYFUNCTION("""COMPUTED_VALUE"""),44138.0)</f>
        <v>44138</v>
      </c>
      <c r="F222" s="54"/>
      <c r="G222" s="19">
        <f>IFERROR(__xludf.DUMMYFUNCTION("""COMPUTED_VALUE"""),71.1)</f>
        <v>71.1</v>
      </c>
      <c r="H222" s="17">
        <f>IFERROR(__xludf.DUMMYFUNCTION("""COMPUTED_VALUE"""),43167.0)</f>
        <v>43167</v>
      </c>
      <c r="I222" s="19">
        <f>IFERROR(__xludf.DUMMYFUNCTION("""COMPUTED_VALUE"""),2.6527777777777777)</f>
        <v>2.652777778</v>
      </c>
      <c r="J222" s="21">
        <f>IFERROR(__xludf.DUMMYFUNCTION("""COMPUTED_VALUE"""),79.0)</f>
        <v>79</v>
      </c>
      <c r="K222" s="23">
        <f>IFERROR(__xludf.DUMMYFUNCTION("""COMPUTED_VALUE"""),7.7)</f>
        <v>7.7</v>
      </c>
      <c r="L222" s="24">
        <f>IFERROR(__xludf.DUMMYFUNCTION("""COMPUTED_VALUE"""),24.0)</f>
        <v>24</v>
      </c>
      <c r="M222" s="25" t="str">
        <f>IFERROR(__xludf.DUMMYFUNCTION("""COMPUTED_VALUE"""),"Action-Adventure")</f>
        <v>Action-Adventure</v>
      </c>
      <c r="N222" s="25"/>
      <c r="O222" s="26" t="str">
        <f>IFERROR(__xludf.DUMMYFUNCTION("""COMPUTED_VALUE"""),"Yes")</f>
        <v>Yes</v>
      </c>
      <c r="P222" s="26"/>
    </row>
    <row r="223">
      <c r="A223" s="13" t="str">
        <f>IFERROR(__xludf.DUMMYFUNCTION("""COMPUTED_VALUE"""),"Wolfenstein: The New Order")</f>
        <v>Wolfenstein: The New Order</v>
      </c>
      <c r="B223" s="15" t="str">
        <f>IFERROR(__xludf.DUMMYFUNCTION("""COMPUTED_VALUE"""),"PS4")</f>
        <v>PS4</v>
      </c>
      <c r="C223" s="16" t="str">
        <f>IFERROR(__xludf.DUMMYFUNCTION("""COMPUTED_VALUE"""),"Extra")</f>
        <v>Extra</v>
      </c>
      <c r="D223" s="15" t="str">
        <f>IFERROR(__xludf.DUMMYFUNCTION("""COMPUTED_VALUE"""),"Active")</f>
        <v>Active</v>
      </c>
      <c r="E223" s="17">
        <f>IFERROR(__xludf.DUMMYFUNCTION("""COMPUTED_VALUE"""),43683.0)</f>
        <v>43683</v>
      </c>
      <c r="F223" s="54"/>
      <c r="G223" s="19">
        <f>IFERROR(__xludf.DUMMYFUNCTION("""COMPUTED_VALUE"""),86.0)</f>
        <v>86</v>
      </c>
      <c r="H223" s="17">
        <f>IFERROR(__xludf.DUMMYFUNCTION("""COMPUTED_VALUE"""),41779.0)</f>
        <v>41779</v>
      </c>
      <c r="I223" s="19">
        <f>IFERROR(__xludf.DUMMYFUNCTION("""COMPUTED_VALUE"""),5.211111111111111)</f>
        <v>5.211111111</v>
      </c>
      <c r="J223" s="21">
        <f>IFERROR(__xludf.DUMMYFUNCTION("""COMPUTED_VALUE"""),79.0)</f>
        <v>79</v>
      </c>
      <c r="K223" s="23">
        <f>IFERROR(__xludf.DUMMYFUNCTION("""COMPUTED_VALUE"""),8.3)</f>
        <v>8.3</v>
      </c>
      <c r="L223" s="24">
        <f>IFERROR(__xludf.DUMMYFUNCTION("""COMPUTED_VALUE"""),11.0)</f>
        <v>11</v>
      </c>
      <c r="M223" s="25" t="str">
        <f>IFERROR(__xludf.DUMMYFUNCTION("""COMPUTED_VALUE"""),"Shooter")</f>
        <v>Shooter</v>
      </c>
      <c r="N223" s="25"/>
      <c r="O223" s="26" t="str">
        <f>IFERROR(__xludf.DUMMYFUNCTION("""COMPUTED_VALUE"""),"Yes")</f>
        <v>Yes</v>
      </c>
      <c r="P223" s="26"/>
    </row>
    <row r="224">
      <c r="A224" s="13" t="str">
        <f>IFERROR(__xludf.DUMMYFUNCTION("""COMPUTED_VALUE"""),"GAROU: Mark of the Wolves")</f>
        <v>GAROU: Mark of the Wolves</v>
      </c>
      <c r="B224" s="15" t="str">
        <f>IFERROR(__xludf.DUMMYFUNCTION("""COMPUTED_VALUE"""),"PS4")</f>
        <v>PS4</v>
      </c>
      <c r="C224" s="16" t="str">
        <f>IFERROR(__xludf.DUMMYFUNCTION("""COMPUTED_VALUE"""),"Premium (Classics)")</f>
        <v>Premium (Classics)</v>
      </c>
      <c r="D224" s="15" t="str">
        <f>IFERROR(__xludf.DUMMYFUNCTION("""COMPUTED_VALUE"""),"Active")</f>
        <v>Active</v>
      </c>
      <c r="E224" s="17">
        <f>IFERROR(__xludf.DUMMYFUNCTION("""COMPUTED_VALUE"""),43438.0)</f>
        <v>43438</v>
      </c>
      <c r="F224" s="54"/>
      <c r="G224" s="19">
        <f>IFERROR(__xludf.DUMMYFUNCTION("""COMPUTED_VALUE"""),94.06666666666666)</f>
        <v>94.06666667</v>
      </c>
      <c r="H224" s="17">
        <f>IFERROR(__xludf.DUMMYFUNCTION("""COMPUTED_VALUE"""),36490.0)</f>
        <v>36490</v>
      </c>
      <c r="I224" s="19">
        <f>IFERROR(__xludf.DUMMYFUNCTION("""COMPUTED_VALUE"""),19.022222222222222)</f>
        <v>19.02222222</v>
      </c>
      <c r="J224" s="21">
        <f>IFERROR(__xludf.DUMMYFUNCTION("""COMPUTED_VALUE"""),79.0)</f>
        <v>79</v>
      </c>
      <c r="K224" s="23">
        <f>IFERROR(__xludf.DUMMYFUNCTION("""COMPUTED_VALUE"""),8.5)</f>
        <v>8.5</v>
      </c>
      <c r="L224" s="24">
        <f>IFERROR(__xludf.DUMMYFUNCTION("""COMPUTED_VALUE"""),1.0)</f>
        <v>1</v>
      </c>
      <c r="M224" s="25" t="str">
        <f>IFERROR(__xludf.DUMMYFUNCTION("""COMPUTED_VALUE"""),"Fighting")</f>
        <v>Fighting</v>
      </c>
      <c r="N224" s="25" t="str">
        <f>IFERROR(__xludf.DUMMYFUNCTION("""COMPUTED_VALUE"""),"PS2")</f>
        <v>PS2</v>
      </c>
      <c r="O224" s="26" t="str">
        <f>IFERROR(__xludf.DUMMYFUNCTION("""COMPUTED_VALUE"""),"Yes")</f>
        <v>Yes</v>
      </c>
      <c r="P224" s="26"/>
    </row>
    <row r="225">
      <c r="A225" s="13" t="str">
        <f>IFERROR(__xludf.DUMMYFUNCTION("""COMPUTED_VALUE"""),"Super Star Wars")</f>
        <v>Super Star Wars</v>
      </c>
      <c r="B225" s="15" t="str">
        <f>IFERROR(__xludf.DUMMYFUNCTION("""COMPUTED_VALUE"""),"PS4")</f>
        <v>PS4</v>
      </c>
      <c r="C225" s="16" t="str">
        <f>IFERROR(__xludf.DUMMYFUNCTION("""COMPUTED_VALUE"""),"Premium (Classics)")</f>
        <v>Premium (Classics)</v>
      </c>
      <c r="D225" s="15" t="str">
        <f>IFERROR(__xludf.DUMMYFUNCTION("""COMPUTED_VALUE"""),"Active")</f>
        <v>Active</v>
      </c>
      <c r="E225" s="17">
        <f>IFERROR(__xludf.DUMMYFUNCTION("""COMPUTED_VALUE"""),43438.0)</f>
        <v>43438</v>
      </c>
      <c r="F225" s="54"/>
      <c r="G225" s="19">
        <f>IFERROR(__xludf.DUMMYFUNCTION("""COMPUTED_VALUE"""),94.06666666666666)</f>
        <v>94.06666667</v>
      </c>
      <c r="H225" s="17">
        <f>IFERROR(__xludf.DUMMYFUNCTION("""COMPUTED_VALUE"""),33909.0)</f>
        <v>33909</v>
      </c>
      <c r="I225" s="19">
        <f>IFERROR(__xludf.DUMMYFUNCTION("""COMPUTED_VALUE"""),26.091666666666665)</f>
        <v>26.09166667</v>
      </c>
      <c r="J225" s="21">
        <f>IFERROR(__xludf.DUMMYFUNCTION("""COMPUTED_VALUE"""),79.0)</f>
        <v>79</v>
      </c>
      <c r="K225" s="23">
        <f>IFERROR(__xludf.DUMMYFUNCTION("""COMPUTED_VALUE"""),8.1)</f>
        <v>8.1</v>
      </c>
      <c r="L225" s="24">
        <f>IFERROR(__xludf.DUMMYFUNCTION("""COMPUTED_VALUE"""),6.0)</f>
        <v>6</v>
      </c>
      <c r="M225" s="25" t="str">
        <f>IFERROR(__xludf.DUMMYFUNCTION("""COMPUTED_VALUE"""),"Shooter")</f>
        <v>Shooter</v>
      </c>
      <c r="N225" s="25" t="str">
        <f>IFERROR(__xludf.DUMMYFUNCTION("""COMPUTED_VALUE"""),"SNES")</f>
        <v>SNES</v>
      </c>
      <c r="O225" s="26" t="str">
        <f>IFERROR(__xludf.DUMMYFUNCTION("""COMPUTED_VALUE"""),"Yes")</f>
        <v>Yes</v>
      </c>
      <c r="P225" s="26"/>
    </row>
    <row r="226">
      <c r="A226" s="13" t="str">
        <f>IFERROR(__xludf.DUMMYFUNCTION("""COMPUTED_VALUE"""),"LocoRoco: Remastered")</f>
        <v>LocoRoco: Remastered</v>
      </c>
      <c r="B226" s="15" t="str">
        <f>IFERROR(__xludf.DUMMYFUNCTION("""COMPUTED_VALUE"""),"PS4")</f>
        <v>PS4</v>
      </c>
      <c r="C226" s="16" t="str">
        <f>IFERROR(__xludf.DUMMYFUNCTION("""COMPUTED_VALUE"""),"Premium (Remasters)")</f>
        <v>Premium (Remasters)</v>
      </c>
      <c r="D226" s="15" t="str">
        <f>IFERROR(__xludf.DUMMYFUNCTION("""COMPUTED_VALUE"""),"Active")</f>
        <v>Active</v>
      </c>
      <c r="E226" s="17">
        <f>IFERROR(__xludf.DUMMYFUNCTION("""COMPUTED_VALUE"""),43410.0)</f>
        <v>43410</v>
      </c>
      <c r="F226" s="18"/>
      <c r="G226" s="19">
        <f>IFERROR(__xludf.DUMMYFUNCTION("""COMPUTED_VALUE"""),95.0)</f>
        <v>95</v>
      </c>
      <c r="H226" s="17">
        <f>IFERROR(__xludf.DUMMYFUNCTION("""COMPUTED_VALUE"""),42979.0)</f>
        <v>42979</v>
      </c>
      <c r="I226" s="19">
        <f>IFERROR(__xludf.DUMMYFUNCTION("""COMPUTED_VALUE"""),1.1805555555555556)</f>
        <v>1.180555556</v>
      </c>
      <c r="J226" s="21">
        <f>IFERROR(__xludf.DUMMYFUNCTION("""COMPUTED_VALUE"""),79.0)</f>
        <v>79</v>
      </c>
      <c r="K226" s="23">
        <f>IFERROR(__xludf.DUMMYFUNCTION("""COMPUTED_VALUE"""),7.4)</f>
        <v>7.4</v>
      </c>
      <c r="L226" s="24">
        <f>IFERROR(__xludf.DUMMYFUNCTION("""COMPUTED_VALUE"""),6.0)</f>
        <v>6</v>
      </c>
      <c r="M226" s="25" t="str">
        <f>IFERROR(__xludf.DUMMYFUNCTION("""COMPUTED_VALUE"""),"Platformer")</f>
        <v>Platformer</v>
      </c>
      <c r="N226" s="25" t="str">
        <f>IFERROR(__xludf.DUMMYFUNCTION("""COMPUTED_VALUE"""),"PSP")</f>
        <v>PSP</v>
      </c>
      <c r="O226" s="26" t="str">
        <f>IFERROR(__xludf.DUMMYFUNCTION("""COMPUTED_VALUE"""),"Yes")</f>
        <v>Yes</v>
      </c>
      <c r="P226" s="26"/>
    </row>
    <row r="227">
      <c r="A227" s="13" t="str">
        <f>IFERROR(__xludf.DUMMYFUNCTION("""COMPUTED_VALUE"""),"Sniper Elite 4")</f>
        <v>Sniper Elite 4</v>
      </c>
      <c r="B227" s="15" t="str">
        <f>IFERROR(__xludf.DUMMYFUNCTION("""COMPUTED_VALUE"""),"PS4")</f>
        <v>PS4</v>
      </c>
      <c r="C227" s="16" t="str">
        <f>IFERROR(__xludf.DUMMYFUNCTION("""COMPUTED_VALUE"""),"Extra")</f>
        <v>Extra</v>
      </c>
      <c r="D227" s="15" t="str">
        <f>IFERROR(__xludf.DUMMYFUNCTION("""COMPUTED_VALUE"""),"Active")</f>
        <v>Active</v>
      </c>
      <c r="E227" s="17">
        <f>IFERROR(__xludf.DUMMYFUNCTION("""COMPUTED_VALUE"""),43378.0)</f>
        <v>43378</v>
      </c>
      <c r="F227" s="54"/>
      <c r="G227" s="19">
        <f>IFERROR(__xludf.DUMMYFUNCTION("""COMPUTED_VALUE"""),96.03333333333333)</f>
        <v>96.03333333</v>
      </c>
      <c r="H227" s="17">
        <f>IFERROR(__xludf.DUMMYFUNCTION("""COMPUTED_VALUE"""),42780.0)</f>
        <v>42780</v>
      </c>
      <c r="I227" s="19">
        <f>IFERROR(__xludf.DUMMYFUNCTION("""COMPUTED_VALUE"""),1.6416666666666666)</f>
        <v>1.641666667</v>
      </c>
      <c r="J227" s="21">
        <f>IFERROR(__xludf.DUMMYFUNCTION("""COMPUTED_VALUE"""),79.0)</f>
        <v>79</v>
      </c>
      <c r="K227" s="23">
        <f>IFERROR(__xludf.DUMMYFUNCTION("""COMPUTED_VALUE"""),7.7)</f>
        <v>7.7</v>
      </c>
      <c r="L227" s="24">
        <f>IFERROR(__xludf.DUMMYFUNCTION("""COMPUTED_VALUE"""),13.0)</f>
        <v>13</v>
      </c>
      <c r="M227" s="25" t="str">
        <f>IFERROR(__xludf.DUMMYFUNCTION("""COMPUTED_VALUE"""),"Shooter")</f>
        <v>Shooter</v>
      </c>
      <c r="N227" s="25"/>
      <c r="O227" s="26" t="str">
        <f>IFERROR(__xludf.DUMMYFUNCTION("""COMPUTED_VALUE"""),"Yes")</f>
        <v>Yes</v>
      </c>
      <c r="P227" s="26" t="str">
        <f>IFERROR(__xludf.DUMMYFUNCTION("""COMPUTED_VALUE"""),"Yes")</f>
        <v>Yes</v>
      </c>
    </row>
    <row r="228">
      <c r="A228" s="13" t="str">
        <f>IFERROR(__xludf.DUMMYFUNCTION("""COMPUTED_VALUE"""),"Alienation")</f>
        <v>Alienation</v>
      </c>
      <c r="B228" s="15" t="str">
        <f>IFERROR(__xludf.DUMMYFUNCTION("""COMPUTED_VALUE"""),"PS4")</f>
        <v>PS4</v>
      </c>
      <c r="C228" s="16" t="str">
        <f>IFERROR(__xludf.DUMMYFUNCTION("""COMPUTED_VALUE"""),"Extra")</f>
        <v>Extra</v>
      </c>
      <c r="D228" s="15" t="str">
        <f>IFERROR(__xludf.DUMMYFUNCTION("""COMPUTED_VALUE"""),"Active")</f>
        <v>Active</v>
      </c>
      <c r="E228" s="17">
        <f>IFERROR(__xludf.DUMMYFUNCTION("""COMPUTED_VALUE"""),43109.0)</f>
        <v>43109</v>
      </c>
      <c r="F228" s="54"/>
      <c r="G228" s="19">
        <f>IFERROR(__xludf.DUMMYFUNCTION("""COMPUTED_VALUE"""),104.9)</f>
        <v>104.9</v>
      </c>
      <c r="H228" s="17">
        <f>IFERROR(__xludf.DUMMYFUNCTION("""COMPUTED_VALUE"""),42461.0)</f>
        <v>42461</v>
      </c>
      <c r="I228" s="19">
        <f>IFERROR(__xludf.DUMMYFUNCTION("""COMPUTED_VALUE"""),1.7722222222222221)</f>
        <v>1.772222222</v>
      </c>
      <c r="J228" s="21">
        <f>IFERROR(__xludf.DUMMYFUNCTION("""COMPUTED_VALUE"""),79.0)</f>
        <v>79</v>
      </c>
      <c r="K228" s="23">
        <f>IFERROR(__xludf.DUMMYFUNCTION("""COMPUTED_VALUE"""),7.7)</f>
        <v>7.7</v>
      </c>
      <c r="L228" s="24">
        <f>IFERROR(__xludf.DUMMYFUNCTION("""COMPUTED_VALUE"""),8.0)</f>
        <v>8</v>
      </c>
      <c r="M228" s="25" t="str">
        <f>IFERROR(__xludf.DUMMYFUNCTION("""COMPUTED_VALUE"""),"Shooter")</f>
        <v>Shooter</v>
      </c>
      <c r="N228" s="25"/>
      <c r="O228" s="26" t="str">
        <f>IFERROR(__xludf.DUMMYFUNCTION("""COMPUTED_VALUE"""),"Yes")</f>
        <v>Yes</v>
      </c>
      <c r="P228" s="26" t="str">
        <f>IFERROR(__xludf.DUMMYFUNCTION("""COMPUTED_VALUE"""),"Yes")</f>
        <v>Yes</v>
      </c>
    </row>
    <row r="229">
      <c r="A229" s="13" t="str">
        <f>IFERROR(__xludf.DUMMYFUNCTION("""COMPUTED_VALUE"""),"Everybody's Golf")</f>
        <v>Everybody's Golf</v>
      </c>
      <c r="B229" s="15" t="str">
        <f>IFERROR(__xludf.DUMMYFUNCTION("""COMPUTED_VALUE"""),"PS4")</f>
        <v>PS4</v>
      </c>
      <c r="C229" s="16" t="str">
        <f>IFERROR(__xludf.DUMMYFUNCTION("""COMPUTED_VALUE"""),"Extra")</f>
        <v>Extra</v>
      </c>
      <c r="D229" s="15" t="str">
        <f>IFERROR(__xludf.DUMMYFUNCTION("""COMPUTED_VALUE"""),"Active")</f>
        <v>Active</v>
      </c>
      <c r="E229" s="17">
        <f>IFERROR(__xludf.DUMMYFUNCTION("""COMPUTED_VALUE"""),43109.0)</f>
        <v>43109</v>
      </c>
      <c r="F229" s="54"/>
      <c r="G229" s="19">
        <f>IFERROR(__xludf.DUMMYFUNCTION("""COMPUTED_VALUE"""),104.9)</f>
        <v>104.9</v>
      </c>
      <c r="H229" s="17">
        <f>IFERROR(__xludf.DUMMYFUNCTION("""COMPUTED_VALUE"""),42976.0)</f>
        <v>42976</v>
      </c>
      <c r="I229" s="19">
        <f>IFERROR(__xludf.DUMMYFUNCTION("""COMPUTED_VALUE"""),0.3611111111111111)</f>
        <v>0.3611111111</v>
      </c>
      <c r="J229" s="21">
        <f>IFERROR(__xludf.DUMMYFUNCTION("""COMPUTED_VALUE"""),79.0)</f>
        <v>79</v>
      </c>
      <c r="K229" s="23">
        <f>IFERROR(__xludf.DUMMYFUNCTION("""COMPUTED_VALUE"""),7.8)</f>
        <v>7.8</v>
      </c>
      <c r="L229" s="24">
        <f>IFERROR(__xludf.DUMMYFUNCTION("""COMPUTED_VALUE"""),16.0)</f>
        <v>16</v>
      </c>
      <c r="M229" s="25" t="str">
        <f>IFERROR(__xludf.DUMMYFUNCTION("""COMPUTED_VALUE"""),"Sports")</f>
        <v>Sports</v>
      </c>
      <c r="N229" s="25"/>
      <c r="O229" s="26" t="str">
        <f>IFERROR(__xludf.DUMMYFUNCTION("""COMPUTED_VALUE"""),"No")</f>
        <v>No</v>
      </c>
      <c r="P229" s="26" t="str">
        <f>IFERROR(__xludf.DUMMYFUNCTION("""COMPUTED_VALUE"""),"Yes")</f>
        <v>Yes</v>
      </c>
    </row>
    <row r="230">
      <c r="A230" s="13" t="str">
        <f>IFERROR(__xludf.DUMMYFUNCTION("""COMPUTED_VALUE"""),"Until Dawn")</f>
        <v>Until Dawn</v>
      </c>
      <c r="B230" s="15" t="str">
        <f>IFERROR(__xludf.DUMMYFUNCTION("""COMPUTED_VALUE"""),"PS4")</f>
        <v>PS4</v>
      </c>
      <c r="C230" s="16" t="str">
        <f>IFERROR(__xludf.DUMMYFUNCTION("""COMPUTED_VALUE"""),"Extra")</f>
        <v>Extra</v>
      </c>
      <c r="D230" s="15" t="str">
        <f>IFERROR(__xludf.DUMMYFUNCTION("""COMPUTED_VALUE"""),"Active")</f>
        <v>Active</v>
      </c>
      <c r="E230" s="17">
        <f>IFERROR(__xludf.DUMMYFUNCTION("""COMPUTED_VALUE"""),42920.0)</f>
        <v>42920</v>
      </c>
      <c r="F230" s="54"/>
      <c r="G230" s="19">
        <f>IFERROR(__xludf.DUMMYFUNCTION("""COMPUTED_VALUE"""),111.06666666666668)</f>
        <v>111.0666667</v>
      </c>
      <c r="H230" s="17">
        <f>IFERROR(__xludf.DUMMYFUNCTION("""COMPUTED_VALUE"""),42241.0)</f>
        <v>42241</v>
      </c>
      <c r="I230" s="19">
        <f>IFERROR(__xludf.DUMMYFUNCTION("""COMPUTED_VALUE"""),1.8583333333333334)</f>
        <v>1.858333333</v>
      </c>
      <c r="J230" s="21">
        <f>IFERROR(__xludf.DUMMYFUNCTION("""COMPUTED_VALUE"""),79.0)</f>
        <v>79</v>
      </c>
      <c r="K230" s="23">
        <f>IFERROR(__xludf.DUMMYFUNCTION("""COMPUTED_VALUE"""),8.3)</f>
        <v>8.3</v>
      </c>
      <c r="L230" s="24">
        <f>IFERROR(__xludf.DUMMYFUNCTION("""COMPUTED_VALUE"""),9.0)</f>
        <v>9</v>
      </c>
      <c r="M230" s="25" t="str">
        <f>IFERROR(__xludf.DUMMYFUNCTION("""COMPUTED_VALUE"""),"Horror")</f>
        <v>Horror</v>
      </c>
      <c r="N230" s="25"/>
      <c r="O230" s="26" t="str">
        <f>IFERROR(__xludf.DUMMYFUNCTION("""COMPUTED_VALUE"""),"Yes")</f>
        <v>Yes</v>
      </c>
      <c r="P230" s="26"/>
    </row>
    <row r="231">
      <c r="A231" s="13" t="str">
        <f>IFERROR(__xludf.DUMMYFUNCTION("""COMPUTED_VALUE"""),"PlateUp!")</f>
        <v>PlateUp!</v>
      </c>
      <c r="B231" s="15" t="str">
        <f>IFERROR(__xludf.DUMMYFUNCTION("""COMPUTED_VALUE"""),"PS5/PS4")</f>
        <v>PS5/PS4</v>
      </c>
      <c r="C231" s="16" t="str">
        <f>IFERROR(__xludf.DUMMYFUNCTION("""COMPUTED_VALUE"""),"Extra")</f>
        <v>Extra</v>
      </c>
      <c r="D231" s="15" t="str">
        <f>IFERROR(__xludf.DUMMYFUNCTION("""COMPUTED_VALUE"""),"Active")</f>
        <v>Active</v>
      </c>
      <c r="E231" s="17">
        <f>IFERROR(__xludf.DUMMYFUNCTION("""COMPUTED_VALUE"""),45762.0)</f>
        <v>45762</v>
      </c>
      <c r="F231" s="54"/>
      <c r="G231" s="19">
        <f>IFERROR(__xludf.DUMMYFUNCTION("""COMPUTED_VALUE"""),17.700000000000003)</f>
        <v>17.7</v>
      </c>
      <c r="H231" s="17">
        <f>IFERROR(__xludf.DUMMYFUNCTION("""COMPUTED_VALUE"""),44777.0)</f>
        <v>44777</v>
      </c>
      <c r="I231" s="19">
        <f>IFERROR(__xludf.DUMMYFUNCTION("""COMPUTED_VALUE"""),2.6972222222222224)</f>
        <v>2.697222222</v>
      </c>
      <c r="J231" s="21">
        <f>IFERROR(__xludf.DUMMYFUNCTION("""COMPUTED_VALUE"""),78.33333333333333)</f>
        <v>78.33333333</v>
      </c>
      <c r="K231" s="23">
        <f>IFERROR(__xludf.DUMMYFUNCTION("""COMPUTED_VALUE"""),6.9)</f>
        <v>6.9</v>
      </c>
      <c r="L231" s="24">
        <f>IFERROR(__xludf.DUMMYFUNCTION("""COMPUTED_VALUE"""),16.0)</f>
        <v>16</v>
      </c>
      <c r="M231" s="25" t="str">
        <f>IFERROR(__xludf.DUMMYFUNCTION("""COMPUTED_VALUE"""),"Arcade")</f>
        <v>Arcade</v>
      </c>
      <c r="N231" s="25"/>
      <c r="O231" s="26"/>
      <c r="P231" s="26"/>
    </row>
    <row r="232">
      <c r="A232" s="13" t="str">
        <f>IFERROR(__xludf.DUMMYFUNCTION("""COMPUTED_VALUE"""),"Insurgency: Sandstorm")</f>
        <v>Insurgency: Sandstorm</v>
      </c>
      <c r="B232" s="15" t="str">
        <f>IFERROR(__xludf.DUMMYFUNCTION("""COMPUTED_VALUE"""),"PS5/PS4")</f>
        <v>PS5/PS4</v>
      </c>
      <c r="C232" s="16" t="str">
        <f>IFERROR(__xludf.DUMMYFUNCTION("""COMPUTED_VALUE"""),"Extra")</f>
        <v>Extra</v>
      </c>
      <c r="D232" s="15" t="str">
        <f>IFERROR(__xludf.DUMMYFUNCTION("""COMPUTED_VALUE"""),"Active")</f>
        <v>Active</v>
      </c>
      <c r="E232" s="17">
        <f>IFERROR(__xludf.DUMMYFUNCTION("""COMPUTED_VALUE"""),45979.0)</f>
        <v>45979</v>
      </c>
      <c r="F232" s="54"/>
      <c r="G232" s="19">
        <f>IFERROR(__xludf.DUMMYFUNCTION("""COMPUTED_VALUE"""),10.6)</f>
        <v>10.6</v>
      </c>
      <c r="H232" s="17">
        <f>IFERROR(__xludf.DUMMYFUNCTION("""COMPUTED_VALUE"""),43446.0)</f>
        <v>43446</v>
      </c>
      <c r="I232" s="19">
        <f>IFERROR(__xludf.DUMMYFUNCTION("""COMPUTED_VALUE"""),6.933333333333334)</f>
        <v>6.933333333</v>
      </c>
      <c r="J232" s="21">
        <f>IFERROR(__xludf.DUMMYFUNCTION("""COMPUTED_VALUE"""),78.0)</f>
        <v>78</v>
      </c>
      <c r="K232" s="23">
        <f>IFERROR(__xludf.DUMMYFUNCTION("""COMPUTED_VALUE"""),8.0)</f>
        <v>8</v>
      </c>
      <c r="L232" s="24" t="str">
        <f>IFERROR(__xludf.DUMMYFUNCTION("""COMPUTED_VALUE"""),"15")</f>
        <v>15</v>
      </c>
      <c r="M232" s="25" t="str">
        <f>IFERROR(__xludf.DUMMYFUNCTION("""COMPUTED_VALUE"""),"Shooter")</f>
        <v>Shooter</v>
      </c>
      <c r="N232" s="25"/>
      <c r="O232" s="26"/>
      <c r="P232" s="26"/>
    </row>
    <row r="233">
      <c r="A233" s="13" t="str">
        <f>IFERROR(__xludf.DUMMYFUNCTION("""COMPUTED_VALUE"""),"Green Hell")</f>
        <v>Green Hell</v>
      </c>
      <c r="B233" s="15" t="str">
        <f>IFERROR(__xludf.DUMMYFUNCTION("""COMPUTED_VALUE"""),"PS5/PS4")</f>
        <v>PS5/PS4</v>
      </c>
      <c r="C233" s="16" t="str">
        <f>IFERROR(__xludf.DUMMYFUNCTION("""COMPUTED_VALUE"""),"Extra")</f>
        <v>Extra</v>
      </c>
      <c r="D233" s="15" t="str">
        <f>IFERROR(__xludf.DUMMYFUNCTION("""COMPUTED_VALUE"""),"Active")</f>
        <v>Active</v>
      </c>
      <c r="E233" s="17">
        <f>IFERROR(__xludf.DUMMYFUNCTION("""COMPUTED_VALUE"""),45916.0)</f>
        <v>45916</v>
      </c>
      <c r="F233" s="54"/>
      <c r="G233" s="19">
        <f>IFERROR(__xludf.DUMMYFUNCTION("""COMPUTED_VALUE"""),12.666666666666668)</f>
        <v>12.66666667</v>
      </c>
      <c r="H233" s="17">
        <f>IFERROR(__xludf.DUMMYFUNCTION("""COMPUTED_VALUE"""),43713.0)</f>
        <v>43713</v>
      </c>
      <c r="I233" s="19">
        <f>IFERROR(__xludf.DUMMYFUNCTION("""COMPUTED_VALUE"""),6.030555555555556)</f>
        <v>6.030555556</v>
      </c>
      <c r="J233" s="21">
        <f>IFERROR(__xludf.DUMMYFUNCTION("""COMPUTED_VALUE"""),78.0)</f>
        <v>78</v>
      </c>
      <c r="K233" s="23">
        <f>IFERROR(__xludf.DUMMYFUNCTION("""COMPUTED_VALUE"""),7.5)</f>
        <v>7.5</v>
      </c>
      <c r="L233" s="24">
        <f>IFERROR(__xludf.DUMMYFUNCTION("""COMPUTED_VALUE"""),17.0)</f>
        <v>17</v>
      </c>
      <c r="M233" s="25" t="str">
        <f>IFERROR(__xludf.DUMMYFUNCTION("""COMPUTED_VALUE"""),"Survival")</f>
        <v>Survival</v>
      </c>
      <c r="N233" s="25"/>
      <c r="O233" s="26"/>
      <c r="P233" s="26"/>
    </row>
    <row r="234">
      <c r="A234" s="13" t="str">
        <f>IFERROR(__xludf.DUMMYFUNCTION("""COMPUTED_VALUE"""),"Armored Core: Project Phantasma")</f>
        <v>Armored Core: Project Phantasma</v>
      </c>
      <c r="B234" s="15" t="str">
        <f>IFERROR(__xludf.DUMMYFUNCTION("""COMPUTED_VALUE"""),"PS5/PS4")</f>
        <v>PS5/PS4</v>
      </c>
      <c r="C234" s="16" t="str">
        <f>IFERROR(__xludf.DUMMYFUNCTION("""COMPUTED_VALUE"""),"Premium (Classics)")</f>
        <v>Premium (Classics)</v>
      </c>
      <c r="D234" s="15" t="str">
        <f>IFERROR(__xludf.DUMMYFUNCTION("""COMPUTED_VALUE"""),"Active")</f>
        <v>Active</v>
      </c>
      <c r="E234" s="17">
        <f>IFERROR(__xludf.DUMMYFUNCTION("""COMPUTED_VALUE"""),45734.0)</f>
        <v>45734</v>
      </c>
      <c r="F234" s="54"/>
      <c r="G234" s="19">
        <f>IFERROR(__xludf.DUMMYFUNCTION("""COMPUTED_VALUE"""),18.6)</f>
        <v>18.6</v>
      </c>
      <c r="H234" s="17">
        <f>IFERROR(__xludf.DUMMYFUNCTION("""COMPUTED_VALUE"""),36042.0)</f>
        <v>36042</v>
      </c>
      <c r="I234" s="19">
        <f>IFERROR(__xludf.DUMMYFUNCTION("""COMPUTED_VALUE"""),26.538888888888888)</f>
        <v>26.53888889</v>
      </c>
      <c r="J234" s="21">
        <f>IFERROR(__xludf.DUMMYFUNCTION("""COMPUTED_VALUE"""),78.0)</f>
        <v>78</v>
      </c>
      <c r="K234" s="23">
        <f>IFERROR(__xludf.DUMMYFUNCTION("""COMPUTED_VALUE"""),8.1)</f>
        <v>8.1</v>
      </c>
      <c r="L234" s="24">
        <f>IFERROR(__xludf.DUMMYFUNCTION("""COMPUTED_VALUE"""),4.0)</f>
        <v>4</v>
      </c>
      <c r="M234" s="25" t="str">
        <f>IFERROR(__xludf.DUMMYFUNCTION("""COMPUTED_VALUE"""),"RPG")</f>
        <v>RPG</v>
      </c>
      <c r="N234" s="25" t="str">
        <f>IFERROR(__xludf.DUMMYFUNCTION("""COMPUTED_VALUE"""),"PS1")</f>
        <v>PS1</v>
      </c>
      <c r="O234" s="26" t="str">
        <f>IFERROR(__xludf.DUMMYFUNCTION("""COMPUTED_VALUE"""),"Yes")</f>
        <v>Yes</v>
      </c>
      <c r="P234" s="26"/>
    </row>
    <row r="235">
      <c r="A235" s="13" t="str">
        <f>IFERROR(__xludf.DUMMYFUNCTION("""COMPUTED_VALUE"""),"Dropship: United Peace Force")</f>
        <v>Dropship: United Peace Force</v>
      </c>
      <c r="B235" s="15" t="str">
        <f>IFERROR(__xludf.DUMMYFUNCTION("""COMPUTED_VALUE"""),"PS5/PS4")</f>
        <v>PS5/PS4</v>
      </c>
      <c r="C235" s="16" t="str">
        <f>IFERROR(__xludf.DUMMYFUNCTION("""COMPUTED_VALUE"""),"Premium (Classics)")</f>
        <v>Premium (Classics)</v>
      </c>
      <c r="D235" s="15" t="str">
        <f>IFERROR(__xludf.DUMMYFUNCTION("""COMPUTED_VALUE"""),"Active")</f>
        <v>Active</v>
      </c>
      <c r="E235" s="17">
        <f>IFERROR(__xludf.DUMMYFUNCTION("""COMPUTED_VALUE"""),45705.0)</f>
        <v>45705</v>
      </c>
      <c r="F235" s="54"/>
      <c r="G235" s="19">
        <f>IFERROR(__xludf.DUMMYFUNCTION("""COMPUTED_VALUE"""),19.633333333333333)</f>
        <v>19.63333333</v>
      </c>
      <c r="H235" s="17">
        <f>IFERROR(__xludf.DUMMYFUNCTION("""COMPUTED_VALUE"""),37405.0)</f>
        <v>37405</v>
      </c>
      <c r="I235" s="19">
        <f>IFERROR(__xludf.DUMMYFUNCTION("""COMPUTED_VALUE"""),22.716666666666665)</f>
        <v>22.71666667</v>
      </c>
      <c r="J235" s="21">
        <f>IFERROR(__xludf.DUMMYFUNCTION("""COMPUTED_VALUE"""),78.0)</f>
        <v>78</v>
      </c>
      <c r="K235" s="23">
        <f>IFERROR(__xludf.DUMMYFUNCTION("""COMPUTED_VALUE"""),8.8)</f>
        <v>8.8</v>
      </c>
      <c r="L235" s="24">
        <f>IFERROR(__xludf.DUMMYFUNCTION("""COMPUTED_VALUE"""),12.0)</f>
        <v>12</v>
      </c>
      <c r="M235" s="25" t="str">
        <f>IFERROR(__xludf.DUMMYFUNCTION("""COMPUTED_VALUE"""),"Simulation")</f>
        <v>Simulation</v>
      </c>
      <c r="N235" s="25" t="str">
        <f>IFERROR(__xludf.DUMMYFUNCTION("""COMPUTED_VALUE"""),"PS2")</f>
        <v>PS2</v>
      </c>
      <c r="O235" s="26" t="str">
        <f>IFERROR(__xludf.DUMMYFUNCTION("""COMPUTED_VALUE"""),"Yes")</f>
        <v>Yes</v>
      </c>
      <c r="P235" s="26"/>
    </row>
    <row r="236">
      <c r="A236" s="13" t="str">
        <f>IFERROR(__xludf.DUMMYFUNCTION("""COMPUTED_VALUE"""),"PHOGS!")</f>
        <v>PHOGS!</v>
      </c>
      <c r="B236" s="15" t="str">
        <f>IFERROR(__xludf.DUMMYFUNCTION("""COMPUTED_VALUE"""),"PS5/PS4")</f>
        <v>PS5/PS4</v>
      </c>
      <c r="C236" s="16" t="str">
        <f>IFERROR(__xludf.DUMMYFUNCTION("""COMPUTED_VALUE"""),"Extra")</f>
        <v>Extra</v>
      </c>
      <c r="D236" s="15" t="str">
        <f>IFERROR(__xludf.DUMMYFUNCTION("""COMPUTED_VALUE"""),"Active")</f>
        <v>Active</v>
      </c>
      <c r="E236" s="17">
        <f>IFERROR(__xludf.DUMMYFUNCTION("""COMPUTED_VALUE"""),45643.0)</f>
        <v>45643</v>
      </c>
      <c r="F236" s="54"/>
      <c r="G236" s="19">
        <f>IFERROR(__xludf.DUMMYFUNCTION("""COMPUTED_VALUE"""),21.633333333333333)</f>
        <v>21.63333333</v>
      </c>
      <c r="H236" s="17">
        <f>IFERROR(__xludf.DUMMYFUNCTION("""COMPUTED_VALUE"""),44168.0)</f>
        <v>44168</v>
      </c>
      <c r="I236" s="19">
        <f>IFERROR(__xludf.DUMMYFUNCTION("""COMPUTED_VALUE"""),4.038888888888889)</f>
        <v>4.038888889</v>
      </c>
      <c r="J236" s="21">
        <f>IFERROR(__xludf.DUMMYFUNCTION("""COMPUTED_VALUE"""),78.0)</f>
        <v>78</v>
      </c>
      <c r="K236" s="23">
        <f>IFERROR(__xludf.DUMMYFUNCTION("""COMPUTED_VALUE"""),7.5)</f>
        <v>7.5</v>
      </c>
      <c r="L236" s="24">
        <f>IFERROR(__xludf.DUMMYFUNCTION("""COMPUTED_VALUE"""),8.0)</f>
        <v>8</v>
      </c>
      <c r="M236" s="25" t="str">
        <f>IFERROR(__xludf.DUMMYFUNCTION("""COMPUTED_VALUE"""),"Action-Adventure")</f>
        <v>Action-Adventure</v>
      </c>
      <c r="N236" s="25"/>
      <c r="O236" s="26" t="str">
        <f>IFERROR(__xludf.DUMMYFUNCTION("""COMPUTED_VALUE"""),"No")</f>
        <v>No</v>
      </c>
      <c r="P236" s="26"/>
    </row>
    <row r="237">
      <c r="A237" s="13" t="str">
        <f>IFERROR(__xludf.DUMMYFUNCTION("""COMPUTED_VALUE"""),"Killer Frequency")</f>
        <v>Killer Frequency</v>
      </c>
      <c r="B237" s="15" t="str">
        <f>IFERROR(__xludf.DUMMYFUNCTION("""COMPUTED_VALUE"""),"PS5/PS4")</f>
        <v>PS5/PS4</v>
      </c>
      <c r="C237" s="16" t="str">
        <f>IFERROR(__xludf.DUMMYFUNCTION("""COMPUTED_VALUE"""),"Extra")</f>
        <v>Extra</v>
      </c>
      <c r="D237" s="15" t="str">
        <f>IFERROR(__xludf.DUMMYFUNCTION("""COMPUTED_VALUE"""),"Active")</f>
        <v>Active</v>
      </c>
      <c r="E237" s="17">
        <f>IFERROR(__xludf.DUMMYFUNCTION("""COMPUTED_VALUE"""),45615.0)</f>
        <v>45615</v>
      </c>
      <c r="F237" s="54"/>
      <c r="G237" s="19">
        <f>IFERROR(__xludf.DUMMYFUNCTION("""COMPUTED_VALUE"""),22.566666666666666)</f>
        <v>22.56666667</v>
      </c>
      <c r="H237" s="17">
        <f>IFERROR(__xludf.DUMMYFUNCTION("""COMPUTED_VALUE"""),45078.0)</f>
        <v>45078</v>
      </c>
      <c r="I237" s="19">
        <f>IFERROR(__xludf.DUMMYFUNCTION("""COMPUTED_VALUE"""),1.4666666666666666)</f>
        <v>1.466666667</v>
      </c>
      <c r="J237" s="21">
        <f>IFERROR(__xludf.DUMMYFUNCTION("""COMPUTED_VALUE"""),78.0)</f>
        <v>78</v>
      </c>
      <c r="K237" s="23">
        <f>IFERROR(__xludf.DUMMYFUNCTION("""COMPUTED_VALUE"""),7.8)</f>
        <v>7.8</v>
      </c>
      <c r="L237" s="24">
        <f>IFERROR(__xludf.DUMMYFUNCTION("""COMPUTED_VALUE"""),5.0)</f>
        <v>5</v>
      </c>
      <c r="M237" s="25" t="str">
        <f>IFERROR(__xludf.DUMMYFUNCTION("""COMPUTED_VALUE"""),"Action-Adventure")</f>
        <v>Action-Adventure</v>
      </c>
      <c r="N237" s="25"/>
      <c r="O237" s="26" t="str">
        <f>IFERROR(__xludf.DUMMYFUNCTION("""COMPUTED_VALUE"""),"Yes")</f>
        <v>Yes</v>
      </c>
      <c r="P237" s="26"/>
    </row>
    <row r="238">
      <c r="A238" s="13" t="str">
        <f>IFERROR(__xludf.DUMMYFUNCTION("""COMPUTED_VALUE"""),"Construction Simulator")</f>
        <v>Construction Simulator</v>
      </c>
      <c r="B238" s="15" t="str">
        <f>IFERROR(__xludf.DUMMYFUNCTION("""COMPUTED_VALUE"""),"PS5/PS4")</f>
        <v>PS5/PS4</v>
      </c>
      <c r="C238" s="16" t="str">
        <f>IFERROR(__xludf.DUMMYFUNCTION("""COMPUTED_VALUE"""),"Extra")</f>
        <v>Extra</v>
      </c>
      <c r="D238" s="15" t="str">
        <f>IFERROR(__xludf.DUMMYFUNCTION("""COMPUTED_VALUE"""),"Active")</f>
        <v>Active</v>
      </c>
      <c r="E238" s="17">
        <f>IFERROR(__xludf.DUMMYFUNCTION("""COMPUTED_VALUE"""),45398.0)</f>
        <v>45398</v>
      </c>
      <c r="F238" s="54"/>
      <c r="G238" s="19">
        <f>IFERROR(__xludf.DUMMYFUNCTION("""COMPUTED_VALUE"""),29.666666666666668)</f>
        <v>29.66666667</v>
      </c>
      <c r="H238" s="17">
        <f>IFERROR(__xludf.DUMMYFUNCTION("""COMPUTED_VALUE"""),44824.0)</f>
        <v>44824</v>
      </c>
      <c r="I238" s="19">
        <f>IFERROR(__xludf.DUMMYFUNCTION("""COMPUTED_VALUE"""),1.5722222222222222)</f>
        <v>1.572222222</v>
      </c>
      <c r="J238" s="21">
        <f>IFERROR(__xludf.DUMMYFUNCTION("""COMPUTED_VALUE"""),78.0)</f>
        <v>78</v>
      </c>
      <c r="K238" s="23">
        <f>IFERROR(__xludf.DUMMYFUNCTION("""COMPUTED_VALUE"""),6.4)</f>
        <v>6.4</v>
      </c>
      <c r="L238" s="24">
        <f>IFERROR(__xludf.DUMMYFUNCTION("""COMPUTED_VALUE"""),45.0)</f>
        <v>45</v>
      </c>
      <c r="M238" s="25" t="str">
        <f>IFERROR(__xludf.DUMMYFUNCTION("""COMPUTED_VALUE"""),"Simulation")</f>
        <v>Simulation</v>
      </c>
      <c r="N238" s="25"/>
      <c r="O238" s="26" t="str">
        <f>IFERROR(__xludf.DUMMYFUNCTION("""COMPUTED_VALUE"""),"Yes")</f>
        <v>Yes</v>
      </c>
      <c r="P238" s="26"/>
    </row>
    <row r="239">
      <c r="A239" s="13" t="str">
        <f>IFERROR(__xludf.DUMMYFUNCTION("""COMPUTED_VALUE"""),"Cool Boarders")</f>
        <v>Cool Boarders</v>
      </c>
      <c r="B239" s="15" t="str">
        <f>IFERROR(__xludf.DUMMYFUNCTION("""COMPUTED_VALUE"""),"PS5/PS4")</f>
        <v>PS5/PS4</v>
      </c>
      <c r="C239" s="16" t="str">
        <f>IFERROR(__xludf.DUMMYFUNCTION("""COMPUTED_VALUE"""),"Premium (Classics)")</f>
        <v>Premium (Classics)</v>
      </c>
      <c r="D239" s="15" t="str">
        <f>IFERROR(__xludf.DUMMYFUNCTION("""COMPUTED_VALUE"""),"Active")</f>
        <v>Active</v>
      </c>
      <c r="E239" s="17">
        <f>IFERROR(__xludf.DUMMYFUNCTION("""COMPUTED_VALUE"""),45370.0)</f>
        <v>45370</v>
      </c>
      <c r="F239" s="54"/>
      <c r="G239" s="19">
        <f>IFERROR(__xludf.DUMMYFUNCTION("""COMPUTED_VALUE"""),30.566666666666663)</f>
        <v>30.56666667</v>
      </c>
      <c r="H239" s="17">
        <f>IFERROR(__xludf.DUMMYFUNCTION("""COMPUTED_VALUE"""),35307.0)</f>
        <v>35307</v>
      </c>
      <c r="I239" s="19">
        <f>IFERROR(__xludf.DUMMYFUNCTION("""COMPUTED_VALUE"""),27.552777777777777)</f>
        <v>27.55277778</v>
      </c>
      <c r="J239" s="21">
        <f>IFERROR(__xludf.DUMMYFUNCTION("""COMPUTED_VALUE"""),78.0)</f>
        <v>78</v>
      </c>
      <c r="K239" s="23">
        <f>IFERROR(__xludf.DUMMYFUNCTION("""COMPUTED_VALUE"""),5.3)</f>
        <v>5.3</v>
      </c>
      <c r="L239" s="24">
        <f>IFERROR(__xludf.DUMMYFUNCTION("""COMPUTED_VALUE"""),6.0)</f>
        <v>6</v>
      </c>
      <c r="M239" s="25" t="str">
        <f>IFERROR(__xludf.DUMMYFUNCTION("""COMPUTED_VALUE"""),"Sports")</f>
        <v>Sports</v>
      </c>
      <c r="N239" s="25" t="str">
        <f>IFERROR(__xludf.DUMMYFUNCTION("""COMPUTED_VALUE"""),"PS1")</f>
        <v>PS1</v>
      </c>
      <c r="O239" s="26" t="str">
        <f>IFERROR(__xludf.DUMMYFUNCTION("""COMPUTED_VALUE"""),"Yes")</f>
        <v>Yes</v>
      </c>
      <c r="P239" s="26"/>
    </row>
    <row r="240">
      <c r="A240" s="13" t="str">
        <f>IFERROR(__xludf.DUMMYFUNCTION("""COMPUTED_VALUE"""),"Roguebook")</f>
        <v>Roguebook</v>
      </c>
      <c r="B240" s="15" t="str">
        <f>IFERROR(__xludf.DUMMYFUNCTION("""COMPUTED_VALUE"""),"PS5/PS4")</f>
        <v>PS5/PS4</v>
      </c>
      <c r="C240" s="16" t="str">
        <f>IFERROR(__xludf.DUMMYFUNCTION("""COMPUTED_VALUE"""),"Extra")</f>
        <v>Extra</v>
      </c>
      <c r="D240" s="15" t="str">
        <f>IFERROR(__xludf.DUMMYFUNCTION("""COMPUTED_VALUE"""),"Active")</f>
        <v>Active</v>
      </c>
      <c r="E240" s="17">
        <f>IFERROR(__xludf.DUMMYFUNCTION("""COMPUTED_VALUE"""),45342.0)</f>
        <v>45342</v>
      </c>
      <c r="F240" s="54"/>
      <c r="G240" s="19">
        <f>IFERROR(__xludf.DUMMYFUNCTION("""COMPUTED_VALUE"""),31.53333333333333)</f>
        <v>31.53333333</v>
      </c>
      <c r="H240" s="17">
        <f>IFERROR(__xludf.DUMMYFUNCTION("""COMPUTED_VALUE"""),44364.0)</f>
        <v>44364</v>
      </c>
      <c r="I240" s="19">
        <f>IFERROR(__xludf.DUMMYFUNCTION("""COMPUTED_VALUE"""),2.675)</f>
        <v>2.675</v>
      </c>
      <c r="J240" s="21">
        <f>IFERROR(__xludf.DUMMYFUNCTION("""COMPUTED_VALUE"""),78.0)</f>
        <v>78</v>
      </c>
      <c r="K240" s="23">
        <f>IFERROR(__xludf.DUMMYFUNCTION("""COMPUTED_VALUE"""),6.5)</f>
        <v>6.5</v>
      </c>
      <c r="L240" s="24">
        <f>IFERROR(__xludf.DUMMYFUNCTION("""COMPUTED_VALUE"""),9.0)</f>
        <v>9</v>
      </c>
      <c r="M240" s="25" t="str">
        <f>IFERROR(__xludf.DUMMYFUNCTION("""COMPUTED_VALUE"""),"Card Battle")</f>
        <v>Card Battle</v>
      </c>
      <c r="N240" s="25"/>
      <c r="O240" s="26" t="str">
        <f>IFERROR(__xludf.DUMMYFUNCTION("""COMPUTED_VALUE"""),"Yes")</f>
        <v>Yes</v>
      </c>
      <c r="P240" s="26"/>
    </row>
    <row r="241">
      <c r="A241" s="13" t="str">
        <f>IFERROR(__xludf.DUMMYFUNCTION("""COMPUTED_VALUE"""),"Twisted Metal 2")</f>
        <v>Twisted Metal 2</v>
      </c>
      <c r="B241" s="15" t="str">
        <f>IFERROR(__xludf.DUMMYFUNCTION("""COMPUTED_VALUE"""),"PS5/PS4")</f>
        <v>PS5/PS4</v>
      </c>
      <c r="C241" s="16" t="str">
        <f>IFERROR(__xludf.DUMMYFUNCTION("""COMPUTED_VALUE"""),"Premium (Classics)")</f>
        <v>Premium (Classics)</v>
      </c>
      <c r="D241" s="15" t="str">
        <f>IFERROR(__xludf.DUMMYFUNCTION("""COMPUTED_VALUE"""),"Active")</f>
        <v>Active</v>
      </c>
      <c r="E241" s="17">
        <f>IFERROR(__xludf.DUMMYFUNCTION("""COMPUTED_VALUE"""),45125.0)</f>
        <v>45125</v>
      </c>
      <c r="F241" s="54"/>
      <c r="G241" s="19">
        <f>IFERROR(__xludf.DUMMYFUNCTION("""COMPUTED_VALUE"""),38.6)</f>
        <v>38.6</v>
      </c>
      <c r="H241" s="17">
        <f>IFERROR(__xludf.DUMMYFUNCTION("""COMPUTED_VALUE"""),35369.0)</f>
        <v>35369</v>
      </c>
      <c r="I241" s="19">
        <f>IFERROR(__xludf.DUMMYFUNCTION("""COMPUTED_VALUE"""),26.716666666666665)</f>
        <v>26.71666667</v>
      </c>
      <c r="J241" s="21">
        <f>IFERROR(__xludf.DUMMYFUNCTION("""COMPUTED_VALUE"""),78.0)</f>
        <v>78</v>
      </c>
      <c r="K241" s="23">
        <f>IFERROR(__xludf.DUMMYFUNCTION("""COMPUTED_VALUE"""),8.8)</f>
        <v>8.8</v>
      </c>
      <c r="L241" s="24">
        <f>IFERROR(__xludf.DUMMYFUNCTION("""COMPUTED_VALUE"""),5.0)</f>
        <v>5</v>
      </c>
      <c r="M241" s="25" t="str">
        <f>IFERROR(__xludf.DUMMYFUNCTION("""COMPUTED_VALUE"""),"Driving")</f>
        <v>Driving</v>
      </c>
      <c r="N241" s="25" t="str">
        <f>IFERROR(__xludf.DUMMYFUNCTION("""COMPUTED_VALUE"""),"PS1")</f>
        <v>PS1</v>
      </c>
      <c r="O241" s="26" t="str">
        <f>IFERROR(__xludf.DUMMYFUNCTION("""COMPUTED_VALUE"""),"Yes")</f>
        <v>Yes</v>
      </c>
      <c r="P241" s="26"/>
    </row>
    <row r="242">
      <c r="A242" s="13" t="str">
        <f>IFERROR(__xludf.DUMMYFUNCTION("""COMPUTED_VALUE"""),"Herc's Adventures")</f>
        <v>Herc's Adventures</v>
      </c>
      <c r="B242" s="15" t="str">
        <f>IFERROR(__xludf.DUMMYFUNCTION("""COMPUTED_VALUE"""),"PS5/PS4")</f>
        <v>PS5/PS4</v>
      </c>
      <c r="C242" s="16" t="str">
        <f>IFERROR(__xludf.DUMMYFUNCTION("""COMPUTED_VALUE"""),"Premium (Classics)")</f>
        <v>Premium (Classics)</v>
      </c>
      <c r="D242" s="15" t="str">
        <f>IFERROR(__xludf.DUMMYFUNCTION("""COMPUTED_VALUE"""),"Active")</f>
        <v>Active</v>
      </c>
      <c r="E242" s="17">
        <f>IFERROR(__xludf.DUMMYFUNCTION("""COMPUTED_VALUE"""),45097.0)</f>
        <v>45097</v>
      </c>
      <c r="F242" s="71"/>
      <c r="G242" s="19">
        <f>IFERROR(__xludf.DUMMYFUNCTION("""COMPUTED_VALUE"""),39.53333333333333)</f>
        <v>39.53333333</v>
      </c>
      <c r="H242" s="17">
        <f>IFERROR(__xludf.DUMMYFUNCTION("""COMPUTED_VALUE"""),35642.0)</f>
        <v>35642</v>
      </c>
      <c r="I242" s="19">
        <f>IFERROR(__xludf.DUMMYFUNCTION("""COMPUTED_VALUE"""),25.88888888888889)</f>
        <v>25.88888889</v>
      </c>
      <c r="J242" s="21">
        <f>IFERROR(__xludf.DUMMYFUNCTION("""COMPUTED_VALUE"""),78.0)</f>
        <v>78</v>
      </c>
      <c r="K242" s="23">
        <f>IFERROR(__xludf.DUMMYFUNCTION("""COMPUTED_VALUE"""),7.8)</f>
        <v>7.8</v>
      </c>
      <c r="L242" s="24">
        <f>IFERROR(__xludf.DUMMYFUNCTION("""COMPUTED_VALUE"""),13.0)</f>
        <v>13</v>
      </c>
      <c r="M242" s="25" t="str">
        <f>IFERROR(__xludf.DUMMYFUNCTION("""COMPUTED_VALUE"""),"Action-Adventure")</f>
        <v>Action-Adventure</v>
      </c>
      <c r="N242" s="25" t="str">
        <f>IFERROR(__xludf.DUMMYFUNCTION("""COMPUTED_VALUE"""),"PS1")</f>
        <v>PS1</v>
      </c>
      <c r="O242" s="26" t="str">
        <f>IFERROR(__xludf.DUMMYFUNCTION("""COMPUTED_VALUE"""),"Yes")</f>
        <v>Yes</v>
      </c>
      <c r="P242" s="26"/>
    </row>
    <row r="243">
      <c r="A243" s="13" t="str">
        <f>IFERROR(__xludf.DUMMYFUNCTION("""COMPUTED_VALUE"""),"Worms W.M.D")</f>
        <v>Worms W.M.D</v>
      </c>
      <c r="B243" s="15" t="str">
        <f>IFERROR(__xludf.DUMMYFUNCTION("""COMPUTED_VALUE"""),"PS4")</f>
        <v>PS4</v>
      </c>
      <c r="C243" s="16" t="str">
        <f>IFERROR(__xludf.DUMMYFUNCTION("""COMPUTED_VALUE"""),"Extra")</f>
        <v>Extra</v>
      </c>
      <c r="D243" s="15" t="str">
        <f>IFERROR(__xludf.DUMMYFUNCTION("""COMPUTED_VALUE"""),"Active")</f>
        <v>Active</v>
      </c>
      <c r="E243" s="17">
        <f>IFERROR(__xludf.DUMMYFUNCTION("""COMPUTED_VALUE"""),44915.0)</f>
        <v>44915</v>
      </c>
      <c r="F243" s="54"/>
      <c r="G243" s="19">
        <f>IFERROR(__xludf.DUMMYFUNCTION("""COMPUTED_VALUE"""),45.53333333333333)</f>
        <v>45.53333333</v>
      </c>
      <c r="H243" s="17">
        <f>IFERROR(__xludf.DUMMYFUNCTION("""COMPUTED_VALUE"""),42605.0)</f>
        <v>42605</v>
      </c>
      <c r="I243" s="19">
        <f>IFERROR(__xludf.DUMMYFUNCTION("""COMPUTED_VALUE"""),6.325)</f>
        <v>6.325</v>
      </c>
      <c r="J243" s="21">
        <f>IFERROR(__xludf.DUMMYFUNCTION("""COMPUTED_VALUE"""),78.0)</f>
        <v>78</v>
      </c>
      <c r="K243" s="23">
        <f>IFERROR(__xludf.DUMMYFUNCTION("""COMPUTED_VALUE"""),7.1)</f>
        <v>7.1</v>
      </c>
      <c r="L243" s="24">
        <f>IFERROR(__xludf.DUMMYFUNCTION("""COMPUTED_VALUE"""),14.0)</f>
        <v>14</v>
      </c>
      <c r="M243" s="25" t="str">
        <f>IFERROR(__xludf.DUMMYFUNCTION("""COMPUTED_VALUE"""),"Strategy")</f>
        <v>Strategy</v>
      </c>
      <c r="N243" s="25"/>
      <c r="O243" s="26" t="str">
        <f>IFERROR(__xludf.DUMMYFUNCTION("""COMPUTED_VALUE"""),"Yes")</f>
        <v>Yes</v>
      </c>
      <c r="P243" s="26"/>
    </row>
    <row r="244">
      <c r="A244" s="13" t="str">
        <f>IFERROR(__xludf.DUMMYFUNCTION("""COMPUTED_VALUE"""),"Shadow Warrior 2")</f>
        <v>Shadow Warrior 2</v>
      </c>
      <c r="B244" s="15" t="str">
        <f>IFERROR(__xludf.DUMMYFUNCTION("""COMPUTED_VALUE"""),"PS4")</f>
        <v>PS4</v>
      </c>
      <c r="C244" s="16" t="str">
        <f>IFERROR(__xludf.DUMMYFUNCTION("""COMPUTED_VALUE"""),"Extra")</f>
        <v>Extra</v>
      </c>
      <c r="D244" s="15" t="str">
        <f>IFERROR(__xludf.DUMMYFUNCTION("""COMPUTED_VALUE"""),"Active")</f>
        <v>Active</v>
      </c>
      <c r="E244" s="17">
        <f>IFERROR(__xludf.DUMMYFUNCTION("""COMPUTED_VALUE"""),44725.0)</f>
        <v>44725</v>
      </c>
      <c r="F244" s="54"/>
      <c r="G244" s="19">
        <f>IFERROR(__xludf.DUMMYFUNCTION("""COMPUTED_VALUE"""),51.766666666666666)</f>
        <v>51.76666667</v>
      </c>
      <c r="H244" s="17">
        <f>IFERROR(__xludf.DUMMYFUNCTION("""COMPUTED_VALUE"""),42656.0)</f>
        <v>42656</v>
      </c>
      <c r="I244" s="19">
        <f>IFERROR(__xludf.DUMMYFUNCTION("""COMPUTED_VALUE"""),5.666666666666667)</f>
        <v>5.666666667</v>
      </c>
      <c r="J244" s="21">
        <f>IFERROR(__xludf.DUMMYFUNCTION("""COMPUTED_VALUE"""),78.0)</f>
        <v>78</v>
      </c>
      <c r="K244" s="23">
        <f>IFERROR(__xludf.DUMMYFUNCTION("""COMPUTED_VALUE"""),7.7)</f>
        <v>7.7</v>
      </c>
      <c r="L244" s="24">
        <f>IFERROR(__xludf.DUMMYFUNCTION("""COMPUTED_VALUE"""),13.0)</f>
        <v>13</v>
      </c>
      <c r="M244" s="25" t="str">
        <f>IFERROR(__xludf.DUMMYFUNCTION("""COMPUTED_VALUE"""),"Shooter")</f>
        <v>Shooter</v>
      </c>
      <c r="N244" s="25"/>
      <c r="O244" s="26" t="str">
        <f>IFERROR(__xludf.DUMMYFUNCTION("""COMPUTED_VALUE"""),"Yes")</f>
        <v>Yes</v>
      </c>
      <c r="P244" s="26"/>
    </row>
    <row r="245">
      <c r="A245" s="13" t="str">
        <f>IFERROR(__xludf.DUMMYFUNCTION("""COMPUTED_VALUE"""),"Stellaris")</f>
        <v>Stellaris</v>
      </c>
      <c r="B245" s="15" t="str">
        <f>IFERROR(__xludf.DUMMYFUNCTION("""COMPUTED_VALUE"""),"PS4")</f>
        <v>PS4</v>
      </c>
      <c r="C245" s="16" t="str">
        <f>IFERROR(__xludf.DUMMYFUNCTION("""COMPUTED_VALUE"""),"Extra")</f>
        <v>Extra</v>
      </c>
      <c r="D245" s="15" t="str">
        <f>IFERROR(__xludf.DUMMYFUNCTION("""COMPUTED_VALUE"""),"Active")</f>
        <v>Active</v>
      </c>
      <c r="E245" s="17">
        <f>IFERROR(__xludf.DUMMYFUNCTION("""COMPUTED_VALUE"""),44725.0)</f>
        <v>44725</v>
      </c>
      <c r="F245" s="54"/>
      <c r="G245" s="19">
        <f>IFERROR(__xludf.DUMMYFUNCTION("""COMPUTED_VALUE"""),51.766666666666666)</f>
        <v>51.76666667</v>
      </c>
      <c r="H245" s="17">
        <f>IFERROR(__xludf.DUMMYFUNCTION("""COMPUTED_VALUE"""),42499.0)</f>
        <v>42499</v>
      </c>
      <c r="I245" s="19">
        <f>IFERROR(__xludf.DUMMYFUNCTION("""COMPUTED_VALUE"""),6.094444444444444)</f>
        <v>6.094444444</v>
      </c>
      <c r="J245" s="21">
        <f>IFERROR(__xludf.DUMMYFUNCTION("""COMPUTED_VALUE"""),78.0)</f>
        <v>78</v>
      </c>
      <c r="K245" s="23">
        <f>IFERROR(__xludf.DUMMYFUNCTION("""COMPUTED_VALUE"""),7.8)</f>
        <v>7.8</v>
      </c>
      <c r="L245" s="24"/>
      <c r="M245" s="25" t="str">
        <f>IFERROR(__xludf.DUMMYFUNCTION("""COMPUTED_VALUE"""),"Strategy")</f>
        <v>Strategy</v>
      </c>
      <c r="N245" s="25"/>
      <c r="O245" s="26" t="str">
        <f>IFERROR(__xludf.DUMMYFUNCTION("""COMPUTED_VALUE"""),"Yes")</f>
        <v>Yes</v>
      </c>
      <c r="P245" s="26"/>
    </row>
    <row r="246">
      <c r="A246" s="13" t="str">
        <f>IFERROR(__xludf.DUMMYFUNCTION("""COMPUTED_VALUE"""),"Far Cry 3: Classic Edition")</f>
        <v>Far Cry 3: Classic Edition</v>
      </c>
      <c r="B246" s="15" t="str">
        <f>IFERROR(__xludf.DUMMYFUNCTION("""COMPUTED_VALUE"""),"PS4")</f>
        <v>PS4</v>
      </c>
      <c r="C246" s="16" t="str">
        <f>IFERROR(__xludf.DUMMYFUNCTION("""COMPUTED_VALUE"""),"Extra (Ubisoft+ Classics)")</f>
        <v>Extra (Ubisoft+ Classics)</v>
      </c>
      <c r="D246" s="15" t="str">
        <f>IFERROR(__xludf.DUMMYFUNCTION("""COMPUTED_VALUE"""),"Active")</f>
        <v>Active</v>
      </c>
      <c r="E246" s="17">
        <f>IFERROR(__xludf.DUMMYFUNCTION("""COMPUTED_VALUE"""),44725.0)</f>
        <v>44725</v>
      </c>
      <c r="F246" s="54"/>
      <c r="G246" s="19">
        <f>IFERROR(__xludf.DUMMYFUNCTION("""COMPUTED_VALUE"""),51.766666666666666)</f>
        <v>51.76666667</v>
      </c>
      <c r="H246" s="17">
        <f>IFERROR(__xludf.DUMMYFUNCTION("""COMPUTED_VALUE"""),43249.0)</f>
        <v>43249</v>
      </c>
      <c r="I246" s="19">
        <f>IFERROR(__xludf.DUMMYFUNCTION("""COMPUTED_VALUE"""),4.038888888888889)</f>
        <v>4.038888889</v>
      </c>
      <c r="J246" s="21">
        <f>IFERROR(__xludf.DUMMYFUNCTION("""COMPUTED_VALUE"""),78.0)</f>
        <v>78</v>
      </c>
      <c r="K246" s="23">
        <f>IFERROR(__xludf.DUMMYFUNCTION("""COMPUTED_VALUE"""),7.6)</f>
        <v>7.6</v>
      </c>
      <c r="L246" s="24">
        <f>IFERROR(__xludf.DUMMYFUNCTION("""COMPUTED_VALUE"""),15.0)</f>
        <v>15</v>
      </c>
      <c r="M246" s="25" t="str">
        <f>IFERROR(__xludf.DUMMYFUNCTION("""COMPUTED_VALUE"""),"Shooter")</f>
        <v>Shooter</v>
      </c>
      <c r="N246" s="25"/>
      <c r="O246" s="26" t="str">
        <f>IFERROR(__xludf.DUMMYFUNCTION("""COMPUTED_VALUE"""),"Yes")</f>
        <v>Yes</v>
      </c>
      <c r="P246" s="26"/>
    </row>
    <row r="247">
      <c r="A247" s="13" t="str">
        <f>IFERROR(__xludf.DUMMYFUNCTION("""COMPUTED_VALUE"""),"South Park: The Fractured But Whole")</f>
        <v>South Park: The Fractured But Whole</v>
      </c>
      <c r="B247" s="15" t="str">
        <f>IFERROR(__xludf.DUMMYFUNCTION("""COMPUTED_VALUE"""),"PS4")</f>
        <v>PS4</v>
      </c>
      <c r="C247" s="16" t="str">
        <f>IFERROR(__xludf.DUMMYFUNCTION("""COMPUTED_VALUE"""),"Extra (Ubisoft+ Classics)")</f>
        <v>Extra (Ubisoft+ Classics)</v>
      </c>
      <c r="D247" s="15" t="str">
        <f>IFERROR(__xludf.DUMMYFUNCTION("""COMPUTED_VALUE"""),"Active")</f>
        <v>Active</v>
      </c>
      <c r="E247" s="17">
        <f>IFERROR(__xludf.DUMMYFUNCTION("""COMPUTED_VALUE"""),44725.0)</f>
        <v>44725</v>
      </c>
      <c r="F247" s="54"/>
      <c r="G247" s="19">
        <f>IFERROR(__xludf.DUMMYFUNCTION("""COMPUTED_VALUE"""),51.766666666666666)</f>
        <v>51.76666667</v>
      </c>
      <c r="H247" s="17">
        <f>IFERROR(__xludf.DUMMYFUNCTION("""COMPUTED_VALUE"""),43025.0)</f>
        <v>43025</v>
      </c>
      <c r="I247" s="19">
        <f>IFERROR(__xludf.DUMMYFUNCTION("""COMPUTED_VALUE"""),4.655555555555556)</f>
        <v>4.655555556</v>
      </c>
      <c r="J247" s="21">
        <f>IFERROR(__xludf.DUMMYFUNCTION("""COMPUTED_VALUE"""),78.0)</f>
        <v>78</v>
      </c>
      <c r="K247" s="23">
        <f>IFERROR(__xludf.DUMMYFUNCTION("""COMPUTED_VALUE"""),7.7)</f>
        <v>7.7</v>
      </c>
      <c r="L247" s="24">
        <f>IFERROR(__xludf.DUMMYFUNCTION("""COMPUTED_VALUE"""),18.0)</f>
        <v>18</v>
      </c>
      <c r="M247" s="25" t="str">
        <f>IFERROR(__xludf.DUMMYFUNCTION("""COMPUTED_VALUE"""),"RPG")</f>
        <v>RPG</v>
      </c>
      <c r="N247" s="25"/>
      <c r="O247" s="26" t="str">
        <f>IFERROR(__xludf.DUMMYFUNCTION("""COMPUTED_VALUE"""),"Yes")</f>
        <v>Yes</v>
      </c>
      <c r="P247" s="26"/>
    </row>
    <row r="248">
      <c r="A248" s="13" t="str">
        <f>IFERROR(__xludf.DUMMYFUNCTION("""COMPUTED_VALUE"""),"Wild Arms")</f>
        <v>Wild Arms</v>
      </c>
      <c r="B248" s="15" t="str">
        <f>IFERROR(__xludf.DUMMYFUNCTION("""COMPUTED_VALUE"""),"PS5/PS4")</f>
        <v>PS5/PS4</v>
      </c>
      <c r="C248" s="16" t="str">
        <f>IFERROR(__xludf.DUMMYFUNCTION("""COMPUTED_VALUE"""),"Premium (Classics)")</f>
        <v>Premium (Classics)</v>
      </c>
      <c r="D248" s="15" t="str">
        <f>IFERROR(__xludf.DUMMYFUNCTION("""COMPUTED_VALUE"""),"Active")</f>
        <v>Active</v>
      </c>
      <c r="E248" s="17">
        <f>IFERROR(__xludf.DUMMYFUNCTION("""COMPUTED_VALUE"""),44725.0)</f>
        <v>44725</v>
      </c>
      <c r="F248" s="54"/>
      <c r="G248" s="19">
        <f>IFERROR(__xludf.DUMMYFUNCTION("""COMPUTED_VALUE"""),51.766666666666666)</f>
        <v>51.76666667</v>
      </c>
      <c r="H248" s="17">
        <f>IFERROR(__xludf.DUMMYFUNCTION("""COMPUTED_VALUE"""),35550.0)</f>
        <v>35550</v>
      </c>
      <c r="I248" s="19">
        <f>IFERROR(__xludf.DUMMYFUNCTION("""COMPUTED_VALUE"""),25.119444444444444)</f>
        <v>25.11944444</v>
      </c>
      <c r="J248" s="21">
        <f>IFERROR(__xludf.DUMMYFUNCTION("""COMPUTED_VALUE"""),78.0)</f>
        <v>78</v>
      </c>
      <c r="K248" s="23">
        <f>IFERROR(__xludf.DUMMYFUNCTION("""COMPUTED_VALUE"""),8.7)</f>
        <v>8.7</v>
      </c>
      <c r="L248" s="24">
        <f>IFERROR(__xludf.DUMMYFUNCTION("""COMPUTED_VALUE"""),28.0)</f>
        <v>28</v>
      </c>
      <c r="M248" s="25" t="str">
        <f>IFERROR(__xludf.DUMMYFUNCTION("""COMPUTED_VALUE"""),"RPG")</f>
        <v>RPG</v>
      </c>
      <c r="N248" s="25" t="str">
        <f>IFERROR(__xludf.DUMMYFUNCTION("""COMPUTED_VALUE"""),"PS1")</f>
        <v>PS1</v>
      </c>
      <c r="O248" s="26" t="str">
        <f>IFERROR(__xludf.DUMMYFUNCTION("""COMPUTED_VALUE"""),"No")</f>
        <v>No</v>
      </c>
      <c r="P248" s="26" t="str">
        <f>IFERROR(__xludf.DUMMYFUNCTION("""COMPUTED_VALUE"""),"")</f>
        <v/>
      </c>
    </row>
    <row r="249">
      <c r="A249" s="13" t="str">
        <f>IFERROR(__xludf.DUMMYFUNCTION("""COMPUTED_VALUE"""),"Wild Arms 3")</f>
        <v>Wild Arms 3</v>
      </c>
      <c r="B249" s="15" t="str">
        <f>IFERROR(__xludf.DUMMYFUNCTION("""COMPUTED_VALUE"""),"PS4")</f>
        <v>PS4</v>
      </c>
      <c r="C249" s="16" t="str">
        <f>IFERROR(__xludf.DUMMYFUNCTION("""COMPUTED_VALUE"""),"Premium (Classics)")</f>
        <v>Premium (Classics)</v>
      </c>
      <c r="D249" s="15" t="str">
        <f>IFERROR(__xludf.DUMMYFUNCTION("""COMPUTED_VALUE"""),"Active")</f>
        <v>Active</v>
      </c>
      <c r="E249" s="17">
        <f>IFERROR(__xludf.DUMMYFUNCTION("""COMPUTED_VALUE"""),44725.0)</f>
        <v>44725</v>
      </c>
      <c r="F249" s="18"/>
      <c r="G249" s="19">
        <f>IFERROR(__xludf.DUMMYFUNCTION("""COMPUTED_VALUE"""),51.766666666666666)</f>
        <v>51.76666667</v>
      </c>
      <c r="H249" s="17">
        <f>IFERROR(__xludf.DUMMYFUNCTION("""COMPUTED_VALUE"""),37530.0)</f>
        <v>37530</v>
      </c>
      <c r="I249" s="19">
        <f>IFERROR(__xludf.DUMMYFUNCTION("""COMPUTED_VALUE"""),19.7)</f>
        <v>19.7</v>
      </c>
      <c r="J249" s="21">
        <f>IFERROR(__xludf.DUMMYFUNCTION("""COMPUTED_VALUE"""),78.0)</f>
        <v>78</v>
      </c>
      <c r="K249" s="23">
        <f>IFERROR(__xludf.DUMMYFUNCTION("""COMPUTED_VALUE"""),8.5)</f>
        <v>8.5</v>
      </c>
      <c r="L249" s="24">
        <f>IFERROR(__xludf.DUMMYFUNCTION("""COMPUTED_VALUE"""),45.0)</f>
        <v>45</v>
      </c>
      <c r="M249" s="25" t="str">
        <f>IFERROR(__xludf.DUMMYFUNCTION("""COMPUTED_VALUE"""),"RPG")</f>
        <v>RPG</v>
      </c>
      <c r="N249" s="25" t="str">
        <f>IFERROR(__xludf.DUMMYFUNCTION("""COMPUTED_VALUE"""),"PS2")</f>
        <v>PS2</v>
      </c>
      <c r="O249" s="26" t="str">
        <f>IFERROR(__xludf.DUMMYFUNCTION("""COMPUTED_VALUE"""),"Yes")</f>
        <v>Yes</v>
      </c>
      <c r="P249" s="26" t="str">
        <f>IFERROR(__xludf.DUMMYFUNCTION("""COMPUTED_VALUE"""),"")</f>
        <v/>
      </c>
    </row>
    <row r="250">
      <c r="A250" s="13" t="str">
        <f>IFERROR(__xludf.DUMMYFUNCTION("""COMPUTED_VALUE"""),"Concrete Genie: Digital Deluxe Edition")</f>
        <v>Concrete Genie: Digital Deluxe Edition</v>
      </c>
      <c r="B250" s="15" t="str">
        <f>IFERROR(__xludf.DUMMYFUNCTION("""COMPUTED_VALUE"""),"PS4/PSVR")</f>
        <v>PS4/PSVR</v>
      </c>
      <c r="C250" s="16" t="str">
        <f>IFERROR(__xludf.DUMMYFUNCTION("""COMPUTED_VALUE"""),"Extra")</f>
        <v>Extra</v>
      </c>
      <c r="D250" s="15" t="str">
        <f>IFERROR(__xludf.DUMMYFUNCTION("""COMPUTED_VALUE"""),"Active")</f>
        <v>Active</v>
      </c>
      <c r="E250" s="17">
        <f>IFERROR(__xludf.DUMMYFUNCTION("""COMPUTED_VALUE"""),44229.0)</f>
        <v>44229</v>
      </c>
      <c r="F250" s="54"/>
      <c r="G250" s="19">
        <f>IFERROR(__xludf.DUMMYFUNCTION("""COMPUTED_VALUE"""),68.13333333333334)</f>
        <v>68.13333333</v>
      </c>
      <c r="H250" s="17">
        <f>IFERROR(__xludf.DUMMYFUNCTION("""COMPUTED_VALUE"""),43746.0)</f>
        <v>43746</v>
      </c>
      <c r="I250" s="19">
        <f>IFERROR(__xludf.DUMMYFUNCTION("""COMPUTED_VALUE"""),1.3166666666666667)</f>
        <v>1.316666667</v>
      </c>
      <c r="J250" s="21">
        <f>IFERROR(__xludf.DUMMYFUNCTION("""COMPUTED_VALUE"""),78.0)</f>
        <v>78</v>
      </c>
      <c r="K250" s="23">
        <f>IFERROR(__xludf.DUMMYFUNCTION("""COMPUTED_VALUE"""),7.9)</f>
        <v>7.9</v>
      </c>
      <c r="L250" s="24">
        <f>IFERROR(__xludf.DUMMYFUNCTION("""COMPUTED_VALUE"""),5.0)</f>
        <v>5</v>
      </c>
      <c r="M250" s="25" t="str">
        <f>IFERROR(__xludf.DUMMYFUNCTION("""COMPUTED_VALUE"""),"Action-Adventure")</f>
        <v>Action-Adventure</v>
      </c>
      <c r="N250" s="25"/>
      <c r="O250" s="26" t="str">
        <f>IFERROR(__xludf.DUMMYFUNCTION("""COMPUTED_VALUE"""),"Yes")</f>
        <v>Yes</v>
      </c>
      <c r="P250" s="26"/>
    </row>
    <row r="251">
      <c r="A251" s="13" t="str">
        <f>IFERROR(__xludf.DUMMYFUNCTION("""COMPUTED_VALUE"""),"Kingdom: New Lands")</f>
        <v>Kingdom: New Lands</v>
      </c>
      <c r="B251" s="15" t="str">
        <f>IFERROR(__xludf.DUMMYFUNCTION("""COMPUTED_VALUE"""),"PS4")</f>
        <v>PS4</v>
      </c>
      <c r="C251" s="16" t="str">
        <f>IFERROR(__xludf.DUMMYFUNCTION("""COMPUTED_VALUE"""),"Extra")</f>
        <v>Extra</v>
      </c>
      <c r="D251" s="15" t="str">
        <f>IFERROR(__xludf.DUMMYFUNCTION("""COMPUTED_VALUE"""),"Active")</f>
        <v>Active</v>
      </c>
      <c r="E251" s="17">
        <f>IFERROR(__xludf.DUMMYFUNCTION("""COMPUTED_VALUE"""),43438.0)</f>
        <v>43438</v>
      </c>
      <c r="F251" s="54"/>
      <c r="G251" s="19">
        <f>IFERROR(__xludf.DUMMYFUNCTION("""COMPUTED_VALUE"""),94.06666666666666)</f>
        <v>94.06666667</v>
      </c>
      <c r="H251" s="17">
        <f>IFERROR(__xludf.DUMMYFUNCTION("""COMPUTED_VALUE"""),42278.0)</f>
        <v>42278</v>
      </c>
      <c r="I251" s="19">
        <f>IFERROR(__xludf.DUMMYFUNCTION("""COMPUTED_VALUE"""),3.175)</f>
        <v>3.175</v>
      </c>
      <c r="J251" s="21">
        <f>IFERROR(__xludf.DUMMYFUNCTION("""COMPUTED_VALUE"""),78.0)</f>
        <v>78</v>
      </c>
      <c r="K251" s="23">
        <f>IFERROR(__xludf.DUMMYFUNCTION("""COMPUTED_VALUE"""),7.5)</f>
        <v>7.5</v>
      </c>
      <c r="L251" s="24">
        <f>IFERROR(__xludf.DUMMYFUNCTION("""COMPUTED_VALUE"""),9.5)</f>
        <v>9.5</v>
      </c>
      <c r="M251" s="25" t="str">
        <f>IFERROR(__xludf.DUMMYFUNCTION("""COMPUTED_VALUE"""),"Platformer")</f>
        <v>Platformer</v>
      </c>
      <c r="N251" s="25"/>
      <c r="O251" s="26" t="str">
        <f>IFERROR(__xludf.DUMMYFUNCTION("""COMPUTED_VALUE"""),"Yes")</f>
        <v>Yes</v>
      </c>
      <c r="P251" s="26"/>
    </row>
    <row r="252">
      <c r="A252" s="13" t="str">
        <f>IFERROR(__xludf.DUMMYFUNCTION("""COMPUTED_VALUE"""),"Heavy Rain (2016)")</f>
        <v>Heavy Rain (2016)</v>
      </c>
      <c r="B252" s="15" t="str">
        <f>IFERROR(__xludf.DUMMYFUNCTION("""COMPUTED_VALUE"""),"PS4")</f>
        <v>PS4</v>
      </c>
      <c r="C252" s="16" t="str">
        <f>IFERROR(__xludf.DUMMYFUNCTION("""COMPUTED_VALUE"""),"Premium (Remasters)")</f>
        <v>Premium (Remasters)</v>
      </c>
      <c r="D252" s="15" t="str">
        <f>IFERROR(__xludf.DUMMYFUNCTION("""COMPUTED_VALUE"""),"Active")</f>
        <v>Active</v>
      </c>
      <c r="E252" s="17">
        <f>IFERROR(__xludf.DUMMYFUNCTION("""COMPUTED_VALUE"""),42556.0)</f>
        <v>42556</v>
      </c>
      <c r="F252" s="54"/>
      <c r="G252" s="19">
        <f>IFERROR(__xludf.DUMMYFUNCTION("""COMPUTED_VALUE"""),123.03333333333333)</f>
        <v>123.0333333</v>
      </c>
      <c r="H252" s="17">
        <f>IFERROR(__xludf.DUMMYFUNCTION("""COMPUTED_VALUE"""),42430.0)</f>
        <v>42430</v>
      </c>
      <c r="I252" s="19">
        <f>IFERROR(__xludf.DUMMYFUNCTION("""COMPUTED_VALUE"""),0.34444444444444444)</f>
        <v>0.3444444444</v>
      </c>
      <c r="J252" s="21">
        <f>IFERROR(__xludf.DUMMYFUNCTION("""COMPUTED_VALUE"""),78.0)</f>
        <v>78</v>
      </c>
      <c r="K252" s="23">
        <f>IFERROR(__xludf.DUMMYFUNCTION("""COMPUTED_VALUE"""),8.4)</f>
        <v>8.4</v>
      </c>
      <c r="L252" s="24">
        <f>IFERROR(__xludf.DUMMYFUNCTION("""COMPUTED_VALUE"""),10.0)</f>
        <v>10</v>
      </c>
      <c r="M252" s="25" t="str">
        <f>IFERROR(__xludf.DUMMYFUNCTION("""COMPUTED_VALUE"""),"Action-Adventure")</f>
        <v>Action-Adventure</v>
      </c>
      <c r="N252" s="25" t="str">
        <f>IFERROR(__xludf.DUMMYFUNCTION("""COMPUTED_VALUE"""),"PS3")</f>
        <v>PS3</v>
      </c>
      <c r="O252" s="26" t="str">
        <f>IFERROR(__xludf.DUMMYFUNCTION("""COMPUTED_VALUE"""),"Yes")</f>
        <v>Yes</v>
      </c>
      <c r="P252" s="26"/>
    </row>
    <row r="253">
      <c r="A253" s="13" t="str">
        <f>IFERROR(__xludf.DUMMYFUNCTION("""COMPUTED_VALUE"""),"Jurassic World Evolution 2")</f>
        <v>Jurassic World Evolution 2</v>
      </c>
      <c r="B253" s="15" t="str">
        <f>IFERROR(__xludf.DUMMYFUNCTION("""COMPUTED_VALUE"""),"PS5/PS4")</f>
        <v>PS5/PS4</v>
      </c>
      <c r="C253" s="16" t="str">
        <f>IFERROR(__xludf.DUMMYFUNCTION("""COMPUTED_VALUE"""),"Extra")</f>
        <v>Extra</v>
      </c>
      <c r="D253" s="15" t="str">
        <f>IFERROR(__xludf.DUMMYFUNCTION("""COMPUTED_VALUE"""),"Leaving Soon")</f>
        <v>Leaving Soon</v>
      </c>
      <c r="E253" s="17">
        <f>IFERROR(__xludf.DUMMYFUNCTION("""COMPUTED_VALUE"""),45643.0)</f>
        <v>45643</v>
      </c>
      <c r="F253" s="54">
        <f>IFERROR(__xludf.DUMMYFUNCTION("""COMPUTED_VALUE"""),46314.0)</f>
        <v>46314</v>
      </c>
      <c r="G253" s="19">
        <f>IFERROR(__xludf.DUMMYFUNCTION("""COMPUTED_VALUE"""),22.066666666666666)</f>
        <v>22.06666667</v>
      </c>
      <c r="H253" s="17">
        <f>IFERROR(__xludf.DUMMYFUNCTION("""COMPUTED_VALUE"""),44509.0)</f>
        <v>44509</v>
      </c>
      <c r="I253" s="19">
        <f>IFERROR(__xludf.DUMMYFUNCTION("""COMPUTED_VALUE"""),3.1055555555555556)</f>
        <v>3.105555556</v>
      </c>
      <c r="J253" s="21">
        <f>IFERROR(__xludf.DUMMYFUNCTION("""COMPUTED_VALUE"""),78.0)</f>
        <v>78</v>
      </c>
      <c r="K253" s="23">
        <f>IFERROR(__xludf.DUMMYFUNCTION("""COMPUTED_VALUE"""),7.2)</f>
        <v>7.2</v>
      </c>
      <c r="L253" s="24">
        <f>IFERROR(__xludf.DUMMYFUNCTION("""COMPUTED_VALUE"""),6.0)</f>
        <v>6</v>
      </c>
      <c r="M253" s="25" t="str">
        <f>IFERROR(__xludf.DUMMYFUNCTION("""COMPUTED_VALUE"""),"Tycoon")</f>
        <v>Tycoon</v>
      </c>
      <c r="N253" s="25"/>
      <c r="O253" s="26" t="str">
        <f>IFERROR(__xludf.DUMMYFUNCTION("""COMPUTED_VALUE"""),"Yes")</f>
        <v>Yes</v>
      </c>
      <c r="P253" s="26"/>
    </row>
    <row r="254">
      <c r="A254" s="13" t="str">
        <f>IFERROR(__xludf.DUMMYFUNCTION("""COMPUTED_VALUE"""),"Expeditions: A MudRunner Game")</f>
        <v>Expeditions: A MudRunner Game</v>
      </c>
      <c r="B254" s="15" t="str">
        <f>IFERROR(__xludf.DUMMYFUNCTION("""COMPUTED_VALUE"""),"PS5/PS4")</f>
        <v>PS5/PS4</v>
      </c>
      <c r="C254" s="16" t="str">
        <f>IFERROR(__xludf.DUMMYFUNCTION("""COMPUTED_VALUE"""),"Extra")</f>
        <v>Extra</v>
      </c>
      <c r="D254" s="15" t="str">
        <f>IFERROR(__xludf.DUMMYFUNCTION("""COMPUTED_VALUE"""),"Active")</f>
        <v>Active</v>
      </c>
      <c r="E254" s="17">
        <f>IFERROR(__xludf.DUMMYFUNCTION("""COMPUTED_VALUE"""),46042.0)</f>
        <v>46042</v>
      </c>
      <c r="F254" s="54"/>
      <c r="G254" s="19">
        <f>IFERROR(__xludf.DUMMYFUNCTION("""COMPUTED_VALUE"""),8.533333333333333)</f>
        <v>8.533333333</v>
      </c>
      <c r="H254" s="17">
        <f>IFERROR(__xludf.DUMMYFUNCTION("""COMPUTED_VALUE"""),45356.0)</f>
        <v>45356</v>
      </c>
      <c r="I254" s="19">
        <f>IFERROR(__xludf.DUMMYFUNCTION("""COMPUTED_VALUE"""),1.875)</f>
        <v>1.875</v>
      </c>
      <c r="J254" s="21">
        <f>IFERROR(__xludf.DUMMYFUNCTION("""COMPUTED_VALUE"""),77.0)</f>
        <v>77</v>
      </c>
      <c r="K254" s="23">
        <f>IFERROR(__xludf.DUMMYFUNCTION("""COMPUTED_VALUE"""),5.4)</f>
        <v>5.4</v>
      </c>
      <c r="L254" s="24">
        <f>IFERROR(__xludf.DUMMYFUNCTION("""COMPUTED_VALUE"""),50.0)</f>
        <v>50</v>
      </c>
      <c r="M254" s="25" t="str">
        <f>IFERROR(__xludf.DUMMYFUNCTION("""COMPUTED_VALUE"""),"Racing")</f>
        <v>Racing</v>
      </c>
      <c r="N254" s="25"/>
      <c r="O254" s="26"/>
      <c r="P254" s="26"/>
    </row>
    <row r="255">
      <c r="A255" s="13" t="str">
        <f>IFERROR(__xludf.DUMMYFUNCTION("""COMPUTED_VALUE"""),"Tomb Raider: Anniversary")</f>
        <v>Tomb Raider: Anniversary</v>
      </c>
      <c r="B255" s="15" t="str">
        <f>IFERROR(__xludf.DUMMYFUNCTION("""COMPUTED_VALUE"""),"PS5/PS4")</f>
        <v>PS5/PS4</v>
      </c>
      <c r="C255" s="16" t="str">
        <f>IFERROR(__xludf.DUMMYFUNCTION("""COMPUTED_VALUE"""),"Premium (Classics)")</f>
        <v>Premium (Classics)</v>
      </c>
      <c r="D255" s="15" t="str">
        <f>IFERROR(__xludf.DUMMYFUNCTION("""COMPUTED_VALUE"""),"Active")</f>
        <v>Active</v>
      </c>
      <c r="E255" s="17">
        <f>IFERROR(__xludf.DUMMYFUNCTION("""COMPUTED_VALUE"""),45979.0)</f>
        <v>45979</v>
      </c>
      <c r="F255" s="54"/>
      <c r="G255" s="19">
        <f>IFERROR(__xludf.DUMMYFUNCTION("""COMPUTED_VALUE"""),10.6)</f>
        <v>10.6</v>
      </c>
      <c r="H255" s="17">
        <f>IFERROR(__xludf.DUMMYFUNCTION("""COMPUTED_VALUE"""),39378.0)</f>
        <v>39378</v>
      </c>
      <c r="I255" s="19">
        <f>IFERROR(__xludf.DUMMYFUNCTION("""COMPUTED_VALUE"""),18.069444444444443)</f>
        <v>18.06944444</v>
      </c>
      <c r="J255" s="21">
        <f>IFERROR(__xludf.DUMMYFUNCTION("""COMPUTED_VALUE"""),77.0)</f>
        <v>77</v>
      </c>
      <c r="K255" s="23">
        <f>IFERROR(__xludf.DUMMYFUNCTION("""COMPUTED_VALUE"""),7.9)</f>
        <v>7.9</v>
      </c>
      <c r="L255" s="24">
        <f>IFERROR(__xludf.DUMMYFUNCTION("""COMPUTED_VALUE"""),13.0)</f>
        <v>13</v>
      </c>
      <c r="M255" s="25" t="str">
        <f>IFERROR(__xludf.DUMMYFUNCTION("""COMPUTED_VALUE"""),"Action-Adventure")</f>
        <v>Action-Adventure</v>
      </c>
      <c r="N255" s="25" t="str">
        <f>IFERROR(__xludf.DUMMYFUNCTION("""COMPUTED_VALUE"""),"PS2")</f>
        <v>PS2</v>
      </c>
      <c r="O255" s="26" t="str">
        <f>IFERROR(__xludf.DUMMYFUNCTION("""COMPUTED_VALUE"""),"No")</f>
        <v>No</v>
      </c>
      <c r="P255" s="26"/>
    </row>
    <row r="256">
      <c r="A256" s="13" t="str">
        <f>IFERROR(__xludf.DUMMYFUNCTION("""COMPUTED_VALUE"""),"As Dusk Falls")</f>
        <v>As Dusk Falls</v>
      </c>
      <c r="B256" s="15" t="str">
        <f>IFERROR(__xludf.DUMMYFUNCTION("""COMPUTED_VALUE"""),"PS5/PS4")</f>
        <v>PS5/PS4</v>
      </c>
      <c r="C256" s="16" t="str">
        <f>IFERROR(__xludf.DUMMYFUNCTION("""COMPUTED_VALUE"""),"Extra")</f>
        <v>Extra</v>
      </c>
      <c r="D256" s="15" t="str">
        <f>IFERROR(__xludf.DUMMYFUNCTION("""COMPUTED_VALUE"""),"Active")</f>
        <v>Active</v>
      </c>
      <c r="E256" s="17">
        <f>IFERROR(__xludf.DUMMYFUNCTION("""COMPUTED_VALUE"""),45951.0)</f>
        <v>45951</v>
      </c>
      <c r="F256" s="54"/>
      <c r="G256" s="19">
        <f>IFERROR(__xludf.DUMMYFUNCTION("""COMPUTED_VALUE"""),11.5)</f>
        <v>11.5</v>
      </c>
      <c r="H256" s="17">
        <f>IFERROR(__xludf.DUMMYFUNCTION("""COMPUTED_VALUE"""),44761.0)</f>
        <v>44761</v>
      </c>
      <c r="I256" s="19">
        <f>IFERROR(__xludf.DUMMYFUNCTION("""COMPUTED_VALUE"""),3.2555555555555555)</f>
        <v>3.255555556</v>
      </c>
      <c r="J256" s="21">
        <f>IFERROR(__xludf.DUMMYFUNCTION("""COMPUTED_VALUE"""),77.0)</f>
        <v>77</v>
      </c>
      <c r="K256" s="23">
        <f>IFERROR(__xludf.DUMMYFUNCTION("""COMPUTED_VALUE"""),7.7)</f>
        <v>7.7</v>
      </c>
      <c r="L256" s="24">
        <f>IFERROR(__xludf.DUMMYFUNCTION("""COMPUTED_VALUE"""),7.0)</f>
        <v>7</v>
      </c>
      <c r="M256" s="25" t="str">
        <f>IFERROR(__xludf.DUMMYFUNCTION("""COMPUTED_VALUE"""),"Action-Adventure")</f>
        <v>Action-Adventure</v>
      </c>
      <c r="N256" s="25"/>
      <c r="O256" s="26"/>
      <c r="P256" s="26"/>
    </row>
    <row r="257">
      <c r="A257" s="13" t="str">
        <f>IFERROR(__xludf.DUMMYFUNCTION("""COMPUTED_VALUE"""),"Humankind")</f>
        <v>Humankind</v>
      </c>
      <c r="B257" s="15" t="str">
        <f>IFERROR(__xludf.DUMMYFUNCTION("""COMPUTED_VALUE"""),"PS5/PS4")</f>
        <v>PS5/PS4</v>
      </c>
      <c r="C257" s="16" t="str">
        <f>IFERROR(__xludf.DUMMYFUNCTION("""COMPUTED_VALUE"""),"Extra")</f>
        <v>Extra</v>
      </c>
      <c r="D257" s="15" t="str">
        <f>IFERROR(__xludf.DUMMYFUNCTION("""COMPUTED_VALUE"""),"Active")</f>
        <v>Active</v>
      </c>
      <c r="E257" s="17">
        <f>IFERROR(__xludf.DUMMYFUNCTION("""COMPUTED_VALUE"""),45797.0)</f>
        <v>45797</v>
      </c>
      <c r="F257" s="54"/>
      <c r="G257" s="19">
        <f>IFERROR(__xludf.DUMMYFUNCTION("""COMPUTED_VALUE"""),16.53333333333333)</f>
        <v>16.53333333</v>
      </c>
      <c r="H257" s="17">
        <f>IFERROR(__xludf.DUMMYFUNCTION("""COMPUTED_VALUE"""),44425.0)</f>
        <v>44425</v>
      </c>
      <c r="I257" s="19">
        <f>IFERROR(__xludf.DUMMYFUNCTION("""COMPUTED_VALUE"""),3.7583333333333333)</f>
        <v>3.758333333</v>
      </c>
      <c r="J257" s="21">
        <f>IFERROR(__xludf.DUMMYFUNCTION("""COMPUTED_VALUE"""),77.0)</f>
        <v>77</v>
      </c>
      <c r="K257" s="23">
        <f>IFERROR(__xludf.DUMMYFUNCTION("""COMPUTED_VALUE"""),6.7)</f>
        <v>6.7</v>
      </c>
      <c r="L257" s="24">
        <f>IFERROR(__xludf.DUMMYFUNCTION("""COMPUTED_VALUE"""),16.0)</f>
        <v>16</v>
      </c>
      <c r="M257" s="25" t="str">
        <f>IFERROR(__xludf.DUMMYFUNCTION("""COMPUTED_VALUE"""),"Strategy")</f>
        <v>Strategy</v>
      </c>
      <c r="N257" s="25"/>
      <c r="O257" s="26"/>
      <c r="P257" s="26"/>
    </row>
    <row r="258">
      <c r="A258" s="13" t="str">
        <f>IFERROR(__xludf.DUMMYFUNCTION("""COMPUTED_VALUE"""),"Orcs Must Die! 3")</f>
        <v>Orcs Must Die! 3</v>
      </c>
      <c r="B258" s="15" t="str">
        <f>IFERROR(__xludf.DUMMYFUNCTION("""COMPUTED_VALUE"""),"PS5/PS4")</f>
        <v>PS5/PS4</v>
      </c>
      <c r="C258" s="16" t="str">
        <f>IFERROR(__xludf.DUMMYFUNCTION("""COMPUTED_VALUE"""),"Extra")</f>
        <v>Extra</v>
      </c>
      <c r="D258" s="15" t="str">
        <f>IFERROR(__xludf.DUMMYFUNCTION("""COMPUTED_VALUE"""),"Active")</f>
        <v>Active</v>
      </c>
      <c r="E258" s="17">
        <f>IFERROR(__xludf.DUMMYFUNCTION("""COMPUTED_VALUE"""),45678.0)</f>
        <v>45678</v>
      </c>
      <c r="F258" s="54"/>
      <c r="G258" s="19">
        <f>IFERROR(__xludf.DUMMYFUNCTION("""COMPUTED_VALUE"""),20.5)</f>
        <v>20.5</v>
      </c>
      <c r="H258" s="17">
        <f>IFERROR(__xludf.DUMMYFUNCTION("""COMPUTED_VALUE"""),44400.0)</f>
        <v>44400</v>
      </c>
      <c r="I258" s="19">
        <f>IFERROR(__xludf.DUMMYFUNCTION("""COMPUTED_VALUE"""),3.4944444444444445)</f>
        <v>3.494444444</v>
      </c>
      <c r="J258" s="21">
        <f>IFERROR(__xludf.DUMMYFUNCTION("""COMPUTED_VALUE"""),77.0)</f>
        <v>77</v>
      </c>
      <c r="K258" s="23">
        <f>IFERROR(__xludf.DUMMYFUNCTION("""COMPUTED_VALUE"""),7.2)</f>
        <v>7.2</v>
      </c>
      <c r="L258" s="24">
        <f>IFERROR(__xludf.DUMMYFUNCTION("""COMPUTED_VALUE"""),10.0)</f>
        <v>10</v>
      </c>
      <c r="M258" s="25" t="str">
        <f>IFERROR(__xludf.DUMMYFUNCTION("""COMPUTED_VALUE"""),"Defense")</f>
        <v>Defense</v>
      </c>
      <c r="N258" s="25"/>
      <c r="O258" s="26" t="str">
        <f>IFERROR(__xludf.DUMMYFUNCTION("""COMPUTED_VALUE"""),"Yes")</f>
        <v>Yes</v>
      </c>
      <c r="P258" s="26"/>
    </row>
    <row r="259">
      <c r="A259" s="13" t="str">
        <f>IFERROR(__xludf.DUMMYFUNCTION("""COMPUTED_VALUE"""),"DEADCRAFT")</f>
        <v>DEADCRAFT</v>
      </c>
      <c r="B259" s="15" t="str">
        <f>IFERROR(__xludf.DUMMYFUNCTION("""COMPUTED_VALUE"""),"PS4")</f>
        <v>PS4</v>
      </c>
      <c r="C259" s="16" t="str">
        <f>IFERROR(__xludf.DUMMYFUNCTION("""COMPUTED_VALUE"""),"Extra")</f>
        <v>Extra</v>
      </c>
      <c r="D259" s="15" t="str">
        <f>IFERROR(__xludf.DUMMYFUNCTION("""COMPUTED_VALUE"""),"Active")</f>
        <v>Active</v>
      </c>
      <c r="E259" s="17">
        <f>IFERROR(__xludf.DUMMYFUNCTION("""COMPUTED_VALUE"""),45489.0)</f>
        <v>45489</v>
      </c>
      <c r="F259" s="54"/>
      <c r="G259" s="19">
        <f>IFERROR(__xludf.DUMMYFUNCTION("""COMPUTED_VALUE"""),26.666666666666668)</f>
        <v>26.66666667</v>
      </c>
      <c r="H259" s="17">
        <f>IFERROR(__xludf.DUMMYFUNCTION("""COMPUTED_VALUE"""),44700.0)</f>
        <v>44700</v>
      </c>
      <c r="I259" s="19">
        <f>IFERROR(__xludf.DUMMYFUNCTION("""COMPUTED_VALUE"""),2.158333333333333)</f>
        <v>2.158333333</v>
      </c>
      <c r="J259" s="21">
        <f>IFERROR(__xludf.DUMMYFUNCTION("""COMPUTED_VALUE"""),77.0)</f>
        <v>77</v>
      </c>
      <c r="K259" s="23">
        <f>IFERROR(__xludf.DUMMYFUNCTION("""COMPUTED_VALUE"""),7.4)</f>
        <v>7.4</v>
      </c>
      <c r="L259" s="24">
        <f>IFERROR(__xludf.DUMMYFUNCTION("""COMPUTED_VALUE"""),36.0)</f>
        <v>36</v>
      </c>
      <c r="M259" s="25" t="str">
        <f>IFERROR(__xludf.DUMMYFUNCTION("""COMPUTED_VALUE"""),"Survival")</f>
        <v>Survival</v>
      </c>
      <c r="N259" s="25"/>
      <c r="O259" s="26" t="str">
        <f>IFERROR(__xludf.DUMMYFUNCTION("""COMPUTED_VALUE"""),"Yes")</f>
        <v>Yes</v>
      </c>
      <c r="P259" s="26"/>
    </row>
    <row r="260">
      <c r="A260" s="13" t="str">
        <f>IFERROR(__xludf.DUMMYFUNCTION("""COMPUTED_VALUE"""),"Jet Moto 2")</f>
        <v>Jet Moto 2</v>
      </c>
      <c r="B260" s="15" t="str">
        <f>IFERROR(__xludf.DUMMYFUNCTION("""COMPUTED_VALUE"""),"PS5/PS4")</f>
        <v>PS5/PS4</v>
      </c>
      <c r="C260" s="16" t="str">
        <f>IFERROR(__xludf.DUMMYFUNCTION("""COMPUTED_VALUE"""),"Premium (Classics)")</f>
        <v>Premium (Classics)</v>
      </c>
      <c r="D260" s="15" t="str">
        <f>IFERROR(__xludf.DUMMYFUNCTION("""COMPUTED_VALUE"""),"Active")</f>
        <v>Active</v>
      </c>
      <c r="E260" s="17">
        <f>IFERROR(__xludf.DUMMYFUNCTION("""COMPUTED_VALUE"""),45342.0)</f>
        <v>45342</v>
      </c>
      <c r="F260" s="54"/>
      <c r="G260" s="19">
        <f>IFERROR(__xludf.DUMMYFUNCTION("""COMPUTED_VALUE"""),31.53333333333333)</f>
        <v>31.53333333</v>
      </c>
      <c r="H260" s="17">
        <f>IFERROR(__xludf.DUMMYFUNCTION("""COMPUTED_VALUE"""),35734.0)</f>
        <v>35734</v>
      </c>
      <c r="I260" s="19">
        <f>IFERROR(__xludf.DUMMYFUNCTION("""COMPUTED_VALUE"""),26.305555555555557)</f>
        <v>26.30555556</v>
      </c>
      <c r="J260" s="21">
        <f>IFERROR(__xludf.DUMMYFUNCTION("""COMPUTED_VALUE"""),77.0)</f>
        <v>77</v>
      </c>
      <c r="K260" s="23">
        <f>IFERROR(__xludf.DUMMYFUNCTION("""COMPUTED_VALUE"""),7.8)</f>
        <v>7.8</v>
      </c>
      <c r="L260" s="24">
        <f>IFERROR(__xludf.DUMMYFUNCTION("""COMPUTED_VALUE"""),6.0)</f>
        <v>6</v>
      </c>
      <c r="M260" s="25" t="str">
        <f>IFERROR(__xludf.DUMMYFUNCTION("""COMPUTED_VALUE"""),"Racing")</f>
        <v>Racing</v>
      </c>
      <c r="N260" s="25" t="str">
        <f>IFERROR(__xludf.DUMMYFUNCTION("""COMPUTED_VALUE"""),"PS1")</f>
        <v>PS1</v>
      </c>
      <c r="O260" s="26" t="str">
        <f>IFERROR(__xludf.DUMMYFUNCTION("""COMPUTED_VALUE"""),"Yes")</f>
        <v>Yes</v>
      </c>
      <c r="P260" s="26"/>
    </row>
    <row r="261">
      <c r="A261" s="13" t="str">
        <f>IFERROR(__xludf.DUMMYFUNCTION("""COMPUTED_VALUE"""),"Elite: Dangerous")</f>
        <v>Elite: Dangerous</v>
      </c>
      <c r="B261" s="15" t="str">
        <f>IFERROR(__xludf.DUMMYFUNCTION("""COMPUTED_VALUE"""),"PS4")</f>
        <v>PS4</v>
      </c>
      <c r="C261" s="16" t="str">
        <f>IFERROR(__xludf.DUMMYFUNCTION("""COMPUTED_VALUE"""),"Extra")</f>
        <v>Extra</v>
      </c>
      <c r="D261" s="15" t="str">
        <f>IFERROR(__xludf.DUMMYFUNCTION("""COMPUTED_VALUE"""),"Active")</f>
        <v>Active</v>
      </c>
      <c r="E261" s="17">
        <f>IFERROR(__xludf.DUMMYFUNCTION("""COMPUTED_VALUE"""),45216.0)</f>
        <v>45216</v>
      </c>
      <c r="F261" s="54"/>
      <c r="G261" s="19">
        <f>IFERROR(__xludf.DUMMYFUNCTION("""COMPUTED_VALUE"""),35.63333333333333)</f>
        <v>35.63333333</v>
      </c>
      <c r="H261" s="17">
        <f>IFERROR(__xludf.DUMMYFUNCTION("""COMPUTED_VALUE"""),41989.0)</f>
        <v>41989</v>
      </c>
      <c r="I261" s="19">
        <f>IFERROR(__xludf.DUMMYFUNCTION("""COMPUTED_VALUE"""),8.83611111111111)</f>
        <v>8.836111111</v>
      </c>
      <c r="J261" s="21">
        <f>IFERROR(__xludf.DUMMYFUNCTION("""COMPUTED_VALUE"""),77.0)</f>
        <v>77</v>
      </c>
      <c r="K261" s="23">
        <f>IFERROR(__xludf.DUMMYFUNCTION("""COMPUTED_VALUE"""),6.7)</f>
        <v>6.7</v>
      </c>
      <c r="L261" s="24">
        <f>IFERROR(__xludf.DUMMYFUNCTION("""COMPUTED_VALUE"""),91.0)</f>
        <v>91</v>
      </c>
      <c r="M261" s="72" t="str">
        <f>IFERROR(__xludf.DUMMYFUNCTION("""COMPUTED_VALUE"""),"Simulation")</f>
        <v>Simulation</v>
      </c>
      <c r="N261" s="72"/>
      <c r="O261" s="73" t="str">
        <f>IFERROR(__xludf.DUMMYFUNCTION("""COMPUTED_VALUE"""),"Yes")</f>
        <v>Yes</v>
      </c>
      <c r="P261" s="73"/>
    </row>
    <row r="262">
      <c r="A262" s="13" t="str">
        <f>IFERROR(__xludf.DUMMYFUNCTION("""COMPUTED_VALUE"""),"Sniper Elite 5")</f>
        <v>Sniper Elite 5</v>
      </c>
      <c r="B262" s="15" t="str">
        <f>IFERROR(__xludf.DUMMYFUNCTION("""COMPUTED_VALUE"""),"PS5/PS4")</f>
        <v>PS5/PS4</v>
      </c>
      <c r="C262" s="16" t="str">
        <f>IFERROR(__xludf.DUMMYFUNCTION("""COMPUTED_VALUE"""),"Extra")</f>
        <v>Extra</v>
      </c>
      <c r="D262" s="15" t="str">
        <f>IFERROR(__xludf.DUMMYFUNCTION("""COMPUTED_VALUE"""),"Active")</f>
        <v>Active</v>
      </c>
      <c r="E262" s="17">
        <f>IFERROR(__xludf.DUMMYFUNCTION("""COMPUTED_VALUE"""),45125.0)</f>
        <v>45125</v>
      </c>
      <c r="F262" s="18"/>
      <c r="G262" s="19">
        <f>IFERROR(__xludf.DUMMYFUNCTION("""COMPUTED_VALUE"""),38.6)</f>
        <v>38.6</v>
      </c>
      <c r="H262" s="17">
        <f>IFERROR(__xludf.DUMMYFUNCTION("""COMPUTED_VALUE"""),44646.0)</f>
        <v>44646</v>
      </c>
      <c r="I262" s="19">
        <f>IFERROR(__xludf.DUMMYFUNCTION("""COMPUTED_VALUE"""),1.3111111111111111)</f>
        <v>1.311111111</v>
      </c>
      <c r="J262" s="21">
        <f>IFERROR(__xludf.DUMMYFUNCTION("""COMPUTED_VALUE"""),77.0)</f>
        <v>77</v>
      </c>
      <c r="K262" s="23">
        <f>IFERROR(__xludf.DUMMYFUNCTION("""COMPUTED_VALUE"""),6.1)</f>
        <v>6.1</v>
      </c>
      <c r="L262" s="24">
        <f>IFERROR(__xludf.DUMMYFUNCTION("""COMPUTED_VALUE"""),10.0)</f>
        <v>10</v>
      </c>
      <c r="M262" s="25" t="str">
        <f>IFERROR(__xludf.DUMMYFUNCTION("""COMPUTED_VALUE"""),"Shooter")</f>
        <v>Shooter</v>
      </c>
      <c r="N262" s="25"/>
      <c r="O262" s="26" t="str">
        <f>IFERROR(__xludf.DUMMYFUNCTION("""COMPUTED_VALUE"""),"Portal (PS5 + Premium)")</f>
        <v>Portal (PS5 + Premium)</v>
      </c>
      <c r="P262" s="26"/>
    </row>
    <row r="263">
      <c r="A263" s="13" t="str">
        <f>IFERROR(__xludf.DUMMYFUNCTION("""COMPUTED_VALUE"""),"Killzone: Liberation")</f>
        <v>Killzone: Liberation</v>
      </c>
      <c r="B263" s="15" t="str">
        <f>IFERROR(__xludf.DUMMYFUNCTION("""COMPUTED_VALUE"""),"PS5/PS4")</f>
        <v>PS5/PS4</v>
      </c>
      <c r="C263" s="16" t="str">
        <f>IFERROR(__xludf.DUMMYFUNCTION("""COMPUTED_VALUE"""),"Premium (Classics)")</f>
        <v>Premium (Classics)</v>
      </c>
      <c r="D263" s="15" t="str">
        <f>IFERROR(__xludf.DUMMYFUNCTION("""COMPUTED_VALUE"""),"Active")</f>
        <v>Active</v>
      </c>
      <c r="E263" s="17">
        <f>IFERROR(__xludf.DUMMYFUNCTION("""COMPUTED_VALUE"""),45097.0)</f>
        <v>45097</v>
      </c>
      <c r="F263" s="54"/>
      <c r="G263" s="19">
        <f>IFERROR(__xludf.DUMMYFUNCTION("""COMPUTED_VALUE"""),39.53333333333333)</f>
        <v>39.53333333</v>
      </c>
      <c r="H263" s="17">
        <f>IFERROR(__xludf.DUMMYFUNCTION("""COMPUTED_VALUE"""),39021.0)</f>
        <v>39021</v>
      </c>
      <c r="I263" s="19">
        <f>IFERROR(__xludf.DUMMYFUNCTION("""COMPUTED_VALUE"""),16.63888888888889)</f>
        <v>16.63888889</v>
      </c>
      <c r="J263" s="21">
        <f>IFERROR(__xludf.DUMMYFUNCTION("""COMPUTED_VALUE"""),77.0)</f>
        <v>77</v>
      </c>
      <c r="K263" s="23">
        <f>IFERROR(__xludf.DUMMYFUNCTION("""COMPUTED_VALUE"""),7.9)</f>
        <v>7.9</v>
      </c>
      <c r="L263" s="24">
        <f>IFERROR(__xludf.DUMMYFUNCTION("""COMPUTED_VALUE"""),8.0)</f>
        <v>8</v>
      </c>
      <c r="M263" s="25" t="str">
        <f>IFERROR(__xludf.DUMMYFUNCTION("""COMPUTED_VALUE"""),"Shooter")</f>
        <v>Shooter</v>
      </c>
      <c r="N263" s="25" t="str">
        <f>IFERROR(__xludf.DUMMYFUNCTION("""COMPUTED_VALUE"""),"PSP")</f>
        <v>PSP</v>
      </c>
      <c r="O263" s="26" t="str">
        <f>IFERROR(__xludf.DUMMYFUNCTION("""COMPUTED_VALUE"""),"Yes")</f>
        <v>Yes</v>
      </c>
      <c r="P263" s="26"/>
    </row>
    <row r="264">
      <c r="A264" s="13" t="str">
        <f>IFERROR(__xludf.DUMMYFUNCTION("""COMPUTED_VALUE"""),"Sakuna: Of Rice and Ruin")</f>
        <v>Sakuna: Of Rice and Ruin</v>
      </c>
      <c r="B264" s="15" t="str">
        <f>IFERROR(__xludf.DUMMYFUNCTION("""COMPUTED_VALUE"""),"PS4")</f>
        <v>PS4</v>
      </c>
      <c r="C264" s="16" t="str">
        <f>IFERROR(__xludf.DUMMYFUNCTION("""COMPUTED_VALUE"""),"Extra")</f>
        <v>Extra</v>
      </c>
      <c r="D264" s="15" t="str">
        <f>IFERROR(__xludf.DUMMYFUNCTION("""COMPUTED_VALUE"""),"Active")</f>
        <v>Active</v>
      </c>
      <c r="E264" s="17">
        <f>IFERROR(__xludf.DUMMYFUNCTION("""COMPUTED_VALUE"""),45062.0)</f>
        <v>45062</v>
      </c>
      <c r="F264" s="54"/>
      <c r="G264" s="19">
        <f>IFERROR(__xludf.DUMMYFUNCTION("""COMPUTED_VALUE"""),40.666666666666664)</f>
        <v>40.66666667</v>
      </c>
      <c r="H264" s="17">
        <f>IFERROR(__xludf.DUMMYFUNCTION("""COMPUTED_VALUE"""),44145.0)</f>
        <v>44145</v>
      </c>
      <c r="I264" s="19">
        <f>IFERROR(__xludf.DUMMYFUNCTION("""COMPUTED_VALUE"""),2.5166666666666666)</f>
        <v>2.516666667</v>
      </c>
      <c r="J264" s="21">
        <f>IFERROR(__xludf.DUMMYFUNCTION("""COMPUTED_VALUE"""),77.0)</f>
        <v>77</v>
      </c>
      <c r="K264" s="23">
        <f>IFERROR(__xludf.DUMMYFUNCTION("""COMPUTED_VALUE"""),7.7)</f>
        <v>7.7</v>
      </c>
      <c r="L264" s="24">
        <f>IFERROR(__xludf.DUMMYFUNCTION("""COMPUTED_VALUE"""),30.0)</f>
        <v>30</v>
      </c>
      <c r="M264" s="25" t="str">
        <f>IFERROR(__xludf.DUMMYFUNCTION("""COMPUTED_VALUE"""),"RPG")</f>
        <v>RPG</v>
      </c>
      <c r="N264" s="25"/>
      <c r="O264" s="26" t="str">
        <f>IFERROR(__xludf.DUMMYFUNCTION("""COMPUTED_VALUE"""),"Yes")</f>
        <v>Yes</v>
      </c>
      <c r="P264" s="26"/>
    </row>
    <row r="265">
      <c r="A265" s="13" t="str">
        <f>IFERROR(__xludf.DUMMYFUNCTION("""COMPUTED_VALUE"""),"Immortals Fenyx Rising")</f>
        <v>Immortals Fenyx Rising</v>
      </c>
      <c r="B265" s="15" t="str">
        <f>IFERROR(__xludf.DUMMYFUNCTION("""COMPUTED_VALUE"""),"PS5/PS4")</f>
        <v>PS5/PS4</v>
      </c>
      <c r="C265" s="16" t="str">
        <f>IFERROR(__xludf.DUMMYFUNCTION("""COMPUTED_VALUE"""),"Extra")</f>
        <v>Extra</v>
      </c>
      <c r="D265" s="15" t="str">
        <f>IFERROR(__xludf.DUMMYFUNCTION("""COMPUTED_VALUE"""),"Active")</f>
        <v>Active</v>
      </c>
      <c r="E265" s="17">
        <f>IFERROR(__xludf.DUMMYFUNCTION("""COMPUTED_VALUE"""),45006.0)</f>
        <v>45006</v>
      </c>
      <c r="F265" s="54"/>
      <c r="G265" s="19">
        <f>IFERROR(__xludf.DUMMYFUNCTION("""COMPUTED_VALUE"""),42.5)</f>
        <v>42.5</v>
      </c>
      <c r="H265" s="17">
        <f>IFERROR(__xludf.DUMMYFUNCTION("""COMPUTED_VALUE"""),44168.0)</f>
        <v>44168</v>
      </c>
      <c r="I265" s="19">
        <f>IFERROR(__xludf.DUMMYFUNCTION("""COMPUTED_VALUE"""),2.3)</f>
        <v>2.3</v>
      </c>
      <c r="J265" s="21">
        <f>IFERROR(__xludf.DUMMYFUNCTION("""COMPUTED_VALUE"""),77.0)</f>
        <v>77</v>
      </c>
      <c r="K265" s="23">
        <f>IFERROR(__xludf.DUMMYFUNCTION("""COMPUTED_VALUE"""),7.6)</f>
        <v>7.6</v>
      </c>
      <c r="L265" s="24">
        <f>IFERROR(__xludf.DUMMYFUNCTION("""COMPUTED_VALUE"""),25.0)</f>
        <v>25</v>
      </c>
      <c r="M265" s="25" t="str">
        <f>IFERROR(__xludf.DUMMYFUNCTION("""COMPUTED_VALUE"""),"Action-Adventure")</f>
        <v>Action-Adventure</v>
      </c>
      <c r="N265" s="25"/>
      <c r="O265" s="26" t="str">
        <f>IFERROR(__xludf.DUMMYFUNCTION("""COMPUTED_VALUE"""),"Yes")</f>
        <v>Yes</v>
      </c>
      <c r="P265" s="26"/>
    </row>
    <row r="266">
      <c r="A266" s="13" t="str">
        <f>IFERROR(__xludf.DUMMYFUNCTION("""COMPUTED_VALUE"""),"Fury Unleashed")</f>
        <v>Fury Unleashed</v>
      </c>
      <c r="B266" s="15" t="str">
        <f>IFERROR(__xludf.DUMMYFUNCTION("""COMPUTED_VALUE"""),"PS4")</f>
        <v>PS4</v>
      </c>
      <c r="C266" s="16" t="str">
        <f>IFERROR(__xludf.DUMMYFUNCTION("""COMPUTED_VALUE"""),"Extra")</f>
        <v>Extra</v>
      </c>
      <c r="D266" s="15" t="str">
        <f>IFERROR(__xludf.DUMMYFUNCTION("""COMPUTED_VALUE"""),"Active")</f>
        <v>Active</v>
      </c>
      <c r="E266" s="17">
        <f>IFERROR(__xludf.DUMMYFUNCTION("""COMPUTED_VALUE"""),44725.0)</f>
        <v>44725</v>
      </c>
      <c r="F266" s="54"/>
      <c r="G266" s="19">
        <f>IFERROR(__xludf.DUMMYFUNCTION("""COMPUTED_VALUE"""),51.766666666666666)</f>
        <v>51.76666667</v>
      </c>
      <c r="H266" s="17">
        <f>IFERROR(__xludf.DUMMYFUNCTION("""COMPUTED_VALUE"""),42790.0)</f>
        <v>42790</v>
      </c>
      <c r="I266" s="19">
        <f>IFERROR(__xludf.DUMMYFUNCTION("""COMPUTED_VALUE"""),5.302777777777778)</f>
        <v>5.302777778</v>
      </c>
      <c r="J266" s="21">
        <f>IFERROR(__xludf.DUMMYFUNCTION("""COMPUTED_VALUE"""),77.0)</f>
        <v>77</v>
      </c>
      <c r="K266" s="23">
        <f>IFERROR(__xludf.DUMMYFUNCTION("""COMPUTED_VALUE"""),7.3)</f>
        <v>7.3</v>
      </c>
      <c r="L266" s="24">
        <f>IFERROR(__xludf.DUMMYFUNCTION("""COMPUTED_VALUE"""),8.5)</f>
        <v>8.5</v>
      </c>
      <c r="M266" s="25" t="str">
        <f>IFERROR(__xludf.DUMMYFUNCTION("""COMPUTED_VALUE"""),"Platformer")</f>
        <v>Platformer</v>
      </c>
      <c r="N266" s="25"/>
      <c r="O266" s="26" t="str">
        <f>IFERROR(__xludf.DUMMYFUNCTION("""COMPUTED_VALUE"""),"Yes")</f>
        <v>Yes</v>
      </c>
      <c r="P266" s="26" t="str">
        <f>IFERROR(__xludf.DUMMYFUNCTION("""COMPUTED_VALUE"""),"Yes")</f>
        <v>Yes</v>
      </c>
    </row>
    <row r="267">
      <c r="A267" s="13" t="str">
        <f>IFERROR(__xludf.DUMMYFUNCTION("""COMPUTED_VALUE"""),"Hotshot Racing")</f>
        <v>Hotshot Racing</v>
      </c>
      <c r="B267" s="15" t="str">
        <f>IFERROR(__xludf.DUMMYFUNCTION("""COMPUTED_VALUE"""),"PS4")</f>
        <v>PS4</v>
      </c>
      <c r="C267" s="16" t="str">
        <f>IFERROR(__xludf.DUMMYFUNCTION("""COMPUTED_VALUE"""),"Extra")</f>
        <v>Extra</v>
      </c>
      <c r="D267" s="15" t="str">
        <f>IFERROR(__xludf.DUMMYFUNCTION("""COMPUTED_VALUE"""),"Active")</f>
        <v>Active</v>
      </c>
      <c r="E267" s="17">
        <f>IFERROR(__xludf.DUMMYFUNCTION("""COMPUTED_VALUE"""),44725.0)</f>
        <v>44725</v>
      </c>
      <c r="F267" s="54"/>
      <c r="G267" s="19">
        <f>IFERROR(__xludf.DUMMYFUNCTION("""COMPUTED_VALUE"""),51.766666666666666)</f>
        <v>51.76666667</v>
      </c>
      <c r="H267" s="17">
        <f>IFERROR(__xludf.DUMMYFUNCTION("""COMPUTED_VALUE"""),44084.0)</f>
        <v>44084</v>
      </c>
      <c r="I267" s="19">
        <f>IFERROR(__xludf.DUMMYFUNCTION("""COMPUTED_VALUE"""),1.7583333333333333)</f>
        <v>1.758333333</v>
      </c>
      <c r="J267" s="21">
        <f>IFERROR(__xludf.DUMMYFUNCTION("""COMPUTED_VALUE"""),77.0)</f>
        <v>77</v>
      </c>
      <c r="K267" s="23">
        <f>IFERROR(__xludf.DUMMYFUNCTION("""COMPUTED_VALUE"""),6.8)</f>
        <v>6.8</v>
      </c>
      <c r="L267" s="24">
        <f>IFERROR(__xludf.DUMMYFUNCTION("""COMPUTED_VALUE"""),1.5)</f>
        <v>1.5</v>
      </c>
      <c r="M267" s="25" t="str">
        <f>IFERROR(__xludf.DUMMYFUNCTION("""COMPUTED_VALUE"""),"Racing")</f>
        <v>Racing</v>
      </c>
      <c r="N267" s="25"/>
      <c r="O267" s="26" t="str">
        <f>IFERROR(__xludf.DUMMYFUNCTION("""COMPUTED_VALUE"""),"Yes")</f>
        <v>Yes</v>
      </c>
      <c r="P267" s="26" t="str">
        <f>IFERROR(__xludf.DUMMYFUNCTION("""COMPUTED_VALUE"""),"Yes")</f>
        <v>Yes</v>
      </c>
    </row>
    <row r="268">
      <c r="A268" s="13" t="str">
        <f>IFERROR(__xludf.DUMMYFUNCTION("""COMPUTED_VALUE"""),"Valiant Hearts: The Great War")</f>
        <v>Valiant Hearts: The Great War</v>
      </c>
      <c r="B268" s="15" t="str">
        <f>IFERROR(__xludf.DUMMYFUNCTION("""COMPUTED_VALUE"""),"PS4")</f>
        <v>PS4</v>
      </c>
      <c r="C268" s="16" t="str">
        <f>IFERROR(__xludf.DUMMYFUNCTION("""COMPUTED_VALUE"""),"Extra")</f>
        <v>Extra</v>
      </c>
      <c r="D268" s="15" t="str">
        <f>IFERROR(__xludf.DUMMYFUNCTION("""COMPUTED_VALUE"""),"Active")</f>
        <v>Active</v>
      </c>
      <c r="E268" s="17">
        <f>IFERROR(__xludf.DUMMYFUNCTION("""COMPUTED_VALUE"""),44725.0)</f>
        <v>44725</v>
      </c>
      <c r="F268" s="54"/>
      <c r="G268" s="19">
        <f>IFERROR(__xludf.DUMMYFUNCTION("""COMPUTED_VALUE"""),51.766666666666666)</f>
        <v>51.76666667</v>
      </c>
      <c r="H268" s="17">
        <f>IFERROR(__xludf.DUMMYFUNCTION("""COMPUTED_VALUE"""),41815.0)</f>
        <v>41815</v>
      </c>
      <c r="I268" s="19">
        <f>IFERROR(__xludf.DUMMYFUNCTION("""COMPUTED_VALUE"""),7.966666666666667)</f>
        <v>7.966666667</v>
      </c>
      <c r="J268" s="21">
        <f>IFERROR(__xludf.DUMMYFUNCTION("""COMPUTED_VALUE"""),77.0)</f>
        <v>77</v>
      </c>
      <c r="K268" s="23">
        <f>IFERROR(__xludf.DUMMYFUNCTION("""COMPUTED_VALUE"""),8.0)</f>
        <v>8</v>
      </c>
      <c r="L268" s="24">
        <f>IFERROR(__xludf.DUMMYFUNCTION("""COMPUTED_VALUE"""),7.0)</f>
        <v>7</v>
      </c>
      <c r="M268" s="25" t="str">
        <f>IFERROR(__xludf.DUMMYFUNCTION("""COMPUTED_VALUE"""),"Adventure")</f>
        <v>Adventure</v>
      </c>
      <c r="N268" s="25"/>
      <c r="O268" s="26" t="str">
        <f>IFERROR(__xludf.DUMMYFUNCTION("""COMPUTED_VALUE"""),"Yes")</f>
        <v>Yes</v>
      </c>
      <c r="P268" s="26"/>
    </row>
    <row r="269">
      <c r="A269" s="13" t="str">
        <f>IFERROR(__xludf.DUMMYFUNCTION("""COMPUTED_VALUE"""),"ZOMBI")</f>
        <v>ZOMBI</v>
      </c>
      <c r="B269" s="15" t="str">
        <f>IFERROR(__xludf.DUMMYFUNCTION("""COMPUTED_VALUE"""),"PS4")</f>
        <v>PS4</v>
      </c>
      <c r="C269" s="16" t="str">
        <f>IFERROR(__xludf.DUMMYFUNCTION("""COMPUTED_VALUE"""),"Extra (Ubisoft+ Classics)")</f>
        <v>Extra (Ubisoft+ Classics)</v>
      </c>
      <c r="D269" s="15" t="str">
        <f>IFERROR(__xludf.DUMMYFUNCTION("""COMPUTED_VALUE"""),"Active")</f>
        <v>Active</v>
      </c>
      <c r="E269" s="17">
        <f>IFERROR(__xludf.DUMMYFUNCTION("""COMPUTED_VALUE"""),44725.0)</f>
        <v>44725</v>
      </c>
      <c r="F269" s="54"/>
      <c r="G269" s="19">
        <f>IFERROR(__xludf.DUMMYFUNCTION("""COMPUTED_VALUE"""),51.766666666666666)</f>
        <v>51.76666667</v>
      </c>
      <c r="H269" s="17">
        <f>IFERROR(__xludf.DUMMYFUNCTION("""COMPUTED_VALUE"""),42234.0)</f>
        <v>42234</v>
      </c>
      <c r="I269" s="19">
        <f>IFERROR(__xludf.DUMMYFUNCTION("""COMPUTED_VALUE"""),6.819444444444445)</f>
        <v>6.819444444</v>
      </c>
      <c r="J269" s="21">
        <f>IFERROR(__xludf.DUMMYFUNCTION("""COMPUTED_VALUE"""),77.0)</f>
        <v>77</v>
      </c>
      <c r="K269" s="23">
        <f>IFERROR(__xludf.DUMMYFUNCTION("""COMPUTED_VALUE"""),6.4)</f>
        <v>6.4</v>
      </c>
      <c r="L269" s="24">
        <f>IFERROR(__xludf.DUMMYFUNCTION("""COMPUTED_VALUE"""),9.0)</f>
        <v>9</v>
      </c>
      <c r="M269" s="25" t="str">
        <f>IFERROR(__xludf.DUMMYFUNCTION("""COMPUTED_VALUE"""),"Horror")</f>
        <v>Horror</v>
      </c>
      <c r="N269" s="25"/>
      <c r="O269" s="26" t="str">
        <f>IFERROR(__xludf.DUMMYFUNCTION("""COMPUTED_VALUE"""),"Yes")</f>
        <v>Yes</v>
      </c>
      <c r="P269" s="26"/>
    </row>
    <row r="270">
      <c r="A270" s="13" t="str">
        <f>IFERROR(__xludf.DUMMYFUNCTION("""COMPUTED_VALUE"""),"Kinetica")</f>
        <v>Kinetica</v>
      </c>
      <c r="B270" s="15" t="str">
        <f>IFERROR(__xludf.DUMMYFUNCTION("""COMPUTED_VALUE"""),"PS4")</f>
        <v>PS4</v>
      </c>
      <c r="C270" s="16" t="str">
        <f>IFERROR(__xludf.DUMMYFUNCTION("""COMPUTED_VALUE"""),"Premium (Classics)")</f>
        <v>Premium (Classics)</v>
      </c>
      <c r="D270" s="15" t="str">
        <f>IFERROR(__xludf.DUMMYFUNCTION("""COMPUTED_VALUE"""),"Active")</f>
        <v>Active</v>
      </c>
      <c r="E270" s="17">
        <f>IFERROR(__xludf.DUMMYFUNCTION("""COMPUTED_VALUE"""),44725.0)</f>
        <v>44725</v>
      </c>
      <c r="F270" s="54"/>
      <c r="G270" s="19">
        <f>IFERROR(__xludf.DUMMYFUNCTION("""COMPUTED_VALUE"""),51.766666666666666)</f>
        <v>51.76666667</v>
      </c>
      <c r="H270" s="17">
        <f>IFERROR(__xludf.DUMMYFUNCTION("""COMPUTED_VALUE"""),37165.0)</f>
        <v>37165</v>
      </c>
      <c r="I270" s="19">
        <f>IFERROR(__xludf.DUMMYFUNCTION("""COMPUTED_VALUE"""),20.7)</f>
        <v>20.7</v>
      </c>
      <c r="J270" s="21">
        <f>IFERROR(__xludf.DUMMYFUNCTION("""COMPUTED_VALUE"""),77.0)</f>
        <v>77</v>
      </c>
      <c r="K270" s="23">
        <f>IFERROR(__xludf.DUMMYFUNCTION("""COMPUTED_VALUE"""),7.8)</f>
        <v>7.8</v>
      </c>
      <c r="L270" s="24">
        <f>IFERROR(__xludf.DUMMYFUNCTION("""COMPUTED_VALUE"""),4.0)</f>
        <v>4</v>
      </c>
      <c r="M270" s="25" t="str">
        <f>IFERROR(__xludf.DUMMYFUNCTION("""COMPUTED_VALUE"""),"Racing")</f>
        <v>Racing</v>
      </c>
      <c r="N270" s="25" t="str">
        <f>IFERROR(__xludf.DUMMYFUNCTION("""COMPUTED_VALUE"""),"PS2")</f>
        <v>PS2</v>
      </c>
      <c r="O270" s="26" t="str">
        <f>IFERROR(__xludf.DUMMYFUNCTION("""COMPUTED_VALUE"""),"Yes")</f>
        <v>Yes</v>
      </c>
      <c r="P270" s="26" t="str">
        <f>IFERROR(__xludf.DUMMYFUNCTION("""COMPUTED_VALUE"""),"")</f>
        <v/>
      </c>
    </row>
    <row r="271">
      <c r="A271" s="13" t="str">
        <f>IFERROR(__xludf.DUMMYFUNCTION("""COMPUTED_VALUE"""),"The Long Dark")</f>
        <v>The Long Dark</v>
      </c>
      <c r="B271" s="15" t="str">
        <f>IFERROR(__xludf.DUMMYFUNCTION("""COMPUTED_VALUE"""),"PS4")</f>
        <v>PS4</v>
      </c>
      <c r="C271" s="16" t="str">
        <f>IFERROR(__xludf.DUMMYFUNCTION("""COMPUTED_VALUE"""),"Extra")</f>
        <v>Extra</v>
      </c>
      <c r="D271" s="15" t="str">
        <f>IFERROR(__xludf.DUMMYFUNCTION("""COMPUTED_VALUE"""),"Active")</f>
        <v>Active</v>
      </c>
      <c r="E271" s="17">
        <f>IFERROR(__xludf.DUMMYFUNCTION("""COMPUTED_VALUE"""),44292.0)</f>
        <v>44292</v>
      </c>
      <c r="F271" s="54"/>
      <c r="G271" s="19">
        <f>IFERROR(__xludf.DUMMYFUNCTION("""COMPUTED_VALUE"""),66.0)</f>
        <v>66</v>
      </c>
      <c r="H271" s="17">
        <f>IFERROR(__xludf.DUMMYFUNCTION("""COMPUTED_VALUE"""),41883.0)</f>
        <v>41883</v>
      </c>
      <c r="I271" s="19">
        <f>IFERROR(__xludf.DUMMYFUNCTION("""COMPUTED_VALUE"""),6.597222222222222)</f>
        <v>6.597222222</v>
      </c>
      <c r="J271" s="21">
        <f>IFERROR(__xludf.DUMMYFUNCTION("""COMPUTED_VALUE"""),77.0)</f>
        <v>77</v>
      </c>
      <c r="K271" s="23">
        <f>IFERROR(__xludf.DUMMYFUNCTION("""COMPUTED_VALUE"""),7.5)</f>
        <v>7.5</v>
      </c>
      <c r="L271" s="24">
        <f>IFERROR(__xludf.DUMMYFUNCTION("""COMPUTED_VALUE"""),20.0)</f>
        <v>20</v>
      </c>
      <c r="M271" s="25" t="str">
        <f>IFERROR(__xludf.DUMMYFUNCTION("""COMPUTED_VALUE"""),"Survival")</f>
        <v>Survival</v>
      </c>
      <c r="N271" s="25"/>
      <c r="O271" s="26" t="str">
        <f>IFERROR(__xludf.DUMMYFUNCTION("""COMPUTED_VALUE"""),"Yes")</f>
        <v>Yes</v>
      </c>
      <c r="P271" s="26"/>
    </row>
    <row r="272">
      <c r="A272" s="13" t="str">
        <f>IFERROR(__xludf.DUMMYFUNCTION("""COMPUTED_VALUE"""),"The Surge 2")</f>
        <v>The Surge 2</v>
      </c>
      <c r="B272" s="15" t="str">
        <f>IFERROR(__xludf.DUMMYFUNCTION("""COMPUTED_VALUE"""),"PS4")</f>
        <v>PS4</v>
      </c>
      <c r="C272" s="16" t="str">
        <f>IFERROR(__xludf.DUMMYFUNCTION("""COMPUTED_VALUE"""),"Extra")</f>
        <v>Extra</v>
      </c>
      <c r="D272" s="15" t="str">
        <f>IFERROR(__xludf.DUMMYFUNCTION("""COMPUTED_VALUE"""),"Active")</f>
        <v>Active</v>
      </c>
      <c r="E272" s="17">
        <f>IFERROR(__xludf.DUMMYFUNCTION("""COMPUTED_VALUE"""),44166.0)</f>
        <v>44166</v>
      </c>
      <c r="F272" s="18"/>
      <c r="G272" s="19">
        <f>IFERROR(__xludf.DUMMYFUNCTION("""COMPUTED_VALUE"""),70.16666666666667)</f>
        <v>70.16666667</v>
      </c>
      <c r="H272" s="17">
        <f>IFERROR(__xludf.DUMMYFUNCTION("""COMPUTED_VALUE"""),43732.0)</f>
        <v>43732</v>
      </c>
      <c r="I272" s="19">
        <f>IFERROR(__xludf.DUMMYFUNCTION("""COMPUTED_VALUE"""),1.1861111111111111)</f>
        <v>1.186111111</v>
      </c>
      <c r="J272" s="21">
        <f>IFERROR(__xludf.DUMMYFUNCTION("""COMPUTED_VALUE"""),77.0)</f>
        <v>77</v>
      </c>
      <c r="K272" s="23">
        <f>IFERROR(__xludf.DUMMYFUNCTION("""COMPUTED_VALUE"""),7.1)</f>
        <v>7.1</v>
      </c>
      <c r="L272" s="24">
        <f>IFERROR(__xludf.DUMMYFUNCTION("""COMPUTED_VALUE"""),18.0)</f>
        <v>18</v>
      </c>
      <c r="M272" s="25" t="str">
        <f>IFERROR(__xludf.DUMMYFUNCTION("""COMPUTED_VALUE"""),"RPG")</f>
        <v>RPG</v>
      </c>
      <c r="N272" s="25"/>
      <c r="O272" s="26" t="str">
        <f>IFERROR(__xludf.DUMMYFUNCTION("""COMPUTED_VALUE"""),"Yes")</f>
        <v>Yes</v>
      </c>
      <c r="P272" s="26"/>
    </row>
    <row r="273">
      <c r="A273" s="13" t="str">
        <f>IFERROR(__xludf.DUMMYFUNCTION("""COMPUTED_VALUE"""),"STRIDER (2014)")</f>
        <v>STRIDER (2014)</v>
      </c>
      <c r="B273" s="15" t="str">
        <f>IFERROR(__xludf.DUMMYFUNCTION("""COMPUTED_VALUE"""),"PS4")</f>
        <v>PS4</v>
      </c>
      <c r="C273" s="16" t="str">
        <f>IFERROR(__xludf.DUMMYFUNCTION("""COMPUTED_VALUE"""),"Premium (Remasters)")</f>
        <v>Premium (Remasters)</v>
      </c>
      <c r="D273" s="15" t="str">
        <f>IFERROR(__xludf.DUMMYFUNCTION("""COMPUTED_VALUE"""),"Active")</f>
        <v>Active</v>
      </c>
      <c r="E273" s="17">
        <f>IFERROR(__xludf.DUMMYFUNCTION("""COMPUTED_VALUE"""),42311.0)</f>
        <v>42311</v>
      </c>
      <c r="F273" s="18"/>
      <c r="G273" s="19">
        <f>IFERROR(__xludf.DUMMYFUNCTION("""COMPUTED_VALUE"""),131.10000000000002)</f>
        <v>131.1</v>
      </c>
      <c r="H273" s="17">
        <f>IFERROR(__xludf.DUMMYFUNCTION("""COMPUTED_VALUE"""),41671.0)</f>
        <v>41671</v>
      </c>
      <c r="I273" s="19">
        <f>IFERROR(__xludf.DUMMYFUNCTION("""COMPUTED_VALUE"""),1.7555555555555555)</f>
        <v>1.755555556</v>
      </c>
      <c r="J273" s="21">
        <f>IFERROR(__xludf.DUMMYFUNCTION("""COMPUTED_VALUE"""),77.0)</f>
        <v>77</v>
      </c>
      <c r="K273" s="23">
        <f>IFERROR(__xludf.DUMMYFUNCTION("""COMPUTED_VALUE"""),7.8)</f>
        <v>7.8</v>
      </c>
      <c r="L273" s="24">
        <f>IFERROR(__xludf.DUMMYFUNCTION("""COMPUTED_VALUE"""),7.0)</f>
        <v>7</v>
      </c>
      <c r="M273" s="25" t="str">
        <f>IFERROR(__xludf.DUMMYFUNCTION("""COMPUTED_VALUE"""),"Action-Adventure")</f>
        <v>Action-Adventure</v>
      </c>
      <c r="N273" s="25" t="str">
        <f>IFERROR(__xludf.DUMMYFUNCTION("""COMPUTED_VALUE"""),"Arcade")</f>
        <v>Arcade</v>
      </c>
      <c r="O273" s="26" t="str">
        <f>IFERROR(__xludf.DUMMYFUNCTION("""COMPUTED_VALUE"""),"Yes")</f>
        <v>Yes</v>
      </c>
      <c r="P273" s="26"/>
    </row>
    <row r="274">
      <c r="A274" s="13" t="str">
        <f>IFERROR(__xludf.DUMMYFUNCTION("""COMPUTED_VALUE"""),"Lake")</f>
        <v>Lake</v>
      </c>
      <c r="B274" s="15" t="str">
        <f>IFERROR(__xludf.DUMMYFUNCTION("""COMPUTED_VALUE"""),"PS5/PS4")</f>
        <v>PS5/PS4</v>
      </c>
      <c r="C274" s="16" t="str">
        <f>IFERROR(__xludf.DUMMYFUNCTION("""COMPUTED_VALUE"""),"Extra")</f>
        <v>Extra</v>
      </c>
      <c r="D274" s="15" t="str">
        <f>IFERROR(__xludf.DUMMYFUNCTION("""COMPUTED_VALUE"""),"Leaving Soon")</f>
        <v>Leaving Soon</v>
      </c>
      <c r="E274" s="17">
        <f>IFERROR(__xludf.DUMMYFUNCTION("""COMPUTED_VALUE"""),45062.0)</f>
        <v>45062</v>
      </c>
      <c r="F274" s="54">
        <f>IFERROR(__xludf.DUMMYFUNCTION("""COMPUTED_VALUE"""),46314.0)</f>
        <v>46314</v>
      </c>
      <c r="G274" s="19">
        <f>IFERROR(__xludf.DUMMYFUNCTION("""COMPUTED_VALUE"""),41.099999999999994)</f>
        <v>41.1</v>
      </c>
      <c r="H274" s="17">
        <f>IFERROR(__xludf.DUMMYFUNCTION("""COMPUTED_VALUE"""),44659.0)</f>
        <v>44659</v>
      </c>
      <c r="I274" s="19">
        <f>IFERROR(__xludf.DUMMYFUNCTION("""COMPUTED_VALUE"""),1.1055555555555556)</f>
        <v>1.105555556</v>
      </c>
      <c r="J274" s="21">
        <f>IFERROR(__xludf.DUMMYFUNCTION("""COMPUTED_VALUE"""),77.0)</f>
        <v>77</v>
      </c>
      <c r="K274" s="23">
        <f>IFERROR(__xludf.DUMMYFUNCTION("""COMPUTED_VALUE"""),7.5)</f>
        <v>7.5</v>
      </c>
      <c r="L274" s="24">
        <f>IFERROR(__xludf.DUMMYFUNCTION("""COMPUTED_VALUE"""),6.0)</f>
        <v>6</v>
      </c>
      <c r="M274" s="25" t="str">
        <f>IFERROR(__xludf.DUMMYFUNCTION("""COMPUTED_VALUE"""),"Action-Adventure")</f>
        <v>Action-Adventure</v>
      </c>
      <c r="N274" s="25"/>
      <c r="O274" s="26" t="str">
        <f>IFERROR(__xludf.DUMMYFUNCTION("""COMPUTED_VALUE"""),"Yes")</f>
        <v>Yes</v>
      </c>
      <c r="P274" s="26"/>
    </row>
    <row r="275">
      <c r="A275" s="13" t="str">
        <f>IFERROR(__xludf.DUMMYFUNCTION("""COMPUTED_VALUE"""),"Dying Light 2")</f>
        <v>Dying Light 2</v>
      </c>
      <c r="B275" s="15" t="str">
        <f>IFERROR(__xludf.DUMMYFUNCTION("""COMPUTED_VALUE"""),"PS5/PS4")</f>
        <v>PS5/PS4</v>
      </c>
      <c r="C275" s="16" t="str">
        <f>IFERROR(__xludf.DUMMYFUNCTION("""COMPUTED_VALUE"""),"Extra")</f>
        <v>Extra</v>
      </c>
      <c r="D275" s="15" t="str">
        <f>IFERROR(__xludf.DUMMYFUNCTION("""COMPUTED_VALUE"""),"Active")</f>
        <v>Active</v>
      </c>
      <c r="E275" s="17">
        <f>IFERROR(__xludf.DUMMYFUNCTION("""COMPUTED_VALUE"""),46259.0)</f>
        <v>46259</v>
      </c>
      <c r="F275" s="54"/>
      <c r="G275" s="19">
        <f>IFERROR(__xludf.DUMMYFUNCTION("""COMPUTED_VALUE"""),1.3666666666666667)</f>
        <v>1.366666667</v>
      </c>
      <c r="H275" s="17">
        <f>IFERROR(__xludf.DUMMYFUNCTION("""COMPUTED_VALUE"""),44596.0)</f>
        <v>44596</v>
      </c>
      <c r="I275" s="19">
        <f>IFERROR(__xludf.DUMMYFUNCTION("""COMPUTED_VALUE"""),4.558333333333334)</f>
        <v>4.558333333</v>
      </c>
      <c r="J275" s="21">
        <f>IFERROR(__xludf.DUMMYFUNCTION("""COMPUTED_VALUE"""),76.0)</f>
        <v>76</v>
      </c>
      <c r="K275" s="23">
        <f>IFERROR(__xludf.DUMMYFUNCTION("""COMPUTED_VALUE"""),7.2)</f>
        <v>7.2</v>
      </c>
      <c r="L275" s="24">
        <f>IFERROR(__xludf.DUMMYFUNCTION("""COMPUTED_VALUE"""),24.0)</f>
        <v>24</v>
      </c>
      <c r="M275" s="25" t="str">
        <f>IFERROR(__xludf.DUMMYFUNCTION("""COMPUTED_VALUE"""),"Survival")</f>
        <v>Survival</v>
      </c>
      <c r="N275" s="25"/>
      <c r="O275" s="26"/>
      <c r="P275" s="26"/>
    </row>
    <row r="276">
      <c r="A276" s="13" t="str">
        <f>IFERROR(__xludf.DUMMYFUNCTION("""COMPUTED_VALUE"""),"Kingdom Come: Deliverance")</f>
        <v>Kingdom Come: Deliverance</v>
      </c>
      <c r="B276" s="15" t="str">
        <f>IFERROR(__xludf.DUMMYFUNCTION("""COMPUTED_VALUE"""),"PS5/PS4")</f>
        <v>PS5/PS4</v>
      </c>
      <c r="C276" s="16" t="str">
        <f>IFERROR(__xludf.DUMMYFUNCTION("""COMPUTED_VALUE"""),"Extra")</f>
        <v>Extra</v>
      </c>
      <c r="D276" s="15" t="str">
        <f>IFERROR(__xludf.DUMMYFUNCTION("""COMPUTED_VALUE"""),"Active")</f>
        <v>Active</v>
      </c>
      <c r="E276" s="17">
        <f>IFERROR(__xludf.DUMMYFUNCTION("""COMPUTED_VALUE"""),46189.0)</f>
        <v>46189</v>
      </c>
      <c r="F276" s="54"/>
      <c r="G276" s="19">
        <f>IFERROR(__xludf.DUMMYFUNCTION("""COMPUTED_VALUE"""),3.666666666666667)</f>
        <v>3.666666667</v>
      </c>
      <c r="H276" s="17">
        <f>IFERROR(__xludf.DUMMYFUNCTION("""COMPUTED_VALUE"""),43144.0)</f>
        <v>43144</v>
      </c>
      <c r="I276" s="19">
        <f>IFERROR(__xludf.DUMMYFUNCTION("""COMPUTED_VALUE"""),8.341666666666667)</f>
        <v>8.341666667</v>
      </c>
      <c r="J276" s="21">
        <f>IFERROR(__xludf.DUMMYFUNCTION("""COMPUTED_VALUE"""),76.0)</f>
        <v>76</v>
      </c>
      <c r="K276" s="23">
        <f>IFERROR(__xludf.DUMMYFUNCTION("""COMPUTED_VALUE"""),8.0)</f>
        <v>8</v>
      </c>
      <c r="L276" s="24">
        <f>IFERROR(__xludf.DUMMYFUNCTION("""COMPUTED_VALUE"""),41.0)</f>
        <v>41</v>
      </c>
      <c r="M276" s="25" t="str">
        <f>IFERROR(__xludf.DUMMYFUNCTION("""COMPUTED_VALUE"""),"RPG")</f>
        <v>RPG</v>
      </c>
      <c r="N276" s="25"/>
      <c r="O276" s="26"/>
      <c r="P276" s="26"/>
    </row>
    <row r="277">
      <c r="A277" s="13" t="str">
        <f>IFERROR(__xludf.DUMMYFUNCTION("""COMPUTED_VALUE"""),"Assassin’s Creed Mirage")</f>
        <v>Assassin’s Creed Mirage</v>
      </c>
      <c r="B277" s="15" t="str">
        <f>IFERROR(__xludf.DUMMYFUNCTION("""COMPUTED_VALUE"""),"PS5/PS4")</f>
        <v>PS5/PS4</v>
      </c>
      <c r="C277" s="16" t="str">
        <f>IFERROR(__xludf.DUMMYFUNCTION("""COMPUTED_VALUE"""),"Extra")</f>
        <v>Extra</v>
      </c>
      <c r="D277" s="15" t="str">
        <f>IFERROR(__xludf.DUMMYFUNCTION("""COMPUTED_VALUE"""),"Active")</f>
        <v>Active</v>
      </c>
      <c r="E277" s="17">
        <f>IFERROR(__xludf.DUMMYFUNCTION("""COMPUTED_VALUE"""),46007.0)</f>
        <v>46007</v>
      </c>
      <c r="F277" s="54"/>
      <c r="G277" s="19">
        <f>IFERROR(__xludf.DUMMYFUNCTION("""COMPUTED_VALUE"""),9.666666666666668)</f>
        <v>9.666666667</v>
      </c>
      <c r="H277" s="17">
        <f>IFERROR(__xludf.DUMMYFUNCTION("""COMPUTED_VALUE"""),45204.0)</f>
        <v>45204</v>
      </c>
      <c r="I277" s="19">
        <f>IFERROR(__xludf.DUMMYFUNCTION("""COMPUTED_VALUE"""),2.1972222222222224)</f>
        <v>2.197222222</v>
      </c>
      <c r="J277" s="21">
        <f>IFERROR(__xludf.DUMMYFUNCTION("""COMPUTED_VALUE"""),76.0)</f>
        <v>76</v>
      </c>
      <c r="K277" s="23">
        <f>IFERROR(__xludf.DUMMYFUNCTION("""COMPUTED_VALUE"""),7.0)</f>
        <v>7</v>
      </c>
      <c r="L277" s="24">
        <f>IFERROR(__xludf.DUMMYFUNCTION("""COMPUTED_VALUE"""),29.0)</f>
        <v>29</v>
      </c>
      <c r="M277" s="26" t="str">
        <f>IFERROR(__xludf.DUMMYFUNCTION("""COMPUTED_VALUE"""),"Action-Adventure")</f>
        <v>Action-Adventure</v>
      </c>
      <c r="N277" s="25"/>
      <c r="O277" s="26"/>
      <c r="P277" s="26"/>
    </row>
    <row r="278">
      <c r="A278" s="13" t="str">
        <f>IFERROR(__xludf.DUMMYFUNCTION("""COMPUTED_VALUE"""),"Battle Engine Aquila")</f>
        <v>Battle Engine Aquila</v>
      </c>
      <c r="B278" s="15" t="str">
        <f>IFERROR(__xludf.DUMMYFUNCTION("""COMPUTED_VALUE"""),"PS5/PS4")</f>
        <v>PS5/PS4</v>
      </c>
      <c r="C278" s="16" t="str">
        <f>IFERROR(__xludf.DUMMYFUNCTION("""COMPUTED_VALUE"""),"Premium (Classics)")</f>
        <v>Premium (Classics)</v>
      </c>
      <c r="D278" s="15" t="str">
        <f>IFERROR(__xludf.DUMMYFUNCTION("""COMPUTED_VALUE"""),"Active")</f>
        <v>Active</v>
      </c>
      <c r="E278" s="17">
        <f>IFERROR(__xludf.DUMMYFUNCTION("""COMPUTED_VALUE"""),45797.0)</f>
        <v>45797</v>
      </c>
      <c r="F278" s="54"/>
      <c r="G278" s="19">
        <f>IFERROR(__xludf.DUMMYFUNCTION("""COMPUTED_VALUE"""),16.53333333333333)</f>
        <v>16.53333333</v>
      </c>
      <c r="H278" s="17">
        <f>IFERROR(__xludf.DUMMYFUNCTION("""COMPUTED_VALUE"""),37641.0)</f>
        <v>37641</v>
      </c>
      <c r="I278" s="19">
        <f>IFERROR(__xludf.DUMMYFUNCTION("""COMPUTED_VALUE"""),22.333333333333332)</f>
        <v>22.33333333</v>
      </c>
      <c r="J278" s="21">
        <f>IFERROR(__xludf.DUMMYFUNCTION("""COMPUTED_VALUE"""),76.0)</f>
        <v>76</v>
      </c>
      <c r="K278" s="23">
        <f>IFERROR(__xludf.DUMMYFUNCTION("""COMPUTED_VALUE"""),3.0)</f>
        <v>3</v>
      </c>
      <c r="L278" s="24">
        <f>IFERROR(__xludf.DUMMYFUNCTION("""COMPUTED_VALUE"""),5.0)</f>
        <v>5</v>
      </c>
      <c r="M278" s="25" t="str">
        <f>IFERROR(__xludf.DUMMYFUNCTION("""COMPUTED_VALUE"""),"Shooter")</f>
        <v>Shooter</v>
      </c>
      <c r="N278" s="25" t="str">
        <f>IFERROR(__xludf.DUMMYFUNCTION("""COMPUTED_VALUE"""),"PS2")</f>
        <v>PS2</v>
      </c>
      <c r="O278" s="26"/>
      <c r="P278" s="26"/>
    </row>
    <row r="279">
      <c r="A279" s="13" t="str">
        <f>IFERROR(__xludf.DUMMYFUNCTION("""COMPUTED_VALUE"""),"Coffee Talk")</f>
        <v>Coffee Talk</v>
      </c>
      <c r="B279" s="15" t="str">
        <f>IFERROR(__xludf.DUMMYFUNCTION("""COMPUTED_VALUE"""),"PS5/PS4")</f>
        <v>PS5/PS4</v>
      </c>
      <c r="C279" s="16" t="str">
        <f>IFERROR(__xludf.DUMMYFUNCTION("""COMPUTED_VALUE"""),"Extra")</f>
        <v>Extra</v>
      </c>
      <c r="D279" s="15" t="str">
        <f>IFERROR(__xludf.DUMMYFUNCTION("""COMPUTED_VALUE"""),"Active")</f>
        <v>Active</v>
      </c>
      <c r="E279" s="17">
        <f>IFERROR(__xludf.DUMMYFUNCTION("""COMPUTED_VALUE"""),45643.0)</f>
        <v>45643</v>
      </c>
      <c r="F279" s="54"/>
      <c r="G279" s="19">
        <f>IFERROR(__xludf.DUMMYFUNCTION("""COMPUTED_VALUE"""),21.633333333333333)</f>
        <v>21.63333333</v>
      </c>
      <c r="H279" s="17">
        <f>IFERROR(__xludf.DUMMYFUNCTION("""COMPUTED_VALUE"""),43859.0)</f>
        <v>43859</v>
      </c>
      <c r="I279" s="19">
        <f>IFERROR(__xludf.DUMMYFUNCTION("""COMPUTED_VALUE"""),4.883333333333334)</f>
        <v>4.883333333</v>
      </c>
      <c r="J279" s="21">
        <f>IFERROR(__xludf.DUMMYFUNCTION("""COMPUTED_VALUE"""),76.0)</f>
        <v>76</v>
      </c>
      <c r="K279" s="23">
        <f>IFERROR(__xludf.DUMMYFUNCTION("""COMPUTED_VALUE"""),7.5)</f>
        <v>7.5</v>
      </c>
      <c r="L279" s="24">
        <f>IFERROR(__xludf.DUMMYFUNCTION("""COMPUTED_VALUE"""),5.0)</f>
        <v>5</v>
      </c>
      <c r="M279" s="25" t="str">
        <f>IFERROR(__xludf.DUMMYFUNCTION("""COMPUTED_VALUE"""),"Visual Novel ")</f>
        <v>Visual Novel </v>
      </c>
      <c r="N279" s="25"/>
      <c r="O279" s="26" t="str">
        <f>IFERROR(__xludf.DUMMYFUNCTION("""COMPUTED_VALUE"""),"Yes")</f>
        <v>Yes</v>
      </c>
      <c r="P279" s="26"/>
    </row>
    <row r="280">
      <c r="A280" s="13" t="str">
        <f>IFERROR(__xludf.DUMMYFUNCTION("""COMPUTED_VALUE"""),"Blood Omen 2")</f>
        <v>Blood Omen 2</v>
      </c>
      <c r="B280" s="15" t="str">
        <f>IFERROR(__xludf.DUMMYFUNCTION("""COMPUTED_VALUE"""),"PS5/PS4")</f>
        <v>PS5/PS4</v>
      </c>
      <c r="C280" s="16" t="str">
        <f>IFERROR(__xludf.DUMMYFUNCTION("""COMPUTED_VALUE"""),"Premium (Classics)")</f>
        <v>Premium (Classics)</v>
      </c>
      <c r="D280" s="15" t="str">
        <f>IFERROR(__xludf.DUMMYFUNCTION("""COMPUTED_VALUE"""),"Active")</f>
        <v>Active</v>
      </c>
      <c r="E280" s="17">
        <f>IFERROR(__xludf.DUMMYFUNCTION("""COMPUTED_VALUE"""),45615.0)</f>
        <v>45615</v>
      </c>
      <c r="F280" s="54"/>
      <c r="G280" s="19">
        <f>IFERROR(__xludf.DUMMYFUNCTION("""COMPUTED_VALUE"""),22.566666666666666)</f>
        <v>22.56666667</v>
      </c>
      <c r="H280" s="17">
        <f>IFERROR(__xludf.DUMMYFUNCTION("""COMPUTED_VALUE"""),37336.0)</f>
        <v>37336</v>
      </c>
      <c r="I280" s="19">
        <f>IFERROR(__xludf.DUMMYFUNCTION("""COMPUTED_VALUE"""),22.66111111111111)</f>
        <v>22.66111111</v>
      </c>
      <c r="J280" s="21">
        <f>IFERROR(__xludf.DUMMYFUNCTION("""COMPUTED_VALUE"""),76.0)</f>
        <v>76</v>
      </c>
      <c r="K280" s="23">
        <f>IFERROR(__xludf.DUMMYFUNCTION("""COMPUTED_VALUE"""),7.4)</f>
        <v>7.4</v>
      </c>
      <c r="L280" s="24">
        <f>IFERROR(__xludf.DUMMYFUNCTION("""COMPUTED_VALUE"""),13.0)</f>
        <v>13</v>
      </c>
      <c r="M280" s="25" t="str">
        <f>IFERROR(__xludf.DUMMYFUNCTION("""COMPUTED_VALUE"""),"Survival")</f>
        <v>Survival</v>
      </c>
      <c r="N280" s="25" t="str">
        <f>IFERROR(__xludf.DUMMYFUNCTION("""COMPUTED_VALUE"""),"PS2")</f>
        <v>PS2</v>
      </c>
      <c r="O280" s="26" t="str">
        <f>IFERROR(__xludf.DUMMYFUNCTION("""COMPUTED_VALUE"""),"Yes")</f>
        <v>Yes</v>
      </c>
      <c r="P280" s="26"/>
    </row>
    <row r="281">
      <c r="A281" s="13" t="str">
        <f>IFERROR(__xludf.DUMMYFUNCTION("""COMPUTED_VALUE"""),"R-Type Dimensions EX")</f>
        <v>R-Type Dimensions EX</v>
      </c>
      <c r="B281" s="15" t="str">
        <f>IFERROR(__xludf.DUMMYFUNCTION("""COMPUTED_VALUE"""),"PS4")</f>
        <v>PS4</v>
      </c>
      <c r="C281" s="16" t="str">
        <f>IFERROR(__xludf.DUMMYFUNCTION("""COMPUTED_VALUE"""),"Premium (Classics)")</f>
        <v>Premium (Classics)</v>
      </c>
      <c r="D281" s="15" t="str">
        <f>IFERROR(__xludf.DUMMYFUNCTION("""COMPUTED_VALUE"""),"Active")</f>
        <v>Active</v>
      </c>
      <c r="E281" s="17">
        <f>IFERROR(__xludf.DUMMYFUNCTION("""COMPUTED_VALUE"""),45580.0)</f>
        <v>45580</v>
      </c>
      <c r="F281" s="54"/>
      <c r="G281" s="19">
        <f>IFERROR(__xludf.DUMMYFUNCTION("""COMPUTED_VALUE"""),23.700000000000003)</f>
        <v>23.7</v>
      </c>
      <c r="H281" s="17">
        <f>IFERROR(__xludf.DUMMYFUNCTION("""COMPUTED_VALUE"""),39848.0)</f>
        <v>39848</v>
      </c>
      <c r="I281" s="19">
        <f>IFERROR(__xludf.DUMMYFUNCTION("""COMPUTED_VALUE"""),15.697222222222223)</f>
        <v>15.69722222</v>
      </c>
      <c r="J281" s="21">
        <f>IFERROR(__xludf.DUMMYFUNCTION("""COMPUTED_VALUE"""),76.0)</f>
        <v>76</v>
      </c>
      <c r="K281" s="23">
        <f>IFERROR(__xludf.DUMMYFUNCTION("""COMPUTED_VALUE"""),7.5)</f>
        <v>7.5</v>
      </c>
      <c r="L281" s="24">
        <f>IFERROR(__xludf.DUMMYFUNCTION("""COMPUTED_VALUE"""),1.0)</f>
        <v>1</v>
      </c>
      <c r="M281" s="25" t="str">
        <f>IFERROR(__xludf.DUMMYFUNCTION("""COMPUTED_VALUE"""),"Compilation")</f>
        <v>Compilation</v>
      </c>
      <c r="N281" s="25" t="str">
        <f>IFERROR(__xludf.DUMMYFUNCTION("""COMPUTED_VALUE"""),"Arcade")</f>
        <v>Arcade</v>
      </c>
      <c r="O281" s="26" t="str">
        <f>IFERROR(__xludf.DUMMYFUNCTION("""COMPUTED_VALUE"""),"No")</f>
        <v>No</v>
      </c>
      <c r="P281" s="26"/>
    </row>
    <row r="282">
      <c r="A282" s="13" t="str">
        <f>IFERROR(__xludf.DUMMYFUNCTION("""COMPUTED_VALUE"""),"Cat Quest II: The Lupus Empire")</f>
        <v>Cat Quest II: The Lupus Empire</v>
      </c>
      <c r="B282" s="15" t="str">
        <f>IFERROR(__xludf.DUMMYFUNCTION("""COMPUTED_VALUE"""),"PS4")</f>
        <v>PS4</v>
      </c>
      <c r="C282" s="16" t="str">
        <f>IFERROR(__xludf.DUMMYFUNCTION("""COMPUTED_VALUE"""),"Extra")</f>
        <v>Extra</v>
      </c>
      <c r="D282" s="15" t="str">
        <f>IFERROR(__xludf.DUMMYFUNCTION("""COMPUTED_VALUE"""),"Active")</f>
        <v>Active</v>
      </c>
      <c r="E282" s="17">
        <f>IFERROR(__xludf.DUMMYFUNCTION("""COMPUTED_VALUE"""),45433.0)</f>
        <v>45433</v>
      </c>
      <c r="F282" s="18"/>
      <c r="G282" s="19">
        <f>IFERROR(__xludf.DUMMYFUNCTION("""COMPUTED_VALUE"""),28.5)</f>
        <v>28.5</v>
      </c>
      <c r="H282" s="17">
        <f>IFERROR(__xludf.DUMMYFUNCTION("""COMPUTED_VALUE"""),43732.0)</f>
        <v>43732</v>
      </c>
      <c r="I282" s="19">
        <f>IFERROR(__xludf.DUMMYFUNCTION("""COMPUTED_VALUE"""),4.658333333333333)</f>
        <v>4.658333333</v>
      </c>
      <c r="J282" s="21">
        <f>IFERROR(__xludf.DUMMYFUNCTION("""COMPUTED_VALUE"""),76.0)</f>
        <v>76</v>
      </c>
      <c r="K282" s="23">
        <f>IFERROR(__xludf.DUMMYFUNCTION("""COMPUTED_VALUE"""),7.8)</f>
        <v>7.8</v>
      </c>
      <c r="L282" s="24">
        <f>IFERROR(__xludf.DUMMYFUNCTION("""COMPUTED_VALUE"""),8.0)</f>
        <v>8</v>
      </c>
      <c r="M282" s="25" t="str">
        <f>IFERROR(__xludf.DUMMYFUNCTION("""COMPUTED_VALUE"""),"RPG")</f>
        <v>RPG</v>
      </c>
      <c r="N282" s="25"/>
      <c r="O282" s="26" t="str">
        <f>IFERROR(__xludf.DUMMYFUNCTION("""COMPUTED_VALUE"""),"Yes")</f>
        <v>Yes</v>
      </c>
      <c r="P282" s="26"/>
    </row>
    <row r="283">
      <c r="A283" s="13" t="str">
        <f>IFERROR(__xludf.DUMMYFUNCTION("""COMPUTED_VALUE"""),"Twisted Metal")</f>
        <v>Twisted Metal</v>
      </c>
      <c r="B283" s="15" t="str">
        <f>IFERROR(__xludf.DUMMYFUNCTION("""COMPUTED_VALUE"""),"PS5/PS4")</f>
        <v>PS5/PS4</v>
      </c>
      <c r="C283" s="16" t="str">
        <f>IFERROR(__xludf.DUMMYFUNCTION("""COMPUTED_VALUE"""),"Premium (Classics)")</f>
        <v>Premium (Classics)</v>
      </c>
      <c r="D283" s="15" t="str">
        <f>IFERROR(__xludf.DUMMYFUNCTION("""COMPUTED_VALUE"""),"Active")</f>
        <v>Active</v>
      </c>
      <c r="E283" s="17">
        <f>IFERROR(__xludf.DUMMYFUNCTION("""COMPUTED_VALUE"""),45125.0)</f>
        <v>45125</v>
      </c>
      <c r="F283" s="54"/>
      <c r="G283" s="19">
        <f>IFERROR(__xludf.DUMMYFUNCTION("""COMPUTED_VALUE"""),38.6)</f>
        <v>38.6</v>
      </c>
      <c r="H283" s="17">
        <f>IFERROR(__xludf.DUMMYFUNCTION("""COMPUTED_VALUE"""),35008.0)</f>
        <v>35008</v>
      </c>
      <c r="I283" s="19">
        <f>IFERROR(__xludf.DUMMYFUNCTION("""COMPUTED_VALUE"""),27.70277777777778)</f>
        <v>27.70277778</v>
      </c>
      <c r="J283" s="21">
        <f>IFERROR(__xludf.DUMMYFUNCTION("""COMPUTED_VALUE"""),76.0)</f>
        <v>76</v>
      </c>
      <c r="K283" s="23">
        <f>IFERROR(__xludf.DUMMYFUNCTION("""COMPUTED_VALUE"""),8.4)</f>
        <v>8.4</v>
      </c>
      <c r="L283" s="24">
        <f>IFERROR(__xludf.DUMMYFUNCTION("""COMPUTED_VALUE"""),5.0)</f>
        <v>5</v>
      </c>
      <c r="M283" s="25" t="str">
        <f>IFERROR(__xludf.DUMMYFUNCTION("""COMPUTED_VALUE"""),"Driving")</f>
        <v>Driving</v>
      </c>
      <c r="N283" s="25" t="str">
        <f>IFERROR(__xludf.DUMMYFUNCTION("""COMPUTED_VALUE"""),"PS1")</f>
        <v>PS1</v>
      </c>
      <c r="O283" s="26" t="str">
        <f>IFERROR(__xludf.DUMMYFUNCTION("""COMPUTED_VALUE"""),"Yes")</f>
        <v>Yes</v>
      </c>
      <c r="P283" s="26"/>
    </row>
    <row r="284">
      <c r="A284" s="13" t="str">
        <f>IFERROR(__xludf.DUMMYFUNCTION("""COMPUTED_VALUE"""),"Worms")</f>
        <v>Worms</v>
      </c>
      <c r="B284" s="15" t="str">
        <f>IFERROR(__xludf.DUMMYFUNCTION("""COMPUTED_VALUE"""),"PS5/PS4")</f>
        <v>PS5/PS4</v>
      </c>
      <c r="C284" s="16" t="str">
        <f>IFERROR(__xludf.DUMMYFUNCTION("""COMPUTED_VALUE"""),"Premium (Classics)")</f>
        <v>Premium (Classics)</v>
      </c>
      <c r="D284" s="15" t="str">
        <f>IFERROR(__xludf.DUMMYFUNCTION("""COMPUTED_VALUE"""),"Active")</f>
        <v>Active</v>
      </c>
      <c r="E284" s="17">
        <f>IFERROR(__xludf.DUMMYFUNCTION("""COMPUTED_VALUE"""),45097.0)</f>
        <v>45097</v>
      </c>
      <c r="F284" s="54"/>
      <c r="G284" s="19">
        <f>IFERROR(__xludf.DUMMYFUNCTION("""COMPUTED_VALUE"""),39.53333333333333)</f>
        <v>39.53333333</v>
      </c>
      <c r="H284" s="17">
        <f>IFERROR(__xludf.DUMMYFUNCTION("""COMPUTED_VALUE"""),35003.0)</f>
        <v>35003</v>
      </c>
      <c r="I284" s="19">
        <f>IFERROR(__xludf.DUMMYFUNCTION("""COMPUTED_VALUE"""),27.63888888888889)</f>
        <v>27.63888889</v>
      </c>
      <c r="J284" s="21">
        <f>IFERROR(__xludf.DUMMYFUNCTION("""COMPUTED_VALUE"""),76.0)</f>
        <v>76</v>
      </c>
      <c r="K284" s="23">
        <f>IFERROR(__xludf.DUMMYFUNCTION("""COMPUTED_VALUE"""),8.2)</f>
        <v>8.2</v>
      </c>
      <c r="L284" s="24">
        <f>IFERROR(__xludf.DUMMYFUNCTION("""COMPUTED_VALUE"""),4.0)</f>
        <v>4</v>
      </c>
      <c r="M284" s="25" t="str">
        <f>IFERROR(__xludf.DUMMYFUNCTION("""COMPUTED_VALUE"""),"Strategy")</f>
        <v>Strategy</v>
      </c>
      <c r="N284" s="25" t="str">
        <f>IFERROR(__xludf.DUMMYFUNCTION("""COMPUTED_VALUE"""),"PS1")</f>
        <v>PS1</v>
      </c>
      <c r="O284" s="26" t="str">
        <f>IFERROR(__xludf.DUMMYFUNCTION("""COMPUTED_VALUE"""),"Yes")</f>
        <v>Yes</v>
      </c>
      <c r="P284" s="26"/>
    </row>
    <row r="285">
      <c r="A285" s="13" t="str">
        <f>IFERROR(__xludf.DUMMYFUNCTION("""COMPUTED_VALUE"""),"The Evil Within 2")</f>
        <v>The Evil Within 2</v>
      </c>
      <c r="B285" s="15" t="str">
        <f>IFERROR(__xludf.DUMMYFUNCTION("""COMPUTED_VALUE"""),"PS4")</f>
        <v>PS4</v>
      </c>
      <c r="C285" s="16" t="str">
        <f>IFERROR(__xludf.DUMMYFUNCTION("""COMPUTED_VALUE"""),"Extra")</f>
        <v>Extra</v>
      </c>
      <c r="D285" s="15" t="str">
        <f>IFERROR(__xludf.DUMMYFUNCTION("""COMPUTED_VALUE"""),"Active")</f>
        <v>Active</v>
      </c>
      <c r="E285" s="17">
        <f>IFERROR(__xludf.DUMMYFUNCTION("""COMPUTED_VALUE"""),45062.0)</f>
        <v>45062</v>
      </c>
      <c r="F285" s="54"/>
      <c r="G285" s="19">
        <f>IFERROR(__xludf.DUMMYFUNCTION("""COMPUTED_VALUE"""),40.666666666666664)</f>
        <v>40.66666667</v>
      </c>
      <c r="H285" s="17">
        <f>IFERROR(__xludf.DUMMYFUNCTION("""COMPUTED_VALUE"""),42822.0)</f>
        <v>42822</v>
      </c>
      <c r="I285" s="19">
        <f>IFERROR(__xludf.DUMMYFUNCTION("""COMPUTED_VALUE"""),6.133333333333334)</f>
        <v>6.133333333</v>
      </c>
      <c r="J285" s="21">
        <f>IFERROR(__xludf.DUMMYFUNCTION("""COMPUTED_VALUE"""),76.0)</f>
        <v>76</v>
      </c>
      <c r="K285" s="23">
        <f>IFERROR(__xludf.DUMMYFUNCTION("""COMPUTED_VALUE"""),8.5)</f>
        <v>8.5</v>
      </c>
      <c r="L285" s="24">
        <f>IFERROR(__xludf.DUMMYFUNCTION("""COMPUTED_VALUE"""),14.0)</f>
        <v>14</v>
      </c>
      <c r="M285" s="25" t="str">
        <f>IFERROR(__xludf.DUMMYFUNCTION("""COMPUTED_VALUE"""),"Shooter")</f>
        <v>Shooter</v>
      </c>
      <c r="N285" s="25"/>
      <c r="O285" s="26" t="str">
        <f>IFERROR(__xludf.DUMMYFUNCTION("""COMPUTED_VALUE"""),"Yes")</f>
        <v>Yes</v>
      </c>
      <c r="P285" s="26"/>
    </row>
    <row r="286">
      <c r="A286" s="13" t="str">
        <f>IFERROR(__xludf.DUMMYFUNCTION("""COMPUTED_VALUE"""),"Wolfenstein: The Old Blood")</f>
        <v>Wolfenstein: The Old Blood</v>
      </c>
      <c r="B286" s="15" t="str">
        <f>IFERROR(__xludf.DUMMYFUNCTION("""COMPUTED_VALUE"""),"PS4")</f>
        <v>PS4</v>
      </c>
      <c r="C286" s="16" t="str">
        <f>IFERROR(__xludf.DUMMYFUNCTION("""COMPUTED_VALUE"""),"Extra")</f>
        <v>Extra</v>
      </c>
      <c r="D286" s="15" t="str">
        <f>IFERROR(__xludf.DUMMYFUNCTION("""COMPUTED_VALUE"""),"Active")</f>
        <v>Active</v>
      </c>
      <c r="E286" s="17">
        <f>IFERROR(__xludf.DUMMYFUNCTION("""COMPUTED_VALUE"""),45034.0)</f>
        <v>45034</v>
      </c>
      <c r="F286" s="54"/>
      <c r="G286" s="19">
        <f>IFERROR(__xludf.DUMMYFUNCTION("""COMPUTED_VALUE"""),41.6)</f>
        <v>41.6</v>
      </c>
      <c r="H286" s="17">
        <f>IFERROR(__xludf.DUMMYFUNCTION("""COMPUTED_VALUE"""),42129.0)</f>
        <v>42129</v>
      </c>
      <c r="I286" s="19">
        <f>IFERROR(__xludf.DUMMYFUNCTION("""COMPUTED_VALUE"""),7.9527777777777775)</f>
        <v>7.952777778</v>
      </c>
      <c r="J286" s="21">
        <f>IFERROR(__xludf.DUMMYFUNCTION("""COMPUTED_VALUE"""),76.0)</f>
        <v>76</v>
      </c>
      <c r="K286" s="23">
        <f>IFERROR(__xludf.DUMMYFUNCTION("""COMPUTED_VALUE"""),8.1)</f>
        <v>8.1</v>
      </c>
      <c r="L286" s="24">
        <f>IFERROR(__xludf.DUMMYFUNCTION("""COMPUTED_VALUE"""),6.0)</f>
        <v>6</v>
      </c>
      <c r="M286" s="25" t="str">
        <f>IFERROR(__xludf.DUMMYFUNCTION("""COMPUTED_VALUE"""),"Shooter")</f>
        <v>Shooter</v>
      </c>
      <c r="N286" s="25"/>
      <c r="O286" s="26" t="str">
        <f>IFERROR(__xludf.DUMMYFUNCTION("""COMPUTED_VALUE"""),"Yes")</f>
        <v>Yes</v>
      </c>
      <c r="P286" s="26"/>
    </row>
    <row r="287">
      <c r="A287" s="13" t="str">
        <f>IFERROR(__xludf.DUMMYFUNCTION("""COMPUTED_VALUE"""),"Riders Republic")</f>
        <v>Riders Republic</v>
      </c>
      <c r="B287" s="15" t="str">
        <f>IFERROR(__xludf.DUMMYFUNCTION("""COMPUTED_VALUE"""),"PS5/PS4")</f>
        <v>PS5/PS4</v>
      </c>
      <c r="C287" s="16" t="str">
        <f>IFERROR(__xludf.DUMMYFUNCTION("""COMPUTED_VALUE"""),"Extra (Ubisoft+ Classics)")</f>
        <v>Extra (Ubisoft+ Classics)</v>
      </c>
      <c r="D287" s="15" t="str">
        <f>IFERROR(__xludf.DUMMYFUNCTION("""COMPUTED_VALUE"""),"Active")</f>
        <v>Active</v>
      </c>
      <c r="E287" s="17">
        <f>IFERROR(__xludf.DUMMYFUNCTION("""COMPUTED_VALUE"""),45034.0)</f>
        <v>45034</v>
      </c>
      <c r="F287" s="54"/>
      <c r="G287" s="19">
        <f>IFERROR(__xludf.DUMMYFUNCTION("""COMPUTED_VALUE"""),41.6)</f>
        <v>41.6</v>
      </c>
      <c r="H287" s="17">
        <f>IFERROR(__xludf.DUMMYFUNCTION("""COMPUTED_VALUE"""),44497.0)</f>
        <v>44497</v>
      </c>
      <c r="I287" s="19">
        <f>IFERROR(__xludf.DUMMYFUNCTION("""COMPUTED_VALUE"""),1.4722222222222223)</f>
        <v>1.472222222</v>
      </c>
      <c r="J287" s="21">
        <f>IFERROR(__xludf.DUMMYFUNCTION("""COMPUTED_VALUE"""),76.0)</f>
        <v>76</v>
      </c>
      <c r="K287" s="23">
        <f>IFERROR(__xludf.DUMMYFUNCTION("""COMPUTED_VALUE"""),5.9)</f>
        <v>5.9</v>
      </c>
      <c r="L287" s="24">
        <f>IFERROR(__xludf.DUMMYFUNCTION("""COMPUTED_VALUE"""),19.0)</f>
        <v>19</v>
      </c>
      <c r="M287" s="25" t="str">
        <f>IFERROR(__xludf.DUMMYFUNCTION("""COMPUTED_VALUE"""),"Sports")</f>
        <v>Sports</v>
      </c>
      <c r="N287" s="25"/>
      <c r="O287" s="26" t="str">
        <f>IFERROR(__xludf.DUMMYFUNCTION("""COMPUTED_VALUE"""),"Yes")</f>
        <v>Yes</v>
      </c>
      <c r="P287" s="26"/>
    </row>
    <row r="288">
      <c r="A288" s="13" t="str">
        <f>IFERROR(__xludf.DUMMYFUNCTION("""COMPUTED_VALUE"""),"Far Cry: Primal")</f>
        <v>Far Cry: Primal</v>
      </c>
      <c r="B288" s="15" t="str">
        <f>IFERROR(__xludf.DUMMYFUNCTION("""COMPUTED_VALUE"""),"PS4")</f>
        <v>PS4</v>
      </c>
      <c r="C288" s="16" t="str">
        <f>IFERROR(__xludf.DUMMYFUNCTION("""COMPUTED_VALUE"""),"Extra (Ubisoft+ Classics)")</f>
        <v>Extra (Ubisoft+ Classics)</v>
      </c>
      <c r="D288" s="15" t="str">
        <f>IFERROR(__xludf.DUMMYFUNCTION("""COMPUTED_VALUE"""),"Active")</f>
        <v>Active</v>
      </c>
      <c r="E288" s="17">
        <f>IFERROR(__xludf.DUMMYFUNCTION("""COMPUTED_VALUE"""),44915.0)</f>
        <v>44915</v>
      </c>
      <c r="F288" s="54"/>
      <c r="G288" s="19">
        <f>IFERROR(__xludf.DUMMYFUNCTION("""COMPUTED_VALUE"""),45.53333333333333)</f>
        <v>45.53333333</v>
      </c>
      <c r="H288" s="17">
        <f>IFERROR(__xludf.DUMMYFUNCTION("""COMPUTED_VALUE"""),42423.0)</f>
        <v>42423</v>
      </c>
      <c r="I288" s="19">
        <f>IFERROR(__xludf.DUMMYFUNCTION("""COMPUTED_VALUE"""),6.825)</f>
        <v>6.825</v>
      </c>
      <c r="J288" s="21">
        <f>IFERROR(__xludf.DUMMYFUNCTION("""COMPUTED_VALUE"""),76.0)</f>
        <v>76</v>
      </c>
      <c r="K288" s="23">
        <f>IFERROR(__xludf.DUMMYFUNCTION("""COMPUTED_VALUE"""),6.7)</f>
        <v>6.7</v>
      </c>
      <c r="L288" s="24">
        <f>IFERROR(__xludf.DUMMYFUNCTION("""COMPUTED_VALUE"""),15.0)</f>
        <v>15</v>
      </c>
      <c r="M288" s="25" t="str">
        <f>IFERROR(__xludf.DUMMYFUNCTION("""COMPUTED_VALUE"""),"Shooter")</f>
        <v>Shooter</v>
      </c>
      <c r="N288" s="25"/>
      <c r="O288" s="26" t="str">
        <f>IFERROR(__xludf.DUMMYFUNCTION("""COMPUTED_VALUE"""),"Yes")</f>
        <v>Yes</v>
      </c>
      <c r="P288" s="26"/>
    </row>
    <row r="289">
      <c r="A289" s="13" t="str">
        <f>IFERROR(__xludf.DUMMYFUNCTION("""COMPUTED_VALUE"""),"Assassin's Creed Syndicate")</f>
        <v>Assassin's Creed Syndicate</v>
      </c>
      <c r="B289" s="15" t="str">
        <f>IFERROR(__xludf.DUMMYFUNCTION("""COMPUTED_VALUE"""),"PS4")</f>
        <v>PS4</v>
      </c>
      <c r="C289" s="16" t="str">
        <f>IFERROR(__xludf.DUMMYFUNCTION("""COMPUTED_VALUE"""),"Extra (Ubisoft+ Classics)")</f>
        <v>Extra (Ubisoft+ Classics)</v>
      </c>
      <c r="D289" s="15" t="str">
        <f>IFERROR(__xludf.DUMMYFUNCTION("""COMPUTED_VALUE"""),"Active")</f>
        <v>Active</v>
      </c>
      <c r="E289" s="17">
        <f>IFERROR(__xludf.DUMMYFUNCTION("""COMPUTED_VALUE"""),44852.0)</f>
        <v>44852</v>
      </c>
      <c r="F289" s="54"/>
      <c r="G289" s="19">
        <f>IFERROR(__xludf.DUMMYFUNCTION("""COMPUTED_VALUE"""),47.6)</f>
        <v>47.6</v>
      </c>
      <c r="H289" s="17">
        <f>IFERROR(__xludf.DUMMYFUNCTION("""COMPUTED_VALUE"""),42300.0)</f>
        <v>42300</v>
      </c>
      <c r="I289" s="19">
        <f>IFERROR(__xludf.DUMMYFUNCTION("""COMPUTED_VALUE"""),6.986111111111111)</f>
        <v>6.986111111</v>
      </c>
      <c r="J289" s="21">
        <f>IFERROR(__xludf.DUMMYFUNCTION("""COMPUTED_VALUE"""),76.0)</f>
        <v>76</v>
      </c>
      <c r="K289" s="23">
        <f>IFERROR(__xludf.DUMMYFUNCTION("""COMPUTED_VALUE"""),6.9)</f>
        <v>6.9</v>
      </c>
      <c r="L289" s="24">
        <f>IFERROR(__xludf.DUMMYFUNCTION("""COMPUTED_VALUE"""),18.5)</f>
        <v>18.5</v>
      </c>
      <c r="M289" s="25" t="str">
        <f>IFERROR(__xludf.DUMMYFUNCTION("""COMPUTED_VALUE"""),"RPG")</f>
        <v>RPG</v>
      </c>
      <c r="N289" s="25"/>
      <c r="O289" s="26" t="str">
        <f>IFERROR(__xludf.DUMMYFUNCTION("""COMPUTED_VALUE"""),"Yes")</f>
        <v>Yes</v>
      </c>
      <c r="P289" s="26"/>
    </row>
    <row r="290">
      <c r="A290" s="13" t="str">
        <f>IFERROR(__xludf.DUMMYFUNCTION("""COMPUTED_VALUE"""),"inFAMOUS: First Light")</f>
        <v>inFAMOUS: First Light</v>
      </c>
      <c r="B290" s="15" t="str">
        <f>IFERROR(__xludf.DUMMYFUNCTION("""COMPUTED_VALUE"""),"PS4")</f>
        <v>PS4</v>
      </c>
      <c r="C290" s="16" t="str">
        <f>IFERROR(__xludf.DUMMYFUNCTION("""COMPUTED_VALUE"""),"Extra")</f>
        <v>Extra</v>
      </c>
      <c r="D290" s="15" t="str">
        <f>IFERROR(__xludf.DUMMYFUNCTION("""COMPUTED_VALUE"""),"Active")</f>
        <v>Active</v>
      </c>
      <c r="E290" s="17">
        <f>IFERROR(__xludf.DUMMYFUNCTION("""COMPUTED_VALUE"""),44725.0)</f>
        <v>44725</v>
      </c>
      <c r="F290" s="54"/>
      <c r="G290" s="19">
        <f>IFERROR(__xludf.DUMMYFUNCTION("""COMPUTED_VALUE"""),51.766666666666666)</f>
        <v>51.76666667</v>
      </c>
      <c r="H290" s="17">
        <f>IFERROR(__xludf.DUMMYFUNCTION("""COMPUTED_VALUE"""),41852.0)</f>
        <v>41852</v>
      </c>
      <c r="I290" s="19">
        <f>IFERROR(__xludf.DUMMYFUNCTION("""COMPUTED_VALUE"""),7.866666666666666)</f>
        <v>7.866666667</v>
      </c>
      <c r="J290" s="21">
        <f>IFERROR(__xludf.DUMMYFUNCTION("""COMPUTED_VALUE"""),76.0)</f>
        <v>76</v>
      </c>
      <c r="K290" s="23">
        <f>IFERROR(__xludf.DUMMYFUNCTION("""COMPUTED_VALUE"""),7.6)</f>
        <v>7.6</v>
      </c>
      <c r="L290" s="24">
        <f>IFERROR(__xludf.DUMMYFUNCTION("""COMPUTED_VALUE"""),4.0)</f>
        <v>4</v>
      </c>
      <c r="M290" s="25" t="str">
        <f>IFERROR(__xludf.DUMMYFUNCTION("""COMPUTED_VALUE"""),"Action-Adventure")</f>
        <v>Action-Adventure</v>
      </c>
      <c r="N290" s="25"/>
      <c r="O290" s="26" t="str">
        <f>IFERROR(__xludf.DUMMYFUNCTION("""COMPUTED_VALUE"""),"Yes")</f>
        <v>Yes</v>
      </c>
      <c r="P290" s="26"/>
    </row>
    <row r="291">
      <c r="A291" s="13" t="str">
        <f>IFERROR(__xludf.DUMMYFUNCTION("""COMPUTED_VALUE"""),"Jak X: Combat Racing")</f>
        <v>Jak X: Combat Racing</v>
      </c>
      <c r="B291" s="15" t="str">
        <f>IFERROR(__xludf.DUMMYFUNCTION("""COMPUTED_VALUE"""),"PS4")</f>
        <v>PS4</v>
      </c>
      <c r="C291" s="16" t="str">
        <f>IFERROR(__xludf.DUMMYFUNCTION("""COMPUTED_VALUE"""),"Premium (Classics)")</f>
        <v>Premium (Classics)</v>
      </c>
      <c r="D291" s="15" t="str">
        <f>IFERROR(__xludf.DUMMYFUNCTION("""COMPUTED_VALUE"""),"Active")</f>
        <v>Active</v>
      </c>
      <c r="E291" s="17">
        <f>IFERROR(__xludf.DUMMYFUNCTION("""COMPUTED_VALUE"""),44725.0)</f>
        <v>44725</v>
      </c>
      <c r="F291" s="54"/>
      <c r="G291" s="19">
        <f>IFERROR(__xludf.DUMMYFUNCTION("""COMPUTED_VALUE"""),51.766666666666666)</f>
        <v>51.76666667</v>
      </c>
      <c r="H291" s="17">
        <f>IFERROR(__xludf.DUMMYFUNCTION("""COMPUTED_VALUE"""),38626.0)</f>
        <v>38626</v>
      </c>
      <c r="I291" s="19">
        <f>IFERROR(__xludf.DUMMYFUNCTION("""COMPUTED_VALUE"""),16.7)</f>
        <v>16.7</v>
      </c>
      <c r="J291" s="21">
        <f>IFERROR(__xludf.DUMMYFUNCTION("""COMPUTED_VALUE"""),76.0)</f>
        <v>76</v>
      </c>
      <c r="K291" s="23">
        <f>IFERROR(__xludf.DUMMYFUNCTION("""COMPUTED_VALUE"""),8.0)</f>
        <v>8</v>
      </c>
      <c r="L291" s="24">
        <f>IFERROR(__xludf.DUMMYFUNCTION("""COMPUTED_VALUE"""),12.0)</f>
        <v>12</v>
      </c>
      <c r="M291" s="25" t="str">
        <f>IFERROR(__xludf.DUMMYFUNCTION("""COMPUTED_VALUE"""),"Racing")</f>
        <v>Racing</v>
      </c>
      <c r="N291" s="25" t="str">
        <f>IFERROR(__xludf.DUMMYFUNCTION("""COMPUTED_VALUE"""),"PS2")</f>
        <v>PS2</v>
      </c>
      <c r="O291" s="26" t="str">
        <f>IFERROR(__xludf.DUMMYFUNCTION("""COMPUTED_VALUE"""),"No")</f>
        <v>No</v>
      </c>
      <c r="P291" s="26" t="str">
        <f>IFERROR(__xludf.DUMMYFUNCTION("""COMPUTED_VALUE"""),"")</f>
        <v/>
      </c>
    </row>
    <row r="292">
      <c r="A292" s="13" t="str">
        <f>IFERROR(__xludf.DUMMYFUNCTION("""COMPUTED_VALUE"""),"Rebel Galaxy")</f>
        <v>Rebel Galaxy</v>
      </c>
      <c r="B292" s="15" t="str">
        <f>IFERROR(__xludf.DUMMYFUNCTION("""COMPUTED_VALUE"""),"PS4")</f>
        <v>PS4</v>
      </c>
      <c r="C292" s="16" t="str">
        <f>IFERROR(__xludf.DUMMYFUNCTION("""COMPUTED_VALUE"""),"Extra")</f>
        <v>Extra</v>
      </c>
      <c r="D292" s="15" t="str">
        <f>IFERROR(__xludf.DUMMYFUNCTION("""COMPUTED_VALUE"""),"Active")</f>
        <v>Active</v>
      </c>
      <c r="E292" s="17">
        <f>IFERROR(__xludf.DUMMYFUNCTION("""COMPUTED_VALUE"""),43503.0)</f>
        <v>43503</v>
      </c>
      <c r="F292" s="54"/>
      <c r="G292" s="19">
        <f>IFERROR(__xludf.DUMMYFUNCTION("""COMPUTED_VALUE"""),91.96666666666667)</f>
        <v>91.96666667</v>
      </c>
      <c r="H292" s="17">
        <f>IFERROR(__xludf.DUMMYFUNCTION("""COMPUTED_VALUE"""),42290.0)</f>
        <v>42290</v>
      </c>
      <c r="I292" s="19">
        <f>IFERROR(__xludf.DUMMYFUNCTION("""COMPUTED_VALUE"""),3.316666666666667)</f>
        <v>3.316666667</v>
      </c>
      <c r="J292" s="21">
        <f>IFERROR(__xludf.DUMMYFUNCTION("""COMPUTED_VALUE"""),76.0)</f>
        <v>76</v>
      </c>
      <c r="K292" s="23">
        <f>IFERROR(__xludf.DUMMYFUNCTION("""COMPUTED_VALUE"""),7.4)</f>
        <v>7.4</v>
      </c>
      <c r="L292" s="24">
        <f>IFERROR(__xludf.DUMMYFUNCTION("""COMPUTED_VALUE"""),20.0)</f>
        <v>20</v>
      </c>
      <c r="M292" s="25" t="str">
        <f>IFERROR(__xludf.DUMMYFUNCTION("""COMPUTED_VALUE"""),"RPG")</f>
        <v>RPG</v>
      </c>
      <c r="N292" s="25"/>
      <c r="O292" s="26" t="str">
        <f>IFERROR(__xludf.DUMMYFUNCTION("""COMPUTED_VALUE"""),"Yes")</f>
        <v>Yes</v>
      </c>
      <c r="P292" s="26"/>
    </row>
    <row r="293">
      <c r="A293" s="13" t="str">
        <f>IFERROR(__xludf.DUMMYFUNCTION("""COMPUTED_VALUE"""),"For Honor")</f>
        <v>For Honor</v>
      </c>
      <c r="B293" s="15" t="str">
        <f>IFERROR(__xludf.DUMMYFUNCTION("""COMPUTED_VALUE"""),"PS4")</f>
        <v>PS4</v>
      </c>
      <c r="C293" s="16" t="str">
        <f>IFERROR(__xludf.DUMMYFUNCTION("""COMPUTED_VALUE"""),"Extra (Ubisoft+ Classics)")</f>
        <v>Extra (Ubisoft+ Classics)</v>
      </c>
      <c r="D293" s="15" t="str">
        <f>IFERROR(__xludf.DUMMYFUNCTION("""COMPUTED_VALUE"""),"Active")</f>
        <v>Active</v>
      </c>
      <c r="E293" s="17">
        <f>IFERROR(__xludf.DUMMYFUNCTION("""COMPUTED_VALUE"""),43438.0)</f>
        <v>43438</v>
      </c>
      <c r="F293" s="54"/>
      <c r="G293" s="19">
        <f>IFERROR(__xludf.DUMMYFUNCTION("""COMPUTED_VALUE"""),94.06666666666666)</f>
        <v>94.06666667</v>
      </c>
      <c r="H293" s="17">
        <f>IFERROR(__xludf.DUMMYFUNCTION("""COMPUTED_VALUE"""),42780.0)</f>
        <v>42780</v>
      </c>
      <c r="I293" s="19">
        <f>IFERROR(__xludf.DUMMYFUNCTION("""COMPUTED_VALUE"""),1.8055555555555556)</f>
        <v>1.805555556</v>
      </c>
      <c r="J293" s="21">
        <f>IFERROR(__xludf.DUMMYFUNCTION("""COMPUTED_VALUE"""),76.0)</f>
        <v>76</v>
      </c>
      <c r="K293" s="23">
        <f>IFERROR(__xludf.DUMMYFUNCTION("""COMPUTED_VALUE"""),7.0)</f>
        <v>7</v>
      </c>
      <c r="L293" s="24">
        <f>IFERROR(__xludf.DUMMYFUNCTION("""COMPUTED_VALUE"""),7.0)</f>
        <v>7</v>
      </c>
      <c r="M293" s="25" t="str">
        <f>IFERROR(__xludf.DUMMYFUNCTION("""COMPUTED_VALUE"""),"Fighting")</f>
        <v>Fighting</v>
      </c>
      <c r="N293" s="25" t="str">
        <f>IFERROR(__xludf.DUMMYFUNCTION("""COMPUTED_VALUE"""),"Removed from streaming")</f>
        <v>Removed from streaming</v>
      </c>
      <c r="O293" s="26" t="str">
        <f>IFERROR(__xludf.DUMMYFUNCTION("""COMPUTED_VALUE"""),"No")</f>
        <v>No</v>
      </c>
      <c r="P293" s="26" t="str">
        <f>IFERROR(__xludf.DUMMYFUNCTION("""COMPUTED_VALUE"""),"Yes")</f>
        <v>Yes</v>
      </c>
    </row>
    <row r="294">
      <c r="A294" s="13" t="str">
        <f>IFERROR(__xludf.DUMMYFUNCTION("""COMPUTED_VALUE"""),"The Last Blade 2")</f>
        <v>The Last Blade 2</v>
      </c>
      <c r="B294" s="15" t="str">
        <f>IFERROR(__xludf.DUMMYFUNCTION("""COMPUTED_VALUE"""),"PS4")</f>
        <v>PS4</v>
      </c>
      <c r="C294" s="16" t="str">
        <f>IFERROR(__xludf.DUMMYFUNCTION("""COMPUTED_VALUE"""),"Premium (Classics)")</f>
        <v>Premium (Classics)</v>
      </c>
      <c r="D294" s="15" t="str">
        <f>IFERROR(__xludf.DUMMYFUNCTION("""COMPUTED_VALUE"""),"Active")</f>
        <v>Active</v>
      </c>
      <c r="E294" s="17">
        <f>IFERROR(__xludf.DUMMYFUNCTION("""COMPUTED_VALUE"""),43221.0)</f>
        <v>43221</v>
      </c>
      <c r="F294" s="54"/>
      <c r="G294" s="19">
        <f>IFERROR(__xludf.DUMMYFUNCTION("""COMPUTED_VALUE"""),101.16666666666666)</f>
        <v>101.1666667</v>
      </c>
      <c r="H294" s="17">
        <f>IFERROR(__xludf.DUMMYFUNCTION("""COMPUTED_VALUE"""),36032.0)</f>
        <v>36032</v>
      </c>
      <c r="I294" s="19">
        <f>IFERROR(__xludf.DUMMYFUNCTION("""COMPUTED_VALUE"""),19.683333333333334)</f>
        <v>19.68333333</v>
      </c>
      <c r="J294" s="21">
        <f>IFERROR(__xludf.DUMMYFUNCTION("""COMPUTED_VALUE"""),76.0)</f>
        <v>76</v>
      </c>
      <c r="K294" s="23">
        <f>IFERROR(__xludf.DUMMYFUNCTION("""COMPUTED_VALUE"""),8.0)</f>
        <v>8</v>
      </c>
      <c r="L294" s="24"/>
      <c r="M294" s="25" t="str">
        <f>IFERROR(__xludf.DUMMYFUNCTION("""COMPUTED_VALUE"""),"Fighting")</f>
        <v>Fighting</v>
      </c>
      <c r="N294" s="25" t="str">
        <f>IFERROR(__xludf.DUMMYFUNCTION("""COMPUTED_VALUE"""),"Arcade")</f>
        <v>Arcade</v>
      </c>
      <c r="O294" s="26" t="str">
        <f>IFERROR(__xludf.DUMMYFUNCTION("""COMPUTED_VALUE"""),"Yes")</f>
        <v>Yes</v>
      </c>
      <c r="P294" s="26"/>
    </row>
    <row r="295">
      <c r="A295" s="13" t="str">
        <f>IFERROR(__xludf.DUMMYFUNCTION("""COMPUTED_VALUE"""),"Sniper Elite: Resistance")</f>
        <v>Sniper Elite: Resistance</v>
      </c>
      <c r="B295" s="15" t="str">
        <f>IFERROR(__xludf.DUMMYFUNCTION("""COMPUTED_VALUE"""),"PS5/PS4")</f>
        <v>PS5/PS4</v>
      </c>
      <c r="C295" s="16" t="str">
        <f>IFERROR(__xludf.DUMMYFUNCTION("""COMPUTED_VALUE"""),"Extra")</f>
        <v>Extra</v>
      </c>
      <c r="D295" s="15" t="str">
        <f>IFERROR(__xludf.DUMMYFUNCTION("""COMPUTED_VALUE"""),"Active")</f>
        <v>Active</v>
      </c>
      <c r="E295" s="17">
        <f>IFERROR(__xludf.DUMMYFUNCTION("""COMPUTED_VALUE"""),46294.0)</f>
        <v>46294</v>
      </c>
      <c r="F295" s="54"/>
      <c r="G295" s="19">
        <f>IFERROR(__xludf.DUMMYFUNCTION("""COMPUTED_VALUE"""),0.23333333333333334)</f>
        <v>0.2333333333</v>
      </c>
      <c r="H295" s="17">
        <f>IFERROR(__xludf.DUMMYFUNCTION("""COMPUTED_VALUE"""),45687.0)</f>
        <v>45687</v>
      </c>
      <c r="I295" s="19">
        <f>IFERROR(__xludf.DUMMYFUNCTION("""COMPUTED_VALUE"""),1.663888888888889)</f>
        <v>1.663888889</v>
      </c>
      <c r="J295" s="21">
        <f>IFERROR(__xludf.DUMMYFUNCTION("""COMPUTED_VALUE"""),75.0)</f>
        <v>75</v>
      </c>
      <c r="K295" s="23">
        <f>IFERROR(__xludf.DUMMYFUNCTION("""COMPUTED_VALUE"""),5.9)</f>
        <v>5.9</v>
      </c>
      <c r="L295" s="24">
        <f>IFERROR(__xludf.DUMMYFUNCTION("""COMPUTED_VALUE"""),9.0)</f>
        <v>9</v>
      </c>
      <c r="M295" s="25" t="str">
        <f>IFERROR(__xludf.DUMMYFUNCTION("""COMPUTED_VALUE"""),"Shooter")</f>
        <v>Shooter</v>
      </c>
      <c r="N295" s="25"/>
      <c r="O295" s="26"/>
      <c r="P295" s="26"/>
    </row>
    <row r="296">
      <c r="A296" s="13" t="str">
        <f>IFERROR(__xludf.DUMMYFUNCTION("""COMPUTED_VALUE"""),"Astroneer")</f>
        <v>Astroneer</v>
      </c>
      <c r="B296" s="15" t="str">
        <f>IFERROR(__xludf.DUMMYFUNCTION("""COMPUTED_VALUE"""),"PS5/PS4")</f>
        <v>PS5/PS4</v>
      </c>
      <c r="C296" s="16" t="str">
        <f>IFERROR(__xludf.DUMMYFUNCTION("""COMPUTED_VALUE"""),"Extra")</f>
        <v>Extra</v>
      </c>
      <c r="D296" s="15" t="str">
        <f>IFERROR(__xludf.DUMMYFUNCTION("""COMPUTED_VALUE"""),"Active")</f>
        <v>Active</v>
      </c>
      <c r="E296" s="17">
        <f>IFERROR(__xludf.DUMMYFUNCTION("""COMPUTED_VALUE"""),46098.0)</f>
        <v>46098</v>
      </c>
      <c r="F296" s="54"/>
      <c r="G296" s="19">
        <f>IFERROR(__xludf.DUMMYFUNCTION("""COMPUTED_VALUE"""),6.633333333333334)</f>
        <v>6.633333333</v>
      </c>
      <c r="H296" s="17">
        <f>IFERROR(__xludf.DUMMYFUNCTION("""COMPUTED_VALUE"""),43502.0)</f>
        <v>43502</v>
      </c>
      <c r="I296" s="19">
        <f>IFERROR(__xludf.DUMMYFUNCTION("""COMPUTED_VALUE"""),7.113888888888889)</f>
        <v>7.113888889</v>
      </c>
      <c r="J296" s="21">
        <f>IFERROR(__xludf.DUMMYFUNCTION("""COMPUTED_VALUE"""),75.0)</f>
        <v>75</v>
      </c>
      <c r="K296" s="23">
        <f>IFERROR(__xludf.DUMMYFUNCTION("""COMPUTED_VALUE"""),7.0)</f>
        <v>7</v>
      </c>
      <c r="L296" s="24">
        <f>IFERROR(__xludf.DUMMYFUNCTION("""COMPUTED_VALUE"""),18.0)</f>
        <v>18</v>
      </c>
      <c r="M296" s="25" t="str">
        <f>IFERROR(__xludf.DUMMYFUNCTION("""COMPUTED_VALUE"""),"Adventure")</f>
        <v>Adventure</v>
      </c>
      <c r="N296" s="25"/>
      <c r="O296" s="26"/>
      <c r="P296" s="26"/>
    </row>
    <row r="297">
      <c r="A297" s="13" t="str">
        <f>IFERROR(__xludf.DUMMYFUNCTION("""COMPUTED_VALUE"""),"A Little to the Left")</f>
        <v>A Little to the Left</v>
      </c>
      <c r="B297" s="15" t="str">
        <f>IFERROR(__xludf.DUMMYFUNCTION("""COMPUTED_VALUE"""),"PS5/PS4")</f>
        <v>PS5/PS4</v>
      </c>
      <c r="C297" s="16" t="str">
        <f>IFERROR(__xludf.DUMMYFUNCTION("""COMPUTED_VALUE"""),"Extra")</f>
        <v>Extra</v>
      </c>
      <c r="D297" s="15" t="str">
        <f>IFERROR(__xludf.DUMMYFUNCTION("""COMPUTED_VALUE"""),"Active")</f>
        <v>Active</v>
      </c>
      <c r="E297" s="17">
        <f>IFERROR(__xludf.DUMMYFUNCTION("""COMPUTED_VALUE"""),46042.0)</f>
        <v>46042</v>
      </c>
      <c r="F297" s="54"/>
      <c r="G297" s="19">
        <f>IFERROR(__xludf.DUMMYFUNCTION("""COMPUTED_VALUE"""),8.533333333333333)</f>
        <v>8.533333333</v>
      </c>
      <c r="H297" s="17">
        <f>IFERROR(__xludf.DUMMYFUNCTION("""COMPUTED_VALUE"""),44873.0)</f>
        <v>44873</v>
      </c>
      <c r="I297" s="19">
        <f>IFERROR(__xludf.DUMMYFUNCTION("""COMPUTED_VALUE"""),3.2)</f>
        <v>3.2</v>
      </c>
      <c r="J297" s="21">
        <f>IFERROR(__xludf.DUMMYFUNCTION("""COMPUTED_VALUE"""),75.0)</f>
        <v>75</v>
      </c>
      <c r="K297" s="23">
        <f>IFERROR(__xludf.DUMMYFUNCTION("""COMPUTED_VALUE"""),7.1)</f>
        <v>7.1</v>
      </c>
      <c r="L297" s="24">
        <f>IFERROR(__xludf.DUMMYFUNCTION("""COMPUTED_VALUE"""),4.0)</f>
        <v>4</v>
      </c>
      <c r="M297" s="25" t="str">
        <f>IFERROR(__xludf.DUMMYFUNCTION("""COMPUTED_VALUE"""),"Puzzle")</f>
        <v>Puzzle</v>
      </c>
      <c r="N297" s="25"/>
      <c r="O297" s="26"/>
      <c r="P297" s="26"/>
    </row>
    <row r="298">
      <c r="A298" s="13" t="str">
        <f>IFERROR(__xludf.DUMMYFUNCTION("""COMPUTED_VALUE"""),"Poppy Playtime: Chapter 1")</f>
        <v>Poppy Playtime: Chapter 1</v>
      </c>
      <c r="B298" s="15" t="str">
        <f>IFERROR(__xludf.DUMMYFUNCTION("""COMPUTED_VALUE"""),"PS5/PS4")</f>
        <v>PS5/PS4</v>
      </c>
      <c r="C298" s="16" t="str">
        <f>IFERROR(__xludf.DUMMYFUNCTION("""COMPUTED_VALUE"""),"Extra")</f>
        <v>Extra</v>
      </c>
      <c r="D298" s="15" t="str">
        <f>IFERROR(__xludf.DUMMYFUNCTION("""COMPUTED_VALUE"""),"Active")</f>
        <v>Active</v>
      </c>
      <c r="E298" s="17">
        <f>IFERROR(__xludf.DUMMYFUNCTION("""COMPUTED_VALUE"""),45951.0)</f>
        <v>45951</v>
      </c>
      <c r="F298" s="54"/>
      <c r="G298" s="19">
        <f>IFERROR(__xludf.DUMMYFUNCTION("""COMPUTED_VALUE"""),11.5)</f>
        <v>11.5</v>
      </c>
      <c r="H298" s="17">
        <f>IFERROR(__xludf.DUMMYFUNCTION("""COMPUTED_VALUE"""),45485.0)</f>
        <v>45485</v>
      </c>
      <c r="I298" s="19">
        <f>IFERROR(__xludf.DUMMYFUNCTION("""COMPUTED_VALUE"""),1.275)</f>
        <v>1.275</v>
      </c>
      <c r="J298" s="21">
        <f>IFERROR(__xludf.DUMMYFUNCTION("""COMPUTED_VALUE"""),75.0)</f>
        <v>75</v>
      </c>
      <c r="K298" s="23">
        <f>IFERROR(__xludf.DUMMYFUNCTION("""COMPUTED_VALUE"""),6.8)</f>
        <v>6.8</v>
      </c>
      <c r="L298" s="24">
        <f>IFERROR(__xludf.DUMMYFUNCTION("""COMPUTED_VALUE"""),1.0)</f>
        <v>1</v>
      </c>
      <c r="M298" s="25" t="str">
        <f>IFERROR(__xludf.DUMMYFUNCTION("""COMPUTED_VALUE"""),"Survival")</f>
        <v>Survival</v>
      </c>
      <c r="N298" s="25"/>
      <c r="O298" s="26"/>
      <c r="P298" s="26"/>
    </row>
    <row r="299">
      <c r="A299" s="13" t="str">
        <f>IFERROR(__xludf.DUMMYFUNCTION("""COMPUTED_VALUE"""),"Legacy of Kain: Defiance")</f>
        <v>Legacy of Kain: Defiance</v>
      </c>
      <c r="B299" s="15" t="str">
        <f>IFERROR(__xludf.DUMMYFUNCTION("""COMPUTED_VALUE"""),"PS5/PS4")</f>
        <v>PS5/PS4</v>
      </c>
      <c r="C299" s="16" t="str">
        <f>IFERROR(__xludf.DUMMYFUNCTION("""COMPUTED_VALUE"""),"Premium (Classics)")</f>
        <v>Premium (Classics)</v>
      </c>
      <c r="D299" s="15" t="str">
        <f>IFERROR(__xludf.DUMMYFUNCTION("""COMPUTED_VALUE"""),"Active")</f>
        <v>Active</v>
      </c>
      <c r="E299" s="17">
        <f>IFERROR(__xludf.DUMMYFUNCTION("""COMPUTED_VALUE"""),45916.0)</f>
        <v>45916</v>
      </c>
      <c r="F299" s="54"/>
      <c r="G299" s="19">
        <f>IFERROR(__xludf.DUMMYFUNCTION("""COMPUTED_VALUE"""),12.666666666666668)</f>
        <v>12.66666667</v>
      </c>
      <c r="H299" s="17">
        <f>IFERROR(__xludf.DUMMYFUNCTION("""COMPUTED_VALUE"""),37936.0)</f>
        <v>37936</v>
      </c>
      <c r="I299" s="19">
        <f>IFERROR(__xludf.DUMMYFUNCTION("""COMPUTED_VALUE"""),21.84722222222222)</f>
        <v>21.84722222</v>
      </c>
      <c r="J299" s="21">
        <f>IFERROR(__xludf.DUMMYFUNCTION("""COMPUTED_VALUE"""),75.0)</f>
        <v>75</v>
      </c>
      <c r="K299" s="23">
        <f>IFERROR(__xludf.DUMMYFUNCTION("""COMPUTED_VALUE"""),8.7)</f>
        <v>8.7</v>
      </c>
      <c r="L299" s="24">
        <f>IFERROR(__xludf.DUMMYFUNCTION("""COMPUTED_VALUE"""),12.0)</f>
        <v>12</v>
      </c>
      <c r="M299" s="25" t="str">
        <f>IFERROR(__xludf.DUMMYFUNCTION("""COMPUTED_VALUE"""),"Survival")</f>
        <v>Survival</v>
      </c>
      <c r="N299" s="25" t="str">
        <f>IFERROR(__xludf.DUMMYFUNCTION("""COMPUTED_VALUE"""),"PS2")</f>
        <v>PS2</v>
      </c>
      <c r="O299" s="26"/>
      <c r="P299" s="26"/>
    </row>
    <row r="300">
      <c r="A300" s="13" t="str">
        <f>IFERROR(__xludf.DUMMYFUNCTION("""COMPUTED_VALUE"""),"Endless Dungeon")</f>
        <v>Endless Dungeon</v>
      </c>
      <c r="B300" s="15" t="str">
        <f>IFERROR(__xludf.DUMMYFUNCTION("""COMPUTED_VALUE"""),"PS5/PS4")</f>
        <v>PS5/PS4</v>
      </c>
      <c r="C300" s="16" t="str">
        <f>IFERROR(__xludf.DUMMYFUNCTION("""COMPUTED_VALUE"""),"Extra")</f>
        <v>Extra</v>
      </c>
      <c r="D300" s="15" t="str">
        <f>IFERROR(__xludf.DUMMYFUNCTION("""COMPUTED_VALUE"""),"Active")</f>
        <v>Active</v>
      </c>
      <c r="E300" s="17">
        <f>IFERROR(__xludf.DUMMYFUNCTION("""COMPUTED_VALUE"""),45825.0)</f>
        <v>45825</v>
      </c>
      <c r="F300" s="54"/>
      <c r="G300" s="19">
        <f>IFERROR(__xludf.DUMMYFUNCTION("""COMPUTED_VALUE"""),15.633333333333333)</f>
        <v>15.63333333</v>
      </c>
      <c r="H300" s="17">
        <f>IFERROR(__xludf.DUMMYFUNCTION("""COMPUTED_VALUE"""),45218.0)</f>
        <v>45218</v>
      </c>
      <c r="I300" s="19">
        <f>IFERROR(__xludf.DUMMYFUNCTION("""COMPUTED_VALUE"""),1.6611111111111112)</f>
        <v>1.661111111</v>
      </c>
      <c r="J300" s="21">
        <f>IFERROR(__xludf.DUMMYFUNCTION("""COMPUTED_VALUE"""),75.0)</f>
        <v>75</v>
      </c>
      <c r="K300" s="23">
        <f>IFERROR(__xludf.DUMMYFUNCTION("""COMPUTED_VALUE"""),7.6)</f>
        <v>7.6</v>
      </c>
      <c r="L300" s="24">
        <f>IFERROR(__xludf.DUMMYFUNCTION("""COMPUTED_VALUE"""),15.0)</f>
        <v>15</v>
      </c>
      <c r="M300" s="25" t="str">
        <f>IFERROR(__xludf.DUMMYFUNCTION("""COMPUTED_VALUE"""),"Strategy")</f>
        <v>Strategy</v>
      </c>
      <c r="N300" s="25"/>
      <c r="O300" s="26"/>
      <c r="P300" s="26"/>
    </row>
    <row r="301">
      <c r="A301" s="13" t="str">
        <f>IFERROR(__xludf.DUMMYFUNCTION("""COMPUTED_VALUE"""),"Myst")</f>
        <v>Myst</v>
      </c>
      <c r="B301" s="15" t="str">
        <f>IFERROR(__xludf.DUMMYFUNCTION("""COMPUTED_VALUE"""),"PS5/PS4")</f>
        <v>PS5/PS4</v>
      </c>
      <c r="C301" s="16" t="str">
        <f>IFERROR(__xludf.DUMMYFUNCTION("""COMPUTED_VALUE"""),"Premium (Classics)")</f>
        <v>Premium (Classics)</v>
      </c>
      <c r="D301" s="15" t="str">
        <f>IFERROR(__xludf.DUMMYFUNCTION("""COMPUTED_VALUE"""),"Active")</f>
        <v>Active</v>
      </c>
      <c r="E301" s="17">
        <f>IFERROR(__xludf.DUMMYFUNCTION("""COMPUTED_VALUE"""),45813.0)</f>
        <v>45813</v>
      </c>
      <c r="F301" s="54"/>
      <c r="G301" s="19">
        <f>IFERROR(__xludf.DUMMYFUNCTION("""COMPUTED_VALUE"""),16.03333333333333)</f>
        <v>16.03333333</v>
      </c>
      <c r="H301" s="17">
        <f>IFERROR(__xludf.DUMMYFUNCTION("""COMPUTED_VALUE"""),34236.0)</f>
        <v>34236</v>
      </c>
      <c r="I301" s="19">
        <f>IFERROR(__xludf.DUMMYFUNCTION("""COMPUTED_VALUE"""),31.697222222222223)</f>
        <v>31.69722222</v>
      </c>
      <c r="J301" s="21">
        <f>IFERROR(__xludf.DUMMYFUNCTION("""COMPUTED_VALUE"""),75.0)</f>
        <v>75</v>
      </c>
      <c r="K301" s="23">
        <f>IFERROR(__xludf.DUMMYFUNCTION("""COMPUTED_VALUE"""),8.6)</f>
        <v>8.6</v>
      </c>
      <c r="L301" s="24">
        <f>IFERROR(__xludf.DUMMYFUNCTION("""COMPUTED_VALUE"""),6.0)</f>
        <v>6</v>
      </c>
      <c r="M301" s="25" t="str">
        <f>IFERROR(__xludf.DUMMYFUNCTION("""COMPUTED_VALUE"""),"Point-and-Click")</f>
        <v>Point-and-Click</v>
      </c>
      <c r="N301" s="25" t="str">
        <f>IFERROR(__xludf.DUMMYFUNCTION("""COMPUTED_VALUE"""),"PS1")</f>
        <v>PS1</v>
      </c>
      <c r="O301" s="26"/>
      <c r="P301" s="26"/>
    </row>
    <row r="302">
      <c r="A302" s="13" t="str">
        <f>IFERROR(__xludf.DUMMYFUNCTION("""COMPUTED_VALUE"""),"Armored Core: Master of Arena")</f>
        <v>Armored Core: Master of Arena</v>
      </c>
      <c r="B302" s="15" t="str">
        <f>IFERROR(__xludf.DUMMYFUNCTION("""COMPUTED_VALUE"""),"PS5/PS4")</f>
        <v>PS5/PS4</v>
      </c>
      <c r="C302" s="16" t="str">
        <f>IFERROR(__xludf.DUMMYFUNCTION("""COMPUTED_VALUE"""),"Premium (Classics)")</f>
        <v>Premium (Classics)</v>
      </c>
      <c r="D302" s="15" t="str">
        <f>IFERROR(__xludf.DUMMYFUNCTION("""COMPUTED_VALUE"""),"Active")</f>
        <v>Active</v>
      </c>
      <c r="E302" s="17">
        <f>IFERROR(__xludf.DUMMYFUNCTION("""COMPUTED_VALUE"""),45734.0)</f>
        <v>45734</v>
      </c>
      <c r="F302" s="54"/>
      <c r="G302" s="19">
        <f>IFERROR(__xludf.DUMMYFUNCTION("""COMPUTED_VALUE"""),18.6)</f>
        <v>18.6</v>
      </c>
      <c r="H302" s="17">
        <f>IFERROR(__xludf.DUMMYFUNCTION("""COMPUTED_VALUE"""),36559.0)</f>
        <v>36559</v>
      </c>
      <c r="I302" s="19">
        <f>IFERROR(__xludf.DUMMYFUNCTION("""COMPUTED_VALUE"""),25.125)</f>
        <v>25.125</v>
      </c>
      <c r="J302" s="21">
        <f>IFERROR(__xludf.DUMMYFUNCTION("""COMPUTED_VALUE"""),75.0)</f>
        <v>75</v>
      </c>
      <c r="K302" s="23">
        <f>IFERROR(__xludf.DUMMYFUNCTION("""COMPUTED_VALUE"""),8.2)</f>
        <v>8.2</v>
      </c>
      <c r="L302" s="24">
        <f>IFERROR(__xludf.DUMMYFUNCTION("""COMPUTED_VALUE"""),4.0)</f>
        <v>4</v>
      </c>
      <c r="M302" s="25" t="str">
        <f>IFERROR(__xludf.DUMMYFUNCTION("""COMPUTED_VALUE"""),"RPG")</f>
        <v>RPG</v>
      </c>
      <c r="N302" s="25" t="str">
        <f>IFERROR(__xludf.DUMMYFUNCTION("""COMPUTED_VALUE"""),"PS1")</f>
        <v>PS1</v>
      </c>
      <c r="O302" s="26" t="str">
        <f>IFERROR(__xludf.DUMMYFUNCTION("""COMPUTED_VALUE"""),"Yes")</f>
        <v>Yes</v>
      </c>
      <c r="P302" s="26"/>
    </row>
    <row r="303">
      <c r="A303" s="13" t="str">
        <f>IFERROR(__xludf.DUMMYFUNCTION("""COMPUTED_VALUE"""),"Chernobylite")</f>
        <v>Chernobylite</v>
      </c>
      <c r="B303" s="15" t="str">
        <f>IFERROR(__xludf.DUMMYFUNCTION("""COMPUTED_VALUE"""),"PS5/PS4")</f>
        <v>PS5/PS4</v>
      </c>
      <c r="C303" s="16" t="str">
        <f>IFERROR(__xludf.DUMMYFUNCTION("""COMPUTED_VALUE"""),"Extra")</f>
        <v>Extra</v>
      </c>
      <c r="D303" s="15" t="str">
        <f>IFERROR(__xludf.DUMMYFUNCTION("""COMPUTED_VALUE"""),"Active")</f>
        <v>Active</v>
      </c>
      <c r="E303" s="17">
        <f>IFERROR(__xludf.DUMMYFUNCTION("""COMPUTED_VALUE"""),45552.0)</f>
        <v>45552</v>
      </c>
      <c r="F303" s="54"/>
      <c r="G303" s="19">
        <f>IFERROR(__xludf.DUMMYFUNCTION("""COMPUTED_VALUE"""),24.633333333333333)</f>
        <v>24.63333333</v>
      </c>
      <c r="H303" s="17">
        <f>IFERROR(__xludf.DUMMYFUNCTION("""COMPUTED_VALUE"""),44405.0)</f>
        <v>44405</v>
      </c>
      <c r="I303" s="19">
        <f>IFERROR(__xludf.DUMMYFUNCTION("""COMPUTED_VALUE"""),3.136111111111111)</f>
        <v>3.136111111</v>
      </c>
      <c r="J303" s="21">
        <f>IFERROR(__xludf.DUMMYFUNCTION("""COMPUTED_VALUE"""),75.0)</f>
        <v>75</v>
      </c>
      <c r="K303" s="23">
        <f>IFERROR(__xludf.DUMMYFUNCTION("""COMPUTED_VALUE"""),7.8)</f>
        <v>7.8</v>
      </c>
      <c r="L303" s="24">
        <f>IFERROR(__xludf.DUMMYFUNCTION("""COMPUTED_VALUE"""),15.0)</f>
        <v>15</v>
      </c>
      <c r="M303" s="25" t="str">
        <f>IFERROR(__xludf.DUMMYFUNCTION("""COMPUTED_VALUE"""),"Survival")</f>
        <v>Survival</v>
      </c>
      <c r="N303" s="25"/>
      <c r="O303" s="26" t="str">
        <f>IFERROR(__xludf.DUMMYFUNCTION("""COMPUTED_VALUE"""),"Yes")</f>
        <v>Yes</v>
      </c>
      <c r="P303" s="26"/>
    </row>
    <row r="304">
      <c r="A304" s="13" t="str">
        <f>IFERROR(__xludf.DUMMYFUNCTION("""COMPUTED_VALUE"""),"SkyGunner")</f>
        <v>SkyGunner</v>
      </c>
      <c r="B304" s="15" t="str">
        <f>IFERROR(__xludf.DUMMYFUNCTION("""COMPUTED_VALUE"""),"PS5/PS4")</f>
        <v>PS5/PS4</v>
      </c>
      <c r="C304" s="16" t="str">
        <f>IFERROR(__xludf.DUMMYFUNCTION("""COMPUTED_VALUE"""),"Premium (Classics)")</f>
        <v>Premium (Classics)</v>
      </c>
      <c r="D304" s="15" t="str">
        <f>IFERROR(__xludf.DUMMYFUNCTION("""COMPUTED_VALUE"""),"Active")</f>
        <v>Active</v>
      </c>
      <c r="E304" s="17">
        <f>IFERROR(__xludf.DUMMYFUNCTION("""COMPUTED_VALUE"""),45552.0)</f>
        <v>45552</v>
      </c>
      <c r="F304" s="54"/>
      <c r="G304" s="19">
        <f>IFERROR(__xludf.DUMMYFUNCTION("""COMPUTED_VALUE"""),24.633333333333333)</f>
        <v>24.63333333</v>
      </c>
      <c r="H304" s="17">
        <f>IFERROR(__xludf.DUMMYFUNCTION("""COMPUTED_VALUE"""),37431.0)</f>
        <v>37431</v>
      </c>
      <c r="I304" s="19">
        <f>IFERROR(__xludf.DUMMYFUNCTION("""COMPUTED_VALUE"""),22.230555555555554)</f>
        <v>22.23055556</v>
      </c>
      <c r="J304" s="21">
        <f>IFERROR(__xludf.DUMMYFUNCTION("""COMPUTED_VALUE"""),75.0)</f>
        <v>75</v>
      </c>
      <c r="K304" s="23">
        <f>IFERROR(__xludf.DUMMYFUNCTION("""COMPUTED_VALUE"""),8.1)</f>
        <v>8.1</v>
      </c>
      <c r="L304" s="24">
        <f>IFERROR(__xludf.DUMMYFUNCTION("""COMPUTED_VALUE"""),3.0)</f>
        <v>3</v>
      </c>
      <c r="M304" s="25" t="str">
        <f>IFERROR(__xludf.DUMMYFUNCTION("""COMPUTED_VALUE"""),"Shooter")</f>
        <v>Shooter</v>
      </c>
      <c r="N304" s="25" t="str">
        <f>IFERROR(__xludf.DUMMYFUNCTION("""COMPUTED_VALUE"""),"PS2")</f>
        <v>PS2</v>
      </c>
      <c r="O304" s="26" t="str">
        <f>IFERROR(__xludf.DUMMYFUNCTION("""COMPUTED_VALUE"""),"Yes")</f>
        <v>Yes</v>
      </c>
      <c r="P304" s="26"/>
    </row>
    <row r="305">
      <c r="A305" s="13" t="str">
        <f>IFERROR(__xludf.DUMMYFUNCTION("""COMPUTED_VALUE"""),"No More Heroes III")</f>
        <v>No More Heroes III</v>
      </c>
      <c r="B305" s="15" t="str">
        <f>IFERROR(__xludf.DUMMYFUNCTION("""COMPUTED_VALUE"""),"PS5/PS4")</f>
        <v>PS5/PS4</v>
      </c>
      <c r="C305" s="16" t="str">
        <f>IFERROR(__xludf.DUMMYFUNCTION("""COMPUTED_VALUE"""),"Extra")</f>
        <v>Extra</v>
      </c>
      <c r="D305" s="15" t="str">
        <f>IFERROR(__xludf.DUMMYFUNCTION("""COMPUTED_VALUE"""),"Active")</f>
        <v>Active</v>
      </c>
      <c r="E305" s="17">
        <f>IFERROR(__xludf.DUMMYFUNCTION("""COMPUTED_VALUE"""),45489.0)</f>
        <v>45489</v>
      </c>
      <c r="F305" s="54"/>
      <c r="G305" s="19">
        <f>IFERROR(__xludf.DUMMYFUNCTION("""COMPUTED_VALUE"""),26.666666666666668)</f>
        <v>26.66666667</v>
      </c>
      <c r="H305" s="17">
        <f>IFERROR(__xludf.DUMMYFUNCTION("""COMPUTED_VALUE"""),44435.0)</f>
        <v>44435</v>
      </c>
      <c r="I305" s="19">
        <f>IFERROR(__xludf.DUMMYFUNCTION("""COMPUTED_VALUE"""),2.886111111111111)</f>
        <v>2.886111111</v>
      </c>
      <c r="J305" s="21">
        <f>IFERROR(__xludf.DUMMYFUNCTION("""COMPUTED_VALUE"""),75.0)</f>
        <v>75</v>
      </c>
      <c r="K305" s="23">
        <f>IFERROR(__xludf.DUMMYFUNCTION("""COMPUTED_VALUE"""),8.1)</f>
        <v>8.1</v>
      </c>
      <c r="L305" s="24">
        <f>IFERROR(__xludf.DUMMYFUNCTION("""COMPUTED_VALUE"""),12.0)</f>
        <v>12</v>
      </c>
      <c r="M305" s="25" t="str">
        <f>IFERROR(__xludf.DUMMYFUNCTION("""COMPUTED_VALUE"""),"Action-Adventure")</f>
        <v>Action-Adventure</v>
      </c>
      <c r="N305" s="25"/>
      <c r="O305" s="26" t="str">
        <f>IFERROR(__xludf.DUMMYFUNCTION("""COMPUTED_VALUE"""),"Yes")</f>
        <v>Yes</v>
      </c>
      <c r="P305" s="26"/>
    </row>
    <row r="306">
      <c r="A306" s="13" t="str">
        <f>IFERROR(__xludf.DUMMYFUNCTION("""COMPUTED_VALUE"""),"Samurai Warriors 5")</f>
        <v>Samurai Warriors 5</v>
      </c>
      <c r="B306" s="15" t="str">
        <f>IFERROR(__xludf.DUMMYFUNCTION("""COMPUTED_VALUE"""),"PS4")</f>
        <v>PS4</v>
      </c>
      <c r="C306" s="16" t="str">
        <f>IFERROR(__xludf.DUMMYFUNCTION("""COMPUTED_VALUE"""),"Extra")</f>
        <v>Extra</v>
      </c>
      <c r="D306" s="15" t="str">
        <f>IFERROR(__xludf.DUMMYFUNCTION("""COMPUTED_VALUE"""),"Active")</f>
        <v>Active</v>
      </c>
      <c r="E306" s="17">
        <f>IFERROR(__xludf.DUMMYFUNCTION("""COMPUTED_VALUE"""),45125.0)</f>
        <v>45125</v>
      </c>
      <c r="F306" s="54"/>
      <c r="G306" s="19">
        <f>IFERROR(__xludf.DUMMYFUNCTION("""COMPUTED_VALUE"""),38.6)</f>
        <v>38.6</v>
      </c>
      <c r="H306" s="17">
        <f>IFERROR(__xludf.DUMMYFUNCTION("""COMPUTED_VALUE"""),44404.0)</f>
        <v>44404</v>
      </c>
      <c r="I306" s="19">
        <f>IFERROR(__xludf.DUMMYFUNCTION("""COMPUTED_VALUE"""),1.975)</f>
        <v>1.975</v>
      </c>
      <c r="J306" s="21">
        <f>IFERROR(__xludf.DUMMYFUNCTION("""COMPUTED_VALUE"""),75.0)</f>
        <v>75</v>
      </c>
      <c r="K306" s="23">
        <f>IFERROR(__xludf.DUMMYFUNCTION("""COMPUTED_VALUE"""),8.0)</f>
        <v>8</v>
      </c>
      <c r="L306" s="24">
        <f>IFERROR(__xludf.DUMMYFUNCTION("""COMPUTED_VALUE"""),18.0)</f>
        <v>18</v>
      </c>
      <c r="M306" s="25" t="str">
        <f>IFERROR(__xludf.DUMMYFUNCTION("""COMPUTED_VALUE"""),"Action-Adventure")</f>
        <v>Action-Adventure</v>
      </c>
      <c r="N306" s="25"/>
      <c r="O306" s="26" t="str">
        <f>IFERROR(__xludf.DUMMYFUNCTION("""COMPUTED_VALUE"""),"Yes")</f>
        <v>Yes</v>
      </c>
      <c r="P306" s="26"/>
    </row>
    <row r="307">
      <c r="A307" s="13" t="str">
        <f>IFERROR(__xludf.DUMMYFUNCTION("""COMPUTED_VALUE"""),"Carto")</f>
        <v>Carto</v>
      </c>
      <c r="B307" s="15" t="str">
        <f>IFERROR(__xludf.DUMMYFUNCTION("""COMPUTED_VALUE"""),"PS4")</f>
        <v>PS4</v>
      </c>
      <c r="C307" s="16" t="str">
        <f>IFERROR(__xludf.DUMMYFUNCTION("""COMPUTED_VALUE"""),"Extra")</f>
        <v>Extra</v>
      </c>
      <c r="D307" s="15" t="str">
        <f>IFERROR(__xludf.DUMMYFUNCTION("""COMPUTED_VALUE"""),"Active")</f>
        <v>Active</v>
      </c>
      <c r="E307" s="17">
        <f>IFERROR(__xludf.DUMMYFUNCTION("""COMPUTED_VALUE"""),45097.0)</f>
        <v>45097</v>
      </c>
      <c r="F307" s="54"/>
      <c r="G307" s="19">
        <f>IFERROR(__xludf.DUMMYFUNCTION("""COMPUTED_VALUE"""),39.53333333333333)</f>
        <v>39.53333333</v>
      </c>
      <c r="H307" s="17">
        <f>IFERROR(__xludf.DUMMYFUNCTION("""COMPUTED_VALUE"""),44131.0)</f>
        <v>44131</v>
      </c>
      <c r="I307" s="19">
        <f>IFERROR(__xludf.DUMMYFUNCTION("""COMPUTED_VALUE"""),2.647222222222222)</f>
        <v>2.647222222</v>
      </c>
      <c r="J307" s="21">
        <f>IFERROR(__xludf.DUMMYFUNCTION("""COMPUTED_VALUE"""),75.0)</f>
        <v>75</v>
      </c>
      <c r="K307" s="23">
        <f>IFERROR(__xludf.DUMMYFUNCTION("""COMPUTED_VALUE"""),6.9)</f>
        <v>6.9</v>
      </c>
      <c r="L307" s="24">
        <f>IFERROR(__xludf.DUMMYFUNCTION("""COMPUTED_VALUE"""),6.0)</f>
        <v>6</v>
      </c>
      <c r="M307" s="25" t="str">
        <f>IFERROR(__xludf.DUMMYFUNCTION("""COMPUTED_VALUE"""),"Action-Adventure")</f>
        <v>Action-Adventure</v>
      </c>
      <c r="N307" s="25"/>
      <c r="O307" s="26" t="str">
        <f>IFERROR(__xludf.DUMMYFUNCTION("""COMPUTED_VALUE"""),"Yes")</f>
        <v>Yes</v>
      </c>
      <c r="P307" s="26"/>
    </row>
    <row r="308">
      <c r="A308" s="13" t="str">
        <f>IFERROR(__xludf.DUMMYFUNCTION("""COMPUTED_VALUE"""),"Killing Floor 2")</f>
        <v>Killing Floor 2</v>
      </c>
      <c r="B308" s="15" t="str">
        <f>IFERROR(__xludf.DUMMYFUNCTION("""COMPUTED_VALUE"""),"PS4")</f>
        <v>PS4</v>
      </c>
      <c r="C308" s="16" t="str">
        <f>IFERROR(__xludf.DUMMYFUNCTION("""COMPUTED_VALUE"""),"Extra")</f>
        <v>Extra</v>
      </c>
      <c r="D308" s="15" t="str">
        <f>IFERROR(__xludf.DUMMYFUNCTION("""COMPUTED_VALUE"""),"Active")</f>
        <v>Active</v>
      </c>
      <c r="E308" s="17">
        <f>IFERROR(__xludf.DUMMYFUNCTION("""COMPUTED_VALUE"""),45097.0)</f>
        <v>45097</v>
      </c>
      <c r="F308" s="54"/>
      <c r="G308" s="19">
        <f>IFERROR(__xludf.DUMMYFUNCTION("""COMPUTED_VALUE"""),39.53333333333333)</f>
        <v>39.53333333</v>
      </c>
      <c r="H308" s="17">
        <f>IFERROR(__xludf.DUMMYFUNCTION("""COMPUTED_VALUE"""),42690.0)</f>
        <v>42690</v>
      </c>
      <c r="I308" s="19">
        <f>IFERROR(__xludf.DUMMYFUNCTION("""COMPUTED_VALUE"""),6.594444444444444)</f>
        <v>6.594444444</v>
      </c>
      <c r="J308" s="21">
        <f>IFERROR(__xludf.DUMMYFUNCTION("""COMPUTED_VALUE"""),75.0)</f>
        <v>75</v>
      </c>
      <c r="K308" s="23">
        <f>IFERROR(__xludf.DUMMYFUNCTION("""COMPUTED_VALUE"""),7.1)</f>
        <v>7.1</v>
      </c>
      <c r="L308" s="24">
        <f>IFERROR(__xludf.DUMMYFUNCTION("""COMPUTED_VALUE"""),14.0)</f>
        <v>14</v>
      </c>
      <c r="M308" s="25" t="str">
        <f>IFERROR(__xludf.DUMMYFUNCTION("""COMPUTED_VALUE"""),"Shooter")</f>
        <v>Shooter</v>
      </c>
      <c r="N308" s="25"/>
      <c r="O308" s="26" t="str">
        <f>IFERROR(__xludf.DUMMYFUNCTION("""COMPUTED_VALUE"""),"Yes")</f>
        <v>Yes</v>
      </c>
      <c r="P308" s="26"/>
    </row>
    <row r="309">
      <c r="A309" s="13" t="str">
        <f>IFERROR(__xludf.DUMMYFUNCTION("""COMPUTED_VALUE"""),"Shadow of the Tomb Raider")</f>
        <v>Shadow of the Tomb Raider</v>
      </c>
      <c r="B309" s="15" t="str">
        <f>IFERROR(__xludf.DUMMYFUNCTION("""COMPUTED_VALUE"""),"PS4")</f>
        <v>PS4</v>
      </c>
      <c r="C309" s="16" t="str">
        <f>IFERROR(__xludf.DUMMYFUNCTION("""COMPUTED_VALUE"""),"Extra")</f>
        <v>Extra</v>
      </c>
      <c r="D309" s="15" t="str">
        <f>IFERROR(__xludf.DUMMYFUNCTION("""COMPUTED_VALUE"""),"Active")</f>
        <v>Active</v>
      </c>
      <c r="E309" s="17">
        <f>IFERROR(__xludf.DUMMYFUNCTION("""COMPUTED_VALUE"""),45062.0)</f>
        <v>45062</v>
      </c>
      <c r="F309" s="54"/>
      <c r="G309" s="19">
        <f>IFERROR(__xludf.DUMMYFUNCTION("""COMPUTED_VALUE"""),40.666666666666664)</f>
        <v>40.66666667</v>
      </c>
      <c r="H309" s="17">
        <f>IFERROR(__xludf.DUMMYFUNCTION("""COMPUTED_VALUE"""),42684.0)</f>
        <v>42684</v>
      </c>
      <c r="I309" s="19">
        <f>IFERROR(__xludf.DUMMYFUNCTION("""COMPUTED_VALUE"""),6.516666666666667)</f>
        <v>6.516666667</v>
      </c>
      <c r="J309" s="21">
        <f>IFERROR(__xludf.DUMMYFUNCTION("""COMPUTED_VALUE"""),75.0)</f>
        <v>75</v>
      </c>
      <c r="K309" s="23">
        <f>IFERROR(__xludf.DUMMYFUNCTION("""COMPUTED_VALUE"""),7.5)</f>
        <v>7.5</v>
      </c>
      <c r="L309" s="24">
        <f>IFERROR(__xludf.DUMMYFUNCTION("""COMPUTED_VALUE"""),13.0)</f>
        <v>13</v>
      </c>
      <c r="M309" s="25" t="str">
        <f>IFERROR(__xludf.DUMMYFUNCTION("""COMPUTED_VALUE"""),"Action-Adventure")</f>
        <v>Action-Adventure</v>
      </c>
      <c r="N309" s="25"/>
      <c r="O309" s="26" t="str">
        <f>IFERROR(__xludf.DUMMYFUNCTION("""COMPUTED_VALUE"""),"Yes")</f>
        <v>Yes</v>
      </c>
      <c r="P309" s="26"/>
    </row>
    <row r="310">
      <c r="A310" s="13" t="str">
        <f>IFERROR(__xludf.DUMMYFUNCTION("""COMPUTED_VALUE"""),"Pursuit Force")</f>
        <v>Pursuit Force</v>
      </c>
      <c r="B310" s="15" t="str">
        <f>IFERROR(__xludf.DUMMYFUNCTION("""COMPUTED_VALUE"""),"PS5/PS4")</f>
        <v>PS5/PS4</v>
      </c>
      <c r="C310" s="16" t="str">
        <f>IFERROR(__xludf.DUMMYFUNCTION("""COMPUTED_VALUE"""),"Premium (Classics)")</f>
        <v>Premium (Classics)</v>
      </c>
      <c r="D310" s="15" t="str">
        <f>IFERROR(__xludf.DUMMYFUNCTION("""COMPUTED_VALUE"""),"Active")</f>
        <v>Active</v>
      </c>
      <c r="E310" s="17">
        <f>IFERROR(__xludf.DUMMYFUNCTION("""COMPUTED_VALUE"""),45062.0)</f>
        <v>45062</v>
      </c>
      <c r="F310" s="54"/>
      <c r="G310" s="19">
        <f>IFERROR(__xludf.DUMMYFUNCTION("""COMPUTED_VALUE"""),40.666666666666664)</f>
        <v>40.66666667</v>
      </c>
      <c r="H310" s="17">
        <f>IFERROR(__xludf.DUMMYFUNCTION("""COMPUTED_VALUE"""),38783.0)</f>
        <v>38783</v>
      </c>
      <c r="I310" s="19">
        <f>IFERROR(__xludf.DUMMYFUNCTION("""COMPUTED_VALUE"""),17.191666666666666)</f>
        <v>17.19166667</v>
      </c>
      <c r="J310" s="21">
        <f>IFERROR(__xludf.DUMMYFUNCTION("""COMPUTED_VALUE"""),75.0)</f>
        <v>75</v>
      </c>
      <c r="K310" s="23">
        <f>IFERROR(__xludf.DUMMYFUNCTION("""COMPUTED_VALUE"""),7.3)</f>
        <v>7.3</v>
      </c>
      <c r="L310" s="24">
        <f>IFERROR(__xludf.DUMMYFUNCTION("""COMPUTED_VALUE"""),9.0)</f>
        <v>9</v>
      </c>
      <c r="M310" s="25" t="str">
        <f>IFERROR(__xludf.DUMMYFUNCTION("""COMPUTED_VALUE"""),"Racing")</f>
        <v>Racing</v>
      </c>
      <c r="N310" s="25" t="str">
        <f>IFERROR(__xludf.DUMMYFUNCTION("""COMPUTED_VALUE"""),"PSP")</f>
        <v>PSP</v>
      </c>
      <c r="O310" s="26" t="str">
        <f>IFERROR(__xludf.DUMMYFUNCTION("""COMPUTED_VALUE"""),"Yes")</f>
        <v>Yes</v>
      </c>
      <c r="P310" s="26"/>
    </row>
    <row r="311">
      <c r="A311" s="13" t="str">
        <f>IFERROR(__xludf.DUMMYFUNCTION("""COMPUTED_VALUE"""),"DOOM 64")</f>
        <v>DOOM 64</v>
      </c>
      <c r="B311" s="15" t="str">
        <f>IFERROR(__xludf.DUMMYFUNCTION("""COMPUTED_VALUE"""),"PS4")</f>
        <v>PS4</v>
      </c>
      <c r="C311" s="16" t="str">
        <f>IFERROR(__xludf.DUMMYFUNCTION("""COMPUTED_VALUE"""),"Premium (Classics)")</f>
        <v>Premium (Classics)</v>
      </c>
      <c r="D311" s="15" t="str">
        <f>IFERROR(__xludf.DUMMYFUNCTION("""COMPUTED_VALUE"""),"Active")</f>
        <v>Active</v>
      </c>
      <c r="E311" s="17">
        <f>IFERROR(__xludf.DUMMYFUNCTION("""COMPUTED_VALUE"""),45034.0)</f>
        <v>45034</v>
      </c>
      <c r="F311" s="54"/>
      <c r="G311" s="19">
        <f>IFERROR(__xludf.DUMMYFUNCTION("""COMPUTED_VALUE"""),41.6)</f>
        <v>41.6</v>
      </c>
      <c r="H311" s="17">
        <f>IFERROR(__xludf.DUMMYFUNCTION("""COMPUTED_VALUE"""),35520.0)</f>
        <v>35520</v>
      </c>
      <c r="I311" s="19">
        <f>IFERROR(__xludf.DUMMYFUNCTION("""COMPUTED_VALUE"""),26.05)</f>
        <v>26.05</v>
      </c>
      <c r="J311" s="21">
        <f>IFERROR(__xludf.DUMMYFUNCTION("""COMPUTED_VALUE"""),75.0)</f>
        <v>75</v>
      </c>
      <c r="K311" s="23">
        <f>IFERROR(__xludf.DUMMYFUNCTION("""COMPUTED_VALUE"""),7.1)</f>
        <v>7.1</v>
      </c>
      <c r="L311" s="24">
        <f>IFERROR(__xludf.DUMMYFUNCTION("""COMPUTED_VALUE"""),7.0)</f>
        <v>7</v>
      </c>
      <c r="M311" s="25" t="str">
        <f>IFERROR(__xludf.DUMMYFUNCTION("""COMPUTED_VALUE"""),"Shooter")</f>
        <v>Shooter</v>
      </c>
      <c r="N311" s="25" t="str">
        <f>IFERROR(__xludf.DUMMYFUNCTION("""COMPUTED_VALUE"""),"N64")</f>
        <v>N64</v>
      </c>
      <c r="O311" s="26" t="str">
        <f>IFERROR(__xludf.DUMMYFUNCTION("""COMPUTED_VALUE"""),"Yes")</f>
        <v>Yes</v>
      </c>
      <c r="P311" s="26"/>
    </row>
    <row r="312">
      <c r="A312" s="13" t="str">
        <f>IFERROR(__xludf.DUMMYFUNCTION("""COMPUTED_VALUE"""),"Pinball Heroes")</f>
        <v>Pinball Heroes</v>
      </c>
      <c r="B312" s="15" t="str">
        <f>IFERROR(__xludf.DUMMYFUNCTION("""COMPUTED_VALUE"""),"PS5/PS4")</f>
        <v>PS5/PS4</v>
      </c>
      <c r="C312" s="16" t="str">
        <f>IFERROR(__xludf.DUMMYFUNCTION("""COMPUTED_VALUE"""),"Premium (Classics)")</f>
        <v>Premium (Classics)</v>
      </c>
      <c r="D312" s="15" t="str">
        <f>IFERROR(__xludf.DUMMYFUNCTION("""COMPUTED_VALUE"""),"Active")</f>
        <v>Active</v>
      </c>
      <c r="E312" s="17">
        <f>IFERROR(__xludf.DUMMYFUNCTION("""COMPUTED_VALUE"""),44915.0)</f>
        <v>44915</v>
      </c>
      <c r="F312" s="54"/>
      <c r="G312" s="19">
        <f>IFERROR(__xludf.DUMMYFUNCTION("""COMPUTED_VALUE"""),45.53333333333333)</f>
        <v>45.53333333</v>
      </c>
      <c r="H312" s="17">
        <f>IFERROR(__xludf.DUMMYFUNCTION("""COMPUTED_VALUE"""),39406.0)</f>
        <v>39406</v>
      </c>
      <c r="I312" s="19">
        <f>IFERROR(__xludf.DUMMYFUNCTION("""COMPUTED_VALUE"""),15.083333333333334)</f>
        <v>15.08333333</v>
      </c>
      <c r="J312" s="21">
        <f>IFERROR(__xludf.DUMMYFUNCTION("""COMPUTED_VALUE"""),75.0)</f>
        <v>75</v>
      </c>
      <c r="K312" s="23">
        <f>IFERROR(__xludf.DUMMYFUNCTION("""COMPUTED_VALUE"""),7.8)</f>
        <v>7.8</v>
      </c>
      <c r="L312" s="24">
        <f>IFERROR(__xludf.DUMMYFUNCTION("""COMPUTED_VALUE"""),1.5)</f>
        <v>1.5</v>
      </c>
      <c r="M312" s="75" t="str">
        <f>IFERROR(__xludf.DUMMYFUNCTION("""COMPUTED_VALUE"""),"Sports")</f>
        <v>Sports</v>
      </c>
      <c r="N312" s="25" t="str">
        <f>IFERROR(__xludf.DUMMYFUNCTION("""COMPUTED_VALUE"""),"PSP")</f>
        <v>PSP</v>
      </c>
      <c r="O312" s="26" t="str">
        <f>IFERROR(__xludf.DUMMYFUNCTION("""COMPUTED_VALUE"""),"Yes")</f>
        <v>Yes</v>
      </c>
      <c r="P312" s="26"/>
    </row>
    <row r="313">
      <c r="A313" s="13" t="str">
        <f>IFERROR(__xludf.DUMMYFUNCTION("""COMPUTED_VALUE"""),"The Gardens Between")</f>
        <v>The Gardens Between</v>
      </c>
      <c r="B313" s="15" t="str">
        <f>IFERROR(__xludf.DUMMYFUNCTION("""COMPUTED_VALUE"""),"PS5/PS4")</f>
        <v>PS5/PS4</v>
      </c>
      <c r="C313" s="16" t="str">
        <f>IFERROR(__xludf.DUMMYFUNCTION("""COMPUTED_VALUE"""),"Extra")</f>
        <v>Extra</v>
      </c>
      <c r="D313" s="15" t="str">
        <f>IFERROR(__xludf.DUMMYFUNCTION("""COMPUTED_VALUE"""),"Active")</f>
        <v>Active</v>
      </c>
      <c r="E313" s="17">
        <f>IFERROR(__xludf.DUMMYFUNCTION("""COMPUTED_VALUE"""),44880.0)</f>
        <v>44880</v>
      </c>
      <c r="F313" s="54"/>
      <c r="G313" s="19">
        <f>IFERROR(__xludf.DUMMYFUNCTION("""COMPUTED_VALUE"""),46.7)</f>
        <v>46.7</v>
      </c>
      <c r="H313" s="17">
        <f>IFERROR(__xludf.DUMMYFUNCTION("""COMPUTED_VALUE"""),43363.0)</f>
        <v>43363</v>
      </c>
      <c r="I313" s="19">
        <f>IFERROR(__xludf.DUMMYFUNCTION("""COMPUTED_VALUE"""),4.152777777777778)</f>
        <v>4.152777778</v>
      </c>
      <c r="J313" s="21">
        <f>IFERROR(__xludf.DUMMYFUNCTION("""COMPUTED_VALUE"""),75.0)</f>
        <v>75</v>
      </c>
      <c r="K313" s="23">
        <f>IFERROR(__xludf.DUMMYFUNCTION("""COMPUTED_VALUE"""),6.1)</f>
        <v>6.1</v>
      </c>
      <c r="L313" s="24">
        <f>IFERROR(__xludf.DUMMYFUNCTION("""COMPUTED_VALUE"""),2.5)</f>
        <v>2.5</v>
      </c>
      <c r="M313" s="25" t="str">
        <f>IFERROR(__xludf.DUMMYFUNCTION("""COMPUTED_VALUE"""),"Action-Adventure")</f>
        <v>Action-Adventure</v>
      </c>
      <c r="N313" s="25"/>
      <c r="O313" s="26" t="str">
        <f>IFERROR(__xludf.DUMMYFUNCTION("""COMPUTED_VALUE"""),"Yes")</f>
        <v>Yes</v>
      </c>
      <c r="P313" s="26"/>
    </row>
    <row r="314">
      <c r="A314" s="13" t="str">
        <f>IFERROR(__xludf.DUMMYFUNCTION("""COMPUTED_VALUE"""),"Earth Defense Force: World Brothers")</f>
        <v>Earth Defense Force: World Brothers</v>
      </c>
      <c r="B314" s="15" t="str">
        <f>IFERROR(__xludf.DUMMYFUNCTION("""COMPUTED_VALUE"""),"PS4")</f>
        <v>PS4</v>
      </c>
      <c r="C314" s="16" t="str">
        <f>IFERROR(__xludf.DUMMYFUNCTION("""COMPUTED_VALUE"""),"Extra")</f>
        <v>Extra</v>
      </c>
      <c r="D314" s="15" t="str">
        <f>IFERROR(__xludf.DUMMYFUNCTION("""COMPUTED_VALUE"""),"Active")</f>
        <v>Active</v>
      </c>
      <c r="E314" s="17">
        <f>IFERROR(__xludf.DUMMYFUNCTION("""COMPUTED_VALUE"""),44880.0)</f>
        <v>44880</v>
      </c>
      <c r="F314" s="54"/>
      <c r="G314" s="19">
        <f>IFERROR(__xludf.DUMMYFUNCTION("""COMPUTED_VALUE"""),46.7)</f>
        <v>46.7</v>
      </c>
      <c r="H314" s="17">
        <f>IFERROR(__xludf.DUMMYFUNCTION("""COMPUTED_VALUE"""),44098.0)</f>
        <v>44098</v>
      </c>
      <c r="I314" s="19">
        <f>IFERROR(__xludf.DUMMYFUNCTION("""COMPUTED_VALUE"""),2.1416666666666666)</f>
        <v>2.141666667</v>
      </c>
      <c r="J314" s="21">
        <f>IFERROR(__xludf.DUMMYFUNCTION("""COMPUTED_VALUE"""),75.0)</f>
        <v>75</v>
      </c>
      <c r="K314" s="23">
        <f>IFERROR(__xludf.DUMMYFUNCTION("""COMPUTED_VALUE"""),5.0)</f>
        <v>5</v>
      </c>
      <c r="L314" s="24">
        <f>IFERROR(__xludf.DUMMYFUNCTION("""COMPUTED_VALUE"""),12.5)</f>
        <v>12.5</v>
      </c>
      <c r="M314" s="25" t="str">
        <f>IFERROR(__xludf.DUMMYFUNCTION("""COMPUTED_VALUE"""),"Shooter")</f>
        <v>Shooter</v>
      </c>
      <c r="N314" s="25"/>
      <c r="O314" s="26" t="str">
        <f>IFERROR(__xludf.DUMMYFUNCTION("""COMPUTED_VALUE"""),"Yes")</f>
        <v>Yes</v>
      </c>
      <c r="P314" s="26"/>
    </row>
    <row r="315">
      <c r="A315" s="13" t="str">
        <f>IFERROR(__xludf.DUMMYFUNCTION("""COMPUTED_VALUE"""),"Hohokum")</f>
        <v>Hohokum</v>
      </c>
      <c r="B315" s="15" t="str">
        <f>IFERROR(__xludf.DUMMYFUNCTION("""COMPUTED_VALUE"""),"PS4")</f>
        <v>PS4</v>
      </c>
      <c r="C315" s="16" t="str">
        <f>IFERROR(__xludf.DUMMYFUNCTION("""COMPUTED_VALUE"""),"Extra")</f>
        <v>Extra</v>
      </c>
      <c r="D315" s="15" t="str">
        <f>IFERROR(__xludf.DUMMYFUNCTION("""COMPUTED_VALUE"""),"Active")</f>
        <v>Active</v>
      </c>
      <c r="E315" s="17">
        <f>IFERROR(__xludf.DUMMYFUNCTION("""COMPUTED_VALUE"""),44852.0)</f>
        <v>44852</v>
      </c>
      <c r="F315" s="54"/>
      <c r="G315" s="19">
        <f>IFERROR(__xludf.DUMMYFUNCTION("""COMPUTED_VALUE"""),47.6)</f>
        <v>47.6</v>
      </c>
      <c r="H315" s="17">
        <f>IFERROR(__xludf.DUMMYFUNCTION("""COMPUTED_VALUE"""),41863.0)</f>
        <v>41863</v>
      </c>
      <c r="I315" s="19">
        <f>IFERROR(__xludf.DUMMYFUNCTION("""COMPUTED_VALUE"""),8.183333333333334)</f>
        <v>8.183333333</v>
      </c>
      <c r="J315" s="21">
        <f>IFERROR(__xludf.DUMMYFUNCTION("""COMPUTED_VALUE"""),75.0)</f>
        <v>75</v>
      </c>
      <c r="K315" s="23">
        <f>IFERROR(__xludf.DUMMYFUNCTION("""COMPUTED_VALUE"""),6.5)</f>
        <v>6.5</v>
      </c>
      <c r="L315" s="24">
        <f>IFERROR(__xludf.DUMMYFUNCTION("""COMPUTED_VALUE"""),4.0)</f>
        <v>4</v>
      </c>
      <c r="M315" s="25" t="str">
        <f>IFERROR(__xludf.DUMMYFUNCTION("""COMPUTED_VALUE"""),"Action-Adventure")</f>
        <v>Action-Adventure</v>
      </c>
      <c r="N315" s="25"/>
      <c r="O315" s="26" t="str">
        <f>IFERROR(__xludf.DUMMYFUNCTION("""COMPUTED_VALUE"""),"Yes")</f>
        <v>Yes</v>
      </c>
      <c r="P315" s="26"/>
    </row>
    <row r="316">
      <c r="A316" s="13" t="str">
        <f>IFERROR(__xludf.DUMMYFUNCTION("""COMPUTED_VALUE"""),"Deliver Us the Moon")</f>
        <v>Deliver Us the Moon</v>
      </c>
      <c r="B316" s="15" t="str">
        <f>IFERROR(__xludf.DUMMYFUNCTION("""COMPUTED_VALUE"""),"PS5/PS4")</f>
        <v>PS5/PS4</v>
      </c>
      <c r="C316" s="16" t="str">
        <f>IFERROR(__xludf.DUMMYFUNCTION("""COMPUTED_VALUE"""),"Extra")</f>
        <v>Extra</v>
      </c>
      <c r="D316" s="15" t="str">
        <f>IFERROR(__xludf.DUMMYFUNCTION("""COMPUTED_VALUE"""),"Active")</f>
        <v>Active</v>
      </c>
      <c r="E316" s="17">
        <f>IFERROR(__xludf.DUMMYFUNCTION("""COMPUTED_VALUE"""),44725.0)</f>
        <v>44725</v>
      </c>
      <c r="F316" s="54"/>
      <c r="G316" s="19">
        <f>IFERROR(__xludf.DUMMYFUNCTION("""COMPUTED_VALUE"""),51.766666666666666)</f>
        <v>51.76666667</v>
      </c>
      <c r="H316" s="17">
        <f>IFERROR(__xludf.DUMMYFUNCTION("""COMPUTED_VALUE"""),43748.0)</f>
        <v>43748</v>
      </c>
      <c r="I316" s="19">
        <f>IFERROR(__xludf.DUMMYFUNCTION("""COMPUTED_VALUE"""),2.675)</f>
        <v>2.675</v>
      </c>
      <c r="J316" s="21">
        <f>IFERROR(__xludf.DUMMYFUNCTION("""COMPUTED_VALUE"""),75.0)</f>
        <v>75</v>
      </c>
      <c r="K316" s="23">
        <f>IFERROR(__xludf.DUMMYFUNCTION("""COMPUTED_VALUE"""),7.3)</f>
        <v>7.3</v>
      </c>
      <c r="L316" s="24">
        <f>IFERROR(__xludf.DUMMYFUNCTION("""COMPUTED_VALUE"""),5.0)</f>
        <v>5</v>
      </c>
      <c r="M316" s="25" t="str">
        <f>IFERROR(__xludf.DUMMYFUNCTION("""COMPUTED_VALUE"""),"Interactive Story")</f>
        <v>Interactive Story</v>
      </c>
      <c r="N316" s="25"/>
      <c r="O316" s="26" t="str">
        <f>IFERROR(__xludf.DUMMYFUNCTION("""COMPUTED_VALUE"""),"Yes")</f>
        <v>Yes</v>
      </c>
      <c r="P316" s="26"/>
    </row>
    <row r="317">
      <c r="A317" s="13" t="str">
        <f>IFERROR(__xludf.DUMMYFUNCTION("""COMPUTED_VALUE"""),"Dragon Star Varnir")</f>
        <v>Dragon Star Varnir</v>
      </c>
      <c r="B317" s="15" t="str">
        <f>IFERROR(__xludf.DUMMYFUNCTION("""COMPUTED_VALUE"""),"PS4")</f>
        <v>PS4</v>
      </c>
      <c r="C317" s="16" t="str">
        <f>IFERROR(__xludf.DUMMYFUNCTION("""COMPUTED_VALUE"""),"Extra")</f>
        <v>Extra</v>
      </c>
      <c r="D317" s="15" t="str">
        <f>IFERROR(__xludf.DUMMYFUNCTION("""COMPUTED_VALUE"""),"Active")</f>
        <v>Active</v>
      </c>
      <c r="E317" s="17">
        <f>IFERROR(__xludf.DUMMYFUNCTION("""COMPUTED_VALUE"""),44725.0)</f>
        <v>44725</v>
      </c>
      <c r="F317" s="54"/>
      <c r="G317" s="19">
        <f>IFERROR(__xludf.DUMMYFUNCTION("""COMPUTED_VALUE"""),51.766666666666666)</f>
        <v>51.76666667</v>
      </c>
      <c r="H317" s="17">
        <f>IFERROR(__xludf.DUMMYFUNCTION("""COMPUTED_VALUE"""),43384.0)</f>
        <v>43384</v>
      </c>
      <c r="I317" s="19">
        <f>IFERROR(__xludf.DUMMYFUNCTION("""COMPUTED_VALUE"""),3.672222222222222)</f>
        <v>3.672222222</v>
      </c>
      <c r="J317" s="21">
        <f>IFERROR(__xludf.DUMMYFUNCTION("""COMPUTED_VALUE"""),75.0)</f>
        <v>75</v>
      </c>
      <c r="K317" s="23">
        <f>IFERROR(__xludf.DUMMYFUNCTION("""COMPUTED_VALUE"""),7.1)</f>
        <v>7.1</v>
      </c>
      <c r="L317" s="24">
        <f>IFERROR(__xludf.DUMMYFUNCTION("""COMPUTED_VALUE"""),16.5)</f>
        <v>16.5</v>
      </c>
      <c r="M317" s="25" t="str">
        <f>IFERROR(__xludf.DUMMYFUNCTION("""COMPUTED_VALUE"""),"RPG")</f>
        <v>RPG</v>
      </c>
      <c r="N317" s="25"/>
      <c r="O317" s="26" t="str">
        <f>IFERROR(__xludf.DUMMYFUNCTION("""COMPUTED_VALUE"""),"No")</f>
        <v>No</v>
      </c>
      <c r="P317" s="26"/>
    </row>
    <row r="318">
      <c r="A318" s="13" t="str">
        <f>IFERROR(__xludf.DUMMYFUNCTION("""COMPUTED_VALUE"""),"For The King")</f>
        <v>For The King</v>
      </c>
      <c r="B318" s="15" t="str">
        <f>IFERROR(__xludf.DUMMYFUNCTION("""COMPUTED_VALUE"""),"PS4")</f>
        <v>PS4</v>
      </c>
      <c r="C318" s="16" t="str">
        <f>IFERROR(__xludf.DUMMYFUNCTION("""COMPUTED_VALUE"""),"Extra")</f>
        <v>Extra</v>
      </c>
      <c r="D318" s="15" t="str">
        <f>IFERROR(__xludf.DUMMYFUNCTION("""COMPUTED_VALUE"""),"Active")</f>
        <v>Active</v>
      </c>
      <c r="E318" s="17">
        <f>IFERROR(__xludf.DUMMYFUNCTION("""COMPUTED_VALUE"""),44725.0)</f>
        <v>44725</v>
      </c>
      <c r="F318" s="54"/>
      <c r="G318" s="19">
        <f>IFERROR(__xludf.DUMMYFUNCTION("""COMPUTED_VALUE"""),51.766666666666666)</f>
        <v>51.76666667</v>
      </c>
      <c r="H318" s="17">
        <f>IFERROR(__xludf.DUMMYFUNCTION("""COMPUTED_VALUE"""),43158.0)</f>
        <v>43158</v>
      </c>
      <c r="I318" s="19">
        <f>IFERROR(__xludf.DUMMYFUNCTION("""COMPUTED_VALUE"""),4.294444444444444)</f>
        <v>4.294444444</v>
      </c>
      <c r="J318" s="21">
        <f>IFERROR(__xludf.DUMMYFUNCTION("""COMPUTED_VALUE"""),75.0)</f>
        <v>75</v>
      </c>
      <c r="K318" s="23">
        <f>IFERROR(__xludf.DUMMYFUNCTION("""COMPUTED_VALUE"""),7.3)</f>
        <v>7.3</v>
      </c>
      <c r="L318" s="24">
        <f>IFERROR(__xludf.DUMMYFUNCTION("""COMPUTED_VALUE"""),9.5)</f>
        <v>9.5</v>
      </c>
      <c r="M318" s="25" t="str">
        <f>IFERROR(__xludf.DUMMYFUNCTION("""COMPUTED_VALUE"""),"Strategy")</f>
        <v>Strategy</v>
      </c>
      <c r="N318" s="25"/>
      <c r="O318" s="26" t="str">
        <f>IFERROR(__xludf.DUMMYFUNCTION("""COMPUTED_VALUE"""),"Yes")</f>
        <v>Yes</v>
      </c>
      <c r="P318" s="26" t="str">
        <f>IFERROR(__xludf.DUMMYFUNCTION("""COMPUTED_VALUE"""),"Yes")</f>
        <v>Yes</v>
      </c>
    </row>
    <row r="319">
      <c r="A319" s="13" t="str">
        <f>IFERROR(__xludf.DUMMYFUNCTION("""COMPUTED_VALUE"""),"Little Big Workshop")</f>
        <v>Little Big Workshop</v>
      </c>
      <c r="B319" s="15" t="str">
        <f>IFERROR(__xludf.DUMMYFUNCTION("""COMPUTED_VALUE"""),"PS4")</f>
        <v>PS4</v>
      </c>
      <c r="C319" s="16" t="str">
        <f>IFERROR(__xludf.DUMMYFUNCTION("""COMPUTED_VALUE"""),"Extra")</f>
        <v>Extra</v>
      </c>
      <c r="D319" s="15" t="str">
        <f>IFERROR(__xludf.DUMMYFUNCTION("""COMPUTED_VALUE"""),"Active")</f>
        <v>Active</v>
      </c>
      <c r="E319" s="17">
        <f>IFERROR(__xludf.DUMMYFUNCTION("""COMPUTED_VALUE"""),44725.0)</f>
        <v>44725</v>
      </c>
      <c r="F319" s="54"/>
      <c r="G319" s="19">
        <f>IFERROR(__xludf.DUMMYFUNCTION("""COMPUTED_VALUE"""),51.766666666666666)</f>
        <v>51.76666667</v>
      </c>
      <c r="H319" s="17">
        <f>IFERROR(__xludf.DUMMYFUNCTION("""COMPUTED_VALUE"""),43755.0)</f>
        <v>43755</v>
      </c>
      <c r="I319" s="19">
        <f>IFERROR(__xludf.DUMMYFUNCTION("""COMPUTED_VALUE"""),2.6555555555555554)</f>
        <v>2.655555556</v>
      </c>
      <c r="J319" s="21">
        <f>IFERROR(__xludf.DUMMYFUNCTION("""COMPUTED_VALUE"""),75.0)</f>
        <v>75</v>
      </c>
      <c r="K319" s="23">
        <f>IFERROR(__xludf.DUMMYFUNCTION("""COMPUTED_VALUE"""),6.5)</f>
        <v>6.5</v>
      </c>
      <c r="L319" s="24">
        <f>IFERROR(__xludf.DUMMYFUNCTION("""COMPUTED_VALUE"""),18.5)</f>
        <v>18.5</v>
      </c>
      <c r="M319" s="25" t="str">
        <f>IFERROR(__xludf.DUMMYFUNCTION("""COMPUTED_VALUE"""),"Strategy")</f>
        <v>Strategy</v>
      </c>
      <c r="N319" s="25"/>
      <c r="O319" s="26" t="str">
        <f>IFERROR(__xludf.DUMMYFUNCTION("""COMPUTED_VALUE"""),"Yes")</f>
        <v>Yes</v>
      </c>
      <c r="P319" s="26"/>
    </row>
    <row r="320">
      <c r="A320" s="13" t="str">
        <f>IFERROR(__xludf.DUMMYFUNCTION("""COMPUTED_VALUE"""),"Pure Pool")</f>
        <v>Pure Pool</v>
      </c>
      <c r="B320" s="15" t="str">
        <f>IFERROR(__xludf.DUMMYFUNCTION("""COMPUTED_VALUE"""),"PS4")</f>
        <v>PS4</v>
      </c>
      <c r="C320" s="16" t="str">
        <f>IFERROR(__xludf.DUMMYFUNCTION("""COMPUTED_VALUE"""),"Extra")</f>
        <v>Extra</v>
      </c>
      <c r="D320" s="15" t="str">
        <f>IFERROR(__xludf.DUMMYFUNCTION("""COMPUTED_VALUE"""),"Active")</f>
        <v>Active</v>
      </c>
      <c r="E320" s="17">
        <f>IFERROR(__xludf.DUMMYFUNCTION("""COMPUTED_VALUE"""),44725.0)</f>
        <v>44725</v>
      </c>
      <c r="F320" s="54"/>
      <c r="G320" s="19">
        <f>IFERROR(__xludf.DUMMYFUNCTION("""COMPUTED_VALUE"""),51.766666666666666)</f>
        <v>51.76666667</v>
      </c>
      <c r="H320" s="17">
        <f>IFERROR(__xludf.DUMMYFUNCTION("""COMPUTED_VALUE"""),41880.0)</f>
        <v>41880</v>
      </c>
      <c r="I320" s="19">
        <f>IFERROR(__xludf.DUMMYFUNCTION("""COMPUTED_VALUE"""),7.788888888888889)</f>
        <v>7.788888889</v>
      </c>
      <c r="J320" s="21">
        <f>IFERROR(__xludf.DUMMYFUNCTION("""COMPUTED_VALUE"""),75.0)</f>
        <v>75</v>
      </c>
      <c r="K320" s="23">
        <f>IFERROR(__xludf.DUMMYFUNCTION("""COMPUTED_VALUE"""),7.2)</f>
        <v>7.2</v>
      </c>
      <c r="L320" s="24"/>
      <c r="M320" s="25" t="str">
        <f>IFERROR(__xludf.DUMMYFUNCTION("""COMPUTED_VALUE"""),"Sports")</f>
        <v>Sports</v>
      </c>
      <c r="N320" s="25"/>
      <c r="O320" s="26" t="str">
        <f>IFERROR(__xludf.DUMMYFUNCTION("""COMPUTED_VALUE"""),"Yes")</f>
        <v>Yes</v>
      </c>
      <c r="P320" s="26"/>
    </row>
    <row r="321">
      <c r="A321" s="13" t="str">
        <f>IFERROR(__xludf.DUMMYFUNCTION("""COMPUTED_VALUE"""),"Ys IX: Monstrum Nox")</f>
        <v>Ys IX: Monstrum Nox</v>
      </c>
      <c r="B321" s="15" t="str">
        <f>IFERROR(__xludf.DUMMYFUNCTION("""COMPUTED_VALUE"""),"PS4")</f>
        <v>PS4</v>
      </c>
      <c r="C321" s="16" t="str">
        <f>IFERROR(__xludf.DUMMYFUNCTION("""COMPUTED_VALUE"""),"Extra")</f>
        <v>Extra</v>
      </c>
      <c r="D321" s="15" t="str">
        <f>IFERROR(__xludf.DUMMYFUNCTION("""COMPUTED_VALUE"""),"Active")</f>
        <v>Active</v>
      </c>
      <c r="E321" s="17">
        <f>IFERROR(__xludf.DUMMYFUNCTION("""COMPUTED_VALUE"""),44725.0)</f>
        <v>44725</v>
      </c>
      <c r="F321" s="54"/>
      <c r="G321" s="19">
        <f>IFERROR(__xludf.DUMMYFUNCTION("""COMPUTED_VALUE"""),51.766666666666666)</f>
        <v>51.76666667</v>
      </c>
      <c r="H321" s="17">
        <f>IFERROR(__xludf.DUMMYFUNCTION("""COMPUTED_VALUE"""),44229.0)</f>
        <v>44229</v>
      </c>
      <c r="I321" s="19">
        <f>IFERROR(__xludf.DUMMYFUNCTION("""COMPUTED_VALUE"""),1.363888888888889)</f>
        <v>1.363888889</v>
      </c>
      <c r="J321" s="21">
        <f>IFERROR(__xludf.DUMMYFUNCTION("""COMPUTED_VALUE"""),75.0)</f>
        <v>75</v>
      </c>
      <c r="K321" s="23">
        <f>IFERROR(__xludf.DUMMYFUNCTION("""COMPUTED_VALUE"""),7.8)</f>
        <v>7.8</v>
      </c>
      <c r="L321" s="24">
        <f>IFERROR(__xludf.DUMMYFUNCTION("""COMPUTED_VALUE"""),40.0)</f>
        <v>40</v>
      </c>
      <c r="M321" s="25" t="str">
        <f>IFERROR(__xludf.DUMMYFUNCTION("""COMPUTED_VALUE"""),"RPG")</f>
        <v>RPG</v>
      </c>
      <c r="N321" s="25"/>
      <c r="O321" s="26" t="str">
        <f>IFERROR(__xludf.DUMMYFUNCTION("""COMPUTED_VALUE"""),"No")</f>
        <v>No</v>
      </c>
      <c r="P321" s="26"/>
    </row>
    <row r="322">
      <c r="A322" s="13" t="str">
        <f>IFERROR(__xludf.DUMMYFUNCTION("""COMPUTED_VALUE"""),"Patapon 2: Remastered")</f>
        <v>Patapon 2: Remastered</v>
      </c>
      <c r="B322" s="15" t="str">
        <f>IFERROR(__xludf.DUMMYFUNCTION("""COMPUTED_VALUE"""),"PS4")</f>
        <v>PS4</v>
      </c>
      <c r="C322" s="16" t="str">
        <f>IFERROR(__xludf.DUMMYFUNCTION("""COMPUTED_VALUE"""),"Premium (Remasters)")</f>
        <v>Premium (Remasters)</v>
      </c>
      <c r="D322" s="15" t="str">
        <f>IFERROR(__xludf.DUMMYFUNCTION("""COMPUTED_VALUE"""),"Active")</f>
        <v>Active</v>
      </c>
      <c r="E322" s="17">
        <f>IFERROR(__xludf.DUMMYFUNCTION("""COMPUTED_VALUE"""),44725.0)</f>
        <v>44725</v>
      </c>
      <c r="F322" s="54"/>
      <c r="G322" s="19">
        <f>IFERROR(__xludf.DUMMYFUNCTION("""COMPUTED_VALUE"""),51.766666666666666)</f>
        <v>51.76666667</v>
      </c>
      <c r="H322" s="17">
        <f>IFERROR(__xludf.DUMMYFUNCTION("""COMPUTED_VALUE"""),43831.0)</f>
        <v>43831</v>
      </c>
      <c r="I322" s="19">
        <f>IFERROR(__xludf.DUMMYFUNCTION("""COMPUTED_VALUE"""),2.45)</f>
        <v>2.45</v>
      </c>
      <c r="J322" s="21">
        <f>IFERROR(__xludf.DUMMYFUNCTION("""COMPUTED_VALUE"""),75.0)</f>
        <v>75</v>
      </c>
      <c r="K322" s="23">
        <f>IFERROR(__xludf.DUMMYFUNCTION("""COMPUTED_VALUE"""),8.0)</f>
        <v>8</v>
      </c>
      <c r="L322" s="24">
        <f>IFERROR(__xludf.DUMMYFUNCTION("""COMPUTED_VALUE"""),9.0)</f>
        <v>9</v>
      </c>
      <c r="M322" s="25" t="str">
        <f>IFERROR(__xludf.DUMMYFUNCTION("""COMPUTED_VALUE"""),"Rhythm")</f>
        <v>Rhythm</v>
      </c>
      <c r="N322" s="25" t="str">
        <f>IFERROR(__xludf.DUMMYFUNCTION("""COMPUTED_VALUE"""),"PSP")</f>
        <v>PSP</v>
      </c>
      <c r="O322" s="26" t="str">
        <f>IFERROR(__xludf.DUMMYFUNCTION("""COMPUTED_VALUE"""),"Yes")</f>
        <v>Yes</v>
      </c>
      <c r="P322" s="26" t="str">
        <f>IFERROR(__xludf.DUMMYFUNCTION("""COMPUTED_VALUE"""),"Yes")</f>
        <v>Yes</v>
      </c>
    </row>
    <row r="323">
      <c r="A323" s="13" t="str">
        <f>IFERROR(__xludf.DUMMYFUNCTION("""COMPUTED_VALUE"""),"Serious Sam Collection")</f>
        <v>Serious Sam Collection</v>
      </c>
      <c r="B323" s="15" t="str">
        <f>IFERROR(__xludf.DUMMYFUNCTION("""COMPUTED_VALUE"""),"PS4")</f>
        <v>PS4</v>
      </c>
      <c r="C323" s="16" t="str">
        <f>IFERROR(__xludf.DUMMYFUNCTION("""COMPUTED_VALUE"""),"Premium (Remasters)")</f>
        <v>Premium (Remasters)</v>
      </c>
      <c r="D323" s="15" t="str">
        <f>IFERROR(__xludf.DUMMYFUNCTION("""COMPUTED_VALUE"""),"Active")</f>
        <v>Active</v>
      </c>
      <c r="E323" s="17">
        <f>IFERROR(__xludf.DUMMYFUNCTION("""COMPUTED_VALUE"""),44725.0)</f>
        <v>44725</v>
      </c>
      <c r="F323" s="54"/>
      <c r="G323" s="19">
        <f>IFERROR(__xludf.DUMMYFUNCTION("""COMPUTED_VALUE"""),51.766666666666666)</f>
        <v>51.76666667</v>
      </c>
      <c r="H323" s="17">
        <f>IFERROR(__xludf.DUMMYFUNCTION("""COMPUTED_VALUE"""),44152.0)</f>
        <v>44152</v>
      </c>
      <c r="I323" s="19">
        <f>IFERROR(__xludf.DUMMYFUNCTION("""COMPUTED_VALUE"""),1.5722222222222222)</f>
        <v>1.572222222</v>
      </c>
      <c r="J323" s="21">
        <f>IFERROR(__xludf.DUMMYFUNCTION("""COMPUTED_VALUE"""),75.0)</f>
        <v>75</v>
      </c>
      <c r="K323" s="23">
        <f>IFERROR(__xludf.DUMMYFUNCTION("""COMPUTED_VALUE"""),7.4)</f>
        <v>7.4</v>
      </c>
      <c r="L323" s="24">
        <f>IFERROR(__xludf.DUMMYFUNCTION("""COMPUTED_VALUE"""),14.0)</f>
        <v>14</v>
      </c>
      <c r="M323" s="25" t="str">
        <f>IFERROR(__xludf.DUMMYFUNCTION("""COMPUTED_VALUE"""),"Shooter")</f>
        <v>Shooter</v>
      </c>
      <c r="N323" s="25" t="str">
        <f>IFERROR(__xludf.DUMMYFUNCTION("""COMPUTED_VALUE"""),"Windows")</f>
        <v>Windows</v>
      </c>
      <c r="O323" s="26" t="str">
        <f>IFERROR(__xludf.DUMMYFUNCTION("""COMPUTED_VALUE"""),"Yes")</f>
        <v>Yes</v>
      </c>
      <c r="P323" s="26" t="str">
        <f>IFERROR(__xludf.DUMMYFUNCTION("""COMPUTED_VALUE"""),"Yes")</f>
        <v>Yes</v>
      </c>
    </row>
    <row r="324">
      <c r="A324" s="13" t="str">
        <f>IFERROR(__xludf.DUMMYFUNCTION("""COMPUTED_VALUE"""),"Surviving Mars")</f>
        <v>Surviving Mars</v>
      </c>
      <c r="B324" s="15" t="str">
        <f>IFERROR(__xludf.DUMMYFUNCTION("""COMPUTED_VALUE"""),"PS4")</f>
        <v>PS4</v>
      </c>
      <c r="C324" s="16" t="str">
        <f>IFERROR(__xludf.DUMMYFUNCTION("""COMPUTED_VALUE"""),"Extra")</f>
        <v>Extra</v>
      </c>
      <c r="D324" s="15" t="str">
        <f>IFERROR(__xludf.DUMMYFUNCTION("""COMPUTED_VALUE"""),"Active")</f>
        <v>Active</v>
      </c>
      <c r="E324" s="17">
        <f>IFERROR(__xludf.DUMMYFUNCTION("""COMPUTED_VALUE"""),44201.0)</f>
        <v>44201</v>
      </c>
      <c r="F324" s="54"/>
      <c r="G324" s="19">
        <f>IFERROR(__xludf.DUMMYFUNCTION("""COMPUTED_VALUE"""),69.03333333333333)</f>
        <v>69.03333333</v>
      </c>
      <c r="H324" s="17">
        <f>IFERROR(__xludf.DUMMYFUNCTION("""COMPUTED_VALUE"""),43174.0)</f>
        <v>43174</v>
      </c>
      <c r="I324" s="19">
        <f>IFERROR(__xludf.DUMMYFUNCTION("""COMPUTED_VALUE"""),2.8055555555555554)</f>
        <v>2.805555556</v>
      </c>
      <c r="J324" s="21">
        <f>IFERROR(__xludf.DUMMYFUNCTION("""COMPUTED_VALUE"""),75.0)</f>
        <v>75</v>
      </c>
      <c r="K324" s="23">
        <f>IFERROR(__xludf.DUMMYFUNCTION("""COMPUTED_VALUE"""),7.3)</f>
        <v>7.3</v>
      </c>
      <c r="L324" s="24">
        <f>IFERROR(__xludf.DUMMYFUNCTION("""COMPUTED_VALUE"""),22.0)</f>
        <v>22</v>
      </c>
      <c r="M324" s="25" t="str">
        <f>IFERROR(__xludf.DUMMYFUNCTION("""COMPUTED_VALUE"""),"Strategy")</f>
        <v>Strategy</v>
      </c>
      <c r="N324" s="25"/>
      <c r="O324" s="26" t="str">
        <f>IFERROR(__xludf.DUMMYFUNCTION("""COMPUTED_VALUE"""),"Yes")</f>
        <v>Yes</v>
      </c>
      <c r="P324" s="26"/>
    </row>
    <row r="325">
      <c r="A325" s="13" t="str">
        <f>IFERROR(__xludf.DUMMYFUNCTION("""COMPUTED_VALUE"""),"Tropico 5")</f>
        <v>Tropico 5</v>
      </c>
      <c r="B325" s="15" t="str">
        <f>IFERROR(__xludf.DUMMYFUNCTION("""COMPUTED_VALUE"""),"PS4")</f>
        <v>PS4</v>
      </c>
      <c r="C325" s="16" t="str">
        <f>IFERROR(__xludf.DUMMYFUNCTION("""COMPUTED_VALUE"""),"Extra")</f>
        <v>Extra</v>
      </c>
      <c r="D325" s="15" t="str">
        <f>IFERROR(__xludf.DUMMYFUNCTION("""COMPUTED_VALUE"""),"Active")</f>
        <v>Active</v>
      </c>
      <c r="E325" s="17">
        <f>IFERROR(__xludf.DUMMYFUNCTION("""COMPUTED_VALUE"""),42922.0)</f>
        <v>42922</v>
      </c>
      <c r="F325" s="54"/>
      <c r="G325" s="19">
        <f>IFERROR(__xludf.DUMMYFUNCTION("""COMPUTED_VALUE"""),111.0)</f>
        <v>111</v>
      </c>
      <c r="H325" s="17">
        <f>IFERROR(__xludf.DUMMYFUNCTION("""COMPUTED_VALUE"""),41782.0)</f>
        <v>41782</v>
      </c>
      <c r="I325" s="19">
        <f>IFERROR(__xludf.DUMMYFUNCTION("""COMPUTED_VALUE"""),3.1194444444444445)</f>
        <v>3.119444444</v>
      </c>
      <c r="J325" s="21">
        <f>IFERROR(__xludf.DUMMYFUNCTION("""COMPUTED_VALUE"""),75.0)</f>
        <v>75</v>
      </c>
      <c r="K325" s="23">
        <f>IFERROR(__xludf.DUMMYFUNCTION("""COMPUTED_VALUE"""),7.3)</f>
        <v>7.3</v>
      </c>
      <c r="L325" s="24">
        <f>IFERROR(__xludf.DUMMYFUNCTION("""COMPUTED_VALUE"""),20.0)</f>
        <v>20</v>
      </c>
      <c r="M325" s="25" t="str">
        <f>IFERROR(__xludf.DUMMYFUNCTION("""COMPUTED_VALUE"""),"Strategy")</f>
        <v>Strategy</v>
      </c>
      <c r="N325" s="25"/>
      <c r="O325" s="26" t="str">
        <f>IFERROR(__xludf.DUMMYFUNCTION("""COMPUTED_VALUE"""),"Yes")</f>
        <v>Yes</v>
      </c>
      <c r="P325" s="26"/>
    </row>
    <row r="326">
      <c r="A326" s="13" t="str">
        <f>IFERROR(__xludf.DUMMYFUNCTION("""COMPUTED_VALUE"""),"Death Squared")</f>
        <v>Death Squared</v>
      </c>
      <c r="B326" s="15" t="str">
        <f>IFERROR(__xludf.DUMMYFUNCTION("""COMPUTED_VALUE"""),"PS4")</f>
        <v>PS4</v>
      </c>
      <c r="C326" s="16" t="str">
        <f>IFERROR(__xludf.DUMMYFUNCTION("""COMPUTED_VALUE"""),"Extra")</f>
        <v>Extra</v>
      </c>
      <c r="D326" s="15" t="str">
        <f>IFERROR(__xludf.DUMMYFUNCTION("""COMPUTED_VALUE"""),"Leaving Soon")</f>
        <v>Leaving Soon</v>
      </c>
      <c r="E326" s="17">
        <f>IFERROR(__xludf.DUMMYFUNCTION("""COMPUTED_VALUE"""),44725.0)</f>
        <v>44725</v>
      </c>
      <c r="F326" s="54">
        <f>IFERROR(__xludf.DUMMYFUNCTION("""COMPUTED_VALUE"""),46314.0)</f>
        <v>46314</v>
      </c>
      <c r="G326" s="19">
        <f>IFERROR(__xludf.DUMMYFUNCTION("""COMPUTED_VALUE"""),52.199999999999996)</f>
        <v>52.2</v>
      </c>
      <c r="H326" s="17">
        <f>IFERROR(__xludf.DUMMYFUNCTION("""COMPUTED_VALUE"""),42808.0)</f>
        <v>42808</v>
      </c>
      <c r="I326" s="19">
        <f>IFERROR(__xludf.DUMMYFUNCTION("""COMPUTED_VALUE"""),5.247222222222222)</f>
        <v>5.247222222</v>
      </c>
      <c r="J326" s="21">
        <f>IFERROR(__xludf.DUMMYFUNCTION("""COMPUTED_VALUE"""),75.0)</f>
        <v>75</v>
      </c>
      <c r="K326" s="23">
        <f>IFERROR(__xludf.DUMMYFUNCTION("""COMPUTED_VALUE"""),7.6)</f>
        <v>7.6</v>
      </c>
      <c r="L326" s="24">
        <f>IFERROR(__xludf.DUMMYFUNCTION("""COMPUTED_VALUE"""),6.0)</f>
        <v>6</v>
      </c>
      <c r="M326" s="25" t="str">
        <f>IFERROR(__xludf.DUMMYFUNCTION("""COMPUTED_VALUE"""),"Puzzle")</f>
        <v>Puzzle</v>
      </c>
      <c r="N326" s="25"/>
      <c r="O326" s="26" t="str">
        <f>IFERROR(__xludf.DUMMYFUNCTION("""COMPUTED_VALUE"""),"Yes")</f>
        <v>Yes</v>
      </c>
      <c r="P326" s="26" t="str">
        <f>IFERROR(__xludf.DUMMYFUNCTION("""COMPUTED_VALUE"""),"Yes")</f>
        <v>Yes</v>
      </c>
    </row>
    <row r="327">
      <c r="A327" s="13" t="str">
        <f>IFERROR(__xludf.DUMMYFUNCTION("""COMPUTED_VALUE"""),"Dying Light")</f>
        <v>Dying Light</v>
      </c>
      <c r="B327" s="15" t="str">
        <f>IFERROR(__xludf.DUMMYFUNCTION("""COMPUTED_VALUE"""),"PS4")</f>
        <v>PS4</v>
      </c>
      <c r="C327" s="16" t="str">
        <f>IFERROR(__xludf.DUMMYFUNCTION("""COMPUTED_VALUE"""),"Extra")</f>
        <v>Extra</v>
      </c>
      <c r="D327" s="15" t="str">
        <f>IFERROR(__xludf.DUMMYFUNCTION("""COMPUTED_VALUE"""),"Active")</f>
        <v>Active</v>
      </c>
      <c r="E327" s="17">
        <f>IFERROR(__xludf.DUMMYFUNCTION("""COMPUTED_VALUE"""),46231.0)</f>
        <v>46231</v>
      </c>
      <c r="F327" s="54"/>
      <c r="G327" s="19">
        <f>IFERROR(__xludf.DUMMYFUNCTION("""COMPUTED_VALUE"""),2.2666666666666666)</f>
        <v>2.266666667</v>
      </c>
      <c r="H327" s="17">
        <f>IFERROR(__xludf.DUMMYFUNCTION("""COMPUTED_VALUE"""),42031.0)</f>
        <v>42031</v>
      </c>
      <c r="I327" s="19">
        <f>IFERROR(__xludf.DUMMYFUNCTION("""COMPUTED_VALUE"""),11.502777777777778)</f>
        <v>11.50277778</v>
      </c>
      <c r="J327" s="21">
        <f>IFERROR(__xludf.DUMMYFUNCTION("""COMPUTED_VALUE"""),74.0)</f>
        <v>74</v>
      </c>
      <c r="K327" s="23">
        <f>IFERROR(__xludf.DUMMYFUNCTION("""COMPUTED_VALUE"""),8.1)</f>
        <v>8.1</v>
      </c>
      <c r="L327" s="24">
        <f>IFERROR(__xludf.DUMMYFUNCTION("""COMPUTED_VALUE"""),17.5)</f>
        <v>17.5</v>
      </c>
      <c r="M327" s="25" t="str">
        <f>IFERROR(__xludf.DUMMYFUNCTION("""COMPUTED_VALUE"""),"Shooter")</f>
        <v>Shooter</v>
      </c>
      <c r="N327" s="25"/>
      <c r="O327" s="26"/>
      <c r="P327" s="26"/>
    </row>
    <row r="328">
      <c r="A328" s="13" t="str">
        <f>IFERROR(__xludf.DUMMYFUNCTION("""COMPUTED_VALUE"""),"The Crew: Motorfest")</f>
        <v>The Crew: Motorfest</v>
      </c>
      <c r="B328" s="15" t="str">
        <f>IFERROR(__xludf.DUMMYFUNCTION("""COMPUTED_VALUE"""),"PS5/PS4")</f>
        <v>PS5/PS4</v>
      </c>
      <c r="C328" s="16" t="str">
        <f>IFERROR(__xludf.DUMMYFUNCTION("""COMPUTED_VALUE"""),"Extra")</f>
        <v>Extra</v>
      </c>
      <c r="D328" s="15" t="str">
        <f>IFERROR(__xludf.DUMMYFUNCTION("""COMPUTED_VALUE"""),"Active")</f>
        <v>Active</v>
      </c>
      <c r="E328" s="17">
        <f>IFERROR(__xludf.DUMMYFUNCTION("""COMPUTED_VALUE"""),46133.0)</f>
        <v>46133</v>
      </c>
      <c r="F328" s="54"/>
      <c r="G328" s="19">
        <f>IFERROR(__xludf.DUMMYFUNCTION("""COMPUTED_VALUE"""),5.5)</f>
        <v>5.5</v>
      </c>
      <c r="H328" s="17">
        <f>IFERROR(__xludf.DUMMYFUNCTION("""COMPUTED_VALUE"""),45183.0)</f>
        <v>45183</v>
      </c>
      <c r="I328" s="19">
        <f>IFERROR(__xludf.DUMMYFUNCTION("""COMPUTED_VALUE"""),2.602777777777778)</f>
        <v>2.602777778</v>
      </c>
      <c r="J328" s="21">
        <f>IFERROR(__xludf.DUMMYFUNCTION("""COMPUTED_VALUE"""),74.0)</f>
        <v>74</v>
      </c>
      <c r="K328" s="23">
        <f>IFERROR(__xludf.DUMMYFUNCTION("""COMPUTED_VALUE"""),6.3)</f>
        <v>6.3</v>
      </c>
      <c r="L328" s="24">
        <f>IFERROR(__xludf.DUMMYFUNCTION("""COMPUTED_VALUE"""),20.0)</f>
        <v>20</v>
      </c>
      <c r="M328" s="25" t="str">
        <f>IFERROR(__xludf.DUMMYFUNCTION("""COMPUTED_VALUE"""),"Racing")</f>
        <v>Racing</v>
      </c>
      <c r="N328" s="25"/>
      <c r="O328" s="26"/>
      <c r="P328" s="26"/>
    </row>
    <row r="329">
      <c r="A329" s="13" t="str">
        <f>IFERROR(__xludf.DUMMYFUNCTION("""COMPUTED_VALUE"""),"You Suck at Parking")</f>
        <v>You Suck at Parking</v>
      </c>
      <c r="B329" s="15" t="str">
        <f>IFERROR(__xludf.DUMMYFUNCTION("""COMPUTED_VALUE"""),"PS5/PS4")</f>
        <v>PS5/PS4</v>
      </c>
      <c r="C329" s="16" t="str">
        <f>IFERROR(__xludf.DUMMYFUNCTION("""COMPUTED_VALUE"""),"Extra")</f>
        <v>Extra</v>
      </c>
      <c r="D329" s="15" t="str">
        <f>IFERROR(__xludf.DUMMYFUNCTION("""COMPUTED_VALUE"""),"Active")</f>
        <v>Active</v>
      </c>
      <c r="E329" s="17">
        <f>IFERROR(__xludf.DUMMYFUNCTION("""COMPUTED_VALUE"""),45734.0)</f>
        <v>45734</v>
      </c>
      <c r="F329" s="54"/>
      <c r="G329" s="19">
        <f>IFERROR(__xludf.DUMMYFUNCTION("""COMPUTED_VALUE"""),18.6)</f>
        <v>18.6</v>
      </c>
      <c r="H329" s="17">
        <f>IFERROR(__xludf.DUMMYFUNCTION("""COMPUTED_VALUE"""),44818.0)</f>
        <v>44818</v>
      </c>
      <c r="I329" s="19">
        <f>IFERROR(__xludf.DUMMYFUNCTION("""COMPUTED_VALUE"""),2.511111111111111)</f>
        <v>2.511111111</v>
      </c>
      <c r="J329" s="21">
        <f>IFERROR(__xludf.DUMMYFUNCTION("""COMPUTED_VALUE"""),74.0)</f>
        <v>74</v>
      </c>
      <c r="K329" s="23">
        <f>IFERROR(__xludf.DUMMYFUNCTION("""COMPUTED_VALUE"""),5.3)</f>
        <v>5.3</v>
      </c>
      <c r="L329" s="24">
        <f>IFERROR(__xludf.DUMMYFUNCTION("""COMPUTED_VALUE"""),8.0)</f>
        <v>8</v>
      </c>
      <c r="M329" s="25" t="str">
        <f>IFERROR(__xludf.DUMMYFUNCTION("""COMPUTED_VALUE"""),"Racing ")</f>
        <v>Racing </v>
      </c>
      <c r="N329" s="25"/>
      <c r="O329" s="26" t="str">
        <f>IFERROR(__xludf.DUMMYFUNCTION("""COMPUTED_VALUE"""),"No")</f>
        <v>No</v>
      </c>
      <c r="P329" s="26"/>
    </row>
    <row r="330">
      <c r="A330" s="13" t="str">
        <f>IFERROR(__xludf.DUMMYFUNCTION("""COMPUTED_VALUE"""),"Armored Core")</f>
        <v>Armored Core</v>
      </c>
      <c r="B330" s="15" t="str">
        <f>IFERROR(__xludf.DUMMYFUNCTION("""COMPUTED_VALUE"""),"PS5/PS4")</f>
        <v>PS5/PS4</v>
      </c>
      <c r="C330" s="16" t="str">
        <f>IFERROR(__xludf.DUMMYFUNCTION("""COMPUTED_VALUE"""),"Premium (Classics)")</f>
        <v>Premium (Classics)</v>
      </c>
      <c r="D330" s="15" t="str">
        <f>IFERROR(__xludf.DUMMYFUNCTION("""COMPUTED_VALUE"""),"Active")</f>
        <v>Active</v>
      </c>
      <c r="E330" s="17">
        <f>IFERROR(__xludf.DUMMYFUNCTION("""COMPUTED_VALUE"""),45734.0)</f>
        <v>45734</v>
      </c>
      <c r="F330" s="54"/>
      <c r="G330" s="19">
        <f>IFERROR(__xludf.DUMMYFUNCTION("""COMPUTED_VALUE"""),18.6)</f>
        <v>18.6</v>
      </c>
      <c r="H330" s="17">
        <f>IFERROR(__xludf.DUMMYFUNCTION("""COMPUTED_VALUE"""),35621.0)</f>
        <v>35621</v>
      </c>
      <c r="I330" s="19">
        <f>IFERROR(__xludf.DUMMYFUNCTION("""COMPUTED_VALUE"""),27.68888888888889)</f>
        <v>27.68888889</v>
      </c>
      <c r="J330" s="21">
        <f>IFERROR(__xludf.DUMMYFUNCTION("""COMPUTED_VALUE"""),74.0)</f>
        <v>74</v>
      </c>
      <c r="K330" s="23">
        <f>IFERROR(__xludf.DUMMYFUNCTION("""COMPUTED_VALUE"""),7.9)</f>
        <v>7.9</v>
      </c>
      <c r="L330" s="24">
        <f>IFERROR(__xludf.DUMMYFUNCTION("""COMPUTED_VALUE"""),8.0)</f>
        <v>8</v>
      </c>
      <c r="M330" s="25" t="str">
        <f>IFERROR(__xludf.DUMMYFUNCTION("""COMPUTED_VALUE"""),"RPG")</f>
        <v>RPG</v>
      </c>
      <c r="N330" s="25" t="str">
        <f>IFERROR(__xludf.DUMMYFUNCTION("""COMPUTED_VALUE"""),"PS1")</f>
        <v>PS1</v>
      </c>
      <c r="O330" s="26" t="str">
        <f>IFERROR(__xludf.DUMMYFUNCTION("""COMPUTED_VALUE"""),"Yes")</f>
        <v>Yes</v>
      </c>
      <c r="P330" s="26"/>
    </row>
    <row r="331">
      <c r="A331" s="13" t="str">
        <f>IFERROR(__xludf.DUMMYFUNCTION("""COMPUTED_VALUE"""),"Patapon 3")</f>
        <v>Patapon 3</v>
      </c>
      <c r="B331" s="15" t="str">
        <f>IFERROR(__xludf.DUMMYFUNCTION("""COMPUTED_VALUE"""),"PS5/PS4")</f>
        <v>PS5/PS4</v>
      </c>
      <c r="C331" s="16" t="str">
        <f>IFERROR(__xludf.DUMMYFUNCTION("""COMPUTED_VALUE"""),"Premium (Classics)")</f>
        <v>Premium (Classics)</v>
      </c>
      <c r="D331" s="15" t="str">
        <f>IFERROR(__xludf.DUMMYFUNCTION("""COMPUTED_VALUE"""),"Active")</f>
        <v>Active</v>
      </c>
      <c r="E331" s="17">
        <f>IFERROR(__xludf.DUMMYFUNCTION("""COMPUTED_VALUE"""),45705.0)</f>
        <v>45705</v>
      </c>
      <c r="F331" s="54"/>
      <c r="G331" s="19">
        <f>IFERROR(__xludf.DUMMYFUNCTION("""COMPUTED_VALUE"""),19.633333333333333)</f>
        <v>19.63333333</v>
      </c>
      <c r="H331" s="17">
        <f>IFERROR(__xludf.DUMMYFUNCTION("""COMPUTED_VALUE"""),40645.0)</f>
        <v>40645</v>
      </c>
      <c r="I331" s="19">
        <f>IFERROR(__xludf.DUMMYFUNCTION("""COMPUTED_VALUE"""),13.847222222222221)</f>
        <v>13.84722222</v>
      </c>
      <c r="J331" s="21">
        <f>IFERROR(__xludf.DUMMYFUNCTION("""COMPUTED_VALUE"""),74.0)</f>
        <v>74</v>
      </c>
      <c r="K331" s="23">
        <f>IFERROR(__xludf.DUMMYFUNCTION("""COMPUTED_VALUE"""),7.3)</f>
        <v>7.3</v>
      </c>
      <c r="L331" s="24">
        <f>IFERROR(__xludf.DUMMYFUNCTION("""COMPUTED_VALUE"""),26.0)</f>
        <v>26</v>
      </c>
      <c r="M331" s="25" t="str">
        <f>IFERROR(__xludf.DUMMYFUNCTION("""COMPUTED_VALUE"""),"Action-Adventure")</f>
        <v>Action-Adventure</v>
      </c>
      <c r="N331" s="25" t="str">
        <f>IFERROR(__xludf.DUMMYFUNCTION("""COMPUTED_VALUE"""),"PSP")</f>
        <v>PSP</v>
      </c>
      <c r="O331" s="26" t="str">
        <f>IFERROR(__xludf.DUMMYFUNCTION("""COMPUTED_VALUE"""),"Yes")</f>
        <v>Yes</v>
      </c>
      <c r="P331" s="26"/>
    </row>
    <row r="332">
      <c r="A332" s="13" t="str">
        <f>IFERROR(__xludf.DUMMYFUNCTION("""COMPUTED_VALUE"""),"MediEvil II")</f>
        <v>MediEvil II</v>
      </c>
      <c r="B332" s="15" t="str">
        <f>IFERROR(__xludf.DUMMYFUNCTION("""COMPUTED_VALUE"""),"PS5/PS4")</f>
        <v>PS5/PS4</v>
      </c>
      <c r="C332" s="16" t="str">
        <f>IFERROR(__xludf.DUMMYFUNCTION("""COMPUTED_VALUE"""),"Premium (Classics)")</f>
        <v>Premium (Classics)</v>
      </c>
      <c r="D332" s="15" t="str">
        <f>IFERROR(__xludf.DUMMYFUNCTION("""COMPUTED_VALUE"""),"Active")</f>
        <v>Active</v>
      </c>
      <c r="E332" s="17">
        <f>IFERROR(__xludf.DUMMYFUNCTION("""COMPUTED_VALUE"""),45678.0)</f>
        <v>45678</v>
      </c>
      <c r="F332" s="54"/>
      <c r="G332" s="19">
        <f>IFERROR(__xludf.DUMMYFUNCTION("""COMPUTED_VALUE"""),20.5)</f>
        <v>20.5</v>
      </c>
      <c r="H332" s="17">
        <f>IFERROR(__xludf.DUMMYFUNCTION("""COMPUTED_VALUE"""),36646.0)</f>
        <v>36646</v>
      </c>
      <c r="I332" s="19">
        <f>IFERROR(__xludf.DUMMYFUNCTION("""COMPUTED_VALUE"""),24.725)</f>
        <v>24.725</v>
      </c>
      <c r="J332" s="21">
        <f>IFERROR(__xludf.DUMMYFUNCTION("""COMPUTED_VALUE"""),74.0)</f>
        <v>74</v>
      </c>
      <c r="K332" s="23">
        <f>IFERROR(__xludf.DUMMYFUNCTION("""COMPUTED_VALUE"""),8.2)</f>
        <v>8.2</v>
      </c>
      <c r="L332" s="24">
        <f>IFERROR(__xludf.DUMMYFUNCTION("""COMPUTED_VALUE"""),7.0)</f>
        <v>7</v>
      </c>
      <c r="M332" s="25" t="str">
        <f>IFERROR(__xludf.DUMMYFUNCTION("""COMPUTED_VALUE"""),"Action-Adventure")</f>
        <v>Action-Adventure</v>
      </c>
      <c r="N332" s="25" t="str">
        <f>IFERROR(__xludf.DUMMYFUNCTION("""COMPUTED_VALUE"""),"PS1")</f>
        <v>PS1</v>
      </c>
      <c r="O332" s="26" t="str">
        <f>IFERROR(__xludf.DUMMYFUNCTION("""COMPUTED_VALUE"""),"Yes")</f>
        <v>Yes</v>
      </c>
      <c r="P332" s="26"/>
    </row>
    <row r="333">
      <c r="A333" s="13" t="str">
        <f>IFERROR(__xludf.DUMMYFUNCTION("""COMPUTED_VALUE"""),"WRC Generations")</f>
        <v>WRC Generations</v>
      </c>
      <c r="B333" s="15" t="str">
        <f>IFERROR(__xludf.DUMMYFUNCTION("""COMPUTED_VALUE"""),"PS5/PS4")</f>
        <v>PS5/PS4</v>
      </c>
      <c r="C333" s="16" t="str">
        <f>IFERROR(__xludf.DUMMYFUNCTION("""COMPUTED_VALUE"""),"Extra")</f>
        <v>Extra</v>
      </c>
      <c r="D333" s="15" t="str">
        <f>IFERROR(__xludf.DUMMYFUNCTION("""COMPUTED_VALUE"""),"Active")</f>
        <v>Active</v>
      </c>
      <c r="E333" s="17">
        <f>IFERROR(__xludf.DUMMYFUNCTION("""COMPUTED_VALUE"""),45643.0)</f>
        <v>45643</v>
      </c>
      <c r="F333" s="54"/>
      <c r="G333" s="19">
        <f>IFERROR(__xludf.DUMMYFUNCTION("""COMPUTED_VALUE"""),21.633333333333333)</f>
        <v>21.63333333</v>
      </c>
      <c r="H333" s="17">
        <f>IFERROR(__xludf.DUMMYFUNCTION("""COMPUTED_VALUE"""),44868.0)</f>
        <v>44868</v>
      </c>
      <c r="I333" s="19">
        <f>IFERROR(__xludf.DUMMYFUNCTION("""COMPUTED_VALUE"""),2.1222222222222222)</f>
        <v>2.122222222</v>
      </c>
      <c r="J333" s="21">
        <f>IFERROR(__xludf.DUMMYFUNCTION("""COMPUTED_VALUE"""),74.0)</f>
        <v>74</v>
      </c>
      <c r="K333" s="23">
        <f>IFERROR(__xludf.DUMMYFUNCTION("""COMPUTED_VALUE"""),7.2)</f>
        <v>7.2</v>
      </c>
      <c r="L333" s="24">
        <f>IFERROR(__xludf.DUMMYFUNCTION("""COMPUTED_VALUE"""),15.0)</f>
        <v>15</v>
      </c>
      <c r="M333" s="25" t="str">
        <f>IFERROR(__xludf.DUMMYFUNCTION("""COMPUTED_VALUE"""),"Racing")</f>
        <v>Racing</v>
      </c>
      <c r="N333" s="25"/>
      <c r="O333" s="26" t="str">
        <f>IFERROR(__xludf.DUMMYFUNCTION("""COMPUTED_VALUE"""),"No")</f>
        <v>No</v>
      </c>
      <c r="P333" s="26"/>
    </row>
    <row r="334">
      <c r="A334" s="13" t="str">
        <f>IFERROR(__xludf.DUMMYFUNCTION("""COMPUTED_VALUE"""),"Dino Crisis")</f>
        <v>Dino Crisis</v>
      </c>
      <c r="B334" s="15" t="str">
        <f>IFERROR(__xludf.DUMMYFUNCTION("""COMPUTED_VALUE"""),"PS5/PS4")</f>
        <v>PS5/PS4</v>
      </c>
      <c r="C334" s="16" t="str">
        <f>IFERROR(__xludf.DUMMYFUNCTION("""COMPUTED_VALUE"""),"Premium (Classics)")</f>
        <v>Premium (Classics)</v>
      </c>
      <c r="D334" s="15" t="str">
        <f>IFERROR(__xludf.DUMMYFUNCTION("""COMPUTED_VALUE"""),"Active")</f>
        <v>Active</v>
      </c>
      <c r="E334" s="17">
        <f>IFERROR(__xludf.DUMMYFUNCTION("""COMPUTED_VALUE"""),45580.0)</f>
        <v>45580</v>
      </c>
      <c r="F334" s="54"/>
      <c r="G334" s="19">
        <f>IFERROR(__xludf.DUMMYFUNCTION("""COMPUTED_VALUE"""),23.700000000000003)</f>
        <v>23.7</v>
      </c>
      <c r="H334" s="17">
        <f>IFERROR(__xludf.DUMMYFUNCTION("""COMPUTED_VALUE"""),36844.0)</f>
        <v>36844</v>
      </c>
      <c r="I334" s="19">
        <f>IFERROR(__xludf.DUMMYFUNCTION("""COMPUTED_VALUE"""),23.919444444444444)</f>
        <v>23.91944444</v>
      </c>
      <c r="J334" s="21">
        <f>IFERROR(__xludf.DUMMYFUNCTION("""COMPUTED_VALUE"""),74.0)</f>
        <v>74</v>
      </c>
      <c r="K334" s="23">
        <f>IFERROR(__xludf.DUMMYFUNCTION("""COMPUTED_VALUE"""),8.8)</f>
        <v>8.8</v>
      </c>
      <c r="L334" s="24">
        <f>IFERROR(__xludf.DUMMYFUNCTION("""COMPUTED_VALUE"""),7.0)</f>
        <v>7</v>
      </c>
      <c r="M334" s="25" t="str">
        <f>IFERROR(__xludf.DUMMYFUNCTION("""COMPUTED_VALUE"""),"Survival")</f>
        <v>Survival</v>
      </c>
      <c r="N334" s="25" t="str">
        <f>IFERROR(__xludf.DUMMYFUNCTION("""COMPUTED_VALUE"""),"PS1")</f>
        <v>PS1</v>
      </c>
      <c r="O334" s="26" t="str">
        <f>IFERROR(__xludf.DUMMYFUNCTION("""COMPUTED_VALUE"""),"Yes")</f>
        <v>Yes</v>
      </c>
      <c r="P334" s="26"/>
    </row>
    <row r="335">
      <c r="A335" s="13" t="str">
        <f>IFERROR(__xludf.DUMMYFUNCTION("""COMPUTED_VALUE"""),"Summoner")</f>
        <v>Summoner</v>
      </c>
      <c r="B335" s="15" t="str">
        <f>IFERROR(__xludf.DUMMYFUNCTION("""COMPUTED_VALUE"""),"PS5/PS4")</f>
        <v>PS5/PS4</v>
      </c>
      <c r="C335" s="16" t="str">
        <f>IFERROR(__xludf.DUMMYFUNCTION("""COMPUTED_VALUE"""),"Premium (Classics)")</f>
        <v>Premium (Classics)</v>
      </c>
      <c r="D335" s="15" t="str">
        <f>IFERROR(__xludf.DUMMYFUNCTION("""COMPUTED_VALUE"""),"Active")</f>
        <v>Active</v>
      </c>
      <c r="E335" s="17">
        <f>IFERROR(__xludf.DUMMYFUNCTION("""COMPUTED_VALUE"""),45489.0)</f>
        <v>45489</v>
      </c>
      <c r="F335" s="54"/>
      <c r="G335" s="19">
        <f>IFERROR(__xludf.DUMMYFUNCTION("""COMPUTED_VALUE"""),26.666666666666668)</f>
        <v>26.66666667</v>
      </c>
      <c r="H335" s="17">
        <f>IFERROR(__xludf.DUMMYFUNCTION("""COMPUTED_VALUE"""),36823.0)</f>
        <v>36823</v>
      </c>
      <c r="I335" s="19">
        <f>IFERROR(__xludf.DUMMYFUNCTION("""COMPUTED_VALUE"""),23.727777777777778)</f>
        <v>23.72777778</v>
      </c>
      <c r="J335" s="21">
        <f>IFERROR(__xludf.DUMMYFUNCTION("""COMPUTED_VALUE"""),74.0)</f>
        <v>74</v>
      </c>
      <c r="K335" s="23">
        <f>IFERROR(__xludf.DUMMYFUNCTION("""COMPUTED_VALUE"""),7.6)</f>
        <v>7.6</v>
      </c>
      <c r="L335" s="24">
        <f>IFERROR(__xludf.DUMMYFUNCTION("""COMPUTED_VALUE"""),27.0)</f>
        <v>27</v>
      </c>
      <c r="M335" s="25" t="str">
        <f>IFERROR(__xludf.DUMMYFUNCTION("""COMPUTED_VALUE"""),"RPG")</f>
        <v>RPG</v>
      </c>
      <c r="N335" s="25" t="str">
        <f>IFERROR(__xludf.DUMMYFUNCTION("""COMPUTED_VALUE"""),"PS2")</f>
        <v>PS2</v>
      </c>
      <c r="O335" s="26" t="str">
        <f>IFERROR(__xludf.DUMMYFUNCTION("""COMPUTED_VALUE"""),"Yes")</f>
        <v>Yes</v>
      </c>
      <c r="P335" s="26"/>
    </row>
    <row r="336">
      <c r="A336" s="13" t="str">
        <f>IFERROR(__xludf.DUMMYFUNCTION("""COMPUTED_VALUE"""),"Cat Quest")</f>
        <v>Cat Quest</v>
      </c>
      <c r="B336" s="15" t="str">
        <f>IFERROR(__xludf.DUMMYFUNCTION("""COMPUTED_VALUE"""),"PS4")</f>
        <v>PS4</v>
      </c>
      <c r="C336" s="16" t="str">
        <f>IFERROR(__xludf.DUMMYFUNCTION("""COMPUTED_VALUE"""),"Extra")</f>
        <v>Extra</v>
      </c>
      <c r="D336" s="15" t="str">
        <f>IFERROR(__xludf.DUMMYFUNCTION("""COMPUTED_VALUE"""),"Active")</f>
        <v>Active</v>
      </c>
      <c r="E336" s="17">
        <f>IFERROR(__xludf.DUMMYFUNCTION("""COMPUTED_VALUE"""),45433.0)</f>
        <v>45433</v>
      </c>
      <c r="F336" s="54"/>
      <c r="G336" s="19">
        <f>IFERROR(__xludf.DUMMYFUNCTION("""COMPUTED_VALUE"""),28.5)</f>
        <v>28.5</v>
      </c>
      <c r="H336" s="17">
        <f>IFERROR(__xludf.DUMMYFUNCTION("""COMPUTED_VALUE"""),43049.0)</f>
        <v>43049</v>
      </c>
      <c r="I336" s="19">
        <f>IFERROR(__xludf.DUMMYFUNCTION("""COMPUTED_VALUE"""),6.530555555555556)</f>
        <v>6.530555556</v>
      </c>
      <c r="J336" s="21">
        <f>IFERROR(__xludf.DUMMYFUNCTION("""COMPUTED_VALUE"""),74.0)</f>
        <v>74</v>
      </c>
      <c r="K336" s="23">
        <f>IFERROR(__xludf.DUMMYFUNCTION("""COMPUTED_VALUE"""),7.6)</f>
        <v>7.6</v>
      </c>
      <c r="L336" s="24">
        <f>IFERROR(__xludf.DUMMYFUNCTION("""COMPUTED_VALUE"""),6.0)</f>
        <v>6</v>
      </c>
      <c r="M336" s="25" t="str">
        <f>IFERROR(__xludf.DUMMYFUNCTION("""COMPUTED_VALUE"""),"RPG")</f>
        <v>RPG</v>
      </c>
      <c r="N336" s="25"/>
      <c r="O336" s="26" t="str">
        <f>IFERROR(__xludf.DUMMYFUNCTION("""COMPUTED_VALUE"""),"Yes")</f>
        <v>Yes</v>
      </c>
      <c r="P336" s="26"/>
    </row>
    <row r="337">
      <c r="A337" s="13" t="str">
        <f>IFERROR(__xludf.DUMMYFUNCTION("""COMPUTED_VALUE"""),"Rune Factory 4: Special")</f>
        <v>Rune Factory 4: Special</v>
      </c>
      <c r="B337" s="15" t="str">
        <f>IFERROR(__xludf.DUMMYFUNCTION("""COMPUTED_VALUE"""),"PS4")</f>
        <v>PS4</v>
      </c>
      <c r="C337" s="16" t="str">
        <f>IFERROR(__xludf.DUMMYFUNCTION("""COMPUTED_VALUE"""),"Extra")</f>
        <v>Extra</v>
      </c>
      <c r="D337" s="15" t="str">
        <f>IFERROR(__xludf.DUMMYFUNCTION("""COMPUTED_VALUE"""),"Active")</f>
        <v>Active</v>
      </c>
      <c r="E337" s="17">
        <f>IFERROR(__xludf.DUMMYFUNCTION("""COMPUTED_VALUE"""),45062.0)</f>
        <v>45062</v>
      </c>
      <c r="F337" s="54"/>
      <c r="G337" s="19">
        <f>IFERROR(__xludf.DUMMYFUNCTION("""COMPUTED_VALUE"""),40.666666666666664)</f>
        <v>40.66666667</v>
      </c>
      <c r="H337" s="17">
        <f>IFERROR(__xludf.DUMMYFUNCTION("""COMPUTED_VALUE"""),44537.0)</f>
        <v>44537</v>
      </c>
      <c r="I337" s="19">
        <f>IFERROR(__xludf.DUMMYFUNCTION("""COMPUTED_VALUE"""),1.4416666666666667)</f>
        <v>1.441666667</v>
      </c>
      <c r="J337" s="21">
        <f>IFERROR(__xludf.DUMMYFUNCTION("""COMPUTED_VALUE"""),74.0)</f>
        <v>74</v>
      </c>
      <c r="K337" s="23">
        <f>IFERROR(__xludf.DUMMYFUNCTION("""COMPUTED_VALUE"""),8.3)</f>
        <v>8.3</v>
      </c>
      <c r="L337" s="24">
        <f>IFERROR(__xludf.DUMMYFUNCTION("""COMPUTED_VALUE"""),39.0)</f>
        <v>39</v>
      </c>
      <c r="M337" s="25" t="str">
        <f>IFERROR(__xludf.DUMMYFUNCTION("""COMPUTED_VALUE"""),"RPG")</f>
        <v>RPG</v>
      </c>
      <c r="N337" s="25"/>
      <c r="O337" s="26" t="str">
        <f>IFERROR(__xludf.DUMMYFUNCTION("""COMPUTED_VALUE"""),"Yes")</f>
        <v>Yes</v>
      </c>
      <c r="P337" s="26"/>
    </row>
    <row r="338">
      <c r="A338" s="13" t="str">
        <f>IFERROR(__xludf.DUMMYFUNCTION("""COMPUTED_VALUE"""),"The Legend of Dragoon")</f>
        <v>The Legend of Dragoon</v>
      </c>
      <c r="B338" s="15" t="str">
        <f>IFERROR(__xludf.DUMMYFUNCTION("""COMPUTED_VALUE"""),"PS5/PS4")</f>
        <v>PS5/PS4</v>
      </c>
      <c r="C338" s="16" t="str">
        <f>IFERROR(__xludf.DUMMYFUNCTION("""COMPUTED_VALUE"""),"Premium (Classics)")</f>
        <v>Premium (Classics)</v>
      </c>
      <c r="D338" s="15" t="str">
        <f>IFERROR(__xludf.DUMMYFUNCTION("""COMPUTED_VALUE"""),"Active")</f>
        <v>Active</v>
      </c>
      <c r="E338" s="17">
        <f>IFERROR(__xludf.DUMMYFUNCTION("""COMPUTED_VALUE"""),44978.0)</f>
        <v>44978</v>
      </c>
      <c r="F338" s="18"/>
      <c r="G338" s="19">
        <f>IFERROR(__xludf.DUMMYFUNCTION("""COMPUTED_VALUE"""),43.5)</f>
        <v>43.5</v>
      </c>
      <c r="H338" s="17">
        <f>IFERROR(__xludf.DUMMYFUNCTION("""COMPUTED_VALUE"""),36688.0)</f>
        <v>36688</v>
      </c>
      <c r="I338" s="19">
        <f>IFERROR(__xludf.DUMMYFUNCTION("""COMPUTED_VALUE"""),22.694444444444443)</f>
        <v>22.69444444</v>
      </c>
      <c r="J338" s="21">
        <f>IFERROR(__xludf.DUMMYFUNCTION("""COMPUTED_VALUE"""),74.0)</f>
        <v>74</v>
      </c>
      <c r="K338" s="23">
        <f>IFERROR(__xludf.DUMMYFUNCTION("""COMPUTED_VALUE"""),8.8)</f>
        <v>8.8</v>
      </c>
      <c r="L338" s="24">
        <f>IFERROR(__xludf.DUMMYFUNCTION("""COMPUTED_VALUE"""),49.0)</f>
        <v>49</v>
      </c>
      <c r="M338" s="25" t="str">
        <f>IFERROR(__xludf.DUMMYFUNCTION("""COMPUTED_VALUE"""),"RPG")</f>
        <v>RPG</v>
      </c>
      <c r="N338" s="25" t="str">
        <f>IFERROR(__xludf.DUMMYFUNCTION("""COMPUTED_VALUE"""),"PS1")</f>
        <v>PS1</v>
      </c>
      <c r="O338" s="26" t="str">
        <f>IFERROR(__xludf.DUMMYFUNCTION("""COMPUTED_VALUE"""),"Yes")</f>
        <v>Yes</v>
      </c>
      <c r="P338" s="26"/>
    </row>
    <row r="339">
      <c r="A339" s="13" t="str">
        <f>IFERROR(__xludf.DUMMYFUNCTION("""COMPUTED_VALUE"""),"Hotline Miami 2: Wrong Number")</f>
        <v>Hotline Miami 2: Wrong Number</v>
      </c>
      <c r="B339" s="15" t="str">
        <f>IFERROR(__xludf.DUMMYFUNCTION("""COMPUTED_VALUE"""),"PS5/PS4")</f>
        <v>PS5/PS4</v>
      </c>
      <c r="C339" s="16" t="str">
        <f>IFERROR(__xludf.DUMMYFUNCTION("""COMPUTED_VALUE"""),"Extra")</f>
        <v>Extra</v>
      </c>
      <c r="D339" s="15" t="str">
        <f>IFERROR(__xludf.DUMMYFUNCTION("""COMPUTED_VALUE"""),"Active")</f>
        <v>Active</v>
      </c>
      <c r="E339" s="17">
        <f>IFERROR(__xludf.DUMMYFUNCTION("""COMPUTED_VALUE"""),44725.0)</f>
        <v>44725</v>
      </c>
      <c r="F339" s="54"/>
      <c r="G339" s="19">
        <f>IFERROR(__xludf.DUMMYFUNCTION("""COMPUTED_VALUE"""),51.766666666666666)</f>
        <v>51.76666667</v>
      </c>
      <c r="H339" s="17">
        <f>IFERROR(__xludf.DUMMYFUNCTION("""COMPUTED_VALUE"""),42073.0)</f>
        <v>42073</v>
      </c>
      <c r="I339" s="19">
        <f>IFERROR(__xludf.DUMMYFUNCTION("""COMPUTED_VALUE"""),7.258333333333334)</f>
        <v>7.258333333</v>
      </c>
      <c r="J339" s="21">
        <f>IFERROR(__xludf.DUMMYFUNCTION("""COMPUTED_VALUE"""),74.0)</f>
        <v>74</v>
      </c>
      <c r="K339" s="23">
        <f>IFERROR(__xludf.DUMMYFUNCTION("""COMPUTED_VALUE"""),7.7)</f>
        <v>7.7</v>
      </c>
      <c r="L339" s="24">
        <f>IFERROR(__xludf.DUMMYFUNCTION("""COMPUTED_VALUE"""),8.5)</f>
        <v>8.5</v>
      </c>
      <c r="M339" s="25" t="str">
        <f>IFERROR(__xludf.DUMMYFUNCTION("""COMPUTED_VALUE"""),"Action-Adventure")</f>
        <v>Action-Adventure</v>
      </c>
      <c r="N339" s="25"/>
      <c r="O339" s="26" t="str">
        <f>IFERROR(__xludf.DUMMYFUNCTION("""COMPUTED_VALUE"""),"No")</f>
        <v>No</v>
      </c>
      <c r="P339" s="26"/>
    </row>
    <row r="340">
      <c r="A340" s="13" t="str">
        <f>IFERROR(__xludf.DUMMYFUNCTION("""COMPUTED_VALUE"""),"Moonlighter")</f>
        <v>Moonlighter</v>
      </c>
      <c r="B340" s="15" t="str">
        <f>IFERROR(__xludf.DUMMYFUNCTION("""COMPUTED_VALUE"""),"PS4")</f>
        <v>PS4</v>
      </c>
      <c r="C340" s="16" t="str">
        <f>IFERROR(__xludf.DUMMYFUNCTION("""COMPUTED_VALUE"""),"Extra")</f>
        <v>Extra</v>
      </c>
      <c r="D340" s="15" t="str">
        <f>IFERROR(__xludf.DUMMYFUNCTION("""COMPUTED_VALUE"""),"Active")</f>
        <v>Active</v>
      </c>
      <c r="E340" s="17">
        <f>IFERROR(__xludf.DUMMYFUNCTION("""COMPUTED_VALUE"""),44725.0)</f>
        <v>44725</v>
      </c>
      <c r="F340" s="54"/>
      <c r="G340" s="19">
        <f>IFERROR(__xludf.DUMMYFUNCTION("""COMPUTED_VALUE"""),51.766666666666666)</f>
        <v>51.76666667</v>
      </c>
      <c r="H340" s="17">
        <f>IFERROR(__xludf.DUMMYFUNCTION("""COMPUTED_VALUE"""),43249.0)</f>
        <v>43249</v>
      </c>
      <c r="I340" s="19">
        <f>IFERROR(__xludf.DUMMYFUNCTION("""COMPUTED_VALUE"""),4.038888888888889)</f>
        <v>4.038888889</v>
      </c>
      <c r="J340" s="21">
        <f>IFERROR(__xludf.DUMMYFUNCTION("""COMPUTED_VALUE"""),74.0)</f>
        <v>74</v>
      </c>
      <c r="K340" s="23">
        <f>IFERROR(__xludf.DUMMYFUNCTION("""COMPUTED_VALUE"""),7.4)</f>
        <v>7.4</v>
      </c>
      <c r="L340" s="24">
        <f>IFERROR(__xludf.DUMMYFUNCTION("""COMPUTED_VALUE"""),19.0)</f>
        <v>19</v>
      </c>
      <c r="M340" s="25" t="str">
        <f>IFERROR(__xludf.DUMMYFUNCTION("""COMPUTED_VALUE"""),"RPG")</f>
        <v>RPG</v>
      </c>
      <c r="N340" s="25"/>
      <c r="O340" s="26" t="str">
        <f>IFERROR(__xludf.DUMMYFUNCTION("""COMPUTED_VALUE"""),"Yes")</f>
        <v>Yes</v>
      </c>
      <c r="P340" s="26"/>
    </row>
    <row r="341">
      <c r="A341" s="13" t="str">
        <f>IFERROR(__xludf.DUMMYFUNCTION("""COMPUTED_VALUE"""),"Matterfall")</f>
        <v>Matterfall</v>
      </c>
      <c r="B341" s="15" t="str">
        <f>IFERROR(__xludf.DUMMYFUNCTION("""COMPUTED_VALUE"""),"PS4")</f>
        <v>PS4</v>
      </c>
      <c r="C341" s="16" t="str">
        <f>IFERROR(__xludf.DUMMYFUNCTION("""COMPUTED_VALUE"""),"Extra")</f>
        <v>Extra</v>
      </c>
      <c r="D341" s="15" t="str">
        <f>IFERROR(__xludf.DUMMYFUNCTION("""COMPUTED_VALUE"""),"Active")</f>
        <v>Active</v>
      </c>
      <c r="E341" s="17">
        <f>IFERROR(__xludf.DUMMYFUNCTION("""COMPUTED_VALUE"""),44725.0)</f>
        <v>44725</v>
      </c>
      <c r="F341" s="54"/>
      <c r="G341" s="19">
        <f>IFERROR(__xludf.DUMMYFUNCTION("""COMPUTED_VALUE"""),51.766666666666666)</f>
        <v>51.76666667</v>
      </c>
      <c r="H341" s="17">
        <f>IFERROR(__xludf.DUMMYFUNCTION("""COMPUTED_VALUE"""),42962.0)</f>
        <v>42962</v>
      </c>
      <c r="I341" s="19">
        <f>IFERROR(__xludf.DUMMYFUNCTION("""COMPUTED_VALUE"""),4.8277777777777775)</f>
        <v>4.827777778</v>
      </c>
      <c r="J341" s="21">
        <f>IFERROR(__xludf.DUMMYFUNCTION("""COMPUTED_VALUE"""),74.0)</f>
        <v>74</v>
      </c>
      <c r="K341" s="23">
        <f>IFERROR(__xludf.DUMMYFUNCTION("""COMPUTED_VALUE"""),6.7)</f>
        <v>6.7</v>
      </c>
      <c r="L341" s="24">
        <f>IFERROR(__xludf.DUMMYFUNCTION("""COMPUTED_VALUE"""),4.0)</f>
        <v>4</v>
      </c>
      <c r="M341" s="25" t="str">
        <f>IFERROR(__xludf.DUMMYFUNCTION("""COMPUTED_VALUE"""),"Platformer")</f>
        <v>Platformer</v>
      </c>
      <c r="N341" s="25"/>
      <c r="O341" s="26" t="str">
        <f>IFERROR(__xludf.DUMMYFUNCTION("""COMPUTED_VALUE"""),"No")</f>
        <v>No</v>
      </c>
      <c r="P341" s="26"/>
    </row>
    <row r="342">
      <c r="A342" s="13" t="str">
        <f>IFERROR(__xludf.DUMMYFUNCTION("""COMPUTED_VALUE"""),"Starlink: Battle For Atlas")</f>
        <v>Starlink: Battle For Atlas</v>
      </c>
      <c r="B342" s="15" t="str">
        <f>IFERROR(__xludf.DUMMYFUNCTION("""COMPUTED_VALUE"""),"PS4")</f>
        <v>PS4</v>
      </c>
      <c r="C342" s="16" t="str">
        <f>IFERROR(__xludf.DUMMYFUNCTION("""COMPUTED_VALUE"""),"Extra (Ubisoft+ Classics)")</f>
        <v>Extra (Ubisoft+ Classics)</v>
      </c>
      <c r="D342" s="15" t="str">
        <f>IFERROR(__xludf.DUMMYFUNCTION("""COMPUTED_VALUE"""),"Active")</f>
        <v>Active</v>
      </c>
      <c r="E342" s="17">
        <f>IFERROR(__xludf.DUMMYFUNCTION("""COMPUTED_VALUE"""),44725.0)</f>
        <v>44725</v>
      </c>
      <c r="F342" s="54"/>
      <c r="G342" s="19">
        <f>IFERROR(__xludf.DUMMYFUNCTION("""COMPUTED_VALUE"""),51.766666666666666)</f>
        <v>51.76666667</v>
      </c>
      <c r="H342" s="17">
        <f>IFERROR(__xludf.DUMMYFUNCTION("""COMPUTED_VALUE"""),43389.0)</f>
        <v>43389</v>
      </c>
      <c r="I342" s="19">
        <f>IFERROR(__xludf.DUMMYFUNCTION("""COMPUTED_VALUE"""),3.658333333333333)</f>
        <v>3.658333333</v>
      </c>
      <c r="J342" s="21">
        <f>IFERROR(__xludf.DUMMYFUNCTION("""COMPUTED_VALUE"""),74.0)</f>
        <v>74</v>
      </c>
      <c r="K342" s="23">
        <f>IFERROR(__xludf.DUMMYFUNCTION("""COMPUTED_VALUE"""),6.9)</f>
        <v>6.9</v>
      </c>
      <c r="L342" s="24">
        <f>IFERROR(__xludf.DUMMYFUNCTION("""COMPUTED_VALUE"""),13.0)</f>
        <v>13</v>
      </c>
      <c r="M342" s="25" t="str">
        <f>IFERROR(__xludf.DUMMYFUNCTION("""COMPUTED_VALUE"""),"Action-Adventure")</f>
        <v>Action-Adventure</v>
      </c>
      <c r="N342" s="25"/>
      <c r="O342" s="26" t="str">
        <f>IFERROR(__xludf.DUMMYFUNCTION("""COMPUTED_VALUE"""),"Yes")</f>
        <v>Yes</v>
      </c>
      <c r="P342" s="26" t="str">
        <f>IFERROR(__xludf.DUMMYFUNCTION("""COMPUTED_VALUE"""),"Yes")</f>
        <v>Yes</v>
      </c>
    </row>
    <row r="343">
      <c r="A343" s="13" t="str">
        <f>IFERROR(__xludf.DUMMYFUNCTION("""COMPUTED_VALUE"""),"The Elder Scrolls Online: Tamriel Unlimited")</f>
        <v>The Elder Scrolls Online: Tamriel Unlimited</v>
      </c>
      <c r="B343" s="15" t="str">
        <f>IFERROR(__xludf.DUMMYFUNCTION("""COMPUTED_VALUE"""),"PS4")</f>
        <v>PS4</v>
      </c>
      <c r="C343" s="16" t="str">
        <f>IFERROR(__xludf.DUMMYFUNCTION("""COMPUTED_VALUE"""),"Extra")</f>
        <v>Extra</v>
      </c>
      <c r="D343" s="15" t="str">
        <f>IFERROR(__xludf.DUMMYFUNCTION("""COMPUTED_VALUE"""),"Active")</f>
        <v>Active</v>
      </c>
      <c r="E343" s="17">
        <f>IFERROR(__xludf.DUMMYFUNCTION("""COMPUTED_VALUE"""),43378.0)</f>
        <v>43378</v>
      </c>
      <c r="F343" s="54"/>
      <c r="G343" s="19">
        <f>IFERROR(__xludf.DUMMYFUNCTION("""COMPUTED_VALUE"""),96.03333333333333)</f>
        <v>96.03333333</v>
      </c>
      <c r="H343" s="17">
        <f>IFERROR(__xludf.DUMMYFUNCTION("""COMPUTED_VALUE"""),42164.0)</f>
        <v>42164</v>
      </c>
      <c r="I343" s="19">
        <f>IFERROR(__xludf.DUMMYFUNCTION("""COMPUTED_VALUE"""),3.3222222222222224)</f>
        <v>3.322222222</v>
      </c>
      <c r="J343" s="21">
        <f>IFERROR(__xludf.DUMMYFUNCTION("""COMPUTED_VALUE"""),74.0)</f>
        <v>74</v>
      </c>
      <c r="K343" s="23">
        <f>IFERROR(__xludf.DUMMYFUNCTION("""COMPUTED_VALUE"""),6.7)</f>
        <v>6.7</v>
      </c>
      <c r="L343" s="24"/>
      <c r="M343" s="25" t="str">
        <f>IFERROR(__xludf.DUMMYFUNCTION("""COMPUTED_VALUE"""),"RPG")</f>
        <v>RPG</v>
      </c>
      <c r="N343" s="25"/>
      <c r="O343" s="26" t="str">
        <f>IFERROR(__xludf.DUMMYFUNCTION("""COMPUTED_VALUE"""),"Yes")</f>
        <v>Yes</v>
      </c>
      <c r="P343" s="26"/>
    </row>
    <row r="344">
      <c r="A344" s="13" t="str">
        <f>IFERROR(__xludf.DUMMYFUNCTION("""COMPUTED_VALUE"""),"Aragami")</f>
        <v>Aragami</v>
      </c>
      <c r="B344" s="15" t="str">
        <f>IFERROR(__xludf.DUMMYFUNCTION("""COMPUTED_VALUE"""),"PS4")</f>
        <v>PS4</v>
      </c>
      <c r="C344" s="16" t="str">
        <f>IFERROR(__xludf.DUMMYFUNCTION("""COMPUTED_VALUE"""),"Extra")</f>
        <v>Extra</v>
      </c>
      <c r="D344" s="15" t="str">
        <f>IFERROR(__xludf.DUMMYFUNCTION("""COMPUTED_VALUE"""),"Active")</f>
        <v>Active</v>
      </c>
      <c r="E344" s="17">
        <f>IFERROR(__xludf.DUMMYFUNCTION("""COMPUTED_VALUE"""),43109.0)</f>
        <v>43109</v>
      </c>
      <c r="F344" s="54"/>
      <c r="G344" s="19">
        <f>IFERROR(__xludf.DUMMYFUNCTION("""COMPUTED_VALUE"""),104.9)</f>
        <v>104.9</v>
      </c>
      <c r="H344" s="17">
        <f>IFERROR(__xludf.DUMMYFUNCTION("""COMPUTED_VALUE"""),42647.0)</f>
        <v>42647</v>
      </c>
      <c r="I344" s="19">
        <f>IFERROR(__xludf.DUMMYFUNCTION("""COMPUTED_VALUE"""),1.2638888888888888)</f>
        <v>1.263888889</v>
      </c>
      <c r="J344" s="21">
        <f>IFERROR(__xludf.DUMMYFUNCTION("""COMPUTED_VALUE"""),74.0)</f>
        <v>74</v>
      </c>
      <c r="K344" s="23">
        <f>IFERROR(__xludf.DUMMYFUNCTION("""COMPUTED_VALUE"""),6.6)</f>
        <v>6.6</v>
      </c>
      <c r="L344" s="24">
        <f>IFERROR(__xludf.DUMMYFUNCTION("""COMPUTED_VALUE"""),7.0)</f>
        <v>7</v>
      </c>
      <c r="M344" s="25" t="str">
        <f>IFERROR(__xludf.DUMMYFUNCTION("""COMPUTED_VALUE"""),"Action-Adventure")</f>
        <v>Action-Adventure</v>
      </c>
      <c r="N344" s="25"/>
      <c r="O344" s="26" t="str">
        <f>IFERROR(__xludf.DUMMYFUNCTION("""COMPUTED_VALUE"""),"Yes")</f>
        <v>Yes</v>
      </c>
      <c r="P344" s="26"/>
    </row>
    <row r="345">
      <c r="A345" s="13" t="str">
        <f>IFERROR(__xludf.DUMMYFUNCTION("""COMPUTED_VALUE"""),"The Lego Movie Videogame")</f>
        <v>The Lego Movie Videogame</v>
      </c>
      <c r="B345" s="15" t="str">
        <f>IFERROR(__xludf.DUMMYFUNCTION("""COMPUTED_VALUE"""),"PS4")</f>
        <v>PS4</v>
      </c>
      <c r="C345" s="16" t="str">
        <f>IFERROR(__xludf.DUMMYFUNCTION("""COMPUTED_VALUE"""),"Extra")</f>
        <v>Extra</v>
      </c>
      <c r="D345" s="15" t="str">
        <f>IFERROR(__xludf.DUMMYFUNCTION("""COMPUTED_VALUE"""),"Active")</f>
        <v>Active</v>
      </c>
      <c r="E345" s="17">
        <f>IFERROR(__xludf.DUMMYFUNCTION("""COMPUTED_VALUE"""),42417.0)</f>
        <v>42417</v>
      </c>
      <c r="F345" s="54"/>
      <c r="G345" s="19">
        <f>IFERROR(__xludf.DUMMYFUNCTION("""COMPUTED_VALUE"""),127.63333333333333)</f>
        <v>127.6333333</v>
      </c>
      <c r="H345" s="17">
        <f>IFERROR(__xludf.DUMMYFUNCTION("""COMPUTED_VALUE"""),41677.0)</f>
        <v>41677</v>
      </c>
      <c r="I345" s="19">
        <f>IFERROR(__xludf.DUMMYFUNCTION("""COMPUTED_VALUE"""),2.0277777777777777)</f>
        <v>2.027777778</v>
      </c>
      <c r="J345" s="21">
        <f>IFERROR(__xludf.DUMMYFUNCTION("""COMPUTED_VALUE"""),74.0)</f>
        <v>74</v>
      </c>
      <c r="K345" s="23">
        <f>IFERROR(__xludf.DUMMYFUNCTION("""COMPUTED_VALUE"""),7.4)</f>
        <v>7.4</v>
      </c>
      <c r="L345" s="24">
        <f>IFERROR(__xludf.DUMMYFUNCTION("""COMPUTED_VALUE"""),8.0)</f>
        <v>8</v>
      </c>
      <c r="M345" s="25" t="str">
        <f>IFERROR(__xludf.DUMMYFUNCTION("""COMPUTED_VALUE"""),"Action-Adventure")</f>
        <v>Action-Adventure</v>
      </c>
      <c r="N345" s="25"/>
      <c r="O345" s="26" t="str">
        <f>IFERROR(__xludf.DUMMYFUNCTION("""COMPUTED_VALUE"""),"Yes")</f>
        <v>Yes</v>
      </c>
      <c r="P345" s="26" t="str">
        <f>IFERROR(__xludf.DUMMYFUNCTION("""COMPUTED_VALUE"""),"Yes")</f>
        <v>Yes</v>
      </c>
    </row>
    <row r="346">
      <c r="A346" s="13" t="str">
        <f>IFERROR(__xludf.DUMMYFUNCTION("""COMPUTED_VALUE"""),"Disney's Atlantis: The Lost Empire")</f>
        <v>Disney's Atlantis: The Lost Empire</v>
      </c>
      <c r="B346" s="15" t="str">
        <f>IFERROR(__xludf.DUMMYFUNCTION("""COMPUTED_VALUE"""),"PS5/PS4")</f>
        <v>PS5/PS4</v>
      </c>
      <c r="C346" s="16" t="str">
        <f>IFERROR(__xludf.DUMMYFUNCTION("""COMPUTED_VALUE"""),"Premium (Classics)")</f>
        <v>Premium (Classics)</v>
      </c>
      <c r="D346" s="15" t="str">
        <f>IFERROR(__xludf.DUMMYFUNCTION("""COMPUTED_VALUE"""),"Active")</f>
        <v>Active</v>
      </c>
      <c r="E346" s="17">
        <f>IFERROR(__xludf.DUMMYFUNCTION("""COMPUTED_VALUE"""),46252.0)</f>
        <v>46252</v>
      </c>
      <c r="F346" s="54"/>
      <c r="G346" s="19">
        <f>IFERROR(__xludf.DUMMYFUNCTION("""COMPUTED_VALUE"""),1.6)</f>
        <v>1.6</v>
      </c>
      <c r="H346" s="17">
        <f>IFERROR(__xludf.DUMMYFUNCTION("""COMPUTED_VALUE"""),37153.0)</f>
        <v>37153</v>
      </c>
      <c r="I346" s="19">
        <f>IFERROR(__xludf.DUMMYFUNCTION("""COMPUTED_VALUE"""),24.913888888888888)</f>
        <v>24.91388889</v>
      </c>
      <c r="J346" s="21">
        <f>IFERROR(__xludf.DUMMYFUNCTION("""COMPUTED_VALUE"""),73.0)</f>
        <v>73</v>
      </c>
      <c r="K346" s="23">
        <f>IFERROR(__xludf.DUMMYFUNCTION("""COMPUTED_VALUE"""),7.3)</f>
        <v>7.3</v>
      </c>
      <c r="L346" s="24">
        <f>IFERROR(__xludf.DUMMYFUNCTION("""COMPUTED_VALUE"""),6.0)</f>
        <v>6</v>
      </c>
      <c r="M346" s="25" t="str">
        <f>IFERROR(__xludf.DUMMYFUNCTION("""COMPUTED_VALUE"""),"Platformer")</f>
        <v>Platformer</v>
      </c>
      <c r="N346" s="25" t="str">
        <f>IFERROR(__xludf.DUMMYFUNCTION("""COMPUTED_VALUE"""),"PS1")</f>
        <v>PS1</v>
      </c>
      <c r="O346" s="26"/>
      <c r="P346" s="26"/>
    </row>
    <row r="347">
      <c r="A347" s="13" t="str">
        <f>IFERROR(__xludf.DUMMYFUNCTION("""COMPUTED_VALUE"""),"Train Sim World 5")</f>
        <v>Train Sim World 5</v>
      </c>
      <c r="B347" s="15" t="str">
        <f>IFERROR(__xludf.DUMMYFUNCTION("""COMPUTED_VALUE"""),"PS5/PS4")</f>
        <v>PS5/PS4</v>
      </c>
      <c r="C347" s="16" t="str">
        <f>IFERROR(__xludf.DUMMYFUNCTION("""COMPUTED_VALUE"""),"Extra")</f>
        <v>Extra</v>
      </c>
      <c r="D347" s="15" t="str">
        <f>IFERROR(__xludf.DUMMYFUNCTION("""COMPUTED_VALUE"""),"Active")</f>
        <v>Active</v>
      </c>
      <c r="E347" s="17">
        <f>IFERROR(__xludf.DUMMYFUNCTION("""COMPUTED_VALUE"""),45825.0)</f>
        <v>45825</v>
      </c>
      <c r="F347" s="54"/>
      <c r="G347" s="19">
        <f>IFERROR(__xludf.DUMMYFUNCTION("""COMPUTED_VALUE"""),15.633333333333333)</f>
        <v>15.63333333</v>
      </c>
      <c r="H347" s="17">
        <f>IFERROR(__xludf.DUMMYFUNCTION("""COMPUTED_VALUE"""),45552.0)</f>
        <v>45552</v>
      </c>
      <c r="I347" s="19">
        <f>IFERROR(__xludf.DUMMYFUNCTION("""COMPUTED_VALUE"""),0.75)</f>
        <v>0.75</v>
      </c>
      <c r="J347" s="21">
        <f>IFERROR(__xludf.DUMMYFUNCTION("""COMPUTED_VALUE"""),73.0)</f>
        <v>73</v>
      </c>
      <c r="K347" s="23">
        <f>IFERROR(__xludf.DUMMYFUNCTION("""COMPUTED_VALUE"""),5.5)</f>
        <v>5.5</v>
      </c>
      <c r="L347" s="24">
        <f>IFERROR(__xludf.DUMMYFUNCTION("""COMPUTED_VALUE"""),112.0)</f>
        <v>112</v>
      </c>
      <c r="M347" s="25" t="str">
        <f>IFERROR(__xludf.DUMMYFUNCTION("""COMPUTED_VALUE"""),"Simulation")</f>
        <v>Simulation</v>
      </c>
      <c r="N347" s="25"/>
      <c r="O347" s="26"/>
      <c r="P347" s="26"/>
    </row>
    <row r="348">
      <c r="A348" s="13" t="str">
        <f>IFERROR(__xludf.DUMMYFUNCTION("""COMPUTED_VALUE"""),"Arcade Paradise")</f>
        <v>Arcade Paradise</v>
      </c>
      <c r="B348" s="15" t="str">
        <f>IFERROR(__xludf.DUMMYFUNCTION("""COMPUTED_VALUE"""),"PS5/PS4")</f>
        <v>PS5/PS4</v>
      </c>
      <c r="C348" s="16" t="str">
        <f>IFERROR(__xludf.DUMMYFUNCTION("""COMPUTED_VALUE"""),"Extra")</f>
        <v>Extra</v>
      </c>
      <c r="D348" s="15" t="str">
        <f>IFERROR(__xludf.DUMMYFUNCTION("""COMPUTED_VALUE"""),"Active")</f>
        <v>Active</v>
      </c>
      <c r="E348" s="17">
        <f>IFERROR(__xludf.DUMMYFUNCTION("""COMPUTED_VALUE"""),45734.0)</f>
        <v>45734</v>
      </c>
      <c r="F348" s="54"/>
      <c r="G348" s="19">
        <f>IFERROR(__xludf.DUMMYFUNCTION("""COMPUTED_VALUE"""),18.6)</f>
        <v>18.6</v>
      </c>
      <c r="H348" s="17">
        <f>IFERROR(__xludf.DUMMYFUNCTION("""COMPUTED_VALUE"""),44784.0)</f>
        <v>44784</v>
      </c>
      <c r="I348" s="19">
        <f>IFERROR(__xludf.DUMMYFUNCTION("""COMPUTED_VALUE"""),2.602777777777778)</f>
        <v>2.602777778</v>
      </c>
      <c r="J348" s="21">
        <f>IFERROR(__xludf.DUMMYFUNCTION("""COMPUTED_VALUE"""),73.0)</f>
        <v>73</v>
      </c>
      <c r="K348" s="23">
        <f>IFERROR(__xludf.DUMMYFUNCTION("""COMPUTED_VALUE"""),6.7)</f>
        <v>6.7</v>
      </c>
      <c r="L348" s="24">
        <f>IFERROR(__xludf.DUMMYFUNCTION("""COMPUTED_VALUE"""),25.0)</f>
        <v>25</v>
      </c>
      <c r="M348" s="25" t="str">
        <f>IFERROR(__xludf.DUMMYFUNCTION("""COMPUTED_VALUE"""),"Virtual Career ")</f>
        <v>Virtual Career </v>
      </c>
      <c r="N348" s="25"/>
      <c r="O348" s="26" t="str">
        <f>IFERROR(__xludf.DUMMYFUNCTION("""COMPUTED_VALUE"""),"Yes")</f>
        <v>Yes</v>
      </c>
      <c r="P348" s="26"/>
    </row>
    <row r="349">
      <c r="A349" s="13" t="str">
        <f>IFERROR(__xludf.DUMMYFUNCTION("""COMPUTED_VALUE"""),"Star Wars: The Clone Wars")</f>
        <v>Star Wars: The Clone Wars</v>
      </c>
      <c r="B349" s="15" t="str">
        <f>IFERROR(__xludf.DUMMYFUNCTION("""COMPUTED_VALUE"""),"PS4")</f>
        <v>PS4</v>
      </c>
      <c r="C349" s="16" t="str">
        <f>IFERROR(__xludf.DUMMYFUNCTION("""COMPUTED_VALUE"""),"Premium (Classics)")</f>
        <v>Premium (Classics)</v>
      </c>
      <c r="D349" s="15" t="str">
        <f>IFERROR(__xludf.DUMMYFUNCTION("""COMPUTED_VALUE"""),"Active")</f>
        <v>Active</v>
      </c>
      <c r="E349" s="17">
        <f>IFERROR(__xludf.DUMMYFUNCTION("""COMPUTED_VALUE"""),45454.0)</f>
        <v>45454</v>
      </c>
      <c r="F349" s="54"/>
      <c r="G349" s="19">
        <f>IFERROR(__xludf.DUMMYFUNCTION("""COMPUTED_VALUE"""),27.833333333333336)</f>
        <v>27.83333333</v>
      </c>
      <c r="H349" s="17">
        <f>IFERROR(__xludf.DUMMYFUNCTION("""COMPUTED_VALUE"""),37557.0)</f>
        <v>37557</v>
      </c>
      <c r="I349" s="19">
        <f>IFERROR(__xludf.DUMMYFUNCTION("""COMPUTED_VALUE"""),21.619444444444444)</f>
        <v>21.61944444</v>
      </c>
      <c r="J349" s="21">
        <f>IFERROR(__xludf.DUMMYFUNCTION("""COMPUTED_VALUE"""),73.0)</f>
        <v>73</v>
      </c>
      <c r="K349" s="23">
        <f>IFERROR(__xludf.DUMMYFUNCTION("""COMPUTED_VALUE"""),6.8)</f>
        <v>6.8</v>
      </c>
      <c r="L349" s="24">
        <f>IFERROR(__xludf.DUMMYFUNCTION("""COMPUTED_VALUE"""),6.0)</f>
        <v>6</v>
      </c>
      <c r="M349" s="25" t="str">
        <f>IFERROR(__xludf.DUMMYFUNCTION("""COMPUTED_VALUE"""),"Shooter")</f>
        <v>Shooter</v>
      </c>
      <c r="N349" s="25" t="str">
        <f>IFERROR(__xludf.DUMMYFUNCTION("""COMPUTED_VALUE"""),"PS2")</f>
        <v>PS2</v>
      </c>
      <c r="O349" s="26" t="str">
        <f>IFERROR(__xludf.DUMMYFUNCTION("""COMPUTED_VALUE"""),"No")</f>
        <v>No</v>
      </c>
      <c r="P349" s="26"/>
    </row>
    <row r="350">
      <c r="A350" s="13" t="str">
        <f>IFERROR(__xludf.DUMMYFUNCTION("""COMPUTED_VALUE"""),"Salt and Sacrifice")</f>
        <v>Salt and Sacrifice</v>
      </c>
      <c r="B350" s="15" t="str">
        <f>IFERROR(__xludf.DUMMYFUNCTION("""COMPUTED_VALUE"""),"PS5/PS4")</f>
        <v>PS5/PS4</v>
      </c>
      <c r="C350" s="16" t="str">
        <f>IFERROR(__xludf.DUMMYFUNCTION("""COMPUTED_VALUE"""),"Extra")</f>
        <v>Extra</v>
      </c>
      <c r="D350" s="15" t="str">
        <f>IFERROR(__xludf.DUMMYFUNCTION("""COMPUTED_VALUE"""),"Active")</f>
        <v>Active</v>
      </c>
      <c r="E350" s="17">
        <f>IFERROR(__xludf.DUMMYFUNCTION("""COMPUTED_VALUE"""),45279.0)</f>
        <v>45279</v>
      </c>
      <c r="F350" s="54"/>
      <c r="G350" s="19">
        <f>IFERROR(__xludf.DUMMYFUNCTION("""COMPUTED_VALUE"""),33.56666666666666)</f>
        <v>33.56666667</v>
      </c>
      <c r="H350" s="17">
        <f>IFERROR(__xludf.DUMMYFUNCTION("""COMPUTED_VALUE"""),44691.0)</f>
        <v>44691</v>
      </c>
      <c r="I350" s="19">
        <f>IFERROR(__xludf.DUMMYFUNCTION("""COMPUTED_VALUE"""),1.6083333333333334)</f>
        <v>1.608333333</v>
      </c>
      <c r="J350" s="21">
        <f>IFERROR(__xludf.DUMMYFUNCTION("""COMPUTED_VALUE"""),73.0)</f>
        <v>73</v>
      </c>
      <c r="K350" s="23">
        <f>IFERROR(__xludf.DUMMYFUNCTION("""COMPUTED_VALUE"""),4.4)</f>
        <v>4.4</v>
      </c>
      <c r="L350" s="24">
        <f>IFERROR(__xludf.DUMMYFUNCTION("""COMPUTED_VALUE"""),16.0)</f>
        <v>16</v>
      </c>
      <c r="M350" s="25" t="str">
        <f>IFERROR(__xludf.DUMMYFUNCTION("""COMPUTED_VALUE"""),"Metroidvania")</f>
        <v>Metroidvania</v>
      </c>
      <c r="N350" s="25"/>
      <c r="O350" s="26" t="str">
        <f>IFERROR(__xludf.DUMMYFUNCTION("""COMPUTED_VALUE"""),"Yes")</f>
        <v>Yes</v>
      </c>
      <c r="P350" s="26"/>
    </row>
    <row r="351">
      <c r="A351" s="13" t="str">
        <f>IFERROR(__xludf.DUMMYFUNCTION("""COMPUTED_VALUE"""),"Call of the Sea")</f>
        <v>Call of the Sea</v>
      </c>
      <c r="B351" s="15" t="str">
        <f>IFERROR(__xludf.DUMMYFUNCTION("""COMPUTED_VALUE"""),"PS5/PS4")</f>
        <v>PS5/PS4</v>
      </c>
      <c r="C351" s="16" t="str">
        <f>IFERROR(__xludf.DUMMYFUNCTION("""COMPUTED_VALUE"""),"Extra")</f>
        <v>Extra</v>
      </c>
      <c r="D351" s="15" t="str">
        <f>IFERROR(__xludf.DUMMYFUNCTION("""COMPUTED_VALUE"""),"Active")</f>
        <v>Active</v>
      </c>
      <c r="E351" s="17">
        <f>IFERROR(__xludf.DUMMYFUNCTION("""COMPUTED_VALUE"""),45188.0)</f>
        <v>45188</v>
      </c>
      <c r="F351" s="54"/>
      <c r="G351" s="19">
        <f>IFERROR(__xludf.DUMMYFUNCTION("""COMPUTED_VALUE"""),36.56666666666666)</f>
        <v>36.56666667</v>
      </c>
      <c r="H351" s="17">
        <f>IFERROR(__xludf.DUMMYFUNCTION("""COMPUTED_VALUE"""),44173.0)</f>
        <v>44173</v>
      </c>
      <c r="I351" s="19">
        <f>IFERROR(__xludf.DUMMYFUNCTION("""COMPUTED_VALUE"""),2.7805555555555554)</f>
        <v>2.780555556</v>
      </c>
      <c r="J351" s="21">
        <f>IFERROR(__xludf.DUMMYFUNCTION("""COMPUTED_VALUE"""),73.0)</f>
        <v>73</v>
      </c>
      <c r="K351" s="23">
        <f>IFERROR(__xludf.DUMMYFUNCTION("""COMPUTED_VALUE"""),7.3)</f>
        <v>7.3</v>
      </c>
      <c r="L351" s="24">
        <f>IFERROR(__xludf.DUMMYFUNCTION("""COMPUTED_VALUE"""),6.0)</f>
        <v>6</v>
      </c>
      <c r="M351" s="25" t="str">
        <f>IFERROR(__xludf.DUMMYFUNCTION("""COMPUTED_VALUE"""),"Action-Adventure")</f>
        <v>Action-Adventure</v>
      </c>
      <c r="N351" s="25"/>
      <c r="O351" s="26" t="str">
        <f>IFERROR(__xludf.DUMMYFUNCTION("""COMPUTED_VALUE"""),"Yes")</f>
        <v>Yes</v>
      </c>
      <c r="P351" s="26"/>
    </row>
    <row r="352">
      <c r="A352" s="13" t="str">
        <f>IFERROR(__xludf.DUMMYFUNCTION("""COMPUTED_VALUE"""),"Pursuit Force: Extreme Justice")</f>
        <v>Pursuit Force: Extreme Justice</v>
      </c>
      <c r="B352" s="15" t="str">
        <f>IFERROR(__xludf.DUMMYFUNCTION("""COMPUTED_VALUE"""),"PS5/PS4")</f>
        <v>PS5/PS4</v>
      </c>
      <c r="C352" s="16" t="str">
        <f>IFERROR(__xludf.DUMMYFUNCTION("""COMPUTED_VALUE"""),"Premium (Classics)")</f>
        <v>Premium (Classics)</v>
      </c>
      <c r="D352" s="15" t="str">
        <f>IFERROR(__xludf.DUMMYFUNCTION("""COMPUTED_VALUE"""),"Active")</f>
        <v>Active</v>
      </c>
      <c r="E352" s="17">
        <f>IFERROR(__xludf.DUMMYFUNCTION("""COMPUTED_VALUE"""),45153.0)</f>
        <v>45153</v>
      </c>
      <c r="F352" s="54"/>
      <c r="G352" s="19">
        <f>IFERROR(__xludf.DUMMYFUNCTION("""COMPUTED_VALUE"""),37.7)</f>
        <v>37.7</v>
      </c>
      <c r="H352" s="17">
        <f>IFERROR(__xludf.DUMMYFUNCTION("""COMPUTED_VALUE"""),39476.0)</f>
        <v>39476</v>
      </c>
      <c r="I352" s="19">
        <f>IFERROR(__xludf.DUMMYFUNCTION("""COMPUTED_VALUE"""),15.544444444444444)</f>
        <v>15.54444444</v>
      </c>
      <c r="J352" s="21">
        <f>IFERROR(__xludf.DUMMYFUNCTION("""COMPUTED_VALUE"""),73.0)</f>
        <v>73</v>
      </c>
      <c r="K352" s="23">
        <f>IFERROR(__xludf.DUMMYFUNCTION("""COMPUTED_VALUE"""),7.7)</f>
        <v>7.7</v>
      </c>
      <c r="L352" s="24">
        <f>IFERROR(__xludf.DUMMYFUNCTION("""COMPUTED_VALUE"""),8.0)</f>
        <v>8</v>
      </c>
      <c r="M352" s="25" t="str">
        <f>IFERROR(__xludf.DUMMYFUNCTION("""COMPUTED_VALUE"""),"Simulation")</f>
        <v>Simulation</v>
      </c>
      <c r="N352" s="25" t="str">
        <f>IFERROR(__xludf.DUMMYFUNCTION("""COMPUTED_VALUE"""),"PSP")</f>
        <v>PSP</v>
      </c>
      <c r="O352" s="26" t="str">
        <f>IFERROR(__xludf.DUMMYFUNCTION("""COMPUTED_VALUE"""),"Yes")</f>
        <v>Yes</v>
      </c>
      <c r="P352" s="26"/>
    </row>
    <row r="353">
      <c r="A353" s="13" t="str">
        <f>IFERROR(__xludf.DUMMYFUNCTION("""COMPUTED_VALUE"""),"Far Cry 6")</f>
        <v>Far Cry 6</v>
      </c>
      <c r="B353" s="15" t="str">
        <f>IFERROR(__xludf.DUMMYFUNCTION("""COMPUTED_VALUE"""),"PS5/PS4")</f>
        <v>PS5/PS4</v>
      </c>
      <c r="C353" s="16" t="str">
        <f>IFERROR(__xludf.DUMMYFUNCTION("""COMPUTED_VALUE"""),"Extra (Ubisoft+ Classics)")</f>
        <v>Extra (Ubisoft+ Classics)</v>
      </c>
      <c r="D353" s="15" t="str">
        <f>IFERROR(__xludf.DUMMYFUNCTION("""COMPUTED_VALUE"""),"Active")</f>
        <v>Active</v>
      </c>
      <c r="E353" s="17">
        <f>IFERROR(__xludf.DUMMYFUNCTION("""COMPUTED_VALUE"""),45097.0)</f>
        <v>45097</v>
      </c>
      <c r="F353" s="54"/>
      <c r="G353" s="19">
        <f>IFERROR(__xludf.DUMMYFUNCTION("""COMPUTED_VALUE"""),39.53333333333333)</f>
        <v>39.53333333</v>
      </c>
      <c r="H353" s="17">
        <f>IFERROR(__xludf.DUMMYFUNCTION("""COMPUTED_VALUE"""),44476.0)</f>
        <v>44476</v>
      </c>
      <c r="I353" s="19">
        <f>IFERROR(__xludf.DUMMYFUNCTION("""COMPUTED_VALUE"""),1.7027777777777777)</f>
        <v>1.702777778</v>
      </c>
      <c r="J353" s="21">
        <f>IFERROR(__xludf.DUMMYFUNCTION("""COMPUTED_VALUE"""),73.0)</f>
        <v>73</v>
      </c>
      <c r="K353" s="23">
        <f>IFERROR(__xludf.DUMMYFUNCTION("""COMPUTED_VALUE"""),4.9)</f>
        <v>4.9</v>
      </c>
      <c r="L353" s="24">
        <f>IFERROR(__xludf.DUMMYFUNCTION("""COMPUTED_VALUE"""),23.0)</f>
        <v>23</v>
      </c>
      <c r="M353" s="25" t="str">
        <f>IFERROR(__xludf.DUMMYFUNCTION("""COMPUTED_VALUE"""),"Shooter")</f>
        <v>Shooter</v>
      </c>
      <c r="N353" s="25"/>
      <c r="O353" s="26" t="str">
        <f>IFERROR(__xludf.DUMMYFUNCTION("""COMPUTED_VALUE"""),"Yes")</f>
        <v>Yes</v>
      </c>
      <c r="P353" s="26"/>
    </row>
    <row r="354">
      <c r="A354" s="13" t="str">
        <f>IFERROR(__xludf.DUMMYFUNCTION("""COMPUTED_VALUE"""),"Tom Clancy's Rainbow Six: Extraction")</f>
        <v>Tom Clancy's Rainbow Six: Extraction</v>
      </c>
      <c r="B354" s="15" t="str">
        <f>IFERROR(__xludf.DUMMYFUNCTION("""COMPUTED_VALUE"""),"PS5/PS4")</f>
        <v>PS5/PS4</v>
      </c>
      <c r="C354" s="16" t="str">
        <f>IFERROR(__xludf.DUMMYFUNCTION("""COMPUTED_VALUE"""),"Extra")</f>
        <v>Extra</v>
      </c>
      <c r="D354" s="15" t="str">
        <f>IFERROR(__xludf.DUMMYFUNCTION("""COMPUTED_VALUE"""),"Active")</f>
        <v>Active</v>
      </c>
      <c r="E354" s="17">
        <f>IFERROR(__xludf.DUMMYFUNCTION("""COMPUTED_VALUE"""),45006.0)</f>
        <v>45006</v>
      </c>
      <c r="F354" s="18"/>
      <c r="G354" s="19">
        <f>IFERROR(__xludf.DUMMYFUNCTION("""COMPUTED_VALUE"""),42.5)</f>
        <v>42.5</v>
      </c>
      <c r="H354" s="17">
        <f>IFERROR(__xludf.DUMMYFUNCTION("""COMPUTED_VALUE"""),44581.0)</f>
        <v>44581</v>
      </c>
      <c r="I354" s="19">
        <f>IFERROR(__xludf.DUMMYFUNCTION("""COMPUTED_VALUE"""),1.1694444444444445)</f>
        <v>1.169444444</v>
      </c>
      <c r="J354" s="21">
        <f>IFERROR(__xludf.DUMMYFUNCTION("""COMPUTED_VALUE"""),73.0)</f>
        <v>73</v>
      </c>
      <c r="K354" s="23">
        <f>IFERROR(__xludf.DUMMYFUNCTION("""COMPUTED_VALUE"""),5.2)</f>
        <v>5.2</v>
      </c>
      <c r="L354" s="24">
        <f>IFERROR(__xludf.DUMMYFUNCTION("""COMPUTED_VALUE"""),10.0)</f>
        <v>10</v>
      </c>
      <c r="M354" s="25" t="str">
        <f>IFERROR(__xludf.DUMMYFUNCTION("""COMPUTED_VALUE"""),"Shooter")</f>
        <v>Shooter</v>
      </c>
      <c r="N354" s="25"/>
      <c r="O354" s="26" t="str">
        <f>IFERROR(__xludf.DUMMYFUNCTION("""COMPUTED_VALUE"""),"Yes")</f>
        <v>Yes</v>
      </c>
      <c r="P354" s="26"/>
    </row>
    <row r="355">
      <c r="A355" s="13" t="str">
        <f>IFERROR(__xludf.DUMMYFUNCTION("""COMPUTED_VALUE"""),"Syphon Filter 3")</f>
        <v>Syphon Filter 3</v>
      </c>
      <c r="B355" s="15" t="str">
        <f>IFERROR(__xludf.DUMMYFUNCTION("""COMPUTED_VALUE"""),"PS5/PS4")</f>
        <v>PS5/PS4</v>
      </c>
      <c r="C355" s="16" t="str">
        <f>IFERROR(__xludf.DUMMYFUNCTION("""COMPUTED_VALUE"""),"Premium (Classics)")</f>
        <v>Premium (Classics)</v>
      </c>
      <c r="D355" s="15" t="str">
        <f>IFERROR(__xludf.DUMMYFUNCTION("""COMPUTED_VALUE"""),"Active")</f>
        <v>Active</v>
      </c>
      <c r="E355" s="17">
        <f>IFERROR(__xludf.DUMMYFUNCTION("""COMPUTED_VALUE"""),44943.0)</f>
        <v>44943</v>
      </c>
      <c r="F355" s="54"/>
      <c r="G355" s="19">
        <f>IFERROR(__xludf.DUMMYFUNCTION("""COMPUTED_VALUE"""),44.63333333333333)</f>
        <v>44.63333333</v>
      </c>
      <c r="H355" s="17">
        <f>IFERROR(__xludf.DUMMYFUNCTION("""COMPUTED_VALUE"""),37200.0)</f>
        <v>37200</v>
      </c>
      <c r="I355" s="19">
        <f>IFERROR(__xludf.DUMMYFUNCTION("""COMPUTED_VALUE"""),21.2)</f>
        <v>21.2</v>
      </c>
      <c r="J355" s="21">
        <f>IFERROR(__xludf.DUMMYFUNCTION("""COMPUTED_VALUE"""),73.0)</f>
        <v>73</v>
      </c>
      <c r="K355" s="23">
        <f>IFERROR(__xludf.DUMMYFUNCTION("""COMPUTED_VALUE"""),8.6)</f>
        <v>8.6</v>
      </c>
      <c r="L355" s="24">
        <f>IFERROR(__xludf.DUMMYFUNCTION("""COMPUTED_VALUE"""),8.0)</f>
        <v>8</v>
      </c>
      <c r="M355" s="25" t="str">
        <f>IFERROR(__xludf.DUMMYFUNCTION("""COMPUTED_VALUE"""),"Shooter")</f>
        <v>Shooter</v>
      </c>
      <c r="N355" s="25" t="str">
        <f>IFERROR(__xludf.DUMMYFUNCTION("""COMPUTED_VALUE"""),"PS1")</f>
        <v>PS1</v>
      </c>
      <c r="O355" s="26" t="str">
        <f>IFERROR(__xludf.DUMMYFUNCTION("""COMPUTED_VALUE"""),"Yes")</f>
        <v>Yes</v>
      </c>
      <c r="P355" s="26"/>
    </row>
    <row r="356">
      <c r="A356" s="13" t="str">
        <f>IFERROR(__xludf.DUMMYFUNCTION("""COMPUTED_VALUE"""),"Tom Clancy's Rainbow Six Siege")</f>
        <v>Tom Clancy's Rainbow Six Siege</v>
      </c>
      <c r="B356" s="15" t="str">
        <f>IFERROR(__xludf.DUMMYFUNCTION("""COMPUTED_VALUE"""),"PS5/PS4")</f>
        <v>PS5/PS4</v>
      </c>
      <c r="C356" s="16" t="str">
        <f>IFERROR(__xludf.DUMMYFUNCTION("""COMPUTED_VALUE"""),"Extra (Ubisoft+ Classics)")</f>
        <v>Extra (Ubisoft+ Classics)</v>
      </c>
      <c r="D356" s="15" t="str">
        <f>IFERROR(__xludf.DUMMYFUNCTION("""COMPUTED_VALUE"""),"Active")</f>
        <v>Active</v>
      </c>
      <c r="E356" s="17">
        <f>IFERROR(__xludf.DUMMYFUNCTION("""COMPUTED_VALUE"""),44880.0)</f>
        <v>44880</v>
      </c>
      <c r="F356" s="18"/>
      <c r="G356" s="19">
        <f>IFERROR(__xludf.DUMMYFUNCTION("""COMPUTED_VALUE"""),46.7)</f>
        <v>46.7</v>
      </c>
      <c r="H356" s="17">
        <f>IFERROR(__xludf.DUMMYFUNCTION("""COMPUTED_VALUE"""),42339.0)</f>
        <v>42339</v>
      </c>
      <c r="I356" s="19">
        <f>IFERROR(__xludf.DUMMYFUNCTION("""COMPUTED_VALUE"""),6.955555555555556)</f>
        <v>6.955555556</v>
      </c>
      <c r="J356" s="21">
        <f>IFERROR(__xludf.DUMMYFUNCTION("""COMPUTED_VALUE"""),73.0)</f>
        <v>73</v>
      </c>
      <c r="K356" s="23">
        <f>IFERROR(__xludf.DUMMYFUNCTION("""COMPUTED_VALUE"""),7.2)</f>
        <v>7.2</v>
      </c>
      <c r="L356" s="24">
        <f>IFERROR(__xludf.DUMMYFUNCTION("""COMPUTED_VALUE"""),10.5)</f>
        <v>10.5</v>
      </c>
      <c r="M356" s="25" t="str">
        <f>IFERROR(__xludf.DUMMYFUNCTION("""COMPUTED_VALUE"""),"Shooter")</f>
        <v>Shooter</v>
      </c>
      <c r="N356" s="25"/>
      <c r="O356" s="26" t="str">
        <f>IFERROR(__xludf.DUMMYFUNCTION("""COMPUTED_VALUE"""),"Yes")</f>
        <v>Yes</v>
      </c>
      <c r="P356" s="26"/>
    </row>
    <row r="357">
      <c r="A357" s="13" t="str">
        <f>IFERROR(__xludf.DUMMYFUNCTION("""COMPUTED_VALUE"""),"Bad North")</f>
        <v>Bad North</v>
      </c>
      <c r="B357" s="15" t="str">
        <f>IFERROR(__xludf.DUMMYFUNCTION("""COMPUTED_VALUE"""),"PS4")</f>
        <v>PS4</v>
      </c>
      <c r="C357" s="16" t="str">
        <f>IFERROR(__xludf.DUMMYFUNCTION("""COMPUTED_VALUE"""),"Extra")</f>
        <v>Extra</v>
      </c>
      <c r="D357" s="15" t="str">
        <f>IFERROR(__xludf.DUMMYFUNCTION("""COMPUTED_VALUE"""),"Active")</f>
        <v>Active</v>
      </c>
      <c r="E357" s="17">
        <f>IFERROR(__xludf.DUMMYFUNCTION("""COMPUTED_VALUE"""),44725.0)</f>
        <v>44725</v>
      </c>
      <c r="F357" s="54"/>
      <c r="G357" s="19">
        <f>IFERROR(__xludf.DUMMYFUNCTION("""COMPUTED_VALUE"""),51.766666666666666)</f>
        <v>51.76666667</v>
      </c>
      <c r="H357" s="17">
        <f>IFERROR(__xludf.DUMMYFUNCTION("""COMPUTED_VALUE"""),43313.0)</f>
        <v>43313</v>
      </c>
      <c r="I357" s="19">
        <f>IFERROR(__xludf.DUMMYFUNCTION("""COMPUTED_VALUE"""),3.8666666666666667)</f>
        <v>3.866666667</v>
      </c>
      <c r="J357" s="21">
        <f>IFERROR(__xludf.DUMMYFUNCTION("""COMPUTED_VALUE"""),73.0)</f>
        <v>73</v>
      </c>
      <c r="K357" s="23">
        <f>IFERROR(__xludf.DUMMYFUNCTION("""COMPUTED_VALUE"""),7.0)</f>
        <v>7</v>
      </c>
      <c r="L357" s="24">
        <f>IFERROR(__xludf.DUMMYFUNCTION("""COMPUTED_VALUE"""),6.0)</f>
        <v>6</v>
      </c>
      <c r="M357" s="25" t="str">
        <f>IFERROR(__xludf.DUMMYFUNCTION("""COMPUTED_VALUE"""),"Action-Adventure")</f>
        <v>Action-Adventure</v>
      </c>
      <c r="N357" s="25"/>
      <c r="O357" s="26" t="str">
        <f>IFERROR(__xludf.DUMMYFUNCTION("""COMPUTED_VALUE"""),"Yes")</f>
        <v>Yes</v>
      </c>
      <c r="P357" s="26"/>
    </row>
    <row r="358">
      <c r="A358" s="13" t="str">
        <f>IFERROR(__xludf.DUMMYFUNCTION("""COMPUTED_VALUE"""),"LEGO Batman 3: Beyond Gotham")</f>
        <v>LEGO Batman 3: Beyond Gotham</v>
      </c>
      <c r="B358" s="15" t="str">
        <f>IFERROR(__xludf.DUMMYFUNCTION("""COMPUTED_VALUE"""),"PS4")</f>
        <v>PS4</v>
      </c>
      <c r="C358" s="16" t="str">
        <f>IFERROR(__xludf.DUMMYFUNCTION("""COMPUTED_VALUE"""),"Extra")</f>
        <v>Extra</v>
      </c>
      <c r="D358" s="15" t="str">
        <f>IFERROR(__xludf.DUMMYFUNCTION("""COMPUTED_VALUE"""),"Active")</f>
        <v>Active</v>
      </c>
      <c r="E358" s="17">
        <f>IFERROR(__xludf.DUMMYFUNCTION("""COMPUTED_VALUE"""),44725.0)</f>
        <v>44725</v>
      </c>
      <c r="F358" s="54"/>
      <c r="G358" s="19">
        <f>IFERROR(__xludf.DUMMYFUNCTION("""COMPUTED_VALUE"""),51.766666666666666)</f>
        <v>51.76666667</v>
      </c>
      <c r="H358" s="17">
        <f>IFERROR(__xludf.DUMMYFUNCTION("""COMPUTED_VALUE"""),41954.0)</f>
        <v>41954</v>
      </c>
      <c r="I358" s="19">
        <f>IFERROR(__xludf.DUMMYFUNCTION("""COMPUTED_VALUE"""),7.588888888888889)</f>
        <v>7.588888889</v>
      </c>
      <c r="J358" s="21">
        <f>IFERROR(__xludf.DUMMYFUNCTION("""COMPUTED_VALUE"""),73.0)</f>
        <v>73</v>
      </c>
      <c r="K358" s="23">
        <f>IFERROR(__xludf.DUMMYFUNCTION("""COMPUTED_VALUE"""),7.1)</f>
        <v>7.1</v>
      </c>
      <c r="L358" s="24">
        <f>IFERROR(__xludf.DUMMYFUNCTION("""COMPUTED_VALUE"""),10.0)</f>
        <v>10</v>
      </c>
      <c r="M358" s="25" t="str">
        <f>IFERROR(__xludf.DUMMYFUNCTION("""COMPUTED_VALUE"""),"Action-Adventure")</f>
        <v>Action-Adventure</v>
      </c>
      <c r="N358" s="25"/>
      <c r="O358" s="26" t="str">
        <f>IFERROR(__xludf.DUMMYFUNCTION("""COMPUTED_VALUE"""),"Yes")</f>
        <v>Yes</v>
      </c>
      <c r="P358" s="26" t="str">
        <f>IFERROR(__xludf.DUMMYFUNCTION("""COMPUTED_VALUE"""),"Yes")</f>
        <v>Yes</v>
      </c>
    </row>
    <row r="359">
      <c r="A359" s="13" t="str">
        <f>IFERROR(__xludf.DUMMYFUNCTION("""COMPUTED_VALUE"""),"Megadimension Neptunia VII")</f>
        <v>Megadimension Neptunia VII</v>
      </c>
      <c r="B359" s="15" t="str">
        <f>IFERROR(__xludf.DUMMYFUNCTION("""COMPUTED_VALUE"""),"PS4")</f>
        <v>PS4</v>
      </c>
      <c r="C359" s="16" t="str">
        <f>IFERROR(__xludf.DUMMYFUNCTION("""COMPUTED_VALUE"""),"Extra")</f>
        <v>Extra</v>
      </c>
      <c r="D359" s="15" t="str">
        <f>IFERROR(__xludf.DUMMYFUNCTION("""COMPUTED_VALUE"""),"Active")</f>
        <v>Active</v>
      </c>
      <c r="E359" s="17">
        <f>IFERROR(__xludf.DUMMYFUNCTION("""COMPUTED_VALUE"""),44725.0)</f>
        <v>44725</v>
      </c>
      <c r="F359" s="54"/>
      <c r="G359" s="19">
        <f>IFERROR(__xludf.DUMMYFUNCTION("""COMPUTED_VALUE"""),51.766666666666666)</f>
        <v>51.76666667</v>
      </c>
      <c r="H359" s="17">
        <f>IFERROR(__xludf.DUMMYFUNCTION("""COMPUTED_VALUE"""),42402.0)</f>
        <v>42402</v>
      </c>
      <c r="I359" s="19">
        <f>IFERROR(__xludf.DUMMYFUNCTION("""COMPUTED_VALUE"""),6.363888888888889)</f>
        <v>6.363888889</v>
      </c>
      <c r="J359" s="21">
        <f>IFERROR(__xludf.DUMMYFUNCTION("""COMPUTED_VALUE"""),73.0)</f>
        <v>73</v>
      </c>
      <c r="K359" s="23">
        <f>IFERROR(__xludf.DUMMYFUNCTION("""COMPUTED_VALUE"""),7.9)</f>
        <v>7.9</v>
      </c>
      <c r="L359" s="24">
        <f>IFERROR(__xludf.DUMMYFUNCTION("""COMPUTED_VALUE"""),36.0)</f>
        <v>36</v>
      </c>
      <c r="M359" s="25" t="str">
        <f>IFERROR(__xludf.DUMMYFUNCTION("""COMPUTED_VALUE"""),"RPG")</f>
        <v>RPG</v>
      </c>
      <c r="N359" s="25"/>
      <c r="O359" s="26" t="str">
        <f>IFERROR(__xludf.DUMMYFUNCTION("""COMPUTED_VALUE"""),"No")</f>
        <v>No</v>
      </c>
      <c r="P359" s="26"/>
    </row>
    <row r="360">
      <c r="A360" s="13" t="str">
        <f>IFERROR(__xludf.DUMMYFUNCTION("""COMPUTED_VALUE"""),"Primal")</f>
        <v>Primal</v>
      </c>
      <c r="B360" s="15" t="str">
        <f>IFERROR(__xludf.DUMMYFUNCTION("""COMPUTED_VALUE"""),"PS4")</f>
        <v>PS4</v>
      </c>
      <c r="C360" s="16" t="str">
        <f>IFERROR(__xludf.DUMMYFUNCTION("""COMPUTED_VALUE"""),"Premium (Classics)")</f>
        <v>Premium (Classics)</v>
      </c>
      <c r="D360" s="15" t="str">
        <f>IFERROR(__xludf.DUMMYFUNCTION("""COMPUTED_VALUE"""),"Active")</f>
        <v>Active</v>
      </c>
      <c r="E360" s="17">
        <f>IFERROR(__xludf.DUMMYFUNCTION("""COMPUTED_VALUE"""),44725.0)</f>
        <v>44725</v>
      </c>
      <c r="F360" s="18"/>
      <c r="G360" s="19">
        <f>IFERROR(__xludf.DUMMYFUNCTION("""COMPUTED_VALUE"""),51.766666666666666)</f>
        <v>51.76666667</v>
      </c>
      <c r="H360" s="17">
        <f>IFERROR(__xludf.DUMMYFUNCTION("""COMPUTED_VALUE"""),37681.0)</f>
        <v>37681</v>
      </c>
      <c r="I360" s="19">
        <f>IFERROR(__xludf.DUMMYFUNCTION("""COMPUTED_VALUE"""),19.283333333333335)</f>
        <v>19.28333333</v>
      </c>
      <c r="J360" s="21">
        <f>IFERROR(__xludf.DUMMYFUNCTION("""COMPUTED_VALUE"""),73.0)</f>
        <v>73</v>
      </c>
      <c r="K360" s="23">
        <f>IFERROR(__xludf.DUMMYFUNCTION("""COMPUTED_VALUE"""),7.5)</f>
        <v>7.5</v>
      </c>
      <c r="L360" s="24">
        <f>IFERROR(__xludf.DUMMYFUNCTION("""COMPUTED_VALUE"""),15.0)</f>
        <v>15</v>
      </c>
      <c r="M360" s="25" t="str">
        <f>IFERROR(__xludf.DUMMYFUNCTION("""COMPUTED_VALUE"""),"Action-Adventure")</f>
        <v>Action-Adventure</v>
      </c>
      <c r="N360" s="25" t="str">
        <f>IFERROR(__xludf.DUMMYFUNCTION("""COMPUTED_VALUE"""),"PS2")</f>
        <v>PS2</v>
      </c>
      <c r="O360" s="26" t="str">
        <f>IFERROR(__xludf.DUMMYFUNCTION("""COMPUTED_VALUE"""),"Yes")</f>
        <v>Yes</v>
      </c>
      <c r="P360" s="26" t="str">
        <f>IFERROR(__xludf.DUMMYFUNCTION("""COMPUTED_VALUE"""),"")</f>
        <v/>
      </c>
    </row>
    <row r="361">
      <c r="A361" s="13" t="str">
        <f>IFERROR(__xludf.DUMMYFUNCTION("""COMPUTED_VALUE"""),"Star Wars: Racer Revenge")</f>
        <v>Star Wars: Racer Revenge</v>
      </c>
      <c r="B361" s="15" t="str">
        <f>IFERROR(__xludf.DUMMYFUNCTION("""COMPUTED_VALUE"""),"PS4")</f>
        <v>PS4</v>
      </c>
      <c r="C361" s="16" t="str">
        <f>IFERROR(__xludf.DUMMYFUNCTION("""COMPUTED_VALUE"""),"Premium (Classics)")</f>
        <v>Premium (Classics)</v>
      </c>
      <c r="D361" s="15" t="str">
        <f>IFERROR(__xludf.DUMMYFUNCTION("""COMPUTED_VALUE"""),"Active")</f>
        <v>Active</v>
      </c>
      <c r="E361" s="17">
        <f>IFERROR(__xludf.DUMMYFUNCTION("""COMPUTED_VALUE"""),44725.0)</f>
        <v>44725</v>
      </c>
      <c r="F361" s="54"/>
      <c r="G361" s="19">
        <f>IFERROR(__xludf.DUMMYFUNCTION("""COMPUTED_VALUE"""),51.766666666666666)</f>
        <v>51.76666667</v>
      </c>
      <c r="H361" s="17">
        <f>IFERROR(__xludf.DUMMYFUNCTION("""COMPUTED_VALUE"""),37288.0)</f>
        <v>37288</v>
      </c>
      <c r="I361" s="19">
        <f>IFERROR(__xludf.DUMMYFUNCTION("""COMPUTED_VALUE"""),20.366666666666667)</f>
        <v>20.36666667</v>
      </c>
      <c r="J361" s="21">
        <f>IFERROR(__xludf.DUMMYFUNCTION("""COMPUTED_VALUE"""),73.0)</f>
        <v>73</v>
      </c>
      <c r="K361" s="23">
        <f>IFERROR(__xludf.DUMMYFUNCTION("""COMPUTED_VALUE"""),6.9)</f>
        <v>6.9</v>
      </c>
      <c r="L361" s="24">
        <f>IFERROR(__xludf.DUMMYFUNCTION("""COMPUTED_VALUE"""),6.0)</f>
        <v>6</v>
      </c>
      <c r="M361" s="25" t="str">
        <f>IFERROR(__xludf.DUMMYFUNCTION("""COMPUTED_VALUE"""),"Racing")</f>
        <v>Racing</v>
      </c>
      <c r="N361" s="25" t="str">
        <f>IFERROR(__xludf.DUMMYFUNCTION("""COMPUTED_VALUE"""),"PS2")</f>
        <v>PS2</v>
      </c>
      <c r="O361" s="26" t="str">
        <f>IFERROR(__xludf.DUMMYFUNCTION("""COMPUTED_VALUE"""),"Yes")</f>
        <v>Yes</v>
      </c>
      <c r="P361" s="26" t="str">
        <f>IFERROR(__xludf.DUMMYFUNCTION("""COMPUTED_VALUE"""),"")</f>
        <v/>
      </c>
    </row>
    <row r="362">
      <c r="A362" s="13" t="str">
        <f>IFERROR(__xludf.DUMMYFUNCTION("""COMPUTED_VALUE"""),"Maneater")</f>
        <v>Maneater</v>
      </c>
      <c r="B362" s="15" t="str">
        <f>IFERROR(__xludf.DUMMYFUNCTION("""COMPUTED_VALUE"""),"PS5/PS4")</f>
        <v>PS5/PS4</v>
      </c>
      <c r="C362" s="16" t="str">
        <f>IFERROR(__xludf.DUMMYFUNCTION("""COMPUTED_VALUE"""),"Extra")</f>
        <v>Extra</v>
      </c>
      <c r="D362" s="15" t="str">
        <f>IFERROR(__xludf.DUMMYFUNCTION("""COMPUTED_VALUE"""),"Active")</f>
        <v>Active</v>
      </c>
      <c r="E362" s="17">
        <f>IFERROR(__xludf.DUMMYFUNCTION("""COMPUTED_VALUE"""),44201.0)</f>
        <v>44201</v>
      </c>
      <c r="F362" s="54"/>
      <c r="G362" s="19">
        <f>IFERROR(__xludf.DUMMYFUNCTION("""COMPUTED_VALUE"""),69.03333333333333)</f>
        <v>69.03333333</v>
      </c>
      <c r="H362" s="17">
        <f>IFERROR(__xludf.DUMMYFUNCTION("""COMPUTED_VALUE"""),43973.0)</f>
        <v>43973</v>
      </c>
      <c r="I362" s="19">
        <f>IFERROR(__xludf.DUMMYFUNCTION("""COMPUTED_VALUE"""),0.6194444444444445)</f>
        <v>0.6194444444</v>
      </c>
      <c r="J362" s="21">
        <f>IFERROR(__xludf.DUMMYFUNCTION("""COMPUTED_VALUE"""),73.0)</f>
        <v>73</v>
      </c>
      <c r="K362" s="23">
        <f>IFERROR(__xludf.DUMMYFUNCTION("""COMPUTED_VALUE"""),7.3)</f>
        <v>7.3</v>
      </c>
      <c r="L362" s="24">
        <f>IFERROR(__xludf.DUMMYFUNCTION("""COMPUTED_VALUE"""),8.0)</f>
        <v>8</v>
      </c>
      <c r="M362" s="25" t="str">
        <f>IFERROR(__xludf.DUMMYFUNCTION("""COMPUTED_VALUE"""),"RPG")</f>
        <v>RPG</v>
      </c>
      <c r="N362" s="25"/>
      <c r="O362" s="26" t="str">
        <f>IFERROR(__xludf.DUMMYFUNCTION("""COMPUTED_VALUE"""),"Yes")</f>
        <v>Yes</v>
      </c>
      <c r="P362" s="26"/>
    </row>
    <row r="363">
      <c r="A363" s="13" t="str">
        <f>IFERROR(__xludf.DUMMYFUNCTION("""COMPUTED_VALUE"""),"The Surge")</f>
        <v>The Surge</v>
      </c>
      <c r="B363" s="15" t="str">
        <f>IFERROR(__xludf.DUMMYFUNCTION("""COMPUTED_VALUE"""),"PS4")</f>
        <v>PS4</v>
      </c>
      <c r="C363" s="16" t="str">
        <f>IFERROR(__xludf.DUMMYFUNCTION("""COMPUTED_VALUE"""),"Extra")</f>
        <v>Extra</v>
      </c>
      <c r="D363" s="15" t="str">
        <f>IFERROR(__xludf.DUMMYFUNCTION("""COMPUTED_VALUE"""),"Active")</f>
        <v>Active</v>
      </c>
      <c r="E363" s="17">
        <f>IFERROR(__xludf.DUMMYFUNCTION("""COMPUTED_VALUE"""),43711.0)</f>
        <v>43711</v>
      </c>
      <c r="F363" s="54"/>
      <c r="G363" s="19">
        <f>IFERROR(__xludf.DUMMYFUNCTION("""COMPUTED_VALUE"""),85.1)</f>
        <v>85.1</v>
      </c>
      <c r="H363" s="17">
        <f>IFERROR(__xludf.DUMMYFUNCTION("""COMPUTED_VALUE"""),42871.0)</f>
        <v>42871</v>
      </c>
      <c r="I363" s="19">
        <f>IFERROR(__xludf.DUMMYFUNCTION("""COMPUTED_VALUE"""),2.297222222222222)</f>
        <v>2.297222222</v>
      </c>
      <c r="J363" s="21">
        <f>IFERROR(__xludf.DUMMYFUNCTION("""COMPUTED_VALUE"""),73.0)</f>
        <v>73</v>
      </c>
      <c r="K363" s="23">
        <f>IFERROR(__xludf.DUMMYFUNCTION("""COMPUTED_VALUE"""),7.2)</f>
        <v>7.2</v>
      </c>
      <c r="L363" s="24">
        <f>IFERROR(__xludf.DUMMYFUNCTION("""COMPUTED_VALUE"""),19.0)</f>
        <v>19</v>
      </c>
      <c r="M363" s="25" t="str">
        <f>IFERROR(__xludf.DUMMYFUNCTION("""COMPUTED_VALUE"""),"RPG")</f>
        <v>RPG</v>
      </c>
      <c r="N363" s="25"/>
      <c r="O363" s="26" t="str">
        <f>IFERROR(__xludf.DUMMYFUNCTION("""COMPUTED_VALUE"""),"Yes")</f>
        <v>Yes</v>
      </c>
      <c r="P363" s="26"/>
    </row>
    <row r="364">
      <c r="A364" s="13" t="str">
        <f>IFERROR(__xludf.DUMMYFUNCTION("""COMPUTED_VALUE"""),"Killzone Shadow Fall")</f>
        <v>Killzone Shadow Fall</v>
      </c>
      <c r="B364" s="15" t="str">
        <f>IFERROR(__xludf.DUMMYFUNCTION("""COMPUTED_VALUE"""),"PS4")</f>
        <v>PS4</v>
      </c>
      <c r="C364" s="16" t="str">
        <f>IFERROR(__xludf.DUMMYFUNCTION("""COMPUTED_VALUE"""),"Extra")</f>
        <v>Extra</v>
      </c>
      <c r="D364" s="15" t="str">
        <f>IFERROR(__xludf.DUMMYFUNCTION("""COMPUTED_VALUE"""),"Active")</f>
        <v>Active</v>
      </c>
      <c r="E364" s="17">
        <f>IFERROR(__xludf.DUMMYFUNCTION("""COMPUTED_VALUE"""),42922.0)</f>
        <v>42922</v>
      </c>
      <c r="F364" s="54"/>
      <c r="G364" s="19">
        <f>IFERROR(__xludf.DUMMYFUNCTION("""COMPUTED_VALUE"""),111.0)</f>
        <v>111</v>
      </c>
      <c r="H364" s="17">
        <f>IFERROR(__xludf.DUMMYFUNCTION("""COMPUTED_VALUE"""),41579.0)</f>
        <v>41579</v>
      </c>
      <c r="I364" s="19">
        <f>IFERROR(__xludf.DUMMYFUNCTION("""COMPUTED_VALUE"""),3.6805555555555554)</f>
        <v>3.680555556</v>
      </c>
      <c r="J364" s="21">
        <f>IFERROR(__xludf.DUMMYFUNCTION("""COMPUTED_VALUE"""),73.0)</f>
        <v>73</v>
      </c>
      <c r="K364" s="23">
        <f>IFERROR(__xludf.DUMMYFUNCTION("""COMPUTED_VALUE"""),6.8)</f>
        <v>6.8</v>
      </c>
      <c r="L364" s="24">
        <f>IFERROR(__xludf.DUMMYFUNCTION("""COMPUTED_VALUE"""),10.0)</f>
        <v>10</v>
      </c>
      <c r="M364" s="25" t="str">
        <f>IFERROR(__xludf.DUMMYFUNCTION("""COMPUTED_VALUE"""),"Shooter")</f>
        <v>Shooter</v>
      </c>
      <c r="N364" s="25"/>
      <c r="O364" s="26" t="str">
        <f>IFERROR(__xludf.DUMMYFUNCTION("""COMPUTED_VALUE"""),"Yes")</f>
        <v>Yes</v>
      </c>
      <c r="P364" s="26" t="str">
        <f>IFERROR(__xludf.DUMMYFUNCTION("""COMPUTED_VALUE"""),"Yes")</f>
        <v>Yes</v>
      </c>
    </row>
    <row r="365">
      <c r="A365" s="13" t="str">
        <f>IFERROR(__xludf.DUMMYFUNCTION("""COMPUTED_VALUE"""),"Alone in the Dark 2")</f>
        <v>Alone in the Dark 2</v>
      </c>
      <c r="B365" s="15" t="str">
        <f>IFERROR(__xludf.DUMMYFUNCTION("""COMPUTED_VALUE"""),"PS5/PS4")</f>
        <v>PS5/PS4</v>
      </c>
      <c r="C365" s="16" t="str">
        <f>IFERROR(__xludf.DUMMYFUNCTION("""COMPUTED_VALUE"""),"Premium (Classics)")</f>
        <v>Premium (Classics)</v>
      </c>
      <c r="D365" s="15" t="str">
        <f>IFERROR(__xludf.DUMMYFUNCTION("""COMPUTED_VALUE"""),"Active")</f>
        <v>Active</v>
      </c>
      <c r="E365" s="17">
        <f>IFERROR(__xludf.DUMMYFUNCTION("""COMPUTED_VALUE"""),45762.0)</f>
        <v>45762</v>
      </c>
      <c r="F365" s="54"/>
      <c r="G365" s="19">
        <f>IFERROR(__xludf.DUMMYFUNCTION("""COMPUTED_VALUE"""),17.700000000000003)</f>
        <v>17.7</v>
      </c>
      <c r="H365" s="17">
        <f>IFERROR(__xludf.DUMMYFUNCTION("""COMPUTED_VALUE"""),34243.0)</f>
        <v>34243</v>
      </c>
      <c r="I365" s="19">
        <f>IFERROR(__xludf.DUMMYFUNCTION("""COMPUTED_VALUE"""),31.538888888888888)</f>
        <v>31.53888889</v>
      </c>
      <c r="J365" s="21">
        <f>IFERROR(__xludf.DUMMYFUNCTION("""COMPUTED_VALUE"""),72.0)</f>
        <v>72</v>
      </c>
      <c r="K365" s="23">
        <f>IFERROR(__xludf.DUMMYFUNCTION("""COMPUTED_VALUE"""),7.2)</f>
        <v>7.2</v>
      </c>
      <c r="L365" s="24">
        <f>IFERROR(__xludf.DUMMYFUNCTION("""COMPUTED_VALUE"""),4.0)</f>
        <v>4</v>
      </c>
      <c r="M365" s="25" t="str">
        <f>IFERROR(__xludf.DUMMYFUNCTION("""COMPUTED_VALUE"""),"Survival")</f>
        <v>Survival</v>
      </c>
      <c r="N365" s="25" t="str">
        <f>IFERROR(__xludf.DUMMYFUNCTION("""COMPUTED_VALUE"""),"PS1")</f>
        <v>PS1</v>
      </c>
      <c r="O365" s="26"/>
      <c r="P365" s="26"/>
    </row>
    <row r="366">
      <c r="A366" s="13" t="str">
        <f>IFERROR(__xludf.DUMMYFUNCTION("""COMPUTED_VALUE"""),"Wild Card Football")</f>
        <v>Wild Card Football</v>
      </c>
      <c r="B366" s="15" t="str">
        <f>IFERROR(__xludf.DUMMYFUNCTION("""COMPUTED_VALUE"""),"PS5/PS4")</f>
        <v>PS5/PS4</v>
      </c>
      <c r="C366" s="16" t="str">
        <f>IFERROR(__xludf.DUMMYFUNCTION("""COMPUTED_VALUE"""),"Extra")</f>
        <v>Extra</v>
      </c>
      <c r="D366" s="15" t="str">
        <f>IFERROR(__xludf.DUMMYFUNCTION("""COMPUTED_VALUE"""),"Active")</f>
        <v>Active</v>
      </c>
      <c r="E366" s="17">
        <f>IFERROR(__xludf.DUMMYFUNCTION("""COMPUTED_VALUE"""),45552.0)</f>
        <v>45552</v>
      </c>
      <c r="F366" s="54"/>
      <c r="G366" s="19">
        <f>IFERROR(__xludf.DUMMYFUNCTION("""COMPUTED_VALUE"""),24.633333333333333)</f>
        <v>24.63333333</v>
      </c>
      <c r="H366" s="17">
        <f>IFERROR(__xludf.DUMMYFUNCTION("""COMPUTED_VALUE"""),45209.0)</f>
        <v>45209</v>
      </c>
      <c r="I366" s="19">
        <f>IFERROR(__xludf.DUMMYFUNCTION("""COMPUTED_VALUE"""),0.9361111111111111)</f>
        <v>0.9361111111</v>
      </c>
      <c r="J366" s="21">
        <f>IFERROR(__xludf.DUMMYFUNCTION("""COMPUTED_VALUE"""),72.0)</f>
        <v>72</v>
      </c>
      <c r="K366" s="23">
        <f>IFERROR(__xludf.DUMMYFUNCTION("""COMPUTED_VALUE"""),8.3)</f>
        <v>8.3</v>
      </c>
      <c r="L366" s="24">
        <f>IFERROR(__xludf.DUMMYFUNCTION("""COMPUTED_VALUE"""),12.0)</f>
        <v>12</v>
      </c>
      <c r="M366" s="25" t="str">
        <f>IFERROR(__xludf.DUMMYFUNCTION("""COMPUTED_VALUE"""),"Sports")</f>
        <v>Sports</v>
      </c>
      <c r="N366" s="25"/>
      <c r="O366" s="26" t="str">
        <f>IFERROR(__xludf.DUMMYFUNCTION("""COMPUTED_VALUE"""),"No")</f>
        <v>No</v>
      </c>
      <c r="P366" s="26"/>
    </row>
    <row r="367">
      <c r="A367" s="13" t="str">
        <f>IFERROR(__xludf.DUMMYFUNCTION("""COMPUTED_VALUE"""),"Secret Agent Clank")</f>
        <v>Secret Agent Clank</v>
      </c>
      <c r="B367" s="15" t="str">
        <f>IFERROR(__xludf.DUMMYFUNCTION("""COMPUTED_VALUE"""),"PS5/PS4")</f>
        <v>PS5/PS4</v>
      </c>
      <c r="C367" s="16" t="str">
        <f>IFERROR(__xludf.DUMMYFUNCTION("""COMPUTED_VALUE"""),"Premium (Classics)")</f>
        <v>Premium (Classics)</v>
      </c>
      <c r="D367" s="15" t="str">
        <f>IFERROR(__xludf.DUMMYFUNCTION("""COMPUTED_VALUE"""),"Active")</f>
        <v>Active</v>
      </c>
      <c r="E367" s="17">
        <f>IFERROR(__xludf.DUMMYFUNCTION("""COMPUTED_VALUE"""),45552.0)</f>
        <v>45552</v>
      </c>
      <c r="F367" s="54"/>
      <c r="G367" s="19">
        <f>IFERROR(__xludf.DUMMYFUNCTION("""COMPUTED_VALUE"""),24.633333333333333)</f>
        <v>24.63333333</v>
      </c>
      <c r="H367" s="17">
        <f>IFERROR(__xludf.DUMMYFUNCTION("""COMPUTED_VALUE"""),39616.0)</f>
        <v>39616</v>
      </c>
      <c r="I367" s="19">
        <f>IFERROR(__xludf.DUMMYFUNCTION("""COMPUTED_VALUE"""),16.25)</f>
        <v>16.25</v>
      </c>
      <c r="J367" s="21">
        <f>IFERROR(__xludf.DUMMYFUNCTION("""COMPUTED_VALUE"""),72.0)</f>
        <v>72</v>
      </c>
      <c r="K367" s="23">
        <f>IFERROR(__xludf.DUMMYFUNCTION("""COMPUTED_VALUE"""),7.4)</f>
        <v>7.4</v>
      </c>
      <c r="L367" s="24">
        <f>IFERROR(__xludf.DUMMYFUNCTION("""COMPUTED_VALUE"""),8.0)</f>
        <v>8</v>
      </c>
      <c r="M367" s="25" t="str">
        <f>IFERROR(__xludf.DUMMYFUNCTION("""COMPUTED_VALUE"""),"Platformer")</f>
        <v>Platformer</v>
      </c>
      <c r="N367" s="25" t="str">
        <f>IFERROR(__xludf.DUMMYFUNCTION("""COMPUTED_VALUE"""),"PSP")</f>
        <v>PSP</v>
      </c>
      <c r="O367" s="26" t="str">
        <f>IFERROR(__xludf.DUMMYFUNCTION("""COMPUTED_VALUE"""),"Yes")</f>
        <v>Yes</v>
      </c>
      <c r="P367" s="26"/>
    </row>
    <row r="368">
      <c r="A368" s="13" t="str">
        <f>IFERROR(__xludf.DUMMYFUNCTION("""COMPUTED_VALUE"""),"LEGO The Hobbit")</f>
        <v>LEGO The Hobbit</v>
      </c>
      <c r="B368" s="15" t="str">
        <f>IFERROR(__xludf.DUMMYFUNCTION("""COMPUTED_VALUE"""),"PS4")</f>
        <v>PS4</v>
      </c>
      <c r="C368" s="16" t="str">
        <f>IFERROR(__xludf.DUMMYFUNCTION("""COMPUTED_VALUE"""),"Extra")</f>
        <v>Extra</v>
      </c>
      <c r="D368" s="15" t="str">
        <f>IFERROR(__xludf.DUMMYFUNCTION("""COMPUTED_VALUE"""),"Active")</f>
        <v>Active</v>
      </c>
      <c r="E368" s="17">
        <f>IFERROR(__xludf.DUMMYFUNCTION("""COMPUTED_VALUE"""),45461.0)</f>
        <v>45461</v>
      </c>
      <c r="F368" s="54"/>
      <c r="G368" s="19">
        <f>IFERROR(__xludf.DUMMYFUNCTION("""COMPUTED_VALUE"""),27.599999999999998)</f>
        <v>27.6</v>
      </c>
      <c r="H368" s="17">
        <f>IFERROR(__xludf.DUMMYFUNCTION("""COMPUTED_VALUE"""),41737.0)</f>
        <v>41737</v>
      </c>
      <c r="I368" s="19">
        <f>IFERROR(__xludf.DUMMYFUNCTION("""COMPUTED_VALUE"""),10.194444444444445)</f>
        <v>10.19444444</v>
      </c>
      <c r="J368" s="21">
        <f>IFERROR(__xludf.DUMMYFUNCTION("""COMPUTED_VALUE"""),72.0)</f>
        <v>72</v>
      </c>
      <c r="K368" s="23">
        <f>IFERROR(__xludf.DUMMYFUNCTION("""COMPUTED_VALUE"""),6.7)</f>
        <v>6.7</v>
      </c>
      <c r="L368" s="24">
        <f>IFERROR(__xludf.DUMMYFUNCTION("""COMPUTED_VALUE"""),9.0)</f>
        <v>9</v>
      </c>
      <c r="M368" s="25" t="str">
        <f>IFERROR(__xludf.DUMMYFUNCTION("""COMPUTED_VALUE"""),"Action-Adventure")</f>
        <v>Action-Adventure</v>
      </c>
      <c r="N368" s="25"/>
      <c r="O368" s="26" t="str">
        <f>IFERROR(__xludf.DUMMYFUNCTION("""COMPUTED_VALUE"""),"Yes")</f>
        <v>Yes</v>
      </c>
      <c r="P368" s="26"/>
    </row>
    <row r="369">
      <c r="A369" s="13" t="str">
        <f>IFERROR(__xludf.DUMMYFUNCTION("""COMPUTED_VALUE"""),"G-Police")</f>
        <v>G-Police</v>
      </c>
      <c r="B369" s="15" t="str">
        <f>IFERROR(__xludf.DUMMYFUNCTION("""COMPUTED_VALUE"""),"PS5/PS4")</f>
        <v>PS5/PS4</v>
      </c>
      <c r="C369" s="16" t="str">
        <f>IFERROR(__xludf.DUMMYFUNCTION("""COMPUTED_VALUE"""),"Premium (Classics)")</f>
        <v>Premium (Classics)</v>
      </c>
      <c r="D369" s="15" t="str">
        <f>IFERROR(__xludf.DUMMYFUNCTION("""COMPUTED_VALUE"""),"Active")</f>
        <v>Active</v>
      </c>
      <c r="E369" s="17">
        <f>IFERROR(__xludf.DUMMYFUNCTION("""COMPUTED_VALUE"""),45433.0)</f>
        <v>45433</v>
      </c>
      <c r="F369" s="54"/>
      <c r="G369" s="19">
        <f>IFERROR(__xludf.DUMMYFUNCTION("""COMPUTED_VALUE"""),28.5)</f>
        <v>28.5</v>
      </c>
      <c r="H369" s="17">
        <f>IFERROR(__xludf.DUMMYFUNCTION("""COMPUTED_VALUE"""),35703.0)</f>
        <v>35703</v>
      </c>
      <c r="I369" s="19">
        <f>IFERROR(__xludf.DUMMYFUNCTION("""COMPUTED_VALUE"""),26.641666666666666)</f>
        <v>26.64166667</v>
      </c>
      <c r="J369" s="21">
        <f>IFERROR(__xludf.DUMMYFUNCTION("""COMPUTED_VALUE"""),72.0)</f>
        <v>72</v>
      </c>
      <c r="K369" s="23">
        <f>IFERROR(__xludf.DUMMYFUNCTION("""COMPUTED_VALUE"""),7.8)</f>
        <v>7.8</v>
      </c>
      <c r="L369" s="24">
        <f>IFERROR(__xludf.DUMMYFUNCTION("""COMPUTED_VALUE"""),15.0)</f>
        <v>15</v>
      </c>
      <c r="M369" s="25" t="str">
        <f>IFERROR(__xludf.DUMMYFUNCTION("""COMPUTED_VALUE"""),"Action-Adventure")</f>
        <v>Action-Adventure</v>
      </c>
      <c r="N369" s="25" t="str">
        <f>IFERROR(__xludf.DUMMYFUNCTION("""COMPUTED_VALUE"""),"PS1")</f>
        <v>PS1</v>
      </c>
      <c r="O369" s="26" t="str">
        <f>IFERROR(__xludf.DUMMYFUNCTION("""COMPUTED_VALUE"""),"Yes")</f>
        <v>Yes</v>
      </c>
      <c r="P369" s="26"/>
    </row>
    <row r="370">
      <c r="A370" s="13" t="str">
        <f>IFERROR(__xludf.DUMMYFUNCTION("""COMPUTED_VALUE"""),"Forager")</f>
        <v>Forager</v>
      </c>
      <c r="B370" s="15" t="str">
        <f>IFERROR(__xludf.DUMMYFUNCTION("""COMPUTED_VALUE"""),"PS4")</f>
        <v>PS4</v>
      </c>
      <c r="C370" s="16" t="str">
        <f>IFERROR(__xludf.DUMMYFUNCTION("""COMPUTED_VALUE"""),"Extra")</f>
        <v>Extra</v>
      </c>
      <c r="D370" s="15" t="str">
        <f>IFERROR(__xludf.DUMMYFUNCTION("""COMPUTED_VALUE"""),"Active")</f>
        <v>Active</v>
      </c>
      <c r="E370" s="17">
        <f>IFERROR(__xludf.DUMMYFUNCTION("""COMPUTED_VALUE"""),45097.0)</f>
        <v>45097</v>
      </c>
      <c r="F370" s="54"/>
      <c r="G370" s="19">
        <f>IFERROR(__xludf.DUMMYFUNCTION("""COMPUTED_VALUE"""),39.53333333333333)</f>
        <v>39.53333333</v>
      </c>
      <c r="H370" s="17">
        <f>IFERROR(__xludf.DUMMYFUNCTION("""COMPUTED_VALUE"""),43676.0)</f>
        <v>43676</v>
      </c>
      <c r="I370" s="19">
        <f>IFERROR(__xludf.DUMMYFUNCTION("""COMPUTED_VALUE"""),3.888888888888889)</f>
        <v>3.888888889</v>
      </c>
      <c r="J370" s="21">
        <f>IFERROR(__xludf.DUMMYFUNCTION("""COMPUTED_VALUE"""),72.0)</f>
        <v>72</v>
      </c>
      <c r="K370" s="23">
        <f>IFERROR(__xludf.DUMMYFUNCTION("""COMPUTED_VALUE"""),5.8)</f>
        <v>5.8</v>
      </c>
      <c r="L370" s="24">
        <f>IFERROR(__xludf.DUMMYFUNCTION("""COMPUTED_VALUE"""),15.0)</f>
        <v>15</v>
      </c>
      <c r="M370" s="25" t="str">
        <f>IFERROR(__xludf.DUMMYFUNCTION("""COMPUTED_VALUE"""),"Action-Adventure")</f>
        <v>Action-Adventure</v>
      </c>
      <c r="N370" s="25"/>
      <c r="O370" s="26" t="str">
        <f>IFERROR(__xludf.DUMMYFUNCTION("""COMPUTED_VALUE"""),"Yes")</f>
        <v>Yes</v>
      </c>
      <c r="P370" s="26"/>
    </row>
    <row r="371">
      <c r="A371" s="13" t="str">
        <f>IFERROR(__xludf.DUMMYFUNCTION("""COMPUTED_VALUE"""),"Story of Seasons: Friends of Mineral Town")</f>
        <v>Story of Seasons: Friends of Mineral Town</v>
      </c>
      <c r="B371" s="15" t="str">
        <f>IFERROR(__xludf.DUMMYFUNCTION("""COMPUTED_VALUE"""),"PS4")</f>
        <v>PS4</v>
      </c>
      <c r="C371" s="16" t="str">
        <f>IFERROR(__xludf.DUMMYFUNCTION("""COMPUTED_VALUE"""),"Extra")</f>
        <v>Extra</v>
      </c>
      <c r="D371" s="15" t="str">
        <f>IFERROR(__xludf.DUMMYFUNCTION("""COMPUTED_VALUE"""),"Active")</f>
        <v>Active</v>
      </c>
      <c r="E371" s="17">
        <f>IFERROR(__xludf.DUMMYFUNCTION("""COMPUTED_VALUE"""),45062.0)</f>
        <v>45062</v>
      </c>
      <c r="F371" s="54"/>
      <c r="G371" s="19">
        <f>IFERROR(__xludf.DUMMYFUNCTION("""COMPUTED_VALUE"""),40.666666666666664)</f>
        <v>40.66666667</v>
      </c>
      <c r="H371" s="17">
        <f>IFERROR(__xludf.DUMMYFUNCTION("""COMPUTED_VALUE"""),42993.0)</f>
        <v>42993</v>
      </c>
      <c r="I371" s="19">
        <f>IFERROR(__xludf.DUMMYFUNCTION("""COMPUTED_VALUE"""),5.669444444444444)</f>
        <v>5.669444444</v>
      </c>
      <c r="J371" s="21">
        <f>IFERROR(__xludf.DUMMYFUNCTION("""COMPUTED_VALUE"""),72.0)</f>
        <v>72</v>
      </c>
      <c r="K371" s="23">
        <f>IFERROR(__xludf.DUMMYFUNCTION("""COMPUTED_VALUE"""),7.4)</f>
        <v>7.4</v>
      </c>
      <c r="L371" s="24">
        <f>IFERROR(__xludf.DUMMYFUNCTION("""COMPUTED_VALUE"""),30.0)</f>
        <v>30</v>
      </c>
      <c r="M371" s="25" t="str">
        <f>IFERROR(__xludf.DUMMYFUNCTION("""COMPUTED_VALUE"""),"Strategy")</f>
        <v>Strategy</v>
      </c>
      <c r="N371" s="25"/>
      <c r="O371" s="26" t="str">
        <f>IFERROR(__xludf.DUMMYFUNCTION("""COMPUTED_VALUE"""),"Yes")</f>
        <v>Yes</v>
      </c>
      <c r="P371" s="26"/>
    </row>
    <row r="372">
      <c r="A372" s="13" t="str">
        <f>IFERROR(__xludf.DUMMYFUNCTION("""COMPUTED_VALUE"""),"Earth Defense Force 5")</f>
        <v>Earth Defense Force 5</v>
      </c>
      <c r="B372" s="15" t="str">
        <f>IFERROR(__xludf.DUMMYFUNCTION("""COMPUTED_VALUE"""),"PS4")</f>
        <v>PS4</v>
      </c>
      <c r="C372" s="16" t="str">
        <f>IFERROR(__xludf.DUMMYFUNCTION("""COMPUTED_VALUE"""),"Extra")</f>
        <v>Extra</v>
      </c>
      <c r="D372" s="15" t="str">
        <f>IFERROR(__xludf.DUMMYFUNCTION("""COMPUTED_VALUE"""),"Active")</f>
        <v>Active</v>
      </c>
      <c r="E372" s="17">
        <f>IFERROR(__xludf.DUMMYFUNCTION("""COMPUTED_VALUE"""),44978.0)</f>
        <v>44978</v>
      </c>
      <c r="F372" s="54"/>
      <c r="G372" s="19">
        <f>IFERROR(__xludf.DUMMYFUNCTION("""COMPUTED_VALUE"""),43.5)</f>
        <v>43.5</v>
      </c>
      <c r="H372" s="17">
        <f>IFERROR(__xludf.DUMMYFUNCTION("""COMPUTED_VALUE"""),43445.0)</f>
        <v>43445</v>
      </c>
      <c r="I372" s="19">
        <f>IFERROR(__xludf.DUMMYFUNCTION("""COMPUTED_VALUE"""),4.194444444444445)</f>
        <v>4.194444444</v>
      </c>
      <c r="J372" s="21">
        <f>IFERROR(__xludf.DUMMYFUNCTION("""COMPUTED_VALUE"""),72.0)</f>
        <v>72</v>
      </c>
      <c r="K372" s="23">
        <f>IFERROR(__xludf.DUMMYFUNCTION("""COMPUTED_VALUE"""),7.5)</f>
        <v>7.5</v>
      </c>
      <c r="L372" s="24">
        <f>IFERROR(__xludf.DUMMYFUNCTION("""COMPUTED_VALUE"""),28.0)</f>
        <v>28</v>
      </c>
      <c r="M372" s="25" t="str">
        <f>IFERROR(__xludf.DUMMYFUNCTION("""COMPUTED_VALUE"""),"Shooter")</f>
        <v>Shooter</v>
      </c>
      <c r="N372" s="25"/>
      <c r="O372" s="26" t="str">
        <f>IFERROR(__xludf.DUMMYFUNCTION("""COMPUTED_VALUE"""),"Yes")</f>
        <v>Yes</v>
      </c>
      <c r="P372" s="26"/>
    </row>
    <row r="373">
      <c r="A373" s="13" t="str">
        <f>IFERROR(__xludf.DUMMYFUNCTION("""COMPUTED_VALUE"""),"Assassin's Creed III: Remastered")</f>
        <v>Assassin's Creed III: Remastered</v>
      </c>
      <c r="B373" s="15" t="str">
        <f>IFERROR(__xludf.DUMMYFUNCTION("""COMPUTED_VALUE"""),"PS4")</f>
        <v>PS4</v>
      </c>
      <c r="C373" s="16" t="str">
        <f>IFERROR(__xludf.DUMMYFUNCTION("""COMPUTED_VALUE"""),"Extra (Ubisoft+ Classics)")</f>
        <v>Extra (Ubisoft+ Classics)</v>
      </c>
      <c r="D373" s="15" t="str">
        <f>IFERROR(__xludf.DUMMYFUNCTION("""COMPUTED_VALUE"""),"Active")</f>
        <v>Active</v>
      </c>
      <c r="E373" s="17">
        <f>IFERROR(__xludf.DUMMYFUNCTION("""COMPUTED_VALUE"""),44852.0)</f>
        <v>44852</v>
      </c>
      <c r="F373" s="54"/>
      <c r="G373" s="19">
        <f>IFERROR(__xludf.DUMMYFUNCTION("""COMPUTED_VALUE"""),47.6)</f>
        <v>47.6</v>
      </c>
      <c r="H373" s="17">
        <f>IFERROR(__xludf.DUMMYFUNCTION("""COMPUTED_VALUE"""),43553.0)</f>
        <v>43553</v>
      </c>
      <c r="I373" s="19">
        <f>IFERROR(__xludf.DUMMYFUNCTION("""COMPUTED_VALUE"""),3.5527777777777776)</f>
        <v>3.552777778</v>
      </c>
      <c r="J373" s="21">
        <f>IFERROR(__xludf.DUMMYFUNCTION("""COMPUTED_VALUE"""),72.0)</f>
        <v>72</v>
      </c>
      <c r="K373" s="23">
        <f>IFERROR(__xludf.DUMMYFUNCTION("""COMPUTED_VALUE"""),4.8)</f>
        <v>4.8</v>
      </c>
      <c r="L373" s="24">
        <f>IFERROR(__xludf.DUMMYFUNCTION("""COMPUTED_VALUE"""),14.5)</f>
        <v>14.5</v>
      </c>
      <c r="M373" s="25" t="str">
        <f>IFERROR(__xludf.DUMMYFUNCTION("""COMPUTED_VALUE"""),"RPG")</f>
        <v>RPG</v>
      </c>
      <c r="N373" s="25"/>
      <c r="O373" s="26" t="str">
        <f>IFERROR(__xludf.DUMMYFUNCTION("""COMPUTED_VALUE"""),"Yes")</f>
        <v>Yes</v>
      </c>
      <c r="P373" s="26"/>
    </row>
    <row r="374">
      <c r="A374" s="13" t="str">
        <f>IFERROR(__xludf.DUMMYFUNCTION("""COMPUTED_VALUE"""),"Kingdom of Paradise")</f>
        <v>Kingdom of Paradise</v>
      </c>
      <c r="B374" s="15" t="str">
        <f>IFERROR(__xludf.DUMMYFUNCTION("""COMPUTED_VALUE"""),"PS5/PS4")</f>
        <v>PS5/PS4</v>
      </c>
      <c r="C374" s="16" t="str">
        <f>IFERROR(__xludf.DUMMYFUNCTION("""COMPUTED_VALUE"""),"Premium (Classics)")</f>
        <v>Premium (Classics)</v>
      </c>
      <c r="D374" s="15" t="str">
        <f>IFERROR(__xludf.DUMMYFUNCTION("""COMPUTED_VALUE"""),"Active")</f>
        <v>Active</v>
      </c>
      <c r="E374" s="17">
        <f>IFERROR(__xludf.DUMMYFUNCTION("""COMPUTED_VALUE"""),44824.0)</f>
        <v>44824</v>
      </c>
      <c r="F374" s="54"/>
      <c r="G374" s="19">
        <f>IFERROR(__xludf.DUMMYFUNCTION("""COMPUTED_VALUE"""),48.53333333333333)</f>
        <v>48.53333333</v>
      </c>
      <c r="H374" s="17">
        <f>IFERROR(__xludf.DUMMYFUNCTION("""COMPUTED_VALUE"""),38671.0)</f>
        <v>38671</v>
      </c>
      <c r="I374" s="19">
        <f>IFERROR(__xludf.DUMMYFUNCTION("""COMPUTED_VALUE"""),16.84722222222222)</f>
        <v>16.84722222</v>
      </c>
      <c r="J374" s="21">
        <f>IFERROR(__xludf.DUMMYFUNCTION("""COMPUTED_VALUE"""),72.0)</f>
        <v>72</v>
      </c>
      <c r="K374" s="23">
        <f>IFERROR(__xludf.DUMMYFUNCTION("""COMPUTED_VALUE"""),7.5)</f>
        <v>7.5</v>
      </c>
      <c r="L374" s="24">
        <f>IFERROR(__xludf.DUMMYFUNCTION("""COMPUTED_VALUE"""),22.0)</f>
        <v>22</v>
      </c>
      <c r="M374" s="25" t="str">
        <f>IFERROR(__xludf.DUMMYFUNCTION("""COMPUTED_VALUE"""),"Action-Adventure")</f>
        <v>Action-Adventure</v>
      </c>
      <c r="N374" s="25" t="str">
        <f>IFERROR(__xludf.DUMMYFUNCTION("""COMPUTED_VALUE"""),"PSP")</f>
        <v>PSP</v>
      </c>
      <c r="O374" s="26" t="str">
        <f>IFERROR(__xludf.DUMMYFUNCTION("""COMPUTED_VALUE"""),"Yes")</f>
        <v>Yes</v>
      </c>
      <c r="P374" s="26"/>
    </row>
    <row r="375">
      <c r="A375" s="13" t="str">
        <f>IFERROR(__xludf.DUMMYFUNCTION("""COMPUTED_VALUE"""),"Assassin's Creed: The Ezio Collection")</f>
        <v>Assassin's Creed: The Ezio Collection</v>
      </c>
      <c r="B375" s="15" t="str">
        <f>IFERROR(__xludf.DUMMYFUNCTION("""COMPUTED_VALUE"""),"PS4")</f>
        <v>PS4</v>
      </c>
      <c r="C375" s="16" t="str">
        <f>IFERROR(__xludf.DUMMYFUNCTION("""COMPUTED_VALUE"""),"Extra (Ubisoft+ Classics)")</f>
        <v>Extra (Ubisoft+ Classics)</v>
      </c>
      <c r="D375" s="15" t="str">
        <f>IFERROR(__xludf.DUMMYFUNCTION("""COMPUTED_VALUE"""),"Active")</f>
        <v>Active</v>
      </c>
      <c r="E375" s="17">
        <f>IFERROR(__xludf.DUMMYFUNCTION("""COMPUTED_VALUE"""),44761.0)</f>
        <v>44761</v>
      </c>
      <c r="F375" s="54"/>
      <c r="G375" s="19">
        <f>IFERROR(__xludf.DUMMYFUNCTION("""COMPUTED_VALUE"""),50.56666666666666)</f>
        <v>50.56666667</v>
      </c>
      <c r="H375" s="17">
        <f>IFERROR(__xludf.DUMMYFUNCTION("""COMPUTED_VALUE"""),42689.0)</f>
        <v>42689</v>
      </c>
      <c r="I375" s="19">
        <f>IFERROR(__xludf.DUMMYFUNCTION("""COMPUTED_VALUE"""),5.677777777777778)</f>
        <v>5.677777778</v>
      </c>
      <c r="J375" s="21">
        <f>IFERROR(__xludf.DUMMYFUNCTION("""COMPUTED_VALUE"""),72.0)</f>
        <v>72</v>
      </c>
      <c r="K375" s="23">
        <f>IFERROR(__xludf.DUMMYFUNCTION("""COMPUTED_VALUE"""),8.2)</f>
        <v>8.2</v>
      </c>
      <c r="L375" s="24">
        <f>IFERROR(__xludf.DUMMYFUNCTION("""COMPUTED_VALUE"""),68.5)</f>
        <v>68.5</v>
      </c>
      <c r="M375" s="25" t="str">
        <f>IFERROR(__xludf.DUMMYFUNCTION("""COMPUTED_VALUE"""),"RPG")</f>
        <v>RPG</v>
      </c>
      <c r="N375" s="25"/>
      <c r="O375" s="26" t="str">
        <f>IFERROR(__xludf.DUMMYFUNCTION("""COMPUTED_VALUE"""),"Yes")</f>
        <v>Yes</v>
      </c>
      <c r="P375" s="26"/>
    </row>
    <row r="376">
      <c r="A376" s="13" t="str">
        <f>IFERROR(__xludf.DUMMYFUNCTION("""COMPUTED_VALUE"""),"Skate")</f>
        <v>Skate</v>
      </c>
      <c r="B376" s="15" t="str">
        <f>IFERROR(__xludf.DUMMYFUNCTION("""COMPUTED_VALUE"""),"PS4/PSVR")</f>
        <v>PS4/PSVR</v>
      </c>
      <c r="C376" s="16" t="str">
        <f>IFERROR(__xludf.DUMMYFUNCTION("""COMPUTED_VALUE"""),"Extra")</f>
        <v>Extra</v>
      </c>
      <c r="D376" s="15" t="str">
        <f>IFERROR(__xludf.DUMMYFUNCTION("""COMPUTED_VALUE"""),"Active")</f>
        <v>Active</v>
      </c>
      <c r="E376" s="17">
        <f>IFERROR(__xludf.DUMMYFUNCTION("""COMPUTED_VALUE"""),44725.0)</f>
        <v>44725</v>
      </c>
      <c r="F376" s="54"/>
      <c r="G376" s="19">
        <f>IFERROR(__xludf.DUMMYFUNCTION("""COMPUTED_VALUE"""),51.766666666666666)</f>
        <v>51.76666667</v>
      </c>
      <c r="H376" s="17">
        <f>IFERROR(__xludf.DUMMYFUNCTION("""COMPUTED_VALUE"""),42583.0)</f>
        <v>42583</v>
      </c>
      <c r="I376" s="19">
        <f>IFERROR(__xludf.DUMMYFUNCTION("""COMPUTED_VALUE"""),5.866666666666666)</f>
        <v>5.866666667</v>
      </c>
      <c r="J376" s="21">
        <f>IFERROR(__xludf.DUMMYFUNCTION("""COMPUTED_VALUE"""),72.0)</f>
        <v>72</v>
      </c>
      <c r="K376" s="23">
        <f>IFERROR(__xludf.DUMMYFUNCTION("""COMPUTED_VALUE"""),8.0)</f>
        <v>8</v>
      </c>
      <c r="L376" s="24">
        <f>IFERROR(__xludf.DUMMYFUNCTION("""COMPUTED_VALUE"""),2.0)</f>
        <v>2</v>
      </c>
      <c r="M376" s="25" t="str">
        <f>IFERROR(__xludf.DUMMYFUNCTION("""COMPUTED_VALUE"""),"Platformer")</f>
        <v>Platformer</v>
      </c>
      <c r="N376" s="25"/>
      <c r="O376" s="26" t="str">
        <f>IFERROR(__xludf.DUMMYFUNCTION("""COMPUTED_VALUE"""),"No")</f>
        <v>No</v>
      </c>
      <c r="P376" s="26"/>
    </row>
    <row r="377">
      <c r="A377" s="13" t="str">
        <f>IFERROR(__xludf.DUMMYFUNCTION("""COMPUTED_VALUE"""),"Dead or Alive 5: Last Round")</f>
        <v>Dead or Alive 5: Last Round</v>
      </c>
      <c r="B377" s="15" t="str">
        <f>IFERROR(__xludf.DUMMYFUNCTION("""COMPUTED_VALUE"""),"PS4")</f>
        <v>PS4</v>
      </c>
      <c r="C377" s="16" t="str">
        <f>IFERROR(__xludf.DUMMYFUNCTION("""COMPUTED_VALUE"""),"Extra")</f>
        <v>Extra</v>
      </c>
      <c r="D377" s="15" t="str">
        <f>IFERROR(__xludf.DUMMYFUNCTION("""COMPUTED_VALUE"""),"Active")</f>
        <v>Active</v>
      </c>
      <c r="E377" s="17">
        <f>IFERROR(__xludf.DUMMYFUNCTION("""COMPUTED_VALUE"""),44725.0)</f>
        <v>44725</v>
      </c>
      <c r="F377" s="54"/>
      <c r="G377" s="19">
        <f>IFERROR(__xludf.DUMMYFUNCTION("""COMPUTED_VALUE"""),51.766666666666666)</f>
        <v>51.76666667</v>
      </c>
      <c r="H377" s="17">
        <f>IFERROR(__xludf.DUMMYFUNCTION("""COMPUTED_VALUE"""),42036.0)</f>
        <v>42036</v>
      </c>
      <c r="I377" s="19">
        <f>IFERROR(__xludf.DUMMYFUNCTION("""COMPUTED_VALUE"""),7.366666666666666)</f>
        <v>7.366666667</v>
      </c>
      <c r="J377" s="21">
        <f>IFERROR(__xludf.DUMMYFUNCTION("""COMPUTED_VALUE"""),72.0)</f>
        <v>72</v>
      </c>
      <c r="K377" s="23">
        <f>IFERROR(__xludf.DUMMYFUNCTION("""COMPUTED_VALUE"""),7.4)</f>
        <v>7.4</v>
      </c>
      <c r="L377" s="24">
        <f>IFERROR(__xludf.DUMMYFUNCTION("""COMPUTED_VALUE"""),3.5)</f>
        <v>3.5</v>
      </c>
      <c r="M377" s="25" t="str">
        <f>IFERROR(__xludf.DUMMYFUNCTION("""COMPUTED_VALUE"""),"Fighting")</f>
        <v>Fighting</v>
      </c>
      <c r="N377" s="25"/>
      <c r="O377" s="26" t="str">
        <f>IFERROR(__xludf.DUMMYFUNCTION("""COMPUTED_VALUE"""),"Yes")</f>
        <v>Yes</v>
      </c>
      <c r="P377" s="26" t="str">
        <f>IFERROR(__xludf.DUMMYFUNCTION("""COMPUTED_VALUE"""),"Yes")</f>
        <v>Yes</v>
      </c>
    </row>
    <row r="378">
      <c r="A378" s="13" t="str">
        <f>IFERROR(__xludf.DUMMYFUNCTION("""COMPUTED_VALUE"""),"Arc The Lad: Twilight of the Spirits")</f>
        <v>Arc The Lad: Twilight of the Spirits</v>
      </c>
      <c r="B378" s="15" t="str">
        <f>IFERROR(__xludf.DUMMYFUNCTION("""COMPUTED_VALUE"""),"PS4")</f>
        <v>PS4</v>
      </c>
      <c r="C378" s="16" t="str">
        <f>IFERROR(__xludf.DUMMYFUNCTION("""COMPUTED_VALUE"""),"Premium (Classics)")</f>
        <v>Premium (Classics)</v>
      </c>
      <c r="D378" s="15" t="str">
        <f>IFERROR(__xludf.DUMMYFUNCTION("""COMPUTED_VALUE"""),"Active")</f>
        <v>Active</v>
      </c>
      <c r="E378" s="17">
        <f>IFERROR(__xludf.DUMMYFUNCTION("""COMPUTED_VALUE"""),44725.0)</f>
        <v>44725</v>
      </c>
      <c r="F378" s="54"/>
      <c r="G378" s="19">
        <f>IFERROR(__xludf.DUMMYFUNCTION("""COMPUTED_VALUE"""),51.766666666666666)</f>
        <v>51.76666667</v>
      </c>
      <c r="H378" s="17">
        <f>IFERROR(__xludf.DUMMYFUNCTION("""COMPUTED_VALUE"""),37773.0)</f>
        <v>37773</v>
      </c>
      <c r="I378" s="19">
        <f>IFERROR(__xludf.DUMMYFUNCTION("""COMPUTED_VALUE"""),19.033333333333335)</f>
        <v>19.03333333</v>
      </c>
      <c r="J378" s="21">
        <f>IFERROR(__xludf.DUMMYFUNCTION("""COMPUTED_VALUE"""),72.0)</f>
        <v>72</v>
      </c>
      <c r="K378" s="23">
        <f>IFERROR(__xludf.DUMMYFUNCTION("""COMPUTED_VALUE"""),8.0)</f>
        <v>8</v>
      </c>
      <c r="L378" s="24">
        <f>IFERROR(__xludf.DUMMYFUNCTION("""COMPUTED_VALUE"""),60.0)</f>
        <v>60</v>
      </c>
      <c r="M378" s="25" t="str">
        <f>IFERROR(__xludf.DUMMYFUNCTION("""COMPUTED_VALUE"""),"Turn-Based Tactics")</f>
        <v>Turn-Based Tactics</v>
      </c>
      <c r="N378" s="25" t="str">
        <f>IFERROR(__xludf.DUMMYFUNCTION("""COMPUTED_VALUE"""),"PS2")</f>
        <v>PS2</v>
      </c>
      <c r="O378" s="26" t="str">
        <f>IFERROR(__xludf.DUMMYFUNCTION("""COMPUTED_VALUE"""),"Yes")</f>
        <v>Yes</v>
      </c>
      <c r="P378" s="26" t="str">
        <f>IFERROR(__xludf.DUMMYFUNCTION("""COMPUTED_VALUE"""),"")</f>
        <v/>
      </c>
    </row>
    <row r="379">
      <c r="A379" s="13" t="str">
        <f>IFERROR(__xludf.DUMMYFUNCTION("""COMPUTED_VALUE"""),"FantaVision")</f>
        <v>FantaVision</v>
      </c>
      <c r="B379" s="15" t="str">
        <f>IFERROR(__xludf.DUMMYFUNCTION("""COMPUTED_VALUE"""),"PS4")</f>
        <v>PS4</v>
      </c>
      <c r="C379" s="16" t="str">
        <f>IFERROR(__xludf.DUMMYFUNCTION("""COMPUTED_VALUE"""),"Premium (Classics)")</f>
        <v>Premium (Classics)</v>
      </c>
      <c r="D379" s="15" t="str">
        <f>IFERROR(__xludf.DUMMYFUNCTION("""COMPUTED_VALUE"""),"Active")</f>
        <v>Active</v>
      </c>
      <c r="E379" s="17">
        <f>IFERROR(__xludf.DUMMYFUNCTION("""COMPUTED_VALUE"""),44725.0)</f>
        <v>44725</v>
      </c>
      <c r="F379" s="54"/>
      <c r="G379" s="19">
        <f>IFERROR(__xludf.DUMMYFUNCTION("""COMPUTED_VALUE"""),51.766666666666666)</f>
        <v>51.76666667</v>
      </c>
      <c r="H379" s="17">
        <f>IFERROR(__xludf.DUMMYFUNCTION("""COMPUTED_VALUE"""),36800.0)</f>
        <v>36800</v>
      </c>
      <c r="I379" s="19">
        <f>IFERROR(__xludf.DUMMYFUNCTION("""COMPUTED_VALUE"""),21.7)</f>
        <v>21.7</v>
      </c>
      <c r="J379" s="21">
        <f>IFERROR(__xludf.DUMMYFUNCTION("""COMPUTED_VALUE"""),72.0)</f>
        <v>72</v>
      </c>
      <c r="K379" s="23">
        <f>IFERROR(__xludf.DUMMYFUNCTION("""COMPUTED_VALUE"""),7.3)</f>
        <v>7.3</v>
      </c>
      <c r="L379" s="24">
        <f>IFERROR(__xludf.DUMMYFUNCTION("""COMPUTED_VALUE"""),4.0)</f>
        <v>4</v>
      </c>
      <c r="M379" s="25" t="str">
        <f>IFERROR(__xludf.DUMMYFUNCTION("""COMPUTED_VALUE"""),"Puzzle")</f>
        <v>Puzzle</v>
      </c>
      <c r="N379" s="25" t="str">
        <f>IFERROR(__xludf.DUMMYFUNCTION("""COMPUTED_VALUE"""),"PS2")</f>
        <v>PS2</v>
      </c>
      <c r="O379" s="26" t="str">
        <f>IFERROR(__xludf.DUMMYFUNCTION("""COMPUTED_VALUE"""),"Yes")</f>
        <v>Yes</v>
      </c>
      <c r="P379" s="26" t="str">
        <f>IFERROR(__xludf.DUMMYFUNCTION("""COMPUTED_VALUE"""),"")</f>
        <v/>
      </c>
    </row>
    <row r="380">
      <c r="A380" s="13" t="str">
        <f>IFERROR(__xludf.DUMMYFUNCTION("""COMPUTED_VALUE"""),"SIREN")</f>
        <v>SIREN</v>
      </c>
      <c r="B380" s="15" t="str">
        <f>IFERROR(__xludf.DUMMYFUNCTION("""COMPUTED_VALUE"""),"PS5/PS4")</f>
        <v>PS5/PS4</v>
      </c>
      <c r="C380" s="16" t="str">
        <f>IFERROR(__xludf.DUMMYFUNCTION("""COMPUTED_VALUE"""),"Premium (Classics)")</f>
        <v>Premium (Classics)</v>
      </c>
      <c r="D380" s="15" t="str">
        <f>IFERROR(__xludf.DUMMYFUNCTION("""COMPUTED_VALUE"""),"Active")</f>
        <v>Active</v>
      </c>
      <c r="E380" s="17">
        <f>IFERROR(__xludf.DUMMYFUNCTION("""COMPUTED_VALUE"""),44725.0)</f>
        <v>44725</v>
      </c>
      <c r="F380" s="54"/>
      <c r="G380" s="19">
        <f>IFERROR(__xludf.DUMMYFUNCTION("""COMPUTED_VALUE"""),51.766666666666666)</f>
        <v>51.76666667</v>
      </c>
      <c r="H380" s="17">
        <f>IFERROR(__xludf.DUMMYFUNCTION("""COMPUTED_VALUE"""),38078.0)</f>
        <v>38078</v>
      </c>
      <c r="I380" s="19">
        <f>IFERROR(__xludf.DUMMYFUNCTION("""COMPUTED_VALUE"""),18.2)</f>
        <v>18.2</v>
      </c>
      <c r="J380" s="21">
        <f>IFERROR(__xludf.DUMMYFUNCTION("""COMPUTED_VALUE"""),72.0)</f>
        <v>72</v>
      </c>
      <c r="K380" s="23">
        <f>IFERROR(__xludf.DUMMYFUNCTION("""COMPUTED_VALUE"""),8.1)</f>
        <v>8.1</v>
      </c>
      <c r="L380" s="24">
        <f>IFERROR(__xludf.DUMMYFUNCTION("""COMPUTED_VALUE"""),20.0)</f>
        <v>20</v>
      </c>
      <c r="M380" s="25" t="str">
        <f>IFERROR(__xludf.DUMMYFUNCTION("""COMPUTED_VALUE"""),"Survival")</f>
        <v>Survival</v>
      </c>
      <c r="N380" s="25" t="str">
        <f>IFERROR(__xludf.DUMMYFUNCTION("""COMPUTED_VALUE"""),"PS2")</f>
        <v>PS2</v>
      </c>
      <c r="O380" s="26" t="str">
        <f>IFERROR(__xludf.DUMMYFUNCTION("""COMPUTED_VALUE"""),"Yes")</f>
        <v>Yes</v>
      </c>
      <c r="P380" s="26" t="str">
        <f>IFERROR(__xludf.DUMMYFUNCTION("""COMPUTED_VALUE"""),"")</f>
        <v/>
      </c>
    </row>
    <row r="381">
      <c r="A381" s="13" t="str">
        <f>IFERROR(__xludf.DUMMYFUNCTION("""COMPUTED_VALUE"""),"Patapon: Remastered")</f>
        <v>Patapon: Remastered</v>
      </c>
      <c r="B381" s="15" t="str">
        <f>IFERROR(__xludf.DUMMYFUNCTION("""COMPUTED_VALUE"""),"PS4")</f>
        <v>PS4</v>
      </c>
      <c r="C381" s="16" t="str">
        <f>IFERROR(__xludf.DUMMYFUNCTION("""COMPUTED_VALUE"""),"Premium (Remasters)")</f>
        <v>Premium (Remasters)</v>
      </c>
      <c r="D381" s="15" t="str">
        <f>IFERROR(__xludf.DUMMYFUNCTION("""COMPUTED_VALUE"""),"Active")</f>
        <v>Active</v>
      </c>
      <c r="E381" s="17">
        <f>IFERROR(__xludf.DUMMYFUNCTION("""COMPUTED_VALUE"""),44725.0)</f>
        <v>44725</v>
      </c>
      <c r="F381" s="54"/>
      <c r="G381" s="19">
        <f>IFERROR(__xludf.DUMMYFUNCTION("""COMPUTED_VALUE"""),51.766666666666666)</f>
        <v>51.76666667</v>
      </c>
      <c r="H381" s="17">
        <f>IFERROR(__xludf.DUMMYFUNCTION("""COMPUTED_VALUE"""),42948.0)</f>
        <v>42948</v>
      </c>
      <c r="I381" s="19">
        <f>IFERROR(__xludf.DUMMYFUNCTION("""COMPUTED_VALUE"""),4.866666666666666)</f>
        <v>4.866666667</v>
      </c>
      <c r="J381" s="21">
        <f>IFERROR(__xludf.DUMMYFUNCTION("""COMPUTED_VALUE"""),72.0)</f>
        <v>72</v>
      </c>
      <c r="K381" s="23">
        <f>IFERROR(__xludf.DUMMYFUNCTION("""COMPUTED_VALUE"""),7.9)</f>
        <v>7.9</v>
      </c>
      <c r="L381" s="24">
        <f>IFERROR(__xludf.DUMMYFUNCTION("""COMPUTED_VALUE"""),7.0)</f>
        <v>7</v>
      </c>
      <c r="M381" s="25" t="str">
        <f>IFERROR(__xludf.DUMMYFUNCTION("""COMPUTED_VALUE"""),"Rhythm")</f>
        <v>Rhythm</v>
      </c>
      <c r="N381" s="25" t="str">
        <f>IFERROR(__xludf.DUMMYFUNCTION("""COMPUTED_VALUE"""),"PSP")</f>
        <v>PSP</v>
      </c>
      <c r="O381" s="26" t="str">
        <f>IFERROR(__xludf.DUMMYFUNCTION("""COMPUTED_VALUE"""),"No")</f>
        <v>No</v>
      </c>
      <c r="P381" s="26"/>
    </row>
    <row r="382">
      <c r="A382" s="13" t="str">
        <f>IFERROR(__xludf.DUMMYFUNCTION("""COMPUTED_VALUE"""),"Zombie Army 4: Dead War")</f>
        <v>Zombie Army 4: Dead War</v>
      </c>
      <c r="B382" s="15" t="str">
        <f>IFERROR(__xludf.DUMMYFUNCTION("""COMPUTED_VALUE"""),"PS4")</f>
        <v>PS4</v>
      </c>
      <c r="C382" s="16" t="str">
        <f>IFERROR(__xludf.DUMMYFUNCTION("""COMPUTED_VALUE"""),"Extra")</f>
        <v>Extra</v>
      </c>
      <c r="D382" s="15" t="str">
        <f>IFERROR(__xludf.DUMMYFUNCTION("""COMPUTED_VALUE"""),"Active")</f>
        <v>Active</v>
      </c>
      <c r="E382" s="17">
        <f>IFERROR(__xludf.DUMMYFUNCTION("""COMPUTED_VALUE"""),44292.0)</f>
        <v>44292</v>
      </c>
      <c r="F382" s="54"/>
      <c r="G382" s="19">
        <f>IFERROR(__xludf.DUMMYFUNCTION("""COMPUTED_VALUE"""),66.0)</f>
        <v>66</v>
      </c>
      <c r="H382" s="17">
        <f>IFERROR(__xludf.DUMMYFUNCTION("""COMPUTED_VALUE"""),43865.0)</f>
        <v>43865</v>
      </c>
      <c r="I382" s="19">
        <f>IFERROR(__xludf.DUMMYFUNCTION("""COMPUTED_VALUE"""),1.1722222222222223)</f>
        <v>1.172222222</v>
      </c>
      <c r="J382" s="21">
        <f>IFERROR(__xludf.DUMMYFUNCTION("""COMPUTED_VALUE"""),72.0)</f>
        <v>72</v>
      </c>
      <c r="K382" s="23">
        <f>IFERROR(__xludf.DUMMYFUNCTION("""COMPUTED_VALUE"""),7.4)</f>
        <v>7.4</v>
      </c>
      <c r="L382" s="24">
        <f>IFERROR(__xludf.DUMMYFUNCTION("""COMPUTED_VALUE"""),20.0)</f>
        <v>20</v>
      </c>
      <c r="M382" s="25" t="str">
        <f>IFERROR(__xludf.DUMMYFUNCTION("""COMPUTED_VALUE"""),"Shooter")</f>
        <v>Shooter</v>
      </c>
      <c r="N382" s="25"/>
      <c r="O382" s="26" t="str">
        <f>IFERROR(__xludf.DUMMYFUNCTION("""COMPUTED_VALUE"""),"Yes")</f>
        <v>Yes</v>
      </c>
      <c r="P382" s="26"/>
    </row>
    <row r="383">
      <c r="A383" s="13" t="str">
        <f>IFERROR(__xludf.DUMMYFUNCTION("""COMPUTED_VALUE"""),"The Raven: Remastered")</f>
        <v>The Raven: Remastered</v>
      </c>
      <c r="B383" s="15" t="str">
        <f>IFERROR(__xludf.DUMMYFUNCTION("""COMPUTED_VALUE"""),"PS4")</f>
        <v>PS4</v>
      </c>
      <c r="C383" s="16" t="str">
        <f>IFERROR(__xludf.DUMMYFUNCTION("""COMPUTED_VALUE"""),"Premium (Remasters)")</f>
        <v>Premium (Remasters)</v>
      </c>
      <c r="D383" s="15" t="str">
        <f>IFERROR(__xludf.DUMMYFUNCTION("""COMPUTED_VALUE"""),"Active")</f>
        <v>Active</v>
      </c>
      <c r="E383" s="17">
        <f>IFERROR(__xludf.DUMMYFUNCTION("""COMPUTED_VALUE"""),43683.0)</f>
        <v>43683</v>
      </c>
      <c r="F383" s="54"/>
      <c r="G383" s="19">
        <f>IFERROR(__xludf.DUMMYFUNCTION("""COMPUTED_VALUE"""),86.0)</f>
        <v>86</v>
      </c>
      <c r="H383" s="17">
        <f>IFERROR(__xludf.DUMMYFUNCTION("""COMPUTED_VALUE"""),43160.0)</f>
        <v>43160</v>
      </c>
      <c r="I383" s="19">
        <f>IFERROR(__xludf.DUMMYFUNCTION("""COMPUTED_VALUE"""),1.4305555555555556)</f>
        <v>1.430555556</v>
      </c>
      <c r="J383" s="21">
        <f>IFERROR(__xludf.DUMMYFUNCTION("""COMPUTED_VALUE"""),72.0)</f>
        <v>72</v>
      </c>
      <c r="K383" s="23">
        <f>IFERROR(__xludf.DUMMYFUNCTION("""COMPUTED_VALUE"""),7.3)</f>
        <v>7.3</v>
      </c>
      <c r="L383" s="24">
        <f>IFERROR(__xludf.DUMMYFUNCTION("""COMPUTED_VALUE"""),10.0)</f>
        <v>10</v>
      </c>
      <c r="M383" s="25" t="str">
        <f>IFERROR(__xludf.DUMMYFUNCTION("""COMPUTED_VALUE"""),"Point-and-Click")</f>
        <v>Point-and-Click</v>
      </c>
      <c r="N383" s="25" t="str">
        <f>IFERROR(__xludf.DUMMYFUNCTION("""COMPUTED_VALUE"""),"PS3")</f>
        <v>PS3</v>
      </c>
      <c r="O383" s="26" t="str">
        <f>IFERROR(__xludf.DUMMYFUNCTION("""COMPUTED_VALUE"""),"Yes")</f>
        <v>Yes</v>
      </c>
      <c r="P383" s="26"/>
    </row>
    <row r="384">
      <c r="A384" s="13" t="str">
        <f>IFERROR(__xludf.DUMMYFUNCTION("""COMPUTED_VALUE"""),"Steep")</f>
        <v>Steep</v>
      </c>
      <c r="B384" s="15" t="str">
        <f>IFERROR(__xludf.DUMMYFUNCTION("""COMPUTED_VALUE"""),"PS4")</f>
        <v>PS4</v>
      </c>
      <c r="C384" s="16" t="str">
        <f>IFERROR(__xludf.DUMMYFUNCTION("""COMPUTED_VALUE"""),"Extra (Ubisoft+ Classics)")</f>
        <v>Extra (Ubisoft+ Classics)</v>
      </c>
      <c r="D384" s="15" t="str">
        <f>IFERROR(__xludf.DUMMYFUNCTION("""COMPUTED_VALUE"""),"Active")</f>
        <v>Active</v>
      </c>
      <c r="E384" s="17">
        <f>IFERROR(__xludf.DUMMYFUNCTION("""COMPUTED_VALUE"""),43410.0)</f>
        <v>43410</v>
      </c>
      <c r="F384" s="54"/>
      <c r="G384" s="19">
        <f>IFERROR(__xludf.DUMMYFUNCTION("""COMPUTED_VALUE"""),95.0)</f>
        <v>95</v>
      </c>
      <c r="H384" s="17">
        <f>IFERROR(__xludf.DUMMYFUNCTION("""COMPUTED_VALUE"""),42706.0)</f>
        <v>42706</v>
      </c>
      <c r="I384" s="19">
        <f>IFERROR(__xludf.DUMMYFUNCTION("""COMPUTED_VALUE"""),1.9277777777777778)</f>
        <v>1.927777778</v>
      </c>
      <c r="J384" s="21">
        <f>IFERROR(__xludf.DUMMYFUNCTION("""COMPUTED_VALUE"""),72.0)</f>
        <v>72</v>
      </c>
      <c r="K384" s="23">
        <f>IFERROR(__xludf.DUMMYFUNCTION("""COMPUTED_VALUE"""),7.0)</f>
        <v>7</v>
      </c>
      <c r="L384" s="24">
        <f>IFERROR(__xludf.DUMMYFUNCTION("""COMPUTED_VALUE"""),12.0)</f>
        <v>12</v>
      </c>
      <c r="M384" s="25" t="str">
        <f>IFERROR(__xludf.DUMMYFUNCTION("""COMPUTED_VALUE"""),"Sports")</f>
        <v>Sports</v>
      </c>
      <c r="N384" s="25"/>
      <c r="O384" s="26" t="str">
        <f>IFERROR(__xludf.DUMMYFUNCTION("""COMPUTED_VALUE"""),"Yes")</f>
        <v>Yes</v>
      </c>
      <c r="P384" s="26"/>
    </row>
    <row r="385">
      <c r="A385" s="13" t="str">
        <f>IFERROR(__xludf.DUMMYFUNCTION("""COMPUTED_VALUE"""),"BEYOND: Two Souls (2016)")</f>
        <v>BEYOND: Two Souls (2016)</v>
      </c>
      <c r="B385" s="15" t="str">
        <f>IFERROR(__xludf.DUMMYFUNCTION("""COMPUTED_VALUE"""),"PS4")</f>
        <v>PS4</v>
      </c>
      <c r="C385" s="16" t="str">
        <f>IFERROR(__xludf.DUMMYFUNCTION("""COMPUTED_VALUE"""),"Premium (Remasters)")</f>
        <v>Premium (Remasters)</v>
      </c>
      <c r="D385" s="15" t="str">
        <f>IFERROR(__xludf.DUMMYFUNCTION("""COMPUTED_VALUE"""),"Active")</f>
        <v>Active</v>
      </c>
      <c r="E385" s="17">
        <f>IFERROR(__xludf.DUMMYFUNCTION("""COMPUTED_VALUE"""),42556.0)</f>
        <v>42556</v>
      </c>
      <c r="F385" s="54"/>
      <c r="G385" s="19">
        <f>IFERROR(__xludf.DUMMYFUNCTION("""COMPUTED_VALUE"""),123.03333333333333)</f>
        <v>123.0333333</v>
      </c>
      <c r="H385" s="17">
        <f>IFERROR(__xludf.DUMMYFUNCTION("""COMPUTED_VALUE"""),42309.0)</f>
        <v>42309</v>
      </c>
      <c r="I385" s="19">
        <f>IFERROR(__xludf.DUMMYFUNCTION("""COMPUTED_VALUE"""),0.6777777777777778)</f>
        <v>0.6777777778</v>
      </c>
      <c r="J385" s="21">
        <f>IFERROR(__xludf.DUMMYFUNCTION("""COMPUTED_VALUE"""),72.0)</f>
        <v>72</v>
      </c>
      <c r="K385" s="23">
        <f>IFERROR(__xludf.DUMMYFUNCTION("""COMPUTED_VALUE"""),8.0)</f>
        <v>8</v>
      </c>
      <c r="L385" s="24">
        <f>IFERROR(__xludf.DUMMYFUNCTION("""COMPUTED_VALUE"""),11.0)</f>
        <v>11</v>
      </c>
      <c r="M385" s="25" t="str">
        <f>IFERROR(__xludf.DUMMYFUNCTION("""COMPUTED_VALUE"""),"Action-Adventure")</f>
        <v>Action-Adventure</v>
      </c>
      <c r="N385" s="25" t="str">
        <f>IFERROR(__xludf.DUMMYFUNCTION("""COMPUTED_VALUE"""),"PS3")</f>
        <v>PS3</v>
      </c>
      <c r="O385" s="26" t="str">
        <f>IFERROR(__xludf.DUMMYFUNCTION("""COMPUTED_VALUE"""),"Yes")</f>
        <v>Yes</v>
      </c>
      <c r="P385" s="26"/>
    </row>
    <row r="386">
      <c r="A386" s="13" t="str">
        <f>IFERROR(__xludf.DUMMYFUNCTION("""COMPUTED_VALUE"""),"Rogue Lords")</f>
        <v>Rogue Lords</v>
      </c>
      <c r="B386" s="15" t="str">
        <f>IFERROR(__xludf.DUMMYFUNCTION("""COMPUTED_VALUE"""),"PS4")</f>
        <v>PS4</v>
      </c>
      <c r="C386" s="16" t="str">
        <f>IFERROR(__xludf.DUMMYFUNCTION("""COMPUTED_VALUE"""),"Extra")</f>
        <v>Extra</v>
      </c>
      <c r="D386" s="15" t="str">
        <f>IFERROR(__xludf.DUMMYFUNCTION("""COMPUTED_VALUE"""),"Leaving Soon")</f>
        <v>Leaving Soon</v>
      </c>
      <c r="E386" s="17">
        <f>IFERROR(__xludf.DUMMYFUNCTION("""COMPUTED_VALUE"""),45342.0)</f>
        <v>45342</v>
      </c>
      <c r="F386" s="54">
        <f>IFERROR(__xludf.DUMMYFUNCTION("""COMPUTED_VALUE"""),46314.0)</f>
        <v>46314</v>
      </c>
      <c r="G386" s="19">
        <f>IFERROR(__xludf.DUMMYFUNCTION("""COMPUTED_VALUE"""),31.966666666666665)</f>
        <v>31.96666667</v>
      </c>
      <c r="H386" s="17">
        <f>IFERROR(__xludf.DUMMYFUNCTION("""COMPUTED_VALUE"""),44469.0)</f>
        <v>44469</v>
      </c>
      <c r="I386" s="19">
        <f>IFERROR(__xludf.DUMMYFUNCTION("""COMPUTED_VALUE"""),2.388888888888889)</f>
        <v>2.388888889</v>
      </c>
      <c r="J386" s="21">
        <f>IFERROR(__xludf.DUMMYFUNCTION("""COMPUTED_VALUE"""),72.0)</f>
        <v>72</v>
      </c>
      <c r="K386" s="23">
        <f>IFERROR(__xludf.DUMMYFUNCTION("""COMPUTED_VALUE"""),4.2)</f>
        <v>4.2</v>
      </c>
      <c r="L386" s="24">
        <f>IFERROR(__xludf.DUMMYFUNCTION("""COMPUTED_VALUE"""),35.0)</f>
        <v>35</v>
      </c>
      <c r="M386" s="25" t="str">
        <f>IFERROR(__xludf.DUMMYFUNCTION("""COMPUTED_VALUE"""),"Roguelike")</f>
        <v>Roguelike</v>
      </c>
      <c r="N386" s="25"/>
      <c r="O386" s="26" t="str">
        <f>IFERROR(__xludf.DUMMYFUNCTION("""COMPUTED_VALUE"""),"Yes")</f>
        <v>Yes</v>
      </c>
      <c r="P386" s="26"/>
    </row>
    <row r="387">
      <c r="A387" s="13" t="str">
        <f>IFERROR(__xludf.DUMMYFUNCTION("""COMPUTED_VALUE"""),"Somerville")</f>
        <v>Somerville</v>
      </c>
      <c r="B387" s="15" t="str">
        <f>IFERROR(__xludf.DUMMYFUNCTION("""COMPUTED_VALUE"""),"PS5/PS4")</f>
        <v>PS5/PS4</v>
      </c>
      <c r="C387" s="16" t="str">
        <f>IFERROR(__xludf.DUMMYFUNCTION("""COMPUTED_VALUE"""),"Extra")</f>
        <v>Extra</v>
      </c>
      <c r="D387" s="15" t="str">
        <f>IFERROR(__xludf.DUMMYFUNCTION("""COMPUTED_VALUE"""),"Active")</f>
        <v>Active</v>
      </c>
      <c r="E387" s="17">
        <f>IFERROR(__xludf.DUMMYFUNCTION("""COMPUTED_VALUE"""),45705.0)</f>
        <v>45705</v>
      </c>
      <c r="F387" s="54"/>
      <c r="G387" s="19">
        <f>IFERROR(__xludf.DUMMYFUNCTION("""COMPUTED_VALUE"""),19.633333333333333)</f>
        <v>19.63333333</v>
      </c>
      <c r="H387" s="17">
        <f>IFERROR(__xludf.DUMMYFUNCTION("""COMPUTED_VALUE"""),44880.0)</f>
        <v>44880</v>
      </c>
      <c r="I387" s="19">
        <f>IFERROR(__xludf.DUMMYFUNCTION("""COMPUTED_VALUE"""),2.2555555555555555)</f>
        <v>2.255555556</v>
      </c>
      <c r="J387" s="21">
        <f>IFERROR(__xludf.DUMMYFUNCTION("""COMPUTED_VALUE"""),71.0)</f>
        <v>71</v>
      </c>
      <c r="K387" s="23">
        <f>IFERROR(__xludf.DUMMYFUNCTION("""COMPUTED_VALUE"""),5.5)</f>
        <v>5.5</v>
      </c>
      <c r="L387" s="24">
        <f>IFERROR(__xludf.DUMMYFUNCTION("""COMPUTED_VALUE"""),4.21)</f>
        <v>4.21</v>
      </c>
      <c r="M387" s="25" t="str">
        <f>IFERROR(__xludf.DUMMYFUNCTION("""COMPUTED_VALUE"""),"Action-Adventure")</f>
        <v>Action-Adventure</v>
      </c>
      <c r="N387" s="25"/>
      <c r="O387" s="26" t="str">
        <f>IFERROR(__xludf.DUMMYFUNCTION("""COMPUTED_VALUE"""),"No")</f>
        <v>No</v>
      </c>
      <c r="P387" s="26"/>
    </row>
    <row r="388">
      <c r="A388" s="13" t="str">
        <f>IFERROR(__xludf.DUMMYFUNCTION("""COMPUTED_VALUE"""),"ANNO: Mutationem")</f>
        <v>ANNO: Mutationem</v>
      </c>
      <c r="B388" s="15" t="str">
        <f>IFERROR(__xludf.DUMMYFUNCTION("""COMPUTED_VALUE"""),"PS5/PS4")</f>
        <v>PS5/PS4</v>
      </c>
      <c r="C388" s="16" t="str">
        <f>IFERROR(__xludf.DUMMYFUNCTION("""COMPUTED_VALUE"""),"Extra")</f>
        <v>Extra</v>
      </c>
      <c r="D388" s="15" t="str">
        <f>IFERROR(__xludf.DUMMYFUNCTION("""COMPUTED_VALUE"""),"Active")</f>
        <v>Active</v>
      </c>
      <c r="E388" s="17">
        <f>IFERROR(__xludf.DUMMYFUNCTION("""COMPUTED_VALUE"""),45678.0)</f>
        <v>45678</v>
      </c>
      <c r="F388" s="54"/>
      <c r="G388" s="19">
        <f>IFERROR(__xludf.DUMMYFUNCTION("""COMPUTED_VALUE"""),20.5)</f>
        <v>20.5</v>
      </c>
      <c r="H388" s="17">
        <f>IFERROR(__xludf.DUMMYFUNCTION("""COMPUTED_VALUE"""),44637.0)</f>
        <v>44637</v>
      </c>
      <c r="I388" s="19">
        <f>IFERROR(__xludf.DUMMYFUNCTION("""COMPUTED_VALUE"""),2.8444444444444446)</f>
        <v>2.844444444</v>
      </c>
      <c r="J388" s="21">
        <f>IFERROR(__xludf.DUMMYFUNCTION("""COMPUTED_VALUE"""),71.0)</f>
        <v>71</v>
      </c>
      <c r="K388" s="23">
        <f>IFERROR(__xludf.DUMMYFUNCTION("""COMPUTED_VALUE"""),6.8)</f>
        <v>6.8</v>
      </c>
      <c r="L388" s="24">
        <f>IFERROR(__xludf.DUMMYFUNCTION("""COMPUTED_VALUE"""),11.0)</f>
        <v>11</v>
      </c>
      <c r="M388" s="25" t="str">
        <f>IFERROR(__xludf.DUMMYFUNCTION("""COMPUTED_VALUE"""),"Metroidvania ")</f>
        <v>Metroidvania </v>
      </c>
      <c r="N388" s="25"/>
      <c r="O388" s="26" t="str">
        <f>IFERROR(__xludf.DUMMYFUNCTION("""COMPUTED_VALUE"""),"Yes")</f>
        <v>Yes</v>
      </c>
      <c r="P388" s="26"/>
    </row>
    <row r="389">
      <c r="A389" s="13" t="str">
        <f>IFERROR(__xludf.DUMMYFUNCTION("""COMPUTED_VALUE"""),"Steep")</f>
        <v>Steep</v>
      </c>
      <c r="B389" s="15" t="str">
        <f>IFERROR(__xludf.DUMMYFUNCTION("""COMPUTED_VALUE"""),"PS4")</f>
        <v>PS4</v>
      </c>
      <c r="C389" s="16" t="str">
        <f>IFERROR(__xludf.DUMMYFUNCTION("""COMPUTED_VALUE"""),"Extra")</f>
        <v>Extra</v>
      </c>
      <c r="D389" s="15" t="str">
        <f>IFERROR(__xludf.DUMMYFUNCTION("""COMPUTED_VALUE"""),"Active")</f>
        <v>Active</v>
      </c>
      <c r="E389" s="17">
        <f>IFERROR(__xludf.DUMMYFUNCTION("""COMPUTED_VALUE"""),45489.0)</f>
        <v>45489</v>
      </c>
      <c r="F389" s="54"/>
      <c r="G389" s="19">
        <f>IFERROR(__xludf.DUMMYFUNCTION("""COMPUTED_VALUE"""),26.666666666666668)</f>
        <v>26.66666667</v>
      </c>
      <c r="H389" s="17">
        <f>IFERROR(__xludf.DUMMYFUNCTION("""COMPUTED_VALUE"""),42703.0)</f>
        <v>42703</v>
      </c>
      <c r="I389" s="19">
        <f>IFERROR(__xludf.DUMMYFUNCTION("""COMPUTED_VALUE"""),7.6305555555555555)</f>
        <v>7.630555556</v>
      </c>
      <c r="J389" s="21">
        <f>IFERROR(__xludf.DUMMYFUNCTION("""COMPUTED_VALUE"""),71.0)</f>
        <v>71</v>
      </c>
      <c r="K389" s="23">
        <f>IFERROR(__xludf.DUMMYFUNCTION("""COMPUTED_VALUE"""),6.4)</f>
        <v>6.4</v>
      </c>
      <c r="L389" s="24">
        <f>IFERROR(__xludf.DUMMYFUNCTION("""COMPUTED_VALUE"""),12.0)</f>
        <v>12</v>
      </c>
      <c r="M389" s="25" t="str">
        <f>IFERROR(__xludf.DUMMYFUNCTION("""COMPUTED_VALUE"""),"Sports")</f>
        <v>Sports</v>
      </c>
      <c r="N389" s="25" t="str">
        <f>IFERROR(__xludf.DUMMYFUNCTION("""COMPUTED_VALUE"""),"Returning game")</f>
        <v>Returning game</v>
      </c>
      <c r="O389" s="26" t="str">
        <f>IFERROR(__xludf.DUMMYFUNCTION("""COMPUTED_VALUE"""),"Yes")</f>
        <v>Yes</v>
      </c>
      <c r="P389" s="26"/>
    </row>
    <row r="390">
      <c r="A390" s="13" t="str">
        <f>IFERROR(__xludf.DUMMYFUNCTION("""COMPUTED_VALUE"""),"Lego Marvel's Avengers")</f>
        <v>Lego Marvel's Avengers</v>
      </c>
      <c r="B390" s="15" t="str">
        <f>IFERROR(__xludf.DUMMYFUNCTION("""COMPUTED_VALUE"""),"PS4")</f>
        <v>PS4</v>
      </c>
      <c r="C390" s="16" t="str">
        <f>IFERROR(__xludf.DUMMYFUNCTION("""COMPUTED_VALUE"""),"Extra")</f>
        <v>Extra</v>
      </c>
      <c r="D390" s="15" t="str">
        <f>IFERROR(__xludf.DUMMYFUNCTION("""COMPUTED_VALUE"""),"Active")</f>
        <v>Active</v>
      </c>
      <c r="E390" s="17">
        <f>IFERROR(__xludf.DUMMYFUNCTION("""COMPUTED_VALUE"""),45398.0)</f>
        <v>45398</v>
      </c>
      <c r="F390" s="54"/>
      <c r="G390" s="19">
        <f>IFERROR(__xludf.DUMMYFUNCTION("""COMPUTED_VALUE"""),29.666666666666668)</f>
        <v>29.66666667</v>
      </c>
      <c r="H390" s="17">
        <f>IFERROR(__xludf.DUMMYFUNCTION("""COMPUTED_VALUE"""),42395.0)</f>
        <v>42395</v>
      </c>
      <c r="I390" s="19">
        <f>IFERROR(__xludf.DUMMYFUNCTION("""COMPUTED_VALUE"""),8.222222222222221)</f>
        <v>8.222222222</v>
      </c>
      <c r="J390" s="21">
        <f>IFERROR(__xludf.DUMMYFUNCTION("""COMPUTED_VALUE"""),71.0)</f>
        <v>71</v>
      </c>
      <c r="K390" s="23">
        <f>IFERROR(__xludf.DUMMYFUNCTION("""COMPUTED_VALUE"""),7.2)</f>
        <v>7.2</v>
      </c>
      <c r="L390" s="24">
        <f>IFERROR(__xludf.DUMMYFUNCTION("""COMPUTED_VALUE"""),9.0)</f>
        <v>9</v>
      </c>
      <c r="M390" s="25" t="str">
        <f>IFERROR(__xludf.DUMMYFUNCTION("""COMPUTED_VALUE"""),"Action-Adventure")</f>
        <v>Action-Adventure</v>
      </c>
      <c r="N390" s="25"/>
      <c r="O390" s="26" t="str">
        <f>IFERROR(__xludf.DUMMYFUNCTION("""COMPUTED_VALUE"""),"Yes")</f>
        <v>Yes</v>
      </c>
      <c r="P390" s="26"/>
    </row>
    <row r="391">
      <c r="A391" s="13" t="str">
        <f>IFERROR(__xludf.DUMMYFUNCTION("""COMPUTED_VALUE"""),"Oddballers")</f>
        <v>Oddballers</v>
      </c>
      <c r="B391" s="15" t="str">
        <f>IFERROR(__xludf.DUMMYFUNCTION("""COMPUTED_VALUE"""),"PS4")</f>
        <v>PS4</v>
      </c>
      <c r="C391" s="16" t="str">
        <f>IFERROR(__xludf.DUMMYFUNCTION("""COMPUTED_VALUE"""),"Extra")</f>
        <v>Extra</v>
      </c>
      <c r="D391" s="15" t="str">
        <f>IFERROR(__xludf.DUMMYFUNCTION("""COMPUTED_VALUE"""),"Active")</f>
        <v>Active</v>
      </c>
      <c r="E391" s="17">
        <f>IFERROR(__xludf.DUMMYFUNCTION("""COMPUTED_VALUE"""),45398.0)</f>
        <v>45398</v>
      </c>
      <c r="F391" s="54"/>
      <c r="G391" s="19">
        <f>IFERROR(__xludf.DUMMYFUNCTION("""COMPUTED_VALUE"""),29.666666666666668)</f>
        <v>29.66666667</v>
      </c>
      <c r="H391" s="17">
        <f>IFERROR(__xludf.DUMMYFUNCTION("""COMPUTED_VALUE"""),44952.0)</f>
        <v>44952</v>
      </c>
      <c r="I391" s="19">
        <f>IFERROR(__xludf.DUMMYFUNCTION("""COMPUTED_VALUE"""),1.2222222222222223)</f>
        <v>1.222222222</v>
      </c>
      <c r="J391" s="21">
        <f>IFERROR(__xludf.DUMMYFUNCTION("""COMPUTED_VALUE"""),71.0)</f>
        <v>71</v>
      </c>
      <c r="K391" s="23">
        <f>IFERROR(__xludf.DUMMYFUNCTION("""COMPUTED_VALUE"""),5.8)</f>
        <v>5.8</v>
      </c>
      <c r="L391" s="24">
        <f>IFERROR(__xludf.DUMMYFUNCTION("""COMPUTED_VALUE"""),3.0)</f>
        <v>3</v>
      </c>
      <c r="M391" s="25" t="str">
        <f>IFERROR(__xludf.DUMMYFUNCTION("""COMPUTED_VALUE"""),"Party")</f>
        <v>Party</v>
      </c>
      <c r="N391" s="25"/>
      <c r="O391" s="26" t="str">
        <f>IFERROR(__xludf.DUMMYFUNCTION("""COMPUTED_VALUE"""),"No")</f>
        <v>No</v>
      </c>
      <c r="P391" s="26"/>
    </row>
    <row r="392">
      <c r="A392" s="13" t="str">
        <f>IFERROR(__xludf.DUMMYFUNCTION("""COMPUTED_VALUE"""),"Gods Eater: Burst")</f>
        <v>Gods Eater: Burst</v>
      </c>
      <c r="B392" s="15" t="str">
        <f>IFERROR(__xludf.DUMMYFUNCTION("""COMPUTED_VALUE"""),"PS5/PS4")</f>
        <v>PS5/PS4</v>
      </c>
      <c r="C392" s="16" t="str">
        <f>IFERROR(__xludf.DUMMYFUNCTION("""COMPUTED_VALUE"""),"Premium (Classics)")</f>
        <v>Premium (Classics)</v>
      </c>
      <c r="D392" s="15" t="str">
        <f>IFERROR(__xludf.DUMMYFUNCTION("""COMPUTED_VALUE"""),"Active")</f>
        <v>Active</v>
      </c>
      <c r="E392" s="17">
        <f>IFERROR(__xludf.DUMMYFUNCTION("""COMPUTED_VALUE"""),45370.0)</f>
        <v>45370</v>
      </c>
      <c r="F392" s="54"/>
      <c r="G392" s="19">
        <f>IFERROR(__xludf.DUMMYFUNCTION("""COMPUTED_VALUE"""),30.566666666666663)</f>
        <v>30.56666667</v>
      </c>
      <c r="H392" s="17">
        <f>IFERROR(__xludf.DUMMYFUNCTION("""COMPUTED_VALUE"""),40617.0)</f>
        <v>40617</v>
      </c>
      <c r="I392" s="19">
        <f>IFERROR(__xludf.DUMMYFUNCTION("""COMPUTED_VALUE"""),13.011111111111111)</f>
        <v>13.01111111</v>
      </c>
      <c r="J392" s="21">
        <f>IFERROR(__xludf.DUMMYFUNCTION("""COMPUTED_VALUE"""),71.0)</f>
        <v>71</v>
      </c>
      <c r="K392" s="23">
        <f>IFERROR(__xludf.DUMMYFUNCTION("""COMPUTED_VALUE"""),8.0)</f>
        <v>8</v>
      </c>
      <c r="L392" s="24">
        <f>IFERROR(__xludf.DUMMYFUNCTION("""COMPUTED_VALUE"""),38.0)</f>
        <v>38</v>
      </c>
      <c r="M392" s="25" t="str">
        <f>IFERROR(__xludf.DUMMYFUNCTION("""COMPUTED_VALUE"""),"RPG")</f>
        <v>RPG</v>
      </c>
      <c r="N392" s="25" t="str">
        <f>IFERROR(__xludf.DUMMYFUNCTION("""COMPUTED_VALUE"""),"PSP")</f>
        <v>PSP</v>
      </c>
      <c r="O392" s="26" t="str">
        <f>IFERROR(__xludf.DUMMYFUNCTION("""COMPUTED_VALUE"""),"Yes")</f>
        <v>Yes</v>
      </c>
      <c r="P392" s="26"/>
    </row>
    <row r="393">
      <c r="A393" s="13" t="str">
        <f>IFERROR(__xludf.DUMMYFUNCTION("""COMPUTED_VALUE"""),"Jak and Daxter: The Lost Frontier")</f>
        <v>Jak and Daxter: The Lost Frontier</v>
      </c>
      <c r="B393" s="15" t="str">
        <f>IFERROR(__xludf.DUMMYFUNCTION("""COMPUTED_VALUE"""),"PS5/PS4")</f>
        <v>PS5/PS4</v>
      </c>
      <c r="C393" s="16" t="str">
        <f>IFERROR(__xludf.DUMMYFUNCTION("""COMPUTED_VALUE"""),"Premium (Classics)")</f>
        <v>Premium (Classics)</v>
      </c>
      <c r="D393" s="15" t="str">
        <f>IFERROR(__xludf.DUMMYFUNCTION("""COMPUTED_VALUE"""),"Active")</f>
        <v>Active</v>
      </c>
      <c r="E393" s="17">
        <f>IFERROR(__xludf.DUMMYFUNCTION("""COMPUTED_VALUE"""),45370.0)</f>
        <v>45370</v>
      </c>
      <c r="F393" s="54"/>
      <c r="G393" s="19">
        <f>IFERROR(__xludf.DUMMYFUNCTION("""COMPUTED_VALUE"""),30.566666666666663)</f>
        <v>30.56666667</v>
      </c>
      <c r="H393" s="17">
        <f>IFERROR(__xludf.DUMMYFUNCTION("""COMPUTED_VALUE"""),40120.0)</f>
        <v>40120</v>
      </c>
      <c r="I393" s="19">
        <f>IFERROR(__xludf.DUMMYFUNCTION("""COMPUTED_VALUE"""),14.377777777777778)</f>
        <v>14.37777778</v>
      </c>
      <c r="J393" s="21">
        <f>IFERROR(__xludf.DUMMYFUNCTION("""COMPUTED_VALUE"""),71.0)</f>
        <v>71</v>
      </c>
      <c r="K393" s="23">
        <f>IFERROR(__xludf.DUMMYFUNCTION("""COMPUTED_VALUE"""),7.2)</f>
        <v>7.2</v>
      </c>
      <c r="L393" s="24">
        <f>IFERROR(__xludf.DUMMYFUNCTION("""COMPUTED_VALUE"""),8.0)</f>
        <v>8</v>
      </c>
      <c r="M393" s="25" t="str">
        <f>IFERROR(__xludf.DUMMYFUNCTION("""COMPUTED_VALUE"""),"Platformer")</f>
        <v>Platformer</v>
      </c>
      <c r="N393" s="25" t="str">
        <f>IFERROR(__xludf.DUMMYFUNCTION("""COMPUTED_VALUE"""),"PSP")</f>
        <v>PSP</v>
      </c>
      <c r="O393" s="26" t="str">
        <f>IFERROR(__xludf.DUMMYFUNCTION("""COMPUTED_VALUE"""),"Yes")</f>
        <v>Yes</v>
      </c>
      <c r="P393" s="26"/>
    </row>
    <row r="394">
      <c r="A394" s="13" t="str">
        <f>IFERROR(__xludf.DUMMYFUNCTION("""COMPUTED_VALUE"""),"Far Cry: New Dawn")</f>
        <v>Far Cry: New Dawn</v>
      </c>
      <c r="B394" s="15" t="str">
        <f>IFERROR(__xludf.DUMMYFUNCTION("""COMPUTED_VALUE"""),"PS4")</f>
        <v>PS4</v>
      </c>
      <c r="C394" s="16" t="str">
        <f>IFERROR(__xludf.DUMMYFUNCTION("""COMPUTED_VALUE"""),"Extra (Ubisoft+ Classics)")</f>
        <v>Extra (Ubisoft+ Classics)</v>
      </c>
      <c r="D394" s="15" t="str">
        <f>IFERROR(__xludf.DUMMYFUNCTION("""COMPUTED_VALUE"""),"Active")</f>
        <v>Active</v>
      </c>
      <c r="E394" s="17">
        <f>IFERROR(__xludf.DUMMYFUNCTION("""COMPUTED_VALUE"""),44915.0)</f>
        <v>44915</v>
      </c>
      <c r="F394" s="54"/>
      <c r="G394" s="19">
        <f>IFERROR(__xludf.DUMMYFUNCTION("""COMPUTED_VALUE"""),45.53333333333333)</f>
        <v>45.53333333</v>
      </c>
      <c r="H394" s="17">
        <f>IFERROR(__xludf.DUMMYFUNCTION("""COMPUTED_VALUE"""),43511.0)</f>
        <v>43511</v>
      </c>
      <c r="I394" s="19">
        <f>IFERROR(__xludf.DUMMYFUNCTION("""COMPUTED_VALUE"""),3.8472222222222223)</f>
        <v>3.847222222</v>
      </c>
      <c r="J394" s="21">
        <f>IFERROR(__xludf.DUMMYFUNCTION("""COMPUTED_VALUE"""),71.0)</f>
        <v>71</v>
      </c>
      <c r="K394" s="23">
        <f>IFERROR(__xludf.DUMMYFUNCTION("""COMPUTED_VALUE"""),4.6)</f>
        <v>4.6</v>
      </c>
      <c r="L394" s="24">
        <f>IFERROR(__xludf.DUMMYFUNCTION("""COMPUTED_VALUE"""),11.0)</f>
        <v>11</v>
      </c>
      <c r="M394" s="25" t="str">
        <f>IFERROR(__xludf.DUMMYFUNCTION("""COMPUTED_VALUE"""),"Shooter")</f>
        <v>Shooter</v>
      </c>
      <c r="N394" s="25"/>
      <c r="O394" s="26" t="str">
        <f>IFERROR(__xludf.DUMMYFUNCTION("""COMPUTED_VALUE"""),"Yes")</f>
        <v>Yes</v>
      </c>
      <c r="P394" s="26"/>
    </row>
    <row r="395">
      <c r="A395" s="13" t="str">
        <f>IFERROR(__xludf.DUMMYFUNCTION("""COMPUTED_VALUE"""),"UNO")</f>
        <v>UNO</v>
      </c>
      <c r="B395" s="15" t="str">
        <f>IFERROR(__xludf.DUMMYFUNCTION("""COMPUTED_VALUE"""),"PS5/PS4")</f>
        <v>PS5/PS4</v>
      </c>
      <c r="C395" s="16" t="str">
        <f>IFERROR(__xludf.DUMMYFUNCTION("""COMPUTED_VALUE"""),"Extra (Ubisoft+ Classics)")</f>
        <v>Extra (Ubisoft+ Classics)</v>
      </c>
      <c r="D395" s="15" t="str">
        <f>IFERROR(__xludf.DUMMYFUNCTION("""COMPUTED_VALUE"""),"Active")</f>
        <v>Active</v>
      </c>
      <c r="E395" s="17">
        <f>IFERROR(__xludf.DUMMYFUNCTION("""COMPUTED_VALUE"""),44789.0)</f>
        <v>44789</v>
      </c>
      <c r="F395" s="54"/>
      <c r="G395" s="19">
        <f>IFERROR(__xludf.DUMMYFUNCTION("""COMPUTED_VALUE"""),49.66666666666667)</f>
        <v>49.66666667</v>
      </c>
      <c r="H395" s="17">
        <f>IFERROR(__xludf.DUMMYFUNCTION("""COMPUTED_VALUE"""),42598.0)</f>
        <v>42598</v>
      </c>
      <c r="I395" s="19">
        <f>IFERROR(__xludf.DUMMYFUNCTION("""COMPUTED_VALUE"""),6.0)</f>
        <v>6</v>
      </c>
      <c r="J395" s="21">
        <f>IFERROR(__xludf.DUMMYFUNCTION("""COMPUTED_VALUE"""),71.0)</f>
        <v>71</v>
      </c>
      <c r="K395" s="23">
        <f>IFERROR(__xludf.DUMMYFUNCTION("""COMPUTED_VALUE"""),6.3)</f>
        <v>6.3</v>
      </c>
      <c r="L395" s="24">
        <f>IFERROR(__xludf.DUMMYFUNCTION("""COMPUTED_VALUE"""),5.0)</f>
        <v>5</v>
      </c>
      <c r="M395" s="25" t="str">
        <f>IFERROR(__xludf.DUMMYFUNCTION("""COMPUTED_VALUE"""),"Card Battle")</f>
        <v>Card Battle</v>
      </c>
      <c r="N395" s="25"/>
      <c r="O395" s="26" t="str">
        <f>IFERROR(__xludf.DUMMYFUNCTION("""COMPUTED_VALUE"""),"Yes")</f>
        <v>Yes</v>
      </c>
      <c r="P395" s="26"/>
    </row>
    <row r="396">
      <c r="A396" s="13" t="str">
        <f>IFERROR(__xludf.DUMMYFUNCTION("""COMPUTED_VALUE"""),"Assassin's Creed Freedom Cry")</f>
        <v>Assassin's Creed Freedom Cry</v>
      </c>
      <c r="B396" s="15" t="str">
        <f>IFERROR(__xludf.DUMMYFUNCTION("""COMPUTED_VALUE"""),"PS4")</f>
        <v>PS4</v>
      </c>
      <c r="C396" s="16" t="str">
        <f>IFERROR(__xludf.DUMMYFUNCTION("""COMPUTED_VALUE"""),"Extra (Ubisoft+ Classics)")</f>
        <v>Extra (Ubisoft+ Classics)</v>
      </c>
      <c r="D396" s="15" t="str">
        <f>IFERROR(__xludf.DUMMYFUNCTION("""COMPUTED_VALUE"""),"Active")</f>
        <v>Active</v>
      </c>
      <c r="E396" s="17">
        <f>IFERROR(__xludf.DUMMYFUNCTION("""COMPUTED_VALUE"""),44761.0)</f>
        <v>44761</v>
      </c>
      <c r="F396" s="54"/>
      <c r="G396" s="19">
        <f>IFERROR(__xludf.DUMMYFUNCTION("""COMPUTED_VALUE"""),50.56666666666666)</f>
        <v>50.56666667</v>
      </c>
      <c r="H396" s="17">
        <f>IFERROR(__xludf.DUMMYFUNCTION("""COMPUTED_VALUE"""),41625.0)</f>
        <v>41625</v>
      </c>
      <c r="I396" s="19">
        <f>IFERROR(__xludf.DUMMYFUNCTION("""COMPUTED_VALUE"""),8.588888888888889)</f>
        <v>8.588888889</v>
      </c>
      <c r="J396" s="21">
        <f>IFERROR(__xludf.DUMMYFUNCTION("""COMPUTED_VALUE"""),71.0)</f>
        <v>71</v>
      </c>
      <c r="K396" s="23">
        <f>IFERROR(__xludf.DUMMYFUNCTION("""COMPUTED_VALUE"""),6.3)</f>
        <v>6.3</v>
      </c>
      <c r="L396" s="24">
        <f>IFERROR(__xludf.DUMMYFUNCTION("""COMPUTED_VALUE"""),4.5)</f>
        <v>4.5</v>
      </c>
      <c r="M396" s="25" t="str">
        <f>IFERROR(__xludf.DUMMYFUNCTION("""COMPUTED_VALUE"""),"RPG")</f>
        <v>RPG</v>
      </c>
      <c r="N396" s="25"/>
      <c r="O396" s="26" t="str">
        <f>IFERROR(__xludf.DUMMYFUNCTION("""COMPUTED_VALUE"""),"Yes")</f>
        <v>Yes</v>
      </c>
      <c r="P396" s="26"/>
    </row>
    <row r="397">
      <c r="A397" s="13" t="str">
        <f>IFERROR(__xludf.DUMMYFUNCTION("""COMPUTED_VALUE"""),"Assassin's Creed Rogue: Remastered")</f>
        <v>Assassin's Creed Rogue: Remastered</v>
      </c>
      <c r="B397" s="15" t="str">
        <f>IFERROR(__xludf.DUMMYFUNCTION("""COMPUTED_VALUE"""),"PS4")</f>
        <v>PS4</v>
      </c>
      <c r="C397" s="16" t="str">
        <f>IFERROR(__xludf.DUMMYFUNCTION("""COMPUTED_VALUE"""),"Extra (Ubisoft+ Classics)")</f>
        <v>Extra (Ubisoft+ Classics)</v>
      </c>
      <c r="D397" s="15" t="str">
        <f>IFERROR(__xludf.DUMMYFUNCTION("""COMPUTED_VALUE"""),"Active")</f>
        <v>Active</v>
      </c>
      <c r="E397" s="17">
        <f>IFERROR(__xludf.DUMMYFUNCTION("""COMPUTED_VALUE"""),44761.0)</f>
        <v>44761</v>
      </c>
      <c r="F397" s="54"/>
      <c r="G397" s="19">
        <f>IFERROR(__xludf.DUMMYFUNCTION("""COMPUTED_VALUE"""),50.56666666666666)</f>
        <v>50.56666667</v>
      </c>
      <c r="H397" s="17">
        <f>IFERROR(__xludf.DUMMYFUNCTION("""COMPUTED_VALUE"""),43179.0)</f>
        <v>43179</v>
      </c>
      <c r="I397" s="19">
        <f>IFERROR(__xludf.DUMMYFUNCTION("""COMPUTED_VALUE"""),4.330555555555556)</f>
        <v>4.330555556</v>
      </c>
      <c r="J397" s="21">
        <f>IFERROR(__xludf.DUMMYFUNCTION("""COMPUTED_VALUE"""),71.0)</f>
        <v>71</v>
      </c>
      <c r="K397" s="23">
        <f>IFERROR(__xludf.DUMMYFUNCTION("""COMPUTED_VALUE"""),6.8)</f>
        <v>6.8</v>
      </c>
      <c r="L397" s="24">
        <f>IFERROR(__xludf.DUMMYFUNCTION("""COMPUTED_VALUE"""),10.5)</f>
        <v>10.5</v>
      </c>
      <c r="M397" s="25" t="str">
        <f>IFERROR(__xludf.DUMMYFUNCTION("""COMPUTED_VALUE"""),"RPG")</f>
        <v>RPG</v>
      </c>
      <c r="N397" s="25"/>
      <c r="O397" s="26" t="str">
        <f>IFERROR(__xludf.DUMMYFUNCTION("""COMPUTED_VALUE"""),"Yes")</f>
        <v>Yes</v>
      </c>
      <c r="P397" s="26"/>
    </row>
    <row r="398">
      <c r="A398" s="13" t="str">
        <f>IFERROR(__xludf.DUMMYFUNCTION("""COMPUTED_VALUE"""),"Death end re;Quest")</f>
        <v>Death end re;Quest</v>
      </c>
      <c r="B398" s="15" t="str">
        <f>IFERROR(__xludf.DUMMYFUNCTION("""COMPUTED_VALUE"""),"PS4")</f>
        <v>PS4</v>
      </c>
      <c r="C398" s="16" t="str">
        <f>IFERROR(__xludf.DUMMYFUNCTION("""COMPUTED_VALUE"""),"Extra")</f>
        <v>Extra</v>
      </c>
      <c r="D398" s="15" t="str">
        <f>IFERROR(__xludf.DUMMYFUNCTION("""COMPUTED_VALUE"""),"Active")</f>
        <v>Active</v>
      </c>
      <c r="E398" s="17">
        <f>IFERROR(__xludf.DUMMYFUNCTION("""COMPUTED_VALUE"""),44725.0)</f>
        <v>44725</v>
      </c>
      <c r="F398" s="54"/>
      <c r="G398" s="19">
        <f>IFERROR(__xludf.DUMMYFUNCTION("""COMPUTED_VALUE"""),51.766666666666666)</f>
        <v>51.76666667</v>
      </c>
      <c r="H398" s="17">
        <f>IFERROR(__xludf.DUMMYFUNCTION("""COMPUTED_VALUE"""),43202.0)</f>
        <v>43202</v>
      </c>
      <c r="I398" s="19">
        <f>IFERROR(__xludf.DUMMYFUNCTION("""COMPUTED_VALUE"""),4.169444444444444)</f>
        <v>4.169444444</v>
      </c>
      <c r="J398" s="21">
        <f>IFERROR(__xludf.DUMMYFUNCTION("""COMPUTED_VALUE"""),71.0)</f>
        <v>71</v>
      </c>
      <c r="K398" s="23">
        <f>IFERROR(__xludf.DUMMYFUNCTION("""COMPUTED_VALUE"""),7.4)</f>
        <v>7.4</v>
      </c>
      <c r="L398" s="24">
        <f>IFERROR(__xludf.DUMMYFUNCTION("""COMPUTED_VALUE"""),24.5)</f>
        <v>24.5</v>
      </c>
      <c r="M398" s="25" t="str">
        <f>IFERROR(__xludf.DUMMYFUNCTION("""COMPUTED_VALUE"""),"RPG")</f>
        <v>RPG</v>
      </c>
      <c r="N398" s="25"/>
      <c r="O398" s="26" t="str">
        <f>IFERROR(__xludf.DUMMYFUNCTION("""COMPUTED_VALUE"""),"No")</f>
        <v>No</v>
      </c>
      <c r="P398" s="26"/>
    </row>
    <row r="399">
      <c r="A399" s="13" t="str">
        <f>IFERROR(__xludf.DUMMYFUNCTION("""COMPUTED_VALUE"""),"Rock of Ages 3: Make &amp; Break")</f>
        <v>Rock of Ages 3: Make &amp; Break</v>
      </c>
      <c r="B399" s="15" t="str">
        <f>IFERROR(__xludf.DUMMYFUNCTION("""COMPUTED_VALUE"""),"PS4")</f>
        <v>PS4</v>
      </c>
      <c r="C399" s="16" t="str">
        <f>IFERROR(__xludf.DUMMYFUNCTION("""COMPUTED_VALUE"""),"Extra")</f>
        <v>Extra</v>
      </c>
      <c r="D399" s="15" t="str">
        <f>IFERROR(__xludf.DUMMYFUNCTION("""COMPUTED_VALUE"""),"Active")</f>
        <v>Active</v>
      </c>
      <c r="E399" s="17">
        <f>IFERROR(__xludf.DUMMYFUNCTION("""COMPUTED_VALUE"""),44725.0)</f>
        <v>44725</v>
      </c>
      <c r="F399" s="54"/>
      <c r="G399" s="19">
        <f>IFERROR(__xludf.DUMMYFUNCTION("""COMPUTED_VALUE"""),51.766666666666666)</f>
        <v>51.76666667</v>
      </c>
      <c r="H399" s="17">
        <f>IFERROR(__xludf.DUMMYFUNCTION("""COMPUTED_VALUE"""),44033.0)</f>
        <v>44033</v>
      </c>
      <c r="I399" s="19">
        <f>IFERROR(__xludf.DUMMYFUNCTION("""COMPUTED_VALUE"""),1.8944444444444444)</f>
        <v>1.894444444</v>
      </c>
      <c r="J399" s="21">
        <f>IFERROR(__xludf.DUMMYFUNCTION("""COMPUTED_VALUE"""),71.0)</f>
        <v>71</v>
      </c>
      <c r="K399" s="23">
        <f>IFERROR(__xludf.DUMMYFUNCTION("""COMPUTED_VALUE"""),6.9)</f>
        <v>6.9</v>
      </c>
      <c r="L399" s="24">
        <f>IFERROR(__xludf.DUMMYFUNCTION("""COMPUTED_VALUE"""),8.0)</f>
        <v>8</v>
      </c>
      <c r="M399" s="25" t="str">
        <f>IFERROR(__xludf.DUMMYFUNCTION("""COMPUTED_VALUE"""),"Strategy")</f>
        <v>Strategy</v>
      </c>
      <c r="N399" s="25"/>
      <c r="O399" s="26" t="str">
        <f>IFERROR(__xludf.DUMMYFUNCTION("""COMPUTED_VALUE"""),"No")</f>
        <v>No</v>
      </c>
      <c r="P399" s="26" t="str">
        <f>IFERROR(__xludf.DUMMYFUNCTION("""COMPUTED_VALUE"""),"Yes")</f>
        <v>Yes</v>
      </c>
    </row>
    <row r="400">
      <c r="A400" s="13" t="str">
        <f>IFERROR(__xludf.DUMMYFUNCTION("""COMPUTED_VALUE"""),"Days Gone")</f>
        <v>Days Gone</v>
      </c>
      <c r="B400" s="15" t="str">
        <f>IFERROR(__xludf.DUMMYFUNCTION("""COMPUTED_VALUE"""),"PS4")</f>
        <v>PS4</v>
      </c>
      <c r="C400" s="16" t="str">
        <f>IFERROR(__xludf.DUMMYFUNCTION("""COMPUTED_VALUE"""),"Extra")</f>
        <v>Extra</v>
      </c>
      <c r="D400" s="15" t="str">
        <f>IFERROR(__xludf.DUMMYFUNCTION("""COMPUTED_VALUE"""),"Active")</f>
        <v>Active</v>
      </c>
      <c r="E400" s="17">
        <f>IFERROR(__xludf.DUMMYFUNCTION("""COMPUTED_VALUE"""),44147.0)</f>
        <v>44147</v>
      </c>
      <c r="F400" s="54"/>
      <c r="G400" s="19">
        <f>IFERROR(__xludf.DUMMYFUNCTION("""COMPUTED_VALUE"""),70.80000000000001)</f>
        <v>70.8</v>
      </c>
      <c r="H400" s="17">
        <f>IFERROR(__xludf.DUMMYFUNCTION("""COMPUTED_VALUE"""),43556.0)</f>
        <v>43556</v>
      </c>
      <c r="I400" s="19">
        <f>IFERROR(__xludf.DUMMYFUNCTION("""COMPUTED_VALUE"""),1.613888888888889)</f>
        <v>1.613888889</v>
      </c>
      <c r="J400" s="21">
        <f>IFERROR(__xludf.DUMMYFUNCTION("""COMPUTED_VALUE"""),71.0)</f>
        <v>71</v>
      </c>
      <c r="K400" s="23">
        <f>IFERROR(__xludf.DUMMYFUNCTION("""COMPUTED_VALUE"""),8.4)</f>
        <v>8.4</v>
      </c>
      <c r="L400" s="24">
        <f>IFERROR(__xludf.DUMMYFUNCTION("""COMPUTED_VALUE"""),36.5)</f>
        <v>36.5</v>
      </c>
      <c r="M400" s="25" t="str">
        <f>IFERROR(__xludf.DUMMYFUNCTION("""COMPUTED_VALUE"""),"Horror")</f>
        <v>Horror</v>
      </c>
      <c r="N400" s="25"/>
      <c r="O400" s="26" t="str">
        <f>IFERROR(__xludf.DUMMYFUNCTION("""COMPUTED_VALUE"""),"Yes")</f>
        <v>Yes</v>
      </c>
      <c r="P400" s="26"/>
    </row>
    <row r="401">
      <c r="A401" s="13" t="str">
        <f>IFERROR(__xludf.DUMMYFUNCTION("""COMPUTED_VALUE"""),"Surgeon Simulator: Anniversary Edition")</f>
        <v>Surgeon Simulator: Anniversary Edition</v>
      </c>
      <c r="B401" s="15" t="str">
        <f>IFERROR(__xludf.DUMMYFUNCTION("""COMPUTED_VALUE"""),"PS4")</f>
        <v>PS4</v>
      </c>
      <c r="C401" s="16" t="str">
        <f>IFERROR(__xludf.DUMMYFUNCTION("""COMPUTED_VALUE"""),"Extra")</f>
        <v>Extra</v>
      </c>
      <c r="D401" s="15" t="str">
        <f>IFERROR(__xludf.DUMMYFUNCTION("""COMPUTED_VALUE"""),"Active")</f>
        <v>Active</v>
      </c>
      <c r="E401" s="17">
        <f>IFERROR(__xludf.DUMMYFUNCTION("""COMPUTED_VALUE"""),43620.0)</f>
        <v>43620</v>
      </c>
      <c r="F401" s="54"/>
      <c r="G401" s="19">
        <f>IFERROR(__xludf.DUMMYFUNCTION("""COMPUTED_VALUE"""),88.06666666666666)</f>
        <v>88.06666667</v>
      </c>
      <c r="H401" s="17">
        <f>IFERROR(__xludf.DUMMYFUNCTION("""COMPUTED_VALUE"""),41865.0)</f>
        <v>41865</v>
      </c>
      <c r="I401" s="19">
        <f>IFERROR(__xludf.DUMMYFUNCTION("""COMPUTED_VALUE"""),4.805555555555555)</f>
        <v>4.805555556</v>
      </c>
      <c r="J401" s="21">
        <f>IFERROR(__xludf.DUMMYFUNCTION("""COMPUTED_VALUE"""),71.0)</f>
        <v>71</v>
      </c>
      <c r="K401" s="23">
        <f>IFERROR(__xludf.DUMMYFUNCTION("""COMPUTED_VALUE"""),6.6)</f>
        <v>6.6</v>
      </c>
      <c r="L401" s="24">
        <f>IFERROR(__xludf.DUMMYFUNCTION("""COMPUTED_VALUE"""),5.0)</f>
        <v>5</v>
      </c>
      <c r="M401" s="25" t="str">
        <f>IFERROR(__xludf.DUMMYFUNCTION("""COMPUTED_VALUE"""),"Simulation")</f>
        <v>Simulation</v>
      </c>
      <c r="N401" s="25"/>
      <c r="O401" s="26" t="str">
        <f>IFERROR(__xludf.DUMMYFUNCTION("""COMPUTED_VALUE"""),"Yes")</f>
        <v>Yes</v>
      </c>
      <c r="P401" s="26" t="str">
        <f>IFERROR(__xludf.DUMMYFUNCTION("""COMPUTED_VALUE"""),"Yes")</f>
        <v>Yes</v>
      </c>
    </row>
    <row r="402">
      <c r="A402" s="13" t="str">
        <f>IFERROR(__xludf.DUMMYFUNCTION("""COMPUTED_VALUE"""),"Mighty Morphin Power Rangers: Rita’s Rewind")</f>
        <v>Mighty Morphin Power Rangers: Rita’s Rewind</v>
      </c>
      <c r="B402" s="15" t="str">
        <f>IFERROR(__xludf.DUMMYFUNCTION("""COMPUTED_VALUE"""),"PS5/PS4")</f>
        <v>PS5/PS4</v>
      </c>
      <c r="C402" s="16" t="str">
        <f>IFERROR(__xludf.DUMMYFUNCTION("""COMPUTED_VALUE"""),"Extra")</f>
        <v>Extra</v>
      </c>
      <c r="D402" s="15" t="str">
        <f>IFERROR(__xludf.DUMMYFUNCTION("""COMPUTED_VALUE"""),"Active")</f>
        <v>Active</v>
      </c>
      <c r="E402" s="17">
        <f>IFERROR(__xludf.DUMMYFUNCTION("""COMPUTED_VALUE"""),46231.0)</f>
        <v>46231</v>
      </c>
      <c r="F402" s="54"/>
      <c r="G402" s="19">
        <f>IFERROR(__xludf.DUMMYFUNCTION("""COMPUTED_VALUE"""),2.2666666666666666)</f>
        <v>2.266666667</v>
      </c>
      <c r="H402" s="17">
        <f>IFERROR(__xludf.DUMMYFUNCTION("""COMPUTED_VALUE"""),45636.0)</f>
        <v>45636</v>
      </c>
      <c r="I402" s="19">
        <f>IFERROR(__xludf.DUMMYFUNCTION("""COMPUTED_VALUE"""),1.6333333333333333)</f>
        <v>1.633333333</v>
      </c>
      <c r="J402" s="21">
        <f>IFERROR(__xludf.DUMMYFUNCTION("""COMPUTED_VALUE"""),70.0)</f>
        <v>70</v>
      </c>
      <c r="K402" s="23">
        <f>IFERROR(__xludf.DUMMYFUNCTION("""COMPUTED_VALUE"""),5.9)</f>
        <v>5.9</v>
      </c>
      <c r="L402" s="24">
        <f>IFERROR(__xludf.DUMMYFUNCTION("""COMPUTED_VALUE"""),3.0)</f>
        <v>3</v>
      </c>
      <c r="M402" s="25" t="str">
        <f>IFERROR(__xludf.DUMMYFUNCTION("""COMPUTED_VALUE"""),"Action")</f>
        <v>Action</v>
      </c>
      <c r="N402" s="25"/>
      <c r="O402" s="26"/>
      <c r="P402" s="26"/>
    </row>
    <row r="403">
      <c r="A403" s="13" t="str">
        <f>IFERROR(__xludf.DUMMYFUNCTION("""COMPUTED_VALUE"""),"Time Crisis")</f>
        <v>Time Crisis</v>
      </c>
      <c r="B403" s="15" t="str">
        <f>IFERROR(__xludf.DUMMYFUNCTION("""COMPUTED_VALUE"""),"PS5/PS4")</f>
        <v>PS5/PS4</v>
      </c>
      <c r="C403" s="16" t="str">
        <f>IFERROR(__xludf.DUMMYFUNCTION("""COMPUTED_VALUE"""),"Premium (Classics)")</f>
        <v>Premium (Classics)</v>
      </c>
      <c r="D403" s="15" t="str">
        <f>IFERROR(__xludf.DUMMYFUNCTION("""COMPUTED_VALUE"""),"Active")</f>
        <v>Active</v>
      </c>
      <c r="E403" s="17">
        <f>IFERROR(__xludf.DUMMYFUNCTION("""COMPUTED_VALUE"""),46161.0)</f>
        <v>46161</v>
      </c>
      <c r="F403" s="54"/>
      <c r="G403" s="19">
        <f>IFERROR(__xludf.DUMMYFUNCTION("""COMPUTED_VALUE"""),4.566666666666666)</f>
        <v>4.566666667</v>
      </c>
      <c r="H403" s="17">
        <f>IFERROR(__xludf.DUMMYFUNCTION("""COMPUTED_VALUE"""),34973.0)</f>
        <v>34973</v>
      </c>
      <c r="I403" s="19">
        <f>IFERROR(__xludf.DUMMYFUNCTION("""COMPUTED_VALUE"""),30.633333333333333)</f>
        <v>30.63333333</v>
      </c>
      <c r="J403" s="21">
        <f>IFERROR(__xludf.DUMMYFUNCTION("""COMPUTED_VALUE"""),70.0)</f>
        <v>70</v>
      </c>
      <c r="K403" s="23">
        <f>IFERROR(__xludf.DUMMYFUNCTION("""COMPUTED_VALUE"""),7.5)</f>
        <v>7.5</v>
      </c>
      <c r="L403" s="24">
        <f>IFERROR(__xludf.DUMMYFUNCTION("""COMPUTED_VALUE"""),1.0)</f>
        <v>1</v>
      </c>
      <c r="M403" s="25" t="str">
        <f>IFERROR(__xludf.DUMMYFUNCTION("""COMPUTED_VALUE"""),"Shooter")</f>
        <v>Shooter</v>
      </c>
      <c r="N403" s="25" t="str">
        <f>IFERROR(__xludf.DUMMYFUNCTION("""COMPUTED_VALUE"""),"PS1")</f>
        <v>PS1</v>
      </c>
      <c r="O403" s="26" t="str">
        <f>IFERROR(__xludf.DUMMYFUNCTION("""COMPUTED_VALUE"""),"No")</f>
        <v>No</v>
      </c>
      <c r="P403" s="26"/>
    </row>
    <row r="404">
      <c r="A404" s="13" t="str">
        <f>IFERROR(__xludf.DUMMYFUNCTION("""COMPUTED_VALUE"""),"Wild Arms 4")</f>
        <v>Wild Arms 4</v>
      </c>
      <c r="B404" s="15" t="str">
        <f>IFERROR(__xludf.DUMMYFUNCTION("""COMPUTED_VALUE"""),"PS5/PS4")</f>
        <v>PS5/PS4</v>
      </c>
      <c r="C404" s="16" t="str">
        <f>IFERROR(__xludf.DUMMYFUNCTION("""COMPUTED_VALUE"""),"Premium (Classics)")</f>
        <v>Premium (Classics)</v>
      </c>
      <c r="D404" s="15" t="str">
        <f>IFERROR(__xludf.DUMMYFUNCTION("""COMPUTED_VALUE"""),"Active")</f>
        <v>Active</v>
      </c>
      <c r="E404" s="17">
        <f>IFERROR(__xludf.DUMMYFUNCTION("""COMPUTED_VALUE"""),46133.0)</f>
        <v>46133</v>
      </c>
      <c r="F404" s="54"/>
      <c r="G404" s="19">
        <f>IFERROR(__xludf.DUMMYFUNCTION("""COMPUTED_VALUE"""),5.5)</f>
        <v>5.5</v>
      </c>
      <c r="H404" s="17">
        <f>IFERROR(__xludf.DUMMYFUNCTION("""COMPUTED_VALUE"""),38671.0)</f>
        <v>38671</v>
      </c>
      <c r="I404" s="19">
        <f>IFERROR(__xludf.DUMMYFUNCTION("""COMPUTED_VALUE"""),20.433333333333334)</f>
        <v>20.43333333</v>
      </c>
      <c r="J404" s="21">
        <f>IFERROR(__xludf.DUMMYFUNCTION("""COMPUTED_VALUE"""),70.0)</f>
        <v>70</v>
      </c>
      <c r="K404" s="23">
        <f>IFERROR(__xludf.DUMMYFUNCTION("""COMPUTED_VALUE"""),7.7)</f>
        <v>7.7</v>
      </c>
      <c r="L404" s="24">
        <f>IFERROR(__xludf.DUMMYFUNCTION("""COMPUTED_VALUE"""),33.0)</f>
        <v>33</v>
      </c>
      <c r="M404" s="25" t="str">
        <f>IFERROR(__xludf.DUMMYFUNCTION("""COMPUTED_VALUE"""),"RPG")</f>
        <v>RPG</v>
      </c>
      <c r="N404" s="25" t="str">
        <f>IFERROR(__xludf.DUMMYFUNCTION("""COMPUTED_VALUE"""),"PS2")</f>
        <v>PS2</v>
      </c>
      <c r="O404" s="26"/>
      <c r="P404" s="26"/>
    </row>
    <row r="405">
      <c r="A405" s="13" t="str">
        <f>IFERROR(__xludf.DUMMYFUNCTION("""COMPUTED_VALUE"""),"Monster Jam Showdown")</f>
        <v>Monster Jam Showdown</v>
      </c>
      <c r="B405" s="15" t="str">
        <f>IFERROR(__xludf.DUMMYFUNCTION("""COMPUTED_VALUE"""),"PS5/PS4")</f>
        <v>PS5/PS4</v>
      </c>
      <c r="C405" s="16" t="str">
        <f>IFERROR(__xludf.DUMMYFUNCTION("""COMPUTED_VALUE"""),"Extra")</f>
        <v>Extra</v>
      </c>
      <c r="D405" s="15" t="str">
        <f>IFERROR(__xludf.DUMMYFUNCTION("""COMPUTED_VALUE"""),"Active")</f>
        <v>Active</v>
      </c>
      <c r="E405" s="17">
        <f>IFERROR(__xludf.DUMMYFUNCTION("""COMPUTED_VALUE"""),45979.0)</f>
        <v>45979</v>
      </c>
      <c r="F405" s="54"/>
      <c r="G405" s="19">
        <f>IFERROR(__xludf.DUMMYFUNCTION("""COMPUTED_VALUE"""),10.6)</f>
        <v>10.6</v>
      </c>
      <c r="H405" s="17">
        <f>IFERROR(__xludf.DUMMYFUNCTION("""COMPUTED_VALUE"""),45533.0)</f>
        <v>45533</v>
      </c>
      <c r="I405" s="19">
        <f>IFERROR(__xludf.DUMMYFUNCTION("""COMPUTED_VALUE"""),1.2194444444444446)</f>
        <v>1.219444444</v>
      </c>
      <c r="J405" s="21">
        <f>IFERROR(__xludf.DUMMYFUNCTION("""COMPUTED_VALUE"""),70.0)</f>
        <v>70</v>
      </c>
      <c r="K405" s="23">
        <f>IFERROR(__xludf.DUMMYFUNCTION("""COMPUTED_VALUE"""),8.0)</f>
        <v>8</v>
      </c>
      <c r="L405" s="24">
        <f>IFERROR(__xludf.DUMMYFUNCTION("""COMPUTED_VALUE"""),21.0)</f>
        <v>21</v>
      </c>
      <c r="M405" s="25" t="str">
        <f>IFERROR(__xludf.DUMMYFUNCTION("""COMPUTED_VALUE"""),"Racing")</f>
        <v>Racing</v>
      </c>
      <c r="N405" s="25"/>
      <c r="O405" s="26"/>
      <c r="P405" s="26"/>
    </row>
    <row r="406">
      <c r="A406" s="13" t="str">
        <f>IFERROR(__xludf.DUMMYFUNCTION("""COMPUTED_VALUE"""),"Biped")</f>
        <v>Biped</v>
      </c>
      <c r="B406" s="15" t="str">
        <f>IFERROR(__xludf.DUMMYFUNCTION("""COMPUTED_VALUE"""),"PS4")</f>
        <v>PS4</v>
      </c>
      <c r="C406" s="16" t="str">
        <f>IFERROR(__xludf.DUMMYFUNCTION("""COMPUTED_VALUE"""),"Extra")</f>
        <v>Extra</v>
      </c>
      <c r="D406" s="15" t="str">
        <f>IFERROR(__xludf.DUMMYFUNCTION("""COMPUTED_VALUE"""),"Active")</f>
        <v>Active</v>
      </c>
      <c r="E406" s="17">
        <f>IFERROR(__xludf.DUMMYFUNCTION("""COMPUTED_VALUE"""),45643.0)</f>
        <v>45643</v>
      </c>
      <c r="F406" s="54"/>
      <c r="G406" s="19">
        <f>IFERROR(__xludf.DUMMYFUNCTION("""COMPUTED_VALUE"""),21.633333333333333)</f>
        <v>21.63333333</v>
      </c>
      <c r="H406" s="17">
        <f>IFERROR(__xludf.DUMMYFUNCTION("""COMPUTED_VALUE"""),43929.0)</f>
        <v>43929</v>
      </c>
      <c r="I406" s="19">
        <f>IFERROR(__xludf.DUMMYFUNCTION("""COMPUTED_VALUE"""),4.691666666666666)</f>
        <v>4.691666667</v>
      </c>
      <c r="J406" s="21">
        <f>IFERROR(__xludf.DUMMYFUNCTION("""COMPUTED_VALUE"""),70.0)</f>
        <v>70</v>
      </c>
      <c r="K406" s="23">
        <f>IFERROR(__xludf.DUMMYFUNCTION("""COMPUTED_VALUE"""),7.7)</f>
        <v>7.7</v>
      </c>
      <c r="L406" s="24">
        <f>IFERROR(__xludf.DUMMYFUNCTION("""COMPUTED_VALUE"""),3.0)</f>
        <v>3</v>
      </c>
      <c r="M406" s="25" t="str">
        <f>IFERROR(__xludf.DUMMYFUNCTION("""COMPUTED_VALUE"""),"Platformer")</f>
        <v>Platformer</v>
      </c>
      <c r="N406" s="25"/>
      <c r="O406" s="26" t="str">
        <f>IFERROR(__xludf.DUMMYFUNCTION("""COMPUTED_VALUE"""),"Yes")</f>
        <v>Yes</v>
      </c>
      <c r="P406" s="26"/>
    </row>
    <row r="407">
      <c r="A407" s="13" t="str">
        <f>IFERROR(__xludf.DUMMYFUNCTION("""COMPUTED_VALUE"""),"Tom Clancy's Ghost Recon: Wildlands")</f>
        <v>Tom Clancy's Ghost Recon: Wildlands</v>
      </c>
      <c r="B407" s="15" t="str">
        <f>IFERROR(__xludf.DUMMYFUNCTION("""COMPUTED_VALUE"""),"PS4")</f>
        <v>PS4</v>
      </c>
      <c r="C407" s="16" t="str">
        <f>IFERROR(__xludf.DUMMYFUNCTION("""COMPUTED_VALUE"""),"Extra (Ubisoft+ Classics)")</f>
        <v>Extra (Ubisoft+ Classics)</v>
      </c>
      <c r="D407" s="15" t="str">
        <f>IFERROR(__xludf.DUMMYFUNCTION("""COMPUTED_VALUE"""),"Active")</f>
        <v>Active</v>
      </c>
      <c r="E407" s="17">
        <f>IFERROR(__xludf.DUMMYFUNCTION("""COMPUTED_VALUE"""),45580.0)</f>
        <v>45580</v>
      </c>
      <c r="F407" s="54"/>
      <c r="G407" s="19">
        <f>IFERROR(__xludf.DUMMYFUNCTION("""COMPUTED_VALUE"""),23.700000000000003)</f>
        <v>23.7</v>
      </c>
      <c r="H407" s="17">
        <f>IFERROR(__xludf.DUMMYFUNCTION("""COMPUTED_VALUE"""),42801.0)</f>
        <v>42801</v>
      </c>
      <c r="I407" s="19">
        <f>IFERROR(__xludf.DUMMYFUNCTION("""COMPUTED_VALUE"""),7.605555555555555)</f>
        <v>7.605555556</v>
      </c>
      <c r="J407" s="21">
        <f>IFERROR(__xludf.DUMMYFUNCTION("""COMPUTED_VALUE"""),70.0)</f>
        <v>70</v>
      </c>
      <c r="K407" s="23">
        <f>IFERROR(__xludf.DUMMYFUNCTION("""COMPUTED_VALUE"""),6.5)</f>
        <v>6.5</v>
      </c>
      <c r="L407" s="24">
        <f>IFERROR(__xludf.DUMMYFUNCTION("""COMPUTED_VALUE"""),27.0)</f>
        <v>27</v>
      </c>
      <c r="M407" s="25" t="str">
        <f>IFERROR(__xludf.DUMMYFUNCTION("""COMPUTED_VALUE"""),"Shooter")</f>
        <v>Shooter</v>
      </c>
      <c r="N407" s="25"/>
      <c r="O407" s="26" t="str">
        <f>IFERROR(__xludf.DUMMYFUNCTION("""COMPUTED_VALUE"""),"Yes")</f>
        <v>Yes</v>
      </c>
      <c r="P407" s="26"/>
    </row>
    <row r="408">
      <c r="A408" s="13" t="str">
        <f>IFERROR(__xludf.DUMMYFUNCTION("""COMPUTED_VALUE"""),"Under The Waves")</f>
        <v>Under The Waves</v>
      </c>
      <c r="B408" s="15" t="str">
        <f>IFERROR(__xludf.DUMMYFUNCTION("""COMPUTED_VALUE"""),"PS5/PS4")</f>
        <v>PS5/PS4</v>
      </c>
      <c r="C408" s="16" t="str">
        <f>IFERROR(__xludf.DUMMYFUNCTION("""COMPUTED_VALUE"""),"Extra")</f>
        <v>Extra</v>
      </c>
      <c r="D408" s="15" t="str">
        <f>IFERROR(__xludf.DUMMYFUNCTION("""COMPUTED_VALUE"""),"Active")</f>
        <v>Active</v>
      </c>
      <c r="E408" s="17">
        <f>IFERROR(__xludf.DUMMYFUNCTION("""COMPUTED_VALUE"""),45552.0)</f>
        <v>45552</v>
      </c>
      <c r="F408" s="54"/>
      <c r="G408" s="19">
        <f>IFERROR(__xludf.DUMMYFUNCTION("""COMPUTED_VALUE"""),24.633333333333333)</f>
        <v>24.63333333</v>
      </c>
      <c r="H408" s="17">
        <f>IFERROR(__xludf.DUMMYFUNCTION("""COMPUTED_VALUE"""),45167.0)</f>
        <v>45167</v>
      </c>
      <c r="I408" s="19">
        <f>IFERROR(__xludf.DUMMYFUNCTION("""COMPUTED_VALUE"""),1.05)</f>
        <v>1.05</v>
      </c>
      <c r="J408" s="21">
        <f>IFERROR(__xludf.DUMMYFUNCTION("""COMPUTED_VALUE"""),70.0)</f>
        <v>70</v>
      </c>
      <c r="K408" s="23">
        <f>IFERROR(__xludf.DUMMYFUNCTION("""COMPUTED_VALUE"""),6.4)</f>
        <v>6.4</v>
      </c>
      <c r="L408" s="24">
        <f>IFERROR(__xludf.DUMMYFUNCTION("""COMPUTED_VALUE"""),8.0)</f>
        <v>8</v>
      </c>
      <c r="M408" s="25" t="str">
        <f>IFERROR(__xludf.DUMMYFUNCTION("""COMPUTED_VALUE"""),"Action-Adventure")</f>
        <v>Action-Adventure</v>
      </c>
      <c r="N408" s="25"/>
      <c r="O408" s="26" t="str">
        <f>IFERROR(__xludf.DUMMYFUNCTION("""COMPUTED_VALUE"""),"Portal (PS5 + Premium)")</f>
        <v>Portal (PS5 + Premium)</v>
      </c>
      <c r="P408" s="26"/>
    </row>
    <row r="409">
      <c r="A409" s="13" t="str">
        <f>IFERROR(__xludf.DUMMYFUNCTION("""COMPUTED_VALUE"""),"LEGO Jurassic World")</f>
        <v>LEGO Jurassic World</v>
      </c>
      <c r="B409" s="15" t="str">
        <f>IFERROR(__xludf.DUMMYFUNCTION("""COMPUTED_VALUE"""),"PS4")</f>
        <v>PS4</v>
      </c>
      <c r="C409" s="16" t="str">
        <f>IFERROR(__xludf.DUMMYFUNCTION("""COMPUTED_VALUE"""),"Extra")</f>
        <v>Extra</v>
      </c>
      <c r="D409" s="15" t="str">
        <f>IFERROR(__xludf.DUMMYFUNCTION("""COMPUTED_VALUE"""),"Active")</f>
        <v>Active</v>
      </c>
      <c r="E409" s="17">
        <f>IFERROR(__xludf.DUMMYFUNCTION("""COMPUTED_VALUE"""),45342.0)</f>
        <v>45342</v>
      </c>
      <c r="F409" s="54"/>
      <c r="G409" s="19">
        <f>IFERROR(__xludf.DUMMYFUNCTION("""COMPUTED_VALUE"""),31.53333333333333)</f>
        <v>31.53333333</v>
      </c>
      <c r="H409" s="17">
        <f>IFERROR(__xludf.DUMMYFUNCTION("""COMPUTED_VALUE"""),42164.0)</f>
        <v>42164</v>
      </c>
      <c r="I409" s="19">
        <f>IFERROR(__xludf.DUMMYFUNCTION("""COMPUTED_VALUE"""),8.697222222222223)</f>
        <v>8.697222222</v>
      </c>
      <c r="J409" s="21">
        <f>IFERROR(__xludf.DUMMYFUNCTION("""COMPUTED_VALUE"""),70.0)</f>
        <v>70</v>
      </c>
      <c r="K409" s="23">
        <f>IFERROR(__xludf.DUMMYFUNCTION("""COMPUTED_VALUE"""),7.3)</f>
        <v>7.3</v>
      </c>
      <c r="L409" s="24">
        <f>IFERROR(__xludf.DUMMYFUNCTION("""COMPUTED_VALUE"""),11.0)</f>
        <v>11</v>
      </c>
      <c r="M409" s="25" t="str">
        <f>IFERROR(__xludf.DUMMYFUNCTION("""COMPUTED_VALUE"""),"Action-Adventure")</f>
        <v>Action-Adventure</v>
      </c>
      <c r="N409" s="25"/>
      <c r="O409" s="26" t="str">
        <f>IFERROR(__xludf.DUMMYFUNCTION("""COMPUTED_VALUE"""),"Yes")</f>
        <v>Yes</v>
      </c>
      <c r="P409" s="26"/>
    </row>
    <row r="410">
      <c r="A410" s="13" t="str">
        <f>IFERROR(__xludf.DUMMYFUNCTION("""COMPUTED_VALUE"""),"Thrillville: Off the Rails")</f>
        <v>Thrillville: Off the Rails</v>
      </c>
      <c r="B410" s="15" t="str">
        <f>IFERROR(__xludf.DUMMYFUNCTION("""COMPUTED_VALUE"""),"PS5/PS4")</f>
        <v>PS5/PS4</v>
      </c>
      <c r="C410" s="16" t="str">
        <f>IFERROR(__xludf.DUMMYFUNCTION("""COMPUTED_VALUE"""),"Premium (Classics)")</f>
        <v>Premium (Classics)</v>
      </c>
      <c r="D410" s="15" t="str">
        <f>IFERROR(__xludf.DUMMYFUNCTION("""COMPUTED_VALUE"""),"Active")</f>
        <v>Active</v>
      </c>
      <c r="E410" s="17">
        <f>IFERROR(__xludf.DUMMYFUNCTION("""COMPUTED_VALUE"""),45279.0)</f>
        <v>45279</v>
      </c>
      <c r="F410" s="54"/>
      <c r="G410" s="19">
        <f>IFERROR(__xludf.DUMMYFUNCTION("""COMPUTED_VALUE"""),33.56666666666666)</f>
        <v>33.56666667</v>
      </c>
      <c r="H410" s="17">
        <f>IFERROR(__xludf.DUMMYFUNCTION("""COMPUTED_VALUE"""),39364.0)</f>
        <v>39364</v>
      </c>
      <c r="I410" s="19">
        <f>IFERROR(__xludf.DUMMYFUNCTION("""COMPUTED_VALUE"""),16.194444444444443)</f>
        <v>16.19444444</v>
      </c>
      <c r="J410" s="21">
        <f>IFERROR(__xludf.DUMMYFUNCTION("""COMPUTED_VALUE"""),70.0)</f>
        <v>70</v>
      </c>
      <c r="K410" s="23">
        <f>IFERROR(__xludf.DUMMYFUNCTION("""COMPUTED_VALUE"""),2.9)</f>
        <v>2.9</v>
      </c>
      <c r="L410" s="24">
        <f>IFERROR(__xludf.DUMMYFUNCTION("""COMPUTED_VALUE"""),7.0)</f>
        <v>7</v>
      </c>
      <c r="M410" s="25" t="str">
        <f>IFERROR(__xludf.DUMMYFUNCTION("""COMPUTED_VALUE"""),"Strategy")</f>
        <v>Strategy</v>
      </c>
      <c r="N410" s="25" t="str">
        <f>IFERROR(__xludf.DUMMYFUNCTION("""COMPUTED_VALUE"""),"PS2")</f>
        <v>PS2</v>
      </c>
      <c r="O410" s="26" t="str">
        <f>IFERROR(__xludf.DUMMYFUNCTION("""COMPUTED_VALUE"""),"No")</f>
        <v>No</v>
      </c>
      <c r="P410" s="26"/>
    </row>
    <row r="411">
      <c r="A411" s="13" t="str">
        <f>IFERROR(__xludf.DUMMYFUNCTION("""COMPUTED_VALUE"""),"Nobunaga's Ambition: Taishi")</f>
        <v>Nobunaga's Ambition: Taishi</v>
      </c>
      <c r="B411" s="15" t="str">
        <f>IFERROR(__xludf.DUMMYFUNCTION("""COMPUTED_VALUE"""),"PS4")</f>
        <v>PS4</v>
      </c>
      <c r="C411" s="16" t="str">
        <f>IFERROR(__xludf.DUMMYFUNCTION("""COMPUTED_VALUE"""),"Extra")</f>
        <v>Extra</v>
      </c>
      <c r="D411" s="15" t="str">
        <f>IFERROR(__xludf.DUMMYFUNCTION("""COMPUTED_VALUE"""),"Active")</f>
        <v>Active</v>
      </c>
      <c r="E411" s="17">
        <f>IFERROR(__xludf.DUMMYFUNCTION("""COMPUTED_VALUE"""),45251.0)</f>
        <v>45251</v>
      </c>
      <c r="F411" s="54"/>
      <c r="G411" s="19">
        <f>IFERROR(__xludf.DUMMYFUNCTION("""COMPUTED_VALUE"""),34.5)</f>
        <v>34.5</v>
      </c>
      <c r="H411" s="17">
        <f>IFERROR(__xludf.DUMMYFUNCTION("""COMPUTED_VALUE"""),43256.0)</f>
        <v>43256</v>
      </c>
      <c r="I411" s="19">
        <f>IFERROR(__xludf.DUMMYFUNCTION("""COMPUTED_VALUE"""),5.461111111111111)</f>
        <v>5.461111111</v>
      </c>
      <c r="J411" s="21">
        <f>IFERROR(__xludf.DUMMYFUNCTION("""COMPUTED_VALUE"""),70.0)</f>
        <v>70</v>
      </c>
      <c r="K411" s="23">
        <f>IFERROR(__xludf.DUMMYFUNCTION("""COMPUTED_VALUE"""),7.3)</f>
        <v>7.3</v>
      </c>
      <c r="L411" s="24">
        <f>IFERROR(__xludf.DUMMYFUNCTION("""COMPUTED_VALUE"""),23.0)</f>
        <v>23</v>
      </c>
      <c r="M411" s="25" t="str">
        <f>IFERROR(__xludf.DUMMYFUNCTION("""COMPUTED_VALUE"""),"Strategy")</f>
        <v>Strategy</v>
      </c>
      <c r="N411" s="25"/>
      <c r="O411" s="26" t="str">
        <f>IFERROR(__xludf.DUMMYFUNCTION("""COMPUTED_VALUE"""),"Yes")</f>
        <v>Yes</v>
      </c>
      <c r="P411" s="26"/>
    </row>
    <row r="412">
      <c r="A412" s="13" t="str">
        <f>IFERROR(__xludf.DUMMYFUNCTION("""COMPUTED_VALUE"""),"Tails Noir")</f>
        <v>Tails Noir</v>
      </c>
      <c r="B412" s="15" t="str">
        <f>IFERROR(__xludf.DUMMYFUNCTION("""COMPUTED_VALUE"""),"PS5/PS4")</f>
        <v>PS5/PS4</v>
      </c>
      <c r="C412" s="16" t="str">
        <f>IFERROR(__xludf.DUMMYFUNCTION("""COMPUTED_VALUE"""),"Extra")</f>
        <v>Extra</v>
      </c>
      <c r="D412" s="15" t="str">
        <f>IFERROR(__xludf.DUMMYFUNCTION("""COMPUTED_VALUE"""),"Active")</f>
        <v>Active</v>
      </c>
      <c r="E412" s="17">
        <f>IFERROR(__xludf.DUMMYFUNCTION("""COMPUTED_VALUE"""),45188.0)</f>
        <v>45188</v>
      </c>
      <c r="F412" s="54"/>
      <c r="G412" s="19">
        <f>IFERROR(__xludf.DUMMYFUNCTION("""COMPUTED_VALUE"""),36.56666666666666)</f>
        <v>36.56666667</v>
      </c>
      <c r="H412" s="17">
        <f>IFERROR(__xludf.DUMMYFUNCTION("""COMPUTED_VALUE"""),44263.0)</f>
        <v>44263</v>
      </c>
      <c r="I412" s="19">
        <f>IFERROR(__xludf.DUMMYFUNCTION("""COMPUTED_VALUE"""),2.5305555555555554)</f>
        <v>2.530555556</v>
      </c>
      <c r="J412" s="21">
        <f>IFERROR(__xludf.DUMMYFUNCTION("""COMPUTED_VALUE"""),70.0)</f>
        <v>70</v>
      </c>
      <c r="K412" s="23">
        <f>IFERROR(__xludf.DUMMYFUNCTION("""COMPUTED_VALUE"""),7.0)</f>
        <v>7</v>
      </c>
      <c r="L412" s="24">
        <f>IFERROR(__xludf.DUMMYFUNCTION("""COMPUTED_VALUE"""),6.0)</f>
        <v>6</v>
      </c>
      <c r="M412" s="25" t="str">
        <f>IFERROR(__xludf.DUMMYFUNCTION("""COMPUTED_VALUE"""),"Adventure")</f>
        <v>Adventure</v>
      </c>
      <c r="N412" s="25"/>
      <c r="O412" s="26" t="str">
        <f>IFERROR(__xludf.DUMMYFUNCTION("""COMPUTED_VALUE"""),"Yes")</f>
        <v>Yes</v>
      </c>
      <c r="P412" s="26"/>
    </row>
    <row r="413">
      <c r="A413" s="13" t="str">
        <f>IFERROR(__xludf.DUMMYFUNCTION("""COMPUTED_VALUE"""),"Watch Dogs: Legion")</f>
        <v>Watch Dogs: Legion</v>
      </c>
      <c r="B413" s="15" t="str">
        <f>IFERROR(__xludf.DUMMYFUNCTION("""COMPUTED_VALUE"""),"PS5/PS4")</f>
        <v>PS5/PS4</v>
      </c>
      <c r="C413" s="16" t="str">
        <f>IFERROR(__xludf.DUMMYFUNCTION("""COMPUTED_VALUE"""),"Extra (Ubisoft+ Classics)")</f>
        <v>Extra (Ubisoft+ Classics)</v>
      </c>
      <c r="D413" s="15" t="str">
        <f>IFERROR(__xludf.DUMMYFUNCTION("""COMPUTED_VALUE"""),"Active")</f>
        <v>Active</v>
      </c>
      <c r="E413" s="17">
        <f>IFERROR(__xludf.DUMMYFUNCTION("""COMPUTED_VALUE"""),45062.0)</f>
        <v>45062</v>
      </c>
      <c r="F413" s="54"/>
      <c r="G413" s="19">
        <f>IFERROR(__xludf.DUMMYFUNCTION("""COMPUTED_VALUE"""),40.666666666666664)</f>
        <v>40.66666667</v>
      </c>
      <c r="H413" s="17">
        <f>IFERROR(__xludf.DUMMYFUNCTION("""COMPUTED_VALUE"""),44133.0)</f>
        <v>44133</v>
      </c>
      <c r="I413" s="19">
        <f>IFERROR(__xludf.DUMMYFUNCTION("""COMPUTED_VALUE"""),2.547222222222222)</f>
        <v>2.547222222</v>
      </c>
      <c r="J413" s="21">
        <f>IFERROR(__xludf.DUMMYFUNCTION("""COMPUTED_VALUE"""),70.0)</f>
        <v>70</v>
      </c>
      <c r="K413" s="23">
        <f>IFERROR(__xludf.DUMMYFUNCTION("""COMPUTED_VALUE"""),5.5)</f>
        <v>5.5</v>
      </c>
      <c r="L413" s="24">
        <f>IFERROR(__xludf.DUMMYFUNCTION("""COMPUTED_VALUE"""),18.0)</f>
        <v>18</v>
      </c>
      <c r="M413" s="25" t="str">
        <f>IFERROR(__xludf.DUMMYFUNCTION("""COMPUTED_VALUE"""),"Action-Adventure")</f>
        <v>Action-Adventure</v>
      </c>
      <c r="N413" s="25"/>
      <c r="O413" s="26" t="str">
        <f>IFERROR(__xludf.DUMMYFUNCTION("""COMPUTED_VALUE"""),"Yes")</f>
        <v>Yes</v>
      </c>
      <c r="P413" s="26"/>
    </row>
    <row r="414">
      <c r="A414" s="13" t="str">
        <f>IFERROR(__xludf.DUMMYFUNCTION("""COMPUTED_VALUE"""),"Ben 10: Power Trip")</f>
        <v>Ben 10: Power Trip</v>
      </c>
      <c r="B414" s="15" t="str">
        <f>IFERROR(__xludf.DUMMYFUNCTION("""COMPUTED_VALUE"""),"PS5/PS4")</f>
        <v>PS5/PS4</v>
      </c>
      <c r="C414" s="16" t="str">
        <f>IFERROR(__xludf.DUMMYFUNCTION("""COMPUTED_VALUE"""),"Extra")</f>
        <v>Extra</v>
      </c>
      <c r="D414" s="15" t="str">
        <f>IFERROR(__xludf.DUMMYFUNCTION("""COMPUTED_VALUE"""),"Active")</f>
        <v>Active</v>
      </c>
      <c r="E414" s="17">
        <f>IFERROR(__xludf.DUMMYFUNCTION("""COMPUTED_VALUE"""),44915.0)</f>
        <v>44915</v>
      </c>
      <c r="F414" s="54"/>
      <c r="G414" s="19">
        <f>IFERROR(__xludf.DUMMYFUNCTION("""COMPUTED_VALUE"""),45.53333333333333)</f>
        <v>45.53333333</v>
      </c>
      <c r="H414" s="17">
        <f>IFERROR(__xludf.DUMMYFUNCTION("""COMPUTED_VALUE"""),44113.0)</f>
        <v>44113</v>
      </c>
      <c r="I414" s="19">
        <f>IFERROR(__xludf.DUMMYFUNCTION("""COMPUTED_VALUE"""),2.1972222222222224)</f>
        <v>2.197222222</v>
      </c>
      <c r="J414" s="21">
        <f>IFERROR(__xludf.DUMMYFUNCTION("""COMPUTED_VALUE"""),70.0)</f>
        <v>70</v>
      </c>
      <c r="K414" s="23">
        <f>IFERROR(__xludf.DUMMYFUNCTION("""COMPUTED_VALUE"""),5.2)</f>
        <v>5.2</v>
      </c>
      <c r="L414" s="24">
        <f>IFERROR(__xludf.DUMMYFUNCTION("""COMPUTED_VALUE"""),4.0)</f>
        <v>4</v>
      </c>
      <c r="M414" s="25" t="str">
        <f>IFERROR(__xludf.DUMMYFUNCTION("""COMPUTED_VALUE"""),"Action-Adventure")</f>
        <v>Action-Adventure</v>
      </c>
      <c r="N414" s="25"/>
      <c r="O414" s="26" t="str">
        <f>IFERROR(__xludf.DUMMYFUNCTION("""COMPUTED_VALUE"""),"Yes")</f>
        <v>Yes</v>
      </c>
      <c r="P414" s="26"/>
    </row>
    <row r="415">
      <c r="A415" s="13" t="str">
        <f>IFERROR(__xludf.DUMMYFUNCTION("""COMPUTED_VALUE"""),"Gigantosaurus: The Game")</f>
        <v>Gigantosaurus: The Game</v>
      </c>
      <c r="B415" s="15" t="str">
        <f>IFERROR(__xludf.DUMMYFUNCTION("""COMPUTED_VALUE"""),"PS4")</f>
        <v>PS4</v>
      </c>
      <c r="C415" s="16" t="str">
        <f>IFERROR(__xludf.DUMMYFUNCTION("""COMPUTED_VALUE"""),"Extra")</f>
        <v>Extra</v>
      </c>
      <c r="D415" s="15" t="str">
        <f>IFERROR(__xludf.DUMMYFUNCTION("""COMPUTED_VALUE"""),"Active")</f>
        <v>Active</v>
      </c>
      <c r="E415" s="17">
        <f>IFERROR(__xludf.DUMMYFUNCTION("""COMPUTED_VALUE"""),44915.0)</f>
        <v>44915</v>
      </c>
      <c r="F415" s="54"/>
      <c r="G415" s="19">
        <f>IFERROR(__xludf.DUMMYFUNCTION("""COMPUTED_VALUE"""),45.53333333333333)</f>
        <v>45.53333333</v>
      </c>
      <c r="H415" s="17">
        <f>IFERROR(__xludf.DUMMYFUNCTION("""COMPUTED_VALUE"""),43917.0)</f>
        <v>43917</v>
      </c>
      <c r="I415" s="19">
        <f>IFERROR(__xludf.DUMMYFUNCTION("""COMPUTED_VALUE"""),2.7305555555555556)</f>
        <v>2.730555556</v>
      </c>
      <c r="J415" s="21">
        <f>IFERROR(__xludf.DUMMYFUNCTION("""COMPUTED_VALUE"""),70.0)</f>
        <v>70</v>
      </c>
      <c r="K415" s="23">
        <f>IFERROR(__xludf.DUMMYFUNCTION("""COMPUTED_VALUE"""),10.0)</f>
        <v>10</v>
      </c>
      <c r="L415" s="24">
        <f>IFERROR(__xludf.DUMMYFUNCTION("""COMPUTED_VALUE"""),6.0)</f>
        <v>6</v>
      </c>
      <c r="M415" s="25" t="str">
        <f>IFERROR(__xludf.DUMMYFUNCTION("""COMPUTED_VALUE"""),"Action-Adventure")</f>
        <v>Action-Adventure</v>
      </c>
      <c r="N415" s="25"/>
      <c r="O415" s="26" t="str">
        <f>IFERROR(__xludf.DUMMYFUNCTION("""COMPUTED_VALUE"""),"Yes")</f>
        <v>Yes</v>
      </c>
      <c r="P415" s="26"/>
    </row>
    <row r="416">
      <c r="A416" s="13" t="str">
        <f>IFERROR(__xludf.DUMMYFUNCTION("""COMPUTED_VALUE"""),"Assassin's Creed Unity")</f>
        <v>Assassin's Creed Unity</v>
      </c>
      <c r="B416" s="15" t="str">
        <f>IFERROR(__xludf.DUMMYFUNCTION("""COMPUTED_VALUE"""),"PS4")</f>
        <v>PS4</v>
      </c>
      <c r="C416" s="16" t="str">
        <f>IFERROR(__xludf.DUMMYFUNCTION("""COMPUTED_VALUE"""),"Extra (Ubisoft+ Classics)")</f>
        <v>Extra (Ubisoft+ Classics)</v>
      </c>
      <c r="D416" s="15" t="str">
        <f>IFERROR(__xludf.DUMMYFUNCTION("""COMPUTED_VALUE"""),"Active")</f>
        <v>Active</v>
      </c>
      <c r="E416" s="17">
        <f>IFERROR(__xludf.DUMMYFUNCTION("""COMPUTED_VALUE"""),44761.0)</f>
        <v>44761</v>
      </c>
      <c r="F416" s="54"/>
      <c r="G416" s="19">
        <f>IFERROR(__xludf.DUMMYFUNCTION("""COMPUTED_VALUE"""),50.56666666666666)</f>
        <v>50.56666667</v>
      </c>
      <c r="H416" s="17">
        <f>IFERROR(__xludf.DUMMYFUNCTION("""COMPUTED_VALUE"""),41954.0)</f>
        <v>41954</v>
      </c>
      <c r="I416" s="19">
        <f>IFERROR(__xludf.DUMMYFUNCTION("""COMPUTED_VALUE"""),7.688888888888889)</f>
        <v>7.688888889</v>
      </c>
      <c r="J416" s="21">
        <f>IFERROR(__xludf.DUMMYFUNCTION("""COMPUTED_VALUE"""),70.0)</f>
        <v>70</v>
      </c>
      <c r="K416" s="23">
        <f>IFERROR(__xludf.DUMMYFUNCTION("""COMPUTED_VALUE"""),6.0)</f>
        <v>6</v>
      </c>
      <c r="L416" s="24">
        <f>IFERROR(__xludf.DUMMYFUNCTION("""COMPUTED_VALUE"""),17.0)</f>
        <v>17</v>
      </c>
      <c r="M416" s="25" t="str">
        <f>IFERROR(__xludf.DUMMYFUNCTION("""COMPUTED_VALUE"""),"RPG")</f>
        <v>RPG</v>
      </c>
      <c r="N416" s="25"/>
      <c r="O416" s="26" t="str">
        <f>IFERROR(__xludf.DUMMYFUNCTION("""COMPUTED_VALUE"""),"Yes")</f>
        <v>Yes</v>
      </c>
      <c r="P416" s="26"/>
    </row>
    <row r="417">
      <c r="A417" s="13" t="str">
        <f>IFERROR(__xludf.DUMMYFUNCTION("""COMPUTED_VALUE"""),"Monster Truck Championship")</f>
        <v>Monster Truck Championship</v>
      </c>
      <c r="B417" s="15" t="str">
        <f>IFERROR(__xludf.DUMMYFUNCTION("""COMPUTED_VALUE"""),"PS5/PS4")</f>
        <v>PS5/PS4</v>
      </c>
      <c r="C417" s="16" t="str">
        <f>IFERROR(__xludf.DUMMYFUNCTION("""COMPUTED_VALUE"""),"Extra")</f>
        <v>Extra</v>
      </c>
      <c r="D417" s="15" t="str">
        <f>IFERROR(__xludf.DUMMYFUNCTION("""COMPUTED_VALUE"""),"Active")</f>
        <v>Active</v>
      </c>
      <c r="E417" s="17">
        <f>IFERROR(__xludf.DUMMYFUNCTION("""COMPUTED_VALUE"""),44725.0)</f>
        <v>44725</v>
      </c>
      <c r="F417" s="54"/>
      <c r="G417" s="19">
        <f>IFERROR(__xludf.DUMMYFUNCTION("""COMPUTED_VALUE"""),51.766666666666666)</f>
        <v>51.76666667</v>
      </c>
      <c r="H417" s="17">
        <f>IFERROR(__xludf.DUMMYFUNCTION("""COMPUTED_VALUE"""),44119.0)</f>
        <v>44119</v>
      </c>
      <c r="I417" s="19">
        <f>IFERROR(__xludf.DUMMYFUNCTION("""COMPUTED_VALUE"""),1.6611111111111112)</f>
        <v>1.661111111</v>
      </c>
      <c r="J417" s="21">
        <f>IFERROR(__xludf.DUMMYFUNCTION("""COMPUTED_VALUE"""),70.0)</f>
        <v>70</v>
      </c>
      <c r="K417" s="23">
        <f>IFERROR(__xludf.DUMMYFUNCTION("""COMPUTED_VALUE"""),3.8)</f>
        <v>3.8</v>
      </c>
      <c r="L417" s="24">
        <f>IFERROR(__xludf.DUMMYFUNCTION("""COMPUTED_VALUE"""),9.0)</f>
        <v>9</v>
      </c>
      <c r="M417" s="25" t="str">
        <f>IFERROR(__xludf.DUMMYFUNCTION("""COMPUTED_VALUE"""),"Racing")</f>
        <v>Racing</v>
      </c>
      <c r="N417" s="25"/>
      <c r="O417" s="26" t="str">
        <f>IFERROR(__xludf.DUMMYFUNCTION("""COMPUTED_VALUE"""),"Yes")</f>
        <v>Yes</v>
      </c>
      <c r="P417" s="26"/>
    </row>
    <row r="418">
      <c r="A418" s="13" t="str">
        <f>IFERROR(__xludf.DUMMYFUNCTION("""COMPUTED_VALUE"""),"Pile Up! Box by Box")</f>
        <v>Pile Up! Box by Box</v>
      </c>
      <c r="B418" s="15" t="str">
        <f>IFERROR(__xludf.DUMMYFUNCTION("""COMPUTED_VALUE"""),"PS4")</f>
        <v>PS4</v>
      </c>
      <c r="C418" s="16" t="str">
        <f>IFERROR(__xludf.DUMMYFUNCTION("""COMPUTED_VALUE"""),"Extra")</f>
        <v>Extra</v>
      </c>
      <c r="D418" s="15" t="str">
        <f>IFERROR(__xludf.DUMMYFUNCTION("""COMPUTED_VALUE"""),"Active")</f>
        <v>Active</v>
      </c>
      <c r="E418" s="17">
        <f>IFERROR(__xludf.DUMMYFUNCTION("""COMPUTED_VALUE"""),44725.0)</f>
        <v>44725</v>
      </c>
      <c r="F418" s="54"/>
      <c r="G418" s="19">
        <f>IFERROR(__xludf.DUMMYFUNCTION("""COMPUTED_VALUE"""),51.766666666666666)</f>
        <v>51.76666667</v>
      </c>
      <c r="H418" s="17">
        <f>IFERROR(__xludf.DUMMYFUNCTION("""COMPUTED_VALUE"""),44301.0)</f>
        <v>44301</v>
      </c>
      <c r="I418" s="19">
        <f>IFERROR(__xludf.DUMMYFUNCTION("""COMPUTED_VALUE"""),1.1611111111111112)</f>
        <v>1.161111111</v>
      </c>
      <c r="J418" s="21">
        <f>IFERROR(__xludf.DUMMYFUNCTION("""COMPUTED_VALUE"""),70.0)</f>
        <v>70</v>
      </c>
      <c r="K418" s="23">
        <f>IFERROR(__xludf.DUMMYFUNCTION("""COMPUTED_VALUE"""),7.0)</f>
        <v>7</v>
      </c>
      <c r="L418" s="24">
        <f>IFERROR(__xludf.DUMMYFUNCTION("""COMPUTED_VALUE"""),4.0)</f>
        <v>4</v>
      </c>
      <c r="M418" s="25" t="str">
        <f>IFERROR(__xludf.DUMMYFUNCTION("""COMPUTED_VALUE"""),"Platformer")</f>
        <v>Platformer</v>
      </c>
      <c r="N418" s="25"/>
      <c r="O418" s="26" t="str">
        <f>IFERROR(__xludf.DUMMYFUNCTION("""COMPUTED_VALUE"""),"Yes")</f>
        <v>Yes</v>
      </c>
      <c r="P418" s="26" t="str">
        <f>IFERROR(__xludf.DUMMYFUNCTION("""COMPUTED_VALUE"""),"Yes")</f>
        <v>Yes</v>
      </c>
    </row>
    <row r="419">
      <c r="A419" s="13" t="str">
        <f>IFERROR(__xludf.DUMMYFUNCTION("""COMPUTED_VALUE"""),"Jumping Flash!")</f>
        <v>Jumping Flash!</v>
      </c>
      <c r="B419" s="15" t="str">
        <f>IFERROR(__xludf.DUMMYFUNCTION("""COMPUTED_VALUE"""),"PS5/PS4")</f>
        <v>PS5/PS4</v>
      </c>
      <c r="C419" s="16" t="str">
        <f>IFERROR(__xludf.DUMMYFUNCTION("""COMPUTED_VALUE"""),"Premium (Classics)")</f>
        <v>Premium (Classics)</v>
      </c>
      <c r="D419" s="15" t="str">
        <f>IFERROR(__xludf.DUMMYFUNCTION("""COMPUTED_VALUE"""),"Active")</f>
        <v>Active</v>
      </c>
      <c r="E419" s="17">
        <f>IFERROR(__xludf.DUMMYFUNCTION("""COMPUTED_VALUE"""),44725.0)</f>
        <v>44725</v>
      </c>
      <c r="F419" s="54"/>
      <c r="G419" s="19">
        <f>IFERROR(__xludf.DUMMYFUNCTION("""COMPUTED_VALUE"""),51.766666666666666)</f>
        <v>51.76666667</v>
      </c>
      <c r="H419" s="17">
        <f>IFERROR(__xludf.DUMMYFUNCTION("""COMPUTED_VALUE"""),35004.0)</f>
        <v>35004</v>
      </c>
      <c r="I419" s="19">
        <f>IFERROR(__xludf.DUMMYFUNCTION("""COMPUTED_VALUE"""),26.616666666666667)</f>
        <v>26.61666667</v>
      </c>
      <c r="J419" s="21">
        <f>IFERROR(__xludf.DUMMYFUNCTION("""COMPUTED_VALUE"""),70.0)</f>
        <v>70</v>
      </c>
      <c r="K419" s="23">
        <f>IFERROR(__xludf.DUMMYFUNCTION("""COMPUTED_VALUE"""),7.9)</f>
        <v>7.9</v>
      </c>
      <c r="L419" s="24">
        <f>IFERROR(__xludf.DUMMYFUNCTION("""COMPUTED_VALUE"""),4.0)</f>
        <v>4</v>
      </c>
      <c r="M419" s="25" t="str">
        <f>IFERROR(__xludf.DUMMYFUNCTION("""COMPUTED_VALUE"""),"Platformer")</f>
        <v>Platformer</v>
      </c>
      <c r="N419" s="25" t="str">
        <f>IFERROR(__xludf.DUMMYFUNCTION("""COMPUTED_VALUE"""),"PS1")</f>
        <v>PS1</v>
      </c>
      <c r="O419" s="26" t="str">
        <f>IFERROR(__xludf.DUMMYFUNCTION("""COMPUTED_VALUE"""),"No")</f>
        <v>No</v>
      </c>
      <c r="P419" s="26" t="str">
        <f>IFERROR(__xludf.DUMMYFUNCTION("""COMPUTED_VALUE"""),"")</f>
        <v/>
      </c>
    </row>
    <row r="420">
      <c r="A420" s="13" t="str">
        <f>IFERROR(__xludf.DUMMYFUNCTION("""COMPUTED_VALUE"""),"Hot Shots Tennis")</f>
        <v>Hot Shots Tennis</v>
      </c>
      <c r="B420" s="15" t="str">
        <f>IFERROR(__xludf.DUMMYFUNCTION("""COMPUTED_VALUE"""),"PS4")</f>
        <v>PS4</v>
      </c>
      <c r="C420" s="16" t="str">
        <f>IFERROR(__xludf.DUMMYFUNCTION("""COMPUTED_VALUE"""),"Premium (Classics)")</f>
        <v>Premium (Classics)</v>
      </c>
      <c r="D420" s="15" t="str">
        <f>IFERROR(__xludf.DUMMYFUNCTION("""COMPUTED_VALUE"""),"Active")</f>
        <v>Active</v>
      </c>
      <c r="E420" s="17">
        <f>IFERROR(__xludf.DUMMYFUNCTION("""COMPUTED_VALUE"""),44725.0)</f>
        <v>44725</v>
      </c>
      <c r="F420" s="54"/>
      <c r="G420" s="19">
        <f>IFERROR(__xludf.DUMMYFUNCTION("""COMPUTED_VALUE"""),51.766666666666666)</f>
        <v>51.76666667</v>
      </c>
      <c r="H420" s="17">
        <f>IFERROR(__xludf.DUMMYFUNCTION("""COMPUTED_VALUE"""),39264.0)</f>
        <v>39264</v>
      </c>
      <c r="I420" s="19">
        <f>IFERROR(__xludf.DUMMYFUNCTION("""COMPUTED_VALUE"""),14.95)</f>
        <v>14.95</v>
      </c>
      <c r="J420" s="21">
        <f>IFERROR(__xludf.DUMMYFUNCTION("""COMPUTED_VALUE"""),70.0)</f>
        <v>70</v>
      </c>
      <c r="K420" s="23">
        <f>IFERROR(__xludf.DUMMYFUNCTION("""COMPUTED_VALUE"""),7.7)</f>
        <v>7.7</v>
      </c>
      <c r="L420" s="24">
        <f>IFERROR(__xludf.DUMMYFUNCTION("""COMPUTED_VALUE"""),6.5)</f>
        <v>6.5</v>
      </c>
      <c r="M420" s="25" t="str">
        <f>IFERROR(__xludf.DUMMYFUNCTION("""COMPUTED_VALUE"""),"Sports")</f>
        <v>Sports</v>
      </c>
      <c r="N420" s="25" t="str">
        <f>IFERROR(__xludf.DUMMYFUNCTION("""COMPUTED_VALUE"""),"PS2")</f>
        <v>PS2</v>
      </c>
      <c r="O420" s="26" t="str">
        <f>IFERROR(__xludf.DUMMYFUNCTION("""COMPUTED_VALUE"""),"Yes")</f>
        <v>Yes</v>
      </c>
      <c r="P420" s="26" t="str">
        <f>IFERROR(__xludf.DUMMYFUNCTION("""COMPUTED_VALUE"""),"")</f>
        <v/>
      </c>
    </row>
    <row r="421">
      <c r="A421" s="13" t="str">
        <f>IFERROR(__xludf.DUMMYFUNCTION("""COMPUTED_VALUE"""),"OKAGE: Shadow King")</f>
        <v>OKAGE: Shadow King</v>
      </c>
      <c r="B421" s="15" t="str">
        <f>IFERROR(__xludf.DUMMYFUNCTION("""COMPUTED_VALUE"""),"PS4")</f>
        <v>PS4</v>
      </c>
      <c r="C421" s="16" t="str">
        <f>IFERROR(__xludf.DUMMYFUNCTION("""COMPUTED_VALUE"""),"Premium (Classics)")</f>
        <v>Premium (Classics)</v>
      </c>
      <c r="D421" s="15" t="str">
        <f>IFERROR(__xludf.DUMMYFUNCTION("""COMPUTED_VALUE"""),"Active")</f>
        <v>Active</v>
      </c>
      <c r="E421" s="17">
        <f>IFERROR(__xludf.DUMMYFUNCTION("""COMPUTED_VALUE"""),44725.0)</f>
        <v>44725</v>
      </c>
      <c r="F421" s="54"/>
      <c r="G421" s="19">
        <f>IFERROR(__xludf.DUMMYFUNCTION("""COMPUTED_VALUE"""),51.766666666666666)</f>
        <v>51.76666667</v>
      </c>
      <c r="H421" s="17">
        <f>IFERROR(__xludf.DUMMYFUNCTION("""COMPUTED_VALUE"""),36951.0)</f>
        <v>36951</v>
      </c>
      <c r="I421" s="19">
        <f>IFERROR(__xludf.DUMMYFUNCTION("""COMPUTED_VALUE"""),21.283333333333335)</f>
        <v>21.28333333</v>
      </c>
      <c r="J421" s="21">
        <f>IFERROR(__xludf.DUMMYFUNCTION("""COMPUTED_VALUE"""),70.0)</f>
        <v>70</v>
      </c>
      <c r="K421" s="23">
        <f>IFERROR(__xludf.DUMMYFUNCTION("""COMPUTED_VALUE"""),8.1)</f>
        <v>8.1</v>
      </c>
      <c r="L421" s="24">
        <f>IFERROR(__xludf.DUMMYFUNCTION("""COMPUTED_VALUE"""),30.0)</f>
        <v>30</v>
      </c>
      <c r="M421" s="25" t="str">
        <f>IFERROR(__xludf.DUMMYFUNCTION("""COMPUTED_VALUE"""),"RPG")</f>
        <v>RPG</v>
      </c>
      <c r="N421" s="25" t="str">
        <f>IFERROR(__xludf.DUMMYFUNCTION("""COMPUTED_VALUE"""),"PS2")</f>
        <v>PS2</v>
      </c>
      <c r="O421" s="26" t="str">
        <f>IFERROR(__xludf.DUMMYFUNCTION("""COMPUTED_VALUE"""),"Yes")</f>
        <v>Yes</v>
      </c>
      <c r="P421" s="26" t="str">
        <f>IFERROR(__xludf.DUMMYFUNCTION("""COMPUTED_VALUE"""),"")</f>
        <v/>
      </c>
    </row>
    <row r="422">
      <c r="A422" s="13" t="str">
        <f>IFERROR(__xludf.DUMMYFUNCTION("""COMPUTED_VALUE"""),"AO Tennis 2")</f>
        <v>AO Tennis 2</v>
      </c>
      <c r="B422" s="15" t="str">
        <f>IFERROR(__xludf.DUMMYFUNCTION("""COMPUTED_VALUE"""),"PS4")</f>
        <v>PS4</v>
      </c>
      <c r="C422" s="16" t="str">
        <f>IFERROR(__xludf.DUMMYFUNCTION("""COMPUTED_VALUE"""),"Extra")</f>
        <v>Extra</v>
      </c>
      <c r="D422" s="15" t="str">
        <f>IFERROR(__xludf.DUMMYFUNCTION("""COMPUTED_VALUE"""),"Active")</f>
        <v>Active</v>
      </c>
      <c r="E422" s="17">
        <f>IFERROR(__xludf.DUMMYFUNCTION("""COMPUTED_VALUE"""),44047.0)</f>
        <v>44047</v>
      </c>
      <c r="F422" s="54"/>
      <c r="G422" s="19">
        <f>IFERROR(__xludf.DUMMYFUNCTION("""COMPUTED_VALUE"""),74.06666666666666)</f>
        <v>74.06666667</v>
      </c>
      <c r="H422" s="17">
        <f>IFERROR(__xludf.DUMMYFUNCTION("""COMPUTED_VALUE"""),43862.0)</f>
        <v>43862</v>
      </c>
      <c r="I422" s="19">
        <f>IFERROR(__xludf.DUMMYFUNCTION("""COMPUTED_VALUE"""),0.5083333333333333)</f>
        <v>0.5083333333</v>
      </c>
      <c r="J422" s="21">
        <f>IFERROR(__xludf.DUMMYFUNCTION("""COMPUTED_VALUE"""),70.0)</f>
        <v>70</v>
      </c>
      <c r="K422" s="23">
        <f>IFERROR(__xludf.DUMMYFUNCTION("""COMPUTED_VALUE"""),6.2)</f>
        <v>6.2</v>
      </c>
      <c r="L422" s="24">
        <f>IFERROR(__xludf.DUMMYFUNCTION("""COMPUTED_VALUE"""),20.0)</f>
        <v>20</v>
      </c>
      <c r="M422" s="25" t="str">
        <f>IFERROR(__xludf.DUMMYFUNCTION("""COMPUTED_VALUE"""),"Sports")</f>
        <v>Sports</v>
      </c>
      <c r="N422" s="25"/>
      <c r="O422" s="26" t="str">
        <f>IFERROR(__xludf.DUMMYFUNCTION("""COMPUTED_VALUE"""),"Yes")</f>
        <v>Yes</v>
      </c>
      <c r="P422" s="26" t="str">
        <f>IFERROR(__xludf.DUMMYFUNCTION("""COMPUTED_VALUE"""),"Yes")</f>
        <v>Yes</v>
      </c>
    </row>
    <row r="423">
      <c r="A423" s="13" t="str">
        <f>IFERROR(__xludf.DUMMYFUNCTION("""COMPUTED_VALUE"""),"Vampyr")</f>
        <v>Vampyr</v>
      </c>
      <c r="B423" s="15" t="str">
        <f>IFERROR(__xludf.DUMMYFUNCTION("""COMPUTED_VALUE"""),"PS4")</f>
        <v>PS4</v>
      </c>
      <c r="C423" s="16" t="str">
        <f>IFERROR(__xludf.DUMMYFUNCTION("""COMPUTED_VALUE"""),"Extra")</f>
        <v>Extra</v>
      </c>
      <c r="D423" s="15" t="str">
        <f>IFERROR(__xludf.DUMMYFUNCTION("""COMPUTED_VALUE"""),"Active")</f>
        <v>Active</v>
      </c>
      <c r="E423" s="17">
        <f>IFERROR(__xludf.DUMMYFUNCTION("""COMPUTED_VALUE"""),43711.0)</f>
        <v>43711</v>
      </c>
      <c r="F423" s="54"/>
      <c r="G423" s="19">
        <f>IFERROR(__xludf.DUMMYFUNCTION("""COMPUTED_VALUE"""),85.1)</f>
        <v>85.1</v>
      </c>
      <c r="H423" s="17">
        <f>IFERROR(__xludf.DUMMYFUNCTION("""COMPUTED_VALUE"""),43256.0)</f>
        <v>43256</v>
      </c>
      <c r="I423" s="19">
        <f>IFERROR(__xludf.DUMMYFUNCTION("""COMPUTED_VALUE"""),1.2444444444444445)</f>
        <v>1.244444444</v>
      </c>
      <c r="J423" s="21">
        <f>IFERROR(__xludf.DUMMYFUNCTION("""COMPUTED_VALUE"""),70.0)</f>
        <v>70</v>
      </c>
      <c r="K423" s="23">
        <f>IFERROR(__xludf.DUMMYFUNCTION("""COMPUTED_VALUE"""),7.1)</f>
        <v>7.1</v>
      </c>
      <c r="L423" s="24">
        <f>IFERROR(__xludf.DUMMYFUNCTION("""COMPUTED_VALUE"""),17.0)</f>
        <v>17</v>
      </c>
      <c r="M423" s="25" t="str">
        <f>IFERROR(__xludf.DUMMYFUNCTION("""COMPUTED_VALUE"""),"RPG")</f>
        <v>RPG</v>
      </c>
      <c r="N423" s="25"/>
      <c r="O423" s="26" t="str">
        <f>IFERROR(__xludf.DUMMYFUNCTION("""COMPUTED_VALUE"""),"Yes")</f>
        <v>Yes</v>
      </c>
      <c r="P423" s="26"/>
    </row>
    <row r="424">
      <c r="A424" s="13" t="str">
        <f>IFERROR(__xludf.DUMMYFUNCTION("""COMPUTED_VALUE"""),"Atari Flashback Classics Vol. 1")</f>
        <v>Atari Flashback Classics Vol. 1</v>
      </c>
      <c r="B424" s="15" t="str">
        <f>IFERROR(__xludf.DUMMYFUNCTION("""COMPUTED_VALUE"""),"PS4")</f>
        <v>PS4</v>
      </c>
      <c r="C424" s="16" t="str">
        <f>IFERROR(__xludf.DUMMYFUNCTION("""COMPUTED_VALUE"""),"Premium (Remasters)")</f>
        <v>Premium (Remasters)</v>
      </c>
      <c r="D424" s="15" t="str">
        <f>IFERROR(__xludf.DUMMYFUNCTION("""COMPUTED_VALUE"""),"Active")</f>
        <v>Active</v>
      </c>
      <c r="E424" s="17">
        <f>IFERROR(__xludf.DUMMYFUNCTION("""COMPUTED_VALUE"""),43165.0)</f>
        <v>43165</v>
      </c>
      <c r="F424" s="54"/>
      <c r="G424" s="19">
        <f>IFERROR(__xludf.DUMMYFUNCTION("""COMPUTED_VALUE"""),103.0)</f>
        <v>103</v>
      </c>
      <c r="H424" s="17">
        <f>IFERROR(__xludf.DUMMYFUNCTION("""COMPUTED_VALUE"""),42644.0)</f>
        <v>42644</v>
      </c>
      <c r="I424" s="19">
        <f>IFERROR(__xludf.DUMMYFUNCTION("""COMPUTED_VALUE"""),1.4305555555555556)</f>
        <v>1.430555556</v>
      </c>
      <c r="J424" s="21">
        <f>IFERROR(__xludf.DUMMYFUNCTION("""COMPUTED_VALUE"""),70.0)</f>
        <v>70</v>
      </c>
      <c r="K424" s="23">
        <f>IFERROR(__xludf.DUMMYFUNCTION("""COMPUTED_VALUE"""),6.8)</f>
        <v>6.8</v>
      </c>
      <c r="L424" s="24"/>
      <c r="M424" s="25" t="str">
        <f>IFERROR(__xludf.DUMMYFUNCTION("""COMPUTED_VALUE"""),"Arcade")</f>
        <v>Arcade</v>
      </c>
      <c r="N424" s="25" t="str">
        <f>IFERROR(__xludf.DUMMYFUNCTION("""COMPUTED_VALUE"""),"Atari 2600 and Arcade")</f>
        <v>Atari 2600 and Arcade</v>
      </c>
      <c r="O424" s="26" t="str">
        <f>IFERROR(__xludf.DUMMYFUNCTION("""COMPUTED_VALUE"""),"Yes")</f>
        <v>Yes</v>
      </c>
      <c r="P424" s="26"/>
    </row>
    <row r="425">
      <c r="A425" s="13" t="str">
        <f>IFERROR(__xludf.DUMMYFUNCTION("""COMPUTED_VALUE"""),"Rainbow Moon")</f>
        <v>Rainbow Moon</v>
      </c>
      <c r="B425" s="15" t="str">
        <f>IFERROR(__xludf.DUMMYFUNCTION("""COMPUTED_VALUE"""),"PS4")</f>
        <v>PS4</v>
      </c>
      <c r="C425" s="16" t="str">
        <f>IFERROR(__xludf.DUMMYFUNCTION("""COMPUTED_VALUE"""),"Extra")</f>
        <v>Extra</v>
      </c>
      <c r="D425" s="15" t="str">
        <f>IFERROR(__xludf.DUMMYFUNCTION("""COMPUTED_VALUE"""),"Active")</f>
        <v>Active</v>
      </c>
      <c r="E425" s="17">
        <f>IFERROR(__xludf.DUMMYFUNCTION("""COMPUTED_VALUE"""),42017.0)</f>
        <v>42017</v>
      </c>
      <c r="F425" s="54"/>
      <c r="G425" s="19">
        <f>IFERROR(__xludf.DUMMYFUNCTION("""COMPUTED_VALUE"""),140.76666666666668)</f>
        <v>140.7666667</v>
      </c>
      <c r="H425" s="17">
        <f>IFERROR(__xludf.DUMMYFUNCTION("""COMPUTED_VALUE"""),41064.0)</f>
        <v>41064</v>
      </c>
      <c r="I425" s="19">
        <f>IFERROR(__xludf.DUMMYFUNCTION("""COMPUTED_VALUE"""),2.6083333333333334)</f>
        <v>2.608333333</v>
      </c>
      <c r="J425" s="21">
        <f>IFERROR(__xludf.DUMMYFUNCTION("""COMPUTED_VALUE"""),70.0)</f>
        <v>70</v>
      </c>
      <c r="K425" s="23">
        <f>IFERROR(__xludf.DUMMYFUNCTION("""COMPUTED_VALUE"""),8.0)</f>
        <v>8</v>
      </c>
      <c r="L425" s="24">
        <f>IFERROR(__xludf.DUMMYFUNCTION("""COMPUTED_VALUE"""),40.0)</f>
        <v>40</v>
      </c>
      <c r="M425" s="25" t="str">
        <f>IFERROR(__xludf.DUMMYFUNCTION("""COMPUTED_VALUE"""),"RPG")</f>
        <v>RPG</v>
      </c>
      <c r="N425" s="25"/>
      <c r="O425" s="26" t="str">
        <f>IFERROR(__xludf.DUMMYFUNCTION("""COMPUTED_VALUE"""),"Yes")</f>
        <v>Yes</v>
      </c>
      <c r="P425" s="26"/>
    </row>
    <row r="426">
      <c r="A426" s="13" t="str">
        <f>IFERROR(__xludf.DUMMYFUNCTION("""COMPUTED_VALUE"""),"Mega Man X Command Mission")</f>
        <v>Mega Man X Command Mission</v>
      </c>
      <c r="B426" s="15" t="str">
        <f>IFERROR(__xludf.DUMMYFUNCTION("""COMPUTED_VALUE"""),"PS5/PS4")</f>
        <v>PS5/PS4</v>
      </c>
      <c r="C426" s="16" t="str">
        <f>IFERROR(__xludf.DUMMYFUNCTION("""COMPUTED_VALUE"""),"Premium (Classics)")</f>
        <v>Premium (Classics)</v>
      </c>
      <c r="D426" s="15" t="str">
        <f>IFERROR(__xludf.DUMMYFUNCTION("""COMPUTED_VALUE"""),"Active")</f>
        <v>Active</v>
      </c>
      <c r="E426" s="17">
        <f>IFERROR(__xludf.DUMMYFUNCTION("""COMPUTED_VALUE"""),46280.0)</f>
        <v>46280</v>
      </c>
      <c r="F426" s="54"/>
      <c r="G426" s="19">
        <f>IFERROR(__xludf.DUMMYFUNCTION("""COMPUTED_VALUE"""),0.7)</f>
        <v>0.7</v>
      </c>
      <c r="H426" s="17">
        <f>IFERROR(__xludf.DUMMYFUNCTION("""COMPUTED_VALUE"""),38251.0)</f>
        <v>38251</v>
      </c>
      <c r="I426" s="19">
        <f>IFERROR(__xludf.DUMMYFUNCTION("""COMPUTED_VALUE"""),21.983333333333334)</f>
        <v>21.98333333</v>
      </c>
      <c r="J426" s="21">
        <f>IFERROR(__xludf.DUMMYFUNCTION("""COMPUTED_VALUE"""),69.0)</f>
        <v>69</v>
      </c>
      <c r="K426" s="23">
        <f>IFERROR(__xludf.DUMMYFUNCTION("""COMPUTED_VALUE"""),7.0)</f>
        <v>7</v>
      </c>
      <c r="L426" s="24">
        <f>IFERROR(__xludf.DUMMYFUNCTION("""COMPUTED_VALUE"""),22.0)</f>
        <v>22</v>
      </c>
      <c r="M426" s="25" t="str">
        <f>IFERROR(__xludf.DUMMYFUNCTION("""COMPUTED_VALUE"""),"RPG")</f>
        <v>RPG</v>
      </c>
      <c r="N426" s="25" t="str">
        <f>IFERROR(__xludf.DUMMYFUNCTION("""COMPUTED_VALUE"""),"PS2")</f>
        <v>PS2</v>
      </c>
      <c r="O426" s="26"/>
      <c r="P426" s="26"/>
    </row>
    <row r="427">
      <c r="A427" s="13" t="str">
        <f>IFERROR(__xludf.DUMMYFUNCTION("""COMPUTED_VALUE"""),"Captain Tsubasa: Rise of New Champions")</f>
        <v>Captain Tsubasa: Rise of New Champions</v>
      </c>
      <c r="B427" s="15" t="str">
        <f>IFERROR(__xludf.DUMMYFUNCTION("""COMPUTED_VALUE"""),"PS4")</f>
        <v>PS4</v>
      </c>
      <c r="C427" s="16" t="str">
        <f>IFERROR(__xludf.DUMMYFUNCTION("""COMPUTED_VALUE"""),"Extra")</f>
        <v>Extra</v>
      </c>
      <c r="D427" s="15" t="str">
        <f>IFERROR(__xludf.DUMMYFUNCTION("""COMPUTED_VALUE"""),"Active")</f>
        <v>Active</v>
      </c>
      <c r="E427" s="17">
        <f>IFERROR(__xludf.DUMMYFUNCTION("""COMPUTED_VALUE"""),45734.0)</f>
        <v>45734</v>
      </c>
      <c r="F427" s="54"/>
      <c r="G427" s="19">
        <f>IFERROR(__xludf.DUMMYFUNCTION("""COMPUTED_VALUE"""),18.6)</f>
        <v>18.6</v>
      </c>
      <c r="H427" s="17">
        <f>IFERROR(__xludf.DUMMYFUNCTION("""COMPUTED_VALUE"""),44071.0)</f>
        <v>44071</v>
      </c>
      <c r="I427" s="19">
        <f>IFERROR(__xludf.DUMMYFUNCTION("""COMPUTED_VALUE"""),4.555555555555555)</f>
        <v>4.555555556</v>
      </c>
      <c r="J427" s="21">
        <f>IFERROR(__xludf.DUMMYFUNCTION("""COMPUTED_VALUE"""),69.0)</f>
        <v>69</v>
      </c>
      <c r="K427" s="23">
        <f>IFERROR(__xludf.DUMMYFUNCTION("""COMPUTED_VALUE"""),7.2)</f>
        <v>7.2</v>
      </c>
      <c r="L427" s="24">
        <f>IFERROR(__xludf.DUMMYFUNCTION("""COMPUTED_VALUE"""),12.0)</f>
        <v>12</v>
      </c>
      <c r="M427" s="25" t="str">
        <f>IFERROR(__xludf.DUMMYFUNCTION("""COMPUTED_VALUE"""),"Soccer")</f>
        <v>Soccer</v>
      </c>
      <c r="N427" s="25"/>
      <c r="O427" s="26" t="str">
        <f>IFERROR(__xludf.DUMMYFUNCTION("""COMPUTED_VALUE"""),"Yes")</f>
        <v>Yes</v>
      </c>
      <c r="P427" s="26"/>
    </row>
    <row r="428">
      <c r="A428" s="13" t="str">
        <f>IFERROR(__xludf.DUMMYFUNCTION("""COMPUTED_VALUE"""),"Rabbids: Party of Legends")</f>
        <v>Rabbids: Party of Legends</v>
      </c>
      <c r="B428" s="15" t="str">
        <f>IFERROR(__xludf.DUMMYFUNCTION("""COMPUTED_VALUE"""),"PS4")</f>
        <v>PS4</v>
      </c>
      <c r="C428" s="16" t="str">
        <f>IFERROR(__xludf.DUMMYFUNCTION("""COMPUTED_VALUE"""),"Extra (Ubisoft+ Classics)")</f>
        <v>Extra (Ubisoft+ Classics)</v>
      </c>
      <c r="D428" s="15" t="str">
        <f>IFERROR(__xludf.DUMMYFUNCTION("""COMPUTED_VALUE"""),"Active")</f>
        <v>Active</v>
      </c>
      <c r="E428" s="17">
        <f>IFERROR(__xludf.DUMMYFUNCTION("""COMPUTED_VALUE"""),45643.0)</f>
        <v>45643</v>
      </c>
      <c r="F428" s="54"/>
      <c r="G428" s="19">
        <f>IFERROR(__xludf.DUMMYFUNCTION("""COMPUTED_VALUE"""),21.633333333333333)</f>
        <v>21.63333333</v>
      </c>
      <c r="H428" s="17">
        <f>IFERROR(__xludf.DUMMYFUNCTION("""COMPUTED_VALUE"""),44742.0)</f>
        <v>44742</v>
      </c>
      <c r="I428" s="19">
        <f>IFERROR(__xludf.DUMMYFUNCTION("""COMPUTED_VALUE"""),2.463888888888889)</f>
        <v>2.463888889</v>
      </c>
      <c r="J428" s="21">
        <f>IFERROR(__xludf.DUMMYFUNCTION("""COMPUTED_VALUE"""),69.0)</f>
        <v>69</v>
      </c>
      <c r="K428" s="23">
        <f>IFERROR(__xludf.DUMMYFUNCTION("""COMPUTED_VALUE"""),5.8)</f>
        <v>5.8</v>
      </c>
      <c r="L428" s="24">
        <f>IFERROR(__xludf.DUMMYFUNCTION("""COMPUTED_VALUE"""),3.0)</f>
        <v>3</v>
      </c>
      <c r="M428" s="25" t="str">
        <f>IFERROR(__xludf.DUMMYFUNCTION("""COMPUTED_VALUE"""),"Party")</f>
        <v>Party</v>
      </c>
      <c r="N428" s="25"/>
      <c r="O428" s="26" t="str">
        <f>IFERROR(__xludf.DUMMYFUNCTION("""COMPUTED_VALUE"""),"No")</f>
        <v>No</v>
      </c>
      <c r="P428" s="26"/>
    </row>
    <row r="429">
      <c r="A429" s="13" t="str">
        <f>IFERROR(__xludf.DUMMYFUNCTION("""COMPUTED_VALUE"""),"Ghosthunter")</f>
        <v>Ghosthunter</v>
      </c>
      <c r="B429" s="15" t="str">
        <f>IFERROR(__xludf.DUMMYFUNCTION("""COMPUTED_VALUE"""),"PS5/PS4")</f>
        <v>PS5/PS4</v>
      </c>
      <c r="C429" s="16" t="str">
        <f>IFERROR(__xludf.DUMMYFUNCTION("""COMPUTED_VALUE"""),"Premium (Classics)")</f>
        <v>Premium (Classics)</v>
      </c>
      <c r="D429" s="15" t="str">
        <f>IFERROR(__xludf.DUMMYFUNCTION("""COMPUTED_VALUE"""),"Active")</f>
        <v>Active</v>
      </c>
      <c r="E429" s="17">
        <f>IFERROR(__xludf.DUMMYFUNCTION("""COMPUTED_VALUE"""),45461.0)</f>
        <v>45461</v>
      </c>
      <c r="F429" s="54"/>
      <c r="G429" s="19">
        <f>IFERROR(__xludf.DUMMYFUNCTION("""COMPUTED_VALUE"""),27.599999999999998)</f>
        <v>27.6</v>
      </c>
      <c r="H429" s="17">
        <f>IFERROR(__xludf.DUMMYFUNCTION("""COMPUTED_VALUE"""),38216.0)</f>
        <v>38216</v>
      </c>
      <c r="I429" s="19">
        <f>IFERROR(__xludf.DUMMYFUNCTION("""COMPUTED_VALUE"""),19.836111111111112)</f>
        <v>19.83611111</v>
      </c>
      <c r="J429" s="21">
        <f>IFERROR(__xludf.DUMMYFUNCTION("""COMPUTED_VALUE"""),69.0)</f>
        <v>69</v>
      </c>
      <c r="K429" s="23">
        <f>IFERROR(__xludf.DUMMYFUNCTION("""COMPUTED_VALUE"""),8.4)</f>
        <v>8.4</v>
      </c>
      <c r="L429" s="24">
        <f>IFERROR(__xludf.DUMMYFUNCTION("""COMPUTED_VALUE"""),10.0)</f>
        <v>10</v>
      </c>
      <c r="M429" s="25" t="str">
        <f>IFERROR(__xludf.DUMMYFUNCTION("""COMPUTED_VALUE"""),"Survival")</f>
        <v>Survival</v>
      </c>
      <c r="N429" s="25" t="str">
        <f>IFERROR(__xludf.DUMMYFUNCTION("""COMPUTED_VALUE"""),"PS2")</f>
        <v>PS2</v>
      </c>
      <c r="O429" s="26" t="str">
        <f>IFERROR(__xludf.DUMMYFUNCTION("""COMPUTED_VALUE"""),"Yes")</f>
        <v>Yes</v>
      </c>
      <c r="P429" s="26"/>
    </row>
    <row r="430">
      <c r="A430" s="13" t="str">
        <f>IFERROR(__xludf.DUMMYFUNCTION("""COMPUTED_VALUE"""),"Raji: An Ancient Epic")</f>
        <v>Raji: An Ancient Epic</v>
      </c>
      <c r="B430" s="15" t="str">
        <f>IFERROR(__xludf.DUMMYFUNCTION("""COMPUTED_VALUE"""),"PS5/PS4")</f>
        <v>PS5/PS4</v>
      </c>
      <c r="C430" s="16" t="str">
        <f>IFERROR(__xludf.DUMMYFUNCTION("""COMPUTED_VALUE"""),"Extra")</f>
        <v>Extra</v>
      </c>
      <c r="D430" s="15" t="str">
        <f>IFERROR(__xludf.DUMMYFUNCTION("""COMPUTED_VALUE"""),"Active")</f>
        <v>Active</v>
      </c>
      <c r="E430" s="17">
        <f>IFERROR(__xludf.DUMMYFUNCTION("""COMPUTED_VALUE"""),45398.0)</f>
        <v>45398</v>
      </c>
      <c r="F430" s="54"/>
      <c r="G430" s="19">
        <f>IFERROR(__xludf.DUMMYFUNCTION("""COMPUTED_VALUE"""),29.666666666666668)</f>
        <v>29.66666667</v>
      </c>
      <c r="H430" s="17">
        <f>IFERROR(__xludf.DUMMYFUNCTION("""COMPUTED_VALUE"""),44061.0)</f>
        <v>44061</v>
      </c>
      <c r="I430" s="19">
        <f>IFERROR(__xludf.DUMMYFUNCTION("""COMPUTED_VALUE"""),3.661111111111111)</f>
        <v>3.661111111</v>
      </c>
      <c r="J430" s="21">
        <f>IFERROR(__xludf.DUMMYFUNCTION("""COMPUTED_VALUE"""),69.0)</f>
        <v>69</v>
      </c>
      <c r="K430" s="23">
        <f>IFERROR(__xludf.DUMMYFUNCTION("""COMPUTED_VALUE"""),7.6)</f>
        <v>7.6</v>
      </c>
      <c r="L430" s="24">
        <f>IFERROR(__xludf.DUMMYFUNCTION("""COMPUTED_VALUE"""),5.0)</f>
        <v>5</v>
      </c>
      <c r="M430" s="25" t="str">
        <f>IFERROR(__xludf.DUMMYFUNCTION("""COMPUTED_VALUE"""),"Action-Adventure")</f>
        <v>Action-Adventure</v>
      </c>
      <c r="N430" s="25"/>
      <c r="O430" s="26" t="str">
        <f>IFERROR(__xludf.DUMMYFUNCTION("""COMPUTED_VALUE"""),"Portal (PS5 + Premium)")</f>
        <v>Portal (PS5 + Premium)</v>
      </c>
      <c r="P430" s="26"/>
    </row>
    <row r="431">
      <c r="A431" s="13" t="str">
        <f>IFERROR(__xludf.DUMMYFUNCTION("""COMPUTED_VALUE"""),"Surviving the Aftermath")</f>
        <v>Surviving the Aftermath</v>
      </c>
      <c r="B431" s="15" t="str">
        <f>IFERROR(__xludf.DUMMYFUNCTION("""COMPUTED_VALUE"""),"PS4")</f>
        <v>PS4</v>
      </c>
      <c r="C431" s="16" t="str">
        <f>IFERROR(__xludf.DUMMYFUNCTION("""COMPUTED_VALUE"""),"Extra")</f>
        <v>Extra</v>
      </c>
      <c r="D431" s="15" t="str">
        <f>IFERROR(__xludf.DUMMYFUNCTION("""COMPUTED_VALUE"""),"Active")</f>
        <v>Active</v>
      </c>
      <c r="E431" s="17">
        <f>IFERROR(__xludf.DUMMYFUNCTION("""COMPUTED_VALUE"""),45307.0)</f>
        <v>45307</v>
      </c>
      <c r="F431" s="54"/>
      <c r="G431" s="19">
        <f>IFERROR(__xludf.DUMMYFUNCTION("""COMPUTED_VALUE"""),32.66666666666667)</f>
        <v>32.66666667</v>
      </c>
      <c r="H431" s="17">
        <f>IFERROR(__xludf.DUMMYFUNCTION("""COMPUTED_VALUE"""),44516.0)</f>
        <v>44516</v>
      </c>
      <c r="I431" s="19">
        <f>IFERROR(__xludf.DUMMYFUNCTION("""COMPUTED_VALUE"""),2.1666666666666665)</f>
        <v>2.166666667</v>
      </c>
      <c r="J431" s="21">
        <f>IFERROR(__xludf.DUMMYFUNCTION("""COMPUTED_VALUE"""),69.0)</f>
        <v>69</v>
      </c>
      <c r="K431" s="23">
        <f>IFERROR(__xludf.DUMMYFUNCTION("""COMPUTED_VALUE"""),6.2)</f>
        <v>6.2</v>
      </c>
      <c r="L431" s="24">
        <f>IFERROR(__xludf.DUMMYFUNCTION("""COMPUTED_VALUE"""),18.0)</f>
        <v>18</v>
      </c>
      <c r="M431" s="25" t="str">
        <f>IFERROR(__xludf.DUMMYFUNCTION("""COMPUTED_VALUE"""),"Simulation")</f>
        <v>Simulation</v>
      </c>
      <c r="N431" s="25"/>
      <c r="O431" s="26" t="str">
        <f>IFERROR(__xludf.DUMMYFUNCTION("""COMPUTED_VALUE"""),"Yes")</f>
        <v>Yes</v>
      </c>
      <c r="P431" s="26"/>
    </row>
    <row r="432">
      <c r="A432" s="13" t="str">
        <f>IFERROR(__xludf.DUMMYFUNCTION("""COMPUTED_VALUE"""),"Thrillville")</f>
        <v>Thrillville</v>
      </c>
      <c r="B432" s="15" t="str">
        <f>IFERROR(__xludf.DUMMYFUNCTION("""COMPUTED_VALUE"""),"PS5/PS4")</f>
        <v>PS5/PS4</v>
      </c>
      <c r="C432" s="16" t="str">
        <f>IFERROR(__xludf.DUMMYFUNCTION("""COMPUTED_VALUE"""),"Premium (Classics)")</f>
        <v>Premium (Classics)</v>
      </c>
      <c r="D432" s="15" t="str">
        <f>IFERROR(__xludf.DUMMYFUNCTION("""COMPUTED_VALUE"""),"Active")</f>
        <v>Active</v>
      </c>
      <c r="E432" s="17">
        <f>IFERROR(__xludf.DUMMYFUNCTION("""COMPUTED_VALUE"""),45279.0)</f>
        <v>45279</v>
      </c>
      <c r="F432" s="54"/>
      <c r="G432" s="19">
        <f>IFERROR(__xludf.DUMMYFUNCTION("""COMPUTED_VALUE"""),33.56666666666666)</f>
        <v>33.56666667</v>
      </c>
      <c r="H432" s="17">
        <f>IFERROR(__xludf.DUMMYFUNCTION("""COMPUTED_VALUE"""),39042.0)</f>
        <v>39042</v>
      </c>
      <c r="I432" s="19">
        <f>IFERROR(__xludf.DUMMYFUNCTION("""COMPUTED_VALUE"""),17.07777777777778)</f>
        <v>17.07777778</v>
      </c>
      <c r="J432" s="21">
        <f>IFERROR(__xludf.DUMMYFUNCTION("""COMPUTED_VALUE"""),69.0)</f>
        <v>69</v>
      </c>
      <c r="K432" s="23">
        <f>IFERROR(__xludf.DUMMYFUNCTION("""COMPUTED_VALUE"""),2.3)</f>
        <v>2.3</v>
      </c>
      <c r="L432" s="24">
        <f>IFERROR(__xludf.DUMMYFUNCTION("""COMPUTED_VALUE"""),6.0)</f>
        <v>6</v>
      </c>
      <c r="M432" s="25" t="str">
        <f>IFERROR(__xludf.DUMMYFUNCTION("""COMPUTED_VALUE"""),"Strategy")</f>
        <v>Strategy</v>
      </c>
      <c r="N432" s="25" t="str">
        <f>IFERROR(__xludf.DUMMYFUNCTION("""COMPUTED_VALUE"""),"PS2")</f>
        <v>PS2</v>
      </c>
      <c r="O432" s="26" t="str">
        <f>IFERROR(__xludf.DUMMYFUNCTION("""COMPUTED_VALUE"""),"Portal (PS5 + Premium)")</f>
        <v>Portal (PS5 + Premium)</v>
      </c>
      <c r="P432" s="26"/>
    </row>
    <row r="433">
      <c r="A433" s="13" t="str">
        <f>IFERROR(__xludf.DUMMYFUNCTION("""COMPUTED_VALUE"""),"Gravity Crash Portable")</f>
        <v>Gravity Crash Portable</v>
      </c>
      <c r="B433" s="15" t="str">
        <f>IFERROR(__xludf.DUMMYFUNCTION("""COMPUTED_VALUE"""),"PS5/PS4")</f>
        <v>PS5/PS4</v>
      </c>
      <c r="C433" s="16" t="str">
        <f>IFERROR(__xludf.DUMMYFUNCTION("""COMPUTED_VALUE"""),"Premium (Classics)")</f>
        <v>Premium (Classics)</v>
      </c>
      <c r="D433" s="15" t="str">
        <f>IFERROR(__xludf.DUMMYFUNCTION("""COMPUTED_VALUE"""),"Active")</f>
        <v>Active</v>
      </c>
      <c r="E433" s="17">
        <f>IFERROR(__xludf.DUMMYFUNCTION("""COMPUTED_VALUE"""),45125.0)</f>
        <v>45125</v>
      </c>
      <c r="F433" s="54"/>
      <c r="G433" s="19">
        <f>IFERROR(__xludf.DUMMYFUNCTION("""COMPUTED_VALUE"""),38.6)</f>
        <v>38.6</v>
      </c>
      <c r="H433" s="17">
        <f>IFERROR(__xludf.DUMMYFUNCTION("""COMPUTED_VALUE"""),40379.0)</f>
        <v>40379</v>
      </c>
      <c r="I433" s="19">
        <f>IFERROR(__xludf.DUMMYFUNCTION("""COMPUTED_VALUE"""),12.994444444444444)</f>
        <v>12.99444444</v>
      </c>
      <c r="J433" s="21">
        <f>IFERROR(__xludf.DUMMYFUNCTION("""COMPUTED_VALUE"""),69.0)</f>
        <v>69</v>
      </c>
      <c r="K433" s="23">
        <f>IFERROR(__xludf.DUMMYFUNCTION("""COMPUTED_VALUE"""),7.0)</f>
        <v>7</v>
      </c>
      <c r="L433" s="24">
        <f>IFERROR(__xludf.DUMMYFUNCTION("""COMPUTED_VALUE"""),8.0)</f>
        <v>8</v>
      </c>
      <c r="M433" s="25" t="str">
        <f>IFERROR(__xludf.DUMMYFUNCTION("""COMPUTED_VALUE"""),"Action-Adventure")</f>
        <v>Action-Adventure</v>
      </c>
      <c r="N433" s="25" t="str">
        <f>IFERROR(__xludf.DUMMYFUNCTION("""COMPUTED_VALUE"""),"PSP")</f>
        <v>PSP</v>
      </c>
      <c r="O433" s="26" t="str">
        <f>IFERROR(__xludf.DUMMYFUNCTION("""COMPUTED_VALUE"""),"Yes")</f>
        <v>Yes</v>
      </c>
      <c r="P433" s="26"/>
    </row>
    <row r="434">
      <c r="A434" s="13" t="str">
        <f>IFERROR(__xludf.DUMMYFUNCTION("""COMPUTED_VALUE"""),"Ape Academy 2")</f>
        <v>Ape Academy 2</v>
      </c>
      <c r="B434" s="15" t="str">
        <f>IFERROR(__xludf.DUMMYFUNCTION("""COMPUTED_VALUE"""),"PS5/PS4")</f>
        <v>PS5/PS4</v>
      </c>
      <c r="C434" s="16" t="str">
        <f>IFERROR(__xludf.DUMMYFUNCTION("""COMPUTED_VALUE"""),"Premium (Classics)")</f>
        <v>Premium (Classics)</v>
      </c>
      <c r="D434" s="15" t="str">
        <f>IFERROR(__xludf.DUMMYFUNCTION("""COMPUTED_VALUE"""),"Active")</f>
        <v>Active</v>
      </c>
      <c r="E434" s="17">
        <f>IFERROR(__xludf.DUMMYFUNCTION("""COMPUTED_VALUE"""),45006.0)</f>
        <v>45006</v>
      </c>
      <c r="F434" s="54"/>
      <c r="G434" s="19">
        <f>IFERROR(__xludf.DUMMYFUNCTION("""COMPUTED_VALUE"""),42.5)</f>
        <v>42.5</v>
      </c>
      <c r="H434" s="17">
        <f>IFERROR(__xludf.DUMMYFUNCTION("""COMPUTED_VALUE"""),38973.0)</f>
        <v>38973</v>
      </c>
      <c r="I434" s="19">
        <f>IFERROR(__xludf.DUMMYFUNCTION("""COMPUTED_VALUE"""),16.522222222222222)</f>
        <v>16.52222222</v>
      </c>
      <c r="J434" s="21">
        <f>IFERROR(__xludf.DUMMYFUNCTION("""COMPUTED_VALUE"""),69.0)</f>
        <v>69</v>
      </c>
      <c r="K434" s="23">
        <f>IFERROR(__xludf.DUMMYFUNCTION("""COMPUTED_VALUE"""),7.7)</f>
        <v>7.7</v>
      </c>
      <c r="L434" s="24">
        <f>IFERROR(__xludf.DUMMYFUNCTION("""COMPUTED_VALUE"""),4.0)</f>
        <v>4</v>
      </c>
      <c r="M434" s="25" t="str">
        <f>IFERROR(__xludf.DUMMYFUNCTION("""COMPUTED_VALUE"""),"Party")</f>
        <v>Party</v>
      </c>
      <c r="N434" s="25" t="str">
        <f>IFERROR(__xludf.DUMMYFUNCTION("""COMPUTED_VALUE"""),"PSP")</f>
        <v>PSP</v>
      </c>
      <c r="O434" s="26" t="str">
        <f>IFERROR(__xludf.DUMMYFUNCTION("""COMPUTED_VALUE"""),"Yes")</f>
        <v>Yes</v>
      </c>
      <c r="P434" s="26"/>
    </row>
    <row r="435">
      <c r="A435" s="13" t="str">
        <f>IFERROR(__xludf.DUMMYFUNCTION("""COMPUTED_VALUE"""),"Erica")</f>
        <v>Erica</v>
      </c>
      <c r="B435" s="15" t="str">
        <f>IFERROR(__xludf.DUMMYFUNCTION("""COMPUTED_VALUE"""),"PS4")</f>
        <v>PS4</v>
      </c>
      <c r="C435" s="16" t="str">
        <f>IFERROR(__xludf.DUMMYFUNCTION("""COMPUTED_VALUE"""),"Extra")</f>
        <v>Extra</v>
      </c>
      <c r="D435" s="15" t="str">
        <f>IFERROR(__xludf.DUMMYFUNCTION("""COMPUTED_VALUE"""),"Active")</f>
        <v>Active</v>
      </c>
      <c r="E435" s="17">
        <f>IFERROR(__xludf.DUMMYFUNCTION("""COMPUTED_VALUE"""),44943.0)</f>
        <v>44943</v>
      </c>
      <c r="F435" s="54"/>
      <c r="G435" s="19">
        <f>IFERROR(__xludf.DUMMYFUNCTION("""COMPUTED_VALUE"""),44.63333333333333)</f>
        <v>44.63333333</v>
      </c>
      <c r="H435" s="17">
        <f>IFERROR(__xludf.DUMMYFUNCTION("""COMPUTED_VALUE"""),43696.0)</f>
        <v>43696</v>
      </c>
      <c r="I435" s="19">
        <f>IFERROR(__xludf.DUMMYFUNCTION("""COMPUTED_VALUE"""),3.411111111111111)</f>
        <v>3.411111111</v>
      </c>
      <c r="J435" s="21">
        <f>IFERROR(__xludf.DUMMYFUNCTION("""COMPUTED_VALUE"""),69.0)</f>
        <v>69</v>
      </c>
      <c r="K435" s="23">
        <f>IFERROR(__xludf.DUMMYFUNCTION("""COMPUTED_VALUE"""),6.8)</f>
        <v>6.8</v>
      </c>
      <c r="L435" s="24">
        <f>IFERROR(__xludf.DUMMYFUNCTION("""COMPUTED_VALUE"""),2.0)</f>
        <v>2</v>
      </c>
      <c r="M435" s="25" t="str">
        <f>IFERROR(__xludf.DUMMYFUNCTION("""COMPUTED_VALUE"""),"Action-Adventure")</f>
        <v>Action-Adventure</v>
      </c>
      <c r="N435" s="25"/>
      <c r="O435" s="26" t="str">
        <f>IFERROR(__xludf.DUMMYFUNCTION("""COMPUTED_VALUE"""),"Yes")</f>
        <v>Yes</v>
      </c>
      <c r="P435" s="26"/>
    </row>
    <row r="436">
      <c r="A436" s="13" t="str">
        <f>IFERROR(__xludf.DUMMYFUNCTION("""COMPUTED_VALUE"""),"Earth Defense Force: Iron Rain")</f>
        <v>Earth Defense Force: Iron Rain</v>
      </c>
      <c r="B436" s="15" t="str">
        <f>IFERROR(__xludf.DUMMYFUNCTION("""COMPUTED_VALUE"""),"PS4")</f>
        <v>PS4</v>
      </c>
      <c r="C436" s="16" t="str">
        <f>IFERROR(__xludf.DUMMYFUNCTION("""COMPUTED_VALUE"""),"Extra")</f>
        <v>Extra</v>
      </c>
      <c r="D436" s="15" t="str">
        <f>IFERROR(__xludf.DUMMYFUNCTION("""COMPUTED_VALUE"""),"Active")</f>
        <v>Active</v>
      </c>
      <c r="E436" s="17">
        <f>IFERROR(__xludf.DUMMYFUNCTION("""COMPUTED_VALUE"""),44880.0)</f>
        <v>44880</v>
      </c>
      <c r="F436" s="54"/>
      <c r="G436" s="19">
        <f>IFERROR(__xludf.DUMMYFUNCTION("""COMPUTED_VALUE"""),46.7)</f>
        <v>46.7</v>
      </c>
      <c r="H436" s="17">
        <f>IFERROR(__xludf.DUMMYFUNCTION("""COMPUTED_VALUE"""),43566.0)</f>
        <v>43566</v>
      </c>
      <c r="I436" s="19">
        <f>IFERROR(__xludf.DUMMYFUNCTION("""COMPUTED_VALUE"""),3.5944444444444446)</f>
        <v>3.594444444</v>
      </c>
      <c r="J436" s="21">
        <f>IFERROR(__xludf.DUMMYFUNCTION("""COMPUTED_VALUE"""),69.0)</f>
        <v>69</v>
      </c>
      <c r="K436" s="23">
        <f>IFERROR(__xludf.DUMMYFUNCTION("""COMPUTED_VALUE"""),5.2)</f>
        <v>5.2</v>
      </c>
      <c r="L436" s="24">
        <f>IFERROR(__xludf.DUMMYFUNCTION("""COMPUTED_VALUE"""),9.5)</f>
        <v>9.5</v>
      </c>
      <c r="M436" s="25" t="str">
        <f>IFERROR(__xludf.DUMMYFUNCTION("""COMPUTED_VALUE"""),"Shooter")</f>
        <v>Shooter</v>
      </c>
      <c r="N436" s="25"/>
      <c r="O436" s="26" t="str">
        <f>IFERROR(__xludf.DUMMYFUNCTION("""COMPUTED_VALUE"""),"Yes")</f>
        <v>Yes</v>
      </c>
      <c r="P436" s="26"/>
    </row>
    <row r="437">
      <c r="A437" s="13" t="str">
        <f>IFERROR(__xludf.DUMMYFUNCTION("""COMPUTED_VALUE"""),"Assassin's Creed Chronicles: China")</f>
        <v>Assassin's Creed Chronicles: China</v>
      </c>
      <c r="B437" s="15" t="str">
        <f>IFERROR(__xludf.DUMMYFUNCTION("""COMPUTED_VALUE"""),"PS4")</f>
        <v>PS4</v>
      </c>
      <c r="C437" s="16" t="str">
        <f>IFERROR(__xludf.DUMMYFUNCTION("""COMPUTED_VALUE"""),"Extra (Ubisoft+ Classics)")</f>
        <v>Extra (Ubisoft+ Classics)</v>
      </c>
      <c r="D437" s="15" t="str">
        <f>IFERROR(__xludf.DUMMYFUNCTION("""COMPUTED_VALUE"""),"Active")</f>
        <v>Active</v>
      </c>
      <c r="E437" s="17">
        <f>IFERROR(__xludf.DUMMYFUNCTION("""COMPUTED_VALUE"""),44852.0)</f>
        <v>44852</v>
      </c>
      <c r="F437" s="54"/>
      <c r="G437" s="19">
        <f>IFERROR(__xludf.DUMMYFUNCTION("""COMPUTED_VALUE"""),47.6)</f>
        <v>47.6</v>
      </c>
      <c r="H437" s="17">
        <f>IFERROR(__xludf.DUMMYFUNCTION("""COMPUTED_VALUE"""),42115.0)</f>
        <v>42115</v>
      </c>
      <c r="I437" s="19">
        <f>IFERROR(__xludf.DUMMYFUNCTION("""COMPUTED_VALUE"""),7.491666666666666)</f>
        <v>7.491666667</v>
      </c>
      <c r="J437" s="21">
        <f>IFERROR(__xludf.DUMMYFUNCTION("""COMPUTED_VALUE"""),69.0)</f>
        <v>69</v>
      </c>
      <c r="K437" s="23">
        <f>IFERROR(__xludf.DUMMYFUNCTION("""COMPUTED_VALUE"""),6.1)</f>
        <v>6.1</v>
      </c>
      <c r="L437" s="24">
        <f>IFERROR(__xludf.DUMMYFUNCTION("""COMPUTED_VALUE"""),6.0)</f>
        <v>6</v>
      </c>
      <c r="M437" s="25" t="str">
        <f>IFERROR(__xludf.DUMMYFUNCTION("""COMPUTED_VALUE"""),"Platformer")</f>
        <v>Platformer</v>
      </c>
      <c r="N437" s="25"/>
      <c r="O437" s="26" t="str">
        <f>IFERROR(__xludf.DUMMYFUNCTION("""COMPUTED_VALUE"""),"Yes")</f>
        <v>Yes</v>
      </c>
      <c r="P437" s="26"/>
    </row>
    <row r="438">
      <c r="A438" s="13" t="str">
        <f>IFERROR(__xludf.DUMMYFUNCTION("""COMPUTED_VALUE"""),"Magicka 2")</f>
        <v>Magicka 2</v>
      </c>
      <c r="B438" s="15" t="str">
        <f>IFERROR(__xludf.DUMMYFUNCTION("""COMPUTED_VALUE"""),"PS4")</f>
        <v>PS4</v>
      </c>
      <c r="C438" s="16" t="str">
        <f>IFERROR(__xludf.DUMMYFUNCTION("""COMPUTED_VALUE"""),"Extra")</f>
        <v>Extra</v>
      </c>
      <c r="D438" s="15" t="str">
        <f>IFERROR(__xludf.DUMMYFUNCTION("""COMPUTED_VALUE"""),"Active")</f>
        <v>Active</v>
      </c>
      <c r="E438" s="17">
        <f>IFERROR(__xludf.DUMMYFUNCTION("""COMPUTED_VALUE"""),44725.0)</f>
        <v>44725</v>
      </c>
      <c r="F438" s="54"/>
      <c r="G438" s="19">
        <f>IFERROR(__xludf.DUMMYFUNCTION("""COMPUTED_VALUE"""),51.766666666666666)</f>
        <v>51.76666667</v>
      </c>
      <c r="H438" s="17">
        <f>IFERROR(__xludf.DUMMYFUNCTION("""COMPUTED_VALUE"""),42125.0)</f>
        <v>42125</v>
      </c>
      <c r="I438" s="19">
        <f>IFERROR(__xludf.DUMMYFUNCTION("""COMPUTED_VALUE"""),7.116666666666666)</f>
        <v>7.116666667</v>
      </c>
      <c r="J438" s="21">
        <f>IFERROR(__xludf.DUMMYFUNCTION("""COMPUTED_VALUE"""),69.0)</f>
        <v>69</v>
      </c>
      <c r="K438" s="23">
        <f>IFERROR(__xludf.DUMMYFUNCTION("""COMPUTED_VALUE"""),7.2)</f>
        <v>7.2</v>
      </c>
      <c r="L438" s="24">
        <f>IFERROR(__xludf.DUMMYFUNCTION("""COMPUTED_VALUE"""),6.0)</f>
        <v>6</v>
      </c>
      <c r="M438" s="25" t="str">
        <f>IFERROR(__xludf.DUMMYFUNCTION("""COMPUTED_VALUE"""),"RPG")</f>
        <v>RPG</v>
      </c>
      <c r="N438" s="25"/>
      <c r="O438" s="26" t="str">
        <f>IFERROR(__xludf.DUMMYFUNCTION("""COMPUTED_VALUE"""),"Yes")</f>
        <v>Yes</v>
      </c>
      <c r="P438" s="26" t="str">
        <f>IFERROR(__xludf.DUMMYFUNCTION("""COMPUTED_VALUE"""),"Yes")</f>
        <v>Yes</v>
      </c>
    </row>
    <row r="439">
      <c r="A439" s="13" t="str">
        <f>IFERROR(__xludf.DUMMYFUNCTION("""COMPUTED_VALUE"""),"MediEvil")</f>
        <v>MediEvil</v>
      </c>
      <c r="B439" s="15" t="str">
        <f>IFERROR(__xludf.DUMMYFUNCTION("""COMPUTED_VALUE"""),"PS4")</f>
        <v>PS4</v>
      </c>
      <c r="C439" s="16" t="str">
        <f>IFERROR(__xludf.DUMMYFUNCTION("""COMPUTED_VALUE"""),"Extra")</f>
        <v>Extra</v>
      </c>
      <c r="D439" s="15" t="str">
        <f>IFERROR(__xludf.DUMMYFUNCTION("""COMPUTED_VALUE"""),"Active")</f>
        <v>Active</v>
      </c>
      <c r="E439" s="17">
        <f>IFERROR(__xludf.DUMMYFUNCTION("""COMPUTED_VALUE"""),44725.0)</f>
        <v>44725</v>
      </c>
      <c r="F439" s="54"/>
      <c r="G439" s="19">
        <f>IFERROR(__xludf.DUMMYFUNCTION("""COMPUTED_VALUE"""),51.766666666666666)</f>
        <v>51.76666667</v>
      </c>
      <c r="H439" s="17">
        <f>IFERROR(__xludf.DUMMYFUNCTION("""COMPUTED_VALUE"""),43739.0)</f>
        <v>43739</v>
      </c>
      <c r="I439" s="19">
        <f>IFERROR(__xludf.DUMMYFUNCTION("""COMPUTED_VALUE"""),2.7)</f>
        <v>2.7</v>
      </c>
      <c r="J439" s="21">
        <f>IFERROR(__xludf.DUMMYFUNCTION("""COMPUTED_VALUE"""),69.0)</f>
        <v>69</v>
      </c>
      <c r="K439" s="23">
        <f>IFERROR(__xludf.DUMMYFUNCTION("""COMPUTED_VALUE"""),8.0)</f>
        <v>8</v>
      </c>
      <c r="L439" s="24">
        <f>IFERROR(__xludf.DUMMYFUNCTION("""COMPUTED_VALUE"""),9.0)</f>
        <v>9</v>
      </c>
      <c r="M439" s="25" t="str">
        <f>IFERROR(__xludf.DUMMYFUNCTION("""COMPUTED_VALUE"""),"Action-Adventure")</f>
        <v>Action-Adventure</v>
      </c>
      <c r="N439" s="25"/>
      <c r="O439" s="26" t="str">
        <f>IFERROR(__xludf.DUMMYFUNCTION("""COMPUTED_VALUE"""),"Yes")</f>
        <v>Yes</v>
      </c>
      <c r="P439" s="26"/>
    </row>
    <row r="440">
      <c r="A440" s="13" t="str">
        <f>IFERROR(__xludf.DUMMYFUNCTION("""COMPUTED_VALUE"""),"NASCAR Heat 5")</f>
        <v>NASCAR Heat 5</v>
      </c>
      <c r="B440" s="15" t="str">
        <f>IFERROR(__xludf.DUMMYFUNCTION("""COMPUTED_VALUE"""),"PS4")</f>
        <v>PS4</v>
      </c>
      <c r="C440" s="16" t="str">
        <f>IFERROR(__xludf.DUMMYFUNCTION("""COMPUTED_VALUE"""),"Extra")</f>
        <v>Extra</v>
      </c>
      <c r="D440" s="15" t="str">
        <f>IFERROR(__xludf.DUMMYFUNCTION("""COMPUTED_VALUE"""),"Active")</f>
        <v>Active</v>
      </c>
      <c r="E440" s="17">
        <f>IFERROR(__xludf.DUMMYFUNCTION("""COMPUTED_VALUE"""),44725.0)</f>
        <v>44725</v>
      </c>
      <c r="F440" s="54"/>
      <c r="G440" s="19">
        <f>IFERROR(__xludf.DUMMYFUNCTION("""COMPUTED_VALUE"""),51.766666666666666)</f>
        <v>51.76666667</v>
      </c>
      <c r="H440" s="17">
        <f>IFERROR(__xludf.DUMMYFUNCTION("""COMPUTED_VALUE"""),44022.0)</f>
        <v>44022</v>
      </c>
      <c r="I440" s="19">
        <f>IFERROR(__xludf.DUMMYFUNCTION("""COMPUTED_VALUE"""),1.925)</f>
        <v>1.925</v>
      </c>
      <c r="J440" s="21">
        <f>IFERROR(__xludf.DUMMYFUNCTION("""COMPUTED_VALUE"""),69.0)</f>
        <v>69</v>
      </c>
      <c r="K440" s="23">
        <f>IFERROR(__xludf.DUMMYFUNCTION("""COMPUTED_VALUE"""),5.7)</f>
        <v>5.7</v>
      </c>
      <c r="L440" s="24"/>
      <c r="M440" s="25" t="str">
        <f>IFERROR(__xludf.DUMMYFUNCTION("""COMPUTED_VALUE"""),"Racing")</f>
        <v>Racing</v>
      </c>
      <c r="N440" s="25"/>
      <c r="O440" s="26" t="str">
        <f>IFERROR(__xludf.DUMMYFUNCTION("""COMPUTED_VALUE"""),"Yes")</f>
        <v>Yes</v>
      </c>
      <c r="P440" s="26" t="str">
        <f>IFERROR(__xludf.DUMMYFUNCTION("""COMPUTED_VALUE"""),"Yes")</f>
        <v>Yes</v>
      </c>
    </row>
    <row r="441">
      <c r="A441" s="13" t="str">
        <f>IFERROR(__xludf.DUMMYFUNCTION("""COMPUTED_VALUE"""),"Pure Hold'em World Poker Championship")</f>
        <v>Pure Hold'em World Poker Championship</v>
      </c>
      <c r="B441" s="15" t="str">
        <f>IFERROR(__xludf.DUMMYFUNCTION("""COMPUTED_VALUE"""),"PS4")</f>
        <v>PS4</v>
      </c>
      <c r="C441" s="16" t="str">
        <f>IFERROR(__xludf.DUMMYFUNCTION("""COMPUTED_VALUE"""),"Extra")</f>
        <v>Extra</v>
      </c>
      <c r="D441" s="15" t="str">
        <f>IFERROR(__xludf.DUMMYFUNCTION("""COMPUTED_VALUE"""),"Active")</f>
        <v>Active</v>
      </c>
      <c r="E441" s="17">
        <f>IFERROR(__xludf.DUMMYFUNCTION("""COMPUTED_VALUE"""),44725.0)</f>
        <v>44725</v>
      </c>
      <c r="F441" s="54"/>
      <c r="G441" s="19">
        <f>IFERROR(__xludf.DUMMYFUNCTION("""COMPUTED_VALUE"""),51.766666666666666)</f>
        <v>51.76666667</v>
      </c>
      <c r="H441" s="17">
        <f>IFERROR(__xludf.DUMMYFUNCTION("""COMPUTED_VALUE"""),42236.0)</f>
        <v>42236</v>
      </c>
      <c r="I441" s="19">
        <f>IFERROR(__xludf.DUMMYFUNCTION("""COMPUTED_VALUE"""),6.813888888888889)</f>
        <v>6.813888889</v>
      </c>
      <c r="J441" s="21">
        <f>IFERROR(__xludf.DUMMYFUNCTION("""COMPUTED_VALUE"""),69.0)</f>
        <v>69</v>
      </c>
      <c r="K441" s="23">
        <f>IFERROR(__xludf.DUMMYFUNCTION("""COMPUTED_VALUE"""),6.7)</f>
        <v>6.7</v>
      </c>
      <c r="L441" s="24"/>
      <c r="M441" s="25" t="str">
        <f>IFERROR(__xludf.DUMMYFUNCTION("""COMPUTED_VALUE"""),"Card &amp; Board")</f>
        <v>Card &amp; Board</v>
      </c>
      <c r="N441" s="25"/>
      <c r="O441" s="26" t="str">
        <f>IFERROR(__xludf.DUMMYFUNCTION("""COMPUTED_VALUE"""),"Yes")</f>
        <v>Yes</v>
      </c>
      <c r="P441" s="26"/>
    </row>
    <row r="442">
      <c r="A442" s="13" t="str">
        <f>IFERROR(__xludf.DUMMYFUNCTION("""COMPUTED_VALUE"""),"Transference")</f>
        <v>Transference</v>
      </c>
      <c r="B442" s="15" t="str">
        <f>IFERROR(__xludf.DUMMYFUNCTION("""COMPUTED_VALUE"""),"PS4/PSVR")</f>
        <v>PS4/PSVR</v>
      </c>
      <c r="C442" s="16" t="str">
        <f>IFERROR(__xludf.DUMMYFUNCTION("""COMPUTED_VALUE"""),"Extra (Ubisoft+ Classics)")</f>
        <v>Extra (Ubisoft+ Classics)</v>
      </c>
      <c r="D442" s="15" t="str">
        <f>IFERROR(__xludf.DUMMYFUNCTION("""COMPUTED_VALUE"""),"Active")</f>
        <v>Active</v>
      </c>
      <c r="E442" s="17">
        <f>IFERROR(__xludf.DUMMYFUNCTION("""COMPUTED_VALUE"""),44725.0)</f>
        <v>44725</v>
      </c>
      <c r="F442" s="54"/>
      <c r="G442" s="19">
        <f>IFERROR(__xludf.DUMMYFUNCTION("""COMPUTED_VALUE"""),51.766666666666666)</f>
        <v>51.76666667</v>
      </c>
      <c r="H442" s="17">
        <f>IFERROR(__xludf.DUMMYFUNCTION("""COMPUTED_VALUE"""),43361.0)</f>
        <v>43361</v>
      </c>
      <c r="I442" s="19">
        <f>IFERROR(__xludf.DUMMYFUNCTION("""COMPUTED_VALUE"""),3.736111111111111)</f>
        <v>3.736111111</v>
      </c>
      <c r="J442" s="21">
        <f>IFERROR(__xludf.DUMMYFUNCTION("""COMPUTED_VALUE"""),69.0)</f>
        <v>69</v>
      </c>
      <c r="K442" s="23">
        <f>IFERROR(__xludf.DUMMYFUNCTION("""COMPUTED_VALUE"""),7.0)</f>
        <v>7</v>
      </c>
      <c r="L442" s="24">
        <f>IFERROR(__xludf.DUMMYFUNCTION("""COMPUTED_VALUE"""),4.0)</f>
        <v>4</v>
      </c>
      <c r="M442" s="25" t="str">
        <f>IFERROR(__xludf.DUMMYFUNCTION("""COMPUTED_VALUE"""),"Horror")</f>
        <v>Horror</v>
      </c>
      <c r="N442" s="25"/>
      <c r="O442" s="26" t="str">
        <f>IFERROR(__xludf.DUMMYFUNCTION("""COMPUTED_VALUE"""),"No")</f>
        <v>No</v>
      </c>
      <c r="P442" s="26"/>
    </row>
    <row r="443">
      <c r="A443" s="13" t="str">
        <f>IFERROR(__xludf.DUMMYFUNCTION("""COMPUTED_VALUE"""),"Eagle Flight")</f>
        <v>Eagle Flight</v>
      </c>
      <c r="B443" s="15" t="str">
        <f>IFERROR(__xludf.DUMMYFUNCTION("""COMPUTED_VALUE"""),"PS4/PSVR")</f>
        <v>PS4/PSVR</v>
      </c>
      <c r="C443" s="16" t="str">
        <f>IFERROR(__xludf.DUMMYFUNCTION("""COMPUTED_VALUE"""),"Extra (Ubisoft+ Classics)")</f>
        <v>Extra (Ubisoft+ Classics)</v>
      </c>
      <c r="D443" s="15" t="str">
        <f>IFERROR(__xludf.DUMMYFUNCTION("""COMPUTED_VALUE"""),"Active")</f>
        <v>Active</v>
      </c>
      <c r="E443" s="17">
        <f>IFERROR(__xludf.DUMMYFUNCTION("""COMPUTED_VALUE"""),44725.0)</f>
        <v>44725</v>
      </c>
      <c r="F443" s="54"/>
      <c r="G443" s="19">
        <f>IFERROR(__xludf.DUMMYFUNCTION("""COMPUTED_VALUE"""),51.766666666666666)</f>
        <v>51.76666667</v>
      </c>
      <c r="H443" s="17">
        <f>IFERROR(__xludf.DUMMYFUNCTION("""COMPUTED_VALUE"""),42682.0)</f>
        <v>42682</v>
      </c>
      <c r="I443" s="19">
        <f>IFERROR(__xludf.DUMMYFUNCTION("""COMPUTED_VALUE"""),5.597222222222222)</f>
        <v>5.597222222</v>
      </c>
      <c r="J443" s="21">
        <f>IFERROR(__xludf.DUMMYFUNCTION("""COMPUTED_VALUE"""),69.0)</f>
        <v>69</v>
      </c>
      <c r="K443" s="23">
        <f>IFERROR(__xludf.DUMMYFUNCTION("""COMPUTED_VALUE"""),6.6)</f>
        <v>6.6</v>
      </c>
      <c r="L443" s="24">
        <f>IFERROR(__xludf.DUMMYFUNCTION("""COMPUTED_VALUE"""),3.0)</f>
        <v>3</v>
      </c>
      <c r="M443" s="25" t="str">
        <f>IFERROR(__xludf.DUMMYFUNCTION("""COMPUTED_VALUE"""),"Simulation")</f>
        <v>Simulation</v>
      </c>
      <c r="N443" s="25"/>
      <c r="O443" s="26" t="str">
        <f>IFERROR(__xludf.DUMMYFUNCTION("""COMPUTED_VALUE"""),"No")</f>
        <v>No</v>
      </c>
      <c r="P443" s="26" t="str">
        <f>IFERROR(__xludf.DUMMYFUNCTION("""COMPUTED_VALUE"""),"Yes")</f>
        <v>Yes</v>
      </c>
    </row>
    <row r="444">
      <c r="A444" s="13" t="str">
        <f>IFERROR(__xludf.DUMMYFUNCTION("""COMPUTED_VALUE"""),"Super Stardust Portable")</f>
        <v>Super Stardust Portable</v>
      </c>
      <c r="B444" s="15" t="str">
        <f>IFERROR(__xludf.DUMMYFUNCTION("""COMPUTED_VALUE"""),"PS5/PS4")</f>
        <v>PS5/PS4</v>
      </c>
      <c r="C444" s="16" t="str">
        <f>IFERROR(__xludf.DUMMYFUNCTION("""COMPUTED_VALUE"""),"Premium (Classics)")</f>
        <v>Premium (Classics)</v>
      </c>
      <c r="D444" s="15" t="str">
        <f>IFERROR(__xludf.DUMMYFUNCTION("""COMPUTED_VALUE"""),"Active")</f>
        <v>Active</v>
      </c>
      <c r="E444" s="17">
        <f>IFERROR(__xludf.DUMMYFUNCTION("""COMPUTED_VALUE"""),44725.0)</f>
        <v>44725</v>
      </c>
      <c r="F444" s="54"/>
      <c r="G444" s="19">
        <f>IFERROR(__xludf.DUMMYFUNCTION("""COMPUTED_VALUE"""),51.766666666666666)</f>
        <v>51.76666667</v>
      </c>
      <c r="H444" s="17">
        <f>IFERROR(__xludf.DUMMYFUNCTION("""COMPUTED_VALUE"""),39261.0)</f>
        <v>39261</v>
      </c>
      <c r="I444" s="19">
        <f>IFERROR(__xludf.DUMMYFUNCTION("""COMPUTED_VALUE"""),14.958333333333334)</f>
        <v>14.95833333</v>
      </c>
      <c r="J444" s="21">
        <f>IFERROR(__xludf.DUMMYFUNCTION("""COMPUTED_VALUE"""),69.0)</f>
        <v>69</v>
      </c>
      <c r="K444" s="23">
        <f>IFERROR(__xludf.DUMMYFUNCTION("""COMPUTED_VALUE"""),5.6)</f>
        <v>5.6</v>
      </c>
      <c r="L444" s="24">
        <f>IFERROR(__xludf.DUMMYFUNCTION("""COMPUTED_VALUE"""),3.0)</f>
        <v>3</v>
      </c>
      <c r="M444" s="25" t="str">
        <f>IFERROR(__xludf.DUMMYFUNCTION("""COMPUTED_VALUE"""),"Shooter")</f>
        <v>Shooter</v>
      </c>
      <c r="N444" s="25" t="str">
        <f>IFERROR(__xludf.DUMMYFUNCTION("""COMPUTED_VALUE"""),"PSP, PS4 version added 1/24 after PS5 version came 6/23/22")</f>
        <v>PSP, PS4 version added 1/24 after PS5 version came 6/23/22</v>
      </c>
      <c r="O444" s="26" t="str">
        <f>IFERROR(__xludf.DUMMYFUNCTION("""COMPUTED_VALUE"""),"No")</f>
        <v>No</v>
      </c>
      <c r="P444" s="26" t="str">
        <f>IFERROR(__xludf.DUMMYFUNCTION("""COMPUTED_VALUE"""),"")</f>
        <v/>
      </c>
    </row>
    <row r="445">
      <c r="A445" s="13" t="str">
        <f>IFERROR(__xludf.DUMMYFUNCTION("""COMPUTED_VALUE"""),"Assetto Corsa Competizione")</f>
        <v>Assetto Corsa Competizione</v>
      </c>
      <c r="B445" s="15" t="str">
        <f>IFERROR(__xludf.DUMMYFUNCTION("""COMPUTED_VALUE"""),"PS5/PS4")</f>
        <v>PS5/PS4</v>
      </c>
      <c r="C445" s="16" t="str">
        <f>IFERROR(__xludf.DUMMYFUNCTION("""COMPUTED_VALUE"""),"Extra")</f>
        <v>Extra</v>
      </c>
      <c r="D445" s="15" t="str">
        <f>IFERROR(__xludf.DUMMYFUNCTION("""COMPUTED_VALUE"""),"Active")</f>
        <v>Active</v>
      </c>
      <c r="E445" s="17">
        <f>IFERROR(__xludf.DUMMYFUNCTION("""COMPUTED_VALUE"""),44201.0)</f>
        <v>44201</v>
      </c>
      <c r="F445" s="54"/>
      <c r="G445" s="19">
        <f>IFERROR(__xludf.DUMMYFUNCTION("""COMPUTED_VALUE"""),69.03333333333333)</f>
        <v>69.03333333</v>
      </c>
      <c r="H445" s="17">
        <f>IFERROR(__xludf.DUMMYFUNCTION("""COMPUTED_VALUE"""),43355.0)</f>
        <v>43355</v>
      </c>
      <c r="I445" s="19">
        <f>IFERROR(__xludf.DUMMYFUNCTION("""COMPUTED_VALUE"""),2.313888888888889)</f>
        <v>2.313888889</v>
      </c>
      <c r="J445" s="21">
        <f>IFERROR(__xludf.DUMMYFUNCTION("""COMPUTED_VALUE"""),69.0)</f>
        <v>69</v>
      </c>
      <c r="K445" s="23">
        <f>IFERROR(__xludf.DUMMYFUNCTION("""COMPUTED_VALUE"""),7.4)</f>
        <v>7.4</v>
      </c>
      <c r="L445" s="24">
        <f>IFERROR(__xludf.DUMMYFUNCTION("""COMPUTED_VALUE"""),12.0)</f>
        <v>12</v>
      </c>
      <c r="M445" s="25" t="str">
        <f>IFERROR(__xludf.DUMMYFUNCTION("""COMPUTED_VALUE"""),"Racing")</f>
        <v>Racing</v>
      </c>
      <c r="N445" s="25"/>
      <c r="O445" s="26" t="str">
        <f>IFERROR(__xludf.DUMMYFUNCTION("""COMPUTED_VALUE"""),"Yes")</f>
        <v>Yes</v>
      </c>
      <c r="P445" s="26"/>
    </row>
    <row r="446">
      <c r="A446" s="13" t="str">
        <f>IFERROR(__xludf.DUMMYFUNCTION("""COMPUTED_VALUE"""),"Nightmares From the Deep 2: The Siren's Call")</f>
        <v>Nightmares From the Deep 2: The Siren's Call</v>
      </c>
      <c r="B446" s="15" t="str">
        <f>IFERROR(__xludf.DUMMYFUNCTION("""COMPUTED_VALUE"""),"PS5/PS4")</f>
        <v>PS5/PS4</v>
      </c>
      <c r="C446" s="16" t="str">
        <f>IFERROR(__xludf.DUMMYFUNCTION("""COMPUTED_VALUE"""),"Extra")</f>
        <v>Extra</v>
      </c>
      <c r="D446" s="15" t="str">
        <f>IFERROR(__xludf.DUMMYFUNCTION("""COMPUTED_VALUE"""),"Active")</f>
        <v>Active</v>
      </c>
      <c r="E446" s="17">
        <f>IFERROR(__xludf.DUMMYFUNCTION("""COMPUTED_VALUE"""),43648.0)</f>
        <v>43648</v>
      </c>
      <c r="F446" s="54"/>
      <c r="G446" s="19">
        <f>IFERROR(__xludf.DUMMYFUNCTION("""COMPUTED_VALUE"""),87.13333333333333)</f>
        <v>87.13333333</v>
      </c>
      <c r="H446" s="17">
        <f>IFERROR(__xludf.DUMMYFUNCTION("""COMPUTED_VALUE"""),42608.0)</f>
        <v>42608</v>
      </c>
      <c r="I446" s="19">
        <f>IFERROR(__xludf.DUMMYFUNCTION("""COMPUTED_VALUE"""),2.85)</f>
        <v>2.85</v>
      </c>
      <c r="J446" s="21">
        <f>IFERROR(__xludf.DUMMYFUNCTION("""COMPUTED_VALUE"""),69.0)</f>
        <v>69</v>
      </c>
      <c r="K446" s="23">
        <f>IFERROR(__xludf.DUMMYFUNCTION("""COMPUTED_VALUE"""),8.3)</f>
        <v>8.3</v>
      </c>
      <c r="L446" s="24">
        <f>IFERROR(__xludf.DUMMYFUNCTION("""COMPUTED_VALUE"""),4.0)</f>
        <v>4</v>
      </c>
      <c r="M446" s="25" t="str">
        <f>IFERROR(__xludf.DUMMYFUNCTION("""COMPUTED_VALUE"""),"Hidden Object")</f>
        <v>Hidden Object</v>
      </c>
      <c r="N446" s="25"/>
      <c r="O446" s="26" t="str">
        <f>IFERROR(__xludf.DUMMYFUNCTION("""COMPUTED_VALUE"""),"No")</f>
        <v>No</v>
      </c>
      <c r="P446" s="26"/>
    </row>
    <row r="447">
      <c r="A447" s="13" t="str">
        <f>IFERROR(__xludf.DUMMYFUNCTION("""COMPUTED_VALUE"""),"Umamusume Pretty Derby - Party Dash")</f>
        <v>Umamusume Pretty Derby - Party Dash</v>
      </c>
      <c r="B447" s="15" t="str">
        <f>IFERROR(__xludf.DUMMYFUNCTION("""COMPUTED_VALUE"""),"PS4")</f>
        <v>PS4</v>
      </c>
      <c r="C447" s="16" t="str">
        <f>IFERROR(__xludf.DUMMYFUNCTION("""COMPUTED_VALUE"""),"Extra")</f>
        <v>Extra</v>
      </c>
      <c r="D447" s="15" t="str">
        <f>IFERROR(__xludf.DUMMYFUNCTION("""COMPUTED_VALUE"""),"Active")</f>
        <v>Active</v>
      </c>
      <c r="E447" s="17">
        <f>IFERROR(__xludf.DUMMYFUNCTION("""COMPUTED_VALUE"""),46259.0)</f>
        <v>46259</v>
      </c>
      <c r="F447" s="54"/>
      <c r="G447" s="19">
        <f>IFERROR(__xludf.DUMMYFUNCTION("""COMPUTED_VALUE"""),1.3666666666666667)</f>
        <v>1.366666667</v>
      </c>
      <c r="H447" s="17">
        <f>IFERROR(__xludf.DUMMYFUNCTION("""COMPUTED_VALUE"""),45534.0)</f>
        <v>45534</v>
      </c>
      <c r="I447" s="19">
        <f>IFERROR(__xludf.DUMMYFUNCTION("""COMPUTED_VALUE"""),1.9861111111111112)</f>
        <v>1.986111111</v>
      </c>
      <c r="J447" s="21">
        <f>IFERROR(__xludf.DUMMYFUNCTION("""COMPUTED_VALUE"""),68.0)</f>
        <v>68</v>
      </c>
      <c r="K447" s="23">
        <f>IFERROR(__xludf.DUMMYFUNCTION("""COMPUTED_VALUE"""),6.7)</f>
        <v>6.7</v>
      </c>
      <c r="L447" s="24">
        <f>IFERROR(__xludf.DUMMYFUNCTION("""COMPUTED_VALUE"""),9.0)</f>
        <v>9</v>
      </c>
      <c r="M447" s="25" t="str">
        <f>IFERROR(__xludf.DUMMYFUNCTION("""COMPUTED_VALUE"""),"Party")</f>
        <v>Party</v>
      </c>
      <c r="N447" s="25"/>
      <c r="O447" s="26"/>
      <c r="P447" s="26"/>
    </row>
    <row r="448">
      <c r="A448" s="13" t="str">
        <f>IFERROR(__xludf.DUMMYFUNCTION("""COMPUTED_VALUE"""),"Warriors: Abyss")</f>
        <v>Warriors: Abyss</v>
      </c>
      <c r="B448" s="15" t="str">
        <f>IFERROR(__xludf.DUMMYFUNCTION("""COMPUTED_VALUE"""),"PS5/PS4")</f>
        <v>PS5/PS4</v>
      </c>
      <c r="C448" s="16" t="str">
        <f>IFERROR(__xludf.DUMMYFUNCTION("""COMPUTED_VALUE"""),"Extra")</f>
        <v>Extra</v>
      </c>
      <c r="D448" s="15" t="str">
        <f>IFERROR(__xludf.DUMMYFUNCTION("""COMPUTED_VALUE"""),"Active")</f>
        <v>Active</v>
      </c>
      <c r="E448" s="17">
        <f>IFERROR(__xludf.DUMMYFUNCTION("""COMPUTED_VALUE"""),46133.0)</f>
        <v>46133</v>
      </c>
      <c r="F448" s="54"/>
      <c r="G448" s="19">
        <f>IFERROR(__xludf.DUMMYFUNCTION("""COMPUTED_VALUE"""),5.5)</f>
        <v>5.5</v>
      </c>
      <c r="H448" s="17">
        <f>IFERROR(__xludf.DUMMYFUNCTION("""COMPUTED_VALUE"""),45700.0)</f>
        <v>45700</v>
      </c>
      <c r="I448" s="19">
        <f>IFERROR(__xludf.DUMMYFUNCTION("""COMPUTED_VALUE"""),1.1916666666666667)</f>
        <v>1.191666667</v>
      </c>
      <c r="J448" s="21">
        <f>IFERROR(__xludf.DUMMYFUNCTION("""COMPUTED_VALUE"""),68.0)</f>
        <v>68</v>
      </c>
      <c r="K448" s="23">
        <f>IFERROR(__xludf.DUMMYFUNCTION("""COMPUTED_VALUE"""),7.6)</f>
        <v>7.6</v>
      </c>
      <c r="L448" s="24">
        <f>IFERROR(__xludf.DUMMYFUNCTION("""COMPUTED_VALUE"""),6.0)</f>
        <v>6</v>
      </c>
      <c r="M448" s="25" t="str">
        <f>IFERROR(__xludf.DUMMYFUNCTION("""COMPUTED_VALUE"""),"Action")</f>
        <v>Action</v>
      </c>
      <c r="N448" s="25"/>
      <c r="O448" s="26"/>
      <c r="P448" s="26"/>
    </row>
    <row r="449">
      <c r="A449" s="13" t="str">
        <f>IFERROR(__xludf.DUMMYFUNCTION("""COMPUTED_VALUE"""),"Space Engineers")</f>
        <v>Space Engineers</v>
      </c>
      <c r="B449" s="15" t="str">
        <f>IFERROR(__xludf.DUMMYFUNCTION("""COMPUTED_VALUE"""),"PS5/PS4")</f>
        <v>PS5/PS4</v>
      </c>
      <c r="C449" s="16" t="str">
        <f>IFERROR(__xludf.DUMMYFUNCTION("""COMPUTED_VALUE"""),"Extra")</f>
        <v>Extra</v>
      </c>
      <c r="D449" s="15" t="str">
        <f>IFERROR(__xludf.DUMMYFUNCTION("""COMPUTED_VALUE"""),"Active")</f>
        <v>Active</v>
      </c>
      <c r="E449" s="17">
        <f>IFERROR(__xludf.DUMMYFUNCTION("""COMPUTED_VALUE"""),45552.0)</f>
        <v>45552</v>
      </c>
      <c r="F449" s="54"/>
      <c r="G449" s="19">
        <f>IFERROR(__xludf.DUMMYFUNCTION("""COMPUTED_VALUE"""),24.633333333333333)</f>
        <v>24.63333333</v>
      </c>
      <c r="H449" s="17">
        <f>IFERROR(__xludf.DUMMYFUNCTION("""COMPUTED_VALUE"""),43936.0)</f>
        <v>43936</v>
      </c>
      <c r="I449" s="19">
        <f>IFERROR(__xludf.DUMMYFUNCTION("""COMPUTED_VALUE"""),4.4222222222222225)</f>
        <v>4.422222222</v>
      </c>
      <c r="J449" s="21">
        <f>IFERROR(__xludf.DUMMYFUNCTION("""COMPUTED_VALUE"""),68.0)</f>
        <v>68</v>
      </c>
      <c r="K449" s="23">
        <f>IFERROR(__xludf.DUMMYFUNCTION("""COMPUTED_VALUE"""),4.7)</f>
        <v>4.7</v>
      </c>
      <c r="L449" s="24">
        <f>IFERROR(__xludf.DUMMYFUNCTION("""COMPUTED_VALUE"""),20.0)</f>
        <v>20</v>
      </c>
      <c r="M449" s="25" t="str">
        <f>IFERROR(__xludf.DUMMYFUNCTION("""COMPUTED_VALUE"""),"Sandbox")</f>
        <v>Sandbox</v>
      </c>
      <c r="N449" s="25"/>
      <c r="O449" s="26" t="str">
        <f>IFERROR(__xludf.DUMMYFUNCTION("""COMPUTED_VALUE"""),"No")</f>
        <v>No</v>
      </c>
      <c r="P449" s="26"/>
    </row>
    <row r="450">
      <c r="A450" s="13" t="str">
        <f>IFERROR(__xludf.DUMMYFUNCTION("""COMPUTED_VALUE"""),"Worms Pinball")</f>
        <v>Worms Pinball</v>
      </c>
      <c r="B450" s="15" t="str">
        <f>IFERROR(__xludf.DUMMYFUNCTION("""COMPUTED_VALUE"""),"PS5/PS4")</f>
        <v>PS5/PS4</v>
      </c>
      <c r="C450" s="16" t="str">
        <f>IFERROR(__xludf.DUMMYFUNCTION("""COMPUTED_VALUE"""),"Premium (Classics)")</f>
        <v>Premium (Classics)</v>
      </c>
      <c r="D450" s="15" t="str">
        <f>IFERROR(__xludf.DUMMYFUNCTION("""COMPUTED_VALUE"""),"Active")</f>
        <v>Active</v>
      </c>
      <c r="E450" s="17">
        <f>IFERROR(__xludf.DUMMYFUNCTION("""COMPUTED_VALUE"""),45433.0)</f>
        <v>45433</v>
      </c>
      <c r="F450" s="54"/>
      <c r="G450" s="19">
        <f>IFERROR(__xludf.DUMMYFUNCTION("""COMPUTED_VALUE"""),28.5)</f>
        <v>28.5</v>
      </c>
      <c r="H450" s="17">
        <f>IFERROR(__xludf.DUMMYFUNCTION("""COMPUTED_VALUE"""),36464.0)</f>
        <v>36464</v>
      </c>
      <c r="I450" s="19">
        <f>IFERROR(__xludf.DUMMYFUNCTION("""COMPUTED_VALUE"""),24.558333333333334)</f>
        <v>24.55833333</v>
      </c>
      <c r="J450" s="21">
        <f>IFERROR(__xludf.DUMMYFUNCTION("""COMPUTED_VALUE"""),68.0)</f>
        <v>68</v>
      </c>
      <c r="K450" s="23">
        <f>IFERROR(__xludf.DUMMYFUNCTION("""COMPUTED_VALUE"""),7.6)</f>
        <v>7.6</v>
      </c>
      <c r="L450" s="24">
        <f>IFERROR(__xludf.DUMMYFUNCTION("""COMPUTED_VALUE"""),1.0)</f>
        <v>1</v>
      </c>
      <c r="M450" s="25" t="str">
        <f>IFERROR(__xludf.DUMMYFUNCTION("""COMPUTED_VALUE"""),"Simulation")</f>
        <v>Simulation</v>
      </c>
      <c r="N450" s="25" t="str">
        <f>IFERROR(__xludf.DUMMYFUNCTION("""COMPUTED_VALUE"""),"PS1")</f>
        <v>PS1</v>
      </c>
      <c r="O450" s="26" t="str">
        <f>IFERROR(__xludf.DUMMYFUNCTION("""COMPUTED_VALUE"""),"Yes")</f>
        <v>Yes</v>
      </c>
      <c r="P450" s="26"/>
    </row>
    <row r="451">
      <c r="A451" s="13" t="str">
        <f>IFERROR(__xludf.DUMMYFUNCTION("""COMPUTED_VALUE"""),"Outlast 2")</f>
        <v>Outlast 2</v>
      </c>
      <c r="B451" s="15" t="str">
        <f>IFERROR(__xludf.DUMMYFUNCTION("""COMPUTED_VALUE"""),"PS4")</f>
        <v>PS4</v>
      </c>
      <c r="C451" s="16" t="str">
        <f>IFERROR(__xludf.DUMMYFUNCTION("""COMPUTED_VALUE"""),"Extra")</f>
        <v>Extra</v>
      </c>
      <c r="D451" s="15" t="str">
        <f>IFERROR(__xludf.DUMMYFUNCTION("""COMPUTED_VALUE"""),"Active")</f>
        <v>Active</v>
      </c>
      <c r="E451" s="17">
        <f>IFERROR(__xludf.DUMMYFUNCTION("""COMPUTED_VALUE"""),45216.0)</f>
        <v>45216</v>
      </c>
      <c r="F451" s="54"/>
      <c r="G451" s="19">
        <f>IFERROR(__xludf.DUMMYFUNCTION("""COMPUTED_VALUE"""),35.63333333333333)</f>
        <v>35.63333333</v>
      </c>
      <c r="H451" s="17">
        <f>IFERROR(__xludf.DUMMYFUNCTION("""COMPUTED_VALUE"""),42849.0)</f>
        <v>42849</v>
      </c>
      <c r="I451" s="19">
        <f>IFERROR(__xludf.DUMMYFUNCTION("""COMPUTED_VALUE"""),6.480555555555555)</f>
        <v>6.480555556</v>
      </c>
      <c r="J451" s="21">
        <f>IFERROR(__xludf.DUMMYFUNCTION("""COMPUTED_VALUE"""),68.0)</f>
        <v>68</v>
      </c>
      <c r="K451" s="23">
        <f>IFERROR(__xludf.DUMMYFUNCTION("""COMPUTED_VALUE"""),7.0)</f>
        <v>7</v>
      </c>
      <c r="L451" s="24">
        <f>IFERROR(__xludf.DUMMYFUNCTION("""COMPUTED_VALUE"""),8.0)</f>
        <v>8</v>
      </c>
      <c r="M451" s="25" t="str">
        <f>IFERROR(__xludf.DUMMYFUNCTION("""COMPUTED_VALUE"""),"Survival")</f>
        <v>Survival</v>
      </c>
      <c r="N451" s="25"/>
      <c r="O451" s="26" t="str">
        <f>IFERROR(__xludf.DUMMYFUNCTION("""COMPUTED_VALUE"""),"Yes")</f>
        <v>Yes</v>
      </c>
      <c r="P451" s="26"/>
    </row>
    <row r="452">
      <c r="A452" s="13" t="str">
        <f>IFERROR(__xludf.DUMMYFUNCTION("""COMPUTED_VALUE"""),"Conan Exiles")</f>
        <v>Conan Exiles</v>
      </c>
      <c r="B452" s="15" t="str">
        <f>IFERROR(__xludf.DUMMYFUNCTION("""COMPUTED_VALUE"""),"PS4")</f>
        <v>PS4</v>
      </c>
      <c r="C452" s="16" t="str">
        <f>IFERROR(__xludf.DUMMYFUNCTION("""COMPUTED_VALUE"""),"Extra")</f>
        <v>Extra</v>
      </c>
      <c r="D452" s="15" t="str">
        <f>IFERROR(__xludf.DUMMYFUNCTION("""COMPUTED_VALUE"""),"Active")</f>
        <v>Active</v>
      </c>
      <c r="E452" s="17">
        <f>IFERROR(__xludf.DUMMYFUNCTION("""COMPUTED_VALUE"""),45062.0)</f>
        <v>45062</v>
      </c>
      <c r="F452" s="54"/>
      <c r="G452" s="19">
        <f>IFERROR(__xludf.DUMMYFUNCTION("""COMPUTED_VALUE"""),40.666666666666664)</f>
        <v>40.66666667</v>
      </c>
      <c r="H452" s="17">
        <f>IFERROR(__xludf.DUMMYFUNCTION("""COMPUTED_VALUE"""),43228.0)</f>
        <v>43228</v>
      </c>
      <c r="I452" s="19">
        <f>IFERROR(__xludf.DUMMYFUNCTION("""COMPUTED_VALUE"""),5.022222222222222)</f>
        <v>5.022222222</v>
      </c>
      <c r="J452" s="21">
        <f>IFERROR(__xludf.DUMMYFUNCTION("""COMPUTED_VALUE"""),68.0)</f>
        <v>68</v>
      </c>
      <c r="K452" s="23">
        <f>IFERROR(__xludf.DUMMYFUNCTION("""COMPUTED_VALUE"""),5.2)</f>
        <v>5.2</v>
      </c>
      <c r="L452" s="24">
        <f>IFERROR(__xludf.DUMMYFUNCTION("""COMPUTED_VALUE"""),33.0)</f>
        <v>33</v>
      </c>
      <c r="M452" s="25" t="str">
        <f>IFERROR(__xludf.DUMMYFUNCTION("""COMPUTED_VALUE"""),"Action-Adventure")</f>
        <v>Action-Adventure</v>
      </c>
      <c r="N452" s="25"/>
      <c r="O452" s="26" t="str">
        <f>IFERROR(__xludf.DUMMYFUNCTION("""COMPUTED_VALUE"""),"Yes")</f>
        <v>Yes</v>
      </c>
      <c r="P452" s="26"/>
    </row>
    <row r="453">
      <c r="A453" s="13" t="str">
        <f>IFERROR(__xludf.DUMMYFUNCTION("""COMPUTED_VALUE"""),"Human: Fall Flat")</f>
        <v>Human: Fall Flat</v>
      </c>
      <c r="B453" s="15" t="str">
        <f>IFERROR(__xludf.DUMMYFUNCTION("""COMPUTED_VALUE"""),"PS5/PS4")</f>
        <v>PS5/PS4</v>
      </c>
      <c r="C453" s="16" t="str">
        <f>IFERROR(__xludf.DUMMYFUNCTION("""COMPUTED_VALUE"""),"Extra")</f>
        <v>Extra</v>
      </c>
      <c r="D453" s="15" t="str">
        <f>IFERROR(__xludf.DUMMYFUNCTION("""COMPUTED_VALUE"""),"Active")</f>
        <v>Active</v>
      </c>
      <c r="E453" s="17">
        <f>IFERROR(__xludf.DUMMYFUNCTION("""COMPUTED_VALUE"""),44725.0)</f>
        <v>44725</v>
      </c>
      <c r="F453" s="54"/>
      <c r="G453" s="19">
        <f>IFERROR(__xludf.DUMMYFUNCTION("""COMPUTED_VALUE"""),51.766666666666666)</f>
        <v>51.76666667</v>
      </c>
      <c r="H453" s="17">
        <f>IFERROR(__xludf.DUMMYFUNCTION("""COMPUTED_VALUE"""),42573.0)</f>
        <v>42573</v>
      </c>
      <c r="I453" s="19">
        <f>IFERROR(__xludf.DUMMYFUNCTION("""COMPUTED_VALUE"""),5.891666666666667)</f>
        <v>5.891666667</v>
      </c>
      <c r="J453" s="21">
        <f>IFERROR(__xludf.DUMMYFUNCTION("""COMPUTED_VALUE"""),68.0)</f>
        <v>68</v>
      </c>
      <c r="K453" s="23">
        <f>IFERROR(__xludf.DUMMYFUNCTION("""COMPUTED_VALUE"""),7.2)</f>
        <v>7.2</v>
      </c>
      <c r="L453" s="24">
        <f>IFERROR(__xludf.DUMMYFUNCTION("""COMPUTED_VALUE"""),6.0)</f>
        <v>6</v>
      </c>
      <c r="M453" s="25" t="str">
        <f>IFERROR(__xludf.DUMMYFUNCTION("""COMPUTED_VALUE"""),"Platformer")</f>
        <v>Platformer</v>
      </c>
      <c r="N453" s="25"/>
      <c r="O453" s="26" t="str">
        <f>IFERROR(__xludf.DUMMYFUNCTION("""COMPUTED_VALUE"""),"Yes")</f>
        <v>Yes</v>
      </c>
      <c r="P453" s="26" t="str">
        <f>IFERROR(__xludf.DUMMYFUNCTION("""COMPUTED_VALUE"""),"Yes")</f>
        <v>Yes</v>
      </c>
    </row>
    <row r="454">
      <c r="A454" s="13" t="str">
        <f>IFERROR(__xludf.DUMMYFUNCTION("""COMPUTED_VALUE"""),"Warhammer: Chaosbane - Slayer Edition")</f>
        <v>Warhammer: Chaosbane - Slayer Edition</v>
      </c>
      <c r="B454" s="15" t="str">
        <f>IFERROR(__xludf.DUMMYFUNCTION("""COMPUTED_VALUE"""),"PS5/PS4")</f>
        <v>PS5/PS4</v>
      </c>
      <c r="C454" s="16" t="str">
        <f>IFERROR(__xludf.DUMMYFUNCTION("""COMPUTED_VALUE"""),"Extra")</f>
        <v>Extra</v>
      </c>
      <c r="D454" s="15" t="str">
        <f>IFERROR(__xludf.DUMMYFUNCTION("""COMPUTED_VALUE"""),"Active")</f>
        <v>Active</v>
      </c>
      <c r="E454" s="17">
        <f>IFERROR(__xludf.DUMMYFUNCTION("""COMPUTED_VALUE"""),44725.0)</f>
        <v>44725</v>
      </c>
      <c r="F454" s="54"/>
      <c r="G454" s="19">
        <f>IFERROR(__xludf.DUMMYFUNCTION("""COMPUTED_VALUE"""),51.766666666666666)</f>
        <v>51.76666667</v>
      </c>
      <c r="H454" s="17">
        <f>IFERROR(__xludf.DUMMYFUNCTION("""COMPUTED_VALUE"""),43616.0)</f>
        <v>43616</v>
      </c>
      <c r="I454" s="19">
        <f>IFERROR(__xludf.DUMMYFUNCTION("""COMPUTED_VALUE"""),3.036111111111111)</f>
        <v>3.036111111</v>
      </c>
      <c r="J454" s="21">
        <f>IFERROR(__xludf.DUMMYFUNCTION("""COMPUTED_VALUE"""),68.0)</f>
        <v>68</v>
      </c>
      <c r="K454" s="23">
        <f>IFERROR(__xludf.DUMMYFUNCTION("""COMPUTED_VALUE"""),6.4)</f>
        <v>6.4</v>
      </c>
      <c r="L454" s="24">
        <f>IFERROR(__xludf.DUMMYFUNCTION("""COMPUTED_VALUE"""),10.0)</f>
        <v>10</v>
      </c>
      <c r="M454" s="25" t="str">
        <f>IFERROR(__xludf.DUMMYFUNCTION("""COMPUTED_VALUE"""),"RPG")</f>
        <v>RPG</v>
      </c>
      <c r="N454" s="25"/>
      <c r="O454" s="26" t="str">
        <f>IFERROR(__xludf.DUMMYFUNCTION("""COMPUTED_VALUE"""),"Portal (PS5 + Premium)")</f>
        <v>Portal (PS5 + Premium)</v>
      </c>
      <c r="P454" s="26" t="str">
        <f>IFERROR(__xludf.DUMMYFUNCTION("""COMPUTED_VALUE"""),"Yes")</f>
        <v>Yes</v>
      </c>
    </row>
    <row r="455">
      <c r="A455" s="13" t="str">
        <f>IFERROR(__xludf.DUMMYFUNCTION("""COMPUTED_VALUE"""),"Call of Cthulhu")</f>
        <v>Call of Cthulhu</v>
      </c>
      <c r="B455" s="15" t="str">
        <f>IFERROR(__xludf.DUMMYFUNCTION("""COMPUTED_VALUE"""),"PS4")</f>
        <v>PS4</v>
      </c>
      <c r="C455" s="16" t="str">
        <f>IFERROR(__xludf.DUMMYFUNCTION("""COMPUTED_VALUE"""),"Extra")</f>
        <v>Extra</v>
      </c>
      <c r="D455" s="15" t="str">
        <f>IFERROR(__xludf.DUMMYFUNCTION("""COMPUTED_VALUE"""),"Active")</f>
        <v>Active</v>
      </c>
      <c r="E455" s="17">
        <f>IFERROR(__xludf.DUMMYFUNCTION("""COMPUTED_VALUE"""),44725.0)</f>
        <v>44725</v>
      </c>
      <c r="F455" s="54"/>
      <c r="G455" s="19">
        <f>IFERROR(__xludf.DUMMYFUNCTION("""COMPUTED_VALUE"""),51.766666666666666)</f>
        <v>51.76666667</v>
      </c>
      <c r="H455" s="17">
        <f>IFERROR(__xludf.DUMMYFUNCTION("""COMPUTED_VALUE"""),43403.0)</f>
        <v>43403</v>
      </c>
      <c r="I455" s="19">
        <f>IFERROR(__xludf.DUMMYFUNCTION("""COMPUTED_VALUE"""),3.6194444444444445)</f>
        <v>3.619444444</v>
      </c>
      <c r="J455" s="21">
        <f>IFERROR(__xludf.DUMMYFUNCTION("""COMPUTED_VALUE"""),68.0)</f>
        <v>68</v>
      </c>
      <c r="K455" s="23">
        <f>IFERROR(__xludf.DUMMYFUNCTION("""COMPUTED_VALUE"""),6.9)</f>
        <v>6.9</v>
      </c>
      <c r="L455" s="24">
        <f>IFERROR(__xludf.DUMMYFUNCTION("""COMPUTED_VALUE"""),13.5)</f>
        <v>13.5</v>
      </c>
      <c r="M455" s="25" t="str">
        <f>IFERROR(__xludf.DUMMYFUNCTION("""COMPUTED_VALUE"""),"RPG")</f>
        <v>RPG</v>
      </c>
      <c r="N455" s="25"/>
      <c r="O455" s="26" t="str">
        <f>IFERROR(__xludf.DUMMYFUNCTION("""COMPUTED_VALUE"""),"Yes")</f>
        <v>Yes</v>
      </c>
      <c r="P455" s="26"/>
    </row>
    <row r="456">
      <c r="A456" s="13" t="str">
        <f>IFERROR(__xludf.DUMMYFUNCTION("""COMPUTED_VALUE"""),"Dynasty Warriors 8: Empires")</f>
        <v>Dynasty Warriors 8: Empires</v>
      </c>
      <c r="B456" s="15" t="str">
        <f>IFERROR(__xludf.DUMMYFUNCTION("""COMPUTED_VALUE"""),"PS4")</f>
        <v>PS4</v>
      </c>
      <c r="C456" s="16" t="str">
        <f>IFERROR(__xludf.DUMMYFUNCTION("""COMPUTED_VALUE"""),"Extra")</f>
        <v>Extra</v>
      </c>
      <c r="D456" s="15" t="str">
        <f>IFERROR(__xludf.DUMMYFUNCTION("""COMPUTED_VALUE"""),"Active")</f>
        <v>Active</v>
      </c>
      <c r="E456" s="17">
        <f>IFERROR(__xludf.DUMMYFUNCTION("""COMPUTED_VALUE"""),44725.0)</f>
        <v>44725</v>
      </c>
      <c r="F456" s="54"/>
      <c r="G456" s="19">
        <f>IFERROR(__xludf.DUMMYFUNCTION("""COMPUTED_VALUE"""),51.766666666666666)</f>
        <v>51.76666667</v>
      </c>
      <c r="H456" s="17">
        <f>IFERROR(__xludf.DUMMYFUNCTION("""COMPUTED_VALUE"""),41963.0)</f>
        <v>41963</v>
      </c>
      <c r="I456" s="19">
        <f>IFERROR(__xludf.DUMMYFUNCTION("""COMPUTED_VALUE"""),7.563888888888889)</f>
        <v>7.563888889</v>
      </c>
      <c r="J456" s="21">
        <f>IFERROR(__xludf.DUMMYFUNCTION("""COMPUTED_VALUE"""),68.0)</f>
        <v>68</v>
      </c>
      <c r="K456" s="23">
        <f>IFERROR(__xludf.DUMMYFUNCTION("""COMPUTED_VALUE"""),6.9)</f>
        <v>6.9</v>
      </c>
      <c r="L456" s="24">
        <f>IFERROR(__xludf.DUMMYFUNCTION("""COMPUTED_VALUE"""),12.5)</f>
        <v>12.5</v>
      </c>
      <c r="M456" s="25" t="str">
        <f>IFERROR(__xludf.DUMMYFUNCTION("""COMPUTED_VALUE"""),"Action-Adventure")</f>
        <v>Action-Adventure</v>
      </c>
      <c r="N456" s="25"/>
      <c r="O456" s="26" t="str">
        <f>IFERROR(__xludf.DUMMYFUNCTION("""COMPUTED_VALUE"""),"No")</f>
        <v>No</v>
      </c>
      <c r="P456" s="26" t="str">
        <f>IFERROR(__xludf.DUMMYFUNCTION("""COMPUTED_VALUE"""),"Yes")</f>
        <v>Yes</v>
      </c>
    </row>
    <row r="457">
      <c r="A457" s="13" t="str">
        <f>IFERROR(__xludf.DUMMYFUNCTION("""COMPUTED_VALUE"""),"Entwined")</f>
        <v>Entwined</v>
      </c>
      <c r="B457" s="15" t="str">
        <f>IFERROR(__xludf.DUMMYFUNCTION("""COMPUTED_VALUE"""),"PS4")</f>
        <v>PS4</v>
      </c>
      <c r="C457" s="16" t="str">
        <f>IFERROR(__xludf.DUMMYFUNCTION("""COMPUTED_VALUE"""),"Extra")</f>
        <v>Extra</v>
      </c>
      <c r="D457" s="15" t="str">
        <f>IFERROR(__xludf.DUMMYFUNCTION("""COMPUTED_VALUE"""),"Active")</f>
        <v>Active</v>
      </c>
      <c r="E457" s="17">
        <f>IFERROR(__xludf.DUMMYFUNCTION("""COMPUTED_VALUE"""),44725.0)</f>
        <v>44725</v>
      </c>
      <c r="F457" s="54"/>
      <c r="G457" s="19">
        <f>IFERROR(__xludf.DUMMYFUNCTION("""COMPUTED_VALUE"""),51.766666666666666)</f>
        <v>51.76666667</v>
      </c>
      <c r="H457" s="17">
        <f>IFERROR(__xludf.DUMMYFUNCTION("""COMPUTED_VALUE"""),41791.0)</f>
        <v>41791</v>
      </c>
      <c r="I457" s="19">
        <f>IFERROR(__xludf.DUMMYFUNCTION("""COMPUTED_VALUE"""),8.033333333333333)</f>
        <v>8.033333333</v>
      </c>
      <c r="J457" s="21">
        <f>IFERROR(__xludf.DUMMYFUNCTION("""COMPUTED_VALUE"""),68.0)</f>
        <v>68</v>
      </c>
      <c r="K457" s="23">
        <f>IFERROR(__xludf.DUMMYFUNCTION("""COMPUTED_VALUE"""),6.9)</f>
        <v>6.9</v>
      </c>
      <c r="L457" s="24">
        <f>IFERROR(__xludf.DUMMYFUNCTION("""COMPUTED_VALUE"""),1.5)</f>
        <v>1.5</v>
      </c>
      <c r="M457" s="25" t="str">
        <f>IFERROR(__xludf.DUMMYFUNCTION("""COMPUTED_VALUE"""),"Music")</f>
        <v>Music</v>
      </c>
      <c r="N457" s="25"/>
      <c r="O457" s="26" t="str">
        <f>IFERROR(__xludf.DUMMYFUNCTION("""COMPUTED_VALUE"""),"Yes")</f>
        <v>Yes</v>
      </c>
      <c r="P457" s="26" t="str">
        <f>IFERROR(__xludf.DUMMYFUNCTION("""COMPUTED_VALUE"""),"Yes")</f>
        <v>Yes</v>
      </c>
    </row>
    <row r="458">
      <c r="A458" s="13" t="str">
        <f>IFERROR(__xludf.DUMMYFUNCTION("""COMPUTED_VALUE"""),"The Fisherman: Fishing Planet")</f>
        <v>The Fisherman: Fishing Planet</v>
      </c>
      <c r="B458" s="15" t="str">
        <f>IFERROR(__xludf.DUMMYFUNCTION("""COMPUTED_VALUE"""),"PS4")</f>
        <v>PS4</v>
      </c>
      <c r="C458" s="16" t="str">
        <f>IFERROR(__xludf.DUMMYFUNCTION("""COMPUTED_VALUE"""),"Extra")</f>
        <v>Extra</v>
      </c>
      <c r="D458" s="15" t="str">
        <f>IFERROR(__xludf.DUMMYFUNCTION("""COMPUTED_VALUE"""),"Active")</f>
        <v>Active</v>
      </c>
      <c r="E458" s="17">
        <f>IFERROR(__xludf.DUMMYFUNCTION("""COMPUTED_VALUE"""),44725.0)</f>
        <v>44725</v>
      </c>
      <c r="F458" s="54"/>
      <c r="G458" s="19">
        <f>IFERROR(__xludf.DUMMYFUNCTION("""COMPUTED_VALUE"""),51.766666666666666)</f>
        <v>51.76666667</v>
      </c>
      <c r="H458" s="17">
        <f>IFERROR(__xludf.DUMMYFUNCTION("""COMPUTED_VALUE"""),43755.0)</f>
        <v>43755</v>
      </c>
      <c r="I458" s="19">
        <f>IFERROR(__xludf.DUMMYFUNCTION("""COMPUTED_VALUE"""),2.6555555555555554)</f>
        <v>2.655555556</v>
      </c>
      <c r="J458" s="21">
        <f>IFERROR(__xludf.DUMMYFUNCTION("""COMPUTED_VALUE"""),68.0)</f>
        <v>68</v>
      </c>
      <c r="K458" s="23">
        <f>IFERROR(__xludf.DUMMYFUNCTION("""COMPUTED_VALUE"""),6.1)</f>
        <v>6.1</v>
      </c>
      <c r="L458" s="24"/>
      <c r="M458" s="25" t="str">
        <f>IFERROR(__xludf.DUMMYFUNCTION("""COMPUTED_VALUE"""),"Sports")</f>
        <v>Sports</v>
      </c>
      <c r="N458" s="25"/>
      <c r="O458" s="26" t="str">
        <f>IFERROR(__xludf.DUMMYFUNCTION("""COMPUTED_VALUE"""),"Yes")</f>
        <v>Yes</v>
      </c>
      <c r="P458" s="26"/>
    </row>
    <row r="459">
      <c r="A459" s="13" t="str">
        <f>IFERROR(__xludf.DUMMYFUNCTION("""COMPUTED_VALUE"""),"Rise of the Kasai")</f>
        <v>Rise of the Kasai</v>
      </c>
      <c r="B459" s="15" t="str">
        <f>IFERROR(__xludf.DUMMYFUNCTION("""COMPUTED_VALUE"""),"PS4")</f>
        <v>PS4</v>
      </c>
      <c r="C459" s="16" t="str">
        <f>IFERROR(__xludf.DUMMYFUNCTION("""COMPUTED_VALUE"""),"Premium (Classics)")</f>
        <v>Premium (Classics)</v>
      </c>
      <c r="D459" s="15" t="str">
        <f>IFERROR(__xludf.DUMMYFUNCTION("""COMPUTED_VALUE"""),"Active")</f>
        <v>Active</v>
      </c>
      <c r="E459" s="17">
        <f>IFERROR(__xludf.DUMMYFUNCTION("""COMPUTED_VALUE"""),44725.0)</f>
        <v>44725</v>
      </c>
      <c r="F459" s="54"/>
      <c r="G459" s="19">
        <f>IFERROR(__xludf.DUMMYFUNCTION("""COMPUTED_VALUE"""),51.766666666666666)</f>
        <v>51.76666667</v>
      </c>
      <c r="H459" s="17">
        <f>IFERROR(__xludf.DUMMYFUNCTION("""COMPUTED_VALUE"""),38443.0)</f>
        <v>38443</v>
      </c>
      <c r="I459" s="19">
        <f>IFERROR(__xludf.DUMMYFUNCTION("""COMPUTED_VALUE"""),17.2)</f>
        <v>17.2</v>
      </c>
      <c r="J459" s="21">
        <f>IFERROR(__xludf.DUMMYFUNCTION("""COMPUTED_VALUE"""),68.0)</f>
        <v>68</v>
      </c>
      <c r="K459" s="23">
        <f>IFERROR(__xludf.DUMMYFUNCTION("""COMPUTED_VALUE"""),7.5)</f>
        <v>7.5</v>
      </c>
      <c r="L459" s="24">
        <f>IFERROR(__xludf.DUMMYFUNCTION("""COMPUTED_VALUE"""),12.0)</f>
        <v>12</v>
      </c>
      <c r="M459" s="25" t="str">
        <f>IFERROR(__xludf.DUMMYFUNCTION("""COMPUTED_VALUE"""),"Action-Adventure")</f>
        <v>Action-Adventure</v>
      </c>
      <c r="N459" s="25" t="str">
        <f>IFERROR(__xludf.DUMMYFUNCTION("""COMPUTED_VALUE"""),"PS2")</f>
        <v>PS2</v>
      </c>
      <c r="O459" s="26" t="str">
        <f>IFERROR(__xludf.DUMMYFUNCTION("""COMPUTED_VALUE"""),"No")</f>
        <v>No</v>
      </c>
      <c r="P459" s="26" t="str">
        <f>IFERROR(__xludf.DUMMYFUNCTION("""COMPUTED_VALUE"""),"")</f>
        <v/>
      </c>
    </row>
    <row r="460">
      <c r="A460" s="13" t="str">
        <f>IFERROR(__xludf.DUMMYFUNCTION("""COMPUTED_VALUE"""),"Atari Flashback Classics Vol. 2")</f>
        <v>Atari Flashback Classics Vol. 2</v>
      </c>
      <c r="B460" s="15" t="str">
        <f>IFERROR(__xludf.DUMMYFUNCTION("""COMPUTED_VALUE"""),"PS4")</f>
        <v>PS4</v>
      </c>
      <c r="C460" s="16" t="str">
        <f>IFERROR(__xludf.DUMMYFUNCTION("""COMPUTED_VALUE"""),"Premium (Remasters)")</f>
        <v>Premium (Remasters)</v>
      </c>
      <c r="D460" s="15" t="str">
        <f>IFERROR(__xludf.DUMMYFUNCTION("""COMPUTED_VALUE"""),"Active")</f>
        <v>Active</v>
      </c>
      <c r="E460" s="17">
        <f>IFERROR(__xludf.DUMMYFUNCTION("""COMPUTED_VALUE"""),43165.0)</f>
        <v>43165</v>
      </c>
      <c r="F460" s="54"/>
      <c r="G460" s="19">
        <f>IFERROR(__xludf.DUMMYFUNCTION("""COMPUTED_VALUE"""),103.0)</f>
        <v>103</v>
      </c>
      <c r="H460" s="17">
        <f>IFERROR(__xludf.DUMMYFUNCTION("""COMPUTED_VALUE"""),42644.0)</f>
        <v>42644</v>
      </c>
      <c r="I460" s="19">
        <f>IFERROR(__xludf.DUMMYFUNCTION("""COMPUTED_VALUE"""),1.4305555555555556)</f>
        <v>1.430555556</v>
      </c>
      <c r="J460" s="21">
        <f>IFERROR(__xludf.DUMMYFUNCTION("""COMPUTED_VALUE"""),68.0)</f>
        <v>68</v>
      </c>
      <c r="K460" s="23">
        <f>IFERROR(__xludf.DUMMYFUNCTION("""COMPUTED_VALUE"""),7.0)</f>
        <v>7</v>
      </c>
      <c r="L460" s="24"/>
      <c r="M460" s="25" t="str">
        <f>IFERROR(__xludf.DUMMYFUNCTION("""COMPUTED_VALUE"""),"Arcade")</f>
        <v>Arcade</v>
      </c>
      <c r="N460" s="25" t="str">
        <f>IFERROR(__xludf.DUMMYFUNCTION("""COMPUTED_VALUE"""),"Atari 2600 and Arcade")</f>
        <v>Atari 2600 and Arcade</v>
      </c>
      <c r="O460" s="26" t="str">
        <f>IFERROR(__xludf.DUMMYFUNCTION("""COMPUTED_VALUE"""),"Yes")</f>
        <v>Yes</v>
      </c>
      <c r="P460" s="26"/>
    </row>
    <row r="461">
      <c r="A461" s="13" t="str">
        <f>IFERROR(__xludf.DUMMYFUNCTION("""COMPUTED_VALUE"""),"Arcana Heart 3: LOVE MAX!!!!!")</f>
        <v>Arcana Heart 3: LOVE MAX!!!!!</v>
      </c>
      <c r="B461" s="15" t="str">
        <f>IFERROR(__xludf.DUMMYFUNCTION("""COMPUTED_VALUE"""),"PS5/PS4")</f>
        <v>PS5/PS4</v>
      </c>
      <c r="C461" s="16" t="str">
        <f>IFERROR(__xludf.DUMMYFUNCTION("""COMPUTED_VALUE"""),"Extra")</f>
        <v>Extra</v>
      </c>
      <c r="D461" s="15" t="str">
        <f>IFERROR(__xludf.DUMMYFUNCTION("""COMPUTED_VALUE"""),"Active")</f>
        <v>Active</v>
      </c>
      <c r="E461" s="17">
        <f>IFERROR(__xludf.DUMMYFUNCTION("""COMPUTED_VALUE"""),42556.0)</f>
        <v>42556</v>
      </c>
      <c r="F461" s="54"/>
      <c r="G461" s="19">
        <f>IFERROR(__xludf.DUMMYFUNCTION("""COMPUTED_VALUE"""),123.03333333333333)</f>
        <v>123.0333333</v>
      </c>
      <c r="H461" s="17">
        <f>IFERROR(__xludf.DUMMYFUNCTION("""COMPUTED_VALUE"""),41883.0)</f>
        <v>41883</v>
      </c>
      <c r="I461" s="19">
        <f>IFERROR(__xludf.DUMMYFUNCTION("""COMPUTED_VALUE"""),1.8444444444444446)</f>
        <v>1.844444444</v>
      </c>
      <c r="J461" s="21">
        <f>IFERROR(__xludf.DUMMYFUNCTION("""COMPUTED_VALUE"""),68.0)</f>
        <v>68</v>
      </c>
      <c r="K461" s="23">
        <f>IFERROR(__xludf.DUMMYFUNCTION("""COMPUTED_VALUE"""),7.7)</f>
        <v>7.7</v>
      </c>
      <c r="L461" s="24"/>
      <c r="M461" s="25" t="str">
        <f>IFERROR(__xludf.DUMMYFUNCTION("""COMPUTED_VALUE"""),"Fighting")</f>
        <v>Fighting</v>
      </c>
      <c r="N461" s="25" t="str">
        <f>IFERROR(__xludf.DUMMYFUNCTION("""COMPUTED_VALUE"""),"PS3")</f>
        <v>PS3</v>
      </c>
      <c r="O461" s="26" t="str">
        <f>IFERROR(__xludf.DUMMYFUNCTION("""COMPUTED_VALUE"""),"Yes")</f>
        <v>Yes</v>
      </c>
      <c r="P461" s="26" t="str">
        <f>IFERROR(__xludf.DUMMYFUNCTION("""COMPUTED_VALUE"""),"")</f>
        <v/>
      </c>
    </row>
    <row r="462">
      <c r="A462" s="13" t="str">
        <f>IFERROR(__xludf.DUMMYFUNCTION("""COMPUTED_VALUE"""),"2Xtreme")</f>
        <v>2Xtreme</v>
      </c>
      <c r="B462" s="15" t="str">
        <f>IFERROR(__xludf.DUMMYFUNCTION("""COMPUTED_VALUE"""),"PS5/PS4")</f>
        <v>PS5/PS4</v>
      </c>
      <c r="C462" s="16" t="str">
        <f>IFERROR(__xludf.DUMMYFUNCTION("""COMPUTED_VALUE"""),"Premium (Classics)")</f>
        <v>Premium (Classics)</v>
      </c>
      <c r="D462" s="15" t="str">
        <f>IFERROR(__xludf.DUMMYFUNCTION("""COMPUTED_VALUE"""),"Active")</f>
        <v>Active</v>
      </c>
      <c r="E462" s="17">
        <f>IFERROR(__xludf.DUMMYFUNCTION("""COMPUTED_VALUE"""),45433.0)</f>
        <v>45433</v>
      </c>
      <c r="F462" s="54"/>
      <c r="G462" s="19">
        <f>IFERROR(__xludf.DUMMYFUNCTION("""COMPUTED_VALUE"""),28.5)</f>
        <v>28.5</v>
      </c>
      <c r="H462" s="17">
        <f>IFERROR(__xludf.DUMMYFUNCTION("""COMPUTED_VALUE"""),35370.0)</f>
        <v>35370</v>
      </c>
      <c r="I462" s="19">
        <f>IFERROR(__xludf.DUMMYFUNCTION("""COMPUTED_VALUE"""),27.555555555555557)</f>
        <v>27.55555556</v>
      </c>
      <c r="J462" s="21">
        <f>IFERROR(__xludf.DUMMYFUNCTION("""COMPUTED_VALUE"""),67.0)</f>
        <v>67</v>
      </c>
      <c r="K462" s="23">
        <f>IFERROR(__xludf.DUMMYFUNCTION("""COMPUTED_VALUE"""),7.5)</f>
        <v>7.5</v>
      </c>
      <c r="L462" s="24">
        <f>IFERROR(__xludf.DUMMYFUNCTION("""COMPUTED_VALUE"""),1.0)</f>
        <v>1</v>
      </c>
      <c r="M462" s="25" t="str">
        <f>IFERROR(__xludf.DUMMYFUNCTION("""COMPUTED_VALUE"""),"Racing")</f>
        <v>Racing</v>
      </c>
      <c r="N462" s="25" t="str">
        <f>IFERROR(__xludf.DUMMYFUNCTION("""COMPUTED_VALUE"""),"PS1")</f>
        <v>PS1</v>
      </c>
      <c r="O462" s="26" t="str">
        <f>IFERROR(__xludf.DUMMYFUNCTION("""COMPUTED_VALUE"""),"Yes")</f>
        <v>Yes</v>
      </c>
      <c r="P462" s="26"/>
    </row>
    <row r="463">
      <c r="A463" s="13" t="str">
        <f>IFERROR(__xludf.DUMMYFUNCTION("""COMPUTED_VALUE"""),"Lego Ninjago Movie Videogame")</f>
        <v>Lego Ninjago Movie Videogame</v>
      </c>
      <c r="B463" s="15" t="str">
        <f>IFERROR(__xludf.DUMMYFUNCTION("""COMPUTED_VALUE"""),"PS4")</f>
        <v>PS4</v>
      </c>
      <c r="C463" s="16" t="str">
        <f>IFERROR(__xludf.DUMMYFUNCTION("""COMPUTED_VALUE"""),"Extra")</f>
        <v>Extra</v>
      </c>
      <c r="D463" s="15" t="str">
        <f>IFERROR(__xludf.DUMMYFUNCTION("""COMPUTED_VALUE"""),"Active")</f>
        <v>Active</v>
      </c>
      <c r="E463" s="17">
        <f>IFERROR(__xludf.DUMMYFUNCTION("""COMPUTED_VALUE"""),45398.0)</f>
        <v>45398</v>
      </c>
      <c r="F463" s="54"/>
      <c r="G463" s="19">
        <f>IFERROR(__xludf.DUMMYFUNCTION("""COMPUTED_VALUE"""),29.666666666666668)</f>
        <v>29.66666667</v>
      </c>
      <c r="H463" s="17">
        <f>IFERROR(__xludf.DUMMYFUNCTION("""COMPUTED_VALUE"""),43000.0)</f>
        <v>43000</v>
      </c>
      <c r="I463" s="19">
        <f>IFERROR(__xludf.DUMMYFUNCTION("""COMPUTED_VALUE"""),6.566666666666666)</f>
        <v>6.566666667</v>
      </c>
      <c r="J463" s="21">
        <f>IFERROR(__xludf.DUMMYFUNCTION("""COMPUTED_VALUE"""),67.0)</f>
        <v>67</v>
      </c>
      <c r="K463" s="23">
        <f>IFERROR(__xludf.DUMMYFUNCTION("""COMPUTED_VALUE"""),5.9)</f>
        <v>5.9</v>
      </c>
      <c r="L463" s="24">
        <f>IFERROR(__xludf.DUMMYFUNCTION("""COMPUTED_VALUE"""),7.0)</f>
        <v>7</v>
      </c>
      <c r="M463" s="25" t="str">
        <f>IFERROR(__xludf.DUMMYFUNCTION("""COMPUTED_VALUE"""),"Action-Adventure")</f>
        <v>Action-Adventure</v>
      </c>
      <c r="N463" s="25"/>
      <c r="O463" s="26" t="str">
        <f>IFERROR(__xludf.DUMMYFUNCTION("""COMPUTED_VALUE"""),"No")</f>
        <v>No</v>
      </c>
      <c r="P463" s="26"/>
    </row>
    <row r="464">
      <c r="A464" s="13" t="str">
        <f>IFERROR(__xludf.DUMMYFUNCTION("""COMPUTED_VALUE"""),"MediEvil")</f>
        <v>MediEvil</v>
      </c>
      <c r="B464" s="15" t="str">
        <f>IFERROR(__xludf.DUMMYFUNCTION("""COMPUTED_VALUE"""),"PS5/PS4")</f>
        <v>PS5/PS4</v>
      </c>
      <c r="C464" s="16" t="str">
        <f>IFERROR(__xludf.DUMMYFUNCTION("""COMPUTED_VALUE"""),"Premium (Classics)")</f>
        <v>Premium (Classics)</v>
      </c>
      <c r="D464" s="15" t="str">
        <f>IFERROR(__xludf.DUMMYFUNCTION("""COMPUTED_VALUE"""),"Active")</f>
        <v>Active</v>
      </c>
      <c r="E464" s="17">
        <f>IFERROR(__xludf.DUMMYFUNCTION("""COMPUTED_VALUE"""),45398.0)</f>
        <v>45398</v>
      </c>
      <c r="F464" s="54"/>
      <c r="G464" s="19">
        <f>IFERROR(__xludf.DUMMYFUNCTION("""COMPUTED_VALUE"""),29.666666666666668)</f>
        <v>29.66666667</v>
      </c>
      <c r="H464" s="17">
        <f>IFERROR(__xludf.DUMMYFUNCTION("""COMPUTED_VALUE"""),36069.0)</f>
        <v>36069</v>
      </c>
      <c r="I464" s="19">
        <f>IFERROR(__xludf.DUMMYFUNCTION("""COMPUTED_VALUE"""),25.541666666666668)</f>
        <v>25.54166667</v>
      </c>
      <c r="J464" s="21">
        <f>IFERROR(__xludf.DUMMYFUNCTION("""COMPUTED_VALUE"""),67.0)</f>
        <v>67</v>
      </c>
      <c r="K464" s="23">
        <f>IFERROR(__xludf.DUMMYFUNCTION("""COMPUTED_VALUE"""),8.0)</f>
        <v>8</v>
      </c>
      <c r="L464" s="24">
        <f>IFERROR(__xludf.DUMMYFUNCTION("""COMPUTED_VALUE"""),7.0)</f>
        <v>7</v>
      </c>
      <c r="M464" s="25" t="str">
        <f>IFERROR(__xludf.DUMMYFUNCTION("""COMPUTED_VALUE"""),"Action-Adventure")</f>
        <v>Action-Adventure</v>
      </c>
      <c r="N464" s="25" t="str">
        <f>IFERROR(__xludf.DUMMYFUNCTION("""COMPUTED_VALUE"""),"PS1")</f>
        <v>PS1</v>
      </c>
      <c r="O464" s="26" t="str">
        <f>IFERROR(__xludf.DUMMYFUNCTION("""COMPUTED_VALUE"""),"Yes")</f>
        <v>Yes</v>
      </c>
      <c r="P464" s="26"/>
    </row>
    <row r="465">
      <c r="A465" s="13" t="str">
        <f>IFERROR(__xludf.DUMMYFUNCTION("""COMPUTED_VALUE"""),"Session: Skate Sim")</f>
        <v>Session: Skate Sim</v>
      </c>
      <c r="B465" s="15" t="str">
        <f>IFERROR(__xludf.DUMMYFUNCTION("""COMPUTED_VALUE"""),"PS5/PS4")</f>
        <v>PS5/PS4</v>
      </c>
      <c r="C465" s="16" t="str">
        <f>IFERROR(__xludf.DUMMYFUNCTION("""COMPUTED_VALUE"""),"Extra")</f>
        <v>Extra</v>
      </c>
      <c r="D465" s="15" t="str">
        <f>IFERROR(__xludf.DUMMYFUNCTION("""COMPUTED_VALUE"""),"Active")</f>
        <v>Active</v>
      </c>
      <c r="E465" s="17">
        <f>IFERROR(__xludf.DUMMYFUNCTION("""COMPUTED_VALUE"""),45307.0)</f>
        <v>45307</v>
      </c>
      <c r="F465" s="54"/>
      <c r="G465" s="19">
        <f>IFERROR(__xludf.DUMMYFUNCTION("""COMPUTED_VALUE"""),32.66666666666667)</f>
        <v>32.66666667</v>
      </c>
      <c r="H465" s="17">
        <f>IFERROR(__xludf.DUMMYFUNCTION("""COMPUTED_VALUE"""),44826.0)</f>
        <v>44826</v>
      </c>
      <c r="I465" s="19">
        <f>IFERROR(__xludf.DUMMYFUNCTION("""COMPUTED_VALUE"""),1.3166666666666667)</f>
        <v>1.316666667</v>
      </c>
      <c r="J465" s="21">
        <f>IFERROR(__xludf.DUMMYFUNCTION("""COMPUTED_VALUE"""),67.0)</f>
        <v>67</v>
      </c>
      <c r="K465" s="23">
        <f>IFERROR(__xludf.DUMMYFUNCTION("""COMPUTED_VALUE"""),6.1)</f>
        <v>6.1</v>
      </c>
      <c r="L465" s="24">
        <f>IFERROR(__xludf.DUMMYFUNCTION("""COMPUTED_VALUE"""),3.0)</f>
        <v>3</v>
      </c>
      <c r="M465" s="25" t="str">
        <f>IFERROR(__xludf.DUMMYFUNCTION("""COMPUTED_VALUE"""),"Sports")</f>
        <v>Sports</v>
      </c>
      <c r="N465" s="25"/>
      <c r="O465" s="26" t="str">
        <f>IFERROR(__xludf.DUMMYFUNCTION("""COMPUTED_VALUE"""),"Yes")</f>
        <v>Yes</v>
      </c>
      <c r="P465" s="26"/>
    </row>
    <row r="466">
      <c r="A466" s="13" t="str">
        <f>IFERROR(__xludf.DUMMYFUNCTION("""COMPUTED_VALUE"""),"PaRappa the Rapper 2")</f>
        <v>PaRappa the Rapper 2</v>
      </c>
      <c r="B466" s="15" t="str">
        <f>IFERROR(__xludf.DUMMYFUNCTION("""COMPUTED_VALUE"""),"PS4")</f>
        <v>PS4</v>
      </c>
      <c r="C466" s="16" t="str">
        <f>IFERROR(__xludf.DUMMYFUNCTION("""COMPUTED_VALUE"""),"Premium (Classics)")</f>
        <v>Premium (Classics)</v>
      </c>
      <c r="D466" s="15" t="str">
        <f>IFERROR(__xludf.DUMMYFUNCTION("""COMPUTED_VALUE"""),"Active")</f>
        <v>Active</v>
      </c>
      <c r="E466" s="17">
        <f>IFERROR(__xludf.DUMMYFUNCTION("""COMPUTED_VALUE"""),45251.0)</f>
        <v>45251</v>
      </c>
      <c r="F466" s="54"/>
      <c r="G466" s="19">
        <f>IFERROR(__xludf.DUMMYFUNCTION("""COMPUTED_VALUE"""),34.5)</f>
        <v>34.5</v>
      </c>
      <c r="H466" s="17">
        <f>IFERROR(__xludf.DUMMYFUNCTION("""COMPUTED_VALUE"""),37279.0)</f>
        <v>37279</v>
      </c>
      <c r="I466" s="19">
        <f>IFERROR(__xludf.DUMMYFUNCTION("""COMPUTED_VALUE"""),21.82777777777778)</f>
        <v>21.82777778</v>
      </c>
      <c r="J466" s="21">
        <f>IFERROR(__xludf.DUMMYFUNCTION("""COMPUTED_VALUE"""),67.0)</f>
        <v>67</v>
      </c>
      <c r="K466" s="23">
        <f>IFERROR(__xludf.DUMMYFUNCTION("""COMPUTED_VALUE"""),8.0)</f>
        <v>8</v>
      </c>
      <c r="L466" s="24">
        <f>IFERROR(__xludf.DUMMYFUNCTION("""COMPUTED_VALUE"""),2.0)</f>
        <v>2</v>
      </c>
      <c r="M466" s="25" t="str">
        <f>IFERROR(__xludf.DUMMYFUNCTION("""COMPUTED_VALUE"""),"Rhythm")</f>
        <v>Rhythm</v>
      </c>
      <c r="N466" s="25" t="str">
        <f>IFERROR(__xludf.DUMMYFUNCTION("""COMPUTED_VALUE"""),"PS2")</f>
        <v>PS2</v>
      </c>
      <c r="O466" s="26" t="str">
        <f>IFERROR(__xludf.DUMMYFUNCTION("""COMPUTED_VALUE"""),"Yes")</f>
        <v>Yes</v>
      </c>
      <c r="P466" s="26"/>
    </row>
    <row r="467">
      <c r="A467" s="13" t="str">
        <f>IFERROR(__xludf.DUMMYFUNCTION("""COMPUTED_VALUE"""),"World War Z")</f>
        <v>World War Z</v>
      </c>
      <c r="B467" s="15" t="str">
        <f>IFERROR(__xludf.DUMMYFUNCTION("""COMPUTED_VALUE"""),"PS5/PS4")</f>
        <v>PS5/PS4</v>
      </c>
      <c r="C467" s="16" t="str">
        <f>IFERROR(__xludf.DUMMYFUNCTION("""COMPUTED_VALUE"""),"Extra")</f>
        <v>Extra</v>
      </c>
      <c r="D467" s="15" t="str">
        <f>IFERROR(__xludf.DUMMYFUNCTION("""COMPUTED_VALUE"""),"Active")</f>
        <v>Active</v>
      </c>
      <c r="E467" s="17">
        <f>IFERROR(__xludf.DUMMYFUNCTION("""COMPUTED_VALUE"""),45125.0)</f>
        <v>45125</v>
      </c>
      <c r="F467" s="54"/>
      <c r="G467" s="19">
        <f>IFERROR(__xludf.DUMMYFUNCTION("""COMPUTED_VALUE"""),38.6)</f>
        <v>38.6</v>
      </c>
      <c r="H467" s="17">
        <f>IFERROR(__xludf.DUMMYFUNCTION("""COMPUTED_VALUE"""),43571.0)</f>
        <v>43571</v>
      </c>
      <c r="I467" s="19">
        <f>IFERROR(__xludf.DUMMYFUNCTION("""COMPUTED_VALUE"""),4.2555555555555555)</f>
        <v>4.255555556</v>
      </c>
      <c r="J467" s="21">
        <f>IFERROR(__xludf.DUMMYFUNCTION("""COMPUTED_VALUE"""),67.0)</f>
        <v>67</v>
      </c>
      <c r="K467" s="23">
        <f>IFERROR(__xludf.DUMMYFUNCTION("""COMPUTED_VALUE"""),6.3)</f>
        <v>6.3</v>
      </c>
      <c r="L467" s="24">
        <f>IFERROR(__xludf.DUMMYFUNCTION("""COMPUTED_VALUE"""),8.0)</f>
        <v>8</v>
      </c>
      <c r="M467" s="25" t="str">
        <f>IFERROR(__xludf.DUMMYFUNCTION("""COMPUTED_VALUE"""),"Shooter")</f>
        <v>Shooter</v>
      </c>
      <c r="N467" s="25"/>
      <c r="O467" s="26" t="str">
        <f>IFERROR(__xludf.DUMMYFUNCTION("""COMPUTED_VALUE"""),"Portal (PS5 + Premium)")</f>
        <v>Portal (PS5 + Premium)</v>
      </c>
      <c r="P467" s="26"/>
    </row>
    <row r="468">
      <c r="A468" s="13" t="str">
        <f>IFERROR(__xludf.DUMMYFUNCTION("""COMPUTED_VALUE"""),"Thief (2014)")</f>
        <v>Thief (2014)</v>
      </c>
      <c r="B468" s="15" t="str">
        <f>IFERROR(__xludf.DUMMYFUNCTION("""COMPUTED_VALUE"""),"PS4")</f>
        <v>PS4</v>
      </c>
      <c r="C468" s="16" t="str">
        <f>IFERROR(__xludf.DUMMYFUNCTION("""COMPUTED_VALUE"""),"Extra")</f>
        <v>Extra</v>
      </c>
      <c r="D468" s="15" t="str">
        <f>IFERROR(__xludf.DUMMYFUNCTION("""COMPUTED_VALUE"""),"Active")</f>
        <v>Active</v>
      </c>
      <c r="E468" s="17">
        <f>IFERROR(__xludf.DUMMYFUNCTION("""COMPUTED_VALUE"""),45097.0)</f>
        <v>45097</v>
      </c>
      <c r="F468" s="54"/>
      <c r="G468" s="19">
        <f>IFERROR(__xludf.DUMMYFUNCTION("""COMPUTED_VALUE"""),39.53333333333333)</f>
        <v>39.53333333</v>
      </c>
      <c r="H468" s="17">
        <f>IFERROR(__xludf.DUMMYFUNCTION("""COMPUTED_VALUE"""),41695.0)</f>
        <v>41695</v>
      </c>
      <c r="I468" s="19">
        <f>IFERROR(__xludf.DUMMYFUNCTION("""COMPUTED_VALUE"""),9.319444444444445)</f>
        <v>9.319444444</v>
      </c>
      <c r="J468" s="21">
        <f>IFERROR(__xludf.DUMMYFUNCTION("""COMPUTED_VALUE"""),67.0)</f>
        <v>67</v>
      </c>
      <c r="K468" s="23">
        <f>IFERROR(__xludf.DUMMYFUNCTION("""COMPUTED_VALUE"""),6.4)</f>
        <v>6.4</v>
      </c>
      <c r="L468" s="24">
        <f>IFERROR(__xludf.DUMMYFUNCTION("""COMPUTED_VALUE"""),11.0)</f>
        <v>11</v>
      </c>
      <c r="M468" s="25" t="str">
        <f>IFERROR(__xludf.DUMMYFUNCTION("""COMPUTED_VALUE"""),"Action-Adventure")</f>
        <v>Action-Adventure</v>
      </c>
      <c r="N468" s="25"/>
      <c r="O468" s="26" t="str">
        <f>IFERROR(__xludf.DUMMYFUNCTION("""COMPUTED_VALUE"""),"Yes")</f>
        <v>Yes</v>
      </c>
      <c r="P468" s="26"/>
    </row>
    <row r="469">
      <c r="A469" s="13" t="str">
        <f>IFERROR(__xludf.DUMMYFUNCTION("""COMPUTED_VALUE"""),"RAGE 2")</f>
        <v>RAGE 2</v>
      </c>
      <c r="B469" s="15" t="str">
        <f>IFERROR(__xludf.DUMMYFUNCTION("""COMPUTED_VALUE"""),"PS5/PS4")</f>
        <v>PS5/PS4</v>
      </c>
      <c r="C469" s="16" t="str">
        <f>IFERROR(__xludf.DUMMYFUNCTION("""COMPUTED_VALUE"""),"Extra")</f>
        <v>Extra</v>
      </c>
      <c r="D469" s="15" t="str">
        <f>IFERROR(__xludf.DUMMYFUNCTION("""COMPUTED_VALUE"""),"Active")</f>
        <v>Active</v>
      </c>
      <c r="E469" s="17">
        <f>IFERROR(__xludf.DUMMYFUNCTION("""COMPUTED_VALUE"""),45006.0)</f>
        <v>45006</v>
      </c>
      <c r="F469" s="54"/>
      <c r="G469" s="19">
        <f>IFERROR(__xludf.DUMMYFUNCTION("""COMPUTED_VALUE"""),42.5)</f>
        <v>42.5</v>
      </c>
      <c r="H469" s="17">
        <f>IFERROR(__xludf.DUMMYFUNCTION("""COMPUTED_VALUE"""),43599.0)</f>
        <v>43599</v>
      </c>
      <c r="I469" s="19">
        <f>IFERROR(__xludf.DUMMYFUNCTION("""COMPUTED_VALUE"""),3.852777777777778)</f>
        <v>3.852777778</v>
      </c>
      <c r="J469" s="21">
        <f>IFERROR(__xludf.DUMMYFUNCTION("""COMPUTED_VALUE"""),67.0)</f>
        <v>67</v>
      </c>
      <c r="K469" s="23">
        <f>IFERROR(__xludf.DUMMYFUNCTION("""COMPUTED_VALUE"""),6.1)</f>
        <v>6.1</v>
      </c>
      <c r="L469" s="24">
        <f>IFERROR(__xludf.DUMMYFUNCTION("""COMPUTED_VALUE"""),11.0)</f>
        <v>11</v>
      </c>
      <c r="M469" s="25" t="str">
        <f>IFERROR(__xludf.DUMMYFUNCTION("""COMPUTED_VALUE"""),"Shooter")</f>
        <v>Shooter</v>
      </c>
      <c r="N469" s="25"/>
      <c r="O469" s="26" t="str">
        <f>IFERROR(__xludf.DUMMYFUNCTION("""COMPUTED_VALUE"""),"Yes")</f>
        <v>Yes</v>
      </c>
      <c r="P469" s="26"/>
    </row>
    <row r="470">
      <c r="A470" s="13" t="str">
        <f>IFERROR(__xludf.DUMMYFUNCTION("""COMPUTED_VALUE"""),"Embr")</f>
        <v>Embr</v>
      </c>
      <c r="B470" s="15" t="str">
        <f>IFERROR(__xludf.DUMMYFUNCTION("""COMPUTED_VALUE"""),"PS4")</f>
        <v>PS4</v>
      </c>
      <c r="C470" s="16" t="str">
        <f>IFERROR(__xludf.DUMMYFUNCTION("""COMPUTED_VALUE"""),"Extra")</f>
        <v>Extra</v>
      </c>
      <c r="D470" s="15" t="str">
        <f>IFERROR(__xludf.DUMMYFUNCTION("""COMPUTED_VALUE"""),"Active")</f>
        <v>Active</v>
      </c>
      <c r="E470" s="17">
        <f>IFERROR(__xludf.DUMMYFUNCTION("""COMPUTED_VALUE"""),44725.0)</f>
        <v>44725</v>
      </c>
      <c r="F470" s="54"/>
      <c r="G470" s="19">
        <f>IFERROR(__xludf.DUMMYFUNCTION("""COMPUTED_VALUE"""),51.766666666666666)</f>
        <v>51.76666667</v>
      </c>
      <c r="H470" s="17">
        <f>IFERROR(__xludf.DUMMYFUNCTION("""COMPUTED_VALUE"""),43972.0)</f>
        <v>43972</v>
      </c>
      <c r="I470" s="19">
        <f>IFERROR(__xludf.DUMMYFUNCTION("""COMPUTED_VALUE"""),2.061111111111111)</f>
        <v>2.061111111</v>
      </c>
      <c r="J470" s="21">
        <f>IFERROR(__xludf.DUMMYFUNCTION("""COMPUTED_VALUE"""),67.0)</f>
        <v>67</v>
      </c>
      <c r="K470" s="23">
        <f>IFERROR(__xludf.DUMMYFUNCTION("""COMPUTED_VALUE"""),6.1)</f>
        <v>6.1</v>
      </c>
      <c r="L470" s="24">
        <f>IFERROR(__xludf.DUMMYFUNCTION("""COMPUTED_VALUE"""),7.0)</f>
        <v>7</v>
      </c>
      <c r="M470" s="25" t="str">
        <f>IFERROR(__xludf.DUMMYFUNCTION("""COMPUTED_VALUE"""),"Action-Adventure")</f>
        <v>Action-Adventure</v>
      </c>
      <c r="N470" s="25"/>
      <c r="O470" s="26" t="str">
        <f>IFERROR(__xludf.DUMMYFUNCTION("""COMPUTED_VALUE"""),"Yes")</f>
        <v>Yes</v>
      </c>
      <c r="P470" s="26" t="str">
        <f>IFERROR(__xludf.DUMMYFUNCTION("""COMPUTED_VALUE"""),"Yes")</f>
        <v>Yes</v>
      </c>
    </row>
    <row r="471">
      <c r="A471" s="13" t="str">
        <f>IFERROR(__xludf.DUMMYFUNCTION("""COMPUTED_VALUE"""),"Golf with Your Friends")</f>
        <v>Golf with Your Friends</v>
      </c>
      <c r="B471" s="15" t="str">
        <f>IFERROR(__xludf.DUMMYFUNCTION("""COMPUTED_VALUE"""),"PS4")</f>
        <v>PS4</v>
      </c>
      <c r="C471" s="16" t="str">
        <f>IFERROR(__xludf.DUMMYFUNCTION("""COMPUTED_VALUE"""),"Extra")</f>
        <v>Extra</v>
      </c>
      <c r="D471" s="15" t="str">
        <f>IFERROR(__xludf.DUMMYFUNCTION("""COMPUTED_VALUE"""),"Active")</f>
        <v>Active</v>
      </c>
      <c r="E471" s="17">
        <f>IFERROR(__xludf.DUMMYFUNCTION("""COMPUTED_VALUE"""),44725.0)</f>
        <v>44725</v>
      </c>
      <c r="F471" s="54"/>
      <c r="G471" s="19">
        <f>IFERROR(__xludf.DUMMYFUNCTION("""COMPUTED_VALUE"""),51.766666666666666)</f>
        <v>51.76666667</v>
      </c>
      <c r="H471" s="17">
        <f>IFERROR(__xludf.DUMMYFUNCTION("""COMPUTED_VALUE"""),43970.0)</f>
        <v>43970</v>
      </c>
      <c r="I471" s="19">
        <f>IFERROR(__xludf.DUMMYFUNCTION("""COMPUTED_VALUE"""),2.066666666666667)</f>
        <v>2.066666667</v>
      </c>
      <c r="J471" s="21">
        <f>IFERROR(__xludf.DUMMYFUNCTION("""COMPUTED_VALUE"""),67.0)</f>
        <v>67</v>
      </c>
      <c r="K471" s="23">
        <f>IFERROR(__xludf.DUMMYFUNCTION("""COMPUTED_VALUE"""),7.1)</f>
        <v>7.1</v>
      </c>
      <c r="L471" s="24">
        <f>IFERROR(__xludf.DUMMYFUNCTION("""COMPUTED_VALUE"""),13.0)</f>
        <v>13</v>
      </c>
      <c r="M471" s="25" t="str">
        <f>IFERROR(__xludf.DUMMYFUNCTION("""COMPUTED_VALUE"""),"Sports")</f>
        <v>Sports</v>
      </c>
      <c r="N471" s="25"/>
      <c r="O471" s="26" t="str">
        <f>IFERROR(__xludf.DUMMYFUNCTION("""COMPUTED_VALUE"""),"Yes")</f>
        <v>Yes</v>
      </c>
      <c r="P471" s="26" t="str">
        <f>IFERROR(__xludf.DUMMYFUNCTION("""COMPUTED_VALUE"""),"Yes")</f>
        <v>Yes</v>
      </c>
    </row>
    <row r="472">
      <c r="A472" s="13" t="str">
        <f>IFERROR(__xludf.DUMMYFUNCTION("""COMPUTED_VALUE"""),"Grand Ages: Medieval")</f>
        <v>Grand Ages: Medieval</v>
      </c>
      <c r="B472" s="15" t="str">
        <f>IFERROR(__xludf.DUMMYFUNCTION("""COMPUTED_VALUE"""),"PS4")</f>
        <v>PS4</v>
      </c>
      <c r="C472" s="16" t="str">
        <f>IFERROR(__xludf.DUMMYFUNCTION("""COMPUTED_VALUE"""),"Extra")</f>
        <v>Extra</v>
      </c>
      <c r="D472" s="15" t="str">
        <f>IFERROR(__xludf.DUMMYFUNCTION("""COMPUTED_VALUE"""),"Active")</f>
        <v>Active</v>
      </c>
      <c r="E472" s="17">
        <f>IFERROR(__xludf.DUMMYFUNCTION("""COMPUTED_VALUE"""),44725.0)</f>
        <v>44725</v>
      </c>
      <c r="F472" s="54"/>
      <c r="G472" s="19">
        <f>IFERROR(__xludf.DUMMYFUNCTION("""COMPUTED_VALUE"""),51.766666666666666)</f>
        <v>51.76666667</v>
      </c>
      <c r="H472" s="17">
        <f>IFERROR(__xludf.DUMMYFUNCTION("""COMPUTED_VALUE"""),42278.0)</f>
        <v>42278</v>
      </c>
      <c r="I472" s="19">
        <f>IFERROR(__xludf.DUMMYFUNCTION("""COMPUTED_VALUE"""),6.7)</f>
        <v>6.7</v>
      </c>
      <c r="J472" s="21">
        <f>IFERROR(__xludf.DUMMYFUNCTION("""COMPUTED_VALUE"""),67.0)</f>
        <v>67</v>
      </c>
      <c r="K472" s="23">
        <f>IFERROR(__xludf.DUMMYFUNCTION("""COMPUTED_VALUE"""),6.0)</f>
        <v>6</v>
      </c>
      <c r="L472" s="24">
        <f>IFERROR(__xludf.DUMMYFUNCTION("""COMPUTED_VALUE"""),9.0)</f>
        <v>9</v>
      </c>
      <c r="M472" s="25" t="str">
        <f>IFERROR(__xludf.DUMMYFUNCTION("""COMPUTED_VALUE"""),"Strategy")</f>
        <v>Strategy</v>
      </c>
      <c r="N472" s="25"/>
      <c r="O472" s="26" t="str">
        <f>IFERROR(__xludf.DUMMYFUNCTION("""COMPUTED_VALUE"""),"Yes")</f>
        <v>Yes</v>
      </c>
      <c r="P472" s="26"/>
    </row>
    <row r="473">
      <c r="A473" s="13" t="str">
        <f>IFERROR(__xludf.DUMMYFUNCTION("""COMPUTED_VALUE"""),"Malicious Fallen")</f>
        <v>Malicious Fallen</v>
      </c>
      <c r="B473" s="15" t="str">
        <f>IFERROR(__xludf.DUMMYFUNCTION("""COMPUTED_VALUE"""),"PS4")</f>
        <v>PS4</v>
      </c>
      <c r="C473" s="16" t="str">
        <f>IFERROR(__xludf.DUMMYFUNCTION("""COMPUTED_VALUE"""),"Extra")</f>
        <v>Extra</v>
      </c>
      <c r="D473" s="15" t="str">
        <f>IFERROR(__xludf.DUMMYFUNCTION("""COMPUTED_VALUE"""),"Active")</f>
        <v>Active</v>
      </c>
      <c r="E473" s="17">
        <f>IFERROR(__xludf.DUMMYFUNCTION("""COMPUTED_VALUE"""),44725.0)</f>
        <v>44725</v>
      </c>
      <c r="F473" s="54"/>
      <c r="G473" s="19">
        <f>IFERROR(__xludf.DUMMYFUNCTION("""COMPUTED_VALUE"""),51.766666666666666)</f>
        <v>51.76666667</v>
      </c>
      <c r="H473" s="17">
        <f>IFERROR(__xludf.DUMMYFUNCTION("""COMPUTED_VALUE"""),42767.0)</f>
        <v>42767</v>
      </c>
      <c r="I473" s="19">
        <f>IFERROR(__xludf.DUMMYFUNCTION("""COMPUTED_VALUE"""),5.366666666666666)</f>
        <v>5.366666667</v>
      </c>
      <c r="J473" s="21">
        <f>IFERROR(__xludf.DUMMYFUNCTION("""COMPUTED_VALUE"""),67.0)</f>
        <v>67</v>
      </c>
      <c r="K473" s="23">
        <f>IFERROR(__xludf.DUMMYFUNCTION("""COMPUTED_VALUE"""),6.2)</f>
        <v>6.2</v>
      </c>
      <c r="L473" s="24">
        <f>IFERROR(__xludf.DUMMYFUNCTION("""COMPUTED_VALUE"""),3.5)</f>
        <v>3.5</v>
      </c>
      <c r="M473" s="25" t="str">
        <f>IFERROR(__xludf.DUMMYFUNCTION("""COMPUTED_VALUE"""),"Action-Adventure")</f>
        <v>Action-Adventure</v>
      </c>
      <c r="N473" s="25"/>
      <c r="O473" s="26" t="str">
        <f>IFERROR(__xludf.DUMMYFUNCTION("""COMPUTED_VALUE"""),"Yes")</f>
        <v>Yes</v>
      </c>
      <c r="P473" s="26"/>
    </row>
    <row r="474">
      <c r="A474" s="13" t="str">
        <f>IFERROR(__xludf.DUMMYFUNCTION("""COMPUTED_VALUE"""),"Mudrunner")</f>
        <v>Mudrunner</v>
      </c>
      <c r="B474" s="15" t="str">
        <f>IFERROR(__xludf.DUMMYFUNCTION("""COMPUTED_VALUE"""),"PS4")</f>
        <v>PS4</v>
      </c>
      <c r="C474" s="16" t="str">
        <f>IFERROR(__xludf.DUMMYFUNCTION("""COMPUTED_VALUE"""),"Extra")</f>
        <v>Extra</v>
      </c>
      <c r="D474" s="15" t="str">
        <f>IFERROR(__xludf.DUMMYFUNCTION("""COMPUTED_VALUE"""),"Active")</f>
        <v>Active</v>
      </c>
      <c r="E474" s="17">
        <f>IFERROR(__xludf.DUMMYFUNCTION("""COMPUTED_VALUE"""),44725.0)</f>
        <v>44725</v>
      </c>
      <c r="F474" s="54"/>
      <c r="G474" s="19">
        <f>IFERROR(__xludf.DUMMYFUNCTION("""COMPUTED_VALUE"""),51.766666666666666)</f>
        <v>51.76666667</v>
      </c>
      <c r="H474" s="17">
        <f>IFERROR(__xludf.DUMMYFUNCTION("""COMPUTED_VALUE"""),43039.0)</f>
        <v>43039</v>
      </c>
      <c r="I474" s="19">
        <f>IFERROR(__xludf.DUMMYFUNCTION("""COMPUTED_VALUE"""),4.6194444444444445)</f>
        <v>4.619444444</v>
      </c>
      <c r="J474" s="21">
        <f>IFERROR(__xludf.DUMMYFUNCTION("""COMPUTED_VALUE"""),67.0)</f>
        <v>67</v>
      </c>
      <c r="K474" s="23">
        <f>IFERROR(__xludf.DUMMYFUNCTION("""COMPUTED_VALUE"""),7.0)</f>
        <v>7</v>
      </c>
      <c r="L474" s="24">
        <f>IFERROR(__xludf.DUMMYFUNCTION("""COMPUTED_VALUE"""),13.0)</f>
        <v>13</v>
      </c>
      <c r="M474" s="25" t="str">
        <f>IFERROR(__xludf.DUMMYFUNCTION("""COMPUTED_VALUE"""),"Racing")</f>
        <v>Racing</v>
      </c>
      <c r="N474" s="25"/>
      <c r="O474" s="26" t="str">
        <f>IFERROR(__xludf.DUMMYFUNCTION("""COMPUTED_VALUE"""),"Yes")</f>
        <v>Yes</v>
      </c>
      <c r="P474" s="26" t="str">
        <f>IFERROR(__xludf.DUMMYFUNCTION("""COMPUTED_VALUE"""),"Yes")</f>
        <v>Yes</v>
      </c>
    </row>
    <row r="475">
      <c r="A475" s="13" t="str">
        <f>IFERROR(__xludf.DUMMYFUNCTION("""COMPUTED_VALUE"""),"Legendary Fishing")</f>
        <v>Legendary Fishing</v>
      </c>
      <c r="B475" s="15" t="str">
        <f>IFERROR(__xludf.DUMMYFUNCTION("""COMPUTED_VALUE"""),"PS4")</f>
        <v>PS4</v>
      </c>
      <c r="C475" s="16" t="str">
        <f>IFERROR(__xludf.DUMMYFUNCTION("""COMPUTED_VALUE"""),"Extra (Ubisoft+ Classics)")</f>
        <v>Extra (Ubisoft+ Classics)</v>
      </c>
      <c r="D475" s="15" t="str">
        <f>IFERROR(__xludf.DUMMYFUNCTION("""COMPUTED_VALUE"""),"Active")</f>
        <v>Active</v>
      </c>
      <c r="E475" s="17">
        <f>IFERROR(__xludf.DUMMYFUNCTION("""COMPUTED_VALUE"""),44725.0)</f>
        <v>44725</v>
      </c>
      <c r="F475" s="54"/>
      <c r="G475" s="19">
        <f>IFERROR(__xludf.DUMMYFUNCTION("""COMPUTED_VALUE"""),51.766666666666666)</f>
        <v>51.76666667</v>
      </c>
      <c r="H475" s="17">
        <f>IFERROR(__xludf.DUMMYFUNCTION("""COMPUTED_VALUE"""),43361.0)</f>
        <v>43361</v>
      </c>
      <c r="I475" s="19">
        <f>IFERROR(__xludf.DUMMYFUNCTION("""COMPUTED_VALUE"""),3.736111111111111)</f>
        <v>3.736111111</v>
      </c>
      <c r="J475" s="21">
        <f>IFERROR(__xludf.DUMMYFUNCTION("""COMPUTED_VALUE"""),67.0)</f>
        <v>67</v>
      </c>
      <c r="K475" s="23">
        <f>IFERROR(__xludf.DUMMYFUNCTION("""COMPUTED_VALUE"""),6.6)</f>
        <v>6.6</v>
      </c>
      <c r="L475" s="24">
        <f>IFERROR(__xludf.DUMMYFUNCTION("""COMPUTED_VALUE"""),4.0)</f>
        <v>4</v>
      </c>
      <c r="M475" s="25" t="str">
        <f>IFERROR(__xludf.DUMMYFUNCTION("""COMPUTED_VALUE"""),"Sports")</f>
        <v>Sports</v>
      </c>
      <c r="N475" s="25"/>
      <c r="O475" s="26" t="str">
        <f>IFERROR(__xludf.DUMMYFUNCTION("""COMPUTED_VALUE"""),"Yes")</f>
        <v>Yes</v>
      </c>
      <c r="P475" s="26" t="str">
        <f>IFERROR(__xludf.DUMMYFUNCTION("""COMPUTED_VALUE"""),"Yes")</f>
        <v>Yes</v>
      </c>
    </row>
    <row r="476">
      <c r="A476" s="13" t="str">
        <f>IFERROR(__xludf.DUMMYFUNCTION("""COMPUTED_VALUE"""),"Mount &amp; Blade: Warband")</f>
        <v>Mount &amp; Blade: Warband</v>
      </c>
      <c r="B476" s="15" t="str">
        <f>IFERROR(__xludf.DUMMYFUNCTION("""COMPUTED_VALUE"""),"PS4")</f>
        <v>PS4</v>
      </c>
      <c r="C476" s="16" t="str">
        <f>IFERROR(__xludf.DUMMYFUNCTION("""COMPUTED_VALUE"""),"Extra")</f>
        <v>Extra</v>
      </c>
      <c r="D476" s="15" t="str">
        <f>IFERROR(__xludf.DUMMYFUNCTION("""COMPUTED_VALUE"""),"Active")</f>
        <v>Active</v>
      </c>
      <c r="E476" s="17">
        <f>IFERROR(__xludf.DUMMYFUNCTION("""COMPUTED_VALUE"""),43438.0)</f>
        <v>43438</v>
      </c>
      <c r="F476" s="54"/>
      <c r="G476" s="19">
        <f>IFERROR(__xludf.DUMMYFUNCTION("""COMPUTED_VALUE"""),94.06666666666666)</f>
        <v>94.06666667</v>
      </c>
      <c r="H476" s="17">
        <f>IFERROR(__xludf.DUMMYFUNCTION("""COMPUTED_VALUE"""),42614.0)</f>
        <v>42614</v>
      </c>
      <c r="I476" s="19">
        <f>IFERROR(__xludf.DUMMYFUNCTION("""COMPUTED_VALUE"""),2.2583333333333333)</f>
        <v>2.258333333</v>
      </c>
      <c r="J476" s="21">
        <f>IFERROR(__xludf.DUMMYFUNCTION("""COMPUTED_VALUE"""),67.0)</f>
        <v>67</v>
      </c>
      <c r="K476" s="23">
        <f>IFERROR(__xludf.DUMMYFUNCTION("""COMPUTED_VALUE"""),8.5)</f>
        <v>8.5</v>
      </c>
      <c r="L476" s="24">
        <f>IFERROR(__xludf.DUMMYFUNCTION("""COMPUTED_VALUE"""),40.0)</f>
        <v>40</v>
      </c>
      <c r="M476" s="25" t="str">
        <f>IFERROR(__xludf.DUMMYFUNCTION("""COMPUTED_VALUE"""),"RPG")</f>
        <v>RPG</v>
      </c>
      <c r="N476" s="25"/>
      <c r="O476" s="26" t="str">
        <f>IFERROR(__xludf.DUMMYFUNCTION("""COMPUTED_VALUE"""),"Yes")</f>
        <v>Yes</v>
      </c>
      <c r="P476" s="26" t="str">
        <f>IFERROR(__xludf.DUMMYFUNCTION("""COMPUTED_VALUE"""),"Yes")</f>
        <v>Yes</v>
      </c>
    </row>
    <row r="477">
      <c r="A477" s="13" t="str">
        <f>IFERROR(__xludf.DUMMYFUNCTION("""COMPUTED_VALUE"""),"Alone in the Dark: The New Nightmare")</f>
        <v>Alone in the Dark: The New Nightmare</v>
      </c>
      <c r="B477" s="15" t="str">
        <f>IFERROR(__xludf.DUMMYFUNCTION("""COMPUTED_VALUE"""),"PS5/PS4")</f>
        <v>PS5/PS4</v>
      </c>
      <c r="C477" s="16" t="str">
        <f>IFERROR(__xludf.DUMMYFUNCTION("""COMPUTED_VALUE"""),"Premium (Classics)")</f>
        <v>Premium (Classics)</v>
      </c>
      <c r="D477" s="15" t="str">
        <f>IFERROR(__xludf.DUMMYFUNCTION("""COMPUTED_VALUE"""),"Active")</f>
        <v>Active</v>
      </c>
      <c r="E477" s="17">
        <f>IFERROR(__xludf.DUMMYFUNCTION("""COMPUTED_VALUE"""),45398.0)</f>
        <v>45398</v>
      </c>
      <c r="F477" s="54"/>
      <c r="G477" s="19">
        <f>IFERROR(__xludf.DUMMYFUNCTION("""COMPUTED_VALUE"""),29.666666666666668)</f>
        <v>29.66666667</v>
      </c>
      <c r="H477" s="17">
        <f>IFERROR(__xludf.DUMMYFUNCTION("""COMPUTED_VALUE"""),37067.0)</f>
        <v>37067</v>
      </c>
      <c r="I477" s="19">
        <f>IFERROR(__xludf.DUMMYFUNCTION("""COMPUTED_VALUE"""),22.808333333333334)</f>
        <v>22.80833333</v>
      </c>
      <c r="J477" s="21">
        <f>IFERROR(__xludf.DUMMYFUNCTION("""COMPUTED_VALUE"""),66.0)</f>
        <v>66</v>
      </c>
      <c r="K477" s="23">
        <f>IFERROR(__xludf.DUMMYFUNCTION("""COMPUTED_VALUE"""),7.9)</f>
        <v>7.9</v>
      </c>
      <c r="L477" s="24">
        <f>IFERROR(__xludf.DUMMYFUNCTION("""COMPUTED_VALUE"""),8.0)</f>
        <v>8</v>
      </c>
      <c r="M477" s="25" t="str">
        <f>IFERROR(__xludf.DUMMYFUNCTION("""COMPUTED_VALUE"""),"Survival")</f>
        <v>Survival</v>
      </c>
      <c r="N477" s="25" t="str">
        <f>IFERROR(__xludf.DUMMYFUNCTION("""COMPUTED_VALUE"""),"PS1")</f>
        <v>PS1</v>
      </c>
      <c r="O477" s="26" t="str">
        <f>IFERROR(__xludf.DUMMYFUNCTION("""COMPUTED_VALUE"""),"Yes")</f>
        <v>Yes</v>
      </c>
      <c r="P477" s="26"/>
    </row>
    <row r="478">
      <c r="A478" s="13" t="str">
        <f>IFERROR(__xludf.DUMMYFUNCTION("""COMPUTED_VALUE"""),"LEGO Worlds")</f>
        <v>LEGO Worlds</v>
      </c>
      <c r="B478" s="15" t="str">
        <f>IFERROR(__xludf.DUMMYFUNCTION("""COMPUTED_VALUE"""),"PS4")</f>
        <v>PS4</v>
      </c>
      <c r="C478" s="16" t="str">
        <f>IFERROR(__xludf.DUMMYFUNCTION("""COMPUTED_VALUE"""),"Extra")</f>
        <v>Extra</v>
      </c>
      <c r="D478" s="15" t="str">
        <f>IFERROR(__xludf.DUMMYFUNCTION("""COMPUTED_VALUE"""),"Active")</f>
        <v>Active</v>
      </c>
      <c r="E478" s="17">
        <f>IFERROR(__xludf.DUMMYFUNCTION("""COMPUTED_VALUE"""),45342.0)</f>
        <v>45342</v>
      </c>
      <c r="F478" s="54"/>
      <c r="G478" s="19">
        <f>IFERROR(__xludf.DUMMYFUNCTION("""COMPUTED_VALUE"""),31.53333333333333)</f>
        <v>31.53333333</v>
      </c>
      <c r="H478" s="17">
        <f>IFERROR(__xludf.DUMMYFUNCTION("""COMPUTED_VALUE"""),42801.0)</f>
        <v>42801</v>
      </c>
      <c r="I478" s="19">
        <f>IFERROR(__xludf.DUMMYFUNCTION("""COMPUTED_VALUE"""),6.9527777777777775)</f>
        <v>6.952777778</v>
      </c>
      <c r="J478" s="21">
        <f>IFERROR(__xludf.DUMMYFUNCTION("""COMPUTED_VALUE"""),66.0)</f>
        <v>66</v>
      </c>
      <c r="K478" s="23">
        <f>IFERROR(__xludf.DUMMYFUNCTION("""COMPUTED_VALUE"""),6.3)</f>
        <v>6.3</v>
      </c>
      <c r="L478" s="24">
        <f>IFERROR(__xludf.DUMMYFUNCTION("""COMPUTED_VALUE"""),10.0)</f>
        <v>10</v>
      </c>
      <c r="M478" s="25" t="str">
        <f>IFERROR(__xludf.DUMMYFUNCTION("""COMPUTED_VALUE"""),"Sandbox")</f>
        <v>Sandbox</v>
      </c>
      <c r="N478" s="25"/>
      <c r="O478" s="26" t="str">
        <f>IFERROR(__xludf.DUMMYFUNCTION("""COMPUTED_VALUE"""),"Yes")</f>
        <v>Yes</v>
      </c>
      <c r="P478" s="26"/>
    </row>
    <row r="479">
      <c r="A479" s="13" t="str">
        <f>IFERROR(__xludf.DUMMYFUNCTION("""COMPUTED_VALUE"""),"Ape Escape: On the Loose")</f>
        <v>Ape Escape: On the Loose</v>
      </c>
      <c r="B479" s="15" t="str">
        <f>IFERROR(__xludf.DUMMYFUNCTION("""COMPUTED_VALUE"""),"PS5/PS4")</f>
        <v>PS5/PS4</v>
      </c>
      <c r="C479" s="16" t="str">
        <f>IFERROR(__xludf.DUMMYFUNCTION("""COMPUTED_VALUE"""),"Premium (Classics)")</f>
        <v>Premium (Classics)</v>
      </c>
      <c r="D479" s="15" t="str">
        <f>IFERROR(__xludf.DUMMYFUNCTION("""COMPUTED_VALUE"""),"Active")</f>
        <v>Active</v>
      </c>
      <c r="E479" s="17">
        <f>IFERROR(__xludf.DUMMYFUNCTION("""COMPUTED_VALUE"""),45153.0)</f>
        <v>45153</v>
      </c>
      <c r="F479" s="54"/>
      <c r="G479" s="19">
        <f>IFERROR(__xludf.DUMMYFUNCTION("""COMPUTED_VALUE"""),37.7)</f>
        <v>37.7</v>
      </c>
      <c r="H479" s="17">
        <f>IFERROR(__xludf.DUMMYFUNCTION("""COMPUTED_VALUE"""),38433.0)</f>
        <v>38433</v>
      </c>
      <c r="I479" s="19">
        <f>IFERROR(__xludf.DUMMYFUNCTION("""COMPUTED_VALUE"""),18.397222222222222)</f>
        <v>18.39722222</v>
      </c>
      <c r="J479" s="21">
        <f>IFERROR(__xludf.DUMMYFUNCTION("""COMPUTED_VALUE"""),66.0)</f>
        <v>66</v>
      </c>
      <c r="K479" s="23">
        <f>IFERROR(__xludf.DUMMYFUNCTION("""COMPUTED_VALUE"""),7.0)</f>
        <v>7</v>
      </c>
      <c r="L479" s="24">
        <f>IFERROR(__xludf.DUMMYFUNCTION("""COMPUTED_VALUE"""),7.0)</f>
        <v>7</v>
      </c>
      <c r="M479" s="25" t="str">
        <f>IFERROR(__xludf.DUMMYFUNCTION("""COMPUTED_VALUE"""),"Platformer")</f>
        <v>Platformer</v>
      </c>
      <c r="N479" s="25" t="str">
        <f>IFERROR(__xludf.DUMMYFUNCTION("""COMPUTED_VALUE"""),"PSP")</f>
        <v>PSP</v>
      </c>
      <c r="O479" s="26" t="str">
        <f>IFERROR(__xludf.DUMMYFUNCTION("""COMPUTED_VALUE"""),"Yes")</f>
        <v>Yes</v>
      </c>
      <c r="P479" s="26"/>
    </row>
    <row r="480">
      <c r="A480" s="13" t="str">
        <f>IFERROR(__xludf.DUMMYFUNCTION("""COMPUTED_VALUE"""),"MediEvil: Resurrection")</f>
        <v>MediEvil: Resurrection</v>
      </c>
      <c r="B480" s="15" t="str">
        <f>IFERROR(__xludf.DUMMYFUNCTION("""COMPUTED_VALUE"""),"PS5/PS4")</f>
        <v>PS5/PS4</v>
      </c>
      <c r="C480" s="16" t="str">
        <f>IFERROR(__xludf.DUMMYFUNCTION("""COMPUTED_VALUE"""),"Premium (Classics)")</f>
        <v>Premium (Classics)</v>
      </c>
      <c r="D480" s="15" t="str">
        <f>IFERROR(__xludf.DUMMYFUNCTION("""COMPUTED_VALUE"""),"Active")</f>
        <v>Active</v>
      </c>
      <c r="E480" s="17">
        <f>IFERROR(__xludf.DUMMYFUNCTION("""COMPUTED_VALUE"""),45153.0)</f>
        <v>45153</v>
      </c>
      <c r="F480" s="54"/>
      <c r="G480" s="19">
        <f>IFERROR(__xludf.DUMMYFUNCTION("""COMPUTED_VALUE"""),37.7)</f>
        <v>37.7</v>
      </c>
      <c r="H480" s="17">
        <f>IFERROR(__xludf.DUMMYFUNCTION("""COMPUTED_VALUE"""),38608.0)</f>
        <v>38608</v>
      </c>
      <c r="I480" s="19">
        <f>IFERROR(__xludf.DUMMYFUNCTION("""COMPUTED_VALUE"""),17.92222222222222)</f>
        <v>17.92222222</v>
      </c>
      <c r="J480" s="21">
        <f>IFERROR(__xludf.DUMMYFUNCTION("""COMPUTED_VALUE"""),66.0)</f>
        <v>66</v>
      </c>
      <c r="K480" s="23">
        <f>IFERROR(__xludf.DUMMYFUNCTION("""COMPUTED_VALUE"""),8.5)</f>
        <v>8.5</v>
      </c>
      <c r="L480" s="24">
        <f>IFERROR(__xludf.DUMMYFUNCTION("""COMPUTED_VALUE"""),10.0)</f>
        <v>10</v>
      </c>
      <c r="M480" s="25" t="str">
        <f>IFERROR(__xludf.DUMMYFUNCTION("""COMPUTED_VALUE"""),"Action-Adventure")</f>
        <v>Action-Adventure</v>
      </c>
      <c r="N480" s="25" t="str">
        <f>IFERROR(__xludf.DUMMYFUNCTION("""COMPUTED_VALUE"""),"PSP")</f>
        <v>PSP</v>
      </c>
      <c r="O480" s="26" t="str">
        <f>IFERROR(__xludf.DUMMYFUNCTION("""COMPUTED_VALUE"""),"Yes")</f>
        <v>Yes</v>
      </c>
      <c r="P480" s="26"/>
    </row>
    <row r="481">
      <c r="A481" s="13" t="str">
        <f>IFERROR(__xludf.DUMMYFUNCTION("""COMPUTED_VALUE"""),"Ghostbusters: The Video Game - Remastered")</f>
        <v>Ghostbusters: The Video Game - Remastered</v>
      </c>
      <c r="B481" s="15" t="str">
        <f>IFERROR(__xludf.DUMMYFUNCTION("""COMPUTED_VALUE"""),"PS4")</f>
        <v>PS4</v>
      </c>
      <c r="C481" s="16" t="str">
        <f>IFERROR(__xludf.DUMMYFUNCTION("""COMPUTED_VALUE"""),"Premium (Remasters)")</f>
        <v>Premium (Remasters)</v>
      </c>
      <c r="D481" s="15" t="str">
        <f>IFERROR(__xludf.DUMMYFUNCTION("""COMPUTED_VALUE"""),"Active")</f>
        <v>Active</v>
      </c>
      <c r="E481" s="17">
        <f>IFERROR(__xludf.DUMMYFUNCTION("""COMPUTED_VALUE"""),45062.0)</f>
        <v>45062</v>
      </c>
      <c r="F481" s="54"/>
      <c r="G481" s="19">
        <f>IFERROR(__xludf.DUMMYFUNCTION("""COMPUTED_VALUE"""),40.666666666666664)</f>
        <v>40.66666667</v>
      </c>
      <c r="H481" s="17">
        <f>IFERROR(__xludf.DUMMYFUNCTION("""COMPUTED_VALUE"""),43742.0)</f>
        <v>43742</v>
      </c>
      <c r="I481" s="19">
        <f>IFERROR(__xludf.DUMMYFUNCTION("""COMPUTED_VALUE"""),3.6166666666666667)</f>
        <v>3.616666667</v>
      </c>
      <c r="J481" s="21">
        <f>IFERROR(__xludf.DUMMYFUNCTION("""COMPUTED_VALUE"""),66.0)</f>
        <v>66</v>
      </c>
      <c r="K481" s="23">
        <f>IFERROR(__xludf.DUMMYFUNCTION("""COMPUTED_VALUE"""),7.1)</f>
        <v>7.1</v>
      </c>
      <c r="L481" s="24">
        <f>IFERROR(__xludf.DUMMYFUNCTION("""COMPUTED_VALUE"""),8.0)</f>
        <v>8</v>
      </c>
      <c r="M481" s="25" t="str">
        <f>IFERROR(__xludf.DUMMYFUNCTION("""COMPUTED_VALUE"""),"Action-Adventure")</f>
        <v>Action-Adventure</v>
      </c>
      <c r="N481" s="25" t="str">
        <f>IFERROR(__xludf.DUMMYFUNCTION("""COMPUTED_VALUE"""),"PS2")</f>
        <v>PS2</v>
      </c>
      <c r="O481" s="26" t="str">
        <f>IFERROR(__xludf.DUMMYFUNCTION("""COMPUTED_VALUE"""),"Yes")</f>
        <v>Yes</v>
      </c>
      <c r="P481" s="26"/>
    </row>
    <row r="482">
      <c r="A482" s="13" t="str">
        <f>IFERROR(__xludf.DUMMYFUNCTION("""COMPUTED_VALUE"""),"Anodyne")</f>
        <v>Anodyne</v>
      </c>
      <c r="B482" s="15" t="str">
        <f>IFERROR(__xludf.DUMMYFUNCTION("""COMPUTED_VALUE"""),"PS4")</f>
        <v>PS4</v>
      </c>
      <c r="C482" s="16" t="str">
        <f>IFERROR(__xludf.DUMMYFUNCTION("""COMPUTED_VALUE"""),"Extra")</f>
        <v>Extra</v>
      </c>
      <c r="D482" s="15" t="str">
        <f>IFERROR(__xludf.DUMMYFUNCTION("""COMPUTED_VALUE"""),"Active")</f>
        <v>Active</v>
      </c>
      <c r="E482" s="17">
        <f>IFERROR(__xludf.DUMMYFUNCTION("""COMPUTED_VALUE"""),45024.0)</f>
        <v>45024</v>
      </c>
      <c r="F482" s="54"/>
      <c r="G482" s="19">
        <f>IFERROR(__xludf.DUMMYFUNCTION("""COMPUTED_VALUE"""),41.93333333333334)</f>
        <v>41.93333333</v>
      </c>
      <c r="H482" s="17">
        <f>IFERROR(__xludf.DUMMYFUNCTION("""COMPUTED_VALUE"""),41033.0)</f>
        <v>41033</v>
      </c>
      <c r="I482" s="19">
        <f>IFERROR(__xludf.DUMMYFUNCTION("""COMPUTED_VALUE"""),10.927777777777777)</f>
        <v>10.92777778</v>
      </c>
      <c r="J482" s="21">
        <f>IFERROR(__xludf.DUMMYFUNCTION("""COMPUTED_VALUE"""),66.0)</f>
        <v>66</v>
      </c>
      <c r="K482" s="23">
        <f>IFERROR(__xludf.DUMMYFUNCTION("""COMPUTED_VALUE"""),7.5)</f>
        <v>7.5</v>
      </c>
      <c r="L482" s="24">
        <f>IFERROR(__xludf.DUMMYFUNCTION("""COMPUTED_VALUE"""),6.0)</f>
        <v>6</v>
      </c>
      <c r="M482" s="25" t="str">
        <f>IFERROR(__xludf.DUMMYFUNCTION("""COMPUTED_VALUE"""),"Action-Adventure")</f>
        <v>Action-Adventure</v>
      </c>
      <c r="N482" s="25"/>
      <c r="O482" s="26" t="str">
        <f>IFERROR(__xludf.DUMMYFUNCTION("""COMPUTED_VALUE"""),"Yes")</f>
        <v>Yes</v>
      </c>
      <c r="P482" s="26"/>
    </row>
    <row r="483">
      <c r="A483" s="13" t="str">
        <f>IFERROR(__xludf.DUMMYFUNCTION("""COMPUTED_VALUE"""),"Townsmen: A Kingdom Rebuilt")</f>
        <v>Townsmen: A Kingdom Rebuilt</v>
      </c>
      <c r="B483" s="15" t="str">
        <f>IFERROR(__xludf.DUMMYFUNCTION("""COMPUTED_VALUE"""),"PS4")</f>
        <v>PS4</v>
      </c>
      <c r="C483" s="16" t="str">
        <f>IFERROR(__xludf.DUMMYFUNCTION("""COMPUTED_VALUE"""),"Extra")</f>
        <v>Extra</v>
      </c>
      <c r="D483" s="15" t="str">
        <f>IFERROR(__xludf.DUMMYFUNCTION("""COMPUTED_VALUE"""),"Active")</f>
        <v>Active</v>
      </c>
      <c r="E483" s="17">
        <f>IFERROR(__xludf.DUMMYFUNCTION("""COMPUTED_VALUE"""),44725.0)</f>
        <v>44725</v>
      </c>
      <c r="F483" s="54"/>
      <c r="G483" s="19">
        <f>IFERROR(__xludf.DUMMYFUNCTION("""COMPUTED_VALUE"""),51.766666666666666)</f>
        <v>51.76666667</v>
      </c>
      <c r="H483" s="17">
        <f>IFERROR(__xludf.DUMMYFUNCTION("""COMPUTED_VALUE"""),43977.0)</f>
        <v>43977</v>
      </c>
      <c r="I483" s="19">
        <f>IFERROR(__xludf.DUMMYFUNCTION("""COMPUTED_VALUE"""),2.047222222222222)</f>
        <v>2.047222222</v>
      </c>
      <c r="J483" s="21">
        <f>IFERROR(__xludf.DUMMYFUNCTION("""COMPUTED_VALUE"""),66.0)</f>
        <v>66</v>
      </c>
      <c r="K483" s="23">
        <f>IFERROR(__xludf.DUMMYFUNCTION("""COMPUTED_VALUE"""),6.8)</f>
        <v>6.8</v>
      </c>
      <c r="L483" s="24">
        <f>IFERROR(__xludf.DUMMYFUNCTION("""COMPUTED_VALUE"""),5.0)</f>
        <v>5</v>
      </c>
      <c r="M483" s="25" t="str">
        <f>IFERROR(__xludf.DUMMYFUNCTION("""COMPUTED_VALUE"""),"Strategy")</f>
        <v>Strategy</v>
      </c>
      <c r="N483" s="25"/>
      <c r="O483" s="26" t="str">
        <f>IFERROR(__xludf.DUMMYFUNCTION("""COMPUTED_VALUE"""),"Yes")</f>
        <v>Yes</v>
      </c>
      <c r="P483" s="26"/>
    </row>
    <row r="484">
      <c r="A484" s="13" t="str">
        <f>IFERROR(__xludf.DUMMYFUNCTION("""COMPUTED_VALUE"""),"Space Junkies")</f>
        <v>Space Junkies</v>
      </c>
      <c r="B484" s="15" t="str">
        <f>IFERROR(__xludf.DUMMYFUNCTION("""COMPUTED_VALUE"""),"PS4/PSVR")</f>
        <v>PS4/PSVR</v>
      </c>
      <c r="C484" s="16" t="str">
        <f>IFERROR(__xludf.DUMMYFUNCTION("""COMPUTED_VALUE"""),"Extra (Ubisoft+ Classics)")</f>
        <v>Extra (Ubisoft+ Classics)</v>
      </c>
      <c r="D484" s="15" t="str">
        <f>IFERROR(__xludf.DUMMYFUNCTION("""COMPUTED_VALUE"""),"Active")</f>
        <v>Active</v>
      </c>
      <c r="E484" s="17">
        <f>IFERROR(__xludf.DUMMYFUNCTION("""COMPUTED_VALUE"""),44725.0)</f>
        <v>44725</v>
      </c>
      <c r="F484" s="54"/>
      <c r="G484" s="19">
        <f>IFERROR(__xludf.DUMMYFUNCTION("""COMPUTED_VALUE"""),51.766666666666666)</f>
        <v>51.76666667</v>
      </c>
      <c r="H484" s="17">
        <f>IFERROR(__xludf.DUMMYFUNCTION("""COMPUTED_VALUE"""),43557.0)</f>
        <v>43557</v>
      </c>
      <c r="I484" s="19">
        <f>IFERROR(__xludf.DUMMYFUNCTION("""COMPUTED_VALUE"""),3.1972222222222224)</f>
        <v>3.197222222</v>
      </c>
      <c r="J484" s="21">
        <f>IFERROR(__xludf.DUMMYFUNCTION("""COMPUTED_VALUE"""),66.0)</f>
        <v>66</v>
      </c>
      <c r="K484" s="23">
        <f>IFERROR(__xludf.DUMMYFUNCTION("""COMPUTED_VALUE"""),6.5)</f>
        <v>6.5</v>
      </c>
      <c r="L484" s="24"/>
      <c r="M484" s="25" t="str">
        <f>IFERROR(__xludf.DUMMYFUNCTION("""COMPUTED_VALUE"""),"Shooter")</f>
        <v>Shooter</v>
      </c>
      <c r="N484" s="25"/>
      <c r="O484" s="26" t="str">
        <f>IFERROR(__xludf.DUMMYFUNCTION("""COMPUTED_VALUE"""),"No")</f>
        <v>No</v>
      </c>
      <c r="P484" s="26"/>
    </row>
    <row r="485">
      <c r="A485" s="13" t="str">
        <f>IFERROR(__xludf.DUMMYFUNCTION("""COMPUTED_VALUE"""),"Werewolves Within")</f>
        <v>Werewolves Within</v>
      </c>
      <c r="B485" s="15" t="str">
        <f>IFERROR(__xludf.DUMMYFUNCTION("""COMPUTED_VALUE"""),"PS4/PSVR")</f>
        <v>PS4/PSVR</v>
      </c>
      <c r="C485" s="16" t="str">
        <f>IFERROR(__xludf.DUMMYFUNCTION("""COMPUTED_VALUE"""),"Extra (Ubisoft+ Classics)")</f>
        <v>Extra (Ubisoft+ Classics)</v>
      </c>
      <c r="D485" s="15" t="str">
        <f>IFERROR(__xludf.DUMMYFUNCTION("""COMPUTED_VALUE"""),"Active")</f>
        <v>Active</v>
      </c>
      <c r="E485" s="17">
        <f>IFERROR(__xludf.DUMMYFUNCTION("""COMPUTED_VALUE"""),44725.0)</f>
        <v>44725</v>
      </c>
      <c r="F485" s="54"/>
      <c r="G485" s="19">
        <f>IFERROR(__xludf.DUMMYFUNCTION("""COMPUTED_VALUE"""),51.766666666666666)</f>
        <v>51.76666667</v>
      </c>
      <c r="H485" s="17">
        <f>IFERROR(__xludf.DUMMYFUNCTION("""COMPUTED_VALUE"""),42710.0)</f>
        <v>42710</v>
      </c>
      <c r="I485" s="19">
        <f>IFERROR(__xludf.DUMMYFUNCTION("""COMPUTED_VALUE"""),5.519444444444445)</f>
        <v>5.519444444</v>
      </c>
      <c r="J485" s="21">
        <f>IFERROR(__xludf.DUMMYFUNCTION("""COMPUTED_VALUE"""),66.0)</f>
        <v>66</v>
      </c>
      <c r="K485" s="23">
        <f>IFERROR(__xludf.DUMMYFUNCTION("""COMPUTED_VALUE"""),7.1)</f>
        <v>7.1</v>
      </c>
      <c r="L485" s="24">
        <f>IFERROR(__xludf.DUMMYFUNCTION("""COMPUTED_VALUE"""),2.0)</f>
        <v>2</v>
      </c>
      <c r="M485" s="25" t="str">
        <f>IFERROR(__xludf.DUMMYFUNCTION("""COMPUTED_VALUE"""),"Party")</f>
        <v>Party</v>
      </c>
      <c r="N485" s="25"/>
      <c r="O485" s="26" t="str">
        <f>IFERROR(__xludf.DUMMYFUNCTION("""COMPUTED_VALUE"""),"No")</f>
        <v>No</v>
      </c>
      <c r="P485" s="26"/>
    </row>
    <row r="486">
      <c r="A486" s="13" t="str">
        <f>IFERROR(__xludf.DUMMYFUNCTION("""COMPUTED_VALUE"""),"Trials of The Blood Dragon")</f>
        <v>Trials of The Blood Dragon</v>
      </c>
      <c r="B486" s="15" t="str">
        <f>IFERROR(__xludf.DUMMYFUNCTION("""COMPUTED_VALUE"""),"PS4")</f>
        <v>PS4</v>
      </c>
      <c r="C486" s="16" t="str">
        <f>IFERROR(__xludf.DUMMYFUNCTION("""COMPUTED_VALUE"""),"Extra (Ubisoft+ Classics)")</f>
        <v>Extra (Ubisoft+ Classics)</v>
      </c>
      <c r="D486" s="15" t="str">
        <f>IFERROR(__xludf.DUMMYFUNCTION("""COMPUTED_VALUE"""),"Active")</f>
        <v>Active</v>
      </c>
      <c r="E486" s="17">
        <f>IFERROR(__xludf.DUMMYFUNCTION("""COMPUTED_VALUE"""),44725.0)</f>
        <v>44725</v>
      </c>
      <c r="F486" s="54"/>
      <c r="G486" s="19">
        <f>IFERROR(__xludf.DUMMYFUNCTION("""COMPUTED_VALUE"""),51.766666666666666)</f>
        <v>51.76666667</v>
      </c>
      <c r="H486" s="17">
        <f>IFERROR(__xludf.DUMMYFUNCTION("""COMPUTED_VALUE"""),42535.0)</f>
        <v>42535</v>
      </c>
      <c r="I486" s="19">
        <f>IFERROR(__xludf.DUMMYFUNCTION("""COMPUTED_VALUE"""),5.997222222222222)</f>
        <v>5.997222222</v>
      </c>
      <c r="J486" s="21">
        <f>IFERROR(__xludf.DUMMYFUNCTION("""COMPUTED_VALUE"""),66.0)</f>
        <v>66</v>
      </c>
      <c r="K486" s="23">
        <f>IFERROR(__xludf.DUMMYFUNCTION("""COMPUTED_VALUE"""),6.1)</f>
        <v>6.1</v>
      </c>
      <c r="L486" s="24">
        <f>IFERROR(__xludf.DUMMYFUNCTION("""COMPUTED_VALUE"""),6.0)</f>
        <v>6</v>
      </c>
      <c r="M486" s="25" t="str">
        <f>IFERROR(__xludf.DUMMYFUNCTION("""COMPUTED_VALUE"""),"Racing")</f>
        <v>Racing</v>
      </c>
      <c r="N486" s="25"/>
      <c r="O486" s="26" t="str">
        <f>IFERROR(__xludf.DUMMYFUNCTION("""COMPUTED_VALUE"""),"No")</f>
        <v>No</v>
      </c>
      <c r="P486" s="26"/>
    </row>
    <row r="487">
      <c r="A487" s="13" t="str">
        <f>IFERROR(__xludf.DUMMYFUNCTION("""COMPUTED_VALUE"""),"Mister Mosquito")</f>
        <v>Mister Mosquito</v>
      </c>
      <c r="B487" s="15" t="str">
        <f>IFERROR(__xludf.DUMMYFUNCTION("""COMPUTED_VALUE"""),"PS5/PS4")</f>
        <v>PS5/PS4</v>
      </c>
      <c r="C487" s="16" t="str">
        <f>IFERROR(__xludf.DUMMYFUNCTION("""COMPUTED_VALUE"""),"Premium (Classics)")</f>
        <v>Premium (Classics)</v>
      </c>
      <c r="D487" s="15" t="str">
        <f>IFERROR(__xludf.DUMMYFUNCTION("""COMPUTED_VALUE"""),"Active")</f>
        <v>Active</v>
      </c>
      <c r="E487" s="17">
        <f>IFERROR(__xludf.DUMMYFUNCTION("""COMPUTED_VALUE"""),45552.0)</f>
        <v>45552</v>
      </c>
      <c r="F487" s="54"/>
      <c r="G487" s="19">
        <f>IFERROR(__xludf.DUMMYFUNCTION("""COMPUTED_VALUE"""),24.633333333333333)</f>
        <v>24.63333333</v>
      </c>
      <c r="H487" s="17">
        <f>IFERROR(__xludf.DUMMYFUNCTION("""COMPUTED_VALUE"""),37327.0)</f>
        <v>37327</v>
      </c>
      <c r="I487" s="19">
        <f>IFERROR(__xludf.DUMMYFUNCTION("""COMPUTED_VALUE"""),22.51388888888889)</f>
        <v>22.51388889</v>
      </c>
      <c r="J487" s="21">
        <f>IFERROR(__xludf.DUMMYFUNCTION("""COMPUTED_VALUE"""),65.0)</f>
        <v>65</v>
      </c>
      <c r="K487" s="23">
        <f>IFERROR(__xludf.DUMMYFUNCTION("""COMPUTED_VALUE"""),6.2)</f>
        <v>6.2</v>
      </c>
      <c r="L487" s="24">
        <f>IFERROR(__xludf.DUMMYFUNCTION("""COMPUTED_VALUE"""),3.0)</f>
        <v>3</v>
      </c>
      <c r="M487" s="25" t="str">
        <f>IFERROR(__xludf.DUMMYFUNCTION("""COMPUTED_VALUE"""),"Action-Adventure")</f>
        <v>Action-Adventure</v>
      </c>
      <c r="N487" s="25" t="str">
        <f>IFERROR(__xludf.DUMMYFUNCTION("""COMPUTED_VALUE"""),"PS2")</f>
        <v>PS2</v>
      </c>
      <c r="O487" s="26" t="str">
        <f>IFERROR(__xludf.DUMMYFUNCTION("""COMPUTED_VALUE"""),"Yes")</f>
        <v>Yes</v>
      </c>
      <c r="P487" s="26"/>
    </row>
    <row r="488">
      <c r="A488" s="13" t="str">
        <f>IFERROR(__xludf.DUMMYFUNCTION("""COMPUTED_VALUE"""),"Star Wars Rebel Assault II: The Hidden Empire")</f>
        <v>Star Wars Rebel Assault II: The Hidden Empire</v>
      </c>
      <c r="B488" s="15" t="str">
        <f>IFERROR(__xludf.DUMMYFUNCTION("""COMPUTED_VALUE"""),"PS5/PS4")</f>
        <v>PS5/PS4</v>
      </c>
      <c r="C488" s="16" t="str">
        <f>IFERROR(__xludf.DUMMYFUNCTION("""COMPUTED_VALUE"""),"Premium (Classics)")</f>
        <v>Premium (Classics)</v>
      </c>
      <c r="D488" s="15" t="str">
        <f>IFERROR(__xludf.DUMMYFUNCTION("""COMPUTED_VALUE"""),"Active")</f>
        <v>Active</v>
      </c>
      <c r="E488" s="17">
        <f>IFERROR(__xludf.DUMMYFUNCTION("""COMPUTED_VALUE"""),45398.0)</f>
        <v>45398</v>
      </c>
      <c r="F488" s="54"/>
      <c r="G488" s="19">
        <f>IFERROR(__xludf.DUMMYFUNCTION("""COMPUTED_VALUE"""),29.666666666666668)</f>
        <v>29.66666667</v>
      </c>
      <c r="H488" s="17">
        <f>IFERROR(__xludf.DUMMYFUNCTION("""COMPUTED_VALUE"""),35010.0)</f>
        <v>35010</v>
      </c>
      <c r="I488" s="19">
        <f>IFERROR(__xludf.DUMMYFUNCTION("""COMPUTED_VALUE"""),28.441666666666666)</f>
        <v>28.44166667</v>
      </c>
      <c r="J488" s="21">
        <f>IFERROR(__xludf.DUMMYFUNCTION("""COMPUTED_VALUE"""),65.0)</f>
        <v>65</v>
      </c>
      <c r="K488" s="23">
        <f>IFERROR(__xludf.DUMMYFUNCTION("""COMPUTED_VALUE"""),7.7)</f>
        <v>7.7</v>
      </c>
      <c r="L488" s="24">
        <f>IFERROR(__xludf.DUMMYFUNCTION("""COMPUTED_VALUE"""),6.0)</f>
        <v>6</v>
      </c>
      <c r="M488" s="25" t="str">
        <f>IFERROR(__xludf.DUMMYFUNCTION("""COMPUTED_VALUE"""),"Shooter")</f>
        <v>Shooter</v>
      </c>
      <c r="N488" s="25" t="str">
        <f>IFERROR(__xludf.DUMMYFUNCTION("""COMPUTED_VALUE"""),"PS1")</f>
        <v>PS1</v>
      </c>
      <c r="O488" s="26" t="str">
        <f>IFERROR(__xludf.DUMMYFUNCTION("""COMPUTED_VALUE"""),"Yes")</f>
        <v>Yes</v>
      </c>
      <c r="P488" s="26"/>
    </row>
    <row r="489">
      <c r="A489" s="13" t="str">
        <f>IFERROR(__xludf.DUMMYFUNCTION("""COMPUTED_VALUE"""),"Disney/PIXAR Up")</f>
        <v>Disney/PIXAR Up</v>
      </c>
      <c r="B489" s="15" t="str">
        <f>IFERROR(__xludf.DUMMYFUNCTION("""COMPUTED_VALUE"""),"PS5/PS4")</f>
        <v>PS5/PS4</v>
      </c>
      <c r="C489" s="16" t="str">
        <f>IFERROR(__xludf.DUMMYFUNCTION("""COMPUTED_VALUE"""),"Premium (Classics)")</f>
        <v>Premium (Classics)</v>
      </c>
      <c r="D489" s="15" t="str">
        <f>IFERROR(__xludf.DUMMYFUNCTION("""COMPUTED_VALUE"""),"Active")</f>
        <v>Active</v>
      </c>
      <c r="E489" s="17">
        <f>IFERROR(__xludf.DUMMYFUNCTION("""COMPUTED_VALUE"""),45251.0)</f>
        <v>45251</v>
      </c>
      <c r="F489" s="54"/>
      <c r="G489" s="19">
        <f>IFERROR(__xludf.DUMMYFUNCTION("""COMPUTED_VALUE"""),34.5)</f>
        <v>34.5</v>
      </c>
      <c r="H489" s="17">
        <f>IFERROR(__xludf.DUMMYFUNCTION("""COMPUTED_VALUE"""),39959.0)</f>
        <v>39959</v>
      </c>
      <c r="I489" s="19">
        <f>IFERROR(__xludf.DUMMYFUNCTION("""COMPUTED_VALUE"""),14.48611111111111)</f>
        <v>14.48611111</v>
      </c>
      <c r="J489" s="21">
        <f>IFERROR(__xludf.DUMMYFUNCTION("""COMPUTED_VALUE"""),65.0)</f>
        <v>65</v>
      </c>
      <c r="K489" s="23">
        <f>IFERROR(__xludf.DUMMYFUNCTION("""COMPUTED_VALUE"""),6.8)</f>
        <v>6.8</v>
      </c>
      <c r="L489" s="24">
        <f>IFERROR(__xludf.DUMMYFUNCTION("""COMPUTED_VALUE"""),5.0)</f>
        <v>5</v>
      </c>
      <c r="M489" s="25" t="str">
        <f>IFERROR(__xludf.DUMMYFUNCTION("""COMPUTED_VALUE"""),"Action-Adventure")</f>
        <v>Action-Adventure</v>
      </c>
      <c r="N489" s="25" t="str">
        <f>IFERROR(__xludf.DUMMYFUNCTION("""COMPUTED_VALUE"""),"PSP")</f>
        <v>PSP</v>
      </c>
      <c r="O489" s="26" t="str">
        <f>IFERROR(__xludf.DUMMYFUNCTION("""COMPUTED_VALUE"""),"Yes")</f>
        <v>Yes</v>
      </c>
      <c r="P489" s="26"/>
    </row>
    <row r="490">
      <c r="A490" s="13" t="str">
        <f>IFERROR(__xludf.DUMMYFUNCTION("""COMPUTED_VALUE"""),"PAW Patrol The Movie: Adventure City Calls")</f>
        <v>PAW Patrol The Movie: Adventure City Calls</v>
      </c>
      <c r="B490" s="15" t="str">
        <f>IFERROR(__xludf.DUMMYFUNCTION("""COMPUTED_VALUE"""),"PS5/PS4")</f>
        <v>PS5/PS4</v>
      </c>
      <c r="C490" s="16" t="str">
        <f>IFERROR(__xludf.DUMMYFUNCTION("""COMPUTED_VALUE"""),"Extra")</f>
        <v>Extra</v>
      </c>
      <c r="D490" s="15" t="str">
        <f>IFERROR(__xludf.DUMMYFUNCTION("""COMPUTED_VALUE"""),"Active")</f>
        <v>Active</v>
      </c>
      <c r="E490" s="17">
        <f>IFERROR(__xludf.DUMMYFUNCTION("""COMPUTED_VALUE"""),45188.0)</f>
        <v>45188</v>
      </c>
      <c r="F490" s="54"/>
      <c r="G490" s="19">
        <f>IFERROR(__xludf.DUMMYFUNCTION("""COMPUTED_VALUE"""),36.56666666666666)</f>
        <v>36.56666667</v>
      </c>
      <c r="H490" s="17">
        <f>IFERROR(__xludf.DUMMYFUNCTION("""COMPUTED_VALUE"""),44421.0)</f>
        <v>44421</v>
      </c>
      <c r="I490" s="19">
        <f>IFERROR(__xludf.DUMMYFUNCTION("""COMPUTED_VALUE"""),2.1)</f>
        <v>2.1</v>
      </c>
      <c r="J490" s="21">
        <f>IFERROR(__xludf.DUMMYFUNCTION("""COMPUTED_VALUE"""),65.0)</f>
        <v>65</v>
      </c>
      <c r="K490" s="23">
        <f>IFERROR(__xludf.DUMMYFUNCTION("""COMPUTED_VALUE"""),4.0)</f>
        <v>4</v>
      </c>
      <c r="L490" s="24">
        <f>IFERROR(__xludf.DUMMYFUNCTION("""COMPUTED_VALUE"""),2.0)</f>
        <v>2</v>
      </c>
      <c r="M490" s="25" t="str">
        <f>IFERROR(__xludf.DUMMYFUNCTION("""COMPUTED_VALUE"""),"Action-Adventure")</f>
        <v>Action-Adventure</v>
      </c>
      <c r="N490" s="25"/>
      <c r="O490" s="26" t="str">
        <f>IFERROR(__xludf.DUMMYFUNCTION("""COMPUTED_VALUE"""),"Yes")</f>
        <v>Yes</v>
      </c>
      <c r="P490" s="26"/>
    </row>
    <row r="491">
      <c r="A491" s="13" t="str">
        <f>IFERROR(__xludf.DUMMYFUNCTION("""COMPUTED_VALUE"""),"Dynasty Warriors 9")</f>
        <v>Dynasty Warriors 9</v>
      </c>
      <c r="B491" s="15" t="str">
        <f>IFERROR(__xludf.DUMMYFUNCTION("""COMPUTED_VALUE"""),"PS4")</f>
        <v>PS4</v>
      </c>
      <c r="C491" s="16" t="str">
        <f>IFERROR(__xludf.DUMMYFUNCTION("""COMPUTED_VALUE"""),"Extra")</f>
        <v>Extra</v>
      </c>
      <c r="D491" s="15" t="str">
        <f>IFERROR(__xludf.DUMMYFUNCTION("""COMPUTED_VALUE"""),"Active")</f>
        <v>Active</v>
      </c>
      <c r="E491" s="17">
        <f>IFERROR(__xludf.DUMMYFUNCTION("""COMPUTED_VALUE"""),45125.0)</f>
        <v>45125</v>
      </c>
      <c r="F491" s="54"/>
      <c r="G491" s="19">
        <f>IFERROR(__xludf.DUMMYFUNCTION("""COMPUTED_VALUE"""),38.6)</f>
        <v>38.6</v>
      </c>
      <c r="H491" s="17">
        <f>IFERROR(__xludf.DUMMYFUNCTION("""COMPUTED_VALUE"""),43144.0)</f>
        <v>43144</v>
      </c>
      <c r="I491" s="19">
        <f>IFERROR(__xludf.DUMMYFUNCTION("""COMPUTED_VALUE"""),5.430555555555555)</f>
        <v>5.430555556</v>
      </c>
      <c r="J491" s="21">
        <f>IFERROR(__xludf.DUMMYFUNCTION("""COMPUTED_VALUE"""),65.0)</f>
        <v>65</v>
      </c>
      <c r="K491" s="23">
        <f>IFERROR(__xludf.DUMMYFUNCTION("""COMPUTED_VALUE"""),8.4)</f>
        <v>8.4</v>
      </c>
      <c r="L491" s="24">
        <f>IFERROR(__xludf.DUMMYFUNCTION("""COMPUTED_VALUE"""),28.0)</f>
        <v>28</v>
      </c>
      <c r="M491" s="25" t="str">
        <f>IFERROR(__xludf.DUMMYFUNCTION("""COMPUTED_VALUE"""),"Action-Adventure")</f>
        <v>Action-Adventure</v>
      </c>
      <c r="N491" s="25"/>
      <c r="O491" s="26" t="str">
        <f>IFERROR(__xludf.DUMMYFUNCTION("""COMPUTED_VALUE"""),"Yes")</f>
        <v>Yes</v>
      </c>
      <c r="P491" s="26"/>
    </row>
    <row r="492">
      <c r="A492" s="13" t="str">
        <f>IFERROR(__xludf.DUMMYFUNCTION("""COMPUTED_VALUE"""),"Monopoly Madness")</f>
        <v>Monopoly Madness</v>
      </c>
      <c r="B492" s="15" t="str">
        <f>IFERROR(__xludf.DUMMYFUNCTION("""COMPUTED_VALUE"""),"PS4")</f>
        <v>PS4</v>
      </c>
      <c r="C492" s="16" t="str">
        <f>IFERROR(__xludf.DUMMYFUNCTION("""COMPUTED_VALUE"""),"Extra (Ubisoft+ Classics)")</f>
        <v>Extra (Ubisoft+ Classics)</v>
      </c>
      <c r="D492" s="15" t="str">
        <f>IFERROR(__xludf.DUMMYFUNCTION("""COMPUTED_VALUE"""),"Active")</f>
        <v>Active</v>
      </c>
      <c r="E492" s="17">
        <f>IFERROR(__xludf.DUMMYFUNCTION("""COMPUTED_VALUE"""),44789.0)</f>
        <v>44789</v>
      </c>
      <c r="F492" s="54"/>
      <c r="G492" s="19">
        <f>IFERROR(__xludf.DUMMYFUNCTION("""COMPUTED_VALUE"""),49.66666666666667)</f>
        <v>49.66666667</v>
      </c>
      <c r="H492" s="17">
        <f>IFERROR(__xludf.DUMMYFUNCTION("""COMPUTED_VALUE"""),44539.0)</f>
        <v>44539</v>
      </c>
      <c r="I492" s="19">
        <f>IFERROR(__xludf.DUMMYFUNCTION("""COMPUTED_VALUE"""),0.6861111111111111)</f>
        <v>0.6861111111</v>
      </c>
      <c r="J492" s="21">
        <f>IFERROR(__xludf.DUMMYFUNCTION("""COMPUTED_VALUE"""),65.0)</f>
        <v>65</v>
      </c>
      <c r="K492" s="23">
        <f>IFERROR(__xludf.DUMMYFUNCTION("""COMPUTED_VALUE"""),4.9)</f>
        <v>4.9</v>
      </c>
      <c r="L492" s="24">
        <f>IFERROR(__xludf.DUMMYFUNCTION("""COMPUTED_VALUE"""),6.0)</f>
        <v>6</v>
      </c>
      <c r="M492" s="25" t="str">
        <f>IFERROR(__xludf.DUMMYFUNCTION("""COMPUTED_VALUE"""),"Party")</f>
        <v>Party</v>
      </c>
      <c r="N492" s="25"/>
      <c r="O492" s="26" t="str">
        <f>IFERROR(__xludf.DUMMYFUNCTION("""COMPUTED_VALUE"""),"Yes")</f>
        <v>Yes</v>
      </c>
      <c r="P492" s="26"/>
    </row>
    <row r="493">
      <c r="A493" s="13" t="str">
        <f>IFERROR(__xludf.DUMMYFUNCTION("""COMPUTED_VALUE"""),"Earth Defense Force 4.1: The Shadow of New Despair")</f>
        <v>Earth Defense Force 4.1: The Shadow of New Despair</v>
      </c>
      <c r="B493" s="15" t="str">
        <f>IFERROR(__xludf.DUMMYFUNCTION("""COMPUTED_VALUE"""),"PS4")</f>
        <v>PS4</v>
      </c>
      <c r="C493" s="16" t="str">
        <f>IFERROR(__xludf.DUMMYFUNCTION("""COMPUTED_VALUE"""),"Extra")</f>
        <v>Extra</v>
      </c>
      <c r="D493" s="15" t="str">
        <f>IFERROR(__xludf.DUMMYFUNCTION("""COMPUTED_VALUE"""),"Active")</f>
        <v>Active</v>
      </c>
      <c r="E493" s="17">
        <f>IFERROR(__xludf.DUMMYFUNCTION("""COMPUTED_VALUE"""),44725.0)</f>
        <v>44725</v>
      </c>
      <c r="F493" s="54"/>
      <c r="G493" s="19">
        <f>IFERROR(__xludf.DUMMYFUNCTION("""COMPUTED_VALUE"""),51.766666666666666)</f>
        <v>51.76666667</v>
      </c>
      <c r="H493" s="17">
        <f>IFERROR(__xludf.DUMMYFUNCTION("""COMPUTED_VALUE"""),42095.0)</f>
        <v>42095</v>
      </c>
      <c r="I493" s="19">
        <f>IFERROR(__xludf.DUMMYFUNCTION("""COMPUTED_VALUE"""),7.2)</f>
        <v>7.2</v>
      </c>
      <c r="J493" s="21">
        <f>IFERROR(__xludf.DUMMYFUNCTION("""COMPUTED_VALUE"""),65.0)</f>
        <v>65</v>
      </c>
      <c r="K493" s="23">
        <f>IFERROR(__xludf.DUMMYFUNCTION("""COMPUTED_VALUE"""),8.0)</f>
        <v>8</v>
      </c>
      <c r="L493" s="24">
        <f>IFERROR(__xludf.DUMMYFUNCTION("""COMPUTED_VALUE"""),22.5)</f>
        <v>22.5</v>
      </c>
      <c r="M493" s="25" t="str">
        <f>IFERROR(__xludf.DUMMYFUNCTION("""COMPUTED_VALUE"""),"Action-Adventure")</f>
        <v>Action-Adventure</v>
      </c>
      <c r="N493" s="25"/>
      <c r="O493" s="26" t="str">
        <f>IFERROR(__xludf.DUMMYFUNCTION("""COMPUTED_VALUE"""),"Yes")</f>
        <v>Yes</v>
      </c>
      <c r="P493" s="26" t="str">
        <f>IFERROR(__xludf.DUMMYFUNCTION("""COMPUTED_VALUE"""),"Yes")</f>
        <v>Yes</v>
      </c>
    </row>
    <row r="494">
      <c r="A494" s="13" t="str">
        <f>IFERROR(__xludf.DUMMYFUNCTION("""COMPUTED_VALUE"""),"Space Hulk: Deathwing - Enhanced Edition")</f>
        <v>Space Hulk: Deathwing - Enhanced Edition</v>
      </c>
      <c r="B494" s="15" t="str">
        <f>IFERROR(__xludf.DUMMYFUNCTION("""COMPUTED_VALUE"""),"PS4")</f>
        <v>PS4</v>
      </c>
      <c r="C494" s="16" t="str">
        <f>IFERROR(__xludf.DUMMYFUNCTION("""COMPUTED_VALUE"""),"Extra")</f>
        <v>Extra</v>
      </c>
      <c r="D494" s="15" t="str">
        <f>IFERROR(__xludf.DUMMYFUNCTION("""COMPUTED_VALUE"""),"Active")</f>
        <v>Active</v>
      </c>
      <c r="E494" s="17">
        <f>IFERROR(__xludf.DUMMYFUNCTION("""COMPUTED_VALUE"""),44725.0)</f>
        <v>44725</v>
      </c>
      <c r="F494" s="54"/>
      <c r="G494" s="19">
        <f>IFERROR(__xludf.DUMMYFUNCTION("""COMPUTED_VALUE"""),51.766666666666666)</f>
        <v>51.76666667</v>
      </c>
      <c r="H494" s="17">
        <f>IFERROR(__xludf.DUMMYFUNCTION("""COMPUTED_VALUE"""),43242.0)</f>
        <v>43242</v>
      </c>
      <c r="I494" s="19">
        <f>IFERROR(__xludf.DUMMYFUNCTION("""COMPUTED_VALUE"""),4.058333333333334)</f>
        <v>4.058333333</v>
      </c>
      <c r="J494" s="21">
        <f>IFERROR(__xludf.DUMMYFUNCTION("""COMPUTED_VALUE"""),65.0)</f>
        <v>65</v>
      </c>
      <c r="K494" s="23">
        <f>IFERROR(__xludf.DUMMYFUNCTION("""COMPUTED_VALUE"""),6.8)</f>
        <v>6.8</v>
      </c>
      <c r="L494" s="24">
        <f>IFERROR(__xludf.DUMMYFUNCTION("""COMPUTED_VALUE"""),10.0)</f>
        <v>10</v>
      </c>
      <c r="M494" s="25" t="str">
        <f>IFERROR(__xludf.DUMMYFUNCTION("""COMPUTED_VALUE"""),"Shooter")</f>
        <v>Shooter</v>
      </c>
      <c r="N494" s="25"/>
      <c r="O494" s="26" t="str">
        <f>IFERROR(__xludf.DUMMYFUNCTION("""COMPUTED_VALUE"""),"Yes")</f>
        <v>Yes</v>
      </c>
      <c r="P494" s="26"/>
    </row>
    <row r="495">
      <c r="A495" s="13" t="str">
        <f>IFERROR(__xludf.DUMMYFUNCTION("""COMPUTED_VALUE"""),"Star Wars: Bounty Hunter")</f>
        <v>Star Wars: Bounty Hunter</v>
      </c>
      <c r="B495" s="15" t="str">
        <f>IFERROR(__xludf.DUMMYFUNCTION("""COMPUTED_VALUE"""),"PS4")</f>
        <v>PS4</v>
      </c>
      <c r="C495" s="16" t="str">
        <f>IFERROR(__xludf.DUMMYFUNCTION("""COMPUTED_VALUE"""),"Premium (Classics)")</f>
        <v>Premium (Classics)</v>
      </c>
      <c r="D495" s="15" t="str">
        <f>IFERROR(__xludf.DUMMYFUNCTION("""COMPUTED_VALUE"""),"Active")</f>
        <v>Active</v>
      </c>
      <c r="E495" s="17">
        <f>IFERROR(__xludf.DUMMYFUNCTION("""COMPUTED_VALUE"""),44725.0)</f>
        <v>44725</v>
      </c>
      <c r="F495" s="54"/>
      <c r="G495" s="19">
        <f>IFERROR(__xludf.DUMMYFUNCTION("""COMPUTED_VALUE"""),51.766666666666666)</f>
        <v>51.76666667</v>
      </c>
      <c r="H495" s="17">
        <f>IFERROR(__xludf.DUMMYFUNCTION("""COMPUTED_VALUE"""),37561.0)</f>
        <v>37561</v>
      </c>
      <c r="I495" s="19">
        <f>IFERROR(__xludf.DUMMYFUNCTION("""COMPUTED_VALUE"""),19.616666666666667)</f>
        <v>19.61666667</v>
      </c>
      <c r="J495" s="21">
        <f>IFERROR(__xludf.DUMMYFUNCTION("""COMPUTED_VALUE"""),65.0)</f>
        <v>65</v>
      </c>
      <c r="K495" s="23">
        <f>IFERROR(__xludf.DUMMYFUNCTION("""COMPUTED_VALUE"""),7.6)</f>
        <v>7.6</v>
      </c>
      <c r="L495" s="24">
        <f>IFERROR(__xludf.DUMMYFUNCTION("""COMPUTED_VALUE"""),10.0)</f>
        <v>10</v>
      </c>
      <c r="M495" s="25" t="str">
        <f>IFERROR(__xludf.DUMMYFUNCTION("""COMPUTED_VALUE"""),"Action-Adventure")</f>
        <v>Action-Adventure</v>
      </c>
      <c r="N495" s="25" t="str">
        <f>IFERROR(__xludf.DUMMYFUNCTION("""COMPUTED_VALUE"""),"PS2")</f>
        <v>PS2</v>
      </c>
      <c r="O495" s="26" t="str">
        <f>IFERROR(__xludf.DUMMYFUNCTION("""COMPUTED_VALUE"""),"Yes")</f>
        <v>Yes</v>
      </c>
      <c r="P495" s="26" t="str">
        <f>IFERROR(__xludf.DUMMYFUNCTION("""COMPUTED_VALUE"""),"")</f>
        <v/>
      </c>
    </row>
    <row r="496">
      <c r="A496" s="13" t="str">
        <f>IFERROR(__xludf.DUMMYFUNCTION("""COMPUTED_VALUE"""),"Air Conflicts: Pacific Carriers")</f>
        <v>Air Conflicts: Pacific Carriers</v>
      </c>
      <c r="B496" s="15" t="str">
        <f>IFERROR(__xludf.DUMMYFUNCTION("""COMPUTED_VALUE"""),"PS4")</f>
        <v>PS4</v>
      </c>
      <c r="C496" s="16" t="str">
        <f>IFERROR(__xludf.DUMMYFUNCTION("""COMPUTED_VALUE"""),"Extra")</f>
        <v>Extra</v>
      </c>
      <c r="D496" s="15" t="str">
        <f>IFERROR(__xludf.DUMMYFUNCTION("""COMPUTED_VALUE"""),"Active")</f>
        <v>Active</v>
      </c>
      <c r="E496" s="17">
        <f>IFERROR(__xludf.DUMMYFUNCTION("""COMPUTED_VALUE"""),42922.0)</f>
        <v>42922</v>
      </c>
      <c r="F496" s="54"/>
      <c r="G496" s="19">
        <f>IFERROR(__xludf.DUMMYFUNCTION("""COMPUTED_VALUE"""),111.0)</f>
        <v>111</v>
      </c>
      <c r="H496" s="17">
        <f>IFERROR(__xludf.DUMMYFUNCTION("""COMPUTED_VALUE"""),42309.0)</f>
        <v>42309</v>
      </c>
      <c r="I496" s="19">
        <f>IFERROR(__xludf.DUMMYFUNCTION("""COMPUTED_VALUE"""),1.6805555555555556)</f>
        <v>1.680555556</v>
      </c>
      <c r="J496" s="21">
        <f>IFERROR(__xludf.DUMMYFUNCTION("""COMPUTED_VALUE"""),65.0)</f>
        <v>65</v>
      </c>
      <c r="K496" s="23">
        <f>IFERROR(__xludf.DUMMYFUNCTION("""COMPUTED_VALUE"""),6.1)</f>
        <v>6.1</v>
      </c>
      <c r="L496" s="24">
        <f>IFERROR(__xludf.DUMMYFUNCTION("""COMPUTED_VALUE"""),8.0)</f>
        <v>8</v>
      </c>
      <c r="M496" s="25" t="str">
        <f>IFERROR(__xludf.DUMMYFUNCTION("""COMPUTED_VALUE"""),"Shooter")</f>
        <v>Shooter</v>
      </c>
      <c r="N496" s="25"/>
      <c r="O496" s="26" t="str">
        <f>IFERROR(__xludf.DUMMYFUNCTION("""COMPUTED_VALUE"""),"Yes")</f>
        <v>Yes</v>
      </c>
      <c r="P496" s="26"/>
    </row>
    <row r="497">
      <c r="A497" s="13" t="str">
        <f>IFERROR(__xludf.DUMMYFUNCTION("""COMPUTED_VALUE"""),"theHunter: Call of the Wild")</f>
        <v>theHunter: Call of the Wild</v>
      </c>
      <c r="B497" s="15" t="str">
        <f>IFERROR(__xludf.DUMMYFUNCTION("""COMPUTED_VALUE"""),"PS4")</f>
        <v>PS4</v>
      </c>
      <c r="C497" s="16" t="str">
        <f>IFERROR(__xludf.DUMMYFUNCTION("""COMPUTED_VALUE"""),"Extra")</f>
        <v>Extra</v>
      </c>
      <c r="D497" s="15" t="str">
        <f>IFERROR(__xludf.DUMMYFUNCTION("""COMPUTED_VALUE"""),"Active")</f>
        <v>Active</v>
      </c>
      <c r="E497" s="17">
        <f>IFERROR(__xludf.DUMMYFUNCTION("""COMPUTED_VALUE"""),45825.0)</f>
        <v>45825</v>
      </c>
      <c r="F497" s="54"/>
      <c r="G497" s="19">
        <f>IFERROR(__xludf.DUMMYFUNCTION("""COMPUTED_VALUE"""),15.633333333333333)</f>
        <v>15.63333333</v>
      </c>
      <c r="H497" s="17">
        <f>IFERROR(__xludf.DUMMYFUNCTION("""COMPUTED_VALUE"""),42782.0)</f>
        <v>42782</v>
      </c>
      <c r="I497" s="19">
        <f>IFERROR(__xludf.DUMMYFUNCTION("""COMPUTED_VALUE"""),8.33611111111111)</f>
        <v>8.336111111</v>
      </c>
      <c r="J497" s="21">
        <f>IFERROR(__xludf.DUMMYFUNCTION("""COMPUTED_VALUE"""),64.0)</f>
        <v>64</v>
      </c>
      <c r="K497" s="23">
        <f>IFERROR(__xludf.DUMMYFUNCTION("""COMPUTED_VALUE"""),6.4)</f>
        <v>6.4</v>
      </c>
      <c r="L497" s="24">
        <f>IFERROR(__xludf.DUMMYFUNCTION("""COMPUTED_VALUE"""),28.0)</f>
        <v>28</v>
      </c>
      <c r="M497" s="25" t="str">
        <f>IFERROR(__xludf.DUMMYFUNCTION("""COMPUTED_VALUE"""),"Hunting")</f>
        <v>Hunting</v>
      </c>
      <c r="N497" s="25"/>
      <c r="O497" s="26"/>
      <c r="P497" s="26"/>
    </row>
    <row r="498">
      <c r="A498" s="13" t="str">
        <f>IFERROR(__xludf.DUMMYFUNCTION("""COMPUTED_VALUE"""),"The Crew 2")</f>
        <v>The Crew 2</v>
      </c>
      <c r="B498" s="15" t="str">
        <f>IFERROR(__xludf.DUMMYFUNCTION("""COMPUTED_VALUE"""),"PS4")</f>
        <v>PS4</v>
      </c>
      <c r="C498" s="16" t="str">
        <f>IFERROR(__xludf.DUMMYFUNCTION("""COMPUTED_VALUE"""),"Extra")</f>
        <v>Extra</v>
      </c>
      <c r="D498" s="15" t="str">
        <f>IFERROR(__xludf.DUMMYFUNCTION("""COMPUTED_VALUE"""),"Active")</f>
        <v>Active</v>
      </c>
      <c r="E498" s="17">
        <f>IFERROR(__xludf.DUMMYFUNCTION("""COMPUTED_VALUE"""),45398.0)</f>
        <v>45398</v>
      </c>
      <c r="F498" s="54"/>
      <c r="G498" s="19">
        <f>IFERROR(__xludf.DUMMYFUNCTION("""COMPUTED_VALUE"""),29.666666666666668)</f>
        <v>29.66666667</v>
      </c>
      <c r="H498" s="17">
        <f>IFERROR(__xludf.DUMMYFUNCTION("""COMPUTED_VALUE"""),43277.0)</f>
        <v>43277</v>
      </c>
      <c r="I498" s="19">
        <f>IFERROR(__xludf.DUMMYFUNCTION("""COMPUTED_VALUE"""),5.805555555555555)</f>
        <v>5.805555556</v>
      </c>
      <c r="J498" s="21">
        <f>IFERROR(__xludf.DUMMYFUNCTION("""COMPUTED_VALUE"""),64.0)</f>
        <v>64</v>
      </c>
      <c r="K498" s="23">
        <f>IFERROR(__xludf.DUMMYFUNCTION("""COMPUTED_VALUE"""),5.8)</f>
        <v>5.8</v>
      </c>
      <c r="L498" s="24">
        <f>IFERROR(__xludf.DUMMYFUNCTION("""COMPUTED_VALUE"""),20.0)</f>
        <v>20</v>
      </c>
      <c r="M498" s="25" t="str">
        <f>IFERROR(__xludf.DUMMYFUNCTION("""COMPUTED_VALUE"""),"Racing")</f>
        <v>Racing</v>
      </c>
      <c r="N498" s="25"/>
      <c r="O498" s="26" t="str">
        <f>IFERROR(__xludf.DUMMYFUNCTION("""COMPUTED_VALUE"""),"No")</f>
        <v>No</v>
      </c>
      <c r="P498" s="26"/>
    </row>
    <row r="499">
      <c r="A499" s="13" t="str">
        <f>IFERROR(__xludf.DUMMYFUNCTION("""COMPUTED_VALUE"""),"Dead by Daylight")</f>
        <v>Dead by Daylight</v>
      </c>
      <c r="B499" s="15" t="str">
        <f>IFERROR(__xludf.DUMMYFUNCTION("""COMPUTED_VALUE"""),"PS5/PS4")</f>
        <v>PS5/PS4</v>
      </c>
      <c r="C499" s="16" t="str">
        <f>IFERROR(__xludf.DUMMYFUNCTION("""COMPUTED_VALUE"""),"Extra")</f>
        <v>Extra</v>
      </c>
      <c r="D499" s="15" t="str">
        <f>IFERROR(__xludf.DUMMYFUNCTION("""COMPUTED_VALUE"""),"Active")</f>
        <v>Active</v>
      </c>
      <c r="E499" s="17">
        <f>IFERROR(__xludf.DUMMYFUNCTION("""COMPUTED_VALUE"""),44789.0)</f>
        <v>44789</v>
      </c>
      <c r="F499" s="54"/>
      <c r="G499" s="19">
        <f>IFERROR(__xludf.DUMMYFUNCTION("""COMPUTED_VALUE"""),49.66666666666667)</f>
        <v>49.66666667</v>
      </c>
      <c r="H499" s="17">
        <f>IFERROR(__xludf.DUMMYFUNCTION("""COMPUTED_VALUE"""),42535.0)</f>
        <v>42535</v>
      </c>
      <c r="I499" s="19">
        <f>IFERROR(__xludf.DUMMYFUNCTION("""COMPUTED_VALUE"""),6.1722222222222225)</f>
        <v>6.172222222</v>
      </c>
      <c r="J499" s="21">
        <f>IFERROR(__xludf.DUMMYFUNCTION("""COMPUTED_VALUE"""),64.0)</f>
        <v>64</v>
      </c>
      <c r="K499" s="23">
        <f>IFERROR(__xludf.DUMMYFUNCTION("""COMPUTED_VALUE"""),5.1)</f>
        <v>5.1</v>
      </c>
      <c r="L499" s="24">
        <f>IFERROR(__xludf.DUMMYFUNCTION("""COMPUTED_VALUE"""),398.0)</f>
        <v>398</v>
      </c>
      <c r="M499" s="25" t="str">
        <f>IFERROR(__xludf.DUMMYFUNCTION("""COMPUTED_VALUE"""),"Action-Adventure")</f>
        <v>Action-Adventure</v>
      </c>
      <c r="N499" s="25"/>
      <c r="O499" s="26" t="str">
        <f>IFERROR(__xludf.DUMMYFUNCTION("""COMPUTED_VALUE"""),"Yes")</f>
        <v>Yes</v>
      </c>
      <c r="P499" s="26"/>
    </row>
    <row r="500">
      <c r="A500" s="13" t="str">
        <f>IFERROR(__xludf.DUMMYFUNCTION("""COMPUTED_VALUE"""),"Stranded Deep")</f>
        <v>Stranded Deep</v>
      </c>
      <c r="B500" s="15" t="str">
        <f>IFERROR(__xludf.DUMMYFUNCTION("""COMPUTED_VALUE"""),"PS4")</f>
        <v>PS4</v>
      </c>
      <c r="C500" s="16" t="str">
        <f>IFERROR(__xludf.DUMMYFUNCTION("""COMPUTED_VALUE"""),"Extra")</f>
        <v>Extra</v>
      </c>
      <c r="D500" s="15" t="str">
        <f>IFERROR(__xludf.DUMMYFUNCTION("""COMPUTED_VALUE"""),"Active")</f>
        <v>Active</v>
      </c>
      <c r="E500" s="17">
        <f>IFERROR(__xludf.DUMMYFUNCTION("""COMPUTED_VALUE"""),44166.0)</f>
        <v>44166</v>
      </c>
      <c r="F500" s="54"/>
      <c r="G500" s="19">
        <f>IFERROR(__xludf.DUMMYFUNCTION("""COMPUTED_VALUE"""),70.16666666666667)</f>
        <v>70.16666667</v>
      </c>
      <c r="H500" s="17">
        <f>IFERROR(__xludf.DUMMYFUNCTION("""COMPUTED_VALUE"""),43942.0)</f>
        <v>43942</v>
      </c>
      <c r="I500" s="19">
        <f>IFERROR(__xludf.DUMMYFUNCTION("""COMPUTED_VALUE"""),0.6111111111111112)</f>
        <v>0.6111111111</v>
      </c>
      <c r="J500" s="21">
        <f>IFERROR(__xludf.DUMMYFUNCTION("""COMPUTED_VALUE"""),64.0)</f>
        <v>64</v>
      </c>
      <c r="K500" s="23">
        <f>IFERROR(__xludf.DUMMYFUNCTION("""COMPUTED_VALUE"""),6.3)</f>
        <v>6.3</v>
      </c>
      <c r="L500" s="24">
        <f>IFERROR(__xludf.DUMMYFUNCTION("""COMPUTED_VALUE"""),23.0)</f>
        <v>23</v>
      </c>
      <c r="M500" s="25" t="str">
        <f>IFERROR(__xludf.DUMMYFUNCTION("""COMPUTED_VALUE"""),"Survival")</f>
        <v>Survival</v>
      </c>
      <c r="N500" s="25"/>
      <c r="O500" s="26" t="str">
        <f>IFERROR(__xludf.DUMMYFUNCTION("""COMPUTED_VALUE"""),"Yes")</f>
        <v>Yes</v>
      </c>
      <c r="P500" s="26"/>
    </row>
    <row r="501">
      <c r="A501" s="13" t="str">
        <f>IFERROR(__xludf.DUMMYFUNCTION("""COMPUTED_VALUE"""),"Brawlout")</f>
        <v>Brawlout</v>
      </c>
      <c r="B501" s="15" t="str">
        <f>IFERROR(__xludf.DUMMYFUNCTION("""COMPUTED_VALUE"""),"PS4")</f>
        <v>PS4</v>
      </c>
      <c r="C501" s="16" t="str">
        <f>IFERROR(__xludf.DUMMYFUNCTION("""COMPUTED_VALUE"""),"Extra")</f>
        <v>Extra</v>
      </c>
      <c r="D501" s="15" t="str">
        <f>IFERROR(__xludf.DUMMYFUNCTION("""COMPUTED_VALUE"""),"Active")</f>
        <v>Active</v>
      </c>
      <c r="E501" s="17">
        <f>IFERROR(__xludf.DUMMYFUNCTION("""COMPUTED_VALUE"""),43592.0)</f>
        <v>43592</v>
      </c>
      <c r="F501" s="54"/>
      <c r="G501" s="19">
        <f>IFERROR(__xludf.DUMMYFUNCTION("""COMPUTED_VALUE"""),88.96666666666667)</f>
        <v>88.96666667</v>
      </c>
      <c r="H501" s="17">
        <f>IFERROR(__xludf.DUMMYFUNCTION("""COMPUTED_VALUE"""),43313.0)</f>
        <v>43313</v>
      </c>
      <c r="I501" s="19">
        <f>IFERROR(__xludf.DUMMYFUNCTION("""COMPUTED_VALUE"""),0.7666666666666667)</f>
        <v>0.7666666667</v>
      </c>
      <c r="J501" s="21">
        <f>IFERROR(__xludf.DUMMYFUNCTION("""COMPUTED_VALUE"""),64.0)</f>
        <v>64</v>
      </c>
      <c r="K501" s="23">
        <f>IFERROR(__xludf.DUMMYFUNCTION("""COMPUTED_VALUE"""),5.5)</f>
        <v>5.5</v>
      </c>
      <c r="L501" s="24">
        <f>IFERROR(__xludf.DUMMYFUNCTION("""COMPUTED_VALUE"""),1.5)</f>
        <v>1.5</v>
      </c>
      <c r="M501" s="25" t="str">
        <f>IFERROR(__xludf.DUMMYFUNCTION("""COMPUTED_VALUE"""),"Fighting")</f>
        <v>Fighting</v>
      </c>
      <c r="N501" s="25"/>
      <c r="O501" s="26" t="str">
        <f>IFERROR(__xludf.DUMMYFUNCTION("""COMPUTED_VALUE"""),"Yes")</f>
        <v>Yes</v>
      </c>
      <c r="P501" s="26" t="str">
        <f>IFERROR(__xludf.DUMMYFUNCTION("""COMPUTED_VALUE"""),"Yes")</f>
        <v>Yes</v>
      </c>
    </row>
    <row r="502">
      <c r="A502" s="13" t="str">
        <f>IFERROR(__xludf.DUMMYFUNCTION("""COMPUTED_VALUE"""),"Vikings: Wolves of Midgard")</f>
        <v>Vikings: Wolves of Midgard</v>
      </c>
      <c r="B502" s="15" t="str">
        <f>IFERROR(__xludf.DUMMYFUNCTION("""COMPUTED_VALUE"""),"PS4")</f>
        <v>PS4</v>
      </c>
      <c r="C502" s="16" t="str">
        <f>IFERROR(__xludf.DUMMYFUNCTION("""COMPUTED_VALUE"""),"Extra")</f>
        <v>Extra</v>
      </c>
      <c r="D502" s="15" t="str">
        <f>IFERROR(__xludf.DUMMYFUNCTION("""COMPUTED_VALUE"""),"Active")</f>
        <v>Active</v>
      </c>
      <c r="E502" s="17">
        <f>IFERROR(__xludf.DUMMYFUNCTION("""COMPUTED_VALUE"""),43410.0)</f>
        <v>43410</v>
      </c>
      <c r="F502" s="54"/>
      <c r="G502" s="19">
        <f>IFERROR(__xludf.DUMMYFUNCTION("""COMPUTED_VALUE"""),95.0)</f>
        <v>95</v>
      </c>
      <c r="H502" s="17">
        <f>IFERROR(__xludf.DUMMYFUNCTION("""COMPUTED_VALUE"""),42822.0)</f>
        <v>42822</v>
      </c>
      <c r="I502" s="19">
        <f>IFERROR(__xludf.DUMMYFUNCTION("""COMPUTED_VALUE"""),1.6055555555555556)</f>
        <v>1.605555556</v>
      </c>
      <c r="J502" s="21">
        <f>IFERROR(__xludf.DUMMYFUNCTION("""COMPUTED_VALUE"""),64.0)</f>
        <v>64</v>
      </c>
      <c r="K502" s="23">
        <f>IFERROR(__xludf.DUMMYFUNCTION("""COMPUTED_VALUE"""),6.9)</f>
        <v>6.9</v>
      </c>
      <c r="L502" s="24">
        <f>IFERROR(__xludf.DUMMYFUNCTION("""COMPUTED_VALUE"""),17.0)</f>
        <v>17</v>
      </c>
      <c r="M502" s="25" t="str">
        <f>IFERROR(__xludf.DUMMYFUNCTION("""COMPUTED_VALUE"""),"RPG")</f>
        <v>RPG</v>
      </c>
      <c r="N502" s="25"/>
      <c r="O502" s="26" t="str">
        <f>IFERROR(__xludf.DUMMYFUNCTION("""COMPUTED_VALUE"""),"Yes")</f>
        <v>Yes</v>
      </c>
      <c r="P502" s="26" t="str">
        <f>IFERROR(__xludf.DUMMYFUNCTION("""COMPUTED_VALUE"""),"Yes")</f>
        <v>Yes</v>
      </c>
    </row>
    <row r="503">
      <c r="A503" s="13" t="str">
        <f>IFERROR(__xludf.DUMMYFUNCTION("""COMPUTED_VALUE"""),"West of Dead")</f>
        <v>West of Dead</v>
      </c>
      <c r="B503" s="15" t="str">
        <f>IFERROR(__xludf.DUMMYFUNCTION("""COMPUTED_VALUE"""),"PS4")</f>
        <v>PS4</v>
      </c>
      <c r="C503" s="16" t="str">
        <f>IFERROR(__xludf.DUMMYFUNCTION("""COMPUTED_VALUE"""),"Extra")</f>
        <v>Extra</v>
      </c>
      <c r="D503" s="15" t="str">
        <f>IFERROR(__xludf.DUMMYFUNCTION("""COMPUTED_VALUE"""),"Active")</f>
        <v>Active</v>
      </c>
      <c r="E503" s="17">
        <f>IFERROR(__xludf.DUMMYFUNCTION("""COMPUTED_VALUE"""),45188.0)</f>
        <v>45188</v>
      </c>
      <c r="F503" s="54"/>
      <c r="G503" s="19">
        <f>IFERROR(__xludf.DUMMYFUNCTION("""COMPUTED_VALUE"""),36.56666666666666)</f>
        <v>36.56666667</v>
      </c>
      <c r="H503" s="17">
        <f>IFERROR(__xludf.DUMMYFUNCTION("""COMPUTED_VALUE"""),44000.0)</f>
        <v>44000</v>
      </c>
      <c r="I503" s="19">
        <f>IFERROR(__xludf.DUMMYFUNCTION("""COMPUTED_VALUE"""),3.2527777777777778)</f>
        <v>3.252777778</v>
      </c>
      <c r="J503" s="21">
        <f>IFERROR(__xludf.DUMMYFUNCTION("""COMPUTED_VALUE"""),63.0)</f>
        <v>63</v>
      </c>
      <c r="K503" s="23">
        <f>IFERROR(__xludf.DUMMYFUNCTION("""COMPUTED_VALUE"""),6.1)</f>
        <v>6.1</v>
      </c>
      <c r="L503" s="24">
        <f>IFERROR(__xludf.DUMMYFUNCTION("""COMPUTED_VALUE"""),9.0)</f>
        <v>9</v>
      </c>
      <c r="M503" s="25" t="str">
        <f>IFERROR(__xludf.DUMMYFUNCTION("""COMPUTED_VALUE"""),"Action-Adventure")</f>
        <v>Action-Adventure</v>
      </c>
      <c r="N503" s="25"/>
      <c r="O503" s="26" t="str">
        <f>IFERROR(__xludf.DUMMYFUNCTION("""COMPUTED_VALUE"""),"Yes")</f>
        <v>Yes</v>
      </c>
      <c r="P503" s="26"/>
    </row>
    <row r="504">
      <c r="A504" s="13" t="str">
        <f>IFERROR(__xludf.DUMMYFUNCTION("""COMPUTED_VALUE"""),"Hotel Transylvania: Scary-Tale Adventures")</f>
        <v>Hotel Transylvania: Scary-Tale Adventures</v>
      </c>
      <c r="B504" s="15" t="str">
        <f>IFERROR(__xludf.DUMMYFUNCTION("""COMPUTED_VALUE"""),"PS5/PS4")</f>
        <v>PS5/PS4</v>
      </c>
      <c r="C504" s="16" t="str">
        <f>IFERROR(__xludf.DUMMYFUNCTION("""COMPUTED_VALUE"""),"Extra")</f>
        <v>Extra</v>
      </c>
      <c r="D504" s="15" t="str">
        <f>IFERROR(__xludf.DUMMYFUNCTION("""COMPUTED_VALUE"""),"Active")</f>
        <v>Active</v>
      </c>
      <c r="E504" s="17">
        <f>IFERROR(__xludf.DUMMYFUNCTION("""COMPUTED_VALUE"""),45153.0)</f>
        <v>45153</v>
      </c>
      <c r="F504" s="54"/>
      <c r="G504" s="19">
        <f>IFERROR(__xludf.DUMMYFUNCTION("""COMPUTED_VALUE"""),37.7)</f>
        <v>37.7</v>
      </c>
      <c r="H504" s="17">
        <f>IFERROR(__xludf.DUMMYFUNCTION("""COMPUTED_VALUE"""),44631.0)</f>
        <v>44631</v>
      </c>
      <c r="I504" s="19">
        <f>IFERROR(__xludf.DUMMYFUNCTION("""COMPUTED_VALUE"""),1.4277777777777778)</f>
        <v>1.427777778</v>
      </c>
      <c r="J504" s="21">
        <f>IFERROR(__xludf.DUMMYFUNCTION("""COMPUTED_VALUE"""),63.0)</f>
        <v>63</v>
      </c>
      <c r="K504" s="23">
        <f>IFERROR(__xludf.DUMMYFUNCTION("""COMPUTED_VALUE"""),1.0)</f>
        <v>1</v>
      </c>
      <c r="L504" s="24">
        <f>IFERROR(__xludf.DUMMYFUNCTION("""COMPUTED_VALUE"""),5.0)</f>
        <v>5</v>
      </c>
      <c r="M504" s="25" t="str">
        <f>IFERROR(__xludf.DUMMYFUNCTION("""COMPUTED_VALUE"""),"Platformer")</f>
        <v>Platformer</v>
      </c>
      <c r="N504" s="25"/>
      <c r="O504" s="26" t="str">
        <f>IFERROR(__xludf.DUMMYFUNCTION("""COMPUTED_VALUE"""),"Yes")</f>
        <v>Yes</v>
      </c>
      <c r="P504" s="26"/>
    </row>
    <row r="505">
      <c r="A505" s="13" t="str">
        <f>IFERROR(__xludf.DUMMYFUNCTION("""COMPUTED_VALUE"""),"Wolfenstein: Youngblood")</f>
        <v>Wolfenstein: Youngblood</v>
      </c>
      <c r="B505" s="15" t="str">
        <f>IFERROR(__xludf.DUMMYFUNCTION("""COMPUTED_VALUE"""),"PS4")</f>
        <v>PS4</v>
      </c>
      <c r="C505" s="16" t="str">
        <f>IFERROR(__xludf.DUMMYFUNCTION("""COMPUTED_VALUE"""),"Extra")</f>
        <v>Extra</v>
      </c>
      <c r="D505" s="15" t="str">
        <f>IFERROR(__xludf.DUMMYFUNCTION("""COMPUTED_VALUE"""),"Active")</f>
        <v>Active</v>
      </c>
      <c r="E505" s="17">
        <f>IFERROR(__xludf.DUMMYFUNCTION("""COMPUTED_VALUE"""),45062.0)</f>
        <v>45062</v>
      </c>
      <c r="F505" s="54"/>
      <c r="G505" s="19">
        <f>IFERROR(__xludf.DUMMYFUNCTION("""COMPUTED_VALUE"""),40.666666666666664)</f>
        <v>40.66666667</v>
      </c>
      <c r="H505" s="17">
        <f>IFERROR(__xludf.DUMMYFUNCTION("""COMPUTED_VALUE"""),43672.0)</f>
        <v>43672</v>
      </c>
      <c r="I505" s="19">
        <f>IFERROR(__xludf.DUMMYFUNCTION("""COMPUTED_VALUE"""),3.8055555555555554)</f>
        <v>3.805555556</v>
      </c>
      <c r="J505" s="21">
        <f>IFERROR(__xludf.DUMMYFUNCTION("""COMPUTED_VALUE"""),63.0)</f>
        <v>63</v>
      </c>
      <c r="K505" s="23">
        <f>IFERROR(__xludf.DUMMYFUNCTION("""COMPUTED_VALUE"""),3.0)</f>
        <v>3</v>
      </c>
      <c r="L505" s="24">
        <f>IFERROR(__xludf.DUMMYFUNCTION("""COMPUTED_VALUE"""),9.0)</f>
        <v>9</v>
      </c>
      <c r="M505" s="25" t="str">
        <f>IFERROR(__xludf.DUMMYFUNCTION("""COMPUTED_VALUE"""),"Shooter")</f>
        <v>Shooter</v>
      </c>
      <c r="N505" s="25"/>
      <c r="O505" s="26" t="str">
        <f>IFERROR(__xludf.DUMMYFUNCTION("""COMPUTED_VALUE"""),"Yes")</f>
        <v>Yes</v>
      </c>
      <c r="P505" s="26"/>
    </row>
    <row r="506">
      <c r="A506" s="13" t="str">
        <f>IFERROR(__xludf.DUMMYFUNCTION("""COMPUTED_VALUE"""),"Star Wars Demolition")</f>
        <v>Star Wars Demolition</v>
      </c>
      <c r="B506" s="15" t="str">
        <f>IFERROR(__xludf.DUMMYFUNCTION("""COMPUTED_VALUE"""),"PS5/PS4")</f>
        <v>PS5/PS4</v>
      </c>
      <c r="C506" s="16" t="str">
        <f>IFERROR(__xludf.DUMMYFUNCTION("""COMPUTED_VALUE"""),"Premium (Classics)")</f>
        <v>Premium (Classics)</v>
      </c>
      <c r="D506" s="15" t="str">
        <f>IFERROR(__xludf.DUMMYFUNCTION("""COMPUTED_VALUE"""),"Active")</f>
        <v>Active</v>
      </c>
      <c r="E506" s="17">
        <f>IFERROR(__xludf.DUMMYFUNCTION("""COMPUTED_VALUE"""),44943.0)</f>
        <v>44943</v>
      </c>
      <c r="F506" s="54"/>
      <c r="G506" s="19">
        <f>IFERROR(__xludf.DUMMYFUNCTION("""COMPUTED_VALUE"""),44.63333333333333)</f>
        <v>44.63333333</v>
      </c>
      <c r="H506" s="17">
        <f>IFERROR(__xludf.DUMMYFUNCTION("""COMPUTED_VALUE"""),36842.0)</f>
        <v>36842</v>
      </c>
      <c r="I506" s="19">
        <f>IFERROR(__xludf.DUMMYFUNCTION("""COMPUTED_VALUE"""),22.180555555555557)</f>
        <v>22.18055556</v>
      </c>
      <c r="J506" s="21">
        <f>IFERROR(__xludf.DUMMYFUNCTION("""COMPUTED_VALUE"""),63.0)</f>
        <v>63</v>
      </c>
      <c r="K506" s="23">
        <f>IFERROR(__xludf.DUMMYFUNCTION("""COMPUTED_VALUE"""),7.1)</f>
        <v>7.1</v>
      </c>
      <c r="L506" s="24">
        <f>IFERROR(__xludf.DUMMYFUNCTION("""COMPUTED_VALUE"""),20.0)</f>
        <v>20</v>
      </c>
      <c r="M506" s="25" t="str">
        <f>IFERROR(__xludf.DUMMYFUNCTION("""COMPUTED_VALUE"""),"Action-Adventure")</f>
        <v>Action-Adventure</v>
      </c>
      <c r="N506" s="25" t="str">
        <f>IFERROR(__xludf.DUMMYFUNCTION("""COMPUTED_VALUE"""),"PS1")</f>
        <v>PS1</v>
      </c>
      <c r="O506" s="26" t="str">
        <f>IFERROR(__xludf.DUMMYFUNCTION("""COMPUTED_VALUE"""),"Yes")</f>
        <v>Yes</v>
      </c>
      <c r="P506" s="26"/>
    </row>
    <row r="507">
      <c r="A507" s="13" t="str">
        <f>IFERROR(__xludf.DUMMYFUNCTION("""COMPUTED_VALUE"""),"Assassin's Creed Chronicles: India")</f>
        <v>Assassin's Creed Chronicles: India</v>
      </c>
      <c r="B507" s="15" t="str">
        <f>IFERROR(__xludf.DUMMYFUNCTION("""COMPUTED_VALUE"""),"PS4")</f>
        <v>PS4</v>
      </c>
      <c r="C507" s="16" t="str">
        <f>IFERROR(__xludf.DUMMYFUNCTION("""COMPUTED_VALUE"""),"Extra (Ubisoft+ Classics)")</f>
        <v>Extra (Ubisoft+ Classics)</v>
      </c>
      <c r="D507" s="15" t="str">
        <f>IFERROR(__xludf.DUMMYFUNCTION("""COMPUTED_VALUE"""),"Active")</f>
        <v>Active</v>
      </c>
      <c r="E507" s="17">
        <f>IFERROR(__xludf.DUMMYFUNCTION("""COMPUTED_VALUE"""),44852.0)</f>
        <v>44852</v>
      </c>
      <c r="F507" s="54"/>
      <c r="G507" s="19">
        <f>IFERROR(__xludf.DUMMYFUNCTION("""COMPUTED_VALUE"""),47.6)</f>
        <v>47.6</v>
      </c>
      <c r="H507" s="17">
        <f>IFERROR(__xludf.DUMMYFUNCTION("""COMPUTED_VALUE"""),42381.0)</f>
        <v>42381</v>
      </c>
      <c r="I507" s="19">
        <f>IFERROR(__xludf.DUMMYFUNCTION("""COMPUTED_VALUE"""),6.766666666666667)</f>
        <v>6.766666667</v>
      </c>
      <c r="J507" s="21">
        <f>IFERROR(__xludf.DUMMYFUNCTION("""COMPUTED_VALUE"""),63.0)</f>
        <v>63</v>
      </c>
      <c r="K507" s="23">
        <f>IFERROR(__xludf.DUMMYFUNCTION("""COMPUTED_VALUE"""),4.3)</f>
        <v>4.3</v>
      </c>
      <c r="L507" s="24">
        <f>IFERROR(__xludf.DUMMYFUNCTION("""COMPUTED_VALUE"""),6.0)</f>
        <v>6</v>
      </c>
      <c r="M507" s="25" t="str">
        <f>IFERROR(__xludf.DUMMYFUNCTION("""COMPUTED_VALUE"""),"Platformer")</f>
        <v>Platformer</v>
      </c>
      <c r="N507" s="25"/>
      <c r="O507" s="26" t="str">
        <f>IFERROR(__xludf.DUMMYFUNCTION("""COMPUTED_VALUE"""),"Yes")</f>
        <v>Yes</v>
      </c>
      <c r="P507" s="26"/>
    </row>
    <row r="508">
      <c r="A508" s="13" t="str">
        <f>IFERROR(__xludf.DUMMYFUNCTION("""COMPUTED_VALUE"""),"Empire of Sin")</f>
        <v>Empire of Sin</v>
      </c>
      <c r="B508" s="15" t="str">
        <f>IFERROR(__xludf.DUMMYFUNCTION("""COMPUTED_VALUE"""),"PS4")</f>
        <v>PS4</v>
      </c>
      <c r="C508" s="16" t="str">
        <f>IFERROR(__xludf.DUMMYFUNCTION("""COMPUTED_VALUE"""),"Extra")</f>
        <v>Extra</v>
      </c>
      <c r="D508" s="15" t="str">
        <f>IFERROR(__xludf.DUMMYFUNCTION("""COMPUTED_VALUE"""),"Active")</f>
        <v>Active</v>
      </c>
      <c r="E508" s="17">
        <f>IFERROR(__xludf.DUMMYFUNCTION("""COMPUTED_VALUE"""),44725.0)</f>
        <v>44725</v>
      </c>
      <c r="F508" s="54"/>
      <c r="G508" s="19">
        <f>IFERROR(__xludf.DUMMYFUNCTION("""COMPUTED_VALUE"""),51.766666666666666)</f>
        <v>51.76666667</v>
      </c>
      <c r="H508" s="17">
        <f>IFERROR(__xludf.DUMMYFUNCTION("""COMPUTED_VALUE"""),44166.0)</f>
        <v>44166</v>
      </c>
      <c r="I508" s="19">
        <f>IFERROR(__xludf.DUMMYFUNCTION("""COMPUTED_VALUE"""),1.5333333333333334)</f>
        <v>1.533333333</v>
      </c>
      <c r="J508" s="21">
        <f>IFERROR(__xludf.DUMMYFUNCTION("""COMPUTED_VALUE"""),63.0)</f>
        <v>63</v>
      </c>
      <c r="K508" s="23">
        <f>IFERROR(__xludf.DUMMYFUNCTION("""COMPUTED_VALUE"""),6.2)</f>
        <v>6.2</v>
      </c>
      <c r="L508" s="24">
        <f>IFERROR(__xludf.DUMMYFUNCTION("""COMPUTED_VALUE"""),13.0)</f>
        <v>13</v>
      </c>
      <c r="M508" s="25" t="str">
        <f>IFERROR(__xludf.DUMMYFUNCTION("""COMPUTED_VALUE"""),"Strategy")</f>
        <v>Strategy</v>
      </c>
      <c r="N508" s="25"/>
      <c r="O508" s="26" t="str">
        <f>IFERROR(__xludf.DUMMYFUNCTION("""COMPUTED_VALUE"""),"Yes")</f>
        <v>Yes</v>
      </c>
      <c r="P508" s="26"/>
    </row>
    <row r="509">
      <c r="A509" s="13" t="str">
        <f>IFERROR(__xludf.DUMMYFUNCTION("""COMPUTED_VALUE"""),"Overpass")</f>
        <v>Overpass</v>
      </c>
      <c r="B509" s="15" t="str">
        <f>IFERROR(__xludf.DUMMYFUNCTION("""COMPUTED_VALUE"""),"PS4")</f>
        <v>PS4</v>
      </c>
      <c r="C509" s="16" t="str">
        <f>IFERROR(__xludf.DUMMYFUNCTION("""COMPUTED_VALUE"""),"Extra")</f>
        <v>Extra</v>
      </c>
      <c r="D509" s="15" t="str">
        <f>IFERROR(__xludf.DUMMYFUNCTION("""COMPUTED_VALUE"""),"Active")</f>
        <v>Active</v>
      </c>
      <c r="E509" s="17">
        <f>IFERROR(__xludf.DUMMYFUNCTION("""COMPUTED_VALUE"""),44725.0)</f>
        <v>44725</v>
      </c>
      <c r="F509" s="54"/>
      <c r="G509" s="19">
        <f>IFERROR(__xludf.DUMMYFUNCTION("""COMPUTED_VALUE"""),51.766666666666666)</f>
        <v>51.76666667</v>
      </c>
      <c r="H509" s="17">
        <f>IFERROR(__xludf.DUMMYFUNCTION("""COMPUTED_VALUE"""),43907.0)</f>
        <v>43907</v>
      </c>
      <c r="I509" s="19">
        <f>IFERROR(__xludf.DUMMYFUNCTION("""COMPUTED_VALUE"""),2.238888888888889)</f>
        <v>2.238888889</v>
      </c>
      <c r="J509" s="21">
        <f>IFERROR(__xludf.DUMMYFUNCTION("""COMPUTED_VALUE"""),63.0)</f>
        <v>63</v>
      </c>
      <c r="K509" s="23">
        <f>IFERROR(__xludf.DUMMYFUNCTION("""COMPUTED_VALUE"""),5.9)</f>
        <v>5.9</v>
      </c>
      <c r="L509" s="24">
        <f>IFERROR(__xludf.DUMMYFUNCTION("""COMPUTED_VALUE"""),8.0)</f>
        <v>8</v>
      </c>
      <c r="M509" s="25" t="str">
        <f>IFERROR(__xludf.DUMMYFUNCTION("""COMPUTED_VALUE"""),"Racing")</f>
        <v>Racing</v>
      </c>
      <c r="N509" s="25"/>
      <c r="O509" s="26" t="str">
        <f>IFERROR(__xludf.DUMMYFUNCTION("""COMPUTED_VALUE"""),"Yes")</f>
        <v>Yes</v>
      </c>
      <c r="P509" s="26" t="str">
        <f>IFERROR(__xludf.DUMMYFUNCTION("""COMPUTED_VALUE"""),"Yes")</f>
        <v>Yes</v>
      </c>
    </row>
    <row r="510">
      <c r="A510" s="13" t="str">
        <f>IFERROR(__xludf.DUMMYFUNCTION("""COMPUTED_VALUE"""),"Risk: Urban Assault")</f>
        <v>Risk: Urban Assault</v>
      </c>
      <c r="B510" s="15" t="str">
        <f>IFERROR(__xludf.DUMMYFUNCTION("""COMPUTED_VALUE"""),"PS4")</f>
        <v>PS4</v>
      </c>
      <c r="C510" s="16" t="str">
        <f>IFERROR(__xludf.DUMMYFUNCTION("""COMPUTED_VALUE"""),"Extra (Ubisoft+ Classics)")</f>
        <v>Extra (Ubisoft+ Classics)</v>
      </c>
      <c r="D510" s="15" t="str">
        <f>IFERROR(__xludf.DUMMYFUNCTION("""COMPUTED_VALUE"""),"Active")</f>
        <v>Active</v>
      </c>
      <c r="E510" s="17">
        <f>IFERROR(__xludf.DUMMYFUNCTION("""COMPUTED_VALUE"""),44725.0)</f>
        <v>44725</v>
      </c>
      <c r="F510" s="54"/>
      <c r="G510" s="19">
        <f>IFERROR(__xludf.DUMMYFUNCTION("""COMPUTED_VALUE"""),51.766666666666666)</f>
        <v>51.76666667</v>
      </c>
      <c r="H510" s="17">
        <f>IFERROR(__xludf.DUMMYFUNCTION("""COMPUTED_VALUE"""),42633.0)</f>
        <v>42633</v>
      </c>
      <c r="I510" s="19">
        <f>IFERROR(__xludf.DUMMYFUNCTION("""COMPUTED_VALUE"""),5.730555555555555)</f>
        <v>5.730555556</v>
      </c>
      <c r="J510" s="21">
        <f>IFERROR(__xludf.DUMMYFUNCTION("""COMPUTED_VALUE"""),63.0)</f>
        <v>63</v>
      </c>
      <c r="K510" s="23">
        <f>IFERROR(__xludf.DUMMYFUNCTION("""COMPUTED_VALUE"""),6.4)</f>
        <v>6.4</v>
      </c>
      <c r="L510" s="24"/>
      <c r="M510" s="25" t="str">
        <f>IFERROR(__xludf.DUMMYFUNCTION("""COMPUTED_VALUE"""),"Strategy")</f>
        <v>Strategy</v>
      </c>
      <c r="N510" s="25"/>
      <c r="O510" s="26" t="str">
        <f>IFERROR(__xludf.DUMMYFUNCTION("""COMPUTED_VALUE"""),"Yes")</f>
        <v>Yes</v>
      </c>
      <c r="P510" s="26" t="str">
        <f>IFERROR(__xludf.DUMMYFUNCTION("""COMPUTED_VALUE"""),"Yes")</f>
        <v>Yes</v>
      </c>
    </row>
    <row r="511">
      <c r="A511" s="13" t="str">
        <f>IFERROR(__xludf.DUMMYFUNCTION("""COMPUTED_VALUE"""),"Slitterhead")</f>
        <v>Slitterhead</v>
      </c>
      <c r="B511" s="15" t="str">
        <f>IFERROR(__xludf.DUMMYFUNCTION("""COMPUTED_VALUE"""),"PS5/PS4")</f>
        <v>PS5/PS4</v>
      </c>
      <c r="C511" s="16" t="str">
        <f>IFERROR(__xludf.DUMMYFUNCTION("""COMPUTED_VALUE"""),"Extra")</f>
        <v>Extra</v>
      </c>
      <c r="D511" s="15" t="str">
        <f>IFERROR(__xludf.DUMMYFUNCTION("""COMPUTED_VALUE"""),"Active")</f>
        <v>Active</v>
      </c>
      <c r="E511" s="17">
        <f>IFERROR(__xludf.DUMMYFUNCTION("""COMPUTED_VALUE"""),46287.0)</f>
        <v>46287</v>
      </c>
      <c r="F511" s="54"/>
      <c r="G511" s="19">
        <f>IFERROR(__xludf.DUMMYFUNCTION("""COMPUTED_VALUE"""),0.4666666666666667)</f>
        <v>0.4666666667</v>
      </c>
      <c r="H511" s="17">
        <f>IFERROR(__xludf.DUMMYFUNCTION("""COMPUTED_VALUE"""),45604.0)</f>
        <v>45604</v>
      </c>
      <c r="I511" s="19">
        <f>IFERROR(__xludf.DUMMYFUNCTION("""COMPUTED_VALUE"""),1.8722222222222222)</f>
        <v>1.872222222</v>
      </c>
      <c r="J511" s="21">
        <f>IFERROR(__xludf.DUMMYFUNCTION("""COMPUTED_VALUE"""),62.0)</f>
        <v>62</v>
      </c>
      <c r="K511" s="23">
        <f>IFERROR(__xludf.DUMMYFUNCTION("""COMPUTED_VALUE"""),7.5)</f>
        <v>7.5</v>
      </c>
      <c r="L511" s="24">
        <f>IFERROR(__xludf.DUMMYFUNCTION("""COMPUTED_VALUE"""),13.5)</f>
        <v>13.5</v>
      </c>
      <c r="M511" s="25" t="str">
        <f>IFERROR(__xludf.DUMMYFUNCTION("""COMPUTED_VALUE"""),"Survival")</f>
        <v>Survival</v>
      </c>
      <c r="N511" s="25"/>
      <c r="O511" s="26"/>
      <c r="P511" s="26"/>
    </row>
    <row r="512">
      <c r="A512" s="13" t="str">
        <f>IFERROR(__xludf.DUMMYFUNCTION("""COMPUTED_VALUE"""),"Star Wars Episode I: The Phantom Menace")</f>
        <v>Star Wars Episode I: The Phantom Menace</v>
      </c>
      <c r="B512" s="15" t="str">
        <f>IFERROR(__xludf.DUMMYFUNCTION("""COMPUTED_VALUE"""),"PS5/PS4")</f>
        <v>PS5/PS4</v>
      </c>
      <c r="C512" s="16" t="str">
        <f>IFERROR(__xludf.DUMMYFUNCTION("""COMPUTED_VALUE"""),"Premium (Classics)")</f>
        <v>Premium (Classics)</v>
      </c>
      <c r="D512" s="15" t="str">
        <f>IFERROR(__xludf.DUMMYFUNCTION("""COMPUTED_VALUE"""),"Active")</f>
        <v>Active</v>
      </c>
      <c r="E512" s="17">
        <f>IFERROR(__xludf.DUMMYFUNCTION("""COMPUTED_VALUE"""),45307.0)</f>
        <v>45307</v>
      </c>
      <c r="F512" s="54"/>
      <c r="G512" s="19">
        <f>IFERROR(__xludf.DUMMYFUNCTION("""COMPUTED_VALUE"""),32.66666666666667)</f>
        <v>32.66666667</v>
      </c>
      <c r="H512" s="17">
        <f>IFERROR(__xludf.DUMMYFUNCTION("""COMPUTED_VALUE"""),36311.0)</f>
        <v>36311</v>
      </c>
      <c r="I512" s="19">
        <f>IFERROR(__xludf.DUMMYFUNCTION("""COMPUTED_VALUE"""),24.627777777777776)</f>
        <v>24.62777778</v>
      </c>
      <c r="J512" s="21">
        <f>IFERROR(__xludf.DUMMYFUNCTION("""COMPUTED_VALUE"""),62.0)</f>
        <v>62</v>
      </c>
      <c r="K512" s="23">
        <f>IFERROR(__xludf.DUMMYFUNCTION("""COMPUTED_VALUE"""),7.4)</f>
        <v>7.4</v>
      </c>
      <c r="L512" s="24">
        <f>IFERROR(__xludf.DUMMYFUNCTION("""COMPUTED_VALUE"""),8.0)</f>
        <v>8</v>
      </c>
      <c r="M512" s="25" t="str">
        <f>IFERROR(__xludf.DUMMYFUNCTION("""COMPUTED_VALUE"""),"Action-Adventure")</f>
        <v>Action-Adventure</v>
      </c>
      <c r="N512" s="25" t="str">
        <f>IFERROR(__xludf.DUMMYFUNCTION("""COMPUTED_VALUE"""),"PS1")</f>
        <v>PS1</v>
      </c>
      <c r="O512" s="26" t="str">
        <f>IFERROR(__xludf.DUMMYFUNCTION("""COMPUTED_VALUE"""),"Yes")</f>
        <v>Yes</v>
      </c>
      <c r="P512" s="26"/>
    </row>
    <row r="513">
      <c r="A513" s="13" t="str">
        <f>IFERROR(__xludf.DUMMYFUNCTION("""COMPUTED_VALUE"""),"Adventure Time: Pirates of the Enchiridion")</f>
        <v>Adventure Time: Pirates of the Enchiridion</v>
      </c>
      <c r="B513" s="15" t="str">
        <f>IFERROR(__xludf.DUMMYFUNCTION("""COMPUTED_VALUE"""),"PS4")</f>
        <v>PS4</v>
      </c>
      <c r="C513" s="16" t="str">
        <f>IFERROR(__xludf.DUMMYFUNCTION("""COMPUTED_VALUE"""),"Extra")</f>
        <v>Extra</v>
      </c>
      <c r="D513" s="15" t="str">
        <f>IFERROR(__xludf.DUMMYFUNCTION("""COMPUTED_VALUE"""),"Active")</f>
        <v>Active</v>
      </c>
      <c r="E513" s="17">
        <f>IFERROR(__xludf.DUMMYFUNCTION("""COMPUTED_VALUE"""),44915.0)</f>
        <v>44915</v>
      </c>
      <c r="F513" s="54"/>
      <c r="G513" s="19">
        <f>IFERROR(__xludf.DUMMYFUNCTION("""COMPUTED_VALUE"""),45.53333333333333)</f>
        <v>45.53333333</v>
      </c>
      <c r="H513" s="17">
        <f>IFERROR(__xludf.DUMMYFUNCTION("""COMPUTED_VALUE"""),43298.0)</f>
        <v>43298</v>
      </c>
      <c r="I513" s="19">
        <f>IFERROR(__xludf.DUMMYFUNCTION("""COMPUTED_VALUE"""),4.425)</f>
        <v>4.425</v>
      </c>
      <c r="J513" s="21">
        <f>IFERROR(__xludf.DUMMYFUNCTION("""COMPUTED_VALUE"""),62.0)</f>
        <v>62</v>
      </c>
      <c r="K513" s="23">
        <f>IFERROR(__xludf.DUMMYFUNCTION("""COMPUTED_VALUE"""),6.3)</f>
        <v>6.3</v>
      </c>
      <c r="L513" s="24">
        <f>IFERROR(__xludf.DUMMYFUNCTION("""COMPUTED_VALUE"""),6.0)</f>
        <v>6</v>
      </c>
      <c r="M513" s="25" t="str">
        <f>IFERROR(__xludf.DUMMYFUNCTION("""COMPUTED_VALUE"""),"RPG")</f>
        <v>RPG</v>
      </c>
      <c r="N513" s="25"/>
      <c r="O513" s="26" t="str">
        <f>IFERROR(__xludf.DUMMYFUNCTION("""COMPUTED_VALUE"""),"Yes")</f>
        <v>Yes</v>
      </c>
      <c r="P513" s="26"/>
    </row>
    <row r="514">
      <c r="A514" s="13" t="str">
        <f>IFERROR(__xludf.DUMMYFUNCTION("""COMPUTED_VALUE"""),"FIA European Truck Racing Championship")</f>
        <v>FIA European Truck Racing Championship</v>
      </c>
      <c r="B514" s="15" t="str">
        <f>IFERROR(__xludf.DUMMYFUNCTION("""COMPUTED_VALUE"""),"PS4")</f>
        <v>PS4</v>
      </c>
      <c r="C514" s="16" t="str">
        <f>IFERROR(__xludf.DUMMYFUNCTION("""COMPUTED_VALUE"""),"Extra")</f>
        <v>Extra</v>
      </c>
      <c r="D514" s="15" t="str">
        <f>IFERROR(__xludf.DUMMYFUNCTION("""COMPUTED_VALUE"""),"Active")</f>
        <v>Active</v>
      </c>
      <c r="E514" s="17">
        <f>IFERROR(__xludf.DUMMYFUNCTION("""COMPUTED_VALUE"""),44725.0)</f>
        <v>44725</v>
      </c>
      <c r="F514" s="54"/>
      <c r="G514" s="19">
        <f>IFERROR(__xludf.DUMMYFUNCTION("""COMPUTED_VALUE"""),51.766666666666666)</f>
        <v>51.76666667</v>
      </c>
      <c r="H514" s="17">
        <f>IFERROR(__xludf.DUMMYFUNCTION("""COMPUTED_VALUE"""),43664.0)</f>
        <v>43664</v>
      </c>
      <c r="I514" s="19">
        <f>IFERROR(__xludf.DUMMYFUNCTION("""COMPUTED_VALUE"""),2.9027777777777777)</f>
        <v>2.902777778</v>
      </c>
      <c r="J514" s="21">
        <f>IFERROR(__xludf.DUMMYFUNCTION("""COMPUTED_VALUE"""),62.0)</f>
        <v>62</v>
      </c>
      <c r="K514" s="23">
        <f>IFERROR(__xludf.DUMMYFUNCTION("""COMPUTED_VALUE"""),5.7)</f>
        <v>5.7</v>
      </c>
      <c r="L514" s="24">
        <f>IFERROR(__xludf.DUMMYFUNCTION("""COMPUTED_VALUE"""),11.0)</f>
        <v>11</v>
      </c>
      <c r="M514" s="25" t="str">
        <f>IFERROR(__xludf.DUMMYFUNCTION("""COMPUTED_VALUE"""),"Racing")</f>
        <v>Racing</v>
      </c>
      <c r="N514" s="25"/>
      <c r="O514" s="26" t="str">
        <f>IFERROR(__xludf.DUMMYFUNCTION("""COMPUTED_VALUE"""),"Yes")</f>
        <v>Yes</v>
      </c>
      <c r="P514" s="26" t="str">
        <f>IFERROR(__xludf.DUMMYFUNCTION("""COMPUTED_VALUE"""),"Yes")</f>
        <v>Yes</v>
      </c>
    </row>
    <row r="515">
      <c r="A515" s="13" t="str">
        <f>IFERROR(__xludf.DUMMYFUNCTION("""COMPUTED_VALUE"""),"Warhammer 40,000: Inquisitor - Martyr")</f>
        <v>Warhammer 40,000: Inquisitor - Martyr</v>
      </c>
      <c r="B515" s="15" t="str">
        <f>IFERROR(__xludf.DUMMYFUNCTION("""COMPUTED_VALUE"""),"PS4")</f>
        <v>PS4</v>
      </c>
      <c r="C515" s="16" t="str">
        <f>IFERROR(__xludf.DUMMYFUNCTION("""COMPUTED_VALUE"""),"Extra")</f>
        <v>Extra</v>
      </c>
      <c r="D515" s="15" t="str">
        <f>IFERROR(__xludf.DUMMYFUNCTION("""COMPUTED_VALUE"""),"Active")</f>
        <v>Active</v>
      </c>
      <c r="E515" s="17">
        <f>IFERROR(__xludf.DUMMYFUNCTION("""COMPUTED_VALUE"""),44725.0)</f>
        <v>44725</v>
      </c>
      <c r="F515" s="54"/>
      <c r="G515" s="19">
        <f>IFERROR(__xludf.DUMMYFUNCTION("""COMPUTED_VALUE"""),51.766666666666666)</f>
        <v>51.76666667</v>
      </c>
      <c r="H515" s="17">
        <f>IFERROR(__xludf.DUMMYFUNCTION("""COMPUTED_VALUE"""),43256.0)</f>
        <v>43256</v>
      </c>
      <c r="I515" s="19">
        <f>IFERROR(__xludf.DUMMYFUNCTION("""COMPUTED_VALUE"""),4.022222222222222)</f>
        <v>4.022222222</v>
      </c>
      <c r="J515" s="21">
        <f>IFERROR(__xludf.DUMMYFUNCTION("""COMPUTED_VALUE"""),62.0)</f>
        <v>62</v>
      </c>
      <c r="K515" s="23">
        <f>IFERROR(__xludf.DUMMYFUNCTION("""COMPUTED_VALUE"""),6.7)</f>
        <v>6.7</v>
      </c>
      <c r="L515" s="24">
        <f>IFERROR(__xludf.DUMMYFUNCTION("""COMPUTED_VALUE"""),40.0)</f>
        <v>40</v>
      </c>
      <c r="M515" s="25" t="str">
        <f>IFERROR(__xludf.DUMMYFUNCTION("""COMPUTED_VALUE"""),"RPG")</f>
        <v>RPG</v>
      </c>
      <c r="N515" s="25"/>
      <c r="O515" s="26" t="str">
        <f>IFERROR(__xludf.DUMMYFUNCTION("""COMPUTED_VALUE"""),"Yes")</f>
        <v>Yes</v>
      </c>
      <c r="P515" s="26" t="str">
        <f>IFERROR(__xludf.DUMMYFUNCTION("""COMPUTED_VALUE"""),"Yes")</f>
        <v>Yes</v>
      </c>
    </row>
    <row r="516">
      <c r="A516" s="13" t="str">
        <f>IFERROR(__xludf.DUMMYFUNCTION("""COMPUTED_VALUE"""),"Totally Reliable Delivery Service")</f>
        <v>Totally Reliable Delivery Service</v>
      </c>
      <c r="B516" s="15" t="str">
        <f>IFERROR(__xludf.DUMMYFUNCTION("""COMPUTED_VALUE"""),"PS4")</f>
        <v>PS4</v>
      </c>
      <c r="C516" s="16" t="str">
        <f>IFERROR(__xludf.DUMMYFUNCTION("""COMPUTED_VALUE"""),"Extra")</f>
        <v>Extra</v>
      </c>
      <c r="D516" s="15" t="str">
        <f>IFERROR(__xludf.DUMMYFUNCTION("""COMPUTED_VALUE"""),"Active")</f>
        <v>Active</v>
      </c>
      <c r="E516" s="17">
        <f>IFERROR(__xludf.DUMMYFUNCTION("""COMPUTED_VALUE"""),44502.0)</f>
        <v>44502</v>
      </c>
      <c r="F516" s="54"/>
      <c r="G516" s="19">
        <f>IFERROR(__xludf.DUMMYFUNCTION("""COMPUTED_VALUE"""),59.13333333333334)</f>
        <v>59.13333333</v>
      </c>
      <c r="H516" s="17">
        <f>IFERROR(__xludf.DUMMYFUNCTION("""COMPUTED_VALUE"""),43922.0)</f>
        <v>43922</v>
      </c>
      <c r="I516" s="19">
        <f>IFERROR(__xludf.DUMMYFUNCTION("""COMPUTED_VALUE"""),1.586111111111111)</f>
        <v>1.586111111</v>
      </c>
      <c r="J516" s="21">
        <f>IFERROR(__xludf.DUMMYFUNCTION("""COMPUTED_VALUE"""),62.0)</f>
        <v>62</v>
      </c>
      <c r="K516" s="23">
        <f>IFERROR(__xludf.DUMMYFUNCTION("""COMPUTED_VALUE"""),6.0)</f>
        <v>6</v>
      </c>
      <c r="L516" s="24">
        <f>IFERROR(__xludf.DUMMYFUNCTION("""COMPUTED_VALUE"""),4.0)</f>
        <v>4</v>
      </c>
      <c r="M516" s="25" t="str">
        <f>IFERROR(__xludf.DUMMYFUNCTION("""COMPUTED_VALUE"""),"Platformer")</f>
        <v>Platformer</v>
      </c>
      <c r="N516" s="25"/>
      <c r="O516" s="26" t="str">
        <f>IFERROR(__xludf.DUMMYFUNCTION("""COMPUTED_VALUE"""),"No")</f>
        <v>No</v>
      </c>
      <c r="P516" s="26" t="str">
        <f>IFERROR(__xludf.DUMMYFUNCTION("""COMPUTED_VALUE"""),"Yes")</f>
        <v>Yes</v>
      </c>
    </row>
    <row r="517">
      <c r="A517" s="13" t="str">
        <f>IFERROR(__xludf.DUMMYFUNCTION("""COMPUTED_VALUE"""),"The Witch and the Hundred Knight: Revival Edition")</f>
        <v>The Witch and the Hundred Knight: Revival Edition</v>
      </c>
      <c r="B517" s="15" t="str">
        <f>IFERROR(__xludf.DUMMYFUNCTION("""COMPUTED_VALUE"""),"PS4")</f>
        <v>PS4</v>
      </c>
      <c r="C517" s="16" t="str">
        <f>IFERROR(__xludf.DUMMYFUNCTION("""COMPUTED_VALUE"""),"Extra")</f>
        <v>Extra</v>
      </c>
      <c r="D517" s="15" t="str">
        <f>IFERROR(__xludf.DUMMYFUNCTION("""COMPUTED_VALUE"""),"Active")</f>
        <v>Active</v>
      </c>
      <c r="E517" s="17">
        <f>IFERROR(__xludf.DUMMYFUNCTION("""COMPUTED_VALUE"""),43011.0)</f>
        <v>43011</v>
      </c>
      <c r="F517" s="54"/>
      <c r="G517" s="19">
        <f>IFERROR(__xludf.DUMMYFUNCTION("""COMPUTED_VALUE"""),108.1)</f>
        <v>108.1</v>
      </c>
      <c r="H517" s="17">
        <f>IFERROR(__xludf.DUMMYFUNCTION("""COMPUTED_VALUE"""),42430.0)</f>
        <v>42430</v>
      </c>
      <c r="I517" s="19">
        <f>IFERROR(__xludf.DUMMYFUNCTION("""COMPUTED_VALUE"""),1.5888888888888888)</f>
        <v>1.588888889</v>
      </c>
      <c r="J517" s="21">
        <f>IFERROR(__xludf.DUMMYFUNCTION("""COMPUTED_VALUE"""),62.0)</f>
        <v>62</v>
      </c>
      <c r="K517" s="23">
        <f>IFERROR(__xludf.DUMMYFUNCTION("""COMPUTED_VALUE"""),7.1)</f>
        <v>7.1</v>
      </c>
      <c r="L517" s="24">
        <f>IFERROR(__xludf.DUMMYFUNCTION("""COMPUTED_VALUE"""),45.0)</f>
        <v>45</v>
      </c>
      <c r="M517" s="25" t="str">
        <f>IFERROR(__xludf.DUMMYFUNCTION("""COMPUTED_VALUE"""),"RPG")</f>
        <v>RPG</v>
      </c>
      <c r="N517" s="25"/>
      <c r="O517" s="26" t="str">
        <f>IFERROR(__xludf.DUMMYFUNCTION("""COMPUTED_VALUE"""),"Yes")</f>
        <v>Yes</v>
      </c>
      <c r="P517" s="26"/>
    </row>
    <row r="518">
      <c r="A518" s="13" t="str">
        <f>IFERROR(__xludf.DUMMYFUNCTION("""COMPUTED_VALUE"""),"I Am Bread")</f>
        <v>I Am Bread</v>
      </c>
      <c r="B518" s="15" t="str">
        <f>IFERROR(__xludf.DUMMYFUNCTION("""COMPUTED_VALUE"""),"PS4")</f>
        <v>PS4</v>
      </c>
      <c r="C518" s="16" t="str">
        <f>IFERROR(__xludf.DUMMYFUNCTION("""COMPUTED_VALUE"""),"Extra")</f>
        <v>Extra</v>
      </c>
      <c r="D518" s="15" t="str">
        <f>IFERROR(__xludf.DUMMYFUNCTION("""COMPUTED_VALUE"""),"Active")</f>
        <v>Active</v>
      </c>
      <c r="E518" s="17">
        <f>IFERROR(__xludf.DUMMYFUNCTION("""COMPUTED_VALUE"""),44725.0)</f>
        <v>44725</v>
      </c>
      <c r="F518" s="54"/>
      <c r="G518" s="19">
        <f>IFERROR(__xludf.DUMMYFUNCTION("""COMPUTED_VALUE"""),51.766666666666666)</f>
        <v>51.76666667</v>
      </c>
      <c r="H518" s="17">
        <f>IFERROR(__xludf.DUMMYFUNCTION("""COMPUTED_VALUE"""),42217.0)</f>
        <v>42217</v>
      </c>
      <c r="I518" s="19">
        <f>IFERROR(__xludf.DUMMYFUNCTION("""COMPUTED_VALUE"""),6.866666666666666)</f>
        <v>6.866666667</v>
      </c>
      <c r="J518" s="21">
        <f>IFERROR(__xludf.DUMMYFUNCTION("""COMPUTED_VALUE"""),61.0)</f>
        <v>61</v>
      </c>
      <c r="K518" s="23">
        <f>IFERROR(__xludf.DUMMYFUNCTION("""COMPUTED_VALUE"""),6.7)</f>
        <v>6.7</v>
      </c>
      <c r="L518" s="24">
        <f>IFERROR(__xludf.DUMMYFUNCTION("""COMPUTED_VALUE"""),3.0)</f>
        <v>3</v>
      </c>
      <c r="M518" s="25" t="str">
        <f>IFERROR(__xludf.DUMMYFUNCTION("""COMPUTED_VALUE"""),"Puzzle")</f>
        <v>Puzzle</v>
      </c>
      <c r="N518" s="25"/>
      <c r="O518" s="26" t="str">
        <f>IFERROR(__xludf.DUMMYFUNCTION("""COMPUTED_VALUE"""),"Yes")</f>
        <v>Yes</v>
      </c>
      <c r="P518" s="26" t="str">
        <f>IFERROR(__xludf.DUMMYFUNCTION("""COMPUTED_VALUE"""),"Yes")</f>
        <v>Yes</v>
      </c>
    </row>
    <row r="519">
      <c r="A519" s="13" t="str">
        <f>IFERROR(__xludf.DUMMYFUNCTION("""COMPUTED_VALUE"""),"Outcast: Second Contact")</f>
        <v>Outcast: Second Contact</v>
      </c>
      <c r="B519" s="15" t="str">
        <f>IFERROR(__xludf.DUMMYFUNCTION("""COMPUTED_VALUE"""),"PS4")</f>
        <v>PS4</v>
      </c>
      <c r="C519" s="16" t="str">
        <f>IFERROR(__xludf.DUMMYFUNCTION("""COMPUTED_VALUE"""),"Premium (Remasters)")</f>
        <v>Premium (Remasters)</v>
      </c>
      <c r="D519" s="15" t="str">
        <f>IFERROR(__xludf.DUMMYFUNCTION("""COMPUTED_VALUE"""),"Active")</f>
        <v>Active</v>
      </c>
      <c r="E519" s="17">
        <f>IFERROR(__xludf.DUMMYFUNCTION("""COMPUTED_VALUE"""),44725.0)</f>
        <v>44725</v>
      </c>
      <c r="F519" s="54"/>
      <c r="G519" s="19">
        <f>IFERROR(__xludf.DUMMYFUNCTION("""COMPUTED_VALUE"""),51.766666666666666)</f>
        <v>51.76666667</v>
      </c>
      <c r="H519" s="17">
        <f>IFERROR(__xludf.DUMMYFUNCTION("""COMPUTED_VALUE"""),43040.0)</f>
        <v>43040</v>
      </c>
      <c r="I519" s="19">
        <f>IFERROR(__xludf.DUMMYFUNCTION("""COMPUTED_VALUE"""),4.616666666666666)</f>
        <v>4.616666667</v>
      </c>
      <c r="J519" s="21">
        <f>IFERROR(__xludf.DUMMYFUNCTION("""COMPUTED_VALUE"""),61.0)</f>
        <v>61</v>
      </c>
      <c r="K519" s="23">
        <f>IFERROR(__xludf.DUMMYFUNCTION("""COMPUTED_VALUE"""),6.6)</f>
        <v>6.6</v>
      </c>
      <c r="L519" s="24">
        <f>IFERROR(__xludf.DUMMYFUNCTION("""COMPUTED_VALUE"""),15.0)</f>
        <v>15</v>
      </c>
      <c r="M519" s="25" t="str">
        <f>IFERROR(__xludf.DUMMYFUNCTION("""COMPUTED_VALUE"""),"Action-Adventure")</f>
        <v>Action-Adventure</v>
      </c>
      <c r="N519" s="25" t="str">
        <f>IFERROR(__xludf.DUMMYFUNCTION("""COMPUTED_VALUE"""),"Windows")</f>
        <v>Windows</v>
      </c>
      <c r="O519" s="26" t="str">
        <f>IFERROR(__xludf.DUMMYFUNCTION("""COMPUTED_VALUE"""),"Yes")</f>
        <v>Yes</v>
      </c>
      <c r="P519" s="26"/>
    </row>
    <row r="520">
      <c r="A520" s="13" t="str">
        <f>IFERROR(__xludf.DUMMYFUNCTION("""COMPUTED_VALUE"""),"Power Rangers: Battle For The Grid")</f>
        <v>Power Rangers: Battle For The Grid</v>
      </c>
      <c r="B520" s="15" t="str">
        <f>IFERROR(__xludf.DUMMYFUNCTION("""COMPUTED_VALUE"""),"PS4")</f>
        <v>PS4</v>
      </c>
      <c r="C520" s="16" t="str">
        <f>IFERROR(__xludf.DUMMYFUNCTION("""COMPUTED_VALUE"""),"Extra")</f>
        <v>Extra</v>
      </c>
      <c r="D520" s="15" t="str">
        <f>IFERROR(__xludf.DUMMYFUNCTION("""COMPUTED_VALUE"""),"Active")</f>
        <v>Active</v>
      </c>
      <c r="E520" s="17">
        <f>IFERROR(__xludf.DUMMYFUNCTION("""COMPUTED_VALUE"""),44047.0)</f>
        <v>44047</v>
      </c>
      <c r="F520" s="54"/>
      <c r="G520" s="19">
        <f>IFERROR(__xludf.DUMMYFUNCTION("""COMPUTED_VALUE"""),74.06666666666666)</f>
        <v>74.06666667</v>
      </c>
      <c r="H520" s="17">
        <f>IFERROR(__xludf.DUMMYFUNCTION("""COMPUTED_VALUE"""),43550.0)</f>
        <v>43550</v>
      </c>
      <c r="I520" s="19">
        <f>IFERROR(__xludf.DUMMYFUNCTION("""COMPUTED_VALUE"""),1.3555555555555556)</f>
        <v>1.355555556</v>
      </c>
      <c r="J520" s="21">
        <f>IFERROR(__xludf.DUMMYFUNCTION("""COMPUTED_VALUE"""),61.0)</f>
        <v>61</v>
      </c>
      <c r="K520" s="23">
        <f>IFERROR(__xludf.DUMMYFUNCTION("""COMPUTED_VALUE"""),7.2)</f>
        <v>7.2</v>
      </c>
      <c r="L520" s="24">
        <f>IFERROR(__xludf.DUMMYFUNCTION("""COMPUTED_VALUE"""),3.0)</f>
        <v>3</v>
      </c>
      <c r="M520" s="25" t="str">
        <f>IFERROR(__xludf.DUMMYFUNCTION("""COMPUTED_VALUE"""),"Fighting")</f>
        <v>Fighting</v>
      </c>
      <c r="N520" s="25"/>
      <c r="O520" s="26" t="str">
        <f>IFERROR(__xludf.DUMMYFUNCTION("""COMPUTED_VALUE"""),"Yes")</f>
        <v>Yes</v>
      </c>
      <c r="P520" s="26" t="str">
        <f>IFERROR(__xludf.DUMMYFUNCTION("""COMPUTED_VALUE"""),"Yes")</f>
        <v>Yes</v>
      </c>
    </row>
    <row r="521">
      <c r="A521" s="13" t="str">
        <f>IFERROR(__xludf.DUMMYFUNCTION("""COMPUTED_VALUE"""),"Blood Bowl III")</f>
        <v>Blood Bowl III</v>
      </c>
      <c r="B521" s="15" t="str">
        <f>IFERROR(__xludf.DUMMYFUNCTION("""COMPUTED_VALUE"""),"PS5/PS4")</f>
        <v>PS5/PS4</v>
      </c>
      <c r="C521" s="16" t="str">
        <f>IFERROR(__xludf.DUMMYFUNCTION("""COMPUTED_VALUE"""),"Extra")</f>
        <v>Extra</v>
      </c>
      <c r="D521" s="15" t="str">
        <f>IFERROR(__xludf.DUMMYFUNCTION("""COMPUTED_VALUE"""),"Active")</f>
        <v>Active</v>
      </c>
      <c r="E521" s="17">
        <f>IFERROR(__xludf.DUMMYFUNCTION("""COMPUTED_VALUE"""),45370.0)</f>
        <v>45370</v>
      </c>
      <c r="F521" s="54"/>
      <c r="G521" s="19">
        <f>IFERROR(__xludf.DUMMYFUNCTION("""COMPUTED_VALUE"""),30.566666666666663)</f>
        <v>30.56666667</v>
      </c>
      <c r="H521" s="17">
        <f>IFERROR(__xludf.DUMMYFUNCTION("""COMPUTED_VALUE"""),44980.0)</f>
        <v>44980</v>
      </c>
      <c r="I521" s="19">
        <f>IFERROR(__xludf.DUMMYFUNCTION("""COMPUTED_VALUE"""),1.0722222222222222)</f>
        <v>1.072222222</v>
      </c>
      <c r="J521" s="21">
        <f>IFERROR(__xludf.DUMMYFUNCTION("""COMPUTED_VALUE"""),60.0)</f>
        <v>60</v>
      </c>
      <c r="K521" s="23">
        <f>IFERROR(__xludf.DUMMYFUNCTION("""COMPUTED_VALUE"""),1.6)</f>
        <v>1.6</v>
      </c>
      <c r="L521" s="24">
        <f>IFERROR(__xludf.DUMMYFUNCTION("""COMPUTED_VALUE"""),15.0)</f>
        <v>15</v>
      </c>
      <c r="M521" s="25" t="str">
        <f>IFERROR(__xludf.DUMMYFUNCTION("""COMPUTED_VALUE"""),"Sports")</f>
        <v>Sports</v>
      </c>
      <c r="N521" s="25"/>
      <c r="O521" s="26" t="str">
        <f>IFERROR(__xludf.DUMMYFUNCTION("""COMPUTED_VALUE"""),"Yes")</f>
        <v>Yes</v>
      </c>
      <c r="P521" s="26"/>
    </row>
    <row r="522">
      <c r="A522" s="13" t="str">
        <f>IFERROR(__xludf.DUMMYFUNCTION("""COMPUTED_VALUE"""),"A-Train Express")</f>
        <v>A-Train Express</v>
      </c>
      <c r="B522" s="15" t="str">
        <f>IFERROR(__xludf.DUMMYFUNCTION("""COMPUTED_VALUE"""),"PS4")</f>
        <v>PS4</v>
      </c>
      <c r="C522" s="16" t="str">
        <f>IFERROR(__xludf.DUMMYFUNCTION("""COMPUTED_VALUE"""),"Extra")</f>
        <v>Extra</v>
      </c>
      <c r="D522" s="15" t="str">
        <f>IFERROR(__xludf.DUMMYFUNCTION("""COMPUTED_VALUE"""),"Active")</f>
        <v>Active</v>
      </c>
      <c r="E522" s="17">
        <f>IFERROR(__xludf.DUMMYFUNCTION("""COMPUTED_VALUE"""),45218.0)</f>
        <v>45218</v>
      </c>
      <c r="F522" s="54"/>
      <c r="G522" s="19">
        <f>IFERROR(__xludf.DUMMYFUNCTION("""COMPUTED_VALUE"""),35.56666666666667)</f>
        <v>35.56666667</v>
      </c>
      <c r="H522" s="17">
        <f>IFERROR(__xludf.DUMMYFUNCTION("""COMPUTED_VALUE"""),43607.0)</f>
        <v>43607</v>
      </c>
      <c r="I522" s="19">
        <f>IFERROR(__xludf.DUMMYFUNCTION("""COMPUTED_VALUE"""),4.408333333333333)</f>
        <v>4.408333333</v>
      </c>
      <c r="J522" s="21">
        <f>IFERROR(__xludf.DUMMYFUNCTION("""COMPUTED_VALUE"""),60.0)</f>
        <v>60</v>
      </c>
      <c r="K522" s="23"/>
      <c r="L522" s="24"/>
      <c r="M522" s="25" t="str">
        <f>IFERROR(__xludf.DUMMYFUNCTION("""COMPUTED_VALUE"""),"Simulation")</f>
        <v>Simulation</v>
      </c>
      <c r="N522" s="25"/>
      <c r="O522" s="26" t="str">
        <f>IFERROR(__xludf.DUMMYFUNCTION("""COMPUTED_VALUE"""),"Yes")</f>
        <v>Yes</v>
      </c>
      <c r="P522" s="26"/>
    </row>
    <row r="523">
      <c r="A523" s="13" t="str">
        <f>IFERROR(__xludf.DUMMYFUNCTION("""COMPUTED_VALUE"""),"PJ Masks: Heroes of the Night")</f>
        <v>PJ Masks: Heroes of the Night</v>
      </c>
      <c r="B523" s="15" t="str">
        <f>IFERROR(__xludf.DUMMYFUNCTION("""COMPUTED_VALUE"""),"PS5/PS4")</f>
        <v>PS5/PS4</v>
      </c>
      <c r="C523" s="16" t="str">
        <f>IFERROR(__xludf.DUMMYFUNCTION("""COMPUTED_VALUE"""),"Extra")</f>
        <v>Extra</v>
      </c>
      <c r="D523" s="15" t="str">
        <f>IFERROR(__xludf.DUMMYFUNCTION("""COMPUTED_VALUE"""),"Active")</f>
        <v>Active</v>
      </c>
      <c r="E523" s="17">
        <f>IFERROR(__xludf.DUMMYFUNCTION("""COMPUTED_VALUE"""),45153.0)</f>
        <v>45153</v>
      </c>
      <c r="F523" s="54"/>
      <c r="G523" s="19">
        <f>IFERROR(__xludf.DUMMYFUNCTION("""COMPUTED_VALUE"""),37.7)</f>
        <v>37.7</v>
      </c>
      <c r="H523" s="17">
        <f>IFERROR(__xludf.DUMMYFUNCTION("""COMPUTED_VALUE"""),44498.0)</f>
        <v>44498</v>
      </c>
      <c r="I523" s="19">
        <f>IFERROR(__xludf.DUMMYFUNCTION("""COMPUTED_VALUE"""),1.7944444444444445)</f>
        <v>1.794444444</v>
      </c>
      <c r="J523" s="21">
        <f>IFERROR(__xludf.DUMMYFUNCTION("""COMPUTED_VALUE"""),60.0)</f>
        <v>60</v>
      </c>
      <c r="K523" s="23">
        <f>IFERROR(__xludf.DUMMYFUNCTION("""COMPUTED_VALUE"""),5.0)</f>
        <v>5</v>
      </c>
      <c r="L523" s="24">
        <f>IFERROR(__xludf.DUMMYFUNCTION("""COMPUTED_VALUE"""),3.0)</f>
        <v>3</v>
      </c>
      <c r="M523" s="25" t="str">
        <f>IFERROR(__xludf.DUMMYFUNCTION("""COMPUTED_VALUE"""),"Platformer")</f>
        <v>Platformer</v>
      </c>
      <c r="N523" s="25"/>
      <c r="O523" s="26" t="str">
        <f>IFERROR(__xludf.DUMMYFUNCTION("""COMPUTED_VALUE"""),"Yes")</f>
        <v>Yes</v>
      </c>
      <c r="P523" s="26"/>
    </row>
    <row r="524">
      <c r="A524" s="13" t="str">
        <f>IFERROR(__xludf.DUMMYFUNCTION("""COMPUTED_VALUE"""),"PAW Patrol Mighty Pups Save Adventure Bay")</f>
        <v>PAW Patrol Mighty Pups Save Adventure Bay</v>
      </c>
      <c r="B524" s="15" t="str">
        <f>IFERROR(__xludf.DUMMYFUNCTION("""COMPUTED_VALUE"""),"PS5/PS4")</f>
        <v>PS5/PS4</v>
      </c>
      <c r="C524" s="16" t="str">
        <f>IFERROR(__xludf.DUMMYFUNCTION("""COMPUTED_VALUE"""),"Extra")</f>
        <v>Extra</v>
      </c>
      <c r="D524" s="15" t="str">
        <f>IFERROR(__xludf.DUMMYFUNCTION("""COMPUTED_VALUE"""),"Active")</f>
        <v>Active</v>
      </c>
      <c r="E524" s="17">
        <f>IFERROR(__xludf.DUMMYFUNCTION("""COMPUTED_VALUE"""),45097.0)</f>
        <v>45097</v>
      </c>
      <c r="F524" s="54"/>
      <c r="G524" s="19">
        <f>IFERROR(__xludf.DUMMYFUNCTION("""COMPUTED_VALUE"""),39.53333333333333)</f>
        <v>39.53333333</v>
      </c>
      <c r="H524" s="17">
        <f>IFERROR(__xludf.DUMMYFUNCTION("""COMPUTED_VALUE"""),44141.0)</f>
        <v>44141</v>
      </c>
      <c r="I524" s="19">
        <f>IFERROR(__xludf.DUMMYFUNCTION("""COMPUTED_VALUE"""),2.6222222222222222)</f>
        <v>2.622222222</v>
      </c>
      <c r="J524" s="21">
        <f>IFERROR(__xludf.DUMMYFUNCTION("""COMPUTED_VALUE"""),60.0)</f>
        <v>60</v>
      </c>
      <c r="K524" s="23">
        <f>IFERROR(__xludf.DUMMYFUNCTION("""COMPUTED_VALUE"""),7.0)</f>
        <v>7</v>
      </c>
      <c r="L524" s="24">
        <f>IFERROR(__xludf.DUMMYFUNCTION("""COMPUTED_VALUE"""),3.0)</f>
        <v>3</v>
      </c>
      <c r="M524" s="25" t="str">
        <f>IFERROR(__xludf.DUMMYFUNCTION("""COMPUTED_VALUE"""),"Action-Adventure")</f>
        <v>Action-Adventure</v>
      </c>
      <c r="N524" s="25"/>
      <c r="O524" s="26" t="str">
        <f>IFERROR(__xludf.DUMMYFUNCTION("""COMPUTED_VALUE"""),"Yes")</f>
        <v>Yes</v>
      </c>
      <c r="P524" s="26"/>
    </row>
    <row r="525">
      <c r="A525" s="13" t="str">
        <f>IFERROR(__xludf.DUMMYFUNCTION("""COMPUTED_VALUE"""),"Bus Simulator 21: Next Stop")</f>
        <v>Bus Simulator 21: Next Stop</v>
      </c>
      <c r="B525" s="15" t="str">
        <f>IFERROR(__xludf.DUMMYFUNCTION("""COMPUTED_VALUE"""),"PS5/PS4")</f>
        <v>PS5/PS4</v>
      </c>
      <c r="C525" s="16" t="str">
        <f>IFERROR(__xludf.DUMMYFUNCTION("""COMPUTED_VALUE"""),"Extra")</f>
        <v>Extra</v>
      </c>
      <c r="D525" s="15" t="str">
        <f>IFERROR(__xludf.DUMMYFUNCTION("""COMPUTED_VALUE"""),"Active")</f>
        <v>Active</v>
      </c>
      <c r="E525" s="17">
        <f>IFERROR(__xludf.DUMMYFUNCTION("""COMPUTED_VALUE"""),45062.0)</f>
        <v>45062</v>
      </c>
      <c r="F525" s="54"/>
      <c r="G525" s="19">
        <f>IFERROR(__xludf.DUMMYFUNCTION("""COMPUTED_VALUE"""),40.666666666666664)</f>
        <v>40.66666667</v>
      </c>
      <c r="H525" s="17">
        <f>IFERROR(__xludf.DUMMYFUNCTION("""COMPUTED_VALUE"""),44446.0)</f>
        <v>44446</v>
      </c>
      <c r="I525" s="19">
        <f>IFERROR(__xludf.DUMMYFUNCTION("""COMPUTED_VALUE"""),1.6916666666666667)</f>
        <v>1.691666667</v>
      </c>
      <c r="J525" s="21">
        <f>IFERROR(__xludf.DUMMYFUNCTION("""COMPUTED_VALUE"""),60.0)</f>
        <v>60</v>
      </c>
      <c r="K525" s="23">
        <f>IFERROR(__xludf.DUMMYFUNCTION("""COMPUTED_VALUE"""),4.5)</f>
        <v>4.5</v>
      </c>
      <c r="L525" s="24">
        <f>IFERROR(__xludf.DUMMYFUNCTION("""COMPUTED_VALUE"""),26.0)</f>
        <v>26</v>
      </c>
      <c r="M525" s="25" t="str">
        <f>IFERROR(__xludf.DUMMYFUNCTION("""COMPUTED_VALUE"""),"Simulation")</f>
        <v>Simulation</v>
      </c>
      <c r="N525" s="25"/>
      <c r="O525" s="26" t="str">
        <f>IFERROR(__xludf.DUMMYFUNCTION("""COMPUTED_VALUE"""),"Yes")</f>
        <v>Yes</v>
      </c>
      <c r="P525" s="26"/>
    </row>
    <row r="526">
      <c r="A526" s="13" t="str">
        <f>IFERROR(__xludf.DUMMYFUNCTION("""COMPUTED_VALUE"""),"Blade Dancer: Lineage of Light")</f>
        <v>Blade Dancer: Lineage of Light</v>
      </c>
      <c r="B526" s="15" t="str">
        <f>IFERROR(__xludf.DUMMYFUNCTION("""COMPUTED_VALUE"""),"PS5/PS4")</f>
        <v>PS5/PS4</v>
      </c>
      <c r="C526" s="16" t="str">
        <f>IFERROR(__xludf.DUMMYFUNCTION("""COMPUTED_VALUE"""),"Premium (Classics)")</f>
        <v>Premium (Classics)</v>
      </c>
      <c r="D526" s="15" t="str">
        <f>IFERROR(__xludf.DUMMYFUNCTION("""COMPUTED_VALUE"""),"Active")</f>
        <v>Active</v>
      </c>
      <c r="E526" s="17">
        <f>IFERROR(__xludf.DUMMYFUNCTION("""COMPUTED_VALUE"""),45062.0)</f>
        <v>45062</v>
      </c>
      <c r="F526" s="54"/>
      <c r="G526" s="19">
        <f>IFERROR(__xludf.DUMMYFUNCTION("""COMPUTED_VALUE"""),40.666666666666664)</f>
        <v>40.66666667</v>
      </c>
      <c r="H526" s="17">
        <f>IFERROR(__xludf.DUMMYFUNCTION("""COMPUTED_VALUE"""),38899.0)</f>
        <v>38899</v>
      </c>
      <c r="I526" s="19">
        <f>IFERROR(__xludf.DUMMYFUNCTION("""COMPUTED_VALUE"""),16.875)</f>
        <v>16.875</v>
      </c>
      <c r="J526" s="21">
        <f>IFERROR(__xludf.DUMMYFUNCTION("""COMPUTED_VALUE"""),60.0)</f>
        <v>60</v>
      </c>
      <c r="K526" s="23">
        <f>IFERROR(__xludf.DUMMYFUNCTION("""COMPUTED_VALUE"""),6.5)</f>
        <v>6.5</v>
      </c>
      <c r="L526" s="24">
        <f>IFERROR(__xludf.DUMMYFUNCTION("""COMPUTED_VALUE"""),28.0)</f>
        <v>28</v>
      </c>
      <c r="M526" s="25" t="str">
        <f>IFERROR(__xludf.DUMMYFUNCTION("""COMPUTED_VALUE"""),"RPG")</f>
        <v>RPG</v>
      </c>
      <c r="N526" s="25" t="str">
        <f>IFERROR(__xludf.DUMMYFUNCTION("""COMPUTED_VALUE"""),"PSP")</f>
        <v>PSP</v>
      </c>
      <c r="O526" s="26" t="str">
        <f>IFERROR(__xludf.DUMMYFUNCTION("""COMPUTED_VALUE"""),"Yes")</f>
        <v>Yes</v>
      </c>
      <c r="P526" s="26"/>
    </row>
    <row r="527">
      <c r="A527" s="13" t="str">
        <f>IFERROR(__xludf.DUMMYFUNCTION("""COMPUTED_VALUE"""),"Assassin's Creed Chronicles: Russia")</f>
        <v>Assassin's Creed Chronicles: Russia</v>
      </c>
      <c r="B527" s="15" t="str">
        <f>IFERROR(__xludf.DUMMYFUNCTION("""COMPUTED_VALUE"""),"PS4")</f>
        <v>PS4</v>
      </c>
      <c r="C527" s="16" t="str">
        <f>IFERROR(__xludf.DUMMYFUNCTION("""COMPUTED_VALUE"""),"Extra (Ubisoft+ Classics)")</f>
        <v>Extra (Ubisoft+ Classics)</v>
      </c>
      <c r="D527" s="15" t="str">
        <f>IFERROR(__xludf.DUMMYFUNCTION("""COMPUTED_VALUE"""),"Active")</f>
        <v>Active</v>
      </c>
      <c r="E527" s="17">
        <f>IFERROR(__xludf.DUMMYFUNCTION("""COMPUTED_VALUE"""),44852.0)</f>
        <v>44852</v>
      </c>
      <c r="F527" s="54"/>
      <c r="G527" s="19">
        <f>IFERROR(__xludf.DUMMYFUNCTION("""COMPUTED_VALUE"""),47.6)</f>
        <v>47.6</v>
      </c>
      <c r="H527" s="17">
        <f>IFERROR(__xludf.DUMMYFUNCTION("""COMPUTED_VALUE"""),42409.0)</f>
        <v>42409</v>
      </c>
      <c r="I527" s="19">
        <f>IFERROR(__xludf.DUMMYFUNCTION("""COMPUTED_VALUE"""),6.691666666666666)</f>
        <v>6.691666667</v>
      </c>
      <c r="J527" s="21">
        <f>IFERROR(__xludf.DUMMYFUNCTION("""COMPUTED_VALUE"""),60.0)</f>
        <v>60</v>
      </c>
      <c r="K527" s="23">
        <f>IFERROR(__xludf.DUMMYFUNCTION("""COMPUTED_VALUE"""),4.6)</f>
        <v>4.6</v>
      </c>
      <c r="L527" s="24">
        <f>IFERROR(__xludf.DUMMYFUNCTION("""COMPUTED_VALUE"""),6.5)</f>
        <v>6.5</v>
      </c>
      <c r="M527" s="25" t="str">
        <f>IFERROR(__xludf.DUMMYFUNCTION("""COMPUTED_VALUE"""),"Platformer")</f>
        <v>Platformer</v>
      </c>
      <c r="N527" s="25"/>
      <c r="O527" s="26" t="str">
        <f>IFERROR(__xludf.DUMMYFUNCTION("""COMPUTED_VALUE"""),"Yes")</f>
        <v>Yes</v>
      </c>
      <c r="P527" s="26"/>
    </row>
    <row r="528">
      <c r="A528" s="13" t="str">
        <f>IFERROR(__xludf.DUMMYFUNCTION("""COMPUTED_VALUE"""),"Alex Kidd in Miracle World DX")</f>
        <v>Alex Kidd in Miracle World DX</v>
      </c>
      <c r="B528" s="15" t="str">
        <f>IFERROR(__xludf.DUMMYFUNCTION("""COMPUTED_VALUE"""),"PS5/PS4")</f>
        <v>PS5/PS4</v>
      </c>
      <c r="C528" s="16" t="str">
        <f>IFERROR(__xludf.DUMMYFUNCTION("""COMPUTED_VALUE"""),"Extra")</f>
        <v>Extra</v>
      </c>
      <c r="D528" s="15" t="str">
        <f>IFERROR(__xludf.DUMMYFUNCTION("""COMPUTED_VALUE"""),"Active")</f>
        <v>Active</v>
      </c>
      <c r="E528" s="17">
        <f>IFERROR(__xludf.DUMMYFUNCTION("""COMPUTED_VALUE"""),44824.0)</f>
        <v>44824</v>
      </c>
      <c r="F528" s="54"/>
      <c r="G528" s="19">
        <f>IFERROR(__xludf.DUMMYFUNCTION("""COMPUTED_VALUE"""),48.53333333333333)</f>
        <v>48.53333333</v>
      </c>
      <c r="H528" s="17">
        <f>IFERROR(__xludf.DUMMYFUNCTION("""COMPUTED_VALUE"""),44369.0)</f>
        <v>44369</v>
      </c>
      <c r="I528" s="19">
        <f>IFERROR(__xludf.DUMMYFUNCTION("""COMPUTED_VALUE"""),1.2444444444444445)</f>
        <v>1.244444444</v>
      </c>
      <c r="J528" s="21">
        <f>IFERROR(__xludf.DUMMYFUNCTION("""COMPUTED_VALUE"""),60.0)</f>
        <v>60</v>
      </c>
      <c r="K528" s="23">
        <f>IFERROR(__xludf.DUMMYFUNCTION("""COMPUTED_VALUE"""),6.5)</f>
        <v>6.5</v>
      </c>
      <c r="L528" s="24">
        <f>IFERROR(__xludf.DUMMYFUNCTION("""COMPUTED_VALUE"""),2.5)</f>
        <v>2.5</v>
      </c>
      <c r="M528" s="25" t="str">
        <f>IFERROR(__xludf.DUMMYFUNCTION("""COMPUTED_VALUE"""),"Platformer")</f>
        <v>Platformer</v>
      </c>
      <c r="N528" s="25"/>
      <c r="O528" s="26" t="str">
        <f>IFERROR(__xludf.DUMMYFUNCTION("""COMPUTED_VALUE"""),"Yes")</f>
        <v>Yes</v>
      </c>
      <c r="P528" s="26"/>
    </row>
    <row r="529">
      <c r="A529" s="13" t="str">
        <f>IFERROR(__xludf.DUMMYFUNCTION("""COMPUTED_VALUE"""),"Paw Patrol: On a Roll!")</f>
        <v>Paw Patrol: On a Roll!</v>
      </c>
      <c r="B529" s="15" t="str">
        <f>IFERROR(__xludf.DUMMYFUNCTION("""COMPUTED_VALUE"""),"PS4")</f>
        <v>PS4</v>
      </c>
      <c r="C529" s="16" t="str">
        <f>IFERROR(__xludf.DUMMYFUNCTION("""COMPUTED_VALUE"""),"Extra")</f>
        <v>Extra</v>
      </c>
      <c r="D529" s="15" t="str">
        <f>IFERROR(__xludf.DUMMYFUNCTION("""COMPUTED_VALUE"""),"Active")</f>
        <v>Active</v>
      </c>
      <c r="E529" s="17">
        <f>IFERROR(__xludf.DUMMYFUNCTION("""COMPUTED_VALUE"""),44761.0)</f>
        <v>44761</v>
      </c>
      <c r="F529" s="54"/>
      <c r="G529" s="19">
        <f>IFERROR(__xludf.DUMMYFUNCTION("""COMPUTED_VALUE"""),50.56666666666666)</f>
        <v>50.56666667</v>
      </c>
      <c r="H529" s="17">
        <f>IFERROR(__xludf.DUMMYFUNCTION("""COMPUTED_VALUE"""),43369.0)</f>
        <v>43369</v>
      </c>
      <c r="I529" s="19">
        <f>IFERROR(__xludf.DUMMYFUNCTION("""COMPUTED_VALUE"""),3.813888888888889)</f>
        <v>3.813888889</v>
      </c>
      <c r="J529" s="21">
        <f>IFERROR(__xludf.DUMMYFUNCTION("""COMPUTED_VALUE"""),60.0)</f>
        <v>60</v>
      </c>
      <c r="K529" s="23">
        <f>IFERROR(__xludf.DUMMYFUNCTION("""COMPUTED_VALUE"""),5.9)</f>
        <v>5.9</v>
      </c>
      <c r="L529" s="24">
        <f>IFERROR(__xludf.DUMMYFUNCTION("""COMPUTED_VALUE"""),5.0)</f>
        <v>5</v>
      </c>
      <c r="M529" s="25" t="str">
        <f>IFERROR(__xludf.DUMMYFUNCTION("""COMPUTED_VALUE"""),"Action-Adventure")</f>
        <v>Action-Adventure</v>
      </c>
      <c r="N529" s="25"/>
      <c r="O529" s="26" t="str">
        <f>IFERROR(__xludf.DUMMYFUNCTION("""COMPUTED_VALUE"""),"Yes")</f>
        <v>Yes</v>
      </c>
      <c r="P529" s="26"/>
    </row>
    <row r="530">
      <c r="A530" s="13" t="str">
        <f>IFERROR(__xludf.DUMMYFUNCTION("""COMPUTED_VALUE"""),"Bee Simulator")</f>
        <v>Bee Simulator</v>
      </c>
      <c r="B530" s="15" t="str">
        <f>IFERROR(__xludf.DUMMYFUNCTION("""COMPUTED_VALUE"""),"PS4")</f>
        <v>PS4</v>
      </c>
      <c r="C530" s="16" t="str">
        <f>IFERROR(__xludf.DUMMYFUNCTION("""COMPUTED_VALUE"""),"Extra")</f>
        <v>Extra</v>
      </c>
      <c r="D530" s="15" t="str">
        <f>IFERROR(__xludf.DUMMYFUNCTION("""COMPUTED_VALUE"""),"Active")</f>
        <v>Active</v>
      </c>
      <c r="E530" s="17">
        <f>IFERROR(__xludf.DUMMYFUNCTION("""COMPUTED_VALUE"""),44725.0)</f>
        <v>44725</v>
      </c>
      <c r="F530" s="54"/>
      <c r="G530" s="19">
        <f>IFERROR(__xludf.DUMMYFUNCTION("""COMPUTED_VALUE"""),51.766666666666666)</f>
        <v>51.76666667</v>
      </c>
      <c r="H530" s="17">
        <f>IFERROR(__xludf.DUMMYFUNCTION("""COMPUTED_VALUE"""),43781.0)</f>
        <v>43781</v>
      </c>
      <c r="I530" s="19">
        <f>IFERROR(__xludf.DUMMYFUNCTION("""COMPUTED_VALUE"""),2.5861111111111112)</f>
        <v>2.586111111</v>
      </c>
      <c r="J530" s="21">
        <f>IFERROR(__xludf.DUMMYFUNCTION("""COMPUTED_VALUE"""),60.0)</f>
        <v>60</v>
      </c>
      <c r="K530" s="23">
        <f>IFERROR(__xludf.DUMMYFUNCTION("""COMPUTED_VALUE"""),5.6)</f>
        <v>5.6</v>
      </c>
      <c r="L530" s="24">
        <f>IFERROR(__xludf.DUMMYFUNCTION("""COMPUTED_VALUE"""),2.5)</f>
        <v>2.5</v>
      </c>
      <c r="M530" s="25" t="str">
        <f>IFERROR(__xludf.DUMMYFUNCTION("""COMPUTED_VALUE"""),"Simulation")</f>
        <v>Simulation</v>
      </c>
      <c r="N530" s="25"/>
      <c r="O530" s="26" t="str">
        <f>IFERROR(__xludf.DUMMYFUNCTION("""COMPUTED_VALUE"""),"Yes")</f>
        <v>Yes</v>
      </c>
      <c r="P530" s="26" t="str">
        <f>IFERROR(__xludf.DUMMYFUNCTION("""COMPUTED_VALUE"""),"Yes")</f>
        <v>Yes</v>
      </c>
    </row>
    <row r="531">
      <c r="A531" s="13" t="str">
        <f>IFERROR(__xludf.DUMMYFUNCTION("""COMPUTED_VALUE"""),"Crysis: Remastered")</f>
        <v>Crysis: Remastered</v>
      </c>
      <c r="B531" s="15" t="str">
        <f>IFERROR(__xludf.DUMMYFUNCTION("""COMPUTED_VALUE"""),"PS4")</f>
        <v>PS4</v>
      </c>
      <c r="C531" s="16" t="str">
        <f>IFERROR(__xludf.DUMMYFUNCTION("""COMPUTED_VALUE"""),"Premium (Remasters)")</f>
        <v>Premium (Remasters)</v>
      </c>
      <c r="D531" s="15" t="str">
        <f>IFERROR(__xludf.DUMMYFUNCTION("""COMPUTED_VALUE"""),"Active")</f>
        <v>Active</v>
      </c>
      <c r="E531" s="17">
        <f>IFERROR(__xludf.DUMMYFUNCTION("""COMPUTED_VALUE"""),45097.0)</f>
        <v>45097</v>
      </c>
      <c r="F531" s="54"/>
      <c r="G531" s="19">
        <f>IFERROR(__xludf.DUMMYFUNCTION("""COMPUTED_VALUE"""),39.53333333333333)</f>
        <v>39.53333333</v>
      </c>
      <c r="H531" s="17">
        <f>IFERROR(__xludf.DUMMYFUNCTION("""COMPUTED_VALUE"""),44075.0)</f>
        <v>44075</v>
      </c>
      <c r="I531" s="19">
        <f>IFERROR(__xludf.DUMMYFUNCTION("""COMPUTED_VALUE"""),2.8027777777777776)</f>
        <v>2.802777778</v>
      </c>
      <c r="J531" s="21">
        <f>IFERROR(__xludf.DUMMYFUNCTION("""COMPUTED_VALUE"""),59.0)</f>
        <v>59</v>
      </c>
      <c r="K531" s="23">
        <f>IFERROR(__xludf.DUMMYFUNCTION("""COMPUTED_VALUE"""),7.5)</f>
        <v>7.5</v>
      </c>
      <c r="L531" s="24">
        <f>IFERROR(__xludf.DUMMYFUNCTION("""COMPUTED_VALUE"""),10.0)</f>
        <v>10</v>
      </c>
      <c r="M531" s="25" t="str">
        <f>IFERROR(__xludf.DUMMYFUNCTION("""COMPUTED_VALUE"""),"Shooter")</f>
        <v>Shooter</v>
      </c>
      <c r="N531" s="25" t="str">
        <f>IFERROR(__xludf.DUMMYFUNCTION("""COMPUTED_VALUE"""),"Windows")</f>
        <v>Windows</v>
      </c>
      <c r="O531" s="26" t="str">
        <f>IFERROR(__xludf.DUMMYFUNCTION("""COMPUTED_VALUE"""),"Yes")</f>
        <v>Yes</v>
      </c>
      <c r="P531" s="26"/>
    </row>
    <row r="532">
      <c r="A532" s="13" t="str">
        <f>IFERROR(__xludf.DUMMYFUNCTION("""COMPUTED_VALUE"""),"Rain World")</f>
        <v>Rain World</v>
      </c>
      <c r="B532" s="15" t="str">
        <f>IFERROR(__xludf.DUMMYFUNCTION("""COMPUTED_VALUE"""),"PS4")</f>
        <v>PS4</v>
      </c>
      <c r="C532" s="16" t="str">
        <f>IFERROR(__xludf.DUMMYFUNCTION("""COMPUTED_VALUE"""),"Extra")</f>
        <v>Extra</v>
      </c>
      <c r="D532" s="15" t="str">
        <f>IFERROR(__xludf.DUMMYFUNCTION("""COMPUTED_VALUE"""),"Active")</f>
        <v>Active</v>
      </c>
      <c r="E532" s="17">
        <f>IFERROR(__xludf.DUMMYFUNCTION("""COMPUTED_VALUE"""),45062.0)</f>
        <v>45062</v>
      </c>
      <c r="F532" s="54"/>
      <c r="G532" s="19">
        <f>IFERROR(__xludf.DUMMYFUNCTION("""COMPUTED_VALUE"""),40.666666666666664)</f>
        <v>40.66666667</v>
      </c>
      <c r="H532" s="17">
        <f>IFERROR(__xludf.DUMMYFUNCTION("""COMPUTED_VALUE"""),42822.0)</f>
        <v>42822</v>
      </c>
      <c r="I532" s="19">
        <f>IFERROR(__xludf.DUMMYFUNCTION("""COMPUTED_VALUE"""),6.133333333333334)</f>
        <v>6.133333333</v>
      </c>
      <c r="J532" s="21">
        <f>IFERROR(__xludf.DUMMYFUNCTION("""COMPUTED_VALUE"""),59.0)</f>
        <v>59</v>
      </c>
      <c r="K532" s="23">
        <f>IFERROR(__xludf.DUMMYFUNCTION("""COMPUTED_VALUE"""),7.2)</f>
        <v>7.2</v>
      </c>
      <c r="L532" s="24">
        <f>IFERROR(__xludf.DUMMYFUNCTION("""COMPUTED_VALUE"""),22.0)</f>
        <v>22</v>
      </c>
      <c r="M532" s="25" t="str">
        <f>IFERROR(__xludf.DUMMYFUNCTION("""COMPUTED_VALUE"""),"Platformer")</f>
        <v>Platformer</v>
      </c>
      <c r="N532" s="25"/>
      <c r="O532" s="26" t="str">
        <f>IFERROR(__xludf.DUMMYFUNCTION("""COMPUTED_VALUE"""),"Yes")</f>
        <v>Yes</v>
      </c>
      <c r="P532" s="26"/>
    </row>
    <row r="533">
      <c r="A533" s="13" t="str">
        <f>IFERROR(__xludf.DUMMYFUNCTION("""COMPUTED_VALUE"""),"Tennis World Tour 2")</f>
        <v>Tennis World Tour 2</v>
      </c>
      <c r="B533" s="15" t="str">
        <f>IFERROR(__xludf.DUMMYFUNCTION("""COMPUTED_VALUE"""),"PS5/PS4")</f>
        <v>PS5/PS4</v>
      </c>
      <c r="C533" s="16" t="str">
        <f>IFERROR(__xludf.DUMMYFUNCTION("""COMPUTED_VALUE"""),"Extra")</f>
        <v>Extra</v>
      </c>
      <c r="D533" s="15" t="str">
        <f>IFERROR(__xludf.DUMMYFUNCTION("""COMPUTED_VALUE"""),"Active")</f>
        <v>Active</v>
      </c>
      <c r="E533" s="17">
        <f>IFERROR(__xludf.DUMMYFUNCTION("""COMPUTED_VALUE"""),44725.0)</f>
        <v>44725</v>
      </c>
      <c r="F533" s="54"/>
      <c r="G533" s="19">
        <f>IFERROR(__xludf.DUMMYFUNCTION("""COMPUTED_VALUE"""),51.766666666666666)</f>
        <v>51.76666667</v>
      </c>
      <c r="H533" s="17">
        <f>IFERROR(__xludf.DUMMYFUNCTION("""COMPUTED_VALUE"""),43242.0)</f>
        <v>43242</v>
      </c>
      <c r="I533" s="19">
        <f>IFERROR(__xludf.DUMMYFUNCTION("""COMPUTED_VALUE"""),4.058333333333334)</f>
        <v>4.058333333</v>
      </c>
      <c r="J533" s="21">
        <f>IFERROR(__xludf.DUMMYFUNCTION("""COMPUTED_VALUE"""),59.0)</f>
        <v>59</v>
      </c>
      <c r="K533" s="23">
        <f>IFERROR(__xludf.DUMMYFUNCTION("""COMPUTED_VALUE"""),3.0)</f>
        <v>3</v>
      </c>
      <c r="L533" s="24">
        <f>IFERROR(__xludf.DUMMYFUNCTION("""COMPUTED_VALUE"""),10.0)</f>
        <v>10</v>
      </c>
      <c r="M533" s="25" t="str">
        <f>IFERROR(__xludf.DUMMYFUNCTION("""COMPUTED_VALUE"""),"Sports")</f>
        <v>Sports</v>
      </c>
      <c r="N533" s="25"/>
      <c r="O533" s="26" t="str">
        <f>IFERROR(__xludf.DUMMYFUNCTION("""COMPUTED_VALUE"""),"Yes")</f>
        <v>Yes</v>
      </c>
      <c r="P533" s="26" t="str">
        <f>IFERROR(__xludf.DUMMYFUNCTION("""COMPUTED_VALUE"""),"Yes")</f>
        <v>Yes</v>
      </c>
    </row>
    <row r="534">
      <c r="A534" s="13" t="str">
        <f>IFERROR(__xludf.DUMMYFUNCTION("""COMPUTED_VALUE"""),"Dark Rose Valkyrie")</f>
        <v>Dark Rose Valkyrie</v>
      </c>
      <c r="B534" s="15" t="str">
        <f>IFERROR(__xludf.DUMMYFUNCTION("""COMPUTED_VALUE"""),"PS4")</f>
        <v>PS4</v>
      </c>
      <c r="C534" s="16" t="str">
        <f>IFERROR(__xludf.DUMMYFUNCTION("""COMPUTED_VALUE"""),"Extra")</f>
        <v>Extra</v>
      </c>
      <c r="D534" s="15" t="str">
        <f>IFERROR(__xludf.DUMMYFUNCTION("""COMPUTED_VALUE"""),"Active")</f>
        <v>Active</v>
      </c>
      <c r="E534" s="17">
        <f>IFERROR(__xludf.DUMMYFUNCTION("""COMPUTED_VALUE"""),44725.0)</f>
        <v>44725</v>
      </c>
      <c r="F534" s="54"/>
      <c r="G534" s="19">
        <f>IFERROR(__xludf.DUMMYFUNCTION("""COMPUTED_VALUE"""),51.766666666666666)</f>
        <v>51.76666667</v>
      </c>
      <c r="H534" s="17">
        <f>IFERROR(__xludf.DUMMYFUNCTION("""COMPUTED_VALUE"""),42887.0)</f>
        <v>42887</v>
      </c>
      <c r="I534" s="19">
        <f>IFERROR(__xludf.DUMMYFUNCTION("""COMPUTED_VALUE"""),5.033333333333333)</f>
        <v>5.033333333</v>
      </c>
      <c r="J534" s="21">
        <f>IFERROR(__xludf.DUMMYFUNCTION("""COMPUTED_VALUE"""),59.0)</f>
        <v>59</v>
      </c>
      <c r="K534" s="23">
        <f>IFERROR(__xludf.DUMMYFUNCTION("""COMPUTED_VALUE"""),5.7)</f>
        <v>5.7</v>
      </c>
      <c r="L534" s="24">
        <f>IFERROR(__xludf.DUMMYFUNCTION("""COMPUTED_VALUE"""),33.5)</f>
        <v>33.5</v>
      </c>
      <c r="M534" s="25" t="str">
        <f>IFERROR(__xludf.DUMMYFUNCTION("""COMPUTED_VALUE"""),"RPG")</f>
        <v>RPG</v>
      </c>
      <c r="N534" s="25"/>
      <c r="O534" s="26" t="str">
        <f>IFERROR(__xludf.DUMMYFUNCTION("""COMPUTED_VALUE"""),"Yes")</f>
        <v>Yes</v>
      </c>
      <c r="P534" s="26"/>
    </row>
    <row r="535">
      <c r="A535" s="13" t="str">
        <f>IFERROR(__xludf.DUMMYFUNCTION("""COMPUTED_VALUE"""),"Omega Quintet")</f>
        <v>Omega Quintet</v>
      </c>
      <c r="B535" s="15" t="str">
        <f>IFERROR(__xludf.DUMMYFUNCTION("""COMPUTED_VALUE"""),"PS4")</f>
        <v>PS4</v>
      </c>
      <c r="C535" s="16" t="str">
        <f>IFERROR(__xludf.DUMMYFUNCTION("""COMPUTED_VALUE"""),"Extra")</f>
        <v>Extra</v>
      </c>
      <c r="D535" s="15" t="str">
        <f>IFERROR(__xludf.DUMMYFUNCTION("""COMPUTED_VALUE"""),"Active")</f>
        <v>Active</v>
      </c>
      <c r="E535" s="17">
        <f>IFERROR(__xludf.DUMMYFUNCTION("""COMPUTED_VALUE"""),44725.0)</f>
        <v>44725</v>
      </c>
      <c r="F535" s="54"/>
      <c r="G535" s="19">
        <f>IFERROR(__xludf.DUMMYFUNCTION("""COMPUTED_VALUE"""),51.766666666666666)</f>
        <v>51.76666667</v>
      </c>
      <c r="H535" s="17">
        <f>IFERROR(__xludf.DUMMYFUNCTION("""COMPUTED_VALUE"""),42122.0)</f>
        <v>42122</v>
      </c>
      <c r="I535" s="19">
        <f>IFERROR(__xludf.DUMMYFUNCTION("""COMPUTED_VALUE"""),7.125)</f>
        <v>7.125</v>
      </c>
      <c r="J535" s="21">
        <f>IFERROR(__xludf.DUMMYFUNCTION("""COMPUTED_VALUE"""),59.0)</f>
        <v>59</v>
      </c>
      <c r="K535" s="23">
        <f>IFERROR(__xludf.DUMMYFUNCTION("""COMPUTED_VALUE"""),7.2)</f>
        <v>7.2</v>
      </c>
      <c r="L535" s="24">
        <f>IFERROR(__xludf.DUMMYFUNCTION("""COMPUTED_VALUE"""),35.0)</f>
        <v>35</v>
      </c>
      <c r="M535" s="25" t="str">
        <f>IFERROR(__xludf.DUMMYFUNCTION("""COMPUTED_VALUE"""),"RPG")</f>
        <v>RPG</v>
      </c>
      <c r="N535" s="25"/>
      <c r="O535" s="26" t="str">
        <f>IFERROR(__xludf.DUMMYFUNCTION("""COMPUTED_VALUE"""),"Yes")</f>
        <v>Yes</v>
      </c>
      <c r="P535" s="26"/>
    </row>
    <row r="536">
      <c r="A536" s="13" t="str">
        <f>IFERROR(__xludf.DUMMYFUNCTION("""COMPUTED_VALUE"""),"Shadow of the Beast")</f>
        <v>Shadow of the Beast</v>
      </c>
      <c r="B536" s="15" t="str">
        <f>IFERROR(__xludf.DUMMYFUNCTION("""COMPUTED_VALUE"""),"PS4")</f>
        <v>PS4</v>
      </c>
      <c r="C536" s="16" t="str">
        <f>IFERROR(__xludf.DUMMYFUNCTION("""COMPUTED_VALUE"""),"Extra")</f>
        <v>Extra</v>
      </c>
      <c r="D536" s="15" t="str">
        <f>IFERROR(__xludf.DUMMYFUNCTION("""COMPUTED_VALUE"""),"Active")</f>
        <v>Active</v>
      </c>
      <c r="E536" s="17">
        <f>IFERROR(__xludf.DUMMYFUNCTION("""COMPUTED_VALUE"""),42922.0)</f>
        <v>42922</v>
      </c>
      <c r="F536" s="54"/>
      <c r="G536" s="19">
        <f>IFERROR(__xludf.DUMMYFUNCTION("""COMPUTED_VALUE"""),111.0)</f>
        <v>111</v>
      </c>
      <c r="H536" s="17">
        <f>IFERROR(__xludf.DUMMYFUNCTION("""COMPUTED_VALUE"""),42507.0)</f>
        <v>42507</v>
      </c>
      <c r="I536" s="19">
        <f>IFERROR(__xludf.DUMMYFUNCTION("""COMPUTED_VALUE"""),1.136111111111111)</f>
        <v>1.136111111</v>
      </c>
      <c r="J536" s="21">
        <f>IFERROR(__xludf.DUMMYFUNCTION("""COMPUTED_VALUE"""),59.0)</f>
        <v>59</v>
      </c>
      <c r="K536" s="23">
        <f>IFERROR(__xludf.DUMMYFUNCTION("""COMPUTED_VALUE"""),6.0)</f>
        <v>6</v>
      </c>
      <c r="L536" s="24">
        <f>IFERROR(__xludf.DUMMYFUNCTION("""COMPUTED_VALUE"""),5.0)</f>
        <v>5</v>
      </c>
      <c r="M536" s="25" t="str">
        <f>IFERROR(__xludf.DUMMYFUNCTION("""COMPUTED_VALUE"""),"Action-Adventure")</f>
        <v>Action-Adventure</v>
      </c>
      <c r="N536" s="25"/>
      <c r="O536" s="26" t="str">
        <f>IFERROR(__xludf.DUMMYFUNCTION("""COMPUTED_VALUE"""),"Yes")</f>
        <v>Yes</v>
      </c>
      <c r="P536" s="26"/>
    </row>
    <row r="537">
      <c r="A537" s="13" t="str">
        <f>IFERROR(__xludf.DUMMYFUNCTION("""COMPUTED_VALUE"""),"Hungry Shark World")</f>
        <v>Hungry Shark World</v>
      </c>
      <c r="B537" s="15" t="str">
        <f>IFERROR(__xludf.DUMMYFUNCTION("""COMPUTED_VALUE"""),"PS4")</f>
        <v>PS4</v>
      </c>
      <c r="C537" s="16" t="str">
        <f>IFERROR(__xludf.DUMMYFUNCTION("""COMPUTED_VALUE"""),"Extra")</f>
        <v>Extra</v>
      </c>
      <c r="D537" s="15" t="str">
        <f>IFERROR(__xludf.DUMMYFUNCTION("""COMPUTED_VALUE"""),"Active")</f>
        <v>Active</v>
      </c>
      <c r="E537" s="17">
        <f>IFERROR(__xludf.DUMMYFUNCTION("""COMPUTED_VALUE"""),45615.0)</f>
        <v>45615</v>
      </c>
      <c r="F537" s="54"/>
      <c r="G537" s="19">
        <f>IFERROR(__xludf.DUMMYFUNCTION("""COMPUTED_VALUE"""),22.566666666666666)</f>
        <v>22.56666667</v>
      </c>
      <c r="H537" s="17">
        <f>IFERROR(__xludf.DUMMYFUNCTION("""COMPUTED_VALUE"""),43298.0)</f>
        <v>43298</v>
      </c>
      <c r="I537" s="19">
        <f>IFERROR(__xludf.DUMMYFUNCTION("""COMPUTED_VALUE"""),6.338888888888889)</f>
        <v>6.338888889</v>
      </c>
      <c r="J537" s="21">
        <f>IFERROR(__xludf.DUMMYFUNCTION("""COMPUTED_VALUE"""),58.0)</f>
        <v>58</v>
      </c>
      <c r="K537" s="23">
        <f>IFERROR(__xludf.DUMMYFUNCTION("""COMPUTED_VALUE"""),8.2)</f>
        <v>8.2</v>
      </c>
      <c r="L537" s="24">
        <f>IFERROR(__xludf.DUMMYFUNCTION("""COMPUTED_VALUE"""),25.0)</f>
        <v>25</v>
      </c>
      <c r="M537" s="25" t="str">
        <f>IFERROR(__xludf.DUMMYFUNCTION("""COMPUTED_VALUE"""),"Action-Adventure")</f>
        <v>Action-Adventure</v>
      </c>
      <c r="N537" s="25"/>
      <c r="O537" s="26" t="str">
        <f>IFERROR(__xludf.DUMMYFUNCTION("""COMPUTED_VALUE"""),"Yes")</f>
        <v>Yes</v>
      </c>
      <c r="P537" s="26"/>
    </row>
    <row r="538">
      <c r="A538" s="13" t="str">
        <f>IFERROR(__xludf.DUMMYFUNCTION("""COMPUTED_VALUE"""),"Police Simulator: Patrol Officers")</f>
        <v>Police Simulator: Patrol Officers</v>
      </c>
      <c r="B538" s="15" t="str">
        <f>IFERROR(__xludf.DUMMYFUNCTION("""COMPUTED_VALUE"""),"PS5/PS4")</f>
        <v>PS5/PS4</v>
      </c>
      <c r="C538" s="16" t="str">
        <f>IFERROR(__xludf.DUMMYFUNCTION("""COMPUTED_VALUE"""),"Extra")</f>
        <v>Extra</v>
      </c>
      <c r="D538" s="15" t="str">
        <f>IFERROR(__xludf.DUMMYFUNCTION("""COMPUTED_VALUE"""),"Active")</f>
        <v>Active</v>
      </c>
      <c r="E538" s="17">
        <f>IFERROR(__xludf.DUMMYFUNCTION("""COMPUTED_VALUE"""),45461.0)</f>
        <v>45461</v>
      </c>
      <c r="F538" s="54"/>
      <c r="G538" s="19">
        <f>IFERROR(__xludf.DUMMYFUNCTION("""COMPUTED_VALUE"""),27.599999999999998)</f>
        <v>27.6</v>
      </c>
      <c r="H538" s="17">
        <f>IFERROR(__xludf.DUMMYFUNCTION("""COMPUTED_VALUE"""),44875.0)</f>
        <v>44875</v>
      </c>
      <c r="I538" s="19">
        <f>IFERROR(__xludf.DUMMYFUNCTION("""COMPUTED_VALUE"""),1.6055555555555556)</f>
        <v>1.605555556</v>
      </c>
      <c r="J538" s="21">
        <f>IFERROR(__xludf.DUMMYFUNCTION("""COMPUTED_VALUE"""),58.0)</f>
        <v>58</v>
      </c>
      <c r="K538" s="23">
        <f>IFERROR(__xludf.DUMMYFUNCTION("""COMPUTED_VALUE"""),6.3)</f>
        <v>6.3</v>
      </c>
      <c r="L538" s="24">
        <f>IFERROR(__xludf.DUMMYFUNCTION("""COMPUTED_VALUE"""),28.0)</f>
        <v>28</v>
      </c>
      <c r="M538" s="25" t="str">
        <f>IFERROR(__xludf.DUMMYFUNCTION("""COMPUTED_VALUE"""),"Simulation")</f>
        <v>Simulation</v>
      </c>
      <c r="N538" s="25"/>
      <c r="O538" s="26" t="str">
        <f>IFERROR(__xludf.DUMMYFUNCTION("""COMPUTED_VALUE"""),"Yes")</f>
        <v>Yes</v>
      </c>
      <c r="P538" s="26"/>
    </row>
    <row r="539">
      <c r="A539" s="13" t="str">
        <f>IFERROR(__xludf.DUMMYFUNCTION("""COMPUTED_VALUE"""),"Knack")</f>
        <v>Knack</v>
      </c>
      <c r="B539" s="15" t="str">
        <f>IFERROR(__xludf.DUMMYFUNCTION("""COMPUTED_VALUE"""),"PS4")</f>
        <v>PS4</v>
      </c>
      <c r="C539" s="16" t="str">
        <f>IFERROR(__xludf.DUMMYFUNCTION("""COMPUTED_VALUE"""),"Extra")</f>
        <v>Extra</v>
      </c>
      <c r="D539" s="15" t="str">
        <f>IFERROR(__xludf.DUMMYFUNCTION("""COMPUTED_VALUE"""),"Active")</f>
        <v>Active</v>
      </c>
      <c r="E539" s="17">
        <f>IFERROR(__xludf.DUMMYFUNCTION("""COMPUTED_VALUE"""),43109.0)</f>
        <v>43109</v>
      </c>
      <c r="F539" s="54"/>
      <c r="G539" s="19">
        <f>IFERROR(__xludf.DUMMYFUNCTION("""COMPUTED_VALUE"""),104.9)</f>
        <v>104.9</v>
      </c>
      <c r="H539" s="17">
        <f>IFERROR(__xludf.DUMMYFUNCTION("""COMPUTED_VALUE"""),41579.0)</f>
        <v>41579</v>
      </c>
      <c r="I539" s="19">
        <f>IFERROR(__xludf.DUMMYFUNCTION("""COMPUTED_VALUE"""),4.188888888888889)</f>
        <v>4.188888889</v>
      </c>
      <c r="J539" s="21">
        <f>IFERROR(__xludf.DUMMYFUNCTION("""COMPUTED_VALUE"""),58.0)</f>
        <v>58</v>
      </c>
      <c r="K539" s="23">
        <f>IFERROR(__xludf.DUMMYFUNCTION("""COMPUTED_VALUE"""),6.8)</f>
        <v>6.8</v>
      </c>
      <c r="L539" s="24">
        <f>IFERROR(__xludf.DUMMYFUNCTION("""COMPUTED_VALUE"""),10.5)</f>
        <v>10.5</v>
      </c>
      <c r="M539" s="25" t="str">
        <f>IFERROR(__xludf.DUMMYFUNCTION("""COMPUTED_VALUE"""),"Platformer")</f>
        <v>Platformer</v>
      </c>
      <c r="N539" s="25"/>
      <c r="O539" s="26" t="str">
        <f>IFERROR(__xludf.DUMMYFUNCTION("""COMPUTED_VALUE"""),"Yes")</f>
        <v>Yes</v>
      </c>
      <c r="P539" s="26" t="str">
        <f>IFERROR(__xludf.DUMMYFUNCTION("""COMPUTED_VALUE"""),"Yes")</f>
        <v>Yes</v>
      </c>
    </row>
    <row r="540">
      <c r="A540" s="13" t="str">
        <f>IFERROR(__xludf.DUMMYFUNCTION("""COMPUTED_VALUE"""),"Cricket 24")</f>
        <v>Cricket 24</v>
      </c>
      <c r="B540" s="15" t="str">
        <f>IFERROR(__xludf.DUMMYFUNCTION("""COMPUTED_VALUE"""),"PS5/PS4")</f>
        <v>PS5/PS4</v>
      </c>
      <c r="C540" s="16" t="str">
        <f>IFERROR(__xludf.DUMMYFUNCTION("""COMPUTED_VALUE"""),"Extra")</f>
        <v>Extra</v>
      </c>
      <c r="D540" s="15" t="str">
        <f>IFERROR(__xludf.DUMMYFUNCTION("""COMPUTED_VALUE"""),"Active")</f>
        <v>Active</v>
      </c>
      <c r="E540" s="17">
        <f>IFERROR(__xludf.DUMMYFUNCTION("""COMPUTED_VALUE"""),45448.0)</f>
        <v>45448</v>
      </c>
      <c r="F540" s="54"/>
      <c r="G540" s="19">
        <f>IFERROR(__xludf.DUMMYFUNCTION("""COMPUTED_VALUE"""),28.033333333333335)</f>
        <v>28.03333333</v>
      </c>
      <c r="H540" s="17">
        <f>IFERROR(__xludf.DUMMYFUNCTION("""COMPUTED_VALUE"""),45204.0)</f>
        <v>45204</v>
      </c>
      <c r="I540" s="19">
        <f>IFERROR(__xludf.DUMMYFUNCTION("""COMPUTED_VALUE"""),0.6666666666666666)</f>
        <v>0.6666666667</v>
      </c>
      <c r="J540" s="21">
        <f>IFERROR(__xludf.DUMMYFUNCTION("""COMPUTED_VALUE"""),57.0)</f>
        <v>57</v>
      </c>
      <c r="K540" s="23">
        <f>IFERROR(__xludf.DUMMYFUNCTION("""COMPUTED_VALUE"""),5.1)</f>
        <v>5.1</v>
      </c>
      <c r="L540" s="24">
        <f>IFERROR(__xludf.DUMMYFUNCTION("""COMPUTED_VALUE"""),12.0)</f>
        <v>12</v>
      </c>
      <c r="M540" s="25" t="str">
        <f>IFERROR(__xludf.DUMMYFUNCTION("""COMPUTED_VALUE"""),"Sports")</f>
        <v>Sports</v>
      </c>
      <c r="N540" s="25"/>
      <c r="O540" s="26" t="str">
        <f>IFERROR(__xludf.DUMMYFUNCTION("""COMPUTED_VALUE"""),"Yes")</f>
        <v>Yes</v>
      </c>
      <c r="P540" s="26"/>
    </row>
    <row r="541">
      <c r="A541" s="13" t="str">
        <f>IFERROR(__xludf.DUMMYFUNCTION("""COMPUTED_VALUE"""),"ReadySet Heroes")</f>
        <v>ReadySet Heroes</v>
      </c>
      <c r="B541" s="15" t="str">
        <f>IFERROR(__xludf.DUMMYFUNCTION("""COMPUTED_VALUE"""),"PS4")</f>
        <v>PS4</v>
      </c>
      <c r="C541" s="16" t="str">
        <f>IFERROR(__xludf.DUMMYFUNCTION("""COMPUTED_VALUE"""),"Extra")</f>
        <v>Extra</v>
      </c>
      <c r="D541" s="15" t="str">
        <f>IFERROR(__xludf.DUMMYFUNCTION("""COMPUTED_VALUE"""),"Active")</f>
        <v>Active</v>
      </c>
      <c r="E541" s="17">
        <f>IFERROR(__xludf.DUMMYFUNCTION("""COMPUTED_VALUE"""),44761.0)</f>
        <v>44761</v>
      </c>
      <c r="F541" s="54"/>
      <c r="G541" s="19">
        <f>IFERROR(__xludf.DUMMYFUNCTION("""COMPUTED_VALUE"""),50.56666666666666)</f>
        <v>50.56666667</v>
      </c>
      <c r="H541" s="17">
        <f>IFERROR(__xludf.DUMMYFUNCTION("""COMPUTED_VALUE"""),43739.0)</f>
        <v>43739</v>
      </c>
      <c r="I541" s="19">
        <f>IFERROR(__xludf.DUMMYFUNCTION("""COMPUTED_VALUE"""),2.8)</f>
        <v>2.8</v>
      </c>
      <c r="J541" s="21">
        <f>IFERROR(__xludf.DUMMYFUNCTION("""COMPUTED_VALUE"""),57.0)</f>
        <v>57</v>
      </c>
      <c r="K541" s="23">
        <f>IFERROR(__xludf.DUMMYFUNCTION("""COMPUTED_VALUE"""),6.8)</f>
        <v>6.8</v>
      </c>
      <c r="L541" s="24">
        <f>IFERROR(__xludf.DUMMYFUNCTION("""COMPUTED_VALUE"""),3.0)</f>
        <v>3</v>
      </c>
      <c r="M541" s="25" t="str">
        <f>IFERROR(__xludf.DUMMYFUNCTION("""COMPUTED_VALUE"""),"Action-Adventure")</f>
        <v>Action-Adventure</v>
      </c>
      <c r="N541" s="25"/>
      <c r="O541" s="26" t="str">
        <f>IFERROR(__xludf.DUMMYFUNCTION("""COMPUTED_VALUE"""),"Yes")</f>
        <v>Yes</v>
      </c>
      <c r="P541" s="26"/>
    </row>
    <row r="542">
      <c r="A542" s="13" t="str">
        <f>IFERROR(__xludf.DUMMYFUNCTION("""COMPUTED_VALUE"""),"TRON RUN/r")</f>
        <v>TRON RUN/r</v>
      </c>
      <c r="B542" s="15" t="str">
        <f>IFERROR(__xludf.DUMMYFUNCTION("""COMPUTED_VALUE"""),"PS4")</f>
        <v>PS4</v>
      </c>
      <c r="C542" s="16" t="str">
        <f>IFERROR(__xludf.DUMMYFUNCTION("""COMPUTED_VALUE"""),"Extra")</f>
        <v>Extra</v>
      </c>
      <c r="D542" s="15" t="str">
        <f>IFERROR(__xludf.DUMMYFUNCTION("""COMPUTED_VALUE"""),"Active")</f>
        <v>Active</v>
      </c>
      <c r="E542" s="17">
        <f>IFERROR(__xludf.DUMMYFUNCTION("""COMPUTED_VALUE"""),43438.0)</f>
        <v>43438</v>
      </c>
      <c r="F542" s="54"/>
      <c r="G542" s="19">
        <f>IFERROR(__xludf.DUMMYFUNCTION("""COMPUTED_VALUE"""),94.06666666666666)</f>
        <v>94.06666667</v>
      </c>
      <c r="H542" s="17">
        <f>IFERROR(__xludf.DUMMYFUNCTION("""COMPUTED_VALUE"""),42416.0)</f>
        <v>42416</v>
      </c>
      <c r="I542" s="19">
        <f>IFERROR(__xludf.DUMMYFUNCTION("""COMPUTED_VALUE"""),2.8)</f>
        <v>2.8</v>
      </c>
      <c r="J542" s="21">
        <f>IFERROR(__xludf.DUMMYFUNCTION("""COMPUTED_VALUE"""),57.0)</f>
        <v>57</v>
      </c>
      <c r="K542" s="23">
        <f>IFERROR(__xludf.DUMMYFUNCTION("""COMPUTED_VALUE"""),5.7)</f>
        <v>5.7</v>
      </c>
      <c r="L542" s="24">
        <f>IFERROR(__xludf.DUMMYFUNCTION("""COMPUTED_VALUE"""),5.0)</f>
        <v>5</v>
      </c>
      <c r="M542" s="25" t="str">
        <f>IFERROR(__xludf.DUMMYFUNCTION("""COMPUTED_VALUE"""),"Racing")</f>
        <v>Racing</v>
      </c>
      <c r="N542" s="25"/>
      <c r="O542" s="26" t="str">
        <f>IFERROR(__xludf.DUMMYFUNCTION("""COMPUTED_VALUE"""),"Yes")</f>
        <v>Yes</v>
      </c>
      <c r="P542" s="26"/>
    </row>
    <row r="543">
      <c r="A543" s="13" t="str">
        <f>IFERROR(__xludf.DUMMYFUNCTION("""COMPUTED_VALUE"""),"Bluey: The Videogame")</f>
        <v>Bluey: The Videogame</v>
      </c>
      <c r="B543" s="15" t="str">
        <f>IFERROR(__xludf.DUMMYFUNCTION("""COMPUTED_VALUE"""),"PS5/PS4")</f>
        <v>PS5/PS4</v>
      </c>
      <c r="C543" s="16" t="str">
        <f>IFERROR(__xludf.DUMMYFUNCTION("""COMPUTED_VALUE"""),"Extra")</f>
        <v>Extra</v>
      </c>
      <c r="D543" s="15" t="str">
        <f>IFERROR(__xludf.DUMMYFUNCTION("""COMPUTED_VALUE"""),"Active")</f>
        <v>Active</v>
      </c>
      <c r="E543" s="17">
        <f>IFERROR(__xludf.DUMMYFUNCTION("""COMPUTED_VALUE"""),45853.0)</f>
        <v>45853</v>
      </c>
      <c r="F543" s="54"/>
      <c r="G543" s="19">
        <f>IFERROR(__xludf.DUMMYFUNCTION("""COMPUTED_VALUE"""),14.700000000000001)</f>
        <v>14.7</v>
      </c>
      <c r="H543" s="17">
        <f>IFERROR(__xludf.DUMMYFUNCTION("""COMPUTED_VALUE"""),45247.0)</f>
        <v>45247</v>
      </c>
      <c r="I543" s="19">
        <f>IFERROR(__xludf.DUMMYFUNCTION("""COMPUTED_VALUE"""),1.6611111111111112)</f>
        <v>1.661111111</v>
      </c>
      <c r="J543" s="21">
        <f>IFERROR(__xludf.DUMMYFUNCTION("""COMPUTED_VALUE"""),56.0)</f>
        <v>56</v>
      </c>
      <c r="K543" s="23">
        <f>IFERROR(__xludf.DUMMYFUNCTION("""COMPUTED_VALUE"""),4.8)</f>
        <v>4.8</v>
      </c>
      <c r="L543" s="24">
        <f>IFERROR(__xludf.DUMMYFUNCTION("""COMPUTED_VALUE"""),2.0)</f>
        <v>2</v>
      </c>
      <c r="M543" s="25" t="str">
        <f>IFERROR(__xludf.DUMMYFUNCTION("""COMPUTED_VALUE"""),"Action-Adventure")</f>
        <v>Action-Adventure</v>
      </c>
      <c r="N543" s="25"/>
      <c r="O543" s="26"/>
      <c r="P543" s="26"/>
    </row>
    <row r="544">
      <c r="A544" s="13" t="str">
        <f>IFERROR(__xludf.DUMMYFUNCTION("""COMPUTED_VALUE"""),"Tom Clancy's Ghost Recon: Breakpoint")</f>
        <v>Tom Clancy's Ghost Recon: Breakpoint</v>
      </c>
      <c r="B544" s="15" t="str">
        <f>IFERROR(__xludf.DUMMYFUNCTION("""COMPUTED_VALUE"""),"PS4")</f>
        <v>PS4</v>
      </c>
      <c r="C544" s="16" t="str">
        <f>IFERROR(__xludf.DUMMYFUNCTION("""COMPUTED_VALUE"""),"Extra (Ubisoft+ Classics)")</f>
        <v>Extra (Ubisoft+ Classics)</v>
      </c>
      <c r="D544" s="15" t="str">
        <f>IFERROR(__xludf.DUMMYFUNCTION("""COMPUTED_VALUE"""),"Active")</f>
        <v>Active</v>
      </c>
      <c r="E544" s="17">
        <f>IFERROR(__xludf.DUMMYFUNCTION("""COMPUTED_VALUE"""),44880.0)</f>
        <v>44880</v>
      </c>
      <c r="F544" s="54"/>
      <c r="G544" s="19">
        <f>IFERROR(__xludf.DUMMYFUNCTION("""COMPUTED_VALUE"""),46.7)</f>
        <v>46.7</v>
      </c>
      <c r="H544" s="17">
        <f>IFERROR(__xludf.DUMMYFUNCTION("""COMPUTED_VALUE"""),43742.0)</f>
        <v>43742</v>
      </c>
      <c r="I544" s="19">
        <f>IFERROR(__xludf.DUMMYFUNCTION("""COMPUTED_VALUE"""),3.113888888888889)</f>
        <v>3.113888889</v>
      </c>
      <c r="J544" s="21">
        <f>IFERROR(__xludf.DUMMYFUNCTION("""COMPUTED_VALUE"""),56.0)</f>
        <v>56</v>
      </c>
      <c r="K544" s="23">
        <f>IFERROR(__xludf.DUMMYFUNCTION("""COMPUTED_VALUE"""),3.0)</f>
        <v>3</v>
      </c>
      <c r="L544" s="24">
        <f>IFERROR(__xludf.DUMMYFUNCTION("""COMPUTED_VALUE"""),23.5)</f>
        <v>23.5</v>
      </c>
      <c r="M544" s="25" t="str">
        <f>IFERROR(__xludf.DUMMYFUNCTION("""COMPUTED_VALUE"""),"Shooter")</f>
        <v>Shooter</v>
      </c>
      <c r="N544" s="25"/>
      <c r="O544" s="26" t="str">
        <f>IFERROR(__xludf.DUMMYFUNCTION("""COMPUTED_VALUE"""),"Yes")</f>
        <v>Yes</v>
      </c>
      <c r="P544" s="26"/>
    </row>
    <row r="545">
      <c r="A545" s="13" t="str">
        <f>IFERROR(__xludf.DUMMYFUNCTION("""COMPUTED_VALUE"""),"Fade to Silence")</f>
        <v>Fade to Silence</v>
      </c>
      <c r="B545" s="15" t="str">
        <f>IFERROR(__xludf.DUMMYFUNCTION("""COMPUTED_VALUE"""),"PS4")</f>
        <v>PS4</v>
      </c>
      <c r="C545" s="16" t="str">
        <f>IFERROR(__xludf.DUMMYFUNCTION("""COMPUTED_VALUE"""),"Extra")</f>
        <v>Extra</v>
      </c>
      <c r="D545" s="15" t="str">
        <f>IFERROR(__xludf.DUMMYFUNCTION("""COMPUTED_VALUE"""),"Active")</f>
        <v>Active</v>
      </c>
      <c r="E545" s="17">
        <f>IFERROR(__xludf.DUMMYFUNCTION("""COMPUTED_VALUE"""),44725.0)</f>
        <v>44725</v>
      </c>
      <c r="F545" s="54"/>
      <c r="G545" s="19">
        <f>IFERROR(__xludf.DUMMYFUNCTION("""COMPUTED_VALUE"""),51.766666666666666)</f>
        <v>51.76666667</v>
      </c>
      <c r="H545" s="17">
        <f>IFERROR(__xludf.DUMMYFUNCTION("""COMPUTED_VALUE"""),43083.0)</f>
        <v>43083</v>
      </c>
      <c r="I545" s="19">
        <f>IFERROR(__xludf.DUMMYFUNCTION("""COMPUTED_VALUE"""),4.497222222222222)</f>
        <v>4.497222222</v>
      </c>
      <c r="J545" s="21">
        <f>IFERROR(__xludf.DUMMYFUNCTION("""COMPUTED_VALUE"""),56.0)</f>
        <v>56</v>
      </c>
      <c r="K545" s="23">
        <f>IFERROR(__xludf.DUMMYFUNCTION("""COMPUTED_VALUE"""),5.7)</f>
        <v>5.7</v>
      </c>
      <c r="L545" s="24">
        <f>IFERROR(__xludf.DUMMYFUNCTION("""COMPUTED_VALUE"""),37.5)</f>
        <v>37.5</v>
      </c>
      <c r="M545" s="25" t="str">
        <f>IFERROR(__xludf.DUMMYFUNCTION("""COMPUTED_VALUE"""),"RPG")</f>
        <v>RPG</v>
      </c>
      <c r="N545" s="25"/>
      <c r="O545" s="26" t="str">
        <f>IFERROR(__xludf.DUMMYFUNCTION("""COMPUTED_VALUE"""),"Yes")</f>
        <v>Yes</v>
      </c>
      <c r="P545" s="26" t="str">
        <f>IFERROR(__xludf.DUMMYFUNCTION("""COMPUTED_VALUE"""),"Yes")</f>
        <v>Yes</v>
      </c>
    </row>
    <row r="546">
      <c r="A546" s="13" t="str">
        <f>IFERROR(__xludf.DUMMYFUNCTION("""COMPUTED_VALUE"""),"The Technomancer")</f>
        <v>The Technomancer</v>
      </c>
      <c r="B546" s="15" t="str">
        <f>IFERROR(__xludf.DUMMYFUNCTION("""COMPUTED_VALUE"""),"PS4")</f>
        <v>PS4</v>
      </c>
      <c r="C546" s="16" t="str">
        <f>IFERROR(__xludf.DUMMYFUNCTION("""COMPUTED_VALUE"""),"Extra")</f>
        <v>Extra</v>
      </c>
      <c r="D546" s="15" t="str">
        <f>IFERROR(__xludf.DUMMYFUNCTION("""COMPUTED_VALUE"""),"Active")</f>
        <v>Active</v>
      </c>
      <c r="E546" s="17">
        <f>IFERROR(__xludf.DUMMYFUNCTION("""COMPUTED_VALUE"""),44725.0)</f>
        <v>44725</v>
      </c>
      <c r="F546" s="54"/>
      <c r="G546" s="19">
        <f>IFERROR(__xludf.DUMMYFUNCTION("""COMPUTED_VALUE"""),51.766666666666666)</f>
        <v>51.76666667</v>
      </c>
      <c r="H546" s="17">
        <f>IFERROR(__xludf.DUMMYFUNCTION("""COMPUTED_VALUE"""),42549.0)</f>
        <v>42549</v>
      </c>
      <c r="I546" s="19">
        <f>IFERROR(__xludf.DUMMYFUNCTION("""COMPUTED_VALUE"""),5.958333333333333)</f>
        <v>5.958333333</v>
      </c>
      <c r="J546" s="21">
        <f>IFERROR(__xludf.DUMMYFUNCTION("""COMPUTED_VALUE"""),56.0)</f>
        <v>56</v>
      </c>
      <c r="K546" s="23">
        <f>IFERROR(__xludf.DUMMYFUNCTION("""COMPUTED_VALUE"""),6.5)</f>
        <v>6.5</v>
      </c>
      <c r="L546" s="24">
        <f>IFERROR(__xludf.DUMMYFUNCTION("""COMPUTED_VALUE"""),23.0)</f>
        <v>23</v>
      </c>
      <c r="M546" s="25" t="str">
        <f>IFERROR(__xludf.DUMMYFUNCTION("""COMPUTED_VALUE"""),"RPG")</f>
        <v>RPG</v>
      </c>
      <c r="N546" s="25"/>
      <c r="O546" s="26" t="str">
        <f>IFERROR(__xludf.DUMMYFUNCTION("""COMPUTED_VALUE"""),"Yes")</f>
        <v>Yes</v>
      </c>
      <c r="P546" s="26"/>
    </row>
    <row r="547">
      <c r="A547" s="13" t="str">
        <f>IFERROR(__xludf.DUMMYFUNCTION("""COMPUTED_VALUE"""),"Werewolf: The Apocalypse - Earthblood")</f>
        <v>Werewolf: The Apocalypse - Earthblood</v>
      </c>
      <c r="B547" s="15" t="str">
        <f>IFERROR(__xludf.DUMMYFUNCTION("""COMPUTED_VALUE"""),"PS5/PS4")</f>
        <v>PS5/PS4</v>
      </c>
      <c r="C547" s="16" t="str">
        <f>IFERROR(__xludf.DUMMYFUNCTION("""COMPUTED_VALUE"""),"Extra")</f>
        <v>Extra</v>
      </c>
      <c r="D547" s="15" t="str">
        <f>IFERROR(__xludf.DUMMYFUNCTION("""COMPUTED_VALUE"""),"Active")</f>
        <v>Active</v>
      </c>
      <c r="E547" s="17">
        <f>IFERROR(__xludf.DUMMYFUNCTION("""COMPUTED_VALUE"""),44656.0)</f>
        <v>44656</v>
      </c>
      <c r="F547" s="54"/>
      <c r="G547" s="19">
        <f>IFERROR(__xludf.DUMMYFUNCTION("""COMPUTED_VALUE"""),54.03333333333334)</f>
        <v>54.03333333</v>
      </c>
      <c r="H547" s="17">
        <f>IFERROR(__xludf.DUMMYFUNCTION("""COMPUTED_VALUE"""),44231.0)</f>
        <v>44231</v>
      </c>
      <c r="I547" s="19">
        <f>IFERROR(__xludf.DUMMYFUNCTION("""COMPUTED_VALUE"""),1.1694444444444445)</f>
        <v>1.169444444</v>
      </c>
      <c r="J547" s="21">
        <f>IFERROR(__xludf.DUMMYFUNCTION("""COMPUTED_VALUE"""),56.0)</f>
        <v>56</v>
      </c>
      <c r="K547" s="23">
        <f>IFERROR(__xludf.DUMMYFUNCTION("""COMPUTED_VALUE"""),5.5)</f>
        <v>5.5</v>
      </c>
      <c r="L547" s="24">
        <f>IFERROR(__xludf.DUMMYFUNCTION("""COMPUTED_VALUE"""),8.5)</f>
        <v>8.5</v>
      </c>
      <c r="M547" s="25" t="str">
        <f>IFERROR(__xludf.DUMMYFUNCTION("""COMPUTED_VALUE"""),"Action-Adventure")</f>
        <v>Action-Adventure</v>
      </c>
      <c r="N547" s="25"/>
      <c r="O547" s="26" t="str">
        <f>IFERROR(__xludf.DUMMYFUNCTION("""COMPUTED_VALUE"""),"Portal (PS5 + Premium)")</f>
        <v>Portal (PS5 + Premium)</v>
      </c>
      <c r="P547" s="26"/>
    </row>
    <row r="548">
      <c r="A548" s="13" t="str">
        <f>IFERROR(__xludf.DUMMYFUNCTION("""COMPUTED_VALUE"""),"Indiana Jones and the Staff of Kings")</f>
        <v>Indiana Jones and the Staff of Kings</v>
      </c>
      <c r="B548" s="15" t="str">
        <f>IFERROR(__xludf.DUMMYFUNCTION("""COMPUTED_VALUE"""),"PS5/PS4")</f>
        <v>PS5/PS4</v>
      </c>
      <c r="C548" s="16" t="str">
        <f>IFERROR(__xludf.DUMMYFUNCTION("""COMPUTED_VALUE"""),"Premium (Classics)")</f>
        <v>Premium (Classics)</v>
      </c>
      <c r="D548" s="15" t="str">
        <f>IFERROR(__xludf.DUMMYFUNCTION("""COMPUTED_VALUE"""),"Active")</f>
        <v>Active</v>
      </c>
      <c r="E548" s="17">
        <f>IFERROR(__xludf.DUMMYFUNCTION("""COMPUTED_VALUE"""),45678.0)</f>
        <v>45678</v>
      </c>
      <c r="F548" s="54"/>
      <c r="G548" s="19">
        <f>IFERROR(__xludf.DUMMYFUNCTION("""COMPUTED_VALUE"""),20.5)</f>
        <v>20.5</v>
      </c>
      <c r="H548" s="17">
        <f>IFERROR(__xludf.DUMMYFUNCTION("""COMPUTED_VALUE"""),39973.0)</f>
        <v>39973</v>
      </c>
      <c r="I548" s="19">
        <f>IFERROR(__xludf.DUMMYFUNCTION("""COMPUTED_VALUE"""),15.616666666666667)</f>
        <v>15.61666667</v>
      </c>
      <c r="J548" s="21">
        <f>IFERROR(__xludf.DUMMYFUNCTION("""COMPUTED_VALUE"""),55.0)</f>
        <v>55</v>
      </c>
      <c r="K548" s="23">
        <f>IFERROR(__xludf.DUMMYFUNCTION("""COMPUTED_VALUE"""),7.3)</f>
        <v>7.3</v>
      </c>
      <c r="L548" s="24">
        <f>IFERROR(__xludf.DUMMYFUNCTION("""COMPUTED_VALUE"""),8.0)</f>
        <v>8</v>
      </c>
      <c r="M548" s="25" t="str">
        <f>IFERROR(__xludf.DUMMYFUNCTION("""COMPUTED_VALUE"""),"Action-Adventure")</f>
        <v>Action-Adventure</v>
      </c>
      <c r="N548" s="25" t="str">
        <f>IFERROR(__xludf.DUMMYFUNCTION("""COMPUTED_VALUE"""),"PS2")</f>
        <v>PS2</v>
      </c>
      <c r="O548" s="26" t="str">
        <f>IFERROR(__xludf.DUMMYFUNCTION("""COMPUTED_VALUE"""),"Yes")</f>
        <v>Yes</v>
      </c>
      <c r="P548" s="26"/>
    </row>
    <row r="549">
      <c r="A549" s="13" t="str">
        <f>IFERROR(__xludf.DUMMYFUNCTION("""COMPUTED_VALUE"""),"Ice Age: Scrat's Nutty Adventure")</f>
        <v>Ice Age: Scrat's Nutty Adventure</v>
      </c>
      <c r="B549" s="15" t="str">
        <f>IFERROR(__xludf.DUMMYFUNCTION("""COMPUTED_VALUE"""),"PS4")</f>
        <v>PS4</v>
      </c>
      <c r="C549" s="16" t="str">
        <f>IFERROR(__xludf.DUMMYFUNCTION("""COMPUTED_VALUE"""),"Extra")</f>
        <v>Extra</v>
      </c>
      <c r="D549" s="15" t="str">
        <f>IFERROR(__xludf.DUMMYFUNCTION("""COMPUTED_VALUE"""),"Active")</f>
        <v>Active</v>
      </c>
      <c r="E549" s="17">
        <f>IFERROR(__xludf.DUMMYFUNCTION("""COMPUTED_VALUE"""),44761.0)</f>
        <v>44761</v>
      </c>
      <c r="F549" s="54"/>
      <c r="G549" s="19">
        <f>IFERROR(__xludf.DUMMYFUNCTION("""COMPUTED_VALUE"""),50.56666666666666)</f>
        <v>50.56666667</v>
      </c>
      <c r="H549" s="17">
        <f>IFERROR(__xludf.DUMMYFUNCTION("""COMPUTED_VALUE"""),43756.0)</f>
        <v>43756</v>
      </c>
      <c r="I549" s="19">
        <f>IFERROR(__xludf.DUMMYFUNCTION("""COMPUTED_VALUE"""),2.7527777777777778)</f>
        <v>2.752777778</v>
      </c>
      <c r="J549" s="21">
        <f>IFERROR(__xludf.DUMMYFUNCTION("""COMPUTED_VALUE"""),55.0)</f>
        <v>55</v>
      </c>
      <c r="K549" s="23">
        <f>IFERROR(__xludf.DUMMYFUNCTION("""COMPUTED_VALUE"""),5.2)</f>
        <v>5.2</v>
      </c>
      <c r="L549" s="24">
        <f>IFERROR(__xludf.DUMMYFUNCTION("""COMPUTED_VALUE"""),4.0)</f>
        <v>4</v>
      </c>
      <c r="M549" s="25" t="str">
        <f>IFERROR(__xludf.DUMMYFUNCTION("""COMPUTED_VALUE"""),"Action-Adventure")</f>
        <v>Action-Adventure</v>
      </c>
      <c r="N549" s="25"/>
      <c r="O549" s="26" t="str">
        <f>IFERROR(__xludf.DUMMYFUNCTION("""COMPUTED_VALUE"""),"Yes")</f>
        <v>Yes</v>
      </c>
      <c r="P549" s="26"/>
    </row>
    <row r="550">
      <c r="A550" s="13" t="str">
        <f>IFERROR(__xludf.DUMMYFUNCTION("""COMPUTED_VALUE"""),"Yet Another Zombie Defense")</f>
        <v>Yet Another Zombie Defense</v>
      </c>
      <c r="B550" s="15" t="str">
        <f>IFERROR(__xludf.DUMMYFUNCTION("""COMPUTED_VALUE"""),"PS4")</f>
        <v>PS4</v>
      </c>
      <c r="C550" s="16" t="str">
        <f>IFERROR(__xludf.DUMMYFUNCTION("""COMPUTED_VALUE"""),"Extra")</f>
        <v>Extra</v>
      </c>
      <c r="D550" s="15" t="str">
        <f>IFERROR(__xludf.DUMMYFUNCTION("""COMPUTED_VALUE"""),"Active")</f>
        <v>Active</v>
      </c>
      <c r="E550" s="17">
        <f>IFERROR(__xludf.DUMMYFUNCTION("""COMPUTED_VALUE"""),44474.0)</f>
        <v>44474</v>
      </c>
      <c r="F550" s="54"/>
      <c r="G550" s="19">
        <f>IFERROR(__xludf.DUMMYFUNCTION("""COMPUTED_VALUE"""),60.03333333333334)</f>
        <v>60.03333333</v>
      </c>
      <c r="H550" s="17">
        <f>IFERROR(__xludf.DUMMYFUNCTION("""COMPUTED_VALUE"""),43656.0)</f>
        <v>43656</v>
      </c>
      <c r="I550" s="19">
        <f>IFERROR(__xludf.DUMMYFUNCTION("""COMPUTED_VALUE"""),2.236111111111111)</f>
        <v>2.236111111</v>
      </c>
      <c r="J550" s="21">
        <f>IFERROR(__xludf.DUMMYFUNCTION("""COMPUTED_VALUE"""),55.0)</f>
        <v>55</v>
      </c>
      <c r="K550" s="23">
        <f>IFERROR(__xludf.DUMMYFUNCTION("""COMPUTED_VALUE"""),6.2)</f>
        <v>6.2</v>
      </c>
      <c r="L550" s="24">
        <f>IFERROR(__xludf.DUMMYFUNCTION("""COMPUTED_VALUE"""),2.0)</f>
        <v>2</v>
      </c>
      <c r="M550" s="25" t="str">
        <f>IFERROR(__xludf.DUMMYFUNCTION("""COMPUTED_VALUE"""),"Shooter")</f>
        <v>Shooter</v>
      </c>
      <c r="N550" s="25"/>
      <c r="O550" s="26" t="str">
        <f>IFERROR(__xludf.DUMMYFUNCTION("""COMPUTED_VALUE"""),"Yes")</f>
        <v>Yes</v>
      </c>
      <c r="P550" s="26" t="str">
        <f>IFERROR(__xludf.DUMMYFUNCTION("""COMPUTED_VALUE"""),"Yes")</f>
        <v>Yes</v>
      </c>
    </row>
    <row r="551">
      <c r="A551" s="13" t="str">
        <f>IFERROR(__xludf.DUMMYFUNCTION("""COMPUTED_VALUE"""),"Car Mechanic Simulator")</f>
        <v>Car Mechanic Simulator</v>
      </c>
      <c r="B551" s="15" t="str">
        <f>IFERROR(__xludf.DUMMYFUNCTION("""COMPUTED_VALUE"""),"PS5/PS4")</f>
        <v>PS5/PS4</v>
      </c>
      <c r="C551" s="16" t="str">
        <f>IFERROR(__xludf.DUMMYFUNCTION("""COMPUTED_VALUE"""),"Extra")</f>
        <v>Extra</v>
      </c>
      <c r="D551" s="15" t="str">
        <f>IFERROR(__xludf.DUMMYFUNCTION("""COMPUTED_VALUE"""),"Active")</f>
        <v>Active</v>
      </c>
      <c r="E551" s="17">
        <f>IFERROR(__xludf.DUMMYFUNCTION("""COMPUTED_VALUE"""),44348.0)</f>
        <v>44348</v>
      </c>
      <c r="F551" s="54"/>
      <c r="G551" s="19">
        <f>IFERROR(__xludf.DUMMYFUNCTION("""COMPUTED_VALUE"""),64.16666666666667)</f>
        <v>64.16666667</v>
      </c>
      <c r="H551" s="17">
        <f>IFERROR(__xludf.DUMMYFUNCTION("""COMPUTED_VALUE"""),43511.0)</f>
        <v>43511</v>
      </c>
      <c r="I551" s="19">
        <f>IFERROR(__xludf.DUMMYFUNCTION("""COMPUTED_VALUE"""),2.2944444444444443)</f>
        <v>2.294444444</v>
      </c>
      <c r="J551" s="21">
        <f>IFERROR(__xludf.DUMMYFUNCTION("""COMPUTED_VALUE"""),55.0)</f>
        <v>55</v>
      </c>
      <c r="K551" s="23">
        <f>IFERROR(__xludf.DUMMYFUNCTION("""COMPUTED_VALUE"""),6.4)</f>
        <v>6.4</v>
      </c>
      <c r="L551" s="24">
        <f>IFERROR(__xludf.DUMMYFUNCTION("""COMPUTED_VALUE"""),25.0)</f>
        <v>25</v>
      </c>
      <c r="M551" s="25" t="str">
        <f>IFERROR(__xludf.DUMMYFUNCTION("""COMPUTED_VALUE"""),"Simulation")</f>
        <v>Simulation</v>
      </c>
      <c r="N551" s="25"/>
      <c r="O551" s="26" t="str">
        <f>IFERROR(__xludf.DUMMYFUNCTION("""COMPUTED_VALUE"""),"Yes")</f>
        <v>Yes</v>
      </c>
      <c r="P551" s="26"/>
    </row>
    <row r="552">
      <c r="A552" s="13" t="str">
        <f>IFERROR(__xludf.DUMMYFUNCTION("""COMPUTED_VALUE"""),"The Settlers: New Allies")</f>
        <v>The Settlers: New Allies</v>
      </c>
      <c r="B552" s="15" t="str">
        <f>IFERROR(__xludf.DUMMYFUNCTION("""COMPUTED_VALUE"""),"PS4")</f>
        <v>PS4</v>
      </c>
      <c r="C552" s="16" t="str">
        <f>IFERROR(__xludf.DUMMYFUNCTION("""COMPUTED_VALUE"""),"Extra (Ubisoft+ Classics)")</f>
        <v>Extra (Ubisoft+ Classics)</v>
      </c>
      <c r="D552" s="15" t="str">
        <f>IFERROR(__xludf.DUMMYFUNCTION("""COMPUTED_VALUE"""),"Active")</f>
        <v>Active</v>
      </c>
      <c r="E552" s="17">
        <f>IFERROR(__xludf.DUMMYFUNCTION("""COMPUTED_VALUE"""),45433.0)</f>
        <v>45433</v>
      </c>
      <c r="F552" s="54"/>
      <c r="G552" s="19">
        <f>IFERROR(__xludf.DUMMYFUNCTION("""COMPUTED_VALUE"""),28.5)</f>
        <v>28.5</v>
      </c>
      <c r="H552" s="17">
        <f>IFERROR(__xludf.DUMMYFUNCTION("""COMPUTED_VALUE"""),44974.0)</f>
        <v>44974</v>
      </c>
      <c r="I552" s="19">
        <f>IFERROR(__xludf.DUMMYFUNCTION("""COMPUTED_VALUE"""),1.261111111111111)</f>
        <v>1.261111111</v>
      </c>
      <c r="J552" s="21">
        <f>IFERROR(__xludf.DUMMYFUNCTION("""COMPUTED_VALUE"""),54.0)</f>
        <v>54</v>
      </c>
      <c r="K552" s="23">
        <f>IFERROR(__xludf.DUMMYFUNCTION("""COMPUTED_VALUE"""),3.3)</f>
        <v>3.3</v>
      </c>
      <c r="L552" s="24">
        <f>IFERROR(__xludf.DUMMYFUNCTION("""COMPUTED_VALUE"""),35.0)</f>
        <v>35</v>
      </c>
      <c r="M552" s="25" t="str">
        <f>IFERROR(__xludf.DUMMYFUNCTION("""COMPUTED_VALUE"""),"Management")</f>
        <v>Management</v>
      </c>
      <c r="N552" s="25"/>
      <c r="O552" s="26" t="str">
        <f>IFERROR(__xludf.DUMMYFUNCTION("""COMPUTED_VALUE"""),"No")</f>
        <v>No</v>
      </c>
      <c r="P552" s="26"/>
    </row>
    <row r="553">
      <c r="A553" s="13" t="str">
        <f>IFERROR(__xludf.DUMMYFUNCTION("""COMPUTED_VALUE"""),"Disney/Pixar Buzz Lightyear of Star Command")</f>
        <v>Disney/Pixar Buzz Lightyear of Star Command</v>
      </c>
      <c r="B553" s="15" t="str">
        <f>IFERROR(__xludf.DUMMYFUNCTION("""COMPUTED_VALUE"""),"PS5/PS4")</f>
        <v>PS5/PS4</v>
      </c>
      <c r="C553" s="16" t="str">
        <f>IFERROR(__xludf.DUMMYFUNCTION("""COMPUTED_VALUE"""),"Premium (Classics)")</f>
        <v>Premium (Classics)</v>
      </c>
      <c r="D553" s="15" t="str">
        <f>IFERROR(__xludf.DUMMYFUNCTION("""COMPUTED_VALUE"""),"Active")</f>
        <v>Active</v>
      </c>
      <c r="E553" s="17">
        <f>IFERROR(__xludf.DUMMYFUNCTION("""COMPUTED_VALUE"""),45279.0)</f>
        <v>45279</v>
      </c>
      <c r="F553" s="54"/>
      <c r="G553" s="19">
        <f>IFERROR(__xludf.DUMMYFUNCTION("""COMPUTED_VALUE"""),33.56666666666666)</f>
        <v>33.56666667</v>
      </c>
      <c r="H553" s="17">
        <f>IFERROR(__xludf.DUMMYFUNCTION("""COMPUTED_VALUE"""),36795.0)</f>
        <v>36795</v>
      </c>
      <c r="I553" s="19">
        <f>IFERROR(__xludf.DUMMYFUNCTION("""COMPUTED_VALUE"""),23.230555555555554)</f>
        <v>23.23055556</v>
      </c>
      <c r="J553" s="21">
        <f>IFERROR(__xludf.DUMMYFUNCTION("""COMPUTED_VALUE"""),54.0)</f>
        <v>54</v>
      </c>
      <c r="K553" s="23">
        <f>IFERROR(__xludf.DUMMYFUNCTION("""COMPUTED_VALUE"""),8.3)</f>
        <v>8.3</v>
      </c>
      <c r="L553" s="24">
        <f>IFERROR(__xludf.DUMMYFUNCTION("""COMPUTED_VALUE"""),7.0)</f>
        <v>7</v>
      </c>
      <c r="M553" s="25" t="str">
        <f>IFERROR(__xludf.DUMMYFUNCTION("""COMPUTED_VALUE"""),"Action-Adventure")</f>
        <v>Action-Adventure</v>
      </c>
      <c r="N553" s="25" t="str">
        <f>IFERROR(__xludf.DUMMYFUNCTION("""COMPUTED_VALUE"""),"PS1")</f>
        <v>PS1</v>
      </c>
      <c r="O553" s="26" t="str">
        <f>IFERROR(__xludf.DUMMYFUNCTION("""COMPUTED_VALUE"""),"Portal (PS5 + Premium)")</f>
        <v>Portal (PS5 + Premium)</v>
      </c>
      <c r="P553" s="26"/>
    </row>
    <row r="554">
      <c r="A554" s="13" t="str">
        <f>IFERROR(__xludf.DUMMYFUNCTION("""COMPUTED_VALUE"""),"Fallout 76")</f>
        <v>Fallout 76</v>
      </c>
      <c r="B554" s="15" t="str">
        <f>IFERROR(__xludf.DUMMYFUNCTION("""COMPUTED_VALUE"""),"PS4")</f>
        <v>PS4</v>
      </c>
      <c r="C554" s="16" t="str">
        <f>IFERROR(__xludf.DUMMYFUNCTION("""COMPUTED_VALUE"""),"Extra")</f>
        <v>Extra</v>
      </c>
      <c r="D554" s="15" t="str">
        <f>IFERROR(__xludf.DUMMYFUNCTION("""COMPUTED_VALUE"""),"Active")</f>
        <v>Active</v>
      </c>
      <c r="E554" s="17">
        <f>IFERROR(__xludf.DUMMYFUNCTION("""COMPUTED_VALUE"""),44725.0)</f>
        <v>44725</v>
      </c>
      <c r="F554" s="54"/>
      <c r="G554" s="19">
        <f>IFERROR(__xludf.DUMMYFUNCTION("""COMPUTED_VALUE"""),51.766666666666666)</f>
        <v>51.76666667</v>
      </c>
      <c r="H554" s="17">
        <f>IFERROR(__xludf.DUMMYFUNCTION("""COMPUTED_VALUE"""),43418.0)</f>
        <v>43418</v>
      </c>
      <c r="I554" s="19">
        <f>IFERROR(__xludf.DUMMYFUNCTION("""COMPUTED_VALUE"""),3.5805555555555557)</f>
        <v>3.580555556</v>
      </c>
      <c r="J554" s="21">
        <f>IFERROR(__xludf.DUMMYFUNCTION("""COMPUTED_VALUE"""),54.0)</f>
        <v>54</v>
      </c>
      <c r="K554" s="23">
        <f>IFERROR(__xludf.DUMMYFUNCTION("""COMPUTED_VALUE"""),5.0)</f>
        <v>5</v>
      </c>
      <c r="L554" s="24">
        <f>IFERROR(__xludf.DUMMYFUNCTION("""COMPUTED_VALUE"""),30.0)</f>
        <v>30</v>
      </c>
      <c r="M554" s="25" t="str">
        <f>IFERROR(__xludf.DUMMYFUNCTION("""COMPUTED_VALUE"""),"RPG")</f>
        <v>RPG</v>
      </c>
      <c r="N554" s="25"/>
      <c r="O554" s="26" t="str">
        <f>IFERROR(__xludf.DUMMYFUNCTION("""COMPUTED_VALUE"""),"Yes")</f>
        <v>Yes</v>
      </c>
      <c r="P554" s="26"/>
    </row>
    <row r="555">
      <c r="A555" s="13" t="str">
        <f>IFERROR(__xludf.DUMMYFUNCTION("""COMPUTED_VALUE"""),"Secret Neighbor")</f>
        <v>Secret Neighbor</v>
      </c>
      <c r="B555" s="15" t="str">
        <f>IFERROR(__xludf.DUMMYFUNCTION("""COMPUTED_VALUE"""),"PS4")</f>
        <v>PS4</v>
      </c>
      <c r="C555" s="16" t="str">
        <f>IFERROR(__xludf.DUMMYFUNCTION("""COMPUTED_VALUE"""),"Extra")</f>
        <v>Extra</v>
      </c>
      <c r="D555" s="15" t="str">
        <f>IFERROR(__xludf.DUMMYFUNCTION("""COMPUTED_VALUE"""),"Active")</f>
        <v>Active</v>
      </c>
      <c r="E555" s="17">
        <f>IFERROR(__xludf.DUMMYFUNCTION("""COMPUTED_VALUE"""),44725.0)</f>
        <v>44725</v>
      </c>
      <c r="F555" s="54"/>
      <c r="G555" s="19">
        <f>IFERROR(__xludf.DUMMYFUNCTION("""COMPUTED_VALUE"""),51.766666666666666)</f>
        <v>51.76666667</v>
      </c>
      <c r="H555" s="17">
        <f>IFERROR(__xludf.DUMMYFUNCTION("""COMPUTED_VALUE"""),43762.0)</f>
        <v>43762</v>
      </c>
      <c r="I555" s="19">
        <f>IFERROR(__xludf.DUMMYFUNCTION("""COMPUTED_VALUE"""),2.636111111111111)</f>
        <v>2.636111111</v>
      </c>
      <c r="J555" s="21">
        <f>IFERROR(__xludf.DUMMYFUNCTION("""COMPUTED_VALUE"""),54.0)</f>
        <v>54</v>
      </c>
      <c r="K555" s="23">
        <f>IFERROR(__xludf.DUMMYFUNCTION("""COMPUTED_VALUE"""),5.7)</f>
        <v>5.7</v>
      </c>
      <c r="L555" s="24"/>
      <c r="M555" s="25" t="str">
        <f>IFERROR(__xludf.DUMMYFUNCTION("""COMPUTED_VALUE"""),"Horror")</f>
        <v>Horror</v>
      </c>
      <c r="N555" s="25"/>
      <c r="O555" s="26" t="str">
        <f>IFERROR(__xludf.DUMMYFUNCTION("""COMPUTED_VALUE"""),"No")</f>
        <v>No</v>
      </c>
      <c r="P555" s="26" t="str">
        <f>IFERROR(__xludf.DUMMYFUNCTION("""COMPUTED_VALUE"""),"Yes")</f>
        <v>Yes</v>
      </c>
    </row>
    <row r="556">
      <c r="A556" s="13" t="str">
        <f>IFERROR(__xludf.DUMMYFUNCTION("""COMPUTED_VALUE"""),"Rabbids Invasion: The Interactive TV Show")</f>
        <v>Rabbids Invasion: The Interactive TV Show</v>
      </c>
      <c r="B556" s="15" t="str">
        <f>IFERROR(__xludf.DUMMYFUNCTION("""COMPUTED_VALUE"""),"PS4")</f>
        <v>PS4</v>
      </c>
      <c r="C556" s="16" t="str">
        <f>IFERROR(__xludf.DUMMYFUNCTION("""COMPUTED_VALUE"""),"Extra")</f>
        <v>Extra</v>
      </c>
      <c r="D556" s="15" t="str">
        <f>IFERROR(__xludf.DUMMYFUNCTION("""COMPUTED_VALUE"""),"Active")</f>
        <v>Active</v>
      </c>
      <c r="E556" s="17">
        <f>IFERROR(__xludf.DUMMYFUNCTION("""COMPUTED_VALUE"""),44824.0)</f>
        <v>44824</v>
      </c>
      <c r="F556" s="54"/>
      <c r="G556" s="19">
        <f>IFERROR(__xludf.DUMMYFUNCTION("""COMPUTED_VALUE"""),48.53333333333333)</f>
        <v>48.53333333</v>
      </c>
      <c r="H556" s="17">
        <f>IFERROR(__xludf.DUMMYFUNCTION("""COMPUTED_VALUE"""),41961.0)</f>
        <v>41961</v>
      </c>
      <c r="I556" s="19">
        <f>IFERROR(__xludf.DUMMYFUNCTION("""COMPUTED_VALUE"""),7.838888888888889)</f>
        <v>7.838888889</v>
      </c>
      <c r="J556" s="21">
        <f>IFERROR(__xludf.DUMMYFUNCTION("""COMPUTED_VALUE"""),53.0)</f>
        <v>53</v>
      </c>
      <c r="K556" s="23">
        <f>IFERROR(__xludf.DUMMYFUNCTION("""COMPUTED_VALUE"""),4.3)</f>
        <v>4.3</v>
      </c>
      <c r="L556" s="24">
        <f>IFERROR(__xludf.DUMMYFUNCTION("""COMPUTED_VALUE"""),10.0)</f>
        <v>10</v>
      </c>
      <c r="M556" s="25" t="str">
        <f>IFERROR(__xludf.DUMMYFUNCTION("""COMPUTED_VALUE"""),"Action-Adventure")</f>
        <v>Action-Adventure</v>
      </c>
      <c r="N556" s="25"/>
      <c r="O556" s="26" t="str">
        <f>IFERROR(__xludf.DUMMYFUNCTION("""COMPUTED_VALUE"""),"No")</f>
        <v>No</v>
      </c>
      <c r="P556" s="26"/>
    </row>
    <row r="557">
      <c r="A557" s="13" t="str">
        <f>IFERROR(__xludf.DUMMYFUNCTION("""COMPUTED_VALUE"""),"Contra: Rogue Corps")</f>
        <v>Contra: Rogue Corps</v>
      </c>
      <c r="B557" s="15" t="str">
        <f>IFERROR(__xludf.DUMMYFUNCTION("""COMPUTED_VALUE"""),"PS4")</f>
        <v>PS4</v>
      </c>
      <c r="C557" s="16" t="str">
        <f>IFERROR(__xludf.DUMMYFUNCTION("""COMPUTED_VALUE"""),"Extra")</f>
        <v>Extra</v>
      </c>
      <c r="D557" s="15" t="str">
        <f>IFERROR(__xludf.DUMMYFUNCTION("""COMPUTED_VALUE"""),"Active")</f>
        <v>Active</v>
      </c>
      <c r="E557" s="17">
        <f>IFERROR(__xludf.DUMMYFUNCTION("""COMPUTED_VALUE"""),45188.0)</f>
        <v>45188</v>
      </c>
      <c r="F557" s="54"/>
      <c r="G557" s="19">
        <f>IFERROR(__xludf.DUMMYFUNCTION("""COMPUTED_VALUE"""),36.56666666666666)</f>
        <v>36.56666667</v>
      </c>
      <c r="H557" s="17">
        <f>IFERROR(__xludf.DUMMYFUNCTION("""COMPUTED_VALUE"""),43732.0)</f>
        <v>43732</v>
      </c>
      <c r="I557" s="19">
        <f>IFERROR(__xludf.DUMMYFUNCTION("""COMPUTED_VALUE"""),3.986111111111111)</f>
        <v>3.986111111</v>
      </c>
      <c r="J557" s="21">
        <f>IFERROR(__xludf.DUMMYFUNCTION("""COMPUTED_VALUE"""),52.0)</f>
        <v>52</v>
      </c>
      <c r="K557" s="23">
        <f>IFERROR(__xludf.DUMMYFUNCTION("""COMPUTED_VALUE"""),4.0)</f>
        <v>4</v>
      </c>
      <c r="L557" s="24">
        <f>IFERROR(__xludf.DUMMYFUNCTION("""COMPUTED_VALUE"""),16.0)</f>
        <v>16</v>
      </c>
      <c r="M557" s="25" t="str">
        <f>IFERROR(__xludf.DUMMYFUNCTION("""COMPUTED_VALUE"""),"Action-Adventure")</f>
        <v>Action-Adventure</v>
      </c>
      <c r="N557" s="25"/>
      <c r="O557" s="26" t="str">
        <f>IFERROR(__xludf.DUMMYFUNCTION("""COMPUTED_VALUE"""),"Yes")</f>
        <v>Yes</v>
      </c>
      <c r="P557" s="26"/>
    </row>
    <row r="558">
      <c r="A558" s="13" t="str">
        <f>IFERROR(__xludf.DUMMYFUNCTION("""COMPUTED_VALUE"""),"Ape Escape Academy")</f>
        <v>Ape Escape Academy</v>
      </c>
      <c r="B558" s="15" t="str">
        <f>IFERROR(__xludf.DUMMYFUNCTION("""COMPUTED_VALUE"""),"PS5/PS4")</f>
        <v>PS5/PS4</v>
      </c>
      <c r="C558" s="16" t="str">
        <f>IFERROR(__xludf.DUMMYFUNCTION("""COMPUTED_VALUE"""),"Premium (Classics)")</f>
        <v>Premium (Classics)</v>
      </c>
      <c r="D558" s="15" t="str">
        <f>IFERROR(__xludf.DUMMYFUNCTION("""COMPUTED_VALUE"""),"Active")</f>
        <v>Active</v>
      </c>
      <c r="E558" s="17">
        <f>IFERROR(__xludf.DUMMYFUNCTION("""COMPUTED_VALUE"""),45216.0)</f>
        <v>45216</v>
      </c>
      <c r="F558" s="54"/>
      <c r="G558" s="19">
        <f>IFERROR(__xludf.DUMMYFUNCTION("""COMPUTED_VALUE"""),35.63333333333333)</f>
        <v>35.63333333</v>
      </c>
      <c r="H558" s="17">
        <f>IFERROR(__xludf.DUMMYFUNCTION("""COMPUTED_VALUE"""),38734.0)</f>
        <v>38734</v>
      </c>
      <c r="I558" s="19">
        <f>IFERROR(__xludf.DUMMYFUNCTION("""COMPUTED_VALUE"""),17.75)</f>
        <v>17.75</v>
      </c>
      <c r="J558" s="21">
        <f>IFERROR(__xludf.DUMMYFUNCTION("""COMPUTED_VALUE"""),51.0)</f>
        <v>51</v>
      </c>
      <c r="K558" s="23">
        <f>IFERROR(__xludf.DUMMYFUNCTION("""COMPUTED_VALUE"""),5.7)</f>
        <v>5.7</v>
      </c>
      <c r="L558" s="24">
        <f>IFERROR(__xludf.DUMMYFUNCTION("""COMPUTED_VALUE"""),3.0)</f>
        <v>3</v>
      </c>
      <c r="M558" s="25" t="str">
        <f>IFERROR(__xludf.DUMMYFUNCTION("""COMPUTED_VALUE"""),"Party")</f>
        <v>Party</v>
      </c>
      <c r="N558" s="25" t="str">
        <f>IFERROR(__xludf.DUMMYFUNCTION("""COMPUTED_VALUE"""),"PSP")</f>
        <v>PSP</v>
      </c>
      <c r="O558" s="26" t="str">
        <f>IFERROR(__xludf.DUMMYFUNCTION("""COMPUTED_VALUE"""),"Yes")</f>
        <v>Yes</v>
      </c>
      <c r="P558" s="26"/>
    </row>
    <row r="559">
      <c r="A559" s="13" t="str">
        <f>IFERROR(__xludf.DUMMYFUNCTION("""COMPUTED_VALUE"""),"Harvest Moon: One World")</f>
        <v>Harvest Moon: One World</v>
      </c>
      <c r="B559" s="15" t="str">
        <f>IFERROR(__xludf.DUMMYFUNCTION("""COMPUTED_VALUE"""),"PS4")</f>
        <v>PS4</v>
      </c>
      <c r="C559" s="16" t="str">
        <f>IFERROR(__xludf.DUMMYFUNCTION("""COMPUTED_VALUE"""),"Extra")</f>
        <v>Extra</v>
      </c>
      <c r="D559" s="15" t="str">
        <f>IFERROR(__xludf.DUMMYFUNCTION("""COMPUTED_VALUE"""),"Leaving Soon")</f>
        <v>Leaving Soon</v>
      </c>
      <c r="E559" s="17">
        <f>IFERROR(__xludf.DUMMYFUNCTION("""COMPUTED_VALUE"""),44725.0)</f>
        <v>44725</v>
      </c>
      <c r="F559" s="54">
        <f>IFERROR(__xludf.DUMMYFUNCTION("""COMPUTED_VALUE"""),46314.0)</f>
        <v>46314</v>
      </c>
      <c r="G559" s="19">
        <f>IFERROR(__xludf.DUMMYFUNCTION("""COMPUTED_VALUE"""),52.199999999999996)</f>
        <v>52.2</v>
      </c>
      <c r="H559" s="17">
        <f>IFERROR(__xludf.DUMMYFUNCTION("""COMPUTED_VALUE"""),44258.0)</f>
        <v>44258</v>
      </c>
      <c r="I559" s="19">
        <f>IFERROR(__xludf.DUMMYFUNCTION("""COMPUTED_VALUE"""),1.2777777777777777)</f>
        <v>1.277777778</v>
      </c>
      <c r="J559" s="21">
        <f>IFERROR(__xludf.DUMMYFUNCTION("""COMPUTED_VALUE"""),51.0)</f>
        <v>51</v>
      </c>
      <c r="K559" s="23">
        <f>IFERROR(__xludf.DUMMYFUNCTION("""COMPUTED_VALUE"""),5.1)</f>
        <v>5.1</v>
      </c>
      <c r="L559" s="24">
        <f>IFERROR(__xludf.DUMMYFUNCTION("""COMPUTED_VALUE"""),19.5)</f>
        <v>19.5</v>
      </c>
      <c r="M559" s="25" t="str">
        <f>IFERROR(__xludf.DUMMYFUNCTION("""COMPUTED_VALUE"""),"Simulation")</f>
        <v>Simulation</v>
      </c>
      <c r="N559" s="25"/>
      <c r="O559" s="26" t="str">
        <f>IFERROR(__xludf.DUMMYFUNCTION("""COMPUTED_VALUE"""),"No")</f>
        <v>No</v>
      </c>
      <c r="P559" s="26"/>
    </row>
    <row r="560">
      <c r="A560" s="13" t="str">
        <f>IFERROR(__xludf.DUMMYFUNCTION("""COMPUTED_VALUE"""),"Disney Pixar Wall-E")</f>
        <v>Disney Pixar Wall-E</v>
      </c>
      <c r="B560" s="15" t="str">
        <f>IFERROR(__xludf.DUMMYFUNCTION("""COMPUTED_VALUE"""),"PS5/PS4")</f>
        <v>PS5/PS4</v>
      </c>
      <c r="C560" s="16" t="str">
        <f>IFERROR(__xludf.DUMMYFUNCTION("""COMPUTED_VALUE"""),"Premium (Classics)")</f>
        <v>Premium (Classics)</v>
      </c>
      <c r="D560" s="15" t="str">
        <f>IFERROR(__xludf.DUMMYFUNCTION("""COMPUTED_VALUE"""),"Active")</f>
        <v>Active</v>
      </c>
      <c r="E560" s="17">
        <f>IFERROR(__xludf.DUMMYFUNCTION("""COMPUTED_VALUE"""),46070.0)</f>
        <v>46070</v>
      </c>
      <c r="F560" s="54"/>
      <c r="G560" s="19">
        <f>IFERROR(__xludf.DUMMYFUNCTION("""COMPUTED_VALUE"""),7.633333333333333)</f>
        <v>7.633333333</v>
      </c>
      <c r="H560" s="17">
        <f>IFERROR(__xludf.DUMMYFUNCTION("""COMPUTED_VALUE"""),39623.0)</f>
        <v>39623</v>
      </c>
      <c r="I560" s="19">
        <f>IFERROR(__xludf.DUMMYFUNCTION("""COMPUTED_VALUE"""),17.647222222222222)</f>
        <v>17.64722222</v>
      </c>
      <c r="J560" s="21">
        <f>IFERROR(__xludf.DUMMYFUNCTION("""COMPUTED_VALUE"""),50.0)</f>
        <v>50</v>
      </c>
      <c r="K560" s="23">
        <f>IFERROR(__xludf.DUMMYFUNCTION("""COMPUTED_VALUE"""),6.8)</f>
        <v>6.8</v>
      </c>
      <c r="L560" s="24">
        <f>IFERROR(__xludf.DUMMYFUNCTION("""COMPUTED_VALUE"""),8.0)</f>
        <v>8</v>
      </c>
      <c r="M560" s="25" t="str">
        <f>IFERROR(__xludf.DUMMYFUNCTION("""COMPUTED_VALUE"""),"Action-Adventure")</f>
        <v>Action-Adventure</v>
      </c>
      <c r="N560" s="25" t="str">
        <f>IFERROR(__xludf.DUMMYFUNCTION("""COMPUTED_VALUE"""),"PS2")</f>
        <v>PS2</v>
      </c>
      <c r="O560" s="26"/>
      <c r="P560" s="26"/>
    </row>
    <row r="561">
      <c r="A561" s="13" t="str">
        <f>IFERROR(__xludf.DUMMYFUNCTION("""COMPUTED_VALUE"""),"Poker Club")</f>
        <v>Poker Club</v>
      </c>
      <c r="B561" s="15" t="str">
        <f>IFERROR(__xludf.DUMMYFUNCTION("""COMPUTED_VALUE"""),"PS4")</f>
        <v>PS4</v>
      </c>
      <c r="C561" s="16" t="str">
        <f>IFERROR(__xludf.DUMMYFUNCTION("""COMPUTED_VALUE"""),"Extra")</f>
        <v>Extra</v>
      </c>
      <c r="D561" s="15" t="str">
        <f>IFERROR(__xludf.DUMMYFUNCTION("""COMPUTED_VALUE"""),"Active")</f>
        <v>Active</v>
      </c>
      <c r="E561" s="17">
        <f>IFERROR(__xludf.DUMMYFUNCTION("""COMPUTED_VALUE"""),45678.0)</f>
        <v>45678</v>
      </c>
      <c r="F561" s="54"/>
      <c r="G561" s="19">
        <f>IFERROR(__xludf.DUMMYFUNCTION("""COMPUTED_VALUE"""),20.5)</f>
        <v>20.5</v>
      </c>
      <c r="H561" s="17">
        <f>IFERROR(__xludf.DUMMYFUNCTION("""COMPUTED_VALUE"""),44524.0)</f>
        <v>44524</v>
      </c>
      <c r="I561" s="19">
        <f>IFERROR(__xludf.DUMMYFUNCTION("""COMPUTED_VALUE"""),3.158333333333333)</f>
        <v>3.158333333</v>
      </c>
      <c r="J561" s="21">
        <f>IFERROR(__xludf.DUMMYFUNCTION("""COMPUTED_VALUE"""),50.0)</f>
        <v>50</v>
      </c>
      <c r="K561" s="23">
        <f>IFERROR(__xludf.DUMMYFUNCTION("""COMPUTED_VALUE"""),5.3)</f>
        <v>5.3</v>
      </c>
      <c r="L561" s="24">
        <f>IFERROR(__xludf.DUMMYFUNCTION("""COMPUTED_VALUE"""),1.5)</f>
        <v>1.5</v>
      </c>
      <c r="M561" s="25" t="str">
        <f>IFERROR(__xludf.DUMMYFUNCTION("""COMPUTED_VALUE"""),"Gambling")</f>
        <v>Gambling</v>
      </c>
      <c r="N561" s="25"/>
      <c r="O561" s="26" t="str">
        <f>IFERROR(__xludf.DUMMYFUNCTION("""COMPUTED_VALUE"""),"No")</f>
        <v>No</v>
      </c>
      <c r="P561" s="26"/>
    </row>
    <row r="562">
      <c r="A562" s="13" t="str">
        <f>IFERROR(__xludf.DUMMYFUNCTION("""COMPUTED_VALUE"""),"Lock's Quest")</f>
        <v>Lock's Quest</v>
      </c>
      <c r="B562" s="15" t="str">
        <f>IFERROR(__xludf.DUMMYFUNCTION("""COMPUTED_VALUE"""),"PS4")</f>
        <v>PS4</v>
      </c>
      <c r="C562" s="16" t="str">
        <f>IFERROR(__xludf.DUMMYFUNCTION("""COMPUTED_VALUE"""),"Extra")</f>
        <v>Extra</v>
      </c>
      <c r="D562" s="15" t="str">
        <f>IFERROR(__xludf.DUMMYFUNCTION("""COMPUTED_VALUE"""),"Active")</f>
        <v>Active</v>
      </c>
      <c r="E562" s="17">
        <f>IFERROR(__xludf.DUMMYFUNCTION("""COMPUTED_VALUE"""),43473.0)</f>
        <v>43473</v>
      </c>
      <c r="F562" s="54"/>
      <c r="G562" s="19">
        <f>IFERROR(__xludf.DUMMYFUNCTION("""COMPUTED_VALUE"""),92.93333333333334)</f>
        <v>92.93333333</v>
      </c>
      <c r="H562" s="17">
        <f>IFERROR(__xludf.DUMMYFUNCTION("""COMPUTED_VALUE"""),42856.0)</f>
        <v>42856</v>
      </c>
      <c r="I562" s="19">
        <f>IFERROR(__xludf.DUMMYFUNCTION("""COMPUTED_VALUE"""),1.6861111111111111)</f>
        <v>1.686111111</v>
      </c>
      <c r="J562" s="21">
        <f>IFERROR(__xludf.DUMMYFUNCTION("""COMPUTED_VALUE"""),50.0)</f>
        <v>50</v>
      </c>
      <c r="K562" s="23">
        <f>IFERROR(__xludf.DUMMYFUNCTION("""COMPUTED_VALUE"""),7.7)</f>
        <v>7.7</v>
      </c>
      <c r="L562" s="24">
        <f>IFERROR(__xludf.DUMMYFUNCTION("""COMPUTED_VALUE"""),12.0)</f>
        <v>12</v>
      </c>
      <c r="M562" s="25" t="str">
        <f>IFERROR(__xludf.DUMMYFUNCTION("""COMPUTED_VALUE"""),"Strategy")</f>
        <v>Strategy</v>
      </c>
      <c r="N562" s="25"/>
      <c r="O562" s="26" t="str">
        <f>IFERROR(__xludf.DUMMYFUNCTION("""COMPUTED_VALUE"""),"Yes")</f>
        <v>Yes</v>
      </c>
      <c r="P562" s="26" t="str">
        <f>IFERROR(__xludf.DUMMYFUNCTION("""COMPUTED_VALUE"""),"Yes")</f>
        <v>Yes</v>
      </c>
    </row>
    <row r="563">
      <c r="A563" s="13" t="str">
        <f>IFERROR(__xludf.DUMMYFUNCTION("""COMPUTED_VALUE"""),"Rapala Fishing: Pro Series")</f>
        <v>Rapala Fishing: Pro Series</v>
      </c>
      <c r="B563" s="15" t="str">
        <f>IFERROR(__xludf.DUMMYFUNCTION("""COMPUTED_VALUE"""),"PS4")</f>
        <v>PS4</v>
      </c>
      <c r="C563" s="16" t="str">
        <f>IFERROR(__xludf.DUMMYFUNCTION("""COMPUTED_VALUE"""),"Extra")</f>
        <v>Extra</v>
      </c>
      <c r="D563" s="15" t="str">
        <f>IFERROR(__xludf.DUMMYFUNCTION("""COMPUTED_VALUE"""),"Active")</f>
        <v>Active</v>
      </c>
      <c r="E563" s="17">
        <f>IFERROR(__xludf.DUMMYFUNCTION("""COMPUTED_VALUE"""),44725.0)</f>
        <v>44725</v>
      </c>
      <c r="F563" s="54"/>
      <c r="G563" s="19">
        <f>IFERROR(__xludf.DUMMYFUNCTION("""COMPUTED_VALUE"""),51.766666666666666)</f>
        <v>51.76666667</v>
      </c>
      <c r="H563" s="17">
        <f>IFERROR(__xludf.DUMMYFUNCTION("""COMPUTED_VALUE"""),43032.0)</f>
        <v>43032</v>
      </c>
      <c r="I563" s="19">
        <f>IFERROR(__xludf.DUMMYFUNCTION("""COMPUTED_VALUE"""),4.636111111111111)</f>
        <v>4.636111111</v>
      </c>
      <c r="J563" s="21">
        <f>IFERROR(__xludf.DUMMYFUNCTION("""COMPUTED_VALUE"""),48.0)</f>
        <v>48</v>
      </c>
      <c r="K563" s="23">
        <f>IFERROR(__xludf.DUMMYFUNCTION("""COMPUTED_VALUE"""),5.2)</f>
        <v>5.2</v>
      </c>
      <c r="L563" s="24"/>
      <c r="M563" s="25" t="str">
        <f>IFERROR(__xludf.DUMMYFUNCTION("""COMPUTED_VALUE"""),"Sports")</f>
        <v>Sports</v>
      </c>
      <c r="N563" s="25"/>
      <c r="O563" s="26" t="str">
        <f>IFERROR(__xludf.DUMMYFUNCTION("""COMPUTED_VALUE"""),"Yes")</f>
        <v>Yes</v>
      </c>
      <c r="P563" s="26"/>
    </row>
    <row r="564">
      <c r="A564" s="13" t="str">
        <f>IFERROR(__xludf.DUMMYFUNCTION("""COMPUTED_VALUE"""),"Hello Neighbor")</f>
        <v>Hello Neighbor</v>
      </c>
      <c r="B564" s="15" t="str">
        <f>IFERROR(__xludf.DUMMYFUNCTION("""COMPUTED_VALUE"""),"PS4")</f>
        <v>PS4</v>
      </c>
      <c r="C564" s="16" t="str">
        <f>IFERROR(__xludf.DUMMYFUNCTION("""COMPUTED_VALUE"""),"Extra")</f>
        <v>Extra</v>
      </c>
      <c r="D564" s="15" t="str">
        <f>IFERROR(__xludf.DUMMYFUNCTION("""COMPUTED_VALUE"""),"Active")</f>
        <v>Active</v>
      </c>
      <c r="E564" s="17">
        <f>IFERROR(__xludf.DUMMYFUNCTION("""COMPUTED_VALUE"""),44725.0)</f>
        <v>44725</v>
      </c>
      <c r="F564" s="54"/>
      <c r="G564" s="19">
        <f>IFERROR(__xludf.DUMMYFUNCTION("""COMPUTED_VALUE"""),51.766666666666666)</f>
        <v>51.76666667</v>
      </c>
      <c r="H564" s="17">
        <f>IFERROR(__xludf.DUMMYFUNCTION("""COMPUTED_VALUE"""),43070.0)</f>
        <v>43070</v>
      </c>
      <c r="I564" s="19">
        <f>IFERROR(__xludf.DUMMYFUNCTION("""COMPUTED_VALUE"""),4.533333333333333)</f>
        <v>4.533333333</v>
      </c>
      <c r="J564" s="21">
        <f>IFERROR(__xludf.DUMMYFUNCTION("""COMPUTED_VALUE"""),45.0)</f>
        <v>45</v>
      </c>
      <c r="K564" s="23">
        <f>IFERROR(__xludf.DUMMYFUNCTION("""COMPUTED_VALUE"""),4.7)</f>
        <v>4.7</v>
      </c>
      <c r="L564" s="24">
        <f>IFERROR(__xludf.DUMMYFUNCTION("""COMPUTED_VALUE"""),6.5)</f>
        <v>6.5</v>
      </c>
      <c r="M564" s="25" t="str">
        <f>IFERROR(__xludf.DUMMYFUNCTION("""COMPUTED_VALUE"""),"Horror")</f>
        <v>Horror</v>
      </c>
      <c r="N564" s="25"/>
      <c r="O564" s="26" t="str">
        <f>IFERROR(__xludf.DUMMYFUNCTION("""COMPUTED_VALUE"""),"Yes")</f>
        <v>Yes</v>
      </c>
      <c r="P564" s="26" t="str">
        <f>IFERROR(__xludf.DUMMYFUNCTION("""COMPUTED_VALUE"""),"Yes")</f>
        <v>Yes</v>
      </c>
    </row>
    <row r="565">
      <c r="A565" s="13" t="str">
        <f>IFERROR(__xludf.DUMMYFUNCTION("""COMPUTED_VALUE"""),"Q*Bert: Rebooted")</f>
        <v>Q*Bert: Rebooted</v>
      </c>
      <c r="B565" s="15" t="str">
        <f>IFERROR(__xludf.DUMMYFUNCTION("""COMPUTED_VALUE"""),"PS4")</f>
        <v>PS4</v>
      </c>
      <c r="C565" s="16" t="str">
        <f>IFERROR(__xludf.DUMMYFUNCTION("""COMPUTED_VALUE"""),"Premium (Remasters)")</f>
        <v>Premium (Remasters)</v>
      </c>
      <c r="D565" s="15" t="str">
        <f>IFERROR(__xludf.DUMMYFUNCTION("""COMPUTED_VALUE"""),"Active")</f>
        <v>Active</v>
      </c>
      <c r="E565" s="17">
        <f>IFERROR(__xludf.DUMMYFUNCTION("""COMPUTED_VALUE"""),42922.0)</f>
        <v>42922</v>
      </c>
      <c r="F565" s="54"/>
      <c r="G565" s="19">
        <f>IFERROR(__xludf.DUMMYFUNCTION("""COMPUTED_VALUE"""),111.0)</f>
        <v>111</v>
      </c>
      <c r="H565" s="17">
        <f>IFERROR(__xludf.DUMMYFUNCTION("""COMPUTED_VALUE"""),41821.0)</f>
        <v>41821</v>
      </c>
      <c r="I565" s="19">
        <f>IFERROR(__xludf.DUMMYFUNCTION("""COMPUTED_VALUE"""),3.013888888888889)</f>
        <v>3.013888889</v>
      </c>
      <c r="J565" s="21">
        <f>IFERROR(__xludf.DUMMYFUNCTION("""COMPUTED_VALUE"""),44.0)</f>
        <v>44</v>
      </c>
      <c r="K565" s="23">
        <f>IFERROR(__xludf.DUMMYFUNCTION("""COMPUTED_VALUE"""),4.7)</f>
        <v>4.7</v>
      </c>
      <c r="L565" s="24"/>
      <c r="M565" s="25" t="str">
        <f>IFERROR(__xludf.DUMMYFUNCTION("""COMPUTED_VALUE"""),"Arcade")</f>
        <v>Arcade</v>
      </c>
      <c r="N565" s="25" t="str">
        <f>IFERROR(__xludf.DUMMYFUNCTION("""COMPUTED_VALUE"""),"Arcade")</f>
        <v>Arcade</v>
      </c>
      <c r="O565" s="26" t="str">
        <f>IFERROR(__xludf.DUMMYFUNCTION("""COMPUTED_VALUE"""),"Yes")</f>
        <v>Yes</v>
      </c>
      <c r="P565" s="26" t="str">
        <f>IFERROR(__xludf.DUMMYFUNCTION("""COMPUTED_VALUE"""),"Yes")</f>
        <v>Yes</v>
      </c>
    </row>
    <row r="566">
      <c r="A566" s="13" t="str">
        <f>IFERROR(__xludf.DUMMYFUNCTION("""COMPUTED_VALUE"""),"Ben 10")</f>
        <v>Ben 10</v>
      </c>
      <c r="B566" s="15" t="str">
        <f>IFERROR(__xludf.DUMMYFUNCTION("""COMPUTED_VALUE"""),"PS4")</f>
        <v>PS4</v>
      </c>
      <c r="C566" s="16" t="str">
        <f>IFERROR(__xludf.DUMMYFUNCTION("""COMPUTED_VALUE"""),"Extra")</f>
        <v>Extra</v>
      </c>
      <c r="D566" s="15" t="str">
        <f>IFERROR(__xludf.DUMMYFUNCTION("""COMPUTED_VALUE"""),"Active")</f>
        <v>Active</v>
      </c>
      <c r="E566" s="17">
        <f>IFERROR(__xludf.DUMMYFUNCTION("""COMPUTED_VALUE"""),45552.0)</f>
        <v>45552</v>
      </c>
      <c r="F566" s="54"/>
      <c r="G566" s="19">
        <f>IFERROR(__xludf.DUMMYFUNCTION("""COMPUTED_VALUE"""),24.633333333333333)</f>
        <v>24.63333333</v>
      </c>
      <c r="H566" s="17">
        <f>IFERROR(__xludf.DUMMYFUNCTION("""COMPUTED_VALUE"""),43053.0)</f>
        <v>43053</v>
      </c>
      <c r="I566" s="19">
        <f>IFERROR(__xludf.DUMMYFUNCTION("""COMPUTED_VALUE"""),6.841666666666667)</f>
        <v>6.841666667</v>
      </c>
      <c r="J566" s="21">
        <f>IFERROR(__xludf.DUMMYFUNCTION("""COMPUTED_VALUE"""),41.0)</f>
        <v>41</v>
      </c>
      <c r="K566" s="23">
        <f>IFERROR(__xludf.DUMMYFUNCTION("""COMPUTED_VALUE"""),5.1)</f>
        <v>5.1</v>
      </c>
      <c r="L566" s="24">
        <f>IFERROR(__xludf.DUMMYFUNCTION("""COMPUTED_VALUE"""),3.0)</f>
        <v>3</v>
      </c>
      <c r="M566" s="25" t="str">
        <f>IFERROR(__xludf.DUMMYFUNCTION("""COMPUTED_VALUE"""),"Beat-'Em-Up")</f>
        <v>Beat-'Em-Up</v>
      </c>
      <c r="N566" s="25"/>
      <c r="O566" s="26" t="str">
        <f>IFERROR(__xludf.DUMMYFUNCTION("""COMPUTED_VALUE"""),"Yes")</f>
        <v>Yes</v>
      </c>
      <c r="P566" s="26"/>
    </row>
    <row r="567">
      <c r="A567" s="13" t="str">
        <f>IFERROR(__xludf.DUMMYFUNCTION("""COMPUTED_VALUE"""),"Bubsy: The Woolies Strike Back")</f>
        <v>Bubsy: The Woolies Strike Back</v>
      </c>
      <c r="B567" s="15" t="str">
        <f>IFERROR(__xludf.DUMMYFUNCTION("""COMPUTED_VALUE"""),"PS4")</f>
        <v>PS4</v>
      </c>
      <c r="C567" s="16" t="str">
        <f>IFERROR(__xludf.DUMMYFUNCTION("""COMPUTED_VALUE"""),"Extra")</f>
        <v>Extra</v>
      </c>
      <c r="D567" s="15" t="str">
        <f>IFERROR(__xludf.DUMMYFUNCTION("""COMPUTED_VALUE"""),"Active")</f>
        <v>Active</v>
      </c>
      <c r="E567" s="17">
        <f>IFERROR(__xludf.DUMMYFUNCTION("""COMPUTED_VALUE"""),43438.0)</f>
        <v>43438</v>
      </c>
      <c r="F567" s="54"/>
      <c r="G567" s="19">
        <f>IFERROR(__xludf.DUMMYFUNCTION("""COMPUTED_VALUE"""),94.06666666666666)</f>
        <v>94.06666667</v>
      </c>
      <c r="H567" s="17">
        <f>IFERROR(__xludf.DUMMYFUNCTION("""COMPUTED_VALUE"""),43009.0)</f>
        <v>43009</v>
      </c>
      <c r="I567" s="19">
        <f>IFERROR(__xludf.DUMMYFUNCTION("""COMPUTED_VALUE"""),1.175)</f>
        <v>1.175</v>
      </c>
      <c r="J567" s="21">
        <f>IFERROR(__xludf.DUMMYFUNCTION("""COMPUTED_VALUE"""),39.0)</f>
        <v>39</v>
      </c>
      <c r="K567" s="23">
        <f>IFERROR(__xludf.DUMMYFUNCTION("""COMPUTED_VALUE"""),5.5)</f>
        <v>5.5</v>
      </c>
      <c r="L567" s="24">
        <f>IFERROR(__xludf.DUMMYFUNCTION("""COMPUTED_VALUE"""),1.5)</f>
        <v>1.5</v>
      </c>
      <c r="M567" s="25" t="str">
        <f>IFERROR(__xludf.DUMMYFUNCTION("""COMPUTED_VALUE"""),"Action-Adventure")</f>
        <v>Action-Adventure</v>
      </c>
      <c r="N567" s="25"/>
      <c r="O567" s="26" t="str">
        <f>IFERROR(__xludf.DUMMYFUNCTION("""COMPUTED_VALUE"""),"Yes")</f>
        <v>Yes</v>
      </c>
      <c r="P567" s="26"/>
    </row>
    <row r="568">
      <c r="A568" s="13" t="str">
        <f>IFERROR(__xludf.DUMMYFUNCTION("""COMPUTED_VALUE"""),"Harvest Moon: Mad Dash")</f>
        <v>Harvest Moon: Mad Dash</v>
      </c>
      <c r="B568" s="15" t="str">
        <f>IFERROR(__xludf.DUMMYFUNCTION("""COMPUTED_VALUE"""),"PS4")</f>
        <v>PS4</v>
      </c>
      <c r="C568" s="16" t="str">
        <f>IFERROR(__xludf.DUMMYFUNCTION("""COMPUTED_VALUE"""),"Extra")</f>
        <v>Extra</v>
      </c>
      <c r="D568" s="15" t="str">
        <f>IFERROR(__xludf.DUMMYFUNCTION("""COMPUTED_VALUE"""),"Active")</f>
        <v>Active</v>
      </c>
      <c r="E568" s="17">
        <f>IFERROR(__xludf.DUMMYFUNCTION("""COMPUTED_VALUE"""),44725.0)</f>
        <v>44725</v>
      </c>
      <c r="F568" s="54"/>
      <c r="G568" s="19">
        <f>IFERROR(__xludf.DUMMYFUNCTION("""COMPUTED_VALUE"""),51.766666666666666)</f>
        <v>51.76666667</v>
      </c>
      <c r="H568" s="17">
        <f>IFERROR(__xludf.DUMMYFUNCTION("""COMPUTED_VALUE"""),43767.0)</f>
        <v>43767</v>
      </c>
      <c r="I568" s="19">
        <f>IFERROR(__xludf.DUMMYFUNCTION("""COMPUTED_VALUE"""),2.6222222222222222)</f>
        <v>2.622222222</v>
      </c>
      <c r="J568" s="21">
        <f>IFERROR(__xludf.DUMMYFUNCTION("""COMPUTED_VALUE"""),37.0)</f>
        <v>37</v>
      </c>
      <c r="K568" s="23">
        <f>IFERROR(__xludf.DUMMYFUNCTION("""COMPUTED_VALUE"""),6.2)</f>
        <v>6.2</v>
      </c>
      <c r="L568" s="24">
        <f>IFERROR(__xludf.DUMMYFUNCTION("""COMPUTED_VALUE"""),9.0)</f>
        <v>9</v>
      </c>
      <c r="M568" s="25" t="str">
        <f>IFERROR(__xludf.DUMMYFUNCTION("""COMPUTED_VALUE"""),"Puzzle")</f>
        <v>Puzzle</v>
      </c>
      <c r="N568" s="25"/>
      <c r="O568" s="26" t="str">
        <f>IFERROR(__xludf.DUMMYFUNCTION("""COMPUTED_VALUE"""),"No")</f>
        <v>No</v>
      </c>
      <c r="P568" s="26" t="str">
        <f>IFERROR(__xludf.DUMMYFUNCTION("""COMPUTED_VALUE"""),"Yes")</f>
        <v>Yes</v>
      </c>
    </row>
    <row r="569">
      <c r="A569" s="13" t="str">
        <f>IFERROR(__xludf.DUMMYFUNCTION("""COMPUTED_VALUE"""),"Cartoon Network: Battle Crashers")</f>
        <v>Cartoon Network: Battle Crashers</v>
      </c>
      <c r="B569" s="15" t="str">
        <f>IFERROR(__xludf.DUMMYFUNCTION("""COMPUTED_VALUE"""),"PS4")</f>
        <v>PS4</v>
      </c>
      <c r="C569" s="16" t="str">
        <f>IFERROR(__xludf.DUMMYFUNCTION("""COMPUTED_VALUE"""),"Extra")</f>
        <v>Extra</v>
      </c>
      <c r="D569" s="15" t="str">
        <f>IFERROR(__xludf.DUMMYFUNCTION("""COMPUTED_VALUE"""),"Active")</f>
        <v>Active</v>
      </c>
      <c r="E569" s="17">
        <f>IFERROR(__xludf.DUMMYFUNCTION("""COMPUTED_VALUE"""),44725.0)</f>
        <v>44725</v>
      </c>
      <c r="F569" s="54"/>
      <c r="G569" s="19">
        <f>IFERROR(__xludf.DUMMYFUNCTION("""COMPUTED_VALUE"""),51.766666666666666)</f>
        <v>51.76666667</v>
      </c>
      <c r="H569" s="17">
        <f>IFERROR(__xludf.DUMMYFUNCTION("""COMPUTED_VALUE"""),42682.0)</f>
        <v>42682</v>
      </c>
      <c r="I569" s="19">
        <f>IFERROR(__xludf.DUMMYFUNCTION("""COMPUTED_VALUE"""),5.597222222222222)</f>
        <v>5.597222222</v>
      </c>
      <c r="J569" s="21">
        <f>IFERROR(__xludf.DUMMYFUNCTION("""COMPUTED_VALUE"""),29.0)</f>
        <v>29</v>
      </c>
      <c r="K569" s="23">
        <f>IFERROR(__xludf.DUMMYFUNCTION("""COMPUTED_VALUE"""),5.5)</f>
        <v>5.5</v>
      </c>
      <c r="L569" s="24">
        <f>IFERROR(__xludf.DUMMYFUNCTION("""COMPUTED_VALUE"""),5.0)</f>
        <v>5</v>
      </c>
      <c r="M569" s="25" t="str">
        <f>IFERROR(__xludf.DUMMYFUNCTION("""COMPUTED_VALUE"""),"Arcade")</f>
        <v>Arcade</v>
      </c>
      <c r="N569" s="25"/>
      <c r="O569" s="26" t="str">
        <f>IFERROR(__xludf.DUMMYFUNCTION("""COMPUTED_VALUE"""),"Yes")</f>
        <v>Yes</v>
      </c>
      <c r="P569" s="26" t="str">
        <f>IFERROR(__xludf.DUMMYFUNCTION("""COMPUTED_VALUE"""),"Yes")</f>
        <v>Yes</v>
      </c>
    </row>
    <row r="570">
      <c r="A570" s="13" t="str">
        <f>IFERROR(__xludf.DUMMYFUNCTION("""COMPUTED_VALUE"""),"JUMANJI: The Video Game")</f>
        <v>JUMANJI: The Video Game</v>
      </c>
      <c r="B570" s="15" t="str">
        <f>IFERROR(__xludf.DUMMYFUNCTION("""COMPUTED_VALUE"""),"PS4")</f>
        <v>PS4</v>
      </c>
      <c r="C570" s="16" t="str">
        <f>IFERROR(__xludf.DUMMYFUNCTION("""COMPUTED_VALUE"""),"Extra")</f>
        <v>Extra</v>
      </c>
      <c r="D570" s="15" t="str">
        <f>IFERROR(__xludf.DUMMYFUNCTION("""COMPUTED_VALUE"""),"Active")</f>
        <v>Active</v>
      </c>
      <c r="E570" s="17">
        <f>IFERROR(__xludf.DUMMYFUNCTION("""COMPUTED_VALUE"""),44761.0)</f>
        <v>44761</v>
      </c>
      <c r="F570" s="54"/>
      <c r="G570" s="19">
        <f>IFERROR(__xludf.DUMMYFUNCTION("""COMPUTED_VALUE"""),50.56666666666666)</f>
        <v>50.56666667</v>
      </c>
      <c r="H570" s="17">
        <f>IFERROR(__xludf.DUMMYFUNCTION("""COMPUTED_VALUE"""),43777.0)</f>
        <v>43777</v>
      </c>
      <c r="I570" s="19">
        <f>IFERROR(__xludf.DUMMYFUNCTION("""COMPUTED_VALUE"""),2.6972222222222224)</f>
        <v>2.697222222</v>
      </c>
      <c r="J570" s="21">
        <f>IFERROR(__xludf.DUMMYFUNCTION("""COMPUTED_VALUE"""),25.0)</f>
        <v>25</v>
      </c>
      <c r="K570" s="23">
        <f>IFERROR(__xludf.DUMMYFUNCTION("""COMPUTED_VALUE"""),1.3)</f>
        <v>1.3</v>
      </c>
      <c r="L570" s="24">
        <f>IFERROR(__xludf.DUMMYFUNCTION("""COMPUTED_VALUE"""),1.5)</f>
        <v>1.5</v>
      </c>
      <c r="M570" s="25" t="str">
        <f>IFERROR(__xludf.DUMMYFUNCTION("""COMPUTED_VALUE"""),"Shooter")</f>
        <v>Shooter</v>
      </c>
      <c r="N570" s="25"/>
      <c r="O570" s="26" t="str">
        <f>IFERROR(__xludf.DUMMYFUNCTION("""COMPUTED_VALUE"""),"Yes")</f>
        <v>Yes</v>
      </c>
      <c r="P570" s="26"/>
    </row>
    <row r="571">
      <c r="A571" s="13" t="str">
        <f>IFERROR(__xludf.DUMMYFUNCTION("""COMPUTED_VALUE"""),"Twisted Metal 4")</f>
        <v>Twisted Metal 4</v>
      </c>
      <c r="B571" s="15" t="str">
        <f>IFERROR(__xludf.DUMMYFUNCTION("""COMPUTED_VALUE"""),"PS5/PS4")</f>
        <v>PS5/PS4</v>
      </c>
      <c r="C571" s="16" t="str">
        <f>IFERROR(__xludf.DUMMYFUNCTION("""COMPUTED_VALUE"""),"Premium (Classics)")</f>
        <v>Premium (Classics)</v>
      </c>
      <c r="D571" s="15" t="str">
        <f>IFERROR(__xludf.DUMMYFUNCTION("""COMPUTED_VALUE"""),"Active")</f>
        <v>Active</v>
      </c>
      <c r="E571" s="17">
        <f>IFERROR(__xludf.DUMMYFUNCTION("""COMPUTED_VALUE"""),45853.0)</f>
        <v>45853</v>
      </c>
      <c r="F571" s="54"/>
      <c r="G571" s="19">
        <f>IFERROR(__xludf.DUMMYFUNCTION("""COMPUTED_VALUE"""),14.700000000000001)</f>
        <v>14.7</v>
      </c>
      <c r="H571" s="17">
        <f>IFERROR(__xludf.DUMMYFUNCTION("""COMPUTED_VALUE"""),36479.0)</f>
        <v>36479</v>
      </c>
      <c r="I571" s="19">
        <f>IFERROR(__xludf.DUMMYFUNCTION("""COMPUTED_VALUE"""),25.666666666666668)</f>
        <v>25.66666667</v>
      </c>
      <c r="J571" s="21">
        <f>IFERROR(__xludf.DUMMYFUNCTION("""COMPUTED_VALUE"""),8.0)</f>
        <v>8</v>
      </c>
      <c r="K571" s="23">
        <f>IFERROR(__xludf.DUMMYFUNCTION("""COMPUTED_VALUE"""),7.1)</f>
        <v>7.1</v>
      </c>
      <c r="L571" s="24">
        <f>IFERROR(__xludf.DUMMYFUNCTION("""COMPUTED_VALUE"""),4.0)</f>
        <v>4</v>
      </c>
      <c r="M571" s="25" t="str">
        <f>IFERROR(__xludf.DUMMYFUNCTION("""COMPUTED_VALUE"""),"Simulation")</f>
        <v>Simulation</v>
      </c>
      <c r="N571" s="25" t="str">
        <f>IFERROR(__xludf.DUMMYFUNCTION("""COMPUTED_VALUE"""),"PS1")</f>
        <v>PS1</v>
      </c>
      <c r="O571" s="26"/>
      <c r="P571" s="26"/>
    </row>
    <row r="572">
      <c r="A572" s="13" t="str">
        <f>IFERROR(__xludf.DUMMYFUNCTION("""COMPUTED_VALUE"""),"Twisted Metal III")</f>
        <v>Twisted Metal III</v>
      </c>
      <c r="B572" s="15" t="str">
        <f>IFERROR(__xludf.DUMMYFUNCTION("""COMPUTED_VALUE"""),"PS5/PS4")</f>
        <v>PS5/PS4</v>
      </c>
      <c r="C572" s="16" t="str">
        <f>IFERROR(__xludf.DUMMYFUNCTION("""COMPUTED_VALUE"""),"Premium (Classics)")</f>
        <v>Premium (Classics)</v>
      </c>
      <c r="D572" s="15" t="str">
        <f>IFERROR(__xludf.DUMMYFUNCTION("""COMPUTED_VALUE"""),"Active")</f>
        <v>Active</v>
      </c>
      <c r="E572" s="17">
        <f>IFERROR(__xludf.DUMMYFUNCTION("""COMPUTED_VALUE"""),45853.0)</f>
        <v>45853</v>
      </c>
      <c r="F572" s="54"/>
      <c r="G572" s="19">
        <f>IFERROR(__xludf.DUMMYFUNCTION("""COMPUTED_VALUE"""),14.700000000000001)</f>
        <v>14.7</v>
      </c>
      <c r="H572" s="17">
        <f>IFERROR(__xludf.DUMMYFUNCTION("""COMPUTED_VALUE"""),36109.0)</f>
        <v>36109</v>
      </c>
      <c r="I572" s="19">
        <f>IFERROR(__xludf.DUMMYFUNCTION("""COMPUTED_VALUE"""),26.680555555555557)</f>
        <v>26.68055556</v>
      </c>
      <c r="J572" s="21"/>
      <c r="K572" s="23">
        <f>IFERROR(__xludf.DUMMYFUNCTION("""COMPUTED_VALUE"""),6.1)</f>
        <v>6.1</v>
      </c>
      <c r="L572" s="24">
        <f>IFERROR(__xludf.DUMMYFUNCTION("""COMPUTED_VALUE"""),4.0)</f>
        <v>4</v>
      </c>
      <c r="M572" s="25" t="str">
        <f>IFERROR(__xludf.DUMMYFUNCTION("""COMPUTED_VALUE"""),"Driving")</f>
        <v>Driving</v>
      </c>
      <c r="N572" s="25" t="str">
        <f>IFERROR(__xludf.DUMMYFUNCTION("""COMPUTED_VALUE"""),"PS1")</f>
        <v>PS1</v>
      </c>
      <c r="O572" s="26"/>
      <c r="P572" s="26"/>
    </row>
    <row r="573">
      <c r="A573" s="13" t="str">
        <f>IFERROR(__xludf.DUMMYFUNCTION("""COMPUTED_VALUE"""),"Jet Moto")</f>
        <v>Jet Moto</v>
      </c>
      <c r="B573" s="15" t="str">
        <f>IFERROR(__xludf.DUMMYFUNCTION("""COMPUTED_VALUE"""),"PS5/PS4")</f>
        <v>PS5/PS4</v>
      </c>
      <c r="C573" s="16" t="str">
        <f>IFERROR(__xludf.DUMMYFUNCTION("""COMPUTED_VALUE"""),"Premium (Classics)")</f>
        <v>Premium (Classics)</v>
      </c>
      <c r="D573" s="15" t="str">
        <f>IFERROR(__xludf.DUMMYFUNCTION("""COMPUTED_VALUE"""),"Active")</f>
        <v>Active</v>
      </c>
      <c r="E573" s="17">
        <f>IFERROR(__xludf.DUMMYFUNCTION("""COMPUTED_VALUE"""),45251.0)</f>
        <v>45251</v>
      </c>
      <c r="F573" s="54"/>
      <c r="G573" s="19">
        <f>IFERROR(__xludf.DUMMYFUNCTION("""COMPUTED_VALUE"""),34.5)</f>
        <v>34.5</v>
      </c>
      <c r="H573" s="17">
        <f>IFERROR(__xludf.DUMMYFUNCTION("""COMPUTED_VALUE"""),35764.0)</f>
        <v>35764</v>
      </c>
      <c r="I573" s="19">
        <f>IFERROR(__xludf.DUMMYFUNCTION("""COMPUTED_VALUE"""),25.975)</f>
        <v>25.975</v>
      </c>
      <c r="J573" s="21"/>
      <c r="K573" s="23">
        <f>IFERROR(__xludf.DUMMYFUNCTION("""COMPUTED_VALUE"""),7.6)</f>
        <v>7.6</v>
      </c>
      <c r="L573" s="24">
        <f>IFERROR(__xludf.DUMMYFUNCTION("""COMPUTED_VALUE"""),6.0)</f>
        <v>6</v>
      </c>
      <c r="M573" s="25" t="str">
        <f>IFERROR(__xludf.DUMMYFUNCTION("""COMPUTED_VALUE"""),"Racing")</f>
        <v>Racing</v>
      </c>
      <c r="N573" s="25" t="str">
        <f>IFERROR(__xludf.DUMMYFUNCTION("""COMPUTED_VALUE"""),"PS1")</f>
        <v>PS1</v>
      </c>
      <c r="O573" s="26" t="str">
        <f>IFERROR(__xludf.DUMMYFUNCTION("""COMPUTED_VALUE"""),"Yes")</f>
        <v>Yes</v>
      </c>
      <c r="P573" s="26"/>
    </row>
    <row r="574">
      <c r="A574" s="13" t="str">
        <f>IFERROR(__xludf.DUMMYFUNCTION("""COMPUTED_VALUE"""),"IQ Final")</f>
        <v>IQ Final</v>
      </c>
      <c r="B574" s="15" t="str">
        <f>IFERROR(__xludf.DUMMYFUNCTION("""COMPUTED_VALUE"""),"PS5/PS4")</f>
        <v>PS5/PS4</v>
      </c>
      <c r="C574" s="16" t="str">
        <f>IFERROR(__xludf.DUMMYFUNCTION("""COMPUTED_VALUE"""),"Premium (Classics)")</f>
        <v>Premium (Classics)</v>
      </c>
      <c r="D574" s="15" t="str">
        <f>IFERROR(__xludf.DUMMYFUNCTION("""COMPUTED_VALUE"""),"Active")</f>
        <v>Active</v>
      </c>
      <c r="E574" s="17">
        <f>IFERROR(__xludf.DUMMYFUNCTION("""COMPUTED_VALUE"""),45216.0)</f>
        <v>45216</v>
      </c>
      <c r="F574" s="54"/>
      <c r="G574" s="19">
        <f>IFERROR(__xludf.DUMMYFUNCTION("""COMPUTED_VALUE"""),35.63333333333333)</f>
        <v>35.63333333</v>
      </c>
      <c r="H574" s="17">
        <f>IFERROR(__xludf.DUMMYFUNCTION("""COMPUTED_VALUE"""),36152.0)</f>
        <v>36152</v>
      </c>
      <c r="I574" s="19">
        <f>IFERROR(__xludf.DUMMYFUNCTION("""COMPUTED_VALUE"""),24.816666666666666)</f>
        <v>24.81666667</v>
      </c>
      <c r="J574" s="21"/>
      <c r="K574" s="23"/>
      <c r="L574" s="24">
        <f>IFERROR(__xludf.DUMMYFUNCTION("""COMPUTED_VALUE"""),2.0)</f>
        <v>2</v>
      </c>
      <c r="M574" s="25" t="str">
        <f>IFERROR(__xludf.DUMMYFUNCTION("""COMPUTED_VALUE"""),"Puzzle")</f>
        <v>Puzzle</v>
      </c>
      <c r="N574" s="25" t="str">
        <f>IFERROR(__xludf.DUMMYFUNCTION("""COMPUTED_VALUE"""),"PSP")</f>
        <v>PSP</v>
      </c>
      <c r="O574" s="26" t="str">
        <f>IFERROR(__xludf.DUMMYFUNCTION("""COMPUTED_VALUE"""),"No")</f>
        <v>No</v>
      </c>
      <c r="P574" s="26"/>
    </row>
    <row r="575">
      <c r="A575" s="13" t="str">
        <f>IFERROR(__xludf.DUMMYFUNCTION("""COMPUTED_VALUE"""),"Bassmaster Fishing")</f>
        <v>Bassmaster Fishing</v>
      </c>
      <c r="B575" s="15" t="str">
        <f>IFERROR(__xludf.DUMMYFUNCTION("""COMPUTED_VALUE"""),"PS5/PS4")</f>
        <v>PS5/PS4</v>
      </c>
      <c r="C575" s="16" t="str">
        <f>IFERROR(__xludf.DUMMYFUNCTION("""COMPUTED_VALUE"""),"Extra")</f>
        <v>Extra</v>
      </c>
      <c r="D575" s="15" t="str">
        <f>IFERROR(__xludf.DUMMYFUNCTION("""COMPUTED_VALUE"""),"Active")</f>
        <v>Active</v>
      </c>
      <c r="E575" s="17">
        <f>IFERROR(__xludf.DUMMYFUNCTION("""COMPUTED_VALUE"""),45034.0)</f>
        <v>45034</v>
      </c>
      <c r="F575" s="54"/>
      <c r="G575" s="19">
        <f>IFERROR(__xludf.DUMMYFUNCTION("""COMPUTED_VALUE"""),41.6)</f>
        <v>41.6</v>
      </c>
      <c r="H575" s="17">
        <f>IFERROR(__xludf.DUMMYFUNCTION("""COMPUTED_VALUE"""),35122.0)</f>
        <v>35122</v>
      </c>
      <c r="I575" s="19">
        <f>IFERROR(__xludf.DUMMYFUNCTION("""COMPUTED_VALUE"""),27.141666666666666)</f>
        <v>27.14166667</v>
      </c>
      <c r="J575" s="21"/>
      <c r="K575" s="23">
        <f>IFERROR(__xludf.DUMMYFUNCTION("""COMPUTED_VALUE"""),4.0)</f>
        <v>4</v>
      </c>
      <c r="L575" s="24"/>
      <c r="M575" s="25" t="str">
        <f>IFERROR(__xludf.DUMMYFUNCTION("""COMPUTED_VALUE"""),"Sports")</f>
        <v>Sports</v>
      </c>
      <c r="N575" s="25"/>
      <c r="O575" s="26" t="str">
        <f>IFERROR(__xludf.DUMMYFUNCTION("""COMPUTED_VALUE"""),"No")</f>
        <v>No</v>
      </c>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row r="780">
      <c r="A780" s="90"/>
      <c r="B780" s="82"/>
      <c r="C780" s="83"/>
      <c r="D780" s="82"/>
      <c r="E780" s="84"/>
      <c r="F780" s="85"/>
      <c r="G780" s="86"/>
      <c r="H780" s="84"/>
      <c r="I780" s="86"/>
      <c r="J780" s="87"/>
      <c r="K780" s="91"/>
      <c r="L780" s="89"/>
      <c r="M780" s="26"/>
      <c r="N780" s="26"/>
      <c r="O780" s="26"/>
      <c r="P780" s="26"/>
    </row>
    <row r="781">
      <c r="A781" s="90"/>
      <c r="B781" s="82"/>
      <c r="C781" s="83"/>
      <c r="D781" s="82"/>
      <c r="E781" s="84"/>
      <c r="F781" s="85"/>
      <c r="G781" s="86"/>
      <c r="H781" s="84"/>
      <c r="I781" s="86"/>
      <c r="J781" s="87"/>
      <c r="K781" s="91"/>
      <c r="L781" s="89"/>
      <c r="M781" s="26"/>
      <c r="N781" s="26"/>
      <c r="O781" s="26"/>
      <c r="P781" s="26"/>
    </row>
    <row r="782">
      <c r="A782" s="90"/>
      <c r="B782" s="82"/>
      <c r="C782" s="83"/>
      <c r="D782" s="82"/>
      <c r="E782" s="84"/>
      <c r="F782" s="85"/>
      <c r="G782" s="86"/>
      <c r="H782" s="84"/>
      <c r="I782" s="86"/>
      <c r="J782" s="87"/>
      <c r="K782" s="91"/>
      <c r="L782" s="89"/>
      <c r="M782" s="26"/>
      <c r="N782" s="26"/>
      <c r="O782" s="26"/>
      <c r="P782" s="26"/>
    </row>
    <row r="783">
      <c r="A783" s="90"/>
      <c r="B783" s="82"/>
      <c r="C783" s="83"/>
      <c r="D783" s="82"/>
      <c r="E783" s="84"/>
      <c r="F783" s="85"/>
      <c r="G783" s="86"/>
      <c r="H783" s="84"/>
      <c r="I783" s="86"/>
      <c r="J783" s="87"/>
      <c r="K783" s="91"/>
      <c r="L783" s="89"/>
      <c r="M783" s="26"/>
      <c r="N783" s="26"/>
      <c r="O783" s="26"/>
      <c r="P783" s="26"/>
    </row>
    <row r="784">
      <c r="A784" s="90"/>
      <c r="B784" s="82"/>
      <c r="C784" s="83"/>
      <c r="D784" s="82"/>
      <c r="E784" s="84"/>
      <c r="F784" s="85"/>
      <c r="G784" s="86"/>
      <c r="H784" s="84"/>
      <c r="I784" s="86"/>
      <c r="J784" s="87"/>
      <c r="K784" s="91"/>
      <c r="L784" s="89"/>
      <c r="M784" s="26"/>
      <c r="N784" s="26"/>
      <c r="O784" s="26"/>
      <c r="P784" s="26"/>
    </row>
    <row r="785">
      <c r="A785" s="90"/>
      <c r="B785" s="82"/>
      <c r="C785" s="83"/>
      <c r="D785" s="82"/>
      <c r="E785" s="84"/>
      <c r="F785" s="85"/>
      <c r="G785" s="86"/>
      <c r="H785" s="84"/>
      <c r="I785" s="86"/>
      <c r="J785" s="87"/>
      <c r="K785" s="91"/>
      <c r="L785" s="89"/>
      <c r="M785" s="26"/>
      <c r="N785" s="26"/>
      <c r="O785" s="26"/>
      <c r="P785" s="26"/>
    </row>
    <row r="786">
      <c r="A786" s="90"/>
      <c r="B786" s="82"/>
      <c r="C786" s="83"/>
      <c r="D786" s="82"/>
      <c r="E786" s="84"/>
      <c r="F786" s="85"/>
      <c r="G786" s="86"/>
      <c r="H786" s="84"/>
      <c r="I786" s="86"/>
      <c r="J786" s="87"/>
      <c r="K786" s="91"/>
      <c r="L786" s="89"/>
      <c r="M786" s="26"/>
      <c r="N786" s="26"/>
      <c r="O786" s="26"/>
      <c r="P786" s="26"/>
    </row>
    <row r="787">
      <c r="A787" s="90"/>
      <c r="B787" s="82"/>
      <c r="C787" s="83"/>
      <c r="D787" s="82"/>
      <c r="E787" s="84"/>
      <c r="F787" s="85"/>
      <c r="G787" s="86"/>
      <c r="H787" s="84"/>
      <c r="I787" s="86"/>
      <c r="J787" s="87"/>
      <c r="K787" s="91"/>
      <c r="L787" s="89"/>
      <c r="M787" s="26"/>
      <c r="N787" s="26"/>
      <c r="O787" s="26"/>
      <c r="P787" s="26"/>
    </row>
    <row r="788">
      <c r="A788" s="90"/>
      <c r="B788" s="82"/>
      <c r="C788" s="83"/>
      <c r="D788" s="82"/>
      <c r="E788" s="84"/>
      <c r="F788" s="85"/>
      <c r="G788" s="86"/>
      <c r="H788" s="84"/>
      <c r="I788" s="86"/>
      <c r="J788" s="87"/>
      <c r="K788" s="91"/>
      <c r="L788" s="89"/>
      <c r="M788" s="26"/>
      <c r="N788" s="26"/>
      <c r="O788" s="26"/>
      <c r="P788" s="26"/>
    </row>
    <row r="789">
      <c r="A789" s="90"/>
      <c r="B789" s="82"/>
      <c r="C789" s="83"/>
      <c r="D789" s="82"/>
      <c r="E789" s="84"/>
      <c r="F789" s="85"/>
      <c r="G789" s="86"/>
      <c r="H789" s="84"/>
      <c r="I789" s="86"/>
      <c r="J789" s="87"/>
      <c r="K789" s="91"/>
      <c r="L789" s="89"/>
      <c r="M789" s="26"/>
      <c r="N789" s="26"/>
      <c r="O789" s="26"/>
      <c r="P789" s="26"/>
    </row>
    <row r="790">
      <c r="A790" s="90"/>
      <c r="B790" s="82"/>
      <c r="C790" s="83"/>
      <c r="D790" s="82"/>
      <c r="E790" s="84"/>
      <c r="F790" s="85"/>
      <c r="G790" s="86"/>
      <c r="H790" s="84"/>
      <c r="I790" s="86"/>
      <c r="J790" s="87"/>
      <c r="K790" s="91"/>
      <c r="L790" s="89"/>
      <c r="M790" s="26"/>
      <c r="N790" s="26"/>
      <c r="O790" s="26"/>
      <c r="P790" s="26"/>
    </row>
    <row r="791">
      <c r="A791" s="90"/>
      <c r="B791" s="82"/>
      <c r="C791" s="83"/>
      <c r="D791" s="82"/>
      <c r="E791" s="84"/>
      <c r="F791" s="85"/>
      <c r="G791" s="86"/>
      <c r="H791" s="84"/>
      <c r="I791" s="86"/>
      <c r="J791" s="87"/>
      <c r="K791" s="91"/>
      <c r="L791" s="89"/>
      <c r="M791" s="26"/>
      <c r="N791" s="26"/>
      <c r="O791" s="26"/>
      <c r="P791" s="26"/>
    </row>
    <row r="792">
      <c r="A792" s="90"/>
      <c r="B792" s="82"/>
      <c r="C792" s="83"/>
      <c r="D792" s="82"/>
      <c r="E792" s="84"/>
      <c r="F792" s="85"/>
      <c r="G792" s="86"/>
      <c r="H792" s="84"/>
      <c r="I792" s="86"/>
      <c r="J792" s="87"/>
      <c r="K792" s="91"/>
      <c r="L792" s="89"/>
      <c r="M792" s="26"/>
      <c r="N792" s="26"/>
      <c r="O792" s="26"/>
      <c r="P792" s="26"/>
    </row>
    <row r="793">
      <c r="A793" s="90"/>
      <c r="B793" s="82"/>
      <c r="C793" s="83"/>
      <c r="D793" s="82"/>
      <c r="E793" s="84"/>
      <c r="F793" s="85"/>
      <c r="G793" s="86"/>
      <c r="H793" s="84"/>
      <c r="I793" s="86"/>
      <c r="J793" s="87"/>
      <c r="K793" s="91"/>
      <c r="L793" s="89"/>
      <c r="M793" s="26"/>
      <c r="N793" s="26"/>
      <c r="O793" s="26"/>
      <c r="P793" s="26"/>
    </row>
    <row r="794">
      <c r="A794" s="90"/>
      <c r="B794" s="82"/>
      <c r="C794" s="83"/>
      <c r="D794" s="82"/>
      <c r="E794" s="84"/>
      <c r="F794" s="85"/>
      <c r="G794" s="86"/>
      <c r="H794" s="84"/>
      <c r="I794" s="86"/>
      <c r="J794" s="87"/>
      <c r="K794" s="91"/>
      <c r="L794" s="89"/>
      <c r="M794" s="26"/>
      <c r="N794" s="26"/>
      <c r="O794" s="26"/>
      <c r="P794" s="26"/>
    </row>
    <row r="795">
      <c r="A795" s="90"/>
      <c r="B795" s="82"/>
      <c r="C795" s="83"/>
      <c r="D795" s="82"/>
      <c r="E795" s="84"/>
      <c r="F795" s="85"/>
      <c r="G795" s="86"/>
      <c r="H795" s="84"/>
      <c r="I795" s="86"/>
      <c r="J795" s="87"/>
      <c r="K795" s="91"/>
      <c r="L795" s="89"/>
      <c r="M795" s="26"/>
      <c r="N795" s="26"/>
      <c r="O795" s="26"/>
      <c r="P795" s="26"/>
    </row>
    <row r="796">
      <c r="A796" s="90"/>
      <c r="B796" s="82"/>
      <c r="C796" s="83"/>
      <c r="D796" s="82"/>
      <c r="E796" s="84"/>
      <c r="F796" s="85"/>
      <c r="G796" s="86"/>
      <c r="H796" s="84"/>
      <c r="I796" s="86"/>
      <c r="J796" s="87"/>
      <c r="K796" s="91"/>
      <c r="L796" s="89"/>
      <c r="M796" s="26"/>
      <c r="N796" s="26"/>
      <c r="O796" s="26"/>
      <c r="P796" s="26"/>
    </row>
    <row r="797">
      <c r="A797" s="90"/>
      <c r="B797" s="82"/>
      <c r="C797" s="83"/>
      <c r="D797" s="82"/>
      <c r="E797" s="84"/>
      <c r="F797" s="85"/>
      <c r="G797" s="86"/>
      <c r="H797" s="84"/>
      <c r="I797" s="86"/>
      <c r="J797" s="87"/>
      <c r="K797" s="91"/>
      <c r="L797" s="89"/>
      <c r="M797" s="26"/>
      <c r="N797" s="26"/>
      <c r="O797" s="26"/>
      <c r="P797" s="26"/>
    </row>
    <row r="798">
      <c r="A798" s="90"/>
      <c r="B798" s="82"/>
      <c r="C798" s="83"/>
      <c r="D798" s="82"/>
      <c r="E798" s="84"/>
      <c r="F798" s="85"/>
      <c r="G798" s="86"/>
      <c r="H798" s="84"/>
      <c r="I798" s="86"/>
      <c r="J798" s="87"/>
      <c r="K798" s="91"/>
      <c r="L798" s="89"/>
      <c r="M798" s="26"/>
      <c r="N798" s="26"/>
      <c r="O798" s="26"/>
      <c r="P798" s="26"/>
    </row>
    <row r="799">
      <c r="A799" s="90"/>
      <c r="B799" s="82"/>
      <c r="C799" s="83"/>
      <c r="D799" s="82"/>
      <c r="E799" s="84"/>
      <c r="F799" s="85"/>
      <c r="G799" s="86"/>
      <c r="H799" s="84"/>
      <c r="I799" s="86"/>
      <c r="J799" s="87"/>
      <c r="K799" s="91"/>
      <c r="L799" s="89"/>
      <c r="M799" s="26"/>
      <c r="N799" s="26"/>
      <c r="O799" s="26"/>
      <c r="P799" s="26"/>
    </row>
    <row r="800">
      <c r="A800" s="90"/>
      <c r="B800" s="82"/>
      <c r="C800" s="83"/>
      <c r="D800" s="82"/>
      <c r="E800" s="84"/>
      <c r="F800" s="85"/>
      <c r="G800" s="86"/>
      <c r="H800" s="84"/>
      <c r="I800" s="86"/>
      <c r="J800" s="87"/>
      <c r="K800" s="91"/>
      <c r="L800" s="89"/>
      <c r="M800" s="26"/>
      <c r="N800" s="26"/>
      <c r="O800" s="26"/>
      <c r="P800" s="26"/>
    </row>
    <row r="801">
      <c r="A801" s="90"/>
      <c r="B801" s="82"/>
      <c r="C801" s="83"/>
      <c r="D801" s="82"/>
      <c r="E801" s="84"/>
      <c r="F801" s="85"/>
      <c r="G801" s="86"/>
      <c r="H801" s="84"/>
      <c r="I801" s="86"/>
      <c r="J801" s="87"/>
      <c r="K801" s="91"/>
      <c r="L801" s="89"/>
      <c r="M801" s="26"/>
      <c r="N801" s="26"/>
      <c r="O801" s="26"/>
      <c r="P801" s="26"/>
    </row>
    <row r="802">
      <c r="A802" s="90"/>
      <c r="B802" s="82"/>
      <c r="C802" s="83"/>
      <c r="D802" s="82"/>
      <c r="E802" s="84"/>
      <c r="F802" s="85"/>
      <c r="G802" s="86"/>
      <c r="H802" s="84"/>
      <c r="I802" s="86"/>
      <c r="J802" s="87"/>
      <c r="K802" s="91"/>
      <c r="L802" s="89"/>
      <c r="M802" s="26"/>
      <c r="N802" s="26"/>
      <c r="O802" s="26"/>
      <c r="P802" s="26"/>
    </row>
    <row r="803">
      <c r="A803" s="90"/>
      <c r="B803" s="82"/>
      <c r="C803" s="83"/>
      <c r="D803" s="82"/>
      <c r="E803" s="84"/>
      <c r="F803" s="85"/>
      <c r="G803" s="86"/>
      <c r="H803" s="84"/>
      <c r="I803" s="86"/>
      <c r="J803" s="87"/>
      <c r="K803" s="91"/>
      <c r="L803" s="89"/>
      <c r="M803" s="26"/>
      <c r="N803" s="26"/>
      <c r="O803" s="26"/>
      <c r="P803" s="26"/>
    </row>
    <row r="804">
      <c r="A804" s="90"/>
      <c r="B804" s="82"/>
      <c r="C804" s="83"/>
      <c r="D804" s="82"/>
      <c r="E804" s="84"/>
      <c r="F804" s="85"/>
      <c r="G804" s="86"/>
      <c r="H804" s="84"/>
      <c r="I804" s="86"/>
      <c r="J804" s="87"/>
      <c r="K804" s="91"/>
      <c r="L804" s="89"/>
      <c r="M804" s="26"/>
      <c r="N804" s="26"/>
      <c r="O804" s="26"/>
      <c r="P804" s="26"/>
    </row>
    <row r="805">
      <c r="A805" s="90"/>
      <c r="B805" s="82"/>
      <c r="C805" s="83"/>
      <c r="D805" s="82"/>
      <c r="E805" s="84"/>
      <c r="F805" s="85"/>
      <c r="G805" s="86"/>
      <c r="H805" s="84"/>
      <c r="I805" s="86"/>
      <c r="J805" s="87"/>
      <c r="K805" s="91"/>
      <c r="L805" s="89"/>
      <c r="M805" s="26"/>
      <c r="N805" s="26"/>
      <c r="O805" s="26"/>
      <c r="P805" s="26"/>
    </row>
    <row r="806">
      <c r="A806" s="90"/>
      <c r="B806" s="82"/>
      <c r="C806" s="83"/>
      <c r="D806" s="82"/>
      <c r="E806" s="84"/>
      <c r="F806" s="85"/>
      <c r="G806" s="86"/>
      <c r="H806" s="84"/>
      <c r="I806" s="86"/>
      <c r="J806" s="87"/>
      <c r="K806" s="91"/>
      <c r="L806" s="89"/>
      <c r="M806" s="26"/>
      <c r="N806" s="26"/>
      <c r="O806" s="26"/>
      <c r="P806" s="26"/>
    </row>
    <row r="807">
      <c r="A807" s="90"/>
      <c r="B807" s="82"/>
      <c r="C807" s="83"/>
      <c r="D807" s="82"/>
      <c r="E807" s="84"/>
      <c r="F807" s="85"/>
      <c r="G807" s="86"/>
      <c r="H807" s="84"/>
      <c r="I807" s="86"/>
      <c r="J807" s="87"/>
      <c r="K807" s="91"/>
      <c r="L807" s="89"/>
      <c r="M807" s="26"/>
      <c r="N807" s="26"/>
      <c r="O807" s="26"/>
      <c r="P807" s="26"/>
    </row>
    <row r="808">
      <c r="A808" s="90"/>
      <c r="B808" s="82"/>
      <c r="C808" s="83"/>
      <c r="D808" s="82"/>
      <c r="E808" s="84"/>
      <c r="F808" s="85"/>
      <c r="G808" s="86"/>
      <c r="H808" s="84"/>
      <c r="I808" s="86"/>
      <c r="J808" s="87"/>
      <c r="K808" s="91"/>
      <c r="L808" s="89"/>
      <c r="M808" s="26"/>
      <c r="N808" s="26"/>
      <c r="O808" s="26"/>
      <c r="P808" s="26"/>
    </row>
    <row r="809">
      <c r="A809" s="90"/>
      <c r="B809" s="82"/>
      <c r="C809" s="83"/>
      <c r="D809" s="82"/>
      <c r="E809" s="84"/>
      <c r="F809" s="85"/>
      <c r="G809" s="86"/>
      <c r="H809" s="84"/>
      <c r="I809" s="86"/>
      <c r="J809" s="87"/>
      <c r="K809" s="91"/>
      <c r="L809" s="89"/>
      <c r="M809" s="26"/>
      <c r="N809" s="26"/>
      <c r="O809" s="26"/>
      <c r="P809" s="26"/>
    </row>
    <row r="810">
      <c r="A810" s="90"/>
      <c r="B810" s="82"/>
      <c r="C810" s="83"/>
      <c r="D810" s="82"/>
      <c r="E810" s="84"/>
      <c r="F810" s="85"/>
      <c r="G810" s="86"/>
      <c r="H810" s="84"/>
      <c r="I810" s="86"/>
      <c r="J810" s="87"/>
      <c r="K810" s="91"/>
      <c r="L810" s="89"/>
      <c r="M810" s="26"/>
      <c r="N810" s="26"/>
      <c r="O810" s="26"/>
      <c r="P810" s="26"/>
    </row>
    <row r="811">
      <c r="A811" s="90"/>
      <c r="B811" s="82"/>
      <c r="C811" s="83"/>
      <c r="D811" s="82"/>
      <c r="E811" s="84"/>
      <c r="F811" s="85"/>
      <c r="G811" s="86"/>
      <c r="H811" s="84"/>
      <c r="I811" s="86"/>
      <c r="J811" s="87"/>
      <c r="K811" s="91"/>
      <c r="L811" s="89"/>
      <c r="M811" s="26"/>
      <c r="N811" s="26"/>
      <c r="O811" s="26"/>
      <c r="P811" s="26"/>
    </row>
    <row r="812">
      <c r="A812" s="90"/>
      <c r="B812" s="82"/>
      <c r="C812" s="83"/>
      <c r="D812" s="82"/>
      <c r="E812" s="84"/>
      <c r="F812" s="85"/>
      <c r="G812" s="86"/>
      <c r="H812" s="84"/>
      <c r="I812" s="86"/>
      <c r="J812" s="87"/>
      <c r="K812" s="91"/>
      <c r="L812" s="89"/>
      <c r="M812" s="26"/>
      <c r="N812" s="26"/>
      <c r="O812" s="26"/>
      <c r="P812" s="26"/>
    </row>
    <row r="813">
      <c r="A813" s="90"/>
      <c r="B813" s="82"/>
      <c r="C813" s="83"/>
      <c r="D813" s="82"/>
      <c r="E813" s="84"/>
      <c r="F813" s="85"/>
      <c r="G813" s="86"/>
      <c r="H813" s="84"/>
      <c r="I813" s="86"/>
      <c r="J813" s="87"/>
      <c r="K813" s="91"/>
      <c r="L813" s="89"/>
      <c r="M813" s="26"/>
      <c r="N813" s="26"/>
      <c r="O813" s="26"/>
      <c r="P813" s="26"/>
    </row>
    <row r="814">
      <c r="A814" s="90"/>
      <c r="B814" s="82"/>
      <c r="C814" s="83"/>
      <c r="D814" s="82"/>
      <c r="E814" s="84"/>
      <c r="F814" s="85"/>
      <c r="G814" s="86"/>
      <c r="H814" s="84"/>
      <c r="I814" s="86"/>
      <c r="J814" s="87"/>
      <c r="K814" s="91"/>
      <c r="L814" s="89"/>
      <c r="M814" s="26"/>
      <c r="N814" s="26"/>
      <c r="O814" s="26"/>
      <c r="P814" s="26"/>
    </row>
    <row r="815">
      <c r="A815" s="90"/>
      <c r="B815" s="82"/>
      <c r="C815" s="83"/>
      <c r="D815" s="82"/>
      <c r="E815" s="84"/>
      <c r="F815" s="85"/>
      <c r="G815" s="86"/>
      <c r="H815" s="84"/>
      <c r="I815" s="86"/>
      <c r="J815" s="87"/>
      <c r="K815" s="91"/>
      <c r="L815" s="89"/>
      <c r="M815" s="26"/>
      <c r="N815" s="26"/>
      <c r="O815" s="26"/>
      <c r="P815" s="26"/>
    </row>
    <row r="816">
      <c r="A816" s="90"/>
      <c r="B816" s="82"/>
      <c r="C816" s="83"/>
      <c r="D816" s="82"/>
      <c r="E816" s="84"/>
      <c r="F816" s="85"/>
      <c r="G816" s="86"/>
      <c r="H816" s="84"/>
      <c r="I816" s="86"/>
      <c r="J816" s="87"/>
      <c r="K816" s="91"/>
      <c r="L816" s="89"/>
      <c r="M816" s="26"/>
      <c r="N816" s="26"/>
      <c r="O816" s="26"/>
      <c r="P816" s="26"/>
    </row>
    <row r="817">
      <c r="A817" s="90"/>
      <c r="B817" s="82"/>
      <c r="C817" s="83"/>
      <c r="D817" s="82"/>
      <c r="E817" s="84"/>
      <c r="F817" s="85"/>
      <c r="G817" s="86"/>
      <c r="H817" s="84"/>
      <c r="I817" s="86"/>
      <c r="J817" s="87"/>
      <c r="K817" s="91"/>
      <c r="L817" s="89"/>
      <c r="M817" s="26"/>
      <c r="N817" s="26"/>
      <c r="O817" s="26"/>
      <c r="P817" s="26"/>
    </row>
    <row r="818">
      <c r="A818" s="90"/>
      <c r="B818" s="82"/>
      <c r="C818" s="83"/>
      <c r="D818" s="82"/>
      <c r="E818" s="84"/>
      <c r="F818" s="85"/>
      <c r="G818" s="86"/>
      <c r="H818" s="84"/>
      <c r="I818" s="86"/>
      <c r="J818" s="87"/>
      <c r="K818" s="91"/>
      <c r="L818" s="89"/>
      <c r="M818" s="26"/>
      <c r="N818" s="26"/>
      <c r="O818" s="26"/>
      <c r="P818" s="26"/>
    </row>
    <row r="819">
      <c r="A819" s="90"/>
      <c r="B819" s="82"/>
      <c r="C819" s="83"/>
      <c r="D819" s="82"/>
      <c r="E819" s="84"/>
      <c r="F819" s="85"/>
      <c r="G819" s="86"/>
      <c r="H819" s="84"/>
      <c r="I819" s="86"/>
      <c r="J819" s="87"/>
      <c r="K819" s="91"/>
      <c r="L819" s="89"/>
      <c r="M819" s="26"/>
      <c r="N819" s="26"/>
      <c r="O819" s="26"/>
      <c r="P819" s="26"/>
    </row>
    <row r="820">
      <c r="A820" s="90"/>
      <c r="B820" s="82"/>
      <c r="C820" s="83"/>
      <c r="D820" s="82"/>
      <c r="E820" s="84"/>
      <c r="F820" s="85"/>
      <c r="G820" s="86"/>
      <c r="H820" s="84"/>
      <c r="I820" s="86"/>
      <c r="J820" s="87"/>
      <c r="K820" s="91"/>
      <c r="L820" s="89"/>
      <c r="M820" s="26"/>
      <c r="N820" s="26"/>
      <c r="O820" s="26"/>
      <c r="P820" s="26"/>
    </row>
    <row r="821">
      <c r="A821" s="90"/>
      <c r="B821" s="82"/>
      <c r="C821" s="83"/>
      <c r="D821" s="82"/>
      <c r="E821" s="84"/>
      <c r="F821" s="85"/>
      <c r="G821" s="86"/>
      <c r="H821" s="84"/>
      <c r="I821" s="86"/>
      <c r="J821" s="87"/>
      <c r="K821" s="91"/>
      <c r="L821" s="89"/>
      <c r="M821" s="26"/>
      <c r="N821" s="26"/>
      <c r="O821" s="26"/>
      <c r="P821" s="26"/>
    </row>
    <row r="822">
      <c r="A822" s="90"/>
      <c r="B822" s="82"/>
      <c r="C822" s="83"/>
      <c r="D822" s="82"/>
      <c r="E822" s="84"/>
      <c r="F822" s="85"/>
      <c r="G822" s="86"/>
      <c r="H822" s="84"/>
      <c r="I822" s="86"/>
      <c r="J822" s="87"/>
      <c r="K822" s="91"/>
      <c r="L822" s="89"/>
      <c r="M822" s="26"/>
      <c r="N822" s="26"/>
      <c r="O822" s="26"/>
      <c r="P822" s="26"/>
    </row>
    <row r="823">
      <c r="A823" s="90"/>
      <c r="B823" s="82"/>
      <c r="C823" s="83"/>
      <c r="D823" s="82"/>
      <c r="E823" s="84"/>
      <c r="F823" s="85"/>
      <c r="G823" s="86"/>
      <c r="H823" s="84"/>
      <c r="I823" s="86"/>
      <c r="J823" s="87"/>
      <c r="K823" s="91"/>
      <c r="L823" s="89"/>
      <c r="M823" s="26"/>
      <c r="N823" s="26"/>
      <c r="O823" s="26"/>
      <c r="P823" s="26"/>
    </row>
    <row r="824">
      <c r="A824" s="90"/>
      <c r="B824" s="82"/>
      <c r="C824" s="83"/>
      <c r="D824" s="82"/>
      <c r="E824" s="84"/>
      <c r="F824" s="85"/>
      <c r="G824" s="86"/>
      <c r="H824" s="84"/>
      <c r="I824" s="86"/>
      <c r="J824" s="87"/>
      <c r="K824" s="91"/>
      <c r="L824" s="89"/>
      <c r="M824" s="26"/>
      <c r="N824" s="26"/>
      <c r="O824" s="26"/>
      <c r="P824" s="26"/>
    </row>
    <row r="825">
      <c r="A825" s="90"/>
      <c r="B825" s="82"/>
      <c r="C825" s="83"/>
      <c r="D825" s="82"/>
      <c r="E825" s="84"/>
      <c r="F825" s="85"/>
      <c r="G825" s="86"/>
      <c r="H825" s="84"/>
      <c r="I825" s="86"/>
      <c r="J825" s="87"/>
      <c r="K825" s="91"/>
      <c r="L825" s="89"/>
      <c r="M825" s="26"/>
      <c r="N825" s="26"/>
      <c r="O825" s="26"/>
      <c r="P825" s="26"/>
    </row>
    <row r="826">
      <c r="A826" s="90"/>
      <c r="B826" s="82"/>
      <c r="C826" s="83"/>
      <c r="D826" s="82"/>
      <c r="E826" s="84"/>
      <c r="F826" s="85"/>
      <c r="G826" s="86"/>
      <c r="H826" s="84"/>
      <c r="I826" s="86"/>
      <c r="J826" s="87"/>
      <c r="K826" s="91"/>
      <c r="L826" s="89"/>
      <c r="M826" s="26"/>
      <c r="N826" s="26"/>
      <c r="O826" s="26"/>
      <c r="P826" s="26"/>
    </row>
    <row r="827">
      <c r="A827" s="90"/>
      <c r="B827" s="82"/>
      <c r="C827" s="83"/>
      <c r="D827" s="82"/>
      <c r="E827" s="84"/>
      <c r="F827" s="85"/>
      <c r="G827" s="86"/>
      <c r="H827" s="84"/>
      <c r="I827" s="86"/>
      <c r="J827" s="87"/>
      <c r="K827" s="91"/>
      <c r="L827" s="89"/>
      <c r="M827" s="26"/>
      <c r="N827" s="26"/>
      <c r="O827" s="26"/>
      <c r="P827" s="26"/>
    </row>
    <row r="828">
      <c r="A828" s="90"/>
      <c r="B828" s="82"/>
      <c r="C828" s="83"/>
      <c r="D828" s="82"/>
      <c r="E828" s="84"/>
      <c r="F828" s="85"/>
      <c r="G828" s="86"/>
      <c r="H828" s="84"/>
      <c r="I828" s="86"/>
      <c r="J828" s="87"/>
      <c r="K828" s="91"/>
      <c r="L828" s="89"/>
      <c r="M828" s="26"/>
      <c r="N828" s="26"/>
      <c r="O828" s="26"/>
      <c r="P828" s="26"/>
    </row>
    <row r="829">
      <c r="A829" s="90"/>
      <c r="B829" s="82"/>
      <c r="C829" s="83"/>
      <c r="D829" s="82"/>
      <c r="E829" s="84"/>
      <c r="F829" s="85"/>
      <c r="G829" s="86"/>
      <c r="H829" s="84"/>
      <c r="I829" s="86"/>
      <c r="J829" s="87"/>
      <c r="K829" s="91"/>
      <c r="L829" s="89"/>
      <c r="M829" s="26"/>
      <c r="N829" s="26"/>
      <c r="O829" s="26"/>
      <c r="P829" s="26"/>
    </row>
    <row r="830">
      <c r="A830" s="90"/>
      <c r="B830" s="82"/>
      <c r="C830" s="83"/>
      <c r="D830" s="82"/>
      <c r="E830" s="84"/>
      <c r="F830" s="85"/>
      <c r="G830" s="86"/>
      <c r="H830" s="84"/>
      <c r="I830" s="86"/>
      <c r="J830" s="87"/>
      <c r="K830" s="91"/>
      <c r="L830" s="89"/>
      <c r="M830" s="26"/>
      <c r="N830" s="26"/>
      <c r="O830" s="26"/>
      <c r="P830" s="26"/>
    </row>
    <row r="831">
      <c r="A831" s="90"/>
      <c r="B831" s="82"/>
      <c r="C831" s="83"/>
      <c r="D831" s="82"/>
      <c r="E831" s="84"/>
      <c r="F831" s="85"/>
      <c r="G831" s="86"/>
      <c r="H831" s="84"/>
      <c r="I831" s="86"/>
      <c r="J831" s="87"/>
      <c r="K831" s="91"/>
      <c r="L831" s="89"/>
      <c r="M831" s="26"/>
      <c r="N831" s="26"/>
      <c r="O831" s="26"/>
      <c r="P831" s="26"/>
    </row>
    <row r="832">
      <c r="A832" s="90"/>
      <c r="B832" s="82"/>
      <c r="C832" s="83"/>
      <c r="D832" s="82"/>
      <c r="E832" s="84"/>
      <c r="F832" s="85"/>
      <c r="G832" s="86"/>
      <c r="H832" s="84"/>
      <c r="I832" s="86"/>
      <c r="J832" s="87"/>
      <c r="K832" s="91"/>
      <c r="L832" s="89"/>
      <c r="M832" s="26"/>
      <c r="N832" s="26"/>
      <c r="O832" s="26"/>
      <c r="P832" s="26"/>
    </row>
    <row r="833">
      <c r="A833" s="90"/>
      <c r="B833" s="82"/>
      <c r="C833" s="83"/>
      <c r="D833" s="82"/>
      <c r="E833" s="84"/>
      <c r="F833" s="85"/>
      <c r="G833" s="86"/>
      <c r="H833" s="84"/>
      <c r="I833" s="86"/>
      <c r="J833" s="87"/>
      <c r="K833" s="91"/>
      <c r="L833" s="89"/>
      <c r="M833" s="26"/>
      <c r="N833" s="26"/>
      <c r="O833" s="26"/>
      <c r="P833" s="26"/>
    </row>
    <row r="834">
      <c r="A834" s="90"/>
      <c r="B834" s="82"/>
      <c r="C834" s="83"/>
      <c r="D834" s="82"/>
      <c r="E834" s="84"/>
      <c r="F834" s="85"/>
      <c r="G834" s="86"/>
      <c r="H834" s="84"/>
      <c r="I834" s="86"/>
      <c r="J834" s="87"/>
      <c r="K834" s="91"/>
      <c r="L834" s="89"/>
      <c r="M834" s="26"/>
      <c r="N834" s="26"/>
      <c r="O834" s="26"/>
      <c r="P834" s="26"/>
    </row>
    <row r="835">
      <c r="A835" s="90"/>
      <c r="B835" s="82"/>
      <c r="C835" s="83"/>
      <c r="D835" s="82"/>
      <c r="E835" s="84"/>
      <c r="F835" s="85"/>
      <c r="G835" s="86"/>
      <c r="H835" s="84"/>
      <c r="I835" s="86"/>
      <c r="J835" s="87"/>
      <c r="K835" s="91"/>
      <c r="L835" s="89"/>
      <c r="M835" s="26"/>
      <c r="N835" s="26"/>
      <c r="O835" s="26"/>
      <c r="P835" s="26"/>
    </row>
    <row r="836">
      <c r="A836" s="90"/>
      <c r="B836" s="82"/>
      <c r="C836" s="83"/>
      <c r="D836" s="82"/>
      <c r="E836" s="84"/>
      <c r="F836" s="85"/>
      <c r="G836" s="86"/>
      <c r="H836" s="84"/>
      <c r="I836" s="86"/>
      <c r="J836" s="87"/>
      <c r="K836" s="91"/>
      <c r="L836" s="89"/>
      <c r="M836" s="26"/>
      <c r="N836" s="26"/>
      <c r="O836" s="26"/>
      <c r="P836" s="26"/>
    </row>
    <row r="837">
      <c r="A837" s="90"/>
      <c r="B837" s="82"/>
      <c r="C837" s="83"/>
      <c r="D837" s="82"/>
      <c r="E837" s="84"/>
      <c r="F837" s="85"/>
      <c r="G837" s="86"/>
      <c r="H837" s="84"/>
      <c r="I837" s="86"/>
      <c r="J837" s="87"/>
      <c r="K837" s="91"/>
      <c r="L837" s="89"/>
      <c r="M837" s="26"/>
      <c r="N837" s="26"/>
      <c r="O837" s="26"/>
      <c r="P837" s="26"/>
    </row>
    <row r="838">
      <c r="A838" s="90"/>
      <c r="B838" s="82"/>
      <c r="C838" s="83"/>
      <c r="D838" s="82"/>
      <c r="E838" s="84"/>
      <c r="F838" s="85"/>
      <c r="G838" s="86"/>
      <c r="H838" s="84"/>
      <c r="I838" s="86"/>
      <c r="J838" s="87"/>
      <c r="K838" s="91"/>
      <c r="L838" s="89"/>
      <c r="M838" s="26"/>
      <c r="N838" s="26"/>
      <c r="O838" s="26"/>
      <c r="P838" s="26"/>
    </row>
    <row r="839">
      <c r="A839" s="90"/>
      <c r="B839" s="82"/>
      <c r="C839" s="83"/>
      <c r="D839" s="82"/>
      <c r="E839" s="84"/>
      <c r="F839" s="85"/>
      <c r="G839" s="86"/>
      <c r="H839" s="84"/>
      <c r="I839" s="86"/>
      <c r="J839" s="87"/>
      <c r="K839" s="91"/>
      <c r="L839" s="89"/>
      <c r="M839" s="26"/>
      <c r="N839" s="26"/>
      <c r="O839" s="26"/>
      <c r="P839" s="26"/>
    </row>
    <row r="840">
      <c r="A840" s="90"/>
      <c r="B840" s="82"/>
      <c r="C840" s="83"/>
      <c r="D840" s="82"/>
      <c r="E840" s="84"/>
      <c r="F840" s="85"/>
      <c r="G840" s="86"/>
      <c r="H840" s="84"/>
      <c r="I840" s="86"/>
      <c r="J840" s="87"/>
      <c r="K840" s="91"/>
      <c r="L840" s="89"/>
      <c r="M840" s="26"/>
      <c r="N840" s="26"/>
      <c r="O840" s="26"/>
      <c r="P840" s="26"/>
    </row>
    <row r="841">
      <c r="A841" s="90"/>
      <c r="B841" s="82"/>
      <c r="C841" s="83"/>
      <c r="D841" s="82"/>
      <c r="E841" s="84"/>
      <c r="F841" s="85"/>
      <c r="G841" s="86"/>
      <c r="H841" s="84"/>
      <c r="I841" s="86"/>
      <c r="J841" s="87"/>
      <c r="K841" s="91"/>
      <c r="L841" s="89"/>
      <c r="M841" s="26"/>
      <c r="N841" s="26"/>
      <c r="O841" s="26"/>
      <c r="P841" s="26"/>
    </row>
    <row r="842">
      <c r="A842" s="90"/>
      <c r="B842" s="82"/>
      <c r="C842" s="83"/>
      <c r="D842" s="82"/>
      <c r="E842" s="84"/>
      <c r="F842" s="85"/>
      <c r="G842" s="86"/>
      <c r="H842" s="84"/>
      <c r="I842" s="86"/>
      <c r="J842" s="87"/>
      <c r="K842" s="91"/>
      <c r="L842" s="89"/>
      <c r="M842" s="26"/>
      <c r="N842" s="26"/>
      <c r="O842" s="26"/>
      <c r="P842" s="26"/>
    </row>
    <row r="843">
      <c r="A843" s="90"/>
      <c r="B843" s="82"/>
      <c r="C843" s="83"/>
      <c r="D843" s="82"/>
      <c r="E843" s="84"/>
      <c r="F843" s="85"/>
      <c r="G843" s="86"/>
      <c r="H843" s="84"/>
      <c r="I843" s="86"/>
      <c r="J843" s="87"/>
      <c r="K843" s="91"/>
      <c r="L843" s="89"/>
      <c r="M843" s="26"/>
      <c r="N843" s="26"/>
      <c r="O843" s="26"/>
      <c r="P843" s="26"/>
    </row>
    <row r="844">
      <c r="A844" s="90"/>
      <c r="B844" s="82"/>
      <c r="C844" s="83"/>
      <c r="D844" s="82"/>
      <c r="E844" s="84"/>
      <c r="F844" s="85"/>
      <c r="G844" s="86"/>
      <c r="H844" s="84"/>
      <c r="I844" s="86"/>
      <c r="J844" s="87"/>
      <c r="K844" s="91"/>
      <c r="L844" s="89"/>
      <c r="M844" s="26"/>
      <c r="N844" s="26"/>
      <c r="O844" s="26"/>
      <c r="P844" s="26"/>
    </row>
    <row r="845">
      <c r="A845" s="90"/>
      <c r="B845" s="82"/>
      <c r="C845" s="83"/>
      <c r="D845" s="82"/>
      <c r="E845" s="84"/>
      <c r="F845" s="85"/>
      <c r="G845" s="86"/>
      <c r="H845" s="84"/>
      <c r="I845" s="86"/>
      <c r="J845" s="87"/>
      <c r="K845" s="91"/>
      <c r="L845" s="89"/>
      <c r="M845" s="26"/>
      <c r="N845" s="26"/>
      <c r="O845" s="26"/>
      <c r="P845" s="26"/>
    </row>
    <row r="846">
      <c r="A846" s="90"/>
      <c r="B846" s="82"/>
      <c r="C846" s="83"/>
      <c r="D846" s="82"/>
      <c r="E846" s="84"/>
      <c r="F846" s="85"/>
      <c r="G846" s="86"/>
      <c r="H846" s="84"/>
      <c r="I846" s="86"/>
      <c r="J846" s="87"/>
      <c r="K846" s="91"/>
      <c r="L846" s="89"/>
      <c r="M846" s="26"/>
      <c r="N846" s="26"/>
      <c r="O846" s="26"/>
      <c r="P846" s="26"/>
    </row>
    <row r="847">
      <c r="A847" s="90"/>
      <c r="B847" s="82"/>
      <c r="C847" s="83"/>
      <c r="D847" s="82"/>
      <c r="E847" s="84"/>
      <c r="F847" s="85"/>
      <c r="G847" s="86"/>
      <c r="H847" s="84"/>
      <c r="I847" s="86"/>
      <c r="J847" s="87"/>
      <c r="K847" s="91"/>
      <c r="L847" s="89"/>
      <c r="M847" s="26"/>
      <c r="N847" s="26"/>
      <c r="O847" s="26"/>
      <c r="P847" s="26"/>
    </row>
    <row r="848">
      <c r="A848" s="90"/>
      <c r="B848" s="82"/>
      <c r="C848" s="83"/>
      <c r="D848" s="82"/>
      <c r="E848" s="84"/>
      <c r="F848" s="85"/>
      <c r="G848" s="86"/>
      <c r="H848" s="84"/>
      <c r="I848" s="86"/>
      <c r="J848" s="87"/>
      <c r="K848" s="91"/>
      <c r="L848" s="89"/>
      <c r="M848" s="26"/>
      <c r="N848" s="26"/>
      <c r="O848" s="26"/>
      <c r="P848" s="26"/>
    </row>
    <row r="849">
      <c r="A849" s="90"/>
      <c r="B849" s="82"/>
      <c r="C849" s="83"/>
      <c r="D849" s="82"/>
      <c r="E849" s="84"/>
      <c r="F849" s="85"/>
      <c r="G849" s="86"/>
      <c r="H849" s="84"/>
      <c r="I849" s="86"/>
      <c r="J849" s="87"/>
      <c r="K849" s="91"/>
      <c r="L849" s="89"/>
      <c r="M849" s="26"/>
      <c r="N849" s="26"/>
      <c r="O849" s="26"/>
      <c r="P849" s="26"/>
    </row>
    <row r="850">
      <c r="A850" s="90"/>
      <c r="B850" s="82"/>
      <c r="C850" s="83"/>
      <c r="D850" s="82"/>
      <c r="E850" s="84"/>
      <c r="F850" s="85"/>
      <c r="G850" s="86"/>
      <c r="H850" s="84"/>
      <c r="I850" s="86"/>
      <c r="J850" s="87"/>
      <c r="K850" s="91"/>
      <c r="L850" s="89"/>
      <c r="M850" s="26"/>
      <c r="N850" s="26"/>
      <c r="O850" s="26"/>
      <c r="P850" s="26"/>
    </row>
    <row r="851">
      <c r="A851" s="90"/>
      <c r="B851" s="82"/>
      <c r="C851" s="83"/>
      <c r="D851" s="82"/>
      <c r="E851" s="84"/>
      <c r="F851" s="85"/>
      <c r="G851" s="86"/>
      <c r="H851" s="84"/>
      <c r="I851" s="86"/>
      <c r="J851" s="87"/>
      <c r="K851" s="91"/>
      <c r="L851" s="89"/>
      <c r="M851" s="26"/>
      <c r="N851" s="26"/>
      <c r="O851" s="26"/>
      <c r="P851" s="26"/>
    </row>
    <row r="852">
      <c r="A852" s="90"/>
      <c r="B852" s="82"/>
      <c r="C852" s="83"/>
      <c r="D852" s="82"/>
      <c r="E852" s="84"/>
      <c r="F852" s="85"/>
      <c r="G852" s="86"/>
      <c r="H852" s="84"/>
      <c r="I852" s="86"/>
      <c r="J852" s="87"/>
      <c r="K852" s="91"/>
      <c r="L852" s="89"/>
      <c r="M852" s="26"/>
      <c r="N852" s="26"/>
      <c r="O852" s="26"/>
      <c r="P852" s="26"/>
    </row>
    <row r="853">
      <c r="A853" s="90"/>
      <c r="B853" s="82"/>
      <c r="C853" s="83"/>
      <c r="D853" s="82"/>
      <c r="E853" s="84"/>
      <c r="F853" s="85"/>
      <c r="G853" s="86"/>
      <c r="H853" s="84"/>
      <c r="I853" s="86"/>
      <c r="J853" s="87"/>
      <c r="K853" s="91"/>
      <c r="L853" s="89"/>
      <c r="M853" s="26"/>
      <c r="N853" s="26"/>
      <c r="O853" s="26"/>
      <c r="P853" s="26"/>
    </row>
    <row r="854">
      <c r="A854" s="90"/>
      <c r="B854" s="82"/>
      <c r="C854" s="83"/>
      <c r="D854" s="82"/>
      <c r="E854" s="84"/>
      <c r="F854" s="85"/>
      <c r="G854" s="86"/>
      <c r="H854" s="84"/>
      <c r="I854" s="86"/>
      <c r="J854" s="87"/>
      <c r="K854" s="91"/>
      <c r="L854" s="89"/>
      <c r="M854" s="26"/>
      <c r="N854" s="26"/>
      <c r="O854" s="26"/>
      <c r="P854" s="26"/>
    </row>
    <row r="855">
      <c r="A855" s="90"/>
      <c r="B855" s="82"/>
      <c r="C855" s="83"/>
      <c r="D855" s="82"/>
      <c r="E855" s="84"/>
      <c r="F855" s="85"/>
      <c r="G855" s="86"/>
      <c r="H855" s="84"/>
      <c r="I855" s="86"/>
      <c r="J855" s="87"/>
      <c r="K855" s="91"/>
      <c r="L855" s="89"/>
      <c r="M855" s="26"/>
      <c r="N855" s="26"/>
      <c r="O855" s="26"/>
      <c r="P855" s="26"/>
    </row>
    <row r="856">
      <c r="A856" s="90"/>
      <c r="B856" s="82"/>
      <c r="C856" s="83"/>
      <c r="D856" s="82"/>
      <c r="E856" s="84"/>
      <c r="F856" s="85"/>
      <c r="G856" s="86"/>
      <c r="H856" s="84"/>
      <c r="I856" s="86"/>
      <c r="J856" s="87"/>
      <c r="K856" s="91"/>
      <c r="L856" s="89"/>
      <c r="M856" s="26"/>
      <c r="N856" s="26"/>
      <c r="O856" s="26"/>
      <c r="P856" s="26"/>
    </row>
    <row r="857">
      <c r="A857" s="90"/>
      <c r="B857" s="82"/>
      <c r="C857" s="83"/>
      <c r="D857" s="82"/>
      <c r="E857" s="84"/>
      <c r="F857" s="85"/>
      <c r="G857" s="86"/>
      <c r="H857" s="84"/>
      <c r="I857" s="86"/>
      <c r="J857" s="87"/>
      <c r="K857" s="91"/>
      <c r="L857" s="89"/>
      <c r="M857" s="26"/>
      <c r="N857" s="26"/>
      <c r="O857" s="26"/>
      <c r="P857" s="26"/>
    </row>
    <row r="858">
      <c r="A858" s="90"/>
      <c r="B858" s="82"/>
      <c r="C858" s="83"/>
      <c r="D858" s="82"/>
      <c r="E858" s="84"/>
      <c r="F858" s="85"/>
      <c r="G858" s="86"/>
      <c r="H858" s="84"/>
      <c r="I858" s="86"/>
      <c r="J858" s="87"/>
      <c r="K858" s="91"/>
      <c r="L858" s="89"/>
      <c r="M858" s="26"/>
      <c r="N858" s="26"/>
      <c r="O858" s="26"/>
      <c r="P858" s="26"/>
    </row>
    <row r="859">
      <c r="A859" s="90"/>
      <c r="B859" s="82"/>
      <c r="C859" s="83"/>
      <c r="D859" s="82"/>
      <c r="E859" s="84"/>
      <c r="F859" s="85"/>
      <c r="G859" s="86"/>
      <c r="H859" s="84"/>
      <c r="I859" s="86"/>
      <c r="J859" s="87"/>
      <c r="K859" s="91"/>
      <c r="L859" s="89"/>
      <c r="M859" s="26"/>
      <c r="N859" s="26"/>
      <c r="O859" s="26"/>
      <c r="P859" s="26"/>
    </row>
    <row r="860">
      <c r="A860" s="90"/>
      <c r="B860" s="82"/>
      <c r="C860" s="83"/>
      <c r="D860" s="82"/>
      <c r="E860" s="84"/>
      <c r="F860" s="85"/>
      <c r="G860" s="86"/>
      <c r="H860" s="84"/>
      <c r="I860" s="86"/>
      <c r="J860" s="87"/>
      <c r="K860" s="91"/>
      <c r="L860" s="89"/>
      <c r="M860" s="26"/>
      <c r="N860" s="26"/>
      <c r="O860" s="26"/>
      <c r="P860" s="26"/>
    </row>
    <row r="861">
      <c r="A861" s="90"/>
      <c r="B861" s="82"/>
      <c r="C861" s="83"/>
      <c r="D861" s="82"/>
      <c r="E861" s="84"/>
      <c r="F861" s="85"/>
      <c r="G861" s="86"/>
      <c r="H861" s="84"/>
      <c r="I861" s="86"/>
      <c r="J861" s="87"/>
      <c r="K861" s="91"/>
      <c r="L861" s="89"/>
      <c r="M861" s="26"/>
      <c r="N861" s="26"/>
      <c r="O861" s="26"/>
      <c r="P861" s="26"/>
    </row>
    <row r="862">
      <c r="A862" s="90"/>
      <c r="B862" s="82"/>
      <c r="C862" s="83"/>
      <c r="D862" s="82"/>
      <c r="E862" s="84"/>
      <c r="F862" s="85"/>
      <c r="G862" s="86"/>
      <c r="H862" s="84"/>
      <c r="I862" s="86"/>
      <c r="J862" s="87"/>
      <c r="K862" s="91"/>
      <c r="L862" s="89"/>
      <c r="M862" s="26"/>
      <c r="N862" s="26"/>
      <c r="O862" s="26"/>
      <c r="P862" s="26"/>
    </row>
    <row r="863">
      <c r="A863" s="90"/>
      <c r="B863" s="82"/>
      <c r="C863" s="83"/>
      <c r="D863" s="82"/>
      <c r="E863" s="84"/>
      <c r="F863" s="85"/>
      <c r="G863" s="86"/>
      <c r="H863" s="84"/>
      <c r="I863" s="86"/>
      <c r="J863" s="87"/>
      <c r="K863" s="91"/>
      <c r="L863" s="89"/>
      <c r="M863" s="26"/>
      <c r="N863" s="26"/>
      <c r="O863" s="26"/>
      <c r="P863" s="26"/>
    </row>
    <row r="864">
      <c r="A864" s="90"/>
      <c r="B864" s="82"/>
      <c r="C864" s="83"/>
      <c r="D864" s="82"/>
      <c r="E864" s="84"/>
      <c r="F864" s="85"/>
      <c r="G864" s="86"/>
      <c r="H864" s="84"/>
      <c r="I864" s="86"/>
      <c r="J864" s="87"/>
      <c r="K864" s="91"/>
      <c r="L864" s="89"/>
      <c r="M864" s="26"/>
      <c r="N864" s="26"/>
      <c r="O864" s="26"/>
      <c r="P864" s="26"/>
    </row>
    <row r="865">
      <c r="A865" s="90"/>
      <c r="B865" s="82"/>
      <c r="C865" s="83"/>
      <c r="D865" s="82"/>
      <c r="E865" s="84"/>
      <c r="F865" s="85"/>
      <c r="G865" s="86"/>
      <c r="H865" s="84"/>
      <c r="I865" s="86"/>
      <c r="J865" s="87"/>
      <c r="K865" s="91"/>
      <c r="L865" s="89"/>
      <c r="M865" s="26"/>
      <c r="N865" s="26"/>
      <c r="O865" s="26"/>
      <c r="P865" s="26"/>
    </row>
    <row r="866">
      <c r="A866" s="90"/>
      <c r="B866" s="82"/>
      <c r="C866" s="83"/>
      <c r="D866" s="82"/>
      <c r="E866" s="84"/>
      <c r="F866" s="85"/>
      <c r="G866" s="86"/>
      <c r="H866" s="84"/>
      <c r="I866" s="86"/>
      <c r="J866" s="87"/>
      <c r="K866" s="91"/>
      <c r="L866" s="89"/>
      <c r="M866" s="26"/>
      <c r="N866" s="26"/>
      <c r="O866" s="26"/>
      <c r="P866" s="26"/>
    </row>
    <row r="867">
      <c r="A867" s="90"/>
      <c r="B867" s="82"/>
      <c r="C867" s="83"/>
      <c r="D867" s="82"/>
      <c r="E867" s="84"/>
      <c r="F867" s="85"/>
      <c r="G867" s="86"/>
      <c r="H867" s="84"/>
      <c r="I867" s="86"/>
      <c r="J867" s="87"/>
      <c r="K867" s="91"/>
      <c r="L867" s="89"/>
      <c r="M867" s="26"/>
      <c r="N867" s="26"/>
      <c r="O867" s="26"/>
      <c r="P867" s="26"/>
    </row>
    <row r="868">
      <c r="A868" s="90"/>
      <c r="B868" s="82"/>
      <c r="C868" s="83"/>
      <c r="D868" s="82"/>
      <c r="E868" s="84"/>
      <c r="F868" s="85"/>
      <c r="G868" s="86"/>
      <c r="H868" s="84"/>
      <c r="I868" s="86"/>
      <c r="J868" s="87"/>
      <c r="K868" s="91"/>
      <c r="L868" s="89"/>
      <c r="M868" s="26"/>
      <c r="N868" s="26"/>
      <c r="O868" s="26"/>
      <c r="P868" s="26"/>
    </row>
    <row r="869">
      <c r="A869" s="90"/>
      <c r="B869" s="82"/>
      <c r="C869" s="83"/>
      <c r="D869" s="82"/>
      <c r="E869" s="84"/>
      <c r="F869" s="85"/>
      <c r="G869" s="86"/>
      <c r="H869" s="84"/>
      <c r="I869" s="86"/>
      <c r="J869" s="87"/>
      <c r="K869" s="91"/>
      <c r="L869" s="89"/>
      <c r="M869" s="26"/>
      <c r="N869" s="26"/>
      <c r="O869" s="26"/>
      <c r="P869" s="26"/>
    </row>
    <row r="870">
      <c r="A870" s="90"/>
      <c r="B870" s="82"/>
      <c r="C870" s="83"/>
      <c r="D870" s="82"/>
      <c r="E870" s="84"/>
      <c r="F870" s="85"/>
      <c r="G870" s="86"/>
      <c r="H870" s="84"/>
      <c r="I870" s="86"/>
      <c r="J870" s="87"/>
      <c r="K870" s="91"/>
      <c r="L870" s="89"/>
      <c r="M870" s="26"/>
      <c r="N870" s="26"/>
      <c r="O870" s="26"/>
      <c r="P870" s="26"/>
    </row>
    <row r="871">
      <c r="A871" s="90"/>
      <c r="B871" s="82"/>
      <c r="C871" s="83"/>
      <c r="D871" s="82"/>
      <c r="E871" s="84"/>
      <c r="F871" s="85"/>
      <c r="G871" s="86"/>
      <c r="H871" s="84"/>
      <c r="I871" s="86"/>
      <c r="J871" s="87"/>
      <c r="K871" s="91"/>
      <c r="L871" s="89"/>
      <c r="M871" s="26"/>
      <c r="N871" s="26"/>
      <c r="O871" s="26"/>
      <c r="P871" s="26"/>
    </row>
    <row r="872">
      <c r="A872" s="90"/>
      <c r="B872" s="82"/>
      <c r="C872" s="83"/>
      <c r="D872" s="82"/>
      <c r="E872" s="84"/>
      <c r="F872" s="85"/>
      <c r="G872" s="86"/>
      <c r="H872" s="84"/>
      <c r="I872" s="86"/>
      <c r="J872" s="87"/>
      <c r="K872" s="91"/>
      <c r="L872" s="89"/>
      <c r="M872" s="26"/>
      <c r="N872" s="26"/>
      <c r="O872" s="26"/>
      <c r="P872" s="26"/>
    </row>
    <row r="873">
      <c r="A873" s="90"/>
      <c r="B873" s="82"/>
      <c r="C873" s="83"/>
      <c r="D873" s="82"/>
      <c r="E873" s="84"/>
      <c r="F873" s="85"/>
      <c r="G873" s="86"/>
      <c r="H873" s="84"/>
      <c r="I873" s="86"/>
      <c r="J873" s="87"/>
      <c r="K873" s="91"/>
      <c r="L873" s="89"/>
      <c r="M873" s="26"/>
      <c r="N873" s="26"/>
      <c r="O873" s="26"/>
      <c r="P873" s="26"/>
    </row>
    <row r="874">
      <c r="A874" s="90"/>
      <c r="B874" s="82"/>
      <c r="C874" s="83"/>
      <c r="D874" s="82"/>
      <c r="E874" s="84"/>
      <c r="F874" s="85"/>
      <c r="G874" s="86"/>
      <c r="H874" s="84"/>
      <c r="I874" s="86"/>
      <c r="J874" s="87"/>
      <c r="K874" s="91"/>
      <c r="L874" s="89"/>
      <c r="M874" s="26"/>
      <c r="N874" s="26"/>
      <c r="O874" s="26"/>
      <c r="P874" s="26"/>
    </row>
    <row r="875">
      <c r="A875" s="90"/>
      <c r="B875" s="82"/>
      <c r="C875" s="83"/>
      <c r="D875" s="82"/>
      <c r="E875" s="84"/>
      <c r="F875" s="85"/>
      <c r="G875" s="86"/>
      <c r="H875" s="84"/>
      <c r="I875" s="86"/>
      <c r="J875" s="87"/>
      <c r="K875" s="91"/>
      <c r="L875" s="89"/>
      <c r="M875" s="26"/>
      <c r="N875" s="26"/>
      <c r="O875" s="26"/>
      <c r="P875" s="26"/>
    </row>
    <row r="876">
      <c r="A876" s="90"/>
      <c r="B876" s="82"/>
      <c r="C876" s="83"/>
      <c r="D876" s="82"/>
      <c r="E876" s="84"/>
      <c r="F876" s="85"/>
      <c r="G876" s="86"/>
      <c r="H876" s="84"/>
      <c r="I876" s="86"/>
      <c r="J876" s="87"/>
      <c r="K876" s="91"/>
      <c r="L876" s="89"/>
      <c r="M876" s="26"/>
      <c r="N876" s="26"/>
      <c r="O876" s="26"/>
      <c r="P876" s="26"/>
    </row>
    <row r="877">
      <c r="A877" s="90"/>
      <c r="B877" s="82"/>
      <c r="C877" s="83"/>
      <c r="D877" s="82"/>
      <c r="E877" s="84"/>
      <c r="F877" s="85"/>
      <c r="G877" s="86"/>
      <c r="H877" s="84"/>
      <c r="I877" s="86"/>
      <c r="J877" s="87"/>
      <c r="K877" s="91"/>
      <c r="L877" s="89"/>
      <c r="M877" s="26"/>
      <c r="N877" s="26"/>
      <c r="O877" s="26"/>
      <c r="P877" s="26"/>
    </row>
    <row r="878">
      <c r="A878" s="90"/>
      <c r="B878" s="82"/>
      <c r="C878" s="83"/>
      <c r="D878" s="82"/>
      <c r="E878" s="84"/>
      <c r="F878" s="85"/>
      <c r="G878" s="86"/>
      <c r="H878" s="84"/>
      <c r="I878" s="86"/>
      <c r="J878" s="87"/>
      <c r="K878" s="91"/>
      <c r="L878" s="89"/>
      <c r="M878" s="26"/>
      <c r="N878" s="26"/>
      <c r="O878" s="26"/>
      <c r="P878" s="26"/>
    </row>
    <row r="879">
      <c r="A879" s="90"/>
      <c r="B879" s="82"/>
      <c r="C879" s="83"/>
      <c r="D879" s="82"/>
      <c r="E879" s="84"/>
      <c r="F879" s="85"/>
      <c r="G879" s="86"/>
      <c r="H879" s="84"/>
      <c r="I879" s="86"/>
      <c r="J879" s="87"/>
      <c r="K879" s="91"/>
      <c r="L879" s="89"/>
      <c r="M879" s="26"/>
      <c r="N879" s="26"/>
      <c r="O879" s="26"/>
      <c r="P879" s="26"/>
    </row>
    <row r="880">
      <c r="A880" s="90"/>
      <c r="B880" s="82"/>
      <c r="C880" s="83"/>
      <c r="D880" s="82"/>
      <c r="E880" s="84"/>
      <c r="F880" s="85"/>
      <c r="G880" s="86"/>
      <c r="H880" s="84"/>
      <c r="I880" s="86"/>
      <c r="J880" s="87"/>
      <c r="K880" s="91"/>
      <c r="L880" s="89"/>
      <c r="M880" s="26"/>
      <c r="N880" s="26"/>
      <c r="O880" s="26"/>
      <c r="P880" s="26"/>
    </row>
    <row r="881">
      <c r="A881" s="90"/>
      <c r="B881" s="82"/>
      <c r="C881" s="83"/>
      <c r="D881" s="82"/>
      <c r="E881" s="84"/>
      <c r="F881" s="85"/>
      <c r="G881" s="86"/>
      <c r="H881" s="84"/>
      <c r="I881" s="86"/>
      <c r="J881" s="87"/>
      <c r="K881" s="91"/>
      <c r="L881" s="89"/>
      <c r="M881" s="26"/>
      <c r="N881" s="26"/>
      <c r="O881" s="26"/>
      <c r="P881" s="26"/>
    </row>
    <row r="882">
      <c r="A882" s="90"/>
      <c r="B882" s="82"/>
      <c r="C882" s="83"/>
      <c r="D882" s="82"/>
      <c r="E882" s="84"/>
      <c r="F882" s="85"/>
      <c r="G882" s="86"/>
      <c r="H882" s="84"/>
      <c r="I882" s="86"/>
      <c r="J882" s="87"/>
      <c r="K882" s="91"/>
      <c r="L882" s="89"/>
      <c r="M882" s="26"/>
      <c r="N882" s="26"/>
      <c r="O882" s="26"/>
      <c r="P882" s="26"/>
    </row>
    <row r="883">
      <c r="A883" s="90"/>
      <c r="B883" s="82"/>
      <c r="C883" s="83"/>
      <c r="D883" s="82"/>
      <c r="E883" s="84"/>
      <c r="F883" s="85"/>
      <c r="G883" s="86"/>
      <c r="H883" s="84"/>
      <c r="I883" s="86"/>
      <c r="J883" s="87"/>
      <c r="K883" s="91"/>
      <c r="L883" s="89"/>
      <c r="M883" s="26"/>
      <c r="N883" s="26"/>
      <c r="O883" s="26"/>
      <c r="P883" s="26"/>
    </row>
    <row r="884">
      <c r="A884" s="90"/>
      <c r="B884" s="82"/>
      <c r="C884" s="83"/>
      <c r="D884" s="82"/>
      <c r="E884" s="84"/>
      <c r="F884" s="85"/>
      <c r="G884" s="86"/>
      <c r="H884" s="84"/>
      <c r="I884" s="86"/>
      <c r="J884" s="87"/>
      <c r="K884" s="91"/>
      <c r="L884" s="89"/>
      <c r="M884" s="26"/>
      <c r="N884" s="26"/>
      <c r="O884" s="26"/>
      <c r="P884" s="26"/>
    </row>
    <row r="885">
      <c r="A885" s="90"/>
      <c r="B885" s="82"/>
      <c r="C885" s="83"/>
      <c r="D885" s="82"/>
      <c r="E885" s="84"/>
      <c r="F885" s="85"/>
      <c r="G885" s="86"/>
      <c r="H885" s="84"/>
      <c r="I885" s="86"/>
      <c r="J885" s="87"/>
      <c r="K885" s="91"/>
      <c r="L885" s="89"/>
      <c r="M885" s="26"/>
      <c r="N885" s="26"/>
      <c r="O885" s="26"/>
      <c r="P885" s="26"/>
    </row>
    <row r="886">
      <c r="A886" s="90"/>
      <c r="B886" s="82"/>
      <c r="C886" s="83"/>
      <c r="D886" s="82"/>
      <c r="E886" s="84"/>
      <c r="F886" s="85"/>
      <c r="G886" s="86"/>
      <c r="H886" s="84"/>
      <c r="I886" s="86"/>
      <c r="J886" s="87"/>
      <c r="K886" s="91"/>
      <c r="L886" s="89"/>
      <c r="M886" s="26"/>
      <c r="N886" s="26"/>
      <c r="O886" s="26"/>
      <c r="P886" s="26"/>
    </row>
    <row r="887">
      <c r="A887" s="90"/>
      <c r="B887" s="82"/>
      <c r="C887" s="83"/>
      <c r="D887" s="82"/>
      <c r="E887" s="84"/>
      <c r="F887" s="85"/>
      <c r="G887" s="86"/>
      <c r="H887" s="84"/>
      <c r="I887" s="86"/>
      <c r="J887" s="87"/>
      <c r="K887" s="91"/>
      <c r="L887" s="89"/>
      <c r="M887" s="26"/>
      <c r="N887" s="26"/>
      <c r="O887" s="26"/>
      <c r="P887" s="26"/>
    </row>
    <row r="888">
      <c r="A888" s="90"/>
      <c r="B888" s="82"/>
      <c r="C888" s="83"/>
      <c r="D888" s="82"/>
      <c r="E888" s="84"/>
      <c r="F888" s="85"/>
      <c r="G888" s="86"/>
      <c r="H888" s="84"/>
      <c r="I888" s="86"/>
      <c r="J888" s="87"/>
      <c r="K888" s="91"/>
      <c r="L888" s="89"/>
      <c r="M888" s="26"/>
      <c r="N888" s="26"/>
      <c r="O888" s="26"/>
      <c r="P888" s="26"/>
    </row>
    <row r="889">
      <c r="A889" s="90"/>
      <c r="B889" s="82"/>
      <c r="C889" s="83"/>
      <c r="D889" s="82"/>
      <c r="E889" s="84"/>
      <c r="F889" s="85"/>
      <c r="G889" s="86"/>
      <c r="H889" s="84"/>
      <c r="I889" s="86"/>
      <c r="J889" s="87"/>
      <c r="K889" s="91"/>
      <c r="L889" s="89"/>
      <c r="M889" s="26"/>
      <c r="N889" s="26"/>
      <c r="O889" s="26"/>
      <c r="P889" s="26"/>
    </row>
    <row r="890">
      <c r="A890" s="90"/>
      <c r="B890" s="82"/>
      <c r="C890" s="83"/>
      <c r="D890" s="82"/>
      <c r="E890" s="84"/>
      <c r="F890" s="85"/>
      <c r="G890" s="86"/>
      <c r="H890" s="84"/>
      <c r="I890" s="86"/>
      <c r="J890" s="87"/>
      <c r="K890" s="91"/>
      <c r="L890" s="89"/>
      <c r="M890" s="26"/>
      <c r="N890" s="26"/>
      <c r="O890" s="26"/>
      <c r="P890" s="26"/>
    </row>
    <row r="891">
      <c r="A891" s="90"/>
      <c r="B891" s="82"/>
      <c r="C891" s="83"/>
      <c r="D891" s="82"/>
      <c r="E891" s="84"/>
      <c r="F891" s="85"/>
      <c r="G891" s="86"/>
      <c r="H891" s="84"/>
      <c r="I891" s="86"/>
      <c r="J891" s="87"/>
      <c r="K891" s="91"/>
      <c r="L891" s="89"/>
      <c r="M891" s="26"/>
      <c r="N891" s="26"/>
      <c r="O891" s="26"/>
      <c r="P891" s="26"/>
    </row>
    <row r="892">
      <c r="A892" s="90"/>
      <c r="B892" s="82"/>
      <c r="C892" s="83"/>
      <c r="D892" s="82"/>
      <c r="E892" s="84"/>
      <c r="F892" s="85"/>
      <c r="G892" s="86"/>
      <c r="H892" s="84"/>
      <c r="I892" s="86"/>
      <c r="J892" s="87"/>
      <c r="K892" s="91"/>
      <c r="L892" s="89"/>
      <c r="M892" s="26"/>
      <c r="N892" s="26"/>
      <c r="O892" s="26"/>
      <c r="P892" s="26"/>
    </row>
    <row r="893">
      <c r="A893" s="90"/>
      <c r="B893" s="82"/>
      <c r="C893" s="83"/>
      <c r="D893" s="82"/>
      <c r="E893" s="84"/>
      <c r="F893" s="85"/>
      <c r="G893" s="86"/>
      <c r="H893" s="84"/>
      <c r="I893" s="86"/>
      <c r="J893" s="87"/>
      <c r="K893" s="91"/>
      <c r="L893" s="89"/>
      <c r="M893" s="26"/>
      <c r="N893" s="26"/>
      <c r="O893" s="26"/>
      <c r="P893" s="26"/>
    </row>
    <row r="894">
      <c r="A894" s="90"/>
      <c r="B894" s="82"/>
      <c r="C894" s="83"/>
      <c r="D894" s="82"/>
      <c r="E894" s="84"/>
      <c r="F894" s="85"/>
      <c r="G894" s="86"/>
      <c r="H894" s="84"/>
      <c r="I894" s="86"/>
      <c r="J894" s="87"/>
      <c r="K894" s="91"/>
      <c r="L894" s="89"/>
      <c r="M894" s="26"/>
      <c r="N894" s="26"/>
      <c r="O894" s="26"/>
      <c r="P894" s="26"/>
    </row>
    <row r="895">
      <c r="A895" s="90"/>
      <c r="B895" s="82"/>
      <c r="C895" s="83"/>
      <c r="D895" s="82"/>
      <c r="E895" s="84"/>
      <c r="F895" s="85"/>
      <c r="G895" s="86"/>
      <c r="H895" s="84"/>
      <c r="I895" s="86"/>
      <c r="J895" s="87"/>
      <c r="K895" s="91"/>
      <c r="L895" s="89"/>
      <c r="M895" s="26"/>
      <c r="N895" s="26"/>
      <c r="O895" s="26"/>
      <c r="P895" s="26"/>
    </row>
    <row r="896">
      <c r="A896" s="90"/>
      <c r="B896" s="82"/>
      <c r="C896" s="83"/>
      <c r="D896" s="82"/>
      <c r="E896" s="84"/>
      <c r="F896" s="85"/>
      <c r="G896" s="86"/>
      <c r="H896" s="84"/>
      <c r="I896" s="86"/>
      <c r="J896" s="87"/>
      <c r="K896" s="91"/>
      <c r="L896" s="89"/>
      <c r="M896" s="26"/>
      <c r="N896" s="26"/>
      <c r="O896" s="26"/>
      <c r="P896" s="26"/>
    </row>
    <row r="897">
      <c r="A897" s="90"/>
      <c r="B897" s="82"/>
      <c r="C897" s="83"/>
      <c r="D897" s="82"/>
      <c r="E897" s="84"/>
      <c r="F897" s="85"/>
      <c r="G897" s="86"/>
      <c r="H897" s="84"/>
      <c r="I897" s="86"/>
      <c r="J897" s="87"/>
      <c r="K897" s="91"/>
      <c r="L897" s="89"/>
      <c r="M897" s="26"/>
      <c r="N897" s="26"/>
      <c r="O897" s="26"/>
      <c r="P897" s="26"/>
    </row>
    <row r="898">
      <c r="A898" s="90"/>
      <c r="B898" s="82"/>
      <c r="C898" s="83"/>
      <c r="D898" s="82"/>
      <c r="E898" s="84"/>
      <c r="F898" s="85"/>
      <c r="G898" s="86"/>
      <c r="H898" s="84"/>
      <c r="I898" s="86"/>
      <c r="J898" s="87"/>
      <c r="K898" s="91"/>
      <c r="L898" s="89"/>
      <c r="M898" s="26"/>
      <c r="N898" s="26"/>
      <c r="O898" s="26"/>
      <c r="P898" s="26"/>
    </row>
    <row r="899">
      <c r="A899" s="90"/>
      <c r="B899" s="82"/>
      <c r="C899" s="83"/>
      <c r="D899" s="82"/>
      <c r="E899" s="84"/>
      <c r="F899" s="85"/>
      <c r="G899" s="86"/>
      <c r="H899" s="84"/>
      <c r="I899" s="86"/>
      <c r="J899" s="87"/>
      <c r="K899" s="91"/>
      <c r="L899" s="89"/>
      <c r="M899" s="26"/>
      <c r="N899" s="26"/>
      <c r="O899" s="26"/>
      <c r="P899" s="26"/>
    </row>
    <row r="900">
      <c r="A900" s="90"/>
      <c r="B900" s="82"/>
      <c r="C900" s="83"/>
      <c r="D900" s="82"/>
      <c r="E900" s="84"/>
      <c r="F900" s="85"/>
      <c r="G900" s="86"/>
      <c r="H900" s="84"/>
      <c r="I900" s="86"/>
      <c r="J900" s="87"/>
      <c r="K900" s="91"/>
      <c r="L900" s="89"/>
      <c r="M900" s="26"/>
      <c r="N900" s="26"/>
      <c r="O900" s="26"/>
      <c r="P900" s="26"/>
    </row>
    <row r="901">
      <c r="A901" s="90"/>
      <c r="B901" s="82"/>
      <c r="C901" s="83"/>
      <c r="D901" s="82"/>
      <c r="E901" s="84"/>
      <c r="F901" s="85"/>
      <c r="G901" s="86"/>
      <c r="H901" s="84"/>
      <c r="I901" s="86"/>
      <c r="J901" s="87"/>
      <c r="K901" s="91"/>
      <c r="L901" s="89"/>
      <c r="M901" s="26"/>
      <c r="N901" s="26"/>
      <c r="O901" s="26"/>
      <c r="P901" s="26"/>
    </row>
    <row r="902">
      <c r="A902" s="90"/>
      <c r="B902" s="82"/>
      <c r="C902" s="83"/>
      <c r="D902" s="82"/>
      <c r="E902" s="84"/>
      <c r="F902" s="85"/>
      <c r="G902" s="86"/>
      <c r="H902" s="84"/>
      <c r="I902" s="86"/>
      <c r="J902" s="87"/>
      <c r="K902" s="91"/>
      <c r="L902" s="89"/>
      <c r="M902" s="26"/>
      <c r="N902" s="26"/>
      <c r="O902" s="26"/>
      <c r="P902" s="26"/>
    </row>
    <row r="903">
      <c r="A903" s="90"/>
      <c r="B903" s="82"/>
      <c r="C903" s="83"/>
      <c r="D903" s="82"/>
      <c r="E903" s="84"/>
      <c r="F903" s="85"/>
      <c r="G903" s="86"/>
      <c r="H903" s="84"/>
      <c r="I903" s="86"/>
      <c r="J903" s="87"/>
      <c r="K903" s="91"/>
      <c r="L903" s="89"/>
      <c r="M903" s="26"/>
      <c r="N903" s="26"/>
      <c r="O903" s="26"/>
      <c r="P903" s="26"/>
    </row>
    <row r="904">
      <c r="A904" s="90"/>
      <c r="B904" s="82"/>
      <c r="C904" s="83"/>
      <c r="D904" s="82"/>
      <c r="E904" s="84"/>
      <c r="F904" s="85"/>
      <c r="G904" s="86"/>
      <c r="H904" s="84"/>
      <c r="I904" s="86"/>
      <c r="J904" s="87"/>
      <c r="K904" s="91"/>
      <c r="L904" s="89"/>
      <c r="M904" s="26"/>
      <c r="N904" s="26"/>
      <c r="O904" s="26"/>
      <c r="P904" s="26"/>
    </row>
    <row r="905">
      <c r="A905" s="90"/>
      <c r="B905" s="82"/>
      <c r="C905" s="83"/>
      <c r="D905" s="82"/>
      <c r="E905" s="84"/>
      <c r="F905" s="85"/>
      <c r="G905" s="86"/>
      <c r="H905" s="84"/>
      <c r="I905" s="86"/>
      <c r="J905" s="87"/>
      <c r="K905" s="91"/>
      <c r="L905" s="89"/>
      <c r="M905" s="26"/>
      <c r="N905" s="26"/>
      <c r="O905" s="26"/>
      <c r="P905" s="26"/>
    </row>
    <row r="906">
      <c r="A906" s="90"/>
      <c r="B906" s="82"/>
      <c r="C906" s="83"/>
      <c r="D906" s="82"/>
      <c r="E906" s="84"/>
      <c r="F906" s="85"/>
      <c r="G906" s="86"/>
      <c r="H906" s="84"/>
      <c r="I906" s="86"/>
      <c r="J906" s="87"/>
      <c r="K906" s="91"/>
      <c r="L906" s="89"/>
      <c r="M906" s="26"/>
      <c r="N906" s="26"/>
      <c r="O906" s="26"/>
      <c r="P906" s="26"/>
    </row>
    <row r="907">
      <c r="A907" s="90"/>
      <c r="B907" s="82"/>
      <c r="C907" s="83"/>
      <c r="D907" s="82"/>
      <c r="E907" s="84"/>
      <c r="F907" s="85"/>
      <c r="G907" s="86"/>
      <c r="H907" s="84"/>
      <c r="I907" s="86"/>
      <c r="J907" s="87"/>
      <c r="K907" s="91"/>
      <c r="L907" s="89"/>
      <c r="M907" s="26"/>
      <c r="N907" s="26"/>
      <c r="O907" s="26"/>
      <c r="P907" s="26"/>
    </row>
    <row r="908">
      <c r="A908" s="90"/>
      <c r="B908" s="82"/>
      <c r="C908" s="83"/>
      <c r="D908" s="82"/>
      <c r="E908" s="84"/>
      <c r="F908" s="85"/>
      <c r="G908" s="86"/>
      <c r="H908" s="84"/>
      <c r="I908" s="86"/>
      <c r="J908" s="87"/>
      <c r="K908" s="91"/>
      <c r="L908" s="89"/>
      <c r="M908" s="26"/>
      <c r="N908" s="26"/>
      <c r="O908" s="26"/>
      <c r="P908" s="26"/>
    </row>
    <row r="909">
      <c r="A909" s="90"/>
      <c r="B909" s="82"/>
      <c r="C909" s="83"/>
      <c r="D909" s="82"/>
      <c r="E909" s="84"/>
      <c r="F909" s="85"/>
      <c r="G909" s="86"/>
      <c r="H909" s="84"/>
      <c r="I909" s="86"/>
      <c r="J909" s="87"/>
      <c r="K909" s="91"/>
      <c r="L909" s="89"/>
      <c r="M909" s="26"/>
      <c r="N909" s="26"/>
      <c r="O909" s="26"/>
      <c r="P909" s="26"/>
    </row>
    <row r="910">
      <c r="A910" s="90"/>
      <c r="B910" s="82"/>
      <c r="C910" s="83"/>
      <c r="D910" s="82"/>
      <c r="E910" s="84"/>
      <c r="F910" s="85"/>
      <c r="G910" s="86"/>
      <c r="H910" s="84"/>
      <c r="I910" s="86"/>
      <c r="J910" s="87"/>
      <c r="K910" s="91"/>
      <c r="L910" s="89"/>
      <c r="M910" s="26"/>
      <c r="N910" s="26"/>
      <c r="O910" s="26"/>
      <c r="P910" s="26"/>
    </row>
    <row r="911">
      <c r="A911" s="90"/>
      <c r="B911" s="82"/>
      <c r="C911" s="83"/>
      <c r="D911" s="82"/>
      <c r="E911" s="84"/>
      <c r="F911" s="85"/>
      <c r="G911" s="86"/>
      <c r="H911" s="84"/>
      <c r="I911" s="86"/>
      <c r="J911" s="87"/>
      <c r="K911" s="91"/>
      <c r="L911" s="89"/>
      <c r="M911" s="26"/>
      <c r="N911" s="26"/>
      <c r="O911" s="26"/>
      <c r="P911" s="26"/>
    </row>
    <row r="912">
      <c r="A912" s="90"/>
      <c r="B912" s="82"/>
      <c r="C912" s="83"/>
      <c r="D912" s="82"/>
      <c r="E912" s="84"/>
      <c r="F912" s="85"/>
      <c r="G912" s="86"/>
      <c r="H912" s="84"/>
      <c r="I912" s="86"/>
      <c r="J912" s="87"/>
      <c r="K912" s="91"/>
      <c r="L912" s="89"/>
      <c r="M912" s="26"/>
      <c r="N912" s="26"/>
      <c r="O912" s="26"/>
      <c r="P912" s="26"/>
    </row>
    <row r="913">
      <c r="A913" s="90"/>
      <c r="B913" s="82"/>
      <c r="C913" s="83"/>
      <c r="D913" s="82"/>
      <c r="E913" s="84"/>
      <c r="F913" s="85"/>
      <c r="G913" s="86"/>
      <c r="H913" s="84"/>
      <c r="I913" s="86"/>
      <c r="J913" s="87"/>
      <c r="K913" s="91"/>
      <c r="L913" s="89"/>
      <c r="M913" s="26"/>
      <c r="N913" s="26"/>
      <c r="O913" s="26"/>
      <c r="P913" s="26"/>
    </row>
    <row r="914">
      <c r="A914" s="90"/>
      <c r="B914" s="82"/>
      <c r="C914" s="83"/>
      <c r="D914" s="82"/>
      <c r="E914" s="84"/>
      <c r="F914" s="85"/>
      <c r="G914" s="86"/>
      <c r="H914" s="84"/>
      <c r="I914" s="86"/>
      <c r="J914" s="87"/>
      <c r="K914" s="91"/>
      <c r="L914" s="89"/>
      <c r="M914" s="26"/>
      <c r="N914" s="26"/>
      <c r="O914" s="26"/>
      <c r="P914" s="26"/>
    </row>
    <row r="915">
      <c r="A915" s="90"/>
      <c r="B915" s="82"/>
      <c r="C915" s="83"/>
      <c r="D915" s="82"/>
      <c r="E915" s="84"/>
      <c r="F915" s="85"/>
      <c r="G915" s="86"/>
      <c r="H915" s="84"/>
      <c r="I915" s="86"/>
      <c r="J915" s="87"/>
      <c r="K915" s="91"/>
      <c r="L915" s="89"/>
      <c r="M915" s="26"/>
      <c r="N915" s="26"/>
      <c r="O915" s="26"/>
      <c r="P915" s="26"/>
    </row>
    <row r="916">
      <c r="A916" s="90"/>
      <c r="B916" s="82"/>
      <c r="C916" s="83"/>
      <c r="D916" s="82"/>
      <c r="E916" s="84"/>
      <c r="F916" s="85"/>
      <c r="G916" s="86"/>
      <c r="H916" s="84"/>
      <c r="I916" s="86"/>
      <c r="J916" s="87"/>
      <c r="K916" s="91"/>
      <c r="L916" s="89"/>
      <c r="M916" s="26"/>
      <c r="N916" s="26"/>
      <c r="O916" s="26"/>
      <c r="P916" s="26"/>
    </row>
    <row r="917">
      <c r="A917" s="90"/>
      <c r="B917" s="82"/>
      <c r="C917" s="83"/>
      <c r="D917" s="82"/>
      <c r="E917" s="84"/>
      <c r="F917" s="85"/>
      <c r="G917" s="86"/>
      <c r="H917" s="84"/>
      <c r="I917" s="86"/>
      <c r="J917" s="87"/>
      <c r="K917" s="91"/>
      <c r="L917" s="89"/>
      <c r="M917" s="26"/>
      <c r="N917" s="26"/>
      <c r="O917" s="26"/>
      <c r="P917" s="26"/>
    </row>
    <row r="918">
      <c r="A918" s="90"/>
      <c r="B918" s="82"/>
      <c r="C918" s="83"/>
      <c r="D918" s="82"/>
      <c r="E918" s="84"/>
      <c r="F918" s="85"/>
      <c r="G918" s="86"/>
      <c r="H918" s="84"/>
      <c r="I918" s="86"/>
      <c r="J918" s="87"/>
      <c r="K918" s="91"/>
      <c r="L918" s="89"/>
      <c r="M918" s="26"/>
      <c r="N918" s="26"/>
      <c r="O918" s="26"/>
      <c r="P918" s="26"/>
    </row>
    <row r="919">
      <c r="A919" s="90"/>
      <c r="B919" s="82"/>
      <c r="C919" s="83"/>
      <c r="D919" s="82"/>
      <c r="E919" s="84"/>
      <c r="F919" s="85"/>
      <c r="G919" s="86"/>
      <c r="H919" s="84"/>
      <c r="I919" s="86"/>
      <c r="J919" s="87"/>
      <c r="K919" s="91"/>
      <c r="L919" s="89"/>
      <c r="M919" s="26"/>
      <c r="N919" s="26"/>
      <c r="O919" s="26"/>
      <c r="P919" s="26"/>
    </row>
    <row r="920">
      <c r="A920" s="90"/>
      <c r="B920" s="82"/>
      <c r="C920" s="83"/>
      <c r="D920" s="82"/>
      <c r="E920" s="84"/>
      <c r="F920" s="85"/>
      <c r="G920" s="86"/>
      <c r="H920" s="84"/>
      <c r="I920" s="86"/>
      <c r="J920" s="87"/>
      <c r="K920" s="91"/>
      <c r="L920" s="89"/>
      <c r="M920" s="26"/>
      <c r="N920" s="26"/>
      <c r="O920" s="26"/>
      <c r="P920" s="26"/>
    </row>
    <row r="921">
      <c r="A921" s="90"/>
      <c r="B921" s="82"/>
      <c r="C921" s="83"/>
      <c r="D921" s="82"/>
      <c r="E921" s="84"/>
      <c r="F921" s="85"/>
      <c r="G921" s="86"/>
      <c r="H921" s="84"/>
      <c r="I921" s="86"/>
      <c r="J921" s="87"/>
      <c r="K921" s="91"/>
      <c r="L921" s="89"/>
      <c r="M921" s="26"/>
      <c r="N921" s="26"/>
      <c r="O921" s="26"/>
      <c r="P921" s="26"/>
    </row>
    <row r="922">
      <c r="A922" s="90"/>
      <c r="B922" s="82"/>
      <c r="C922" s="83"/>
      <c r="D922" s="82"/>
      <c r="E922" s="84"/>
      <c r="F922" s="85"/>
      <c r="G922" s="86"/>
      <c r="H922" s="84"/>
      <c r="I922" s="86"/>
      <c r="J922" s="87"/>
      <c r="K922" s="91"/>
      <c r="L922" s="89"/>
      <c r="M922" s="26"/>
      <c r="N922" s="26"/>
      <c r="O922" s="26"/>
      <c r="P922" s="26"/>
    </row>
    <row r="923">
      <c r="A923" s="90"/>
      <c r="B923" s="82"/>
      <c r="C923" s="83"/>
      <c r="D923" s="82"/>
      <c r="E923" s="84"/>
      <c r="F923" s="85"/>
      <c r="G923" s="86"/>
      <c r="H923" s="84"/>
      <c r="I923" s="86"/>
      <c r="J923" s="87"/>
      <c r="K923" s="91"/>
      <c r="L923" s="89"/>
      <c r="M923" s="26"/>
      <c r="N923" s="26"/>
      <c r="O923" s="26"/>
      <c r="P923" s="26"/>
    </row>
    <row r="924">
      <c r="A924" s="90"/>
      <c r="B924" s="82"/>
      <c r="C924" s="83"/>
      <c r="D924" s="82"/>
      <c r="E924" s="84"/>
      <c r="F924" s="85"/>
      <c r="G924" s="86"/>
      <c r="H924" s="84"/>
      <c r="I924" s="86"/>
      <c r="J924" s="87"/>
      <c r="K924" s="91"/>
      <c r="L924" s="89"/>
      <c r="M924" s="26"/>
      <c r="N924" s="26"/>
      <c r="O924" s="26"/>
      <c r="P924" s="26"/>
    </row>
    <row r="925">
      <c r="A925" s="90"/>
      <c r="B925" s="82"/>
      <c r="C925" s="83"/>
      <c r="D925" s="82"/>
      <c r="E925" s="84"/>
      <c r="F925" s="85"/>
      <c r="G925" s="86"/>
      <c r="H925" s="84"/>
      <c r="I925" s="86"/>
      <c r="J925" s="87"/>
      <c r="K925" s="91"/>
      <c r="L925" s="89"/>
      <c r="M925" s="26"/>
      <c r="N925" s="26"/>
      <c r="O925" s="26"/>
      <c r="P925" s="26"/>
    </row>
    <row r="926">
      <c r="A926" s="90"/>
      <c r="B926" s="82"/>
      <c r="C926" s="83"/>
      <c r="D926" s="82"/>
      <c r="E926" s="84"/>
      <c r="F926" s="85"/>
      <c r="G926" s="86"/>
      <c r="H926" s="84"/>
      <c r="I926" s="86"/>
      <c r="J926" s="87"/>
      <c r="K926" s="91"/>
      <c r="L926" s="89"/>
      <c r="M926" s="26"/>
      <c r="N926" s="26"/>
      <c r="O926" s="26"/>
      <c r="P926" s="26"/>
    </row>
    <row r="927">
      <c r="A927" s="90"/>
      <c r="B927" s="82"/>
      <c r="C927" s="83"/>
      <c r="D927" s="82"/>
      <c r="E927" s="84"/>
      <c r="F927" s="85"/>
      <c r="G927" s="86"/>
      <c r="H927" s="84"/>
      <c r="I927" s="86"/>
      <c r="J927" s="87"/>
      <c r="K927" s="91"/>
      <c r="L927" s="89"/>
      <c r="M927" s="26"/>
      <c r="N927" s="26"/>
      <c r="O927" s="26"/>
      <c r="P927" s="26"/>
    </row>
    <row r="928">
      <c r="A928" s="90"/>
      <c r="B928" s="82"/>
      <c r="C928" s="83"/>
      <c r="D928" s="82"/>
      <c r="E928" s="84"/>
      <c r="F928" s="85"/>
      <c r="G928" s="86"/>
      <c r="H928" s="84"/>
      <c r="I928" s="86"/>
      <c r="J928" s="87"/>
      <c r="K928" s="91"/>
      <c r="L928" s="89"/>
      <c r="M928" s="26"/>
      <c r="N928" s="26"/>
      <c r="O928" s="26"/>
      <c r="P928" s="26"/>
    </row>
    <row r="929">
      <c r="A929" s="90"/>
      <c r="B929" s="82"/>
      <c r="C929" s="83"/>
      <c r="D929" s="82"/>
      <c r="E929" s="84"/>
      <c r="F929" s="85"/>
      <c r="G929" s="86"/>
      <c r="H929" s="84"/>
      <c r="I929" s="86"/>
      <c r="J929" s="87"/>
      <c r="K929" s="91"/>
      <c r="L929" s="89"/>
      <c r="M929" s="26"/>
      <c r="N929" s="26"/>
      <c r="O929" s="26"/>
      <c r="P929" s="26"/>
    </row>
    <row r="930">
      <c r="A930" s="90"/>
      <c r="B930" s="82"/>
      <c r="C930" s="83"/>
      <c r="D930" s="82"/>
      <c r="E930" s="84"/>
      <c r="F930" s="85"/>
      <c r="G930" s="86"/>
      <c r="H930" s="84"/>
      <c r="I930" s="86"/>
      <c r="J930" s="87"/>
      <c r="K930" s="91"/>
      <c r="L930" s="89"/>
      <c r="M930" s="26"/>
      <c r="N930" s="26"/>
      <c r="O930" s="26"/>
      <c r="P930" s="26"/>
    </row>
    <row r="931">
      <c r="A931" s="90"/>
      <c r="B931" s="82"/>
      <c r="C931" s="83"/>
      <c r="D931" s="82"/>
      <c r="E931" s="84"/>
      <c r="F931" s="85"/>
      <c r="G931" s="86"/>
      <c r="H931" s="84"/>
      <c r="I931" s="86"/>
      <c r="J931" s="87"/>
      <c r="K931" s="91"/>
      <c r="L931" s="89"/>
      <c r="M931" s="26"/>
      <c r="N931" s="26"/>
      <c r="O931" s="26"/>
      <c r="P931" s="26"/>
    </row>
    <row r="932">
      <c r="A932" s="90"/>
      <c r="B932" s="82"/>
      <c r="C932" s="83"/>
      <c r="D932" s="82"/>
      <c r="E932" s="84"/>
      <c r="F932" s="85"/>
      <c r="G932" s="86"/>
      <c r="H932" s="84"/>
      <c r="I932" s="86"/>
      <c r="J932" s="87"/>
      <c r="K932" s="91"/>
      <c r="L932" s="89"/>
      <c r="M932" s="26"/>
      <c r="N932" s="26"/>
      <c r="O932" s="26"/>
      <c r="P932" s="26"/>
    </row>
    <row r="933">
      <c r="A933" s="90"/>
      <c r="B933" s="82"/>
      <c r="C933" s="83"/>
      <c r="D933" s="82"/>
      <c r="E933" s="84"/>
      <c r="F933" s="85"/>
      <c r="G933" s="86"/>
      <c r="H933" s="84"/>
      <c r="I933" s="86"/>
      <c r="J933" s="87"/>
      <c r="K933" s="91"/>
      <c r="L933" s="89"/>
      <c r="M933" s="26"/>
      <c r="N933" s="26"/>
      <c r="O933" s="26"/>
      <c r="P933" s="26"/>
    </row>
    <row r="934">
      <c r="A934" s="90"/>
      <c r="B934" s="82"/>
      <c r="C934" s="83"/>
      <c r="D934" s="82"/>
      <c r="E934" s="84"/>
      <c r="F934" s="85"/>
      <c r="G934" s="86"/>
      <c r="H934" s="84"/>
      <c r="I934" s="86"/>
      <c r="J934" s="87"/>
      <c r="K934" s="91"/>
      <c r="L934" s="89"/>
      <c r="M934" s="26"/>
      <c r="N934" s="26"/>
      <c r="O934" s="26"/>
      <c r="P934" s="26"/>
    </row>
    <row r="935">
      <c r="A935" s="90"/>
      <c r="B935" s="82"/>
      <c r="C935" s="83"/>
      <c r="D935" s="82"/>
      <c r="E935" s="84"/>
      <c r="F935" s="85"/>
      <c r="G935" s="86"/>
      <c r="H935" s="84"/>
      <c r="I935" s="86"/>
      <c r="J935" s="87"/>
      <c r="K935" s="91"/>
      <c r="L935" s="89"/>
      <c r="M935" s="26"/>
      <c r="N935" s="26"/>
      <c r="O935" s="26"/>
      <c r="P935" s="26"/>
    </row>
    <row r="936">
      <c r="A936" s="90"/>
      <c r="B936" s="82"/>
      <c r="C936" s="83"/>
      <c r="D936" s="82"/>
      <c r="E936" s="84"/>
      <c r="F936" s="85"/>
      <c r="G936" s="86"/>
      <c r="H936" s="84"/>
      <c r="I936" s="86"/>
      <c r="J936" s="87"/>
      <c r="K936" s="91"/>
      <c r="L936" s="89"/>
      <c r="M936" s="26"/>
      <c r="N936" s="26"/>
      <c r="O936" s="26"/>
      <c r="P936" s="26"/>
    </row>
    <row r="937">
      <c r="A937" s="90"/>
      <c r="B937" s="82"/>
      <c r="C937" s="83"/>
      <c r="D937" s="82"/>
      <c r="E937" s="84"/>
      <c r="F937" s="85"/>
      <c r="G937" s="86"/>
      <c r="H937" s="84"/>
      <c r="I937" s="86"/>
      <c r="J937" s="87"/>
      <c r="K937" s="91"/>
      <c r="L937" s="89"/>
      <c r="M937" s="26"/>
      <c r="N937" s="26"/>
      <c r="O937" s="26"/>
      <c r="P937" s="26"/>
    </row>
    <row r="938">
      <c r="A938" s="90"/>
      <c r="B938" s="82"/>
      <c r="C938" s="83"/>
      <c r="D938" s="82"/>
      <c r="E938" s="84"/>
      <c r="F938" s="85"/>
      <c r="G938" s="86"/>
      <c r="H938" s="84"/>
      <c r="I938" s="86"/>
      <c r="J938" s="87"/>
      <c r="K938" s="91"/>
      <c r="L938" s="89"/>
      <c r="M938" s="26"/>
      <c r="N938" s="26"/>
      <c r="O938" s="26"/>
      <c r="P938" s="26"/>
    </row>
    <row r="939">
      <c r="A939" s="90"/>
      <c r="B939" s="82"/>
      <c r="C939" s="83"/>
      <c r="D939" s="82"/>
      <c r="E939" s="84"/>
      <c r="F939" s="85"/>
      <c r="G939" s="86"/>
      <c r="H939" s="84"/>
      <c r="I939" s="86"/>
      <c r="J939" s="87"/>
      <c r="K939" s="91"/>
      <c r="L939" s="89"/>
      <c r="M939" s="26"/>
      <c r="N939" s="26"/>
      <c r="O939" s="26"/>
      <c r="P939" s="26"/>
    </row>
    <row r="940">
      <c r="A940" s="90"/>
      <c r="B940" s="82"/>
      <c r="C940" s="83"/>
      <c r="D940" s="82"/>
      <c r="E940" s="84"/>
      <c r="F940" s="85"/>
      <c r="G940" s="86"/>
      <c r="H940" s="84"/>
      <c r="I940" s="86"/>
      <c r="J940" s="87"/>
      <c r="K940" s="91"/>
      <c r="L940" s="89"/>
      <c r="M940" s="26"/>
      <c r="N940" s="26"/>
      <c r="O940" s="26"/>
      <c r="P940" s="26"/>
    </row>
    <row r="941">
      <c r="A941" s="90"/>
      <c r="B941" s="82"/>
      <c r="C941" s="83"/>
      <c r="D941" s="82"/>
      <c r="E941" s="84"/>
      <c r="F941" s="85"/>
      <c r="G941" s="86"/>
      <c r="H941" s="84"/>
      <c r="I941" s="86"/>
      <c r="J941" s="87"/>
      <c r="K941" s="91"/>
      <c r="L941" s="89"/>
      <c r="M941" s="26"/>
      <c r="N941" s="26"/>
      <c r="O941" s="26"/>
      <c r="P941" s="26"/>
    </row>
    <row r="942">
      <c r="A942" s="90"/>
      <c r="B942" s="82"/>
      <c r="C942" s="83"/>
      <c r="D942" s="82"/>
      <c r="E942" s="84"/>
      <c r="F942" s="85"/>
      <c r="G942" s="86"/>
      <c r="H942" s="84"/>
      <c r="I942" s="86"/>
      <c r="J942" s="87"/>
      <c r="K942" s="91"/>
      <c r="L942" s="89"/>
      <c r="M942" s="26"/>
      <c r="N942" s="26"/>
      <c r="O942" s="26"/>
      <c r="P942" s="26"/>
    </row>
    <row r="943">
      <c r="A943" s="90"/>
      <c r="B943" s="82"/>
      <c r="C943" s="83"/>
      <c r="D943" s="82"/>
      <c r="E943" s="84"/>
      <c r="F943" s="85"/>
      <c r="G943" s="86"/>
      <c r="H943" s="84"/>
      <c r="I943" s="86"/>
      <c r="J943" s="87"/>
      <c r="K943" s="91"/>
      <c r="L943" s="89"/>
      <c r="M943" s="26"/>
      <c r="N943" s="26"/>
      <c r="O943" s="26"/>
      <c r="P943" s="26"/>
    </row>
    <row r="944">
      <c r="A944" s="90"/>
      <c r="B944" s="82"/>
      <c r="C944" s="83"/>
      <c r="D944" s="82"/>
      <c r="E944" s="84"/>
      <c r="F944" s="85"/>
      <c r="G944" s="86"/>
      <c r="H944" s="84"/>
      <c r="I944" s="86"/>
      <c r="J944" s="87"/>
      <c r="K944" s="91"/>
      <c r="L944" s="89"/>
      <c r="M944" s="26"/>
      <c r="N944" s="26"/>
      <c r="O944" s="26"/>
      <c r="P944" s="26"/>
    </row>
    <row r="945">
      <c r="A945" s="90"/>
      <c r="B945" s="82"/>
      <c r="C945" s="83"/>
      <c r="D945" s="82"/>
      <c r="E945" s="84"/>
      <c r="F945" s="85"/>
      <c r="G945" s="86"/>
      <c r="H945" s="84"/>
      <c r="I945" s="86"/>
      <c r="J945" s="87"/>
      <c r="K945" s="91"/>
      <c r="L945" s="89"/>
      <c r="M945" s="26"/>
      <c r="N945" s="26"/>
      <c r="O945" s="26"/>
      <c r="P945" s="26"/>
    </row>
    <row r="946">
      <c r="A946" s="90"/>
      <c r="B946" s="82"/>
      <c r="C946" s="83"/>
      <c r="D946" s="82"/>
      <c r="E946" s="84"/>
      <c r="F946" s="85"/>
      <c r="G946" s="86"/>
      <c r="H946" s="84"/>
      <c r="I946" s="86"/>
      <c r="J946" s="87"/>
      <c r="K946" s="91"/>
      <c r="L946" s="89"/>
      <c r="M946" s="26"/>
      <c r="N946" s="26"/>
      <c r="O946" s="26"/>
      <c r="P946" s="26"/>
    </row>
    <row r="947">
      <c r="A947" s="90"/>
      <c r="B947" s="82"/>
      <c r="C947" s="83"/>
      <c r="D947" s="82"/>
      <c r="E947" s="84"/>
      <c r="F947" s="85"/>
      <c r="G947" s="86"/>
      <c r="H947" s="84"/>
      <c r="I947" s="86"/>
      <c r="J947" s="87"/>
      <c r="K947" s="91"/>
      <c r="L947" s="89"/>
      <c r="M947" s="26"/>
      <c r="N947" s="26"/>
      <c r="O947" s="26"/>
      <c r="P947" s="26"/>
    </row>
    <row r="948">
      <c r="A948" s="90"/>
      <c r="B948" s="82"/>
      <c r="C948" s="83"/>
      <c r="D948" s="82"/>
      <c r="E948" s="84"/>
      <c r="F948" s="85"/>
      <c r="G948" s="86"/>
      <c r="H948" s="84"/>
      <c r="I948" s="86"/>
      <c r="J948" s="87"/>
      <c r="K948" s="91"/>
      <c r="L948" s="89"/>
      <c r="M948" s="26"/>
      <c r="N948" s="26"/>
      <c r="O948" s="26"/>
      <c r="P948" s="26"/>
    </row>
    <row r="949">
      <c r="A949" s="90"/>
      <c r="B949" s="82"/>
      <c r="C949" s="83"/>
      <c r="D949" s="82"/>
      <c r="E949" s="84"/>
      <c r="F949" s="85"/>
      <c r="G949" s="86"/>
      <c r="H949" s="84"/>
      <c r="I949" s="86"/>
      <c r="J949" s="87"/>
      <c r="K949" s="91"/>
      <c r="L949" s="89"/>
      <c r="M949" s="26"/>
      <c r="N949" s="26"/>
      <c r="O949" s="26"/>
      <c r="P949" s="26"/>
    </row>
    <row r="950">
      <c r="A950" s="90"/>
      <c r="B950" s="82"/>
      <c r="C950" s="83"/>
      <c r="D950" s="82"/>
      <c r="E950" s="84"/>
      <c r="F950" s="85"/>
      <c r="G950" s="86"/>
      <c r="H950" s="84"/>
      <c r="I950" s="86"/>
      <c r="J950" s="87"/>
      <c r="K950" s="91"/>
      <c r="L950" s="89"/>
      <c r="M950" s="26"/>
      <c r="N950" s="26"/>
      <c r="O950" s="26"/>
      <c r="P950" s="26"/>
    </row>
    <row r="951">
      <c r="A951" s="90"/>
      <c r="B951" s="82"/>
      <c r="C951" s="83"/>
      <c r="D951" s="82"/>
      <c r="E951" s="84"/>
      <c r="F951" s="85"/>
      <c r="G951" s="86"/>
      <c r="H951" s="84"/>
      <c r="I951" s="86"/>
      <c r="J951" s="87"/>
      <c r="K951" s="91"/>
      <c r="L951" s="89"/>
      <c r="M951" s="26"/>
      <c r="N951" s="26"/>
      <c r="O951" s="26"/>
      <c r="P951" s="26"/>
    </row>
    <row r="952">
      <c r="A952" s="90"/>
      <c r="B952" s="82"/>
      <c r="C952" s="83"/>
      <c r="D952" s="82"/>
      <c r="E952" s="84"/>
      <c r="F952" s="85"/>
      <c r="G952" s="86"/>
      <c r="H952" s="84"/>
      <c r="I952" s="86"/>
      <c r="J952" s="87"/>
      <c r="K952" s="91"/>
      <c r="L952" s="89"/>
      <c r="M952" s="26"/>
      <c r="N952" s="26"/>
      <c r="O952" s="26"/>
      <c r="P952" s="26"/>
    </row>
    <row r="953">
      <c r="A953" s="90"/>
      <c r="B953" s="82"/>
      <c r="C953" s="83"/>
      <c r="D953" s="82"/>
      <c r="E953" s="84"/>
      <c r="F953" s="85"/>
      <c r="G953" s="86"/>
      <c r="H953" s="84"/>
      <c r="I953" s="86"/>
      <c r="J953" s="87"/>
      <c r="K953" s="91"/>
      <c r="L953" s="89"/>
      <c r="M953" s="26"/>
      <c r="N953" s="26"/>
      <c r="O953" s="26"/>
      <c r="P953" s="26"/>
    </row>
    <row r="954">
      <c r="A954" s="90"/>
      <c r="B954" s="82"/>
      <c r="C954" s="83"/>
      <c r="D954" s="82"/>
      <c r="E954" s="84"/>
      <c r="F954" s="85"/>
      <c r="G954" s="86"/>
      <c r="H954" s="84"/>
      <c r="I954" s="86"/>
      <c r="J954" s="87"/>
      <c r="K954" s="91"/>
      <c r="L954" s="89"/>
      <c r="M954" s="26"/>
      <c r="N954" s="26"/>
      <c r="O954" s="26"/>
      <c r="P954" s="26"/>
    </row>
    <row r="955">
      <c r="A955" s="90"/>
      <c r="B955" s="82"/>
      <c r="C955" s="83"/>
      <c r="D955" s="82"/>
      <c r="E955" s="84"/>
      <c r="F955" s="85"/>
      <c r="G955" s="86"/>
      <c r="H955" s="84"/>
      <c r="I955" s="86"/>
      <c r="J955" s="87"/>
      <c r="K955" s="91"/>
      <c r="L955" s="89"/>
      <c r="M955" s="26"/>
      <c r="N955" s="26"/>
      <c r="O955" s="26"/>
      <c r="P955" s="26"/>
    </row>
    <row r="956">
      <c r="A956" s="90"/>
      <c r="B956" s="82"/>
      <c r="C956" s="83"/>
      <c r="D956" s="82"/>
      <c r="E956" s="84"/>
      <c r="F956" s="85"/>
      <c r="G956" s="86"/>
      <c r="H956" s="84"/>
      <c r="I956" s="86"/>
      <c r="J956" s="87"/>
      <c r="K956" s="91"/>
      <c r="L956" s="89"/>
      <c r="M956" s="26"/>
      <c r="N956" s="26"/>
      <c r="O956" s="26"/>
      <c r="P956" s="26"/>
    </row>
    <row r="957">
      <c r="A957" s="90"/>
      <c r="B957" s="82"/>
      <c r="C957" s="83"/>
      <c r="D957" s="82"/>
      <c r="E957" s="84"/>
      <c r="F957" s="85"/>
      <c r="G957" s="86"/>
      <c r="H957" s="84"/>
      <c r="I957" s="86"/>
      <c r="J957" s="87"/>
      <c r="K957" s="91"/>
      <c r="L957" s="89"/>
      <c r="M957" s="26"/>
      <c r="N957" s="26"/>
      <c r="O957" s="26"/>
      <c r="P957" s="26"/>
    </row>
    <row r="958">
      <c r="A958" s="90"/>
      <c r="B958" s="82"/>
      <c r="C958" s="83"/>
      <c r="D958" s="82"/>
      <c r="E958" s="84"/>
      <c r="F958" s="85"/>
      <c r="G958" s="86"/>
      <c r="H958" s="84"/>
      <c r="I958" s="86"/>
      <c r="J958" s="87"/>
      <c r="K958" s="91"/>
      <c r="L958" s="89"/>
      <c r="M958" s="26"/>
      <c r="N958" s="26"/>
      <c r="O958" s="26"/>
      <c r="P958" s="26"/>
    </row>
    <row r="959">
      <c r="A959" s="90"/>
      <c r="B959" s="82"/>
      <c r="C959" s="83"/>
      <c r="D959" s="82"/>
      <c r="E959" s="84"/>
      <c r="F959" s="85"/>
      <c r="G959" s="86"/>
      <c r="H959" s="84"/>
      <c r="I959" s="86"/>
      <c r="J959" s="87"/>
      <c r="K959" s="91"/>
      <c r="L959" s="89"/>
      <c r="M959" s="26"/>
      <c r="N959" s="26"/>
      <c r="O959" s="26"/>
      <c r="P959" s="26"/>
    </row>
    <row r="960">
      <c r="A960" s="90"/>
      <c r="B960" s="82"/>
      <c r="C960" s="83"/>
      <c r="D960" s="82"/>
      <c r="E960" s="84"/>
      <c r="F960" s="85"/>
      <c r="G960" s="86"/>
      <c r="H960" s="84"/>
      <c r="I960" s="86"/>
      <c r="J960" s="87"/>
      <c r="K960" s="91"/>
      <c r="L960" s="89"/>
      <c r="M960" s="26"/>
      <c r="N960" s="26"/>
      <c r="O960" s="26"/>
      <c r="P960" s="26"/>
    </row>
    <row r="961">
      <c r="A961" s="90"/>
      <c r="B961" s="82"/>
      <c r="C961" s="83"/>
      <c r="D961" s="82"/>
      <c r="E961" s="84"/>
      <c r="F961" s="85"/>
      <c r="G961" s="86"/>
      <c r="H961" s="84"/>
      <c r="I961" s="86"/>
      <c r="J961" s="87"/>
      <c r="K961" s="91"/>
      <c r="L961" s="89"/>
      <c r="M961" s="26"/>
      <c r="N961" s="26"/>
      <c r="O961" s="26"/>
      <c r="P961" s="26"/>
    </row>
    <row r="962">
      <c r="A962" s="90"/>
      <c r="B962" s="82"/>
      <c r="C962" s="83"/>
      <c r="D962" s="82"/>
      <c r="E962" s="84"/>
      <c r="F962" s="85"/>
      <c r="G962" s="86"/>
      <c r="H962" s="84"/>
      <c r="I962" s="86"/>
      <c r="J962" s="87"/>
      <c r="K962" s="91"/>
      <c r="L962" s="89"/>
      <c r="M962" s="26"/>
      <c r="N962" s="26"/>
      <c r="O962" s="26"/>
      <c r="P962" s="26"/>
    </row>
    <row r="963">
      <c r="A963" s="90"/>
      <c r="B963" s="82"/>
      <c r="C963" s="83"/>
      <c r="D963" s="82"/>
      <c r="E963" s="84"/>
      <c r="F963" s="85"/>
      <c r="G963" s="86"/>
      <c r="H963" s="84"/>
      <c r="I963" s="86"/>
      <c r="J963" s="87"/>
      <c r="K963" s="91"/>
      <c r="L963" s="89"/>
      <c r="M963" s="26"/>
      <c r="N963" s="26"/>
      <c r="O963" s="26"/>
      <c r="P963" s="26"/>
    </row>
    <row r="964">
      <c r="A964" s="90"/>
      <c r="B964" s="82"/>
      <c r="C964" s="83"/>
      <c r="D964" s="82"/>
      <c r="E964" s="84"/>
      <c r="F964" s="85"/>
      <c r="G964" s="86"/>
      <c r="H964" s="84"/>
      <c r="I964" s="86"/>
      <c r="J964" s="87"/>
      <c r="K964" s="91"/>
      <c r="L964" s="89"/>
      <c r="M964" s="26"/>
      <c r="N964" s="26"/>
      <c r="O964" s="26"/>
      <c r="P964" s="26"/>
    </row>
    <row r="965">
      <c r="A965" s="90"/>
      <c r="B965" s="82"/>
      <c r="C965" s="83"/>
      <c r="D965" s="82"/>
      <c r="E965" s="84"/>
      <c r="F965" s="85"/>
      <c r="G965" s="86"/>
      <c r="H965" s="84"/>
      <c r="I965" s="86"/>
      <c r="J965" s="87"/>
      <c r="K965" s="91"/>
      <c r="L965" s="89"/>
      <c r="M965" s="26"/>
      <c r="N965" s="26"/>
      <c r="O965" s="26"/>
      <c r="P965" s="26"/>
    </row>
    <row r="966">
      <c r="A966" s="90"/>
      <c r="B966" s="82"/>
      <c r="C966" s="83"/>
      <c r="D966" s="82"/>
      <c r="E966" s="84"/>
      <c r="F966" s="85"/>
      <c r="G966" s="86"/>
      <c r="H966" s="84"/>
      <c r="I966" s="86"/>
      <c r="J966" s="87"/>
      <c r="K966" s="91"/>
      <c r="L966" s="89"/>
      <c r="M966" s="26"/>
      <c r="N966" s="26"/>
      <c r="O966" s="26"/>
      <c r="P966" s="26"/>
    </row>
    <row r="967">
      <c r="A967" s="90"/>
      <c r="B967" s="82"/>
      <c r="C967" s="83"/>
      <c r="D967" s="82"/>
      <c r="E967" s="84"/>
      <c r="F967" s="85"/>
      <c r="G967" s="86"/>
      <c r="H967" s="84"/>
      <c r="I967" s="86"/>
      <c r="J967" s="87"/>
      <c r="K967" s="91"/>
      <c r="L967" s="89"/>
      <c r="M967" s="26"/>
      <c r="N967" s="26"/>
      <c r="O967" s="26"/>
      <c r="P967" s="26"/>
    </row>
    <row r="968">
      <c r="A968" s="90"/>
      <c r="B968" s="82"/>
      <c r="C968" s="83"/>
      <c r="D968" s="82"/>
      <c r="E968" s="84"/>
      <c r="F968" s="85"/>
      <c r="G968" s="86"/>
      <c r="H968" s="84"/>
      <c r="I968" s="86"/>
      <c r="J968" s="87"/>
      <c r="K968" s="91"/>
      <c r="L968" s="89"/>
      <c r="M968" s="26"/>
      <c r="N968" s="26"/>
      <c r="O968" s="26"/>
      <c r="P968" s="26"/>
    </row>
    <row r="969">
      <c r="A969" s="90"/>
      <c r="B969" s="82"/>
      <c r="C969" s="83"/>
      <c r="D969" s="82"/>
      <c r="E969" s="84"/>
      <c r="F969" s="85"/>
      <c r="G969" s="86"/>
      <c r="H969" s="84"/>
      <c r="I969" s="86"/>
      <c r="J969" s="87"/>
      <c r="K969" s="91"/>
      <c r="L969" s="89"/>
      <c r="M969" s="26"/>
      <c r="N969" s="26"/>
      <c r="O969" s="26"/>
      <c r="P969" s="26"/>
    </row>
    <row r="970">
      <c r="A970" s="90"/>
      <c r="B970" s="82"/>
      <c r="C970" s="83"/>
      <c r="D970" s="82"/>
      <c r="E970" s="84"/>
      <c r="F970" s="85"/>
      <c r="G970" s="86"/>
      <c r="H970" s="84"/>
      <c r="I970" s="86"/>
      <c r="J970" s="87"/>
      <c r="K970" s="91"/>
      <c r="L970" s="89"/>
      <c r="M970" s="26"/>
      <c r="N970" s="26"/>
      <c r="O970" s="26"/>
      <c r="P970" s="26"/>
    </row>
    <row r="971">
      <c r="A971" s="90"/>
      <c r="B971" s="82"/>
      <c r="C971" s="83"/>
      <c r="D971" s="82"/>
      <c r="E971" s="84"/>
      <c r="F971" s="85"/>
      <c r="G971" s="86"/>
      <c r="H971" s="84"/>
      <c r="I971" s="86"/>
      <c r="J971" s="87"/>
      <c r="K971" s="91"/>
      <c r="L971" s="89"/>
      <c r="M971" s="26"/>
      <c r="N971" s="26"/>
      <c r="O971" s="26"/>
      <c r="P971" s="26"/>
    </row>
    <row r="972">
      <c r="A972" s="90"/>
      <c r="B972" s="82"/>
      <c r="C972" s="83"/>
      <c r="D972" s="82"/>
      <c r="E972" s="84"/>
      <c r="F972" s="85"/>
      <c r="G972" s="86"/>
      <c r="H972" s="84"/>
      <c r="I972" s="86"/>
      <c r="J972" s="87"/>
      <c r="K972" s="91"/>
      <c r="L972" s="89"/>
      <c r="M972" s="26"/>
      <c r="N972" s="26"/>
      <c r="O972" s="26"/>
      <c r="P972" s="26"/>
    </row>
    <row r="973">
      <c r="A973" s="90"/>
      <c r="B973" s="82"/>
      <c r="C973" s="83"/>
      <c r="D973" s="82"/>
      <c r="E973" s="84"/>
      <c r="F973" s="85"/>
      <c r="G973" s="86"/>
      <c r="H973" s="84"/>
      <c r="I973" s="86"/>
      <c r="J973" s="87"/>
      <c r="K973" s="91"/>
      <c r="L973" s="89"/>
      <c r="M973" s="26"/>
      <c r="N973" s="26"/>
      <c r="O973" s="26"/>
      <c r="P973" s="26"/>
    </row>
    <row r="974">
      <c r="A974" s="90"/>
      <c r="B974" s="82"/>
      <c r="C974" s="83"/>
      <c r="D974" s="82"/>
      <c r="E974" s="84"/>
      <c r="F974" s="85"/>
      <c r="G974" s="86"/>
      <c r="H974" s="84"/>
      <c r="I974" s="86"/>
      <c r="J974" s="87"/>
      <c r="K974" s="91"/>
      <c r="L974" s="89"/>
      <c r="M974" s="26"/>
      <c r="N974" s="26"/>
      <c r="O974" s="26"/>
      <c r="P974" s="26"/>
    </row>
    <row r="975">
      <c r="A975" s="90"/>
      <c r="B975" s="82"/>
      <c r="C975" s="83"/>
      <c r="D975" s="82"/>
      <c r="E975" s="84"/>
      <c r="F975" s="85"/>
      <c r="G975" s="86"/>
      <c r="H975" s="84"/>
      <c r="I975" s="86"/>
      <c r="J975" s="87"/>
      <c r="K975" s="91"/>
      <c r="L975" s="89"/>
      <c r="M975" s="26"/>
      <c r="N975" s="26"/>
      <c r="O975" s="26"/>
      <c r="P975" s="26"/>
    </row>
    <row r="976">
      <c r="A976" s="90"/>
      <c r="B976" s="82"/>
      <c r="C976" s="83"/>
      <c r="D976" s="82"/>
      <c r="E976" s="84"/>
      <c r="F976" s="85"/>
      <c r="G976" s="86"/>
      <c r="H976" s="84"/>
      <c r="I976" s="86"/>
      <c r="J976" s="87"/>
      <c r="K976" s="91"/>
      <c r="L976" s="89"/>
      <c r="M976" s="26"/>
      <c r="N976" s="26"/>
      <c r="O976" s="26"/>
      <c r="P976" s="26"/>
    </row>
    <row r="977">
      <c r="A977" s="90"/>
      <c r="B977" s="82"/>
      <c r="C977" s="83"/>
      <c r="D977" s="82"/>
      <c r="E977" s="84"/>
      <c r="F977" s="85"/>
      <c r="G977" s="86"/>
      <c r="H977" s="84"/>
      <c r="I977" s="86"/>
      <c r="J977" s="87"/>
      <c r="K977" s="91"/>
      <c r="L977" s="89"/>
      <c r="M977" s="26"/>
      <c r="N977" s="26"/>
      <c r="O977" s="26"/>
      <c r="P977" s="26"/>
    </row>
    <row r="978">
      <c r="A978" s="90"/>
      <c r="B978" s="82"/>
      <c r="C978" s="83"/>
      <c r="D978" s="82"/>
      <c r="E978" s="84"/>
      <c r="F978" s="85"/>
      <c r="G978" s="86"/>
      <c r="H978" s="84"/>
      <c r="I978" s="86"/>
      <c r="J978" s="87"/>
      <c r="K978" s="91"/>
      <c r="L978" s="89"/>
      <c r="M978" s="26"/>
      <c r="N978" s="26"/>
      <c r="O978" s="26"/>
      <c r="P978" s="26"/>
    </row>
    <row r="979">
      <c r="A979" s="90"/>
      <c r="B979" s="82"/>
      <c r="C979" s="83"/>
      <c r="D979" s="82"/>
      <c r="E979" s="84"/>
      <c r="F979" s="85"/>
      <c r="G979" s="86"/>
      <c r="H979" s="84"/>
      <c r="I979" s="86"/>
      <c r="J979" s="87"/>
      <c r="K979" s="91"/>
      <c r="L979" s="89"/>
      <c r="M979" s="26"/>
      <c r="N979" s="26"/>
      <c r="O979" s="26"/>
      <c r="P979" s="26"/>
    </row>
    <row r="980">
      <c r="A980" s="90"/>
      <c r="B980" s="82"/>
      <c r="C980" s="83"/>
      <c r="D980" s="82"/>
      <c r="E980" s="84"/>
      <c r="F980" s="85"/>
      <c r="G980" s="86"/>
      <c r="H980" s="84"/>
      <c r="I980" s="86"/>
      <c r="J980" s="87"/>
      <c r="K980" s="91"/>
      <c r="L980" s="89"/>
      <c r="M980" s="26"/>
      <c r="N980" s="26"/>
      <c r="O980" s="26"/>
      <c r="P980" s="26"/>
    </row>
    <row r="981">
      <c r="A981" s="90"/>
      <c r="B981" s="82"/>
      <c r="C981" s="83"/>
      <c r="D981" s="82"/>
      <c r="E981" s="84"/>
      <c r="F981" s="85"/>
      <c r="G981" s="86"/>
      <c r="H981" s="84"/>
      <c r="I981" s="86"/>
      <c r="J981" s="87"/>
      <c r="K981" s="91"/>
      <c r="L981" s="89"/>
      <c r="M981" s="26"/>
      <c r="N981" s="26"/>
      <c r="O981" s="26"/>
      <c r="P981" s="26"/>
    </row>
    <row r="982">
      <c r="A982" s="90"/>
      <c r="B982" s="82"/>
      <c r="C982" s="83"/>
      <c r="D982" s="82"/>
      <c r="E982" s="84"/>
      <c r="F982" s="85"/>
      <c r="G982" s="86"/>
      <c r="H982" s="84"/>
      <c r="I982" s="86"/>
      <c r="J982" s="87"/>
      <c r="K982" s="91"/>
      <c r="L982" s="89"/>
      <c r="M982" s="26"/>
      <c r="N982" s="26"/>
      <c r="O982" s="26"/>
      <c r="P982" s="26"/>
    </row>
    <row r="983">
      <c r="A983" s="90"/>
      <c r="B983" s="82"/>
      <c r="C983" s="83"/>
      <c r="D983" s="82"/>
      <c r="E983" s="84"/>
      <c r="F983" s="85"/>
      <c r="G983" s="86"/>
      <c r="H983" s="84"/>
      <c r="I983" s="86"/>
      <c r="J983" s="87"/>
      <c r="K983" s="91"/>
      <c r="L983" s="89"/>
      <c r="M983" s="26"/>
      <c r="N983" s="26"/>
      <c r="O983" s="26"/>
      <c r="P983" s="26"/>
    </row>
    <row r="984">
      <c r="A984" s="90"/>
      <c r="B984" s="82"/>
      <c r="C984" s="83"/>
      <c r="D984" s="82"/>
      <c r="E984" s="84"/>
      <c r="F984" s="85"/>
      <c r="G984" s="86"/>
      <c r="H984" s="84"/>
      <c r="I984" s="86"/>
      <c r="J984" s="87"/>
      <c r="K984" s="91"/>
      <c r="L984" s="89"/>
      <c r="M984" s="26"/>
      <c r="N984" s="26"/>
      <c r="O984" s="26"/>
      <c r="P984" s="26"/>
    </row>
    <row r="985">
      <c r="A985" s="90"/>
      <c r="B985" s="82"/>
      <c r="C985" s="83"/>
      <c r="D985" s="82"/>
      <c r="E985" s="84"/>
      <c r="F985" s="85"/>
      <c r="G985" s="86"/>
      <c r="H985" s="84"/>
      <c r="I985" s="86"/>
      <c r="J985" s="87"/>
      <c r="K985" s="91"/>
      <c r="L985" s="89"/>
      <c r="M985" s="26"/>
      <c r="N985" s="26"/>
      <c r="O985" s="26"/>
      <c r="P985" s="26"/>
    </row>
    <row r="986">
      <c r="A986" s="90"/>
      <c r="B986" s="82"/>
      <c r="C986" s="83"/>
      <c r="D986" s="82"/>
      <c r="E986" s="84"/>
      <c r="F986" s="85"/>
      <c r="G986" s="86"/>
      <c r="H986" s="84"/>
      <c r="I986" s="86"/>
      <c r="J986" s="87"/>
      <c r="K986" s="91"/>
      <c r="L986" s="89"/>
      <c r="M986" s="26"/>
      <c r="N986" s="26"/>
      <c r="O986" s="26"/>
      <c r="P986" s="26"/>
    </row>
    <row r="987">
      <c r="A987" s="90"/>
      <c r="B987" s="82"/>
      <c r="C987" s="83"/>
      <c r="D987" s="82"/>
      <c r="E987" s="84"/>
      <c r="F987" s="85"/>
      <c r="G987" s="86"/>
      <c r="H987" s="84"/>
      <c r="I987" s="86"/>
      <c r="J987" s="87"/>
      <c r="K987" s="91"/>
      <c r="L987" s="89"/>
      <c r="M987" s="26"/>
      <c r="N987" s="26"/>
      <c r="O987" s="26"/>
      <c r="P987" s="26"/>
    </row>
    <row r="988">
      <c r="A988" s="90"/>
      <c r="B988" s="82"/>
      <c r="C988" s="83"/>
      <c r="D988" s="82"/>
      <c r="E988" s="84"/>
      <c r="F988" s="85"/>
      <c r="G988" s="86"/>
      <c r="H988" s="84"/>
      <c r="I988" s="86"/>
      <c r="J988" s="87"/>
      <c r="K988" s="91"/>
      <c r="L988" s="89"/>
      <c r="M988" s="26"/>
      <c r="N988" s="26"/>
      <c r="O988" s="26"/>
      <c r="P988" s="26"/>
    </row>
    <row r="989">
      <c r="A989" s="90"/>
      <c r="B989" s="82"/>
      <c r="C989" s="83"/>
      <c r="D989" s="82"/>
      <c r="E989" s="84"/>
      <c r="F989" s="85"/>
      <c r="G989" s="86"/>
      <c r="H989" s="84"/>
      <c r="I989" s="86"/>
      <c r="J989" s="87"/>
      <c r="K989" s="91"/>
      <c r="L989" s="89"/>
      <c r="M989" s="26"/>
      <c r="N989" s="26"/>
      <c r="O989" s="26"/>
      <c r="P989" s="26"/>
    </row>
    <row r="990">
      <c r="A990" s="90"/>
      <c r="B990" s="82"/>
      <c r="C990" s="83"/>
      <c r="D990" s="82"/>
      <c r="E990" s="84"/>
      <c r="F990" s="85"/>
      <c r="G990" s="86"/>
      <c r="H990" s="84"/>
      <c r="I990" s="86"/>
      <c r="J990" s="87"/>
      <c r="K990" s="91"/>
      <c r="L990" s="89"/>
      <c r="M990" s="26"/>
      <c r="N990" s="26"/>
      <c r="O990" s="26"/>
      <c r="P990" s="26"/>
    </row>
    <row r="991">
      <c r="A991" s="90"/>
      <c r="B991" s="82"/>
      <c r="C991" s="83"/>
      <c r="D991" s="82"/>
      <c r="E991" s="84"/>
      <c r="F991" s="85"/>
      <c r="G991" s="86"/>
      <c r="H991" s="84"/>
      <c r="I991" s="86"/>
      <c r="J991" s="87"/>
      <c r="K991" s="91"/>
      <c r="L991" s="89"/>
      <c r="M991" s="26"/>
      <c r="N991" s="26"/>
      <c r="O991" s="26"/>
      <c r="P991" s="26"/>
    </row>
    <row r="992">
      <c r="A992" s="90"/>
      <c r="B992" s="82"/>
      <c r="C992" s="83"/>
      <c r="D992" s="82"/>
      <c r="E992" s="84"/>
      <c r="F992" s="85"/>
      <c r="G992" s="86"/>
      <c r="H992" s="84"/>
      <c r="I992" s="86"/>
      <c r="J992" s="87"/>
      <c r="K992" s="91"/>
      <c r="L992" s="89"/>
      <c r="M992" s="26"/>
      <c r="N992" s="26"/>
      <c r="O992" s="26"/>
      <c r="P992" s="26"/>
    </row>
    <row r="993">
      <c r="A993" s="90"/>
      <c r="B993" s="82"/>
      <c r="C993" s="83"/>
      <c r="D993" s="82"/>
      <c r="E993" s="84"/>
      <c r="F993" s="85"/>
      <c r="G993" s="86"/>
      <c r="H993" s="84"/>
      <c r="I993" s="86"/>
      <c r="J993" s="87"/>
      <c r="K993" s="91"/>
      <c r="L993" s="89"/>
      <c r="M993" s="26"/>
      <c r="N993" s="26"/>
      <c r="O993" s="26"/>
      <c r="P993" s="26"/>
    </row>
    <row r="994">
      <c r="A994" s="90"/>
      <c r="B994" s="82"/>
      <c r="C994" s="83"/>
      <c r="D994" s="82"/>
      <c r="E994" s="84"/>
      <c r="F994" s="85"/>
      <c r="G994" s="86"/>
      <c r="H994" s="84"/>
      <c r="I994" s="86"/>
      <c r="J994" s="87"/>
      <c r="K994" s="91"/>
      <c r="L994" s="89"/>
      <c r="M994" s="26"/>
      <c r="N994" s="26"/>
      <c r="O994" s="26"/>
      <c r="P994" s="26"/>
    </row>
    <row r="995">
      <c r="A995" s="90"/>
      <c r="B995" s="82"/>
      <c r="C995" s="83"/>
      <c r="D995" s="82"/>
      <c r="E995" s="84"/>
      <c r="F995" s="85"/>
      <c r="G995" s="86"/>
      <c r="H995" s="84"/>
      <c r="I995" s="86"/>
      <c r="J995" s="87"/>
      <c r="K995" s="91"/>
      <c r="L995" s="89"/>
      <c r="M995" s="26"/>
      <c r="N995" s="26"/>
      <c r="O995" s="26"/>
      <c r="P995" s="26"/>
    </row>
    <row r="996">
      <c r="A996" s="90"/>
      <c r="B996" s="82"/>
      <c r="C996" s="83"/>
      <c r="D996" s="82"/>
      <c r="E996" s="84"/>
      <c r="F996" s="85"/>
      <c r="G996" s="86"/>
      <c r="H996" s="84"/>
      <c r="I996" s="86"/>
      <c r="J996" s="87"/>
      <c r="K996" s="91"/>
      <c r="L996" s="89"/>
      <c r="M996" s="26"/>
      <c r="N996" s="26"/>
      <c r="O996" s="26"/>
      <c r="P996" s="26"/>
    </row>
    <row r="997">
      <c r="A997" s="90"/>
      <c r="B997" s="82"/>
      <c r="C997" s="83"/>
      <c r="D997" s="82"/>
      <c r="E997" s="84"/>
      <c r="F997" s="85"/>
      <c r="G997" s="86"/>
      <c r="H997" s="84"/>
      <c r="I997" s="86"/>
      <c r="J997" s="87"/>
      <c r="K997" s="91"/>
      <c r="L997" s="89"/>
      <c r="M997" s="26"/>
      <c r="N997" s="26"/>
      <c r="O997" s="26"/>
      <c r="P997" s="26"/>
    </row>
    <row r="998">
      <c r="A998" s="90"/>
      <c r="B998" s="82"/>
      <c r="C998" s="83"/>
      <c r="D998" s="82"/>
      <c r="E998" s="84"/>
      <c r="F998" s="85"/>
      <c r="G998" s="86"/>
      <c r="H998" s="84"/>
      <c r="I998" s="86"/>
      <c r="J998" s="87"/>
      <c r="K998" s="91"/>
      <c r="L998" s="89"/>
      <c r="M998" s="26"/>
      <c r="N998" s="26"/>
      <c r="O998" s="26"/>
      <c r="P998" s="26"/>
    </row>
    <row r="999">
      <c r="A999" s="90"/>
      <c r="B999" s="82"/>
      <c r="C999" s="83"/>
      <c r="D999" s="82"/>
      <c r="E999" s="84"/>
      <c r="F999" s="85"/>
      <c r="G999" s="86"/>
      <c r="H999" s="84"/>
      <c r="I999" s="86"/>
      <c r="J999" s="87"/>
      <c r="K999" s="91"/>
      <c r="L999" s="89"/>
      <c r="M999" s="26"/>
      <c r="N999" s="26"/>
      <c r="O999" s="26"/>
      <c r="P999" s="26"/>
    </row>
    <row r="1000">
      <c r="A1000" s="90"/>
      <c r="B1000" s="82"/>
      <c r="C1000" s="83"/>
      <c r="D1000" s="82"/>
      <c r="E1000" s="84"/>
      <c r="F1000" s="85"/>
      <c r="G1000" s="86"/>
      <c r="H1000" s="84"/>
      <c r="I1000" s="86"/>
      <c r="J1000" s="87"/>
      <c r="K1000" s="91"/>
      <c r="L1000" s="89"/>
      <c r="M1000" s="26"/>
      <c r="N1000" s="26"/>
      <c r="O1000" s="26"/>
      <c r="P1000" s="26"/>
    </row>
    <row r="1001">
      <c r="A1001" s="90"/>
      <c r="B1001" s="82"/>
      <c r="C1001" s="83"/>
      <c r="D1001" s="82"/>
      <c r="E1001" s="84"/>
      <c r="F1001" s="85"/>
      <c r="G1001" s="86"/>
      <c r="H1001" s="84"/>
      <c r="I1001" s="86"/>
      <c r="J1001" s="87"/>
      <c r="K1001" s="91"/>
      <c r="L1001" s="89"/>
      <c r="M1001" s="26"/>
      <c r="N1001" s="26"/>
      <c r="O1001" s="26"/>
      <c r="P1001" s="26"/>
    </row>
    <row r="1002">
      <c r="A1002" s="90"/>
      <c r="B1002" s="82"/>
      <c r="C1002" s="83"/>
      <c r="D1002" s="82"/>
      <c r="E1002" s="84"/>
      <c r="F1002" s="85"/>
      <c r="G1002" s="86"/>
      <c r="H1002" s="84"/>
      <c r="I1002" s="86"/>
      <c r="J1002" s="87"/>
      <c r="K1002" s="91"/>
      <c r="L1002" s="89"/>
      <c r="M1002" s="26"/>
      <c r="N1002" s="26"/>
      <c r="O1002" s="26"/>
      <c r="P1002" s="26"/>
    </row>
    <row r="1003">
      <c r="A1003" s="90"/>
      <c r="B1003" s="82"/>
      <c r="C1003" s="83"/>
      <c r="D1003" s="82"/>
      <c r="E1003" s="84"/>
      <c r="F1003" s="85"/>
      <c r="G1003" s="86"/>
      <c r="H1003" s="84"/>
      <c r="I1003" s="86"/>
      <c r="J1003" s="87"/>
      <c r="K1003" s="91"/>
      <c r="L1003" s="89"/>
      <c r="M1003" s="26"/>
      <c r="N1003" s="26"/>
      <c r="O1003" s="26"/>
      <c r="P1003" s="26"/>
    </row>
    <row r="1004">
      <c r="A1004" s="90"/>
      <c r="B1004" s="82"/>
      <c r="C1004" s="83"/>
      <c r="D1004" s="82"/>
      <c r="E1004" s="84"/>
      <c r="F1004" s="85"/>
      <c r="G1004" s="86"/>
      <c r="H1004" s="84"/>
      <c r="I1004" s="86"/>
      <c r="J1004" s="87"/>
      <c r="K1004" s="91"/>
      <c r="L1004" s="89"/>
      <c r="M1004" s="26"/>
      <c r="N1004" s="26"/>
      <c r="O1004" s="26"/>
      <c r="P1004" s="26"/>
    </row>
    <row r="1005">
      <c r="A1005" s="90"/>
      <c r="B1005" s="82"/>
      <c r="C1005" s="83"/>
      <c r="D1005" s="82"/>
      <c r="E1005" s="84"/>
      <c r="F1005" s="85"/>
      <c r="G1005" s="86"/>
      <c r="H1005" s="84"/>
      <c r="I1005" s="86"/>
      <c r="J1005" s="87"/>
      <c r="K1005" s="91"/>
      <c r="L1005" s="89"/>
      <c r="M1005" s="26"/>
      <c r="N1005" s="26"/>
      <c r="O1005" s="26"/>
      <c r="P1005" s="26"/>
    </row>
    <row r="1006">
      <c r="A1006" s="90"/>
      <c r="B1006" s="82"/>
      <c r="C1006" s="83"/>
      <c r="D1006" s="82"/>
      <c r="E1006" s="84"/>
      <c r="F1006" s="85"/>
      <c r="G1006" s="86"/>
      <c r="H1006" s="84"/>
      <c r="I1006" s="86"/>
      <c r="J1006" s="87"/>
      <c r="K1006" s="91"/>
      <c r="L1006" s="89"/>
      <c r="M1006" s="26"/>
      <c r="N1006" s="26"/>
      <c r="O1006" s="26"/>
      <c r="P1006" s="26"/>
    </row>
    <row r="1007">
      <c r="A1007" s="90"/>
      <c r="B1007" s="82"/>
      <c r="C1007" s="83"/>
      <c r="D1007" s="82"/>
      <c r="E1007" s="84"/>
      <c r="F1007" s="85"/>
      <c r="G1007" s="86"/>
      <c r="H1007" s="84"/>
      <c r="I1007" s="86"/>
      <c r="J1007" s="87"/>
      <c r="K1007" s="91"/>
      <c r="L1007" s="89"/>
      <c r="M1007" s="26"/>
      <c r="N1007" s="26"/>
      <c r="O1007" s="26"/>
      <c r="P1007" s="26"/>
    </row>
    <row r="1008">
      <c r="A1008" s="90"/>
      <c r="B1008" s="82"/>
      <c r="C1008" s="83"/>
      <c r="D1008" s="82"/>
      <c r="E1008" s="84"/>
      <c r="F1008" s="85"/>
      <c r="G1008" s="86"/>
      <c r="H1008" s="84"/>
      <c r="I1008" s="86"/>
      <c r="J1008" s="87"/>
      <c r="K1008" s="91"/>
      <c r="L1008" s="89"/>
      <c r="M1008" s="26"/>
      <c r="N1008" s="26"/>
      <c r="O1008" s="26"/>
      <c r="P1008" s="26"/>
    </row>
    <row r="1009">
      <c r="A1009" s="90"/>
      <c r="B1009" s="82"/>
      <c r="C1009" s="83"/>
      <c r="D1009" s="82"/>
      <c r="E1009" s="84"/>
      <c r="F1009" s="85"/>
      <c r="G1009" s="86"/>
      <c r="H1009" s="84"/>
      <c r="I1009" s="86"/>
      <c r="J1009" s="87"/>
      <c r="K1009" s="91"/>
      <c r="L1009" s="89"/>
      <c r="M1009" s="26"/>
      <c r="N1009" s="26"/>
      <c r="O1009" s="26"/>
      <c r="P1009" s="26"/>
    </row>
    <row r="1010">
      <c r="A1010" s="90"/>
      <c r="B1010" s="82"/>
      <c r="C1010" s="83"/>
      <c r="D1010" s="82"/>
      <c r="E1010" s="84"/>
      <c r="F1010" s="85"/>
      <c r="G1010" s="86"/>
      <c r="H1010" s="84"/>
      <c r="I1010" s="86"/>
      <c r="J1010" s="87"/>
      <c r="K1010" s="91"/>
      <c r="L1010" s="89"/>
      <c r="M1010" s="26"/>
      <c r="N1010" s="26"/>
      <c r="O1010" s="26"/>
      <c r="P1010" s="26"/>
    </row>
    <row r="1011">
      <c r="A1011" s="90"/>
      <c r="B1011" s="82"/>
      <c r="C1011" s="83"/>
      <c r="D1011" s="82"/>
      <c r="E1011" s="84"/>
      <c r="F1011" s="85"/>
      <c r="G1011" s="86"/>
      <c r="H1011" s="84"/>
      <c r="I1011" s="86"/>
      <c r="J1011" s="87"/>
      <c r="K1011" s="91"/>
      <c r="L1011" s="89"/>
      <c r="M1011" s="26"/>
      <c r="N1011" s="26"/>
      <c r="O1011" s="26"/>
      <c r="P1011" s="26"/>
    </row>
    <row r="1012">
      <c r="A1012" s="90"/>
      <c r="B1012" s="82"/>
      <c r="C1012" s="83"/>
      <c r="D1012" s="82"/>
      <c r="E1012" s="84"/>
      <c r="F1012" s="85"/>
      <c r="G1012" s="86"/>
      <c r="H1012" s="84"/>
      <c r="I1012" s="86"/>
      <c r="J1012" s="87"/>
      <c r="K1012" s="91"/>
      <c r="L1012" s="89"/>
      <c r="M1012" s="26"/>
      <c r="N1012" s="26"/>
      <c r="O1012" s="26"/>
      <c r="P1012" s="26"/>
    </row>
    <row r="1013">
      <c r="A1013" s="90"/>
      <c r="B1013" s="82"/>
      <c r="C1013" s="83"/>
      <c r="D1013" s="82"/>
      <c r="E1013" s="84"/>
      <c r="F1013" s="85"/>
      <c r="G1013" s="86"/>
      <c r="H1013" s="84"/>
      <c r="I1013" s="86"/>
      <c r="J1013" s="87"/>
      <c r="K1013" s="91"/>
      <c r="L1013" s="89"/>
      <c r="M1013" s="26"/>
      <c r="N1013" s="26"/>
      <c r="O1013" s="26"/>
      <c r="P1013" s="26"/>
    </row>
    <row r="1014">
      <c r="A1014" s="90"/>
      <c r="B1014" s="82"/>
      <c r="C1014" s="83"/>
      <c r="D1014" s="82"/>
      <c r="E1014" s="84"/>
      <c r="F1014" s="85"/>
      <c r="G1014" s="86"/>
      <c r="H1014" s="84"/>
      <c r="I1014" s="86"/>
      <c r="J1014" s="87"/>
      <c r="K1014" s="91"/>
      <c r="L1014" s="89"/>
      <c r="M1014" s="26"/>
      <c r="N1014" s="26"/>
      <c r="O1014" s="26"/>
      <c r="P1014" s="26"/>
    </row>
    <row r="1015">
      <c r="A1015" s="90"/>
      <c r="B1015" s="82"/>
      <c r="C1015" s="83"/>
      <c r="D1015" s="82"/>
      <c r="E1015" s="84"/>
      <c r="F1015" s="85"/>
      <c r="G1015" s="86"/>
      <c r="H1015" s="84"/>
      <c r="I1015" s="86"/>
      <c r="J1015" s="87"/>
      <c r="K1015" s="91"/>
      <c r="L1015" s="89"/>
      <c r="M1015" s="26"/>
      <c r="N1015" s="26"/>
      <c r="O1015" s="26"/>
      <c r="P1015" s="26"/>
    </row>
    <row r="1016">
      <c r="A1016" s="90"/>
      <c r="B1016" s="82"/>
      <c r="C1016" s="83"/>
      <c r="D1016" s="82"/>
      <c r="E1016" s="84"/>
      <c r="F1016" s="85"/>
      <c r="G1016" s="86"/>
      <c r="H1016" s="84"/>
      <c r="I1016" s="86"/>
      <c r="J1016" s="87"/>
      <c r="K1016" s="91"/>
      <c r="L1016" s="89"/>
      <c r="M1016" s="26"/>
      <c r="N1016" s="26"/>
      <c r="O1016" s="26"/>
      <c r="P1016" s="26"/>
    </row>
    <row r="1017">
      <c r="A1017" s="90"/>
      <c r="B1017" s="82"/>
      <c r="C1017" s="83"/>
      <c r="D1017" s="82"/>
      <c r="E1017" s="84"/>
      <c r="F1017" s="85"/>
      <c r="G1017" s="86"/>
      <c r="H1017" s="84"/>
      <c r="I1017" s="86"/>
      <c r="J1017" s="87"/>
      <c r="K1017" s="91"/>
      <c r="L1017" s="89"/>
      <c r="M1017" s="26"/>
      <c r="N1017" s="26"/>
      <c r="O1017" s="26"/>
      <c r="P1017" s="26"/>
    </row>
    <row r="1018">
      <c r="A1018" s="90"/>
      <c r="B1018" s="82"/>
      <c r="C1018" s="83"/>
      <c r="D1018" s="82"/>
      <c r="E1018" s="84"/>
      <c r="F1018" s="85"/>
      <c r="G1018" s="86"/>
      <c r="H1018" s="84"/>
      <c r="I1018" s="86"/>
      <c r="J1018" s="87"/>
      <c r="K1018" s="91"/>
      <c r="L1018" s="89"/>
      <c r="M1018" s="26"/>
      <c r="N1018" s="26"/>
      <c r="O1018" s="26"/>
      <c r="P1018" s="26"/>
    </row>
    <row r="1019">
      <c r="A1019" s="90"/>
      <c r="B1019" s="82"/>
      <c r="C1019" s="83"/>
      <c r="D1019" s="82"/>
      <c r="E1019" s="84"/>
      <c r="F1019" s="85"/>
      <c r="G1019" s="86"/>
      <c r="H1019" s="84"/>
      <c r="I1019" s="86"/>
      <c r="J1019" s="87"/>
      <c r="K1019" s="91"/>
      <c r="L1019" s="89"/>
      <c r="M1019" s="26"/>
      <c r="N1019" s="26"/>
      <c r="O1019" s="26"/>
      <c r="P1019" s="26"/>
    </row>
    <row r="1020">
      <c r="A1020" s="90"/>
      <c r="B1020" s="82"/>
      <c r="C1020" s="83"/>
      <c r="D1020" s="82"/>
      <c r="E1020" s="84"/>
      <c r="F1020" s="85"/>
      <c r="G1020" s="86"/>
      <c r="H1020" s="84"/>
      <c r="I1020" s="86"/>
      <c r="J1020" s="87"/>
      <c r="K1020" s="91"/>
      <c r="L1020" s="89"/>
      <c r="M1020" s="26"/>
      <c r="N1020" s="26"/>
      <c r="O1020" s="26"/>
      <c r="P1020" s="26"/>
    </row>
    <row r="1021">
      <c r="A1021" s="90"/>
      <c r="B1021" s="82"/>
      <c r="C1021" s="83"/>
      <c r="D1021" s="82"/>
      <c r="E1021" s="84"/>
      <c r="F1021" s="85"/>
      <c r="G1021" s="86"/>
      <c r="H1021" s="84"/>
      <c r="I1021" s="86"/>
      <c r="J1021" s="87"/>
      <c r="K1021" s="91"/>
      <c r="L1021" s="89"/>
      <c r="M1021" s="26"/>
      <c r="N1021" s="26"/>
      <c r="O1021" s="26"/>
      <c r="P1021" s="26"/>
    </row>
    <row r="1022">
      <c r="A1022" s="90"/>
      <c r="B1022" s="82"/>
      <c r="C1022" s="83"/>
      <c r="D1022" s="82"/>
      <c r="E1022" s="84"/>
      <c r="F1022" s="85"/>
      <c r="G1022" s="86"/>
      <c r="H1022" s="84"/>
      <c r="I1022" s="86"/>
      <c r="J1022" s="87"/>
      <c r="K1022" s="91"/>
      <c r="L1022" s="89"/>
      <c r="M1022" s="26"/>
      <c r="N1022" s="26"/>
      <c r="O1022" s="26"/>
      <c r="P1022" s="26"/>
    </row>
    <row r="1023">
      <c r="A1023" s="90"/>
      <c r="B1023" s="82"/>
      <c r="C1023" s="83"/>
      <c r="D1023" s="82"/>
      <c r="E1023" s="84"/>
      <c r="F1023" s="85"/>
      <c r="G1023" s="86"/>
      <c r="H1023" s="84"/>
      <c r="I1023" s="86"/>
      <c r="J1023" s="87"/>
      <c r="K1023" s="91"/>
      <c r="L1023" s="89"/>
      <c r="M1023" s="26"/>
      <c r="N1023" s="26"/>
      <c r="O1023" s="26"/>
      <c r="P1023" s="26"/>
    </row>
    <row r="1024">
      <c r="A1024" s="90"/>
      <c r="B1024" s="82"/>
      <c r="C1024" s="83"/>
      <c r="D1024" s="82"/>
      <c r="E1024" s="84"/>
      <c r="F1024" s="85"/>
      <c r="G1024" s="86"/>
      <c r="H1024" s="84"/>
      <c r="I1024" s="86"/>
      <c r="J1024" s="87"/>
      <c r="K1024" s="91"/>
      <c r="L1024" s="89"/>
      <c r="M1024" s="26"/>
      <c r="N1024" s="26"/>
      <c r="O1024" s="26"/>
      <c r="P1024" s="26"/>
    </row>
    <row r="1025">
      <c r="A1025" s="90"/>
      <c r="B1025" s="82"/>
      <c r="C1025" s="83"/>
      <c r="D1025" s="82"/>
      <c r="E1025" s="84"/>
      <c r="F1025" s="85"/>
      <c r="G1025" s="86"/>
      <c r="H1025" s="84"/>
      <c r="I1025" s="86"/>
      <c r="J1025" s="87"/>
      <c r="K1025" s="91"/>
      <c r="L1025" s="89"/>
      <c r="M1025" s="26"/>
      <c r="N1025" s="26"/>
      <c r="O1025" s="26"/>
      <c r="P1025" s="26"/>
    </row>
    <row r="1026">
      <c r="A1026" s="90"/>
      <c r="B1026" s="82"/>
      <c r="C1026" s="83"/>
      <c r="D1026" s="82"/>
      <c r="E1026" s="84"/>
      <c r="F1026" s="85"/>
      <c r="G1026" s="86"/>
      <c r="H1026" s="84"/>
      <c r="I1026" s="86"/>
      <c r="J1026" s="87"/>
      <c r="K1026" s="91"/>
      <c r="L1026" s="89"/>
      <c r="M1026" s="26"/>
      <c r="N1026" s="26"/>
      <c r="O1026" s="26"/>
      <c r="P1026" s="26"/>
    </row>
    <row r="1027">
      <c r="A1027" s="90"/>
      <c r="B1027" s="82"/>
      <c r="C1027" s="83"/>
      <c r="D1027" s="82"/>
      <c r="E1027" s="84"/>
      <c r="F1027" s="85"/>
      <c r="G1027" s="86"/>
      <c r="H1027" s="84"/>
      <c r="I1027" s="86"/>
      <c r="J1027" s="87"/>
      <c r="K1027" s="91"/>
      <c r="L1027" s="89"/>
      <c r="M1027" s="26"/>
      <c r="N1027" s="26"/>
      <c r="O1027" s="26"/>
      <c r="P1027" s="26"/>
    </row>
    <row r="1028">
      <c r="A1028" s="90"/>
      <c r="B1028" s="82"/>
      <c r="C1028" s="83"/>
      <c r="D1028" s="82"/>
      <c r="E1028" s="84"/>
      <c r="F1028" s="85"/>
      <c r="G1028" s="86"/>
      <c r="H1028" s="84"/>
      <c r="I1028" s="86"/>
      <c r="J1028" s="87"/>
      <c r="K1028" s="91"/>
      <c r="L1028" s="89"/>
      <c r="M1028" s="26"/>
      <c r="N1028" s="26"/>
      <c r="O1028" s="26"/>
      <c r="P1028" s="26"/>
    </row>
    <row r="1029">
      <c r="A1029" s="90"/>
      <c r="B1029" s="82"/>
      <c r="C1029" s="83"/>
      <c r="D1029" s="82"/>
      <c r="E1029" s="84"/>
      <c r="F1029" s="85"/>
      <c r="G1029" s="86"/>
      <c r="H1029" s="84"/>
      <c r="I1029" s="86"/>
      <c r="J1029" s="87"/>
      <c r="K1029" s="91"/>
      <c r="L1029" s="89"/>
      <c r="M1029" s="26"/>
      <c r="N1029" s="26"/>
      <c r="O1029" s="26"/>
      <c r="P1029" s="26"/>
    </row>
    <row r="1030">
      <c r="A1030" s="90"/>
      <c r="B1030" s="82"/>
      <c r="C1030" s="83"/>
      <c r="D1030" s="82"/>
      <c r="E1030" s="84"/>
      <c r="F1030" s="85"/>
      <c r="G1030" s="86"/>
      <c r="H1030" s="84"/>
      <c r="I1030" s="86"/>
      <c r="J1030" s="87"/>
      <c r="K1030" s="91"/>
      <c r="L1030" s="89"/>
      <c r="M1030" s="26"/>
      <c r="N1030" s="26"/>
      <c r="O1030" s="26"/>
      <c r="P1030" s="26"/>
    </row>
    <row r="1031">
      <c r="A1031" s="90"/>
      <c r="B1031" s="82"/>
      <c r="C1031" s="83"/>
      <c r="D1031" s="82"/>
      <c r="E1031" s="84"/>
      <c r="F1031" s="85"/>
      <c r="G1031" s="86"/>
      <c r="H1031" s="84"/>
      <c r="I1031" s="86"/>
      <c r="J1031" s="87"/>
      <c r="K1031" s="91"/>
      <c r="L1031" s="89"/>
      <c r="M1031" s="26"/>
      <c r="N1031" s="26"/>
      <c r="O1031" s="26"/>
      <c r="P1031" s="26"/>
    </row>
    <row r="1032">
      <c r="A1032" s="90"/>
      <c r="B1032" s="82"/>
      <c r="C1032" s="83"/>
      <c r="D1032" s="82"/>
      <c r="E1032" s="84"/>
      <c r="F1032" s="85"/>
      <c r="G1032" s="86"/>
      <c r="H1032" s="84"/>
      <c r="I1032" s="86"/>
      <c r="J1032" s="87"/>
      <c r="K1032" s="91"/>
      <c r="L1032" s="89"/>
      <c r="M1032" s="26"/>
      <c r="N1032" s="26"/>
      <c r="O1032" s="26"/>
      <c r="P1032" s="26"/>
    </row>
    <row r="1033">
      <c r="A1033" s="90"/>
      <c r="B1033" s="82"/>
      <c r="C1033" s="83"/>
      <c r="D1033" s="82"/>
      <c r="E1033" s="84"/>
      <c r="F1033" s="85"/>
      <c r="G1033" s="86"/>
      <c r="H1033" s="84"/>
      <c r="I1033" s="86"/>
      <c r="J1033" s="87"/>
      <c r="K1033" s="91"/>
      <c r="L1033" s="89"/>
      <c r="M1033" s="26"/>
      <c r="N1033" s="26"/>
      <c r="O1033" s="26"/>
      <c r="P1033" s="26"/>
    </row>
    <row r="1034">
      <c r="A1034" s="90"/>
      <c r="B1034" s="82"/>
      <c r="C1034" s="83"/>
      <c r="D1034" s="82"/>
      <c r="E1034" s="84"/>
      <c r="F1034" s="85"/>
      <c r="G1034" s="86"/>
      <c r="H1034" s="84"/>
      <c r="I1034" s="86"/>
      <c r="J1034" s="87"/>
      <c r="K1034" s="91"/>
      <c r="L1034" s="89"/>
      <c r="M1034" s="26"/>
      <c r="N1034" s="26"/>
      <c r="O1034" s="26"/>
      <c r="P1034" s="26"/>
    </row>
    <row r="1035">
      <c r="A1035" s="90"/>
      <c r="B1035" s="82"/>
      <c r="C1035" s="83"/>
      <c r="D1035" s="82"/>
      <c r="E1035" s="84"/>
      <c r="F1035" s="85"/>
      <c r="G1035" s="86"/>
      <c r="H1035" s="84"/>
      <c r="I1035" s="86"/>
      <c r="J1035" s="87"/>
      <c r="K1035" s="91"/>
      <c r="L1035" s="89"/>
      <c r="M1035" s="26"/>
      <c r="N1035" s="26"/>
      <c r="O1035" s="26"/>
      <c r="P1035" s="26"/>
    </row>
    <row r="1036">
      <c r="A1036" s="90"/>
      <c r="B1036" s="82"/>
      <c r="C1036" s="83"/>
      <c r="D1036" s="82"/>
      <c r="E1036" s="84"/>
      <c r="F1036" s="85"/>
      <c r="G1036" s="86"/>
      <c r="H1036" s="84"/>
      <c r="I1036" s="86"/>
      <c r="J1036" s="87"/>
      <c r="K1036" s="91"/>
      <c r="L1036" s="89"/>
      <c r="M1036" s="26"/>
      <c r="N1036" s="26"/>
      <c r="O1036" s="26"/>
      <c r="P1036" s="26"/>
    </row>
    <row r="1037">
      <c r="A1037" s="90"/>
      <c r="B1037" s="82"/>
      <c r="C1037" s="83"/>
      <c r="D1037" s="82"/>
      <c r="E1037" s="84"/>
      <c r="F1037" s="85"/>
      <c r="G1037" s="86"/>
      <c r="H1037" s="84"/>
      <c r="I1037" s="86"/>
      <c r="J1037" s="87"/>
      <c r="K1037" s="91"/>
      <c r="L1037" s="89"/>
      <c r="M1037" s="26"/>
      <c r="N1037" s="26"/>
      <c r="O1037" s="26"/>
      <c r="P1037" s="26"/>
    </row>
    <row r="1038">
      <c r="A1038" s="90"/>
      <c r="B1038" s="82"/>
      <c r="C1038" s="83"/>
      <c r="D1038" s="82"/>
      <c r="E1038" s="84"/>
      <c r="F1038" s="85"/>
      <c r="G1038" s="86"/>
      <c r="H1038" s="84"/>
      <c r="I1038" s="86"/>
      <c r="J1038" s="87"/>
      <c r="K1038" s="91"/>
      <c r="L1038" s="89"/>
      <c r="M1038" s="26"/>
      <c r="N1038" s="26"/>
      <c r="O1038" s="26"/>
      <c r="P1038" s="26"/>
    </row>
    <row r="1039">
      <c r="A1039" s="90"/>
      <c r="B1039" s="82"/>
      <c r="C1039" s="83"/>
      <c r="D1039" s="82"/>
      <c r="E1039" s="84"/>
      <c r="F1039" s="85"/>
      <c r="G1039" s="86"/>
      <c r="H1039" s="84"/>
      <c r="I1039" s="86"/>
      <c r="J1039" s="87"/>
      <c r="K1039" s="91"/>
      <c r="L1039" s="89"/>
      <c r="M1039" s="26"/>
      <c r="N1039" s="26"/>
      <c r="O1039" s="26"/>
      <c r="P1039" s="26"/>
    </row>
    <row r="1040">
      <c r="A1040" s="90"/>
      <c r="B1040" s="82"/>
      <c r="C1040" s="83"/>
      <c r="D1040" s="82"/>
      <c r="E1040" s="84"/>
      <c r="F1040" s="85"/>
      <c r="G1040" s="86"/>
      <c r="H1040" s="84"/>
      <c r="I1040" s="86"/>
      <c r="J1040" s="87"/>
      <c r="K1040" s="91"/>
      <c r="L1040" s="89"/>
      <c r="M1040" s="26"/>
      <c r="N1040" s="26"/>
      <c r="O1040" s="26"/>
      <c r="P1040" s="26"/>
    </row>
    <row r="1041">
      <c r="A1041" s="90"/>
      <c r="B1041" s="82"/>
      <c r="C1041" s="83"/>
      <c r="D1041" s="82"/>
      <c r="E1041" s="84"/>
      <c r="F1041" s="85"/>
      <c r="G1041" s="86"/>
      <c r="H1041" s="84"/>
      <c r="I1041" s="86"/>
      <c r="J1041" s="87"/>
      <c r="K1041" s="91"/>
      <c r="L1041" s="89"/>
      <c r="M1041" s="26"/>
      <c r="N1041" s="26"/>
      <c r="O1041" s="26"/>
      <c r="P1041" s="26"/>
    </row>
    <row r="1042">
      <c r="A1042" s="90"/>
      <c r="B1042" s="82"/>
      <c r="C1042" s="83"/>
      <c r="D1042" s="82"/>
      <c r="E1042" s="84"/>
      <c r="F1042" s="85"/>
      <c r="G1042" s="86"/>
      <c r="H1042" s="84"/>
      <c r="I1042" s="86"/>
      <c r="J1042" s="87"/>
      <c r="K1042" s="91"/>
      <c r="L1042" s="89"/>
      <c r="M1042" s="26"/>
      <c r="N1042" s="26"/>
      <c r="O1042" s="26"/>
      <c r="P1042" s="26"/>
    </row>
    <row r="1043">
      <c r="A1043" s="90"/>
      <c r="B1043" s="82"/>
      <c r="C1043" s="83"/>
      <c r="D1043" s="82"/>
      <c r="E1043" s="84"/>
      <c r="F1043" s="85"/>
      <c r="G1043" s="86"/>
      <c r="H1043" s="84"/>
      <c r="I1043" s="86"/>
      <c r="J1043" s="87"/>
      <c r="K1043" s="91"/>
      <c r="L1043" s="89"/>
      <c r="M1043" s="26"/>
      <c r="N1043" s="26"/>
      <c r="O1043" s="26"/>
      <c r="P1043" s="26"/>
    </row>
    <row r="1044">
      <c r="A1044" s="90"/>
      <c r="B1044" s="82"/>
      <c r="C1044" s="83"/>
      <c r="D1044" s="82"/>
      <c r="E1044" s="84"/>
      <c r="F1044" s="85"/>
      <c r="G1044" s="86"/>
      <c r="H1044" s="84"/>
      <c r="I1044" s="86"/>
      <c r="J1044" s="87"/>
      <c r="K1044" s="91"/>
      <c r="L1044" s="89"/>
      <c r="M1044" s="26"/>
      <c r="N1044" s="26"/>
      <c r="O1044" s="26"/>
      <c r="P1044" s="26"/>
    </row>
    <row r="1045">
      <c r="A1045" s="90"/>
      <c r="B1045" s="82"/>
      <c r="C1045" s="83"/>
      <c r="D1045" s="82"/>
      <c r="E1045" s="84"/>
      <c r="F1045" s="85"/>
      <c r="G1045" s="86"/>
      <c r="H1045" s="84"/>
      <c r="I1045" s="86"/>
      <c r="J1045" s="87"/>
      <c r="K1045" s="91"/>
      <c r="L1045" s="89"/>
      <c r="M1045" s="26"/>
      <c r="N1045" s="26"/>
      <c r="O1045" s="26"/>
      <c r="P1045" s="26"/>
    </row>
    <row r="1046">
      <c r="A1046" s="90"/>
      <c r="B1046" s="82"/>
      <c r="C1046" s="83"/>
      <c r="D1046" s="82"/>
      <c r="E1046" s="84"/>
      <c r="F1046" s="85"/>
      <c r="G1046" s="86"/>
      <c r="H1046" s="84"/>
      <c r="I1046" s="86"/>
      <c r="J1046" s="87"/>
      <c r="K1046" s="91"/>
      <c r="L1046" s="89"/>
      <c r="M1046" s="26"/>
      <c r="N1046" s="26"/>
      <c r="O1046" s="26"/>
      <c r="P1046" s="26"/>
    </row>
    <row r="1047">
      <c r="A1047" s="90"/>
      <c r="B1047" s="82"/>
      <c r="C1047" s="83"/>
      <c r="D1047" s="82"/>
      <c r="E1047" s="84"/>
      <c r="F1047" s="85"/>
      <c r="G1047" s="86"/>
      <c r="H1047" s="84"/>
      <c r="I1047" s="86"/>
      <c r="J1047" s="87"/>
      <c r="K1047" s="91"/>
      <c r="L1047" s="89"/>
      <c r="M1047" s="26"/>
      <c r="N1047" s="26"/>
      <c r="O1047" s="26"/>
      <c r="P1047" s="26"/>
    </row>
    <row r="1048">
      <c r="A1048" s="90"/>
      <c r="B1048" s="82"/>
      <c r="C1048" s="83"/>
      <c r="D1048" s="82"/>
      <c r="E1048" s="84"/>
      <c r="F1048" s="85"/>
      <c r="G1048" s="86"/>
      <c r="H1048" s="84"/>
      <c r="I1048" s="86"/>
      <c r="J1048" s="87"/>
      <c r="K1048" s="91"/>
      <c r="L1048" s="89"/>
      <c r="M1048" s="26"/>
      <c r="N1048" s="26"/>
      <c r="O1048" s="26"/>
      <c r="P1048" s="26"/>
    </row>
    <row r="1049">
      <c r="A1049" s="90"/>
      <c r="B1049" s="82"/>
      <c r="C1049" s="83"/>
      <c r="D1049" s="82"/>
      <c r="E1049" s="84"/>
      <c r="F1049" s="85"/>
      <c r="G1049" s="86"/>
      <c r="H1049" s="84"/>
      <c r="I1049" s="86"/>
      <c r="J1049" s="87"/>
      <c r="K1049" s="91"/>
      <c r="L1049" s="89"/>
      <c r="M1049" s="26"/>
      <c r="N1049" s="26"/>
      <c r="O1049" s="26"/>
      <c r="P1049" s="26"/>
    </row>
    <row r="1050">
      <c r="A1050" s="90"/>
      <c r="B1050" s="82"/>
      <c r="C1050" s="83"/>
      <c r="D1050" s="82"/>
      <c r="E1050" s="84"/>
      <c r="F1050" s="85"/>
      <c r="G1050" s="86"/>
      <c r="H1050" s="84"/>
      <c r="I1050" s="86"/>
      <c r="J1050" s="87"/>
      <c r="K1050" s="91"/>
      <c r="L1050" s="89"/>
      <c r="M1050" s="26"/>
      <c r="N1050" s="26"/>
      <c r="O1050" s="26"/>
      <c r="P1050" s="26"/>
    </row>
    <row r="1051">
      <c r="A1051" s="90"/>
      <c r="B1051" s="82"/>
      <c r="C1051" s="83"/>
      <c r="D1051" s="82"/>
      <c r="E1051" s="84"/>
      <c r="F1051" s="85"/>
      <c r="G1051" s="86"/>
      <c r="H1051" s="84"/>
      <c r="I1051" s="86"/>
      <c r="J1051" s="87"/>
      <c r="K1051" s="91"/>
      <c r="L1051" s="89"/>
      <c r="M1051" s="26"/>
      <c r="N1051" s="26"/>
      <c r="O1051" s="26"/>
      <c r="P1051" s="26"/>
    </row>
    <row r="1052">
      <c r="A1052" s="90"/>
      <c r="B1052" s="82"/>
      <c r="C1052" s="83"/>
      <c r="D1052" s="82"/>
      <c r="E1052" s="84"/>
      <c r="F1052" s="85"/>
      <c r="G1052" s="86"/>
      <c r="H1052" s="84"/>
      <c r="I1052" s="86"/>
      <c r="J1052" s="87"/>
      <c r="K1052" s="91"/>
      <c r="L1052" s="89"/>
      <c r="M1052" s="26"/>
      <c r="N1052" s="26"/>
      <c r="O1052" s="26"/>
      <c r="P1052" s="26"/>
    </row>
    <row r="1053">
      <c r="A1053" s="90"/>
      <c r="B1053" s="82"/>
      <c r="C1053" s="83"/>
      <c r="D1053" s="82"/>
      <c r="E1053" s="84"/>
      <c r="F1053" s="85"/>
      <c r="G1053" s="86"/>
      <c r="H1053" s="84"/>
      <c r="I1053" s="86"/>
      <c r="J1053" s="87"/>
      <c r="K1053" s="91"/>
      <c r="L1053" s="89"/>
      <c r="M1053" s="26"/>
      <c r="N1053" s="26"/>
      <c r="O1053" s="26"/>
      <c r="P1053" s="26"/>
    </row>
    <row r="1054">
      <c r="A1054" s="90"/>
      <c r="B1054" s="82"/>
      <c r="C1054" s="83"/>
      <c r="D1054" s="82"/>
      <c r="E1054" s="84"/>
      <c r="F1054" s="85"/>
      <c r="G1054" s="86"/>
      <c r="H1054" s="84"/>
      <c r="I1054" s="86"/>
      <c r="J1054" s="87"/>
      <c r="K1054" s="91"/>
      <c r="L1054" s="89"/>
      <c r="M1054" s="26"/>
      <c r="N1054" s="26"/>
      <c r="O1054" s="26"/>
      <c r="P1054" s="26"/>
    </row>
    <row r="1055">
      <c r="A1055" s="90"/>
      <c r="B1055" s="82"/>
      <c r="C1055" s="83"/>
      <c r="D1055" s="82"/>
      <c r="E1055" s="84"/>
      <c r="F1055" s="85"/>
      <c r="G1055" s="86"/>
      <c r="H1055" s="84"/>
      <c r="I1055" s="86"/>
      <c r="J1055" s="87"/>
      <c r="K1055" s="91"/>
      <c r="L1055" s="89"/>
      <c r="M1055" s="26"/>
      <c r="N1055" s="26"/>
      <c r="O1055" s="26"/>
      <c r="P1055" s="26"/>
    </row>
    <row r="1056">
      <c r="A1056" s="90"/>
      <c r="B1056" s="82"/>
      <c r="C1056" s="83"/>
      <c r="D1056" s="82"/>
      <c r="E1056" s="84"/>
      <c r="F1056" s="85"/>
      <c r="G1056" s="86"/>
      <c r="H1056" s="84"/>
      <c r="I1056" s="86"/>
      <c r="J1056" s="87"/>
      <c r="K1056" s="91"/>
      <c r="L1056" s="89"/>
      <c r="M1056" s="26"/>
      <c r="N1056" s="26"/>
      <c r="O1056" s="26"/>
      <c r="P1056" s="26"/>
    </row>
    <row r="1057">
      <c r="A1057" s="90"/>
      <c r="B1057" s="82"/>
      <c r="C1057" s="83"/>
      <c r="D1057" s="82"/>
      <c r="E1057" s="84"/>
      <c r="F1057" s="85"/>
      <c r="G1057" s="86"/>
      <c r="H1057" s="84"/>
      <c r="I1057" s="86"/>
      <c r="J1057" s="87"/>
      <c r="K1057" s="91"/>
      <c r="L1057" s="89"/>
      <c r="M1057" s="26"/>
      <c r="N1057" s="26"/>
      <c r="O1057" s="26"/>
      <c r="P1057" s="26"/>
    </row>
    <row r="1058">
      <c r="A1058" s="90"/>
      <c r="B1058" s="82"/>
      <c r="C1058" s="83"/>
      <c r="D1058" s="82"/>
      <c r="E1058" s="84"/>
      <c r="F1058" s="85"/>
      <c r="G1058" s="86"/>
      <c r="H1058" s="84"/>
      <c r="I1058" s="86"/>
      <c r="J1058" s="87"/>
      <c r="K1058" s="91"/>
      <c r="L1058" s="89"/>
      <c r="M1058" s="26"/>
      <c r="N1058" s="26"/>
      <c r="O1058" s="26"/>
      <c r="P1058" s="26"/>
    </row>
    <row r="1059">
      <c r="A1059" s="90"/>
      <c r="B1059" s="82"/>
      <c r="C1059" s="83"/>
      <c r="D1059" s="82"/>
      <c r="E1059" s="84"/>
      <c r="F1059" s="85"/>
      <c r="G1059" s="86"/>
      <c r="H1059" s="84"/>
      <c r="I1059" s="86"/>
      <c r="J1059" s="87"/>
      <c r="K1059" s="91"/>
      <c r="L1059" s="89"/>
      <c r="M1059" s="26"/>
      <c r="N1059" s="26"/>
      <c r="O1059" s="26"/>
      <c r="P1059" s="26"/>
    </row>
    <row r="1060">
      <c r="A1060" s="90"/>
      <c r="B1060" s="82"/>
      <c r="C1060" s="83"/>
      <c r="D1060" s="82"/>
      <c r="E1060" s="84"/>
      <c r="F1060" s="85"/>
      <c r="G1060" s="86"/>
      <c r="H1060" s="84"/>
      <c r="I1060" s="86"/>
      <c r="J1060" s="87"/>
      <c r="K1060" s="91"/>
      <c r="L1060" s="89"/>
      <c r="M1060" s="26"/>
      <c r="N1060" s="26"/>
      <c r="O1060" s="26"/>
      <c r="P1060" s="26"/>
    </row>
    <row r="1061">
      <c r="A1061" s="90"/>
      <c r="B1061" s="82"/>
      <c r="C1061" s="83"/>
      <c r="D1061" s="82"/>
      <c r="E1061" s="84"/>
      <c r="F1061" s="85"/>
      <c r="G1061" s="86"/>
      <c r="H1061" s="84"/>
      <c r="I1061" s="86"/>
      <c r="J1061" s="87"/>
      <c r="K1061" s="91"/>
      <c r="L1061" s="89"/>
      <c r="M1061" s="26"/>
      <c r="N1061" s="26"/>
      <c r="O1061" s="26"/>
      <c r="P1061" s="26"/>
    </row>
    <row r="1062">
      <c r="A1062" s="90"/>
      <c r="B1062" s="82"/>
      <c r="C1062" s="83"/>
      <c r="D1062" s="82"/>
      <c r="E1062" s="84"/>
      <c r="F1062" s="85"/>
      <c r="G1062" s="86"/>
      <c r="H1062" s="84"/>
      <c r="I1062" s="86"/>
      <c r="J1062" s="87"/>
      <c r="K1062" s="91"/>
      <c r="L1062" s="89"/>
      <c r="M1062" s="26"/>
      <c r="N1062" s="26"/>
      <c r="O1062" s="26"/>
      <c r="P1062" s="26"/>
    </row>
    <row r="1063">
      <c r="A1063" s="90"/>
      <c r="B1063" s="82"/>
      <c r="C1063" s="83"/>
      <c r="D1063" s="82"/>
      <c r="E1063" s="84"/>
      <c r="F1063" s="85"/>
      <c r="G1063" s="86"/>
      <c r="H1063" s="84"/>
      <c r="I1063" s="86"/>
      <c r="J1063" s="87"/>
      <c r="K1063" s="91"/>
      <c r="L1063" s="89"/>
      <c r="M1063" s="26"/>
      <c r="N1063" s="26"/>
      <c r="O1063" s="26"/>
      <c r="P1063" s="26"/>
    </row>
    <row r="1064">
      <c r="A1064" s="90"/>
      <c r="B1064" s="82"/>
      <c r="C1064" s="83"/>
      <c r="D1064" s="82"/>
      <c r="E1064" s="84"/>
      <c r="F1064" s="85"/>
      <c r="G1064" s="86"/>
      <c r="H1064" s="84"/>
      <c r="I1064" s="86"/>
      <c r="J1064" s="87"/>
      <c r="K1064" s="91"/>
      <c r="L1064" s="89"/>
      <c r="M1064" s="26"/>
      <c r="N1064" s="26"/>
      <c r="O1064" s="26"/>
      <c r="P1064" s="26"/>
    </row>
    <row r="1065">
      <c r="A1065" s="90"/>
      <c r="B1065" s="82"/>
      <c r="C1065" s="83"/>
      <c r="D1065" s="82"/>
      <c r="E1065" s="84"/>
      <c r="F1065" s="85"/>
      <c r="G1065" s="86"/>
      <c r="H1065" s="84"/>
      <c r="I1065" s="86"/>
      <c r="J1065" s="87"/>
      <c r="K1065" s="91"/>
      <c r="L1065" s="89"/>
      <c r="M1065" s="26"/>
      <c r="N1065" s="26"/>
      <c r="O1065" s="26"/>
      <c r="P1065" s="26"/>
    </row>
    <row r="1066">
      <c r="A1066" s="90"/>
      <c r="B1066" s="82"/>
      <c r="C1066" s="83"/>
      <c r="D1066" s="82"/>
      <c r="E1066" s="84"/>
      <c r="F1066" s="85"/>
      <c r="G1066" s="86"/>
      <c r="H1066" s="84"/>
      <c r="I1066" s="86"/>
      <c r="J1066" s="87"/>
      <c r="K1066" s="91"/>
      <c r="L1066" s="89"/>
      <c r="M1066" s="26"/>
      <c r="N1066" s="26"/>
      <c r="O1066" s="26"/>
      <c r="P1066" s="26"/>
    </row>
    <row r="1067">
      <c r="A1067" s="90"/>
      <c r="B1067" s="82"/>
      <c r="C1067" s="83"/>
      <c r="D1067" s="82"/>
      <c r="E1067" s="84"/>
      <c r="F1067" s="85"/>
      <c r="G1067" s="86"/>
      <c r="H1067" s="84"/>
      <c r="I1067" s="86"/>
      <c r="J1067" s="87"/>
      <c r="K1067" s="91"/>
      <c r="L1067" s="89"/>
      <c r="M1067" s="26"/>
      <c r="N1067" s="26"/>
      <c r="O1067" s="26"/>
      <c r="P1067" s="26"/>
    </row>
    <row r="1068">
      <c r="A1068" s="90"/>
      <c r="B1068" s="82"/>
      <c r="C1068" s="83"/>
      <c r="D1068" s="82"/>
      <c r="E1068" s="84"/>
      <c r="F1068" s="85"/>
      <c r="G1068" s="86"/>
      <c r="H1068" s="84"/>
      <c r="I1068" s="86"/>
      <c r="J1068" s="87"/>
      <c r="K1068" s="91"/>
      <c r="L1068" s="89"/>
      <c r="M1068" s="26"/>
      <c r="N1068" s="26"/>
      <c r="O1068" s="26"/>
      <c r="P1068" s="26"/>
    </row>
    <row r="1069">
      <c r="A1069" s="90"/>
      <c r="B1069" s="82"/>
      <c r="C1069" s="83"/>
      <c r="D1069" s="82"/>
      <c r="E1069" s="84"/>
      <c r="F1069" s="85"/>
      <c r="G1069" s="86"/>
      <c r="H1069" s="84"/>
      <c r="I1069" s="86"/>
      <c r="J1069" s="87"/>
      <c r="K1069" s="91"/>
      <c r="L1069" s="89"/>
      <c r="M1069" s="26"/>
      <c r="N1069" s="26"/>
      <c r="O1069" s="26"/>
      <c r="P1069" s="26"/>
    </row>
    <row r="1070">
      <c r="A1070" s="90"/>
      <c r="B1070" s="82"/>
      <c r="C1070" s="83"/>
      <c r="D1070" s="82"/>
      <c r="E1070" s="84"/>
      <c r="F1070" s="85"/>
      <c r="G1070" s="86"/>
      <c r="H1070" s="84"/>
      <c r="I1070" s="86"/>
      <c r="J1070" s="87"/>
      <c r="K1070" s="91"/>
      <c r="L1070" s="89"/>
      <c r="M1070" s="26"/>
      <c r="N1070" s="26"/>
      <c r="O1070" s="26"/>
      <c r="P1070" s="26"/>
    </row>
    <row r="1071">
      <c r="A1071" s="90"/>
      <c r="B1071" s="82"/>
      <c r="C1071" s="83"/>
      <c r="D1071" s="82"/>
      <c r="E1071" s="84"/>
      <c r="F1071" s="85"/>
      <c r="G1071" s="86"/>
      <c r="H1071" s="84"/>
      <c r="I1071" s="86"/>
      <c r="J1071" s="87"/>
      <c r="K1071" s="91"/>
      <c r="L1071" s="89"/>
      <c r="M1071" s="26"/>
      <c r="N1071" s="26"/>
      <c r="O1071" s="26"/>
      <c r="P1071" s="26"/>
    </row>
    <row r="1072">
      <c r="A1072" s="90"/>
      <c r="B1072" s="82"/>
      <c r="C1072" s="83"/>
      <c r="D1072" s="82"/>
      <c r="E1072" s="84"/>
      <c r="F1072" s="85"/>
      <c r="G1072" s="86"/>
      <c r="H1072" s="84"/>
      <c r="I1072" s="86"/>
      <c r="J1072" s="87"/>
      <c r="K1072" s="91"/>
      <c r="L1072" s="89"/>
      <c r="M1072" s="26"/>
      <c r="N1072" s="26"/>
      <c r="O1072" s="26"/>
      <c r="P1072" s="26"/>
    </row>
    <row r="1073">
      <c r="A1073" s="90"/>
      <c r="B1073" s="82"/>
      <c r="C1073" s="83"/>
      <c r="D1073" s="82"/>
      <c r="E1073" s="84"/>
      <c r="F1073" s="85"/>
      <c r="G1073" s="86"/>
      <c r="H1073" s="84"/>
      <c r="I1073" s="86"/>
      <c r="J1073" s="87"/>
      <c r="K1073" s="91"/>
      <c r="L1073" s="89"/>
      <c r="M1073" s="26"/>
      <c r="N1073" s="26"/>
      <c r="O1073" s="26"/>
      <c r="P1073" s="26"/>
    </row>
    <row r="1074">
      <c r="A1074" s="90"/>
      <c r="B1074" s="82"/>
      <c r="C1074" s="83"/>
      <c r="D1074" s="82"/>
      <c r="E1074" s="84"/>
      <c r="F1074" s="85"/>
      <c r="G1074" s="86"/>
      <c r="H1074" s="84"/>
      <c r="I1074" s="86"/>
      <c r="J1074" s="87"/>
      <c r="K1074" s="91"/>
      <c r="L1074" s="89"/>
      <c r="M1074" s="26"/>
      <c r="N1074" s="26"/>
      <c r="O1074" s="26"/>
      <c r="P1074" s="26"/>
    </row>
    <row r="1075">
      <c r="A1075" s="90"/>
      <c r="B1075" s="82"/>
      <c r="C1075" s="83"/>
      <c r="D1075" s="82"/>
      <c r="E1075" s="84"/>
      <c r="F1075" s="85"/>
      <c r="G1075" s="86"/>
      <c r="H1075" s="84"/>
      <c r="I1075" s="86"/>
      <c r="J1075" s="87"/>
      <c r="K1075" s="91"/>
      <c r="L1075" s="89"/>
      <c r="M1075" s="26"/>
      <c r="N1075" s="26"/>
      <c r="O1075" s="26"/>
      <c r="P1075" s="26"/>
    </row>
    <row r="1076">
      <c r="A1076" s="90"/>
      <c r="B1076" s="82"/>
      <c r="C1076" s="83"/>
      <c r="D1076" s="82"/>
      <c r="E1076" s="84"/>
      <c r="F1076" s="85"/>
      <c r="G1076" s="86"/>
      <c r="H1076" s="84"/>
      <c r="I1076" s="86"/>
      <c r="J1076" s="87"/>
      <c r="K1076" s="91"/>
      <c r="L1076" s="89"/>
      <c r="M1076" s="26"/>
      <c r="N1076" s="26"/>
      <c r="O1076" s="26"/>
      <c r="P1076" s="26"/>
    </row>
    <row r="1077">
      <c r="A1077" s="90"/>
      <c r="B1077" s="82"/>
      <c r="C1077" s="83"/>
      <c r="D1077" s="82"/>
      <c r="E1077" s="84"/>
      <c r="F1077" s="85"/>
      <c r="G1077" s="86"/>
      <c r="H1077" s="84"/>
      <c r="I1077" s="86"/>
      <c r="J1077" s="87"/>
      <c r="K1077" s="91"/>
      <c r="L1077" s="89"/>
      <c r="M1077" s="26"/>
      <c r="N1077" s="26"/>
      <c r="O1077" s="26"/>
      <c r="P1077" s="26"/>
    </row>
    <row r="1078">
      <c r="A1078" s="90"/>
      <c r="B1078" s="82"/>
      <c r="C1078" s="83"/>
      <c r="D1078" s="82"/>
      <c r="E1078" s="84"/>
      <c r="F1078" s="85"/>
      <c r="G1078" s="86"/>
      <c r="H1078" s="84"/>
      <c r="I1078" s="86"/>
      <c r="J1078" s="87"/>
      <c r="K1078" s="91"/>
      <c r="L1078" s="89"/>
      <c r="M1078" s="26"/>
      <c r="N1078" s="26"/>
      <c r="O1078" s="26"/>
      <c r="P1078" s="26"/>
    </row>
    <row r="1079">
      <c r="A1079" s="90"/>
      <c r="B1079" s="82"/>
      <c r="C1079" s="83"/>
      <c r="D1079" s="82"/>
      <c r="E1079" s="84"/>
      <c r="F1079" s="85"/>
      <c r="G1079" s="86"/>
      <c r="H1079" s="84"/>
      <c r="I1079" s="86"/>
      <c r="J1079" s="87"/>
      <c r="K1079" s="91"/>
      <c r="L1079" s="89"/>
      <c r="M1079" s="26"/>
      <c r="N1079" s="26"/>
      <c r="O1079" s="26"/>
      <c r="P1079" s="26"/>
    </row>
    <row r="1080">
      <c r="A1080" s="90"/>
      <c r="B1080" s="82"/>
      <c r="C1080" s="83"/>
      <c r="D1080" s="82"/>
      <c r="E1080" s="84"/>
      <c r="F1080" s="85"/>
      <c r="G1080" s="86"/>
      <c r="H1080" s="84"/>
      <c r="I1080" s="86"/>
      <c r="J1080" s="87"/>
      <c r="K1080" s="91"/>
      <c r="L1080" s="89"/>
      <c r="M1080" s="26"/>
      <c r="N1080" s="26"/>
      <c r="O1080" s="26"/>
      <c r="P1080" s="26"/>
    </row>
    <row r="1081">
      <c r="A1081" s="90"/>
      <c r="B1081" s="82"/>
      <c r="C1081" s="83"/>
      <c r="D1081" s="82"/>
      <c r="E1081" s="84"/>
      <c r="F1081" s="85"/>
      <c r="G1081" s="86"/>
      <c r="H1081" s="84"/>
      <c r="I1081" s="86"/>
      <c r="J1081" s="87"/>
      <c r="K1081" s="91"/>
      <c r="L1081" s="89"/>
      <c r="M1081" s="26"/>
      <c r="N1081" s="26"/>
      <c r="O1081" s="26"/>
      <c r="P1081" s="26"/>
    </row>
    <row r="1082">
      <c r="A1082" s="90"/>
      <c r="B1082" s="82"/>
      <c r="C1082" s="83"/>
      <c r="D1082" s="82"/>
      <c r="E1082" s="84"/>
      <c r="F1082" s="85"/>
      <c r="G1082" s="86"/>
      <c r="H1082" s="84"/>
      <c r="I1082" s="86"/>
      <c r="J1082" s="87"/>
      <c r="K1082" s="91"/>
      <c r="L1082" s="89"/>
      <c r="M1082" s="26"/>
      <c r="N1082" s="26"/>
      <c r="O1082" s="26"/>
      <c r="P1082" s="26"/>
    </row>
    <row r="1083">
      <c r="A1083" s="90"/>
      <c r="B1083" s="82"/>
      <c r="C1083" s="83"/>
      <c r="D1083" s="82"/>
      <c r="E1083" s="84"/>
      <c r="F1083" s="85"/>
      <c r="G1083" s="86"/>
      <c r="H1083" s="84"/>
      <c r="I1083" s="86"/>
      <c r="J1083" s="87"/>
      <c r="K1083" s="91"/>
      <c r="L1083" s="89"/>
      <c r="M1083" s="26"/>
      <c r="N1083" s="26"/>
      <c r="O1083" s="26"/>
      <c r="P1083" s="26"/>
    </row>
    <row r="1084">
      <c r="A1084" s="90"/>
      <c r="B1084" s="82"/>
      <c r="C1084" s="83"/>
      <c r="D1084" s="82"/>
      <c r="E1084" s="84"/>
      <c r="F1084" s="85"/>
      <c r="G1084" s="86"/>
      <c r="H1084" s="84"/>
      <c r="I1084" s="86"/>
      <c r="J1084" s="87"/>
      <c r="K1084" s="91"/>
      <c r="L1084" s="89"/>
      <c r="M1084" s="26"/>
      <c r="N1084" s="26"/>
      <c r="O1084" s="26"/>
      <c r="P1084" s="26"/>
    </row>
    <row r="1085">
      <c r="A1085" s="90"/>
      <c r="B1085" s="82"/>
      <c r="C1085" s="83"/>
      <c r="D1085" s="82"/>
      <c r="E1085" s="84"/>
      <c r="F1085" s="85"/>
      <c r="G1085" s="86"/>
      <c r="H1085" s="84"/>
      <c r="I1085" s="86"/>
      <c r="J1085" s="87"/>
      <c r="K1085" s="91"/>
      <c r="L1085" s="89"/>
      <c r="M1085" s="26"/>
      <c r="N1085" s="26"/>
      <c r="O1085" s="26"/>
      <c r="P1085" s="26"/>
    </row>
    <row r="1086">
      <c r="A1086" s="90"/>
      <c r="B1086" s="82"/>
      <c r="C1086" s="83"/>
      <c r="D1086" s="82"/>
      <c r="E1086" s="84"/>
      <c r="F1086" s="85"/>
      <c r="G1086" s="86"/>
      <c r="H1086" s="84"/>
      <c r="I1086" s="86"/>
      <c r="J1086" s="87"/>
      <c r="K1086" s="91"/>
      <c r="L1086" s="89"/>
      <c r="M1086" s="26"/>
      <c r="N1086" s="26"/>
      <c r="O1086" s="26"/>
      <c r="P1086" s="26"/>
    </row>
    <row r="1087">
      <c r="A1087" s="90"/>
      <c r="B1087" s="82"/>
      <c r="C1087" s="83"/>
      <c r="D1087" s="82"/>
      <c r="E1087" s="84"/>
      <c r="F1087" s="85"/>
      <c r="G1087" s="86"/>
      <c r="H1087" s="84"/>
      <c r="I1087" s="86"/>
      <c r="J1087" s="87"/>
      <c r="K1087" s="91"/>
      <c r="L1087" s="89"/>
      <c r="M1087" s="26"/>
      <c r="N1087" s="26"/>
      <c r="O1087" s="26"/>
      <c r="P1087" s="26"/>
    </row>
    <row r="1088">
      <c r="A1088" s="90"/>
      <c r="B1088" s="82"/>
      <c r="C1088" s="83"/>
      <c r="D1088" s="82"/>
      <c r="E1088" s="84"/>
      <c r="F1088" s="85"/>
      <c r="G1088" s="86"/>
      <c r="H1088" s="84"/>
      <c r="I1088" s="86"/>
      <c r="J1088" s="87"/>
      <c r="K1088" s="91"/>
      <c r="L1088" s="89"/>
      <c r="M1088" s="26"/>
      <c r="N1088" s="26"/>
      <c r="O1088" s="26"/>
      <c r="P1088" s="26"/>
    </row>
    <row r="1089">
      <c r="A1089" s="90"/>
      <c r="B1089" s="82"/>
      <c r="C1089" s="83"/>
      <c r="D1089" s="82"/>
      <c r="E1089" s="84"/>
      <c r="F1089" s="85"/>
      <c r="G1089" s="86"/>
      <c r="H1089" s="84"/>
      <c r="I1089" s="86"/>
      <c r="J1089" s="87"/>
      <c r="K1089" s="91"/>
      <c r="L1089" s="89"/>
      <c r="M1089" s="26"/>
      <c r="N1089" s="26"/>
      <c r="O1089" s="26"/>
      <c r="P1089" s="26"/>
    </row>
    <row r="1090">
      <c r="A1090" s="90"/>
      <c r="B1090" s="82"/>
      <c r="C1090" s="83"/>
      <c r="D1090" s="82"/>
      <c r="E1090" s="84"/>
      <c r="F1090" s="85"/>
      <c r="G1090" s="86"/>
      <c r="H1090" s="84"/>
      <c r="I1090" s="86"/>
      <c r="J1090" s="87"/>
      <c r="K1090" s="91"/>
      <c r="L1090" s="89"/>
      <c r="M1090" s="26"/>
      <c r="N1090" s="26"/>
      <c r="O1090" s="26"/>
      <c r="P1090" s="26"/>
    </row>
    <row r="1091">
      <c r="A1091" s="90"/>
      <c r="B1091" s="82"/>
      <c r="C1091" s="83"/>
      <c r="D1091" s="82"/>
      <c r="E1091" s="84"/>
      <c r="F1091" s="85"/>
      <c r="G1091" s="86"/>
      <c r="H1091" s="84"/>
      <c r="I1091" s="86"/>
      <c r="J1091" s="87"/>
      <c r="K1091" s="91"/>
      <c r="L1091" s="89"/>
      <c r="M1091" s="26"/>
      <c r="N1091" s="26"/>
      <c r="O1091" s="26"/>
      <c r="P1091" s="26"/>
    </row>
    <row r="1092">
      <c r="A1092" s="90"/>
      <c r="B1092" s="82"/>
      <c r="C1092" s="83"/>
      <c r="D1092" s="82"/>
      <c r="E1092" s="84"/>
      <c r="F1092" s="85"/>
      <c r="G1092" s="86"/>
      <c r="H1092" s="84"/>
      <c r="I1092" s="86"/>
      <c r="J1092" s="87"/>
      <c r="K1092" s="91"/>
      <c r="L1092" s="89"/>
      <c r="M1092" s="26"/>
      <c r="N1092" s="26"/>
      <c r="O1092" s="26"/>
      <c r="P1092" s="26"/>
    </row>
    <row r="1093">
      <c r="A1093" s="90"/>
      <c r="B1093" s="82"/>
      <c r="C1093" s="83"/>
      <c r="D1093" s="82"/>
      <c r="E1093" s="84"/>
      <c r="F1093" s="85"/>
      <c r="G1093" s="86"/>
      <c r="H1093" s="84"/>
      <c r="I1093" s="86"/>
      <c r="J1093" s="87"/>
      <c r="K1093" s="91"/>
      <c r="L1093" s="89"/>
      <c r="M1093" s="26"/>
      <c r="N1093" s="26"/>
      <c r="O1093" s="26"/>
      <c r="P1093" s="26"/>
    </row>
    <row r="1094">
      <c r="A1094" s="90"/>
      <c r="B1094" s="82"/>
      <c r="C1094" s="83"/>
      <c r="D1094" s="82"/>
      <c r="E1094" s="84"/>
      <c r="F1094" s="85"/>
      <c r="G1094" s="86"/>
      <c r="H1094" s="84"/>
      <c r="I1094" s="86"/>
      <c r="J1094" s="87"/>
      <c r="K1094" s="91"/>
      <c r="L1094" s="89"/>
      <c r="M1094" s="26"/>
      <c r="N1094" s="26"/>
      <c r="O1094" s="26"/>
      <c r="P1094" s="26"/>
    </row>
    <row r="1095">
      <c r="A1095" s="90"/>
      <c r="B1095" s="82"/>
      <c r="C1095" s="83"/>
      <c r="D1095" s="82"/>
      <c r="E1095" s="84"/>
      <c r="F1095" s="85"/>
      <c r="G1095" s="86"/>
      <c r="H1095" s="84"/>
      <c r="I1095" s="86"/>
      <c r="J1095" s="87"/>
      <c r="K1095" s="91"/>
      <c r="L1095" s="89"/>
      <c r="M1095" s="26"/>
      <c r="N1095" s="26"/>
      <c r="O1095" s="26"/>
      <c r="P1095" s="26"/>
    </row>
    <row r="1096">
      <c r="A1096" s="90"/>
      <c r="B1096" s="82"/>
      <c r="C1096" s="83"/>
      <c r="D1096" s="82"/>
      <c r="E1096" s="84"/>
      <c r="F1096" s="85"/>
      <c r="G1096" s="86"/>
      <c r="H1096" s="84"/>
      <c r="I1096" s="86"/>
      <c r="J1096" s="87"/>
      <c r="K1096" s="91"/>
      <c r="L1096" s="89"/>
      <c r="M1096" s="26"/>
      <c r="N1096" s="26"/>
      <c r="O1096" s="26"/>
      <c r="P1096" s="26"/>
    </row>
    <row r="1097">
      <c r="A1097" s="90"/>
      <c r="B1097" s="82"/>
      <c r="C1097" s="83"/>
      <c r="D1097" s="82"/>
      <c r="E1097" s="84"/>
      <c r="F1097" s="85"/>
      <c r="G1097" s="86"/>
      <c r="H1097" s="84"/>
      <c r="I1097" s="86"/>
      <c r="J1097" s="87"/>
      <c r="K1097" s="91"/>
      <c r="L1097" s="89"/>
      <c r="M1097" s="26"/>
      <c r="N1097" s="26"/>
      <c r="O1097" s="26"/>
      <c r="P1097" s="26"/>
    </row>
    <row r="1098">
      <c r="A1098" s="90"/>
      <c r="B1098" s="82"/>
      <c r="C1098" s="83"/>
      <c r="D1098" s="82"/>
      <c r="E1098" s="84"/>
      <c r="F1098" s="85"/>
      <c r="G1098" s="86"/>
      <c r="H1098" s="84"/>
      <c r="I1098" s="86"/>
      <c r="J1098" s="87"/>
      <c r="K1098" s="91"/>
      <c r="L1098" s="89"/>
      <c r="M1098" s="26"/>
      <c r="N1098" s="26"/>
      <c r="O1098" s="26"/>
      <c r="P1098" s="26"/>
    </row>
    <row r="1099">
      <c r="A1099" s="90"/>
      <c r="B1099" s="82"/>
      <c r="C1099" s="83"/>
      <c r="D1099" s="82"/>
      <c r="E1099" s="84"/>
      <c r="F1099" s="85"/>
      <c r="G1099" s="86"/>
      <c r="H1099" s="84"/>
      <c r="I1099" s="86"/>
      <c r="J1099" s="87"/>
      <c r="K1099" s="91"/>
      <c r="L1099" s="89"/>
      <c r="M1099" s="26"/>
      <c r="N1099" s="26"/>
      <c r="O1099" s="26"/>
      <c r="P1099" s="26"/>
    </row>
    <row r="1100">
      <c r="A1100" s="90"/>
      <c r="B1100" s="82"/>
      <c r="C1100" s="83"/>
      <c r="D1100" s="82"/>
      <c r="E1100" s="84"/>
      <c r="F1100" s="85"/>
      <c r="G1100" s="86"/>
      <c r="H1100" s="84"/>
      <c r="I1100" s="86"/>
      <c r="J1100" s="87"/>
      <c r="K1100" s="91"/>
      <c r="L1100" s="89"/>
      <c r="M1100" s="26"/>
      <c r="N1100" s="26"/>
      <c r="O1100" s="26"/>
      <c r="P1100" s="26"/>
    </row>
    <row r="1101">
      <c r="A1101" s="90"/>
      <c r="B1101" s="82"/>
      <c r="C1101" s="83"/>
      <c r="D1101" s="82"/>
      <c r="E1101" s="84"/>
      <c r="F1101" s="85"/>
      <c r="G1101" s="86"/>
      <c r="H1101" s="84"/>
      <c r="I1101" s="86"/>
      <c r="J1101" s="87"/>
      <c r="K1101" s="91"/>
      <c r="L1101" s="89"/>
      <c r="M1101" s="26"/>
      <c r="N1101" s="26"/>
      <c r="O1101" s="26"/>
      <c r="P1101" s="26"/>
    </row>
    <row r="1102">
      <c r="A1102" s="90"/>
      <c r="B1102" s="82"/>
      <c r="C1102" s="83"/>
      <c r="D1102" s="82"/>
      <c r="E1102" s="84"/>
      <c r="F1102" s="85"/>
      <c r="G1102" s="86"/>
      <c r="H1102" s="84"/>
      <c r="I1102" s="86"/>
      <c r="J1102" s="87"/>
      <c r="K1102" s="91"/>
      <c r="L1102" s="89"/>
      <c r="M1102" s="26"/>
      <c r="N1102" s="26"/>
      <c r="O1102" s="26"/>
      <c r="P1102" s="26"/>
    </row>
    <row r="1103">
      <c r="A1103" s="90"/>
      <c r="B1103" s="82"/>
      <c r="C1103" s="83"/>
      <c r="D1103" s="82"/>
      <c r="E1103" s="84"/>
      <c r="F1103" s="85"/>
      <c r="G1103" s="86"/>
      <c r="H1103" s="84"/>
      <c r="I1103" s="86"/>
      <c r="J1103" s="87"/>
      <c r="K1103" s="91"/>
      <c r="L1103" s="89"/>
      <c r="M1103" s="26"/>
      <c r="N1103" s="26"/>
      <c r="O1103" s="26"/>
      <c r="P1103" s="26"/>
    </row>
    <row r="1104">
      <c r="A1104" s="90"/>
      <c r="B1104" s="82"/>
      <c r="C1104" s="83"/>
      <c r="D1104" s="82"/>
      <c r="E1104" s="84"/>
      <c r="F1104" s="85"/>
      <c r="G1104" s="86"/>
      <c r="H1104" s="84"/>
      <c r="I1104" s="86"/>
      <c r="J1104" s="87"/>
      <c r="K1104" s="91"/>
      <c r="L1104" s="89"/>
      <c r="M1104" s="26"/>
      <c r="N1104" s="26"/>
      <c r="O1104" s="26"/>
      <c r="P1104" s="26"/>
    </row>
    <row r="1105">
      <c r="A1105" s="90"/>
      <c r="B1105" s="82"/>
      <c r="C1105" s="83"/>
      <c r="D1105" s="82"/>
      <c r="E1105" s="84"/>
      <c r="F1105" s="85"/>
      <c r="G1105" s="86"/>
      <c r="H1105" s="84"/>
      <c r="I1105" s="86"/>
      <c r="J1105" s="87"/>
      <c r="K1105" s="91"/>
      <c r="L1105" s="89"/>
      <c r="M1105" s="26"/>
      <c r="N1105" s="26"/>
      <c r="O1105" s="26"/>
      <c r="P1105" s="26"/>
    </row>
    <row r="1106">
      <c r="A1106" s="90"/>
      <c r="B1106" s="82"/>
      <c r="C1106" s="83"/>
      <c r="D1106" s="82"/>
      <c r="E1106" s="84"/>
      <c r="F1106" s="85"/>
      <c r="G1106" s="86"/>
      <c r="H1106" s="84"/>
      <c r="I1106" s="86"/>
      <c r="J1106" s="87"/>
      <c r="K1106" s="91"/>
      <c r="L1106" s="89"/>
      <c r="M1106" s="26"/>
      <c r="N1106" s="26"/>
      <c r="O1106" s="26"/>
      <c r="P1106" s="26"/>
    </row>
    <row r="1107">
      <c r="A1107" s="90"/>
      <c r="B1107" s="82"/>
      <c r="C1107" s="83"/>
      <c r="D1107" s="82"/>
      <c r="E1107" s="84"/>
      <c r="F1107" s="85"/>
      <c r="G1107" s="86"/>
      <c r="H1107" s="84"/>
      <c r="I1107" s="86"/>
      <c r="J1107" s="87"/>
      <c r="K1107" s="91"/>
      <c r="L1107" s="89"/>
      <c r="M1107" s="26"/>
      <c r="N1107" s="26"/>
      <c r="O1107" s="26"/>
      <c r="P1107" s="26"/>
    </row>
    <row r="1108">
      <c r="A1108" s="90"/>
      <c r="B1108" s="82"/>
      <c r="C1108" s="83"/>
      <c r="D1108" s="82"/>
      <c r="E1108" s="84"/>
      <c r="F1108" s="85"/>
      <c r="G1108" s="86"/>
      <c r="H1108" s="84"/>
      <c r="I1108" s="86"/>
      <c r="J1108" s="87"/>
      <c r="K1108" s="91"/>
      <c r="L1108" s="89"/>
      <c r="M1108" s="26"/>
      <c r="N1108" s="26"/>
      <c r="O1108" s="26"/>
      <c r="P1108" s="26"/>
    </row>
    <row r="1109">
      <c r="A1109" s="90"/>
      <c r="B1109" s="82"/>
      <c r="C1109" s="83"/>
      <c r="D1109" s="82"/>
      <c r="E1109" s="84"/>
      <c r="F1109" s="85"/>
      <c r="G1109" s="86"/>
      <c r="H1109" s="84"/>
      <c r="I1109" s="86"/>
      <c r="J1109" s="87"/>
      <c r="K1109" s="91"/>
      <c r="L1109" s="89"/>
      <c r="M1109" s="26"/>
      <c r="N1109" s="26"/>
      <c r="O1109" s="26"/>
      <c r="P1109" s="26"/>
    </row>
    <row r="1110">
      <c r="A1110" s="90"/>
      <c r="B1110" s="82"/>
      <c r="C1110" s="83"/>
      <c r="D1110" s="82"/>
      <c r="E1110" s="84"/>
      <c r="F1110" s="85"/>
      <c r="G1110" s="86"/>
      <c r="H1110" s="84"/>
      <c r="I1110" s="86"/>
      <c r="J1110" s="87"/>
      <c r="K1110" s="91"/>
      <c r="L1110" s="89"/>
      <c r="M1110" s="26"/>
      <c r="N1110" s="26"/>
      <c r="O1110" s="26"/>
      <c r="P1110" s="26"/>
    </row>
    <row r="1111">
      <c r="A1111" s="90"/>
      <c r="B1111" s="82"/>
      <c r="C1111" s="83"/>
      <c r="D1111" s="82"/>
      <c r="E1111" s="84"/>
      <c r="F1111" s="85"/>
      <c r="G1111" s="86"/>
      <c r="H1111" s="84"/>
      <c r="I1111" s="86"/>
      <c r="J1111" s="87"/>
      <c r="K1111" s="91"/>
      <c r="L1111" s="89"/>
      <c r="M1111" s="26"/>
      <c r="N1111" s="26"/>
      <c r="O1111" s="26"/>
      <c r="P1111" s="26"/>
    </row>
    <row r="1112">
      <c r="A1112" s="90"/>
      <c r="B1112" s="82"/>
      <c r="C1112" s="83"/>
      <c r="D1112" s="82"/>
      <c r="E1112" s="84"/>
      <c r="F1112" s="85"/>
      <c r="G1112" s="86"/>
      <c r="H1112" s="84"/>
      <c r="I1112" s="86"/>
      <c r="J1112" s="87"/>
      <c r="K1112" s="91"/>
      <c r="L1112" s="89"/>
      <c r="M1112" s="26"/>
      <c r="N1112" s="26"/>
      <c r="O1112" s="26"/>
      <c r="P1112" s="26"/>
    </row>
    <row r="1113">
      <c r="A1113" s="90"/>
      <c r="B1113" s="82"/>
      <c r="C1113" s="83"/>
      <c r="D1113" s="82"/>
      <c r="E1113" s="84"/>
      <c r="F1113" s="85"/>
      <c r="G1113" s="86"/>
      <c r="H1113" s="84"/>
      <c r="I1113" s="86"/>
      <c r="J1113" s="87"/>
      <c r="K1113" s="91"/>
      <c r="L1113" s="89"/>
      <c r="M1113" s="26"/>
      <c r="N1113" s="26"/>
      <c r="O1113" s="26"/>
      <c r="P1113" s="26"/>
    </row>
    <row r="1114">
      <c r="A1114" s="90"/>
      <c r="B1114" s="82"/>
      <c r="C1114" s="83"/>
      <c r="D1114" s="82"/>
      <c r="E1114" s="84"/>
      <c r="F1114" s="85"/>
      <c r="G1114" s="86"/>
      <c r="H1114" s="84"/>
      <c r="I1114" s="86"/>
      <c r="J1114" s="87"/>
      <c r="K1114" s="91"/>
      <c r="L1114" s="89"/>
      <c r="M1114" s="26"/>
      <c r="N1114" s="26"/>
      <c r="O1114" s="26"/>
      <c r="P1114" s="26"/>
    </row>
    <row r="1115">
      <c r="A1115" s="90"/>
      <c r="B1115" s="82"/>
      <c r="C1115" s="83"/>
      <c r="D1115" s="82"/>
      <c r="E1115" s="84"/>
      <c r="F1115" s="85"/>
      <c r="G1115" s="86"/>
      <c r="H1115" s="84"/>
      <c r="I1115" s="86"/>
      <c r="J1115" s="87"/>
      <c r="K1115" s="91"/>
      <c r="L1115" s="89"/>
      <c r="M1115" s="26"/>
      <c r="N1115" s="26"/>
      <c r="O1115" s="26"/>
      <c r="P1115" s="26"/>
    </row>
    <row r="1116">
      <c r="A1116" s="90"/>
      <c r="B1116" s="82"/>
      <c r="C1116" s="83"/>
      <c r="D1116" s="82"/>
      <c r="E1116" s="84"/>
      <c r="F1116" s="85"/>
      <c r="G1116" s="86"/>
      <c r="H1116" s="84"/>
      <c r="I1116" s="86"/>
      <c r="J1116" s="87"/>
      <c r="K1116" s="91"/>
      <c r="L1116" s="89"/>
      <c r="M1116" s="26"/>
      <c r="N1116" s="26"/>
      <c r="O1116" s="26"/>
      <c r="P1116" s="26"/>
    </row>
    <row r="1117">
      <c r="A1117" s="90"/>
      <c r="B1117" s="82"/>
      <c r="C1117" s="83"/>
      <c r="D1117" s="82"/>
      <c r="E1117" s="84"/>
      <c r="F1117" s="85"/>
      <c r="G1117" s="86"/>
      <c r="H1117" s="84"/>
      <c r="I1117" s="86"/>
      <c r="J1117" s="87"/>
      <c r="K1117" s="91"/>
      <c r="L1117" s="89"/>
      <c r="M1117" s="26"/>
      <c r="N1117" s="26"/>
      <c r="O1117" s="26"/>
      <c r="P1117" s="26"/>
    </row>
    <row r="1118">
      <c r="A1118" s="90"/>
      <c r="B1118" s="82"/>
      <c r="C1118" s="83"/>
      <c r="D1118" s="82"/>
      <c r="E1118" s="84"/>
      <c r="F1118" s="85"/>
      <c r="G1118" s="86"/>
      <c r="H1118" s="84"/>
      <c r="I1118" s="86"/>
      <c r="J1118" s="87"/>
      <c r="K1118" s="91"/>
      <c r="L1118" s="89"/>
      <c r="M1118" s="26"/>
      <c r="N1118" s="26"/>
      <c r="O1118" s="26"/>
      <c r="P1118" s="26"/>
    </row>
    <row r="1119">
      <c r="A1119" s="90"/>
      <c r="B1119" s="82"/>
      <c r="C1119" s="83"/>
      <c r="D1119" s="82"/>
      <c r="E1119" s="84"/>
      <c r="F1119" s="85"/>
      <c r="G1119" s="86"/>
      <c r="H1119" s="84"/>
      <c r="I1119" s="86"/>
      <c r="J1119" s="87"/>
      <c r="K1119" s="91"/>
      <c r="L1119" s="89"/>
      <c r="M1119" s="26"/>
      <c r="N1119" s="26"/>
      <c r="O1119" s="26"/>
      <c r="P1119" s="26"/>
    </row>
    <row r="1120">
      <c r="A1120" s="90"/>
      <c r="B1120" s="82"/>
      <c r="C1120" s="83"/>
      <c r="D1120" s="82"/>
      <c r="E1120" s="84"/>
      <c r="F1120" s="85"/>
      <c r="G1120" s="86"/>
      <c r="H1120" s="84"/>
      <c r="I1120" s="86"/>
      <c r="J1120" s="87"/>
      <c r="K1120" s="91"/>
      <c r="L1120" s="89"/>
      <c r="M1120" s="26"/>
      <c r="N1120" s="26"/>
      <c r="O1120" s="26"/>
      <c r="P1120" s="26"/>
    </row>
    <row r="1121">
      <c r="A1121" s="90"/>
      <c r="B1121" s="82"/>
      <c r="C1121" s="83"/>
      <c r="D1121" s="82"/>
      <c r="E1121" s="84"/>
      <c r="F1121" s="85"/>
      <c r="G1121" s="86"/>
      <c r="H1121" s="84"/>
      <c r="I1121" s="86"/>
      <c r="J1121" s="87"/>
      <c r="K1121" s="91"/>
      <c r="L1121" s="89"/>
      <c r="M1121" s="26"/>
      <c r="N1121" s="26"/>
      <c r="O1121" s="26"/>
      <c r="P1121" s="26"/>
    </row>
    <row r="1122">
      <c r="A1122" s="90"/>
      <c r="B1122" s="82"/>
      <c r="C1122" s="83"/>
      <c r="D1122" s="82"/>
      <c r="E1122" s="84"/>
      <c r="F1122" s="85"/>
      <c r="G1122" s="86"/>
      <c r="H1122" s="84"/>
      <c r="I1122" s="86"/>
      <c r="J1122" s="87"/>
      <c r="K1122" s="91"/>
      <c r="L1122" s="89"/>
      <c r="M1122" s="26"/>
      <c r="N1122" s="26"/>
      <c r="O1122" s="26"/>
      <c r="P1122" s="26"/>
    </row>
    <row r="1123">
      <c r="A1123" s="90"/>
      <c r="B1123" s="82"/>
      <c r="C1123" s="83"/>
      <c r="D1123" s="82"/>
      <c r="E1123" s="84"/>
      <c r="F1123" s="85"/>
      <c r="G1123" s="86"/>
      <c r="H1123" s="84"/>
      <c r="I1123" s="86"/>
      <c r="J1123" s="87"/>
      <c r="K1123" s="91"/>
      <c r="L1123" s="89"/>
      <c r="M1123" s="26"/>
      <c r="N1123" s="26"/>
      <c r="O1123" s="26"/>
      <c r="P1123" s="26"/>
    </row>
    <row r="1124">
      <c r="A1124" s="90"/>
      <c r="B1124" s="82"/>
      <c r="C1124" s="83"/>
      <c r="D1124" s="82"/>
      <c r="E1124" s="84"/>
      <c r="F1124" s="85"/>
      <c r="G1124" s="86"/>
      <c r="H1124" s="84"/>
      <c r="I1124" s="86"/>
      <c r="J1124" s="87"/>
      <c r="K1124" s="91"/>
      <c r="L1124" s="89"/>
      <c r="M1124" s="26"/>
      <c r="N1124" s="26"/>
      <c r="O1124" s="26"/>
      <c r="P1124" s="26"/>
    </row>
    <row r="1125">
      <c r="A1125" s="90"/>
      <c r="B1125" s="82"/>
      <c r="C1125" s="83"/>
      <c r="D1125" s="82"/>
      <c r="E1125" s="84"/>
      <c r="F1125" s="85"/>
      <c r="G1125" s="86"/>
      <c r="H1125" s="84"/>
      <c r="I1125" s="86"/>
      <c r="J1125" s="87"/>
      <c r="K1125" s="91"/>
      <c r="L1125" s="89"/>
      <c r="M1125" s="26"/>
      <c r="N1125" s="26"/>
      <c r="O1125" s="26"/>
      <c r="P1125" s="26"/>
    </row>
    <row r="1126">
      <c r="A1126" s="90"/>
      <c r="B1126" s="82"/>
      <c r="C1126" s="83"/>
      <c r="D1126" s="82"/>
      <c r="E1126" s="84"/>
      <c r="F1126" s="85"/>
      <c r="G1126" s="86"/>
      <c r="H1126" s="84"/>
      <c r="I1126" s="86"/>
      <c r="J1126" s="87"/>
      <c r="K1126" s="91"/>
      <c r="L1126" s="89"/>
      <c r="M1126" s="26"/>
      <c r="N1126" s="26"/>
      <c r="O1126" s="26"/>
      <c r="P1126" s="26"/>
    </row>
    <row r="1127">
      <c r="A1127" s="90"/>
      <c r="B1127" s="82"/>
      <c r="C1127" s="83"/>
      <c r="D1127" s="82"/>
      <c r="E1127" s="84"/>
      <c r="F1127" s="85"/>
      <c r="G1127" s="86"/>
      <c r="H1127" s="84"/>
      <c r="I1127" s="86"/>
      <c r="J1127" s="87"/>
      <c r="K1127" s="91"/>
      <c r="L1127" s="89"/>
      <c r="M1127" s="26"/>
      <c r="N1127" s="26"/>
      <c r="O1127" s="26"/>
      <c r="P1127" s="26"/>
    </row>
    <row r="1128">
      <c r="A1128" s="90"/>
      <c r="B1128" s="82"/>
      <c r="C1128" s="83"/>
      <c r="D1128" s="82"/>
      <c r="E1128" s="84"/>
      <c r="F1128" s="85"/>
      <c r="G1128" s="86"/>
      <c r="H1128" s="84"/>
      <c r="I1128" s="86"/>
      <c r="J1128" s="87"/>
      <c r="K1128" s="91"/>
      <c r="L1128" s="89"/>
      <c r="M1128" s="26"/>
      <c r="N1128" s="26"/>
      <c r="O1128" s="26"/>
      <c r="P1128" s="26"/>
    </row>
    <row r="1129">
      <c r="A1129" s="90"/>
      <c r="B1129" s="82"/>
      <c r="C1129" s="83"/>
      <c r="D1129" s="82"/>
      <c r="E1129" s="84"/>
      <c r="F1129" s="85"/>
      <c r="G1129" s="86"/>
      <c r="H1129" s="84"/>
      <c r="I1129" s="86"/>
      <c r="J1129" s="87"/>
      <c r="K1129" s="91"/>
      <c r="L1129" s="89"/>
      <c r="M1129" s="26"/>
      <c r="N1129" s="26"/>
      <c r="O1129" s="26"/>
      <c r="P1129" s="26"/>
    </row>
    <row r="1130">
      <c r="A1130" s="90"/>
      <c r="B1130" s="82"/>
      <c r="C1130" s="83"/>
      <c r="D1130" s="82"/>
      <c r="E1130" s="84"/>
      <c r="F1130" s="85"/>
      <c r="G1130" s="86"/>
      <c r="H1130" s="84"/>
      <c r="I1130" s="86"/>
      <c r="J1130" s="87"/>
      <c r="K1130" s="91"/>
      <c r="L1130" s="89"/>
      <c r="M1130" s="26"/>
      <c r="N1130" s="26"/>
      <c r="O1130" s="26"/>
      <c r="P1130" s="26"/>
    </row>
    <row r="1131">
      <c r="A1131" s="90"/>
      <c r="B1131" s="82"/>
      <c r="C1131" s="83"/>
      <c r="D1131" s="82"/>
      <c r="E1131" s="84"/>
      <c r="F1131" s="85"/>
      <c r="G1131" s="86"/>
      <c r="H1131" s="84"/>
      <c r="I1131" s="86"/>
      <c r="J1131" s="87"/>
      <c r="K1131" s="91"/>
      <c r="L1131" s="89"/>
      <c r="M1131" s="26"/>
      <c r="N1131" s="26"/>
      <c r="O1131" s="26"/>
      <c r="P1131" s="26"/>
    </row>
    <row r="1132">
      <c r="A1132" s="90"/>
      <c r="B1132" s="82"/>
      <c r="C1132" s="83"/>
      <c r="D1132" s="82"/>
      <c r="E1132" s="84"/>
      <c r="F1132" s="85"/>
      <c r="G1132" s="86"/>
      <c r="H1132" s="84"/>
      <c r="I1132" s="86"/>
      <c r="J1132" s="87"/>
      <c r="K1132" s="91"/>
      <c r="L1132" s="89"/>
      <c r="M1132" s="26"/>
      <c r="N1132" s="26"/>
      <c r="O1132" s="26"/>
      <c r="P1132" s="26"/>
    </row>
    <row r="1133">
      <c r="A1133" s="90"/>
      <c r="B1133" s="82"/>
      <c r="C1133" s="83"/>
      <c r="D1133" s="82"/>
      <c r="E1133" s="84"/>
      <c r="F1133" s="85"/>
      <c r="G1133" s="86"/>
      <c r="H1133" s="84"/>
      <c r="I1133" s="86"/>
      <c r="J1133" s="87"/>
      <c r="K1133" s="91"/>
      <c r="L1133" s="89"/>
      <c r="M1133" s="26"/>
      <c r="N1133" s="26"/>
      <c r="O1133" s="26"/>
      <c r="P1133" s="26"/>
    </row>
    <row r="1134">
      <c r="A1134" s="90"/>
      <c r="B1134" s="82"/>
      <c r="C1134" s="83"/>
      <c r="D1134" s="82"/>
      <c r="E1134" s="84"/>
      <c r="F1134" s="85"/>
      <c r="G1134" s="86"/>
      <c r="H1134" s="84"/>
      <c r="I1134" s="86"/>
      <c r="J1134" s="87"/>
      <c r="K1134" s="91"/>
      <c r="L1134" s="89"/>
      <c r="M1134" s="26"/>
      <c r="N1134" s="26"/>
      <c r="O1134" s="26"/>
      <c r="P1134" s="26"/>
    </row>
    <row r="1135">
      <c r="A1135" s="90"/>
      <c r="B1135" s="82"/>
      <c r="C1135" s="83"/>
      <c r="D1135" s="82"/>
      <c r="E1135" s="84"/>
      <c r="F1135" s="85"/>
      <c r="G1135" s="86"/>
      <c r="H1135" s="84"/>
      <c r="I1135" s="86"/>
      <c r="J1135" s="87"/>
      <c r="K1135" s="91"/>
      <c r="L1135" s="89"/>
      <c r="M1135" s="26"/>
      <c r="N1135" s="26"/>
      <c r="O1135" s="26"/>
      <c r="P1135" s="26"/>
    </row>
    <row r="1136">
      <c r="A1136" s="90"/>
      <c r="B1136" s="82"/>
      <c r="C1136" s="83"/>
      <c r="D1136" s="82"/>
      <c r="E1136" s="84"/>
      <c r="F1136" s="85"/>
      <c r="G1136" s="86"/>
      <c r="H1136" s="84"/>
      <c r="I1136" s="86"/>
      <c r="J1136" s="87"/>
      <c r="K1136" s="91"/>
      <c r="L1136" s="89"/>
      <c r="M1136" s="26"/>
      <c r="N1136" s="26"/>
      <c r="O1136" s="26"/>
      <c r="P1136" s="26"/>
    </row>
    <row r="1137">
      <c r="A1137" s="90"/>
      <c r="B1137" s="82"/>
      <c r="C1137" s="83"/>
      <c r="D1137" s="82"/>
      <c r="E1137" s="84"/>
      <c r="F1137" s="85"/>
      <c r="G1137" s="86"/>
      <c r="H1137" s="84"/>
      <c r="I1137" s="86"/>
      <c r="J1137" s="87"/>
      <c r="K1137" s="91"/>
      <c r="L1137" s="89"/>
      <c r="M1137" s="26"/>
      <c r="N1137" s="26"/>
      <c r="O1137" s="26"/>
      <c r="P1137" s="26"/>
    </row>
    <row r="1138">
      <c r="A1138" s="90"/>
      <c r="B1138" s="82"/>
      <c r="C1138" s="83"/>
      <c r="D1138" s="82"/>
      <c r="E1138" s="84"/>
      <c r="F1138" s="85"/>
      <c r="G1138" s="86"/>
      <c r="H1138" s="84"/>
      <c r="I1138" s="86"/>
      <c r="J1138" s="87"/>
      <c r="K1138" s="91"/>
      <c r="L1138" s="89"/>
      <c r="M1138" s="26"/>
      <c r="N1138" s="26"/>
      <c r="O1138" s="26"/>
      <c r="P1138" s="26"/>
    </row>
    <row r="1139">
      <c r="A1139" s="90"/>
      <c r="B1139" s="82"/>
      <c r="C1139" s="83"/>
      <c r="D1139" s="82"/>
      <c r="E1139" s="84"/>
      <c r="F1139" s="85"/>
      <c r="G1139" s="86"/>
      <c r="H1139" s="84"/>
      <c r="I1139" s="86"/>
      <c r="J1139" s="87"/>
      <c r="K1139" s="91"/>
      <c r="L1139" s="89"/>
      <c r="M1139" s="26"/>
      <c r="N1139" s="26"/>
      <c r="O1139" s="26"/>
      <c r="P1139" s="26"/>
    </row>
    <row r="1140">
      <c r="A1140" s="90"/>
      <c r="B1140" s="82"/>
      <c r="C1140" s="83"/>
      <c r="D1140" s="82"/>
      <c r="E1140" s="84"/>
      <c r="F1140" s="85"/>
      <c r="G1140" s="86"/>
      <c r="H1140" s="84"/>
      <c r="I1140" s="86"/>
      <c r="J1140" s="87"/>
      <c r="K1140" s="91"/>
      <c r="L1140" s="89"/>
      <c r="M1140" s="26"/>
      <c r="N1140" s="26"/>
      <c r="O1140" s="26"/>
      <c r="P1140" s="26"/>
    </row>
    <row r="1141">
      <c r="A1141" s="90"/>
      <c r="B1141" s="82"/>
      <c r="C1141" s="83"/>
      <c r="D1141" s="82"/>
      <c r="E1141" s="84"/>
      <c r="F1141" s="85"/>
      <c r="G1141" s="86"/>
      <c r="H1141" s="84"/>
      <c r="I1141" s="86"/>
      <c r="J1141" s="87"/>
      <c r="K1141" s="91"/>
      <c r="L1141" s="89"/>
      <c r="M1141" s="26"/>
      <c r="N1141" s="26"/>
      <c r="O1141" s="26"/>
      <c r="P1141" s="26"/>
    </row>
    <row r="1142">
      <c r="A1142" s="90"/>
      <c r="B1142" s="82"/>
      <c r="C1142" s="83"/>
      <c r="D1142" s="82"/>
      <c r="E1142" s="84"/>
      <c r="F1142" s="85"/>
      <c r="G1142" s="86"/>
      <c r="H1142" s="84"/>
      <c r="I1142" s="86"/>
      <c r="J1142" s="87"/>
      <c r="K1142" s="91"/>
      <c r="L1142" s="89"/>
      <c r="M1142" s="26"/>
      <c r="N1142" s="26"/>
      <c r="O1142" s="26"/>
      <c r="P1142" s="26"/>
    </row>
    <row r="1143">
      <c r="A1143" s="90"/>
      <c r="B1143" s="82"/>
      <c r="C1143" s="83"/>
      <c r="D1143" s="82"/>
      <c r="E1143" s="84"/>
      <c r="F1143" s="85"/>
      <c r="G1143" s="86"/>
      <c r="H1143" s="84"/>
      <c r="I1143" s="86"/>
      <c r="J1143" s="87"/>
      <c r="K1143" s="91"/>
      <c r="L1143" s="89"/>
      <c r="M1143" s="26"/>
      <c r="N1143" s="26"/>
      <c r="O1143" s="26"/>
      <c r="P1143" s="26"/>
    </row>
    <row r="1144">
      <c r="A1144" s="90"/>
      <c r="B1144" s="82"/>
      <c r="C1144" s="83"/>
      <c r="D1144" s="82"/>
      <c r="E1144" s="84"/>
      <c r="F1144" s="85"/>
      <c r="G1144" s="86"/>
      <c r="H1144" s="84"/>
      <c r="I1144" s="86"/>
      <c r="J1144" s="87"/>
      <c r="K1144" s="91"/>
      <c r="L1144" s="89"/>
      <c r="M1144" s="26"/>
      <c r="N1144" s="26"/>
      <c r="O1144" s="26"/>
      <c r="P1144" s="26"/>
    </row>
    <row r="1145">
      <c r="A1145" s="90"/>
      <c r="B1145" s="82"/>
      <c r="C1145" s="83"/>
      <c r="D1145" s="82"/>
      <c r="E1145" s="84"/>
      <c r="F1145" s="85"/>
      <c r="G1145" s="86"/>
      <c r="H1145" s="84"/>
      <c r="I1145" s="86"/>
      <c r="J1145" s="87"/>
      <c r="K1145" s="91"/>
      <c r="L1145" s="89"/>
      <c r="M1145" s="26"/>
      <c r="N1145" s="26"/>
      <c r="O1145" s="26"/>
      <c r="P1145" s="26"/>
    </row>
    <row r="1146">
      <c r="A1146" s="90"/>
      <c r="B1146" s="82"/>
      <c r="C1146" s="83"/>
      <c r="D1146" s="82"/>
      <c r="E1146" s="84"/>
      <c r="F1146" s="85"/>
      <c r="G1146" s="86"/>
      <c r="H1146" s="84"/>
      <c r="I1146" s="86"/>
      <c r="J1146" s="87"/>
      <c r="K1146" s="91"/>
      <c r="L1146" s="89"/>
      <c r="M1146" s="26"/>
      <c r="N1146" s="26"/>
      <c r="O1146" s="26"/>
      <c r="P1146" s="26"/>
    </row>
    <row r="1147">
      <c r="A1147" s="90"/>
      <c r="B1147" s="82"/>
      <c r="C1147" s="83"/>
      <c r="D1147" s="82"/>
      <c r="E1147" s="84"/>
      <c r="F1147" s="85"/>
      <c r="G1147" s="86"/>
      <c r="H1147" s="84"/>
      <c r="I1147" s="86"/>
      <c r="J1147" s="87"/>
      <c r="K1147" s="91"/>
      <c r="L1147" s="89"/>
      <c r="M1147" s="26"/>
      <c r="N1147" s="26"/>
      <c r="O1147" s="26"/>
      <c r="P1147" s="26"/>
    </row>
    <row r="1148">
      <c r="A1148" s="90"/>
      <c r="B1148" s="82"/>
      <c r="C1148" s="83"/>
      <c r="D1148" s="82"/>
      <c r="E1148" s="84"/>
      <c r="F1148" s="85"/>
      <c r="G1148" s="86"/>
      <c r="H1148" s="84"/>
      <c r="I1148" s="86"/>
      <c r="J1148" s="87"/>
      <c r="K1148" s="91"/>
      <c r="L1148" s="89"/>
      <c r="M1148" s="26"/>
      <c r="N1148" s="26"/>
      <c r="O1148" s="26"/>
      <c r="P1148" s="26"/>
    </row>
    <row r="1149">
      <c r="A1149" s="90"/>
      <c r="B1149" s="82"/>
      <c r="C1149" s="83"/>
      <c r="D1149" s="82"/>
      <c r="E1149" s="84"/>
      <c r="F1149" s="85"/>
      <c r="G1149" s="86"/>
      <c r="H1149" s="84"/>
      <c r="I1149" s="86"/>
      <c r="J1149" s="87"/>
      <c r="K1149" s="91"/>
      <c r="L1149" s="89"/>
      <c r="M1149" s="26"/>
      <c r="N1149" s="26"/>
      <c r="O1149" s="26"/>
      <c r="P1149" s="26"/>
    </row>
    <row r="1150">
      <c r="A1150" s="90"/>
      <c r="B1150" s="82"/>
      <c r="C1150" s="83"/>
      <c r="D1150" s="82"/>
      <c r="E1150" s="84"/>
      <c r="F1150" s="85"/>
      <c r="G1150" s="86"/>
      <c r="H1150" s="84"/>
      <c r="I1150" s="86"/>
      <c r="J1150" s="87"/>
      <c r="K1150" s="91"/>
      <c r="L1150" s="89"/>
      <c r="M1150" s="26"/>
      <c r="N1150" s="26"/>
      <c r="O1150" s="26"/>
      <c r="P1150" s="26"/>
    </row>
    <row r="1151">
      <c r="A1151" s="90"/>
      <c r="B1151" s="82"/>
      <c r="C1151" s="83"/>
      <c r="D1151" s="82"/>
      <c r="E1151" s="84"/>
      <c r="F1151" s="85"/>
      <c r="G1151" s="86"/>
      <c r="H1151" s="84"/>
      <c r="I1151" s="86"/>
      <c r="J1151" s="87"/>
      <c r="K1151" s="91"/>
      <c r="L1151" s="89"/>
      <c r="M1151" s="26"/>
      <c r="N1151" s="26"/>
      <c r="O1151" s="26"/>
      <c r="P1151" s="26"/>
    </row>
    <row r="1152">
      <c r="A1152" s="90"/>
      <c r="B1152" s="82"/>
      <c r="C1152" s="83"/>
      <c r="D1152" s="82"/>
      <c r="E1152" s="84"/>
      <c r="F1152" s="85"/>
      <c r="G1152" s="86"/>
      <c r="H1152" s="84"/>
      <c r="I1152" s="86"/>
      <c r="J1152" s="87"/>
      <c r="K1152" s="91"/>
      <c r="L1152" s="89"/>
      <c r="M1152" s="26"/>
      <c r="N1152" s="26"/>
      <c r="O1152" s="26"/>
      <c r="P1152" s="26"/>
    </row>
    <row r="1153">
      <c r="A1153" s="90"/>
      <c r="B1153" s="82"/>
      <c r="C1153" s="83"/>
      <c r="D1153" s="82"/>
      <c r="E1153" s="84"/>
      <c r="F1153" s="85"/>
      <c r="G1153" s="86"/>
      <c r="H1153" s="84"/>
      <c r="I1153" s="86"/>
      <c r="J1153" s="87"/>
      <c r="K1153" s="91"/>
      <c r="L1153" s="89"/>
      <c r="M1153" s="26"/>
      <c r="N1153" s="26"/>
      <c r="O1153" s="26"/>
      <c r="P1153" s="26"/>
    </row>
    <row r="1154">
      <c r="A1154" s="90"/>
      <c r="B1154" s="82"/>
      <c r="C1154" s="83"/>
      <c r="D1154" s="82"/>
      <c r="E1154" s="84"/>
      <c r="F1154" s="85"/>
      <c r="G1154" s="86"/>
      <c r="H1154" s="84"/>
      <c r="I1154" s="86"/>
      <c r="J1154" s="87"/>
      <c r="K1154" s="91"/>
      <c r="L1154" s="89"/>
      <c r="M1154" s="26"/>
      <c r="N1154" s="26"/>
      <c r="O1154" s="26"/>
      <c r="P1154" s="26"/>
    </row>
    <row r="1155">
      <c r="A1155" s="90"/>
      <c r="B1155" s="82"/>
      <c r="C1155" s="83"/>
      <c r="D1155" s="82"/>
      <c r="E1155" s="84"/>
      <c r="F1155" s="85"/>
      <c r="G1155" s="86"/>
      <c r="H1155" s="84"/>
      <c r="I1155" s="86"/>
      <c r="J1155" s="87"/>
      <c r="K1155" s="91"/>
      <c r="L1155" s="89"/>
      <c r="M1155" s="26"/>
      <c r="N1155" s="26"/>
      <c r="O1155" s="26"/>
      <c r="P1155" s="26"/>
    </row>
    <row r="1156">
      <c r="A1156" s="90"/>
      <c r="B1156" s="82"/>
      <c r="C1156" s="83"/>
      <c r="D1156" s="82"/>
      <c r="E1156" s="84"/>
      <c r="F1156" s="85"/>
      <c r="G1156" s="86"/>
      <c r="H1156" s="84"/>
      <c r="I1156" s="86"/>
      <c r="J1156" s="87"/>
      <c r="K1156" s="91"/>
      <c r="L1156" s="89"/>
      <c r="M1156" s="26"/>
      <c r="N1156" s="26"/>
      <c r="O1156" s="26"/>
      <c r="P1156" s="26"/>
    </row>
    <row r="1157">
      <c r="A1157" s="90"/>
      <c r="B1157" s="82"/>
      <c r="C1157" s="83"/>
      <c r="D1157" s="82"/>
      <c r="E1157" s="84"/>
      <c r="F1157" s="85"/>
      <c r="G1157" s="86"/>
      <c r="H1157" s="84"/>
      <c r="I1157" s="86"/>
      <c r="J1157" s="87"/>
      <c r="K1157" s="91"/>
      <c r="L1157" s="89"/>
      <c r="M1157" s="26"/>
      <c r="N1157" s="26"/>
      <c r="O1157" s="26"/>
      <c r="P1157" s="26"/>
    </row>
    <row r="1158">
      <c r="A1158" s="90"/>
      <c r="B1158" s="82"/>
      <c r="C1158" s="83"/>
      <c r="D1158" s="82"/>
      <c r="E1158" s="84"/>
      <c r="F1158" s="85"/>
      <c r="G1158" s="86"/>
      <c r="H1158" s="84"/>
      <c r="I1158" s="86"/>
      <c r="J1158" s="87"/>
      <c r="K1158" s="91"/>
      <c r="L1158" s="89"/>
      <c r="M1158" s="26"/>
      <c r="N1158" s="26"/>
      <c r="O1158" s="26"/>
      <c r="P1158" s="26"/>
    </row>
    <row r="1159">
      <c r="A1159" s="90"/>
      <c r="B1159" s="82"/>
      <c r="C1159" s="83"/>
      <c r="D1159" s="82"/>
      <c r="E1159" s="84"/>
      <c r="F1159" s="85"/>
      <c r="G1159" s="86"/>
      <c r="H1159" s="84"/>
      <c r="I1159" s="86"/>
      <c r="J1159" s="87"/>
      <c r="K1159" s="91"/>
      <c r="L1159" s="89"/>
      <c r="M1159" s="26"/>
      <c r="N1159" s="26"/>
      <c r="O1159" s="26"/>
      <c r="P1159" s="26"/>
    </row>
    <row r="1160">
      <c r="A1160" s="90"/>
      <c r="B1160" s="82"/>
      <c r="C1160" s="83"/>
      <c r="D1160" s="82"/>
      <c r="E1160" s="84"/>
      <c r="F1160" s="85"/>
      <c r="G1160" s="86"/>
      <c r="H1160" s="84"/>
      <c r="I1160" s="86"/>
      <c r="J1160" s="87"/>
      <c r="K1160" s="91"/>
      <c r="L1160" s="89"/>
      <c r="M1160" s="26"/>
      <c r="N1160" s="26"/>
      <c r="O1160" s="26"/>
      <c r="P1160" s="26"/>
    </row>
    <row r="1161">
      <c r="A1161" s="90"/>
      <c r="B1161" s="82"/>
      <c r="C1161" s="83"/>
      <c r="D1161" s="82"/>
      <c r="E1161" s="84"/>
      <c r="F1161" s="85"/>
      <c r="G1161" s="86"/>
      <c r="H1161" s="84"/>
      <c r="I1161" s="86"/>
      <c r="J1161" s="87"/>
      <c r="K1161" s="91"/>
      <c r="L1161" s="89"/>
      <c r="M1161" s="26"/>
      <c r="N1161" s="26"/>
      <c r="O1161" s="26"/>
      <c r="P1161" s="26"/>
    </row>
    <row r="1162">
      <c r="A1162" s="90"/>
      <c r="B1162" s="82"/>
      <c r="C1162" s="83"/>
      <c r="D1162" s="82"/>
      <c r="E1162" s="84"/>
      <c r="F1162" s="85"/>
      <c r="G1162" s="86"/>
      <c r="H1162" s="84"/>
      <c r="I1162" s="86"/>
      <c r="J1162" s="87"/>
      <c r="K1162" s="91"/>
      <c r="L1162" s="89"/>
      <c r="M1162" s="26"/>
      <c r="N1162" s="26"/>
      <c r="O1162" s="26"/>
      <c r="P1162" s="26"/>
    </row>
    <row r="1163">
      <c r="A1163" s="90"/>
      <c r="B1163" s="82"/>
      <c r="C1163" s="83"/>
      <c r="D1163" s="82"/>
      <c r="E1163" s="84"/>
      <c r="F1163" s="85"/>
      <c r="G1163" s="86"/>
      <c r="H1163" s="84"/>
      <c r="I1163" s="86"/>
      <c r="J1163" s="87"/>
      <c r="K1163" s="91"/>
      <c r="L1163" s="89"/>
      <c r="M1163" s="26"/>
      <c r="N1163" s="26"/>
      <c r="O1163" s="26"/>
      <c r="P1163" s="26"/>
    </row>
    <row r="1164">
      <c r="A1164" s="90"/>
      <c r="B1164" s="82"/>
      <c r="C1164" s="83"/>
      <c r="D1164" s="82"/>
      <c r="E1164" s="84"/>
      <c r="F1164" s="85"/>
      <c r="G1164" s="86"/>
      <c r="H1164" s="84"/>
      <c r="I1164" s="86"/>
      <c r="J1164" s="87"/>
      <c r="K1164" s="91"/>
      <c r="L1164" s="89"/>
      <c r="M1164" s="26"/>
      <c r="N1164" s="26"/>
      <c r="O1164" s="26"/>
      <c r="P1164" s="26"/>
    </row>
    <row r="1165">
      <c r="A1165" s="90"/>
      <c r="B1165" s="82"/>
      <c r="C1165" s="83"/>
      <c r="D1165" s="82"/>
      <c r="E1165" s="84"/>
      <c r="F1165" s="85"/>
      <c r="G1165" s="86"/>
      <c r="H1165" s="84"/>
      <c r="I1165" s="86"/>
      <c r="J1165" s="87"/>
      <c r="K1165" s="91"/>
      <c r="L1165" s="89"/>
      <c r="M1165" s="26"/>
      <c r="N1165" s="26"/>
      <c r="O1165" s="26"/>
      <c r="P1165" s="26"/>
    </row>
    <row r="1166">
      <c r="A1166" s="90"/>
      <c r="B1166" s="82"/>
      <c r="C1166" s="83"/>
      <c r="D1166" s="82"/>
      <c r="E1166" s="84"/>
      <c r="F1166" s="85"/>
      <c r="G1166" s="86"/>
      <c r="H1166" s="84"/>
      <c r="I1166" s="86"/>
      <c r="J1166" s="87"/>
      <c r="K1166" s="91"/>
      <c r="L1166" s="89"/>
      <c r="M1166" s="26"/>
      <c r="N1166" s="26"/>
      <c r="O1166" s="26"/>
      <c r="P1166" s="26"/>
    </row>
    <row r="1167">
      <c r="A1167" s="90"/>
      <c r="B1167" s="82"/>
      <c r="C1167" s="83"/>
      <c r="D1167" s="82"/>
      <c r="E1167" s="84"/>
      <c r="F1167" s="85"/>
      <c r="G1167" s="86"/>
      <c r="H1167" s="84"/>
      <c r="I1167" s="86"/>
      <c r="J1167" s="87"/>
      <c r="K1167" s="91"/>
      <c r="L1167" s="89"/>
      <c r="M1167" s="26"/>
      <c r="N1167" s="26"/>
      <c r="O1167" s="26"/>
      <c r="P1167" s="26"/>
    </row>
    <row r="1168">
      <c r="A1168" s="90"/>
      <c r="B1168" s="82"/>
      <c r="C1168" s="83"/>
      <c r="D1168" s="82"/>
      <c r="E1168" s="84"/>
      <c r="F1168" s="85"/>
      <c r="G1168" s="86"/>
      <c r="H1168" s="84"/>
      <c r="I1168" s="86"/>
      <c r="J1168" s="87"/>
      <c r="K1168" s="91"/>
      <c r="L1168" s="89"/>
      <c r="M1168" s="26"/>
      <c r="N1168" s="26"/>
      <c r="O1168" s="26"/>
      <c r="P1168" s="26"/>
    </row>
    <row r="1169">
      <c r="A1169" s="90"/>
      <c r="B1169" s="82"/>
      <c r="C1169" s="83"/>
      <c r="D1169" s="82"/>
      <c r="E1169" s="84"/>
      <c r="F1169" s="85"/>
      <c r="G1169" s="86"/>
      <c r="H1169" s="84"/>
      <c r="I1169" s="86"/>
      <c r="J1169" s="87"/>
      <c r="K1169" s="91"/>
      <c r="L1169" s="89"/>
      <c r="M1169" s="26"/>
      <c r="N1169" s="26"/>
      <c r="O1169" s="26"/>
      <c r="P1169" s="26"/>
    </row>
    <row r="1170">
      <c r="A1170" s="90"/>
      <c r="B1170" s="82"/>
      <c r="C1170" s="83"/>
      <c r="D1170" s="82"/>
      <c r="E1170" s="84"/>
      <c r="F1170" s="85"/>
      <c r="G1170" s="86"/>
      <c r="H1170" s="84"/>
      <c r="I1170" s="86"/>
      <c r="J1170" s="87"/>
      <c r="K1170" s="91"/>
      <c r="L1170" s="89"/>
      <c r="M1170" s="26"/>
      <c r="N1170" s="26"/>
      <c r="O1170" s="26"/>
      <c r="P1170" s="26"/>
    </row>
    <row r="1171">
      <c r="A1171" s="90"/>
      <c r="B1171" s="82"/>
      <c r="C1171" s="83"/>
      <c r="D1171" s="82"/>
      <c r="E1171" s="84"/>
      <c r="F1171" s="85"/>
      <c r="G1171" s="86"/>
      <c r="H1171" s="84"/>
      <c r="I1171" s="86"/>
      <c r="J1171" s="87"/>
      <c r="K1171" s="91"/>
      <c r="L1171" s="89"/>
      <c r="M1171" s="26"/>
      <c r="N1171" s="26"/>
      <c r="O1171" s="26"/>
      <c r="P1171" s="26"/>
    </row>
    <row r="1172">
      <c r="A1172" s="90"/>
      <c r="B1172" s="82"/>
      <c r="C1172" s="83"/>
      <c r="D1172" s="82"/>
      <c r="E1172" s="84"/>
      <c r="F1172" s="85"/>
      <c r="G1172" s="86"/>
      <c r="H1172" s="84"/>
      <c r="I1172" s="86"/>
      <c r="J1172" s="87"/>
      <c r="K1172" s="91"/>
      <c r="L1172" s="89"/>
      <c r="M1172" s="26"/>
      <c r="N1172" s="26"/>
      <c r="O1172" s="26"/>
      <c r="P1172" s="26"/>
    </row>
    <row r="1173">
      <c r="A1173" s="90"/>
      <c r="B1173" s="82"/>
      <c r="C1173" s="83"/>
      <c r="D1173" s="82"/>
      <c r="E1173" s="84"/>
      <c r="F1173" s="85"/>
      <c r="G1173" s="86"/>
      <c r="H1173" s="84"/>
      <c r="I1173" s="86"/>
      <c r="J1173" s="87"/>
      <c r="K1173" s="91"/>
      <c r="L1173" s="89"/>
      <c r="M1173" s="26"/>
      <c r="N1173" s="26"/>
      <c r="O1173" s="26"/>
      <c r="P1173" s="26"/>
    </row>
    <row r="1174">
      <c r="A1174" s="90"/>
      <c r="B1174" s="82"/>
      <c r="C1174" s="83"/>
      <c r="D1174" s="82"/>
      <c r="E1174" s="84"/>
      <c r="F1174" s="85"/>
      <c r="G1174" s="86"/>
      <c r="H1174" s="84"/>
      <c r="I1174" s="86"/>
      <c r="J1174" s="87"/>
      <c r="K1174" s="91"/>
      <c r="L1174" s="89"/>
      <c r="M1174" s="26"/>
      <c r="N1174" s="26"/>
      <c r="O1174" s="26"/>
      <c r="P1174" s="26"/>
    </row>
    <row r="1175">
      <c r="A1175" s="90"/>
      <c r="B1175" s="82"/>
      <c r="C1175" s="83"/>
      <c r="D1175" s="82"/>
      <c r="E1175" s="84"/>
      <c r="F1175" s="85"/>
      <c r="G1175" s="86"/>
      <c r="H1175" s="84"/>
      <c r="I1175" s="86"/>
      <c r="J1175" s="87"/>
      <c r="K1175" s="91"/>
      <c r="L1175" s="89"/>
      <c r="M1175" s="26"/>
      <c r="N1175" s="26"/>
      <c r="O1175" s="26"/>
      <c r="P1175" s="26"/>
    </row>
    <row r="1176">
      <c r="A1176" s="90"/>
      <c r="B1176" s="82"/>
      <c r="C1176" s="83"/>
      <c r="D1176" s="82"/>
      <c r="E1176" s="84"/>
      <c r="F1176" s="85"/>
      <c r="G1176" s="86"/>
      <c r="H1176" s="84"/>
      <c r="I1176" s="86"/>
      <c r="J1176" s="87"/>
      <c r="K1176" s="91"/>
      <c r="L1176" s="89"/>
      <c r="M1176" s="26"/>
      <c r="N1176" s="26"/>
      <c r="O1176" s="26"/>
      <c r="P1176" s="26"/>
    </row>
    <row r="1177">
      <c r="A1177" s="90"/>
      <c r="B1177" s="82"/>
      <c r="C1177" s="83"/>
      <c r="D1177" s="82"/>
      <c r="E1177" s="84"/>
      <c r="F1177" s="85"/>
      <c r="G1177" s="86"/>
      <c r="H1177" s="84"/>
      <c r="I1177" s="86"/>
      <c r="J1177" s="87"/>
      <c r="K1177" s="91"/>
      <c r="L1177" s="89"/>
      <c r="M1177" s="26"/>
      <c r="N1177" s="26"/>
      <c r="O1177" s="26"/>
      <c r="P1177" s="26"/>
    </row>
    <row r="1178">
      <c r="A1178" s="90"/>
      <c r="B1178" s="82"/>
      <c r="C1178" s="83"/>
      <c r="D1178" s="82"/>
      <c r="E1178" s="84"/>
      <c r="F1178" s="85"/>
      <c r="G1178" s="86"/>
      <c r="H1178" s="84"/>
      <c r="I1178" s="86"/>
      <c r="J1178" s="87"/>
      <c r="K1178" s="91"/>
      <c r="L1178" s="89"/>
      <c r="M1178" s="26"/>
      <c r="N1178" s="26"/>
      <c r="O1178" s="26"/>
      <c r="P1178" s="26"/>
    </row>
    <row r="1179">
      <c r="A1179" s="90"/>
      <c r="B1179" s="82"/>
      <c r="C1179" s="83"/>
      <c r="D1179" s="82"/>
      <c r="E1179" s="84"/>
      <c r="F1179" s="85"/>
      <c r="G1179" s="86"/>
      <c r="H1179" s="84"/>
      <c r="I1179" s="86"/>
      <c r="J1179" s="87"/>
      <c r="K1179" s="91"/>
      <c r="L1179" s="89"/>
      <c r="M1179" s="26"/>
      <c r="N1179" s="26"/>
      <c r="O1179" s="26"/>
      <c r="P1179" s="26"/>
    </row>
    <row r="1180">
      <c r="A1180" s="90"/>
      <c r="B1180" s="82"/>
      <c r="C1180" s="83"/>
      <c r="D1180" s="82"/>
      <c r="E1180" s="84"/>
      <c r="F1180" s="85"/>
      <c r="G1180" s="86"/>
      <c r="H1180" s="84"/>
      <c r="I1180" s="86"/>
      <c r="J1180" s="87"/>
      <c r="K1180" s="91"/>
      <c r="L1180" s="89"/>
      <c r="M1180" s="26"/>
      <c r="N1180" s="26"/>
      <c r="O1180" s="26"/>
      <c r="P1180" s="26"/>
    </row>
    <row r="1181">
      <c r="A1181" s="90"/>
      <c r="B1181" s="82"/>
      <c r="C1181" s="83"/>
      <c r="D1181" s="82"/>
      <c r="E1181" s="84"/>
      <c r="F1181" s="85"/>
      <c r="G1181" s="86"/>
      <c r="H1181" s="84"/>
      <c r="I1181" s="86"/>
      <c r="J1181" s="87"/>
      <c r="K1181" s="91"/>
      <c r="L1181" s="89"/>
      <c r="M1181" s="26"/>
      <c r="N1181" s="26"/>
      <c r="O1181" s="26"/>
      <c r="P1181" s="26"/>
    </row>
    <row r="1182">
      <c r="A1182" s="90"/>
      <c r="B1182" s="82"/>
      <c r="C1182" s="83"/>
      <c r="D1182" s="82"/>
      <c r="E1182" s="84"/>
      <c r="F1182" s="85"/>
      <c r="G1182" s="86"/>
      <c r="H1182" s="84"/>
      <c r="I1182" s="86"/>
      <c r="J1182" s="87"/>
      <c r="K1182" s="91"/>
      <c r="L1182" s="89"/>
      <c r="M1182" s="26"/>
      <c r="N1182" s="26"/>
      <c r="O1182" s="26"/>
      <c r="P1182" s="26"/>
    </row>
    <row r="1183">
      <c r="A1183" s="90"/>
      <c r="B1183" s="82"/>
      <c r="C1183" s="83"/>
      <c r="D1183" s="82"/>
      <c r="E1183" s="84"/>
      <c r="F1183" s="85"/>
      <c r="G1183" s="86"/>
      <c r="H1183" s="84"/>
      <c r="I1183" s="86"/>
      <c r="J1183" s="87"/>
      <c r="K1183" s="91"/>
      <c r="L1183" s="89"/>
      <c r="M1183" s="26"/>
      <c r="N1183" s="26"/>
      <c r="O1183" s="26"/>
      <c r="P1183" s="26"/>
    </row>
    <row r="1184">
      <c r="A1184" s="90"/>
      <c r="B1184" s="82"/>
      <c r="C1184" s="83"/>
      <c r="D1184" s="82"/>
      <c r="E1184" s="84"/>
      <c r="F1184" s="85"/>
      <c r="G1184" s="86"/>
      <c r="H1184" s="84"/>
      <c r="I1184" s="86"/>
      <c r="J1184" s="87"/>
      <c r="K1184" s="91"/>
      <c r="L1184" s="89"/>
      <c r="M1184" s="26"/>
      <c r="N1184" s="26"/>
      <c r="O1184" s="26"/>
      <c r="P1184" s="26"/>
    </row>
    <row r="1185">
      <c r="A1185" s="90"/>
      <c r="B1185" s="82"/>
      <c r="C1185" s="83"/>
      <c r="D1185" s="82"/>
      <c r="E1185" s="84"/>
      <c r="F1185" s="85"/>
      <c r="G1185" s="86"/>
      <c r="H1185" s="84"/>
      <c r="I1185" s="86"/>
      <c r="J1185" s="87"/>
      <c r="K1185" s="91"/>
      <c r="L1185" s="89"/>
      <c r="M1185" s="26"/>
      <c r="N1185" s="26"/>
      <c r="O1185" s="26"/>
      <c r="P1185" s="26"/>
    </row>
    <row r="1186">
      <c r="A1186" s="90"/>
      <c r="B1186" s="82"/>
      <c r="C1186" s="83"/>
      <c r="D1186" s="82"/>
      <c r="E1186" s="84"/>
      <c r="F1186" s="85"/>
      <c r="G1186" s="86"/>
      <c r="H1186" s="84"/>
      <c r="I1186" s="86"/>
      <c r="J1186" s="87"/>
      <c r="K1186" s="91"/>
      <c r="L1186" s="89"/>
      <c r="M1186" s="26"/>
      <c r="N1186" s="26"/>
      <c r="O1186" s="26"/>
      <c r="P1186" s="26"/>
    </row>
    <row r="1187">
      <c r="A1187" s="90"/>
      <c r="B1187" s="82"/>
      <c r="C1187" s="83"/>
      <c r="D1187" s="82"/>
      <c r="E1187" s="84"/>
      <c r="F1187" s="85"/>
      <c r="G1187" s="86"/>
      <c r="H1187" s="84"/>
      <c r="I1187" s="86"/>
      <c r="J1187" s="87"/>
      <c r="K1187" s="91"/>
      <c r="L1187" s="89"/>
      <c r="M1187" s="26"/>
      <c r="N1187" s="26"/>
      <c r="O1187" s="26"/>
      <c r="P1187" s="26"/>
    </row>
    <row r="1188">
      <c r="A1188" s="90"/>
      <c r="B1188" s="82"/>
      <c r="C1188" s="83"/>
      <c r="D1188" s="82"/>
      <c r="E1188" s="84"/>
      <c r="F1188" s="85"/>
      <c r="G1188" s="86"/>
      <c r="H1188" s="84"/>
      <c r="I1188" s="86"/>
      <c r="J1188" s="87"/>
      <c r="K1188" s="91"/>
      <c r="L1188" s="89"/>
      <c r="M1188" s="26"/>
      <c r="N1188" s="26"/>
      <c r="O1188" s="26"/>
      <c r="P1188" s="26"/>
    </row>
    <row r="1189">
      <c r="A1189" s="90"/>
      <c r="B1189" s="82"/>
      <c r="C1189" s="83"/>
      <c r="D1189" s="82"/>
      <c r="E1189" s="84"/>
      <c r="F1189" s="85"/>
      <c r="G1189" s="86"/>
      <c r="H1189" s="84"/>
      <c r="I1189" s="86"/>
      <c r="J1189" s="87"/>
      <c r="K1189" s="91"/>
      <c r="L1189" s="89"/>
      <c r="M1189" s="26"/>
      <c r="N1189" s="26"/>
      <c r="O1189" s="26"/>
      <c r="P1189" s="26"/>
    </row>
    <row r="1190">
      <c r="A1190" s="90"/>
      <c r="B1190" s="82"/>
      <c r="C1190" s="83"/>
      <c r="D1190" s="82"/>
      <c r="E1190" s="84"/>
      <c r="F1190" s="85"/>
      <c r="G1190" s="86"/>
      <c r="H1190" s="84"/>
      <c r="I1190" s="86"/>
      <c r="J1190" s="87"/>
      <c r="K1190" s="91"/>
      <c r="L1190" s="89"/>
      <c r="M1190" s="26"/>
      <c r="N1190" s="26"/>
      <c r="O1190" s="26"/>
      <c r="P1190" s="26"/>
    </row>
    <row r="1191">
      <c r="A1191" s="90"/>
      <c r="B1191" s="82"/>
      <c r="C1191" s="83"/>
      <c r="D1191" s="82"/>
      <c r="E1191" s="84"/>
      <c r="F1191" s="85"/>
      <c r="G1191" s="86"/>
      <c r="H1191" s="84"/>
      <c r="I1191" s="86"/>
      <c r="J1191" s="87"/>
      <c r="K1191" s="91"/>
      <c r="L1191" s="89"/>
      <c r="M1191" s="26"/>
      <c r="N1191" s="26"/>
      <c r="O1191" s="26"/>
      <c r="P1191" s="26"/>
    </row>
    <row r="1192">
      <c r="A1192" s="90"/>
      <c r="B1192" s="82"/>
      <c r="C1192" s="83"/>
      <c r="D1192" s="82"/>
      <c r="E1192" s="84"/>
      <c r="F1192" s="85"/>
      <c r="G1192" s="86"/>
      <c r="H1192" s="84"/>
      <c r="I1192" s="86"/>
      <c r="J1192" s="87"/>
      <c r="K1192" s="91"/>
      <c r="L1192" s="89"/>
      <c r="M1192" s="26"/>
      <c r="N1192" s="26"/>
      <c r="O1192" s="26"/>
      <c r="P1192" s="26"/>
    </row>
    <row r="1193">
      <c r="A1193" s="90"/>
      <c r="B1193" s="82"/>
      <c r="C1193" s="83"/>
      <c r="D1193" s="82"/>
      <c r="E1193" s="84"/>
      <c r="F1193" s="85"/>
      <c r="G1193" s="86"/>
      <c r="H1193" s="84"/>
      <c r="I1193" s="86"/>
      <c r="J1193" s="87"/>
      <c r="K1193" s="91"/>
      <c r="L1193" s="89"/>
      <c r="M1193" s="26"/>
      <c r="N1193" s="26"/>
      <c r="O1193" s="26"/>
      <c r="P1193" s="26"/>
    </row>
    <row r="1194">
      <c r="A1194" s="90"/>
      <c r="B1194" s="82"/>
      <c r="C1194" s="83"/>
      <c r="D1194" s="82"/>
      <c r="E1194" s="84"/>
      <c r="F1194" s="85"/>
      <c r="G1194" s="86"/>
      <c r="H1194" s="84"/>
      <c r="I1194" s="86"/>
      <c r="J1194" s="87"/>
      <c r="K1194" s="91"/>
      <c r="L1194" s="89"/>
      <c r="M1194" s="26"/>
      <c r="N1194" s="26"/>
      <c r="O1194" s="26"/>
      <c r="P1194" s="26"/>
    </row>
    <row r="1195">
      <c r="A1195" s="90"/>
      <c r="B1195" s="82"/>
      <c r="C1195" s="83"/>
      <c r="D1195" s="82"/>
      <c r="E1195" s="84"/>
      <c r="F1195" s="85"/>
      <c r="G1195" s="86"/>
      <c r="H1195" s="84"/>
      <c r="I1195" s="86"/>
      <c r="J1195" s="87"/>
      <c r="K1195" s="91"/>
      <c r="L1195" s="89"/>
      <c r="M1195" s="26"/>
      <c r="N1195" s="26"/>
      <c r="O1195" s="26"/>
      <c r="P1195" s="26"/>
    </row>
    <row r="1196">
      <c r="A1196" s="90"/>
      <c r="B1196" s="82"/>
      <c r="C1196" s="83"/>
      <c r="D1196" s="82"/>
      <c r="E1196" s="84"/>
      <c r="F1196" s="85"/>
      <c r="G1196" s="86"/>
      <c r="H1196" s="84"/>
      <c r="I1196" s="86"/>
      <c r="J1196" s="87"/>
      <c r="K1196" s="91"/>
      <c r="L1196" s="89"/>
      <c r="M1196" s="26"/>
      <c r="N1196" s="26"/>
      <c r="O1196" s="26"/>
      <c r="P1196" s="26"/>
    </row>
    <row r="1197">
      <c r="A1197" s="90"/>
      <c r="B1197" s="82"/>
      <c r="C1197" s="83"/>
      <c r="D1197" s="82"/>
      <c r="E1197" s="84"/>
      <c r="F1197" s="85"/>
      <c r="G1197" s="86"/>
      <c r="H1197" s="84"/>
      <c r="I1197" s="86"/>
      <c r="J1197" s="87"/>
      <c r="K1197" s="91"/>
      <c r="L1197" s="89"/>
      <c r="M1197" s="26"/>
      <c r="N1197" s="26"/>
      <c r="O1197" s="26"/>
      <c r="P1197" s="26"/>
    </row>
    <row r="1198">
      <c r="A1198" s="90"/>
      <c r="B1198" s="82"/>
      <c r="C1198" s="83"/>
      <c r="D1198" s="82"/>
      <c r="E1198" s="84"/>
      <c r="F1198" s="85"/>
      <c r="G1198" s="86"/>
      <c r="H1198" s="84"/>
      <c r="I1198" s="86"/>
      <c r="J1198" s="87"/>
      <c r="K1198" s="91"/>
      <c r="L1198" s="89"/>
      <c r="M1198" s="26"/>
      <c r="N1198" s="26"/>
      <c r="O1198" s="26"/>
      <c r="P1198" s="26"/>
    </row>
    <row r="1199">
      <c r="A1199" s="90"/>
      <c r="B1199" s="82"/>
      <c r="C1199" s="83"/>
      <c r="D1199" s="82"/>
      <c r="E1199" s="84"/>
      <c r="F1199" s="85"/>
      <c r="G1199" s="86"/>
      <c r="H1199" s="84"/>
      <c r="I1199" s="86"/>
      <c r="J1199" s="87"/>
      <c r="K1199" s="91"/>
      <c r="L1199" s="89"/>
      <c r="M1199" s="26"/>
      <c r="N1199" s="26"/>
      <c r="O1199" s="26"/>
      <c r="P1199" s="26"/>
    </row>
    <row r="1200">
      <c r="A1200" s="90"/>
      <c r="B1200" s="82"/>
      <c r="C1200" s="83"/>
      <c r="D1200" s="82"/>
      <c r="E1200" s="84"/>
      <c r="F1200" s="85"/>
      <c r="G1200" s="86"/>
      <c r="H1200" s="84"/>
      <c r="I1200" s="86"/>
      <c r="J1200" s="87"/>
      <c r="K1200" s="91"/>
      <c r="L1200" s="89"/>
      <c r="M1200" s="26"/>
      <c r="N1200" s="26"/>
      <c r="O1200" s="26"/>
      <c r="P1200" s="26"/>
    </row>
    <row r="1201">
      <c r="A1201" s="90"/>
      <c r="B1201" s="82"/>
      <c r="C1201" s="83"/>
      <c r="D1201" s="82"/>
      <c r="E1201" s="84"/>
      <c r="F1201" s="85"/>
      <c r="G1201" s="86"/>
      <c r="H1201" s="84"/>
      <c r="I1201" s="86"/>
      <c r="J1201" s="87"/>
      <c r="K1201" s="91"/>
      <c r="L1201" s="89"/>
      <c r="M1201" s="26"/>
      <c r="N1201" s="26"/>
      <c r="O1201" s="26"/>
      <c r="P1201" s="26"/>
    </row>
    <row r="1202">
      <c r="A1202" s="90"/>
      <c r="B1202" s="82"/>
      <c r="C1202" s="83"/>
      <c r="D1202" s="82"/>
      <c r="E1202" s="84"/>
      <c r="F1202" s="85"/>
      <c r="G1202" s="86"/>
      <c r="H1202" s="84"/>
      <c r="I1202" s="86"/>
      <c r="J1202" s="87"/>
      <c r="K1202" s="91"/>
      <c r="L1202" s="89"/>
      <c r="M1202" s="26"/>
      <c r="N1202" s="26"/>
      <c r="O1202" s="26"/>
      <c r="P1202" s="26"/>
    </row>
    <row r="1203">
      <c r="A1203" s="90"/>
      <c r="B1203" s="82"/>
      <c r="C1203" s="83"/>
      <c r="D1203" s="82"/>
      <c r="E1203" s="84"/>
      <c r="F1203" s="85"/>
      <c r="G1203" s="86"/>
      <c r="H1203" s="84"/>
      <c r="I1203" s="86"/>
      <c r="J1203" s="87"/>
      <c r="K1203" s="91"/>
      <c r="L1203" s="89"/>
      <c r="M1203" s="26"/>
      <c r="N1203" s="26"/>
      <c r="O1203" s="26"/>
      <c r="P1203" s="26"/>
    </row>
    <row r="1204">
      <c r="A1204" s="90"/>
      <c r="B1204" s="82"/>
      <c r="C1204" s="83"/>
      <c r="D1204" s="82"/>
      <c r="E1204" s="84"/>
      <c r="F1204" s="85"/>
      <c r="G1204" s="86"/>
      <c r="H1204" s="84"/>
      <c r="I1204" s="86"/>
      <c r="J1204" s="87"/>
      <c r="K1204" s="91"/>
      <c r="L1204" s="89"/>
      <c r="M1204" s="26"/>
      <c r="N1204" s="26"/>
      <c r="O1204" s="26"/>
      <c r="P1204" s="26"/>
    </row>
    <row r="1205">
      <c r="A1205" s="90"/>
      <c r="B1205" s="82"/>
      <c r="C1205" s="83"/>
      <c r="D1205" s="82"/>
      <c r="E1205" s="84"/>
      <c r="F1205" s="85"/>
      <c r="G1205" s="86"/>
      <c r="H1205" s="84"/>
      <c r="I1205" s="86"/>
      <c r="J1205" s="87"/>
      <c r="K1205" s="91"/>
      <c r="L1205" s="89"/>
      <c r="M1205" s="26"/>
      <c r="N1205" s="26"/>
      <c r="O1205" s="26"/>
      <c r="P1205" s="26"/>
    </row>
    <row r="1206">
      <c r="A1206" s="90"/>
      <c r="B1206" s="82"/>
      <c r="C1206" s="83"/>
      <c r="D1206" s="82"/>
      <c r="E1206" s="84"/>
      <c r="F1206" s="85"/>
      <c r="G1206" s="86"/>
      <c r="H1206" s="84"/>
      <c r="I1206" s="86"/>
      <c r="J1206" s="87"/>
      <c r="K1206" s="91"/>
      <c r="L1206" s="89"/>
      <c r="M1206" s="26"/>
      <c r="N1206" s="26"/>
      <c r="O1206" s="26"/>
      <c r="P1206" s="26"/>
    </row>
    <row r="1207">
      <c r="A1207" s="90"/>
      <c r="B1207" s="82"/>
      <c r="C1207" s="83"/>
      <c r="D1207" s="82"/>
      <c r="E1207" s="84"/>
      <c r="F1207" s="85"/>
      <c r="G1207" s="86"/>
      <c r="H1207" s="84"/>
      <c r="I1207" s="86"/>
      <c r="J1207" s="87"/>
      <c r="K1207" s="91"/>
      <c r="L1207" s="89"/>
      <c r="M1207" s="26"/>
      <c r="N1207" s="26"/>
      <c r="O1207" s="26"/>
      <c r="P1207" s="26"/>
    </row>
    <row r="1208">
      <c r="A1208" s="90"/>
      <c r="B1208" s="82"/>
      <c r="C1208" s="83"/>
      <c r="D1208" s="82"/>
      <c r="E1208" s="84"/>
      <c r="F1208" s="85"/>
      <c r="G1208" s="86"/>
      <c r="H1208" s="84"/>
      <c r="I1208" s="86"/>
      <c r="J1208" s="87"/>
      <c r="K1208" s="91"/>
      <c r="L1208" s="89"/>
      <c r="M1208" s="26"/>
      <c r="N1208" s="26"/>
      <c r="O1208" s="26"/>
      <c r="P1208" s="26"/>
    </row>
    <row r="1209">
      <c r="A1209" s="90"/>
      <c r="B1209" s="82"/>
      <c r="C1209" s="83"/>
      <c r="D1209" s="82"/>
      <c r="E1209" s="84"/>
      <c r="F1209" s="85"/>
      <c r="G1209" s="86"/>
      <c r="H1209" s="84"/>
      <c r="I1209" s="86"/>
      <c r="J1209" s="87"/>
      <c r="K1209" s="91"/>
      <c r="L1209" s="89"/>
      <c r="M1209" s="26"/>
      <c r="N1209" s="26"/>
      <c r="O1209" s="26"/>
      <c r="P1209" s="26"/>
    </row>
    <row r="1210">
      <c r="A1210" s="90"/>
      <c r="B1210" s="82"/>
      <c r="C1210" s="83"/>
      <c r="D1210" s="82"/>
      <c r="E1210" s="84"/>
      <c r="F1210" s="85"/>
      <c r="G1210" s="86"/>
      <c r="H1210" s="84"/>
      <c r="I1210" s="86"/>
      <c r="J1210" s="87"/>
      <c r="K1210" s="91"/>
      <c r="L1210" s="89"/>
      <c r="M1210" s="26"/>
      <c r="N1210" s="26"/>
      <c r="O1210" s="26"/>
      <c r="P1210" s="26"/>
    </row>
    <row r="1211">
      <c r="A1211" s="90"/>
      <c r="B1211" s="82"/>
      <c r="C1211" s="83"/>
      <c r="D1211" s="82"/>
      <c r="E1211" s="84"/>
      <c r="F1211" s="85"/>
      <c r="G1211" s="86"/>
      <c r="H1211" s="84"/>
      <c r="I1211" s="86"/>
      <c r="J1211" s="87"/>
      <c r="K1211" s="91"/>
      <c r="L1211" s="89"/>
      <c r="M1211" s="26"/>
      <c r="N1211" s="26"/>
      <c r="O1211" s="26"/>
      <c r="P1211" s="26"/>
    </row>
    <row r="1212">
      <c r="A1212" s="90"/>
      <c r="B1212" s="82"/>
      <c r="C1212" s="83"/>
      <c r="D1212" s="82"/>
      <c r="E1212" s="84"/>
      <c r="F1212" s="85"/>
      <c r="G1212" s="86"/>
      <c r="H1212" s="84"/>
      <c r="I1212" s="86"/>
      <c r="J1212" s="87"/>
      <c r="K1212" s="91"/>
      <c r="L1212" s="89"/>
      <c r="M1212" s="26"/>
      <c r="N1212" s="26"/>
      <c r="O1212" s="26"/>
      <c r="P1212" s="26"/>
    </row>
    <row r="1213">
      <c r="A1213" s="90"/>
      <c r="B1213" s="82"/>
      <c r="C1213" s="83"/>
      <c r="D1213" s="82"/>
      <c r="E1213" s="84"/>
      <c r="F1213" s="85"/>
      <c r="G1213" s="86"/>
      <c r="H1213" s="84"/>
      <c r="I1213" s="86"/>
      <c r="J1213" s="87"/>
      <c r="K1213" s="91"/>
      <c r="L1213" s="89"/>
      <c r="M1213" s="26"/>
      <c r="N1213" s="26"/>
      <c r="O1213" s="26"/>
      <c r="P1213" s="26"/>
    </row>
    <row r="1214">
      <c r="A1214" s="90"/>
      <c r="B1214" s="82"/>
      <c r="C1214" s="83"/>
      <c r="D1214" s="82"/>
      <c r="E1214" s="84"/>
      <c r="F1214" s="85"/>
      <c r="G1214" s="86"/>
      <c r="H1214" s="84"/>
      <c r="I1214" s="86"/>
      <c r="J1214" s="87"/>
      <c r="K1214" s="91"/>
      <c r="L1214" s="89"/>
      <c r="M1214" s="26"/>
      <c r="N1214" s="26"/>
      <c r="O1214" s="26"/>
      <c r="P1214" s="26"/>
    </row>
    <row r="1215">
      <c r="A1215" s="90"/>
      <c r="B1215" s="82"/>
      <c r="C1215" s="83"/>
      <c r="D1215" s="82"/>
      <c r="E1215" s="84"/>
      <c r="F1215" s="85"/>
      <c r="G1215" s="86"/>
      <c r="H1215" s="84"/>
      <c r="I1215" s="86"/>
      <c r="J1215" s="87"/>
      <c r="K1215" s="91"/>
      <c r="L1215" s="89"/>
      <c r="M1215" s="26"/>
      <c r="N1215" s="26"/>
      <c r="O1215" s="26"/>
      <c r="P1215" s="26"/>
    </row>
    <row r="1216">
      <c r="A1216" s="90"/>
      <c r="B1216" s="82"/>
      <c r="C1216" s="83"/>
      <c r="D1216" s="82"/>
      <c r="E1216" s="84"/>
      <c r="F1216" s="85"/>
      <c r="G1216" s="86"/>
      <c r="H1216" s="84"/>
      <c r="I1216" s="86"/>
      <c r="J1216" s="87"/>
      <c r="K1216" s="91"/>
      <c r="L1216" s="89"/>
      <c r="M1216" s="26"/>
      <c r="N1216" s="26"/>
      <c r="O1216" s="26"/>
      <c r="P1216" s="26"/>
    </row>
    <row r="1217">
      <c r="A1217" s="90"/>
      <c r="B1217" s="82"/>
      <c r="C1217" s="83"/>
      <c r="D1217" s="82"/>
      <c r="E1217" s="84"/>
      <c r="F1217" s="85"/>
      <c r="G1217" s="86"/>
      <c r="H1217" s="84"/>
      <c r="I1217" s="86"/>
      <c r="J1217" s="87"/>
      <c r="K1217" s="91"/>
      <c r="L1217" s="89"/>
      <c r="M1217" s="26"/>
      <c r="N1217" s="26"/>
      <c r="O1217" s="26"/>
      <c r="P1217" s="26"/>
    </row>
    <row r="1218">
      <c r="A1218" s="90"/>
      <c r="B1218" s="82"/>
      <c r="C1218" s="83"/>
      <c r="D1218" s="82"/>
      <c r="E1218" s="84"/>
      <c r="F1218" s="85"/>
      <c r="G1218" s="86"/>
      <c r="H1218" s="84"/>
      <c r="I1218" s="86"/>
      <c r="J1218" s="87"/>
      <c r="K1218" s="91"/>
      <c r="L1218" s="89"/>
      <c r="M1218" s="26"/>
      <c r="N1218" s="26"/>
      <c r="O1218" s="26"/>
      <c r="P1218" s="26"/>
    </row>
    <row r="1219">
      <c r="A1219" s="90"/>
      <c r="B1219" s="82"/>
      <c r="C1219" s="83"/>
      <c r="D1219" s="82"/>
      <c r="E1219" s="84"/>
      <c r="F1219" s="85"/>
      <c r="G1219" s="86"/>
      <c r="H1219" s="84"/>
      <c r="I1219" s="86"/>
      <c r="J1219" s="87"/>
      <c r="K1219" s="91"/>
      <c r="L1219" s="89"/>
      <c r="M1219" s="26"/>
      <c r="N1219" s="26"/>
      <c r="O1219" s="26"/>
      <c r="P1219" s="26"/>
    </row>
    <row r="1220">
      <c r="A1220" s="90"/>
      <c r="B1220" s="82"/>
      <c r="C1220" s="83"/>
      <c r="D1220" s="82"/>
      <c r="E1220" s="84"/>
      <c r="F1220" s="85"/>
      <c r="G1220" s="86"/>
      <c r="H1220" s="84"/>
      <c r="I1220" s="86"/>
      <c r="J1220" s="87"/>
      <c r="K1220" s="91"/>
      <c r="L1220" s="89"/>
      <c r="M1220" s="26"/>
      <c r="N1220" s="26"/>
      <c r="O1220" s="26"/>
      <c r="P1220" s="26"/>
    </row>
    <row r="1221">
      <c r="A1221" s="90"/>
      <c r="B1221" s="82"/>
      <c r="C1221" s="83"/>
      <c r="D1221" s="82"/>
      <c r="E1221" s="84"/>
      <c r="F1221" s="85"/>
      <c r="G1221" s="86"/>
      <c r="H1221" s="84"/>
      <c r="I1221" s="86"/>
      <c r="J1221" s="87"/>
      <c r="K1221" s="91"/>
      <c r="L1221" s="89"/>
      <c r="M1221" s="26"/>
      <c r="N1221" s="26"/>
      <c r="O1221" s="26"/>
      <c r="P1221" s="26"/>
    </row>
    <row r="1222">
      <c r="A1222" s="90"/>
      <c r="B1222" s="82"/>
      <c r="C1222" s="83"/>
      <c r="D1222" s="82"/>
      <c r="E1222" s="84"/>
      <c r="F1222" s="85"/>
      <c r="G1222" s="86"/>
      <c r="H1222" s="84"/>
      <c r="I1222" s="86"/>
      <c r="J1222" s="87"/>
      <c r="K1222" s="91"/>
      <c r="L1222" s="89"/>
      <c r="M1222" s="26"/>
      <c r="N1222" s="26"/>
      <c r="O1222" s="26"/>
      <c r="P1222" s="26"/>
    </row>
    <row r="1223">
      <c r="A1223" s="90"/>
      <c r="B1223" s="82"/>
      <c r="C1223" s="83"/>
      <c r="D1223" s="82"/>
      <c r="E1223" s="84"/>
      <c r="F1223" s="85"/>
      <c r="G1223" s="86"/>
      <c r="H1223" s="84"/>
      <c r="I1223" s="86"/>
      <c r="J1223" s="87"/>
      <c r="K1223" s="91"/>
      <c r="L1223" s="89"/>
      <c r="M1223" s="26"/>
      <c r="N1223" s="26"/>
      <c r="O1223" s="26"/>
      <c r="P1223" s="26"/>
    </row>
    <row r="1224">
      <c r="A1224" s="90"/>
      <c r="B1224" s="82"/>
      <c r="C1224" s="83"/>
      <c r="D1224" s="82"/>
      <c r="E1224" s="84"/>
      <c r="F1224" s="85"/>
      <c r="G1224" s="86"/>
      <c r="H1224" s="84"/>
      <c r="I1224" s="86"/>
      <c r="J1224" s="87"/>
      <c r="K1224" s="91"/>
      <c r="L1224" s="89"/>
      <c r="M1224" s="26"/>
      <c r="N1224" s="26"/>
      <c r="O1224" s="26"/>
      <c r="P1224" s="26"/>
    </row>
    <row r="1225">
      <c r="A1225" s="90"/>
      <c r="B1225" s="82"/>
      <c r="C1225" s="83"/>
      <c r="D1225" s="82"/>
      <c r="E1225" s="84"/>
      <c r="F1225" s="85"/>
      <c r="G1225" s="86"/>
      <c r="H1225" s="84"/>
      <c r="I1225" s="86"/>
      <c r="J1225" s="87"/>
      <c r="K1225" s="91"/>
      <c r="L1225" s="89"/>
      <c r="M1225" s="26"/>
      <c r="N1225" s="26"/>
      <c r="O1225" s="26"/>
      <c r="P1225" s="26"/>
    </row>
    <row r="1226">
      <c r="A1226" s="90"/>
      <c r="B1226" s="82"/>
      <c r="C1226" s="83"/>
      <c r="D1226" s="82"/>
      <c r="E1226" s="84"/>
      <c r="F1226" s="85"/>
      <c r="G1226" s="86"/>
      <c r="H1226" s="84"/>
      <c r="I1226" s="86"/>
      <c r="J1226" s="87"/>
      <c r="K1226" s="91"/>
      <c r="L1226" s="89"/>
      <c r="M1226" s="26"/>
      <c r="N1226" s="26"/>
      <c r="O1226" s="26"/>
      <c r="P1226" s="26"/>
    </row>
    <row r="1227">
      <c r="A1227" s="90"/>
      <c r="B1227" s="82"/>
      <c r="C1227" s="83"/>
      <c r="D1227" s="82"/>
      <c r="E1227" s="84"/>
      <c r="F1227" s="85"/>
      <c r="G1227" s="86"/>
      <c r="H1227" s="84"/>
      <c r="I1227" s="86"/>
      <c r="J1227" s="87"/>
      <c r="K1227" s="91"/>
      <c r="L1227" s="89"/>
      <c r="M1227" s="26"/>
      <c r="N1227" s="26"/>
      <c r="O1227" s="26"/>
      <c r="P1227" s="26"/>
    </row>
    <row r="1228">
      <c r="A1228" s="90"/>
      <c r="B1228" s="82"/>
      <c r="C1228" s="83"/>
      <c r="D1228" s="82"/>
      <c r="E1228" s="84"/>
      <c r="F1228" s="85"/>
      <c r="G1228" s="86"/>
      <c r="H1228" s="84"/>
      <c r="I1228" s="86"/>
      <c r="J1228" s="87"/>
      <c r="K1228" s="91"/>
      <c r="L1228" s="89"/>
      <c r="M1228" s="26"/>
      <c r="N1228" s="26"/>
      <c r="O1228" s="26"/>
      <c r="P1228" s="26"/>
    </row>
    <row r="1229">
      <c r="A1229" s="90"/>
      <c r="B1229" s="82"/>
      <c r="C1229" s="83"/>
      <c r="D1229" s="82"/>
      <c r="E1229" s="84"/>
      <c r="F1229" s="85"/>
      <c r="G1229" s="86"/>
      <c r="H1229" s="84"/>
      <c r="I1229" s="86"/>
      <c r="J1229" s="87"/>
      <c r="K1229" s="91"/>
      <c r="L1229" s="89"/>
      <c r="M1229" s="26"/>
      <c r="N1229" s="26"/>
      <c r="O1229" s="26"/>
      <c r="P1229" s="26"/>
    </row>
    <row r="1230">
      <c r="A1230" s="90"/>
      <c r="B1230" s="82"/>
      <c r="C1230" s="83"/>
      <c r="D1230" s="82"/>
      <c r="E1230" s="84"/>
      <c r="F1230" s="85"/>
      <c r="G1230" s="86"/>
      <c r="H1230" s="84"/>
      <c r="I1230" s="86"/>
      <c r="J1230" s="87"/>
      <c r="K1230" s="91"/>
      <c r="L1230" s="89"/>
      <c r="M1230" s="26"/>
      <c r="N1230" s="26"/>
      <c r="O1230" s="26"/>
      <c r="P1230" s="26"/>
    </row>
    <row r="1231">
      <c r="A1231" s="90"/>
      <c r="B1231" s="82"/>
      <c r="C1231" s="83"/>
      <c r="D1231" s="82"/>
      <c r="E1231" s="84"/>
      <c r="F1231" s="85"/>
      <c r="G1231" s="86"/>
      <c r="H1231" s="84"/>
      <c r="I1231" s="86"/>
      <c r="J1231" s="87"/>
      <c r="K1231" s="91"/>
      <c r="L1231" s="89"/>
      <c r="M1231" s="26"/>
      <c r="N1231" s="26"/>
      <c r="O1231" s="26"/>
      <c r="P1231" s="26"/>
    </row>
    <row r="1232">
      <c r="A1232" s="90"/>
      <c r="B1232" s="82"/>
      <c r="C1232" s="83"/>
      <c r="D1232" s="82"/>
      <c r="E1232" s="84"/>
      <c r="F1232" s="85"/>
      <c r="G1232" s="86"/>
      <c r="H1232" s="84"/>
      <c r="I1232" s="86"/>
      <c r="J1232" s="87"/>
      <c r="K1232" s="91"/>
      <c r="L1232" s="89"/>
      <c r="M1232" s="26"/>
      <c r="N1232" s="26"/>
      <c r="O1232" s="26"/>
      <c r="P1232" s="26"/>
    </row>
    <row r="1233">
      <c r="A1233" s="90"/>
      <c r="B1233" s="82"/>
      <c r="C1233" s="83"/>
      <c r="D1233" s="82"/>
      <c r="E1233" s="84"/>
      <c r="F1233" s="85"/>
      <c r="G1233" s="86"/>
      <c r="H1233" s="84"/>
      <c r="I1233" s="86"/>
      <c r="J1233" s="87"/>
      <c r="K1233" s="91"/>
      <c r="L1233" s="89"/>
      <c r="M1233" s="26"/>
      <c r="N1233" s="26"/>
      <c r="O1233" s="26"/>
      <c r="P1233" s="26"/>
    </row>
    <row r="1234">
      <c r="A1234" s="90"/>
      <c r="B1234" s="82"/>
      <c r="C1234" s="83"/>
      <c r="D1234" s="82"/>
      <c r="E1234" s="84"/>
      <c r="F1234" s="85"/>
      <c r="G1234" s="86"/>
      <c r="H1234" s="84"/>
      <c r="I1234" s="86"/>
      <c r="J1234" s="87"/>
      <c r="K1234" s="91"/>
      <c r="L1234" s="89"/>
      <c r="M1234" s="26"/>
      <c r="N1234" s="26"/>
      <c r="O1234" s="26"/>
      <c r="P1234" s="26"/>
    </row>
    <row r="1235">
      <c r="A1235" s="90"/>
      <c r="B1235" s="82"/>
      <c r="C1235" s="83"/>
      <c r="D1235" s="82"/>
      <c r="E1235" s="84"/>
      <c r="F1235" s="85"/>
      <c r="G1235" s="86"/>
      <c r="H1235" s="84"/>
      <c r="I1235" s="86"/>
      <c r="J1235" s="87"/>
      <c r="K1235" s="91"/>
      <c r="L1235" s="89"/>
      <c r="M1235" s="26"/>
      <c r="N1235" s="26"/>
      <c r="O1235" s="26"/>
      <c r="P1235" s="26"/>
    </row>
    <row r="1236">
      <c r="A1236" s="90"/>
      <c r="B1236" s="82"/>
      <c r="C1236" s="83"/>
      <c r="D1236" s="82"/>
      <c r="E1236" s="84"/>
      <c r="F1236" s="85"/>
      <c r="G1236" s="86"/>
      <c r="H1236" s="84"/>
      <c r="I1236" s="86"/>
      <c r="J1236" s="87"/>
      <c r="K1236" s="91"/>
      <c r="L1236" s="89"/>
      <c r="M1236" s="26"/>
      <c r="N1236" s="26"/>
      <c r="O1236" s="26"/>
      <c r="P1236" s="26"/>
    </row>
    <row r="1237">
      <c r="A1237" s="90"/>
      <c r="B1237" s="82"/>
      <c r="C1237" s="83"/>
      <c r="D1237" s="82"/>
      <c r="E1237" s="84"/>
      <c r="F1237" s="85"/>
      <c r="G1237" s="86"/>
      <c r="H1237" s="84"/>
      <c r="I1237" s="86"/>
      <c r="J1237" s="87"/>
      <c r="K1237" s="91"/>
      <c r="L1237" s="89"/>
      <c r="M1237" s="26"/>
      <c r="N1237" s="26"/>
      <c r="O1237" s="26"/>
      <c r="P1237" s="26"/>
    </row>
    <row r="1238">
      <c r="A1238" s="90"/>
      <c r="B1238" s="82"/>
      <c r="C1238" s="83"/>
      <c r="D1238" s="82"/>
      <c r="E1238" s="84"/>
      <c r="F1238" s="85"/>
      <c r="G1238" s="86"/>
      <c r="H1238" s="84"/>
      <c r="I1238" s="86"/>
      <c r="J1238" s="87"/>
      <c r="K1238" s="91"/>
      <c r="L1238" s="89"/>
      <c r="M1238" s="26"/>
      <c r="N1238" s="26"/>
      <c r="O1238" s="26"/>
      <c r="P1238" s="26"/>
    </row>
    <row r="1239">
      <c r="A1239" s="90"/>
      <c r="B1239" s="82"/>
      <c r="C1239" s="83"/>
      <c r="D1239" s="82"/>
      <c r="E1239" s="84"/>
      <c r="F1239" s="85"/>
      <c r="G1239" s="86"/>
      <c r="H1239" s="84"/>
      <c r="I1239" s="86"/>
      <c r="J1239" s="87"/>
      <c r="K1239" s="91"/>
      <c r="L1239" s="89"/>
      <c r="M1239" s="26"/>
      <c r="N1239" s="26"/>
      <c r="O1239" s="26"/>
      <c r="P1239" s="26"/>
    </row>
    <row r="1240">
      <c r="A1240" s="90"/>
      <c r="B1240" s="82"/>
      <c r="C1240" s="83"/>
      <c r="D1240" s="82"/>
      <c r="E1240" s="84"/>
      <c r="F1240" s="85"/>
      <c r="G1240" s="86"/>
      <c r="H1240" s="84"/>
      <c r="I1240" s="86"/>
      <c r="J1240" s="87"/>
      <c r="K1240" s="91"/>
      <c r="L1240" s="89"/>
      <c r="M1240" s="26"/>
      <c r="N1240" s="26"/>
      <c r="O1240" s="26"/>
      <c r="P1240" s="26"/>
    </row>
    <row r="1241">
      <c r="A1241" s="90"/>
      <c r="B1241" s="82"/>
      <c r="C1241" s="83"/>
      <c r="D1241" s="82"/>
      <c r="E1241" s="84"/>
      <c r="F1241" s="85"/>
      <c r="G1241" s="86"/>
      <c r="H1241" s="84"/>
      <c r="I1241" s="86"/>
      <c r="J1241" s="87"/>
      <c r="K1241" s="91"/>
      <c r="L1241" s="89"/>
      <c r="M1241" s="26"/>
      <c r="N1241" s="26"/>
      <c r="O1241" s="26"/>
      <c r="P1241" s="26"/>
    </row>
    <row r="1242">
      <c r="A1242" s="90"/>
      <c r="B1242" s="82"/>
      <c r="C1242" s="83"/>
      <c r="D1242" s="82"/>
      <c r="E1242" s="84"/>
      <c r="F1242" s="85"/>
      <c r="G1242" s="86"/>
      <c r="H1242" s="84"/>
      <c r="I1242" s="86"/>
      <c r="J1242" s="87"/>
      <c r="K1242" s="91"/>
      <c r="L1242" s="89"/>
      <c r="M1242" s="26"/>
      <c r="N1242" s="26"/>
      <c r="O1242" s="26"/>
      <c r="P1242" s="26"/>
    </row>
    <row r="1243">
      <c r="A1243" s="90"/>
      <c r="B1243" s="82"/>
      <c r="C1243" s="83"/>
      <c r="D1243" s="82"/>
      <c r="E1243" s="84"/>
      <c r="F1243" s="85"/>
      <c r="G1243" s="86"/>
      <c r="H1243" s="84"/>
      <c r="I1243" s="86"/>
      <c r="J1243" s="87"/>
      <c r="K1243" s="91"/>
      <c r="L1243" s="89"/>
      <c r="M1243" s="26"/>
      <c r="N1243" s="26"/>
      <c r="O1243" s="26"/>
      <c r="P1243" s="26"/>
    </row>
    <row r="1244">
      <c r="A1244" s="90"/>
      <c r="B1244" s="82"/>
      <c r="C1244" s="83"/>
      <c r="D1244" s="82"/>
      <c r="E1244" s="84"/>
      <c r="F1244" s="85"/>
      <c r="G1244" s="86"/>
      <c r="H1244" s="84"/>
      <c r="I1244" s="86"/>
      <c r="J1244" s="87"/>
      <c r="K1244" s="91"/>
      <c r="L1244" s="89"/>
      <c r="M1244" s="26"/>
      <c r="N1244" s="26"/>
      <c r="O1244" s="26"/>
      <c r="P1244" s="26"/>
    </row>
    <row r="1245">
      <c r="A1245" s="90"/>
      <c r="B1245" s="82"/>
      <c r="C1245" s="83"/>
      <c r="D1245" s="82"/>
      <c r="E1245" s="84"/>
      <c r="F1245" s="85"/>
      <c r="G1245" s="86"/>
      <c r="H1245" s="84"/>
      <c r="I1245" s="86"/>
      <c r="J1245" s="87"/>
      <c r="K1245" s="91"/>
      <c r="L1245" s="89"/>
      <c r="M1245" s="26"/>
      <c r="N1245" s="26"/>
      <c r="O1245" s="26"/>
      <c r="P1245" s="26"/>
    </row>
    <row r="1246">
      <c r="A1246" s="90"/>
      <c r="B1246" s="82"/>
      <c r="C1246" s="83"/>
      <c r="D1246" s="82"/>
      <c r="E1246" s="84"/>
      <c r="F1246" s="85"/>
      <c r="G1246" s="86"/>
      <c r="H1246" s="84"/>
      <c r="I1246" s="86"/>
      <c r="J1246" s="87"/>
      <c r="K1246" s="91"/>
      <c r="L1246" s="89"/>
      <c r="M1246" s="26"/>
      <c r="N1246" s="26"/>
      <c r="O1246" s="26"/>
      <c r="P1246" s="26"/>
    </row>
    <row r="1247">
      <c r="A1247" s="90"/>
      <c r="B1247" s="82"/>
      <c r="C1247" s="83"/>
      <c r="D1247" s="82"/>
      <c r="E1247" s="84"/>
      <c r="F1247" s="85"/>
      <c r="G1247" s="86"/>
      <c r="H1247" s="84"/>
      <c r="I1247" s="86"/>
      <c r="J1247" s="87"/>
      <c r="K1247" s="91"/>
      <c r="L1247" s="89"/>
      <c r="M1247" s="26"/>
      <c r="N1247" s="26"/>
      <c r="O1247" s="26"/>
      <c r="P1247" s="26"/>
    </row>
    <row r="1248">
      <c r="A1248" s="90"/>
      <c r="B1248" s="82"/>
      <c r="C1248" s="83"/>
      <c r="D1248" s="82"/>
      <c r="E1248" s="84"/>
      <c r="F1248" s="85"/>
      <c r="G1248" s="86"/>
      <c r="H1248" s="84"/>
      <c r="I1248" s="86"/>
      <c r="J1248" s="87"/>
      <c r="K1248" s="91"/>
      <c r="L1248" s="89"/>
      <c r="M1248" s="26"/>
      <c r="N1248" s="26"/>
      <c r="O1248" s="26"/>
      <c r="P1248" s="26"/>
    </row>
    <row r="1249">
      <c r="A1249" s="90"/>
      <c r="B1249" s="82"/>
      <c r="C1249" s="83"/>
      <c r="D1249" s="82"/>
      <c r="E1249" s="84"/>
      <c r="F1249" s="85"/>
      <c r="G1249" s="86"/>
      <c r="H1249" s="84"/>
      <c r="I1249" s="86"/>
      <c r="J1249" s="87"/>
      <c r="K1249" s="91"/>
      <c r="L1249" s="89"/>
      <c r="M1249" s="26"/>
      <c r="N1249" s="26"/>
      <c r="O1249" s="26"/>
      <c r="P1249" s="26"/>
    </row>
    <row r="1250">
      <c r="A1250" s="90"/>
      <c r="B1250" s="82"/>
      <c r="C1250" s="83"/>
      <c r="D1250" s="82"/>
      <c r="E1250" s="84"/>
      <c r="F1250" s="85"/>
      <c r="G1250" s="86"/>
      <c r="H1250" s="84"/>
      <c r="I1250" s="86"/>
      <c r="J1250" s="87"/>
      <c r="K1250" s="91"/>
      <c r="L1250" s="89"/>
      <c r="M1250" s="26"/>
      <c r="N1250" s="26"/>
      <c r="O1250" s="26"/>
      <c r="P1250" s="26"/>
    </row>
    <row r="1251">
      <c r="A1251" s="90"/>
      <c r="B1251" s="82"/>
      <c r="C1251" s="83"/>
      <c r="D1251" s="82"/>
      <c r="E1251" s="84"/>
      <c r="F1251" s="85"/>
      <c r="G1251" s="86"/>
      <c r="H1251" s="84"/>
      <c r="I1251" s="86"/>
      <c r="J1251" s="87"/>
      <c r="K1251" s="91"/>
      <c r="L1251" s="89"/>
      <c r="M1251" s="26"/>
      <c r="N1251" s="26"/>
      <c r="O1251" s="26"/>
      <c r="P1251" s="26"/>
    </row>
    <row r="1252">
      <c r="A1252" s="90"/>
      <c r="B1252" s="82"/>
      <c r="C1252" s="83"/>
      <c r="D1252" s="82"/>
      <c r="E1252" s="84"/>
      <c r="F1252" s="85"/>
      <c r="G1252" s="86"/>
      <c r="H1252" s="84"/>
      <c r="I1252" s="86"/>
      <c r="J1252" s="87"/>
      <c r="K1252" s="91"/>
      <c r="L1252" s="89"/>
      <c r="M1252" s="26"/>
      <c r="N1252" s="26"/>
      <c r="O1252" s="26"/>
      <c r="P1252" s="26"/>
    </row>
    <row r="1253">
      <c r="A1253" s="90"/>
      <c r="B1253" s="82"/>
      <c r="C1253" s="83"/>
      <c r="D1253" s="82"/>
      <c r="E1253" s="84"/>
      <c r="F1253" s="85"/>
      <c r="G1253" s="86"/>
      <c r="H1253" s="84"/>
      <c r="I1253" s="86"/>
      <c r="J1253" s="87"/>
      <c r="K1253" s="91"/>
      <c r="L1253" s="89"/>
      <c r="M1253" s="26"/>
      <c r="N1253" s="26"/>
      <c r="O1253" s="26"/>
      <c r="P1253" s="26"/>
    </row>
    <row r="1254">
      <c r="A1254" s="90"/>
      <c r="B1254" s="82"/>
      <c r="C1254" s="83"/>
      <c r="D1254" s="82"/>
      <c r="E1254" s="84"/>
      <c r="F1254" s="85"/>
      <c r="G1254" s="86"/>
      <c r="H1254" s="84"/>
      <c r="I1254" s="86"/>
      <c r="J1254" s="87"/>
      <c r="K1254" s="91"/>
      <c r="L1254" s="89"/>
      <c r="M1254" s="26"/>
      <c r="N1254" s="26"/>
      <c r="O1254" s="26"/>
      <c r="P1254" s="26"/>
    </row>
    <row r="1255">
      <c r="A1255" s="90"/>
      <c r="B1255" s="82"/>
      <c r="C1255" s="83"/>
      <c r="D1255" s="82"/>
      <c r="E1255" s="84"/>
      <c r="F1255" s="85"/>
      <c r="G1255" s="86"/>
      <c r="H1255" s="84"/>
      <c r="I1255" s="86"/>
      <c r="J1255" s="87"/>
      <c r="K1255" s="91"/>
      <c r="L1255" s="89"/>
      <c r="M1255" s="26"/>
      <c r="N1255" s="26"/>
      <c r="O1255" s="26"/>
      <c r="P1255" s="26"/>
    </row>
    <row r="1256">
      <c r="A1256" s="90"/>
      <c r="B1256" s="82"/>
      <c r="C1256" s="83"/>
      <c r="D1256" s="82"/>
      <c r="E1256" s="84"/>
      <c r="F1256" s="85"/>
      <c r="G1256" s="86"/>
      <c r="H1256" s="84"/>
      <c r="I1256" s="86"/>
      <c r="J1256" s="87"/>
      <c r="K1256" s="91"/>
      <c r="L1256" s="89"/>
      <c r="M1256" s="26"/>
      <c r="N1256" s="26"/>
      <c r="O1256" s="26"/>
      <c r="P1256" s="26"/>
    </row>
    <row r="1257">
      <c r="A1257" s="90"/>
      <c r="B1257" s="82"/>
      <c r="C1257" s="83"/>
      <c r="D1257" s="82"/>
      <c r="E1257" s="84"/>
      <c r="F1257" s="85"/>
      <c r="G1257" s="86"/>
      <c r="H1257" s="84"/>
      <c r="I1257" s="86"/>
      <c r="J1257" s="87"/>
      <c r="K1257" s="91"/>
      <c r="L1257" s="89"/>
      <c r="M1257" s="26"/>
      <c r="N1257" s="26"/>
      <c r="O1257" s="26"/>
      <c r="P1257" s="26"/>
    </row>
    <row r="1258">
      <c r="A1258" s="90"/>
      <c r="B1258" s="82"/>
      <c r="C1258" s="83"/>
      <c r="D1258" s="82"/>
      <c r="E1258" s="84"/>
      <c r="F1258" s="85"/>
      <c r="G1258" s="86"/>
      <c r="H1258" s="84"/>
      <c r="I1258" s="86"/>
      <c r="J1258" s="87"/>
      <c r="K1258" s="91"/>
      <c r="L1258" s="89"/>
      <c r="M1258" s="26"/>
      <c r="N1258" s="26"/>
      <c r="O1258" s="26"/>
      <c r="P1258" s="26"/>
    </row>
    <row r="1259">
      <c r="A1259" s="90"/>
      <c r="B1259" s="82"/>
      <c r="C1259" s="83"/>
      <c r="D1259" s="82"/>
      <c r="E1259" s="84"/>
      <c r="F1259" s="85"/>
      <c r="G1259" s="86"/>
      <c r="H1259" s="84"/>
      <c r="I1259" s="86"/>
      <c r="J1259" s="87"/>
      <c r="K1259" s="91"/>
      <c r="L1259" s="89"/>
      <c r="M1259" s="26"/>
      <c r="N1259" s="26"/>
      <c r="O1259" s="26"/>
      <c r="P1259" s="26"/>
    </row>
    <row r="1260">
      <c r="A1260" s="90"/>
      <c r="B1260" s="82"/>
      <c r="C1260" s="83"/>
      <c r="D1260" s="82"/>
      <c r="E1260" s="84"/>
      <c r="F1260" s="85"/>
      <c r="G1260" s="86"/>
      <c r="H1260" s="84"/>
      <c r="I1260" s="86"/>
      <c r="J1260" s="87"/>
      <c r="K1260" s="91"/>
      <c r="L1260" s="89"/>
      <c r="M1260" s="26"/>
      <c r="N1260" s="26"/>
      <c r="O1260" s="26"/>
      <c r="P1260" s="26"/>
    </row>
    <row r="1261">
      <c r="A1261" s="90"/>
      <c r="B1261" s="82"/>
      <c r="C1261" s="83"/>
      <c r="D1261" s="82"/>
      <c r="E1261" s="84"/>
      <c r="F1261" s="85"/>
      <c r="G1261" s="86"/>
      <c r="H1261" s="84"/>
      <c r="I1261" s="86"/>
      <c r="J1261" s="87"/>
      <c r="K1261" s="91"/>
      <c r="L1261" s="89"/>
      <c r="M1261" s="26"/>
      <c r="N1261" s="26"/>
      <c r="O1261" s="26"/>
      <c r="P1261" s="26"/>
    </row>
    <row r="1262">
      <c r="A1262" s="90"/>
      <c r="B1262" s="82"/>
      <c r="C1262" s="83"/>
      <c r="D1262" s="82"/>
      <c r="E1262" s="84"/>
      <c r="F1262" s="85"/>
      <c r="G1262" s="86"/>
      <c r="H1262" s="84"/>
      <c r="I1262" s="86"/>
      <c r="J1262" s="87"/>
      <c r="K1262" s="91"/>
      <c r="L1262" s="89"/>
      <c r="M1262" s="26"/>
      <c r="N1262" s="26"/>
      <c r="O1262" s="26"/>
      <c r="P1262" s="26"/>
    </row>
    <row r="1263">
      <c r="A1263" s="90"/>
      <c r="B1263" s="82"/>
      <c r="C1263" s="83"/>
      <c r="D1263" s="82"/>
      <c r="E1263" s="84"/>
      <c r="F1263" s="85"/>
      <c r="G1263" s="86"/>
      <c r="H1263" s="84"/>
      <c r="I1263" s="86"/>
      <c r="J1263" s="87"/>
      <c r="K1263" s="91"/>
      <c r="L1263" s="89"/>
      <c r="M1263" s="26"/>
      <c r="N1263" s="26"/>
      <c r="O1263" s="26"/>
      <c r="P1263" s="26"/>
    </row>
    <row r="1264">
      <c r="A1264" s="90"/>
      <c r="B1264" s="82"/>
      <c r="C1264" s="83"/>
      <c r="D1264" s="82"/>
      <c r="E1264" s="84"/>
      <c r="F1264" s="85"/>
      <c r="G1264" s="86"/>
      <c r="H1264" s="84"/>
      <c r="I1264" s="86"/>
      <c r="J1264" s="87"/>
      <c r="K1264" s="91"/>
      <c r="L1264" s="89"/>
      <c r="M1264" s="26"/>
      <c r="N1264" s="26"/>
      <c r="O1264" s="26"/>
      <c r="P1264" s="26"/>
    </row>
    <row r="1265">
      <c r="A1265" s="90"/>
      <c r="B1265" s="82"/>
      <c r="C1265" s="83"/>
      <c r="D1265" s="82"/>
      <c r="E1265" s="84"/>
      <c r="F1265" s="85"/>
      <c r="G1265" s="86"/>
      <c r="H1265" s="84"/>
      <c r="I1265" s="86"/>
      <c r="J1265" s="87"/>
      <c r="K1265" s="91"/>
      <c r="L1265" s="89"/>
      <c r="M1265" s="26"/>
      <c r="N1265" s="26"/>
      <c r="O1265" s="26"/>
      <c r="P1265" s="26"/>
    </row>
    <row r="1266">
      <c r="A1266" s="90"/>
      <c r="B1266" s="82"/>
      <c r="C1266" s="83"/>
      <c r="D1266" s="82"/>
      <c r="E1266" s="84"/>
      <c r="F1266" s="85"/>
      <c r="G1266" s="86"/>
      <c r="H1266" s="84"/>
      <c r="I1266" s="86"/>
      <c r="J1266" s="87"/>
      <c r="K1266" s="91"/>
      <c r="L1266" s="89"/>
      <c r="M1266" s="26"/>
      <c r="N1266" s="26"/>
      <c r="O1266" s="26"/>
      <c r="P1266" s="26"/>
    </row>
    <row r="1267">
      <c r="A1267" s="90"/>
      <c r="B1267" s="82"/>
      <c r="C1267" s="83"/>
      <c r="D1267" s="82"/>
      <c r="E1267" s="84"/>
      <c r="F1267" s="85"/>
      <c r="G1267" s="86"/>
      <c r="H1267" s="84"/>
      <c r="I1267" s="86"/>
      <c r="J1267" s="87"/>
      <c r="K1267" s="91"/>
      <c r="L1267" s="89"/>
      <c r="M1267" s="26"/>
      <c r="N1267" s="26"/>
      <c r="O1267" s="26"/>
      <c r="P1267" s="26"/>
    </row>
    <row r="1268">
      <c r="A1268" s="90"/>
      <c r="B1268" s="82"/>
      <c r="C1268" s="83"/>
      <c r="D1268" s="82"/>
      <c r="E1268" s="84"/>
      <c r="F1268" s="85"/>
      <c r="G1268" s="86"/>
      <c r="H1268" s="84"/>
      <c r="I1268" s="86"/>
      <c r="J1268" s="87"/>
      <c r="K1268" s="91"/>
      <c r="L1268" s="89"/>
      <c r="M1268" s="26"/>
      <c r="N1268" s="26"/>
      <c r="O1268" s="26"/>
      <c r="P1268" s="26"/>
    </row>
    <row r="1269">
      <c r="A1269" s="90"/>
      <c r="B1269" s="82"/>
      <c r="C1269" s="83"/>
      <c r="D1269" s="82"/>
      <c r="E1269" s="84"/>
      <c r="F1269" s="85"/>
      <c r="G1269" s="86"/>
      <c r="H1269" s="84"/>
      <c r="I1269" s="86"/>
      <c r="J1269" s="87"/>
      <c r="K1269" s="91"/>
      <c r="L1269" s="89"/>
      <c r="M1269" s="26"/>
      <c r="N1269" s="26"/>
      <c r="O1269" s="26"/>
      <c r="P1269" s="26"/>
    </row>
    <row r="1270">
      <c r="A1270" s="90"/>
      <c r="B1270" s="82"/>
      <c r="C1270" s="83"/>
      <c r="D1270" s="82"/>
      <c r="E1270" s="84"/>
      <c r="F1270" s="85"/>
      <c r="G1270" s="86"/>
      <c r="H1270" s="84"/>
      <c r="I1270" s="86"/>
      <c r="J1270" s="87"/>
      <c r="K1270" s="91"/>
      <c r="L1270" s="89"/>
      <c r="M1270" s="26"/>
      <c r="N1270" s="26"/>
      <c r="O1270" s="26"/>
      <c r="P1270" s="26"/>
    </row>
    <row r="1271">
      <c r="A1271" s="90"/>
      <c r="B1271" s="82"/>
      <c r="C1271" s="83"/>
      <c r="D1271" s="82"/>
      <c r="E1271" s="84"/>
      <c r="F1271" s="85"/>
      <c r="G1271" s="86"/>
      <c r="H1271" s="84"/>
      <c r="I1271" s="86"/>
      <c r="J1271" s="87"/>
      <c r="K1271" s="91"/>
      <c r="L1271" s="89"/>
      <c r="M1271" s="26"/>
      <c r="N1271" s="26"/>
      <c r="O1271" s="26"/>
      <c r="P1271" s="26"/>
    </row>
    <row r="1272">
      <c r="A1272" s="90"/>
      <c r="B1272" s="82"/>
      <c r="C1272" s="83"/>
      <c r="D1272" s="82"/>
      <c r="E1272" s="84"/>
      <c r="F1272" s="85"/>
      <c r="G1272" s="86"/>
      <c r="H1272" s="84"/>
      <c r="I1272" s="86"/>
      <c r="J1272" s="87"/>
      <c r="K1272" s="91"/>
      <c r="L1272" s="89"/>
      <c r="M1272" s="26"/>
      <c r="N1272" s="26"/>
      <c r="O1272" s="26"/>
      <c r="P1272" s="26"/>
    </row>
    <row r="1273">
      <c r="A1273" s="90"/>
      <c r="B1273" s="82"/>
      <c r="C1273" s="83"/>
      <c r="D1273" s="82"/>
      <c r="E1273" s="84"/>
      <c r="F1273" s="85"/>
      <c r="G1273" s="86"/>
      <c r="H1273" s="84"/>
      <c r="I1273" s="86"/>
      <c r="J1273" s="87"/>
      <c r="K1273" s="91"/>
      <c r="L1273" s="89"/>
      <c r="M1273" s="26"/>
      <c r="N1273" s="26"/>
      <c r="O1273" s="26"/>
      <c r="P1273" s="26"/>
    </row>
    <row r="1274">
      <c r="A1274" s="90"/>
      <c r="B1274" s="82"/>
      <c r="C1274" s="83"/>
      <c r="D1274" s="82"/>
      <c r="E1274" s="84"/>
      <c r="F1274" s="85"/>
      <c r="G1274" s="86"/>
      <c r="H1274" s="84"/>
      <c r="I1274" s="86"/>
      <c r="J1274" s="87"/>
      <c r="K1274" s="91"/>
      <c r="L1274" s="89"/>
      <c r="M1274" s="26"/>
      <c r="N1274" s="26"/>
      <c r="O1274" s="26"/>
      <c r="P1274" s="26"/>
    </row>
    <row r="1275">
      <c r="A1275" s="90"/>
      <c r="B1275" s="82"/>
      <c r="C1275" s="83"/>
      <c r="D1275" s="82"/>
      <c r="E1275" s="84"/>
      <c r="F1275" s="85"/>
      <c r="G1275" s="86"/>
      <c r="H1275" s="84"/>
      <c r="I1275" s="86"/>
      <c r="J1275" s="87"/>
      <c r="K1275" s="91"/>
      <c r="L1275" s="89"/>
      <c r="M1275" s="26"/>
      <c r="N1275" s="26"/>
      <c r="O1275" s="26"/>
      <c r="P1275" s="26"/>
    </row>
    <row r="1276">
      <c r="A1276" s="90"/>
      <c r="B1276" s="82"/>
      <c r="C1276" s="83"/>
      <c r="D1276" s="82"/>
      <c r="E1276" s="84"/>
      <c r="F1276" s="85"/>
      <c r="G1276" s="86"/>
      <c r="H1276" s="84"/>
      <c r="I1276" s="86"/>
      <c r="J1276" s="87"/>
      <c r="K1276" s="91"/>
      <c r="L1276" s="89"/>
      <c r="M1276" s="26"/>
      <c r="N1276" s="26"/>
      <c r="O1276" s="26"/>
      <c r="P1276" s="26"/>
    </row>
    <row r="1277">
      <c r="A1277" s="90"/>
      <c r="B1277" s="82"/>
      <c r="C1277" s="83"/>
      <c r="D1277" s="82"/>
      <c r="E1277" s="84"/>
      <c r="F1277" s="85"/>
      <c r="G1277" s="86"/>
      <c r="H1277" s="84"/>
      <c r="I1277" s="86"/>
      <c r="J1277" s="87"/>
      <c r="K1277" s="91"/>
      <c r="L1277" s="89"/>
      <c r="M1277" s="26"/>
      <c r="N1277" s="26"/>
      <c r="O1277" s="26"/>
      <c r="P1277" s="26"/>
    </row>
    <row r="1278">
      <c r="A1278" s="90"/>
      <c r="B1278" s="82"/>
      <c r="C1278" s="83"/>
      <c r="D1278" s="82"/>
      <c r="E1278" s="84"/>
      <c r="F1278" s="85"/>
      <c r="G1278" s="86"/>
      <c r="H1278" s="84"/>
      <c r="I1278" s="86"/>
      <c r="J1278" s="87"/>
      <c r="K1278" s="91"/>
      <c r="L1278" s="89"/>
      <c r="M1278" s="26"/>
      <c r="N1278" s="26"/>
      <c r="O1278" s="26"/>
      <c r="P1278" s="26"/>
    </row>
    <row r="1279">
      <c r="A1279" s="90"/>
      <c r="B1279" s="82"/>
      <c r="C1279" s="83"/>
      <c r="D1279" s="82"/>
      <c r="E1279" s="84"/>
      <c r="F1279" s="85"/>
      <c r="G1279" s="86"/>
      <c r="H1279" s="84"/>
      <c r="I1279" s="86"/>
      <c r="J1279" s="87"/>
      <c r="K1279" s="91"/>
      <c r="L1279" s="89"/>
      <c r="M1279" s="26"/>
      <c r="N1279" s="26"/>
      <c r="O1279" s="26"/>
      <c r="P1279" s="26"/>
    </row>
    <row r="1280">
      <c r="A1280" s="90"/>
      <c r="B1280" s="82"/>
      <c r="C1280" s="83"/>
      <c r="D1280" s="82"/>
      <c r="E1280" s="84"/>
      <c r="F1280" s="85"/>
      <c r="G1280" s="86"/>
      <c r="H1280" s="84"/>
      <c r="I1280" s="86"/>
      <c r="J1280" s="87"/>
      <c r="K1280" s="91"/>
      <c r="L1280" s="89"/>
      <c r="M1280" s="26"/>
      <c r="N1280" s="26"/>
      <c r="O1280" s="26"/>
      <c r="P1280" s="26"/>
    </row>
    <row r="1281">
      <c r="A1281" s="90"/>
      <c r="B1281" s="82"/>
      <c r="C1281" s="83"/>
      <c r="D1281" s="82"/>
      <c r="E1281" s="84"/>
      <c r="F1281" s="85"/>
      <c r="G1281" s="86"/>
      <c r="H1281" s="84"/>
      <c r="I1281" s="86"/>
      <c r="J1281" s="87"/>
      <c r="K1281" s="91"/>
      <c r="L1281" s="89"/>
      <c r="M1281" s="26"/>
      <c r="N1281" s="26"/>
      <c r="O1281" s="26"/>
      <c r="P1281" s="26"/>
    </row>
    <row r="1282">
      <c r="A1282" s="90"/>
      <c r="B1282" s="82"/>
      <c r="C1282" s="83"/>
      <c r="D1282" s="82"/>
      <c r="E1282" s="84"/>
      <c r="F1282" s="85"/>
      <c r="G1282" s="86"/>
      <c r="H1282" s="84"/>
      <c r="I1282" s="86"/>
      <c r="J1282" s="87"/>
      <c r="K1282" s="91"/>
      <c r="L1282" s="89"/>
      <c r="M1282" s="26"/>
      <c r="N1282" s="26"/>
      <c r="O1282" s="26"/>
      <c r="P1282" s="26"/>
    </row>
    <row r="1283">
      <c r="A1283" s="90"/>
      <c r="B1283" s="82"/>
      <c r="C1283" s="83"/>
      <c r="D1283" s="82"/>
      <c r="E1283" s="84"/>
      <c r="F1283" s="85"/>
      <c r="G1283" s="86"/>
      <c r="H1283" s="84"/>
      <c r="I1283" s="86"/>
      <c r="J1283" s="87"/>
      <c r="K1283" s="91"/>
      <c r="L1283" s="89"/>
      <c r="M1283" s="26"/>
      <c r="N1283" s="26"/>
      <c r="O1283" s="26"/>
      <c r="P1283" s="26"/>
    </row>
    <row r="1284">
      <c r="A1284" s="90"/>
      <c r="B1284" s="82"/>
      <c r="C1284" s="83"/>
      <c r="D1284" s="82"/>
      <c r="E1284" s="84"/>
      <c r="F1284" s="85"/>
      <c r="G1284" s="86"/>
      <c r="H1284" s="84"/>
      <c r="I1284" s="86"/>
      <c r="J1284" s="87"/>
      <c r="K1284" s="91"/>
      <c r="L1284" s="89"/>
      <c r="M1284" s="26"/>
      <c r="N1284" s="26"/>
      <c r="O1284" s="26"/>
      <c r="P1284" s="26"/>
    </row>
    <row r="1285">
      <c r="A1285" s="90"/>
      <c r="B1285" s="82"/>
      <c r="C1285" s="83"/>
      <c r="D1285" s="82"/>
      <c r="E1285" s="84"/>
      <c r="F1285" s="85"/>
      <c r="G1285" s="86"/>
      <c r="H1285" s="84"/>
      <c r="I1285" s="86"/>
      <c r="J1285" s="87"/>
      <c r="K1285" s="91"/>
      <c r="L1285" s="89"/>
      <c r="M1285" s="26"/>
      <c r="N1285" s="26"/>
      <c r="O1285" s="26"/>
      <c r="P1285" s="26"/>
    </row>
    <row r="1286">
      <c r="A1286" s="90"/>
      <c r="B1286" s="82"/>
      <c r="C1286" s="83"/>
      <c r="D1286" s="82"/>
      <c r="E1286" s="84"/>
      <c r="F1286" s="85"/>
      <c r="G1286" s="86"/>
      <c r="H1286" s="84"/>
      <c r="I1286" s="86"/>
      <c r="J1286" s="87"/>
      <c r="K1286" s="91"/>
      <c r="L1286" s="89"/>
      <c r="M1286" s="26"/>
      <c r="N1286" s="26"/>
      <c r="O1286" s="26"/>
      <c r="P1286" s="26"/>
    </row>
    <row r="1287">
      <c r="A1287" s="90"/>
      <c r="B1287" s="82"/>
      <c r="C1287" s="83"/>
      <c r="D1287" s="82"/>
      <c r="E1287" s="84"/>
      <c r="F1287" s="85"/>
      <c r="G1287" s="86"/>
      <c r="H1287" s="84"/>
      <c r="I1287" s="86"/>
      <c r="J1287" s="87"/>
      <c r="K1287" s="91"/>
      <c r="L1287" s="89"/>
      <c r="M1287" s="26"/>
      <c r="N1287" s="26"/>
      <c r="O1287" s="26"/>
      <c r="P1287" s="26"/>
    </row>
    <row r="1288">
      <c r="A1288" s="90"/>
      <c r="B1288" s="82"/>
      <c r="C1288" s="83"/>
      <c r="D1288" s="82"/>
      <c r="E1288" s="84"/>
      <c r="F1288" s="85"/>
      <c r="G1288" s="86"/>
      <c r="H1288" s="84"/>
      <c r="I1288" s="86"/>
      <c r="J1288" s="87"/>
      <c r="K1288" s="91"/>
      <c r="L1288" s="89"/>
      <c r="M1288" s="26"/>
      <c r="N1288" s="26"/>
      <c r="O1288" s="26"/>
      <c r="P1288" s="26"/>
    </row>
    <row r="1289">
      <c r="A1289" s="90"/>
      <c r="B1289" s="82"/>
      <c r="C1289" s="83"/>
      <c r="D1289" s="82"/>
      <c r="E1289" s="84"/>
      <c r="F1289" s="85"/>
      <c r="G1289" s="86"/>
      <c r="H1289" s="84"/>
      <c r="I1289" s="86"/>
      <c r="J1289" s="87"/>
      <c r="K1289" s="91"/>
      <c r="L1289" s="89"/>
      <c r="M1289" s="26"/>
      <c r="N1289" s="26"/>
      <c r="O1289" s="26"/>
      <c r="P1289" s="26"/>
    </row>
    <row r="1290">
      <c r="A1290" s="90"/>
      <c r="B1290" s="82"/>
      <c r="C1290" s="83"/>
      <c r="D1290" s="82"/>
      <c r="E1290" s="84"/>
      <c r="F1290" s="85"/>
      <c r="G1290" s="86"/>
      <c r="H1290" s="84"/>
      <c r="I1290" s="86"/>
      <c r="J1290" s="87"/>
      <c r="K1290" s="91"/>
      <c r="L1290" s="89"/>
      <c r="M1290" s="26"/>
      <c r="N1290" s="26"/>
      <c r="O1290" s="26"/>
      <c r="P1290" s="26"/>
    </row>
    <row r="1291">
      <c r="A1291" s="90"/>
      <c r="B1291" s="82"/>
      <c r="C1291" s="83"/>
      <c r="D1291" s="82"/>
      <c r="E1291" s="84"/>
      <c r="F1291" s="85"/>
      <c r="G1291" s="86"/>
      <c r="H1291" s="84"/>
      <c r="I1291" s="86"/>
      <c r="J1291" s="87"/>
      <c r="K1291" s="91"/>
      <c r="L1291" s="89"/>
      <c r="M1291" s="26"/>
      <c r="N1291" s="26"/>
      <c r="O1291" s="26"/>
      <c r="P1291" s="26"/>
    </row>
    <row r="1292">
      <c r="A1292" s="90"/>
      <c r="B1292" s="82"/>
      <c r="C1292" s="83"/>
      <c r="D1292" s="82"/>
      <c r="E1292" s="84"/>
      <c r="F1292" s="85"/>
      <c r="G1292" s="86"/>
      <c r="H1292" s="84"/>
      <c r="I1292" s="86"/>
      <c r="J1292" s="87"/>
      <c r="K1292" s="91"/>
      <c r="L1292" s="89"/>
      <c r="M1292" s="26"/>
      <c r="N1292" s="26"/>
      <c r="O1292" s="26"/>
      <c r="P1292" s="26"/>
    </row>
    <row r="1293">
      <c r="A1293" s="90"/>
      <c r="B1293" s="82"/>
      <c r="C1293" s="83"/>
      <c r="D1293" s="82"/>
      <c r="E1293" s="84"/>
      <c r="F1293" s="85"/>
      <c r="G1293" s="86"/>
      <c r="H1293" s="84"/>
      <c r="I1293" s="86"/>
      <c r="J1293" s="87"/>
      <c r="K1293" s="91"/>
      <c r="L1293" s="89"/>
      <c r="M1293" s="26"/>
      <c r="N1293" s="26"/>
      <c r="O1293" s="26"/>
      <c r="P1293" s="26"/>
    </row>
    <row r="1294">
      <c r="A1294" s="90"/>
      <c r="B1294" s="82"/>
      <c r="C1294" s="83"/>
      <c r="D1294" s="82"/>
      <c r="E1294" s="84"/>
      <c r="F1294" s="85"/>
      <c r="G1294" s="86"/>
      <c r="H1294" s="84"/>
      <c r="I1294" s="86"/>
      <c r="J1294" s="87"/>
      <c r="K1294" s="91"/>
      <c r="L1294" s="89"/>
      <c r="M1294" s="26"/>
      <c r="N1294" s="26"/>
      <c r="O1294" s="26"/>
      <c r="P1294" s="26"/>
    </row>
    <row r="1295">
      <c r="A1295" s="90"/>
      <c r="B1295" s="82"/>
      <c r="C1295" s="83"/>
      <c r="D1295" s="82"/>
      <c r="E1295" s="84"/>
      <c r="F1295" s="85"/>
      <c r="G1295" s="86"/>
      <c r="H1295" s="84"/>
      <c r="I1295" s="86"/>
      <c r="J1295" s="87"/>
      <c r="K1295" s="91"/>
      <c r="L1295" s="89"/>
      <c r="M1295" s="26"/>
      <c r="N1295" s="26"/>
      <c r="O1295" s="26"/>
      <c r="P1295" s="26"/>
    </row>
    <row r="1296">
      <c r="A1296" s="90"/>
      <c r="B1296" s="82"/>
      <c r="C1296" s="83"/>
      <c r="D1296" s="82"/>
      <c r="E1296" s="84"/>
      <c r="F1296" s="85"/>
      <c r="G1296" s="86"/>
      <c r="H1296" s="84"/>
      <c r="I1296" s="86"/>
      <c r="J1296" s="87"/>
      <c r="K1296" s="91"/>
      <c r="L1296" s="89"/>
      <c r="M1296" s="26"/>
      <c r="N1296" s="26"/>
      <c r="O1296" s="26"/>
      <c r="P1296" s="26"/>
    </row>
    <row r="1297">
      <c r="A1297" s="90"/>
      <c r="B1297" s="82"/>
      <c r="C1297" s="83"/>
      <c r="D1297" s="82"/>
      <c r="E1297" s="84"/>
      <c r="F1297" s="85"/>
      <c r="G1297" s="86"/>
      <c r="H1297" s="84"/>
      <c r="I1297" s="86"/>
      <c r="J1297" s="87"/>
      <c r="K1297" s="91"/>
      <c r="L1297" s="89"/>
      <c r="M1297" s="26"/>
      <c r="N1297" s="26"/>
      <c r="O1297" s="26"/>
      <c r="P1297" s="26"/>
    </row>
    <row r="1298">
      <c r="A1298" s="90"/>
      <c r="B1298" s="82"/>
      <c r="C1298" s="83"/>
      <c r="D1298" s="82"/>
      <c r="E1298" s="84"/>
      <c r="F1298" s="85"/>
      <c r="G1298" s="86"/>
      <c r="H1298" s="84"/>
      <c r="I1298" s="86"/>
      <c r="J1298" s="87"/>
      <c r="K1298" s="91"/>
      <c r="L1298" s="89"/>
      <c r="M1298" s="26"/>
      <c r="N1298" s="26"/>
      <c r="O1298" s="26"/>
      <c r="P1298" s="26"/>
    </row>
    <row r="1299">
      <c r="A1299" s="90"/>
      <c r="B1299" s="82"/>
      <c r="C1299" s="83"/>
      <c r="D1299" s="82"/>
      <c r="E1299" s="84"/>
      <c r="F1299" s="85"/>
      <c r="G1299" s="86"/>
      <c r="H1299" s="84"/>
      <c r="I1299" s="86"/>
      <c r="J1299" s="87"/>
      <c r="K1299" s="91"/>
      <c r="L1299" s="89"/>
      <c r="M1299" s="26"/>
      <c r="N1299" s="26"/>
      <c r="O1299" s="26"/>
      <c r="P1299" s="26"/>
    </row>
    <row r="1300">
      <c r="A1300" s="90"/>
      <c r="B1300" s="82"/>
      <c r="C1300" s="83"/>
      <c r="D1300" s="82"/>
      <c r="E1300" s="84"/>
      <c r="F1300" s="85"/>
      <c r="G1300" s="86"/>
      <c r="H1300" s="84"/>
      <c r="I1300" s="86"/>
      <c r="J1300" s="87"/>
      <c r="K1300" s="91"/>
      <c r="L1300" s="89"/>
      <c r="M1300" s="26"/>
      <c r="N1300" s="26"/>
      <c r="O1300" s="26"/>
      <c r="P1300" s="26"/>
    </row>
    <row r="1301">
      <c r="A1301" s="90"/>
      <c r="B1301" s="82"/>
      <c r="C1301" s="83"/>
      <c r="D1301" s="82"/>
      <c r="E1301" s="84"/>
      <c r="F1301" s="85"/>
      <c r="G1301" s="86"/>
      <c r="H1301" s="84"/>
      <c r="I1301" s="86"/>
      <c r="J1301" s="87"/>
      <c r="K1301" s="91"/>
      <c r="L1301" s="89"/>
      <c r="M1301" s="26"/>
      <c r="N1301" s="26"/>
      <c r="O1301" s="26"/>
      <c r="P1301" s="26"/>
    </row>
    <row r="1302">
      <c r="A1302" s="90"/>
      <c r="B1302" s="82"/>
      <c r="C1302" s="83"/>
      <c r="D1302" s="82"/>
      <c r="E1302" s="84"/>
      <c r="F1302" s="85"/>
      <c r="G1302" s="86"/>
      <c r="H1302" s="84"/>
      <c r="I1302" s="86"/>
      <c r="J1302" s="87"/>
      <c r="K1302" s="91"/>
      <c r="L1302" s="89"/>
      <c r="M1302" s="26"/>
      <c r="N1302" s="26"/>
      <c r="O1302" s="26"/>
      <c r="P1302" s="26"/>
    </row>
    <row r="1303">
      <c r="A1303" s="90"/>
      <c r="B1303" s="82"/>
      <c r="C1303" s="83"/>
      <c r="D1303" s="82"/>
      <c r="E1303" s="84"/>
      <c r="F1303" s="85"/>
      <c r="G1303" s="86"/>
      <c r="H1303" s="84"/>
      <c r="I1303" s="86"/>
      <c r="J1303" s="87"/>
      <c r="K1303" s="91"/>
      <c r="L1303" s="89"/>
      <c r="M1303" s="26"/>
      <c r="N1303" s="26"/>
      <c r="O1303" s="26"/>
      <c r="P1303" s="26"/>
    </row>
    <row r="1304">
      <c r="A1304" s="90"/>
      <c r="B1304" s="82"/>
      <c r="C1304" s="83"/>
      <c r="D1304" s="82"/>
      <c r="E1304" s="84"/>
      <c r="F1304" s="85"/>
      <c r="G1304" s="86"/>
      <c r="H1304" s="84"/>
      <c r="I1304" s="86"/>
      <c r="J1304" s="87"/>
      <c r="K1304" s="91"/>
      <c r="L1304" s="89"/>
      <c r="M1304" s="26"/>
      <c r="N1304" s="26"/>
      <c r="O1304" s="26"/>
      <c r="P1304" s="26"/>
    </row>
    <row r="1305">
      <c r="A1305" s="90"/>
      <c r="B1305" s="82"/>
      <c r="C1305" s="83"/>
      <c r="D1305" s="82"/>
      <c r="E1305" s="84"/>
      <c r="F1305" s="85"/>
      <c r="G1305" s="86"/>
      <c r="H1305" s="84"/>
      <c r="I1305" s="86"/>
      <c r="J1305" s="87"/>
      <c r="K1305" s="91"/>
      <c r="L1305" s="89"/>
      <c r="M1305" s="26"/>
      <c r="N1305" s="26"/>
      <c r="O1305" s="26"/>
      <c r="P1305" s="26"/>
    </row>
    <row r="1306">
      <c r="A1306" s="90"/>
      <c r="B1306" s="82"/>
      <c r="C1306" s="83"/>
      <c r="D1306" s="82"/>
      <c r="E1306" s="84"/>
      <c r="F1306" s="85"/>
      <c r="G1306" s="86"/>
      <c r="H1306" s="84"/>
      <c r="I1306" s="86"/>
      <c r="J1306" s="87"/>
      <c r="K1306" s="91"/>
      <c r="L1306" s="89"/>
      <c r="M1306" s="26"/>
      <c r="N1306" s="26"/>
      <c r="O1306" s="26"/>
      <c r="P1306" s="26"/>
    </row>
    <row r="1307">
      <c r="A1307" s="90"/>
      <c r="B1307" s="82"/>
      <c r="C1307" s="83"/>
      <c r="D1307" s="82"/>
      <c r="E1307" s="84"/>
      <c r="F1307" s="85"/>
      <c r="G1307" s="86"/>
      <c r="H1307" s="84"/>
      <c r="I1307" s="86"/>
      <c r="J1307" s="87"/>
      <c r="K1307" s="91"/>
      <c r="L1307" s="89"/>
      <c r="M1307" s="26"/>
      <c r="N1307" s="26"/>
      <c r="O1307" s="26"/>
      <c r="P1307" s="26"/>
    </row>
    <row r="1308">
      <c r="A1308" s="90"/>
      <c r="B1308" s="82"/>
      <c r="C1308" s="83"/>
      <c r="D1308" s="82"/>
      <c r="E1308" s="84"/>
      <c r="F1308" s="85"/>
      <c r="G1308" s="86"/>
      <c r="H1308" s="84"/>
      <c r="I1308" s="86"/>
      <c r="J1308" s="87"/>
      <c r="K1308" s="91"/>
      <c r="L1308" s="89"/>
      <c r="M1308" s="26"/>
      <c r="N1308" s="26"/>
      <c r="O1308" s="26"/>
      <c r="P1308" s="26"/>
    </row>
    <row r="1309">
      <c r="A1309" s="90"/>
      <c r="B1309" s="82"/>
      <c r="C1309" s="83"/>
      <c r="D1309" s="82"/>
      <c r="E1309" s="84"/>
      <c r="F1309" s="85"/>
      <c r="G1309" s="86"/>
      <c r="H1309" s="84"/>
      <c r="I1309" s="86"/>
      <c r="J1309" s="87"/>
      <c r="K1309" s="91"/>
      <c r="L1309" s="89"/>
      <c r="M1309" s="26"/>
      <c r="N1309" s="26"/>
      <c r="O1309" s="26"/>
      <c r="P1309" s="26"/>
    </row>
    <row r="1310">
      <c r="A1310" s="90"/>
      <c r="B1310" s="82"/>
      <c r="C1310" s="83"/>
      <c r="D1310" s="82"/>
      <c r="E1310" s="84"/>
      <c r="F1310" s="85"/>
      <c r="G1310" s="86"/>
      <c r="H1310" s="84"/>
      <c r="I1310" s="86"/>
      <c r="J1310" s="87"/>
      <c r="K1310" s="91"/>
      <c r="L1310" s="89"/>
      <c r="M1310" s="26"/>
      <c r="N1310" s="26"/>
      <c r="O1310" s="26"/>
      <c r="P1310" s="26"/>
    </row>
    <row r="1311">
      <c r="A1311" s="90"/>
      <c r="B1311" s="82"/>
      <c r="C1311" s="83"/>
      <c r="D1311" s="82"/>
      <c r="E1311" s="84"/>
      <c r="F1311" s="85"/>
      <c r="G1311" s="86"/>
      <c r="H1311" s="84"/>
      <c r="I1311" s="86"/>
      <c r="J1311" s="87"/>
      <c r="K1311" s="91"/>
      <c r="L1311" s="89"/>
      <c r="M1311" s="26"/>
      <c r="N1311" s="26"/>
      <c r="O1311" s="26"/>
      <c r="P1311" s="26"/>
    </row>
    <row r="1312">
      <c r="A1312" s="90"/>
      <c r="B1312" s="82"/>
      <c r="C1312" s="83"/>
      <c r="D1312" s="82"/>
      <c r="E1312" s="84"/>
      <c r="F1312" s="85"/>
      <c r="G1312" s="86"/>
      <c r="H1312" s="84"/>
      <c r="I1312" s="86"/>
      <c r="J1312" s="87"/>
      <c r="K1312" s="91"/>
      <c r="L1312" s="89"/>
      <c r="M1312" s="26"/>
      <c r="N1312" s="26"/>
      <c r="O1312" s="26"/>
      <c r="P1312" s="26"/>
    </row>
    <row r="1313">
      <c r="A1313" s="90"/>
      <c r="B1313" s="82"/>
      <c r="C1313" s="83"/>
      <c r="D1313" s="82"/>
      <c r="E1313" s="84"/>
      <c r="F1313" s="85"/>
      <c r="G1313" s="86"/>
      <c r="H1313" s="84"/>
      <c r="I1313" s="86"/>
      <c r="J1313" s="87"/>
      <c r="K1313" s="91"/>
      <c r="L1313" s="89"/>
      <c r="M1313" s="26"/>
      <c r="N1313" s="26"/>
      <c r="O1313" s="26"/>
      <c r="P1313" s="26"/>
    </row>
    <row r="1314">
      <c r="A1314" s="90"/>
      <c r="B1314" s="82"/>
      <c r="C1314" s="83"/>
      <c r="D1314" s="82"/>
      <c r="E1314" s="84"/>
      <c r="F1314" s="85"/>
      <c r="G1314" s="86"/>
      <c r="H1314" s="84"/>
      <c r="I1314" s="86"/>
      <c r="J1314" s="87"/>
      <c r="K1314" s="91"/>
      <c r="L1314" s="89"/>
      <c r="M1314" s="26"/>
      <c r="N1314" s="26"/>
      <c r="O1314" s="26"/>
      <c r="P1314" s="26"/>
    </row>
    <row r="1315">
      <c r="A1315" s="90"/>
      <c r="B1315" s="82"/>
      <c r="C1315" s="83"/>
      <c r="D1315" s="82"/>
      <c r="E1315" s="84"/>
      <c r="F1315" s="85"/>
      <c r="G1315" s="86"/>
      <c r="H1315" s="84"/>
      <c r="I1315" s="86"/>
      <c r="J1315" s="87"/>
      <c r="K1315" s="91"/>
      <c r="L1315" s="89"/>
      <c r="M1315" s="26"/>
      <c r="N1315" s="26"/>
      <c r="O1315" s="26"/>
      <c r="P1315" s="26"/>
    </row>
    <row r="1316">
      <c r="A1316" s="90"/>
      <c r="B1316" s="82"/>
      <c r="C1316" s="83"/>
      <c r="D1316" s="82"/>
      <c r="E1316" s="84"/>
      <c r="F1316" s="85"/>
      <c r="G1316" s="86"/>
      <c r="H1316" s="84"/>
      <c r="I1316" s="86"/>
      <c r="J1316" s="87"/>
      <c r="K1316" s="91"/>
      <c r="L1316" s="89"/>
      <c r="M1316" s="26"/>
      <c r="N1316" s="26"/>
      <c r="O1316" s="26"/>
      <c r="P1316" s="26"/>
    </row>
    <row r="1317">
      <c r="A1317" s="90"/>
      <c r="B1317" s="82"/>
      <c r="C1317" s="83"/>
      <c r="D1317" s="82"/>
      <c r="E1317" s="84"/>
      <c r="F1317" s="85"/>
      <c r="G1317" s="86"/>
      <c r="H1317" s="84"/>
      <c r="I1317" s="86"/>
      <c r="J1317" s="87"/>
      <c r="K1317" s="91"/>
      <c r="L1317" s="89"/>
      <c r="M1317" s="26"/>
      <c r="N1317" s="26"/>
      <c r="O1317" s="26"/>
      <c r="P1317" s="26"/>
    </row>
    <row r="1318">
      <c r="A1318" s="90"/>
      <c r="B1318" s="82"/>
      <c r="C1318" s="83"/>
      <c r="D1318" s="82"/>
      <c r="E1318" s="84"/>
      <c r="F1318" s="85"/>
      <c r="G1318" s="86"/>
      <c r="H1318" s="84"/>
      <c r="I1318" s="86"/>
      <c r="J1318" s="87"/>
      <c r="K1318" s="91"/>
      <c r="L1318" s="89"/>
      <c r="M1318" s="26"/>
      <c r="N1318" s="26"/>
      <c r="O1318" s="26"/>
      <c r="P1318" s="26"/>
    </row>
    <row r="1319">
      <c r="A1319" s="90"/>
      <c r="B1319" s="82"/>
      <c r="C1319" s="83"/>
      <c r="D1319" s="82"/>
      <c r="E1319" s="84"/>
      <c r="F1319" s="85"/>
      <c r="G1319" s="86"/>
      <c r="H1319" s="84"/>
      <c r="I1319" s="86"/>
      <c r="J1319" s="87"/>
      <c r="K1319" s="91"/>
      <c r="L1319" s="89"/>
      <c r="M1319" s="26"/>
      <c r="N1319" s="26"/>
      <c r="O1319" s="26"/>
      <c r="P1319" s="26"/>
    </row>
    <row r="1320">
      <c r="A1320" s="90"/>
      <c r="B1320" s="82"/>
      <c r="C1320" s="83"/>
      <c r="D1320" s="82"/>
      <c r="E1320" s="84"/>
      <c r="F1320" s="85"/>
      <c r="G1320" s="86"/>
      <c r="H1320" s="84"/>
      <c r="I1320" s="86"/>
      <c r="J1320" s="87"/>
      <c r="K1320" s="91"/>
      <c r="L1320" s="89"/>
      <c r="M1320" s="26"/>
      <c r="N1320" s="26"/>
      <c r="O1320" s="26"/>
      <c r="P1320" s="26"/>
    </row>
    <row r="1321">
      <c r="A1321" s="90"/>
      <c r="B1321" s="82"/>
      <c r="C1321" s="83"/>
      <c r="D1321" s="82"/>
      <c r="E1321" s="84"/>
      <c r="F1321" s="85"/>
      <c r="G1321" s="86"/>
      <c r="H1321" s="84"/>
      <c r="I1321" s="86"/>
      <c r="J1321" s="87"/>
      <c r="K1321" s="91"/>
      <c r="L1321" s="89"/>
      <c r="M1321" s="26"/>
      <c r="N1321" s="26"/>
      <c r="O1321" s="26"/>
      <c r="P1321" s="26"/>
    </row>
    <row r="1322">
      <c r="A1322" s="90"/>
      <c r="B1322" s="82"/>
      <c r="C1322" s="83"/>
      <c r="D1322" s="82"/>
      <c r="E1322" s="84"/>
      <c r="F1322" s="85"/>
      <c r="G1322" s="86"/>
      <c r="H1322" s="84"/>
      <c r="I1322" s="86"/>
      <c r="J1322" s="87"/>
      <c r="K1322" s="91"/>
      <c r="L1322" s="89"/>
      <c r="M1322" s="26"/>
      <c r="N1322" s="26"/>
      <c r="O1322" s="26"/>
      <c r="P1322" s="26"/>
    </row>
    <row r="1323">
      <c r="A1323" s="90"/>
      <c r="B1323" s="82"/>
      <c r="C1323" s="83"/>
      <c r="D1323" s="82"/>
      <c r="E1323" s="84"/>
      <c r="F1323" s="85"/>
      <c r="G1323" s="86"/>
      <c r="H1323" s="84"/>
      <c r="I1323" s="86"/>
      <c r="J1323" s="87"/>
      <c r="K1323" s="91"/>
      <c r="L1323" s="89"/>
      <c r="M1323" s="26"/>
      <c r="N1323" s="26"/>
      <c r="O1323" s="26"/>
      <c r="P1323" s="26"/>
    </row>
    <row r="1324">
      <c r="A1324" s="90"/>
      <c r="B1324" s="82"/>
      <c r="C1324" s="83"/>
      <c r="D1324" s="82"/>
      <c r="E1324" s="84"/>
      <c r="F1324" s="85"/>
      <c r="G1324" s="86"/>
      <c r="H1324" s="84"/>
      <c r="I1324" s="86"/>
      <c r="J1324" s="87"/>
      <c r="K1324" s="91"/>
      <c r="L1324" s="89"/>
      <c r="M1324" s="26"/>
      <c r="N1324" s="26"/>
      <c r="O1324" s="26"/>
      <c r="P1324" s="26"/>
    </row>
    <row r="1325">
      <c r="A1325" s="90"/>
      <c r="B1325" s="82"/>
      <c r="C1325" s="83"/>
      <c r="D1325" s="82"/>
      <c r="E1325" s="84"/>
      <c r="F1325" s="85"/>
      <c r="G1325" s="86"/>
      <c r="H1325" s="84"/>
      <c r="I1325" s="86"/>
      <c r="J1325" s="87"/>
      <c r="K1325" s="91"/>
      <c r="L1325" s="89"/>
      <c r="M1325" s="26"/>
      <c r="N1325" s="26"/>
      <c r="O1325" s="26"/>
      <c r="P1325" s="26"/>
    </row>
    <row r="1326">
      <c r="A1326" s="90"/>
      <c r="B1326" s="82"/>
      <c r="C1326" s="83"/>
      <c r="D1326" s="82"/>
      <c r="E1326" s="84"/>
      <c r="F1326" s="85"/>
      <c r="G1326" s="86"/>
      <c r="H1326" s="84"/>
      <c r="I1326" s="86"/>
      <c r="J1326" s="87"/>
      <c r="K1326" s="91"/>
      <c r="L1326" s="89"/>
      <c r="M1326" s="26"/>
      <c r="N1326" s="26"/>
      <c r="O1326" s="26"/>
      <c r="P1326" s="26"/>
    </row>
    <row r="1327">
      <c r="A1327" s="90"/>
      <c r="B1327" s="82"/>
      <c r="C1327" s="83"/>
      <c r="D1327" s="82"/>
      <c r="E1327" s="84"/>
      <c r="F1327" s="85"/>
      <c r="G1327" s="86"/>
      <c r="H1327" s="84"/>
      <c r="I1327" s="86"/>
      <c r="J1327" s="87"/>
      <c r="K1327" s="91"/>
      <c r="L1327" s="89"/>
      <c r="M1327" s="26"/>
      <c r="N1327" s="26"/>
      <c r="O1327" s="26"/>
      <c r="P1327" s="26"/>
    </row>
    <row r="1328">
      <c r="A1328" s="90"/>
      <c r="B1328" s="82"/>
      <c r="C1328" s="83"/>
      <c r="D1328" s="82"/>
      <c r="E1328" s="84"/>
      <c r="F1328" s="85"/>
      <c r="G1328" s="86"/>
      <c r="H1328" s="84"/>
      <c r="I1328" s="86"/>
      <c r="J1328" s="87"/>
      <c r="K1328" s="91"/>
      <c r="L1328" s="89"/>
      <c r="M1328" s="26"/>
      <c r="N1328" s="26"/>
      <c r="O1328" s="26"/>
      <c r="P1328" s="26"/>
    </row>
    <row r="1329">
      <c r="A1329" s="90"/>
      <c r="B1329" s="82"/>
      <c r="C1329" s="83"/>
      <c r="D1329" s="82"/>
      <c r="E1329" s="84"/>
      <c r="F1329" s="85"/>
      <c r="G1329" s="86"/>
      <c r="H1329" s="84"/>
      <c r="I1329" s="86"/>
      <c r="J1329" s="87"/>
      <c r="K1329" s="91"/>
      <c r="L1329" s="89"/>
      <c r="M1329" s="26"/>
      <c r="N1329" s="26"/>
      <c r="O1329" s="26"/>
      <c r="P1329" s="26"/>
    </row>
    <row r="1330">
      <c r="A1330" s="90"/>
      <c r="B1330" s="82"/>
      <c r="C1330" s="83"/>
      <c r="D1330" s="82"/>
      <c r="E1330" s="84"/>
      <c r="F1330" s="85"/>
      <c r="G1330" s="86"/>
      <c r="H1330" s="84"/>
      <c r="I1330" s="86"/>
      <c r="J1330" s="87"/>
      <c r="K1330" s="91"/>
      <c r="L1330" s="89"/>
      <c r="M1330" s="26"/>
      <c r="N1330" s="26"/>
      <c r="O1330" s="26"/>
      <c r="P1330" s="26"/>
    </row>
    <row r="1331">
      <c r="A1331" s="90"/>
      <c r="B1331" s="82"/>
      <c r="C1331" s="83"/>
      <c r="D1331" s="82"/>
      <c r="E1331" s="84"/>
      <c r="F1331" s="85"/>
      <c r="G1331" s="86"/>
      <c r="H1331" s="84"/>
      <c r="I1331" s="86"/>
      <c r="J1331" s="87"/>
      <c r="K1331" s="91"/>
      <c r="L1331" s="89"/>
      <c r="M1331" s="26"/>
      <c r="N1331" s="26"/>
      <c r="O1331" s="26"/>
      <c r="P1331" s="26"/>
    </row>
    <row r="1332">
      <c r="A1332" s="90"/>
      <c r="B1332" s="82"/>
      <c r="C1332" s="83"/>
      <c r="D1332" s="82"/>
      <c r="E1332" s="84"/>
      <c r="F1332" s="85"/>
      <c r="G1332" s="86"/>
      <c r="H1332" s="84"/>
      <c r="I1332" s="86"/>
      <c r="J1332" s="87"/>
      <c r="K1332" s="91"/>
      <c r="L1332" s="89"/>
      <c r="M1332" s="26"/>
      <c r="N1332" s="26"/>
      <c r="O1332" s="26"/>
      <c r="P1332" s="26"/>
    </row>
    <row r="1333">
      <c r="A1333" s="90"/>
      <c r="B1333" s="82"/>
      <c r="C1333" s="83"/>
      <c r="D1333" s="82"/>
      <c r="E1333" s="84"/>
      <c r="F1333" s="85"/>
      <c r="G1333" s="86"/>
      <c r="H1333" s="84"/>
      <c r="I1333" s="86"/>
      <c r="J1333" s="87"/>
      <c r="K1333" s="91"/>
      <c r="L1333" s="89"/>
      <c r="M1333" s="26"/>
      <c r="N1333" s="26"/>
      <c r="O1333" s="26"/>
      <c r="P1333" s="26"/>
    </row>
    <row r="1334">
      <c r="A1334" s="90"/>
      <c r="B1334" s="82"/>
      <c r="C1334" s="83"/>
      <c r="D1334" s="82"/>
      <c r="E1334" s="84"/>
      <c r="F1334" s="85"/>
      <c r="G1334" s="86"/>
      <c r="H1334" s="84"/>
      <c r="I1334" s="86"/>
      <c r="J1334" s="87"/>
      <c r="K1334" s="91"/>
      <c r="L1334" s="89"/>
      <c r="M1334" s="26"/>
      <c r="N1334" s="26"/>
      <c r="O1334" s="26"/>
      <c r="P1334" s="26"/>
    </row>
    <row r="1335">
      <c r="A1335" s="90"/>
      <c r="B1335" s="82"/>
      <c r="C1335" s="83"/>
      <c r="D1335" s="82"/>
      <c r="E1335" s="84"/>
      <c r="F1335" s="85"/>
      <c r="G1335" s="86"/>
      <c r="H1335" s="84"/>
      <c r="I1335" s="86"/>
      <c r="J1335" s="87"/>
      <c r="K1335" s="91"/>
      <c r="L1335" s="89"/>
      <c r="M1335" s="26"/>
      <c r="N1335" s="26"/>
      <c r="O1335" s="26"/>
      <c r="P1335" s="26"/>
    </row>
    <row r="1336">
      <c r="A1336" s="90"/>
      <c r="B1336" s="82"/>
      <c r="C1336" s="83"/>
      <c r="D1336" s="82"/>
      <c r="E1336" s="84"/>
      <c r="F1336" s="85"/>
      <c r="G1336" s="86"/>
      <c r="H1336" s="84"/>
      <c r="I1336" s="86"/>
      <c r="J1336" s="87"/>
      <c r="K1336" s="91"/>
      <c r="L1336" s="89"/>
      <c r="M1336" s="26"/>
      <c r="N1336" s="26"/>
      <c r="O1336" s="26"/>
      <c r="P1336" s="26"/>
    </row>
    <row r="1337">
      <c r="A1337" s="90"/>
      <c r="B1337" s="82"/>
      <c r="C1337" s="83"/>
      <c r="D1337" s="82"/>
      <c r="E1337" s="84"/>
      <c r="F1337" s="85"/>
      <c r="G1337" s="86"/>
      <c r="H1337" s="84"/>
      <c r="I1337" s="86"/>
      <c r="J1337" s="87"/>
      <c r="K1337" s="91"/>
      <c r="L1337" s="89"/>
      <c r="M1337" s="26"/>
      <c r="N1337" s="26"/>
      <c r="O1337" s="26"/>
      <c r="P1337" s="26"/>
    </row>
    <row r="1338">
      <c r="A1338" s="90"/>
      <c r="B1338" s="82"/>
      <c r="C1338" s="83"/>
      <c r="D1338" s="82"/>
      <c r="E1338" s="84"/>
      <c r="F1338" s="85"/>
      <c r="G1338" s="86"/>
      <c r="H1338" s="84"/>
      <c r="I1338" s="86"/>
      <c r="J1338" s="87"/>
      <c r="K1338" s="91"/>
      <c r="L1338" s="89"/>
      <c r="M1338" s="26"/>
      <c r="N1338" s="26"/>
      <c r="O1338" s="26"/>
      <c r="P1338" s="26"/>
    </row>
    <row r="1339">
      <c r="A1339" s="90"/>
      <c r="B1339" s="82"/>
      <c r="C1339" s="83"/>
      <c r="D1339" s="82"/>
      <c r="E1339" s="84"/>
      <c r="F1339" s="85"/>
      <c r="G1339" s="86"/>
      <c r="H1339" s="84"/>
      <c r="I1339" s="86"/>
      <c r="J1339" s="87"/>
      <c r="K1339" s="91"/>
      <c r="L1339" s="89"/>
      <c r="M1339" s="26"/>
      <c r="N1339" s="26"/>
      <c r="O1339" s="26"/>
      <c r="P1339" s="26"/>
    </row>
    <row r="1340">
      <c r="A1340" s="90"/>
      <c r="B1340" s="82"/>
      <c r="C1340" s="83"/>
      <c r="D1340" s="82"/>
      <c r="E1340" s="84"/>
      <c r="F1340" s="85"/>
      <c r="G1340" s="86"/>
      <c r="H1340" s="84"/>
      <c r="I1340" s="86"/>
      <c r="J1340" s="87"/>
      <c r="K1340" s="91"/>
      <c r="L1340" s="89"/>
      <c r="M1340" s="26"/>
      <c r="N1340" s="26"/>
      <c r="O1340" s="26"/>
      <c r="P1340" s="26"/>
    </row>
    <row r="1341">
      <c r="A1341" s="90"/>
      <c r="B1341" s="82"/>
      <c r="C1341" s="83"/>
      <c r="D1341" s="82"/>
      <c r="E1341" s="84"/>
      <c r="F1341" s="85"/>
      <c r="G1341" s="86"/>
      <c r="H1341" s="84"/>
      <c r="I1341" s="86"/>
      <c r="J1341" s="87"/>
      <c r="K1341" s="91"/>
      <c r="L1341" s="89"/>
      <c r="M1341" s="26"/>
      <c r="N1341" s="26"/>
      <c r="O1341" s="26"/>
      <c r="P1341" s="26"/>
    </row>
    <row r="1342">
      <c r="A1342" s="90"/>
      <c r="B1342" s="82"/>
      <c r="C1342" s="83"/>
      <c r="D1342" s="82"/>
      <c r="E1342" s="84"/>
      <c r="F1342" s="85"/>
      <c r="G1342" s="86"/>
      <c r="H1342" s="84"/>
      <c r="I1342" s="86"/>
      <c r="J1342" s="87"/>
      <c r="K1342" s="91"/>
      <c r="L1342" s="89"/>
      <c r="M1342" s="26"/>
      <c r="N1342" s="26"/>
      <c r="O1342" s="26"/>
      <c r="P1342" s="26"/>
    </row>
    <row r="1343">
      <c r="A1343" s="90"/>
      <c r="B1343" s="82"/>
      <c r="C1343" s="83"/>
      <c r="D1343" s="82"/>
      <c r="E1343" s="84"/>
      <c r="F1343" s="85"/>
      <c r="G1343" s="86"/>
      <c r="H1343" s="84"/>
      <c r="I1343" s="86"/>
      <c r="J1343" s="87"/>
      <c r="K1343" s="91"/>
      <c r="L1343" s="89"/>
      <c r="M1343" s="26"/>
      <c r="N1343" s="26"/>
      <c r="O1343" s="26"/>
      <c r="P1343" s="26"/>
    </row>
    <row r="1344">
      <c r="A1344" s="90"/>
      <c r="B1344" s="82"/>
      <c r="C1344" s="83"/>
      <c r="D1344" s="82"/>
      <c r="E1344" s="84"/>
      <c r="F1344" s="85"/>
      <c r="G1344" s="86"/>
      <c r="H1344" s="84"/>
      <c r="I1344" s="86"/>
      <c r="J1344" s="87"/>
      <c r="K1344" s="91"/>
      <c r="L1344" s="89"/>
      <c r="M1344" s="26"/>
      <c r="N1344" s="26"/>
      <c r="O1344" s="26"/>
      <c r="P1344" s="26"/>
    </row>
    <row r="1345">
      <c r="A1345" s="90"/>
      <c r="B1345" s="82"/>
      <c r="C1345" s="83"/>
      <c r="D1345" s="82"/>
      <c r="E1345" s="84"/>
      <c r="F1345" s="85"/>
      <c r="G1345" s="86"/>
      <c r="H1345" s="84"/>
      <c r="I1345" s="86"/>
      <c r="J1345" s="87"/>
      <c r="K1345" s="91"/>
      <c r="L1345" s="89"/>
      <c r="M1345" s="26"/>
      <c r="N1345" s="26"/>
      <c r="O1345" s="26"/>
      <c r="P1345" s="26"/>
    </row>
    <row r="1346">
      <c r="A1346" s="90"/>
      <c r="B1346" s="82"/>
      <c r="C1346" s="83"/>
      <c r="D1346" s="82"/>
      <c r="E1346" s="84"/>
      <c r="F1346" s="85"/>
      <c r="G1346" s="86"/>
      <c r="H1346" s="84"/>
      <c r="I1346" s="86"/>
      <c r="J1346" s="87"/>
      <c r="K1346" s="91"/>
      <c r="L1346" s="89"/>
      <c r="M1346" s="26"/>
      <c r="N1346" s="26"/>
      <c r="O1346" s="26"/>
      <c r="P1346" s="26"/>
    </row>
    <row r="1347">
      <c r="A1347" s="90"/>
      <c r="B1347" s="82"/>
      <c r="C1347" s="83"/>
      <c r="D1347" s="82"/>
      <c r="E1347" s="84"/>
      <c r="F1347" s="85"/>
      <c r="G1347" s="86"/>
      <c r="H1347" s="84"/>
      <c r="I1347" s="86"/>
      <c r="J1347" s="87"/>
      <c r="K1347" s="91"/>
      <c r="L1347" s="89"/>
      <c r="M1347" s="26"/>
      <c r="N1347" s="26"/>
      <c r="O1347" s="26"/>
      <c r="P1347" s="26"/>
    </row>
    <row r="1348">
      <c r="A1348" s="90"/>
      <c r="B1348" s="82"/>
      <c r="C1348" s="83"/>
      <c r="D1348" s="82"/>
      <c r="E1348" s="84"/>
      <c r="F1348" s="85"/>
      <c r="G1348" s="86"/>
      <c r="H1348" s="84"/>
      <c r="I1348" s="86"/>
      <c r="J1348" s="87"/>
      <c r="K1348" s="91"/>
      <c r="L1348" s="89"/>
      <c r="M1348" s="26"/>
      <c r="N1348" s="26"/>
      <c r="O1348" s="26"/>
      <c r="P1348" s="26"/>
    </row>
    <row r="1349">
      <c r="A1349" s="90"/>
      <c r="B1349" s="82"/>
      <c r="C1349" s="83"/>
      <c r="D1349" s="82"/>
      <c r="E1349" s="84"/>
      <c r="F1349" s="85"/>
      <c r="G1349" s="86"/>
      <c r="H1349" s="84"/>
      <c r="I1349" s="86"/>
      <c r="J1349" s="87"/>
      <c r="K1349" s="91"/>
      <c r="L1349" s="89"/>
      <c r="M1349" s="26"/>
      <c r="N1349" s="26"/>
      <c r="O1349" s="26"/>
      <c r="P1349" s="26"/>
    </row>
    <row r="1350">
      <c r="A1350" s="90"/>
      <c r="B1350" s="82"/>
      <c r="C1350" s="83"/>
      <c r="D1350" s="82"/>
      <c r="E1350" s="84"/>
      <c r="F1350" s="85"/>
      <c r="G1350" s="86"/>
      <c r="H1350" s="84"/>
      <c r="I1350" s="86"/>
      <c r="J1350" s="87"/>
      <c r="K1350" s="91"/>
      <c r="L1350" s="89"/>
      <c r="M1350" s="26"/>
      <c r="N1350" s="26"/>
      <c r="O1350" s="26"/>
      <c r="P1350" s="26"/>
    </row>
    <row r="1351">
      <c r="A1351" s="90"/>
      <c r="B1351" s="82"/>
      <c r="C1351" s="83"/>
      <c r="D1351" s="82"/>
      <c r="E1351" s="84"/>
      <c r="F1351" s="85"/>
      <c r="G1351" s="86"/>
      <c r="H1351" s="84"/>
      <c r="I1351" s="86"/>
      <c r="J1351" s="87"/>
      <c r="K1351" s="91"/>
      <c r="L1351" s="89"/>
      <c r="M1351" s="26"/>
      <c r="N1351" s="26"/>
      <c r="O1351" s="26"/>
      <c r="P1351" s="26"/>
    </row>
    <row r="1352">
      <c r="A1352" s="90"/>
      <c r="B1352" s="82"/>
      <c r="C1352" s="83"/>
      <c r="D1352" s="82"/>
      <c r="E1352" s="84"/>
      <c r="F1352" s="85"/>
      <c r="G1352" s="86"/>
      <c r="H1352" s="84"/>
      <c r="I1352" s="86"/>
      <c r="J1352" s="87"/>
      <c r="K1352" s="91"/>
      <c r="L1352" s="89"/>
      <c r="M1352" s="26"/>
      <c r="N1352" s="26"/>
      <c r="O1352" s="26"/>
      <c r="P1352" s="26"/>
    </row>
    <row r="1353">
      <c r="A1353" s="90"/>
      <c r="B1353" s="82"/>
      <c r="C1353" s="83"/>
      <c r="D1353" s="82"/>
      <c r="E1353" s="84"/>
      <c r="F1353" s="85"/>
      <c r="G1353" s="86"/>
      <c r="H1353" s="84"/>
      <c r="I1353" s="86"/>
      <c r="J1353" s="87"/>
      <c r="K1353" s="91"/>
      <c r="L1353" s="89"/>
      <c r="M1353" s="26"/>
      <c r="N1353" s="26"/>
      <c r="O1353" s="26"/>
      <c r="P1353" s="26"/>
    </row>
    <row r="1354">
      <c r="A1354" s="90"/>
      <c r="B1354" s="82"/>
      <c r="C1354" s="83"/>
      <c r="D1354" s="82"/>
      <c r="E1354" s="84"/>
      <c r="F1354" s="85"/>
      <c r="G1354" s="86"/>
      <c r="H1354" s="84"/>
      <c r="I1354" s="86"/>
      <c r="J1354" s="87"/>
      <c r="K1354" s="91"/>
      <c r="L1354" s="89"/>
      <c r="M1354" s="26"/>
      <c r="N1354" s="26"/>
      <c r="O1354" s="26"/>
      <c r="P1354" s="26"/>
    </row>
    <row r="1355">
      <c r="A1355" s="90"/>
      <c r="B1355" s="82"/>
      <c r="C1355" s="83"/>
      <c r="D1355" s="82"/>
      <c r="E1355" s="84"/>
      <c r="F1355" s="85"/>
      <c r="G1355" s="86"/>
      <c r="H1355" s="84"/>
      <c r="I1355" s="86"/>
      <c r="J1355" s="87"/>
      <c r="K1355" s="91"/>
      <c r="L1355" s="89"/>
      <c r="M1355" s="26"/>
      <c r="N1355" s="26"/>
      <c r="O1355" s="26"/>
      <c r="P1355" s="26"/>
    </row>
    <row r="1356">
      <c r="A1356" s="90"/>
      <c r="B1356" s="82"/>
      <c r="C1356" s="83"/>
      <c r="D1356" s="82"/>
      <c r="E1356" s="84"/>
      <c r="F1356" s="85"/>
      <c r="G1356" s="86"/>
      <c r="H1356" s="84"/>
      <c r="I1356" s="86"/>
      <c r="J1356" s="87"/>
      <c r="K1356" s="91"/>
      <c r="L1356" s="89"/>
      <c r="M1356" s="26"/>
      <c r="N1356" s="26"/>
      <c r="O1356" s="26"/>
      <c r="P1356" s="26"/>
    </row>
    <row r="1357">
      <c r="A1357" s="90"/>
      <c r="B1357" s="82"/>
      <c r="C1357" s="83"/>
      <c r="D1357" s="82"/>
      <c r="E1357" s="84"/>
      <c r="F1357" s="85"/>
      <c r="G1357" s="86"/>
      <c r="H1357" s="84"/>
      <c r="I1357" s="86"/>
      <c r="J1357" s="87"/>
      <c r="K1357" s="91"/>
      <c r="L1357" s="89"/>
      <c r="M1357" s="26"/>
      <c r="N1357" s="26"/>
      <c r="O1357" s="26"/>
      <c r="P1357" s="26"/>
    </row>
    <row r="1358">
      <c r="A1358" s="90"/>
      <c r="B1358" s="82"/>
      <c r="C1358" s="83"/>
      <c r="D1358" s="82"/>
      <c r="E1358" s="84"/>
      <c r="F1358" s="85"/>
      <c r="G1358" s="86"/>
      <c r="H1358" s="84"/>
      <c r="I1358" s="86"/>
      <c r="J1358" s="87"/>
      <c r="K1358" s="91"/>
      <c r="L1358" s="89"/>
      <c r="M1358" s="26"/>
      <c r="N1358" s="26"/>
      <c r="O1358" s="26"/>
      <c r="P1358" s="26"/>
    </row>
    <row r="1359">
      <c r="A1359" s="90"/>
      <c r="B1359" s="82"/>
      <c r="C1359" s="83"/>
      <c r="D1359" s="82"/>
      <c r="E1359" s="84"/>
      <c r="F1359" s="85"/>
      <c r="G1359" s="86"/>
      <c r="H1359" s="84"/>
      <c r="I1359" s="86"/>
      <c r="J1359" s="87"/>
      <c r="K1359" s="91"/>
      <c r="L1359" s="89"/>
      <c r="M1359" s="26"/>
      <c r="N1359" s="26"/>
      <c r="O1359" s="26"/>
      <c r="P1359" s="26"/>
    </row>
    <row r="1360">
      <c r="A1360" s="90"/>
      <c r="B1360" s="82"/>
      <c r="C1360" s="83"/>
      <c r="D1360" s="82"/>
      <c r="E1360" s="84"/>
      <c r="F1360" s="85"/>
      <c r="G1360" s="86"/>
      <c r="H1360" s="84"/>
      <c r="I1360" s="86"/>
      <c r="J1360" s="87"/>
      <c r="K1360" s="91"/>
      <c r="L1360" s="89"/>
      <c r="M1360" s="26"/>
      <c r="N1360" s="26"/>
      <c r="O1360" s="26"/>
      <c r="P1360" s="26"/>
    </row>
    <row r="1361">
      <c r="A1361" s="90"/>
      <c r="B1361" s="82"/>
      <c r="C1361" s="83"/>
      <c r="D1361" s="82"/>
      <c r="E1361" s="84"/>
      <c r="F1361" s="85"/>
      <c r="G1361" s="86"/>
      <c r="H1361" s="84"/>
      <c r="I1361" s="86"/>
      <c r="J1361" s="87"/>
      <c r="K1361" s="91"/>
      <c r="L1361" s="89"/>
      <c r="M1361" s="26"/>
      <c r="N1361" s="26"/>
      <c r="O1361" s="26"/>
      <c r="P1361" s="26"/>
    </row>
    <row r="1362">
      <c r="A1362" s="90"/>
      <c r="B1362" s="82"/>
      <c r="C1362" s="83"/>
      <c r="D1362" s="82"/>
      <c r="E1362" s="84"/>
      <c r="F1362" s="85"/>
      <c r="G1362" s="86"/>
      <c r="H1362" s="84"/>
      <c r="I1362" s="86"/>
      <c r="J1362" s="87"/>
      <c r="K1362" s="91"/>
      <c r="L1362" s="89"/>
      <c r="M1362" s="26"/>
      <c r="N1362" s="26"/>
      <c r="O1362" s="26"/>
      <c r="P1362" s="26"/>
    </row>
    <row r="1363">
      <c r="A1363" s="90"/>
      <c r="B1363" s="82"/>
      <c r="C1363" s="83"/>
      <c r="D1363" s="82"/>
      <c r="E1363" s="84"/>
      <c r="F1363" s="85"/>
      <c r="G1363" s="86"/>
      <c r="H1363" s="84"/>
      <c r="I1363" s="86"/>
      <c r="J1363" s="87"/>
      <c r="K1363" s="91"/>
      <c r="L1363" s="89"/>
      <c r="M1363" s="26"/>
      <c r="N1363" s="26"/>
      <c r="O1363" s="26"/>
      <c r="P1363" s="26"/>
    </row>
    <row r="1364">
      <c r="A1364" s="90"/>
      <c r="B1364" s="82"/>
      <c r="C1364" s="83"/>
      <c r="D1364" s="82"/>
      <c r="E1364" s="84"/>
      <c r="F1364" s="85"/>
      <c r="G1364" s="86"/>
      <c r="H1364" s="84"/>
      <c r="I1364" s="86"/>
      <c r="J1364" s="87"/>
      <c r="K1364" s="91"/>
      <c r="L1364" s="89"/>
      <c r="M1364" s="26"/>
      <c r="N1364" s="26"/>
      <c r="O1364" s="26"/>
      <c r="P1364" s="26"/>
    </row>
    <row r="1365">
      <c r="A1365" s="90"/>
      <c r="B1365" s="82"/>
      <c r="C1365" s="83"/>
      <c r="D1365" s="82"/>
      <c r="E1365" s="84"/>
      <c r="F1365" s="85"/>
      <c r="G1365" s="86"/>
      <c r="H1365" s="84"/>
      <c r="I1365" s="86"/>
      <c r="J1365" s="87"/>
      <c r="K1365" s="91"/>
      <c r="L1365" s="89"/>
      <c r="M1365" s="26"/>
      <c r="N1365" s="26"/>
      <c r="O1365" s="26"/>
      <c r="P1365" s="26"/>
    </row>
    <row r="1366">
      <c r="A1366" s="90"/>
      <c r="B1366" s="82"/>
      <c r="C1366" s="83"/>
      <c r="D1366" s="82"/>
      <c r="E1366" s="84"/>
      <c r="F1366" s="85"/>
      <c r="G1366" s="86"/>
      <c r="H1366" s="84"/>
      <c r="I1366" s="86"/>
      <c r="J1366" s="87"/>
      <c r="K1366" s="91"/>
      <c r="L1366" s="89"/>
      <c r="M1366" s="26"/>
      <c r="N1366" s="26"/>
      <c r="O1366" s="26"/>
      <c r="P1366" s="26"/>
    </row>
    <row r="1367">
      <c r="A1367" s="90"/>
      <c r="B1367" s="82"/>
      <c r="C1367" s="83"/>
      <c r="D1367" s="82"/>
      <c r="E1367" s="84"/>
      <c r="F1367" s="85"/>
      <c r="G1367" s="86"/>
      <c r="H1367" s="84"/>
      <c r="I1367" s="86"/>
      <c r="J1367" s="87"/>
      <c r="K1367" s="91"/>
      <c r="L1367" s="89"/>
      <c r="M1367" s="26"/>
      <c r="N1367" s="26"/>
      <c r="O1367" s="26"/>
      <c r="P1367" s="26"/>
    </row>
    <row r="1368">
      <c r="A1368" s="90"/>
      <c r="B1368" s="82"/>
      <c r="C1368" s="83"/>
      <c r="D1368" s="82"/>
      <c r="E1368" s="84"/>
      <c r="F1368" s="85"/>
      <c r="G1368" s="86"/>
      <c r="H1368" s="84"/>
      <c r="I1368" s="86"/>
      <c r="J1368" s="87"/>
      <c r="K1368" s="91"/>
      <c r="L1368" s="89"/>
      <c r="M1368" s="26"/>
      <c r="N1368" s="26"/>
      <c r="O1368" s="26"/>
      <c r="P1368" s="26"/>
    </row>
    <row r="1369">
      <c r="A1369" s="90"/>
      <c r="B1369" s="82"/>
      <c r="C1369" s="83"/>
      <c r="D1369" s="82"/>
      <c r="E1369" s="84"/>
      <c r="F1369" s="85"/>
      <c r="G1369" s="86"/>
      <c r="H1369" s="84"/>
      <c r="I1369" s="86"/>
      <c r="J1369" s="87"/>
      <c r="K1369" s="91"/>
      <c r="L1369" s="89"/>
      <c r="M1369" s="26"/>
      <c r="N1369" s="26"/>
      <c r="O1369" s="26"/>
      <c r="P1369" s="26"/>
    </row>
    <row r="1370">
      <c r="A1370" s="90"/>
      <c r="B1370" s="82"/>
      <c r="C1370" s="83"/>
      <c r="D1370" s="82"/>
      <c r="E1370" s="84"/>
      <c r="F1370" s="85"/>
      <c r="G1370" s="86"/>
      <c r="H1370" s="84"/>
      <c r="I1370" s="86"/>
      <c r="J1370" s="87"/>
      <c r="K1370" s="91"/>
      <c r="L1370" s="89"/>
      <c r="M1370" s="26"/>
      <c r="N1370" s="26"/>
      <c r="O1370" s="26"/>
      <c r="P1370" s="26"/>
    </row>
    <row r="1371">
      <c r="A1371" s="90"/>
      <c r="B1371" s="82"/>
      <c r="C1371" s="83"/>
      <c r="D1371" s="82"/>
      <c r="E1371" s="84"/>
      <c r="F1371" s="85"/>
      <c r="G1371" s="86"/>
      <c r="H1371" s="84"/>
      <c r="I1371" s="86"/>
      <c r="J1371" s="87"/>
      <c r="K1371" s="91"/>
      <c r="L1371" s="89"/>
      <c r="M1371" s="26"/>
      <c r="N1371" s="26"/>
      <c r="O1371" s="26"/>
      <c r="P1371" s="26"/>
    </row>
    <row r="1372">
      <c r="A1372" s="90"/>
      <c r="B1372" s="82"/>
      <c r="C1372" s="83"/>
      <c r="D1372" s="82"/>
      <c r="E1372" s="84"/>
      <c r="F1372" s="85"/>
      <c r="G1372" s="86"/>
      <c r="H1372" s="84"/>
      <c r="I1372" s="86"/>
      <c r="J1372" s="87"/>
      <c r="K1372" s="91"/>
      <c r="L1372" s="89"/>
      <c r="M1372" s="26"/>
      <c r="N1372" s="26"/>
      <c r="O1372" s="26"/>
      <c r="P1372" s="26"/>
    </row>
    <row r="1373">
      <c r="A1373" s="90"/>
      <c r="B1373" s="82"/>
      <c r="C1373" s="83"/>
      <c r="D1373" s="82"/>
      <c r="E1373" s="84"/>
      <c r="F1373" s="85"/>
      <c r="G1373" s="86"/>
      <c r="H1373" s="84"/>
      <c r="I1373" s="86"/>
      <c r="J1373" s="87"/>
      <c r="K1373" s="91"/>
      <c r="L1373" s="89"/>
      <c r="M1373" s="26"/>
      <c r="N1373" s="26"/>
      <c r="O1373" s="26"/>
      <c r="P1373" s="26"/>
    </row>
    <row r="1374">
      <c r="A1374" s="90"/>
      <c r="B1374" s="82"/>
      <c r="C1374" s="83"/>
      <c r="D1374" s="82"/>
      <c r="E1374" s="84"/>
      <c r="F1374" s="85"/>
      <c r="G1374" s="86"/>
      <c r="H1374" s="84"/>
      <c r="I1374" s="86"/>
      <c r="J1374" s="87"/>
      <c r="K1374" s="91"/>
      <c r="L1374" s="89"/>
      <c r="M1374" s="26"/>
      <c r="N1374" s="26"/>
      <c r="O1374" s="26"/>
      <c r="P1374" s="26"/>
    </row>
    <row r="1375">
      <c r="A1375" s="90"/>
      <c r="B1375" s="82"/>
      <c r="C1375" s="83"/>
      <c r="D1375" s="82"/>
      <c r="E1375" s="84"/>
      <c r="F1375" s="85"/>
      <c r="G1375" s="86"/>
      <c r="H1375" s="84"/>
      <c r="I1375" s="86"/>
      <c r="J1375" s="87"/>
      <c r="K1375" s="91"/>
      <c r="L1375" s="89"/>
      <c r="M1375" s="26"/>
      <c r="N1375" s="26"/>
      <c r="O1375" s="26"/>
      <c r="P1375" s="26"/>
    </row>
    <row r="1376">
      <c r="A1376" s="90"/>
      <c r="B1376" s="82"/>
      <c r="C1376" s="83"/>
      <c r="D1376" s="82"/>
      <c r="E1376" s="84"/>
      <c r="F1376" s="85"/>
      <c r="G1376" s="86"/>
      <c r="H1376" s="84"/>
      <c r="I1376" s="86"/>
      <c r="J1376" s="87"/>
      <c r="K1376" s="91"/>
      <c r="L1376" s="89"/>
      <c r="M1376" s="26"/>
      <c r="N1376" s="26"/>
      <c r="O1376" s="26"/>
      <c r="P1376" s="26"/>
    </row>
    <row r="1377">
      <c r="A1377" s="90"/>
      <c r="B1377" s="82"/>
      <c r="C1377" s="83"/>
      <c r="D1377" s="82"/>
      <c r="E1377" s="84"/>
      <c r="F1377" s="85"/>
      <c r="G1377" s="86"/>
      <c r="H1377" s="84"/>
      <c r="I1377" s="86"/>
      <c r="J1377" s="87"/>
      <c r="K1377" s="91"/>
      <c r="L1377" s="89"/>
      <c r="M1377" s="26"/>
      <c r="N1377" s="26"/>
      <c r="O1377" s="26"/>
      <c r="P1377" s="26"/>
    </row>
    <row r="1378">
      <c r="A1378" s="90"/>
      <c r="B1378" s="82"/>
      <c r="C1378" s="83"/>
      <c r="D1378" s="82"/>
      <c r="E1378" s="84"/>
      <c r="F1378" s="85"/>
      <c r="G1378" s="86"/>
      <c r="H1378" s="84"/>
      <c r="I1378" s="86"/>
      <c r="J1378" s="87"/>
      <c r="K1378" s="91"/>
      <c r="L1378" s="89"/>
      <c r="M1378" s="26"/>
      <c r="N1378" s="26"/>
      <c r="O1378" s="26"/>
      <c r="P1378" s="26"/>
    </row>
    <row r="1379">
      <c r="A1379" s="90"/>
      <c r="B1379" s="82"/>
      <c r="C1379" s="83"/>
      <c r="D1379" s="82"/>
      <c r="E1379" s="84"/>
      <c r="F1379" s="85"/>
      <c r="G1379" s="86"/>
      <c r="H1379" s="84"/>
      <c r="I1379" s="86"/>
      <c r="J1379" s="87"/>
      <c r="K1379" s="91"/>
      <c r="L1379" s="89"/>
      <c r="M1379" s="26"/>
      <c r="N1379" s="26"/>
      <c r="O1379" s="26"/>
      <c r="P1379" s="26"/>
    </row>
    <row r="1380">
      <c r="A1380" s="90"/>
      <c r="B1380" s="82"/>
      <c r="C1380" s="83"/>
      <c r="D1380" s="82"/>
      <c r="E1380" s="84"/>
      <c r="F1380" s="85"/>
      <c r="G1380" s="86"/>
      <c r="H1380" s="84"/>
      <c r="I1380" s="86"/>
      <c r="J1380" s="87"/>
      <c r="K1380" s="91"/>
      <c r="L1380" s="89"/>
      <c r="M1380" s="26"/>
      <c r="N1380" s="26"/>
      <c r="O1380" s="26"/>
      <c r="P1380" s="26"/>
    </row>
    <row r="1381">
      <c r="A1381" s="90"/>
      <c r="B1381" s="82"/>
      <c r="C1381" s="83"/>
      <c r="D1381" s="82"/>
      <c r="E1381" s="84"/>
      <c r="F1381" s="85"/>
      <c r="G1381" s="86"/>
      <c r="H1381" s="84"/>
      <c r="I1381" s="86"/>
      <c r="J1381" s="87"/>
      <c r="K1381" s="91"/>
      <c r="L1381" s="89"/>
      <c r="M1381" s="26"/>
      <c r="N1381" s="26"/>
      <c r="O1381" s="26"/>
      <c r="P1381" s="26"/>
    </row>
    <row r="1382">
      <c r="A1382" s="90"/>
      <c r="B1382" s="82"/>
      <c r="C1382" s="83"/>
      <c r="D1382" s="82"/>
      <c r="E1382" s="84"/>
      <c r="F1382" s="85"/>
      <c r="G1382" s="86"/>
      <c r="H1382" s="84"/>
      <c r="I1382" s="86"/>
      <c r="J1382" s="87"/>
      <c r="K1382" s="91"/>
      <c r="L1382" s="89"/>
      <c r="M1382" s="26"/>
      <c r="N1382" s="26"/>
      <c r="O1382" s="26"/>
      <c r="P1382" s="26"/>
    </row>
    <row r="1383">
      <c r="A1383" s="90"/>
      <c r="B1383" s="82"/>
      <c r="C1383" s="83"/>
      <c r="D1383" s="82"/>
      <c r="E1383" s="84"/>
      <c r="F1383" s="85"/>
      <c r="G1383" s="86"/>
      <c r="H1383" s="84"/>
      <c r="I1383" s="86"/>
      <c r="J1383" s="87"/>
      <c r="K1383" s="91"/>
      <c r="L1383" s="89"/>
      <c r="M1383" s="26"/>
      <c r="N1383" s="26"/>
      <c r="O1383" s="26"/>
      <c r="P1383" s="26"/>
    </row>
    <row r="1384">
      <c r="A1384" s="90"/>
      <c r="B1384" s="82"/>
      <c r="C1384" s="83"/>
      <c r="D1384" s="82"/>
      <c r="E1384" s="84"/>
      <c r="F1384" s="85"/>
      <c r="G1384" s="86"/>
      <c r="H1384" s="84"/>
      <c r="I1384" s="86"/>
      <c r="J1384" s="87"/>
      <c r="K1384" s="91"/>
      <c r="L1384" s="89"/>
      <c r="M1384" s="26"/>
      <c r="N1384" s="26"/>
      <c r="O1384" s="26"/>
      <c r="P1384" s="26"/>
    </row>
    <row r="1385">
      <c r="A1385" s="90"/>
      <c r="B1385" s="82"/>
      <c r="C1385" s="83"/>
      <c r="D1385" s="82"/>
      <c r="E1385" s="84"/>
      <c r="F1385" s="85"/>
      <c r="G1385" s="86"/>
      <c r="H1385" s="84"/>
      <c r="I1385" s="86"/>
      <c r="J1385" s="87"/>
      <c r="K1385" s="91"/>
      <c r="L1385" s="89"/>
      <c r="M1385" s="26"/>
      <c r="N1385" s="26"/>
      <c r="O1385" s="26"/>
      <c r="P1385" s="26"/>
    </row>
    <row r="1386">
      <c r="A1386" s="90"/>
      <c r="B1386" s="82"/>
      <c r="C1386" s="83"/>
      <c r="D1386" s="82"/>
      <c r="E1386" s="84"/>
      <c r="F1386" s="85"/>
      <c r="G1386" s="86"/>
      <c r="H1386" s="84"/>
      <c r="I1386" s="86"/>
      <c r="J1386" s="87"/>
      <c r="K1386" s="91"/>
      <c r="L1386" s="89"/>
      <c r="M1386" s="26"/>
      <c r="N1386" s="26"/>
      <c r="O1386" s="26"/>
      <c r="P1386" s="26"/>
    </row>
    <row r="1387">
      <c r="A1387" s="90"/>
      <c r="B1387" s="82"/>
      <c r="C1387" s="83"/>
      <c r="D1387" s="82"/>
      <c r="E1387" s="84"/>
      <c r="F1387" s="85"/>
      <c r="G1387" s="86"/>
      <c r="H1387" s="84"/>
      <c r="I1387" s="86"/>
      <c r="J1387" s="87"/>
      <c r="K1387" s="91"/>
      <c r="L1387" s="89"/>
      <c r="M1387" s="26"/>
      <c r="N1387" s="26"/>
      <c r="O1387" s="26"/>
      <c r="P1387" s="26"/>
    </row>
    <row r="1388">
      <c r="A1388" s="90"/>
      <c r="B1388" s="82"/>
      <c r="C1388" s="83"/>
      <c r="D1388" s="82"/>
      <c r="E1388" s="84"/>
      <c r="F1388" s="85"/>
      <c r="G1388" s="86"/>
      <c r="H1388" s="84"/>
      <c r="I1388" s="86"/>
      <c r="J1388" s="87"/>
      <c r="K1388" s="91"/>
      <c r="L1388" s="89"/>
      <c r="M1388" s="26"/>
      <c r="N1388" s="26"/>
      <c r="O1388" s="26"/>
      <c r="P1388" s="26"/>
    </row>
    <row r="1389">
      <c r="A1389" s="90"/>
      <c r="B1389" s="82"/>
      <c r="C1389" s="83"/>
      <c r="D1389" s="82"/>
      <c r="E1389" s="84"/>
      <c r="F1389" s="85"/>
      <c r="G1389" s="86"/>
      <c r="H1389" s="84"/>
      <c r="I1389" s="86"/>
      <c r="J1389" s="87"/>
      <c r="K1389" s="91"/>
      <c r="L1389" s="89"/>
      <c r="M1389" s="26"/>
      <c r="N1389" s="26"/>
      <c r="O1389" s="26"/>
      <c r="P1389" s="26"/>
    </row>
    <row r="1390">
      <c r="A1390" s="90"/>
      <c r="B1390" s="82"/>
      <c r="C1390" s="83"/>
      <c r="D1390" s="82"/>
      <c r="E1390" s="84"/>
      <c r="F1390" s="85"/>
      <c r="G1390" s="86"/>
      <c r="H1390" s="84"/>
      <c r="I1390" s="86"/>
      <c r="J1390" s="87"/>
      <c r="K1390" s="91"/>
      <c r="L1390" s="89"/>
      <c r="M1390" s="26"/>
      <c r="N1390" s="26"/>
      <c r="O1390" s="26"/>
      <c r="P1390" s="26"/>
    </row>
    <row r="1391">
      <c r="A1391" s="90"/>
      <c r="B1391" s="82"/>
      <c r="C1391" s="83"/>
      <c r="D1391" s="82"/>
      <c r="E1391" s="84"/>
      <c r="F1391" s="85"/>
      <c r="G1391" s="86"/>
      <c r="H1391" s="84"/>
      <c r="I1391" s="86"/>
      <c r="J1391" s="87"/>
      <c r="K1391" s="91"/>
      <c r="L1391" s="89"/>
      <c r="M1391" s="26"/>
      <c r="N1391" s="26"/>
      <c r="O1391" s="26"/>
      <c r="P1391" s="26"/>
    </row>
    <row r="1392">
      <c r="A1392" s="90"/>
      <c r="B1392" s="82"/>
      <c r="C1392" s="83"/>
      <c r="D1392" s="82"/>
      <c r="E1392" s="84"/>
      <c r="F1392" s="85"/>
      <c r="G1392" s="86"/>
      <c r="H1392" s="84"/>
      <c r="I1392" s="86"/>
      <c r="J1392" s="87"/>
      <c r="K1392" s="91"/>
      <c r="L1392" s="89"/>
      <c r="M1392" s="26"/>
      <c r="N1392" s="26"/>
      <c r="O1392" s="26"/>
      <c r="P1392" s="26"/>
    </row>
    <row r="1393">
      <c r="A1393" s="90"/>
      <c r="B1393" s="82"/>
      <c r="C1393" s="83"/>
      <c r="D1393" s="82"/>
      <c r="E1393" s="84"/>
      <c r="F1393" s="85"/>
      <c r="G1393" s="86"/>
      <c r="H1393" s="84"/>
      <c r="I1393" s="86"/>
      <c r="J1393" s="87"/>
      <c r="K1393" s="91"/>
      <c r="L1393" s="89"/>
      <c r="M1393" s="26"/>
      <c r="N1393" s="26"/>
      <c r="O1393" s="26"/>
      <c r="P1393" s="26"/>
    </row>
  </sheetData>
  <autoFilter ref="$A$2:$N$779"/>
  <conditionalFormatting sqref="B1">
    <cfRule type="cellIs" dxfId="1" priority="1" operator="equal">
      <formula>"Xbox"</formula>
    </cfRule>
  </conditionalFormatting>
  <conditionalFormatting sqref="A3:A1393">
    <cfRule type="expression" dxfId="2" priority="2">
      <formula>MATCH(A3,INDIRECT("'Xbox Game Studios'!A:A"),0)</formula>
    </cfRule>
  </conditionalFormatting>
  <conditionalFormatting sqref="A3:A1393">
    <cfRule type="expression" dxfId="3" priority="3">
      <formula>MATCH(A3,INDIRECT("'EA Play'!A:A"),0)</formula>
    </cfRule>
  </conditionalFormatting>
  <conditionalFormatting sqref="A3:A1393 D3:D1393">
    <cfRule type="expression" dxfId="4" priority="4">
      <formula>$D3="Coming Soon"</formula>
    </cfRule>
  </conditionalFormatting>
  <conditionalFormatting sqref="A3:A1393 D3:D1393">
    <cfRule type="expression" dxfId="5" priority="5">
      <formula>$D3="Removed"</formula>
    </cfRule>
  </conditionalFormatting>
  <conditionalFormatting sqref="A3:A1393 D3:D1393">
    <cfRule type="expression" dxfId="6" priority="6">
      <formula>$D3="Leaving Soon"</formula>
    </cfRule>
  </conditionalFormatting>
  <conditionalFormatting sqref="E3:E1393 I3:I1393">
    <cfRule type="expression" dxfId="1" priority="7">
      <formula>AND($E3&lt;&gt;"",(($E3-$H3)/365*12)&lt;1)</formula>
    </cfRule>
  </conditionalFormatting>
  <conditionalFormatting sqref="J3:J1393">
    <cfRule type="cellIs" dxfId="3" priority="8" operator="between">
      <formula>75</formula>
      <formula>90</formula>
    </cfRule>
  </conditionalFormatting>
  <conditionalFormatting sqref="J3:J1393">
    <cfRule type="cellIs" dxfId="2" priority="9" operator="between">
      <formula>50</formula>
      <formula>75</formula>
    </cfRule>
  </conditionalFormatting>
  <conditionalFormatting sqref="J3:J1393">
    <cfRule type="cellIs" dxfId="5" priority="10" operator="between">
      <formula>1</formula>
      <formula>50</formula>
    </cfRule>
  </conditionalFormatting>
  <conditionalFormatting sqref="B3:B1393">
    <cfRule type="expression" dxfId="7" priority="11">
      <formula>AND(MATCH(A3,INDIRECT("'Cross Play'!D2:D"),0),MATCH(A3,INDIRECT("'Cross Play'!A2:A"),0))</formula>
    </cfRule>
  </conditionalFormatting>
  <conditionalFormatting sqref="B3:B1393">
    <cfRule type="expression" dxfId="8" priority="12">
      <formula>MATCH(A3,INDIRECT("'Cross Play'!A2:A"),0)</formula>
    </cfRule>
  </conditionalFormatting>
  <conditionalFormatting sqref="B3:B1393">
    <cfRule type="expression" dxfId="9" priority="13">
      <formula>MATCH(A3,INDIRECT("'Cross Play'!D2:D"),0)</formula>
    </cfRule>
  </conditionalFormatting>
  <conditionalFormatting sqref="I3:I1393">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1393">
    <cfRule type="cellIs" dxfId="10" priority="16" operator="between">
      <formula>90</formula>
      <formula>100</formula>
    </cfRule>
  </conditionalFormatting>
  <conditionalFormatting sqref="G3:G1393">
    <cfRule type="expression" dxfId="11" priority="17">
      <formula>MATCH(A3,INDIRECT("'Xbox Game Studios'!A:A"),0)</formula>
    </cfRule>
  </conditionalFormatting>
  <conditionalFormatting sqref="G3:G1393">
    <cfRule type="expression" dxfId="11" priority="18">
      <formula>MATCH(A3,INDIRECT("'EA Play'!A:A"),0)</formula>
    </cfRule>
  </conditionalFormatting>
  <conditionalFormatting sqref="G3:G1393">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0</v>
      </c>
      <c r="B1" s="2">
        <f>COUNTIF(D2:D779,"Active")+COUNTIF(D2:D779,"Leaving Soon")</f>
        <v>335</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List'!C2:C779, ""Streaming""), NOT(REGEXMATCH('Master List'!D2:D779, ""Removed"")) ), 10, false)"),"THE ELDER SCROLLS IV: OBLIVION")</f>
        <v>THE ELDER SCROLLS IV: OBLIVION</v>
      </c>
      <c r="B3" s="15" t="str">
        <f>IFERROR(__xludf.DUMMYFUNCTION("""COMPUTED_VALUE"""),"PS5/PS4")</f>
        <v>PS5/PS4</v>
      </c>
      <c r="C3" s="16" t="str">
        <f>IFERROR(__xludf.DUMMYFUNCTION("""COMPUTED_VALUE"""),"Premium (Streaming Only)")</f>
        <v>Premium (Streaming Only)</v>
      </c>
      <c r="D3" s="15" t="str">
        <f>IFERROR(__xludf.DUMMYFUNCTION("""COMPUTED_VALUE"""),"Active")</f>
        <v>Active</v>
      </c>
      <c r="E3" s="17">
        <f>IFERROR(__xludf.DUMMYFUNCTION("""COMPUTED_VALUE"""),42017.0)</f>
        <v>42017</v>
      </c>
      <c r="F3" s="18"/>
      <c r="G3" s="19">
        <f>IFERROR(__xludf.DUMMYFUNCTION("""COMPUTED_VALUE"""),140.76666666666668)</f>
        <v>140.7666667</v>
      </c>
      <c r="H3" s="17">
        <f>IFERROR(__xludf.DUMMYFUNCTION("""COMPUTED_VALUE"""),38796.0)</f>
        <v>38796</v>
      </c>
      <c r="I3" s="19">
        <f>IFERROR(__xludf.DUMMYFUNCTION("""COMPUTED_VALUE"""),8.813888888888888)</f>
        <v>8.813888889</v>
      </c>
      <c r="J3" s="21">
        <f>IFERROR(__xludf.DUMMYFUNCTION("""COMPUTED_VALUE"""),94.0)</f>
        <v>94</v>
      </c>
      <c r="K3" s="23">
        <f>IFERROR(__xludf.DUMMYFUNCTION("""COMPUTED_VALUE"""),8.3)</f>
        <v>8.3</v>
      </c>
      <c r="L3" s="24">
        <f>IFERROR(__xludf.DUMMYFUNCTION("""COMPUTED_VALUE"""),27.5)</f>
        <v>27.5</v>
      </c>
      <c r="M3" s="25" t="str">
        <f>IFERROR(__xludf.DUMMYFUNCTION("""COMPUTED_VALUE"""),"RPG")</f>
        <v>RPG</v>
      </c>
      <c r="N3" s="25" t="str">
        <f>IFERROR(__xludf.DUMMYFUNCTION("""COMPUTED_VALUE"""),"PS3")</f>
        <v>PS3</v>
      </c>
      <c r="O3" s="26" t="str">
        <f>IFERROR(__xludf.DUMMYFUNCTION("""COMPUTED_VALUE"""),"Yes")</f>
        <v>Yes</v>
      </c>
      <c r="P3" s="26"/>
    </row>
    <row r="4">
      <c r="A4" s="13" t="str">
        <f>IFERROR(__xludf.DUMMYFUNCTION("""COMPUTED_VALUE"""),"Ratchet and Clank: Up Your Arsenal")</f>
        <v>Ratchet and Clank: Up Your Arsenal</v>
      </c>
      <c r="B4" s="15" t="str">
        <f>IFERROR(__xludf.DUMMYFUNCTION("""COMPUTED_VALUE"""),"PS5/PS4")</f>
        <v>PS5/PS4</v>
      </c>
      <c r="C4" s="16" t="str">
        <f>IFERROR(__xludf.DUMMYFUNCTION("""COMPUTED_VALUE"""),"Premium (Streaming Only)")</f>
        <v>Premium (Streaming Only)</v>
      </c>
      <c r="D4" s="15" t="str">
        <f>IFERROR(__xludf.DUMMYFUNCTION("""COMPUTED_VALUE"""),"Active")</f>
        <v>Active</v>
      </c>
      <c r="E4" s="17">
        <f>IFERROR(__xludf.DUMMYFUNCTION("""COMPUTED_VALUE"""),44880.0)</f>
        <v>44880</v>
      </c>
      <c r="F4" s="18"/>
      <c r="G4" s="19">
        <f>IFERROR(__xludf.DUMMYFUNCTION("""COMPUTED_VALUE"""),46.7)</f>
        <v>46.7</v>
      </c>
      <c r="H4" s="17">
        <f>IFERROR(__xludf.DUMMYFUNCTION("""COMPUTED_VALUE"""),38294.0)</f>
        <v>38294</v>
      </c>
      <c r="I4" s="19">
        <f>IFERROR(__xludf.DUMMYFUNCTION("""COMPUTED_VALUE"""),18.033333333333335)</f>
        <v>18.03333333</v>
      </c>
      <c r="J4" s="21">
        <f>IFERROR(__xludf.DUMMYFUNCTION("""COMPUTED_VALUE"""),91.0)</f>
        <v>91</v>
      </c>
      <c r="K4" s="23">
        <f>IFERROR(__xludf.DUMMYFUNCTION("""COMPUTED_VALUE"""),9.0)</f>
        <v>9</v>
      </c>
      <c r="L4" s="24">
        <f>IFERROR(__xludf.DUMMYFUNCTION("""COMPUTED_VALUE"""),11.5)</f>
        <v>11.5</v>
      </c>
      <c r="M4" s="25" t="str">
        <f>IFERROR(__xludf.DUMMYFUNCTION("""COMPUTED_VALUE"""),"Platformer")</f>
        <v>Platformer</v>
      </c>
      <c r="N4" s="25" t="str">
        <f>IFERROR(__xludf.DUMMYFUNCTION("""COMPUTED_VALUE"""),"PS3")</f>
        <v>PS3</v>
      </c>
      <c r="O4" s="26" t="str">
        <f>IFERROR(__xludf.DUMMYFUNCTION("""COMPUTED_VALUE"""),"Yes")</f>
        <v>Yes</v>
      </c>
      <c r="P4" s="26"/>
    </row>
    <row r="5">
      <c r="A5" s="13" t="str">
        <f>IFERROR(__xludf.DUMMYFUNCTION("""COMPUTED_VALUE"""),"Ratchet and Clank: Going Commando")</f>
        <v>Ratchet and Clank: Going Commando</v>
      </c>
      <c r="B5" s="15" t="str">
        <f>IFERROR(__xludf.DUMMYFUNCTION("""COMPUTED_VALUE"""),"PS5/PS4")</f>
        <v>PS5/PS4</v>
      </c>
      <c r="C5" s="16" t="str">
        <f>IFERROR(__xludf.DUMMYFUNCTION("""COMPUTED_VALUE"""),"Premium (Streaming Only)")</f>
        <v>Premium (Streaming Only)</v>
      </c>
      <c r="D5" s="15" t="str">
        <f>IFERROR(__xludf.DUMMYFUNCTION("""COMPUTED_VALUE"""),"Active")</f>
        <v>Active</v>
      </c>
      <c r="E5" s="17">
        <f>IFERROR(__xludf.DUMMYFUNCTION("""COMPUTED_VALUE"""),44880.0)</f>
        <v>44880</v>
      </c>
      <c r="F5" s="18"/>
      <c r="G5" s="19">
        <f>IFERROR(__xludf.DUMMYFUNCTION("""COMPUTED_VALUE"""),46.7)</f>
        <v>46.7</v>
      </c>
      <c r="H5" s="17">
        <f>IFERROR(__xludf.DUMMYFUNCTION("""COMPUTED_VALUE"""),37936.0)</f>
        <v>37936</v>
      </c>
      <c r="I5" s="19">
        <f>IFERROR(__xludf.DUMMYFUNCTION("""COMPUTED_VALUE"""),19.011111111111113)</f>
        <v>19.01111111</v>
      </c>
      <c r="J5" s="21">
        <f>IFERROR(__xludf.DUMMYFUNCTION("""COMPUTED_VALUE"""),90.0)</f>
        <v>90</v>
      </c>
      <c r="K5" s="23">
        <f>IFERROR(__xludf.DUMMYFUNCTION("""COMPUTED_VALUE"""),9.0)</f>
        <v>9</v>
      </c>
      <c r="L5" s="24">
        <f>IFERROR(__xludf.DUMMYFUNCTION("""COMPUTED_VALUE"""),13.5)</f>
        <v>13.5</v>
      </c>
      <c r="M5" s="25" t="str">
        <f>IFERROR(__xludf.DUMMYFUNCTION("""COMPUTED_VALUE"""),"Platformer")</f>
        <v>Platformer</v>
      </c>
      <c r="N5" s="25" t="str">
        <f>IFERROR(__xludf.DUMMYFUNCTION("""COMPUTED_VALUE"""),"PS3")</f>
        <v>PS3</v>
      </c>
      <c r="O5" s="26" t="str">
        <f>IFERROR(__xludf.DUMMYFUNCTION("""COMPUTED_VALUE"""),"Yes")</f>
        <v>Yes</v>
      </c>
      <c r="P5" s="26"/>
    </row>
    <row r="6">
      <c r="A6" s="13" t="str">
        <f>IFERROR(__xludf.DUMMYFUNCTION("""COMPUTED_VALUE"""),"FALLOUT 3")</f>
        <v>FALLOUT 3</v>
      </c>
      <c r="B6" s="15" t="str">
        <f>IFERROR(__xludf.DUMMYFUNCTION("""COMPUTED_VALUE"""),"PS5/PS4")</f>
        <v>PS5/PS4</v>
      </c>
      <c r="C6" s="16" t="str">
        <f>IFERROR(__xludf.DUMMYFUNCTION("""COMPUTED_VALUE"""),"Premium (Streaming Only)")</f>
        <v>Premium (Streaming Only)</v>
      </c>
      <c r="D6" s="15" t="str">
        <f>IFERROR(__xludf.DUMMYFUNCTION("""COMPUTED_VALUE"""),"Active")</f>
        <v>Active</v>
      </c>
      <c r="E6" s="17">
        <f>IFERROR(__xludf.DUMMYFUNCTION("""COMPUTED_VALUE"""),42983.0)</f>
        <v>42983</v>
      </c>
      <c r="F6" s="18"/>
      <c r="G6" s="19">
        <f>IFERROR(__xludf.DUMMYFUNCTION("""COMPUTED_VALUE"""),109.03333333333333)</f>
        <v>109.0333333</v>
      </c>
      <c r="H6" s="17">
        <f>IFERROR(__xludf.DUMMYFUNCTION("""COMPUTED_VALUE"""),39722.0)</f>
        <v>39722</v>
      </c>
      <c r="I6" s="19">
        <f>IFERROR(__xludf.DUMMYFUNCTION("""COMPUTED_VALUE"""),8.927777777777777)</f>
        <v>8.927777778</v>
      </c>
      <c r="J6" s="21">
        <f>IFERROR(__xludf.DUMMYFUNCTION("""COMPUTED_VALUE"""),90.0)</f>
        <v>90</v>
      </c>
      <c r="K6" s="23">
        <f>IFERROR(__xludf.DUMMYFUNCTION("""COMPUTED_VALUE"""),8.3)</f>
        <v>8.3</v>
      </c>
      <c r="L6" s="24">
        <f>IFERROR(__xludf.DUMMYFUNCTION("""COMPUTED_VALUE"""),23.0)</f>
        <v>23</v>
      </c>
      <c r="M6" s="25" t="str">
        <f>IFERROR(__xludf.DUMMYFUNCTION("""COMPUTED_VALUE"""),"RPG")</f>
        <v>RPG</v>
      </c>
      <c r="N6" s="25" t="str">
        <f>IFERROR(__xludf.DUMMYFUNCTION("""COMPUTED_VALUE"""),"PS3")</f>
        <v>PS3</v>
      </c>
      <c r="O6" s="26" t="str">
        <f>IFERROR(__xludf.DUMMYFUNCTION("""COMPUTED_VALUE"""),"Yes")</f>
        <v>Yes</v>
      </c>
      <c r="P6" s="26" t="str">
        <f>IFERROR(__xludf.DUMMYFUNCTION("""COMPUTED_VALUE"""),"")</f>
        <v/>
      </c>
    </row>
    <row r="7">
      <c r="A7" s="13" t="str">
        <f>IFERROR(__xludf.DUMMYFUNCTION("""COMPUTED_VALUE"""),"Jetpack Joyride Deluxe")</f>
        <v>Jetpack Joyride Deluxe</v>
      </c>
      <c r="B7" s="15" t="str">
        <f>IFERROR(__xludf.DUMMYFUNCTION("""COMPUTED_VALUE"""),"PS5/PS4")</f>
        <v>PS5/PS4</v>
      </c>
      <c r="C7" s="16" t="str">
        <f>IFERROR(__xludf.DUMMYFUNCTION("""COMPUTED_VALUE"""),"Premium (Streaming Only)")</f>
        <v>Premium (Streaming Only)</v>
      </c>
      <c r="D7" s="15" t="str">
        <f>IFERROR(__xludf.DUMMYFUNCTION("""COMPUTED_VALUE"""),"Active")</f>
        <v>Active</v>
      </c>
      <c r="E7" s="17">
        <f>IFERROR(__xludf.DUMMYFUNCTION("""COMPUTED_VALUE"""),42493.0)</f>
        <v>42493</v>
      </c>
      <c r="F7" s="18"/>
      <c r="G7" s="19">
        <f>IFERROR(__xludf.DUMMYFUNCTION("""COMPUTED_VALUE"""),125.10000000000001)</f>
        <v>125.1</v>
      </c>
      <c r="H7" s="17">
        <f>IFERROR(__xludf.DUMMYFUNCTION("""COMPUTED_VALUE"""),41968.0)</f>
        <v>41968</v>
      </c>
      <c r="I7" s="19">
        <f>IFERROR(__xludf.DUMMYFUNCTION("""COMPUTED_VALUE"""),1.4388888888888889)</f>
        <v>1.438888889</v>
      </c>
      <c r="J7" s="21">
        <f>IFERROR(__xludf.DUMMYFUNCTION("""COMPUTED_VALUE"""),90.0)</f>
        <v>90</v>
      </c>
      <c r="K7" s="23">
        <f>IFERROR(__xludf.DUMMYFUNCTION("""COMPUTED_VALUE"""),7.3)</f>
        <v>7.3</v>
      </c>
      <c r="L7" s="24">
        <f>IFERROR(__xludf.DUMMYFUNCTION("""COMPUTED_VALUE"""),3.0)</f>
        <v>3</v>
      </c>
      <c r="M7" s="25" t="str">
        <f>IFERROR(__xludf.DUMMYFUNCTION("""COMPUTED_VALUE"""),"Action-Adventure")</f>
        <v>Action-Adventure</v>
      </c>
      <c r="N7" s="25" t="str">
        <f>IFERROR(__xludf.DUMMYFUNCTION("""COMPUTED_VALUE"""),"PS3")</f>
        <v>PS3</v>
      </c>
      <c r="O7" s="26" t="str">
        <f>IFERROR(__xludf.DUMMYFUNCTION("""COMPUTED_VALUE"""),"Yes")</f>
        <v>Yes</v>
      </c>
      <c r="P7" s="26" t="str">
        <f>IFERROR(__xludf.DUMMYFUNCTION("""COMPUTED_VALUE"""),"")</f>
        <v/>
      </c>
    </row>
    <row r="8">
      <c r="A8" s="13" t="str">
        <f>IFERROR(__xludf.DUMMYFUNCTION("""COMPUTED_VALUE"""),"ICO")</f>
        <v>ICO</v>
      </c>
      <c r="B8" s="15" t="str">
        <f>IFERROR(__xludf.DUMMYFUNCTION("""COMPUTED_VALUE"""),"PS5/PS4")</f>
        <v>PS5/PS4</v>
      </c>
      <c r="C8" s="16" t="str">
        <f>IFERROR(__xludf.DUMMYFUNCTION("""COMPUTED_VALUE"""),"Premium (Streaming Only)")</f>
        <v>Premium (Streaming Only)</v>
      </c>
      <c r="D8" s="15" t="str">
        <f>IFERROR(__xludf.DUMMYFUNCTION("""COMPUTED_VALUE"""),"Active")</f>
        <v>Active</v>
      </c>
      <c r="E8" s="17">
        <f>IFERROR(__xludf.DUMMYFUNCTION("""COMPUTED_VALUE"""),42017.0)</f>
        <v>42017</v>
      </c>
      <c r="F8" s="18"/>
      <c r="G8" s="19">
        <f>IFERROR(__xludf.DUMMYFUNCTION("""COMPUTED_VALUE"""),140.76666666666668)</f>
        <v>140.7666667</v>
      </c>
      <c r="H8" s="17">
        <f>IFERROR(__xludf.DUMMYFUNCTION("""COMPUTED_VALUE"""),37135.0)</f>
        <v>37135</v>
      </c>
      <c r="I8" s="19">
        <f>IFERROR(__xludf.DUMMYFUNCTION("""COMPUTED_VALUE"""),13.366666666666667)</f>
        <v>13.36666667</v>
      </c>
      <c r="J8" s="21">
        <f>IFERROR(__xludf.DUMMYFUNCTION("""COMPUTED_VALUE"""),90.0)</f>
        <v>90</v>
      </c>
      <c r="K8" s="23">
        <f>IFERROR(__xludf.DUMMYFUNCTION("""COMPUTED_VALUE"""),8.6)</f>
        <v>8.6</v>
      </c>
      <c r="L8" s="24">
        <f>IFERROR(__xludf.DUMMYFUNCTION("""COMPUTED_VALUE"""),8.0)</f>
        <v>8</v>
      </c>
      <c r="M8" s="25" t="str">
        <f>IFERROR(__xludf.DUMMYFUNCTION("""COMPUTED_VALUE"""),"Action-Adventure")</f>
        <v>Action-Adventure</v>
      </c>
      <c r="N8" s="25" t="str">
        <f>IFERROR(__xludf.DUMMYFUNCTION("""COMPUTED_VALUE"""),"PS3")</f>
        <v>PS3</v>
      </c>
      <c r="O8" s="26" t="str">
        <f>IFERROR(__xludf.DUMMYFUNCTION("""COMPUTED_VALUE"""),"Yes")</f>
        <v>Yes</v>
      </c>
      <c r="P8" s="26" t="str">
        <f>IFERROR(__xludf.DUMMYFUNCTION("""COMPUTED_VALUE"""),"")</f>
        <v/>
      </c>
    </row>
    <row r="9">
      <c r="A9" s="35" t="str">
        <f>IFERROR(__xludf.DUMMYFUNCTION("""COMPUTED_VALUE"""),"Ratchet and Clank: Tools of Destruction")</f>
        <v>Ratchet and Clank: Tools of Destruction</v>
      </c>
      <c r="B9" s="15" t="str">
        <f>IFERROR(__xludf.DUMMYFUNCTION("""COMPUTED_VALUE"""),"PS5/PS4")</f>
        <v>PS5/PS4</v>
      </c>
      <c r="C9" s="16" t="str">
        <f>IFERROR(__xludf.DUMMYFUNCTION("""COMPUTED_VALUE"""),"Premium (Streaming Only)")</f>
        <v>Premium (Streaming Only)</v>
      </c>
      <c r="D9" s="15" t="str">
        <f>IFERROR(__xludf.DUMMYFUNCTION("""COMPUTED_VALUE"""),"Active")</f>
        <v>Active</v>
      </c>
      <c r="E9" s="17">
        <f>IFERROR(__xludf.DUMMYFUNCTION("""COMPUTED_VALUE"""),44880.0)</f>
        <v>44880</v>
      </c>
      <c r="F9" s="18"/>
      <c r="G9" s="19">
        <f>IFERROR(__xludf.DUMMYFUNCTION("""COMPUTED_VALUE"""),46.7)</f>
        <v>46.7</v>
      </c>
      <c r="H9" s="17">
        <f>IFERROR(__xludf.DUMMYFUNCTION("""COMPUTED_VALUE"""),39378.0)</f>
        <v>39378</v>
      </c>
      <c r="I9" s="19">
        <f>IFERROR(__xludf.DUMMYFUNCTION("""COMPUTED_VALUE"""),15.061111111111112)</f>
        <v>15.06111111</v>
      </c>
      <c r="J9" s="21">
        <f>IFERROR(__xludf.DUMMYFUNCTION("""COMPUTED_VALUE"""),89.0)</f>
        <v>89</v>
      </c>
      <c r="K9" s="23">
        <f>IFERROR(__xludf.DUMMYFUNCTION("""COMPUTED_VALUE"""),8.8)</f>
        <v>8.8</v>
      </c>
      <c r="L9" s="24">
        <f>IFERROR(__xludf.DUMMYFUNCTION("""COMPUTED_VALUE"""),12.5)</f>
        <v>12.5</v>
      </c>
      <c r="M9" s="25" t="str">
        <f>IFERROR(__xludf.DUMMYFUNCTION("""COMPUTED_VALUE"""),"Platformer")</f>
        <v>Platformer</v>
      </c>
      <c r="N9" s="25" t="str">
        <f>IFERROR(__xludf.DUMMYFUNCTION("""COMPUTED_VALUE"""),"PS3")</f>
        <v>PS3</v>
      </c>
      <c r="O9" s="26" t="str">
        <f>IFERROR(__xludf.DUMMYFUNCTION("""COMPUTED_VALUE"""),"Yes")</f>
        <v>Yes</v>
      </c>
      <c r="P9" s="26"/>
    </row>
    <row r="10">
      <c r="A10" s="13" t="str">
        <f>IFERROR(__xludf.DUMMYFUNCTION("""COMPUTED_VALUE"""),"Ratchet and Clank")</f>
        <v>Ratchet and Clank</v>
      </c>
      <c r="B10" s="15" t="str">
        <f>IFERROR(__xludf.DUMMYFUNCTION("""COMPUTED_VALUE"""),"PS5/PS4")</f>
        <v>PS5/PS4</v>
      </c>
      <c r="C10" s="16" t="str">
        <f>IFERROR(__xludf.DUMMYFUNCTION("""COMPUTED_VALUE"""),"Premium (Streaming Only)")</f>
        <v>Premium (Streaming Only)</v>
      </c>
      <c r="D10" s="15" t="str">
        <f>IFERROR(__xludf.DUMMYFUNCTION("""COMPUTED_VALUE"""),"Active")</f>
        <v>Active</v>
      </c>
      <c r="E10" s="17">
        <f>IFERROR(__xludf.DUMMYFUNCTION("""COMPUTED_VALUE"""),44880.0)</f>
        <v>44880</v>
      </c>
      <c r="F10" s="18"/>
      <c r="G10" s="19">
        <f>IFERROR(__xludf.DUMMYFUNCTION("""COMPUTED_VALUE"""),46.7)</f>
        <v>46.7</v>
      </c>
      <c r="H10" s="17">
        <f>IFERROR(__xludf.DUMMYFUNCTION("""COMPUTED_VALUE"""),37565.0)</f>
        <v>37565</v>
      </c>
      <c r="I10" s="19">
        <f>IFERROR(__xludf.DUMMYFUNCTION("""COMPUTED_VALUE"""),20.02777777777778)</f>
        <v>20.02777778</v>
      </c>
      <c r="J10" s="21">
        <f>IFERROR(__xludf.DUMMYFUNCTION("""COMPUTED_VALUE"""),88.0)</f>
        <v>88</v>
      </c>
      <c r="K10" s="23">
        <f>IFERROR(__xludf.DUMMYFUNCTION("""COMPUTED_VALUE"""),8.8)</f>
        <v>8.8</v>
      </c>
      <c r="L10" s="24">
        <f>IFERROR(__xludf.DUMMYFUNCTION("""COMPUTED_VALUE"""),12.0)</f>
        <v>12</v>
      </c>
      <c r="M10" s="25" t="str">
        <f>IFERROR(__xludf.DUMMYFUNCTION("""COMPUTED_VALUE"""),"Platformer")</f>
        <v>Platformer</v>
      </c>
      <c r="N10" s="25" t="str">
        <f>IFERROR(__xludf.DUMMYFUNCTION("""COMPUTED_VALUE"""),"PS3")</f>
        <v>PS3</v>
      </c>
      <c r="O10" s="26" t="str">
        <f>IFERROR(__xludf.DUMMYFUNCTION("""COMPUTED_VALUE"""),"Yes")</f>
        <v>Yes</v>
      </c>
      <c r="P10" s="26"/>
    </row>
    <row r="11">
      <c r="A11" s="13" t="str">
        <f>IFERROR(__xludf.DUMMYFUNCTION("""COMPUTED_VALUE"""),"XCOM: Enemy Within")</f>
        <v>XCOM: Enemy Within</v>
      </c>
      <c r="B11" s="15" t="str">
        <f>IFERROR(__xludf.DUMMYFUNCTION("""COMPUTED_VALUE"""),"PS5/PS4")</f>
        <v>PS5/PS4</v>
      </c>
      <c r="C11" s="16" t="str">
        <f>IFERROR(__xludf.DUMMYFUNCTION("""COMPUTED_VALUE"""),"Premium (Streaming Only)")</f>
        <v>Premium (Streaming Only)</v>
      </c>
      <c r="D11" s="15" t="str">
        <f>IFERROR(__xludf.DUMMYFUNCTION("""COMPUTED_VALUE"""),"Active")</f>
        <v>Active</v>
      </c>
      <c r="E11" s="17">
        <f>IFERROR(__xludf.DUMMYFUNCTION("""COMPUTED_VALUE"""),42374.0)</f>
        <v>42374</v>
      </c>
      <c r="F11" s="18"/>
      <c r="G11" s="19">
        <f>IFERROR(__xludf.DUMMYFUNCTION("""COMPUTED_VALUE"""),129.03333333333333)</f>
        <v>129.0333333</v>
      </c>
      <c r="H11" s="17">
        <f>IFERROR(__xludf.DUMMYFUNCTION("""COMPUTED_VALUE"""),41590.0)</f>
        <v>41590</v>
      </c>
      <c r="I11" s="19">
        <f>IFERROR(__xludf.DUMMYFUNCTION("""COMPUTED_VALUE"""),2.147222222222222)</f>
        <v>2.147222222</v>
      </c>
      <c r="J11" s="21">
        <f>IFERROR(__xludf.DUMMYFUNCTION("""COMPUTED_VALUE"""),88.0)</f>
        <v>88</v>
      </c>
      <c r="K11" s="23">
        <f>IFERROR(__xludf.DUMMYFUNCTION("""COMPUTED_VALUE"""),8.4)</f>
        <v>8.4</v>
      </c>
      <c r="L11" s="24">
        <f>IFERROR(__xludf.DUMMYFUNCTION("""COMPUTED_VALUE"""),27.5)</f>
        <v>27.5</v>
      </c>
      <c r="M11" s="25" t="str">
        <f>IFERROR(__xludf.DUMMYFUNCTION("""COMPUTED_VALUE"""),"Strategy")</f>
        <v>Strategy</v>
      </c>
      <c r="N11" s="25" t="str">
        <f>IFERROR(__xludf.DUMMYFUNCTION("""COMPUTED_VALUE"""),"PS3")</f>
        <v>PS3</v>
      </c>
      <c r="O11" s="26" t="str">
        <f>IFERROR(__xludf.DUMMYFUNCTION("""COMPUTED_VALUE"""),"Yes")</f>
        <v>Yes</v>
      </c>
      <c r="P11" s="26"/>
    </row>
    <row r="12">
      <c r="A12" s="13" t="str">
        <f>IFERROR(__xludf.DUMMYFUNCTION("""COMPUTED_VALUE"""),"NINJA GAIDEN SIGMA")</f>
        <v>NINJA GAIDEN SIGMA</v>
      </c>
      <c r="B12" s="15" t="str">
        <f>IFERROR(__xludf.DUMMYFUNCTION("""COMPUTED_VALUE"""),"PS5/PS4")</f>
        <v>PS5/PS4</v>
      </c>
      <c r="C12" s="16" t="str">
        <f>IFERROR(__xludf.DUMMYFUNCTION("""COMPUTED_VALUE"""),"Premium (Streaming Only)")</f>
        <v>Premium (Streaming Only)</v>
      </c>
      <c r="D12" s="15" t="str">
        <f>IFERROR(__xludf.DUMMYFUNCTION("""COMPUTED_VALUE"""),"Active")</f>
        <v>Active</v>
      </c>
      <c r="E12" s="53">
        <f>IFERROR(__xludf.DUMMYFUNCTION("""COMPUTED_VALUE"""),42101.0)</f>
        <v>42101</v>
      </c>
      <c r="F12" s="54"/>
      <c r="G12" s="19">
        <f>IFERROR(__xludf.DUMMYFUNCTION("""COMPUTED_VALUE"""),137.96666666666667)</f>
        <v>137.9666667</v>
      </c>
      <c r="H12" s="17">
        <f>IFERROR(__xludf.DUMMYFUNCTION("""COMPUTED_VALUE"""),39264.0)</f>
        <v>39264</v>
      </c>
      <c r="I12" s="19">
        <f>IFERROR(__xludf.DUMMYFUNCTION("""COMPUTED_VALUE"""),7.766666666666667)</f>
        <v>7.766666667</v>
      </c>
      <c r="J12" s="21">
        <f>IFERROR(__xludf.DUMMYFUNCTION("""COMPUTED_VALUE"""),88.0)</f>
        <v>88</v>
      </c>
      <c r="K12" s="23">
        <f>IFERROR(__xludf.DUMMYFUNCTION("""COMPUTED_VALUE"""),8.7)</f>
        <v>8.7</v>
      </c>
      <c r="L12" s="24">
        <f>IFERROR(__xludf.DUMMYFUNCTION("""COMPUTED_VALUE"""),17.0)</f>
        <v>17</v>
      </c>
      <c r="M12" s="25" t="str">
        <f>IFERROR(__xludf.DUMMYFUNCTION("""COMPUTED_VALUE"""),"Action-Adventure")</f>
        <v>Action-Adventure</v>
      </c>
      <c r="N12" s="25" t="str">
        <f>IFERROR(__xludf.DUMMYFUNCTION("""COMPUTED_VALUE"""),"PS3")</f>
        <v>PS3</v>
      </c>
      <c r="O12" s="26" t="str">
        <f>IFERROR(__xludf.DUMMYFUNCTION("""COMPUTED_VALUE"""),"Yes")</f>
        <v>Yes</v>
      </c>
      <c r="P12" s="26" t="str">
        <f>IFERROR(__xludf.DUMMYFUNCTION("""COMPUTED_VALUE"""),"")</f>
        <v/>
      </c>
    </row>
    <row r="13">
      <c r="A13" s="13" t="str">
        <f>IFERROR(__xludf.DUMMYFUNCTION("""COMPUTED_VALUE"""),"God of War HD")</f>
        <v>God of War HD</v>
      </c>
      <c r="B13" s="15" t="str">
        <f>IFERROR(__xludf.DUMMYFUNCTION("""COMPUTED_VALUE"""),"PS5/PS4")</f>
        <v>PS5/PS4</v>
      </c>
      <c r="C13" s="16" t="str">
        <f>IFERROR(__xludf.DUMMYFUNCTION("""COMPUTED_VALUE"""),"Premium (Streaming Only)")</f>
        <v>Premium (Streaming Only)</v>
      </c>
      <c r="D13" s="15" t="str">
        <f>IFERROR(__xludf.DUMMYFUNCTION("""COMPUTED_VALUE"""),"Active")</f>
        <v>Active</v>
      </c>
      <c r="E13" s="17">
        <f>IFERROR(__xludf.DUMMYFUNCTION("""COMPUTED_VALUE"""),42017.0)</f>
        <v>42017</v>
      </c>
      <c r="F13" s="54"/>
      <c r="G13" s="19">
        <f>IFERROR(__xludf.DUMMYFUNCTION("""COMPUTED_VALUE"""),140.76666666666668)</f>
        <v>140.7666667</v>
      </c>
      <c r="H13" s="17">
        <f>IFERROR(__xludf.DUMMYFUNCTION("""COMPUTED_VALUE"""),38412.0)</f>
        <v>38412</v>
      </c>
      <c r="I13" s="19">
        <f>IFERROR(__xludf.DUMMYFUNCTION("""COMPUTED_VALUE"""),9.866666666666667)</f>
        <v>9.866666667</v>
      </c>
      <c r="J13" s="21">
        <f>IFERROR(__xludf.DUMMYFUNCTION("""COMPUTED_VALUE"""),88.0)</f>
        <v>88</v>
      </c>
      <c r="K13" s="23">
        <f>IFERROR(__xludf.DUMMYFUNCTION("""COMPUTED_VALUE"""),8.9)</f>
        <v>8.9</v>
      </c>
      <c r="L13" s="24">
        <f>IFERROR(__xludf.DUMMYFUNCTION("""COMPUTED_VALUE"""),9.0)</f>
        <v>9</v>
      </c>
      <c r="M13" s="25" t="str">
        <f>IFERROR(__xludf.DUMMYFUNCTION("""COMPUTED_VALUE"""),"Action-Adventure")</f>
        <v>Action-Adventure</v>
      </c>
      <c r="N13" s="25" t="str">
        <f>IFERROR(__xludf.DUMMYFUNCTION("""COMPUTED_VALUE"""),"PS3")</f>
        <v>PS3</v>
      </c>
      <c r="O13" s="26" t="str">
        <f>IFERROR(__xludf.DUMMYFUNCTION("""COMPUTED_VALUE"""),"Yes")</f>
        <v>Yes</v>
      </c>
      <c r="P13" s="26" t="str">
        <f>IFERROR(__xludf.DUMMYFUNCTION("""COMPUTED_VALUE"""),"")</f>
        <v/>
      </c>
    </row>
    <row r="14">
      <c r="A14" s="13" t="str">
        <f>IFERROR(__xludf.DUMMYFUNCTION("""COMPUTED_VALUE"""),"Velocity Ultra")</f>
        <v>Velocity Ultra</v>
      </c>
      <c r="B14" s="15" t="str">
        <f>IFERROR(__xludf.DUMMYFUNCTION("""COMPUTED_VALUE"""),"PS5/PS4")</f>
        <v>PS5/PS4</v>
      </c>
      <c r="C14" s="16" t="str">
        <f>IFERROR(__xludf.DUMMYFUNCTION("""COMPUTED_VALUE"""),"Premium (Streaming Only)")</f>
        <v>Premium (Streaming Only)</v>
      </c>
      <c r="D14" s="15" t="str">
        <f>IFERROR(__xludf.DUMMYFUNCTION("""COMPUTED_VALUE"""),"Active")</f>
        <v>Active</v>
      </c>
      <c r="E14" s="17">
        <f>IFERROR(__xludf.DUMMYFUNCTION("""COMPUTED_VALUE"""),44725.0)</f>
        <v>44725</v>
      </c>
      <c r="F14" s="54"/>
      <c r="G14" s="19">
        <f>IFERROR(__xludf.DUMMYFUNCTION("""COMPUTED_VALUE"""),51.766666666666666)</f>
        <v>51.76666667</v>
      </c>
      <c r="H14" s="17">
        <f>IFERROR(__xludf.DUMMYFUNCTION("""COMPUTED_VALUE"""),41456.0)</f>
        <v>41456</v>
      </c>
      <c r="I14" s="19">
        <f>IFERROR(__xludf.DUMMYFUNCTION("""COMPUTED_VALUE"""),8.95)</f>
        <v>8.95</v>
      </c>
      <c r="J14" s="21">
        <f>IFERROR(__xludf.DUMMYFUNCTION("""COMPUTED_VALUE"""),87.0)</f>
        <v>87</v>
      </c>
      <c r="K14" s="23">
        <f>IFERROR(__xludf.DUMMYFUNCTION("""COMPUTED_VALUE"""),7.6)</f>
        <v>7.6</v>
      </c>
      <c r="L14" s="24">
        <f>IFERROR(__xludf.DUMMYFUNCTION("""COMPUTED_VALUE"""),4.0)</f>
        <v>4</v>
      </c>
      <c r="M14" s="25" t="str">
        <f>IFERROR(__xludf.DUMMYFUNCTION("""COMPUTED_VALUE"""),"Shooter")</f>
        <v>Shooter</v>
      </c>
      <c r="N14" s="25" t="str">
        <f>IFERROR(__xludf.DUMMYFUNCTION("""COMPUTED_VALUE"""),"PS3")</f>
        <v>PS3</v>
      </c>
      <c r="O14" s="26" t="str">
        <f>IFERROR(__xludf.DUMMYFUNCTION("""COMPUTED_VALUE"""),"Yes")</f>
        <v>Yes</v>
      </c>
      <c r="P14" s="26" t="str">
        <f>IFERROR(__xludf.DUMMYFUNCTION("""COMPUTED_VALUE"""),"")</f>
        <v/>
      </c>
    </row>
    <row r="15">
      <c r="A15" s="13" t="str">
        <f>IFERROR(__xludf.DUMMYFUNCTION("""COMPUTED_VALUE"""),"Bionic Commando: Rearmed")</f>
        <v>Bionic Commando: Rearmed</v>
      </c>
      <c r="B15" s="15" t="str">
        <f>IFERROR(__xludf.DUMMYFUNCTION("""COMPUTED_VALUE"""),"PS5/PS4")</f>
        <v>PS5/PS4</v>
      </c>
      <c r="C15" s="16" t="str">
        <f>IFERROR(__xludf.DUMMYFUNCTION("""COMPUTED_VALUE"""),"Premium (Streaming Only)")</f>
        <v>Premium (Streaming Only)</v>
      </c>
      <c r="D15" s="15" t="str">
        <f>IFERROR(__xludf.DUMMYFUNCTION("""COMPUTED_VALUE"""),"Active")</f>
        <v>Active</v>
      </c>
      <c r="E15" s="17">
        <f>IFERROR(__xludf.DUMMYFUNCTION("""COMPUTED_VALUE"""),42311.0)</f>
        <v>42311</v>
      </c>
      <c r="F15" s="54"/>
      <c r="G15" s="19">
        <f>IFERROR(__xludf.DUMMYFUNCTION("""COMPUTED_VALUE"""),131.10000000000002)</f>
        <v>131.1</v>
      </c>
      <c r="H15" s="17">
        <f>IFERROR(__xludf.DUMMYFUNCTION("""COMPUTED_VALUE"""),39661.0)</f>
        <v>39661</v>
      </c>
      <c r="I15" s="19">
        <f>IFERROR(__xludf.DUMMYFUNCTION("""COMPUTED_VALUE"""),7.2555555555555555)</f>
        <v>7.255555556</v>
      </c>
      <c r="J15" s="21">
        <f>IFERROR(__xludf.DUMMYFUNCTION("""COMPUTED_VALUE"""),87.0)</f>
        <v>87</v>
      </c>
      <c r="K15" s="23">
        <f>IFERROR(__xludf.DUMMYFUNCTION("""COMPUTED_VALUE"""),8.3)</f>
        <v>8.3</v>
      </c>
      <c r="L15" s="24">
        <f>IFERROR(__xludf.DUMMYFUNCTION("""COMPUTED_VALUE"""),5.0)</f>
        <v>5</v>
      </c>
      <c r="M15" s="25" t="str">
        <f>IFERROR(__xludf.DUMMYFUNCTION("""COMPUTED_VALUE"""),"Platformer")</f>
        <v>Platformer</v>
      </c>
      <c r="N15" s="25" t="str">
        <f>IFERROR(__xludf.DUMMYFUNCTION("""COMPUTED_VALUE"""),"PS3")</f>
        <v>PS3</v>
      </c>
      <c r="O15" s="26" t="str">
        <f>IFERROR(__xludf.DUMMYFUNCTION("""COMPUTED_VALUE"""),"Yes")</f>
        <v>Yes</v>
      </c>
      <c r="P15" s="26" t="str">
        <f>IFERROR(__xludf.DUMMYFUNCTION("""COMPUTED_VALUE"""),"Yes")</f>
        <v>Yes</v>
      </c>
    </row>
    <row r="16">
      <c r="A16" s="13" t="str">
        <f>IFERROR(__xludf.DUMMYFUNCTION("""COMPUTED_VALUE"""),"BlazBlue: Calamity Trigger")</f>
        <v>BlazBlue: Calamity Trigger</v>
      </c>
      <c r="B16" s="15" t="str">
        <f>IFERROR(__xludf.DUMMYFUNCTION("""COMPUTED_VALUE"""),"PS5/PS4")</f>
        <v>PS5/PS4</v>
      </c>
      <c r="C16" s="16" t="str">
        <f>IFERROR(__xludf.DUMMYFUNCTION("""COMPUTED_VALUE"""),"Premium (Streaming Only)")</f>
        <v>Premium (Streaming Only)</v>
      </c>
      <c r="D16" s="15" t="str">
        <f>IFERROR(__xludf.DUMMYFUNCTION("""COMPUTED_VALUE"""),"Active")</f>
        <v>Active</v>
      </c>
      <c r="E16" s="17">
        <f>IFERROR(__xludf.DUMMYFUNCTION("""COMPUTED_VALUE"""),42017.0)</f>
        <v>42017</v>
      </c>
      <c r="F16" s="54"/>
      <c r="G16" s="19">
        <f>IFERROR(__xludf.DUMMYFUNCTION("""COMPUTED_VALUE"""),140.76666666666668)</f>
        <v>140.7666667</v>
      </c>
      <c r="H16" s="17">
        <f>IFERROR(__xludf.DUMMYFUNCTION("""COMPUTED_VALUE"""),39965.0)</f>
        <v>39965</v>
      </c>
      <c r="I16" s="19">
        <f>IFERROR(__xludf.DUMMYFUNCTION("""COMPUTED_VALUE"""),5.616666666666666)</f>
        <v>5.616666667</v>
      </c>
      <c r="J16" s="21">
        <f>IFERROR(__xludf.DUMMYFUNCTION("""COMPUTED_VALUE"""),87.0)</f>
        <v>87</v>
      </c>
      <c r="K16" s="23">
        <f>IFERROR(__xludf.DUMMYFUNCTION("""COMPUTED_VALUE"""),8.0)</f>
        <v>8</v>
      </c>
      <c r="L16" s="24"/>
      <c r="M16" s="25" t="str">
        <f>IFERROR(__xludf.DUMMYFUNCTION("""COMPUTED_VALUE"""),"Fighting")</f>
        <v>Fighting</v>
      </c>
      <c r="N16" s="25" t="str">
        <f>IFERROR(__xludf.DUMMYFUNCTION("""COMPUTED_VALUE"""),"PS3")</f>
        <v>PS3</v>
      </c>
      <c r="O16" s="26" t="str">
        <f>IFERROR(__xludf.DUMMYFUNCTION("""COMPUTED_VALUE"""),"Yes")</f>
        <v>Yes</v>
      </c>
      <c r="P16" s="26" t="str">
        <f>IFERROR(__xludf.DUMMYFUNCTION("""COMPUTED_VALUE"""),"")</f>
        <v/>
      </c>
    </row>
    <row r="17">
      <c r="A17" s="13" t="str">
        <f>IFERROR(__xludf.DUMMYFUNCTION("""COMPUTED_VALUE"""),"Critter Crunch")</f>
        <v>Critter Crunch</v>
      </c>
      <c r="B17" s="15" t="str">
        <f>IFERROR(__xludf.DUMMYFUNCTION("""COMPUTED_VALUE"""),"PS5/PS4")</f>
        <v>PS5/PS4</v>
      </c>
      <c r="C17" s="16" t="str">
        <f>IFERROR(__xludf.DUMMYFUNCTION("""COMPUTED_VALUE"""),"Premium (Streaming Only)")</f>
        <v>Premium (Streaming Only)</v>
      </c>
      <c r="D17" s="15" t="str">
        <f>IFERROR(__xludf.DUMMYFUNCTION("""COMPUTED_VALUE"""),"Active")</f>
        <v>Active</v>
      </c>
      <c r="E17" s="17">
        <f>IFERROR(__xludf.DUMMYFUNCTION("""COMPUTED_VALUE"""),42017.0)</f>
        <v>42017</v>
      </c>
      <c r="F17" s="54"/>
      <c r="G17" s="19">
        <f>IFERROR(__xludf.DUMMYFUNCTION("""COMPUTED_VALUE"""),140.76666666666668)</f>
        <v>140.7666667</v>
      </c>
      <c r="H17" s="17">
        <f>IFERROR(__xludf.DUMMYFUNCTION("""COMPUTED_VALUE"""),40087.0)</f>
        <v>40087</v>
      </c>
      <c r="I17" s="19">
        <f>IFERROR(__xludf.DUMMYFUNCTION("""COMPUTED_VALUE"""),5.283333333333333)</f>
        <v>5.283333333</v>
      </c>
      <c r="J17" s="21">
        <f>IFERROR(__xludf.DUMMYFUNCTION("""COMPUTED_VALUE"""),87.0)</f>
        <v>87</v>
      </c>
      <c r="K17" s="23">
        <f>IFERROR(__xludf.DUMMYFUNCTION("""COMPUTED_VALUE"""),7.7)</f>
        <v>7.7</v>
      </c>
      <c r="L17" s="24">
        <f>IFERROR(__xludf.DUMMYFUNCTION("""COMPUTED_VALUE"""),3.0)</f>
        <v>3</v>
      </c>
      <c r="M17" s="25" t="str">
        <f>IFERROR(__xludf.DUMMYFUNCTION("""COMPUTED_VALUE"""),"Puzzle")</f>
        <v>Puzzle</v>
      </c>
      <c r="N17" s="25" t="str">
        <f>IFERROR(__xludf.DUMMYFUNCTION("""COMPUTED_VALUE"""),"PS3")</f>
        <v>PS3</v>
      </c>
      <c r="O17" s="26" t="str">
        <f>IFERROR(__xludf.DUMMYFUNCTION("""COMPUTED_VALUE"""),"Yes")</f>
        <v>Yes</v>
      </c>
      <c r="P17" s="26" t="str">
        <f>IFERROR(__xludf.DUMMYFUNCTION("""COMPUTED_VALUE"""),"Yes")</f>
        <v>Yes</v>
      </c>
    </row>
    <row r="18">
      <c r="A18" s="13" t="str">
        <f>IFERROR(__xludf.DUMMYFUNCTION("""COMPUTED_VALUE"""),"Monkey Island 2 Special Edition: LeChuck's Revenge")</f>
        <v>Monkey Island 2 Special Edition: LeChuck's Revenge</v>
      </c>
      <c r="B18" s="15" t="str">
        <f>IFERROR(__xludf.DUMMYFUNCTION("""COMPUTED_VALUE"""),"PS5/PS4")</f>
        <v>PS5/PS4</v>
      </c>
      <c r="C18" s="16" t="str">
        <f>IFERROR(__xludf.DUMMYFUNCTION("""COMPUTED_VALUE"""),"Premium (Streaming Only)")</f>
        <v>Premium (Streaming Only)</v>
      </c>
      <c r="D18" s="15" t="str">
        <f>IFERROR(__xludf.DUMMYFUNCTION("""COMPUTED_VALUE"""),"Active")</f>
        <v>Active</v>
      </c>
      <c r="E18" s="17">
        <f>IFERROR(__xludf.DUMMYFUNCTION("""COMPUTED_VALUE"""),42017.0)</f>
        <v>42017</v>
      </c>
      <c r="F18" s="54"/>
      <c r="G18" s="19">
        <f>IFERROR(__xludf.DUMMYFUNCTION("""COMPUTED_VALUE"""),140.76666666666668)</f>
        <v>140.7666667</v>
      </c>
      <c r="H18" s="17">
        <f>IFERROR(__xludf.DUMMYFUNCTION("""COMPUTED_VALUE"""),40330.0)</f>
        <v>40330</v>
      </c>
      <c r="I18" s="19">
        <f>IFERROR(__xludf.DUMMYFUNCTION("""COMPUTED_VALUE"""),4.616666666666666)</f>
        <v>4.616666667</v>
      </c>
      <c r="J18" s="21">
        <f>IFERROR(__xludf.DUMMYFUNCTION("""COMPUTED_VALUE"""),87.0)</f>
        <v>87</v>
      </c>
      <c r="K18" s="23">
        <f>IFERROR(__xludf.DUMMYFUNCTION("""COMPUTED_VALUE"""),8.7)</f>
        <v>8.7</v>
      </c>
      <c r="L18" s="24">
        <f>IFERROR(__xludf.DUMMYFUNCTION("""COMPUTED_VALUE"""),7.0)</f>
        <v>7</v>
      </c>
      <c r="M18" s="25" t="str">
        <f>IFERROR(__xludf.DUMMYFUNCTION("""COMPUTED_VALUE"""),"Adventure")</f>
        <v>Adventure</v>
      </c>
      <c r="N18" s="25" t="str">
        <f>IFERROR(__xludf.DUMMYFUNCTION("""COMPUTED_VALUE"""),"PS3")</f>
        <v>PS3</v>
      </c>
      <c r="O18" s="26" t="str">
        <f>IFERROR(__xludf.DUMMYFUNCTION("""COMPUTED_VALUE"""),"Yes")</f>
        <v>Yes</v>
      </c>
      <c r="P18" s="26" t="str">
        <f>IFERROR(__xludf.DUMMYFUNCTION("""COMPUTED_VALUE"""),"")</f>
        <v/>
      </c>
    </row>
    <row r="19">
      <c r="A19" s="13" t="str">
        <f>IFERROR(__xludf.DUMMYFUNCTION("""COMPUTED_VALUE"""),"Ratchet and Clank: A Crack In Time")</f>
        <v>Ratchet and Clank: A Crack In Time</v>
      </c>
      <c r="B19" s="15" t="str">
        <f>IFERROR(__xludf.DUMMYFUNCTION("""COMPUTED_VALUE"""),"PS5/PS4")</f>
        <v>PS5/PS4</v>
      </c>
      <c r="C19" s="16" t="str">
        <f>IFERROR(__xludf.DUMMYFUNCTION("""COMPUTED_VALUE"""),"Premium (Streaming Only)")</f>
        <v>Premium (Streaming Only)</v>
      </c>
      <c r="D19" s="15" t="str">
        <f>IFERROR(__xludf.DUMMYFUNCTION("""COMPUTED_VALUE"""),"Active")</f>
        <v>Active</v>
      </c>
      <c r="E19" s="17">
        <f>IFERROR(__xludf.DUMMYFUNCTION("""COMPUTED_VALUE"""),42017.0)</f>
        <v>42017</v>
      </c>
      <c r="F19" s="54"/>
      <c r="G19" s="19">
        <f>IFERROR(__xludf.DUMMYFUNCTION("""COMPUTED_VALUE"""),140.76666666666668)</f>
        <v>140.7666667</v>
      </c>
      <c r="H19" s="17">
        <f>IFERROR(__xludf.DUMMYFUNCTION("""COMPUTED_VALUE"""),40087.0)</f>
        <v>40087</v>
      </c>
      <c r="I19" s="19">
        <f>IFERROR(__xludf.DUMMYFUNCTION("""COMPUTED_VALUE"""),5.283333333333333)</f>
        <v>5.283333333</v>
      </c>
      <c r="J19" s="21">
        <f>IFERROR(__xludf.DUMMYFUNCTION("""COMPUTED_VALUE"""),87.0)</f>
        <v>87</v>
      </c>
      <c r="K19" s="23">
        <f>IFERROR(__xludf.DUMMYFUNCTION("""COMPUTED_VALUE"""),8.5)</f>
        <v>8.5</v>
      </c>
      <c r="L19" s="24">
        <f>IFERROR(__xludf.DUMMYFUNCTION("""COMPUTED_VALUE"""),11.0)</f>
        <v>11</v>
      </c>
      <c r="M19" s="25" t="str">
        <f>IFERROR(__xludf.DUMMYFUNCTION("""COMPUTED_VALUE"""),"Action-Adventure")</f>
        <v>Action-Adventure</v>
      </c>
      <c r="N19" s="25" t="str">
        <f>IFERROR(__xludf.DUMMYFUNCTION("""COMPUTED_VALUE"""),"PS3")</f>
        <v>PS3</v>
      </c>
      <c r="O19" s="26" t="str">
        <f>IFERROR(__xludf.DUMMYFUNCTION("""COMPUTED_VALUE"""),"Yes")</f>
        <v>Yes</v>
      </c>
      <c r="P19" s="26" t="str">
        <f>IFERROR(__xludf.DUMMYFUNCTION("""COMPUTED_VALUE"""),"")</f>
        <v/>
      </c>
    </row>
    <row r="20">
      <c r="A20" s="13" t="str">
        <f>IFERROR(__xludf.DUMMYFUNCTION("""COMPUTED_VALUE"""),"Super Street Fighter II Turbo HD Remix")</f>
        <v>Super Street Fighter II Turbo HD Remix</v>
      </c>
      <c r="B20" s="15" t="str">
        <f>IFERROR(__xludf.DUMMYFUNCTION("""COMPUTED_VALUE"""),"PS5/PS4")</f>
        <v>PS5/PS4</v>
      </c>
      <c r="C20" s="16" t="str">
        <f>IFERROR(__xludf.DUMMYFUNCTION("""COMPUTED_VALUE"""),"Premium (Streaming Only)")</f>
        <v>Premium (Streaming Only)</v>
      </c>
      <c r="D20" s="15" t="str">
        <f>IFERROR(__xludf.DUMMYFUNCTION("""COMPUTED_VALUE"""),"Active")</f>
        <v>Active</v>
      </c>
      <c r="E20" s="17">
        <f>IFERROR(__xludf.DUMMYFUNCTION("""COMPUTED_VALUE"""),42017.0)</f>
        <v>42017</v>
      </c>
      <c r="F20" s="54"/>
      <c r="G20" s="19">
        <f>IFERROR(__xludf.DUMMYFUNCTION("""COMPUTED_VALUE"""),140.76666666666668)</f>
        <v>140.7666667</v>
      </c>
      <c r="H20" s="17">
        <f>IFERROR(__xludf.DUMMYFUNCTION("""COMPUTED_VALUE"""),39753.0)</f>
        <v>39753</v>
      </c>
      <c r="I20" s="19">
        <f>IFERROR(__xludf.DUMMYFUNCTION("""COMPUTED_VALUE"""),6.2)</f>
        <v>6.2</v>
      </c>
      <c r="J20" s="21">
        <f>IFERROR(__xludf.DUMMYFUNCTION("""COMPUTED_VALUE"""),87.0)</f>
        <v>87</v>
      </c>
      <c r="K20" s="23">
        <f>IFERROR(__xludf.DUMMYFUNCTION("""COMPUTED_VALUE"""),8.3)</f>
        <v>8.3</v>
      </c>
      <c r="L20" s="24">
        <f>IFERROR(__xludf.DUMMYFUNCTION("""COMPUTED_VALUE"""),1.2)</f>
        <v>1.2</v>
      </c>
      <c r="M20" s="25" t="str">
        <f>IFERROR(__xludf.DUMMYFUNCTION("""COMPUTED_VALUE"""),"Fighting")</f>
        <v>Fighting</v>
      </c>
      <c r="N20" s="25" t="str">
        <f>IFERROR(__xludf.DUMMYFUNCTION("""COMPUTED_VALUE"""),"PS3")</f>
        <v>PS3</v>
      </c>
      <c r="O20" s="26" t="str">
        <f>IFERROR(__xludf.DUMMYFUNCTION("""COMPUTED_VALUE"""),"Yes")</f>
        <v>Yes</v>
      </c>
      <c r="P20" s="26" t="str">
        <f>IFERROR(__xludf.DUMMYFUNCTION("""COMPUTED_VALUE"""),"")</f>
        <v/>
      </c>
    </row>
    <row r="21">
      <c r="A21" s="13" t="str">
        <f>IFERROR(__xludf.DUMMYFUNCTION("""COMPUTED_VALUE"""),"The Secret of Monkey Island: Special Edition")</f>
        <v>The Secret of Monkey Island: Special Edition</v>
      </c>
      <c r="B21" s="15" t="str">
        <f>IFERROR(__xludf.DUMMYFUNCTION("""COMPUTED_VALUE"""),"PS5/PS4")</f>
        <v>PS5/PS4</v>
      </c>
      <c r="C21" s="16" t="str">
        <f>IFERROR(__xludf.DUMMYFUNCTION("""COMPUTED_VALUE"""),"Premium (Streaming Only)")</f>
        <v>Premium (Streaming Only)</v>
      </c>
      <c r="D21" s="15" t="str">
        <f>IFERROR(__xludf.DUMMYFUNCTION("""COMPUTED_VALUE"""),"Active")</f>
        <v>Active</v>
      </c>
      <c r="E21" s="17">
        <f>IFERROR(__xludf.DUMMYFUNCTION("""COMPUTED_VALUE"""),42017.0)</f>
        <v>42017</v>
      </c>
      <c r="F21" s="18"/>
      <c r="G21" s="19">
        <f>IFERROR(__xludf.DUMMYFUNCTION("""COMPUTED_VALUE"""),140.76666666666668)</f>
        <v>140.7666667</v>
      </c>
      <c r="H21" s="17">
        <f>IFERROR(__xludf.DUMMYFUNCTION("""COMPUTED_VALUE"""),40269.0)</f>
        <v>40269</v>
      </c>
      <c r="I21" s="19">
        <f>IFERROR(__xludf.DUMMYFUNCTION("""COMPUTED_VALUE"""),4.783333333333333)</f>
        <v>4.783333333</v>
      </c>
      <c r="J21" s="21">
        <f>IFERROR(__xludf.DUMMYFUNCTION("""COMPUTED_VALUE"""),87.0)</f>
        <v>87</v>
      </c>
      <c r="K21" s="23">
        <f>IFERROR(__xludf.DUMMYFUNCTION("""COMPUTED_VALUE"""),8.4)</f>
        <v>8.4</v>
      </c>
      <c r="L21" s="24">
        <f>IFERROR(__xludf.DUMMYFUNCTION("""COMPUTED_VALUE"""),7.0)</f>
        <v>7</v>
      </c>
      <c r="M21" s="25" t="str">
        <f>IFERROR(__xludf.DUMMYFUNCTION("""COMPUTED_VALUE"""),"Adventure")</f>
        <v>Adventure</v>
      </c>
      <c r="N21" s="25" t="str">
        <f>IFERROR(__xludf.DUMMYFUNCTION("""COMPUTED_VALUE"""),"PS3")</f>
        <v>PS3</v>
      </c>
      <c r="O21" s="26" t="str">
        <f>IFERROR(__xludf.DUMMYFUNCTION("""COMPUTED_VALUE"""),"Yes")</f>
        <v>Yes</v>
      </c>
      <c r="P21" s="26" t="str">
        <f>IFERROR(__xludf.DUMMYFUNCTION("""COMPUTED_VALUE"""),"")</f>
        <v/>
      </c>
    </row>
    <row r="22">
      <c r="A22" s="13" t="str">
        <f>IFERROR(__xludf.DUMMYFUNCTION("""COMPUTED_VALUE"""),"PixelJunk Eden Encore")</f>
        <v>PixelJunk Eden Encore</v>
      </c>
      <c r="B22" s="15" t="str">
        <f>IFERROR(__xludf.DUMMYFUNCTION("""COMPUTED_VALUE"""),"PS5/PS4")</f>
        <v>PS5/PS4</v>
      </c>
      <c r="C22" s="16" t="str">
        <f>IFERROR(__xludf.DUMMYFUNCTION("""COMPUTED_VALUE"""),"Premium (Streaming Only)")</f>
        <v>Premium (Streaming Only)</v>
      </c>
      <c r="D22" s="15" t="str">
        <f>IFERROR(__xludf.DUMMYFUNCTION("""COMPUTED_VALUE"""),"Active")</f>
        <v>Active</v>
      </c>
      <c r="E22" s="17">
        <f>IFERROR(__xludf.DUMMYFUNCTION("""COMPUTED_VALUE"""),42374.0)</f>
        <v>42374</v>
      </c>
      <c r="F22" s="54"/>
      <c r="G22" s="19">
        <f>IFERROR(__xludf.DUMMYFUNCTION("""COMPUTED_VALUE"""),129.03333333333333)</f>
        <v>129.0333333</v>
      </c>
      <c r="H22" s="17">
        <f>IFERROR(__xludf.DUMMYFUNCTION("""COMPUTED_VALUE"""),39904.0)</f>
        <v>39904</v>
      </c>
      <c r="I22" s="19">
        <f>IFERROR(__xludf.DUMMYFUNCTION("""COMPUTED_VALUE"""),6.761111111111111)</f>
        <v>6.761111111</v>
      </c>
      <c r="J22" s="21">
        <f>IFERROR(__xludf.DUMMYFUNCTION("""COMPUTED_VALUE"""),86.0)</f>
        <v>86</v>
      </c>
      <c r="K22" s="23">
        <f>IFERROR(__xludf.DUMMYFUNCTION("""COMPUTED_VALUE"""),7.3)</f>
        <v>7.3</v>
      </c>
      <c r="L22" s="24">
        <f>IFERROR(__xludf.DUMMYFUNCTION("""COMPUTED_VALUE"""),5.0)</f>
        <v>5</v>
      </c>
      <c r="M22" s="25" t="str">
        <f>IFERROR(__xludf.DUMMYFUNCTION("""COMPUTED_VALUE"""),"Platformer")</f>
        <v>Platformer</v>
      </c>
      <c r="N22" s="25" t="str">
        <f>IFERROR(__xludf.DUMMYFUNCTION("""COMPUTED_VALUE"""),"PS3")</f>
        <v>PS3</v>
      </c>
      <c r="O22" s="26" t="str">
        <f>IFERROR(__xludf.DUMMYFUNCTION("""COMPUTED_VALUE"""),"Yes")</f>
        <v>Yes</v>
      </c>
      <c r="P22" s="26" t="str">
        <f>IFERROR(__xludf.DUMMYFUNCTION("""COMPUTED_VALUE"""),"")</f>
        <v/>
      </c>
    </row>
    <row r="23">
      <c r="A23" s="13" t="str">
        <f>IFERROR(__xludf.DUMMYFUNCTION("""COMPUTED_VALUE"""),"BIT.TRIP Presents...Runner2: Future Legend of Rhythm Alien")</f>
        <v>BIT.TRIP Presents...Runner2: Future Legend of Rhythm Alien</v>
      </c>
      <c r="B23" s="15" t="str">
        <f>IFERROR(__xludf.DUMMYFUNCTION("""COMPUTED_VALUE"""),"PS5/PS4")</f>
        <v>PS5/PS4</v>
      </c>
      <c r="C23" s="16" t="str">
        <f>IFERROR(__xludf.DUMMYFUNCTION("""COMPUTED_VALUE"""),"Premium (Streaming Only)")</f>
        <v>Premium (Streaming Only)</v>
      </c>
      <c r="D23" s="15" t="str">
        <f>IFERROR(__xludf.DUMMYFUNCTION("""COMPUTED_VALUE"""),"Active")</f>
        <v>Active</v>
      </c>
      <c r="E23" s="17">
        <f>IFERROR(__xludf.DUMMYFUNCTION("""COMPUTED_VALUE"""),42017.0)</f>
        <v>42017</v>
      </c>
      <c r="F23" s="18"/>
      <c r="G23" s="19">
        <f>IFERROR(__xludf.DUMMYFUNCTION("""COMPUTED_VALUE"""),140.76666666666668)</f>
        <v>140.7666667</v>
      </c>
      <c r="H23" s="17">
        <f>IFERROR(__xludf.DUMMYFUNCTION("""COMPUTED_VALUE"""),41306.0)</f>
        <v>41306</v>
      </c>
      <c r="I23" s="19">
        <f>IFERROR(__xludf.DUMMYFUNCTION("""COMPUTED_VALUE"""),1.95)</f>
        <v>1.95</v>
      </c>
      <c r="J23" s="21">
        <f>IFERROR(__xludf.DUMMYFUNCTION("""COMPUTED_VALUE"""),86.0)</f>
        <v>86</v>
      </c>
      <c r="K23" s="23">
        <f>IFERROR(__xludf.DUMMYFUNCTION("""COMPUTED_VALUE"""),7.8)</f>
        <v>7.8</v>
      </c>
      <c r="L23" s="24">
        <f>IFERROR(__xludf.DUMMYFUNCTION("""COMPUTED_VALUE"""),5.0)</f>
        <v>5</v>
      </c>
      <c r="M23" s="25" t="str">
        <f>IFERROR(__xludf.DUMMYFUNCTION("""COMPUTED_VALUE"""),"Platformer")</f>
        <v>Platformer</v>
      </c>
      <c r="N23" s="25" t="str">
        <f>IFERROR(__xludf.DUMMYFUNCTION("""COMPUTED_VALUE"""),"PS3")</f>
        <v>PS3</v>
      </c>
      <c r="O23" s="26" t="str">
        <f>IFERROR(__xludf.DUMMYFUNCTION("""COMPUTED_VALUE"""),"Yes")</f>
        <v>Yes</v>
      </c>
      <c r="P23" s="26" t="str">
        <f>IFERROR(__xludf.DUMMYFUNCTION("""COMPUTED_VALUE"""),"")</f>
        <v/>
      </c>
    </row>
    <row r="24">
      <c r="A24" s="13" t="str">
        <f>IFERROR(__xludf.DUMMYFUNCTION("""COMPUTED_VALUE"""),"Shatter")</f>
        <v>Shatter</v>
      </c>
      <c r="B24" s="15" t="str">
        <f>IFERROR(__xludf.DUMMYFUNCTION("""COMPUTED_VALUE"""),"PS5/PS4")</f>
        <v>PS5/PS4</v>
      </c>
      <c r="C24" s="16" t="str">
        <f>IFERROR(__xludf.DUMMYFUNCTION("""COMPUTED_VALUE"""),"Premium (Streaming Only)")</f>
        <v>Premium (Streaming Only)</v>
      </c>
      <c r="D24" s="15" t="str">
        <f>IFERROR(__xludf.DUMMYFUNCTION("""COMPUTED_VALUE"""),"Active")</f>
        <v>Active</v>
      </c>
      <c r="E24" s="17">
        <f>IFERROR(__xludf.DUMMYFUNCTION("""COMPUTED_VALUE"""),42017.0)</f>
        <v>42017</v>
      </c>
      <c r="F24" s="18"/>
      <c r="G24" s="19">
        <f>IFERROR(__xludf.DUMMYFUNCTION("""COMPUTED_VALUE"""),140.76666666666668)</f>
        <v>140.7666667</v>
      </c>
      <c r="H24" s="17">
        <f>IFERROR(__xludf.DUMMYFUNCTION("""COMPUTED_VALUE"""),39995.0)</f>
        <v>39995</v>
      </c>
      <c r="I24" s="19">
        <f>IFERROR(__xludf.DUMMYFUNCTION("""COMPUTED_VALUE"""),5.533333333333333)</f>
        <v>5.533333333</v>
      </c>
      <c r="J24" s="21">
        <f>IFERROR(__xludf.DUMMYFUNCTION("""COMPUTED_VALUE"""),86.0)</f>
        <v>86</v>
      </c>
      <c r="K24" s="23">
        <f>IFERROR(__xludf.DUMMYFUNCTION("""COMPUTED_VALUE"""),8.2)</f>
        <v>8.2</v>
      </c>
      <c r="L24" s="24">
        <f>IFERROR(__xludf.DUMMYFUNCTION("""COMPUTED_VALUE"""),5.0)</f>
        <v>5</v>
      </c>
      <c r="M24" s="25" t="str">
        <f>IFERROR(__xludf.DUMMYFUNCTION("""COMPUTED_VALUE"""),"Shooter")</f>
        <v>Shooter</v>
      </c>
      <c r="N24" s="25" t="str">
        <f>IFERROR(__xludf.DUMMYFUNCTION("""COMPUTED_VALUE"""),"PS3")</f>
        <v>PS3</v>
      </c>
      <c r="O24" s="26" t="str">
        <f>IFERROR(__xludf.DUMMYFUNCTION("""COMPUTED_VALUE"""),"Yes")</f>
        <v>Yes</v>
      </c>
      <c r="P24" s="26" t="str">
        <f>IFERROR(__xludf.DUMMYFUNCTION("""COMPUTED_VALUE"""),"")</f>
        <v/>
      </c>
    </row>
    <row r="25">
      <c r="A25" s="13" t="str">
        <f>IFERROR(__xludf.DUMMYFUNCTION("""COMPUTED_VALUE"""),"Street Fighter III: Third Strike - Online Edition")</f>
        <v>Street Fighter III: Third Strike - Online Edition</v>
      </c>
      <c r="B25" s="15" t="str">
        <f>IFERROR(__xludf.DUMMYFUNCTION("""COMPUTED_VALUE"""),"PS5/PS4")</f>
        <v>PS5/PS4</v>
      </c>
      <c r="C25" s="16" t="str">
        <f>IFERROR(__xludf.DUMMYFUNCTION("""COMPUTED_VALUE"""),"Premium (Streaming Only)")</f>
        <v>Premium (Streaming Only)</v>
      </c>
      <c r="D25" s="15" t="str">
        <f>IFERROR(__xludf.DUMMYFUNCTION("""COMPUTED_VALUE"""),"Active")</f>
        <v>Active</v>
      </c>
      <c r="E25" s="17">
        <f>IFERROR(__xludf.DUMMYFUNCTION("""COMPUTED_VALUE"""),42017.0)</f>
        <v>42017</v>
      </c>
      <c r="F25" s="54"/>
      <c r="G25" s="19">
        <f>IFERROR(__xludf.DUMMYFUNCTION("""COMPUTED_VALUE"""),140.76666666666668)</f>
        <v>140.7666667</v>
      </c>
      <c r="H25" s="17">
        <f>IFERROR(__xludf.DUMMYFUNCTION("""COMPUTED_VALUE"""),40756.0)</f>
        <v>40756</v>
      </c>
      <c r="I25" s="19">
        <f>IFERROR(__xludf.DUMMYFUNCTION("""COMPUTED_VALUE"""),3.45)</f>
        <v>3.45</v>
      </c>
      <c r="J25" s="21">
        <f>IFERROR(__xludf.DUMMYFUNCTION("""COMPUTED_VALUE"""),86.0)</f>
        <v>86</v>
      </c>
      <c r="K25" s="23">
        <f>IFERROR(__xludf.DUMMYFUNCTION("""COMPUTED_VALUE"""),8.5)</f>
        <v>8.5</v>
      </c>
      <c r="L25" s="24"/>
      <c r="M25" s="25" t="str">
        <f>IFERROR(__xludf.DUMMYFUNCTION("""COMPUTED_VALUE"""),"Fighting")</f>
        <v>Fighting</v>
      </c>
      <c r="N25" s="25" t="str">
        <f>IFERROR(__xludf.DUMMYFUNCTION("""COMPUTED_VALUE"""),"PS3")</f>
        <v>PS3</v>
      </c>
      <c r="O25" s="26" t="str">
        <f>IFERROR(__xludf.DUMMYFUNCTION("""COMPUTED_VALUE"""),"Yes")</f>
        <v>Yes</v>
      </c>
      <c r="P25" s="26" t="str">
        <f>IFERROR(__xludf.DUMMYFUNCTION("""COMPUTED_VALUE"""),"")</f>
        <v/>
      </c>
    </row>
    <row r="26">
      <c r="A26" s="13" t="str">
        <f>IFERROR(__xludf.DUMMYFUNCTION("""COMPUTED_VALUE"""),"Zen Pinball 2")</f>
        <v>Zen Pinball 2</v>
      </c>
      <c r="B26" s="15" t="str">
        <f>IFERROR(__xludf.DUMMYFUNCTION("""COMPUTED_VALUE"""),"PS5/PS4")</f>
        <v>PS5/PS4</v>
      </c>
      <c r="C26" s="16" t="str">
        <f>IFERROR(__xludf.DUMMYFUNCTION("""COMPUTED_VALUE"""),"Premium (Streaming Only)")</f>
        <v>Premium (Streaming Only)</v>
      </c>
      <c r="D26" s="15" t="str">
        <f>IFERROR(__xludf.DUMMYFUNCTION("""COMPUTED_VALUE"""),"Active")</f>
        <v>Active</v>
      </c>
      <c r="E26" s="17">
        <f>IFERROR(__xludf.DUMMYFUNCTION("""COMPUTED_VALUE"""),42017.0)</f>
        <v>42017</v>
      </c>
      <c r="F26" s="54"/>
      <c r="G26" s="19">
        <f>IFERROR(__xludf.DUMMYFUNCTION("""COMPUTED_VALUE"""),140.76666666666668)</f>
        <v>140.7666667</v>
      </c>
      <c r="H26" s="17">
        <f>IFERROR(__xludf.DUMMYFUNCTION("""COMPUTED_VALUE"""),41609.0)</f>
        <v>41609</v>
      </c>
      <c r="I26" s="19">
        <f>IFERROR(__xludf.DUMMYFUNCTION("""COMPUTED_VALUE"""),1.1166666666666667)</f>
        <v>1.116666667</v>
      </c>
      <c r="J26" s="21">
        <f>IFERROR(__xludf.DUMMYFUNCTION("""COMPUTED_VALUE"""),86.0)</f>
        <v>86</v>
      </c>
      <c r="K26" s="23">
        <f>IFERROR(__xludf.DUMMYFUNCTION("""COMPUTED_VALUE"""),7.7)</f>
        <v>7.7</v>
      </c>
      <c r="L26" s="24"/>
      <c r="M26" s="25" t="str">
        <f>IFERROR(__xludf.DUMMYFUNCTION("""COMPUTED_VALUE"""),"Pinball")</f>
        <v>Pinball</v>
      </c>
      <c r="N26" s="25" t="str">
        <f>IFERROR(__xludf.DUMMYFUNCTION("""COMPUTED_VALUE"""),"PS3")</f>
        <v>PS3</v>
      </c>
      <c r="O26" s="26" t="str">
        <f>IFERROR(__xludf.DUMMYFUNCTION("""COMPUTED_VALUE"""),"Yes")</f>
        <v>Yes</v>
      </c>
      <c r="P26" s="26" t="str">
        <f>IFERROR(__xludf.DUMMYFUNCTION("""COMPUTED_VALUE"""),"")</f>
        <v/>
      </c>
    </row>
    <row r="27">
      <c r="A27" s="13" t="str">
        <f>IFERROR(__xludf.DUMMYFUNCTION("""COMPUTED_VALUE"""),"Castlevania: Lords of Shadow")</f>
        <v>Castlevania: Lords of Shadow</v>
      </c>
      <c r="B27" s="15" t="str">
        <f>IFERROR(__xludf.DUMMYFUNCTION("""COMPUTED_VALUE"""),"PS5/PS4")</f>
        <v>PS5/PS4</v>
      </c>
      <c r="C27" s="16" t="str">
        <f>IFERROR(__xludf.DUMMYFUNCTION("""COMPUTED_VALUE"""),"Premium (Streaming Only)")</f>
        <v>Premium (Streaming Only)</v>
      </c>
      <c r="D27" s="15" t="str">
        <f>IFERROR(__xludf.DUMMYFUNCTION("""COMPUTED_VALUE"""),"Active")</f>
        <v>Active</v>
      </c>
      <c r="E27" s="17">
        <f>IFERROR(__xludf.DUMMYFUNCTION("""COMPUTED_VALUE"""),44852.0)</f>
        <v>44852</v>
      </c>
      <c r="F27" s="54"/>
      <c r="G27" s="19">
        <f>IFERROR(__xludf.DUMMYFUNCTION("""COMPUTED_VALUE"""),47.6)</f>
        <v>47.6</v>
      </c>
      <c r="H27" s="17">
        <f>IFERROR(__xludf.DUMMYFUNCTION("""COMPUTED_VALUE"""),40456.0)</f>
        <v>40456</v>
      </c>
      <c r="I27" s="19">
        <f>IFERROR(__xludf.DUMMYFUNCTION("""COMPUTED_VALUE"""),12.036111111111111)</f>
        <v>12.03611111</v>
      </c>
      <c r="J27" s="21">
        <f>IFERROR(__xludf.DUMMYFUNCTION("""COMPUTED_VALUE"""),85.0)</f>
        <v>85</v>
      </c>
      <c r="K27" s="23">
        <f>IFERROR(__xludf.DUMMYFUNCTION("""COMPUTED_VALUE"""),8.0)</f>
        <v>8</v>
      </c>
      <c r="L27" s="24">
        <f>IFERROR(__xludf.DUMMYFUNCTION("""COMPUTED_VALUE"""),18.0)</f>
        <v>18</v>
      </c>
      <c r="M27" s="25" t="str">
        <f>IFERROR(__xludf.DUMMYFUNCTION("""COMPUTED_VALUE"""),"Action-Adventure")</f>
        <v>Action-Adventure</v>
      </c>
      <c r="N27" s="25" t="str">
        <f>IFERROR(__xludf.DUMMYFUNCTION("""COMPUTED_VALUE"""),"PS3")</f>
        <v>PS3</v>
      </c>
      <c r="O27" s="26" t="str">
        <f>IFERROR(__xludf.DUMMYFUNCTION("""COMPUTED_VALUE"""),"Yes")</f>
        <v>Yes</v>
      </c>
      <c r="P27" s="26"/>
    </row>
    <row r="28">
      <c r="A28" s="13" t="str">
        <f>IFERROR(__xludf.DUMMYFUNCTION("""COMPUTED_VALUE"""),"The Sly Collection")</f>
        <v>The Sly Collection</v>
      </c>
      <c r="B28" s="15" t="str">
        <f>IFERROR(__xludf.DUMMYFUNCTION("""COMPUTED_VALUE"""),"PS5/PS4")</f>
        <v>PS5/PS4</v>
      </c>
      <c r="C28" s="16" t="str">
        <f>IFERROR(__xludf.DUMMYFUNCTION("""COMPUTED_VALUE"""),"Premium (Streaming Only)")</f>
        <v>Premium (Streaming Only)</v>
      </c>
      <c r="D28" s="15" t="str">
        <f>IFERROR(__xludf.DUMMYFUNCTION("""COMPUTED_VALUE"""),"Active")</f>
        <v>Active</v>
      </c>
      <c r="E28" s="17">
        <f>IFERROR(__xludf.DUMMYFUNCTION("""COMPUTED_VALUE"""),44824.0)</f>
        <v>44824</v>
      </c>
      <c r="F28" s="54"/>
      <c r="G28" s="19">
        <f>IFERROR(__xludf.DUMMYFUNCTION("""COMPUTED_VALUE"""),48.53333333333333)</f>
        <v>48.53333333</v>
      </c>
      <c r="H28" s="17">
        <f>IFERROR(__xludf.DUMMYFUNCTION("""COMPUTED_VALUE"""),40491.0)</f>
        <v>40491</v>
      </c>
      <c r="I28" s="19">
        <f>IFERROR(__xludf.DUMMYFUNCTION("""COMPUTED_VALUE"""),11.863888888888889)</f>
        <v>11.86388889</v>
      </c>
      <c r="J28" s="21">
        <f>IFERROR(__xludf.DUMMYFUNCTION("""COMPUTED_VALUE"""),85.0)</f>
        <v>85</v>
      </c>
      <c r="K28" s="23">
        <f>IFERROR(__xludf.DUMMYFUNCTION("""COMPUTED_VALUE"""),8.7)</f>
        <v>8.7</v>
      </c>
      <c r="L28" s="24">
        <f>IFERROR(__xludf.DUMMYFUNCTION("""COMPUTED_VALUE"""),31.5)</f>
        <v>31.5</v>
      </c>
      <c r="M28" s="25" t="str">
        <f>IFERROR(__xludf.DUMMYFUNCTION("""COMPUTED_VALUE"""),"Platformer")</f>
        <v>Platformer</v>
      </c>
      <c r="N28" s="25" t="str">
        <f>IFERROR(__xludf.DUMMYFUNCTION("""COMPUTED_VALUE"""),"PS3")</f>
        <v>PS3</v>
      </c>
      <c r="O28" s="26" t="str">
        <f>IFERROR(__xludf.DUMMYFUNCTION("""COMPUTED_VALUE"""),"Yes")</f>
        <v>Yes</v>
      </c>
      <c r="P28" s="26"/>
    </row>
    <row r="29">
      <c r="A29" s="13" t="str">
        <f>IFERROR(__xludf.DUMMYFUNCTION("""COMPUTED_VALUE"""),"Sam &amp; Max The Devil's Playhouse: Episode 2 - The Tomb of Sammun-Mak")</f>
        <v>Sam &amp; Max The Devil's Playhouse: Episode 2 - The Tomb of Sammun-Mak</v>
      </c>
      <c r="B29" s="15" t="str">
        <f>IFERROR(__xludf.DUMMYFUNCTION("""COMPUTED_VALUE"""),"PS5/PS4")</f>
        <v>PS5/PS4</v>
      </c>
      <c r="C29" s="16" t="str">
        <f>IFERROR(__xludf.DUMMYFUNCTION("""COMPUTED_VALUE"""),"Premium (Streaming Only)")</f>
        <v>Premium (Streaming Only)</v>
      </c>
      <c r="D29" s="15" t="str">
        <f>IFERROR(__xludf.DUMMYFUNCTION("""COMPUTED_VALUE"""),"Active")</f>
        <v>Active</v>
      </c>
      <c r="E29" s="17">
        <f>IFERROR(__xludf.DUMMYFUNCTION("""COMPUTED_VALUE"""),42311.0)</f>
        <v>42311</v>
      </c>
      <c r="F29" s="54"/>
      <c r="G29" s="19">
        <f>IFERROR(__xludf.DUMMYFUNCTION("""COMPUTED_VALUE"""),131.10000000000002)</f>
        <v>131.1</v>
      </c>
      <c r="H29" s="17">
        <f>IFERROR(__xludf.DUMMYFUNCTION("""COMPUTED_VALUE"""),40391.0)</f>
        <v>40391</v>
      </c>
      <c r="I29" s="19">
        <f>IFERROR(__xludf.DUMMYFUNCTION("""COMPUTED_VALUE"""),5.2555555555555555)</f>
        <v>5.255555556</v>
      </c>
      <c r="J29" s="21">
        <f>IFERROR(__xludf.DUMMYFUNCTION("""COMPUTED_VALUE"""),85.0)</f>
        <v>85</v>
      </c>
      <c r="K29" s="23">
        <f>IFERROR(__xludf.DUMMYFUNCTION("""COMPUTED_VALUE"""),7.7)</f>
        <v>7.7</v>
      </c>
      <c r="L29" s="24">
        <f>IFERROR(__xludf.DUMMYFUNCTION("""COMPUTED_VALUE"""),3.0)</f>
        <v>3</v>
      </c>
      <c r="M29" s="25" t="str">
        <f>IFERROR(__xludf.DUMMYFUNCTION("""COMPUTED_VALUE"""),"Adventure")</f>
        <v>Adventure</v>
      </c>
      <c r="N29" s="25" t="str">
        <f>IFERROR(__xludf.DUMMYFUNCTION("""COMPUTED_VALUE"""),"PS3")</f>
        <v>PS3</v>
      </c>
      <c r="O29" s="26" t="str">
        <f>IFERROR(__xludf.DUMMYFUNCTION("""COMPUTED_VALUE"""),"Yes")</f>
        <v>Yes</v>
      </c>
      <c r="P29" s="26" t="str">
        <f>IFERROR(__xludf.DUMMYFUNCTION("""COMPUTED_VALUE"""),"")</f>
        <v/>
      </c>
    </row>
    <row r="30">
      <c r="A30" s="13" t="str">
        <f>IFERROR(__xludf.DUMMYFUNCTION("""COMPUTED_VALUE"""),"Super Stardust HD")</f>
        <v>Super Stardust HD</v>
      </c>
      <c r="B30" s="15" t="str">
        <f>IFERROR(__xludf.DUMMYFUNCTION("""COMPUTED_VALUE"""),"PS5/PS4")</f>
        <v>PS5/PS4</v>
      </c>
      <c r="C30" s="16" t="str">
        <f>IFERROR(__xludf.DUMMYFUNCTION("""COMPUTED_VALUE"""),"Premium (Streaming Only)")</f>
        <v>Premium (Streaming Only)</v>
      </c>
      <c r="D30" s="15" t="str">
        <f>IFERROR(__xludf.DUMMYFUNCTION("""COMPUTED_VALUE"""),"Active")</f>
        <v>Active</v>
      </c>
      <c r="E30" s="17">
        <f>IFERROR(__xludf.DUMMYFUNCTION("""COMPUTED_VALUE"""),42101.0)</f>
        <v>42101</v>
      </c>
      <c r="F30" s="54"/>
      <c r="G30" s="19">
        <f>IFERROR(__xludf.DUMMYFUNCTION("""COMPUTED_VALUE"""),137.96666666666667)</f>
        <v>137.9666667</v>
      </c>
      <c r="H30" s="17">
        <f>IFERROR(__xludf.DUMMYFUNCTION("""COMPUTED_VALUE"""),39234.0)</f>
        <v>39234</v>
      </c>
      <c r="I30" s="19">
        <f>IFERROR(__xludf.DUMMYFUNCTION("""COMPUTED_VALUE"""),7.85)</f>
        <v>7.85</v>
      </c>
      <c r="J30" s="21">
        <f>IFERROR(__xludf.DUMMYFUNCTION("""COMPUTED_VALUE"""),85.0)</f>
        <v>85</v>
      </c>
      <c r="K30" s="23">
        <f>IFERROR(__xludf.DUMMYFUNCTION("""COMPUTED_VALUE"""),8.0)</f>
        <v>8</v>
      </c>
      <c r="L30" s="24">
        <f>IFERROR(__xludf.DUMMYFUNCTION("""COMPUTED_VALUE"""),4.0)</f>
        <v>4</v>
      </c>
      <c r="M30" s="25" t="str">
        <f>IFERROR(__xludf.DUMMYFUNCTION("""COMPUTED_VALUE"""),"Shooter")</f>
        <v>Shooter</v>
      </c>
      <c r="N30" s="25" t="str">
        <f>IFERROR(__xludf.DUMMYFUNCTION("""COMPUTED_VALUE"""),"PS3")</f>
        <v>PS3</v>
      </c>
      <c r="O30" s="26" t="str">
        <f>IFERROR(__xludf.DUMMYFUNCTION("""COMPUTED_VALUE"""),"Yes")</f>
        <v>Yes</v>
      </c>
      <c r="P30" s="26" t="str">
        <f>IFERROR(__xludf.DUMMYFUNCTION("""COMPUTED_VALUE"""),"")</f>
        <v/>
      </c>
    </row>
    <row r="31">
      <c r="A31" s="13" t="str">
        <f>IFERROR(__xludf.DUMMYFUNCTION("""COMPUTED_VALUE"""),"inFAMOUS")</f>
        <v>inFAMOUS</v>
      </c>
      <c r="B31" s="15" t="str">
        <f>IFERROR(__xludf.DUMMYFUNCTION("""COMPUTED_VALUE"""),"PS5/PS4")</f>
        <v>PS5/PS4</v>
      </c>
      <c r="C31" s="16" t="str">
        <f>IFERROR(__xludf.DUMMYFUNCTION("""COMPUTED_VALUE"""),"Premium (Streaming Only)")</f>
        <v>Premium (Streaming Only)</v>
      </c>
      <c r="D31" s="15" t="str">
        <f>IFERROR(__xludf.DUMMYFUNCTION("""COMPUTED_VALUE"""),"Active")</f>
        <v>Active</v>
      </c>
      <c r="E31" s="17">
        <f>IFERROR(__xludf.DUMMYFUNCTION("""COMPUTED_VALUE"""),42017.0)</f>
        <v>42017</v>
      </c>
      <c r="F31" s="54"/>
      <c r="G31" s="19">
        <f>IFERROR(__xludf.DUMMYFUNCTION("""COMPUTED_VALUE"""),140.76666666666668)</f>
        <v>140.7666667</v>
      </c>
      <c r="H31" s="17">
        <f>IFERROR(__xludf.DUMMYFUNCTION("""COMPUTED_VALUE"""),39934.0)</f>
        <v>39934</v>
      </c>
      <c r="I31" s="19">
        <f>IFERROR(__xludf.DUMMYFUNCTION("""COMPUTED_VALUE"""),5.7)</f>
        <v>5.7</v>
      </c>
      <c r="J31" s="21">
        <f>IFERROR(__xludf.DUMMYFUNCTION("""COMPUTED_VALUE"""),85.0)</f>
        <v>85</v>
      </c>
      <c r="K31" s="23">
        <f>IFERROR(__xludf.DUMMYFUNCTION("""COMPUTED_VALUE"""),8.5)</f>
        <v>8.5</v>
      </c>
      <c r="L31" s="24">
        <f>IFERROR(__xludf.DUMMYFUNCTION("""COMPUTED_VALUE"""),15.0)</f>
        <v>15</v>
      </c>
      <c r="M31" s="25" t="str">
        <f>IFERROR(__xludf.DUMMYFUNCTION("""COMPUTED_VALUE"""),"Action-Adventure")</f>
        <v>Action-Adventure</v>
      </c>
      <c r="N31" s="25" t="str">
        <f>IFERROR(__xludf.DUMMYFUNCTION("""COMPUTED_VALUE"""),"PS3")</f>
        <v>PS3</v>
      </c>
      <c r="O31" s="26" t="str">
        <f>IFERROR(__xludf.DUMMYFUNCTION("""COMPUTED_VALUE"""),"Yes")</f>
        <v>Yes</v>
      </c>
      <c r="P31" s="26" t="str">
        <f>IFERROR(__xludf.DUMMYFUNCTION("""COMPUTED_VALUE"""),"")</f>
        <v/>
      </c>
    </row>
    <row r="32">
      <c r="A32" s="13" t="str">
        <f>IFERROR(__xludf.DUMMYFUNCTION("""COMPUTED_VALUE"""),"Sid Meier's Civilization Revolution")</f>
        <v>Sid Meier's Civilization Revolution</v>
      </c>
      <c r="B32" s="15" t="str">
        <f>IFERROR(__xludf.DUMMYFUNCTION("""COMPUTED_VALUE"""),"PS5/PS4")</f>
        <v>PS5/PS4</v>
      </c>
      <c r="C32" s="16" t="str">
        <f>IFERROR(__xludf.DUMMYFUNCTION("""COMPUTED_VALUE"""),"Premium (Streaming Only)")</f>
        <v>Premium (Streaming Only)</v>
      </c>
      <c r="D32" s="15" t="str">
        <f>IFERROR(__xludf.DUMMYFUNCTION("""COMPUTED_VALUE"""),"Active")</f>
        <v>Active</v>
      </c>
      <c r="E32" s="17">
        <f>IFERROR(__xludf.DUMMYFUNCTION("""COMPUTED_VALUE"""),42017.0)</f>
        <v>42017</v>
      </c>
      <c r="F32" s="54"/>
      <c r="G32" s="19">
        <f>IFERROR(__xludf.DUMMYFUNCTION("""COMPUTED_VALUE"""),140.76666666666668)</f>
        <v>140.7666667</v>
      </c>
      <c r="H32" s="17">
        <f>IFERROR(__xludf.DUMMYFUNCTION("""COMPUTED_VALUE"""),39630.0)</f>
        <v>39630</v>
      </c>
      <c r="I32" s="19">
        <f>IFERROR(__xludf.DUMMYFUNCTION("""COMPUTED_VALUE"""),6.533333333333333)</f>
        <v>6.533333333</v>
      </c>
      <c r="J32" s="21">
        <f>IFERROR(__xludf.DUMMYFUNCTION("""COMPUTED_VALUE"""),85.0)</f>
        <v>85</v>
      </c>
      <c r="K32" s="23">
        <f>IFERROR(__xludf.DUMMYFUNCTION("""COMPUTED_VALUE"""),8.2)</f>
        <v>8.2</v>
      </c>
      <c r="L32" s="24">
        <f>IFERROR(__xludf.DUMMYFUNCTION("""COMPUTED_VALUE"""),15.0)</f>
        <v>15</v>
      </c>
      <c r="M32" s="25" t="str">
        <f>IFERROR(__xludf.DUMMYFUNCTION("""COMPUTED_VALUE"""),"Strategy")</f>
        <v>Strategy</v>
      </c>
      <c r="N32" s="25" t="str">
        <f>IFERROR(__xludf.DUMMYFUNCTION("""COMPUTED_VALUE"""),"PS3")</f>
        <v>PS3</v>
      </c>
      <c r="O32" s="26" t="str">
        <f>IFERROR(__xludf.DUMMYFUNCTION("""COMPUTED_VALUE"""),"Yes")</f>
        <v>Yes</v>
      </c>
      <c r="P32" s="26" t="str">
        <f>IFERROR(__xludf.DUMMYFUNCTION("""COMPUTED_VALUE"""),"")</f>
        <v/>
      </c>
    </row>
    <row r="33">
      <c r="A33" s="13" t="str">
        <f>IFERROR(__xludf.DUMMYFUNCTION("""COMPUTED_VALUE"""),"Split/Second: Velocity")</f>
        <v>Split/Second: Velocity</v>
      </c>
      <c r="B33" s="15" t="str">
        <f>IFERROR(__xludf.DUMMYFUNCTION("""COMPUTED_VALUE"""),"PS5/PS4")</f>
        <v>PS5/PS4</v>
      </c>
      <c r="C33" s="16" t="str">
        <f>IFERROR(__xludf.DUMMYFUNCTION("""COMPUTED_VALUE"""),"Premium (Streaming Only)")</f>
        <v>Premium (Streaming Only)</v>
      </c>
      <c r="D33" s="15" t="str">
        <f>IFERROR(__xludf.DUMMYFUNCTION("""COMPUTED_VALUE"""),"Active")</f>
        <v>Active</v>
      </c>
      <c r="E33" s="17">
        <f>IFERROR(__xludf.DUMMYFUNCTION("""COMPUTED_VALUE"""),44725.0)</f>
        <v>44725</v>
      </c>
      <c r="F33" s="54"/>
      <c r="G33" s="19">
        <f>IFERROR(__xludf.DUMMYFUNCTION("""COMPUTED_VALUE"""),51.766666666666666)</f>
        <v>51.76666667</v>
      </c>
      <c r="H33" s="17">
        <f>IFERROR(__xludf.DUMMYFUNCTION("""COMPUTED_VALUE"""),40299.0)</f>
        <v>40299</v>
      </c>
      <c r="I33" s="19">
        <f>IFERROR(__xludf.DUMMYFUNCTION("""COMPUTED_VALUE"""),12.116666666666667)</f>
        <v>12.11666667</v>
      </c>
      <c r="J33" s="21">
        <f>IFERROR(__xludf.DUMMYFUNCTION("""COMPUTED_VALUE"""),84.0)</f>
        <v>84</v>
      </c>
      <c r="K33" s="23">
        <f>IFERROR(__xludf.DUMMYFUNCTION("""COMPUTED_VALUE"""),8.0)</f>
        <v>8</v>
      </c>
      <c r="L33" s="24">
        <f>IFERROR(__xludf.DUMMYFUNCTION("""COMPUTED_VALUE"""),7.0)</f>
        <v>7</v>
      </c>
      <c r="M33" s="25" t="str">
        <f>IFERROR(__xludf.DUMMYFUNCTION("""COMPUTED_VALUE"""),"Racing")</f>
        <v>Racing</v>
      </c>
      <c r="N33" s="25" t="str">
        <f>IFERROR(__xludf.DUMMYFUNCTION("""COMPUTED_VALUE"""),"PS3")</f>
        <v>PS3</v>
      </c>
      <c r="O33" s="26" t="str">
        <f>IFERROR(__xludf.DUMMYFUNCTION("""COMPUTED_VALUE"""),"Yes")</f>
        <v>Yes</v>
      </c>
      <c r="P33" s="26" t="str">
        <f>IFERROR(__xludf.DUMMYFUNCTION("""COMPUTED_VALUE"""),"")</f>
        <v/>
      </c>
    </row>
    <row r="34">
      <c r="A34" s="13" t="str">
        <f>IFERROR(__xludf.DUMMYFUNCTION("""COMPUTED_VALUE"""),"Devil May Cry 4")</f>
        <v>Devil May Cry 4</v>
      </c>
      <c r="B34" s="15" t="str">
        <f>IFERROR(__xludf.DUMMYFUNCTION("""COMPUTED_VALUE"""),"PS5/PS4")</f>
        <v>PS5/PS4</v>
      </c>
      <c r="C34" s="16" t="str">
        <f>IFERROR(__xludf.DUMMYFUNCTION("""COMPUTED_VALUE"""),"Premium (Streaming Only)")</f>
        <v>Premium (Streaming Only)</v>
      </c>
      <c r="D34" s="15" t="str">
        <f>IFERROR(__xludf.DUMMYFUNCTION("""COMPUTED_VALUE"""),"Active")</f>
        <v>Active</v>
      </c>
      <c r="E34" s="17">
        <f>IFERROR(__xludf.DUMMYFUNCTION("""COMPUTED_VALUE"""),42466.0)</f>
        <v>42466</v>
      </c>
      <c r="F34" s="54"/>
      <c r="G34" s="19">
        <f>IFERROR(__xludf.DUMMYFUNCTION("""COMPUTED_VALUE"""),126.0)</f>
        <v>126</v>
      </c>
      <c r="H34" s="17">
        <f>IFERROR(__xludf.DUMMYFUNCTION("""COMPUTED_VALUE"""),39479.0)</f>
        <v>39479</v>
      </c>
      <c r="I34" s="19">
        <f>IFERROR(__xludf.DUMMYFUNCTION("""COMPUTED_VALUE"""),8.180555555555555)</f>
        <v>8.180555556</v>
      </c>
      <c r="J34" s="21">
        <f>IFERROR(__xludf.DUMMYFUNCTION("""COMPUTED_VALUE"""),84.0)</f>
        <v>84</v>
      </c>
      <c r="K34" s="23">
        <f>IFERROR(__xludf.DUMMYFUNCTION("""COMPUTED_VALUE"""),8.1)</f>
        <v>8.1</v>
      </c>
      <c r="L34" s="24">
        <f>IFERROR(__xludf.DUMMYFUNCTION("""COMPUTED_VALUE"""),12.0)</f>
        <v>12</v>
      </c>
      <c r="M34" s="25" t="str">
        <f>IFERROR(__xludf.DUMMYFUNCTION("""COMPUTED_VALUE"""),"Action-Adventure")</f>
        <v>Action-Adventure</v>
      </c>
      <c r="N34" s="25" t="str">
        <f>IFERROR(__xludf.DUMMYFUNCTION("""COMPUTED_VALUE"""),"PS3")</f>
        <v>PS3</v>
      </c>
      <c r="O34" s="26" t="str">
        <f>IFERROR(__xludf.DUMMYFUNCTION("""COMPUTED_VALUE"""),"Yes")</f>
        <v>Yes</v>
      </c>
      <c r="P34" s="26" t="str">
        <f>IFERROR(__xludf.DUMMYFUNCTION("""COMPUTED_VALUE"""),"")</f>
        <v/>
      </c>
    </row>
    <row r="35">
      <c r="A35" s="13" t="str">
        <f>IFERROR(__xludf.DUMMYFUNCTION("""COMPUTED_VALUE"""),"Resident Evil 5: Gold Edition")</f>
        <v>Resident Evil 5: Gold Edition</v>
      </c>
      <c r="B35" s="15" t="str">
        <f>IFERROR(__xludf.DUMMYFUNCTION("""COMPUTED_VALUE"""),"PS5/PS4")</f>
        <v>PS5/PS4</v>
      </c>
      <c r="C35" s="16" t="str">
        <f>IFERROR(__xludf.DUMMYFUNCTION("""COMPUTED_VALUE"""),"Premium (Streaming Only)")</f>
        <v>Premium (Streaming Only)</v>
      </c>
      <c r="D35" s="15" t="str">
        <f>IFERROR(__xludf.DUMMYFUNCTION("""COMPUTED_VALUE"""),"Active")</f>
        <v>Active</v>
      </c>
      <c r="E35" s="17">
        <f>IFERROR(__xludf.DUMMYFUNCTION("""COMPUTED_VALUE"""),42017.0)</f>
        <v>42017</v>
      </c>
      <c r="F35" s="54"/>
      <c r="G35" s="19">
        <f>IFERROR(__xludf.DUMMYFUNCTION("""COMPUTED_VALUE"""),140.76666666666668)</f>
        <v>140.7666667</v>
      </c>
      <c r="H35" s="17">
        <f>IFERROR(__xludf.DUMMYFUNCTION("""COMPUTED_VALUE"""),39873.0)</f>
        <v>39873</v>
      </c>
      <c r="I35" s="19">
        <f>IFERROR(__xludf.DUMMYFUNCTION("""COMPUTED_VALUE"""),5.866666666666666)</f>
        <v>5.866666667</v>
      </c>
      <c r="J35" s="21">
        <f>IFERROR(__xludf.DUMMYFUNCTION("""COMPUTED_VALUE"""),84.0)</f>
        <v>84</v>
      </c>
      <c r="K35" s="23">
        <f>IFERROR(__xludf.DUMMYFUNCTION("""COMPUTED_VALUE"""),8.2)</f>
        <v>8.2</v>
      </c>
      <c r="L35" s="24">
        <f>IFERROR(__xludf.DUMMYFUNCTION("""COMPUTED_VALUE"""),13.0)</f>
        <v>13</v>
      </c>
      <c r="M35" s="25" t="str">
        <f>IFERROR(__xludf.DUMMYFUNCTION("""COMPUTED_VALUE"""),"Action-Adventure")</f>
        <v>Action-Adventure</v>
      </c>
      <c r="N35" s="25" t="str">
        <f>IFERROR(__xludf.DUMMYFUNCTION("""COMPUTED_VALUE"""),"PS3")</f>
        <v>PS3</v>
      </c>
      <c r="O35" s="26" t="str">
        <f>IFERROR(__xludf.DUMMYFUNCTION("""COMPUTED_VALUE"""),"Yes")</f>
        <v>Yes</v>
      </c>
      <c r="P35" s="26" t="str">
        <f>IFERROR(__xludf.DUMMYFUNCTION("""COMPUTED_VALUE"""),"")</f>
        <v/>
      </c>
    </row>
    <row r="36">
      <c r="A36" s="13" t="str">
        <f>IFERROR(__xludf.DUMMYFUNCTION("""COMPUTED_VALUE"""),"Vessel")</f>
        <v>Vessel</v>
      </c>
      <c r="B36" s="15" t="str">
        <f>IFERROR(__xludf.DUMMYFUNCTION("""COMPUTED_VALUE"""),"PS5/PS4")</f>
        <v>PS5/PS4</v>
      </c>
      <c r="C36" s="16" t="str">
        <f>IFERROR(__xludf.DUMMYFUNCTION("""COMPUTED_VALUE"""),"Premium (Streaming Only)")</f>
        <v>Premium (Streaming Only)</v>
      </c>
      <c r="D36" s="15" t="str">
        <f>IFERROR(__xludf.DUMMYFUNCTION("""COMPUTED_VALUE"""),"Active")</f>
        <v>Active</v>
      </c>
      <c r="E36" s="17">
        <f>IFERROR(__xludf.DUMMYFUNCTION("""COMPUTED_VALUE"""),42017.0)</f>
        <v>42017</v>
      </c>
      <c r="F36" s="54"/>
      <c r="G36" s="19">
        <f>IFERROR(__xludf.DUMMYFUNCTION("""COMPUTED_VALUE"""),140.76666666666668)</f>
        <v>140.7666667</v>
      </c>
      <c r="H36" s="17">
        <f>IFERROR(__xludf.DUMMYFUNCTION("""COMPUTED_VALUE"""),40940.0)</f>
        <v>40940</v>
      </c>
      <c r="I36" s="19">
        <f>IFERROR(__xludf.DUMMYFUNCTION("""COMPUTED_VALUE"""),2.95)</f>
        <v>2.95</v>
      </c>
      <c r="J36" s="21">
        <f>IFERROR(__xludf.DUMMYFUNCTION("""COMPUTED_VALUE"""),84.0)</f>
        <v>84</v>
      </c>
      <c r="K36" s="23">
        <f>IFERROR(__xludf.DUMMYFUNCTION("""COMPUTED_VALUE"""),7.3)</f>
        <v>7.3</v>
      </c>
      <c r="L36" s="24">
        <f>IFERROR(__xludf.DUMMYFUNCTION("""COMPUTED_VALUE"""),5.0)</f>
        <v>5</v>
      </c>
      <c r="M36" s="25" t="str">
        <f>IFERROR(__xludf.DUMMYFUNCTION("""COMPUTED_VALUE"""),"Puzzle")</f>
        <v>Puzzle</v>
      </c>
      <c r="N36" s="25" t="str">
        <f>IFERROR(__xludf.DUMMYFUNCTION("""COMPUTED_VALUE"""),"PS3")</f>
        <v>PS3</v>
      </c>
      <c r="O36" s="26" t="str">
        <f>IFERROR(__xludf.DUMMYFUNCTION("""COMPUTED_VALUE"""),"Yes")</f>
        <v>Yes</v>
      </c>
      <c r="P36" s="26" t="str">
        <f>IFERROR(__xludf.DUMMYFUNCTION("""COMPUTED_VALUE"""),"")</f>
        <v/>
      </c>
    </row>
    <row r="37">
      <c r="A37" s="13" t="str">
        <f>IFERROR(__xludf.DUMMYFUNCTION("""COMPUTED_VALUE"""),"Everyday Shooter")</f>
        <v>Everyday Shooter</v>
      </c>
      <c r="B37" s="15" t="str">
        <f>IFERROR(__xludf.DUMMYFUNCTION("""COMPUTED_VALUE"""),"PS5/PS4")</f>
        <v>PS5/PS4</v>
      </c>
      <c r="C37" s="16" t="str">
        <f>IFERROR(__xludf.DUMMYFUNCTION("""COMPUTED_VALUE"""),"Premium (Streaming Only)")</f>
        <v>Premium (Streaming Only)</v>
      </c>
      <c r="D37" s="15" t="str">
        <f>IFERROR(__xludf.DUMMYFUNCTION("""COMPUTED_VALUE"""),"Active")</f>
        <v>Active</v>
      </c>
      <c r="E37" s="17">
        <f>IFERROR(__xludf.DUMMYFUNCTION("""COMPUTED_VALUE"""),44852.0)</f>
        <v>44852</v>
      </c>
      <c r="F37" s="54"/>
      <c r="G37" s="19">
        <f>IFERROR(__xludf.DUMMYFUNCTION("""COMPUTED_VALUE"""),47.6)</f>
        <v>47.6</v>
      </c>
      <c r="H37" s="17">
        <f>IFERROR(__xludf.DUMMYFUNCTION("""COMPUTED_VALUE"""),38805.0)</f>
        <v>38805</v>
      </c>
      <c r="I37" s="19">
        <f>IFERROR(__xludf.DUMMYFUNCTION("""COMPUTED_VALUE"""),16.552777777777777)</f>
        <v>16.55277778</v>
      </c>
      <c r="J37" s="21">
        <f>IFERROR(__xludf.DUMMYFUNCTION("""COMPUTED_VALUE"""),83.0)</f>
        <v>83</v>
      </c>
      <c r="K37" s="23">
        <f>IFERROR(__xludf.DUMMYFUNCTION("""COMPUTED_VALUE"""),7.3)</f>
        <v>7.3</v>
      </c>
      <c r="L37" s="24">
        <f>IFERROR(__xludf.DUMMYFUNCTION("""COMPUTED_VALUE"""),7.0)</f>
        <v>7</v>
      </c>
      <c r="M37" s="25" t="str">
        <f>IFERROR(__xludf.DUMMYFUNCTION("""COMPUTED_VALUE"""),"Shooter")</f>
        <v>Shooter</v>
      </c>
      <c r="N37" s="25" t="str">
        <f>IFERROR(__xludf.DUMMYFUNCTION("""COMPUTED_VALUE"""),"PS3")</f>
        <v>PS3</v>
      </c>
      <c r="O37" s="26" t="str">
        <f>IFERROR(__xludf.DUMMYFUNCTION("""COMPUTED_VALUE"""),"Yes")</f>
        <v>Yes</v>
      </c>
      <c r="P37" s="26"/>
    </row>
    <row r="38">
      <c r="A38" s="13" t="str">
        <f>IFERROR(__xludf.DUMMYFUNCTION("""COMPUTED_VALUE"""),"MotorStorm RC: Complete Edition")</f>
        <v>MotorStorm RC: Complete Edition</v>
      </c>
      <c r="B38" s="15" t="str">
        <f>IFERROR(__xludf.DUMMYFUNCTION("""COMPUTED_VALUE"""),"PS5/PS4")</f>
        <v>PS5/PS4</v>
      </c>
      <c r="C38" s="16" t="str">
        <f>IFERROR(__xludf.DUMMYFUNCTION("""COMPUTED_VALUE"""),"Premium (Streaming Only)")</f>
        <v>Premium (Streaming Only)</v>
      </c>
      <c r="D38" s="15" t="str">
        <f>IFERROR(__xludf.DUMMYFUNCTION("""COMPUTED_VALUE"""),"Active")</f>
        <v>Active</v>
      </c>
      <c r="E38" s="17">
        <f>IFERROR(__xludf.DUMMYFUNCTION("""COMPUTED_VALUE"""),42556.0)</f>
        <v>42556</v>
      </c>
      <c r="F38" s="54"/>
      <c r="G38" s="19">
        <f>IFERROR(__xludf.DUMMYFUNCTION("""COMPUTED_VALUE"""),123.03333333333333)</f>
        <v>123.0333333</v>
      </c>
      <c r="H38" s="17">
        <f>IFERROR(__xludf.DUMMYFUNCTION("""COMPUTED_VALUE"""),40969.0)</f>
        <v>40969</v>
      </c>
      <c r="I38" s="19">
        <f>IFERROR(__xludf.DUMMYFUNCTION("""COMPUTED_VALUE"""),4.344444444444444)</f>
        <v>4.344444444</v>
      </c>
      <c r="J38" s="21">
        <f>IFERROR(__xludf.DUMMYFUNCTION("""COMPUTED_VALUE"""),83.0)</f>
        <v>83</v>
      </c>
      <c r="K38" s="23">
        <f>IFERROR(__xludf.DUMMYFUNCTION("""COMPUTED_VALUE"""),7.5)</f>
        <v>7.5</v>
      </c>
      <c r="L38" s="24">
        <f>IFERROR(__xludf.DUMMYFUNCTION("""COMPUTED_VALUE"""),5.0)</f>
        <v>5</v>
      </c>
      <c r="M38" s="25" t="str">
        <f>IFERROR(__xludf.DUMMYFUNCTION("""COMPUTED_VALUE"""),"Racing")</f>
        <v>Racing</v>
      </c>
      <c r="N38" s="25" t="str">
        <f>IFERROR(__xludf.DUMMYFUNCTION("""COMPUTED_VALUE"""),"PS3")</f>
        <v>PS3</v>
      </c>
      <c r="O38" s="26" t="str">
        <f>IFERROR(__xludf.DUMMYFUNCTION("""COMPUTED_VALUE"""),"Yes")</f>
        <v>Yes</v>
      </c>
      <c r="P38" s="26" t="str">
        <f>IFERROR(__xludf.DUMMYFUNCTION("""COMPUTED_VALUE"""),"")</f>
        <v/>
      </c>
    </row>
    <row r="39">
      <c r="A39" s="13" t="str">
        <f>IFERROR(__xludf.DUMMYFUNCTION("""COMPUTED_VALUE"""),"NINJA GAIDEN SIGMA 2")</f>
        <v>NINJA GAIDEN SIGMA 2</v>
      </c>
      <c r="B39" s="15" t="str">
        <f>IFERROR(__xludf.DUMMYFUNCTION("""COMPUTED_VALUE"""),"PS5/PS4")</f>
        <v>PS5/PS4</v>
      </c>
      <c r="C39" s="16" t="str">
        <f>IFERROR(__xludf.DUMMYFUNCTION("""COMPUTED_VALUE"""),"Premium (Streaming Only)")</f>
        <v>Premium (Streaming Only)</v>
      </c>
      <c r="D39" s="15" t="str">
        <f>IFERROR(__xludf.DUMMYFUNCTION("""COMPUTED_VALUE"""),"Active")</f>
        <v>Active</v>
      </c>
      <c r="E39" s="17">
        <f>IFERROR(__xludf.DUMMYFUNCTION("""COMPUTED_VALUE"""),42374.0)</f>
        <v>42374</v>
      </c>
      <c r="F39" s="54"/>
      <c r="G39" s="19">
        <f>IFERROR(__xludf.DUMMYFUNCTION("""COMPUTED_VALUE"""),129.03333333333333)</f>
        <v>129.0333333</v>
      </c>
      <c r="H39" s="17">
        <f>IFERROR(__xludf.DUMMYFUNCTION("""COMPUTED_VALUE"""),40057.0)</f>
        <v>40057</v>
      </c>
      <c r="I39" s="19">
        <f>IFERROR(__xludf.DUMMYFUNCTION("""COMPUTED_VALUE"""),6.344444444444444)</f>
        <v>6.344444444</v>
      </c>
      <c r="J39" s="21">
        <f>IFERROR(__xludf.DUMMYFUNCTION("""COMPUTED_VALUE"""),83.0)</f>
        <v>83</v>
      </c>
      <c r="K39" s="23">
        <f>IFERROR(__xludf.DUMMYFUNCTION("""COMPUTED_VALUE"""),8.4)</f>
        <v>8.4</v>
      </c>
      <c r="L39" s="24">
        <f>IFERROR(__xludf.DUMMYFUNCTION("""COMPUTED_VALUE"""),15.0)</f>
        <v>15</v>
      </c>
      <c r="M39" s="25" t="str">
        <f>IFERROR(__xludf.DUMMYFUNCTION("""COMPUTED_VALUE"""),"Action-Adventure")</f>
        <v>Action-Adventure</v>
      </c>
      <c r="N39" s="25" t="str">
        <f>IFERROR(__xludf.DUMMYFUNCTION("""COMPUTED_VALUE"""),"PS3")</f>
        <v>PS3</v>
      </c>
      <c r="O39" s="26" t="str">
        <f>IFERROR(__xludf.DUMMYFUNCTION("""COMPUTED_VALUE"""),"Yes")</f>
        <v>Yes</v>
      </c>
      <c r="P39" s="26" t="str">
        <f>IFERROR(__xludf.DUMMYFUNCTION("""COMPUTED_VALUE"""),"")</f>
        <v/>
      </c>
    </row>
    <row r="40">
      <c r="A40" s="13" t="str">
        <f>IFERROR(__xludf.DUMMYFUNCTION("""COMPUTED_VALUE"""),"PixelJunk Monsters")</f>
        <v>PixelJunk Monsters</v>
      </c>
      <c r="B40" s="15" t="str">
        <f>IFERROR(__xludf.DUMMYFUNCTION("""COMPUTED_VALUE"""),"PS5/PS4")</f>
        <v>PS5/PS4</v>
      </c>
      <c r="C40" s="16" t="str">
        <f>IFERROR(__xludf.DUMMYFUNCTION("""COMPUTED_VALUE"""),"Premium (Streaming Only)")</f>
        <v>Premium (Streaming Only)</v>
      </c>
      <c r="D40" s="15" t="str">
        <f>IFERROR(__xludf.DUMMYFUNCTION("""COMPUTED_VALUE"""),"Active")</f>
        <v>Active</v>
      </c>
      <c r="E40" s="17">
        <f>IFERROR(__xludf.DUMMYFUNCTION("""COMPUTED_VALUE"""),42374.0)</f>
        <v>42374</v>
      </c>
      <c r="F40" s="54"/>
      <c r="G40" s="19">
        <f>IFERROR(__xludf.DUMMYFUNCTION("""COMPUTED_VALUE"""),129.03333333333333)</f>
        <v>129.0333333</v>
      </c>
      <c r="H40" s="17">
        <f>IFERROR(__xludf.DUMMYFUNCTION("""COMPUTED_VALUE"""),39448.0)</f>
        <v>39448</v>
      </c>
      <c r="I40" s="19">
        <f>IFERROR(__xludf.DUMMYFUNCTION("""COMPUTED_VALUE"""),8.011111111111111)</f>
        <v>8.011111111</v>
      </c>
      <c r="J40" s="21">
        <f>IFERROR(__xludf.DUMMYFUNCTION("""COMPUTED_VALUE"""),83.0)</f>
        <v>83</v>
      </c>
      <c r="K40" s="23">
        <f>IFERROR(__xludf.DUMMYFUNCTION("""COMPUTED_VALUE"""),7.8)</f>
        <v>7.8</v>
      </c>
      <c r="L40" s="24">
        <f>IFERROR(__xludf.DUMMYFUNCTION("""COMPUTED_VALUE"""),8.0)</f>
        <v>8</v>
      </c>
      <c r="M40" s="25" t="str">
        <f>IFERROR(__xludf.DUMMYFUNCTION("""COMPUTED_VALUE"""),"Strategy")</f>
        <v>Strategy</v>
      </c>
      <c r="N40" s="25" t="str">
        <f>IFERROR(__xludf.DUMMYFUNCTION("""COMPUTED_VALUE"""),"PS3")</f>
        <v>PS3</v>
      </c>
      <c r="O40" s="26" t="str">
        <f>IFERROR(__xludf.DUMMYFUNCTION("""COMPUTED_VALUE"""),"Yes")</f>
        <v>Yes</v>
      </c>
      <c r="P40" s="26" t="str">
        <f>IFERROR(__xludf.DUMMYFUNCTION("""COMPUTED_VALUE"""),"")</f>
        <v/>
      </c>
    </row>
    <row r="41">
      <c r="A41" s="13" t="str">
        <f>IFERROR(__xludf.DUMMYFUNCTION("""COMPUTED_VALUE"""),"Resistance 3")</f>
        <v>Resistance 3</v>
      </c>
      <c r="B41" s="15" t="str">
        <f>IFERROR(__xludf.DUMMYFUNCTION("""COMPUTED_VALUE"""),"PS5/PS4")</f>
        <v>PS5/PS4</v>
      </c>
      <c r="C41" s="16" t="str">
        <f>IFERROR(__xludf.DUMMYFUNCTION("""COMPUTED_VALUE"""),"Premium (Streaming Only)")</f>
        <v>Premium (Streaming Only)</v>
      </c>
      <c r="D41" s="15" t="str">
        <f>IFERROR(__xludf.DUMMYFUNCTION("""COMPUTED_VALUE"""),"Active")</f>
        <v>Active</v>
      </c>
      <c r="E41" s="17">
        <f>IFERROR(__xludf.DUMMYFUNCTION("""COMPUTED_VALUE"""),42374.0)</f>
        <v>42374</v>
      </c>
      <c r="F41" s="54"/>
      <c r="G41" s="19">
        <f>IFERROR(__xludf.DUMMYFUNCTION("""COMPUTED_VALUE"""),129.03333333333333)</f>
        <v>129.0333333</v>
      </c>
      <c r="H41" s="17">
        <f>IFERROR(__xludf.DUMMYFUNCTION("""COMPUTED_VALUE"""),40787.0)</f>
        <v>40787</v>
      </c>
      <c r="I41" s="19">
        <f>IFERROR(__xludf.DUMMYFUNCTION("""COMPUTED_VALUE"""),4.344444444444444)</f>
        <v>4.344444444</v>
      </c>
      <c r="J41" s="21">
        <f>IFERROR(__xludf.DUMMYFUNCTION("""COMPUTED_VALUE"""),83.0)</f>
        <v>83</v>
      </c>
      <c r="K41" s="23">
        <f>IFERROR(__xludf.DUMMYFUNCTION("""COMPUTED_VALUE"""),7.9)</f>
        <v>7.9</v>
      </c>
      <c r="L41" s="24">
        <f>IFERROR(__xludf.DUMMYFUNCTION("""COMPUTED_VALUE"""),8.0)</f>
        <v>8</v>
      </c>
      <c r="M41" s="25" t="str">
        <f>IFERROR(__xludf.DUMMYFUNCTION("""COMPUTED_VALUE"""),"Shooter")</f>
        <v>Shooter</v>
      </c>
      <c r="N41" s="25" t="str">
        <f>IFERROR(__xludf.DUMMYFUNCTION("""COMPUTED_VALUE"""),"PS3")</f>
        <v>PS3</v>
      </c>
      <c r="O41" s="26" t="str">
        <f>IFERROR(__xludf.DUMMYFUNCTION("""COMPUTED_VALUE"""),"Yes")</f>
        <v>Yes</v>
      </c>
      <c r="P41" s="26" t="str">
        <f>IFERROR(__xludf.DUMMYFUNCTION("""COMPUTED_VALUE"""),"")</f>
        <v/>
      </c>
    </row>
    <row r="42">
      <c r="A42" s="13" t="str">
        <f>IFERROR(__xludf.DUMMYFUNCTION("""COMPUTED_VALUE"""),"inFAMOUS 2")</f>
        <v>inFAMOUS 2</v>
      </c>
      <c r="B42" s="15" t="str">
        <f>IFERROR(__xludf.DUMMYFUNCTION("""COMPUTED_VALUE"""),"PS5/PS4")</f>
        <v>PS5/PS4</v>
      </c>
      <c r="C42" s="16" t="str">
        <f>IFERROR(__xludf.DUMMYFUNCTION("""COMPUTED_VALUE"""),"Premium (Streaming Only)")</f>
        <v>Premium (Streaming Only)</v>
      </c>
      <c r="D42" s="15" t="str">
        <f>IFERROR(__xludf.DUMMYFUNCTION("""COMPUTED_VALUE"""),"Active")</f>
        <v>Active</v>
      </c>
      <c r="E42" s="17">
        <f>IFERROR(__xludf.DUMMYFUNCTION("""COMPUTED_VALUE"""),42017.0)</f>
        <v>42017</v>
      </c>
      <c r="F42" s="54"/>
      <c r="G42" s="19">
        <f>IFERROR(__xludf.DUMMYFUNCTION("""COMPUTED_VALUE"""),140.76666666666668)</f>
        <v>140.7666667</v>
      </c>
      <c r="H42" s="17">
        <f>IFERROR(__xludf.DUMMYFUNCTION("""COMPUTED_VALUE"""),40695.0)</f>
        <v>40695</v>
      </c>
      <c r="I42" s="19">
        <f>IFERROR(__xludf.DUMMYFUNCTION("""COMPUTED_VALUE"""),3.6166666666666667)</f>
        <v>3.616666667</v>
      </c>
      <c r="J42" s="21">
        <f>IFERROR(__xludf.DUMMYFUNCTION("""COMPUTED_VALUE"""),83.0)</f>
        <v>83</v>
      </c>
      <c r="K42" s="23">
        <f>IFERROR(__xludf.DUMMYFUNCTION("""COMPUTED_VALUE"""),8.3)</f>
        <v>8.3</v>
      </c>
      <c r="L42" s="24">
        <f>IFERROR(__xludf.DUMMYFUNCTION("""COMPUTED_VALUE"""),12.0)</f>
        <v>12</v>
      </c>
      <c r="M42" s="25" t="str">
        <f>IFERROR(__xludf.DUMMYFUNCTION("""COMPUTED_VALUE"""),"Action-Adventure")</f>
        <v>Action-Adventure</v>
      </c>
      <c r="N42" s="25" t="str">
        <f>IFERROR(__xludf.DUMMYFUNCTION("""COMPUTED_VALUE"""),"PS3")</f>
        <v>PS3</v>
      </c>
      <c r="O42" s="26" t="str">
        <f>IFERROR(__xludf.DUMMYFUNCTION("""COMPUTED_VALUE"""),"Yes")</f>
        <v>Yes</v>
      </c>
      <c r="P42" s="26" t="str">
        <f>IFERROR(__xludf.DUMMYFUNCTION("""COMPUTED_VALUE"""),"")</f>
        <v/>
      </c>
    </row>
    <row r="43">
      <c r="A43" s="13" t="str">
        <f>IFERROR(__xludf.DUMMYFUNCTION("""COMPUTED_VALUE"""),"Fallout: New Vegas")</f>
        <v>Fallout: New Vegas</v>
      </c>
      <c r="B43" s="15" t="str">
        <f>IFERROR(__xludf.DUMMYFUNCTION("""COMPUTED_VALUE"""),"PS5/PS4")</f>
        <v>PS5/PS4</v>
      </c>
      <c r="C43" s="16" t="str">
        <f>IFERROR(__xludf.DUMMYFUNCTION("""COMPUTED_VALUE"""),"Premium (Streaming Only)")</f>
        <v>Premium (Streaming Only)</v>
      </c>
      <c r="D43" s="15" t="str">
        <f>IFERROR(__xludf.DUMMYFUNCTION("""COMPUTED_VALUE"""),"Active")</f>
        <v>Active</v>
      </c>
      <c r="E43" s="17">
        <f>IFERROR(__xludf.DUMMYFUNCTION("""COMPUTED_VALUE"""),42983.0)</f>
        <v>42983</v>
      </c>
      <c r="F43" s="54"/>
      <c r="G43" s="19">
        <f>IFERROR(__xludf.DUMMYFUNCTION("""COMPUTED_VALUE"""),109.03333333333333)</f>
        <v>109.0333333</v>
      </c>
      <c r="H43" s="17">
        <f>IFERROR(__xludf.DUMMYFUNCTION("""COMPUTED_VALUE"""),40452.0)</f>
        <v>40452</v>
      </c>
      <c r="I43" s="19">
        <f>IFERROR(__xludf.DUMMYFUNCTION("""COMPUTED_VALUE"""),6.927777777777778)</f>
        <v>6.927777778</v>
      </c>
      <c r="J43" s="21">
        <f>IFERROR(__xludf.DUMMYFUNCTION("""COMPUTED_VALUE"""),82.0)</f>
        <v>82</v>
      </c>
      <c r="K43" s="23">
        <f>IFERROR(__xludf.DUMMYFUNCTION("""COMPUTED_VALUE"""),8.0)</f>
        <v>8</v>
      </c>
      <c r="L43" s="24">
        <f>IFERROR(__xludf.DUMMYFUNCTION("""COMPUTED_VALUE"""),27.0)</f>
        <v>27</v>
      </c>
      <c r="M43" s="25" t="str">
        <f>IFERROR(__xludf.DUMMYFUNCTION("""COMPUTED_VALUE"""),"RPG")</f>
        <v>RPG</v>
      </c>
      <c r="N43" s="25" t="str">
        <f>IFERROR(__xludf.DUMMYFUNCTION("""COMPUTED_VALUE"""),"PS3")</f>
        <v>PS3</v>
      </c>
      <c r="O43" s="26" t="str">
        <f>IFERROR(__xludf.DUMMYFUNCTION("""COMPUTED_VALUE"""),"Yes")</f>
        <v>Yes</v>
      </c>
      <c r="P43" s="26" t="str">
        <f>IFERROR(__xludf.DUMMYFUNCTION("""COMPUTED_VALUE"""),"")</f>
        <v/>
      </c>
    </row>
    <row r="44">
      <c r="A44" s="13" t="str">
        <f>IFERROR(__xludf.DUMMYFUNCTION("""COMPUTED_VALUE"""),"Joe Danger 2: The Movie")</f>
        <v>Joe Danger 2: The Movie</v>
      </c>
      <c r="B44" s="15" t="str">
        <f>IFERROR(__xludf.DUMMYFUNCTION("""COMPUTED_VALUE"""),"PS5/PS4")</f>
        <v>PS5/PS4</v>
      </c>
      <c r="C44" s="16" t="str">
        <f>IFERROR(__xludf.DUMMYFUNCTION("""COMPUTED_VALUE"""),"Premium (Streaming Only)")</f>
        <v>Premium (Streaming Only)</v>
      </c>
      <c r="D44" s="15" t="str">
        <f>IFERROR(__xludf.DUMMYFUNCTION("""COMPUTED_VALUE"""),"Active")</f>
        <v>Active</v>
      </c>
      <c r="E44" s="17">
        <f>IFERROR(__xludf.DUMMYFUNCTION("""COMPUTED_VALUE"""),42311.0)</f>
        <v>42311</v>
      </c>
      <c r="F44" s="54"/>
      <c r="G44" s="19">
        <f>IFERROR(__xludf.DUMMYFUNCTION("""COMPUTED_VALUE"""),131.10000000000002)</f>
        <v>131.1</v>
      </c>
      <c r="H44" s="17">
        <f>IFERROR(__xludf.DUMMYFUNCTION("""COMPUTED_VALUE"""),41191.0)</f>
        <v>41191</v>
      </c>
      <c r="I44" s="19">
        <f>IFERROR(__xludf.DUMMYFUNCTION("""COMPUTED_VALUE"""),3.066666666666667)</f>
        <v>3.066666667</v>
      </c>
      <c r="J44" s="21">
        <f>IFERROR(__xludf.DUMMYFUNCTION("""COMPUTED_VALUE"""),82.0)</f>
        <v>82</v>
      </c>
      <c r="K44" s="23">
        <f>IFERROR(__xludf.DUMMYFUNCTION("""COMPUTED_VALUE"""),7.8)</f>
        <v>7.8</v>
      </c>
      <c r="L44" s="24">
        <f>IFERROR(__xludf.DUMMYFUNCTION("""COMPUTED_VALUE"""),2.0)</f>
        <v>2</v>
      </c>
      <c r="M44" s="25" t="str">
        <f>IFERROR(__xludf.DUMMYFUNCTION("""COMPUTED_VALUE"""),"Racing")</f>
        <v>Racing</v>
      </c>
      <c r="N44" s="25" t="str">
        <f>IFERROR(__xludf.DUMMYFUNCTION("""COMPUTED_VALUE"""),"PS3")</f>
        <v>PS3</v>
      </c>
      <c r="O44" s="26" t="str">
        <f>IFERROR(__xludf.DUMMYFUNCTION("""COMPUTED_VALUE"""),"Yes")</f>
        <v>Yes</v>
      </c>
      <c r="P44" s="26"/>
    </row>
    <row r="45">
      <c r="A45" s="13" t="str">
        <f>IFERROR(__xludf.DUMMYFUNCTION("""COMPUTED_VALUE"""),"MEGA MAN 9")</f>
        <v>MEGA MAN 9</v>
      </c>
      <c r="B45" s="15" t="str">
        <f>IFERROR(__xludf.DUMMYFUNCTION("""COMPUTED_VALUE"""),"PS5/PS4")</f>
        <v>PS5/PS4</v>
      </c>
      <c r="C45" s="16" t="str">
        <f>IFERROR(__xludf.DUMMYFUNCTION("""COMPUTED_VALUE"""),"Premium (Streaming Only)")</f>
        <v>Premium (Streaming Only)</v>
      </c>
      <c r="D45" s="15" t="str">
        <f>IFERROR(__xludf.DUMMYFUNCTION("""COMPUTED_VALUE"""),"Active")</f>
        <v>Active</v>
      </c>
      <c r="E45" s="17">
        <f>IFERROR(__xludf.DUMMYFUNCTION("""COMPUTED_VALUE"""),42311.0)</f>
        <v>42311</v>
      </c>
      <c r="F45" s="54"/>
      <c r="G45" s="19">
        <f>IFERROR(__xludf.DUMMYFUNCTION("""COMPUTED_VALUE"""),131.10000000000002)</f>
        <v>131.1</v>
      </c>
      <c r="H45" s="17">
        <f>IFERROR(__xludf.DUMMYFUNCTION("""COMPUTED_VALUE"""),39713.0)</f>
        <v>39713</v>
      </c>
      <c r="I45" s="19">
        <f>IFERROR(__xludf.DUMMYFUNCTION("""COMPUTED_VALUE"""),7.113888888888889)</f>
        <v>7.113888889</v>
      </c>
      <c r="J45" s="21">
        <f>IFERROR(__xludf.DUMMYFUNCTION("""COMPUTED_VALUE"""),82.0)</f>
        <v>82</v>
      </c>
      <c r="K45" s="23">
        <f>IFERROR(__xludf.DUMMYFUNCTION("""COMPUTED_VALUE"""),8.2)</f>
        <v>8.2</v>
      </c>
      <c r="L45" s="24">
        <f>IFERROR(__xludf.DUMMYFUNCTION("""COMPUTED_VALUE"""),3.5)</f>
        <v>3.5</v>
      </c>
      <c r="M45" s="25" t="str">
        <f>IFERROR(__xludf.DUMMYFUNCTION("""COMPUTED_VALUE"""),"Platformer")</f>
        <v>Platformer</v>
      </c>
      <c r="N45" s="25" t="str">
        <f>IFERROR(__xludf.DUMMYFUNCTION("""COMPUTED_VALUE"""),"PS3")</f>
        <v>PS3</v>
      </c>
      <c r="O45" s="26" t="str">
        <f>IFERROR(__xludf.DUMMYFUNCTION("""COMPUTED_VALUE"""),"Yes")</f>
        <v>Yes</v>
      </c>
      <c r="P45" s="26"/>
    </row>
    <row r="46">
      <c r="A46" s="13" t="str">
        <f>IFERROR(__xludf.DUMMYFUNCTION("""COMPUTED_VALUE"""),"STRONG BAD'S COOL GAME FOR ATTRACTIVE PEOPLE - EPISODE 2: STRONG BADIA THE FREE")</f>
        <v>STRONG BAD'S COOL GAME FOR ATTRACTIVE PEOPLE - EPISODE 2: STRONG BADIA THE FREE</v>
      </c>
      <c r="B46" s="15" t="str">
        <f>IFERROR(__xludf.DUMMYFUNCTION("""COMPUTED_VALUE"""),"PS5/PS4")</f>
        <v>PS5/PS4</v>
      </c>
      <c r="C46" s="16" t="str">
        <f>IFERROR(__xludf.DUMMYFUNCTION("""COMPUTED_VALUE"""),"Premium (Streaming Only)")</f>
        <v>Premium (Streaming Only)</v>
      </c>
      <c r="D46" s="15" t="str">
        <f>IFERROR(__xludf.DUMMYFUNCTION("""COMPUTED_VALUE"""),"Active")</f>
        <v>Active</v>
      </c>
      <c r="E46" s="17">
        <f>IFERROR(__xludf.DUMMYFUNCTION("""COMPUTED_VALUE"""),42311.0)</f>
        <v>42311</v>
      </c>
      <c r="F46" s="54"/>
      <c r="G46" s="19">
        <f>IFERROR(__xludf.DUMMYFUNCTION("""COMPUTED_VALUE"""),131.10000000000002)</f>
        <v>131.1</v>
      </c>
      <c r="H46" s="17">
        <f>IFERROR(__xludf.DUMMYFUNCTION("""COMPUTED_VALUE"""),39539.0)</f>
        <v>39539</v>
      </c>
      <c r="I46" s="19">
        <f>IFERROR(__xludf.DUMMYFUNCTION("""COMPUTED_VALUE"""),7.588888888888889)</f>
        <v>7.588888889</v>
      </c>
      <c r="J46" s="21">
        <f>IFERROR(__xludf.DUMMYFUNCTION("""COMPUTED_VALUE"""),82.0)</f>
        <v>82</v>
      </c>
      <c r="K46" s="23">
        <f>IFERROR(__xludf.DUMMYFUNCTION("""COMPUTED_VALUE"""),7.8)</f>
        <v>7.8</v>
      </c>
      <c r="L46" s="24">
        <f>IFERROR(__xludf.DUMMYFUNCTION("""COMPUTED_VALUE"""),2.0)</f>
        <v>2</v>
      </c>
      <c r="M46" s="25" t="str">
        <f>IFERROR(__xludf.DUMMYFUNCTION("""COMPUTED_VALUE"""),"Adventure")</f>
        <v>Adventure</v>
      </c>
      <c r="N46" s="25" t="str">
        <f>IFERROR(__xludf.DUMMYFUNCTION("""COMPUTED_VALUE"""),"PS3")</f>
        <v>PS3</v>
      </c>
      <c r="O46" s="26" t="str">
        <f>IFERROR(__xludf.DUMMYFUNCTION("""COMPUTED_VALUE"""),"Yes")</f>
        <v>Yes</v>
      </c>
      <c r="P46" s="26" t="str">
        <f>IFERROR(__xludf.DUMMYFUNCTION("""COMPUTED_VALUE"""),"")</f>
        <v/>
      </c>
    </row>
    <row r="47">
      <c r="A47" s="13" t="str">
        <f>IFERROR(__xludf.DUMMYFUNCTION("""COMPUTED_VALUE"""),"STRONG BAD'S COOL GAME FOR ATTRACTIVE PEOPLE - EPISODE 5: 8-BIT IS ENOUGH")</f>
        <v>STRONG BAD'S COOL GAME FOR ATTRACTIVE PEOPLE - EPISODE 5: 8-BIT IS ENOUGH</v>
      </c>
      <c r="B47" s="15" t="str">
        <f>IFERROR(__xludf.DUMMYFUNCTION("""COMPUTED_VALUE"""),"PS5/PS4")</f>
        <v>PS5/PS4</v>
      </c>
      <c r="C47" s="16" t="str">
        <f>IFERROR(__xludf.DUMMYFUNCTION("""COMPUTED_VALUE"""),"Premium (Streaming Only)")</f>
        <v>Premium (Streaming Only)</v>
      </c>
      <c r="D47" s="15" t="str">
        <f>IFERROR(__xludf.DUMMYFUNCTION("""COMPUTED_VALUE"""),"Active")</f>
        <v>Active</v>
      </c>
      <c r="E47" s="17">
        <f>IFERROR(__xludf.DUMMYFUNCTION("""COMPUTED_VALUE"""),42311.0)</f>
        <v>42311</v>
      </c>
      <c r="F47" s="54"/>
      <c r="G47" s="19">
        <f>IFERROR(__xludf.DUMMYFUNCTION("""COMPUTED_VALUE"""),131.10000000000002)</f>
        <v>131.1</v>
      </c>
      <c r="H47" s="17">
        <f>IFERROR(__xludf.DUMMYFUNCTION("""COMPUTED_VALUE"""),39539.0)</f>
        <v>39539</v>
      </c>
      <c r="I47" s="19">
        <f>IFERROR(__xludf.DUMMYFUNCTION("""COMPUTED_VALUE"""),7.588888888888889)</f>
        <v>7.588888889</v>
      </c>
      <c r="J47" s="21">
        <f>IFERROR(__xludf.DUMMYFUNCTION("""COMPUTED_VALUE"""),82.0)</f>
        <v>82</v>
      </c>
      <c r="K47" s="23">
        <f>IFERROR(__xludf.DUMMYFUNCTION("""COMPUTED_VALUE"""),7.9)</f>
        <v>7.9</v>
      </c>
      <c r="L47" s="24">
        <f>IFERROR(__xludf.DUMMYFUNCTION("""COMPUTED_VALUE"""),2.0)</f>
        <v>2</v>
      </c>
      <c r="M47" s="25" t="str">
        <f>IFERROR(__xludf.DUMMYFUNCTION("""COMPUTED_VALUE"""),"Adventure")</f>
        <v>Adventure</v>
      </c>
      <c r="N47" s="25" t="str">
        <f>IFERROR(__xludf.DUMMYFUNCTION("""COMPUTED_VALUE"""),"PS3")</f>
        <v>PS3</v>
      </c>
      <c r="O47" s="26" t="str">
        <f>IFERROR(__xludf.DUMMYFUNCTION("""COMPUTED_VALUE"""),"Yes")</f>
        <v>Yes</v>
      </c>
      <c r="P47" s="26" t="str">
        <f>IFERROR(__xludf.DUMMYFUNCTION("""COMPUTED_VALUE"""),"")</f>
        <v/>
      </c>
    </row>
    <row r="48">
      <c r="A48" s="13" t="str">
        <f>IFERROR(__xludf.DUMMYFUNCTION("""COMPUTED_VALUE"""),"Saints Row 2")</f>
        <v>Saints Row 2</v>
      </c>
      <c r="B48" s="15" t="str">
        <f>IFERROR(__xludf.DUMMYFUNCTION("""COMPUTED_VALUE"""),"PS5/PS4")</f>
        <v>PS5/PS4</v>
      </c>
      <c r="C48" s="16" t="str">
        <f>IFERROR(__xludf.DUMMYFUNCTION("""COMPUTED_VALUE"""),"Premium (Streaming Only)")</f>
        <v>Premium (Streaming Only)</v>
      </c>
      <c r="D48" s="15" t="str">
        <f>IFERROR(__xludf.DUMMYFUNCTION("""COMPUTED_VALUE"""),"Active")</f>
        <v>Active</v>
      </c>
      <c r="E48" s="17">
        <f>IFERROR(__xludf.DUMMYFUNCTION("""COMPUTED_VALUE"""),42017.0)</f>
        <v>42017</v>
      </c>
      <c r="F48" s="18"/>
      <c r="G48" s="19">
        <f>IFERROR(__xludf.DUMMYFUNCTION("""COMPUTED_VALUE"""),140.76666666666668)</f>
        <v>140.7666667</v>
      </c>
      <c r="H48" s="17">
        <f>IFERROR(__xludf.DUMMYFUNCTION("""COMPUTED_VALUE"""),39722.0)</f>
        <v>39722</v>
      </c>
      <c r="I48" s="19">
        <f>IFERROR(__xludf.DUMMYFUNCTION("""COMPUTED_VALUE"""),6.283333333333333)</f>
        <v>6.283333333</v>
      </c>
      <c r="J48" s="21">
        <f>IFERROR(__xludf.DUMMYFUNCTION("""COMPUTED_VALUE"""),82.0)</f>
        <v>82</v>
      </c>
      <c r="K48" s="23">
        <f>IFERROR(__xludf.DUMMYFUNCTION("""COMPUTED_VALUE"""),8.1)</f>
        <v>8.1</v>
      </c>
      <c r="L48" s="24">
        <f>IFERROR(__xludf.DUMMYFUNCTION("""COMPUTED_VALUE"""),19.0)</f>
        <v>19</v>
      </c>
      <c r="M48" s="25" t="str">
        <f>IFERROR(__xludf.DUMMYFUNCTION("""COMPUTED_VALUE"""),"Action-Adventure")</f>
        <v>Action-Adventure</v>
      </c>
      <c r="N48" s="25" t="str">
        <f>IFERROR(__xludf.DUMMYFUNCTION("""COMPUTED_VALUE"""),"PS3")</f>
        <v>PS3</v>
      </c>
      <c r="O48" s="26" t="str">
        <f>IFERROR(__xludf.DUMMYFUNCTION("""COMPUTED_VALUE"""),"Yes")</f>
        <v>Yes</v>
      </c>
      <c r="P48" s="26" t="str">
        <f>IFERROR(__xludf.DUMMYFUNCTION("""COMPUTED_VALUE"""),"")</f>
        <v/>
      </c>
    </row>
    <row r="49">
      <c r="A49" s="13" t="str">
        <f>IFERROR(__xludf.DUMMYFUNCTION("""COMPUTED_VALUE"""),"Super Puzzle Fighter II Turbo HD Remix")</f>
        <v>Super Puzzle Fighter II Turbo HD Remix</v>
      </c>
      <c r="B49" s="15" t="str">
        <f>IFERROR(__xludf.DUMMYFUNCTION("""COMPUTED_VALUE"""),"PS5/PS4")</f>
        <v>PS5/PS4</v>
      </c>
      <c r="C49" s="16" t="str">
        <f>IFERROR(__xludf.DUMMYFUNCTION("""COMPUTED_VALUE"""),"Premium (Streaming Only)")</f>
        <v>Premium (Streaming Only)</v>
      </c>
      <c r="D49" s="15" t="str">
        <f>IFERROR(__xludf.DUMMYFUNCTION("""COMPUTED_VALUE"""),"Active")</f>
        <v>Active</v>
      </c>
      <c r="E49" s="17">
        <f>IFERROR(__xludf.DUMMYFUNCTION("""COMPUTED_VALUE"""),42017.0)</f>
        <v>42017</v>
      </c>
      <c r="F49" s="18"/>
      <c r="G49" s="19">
        <f>IFERROR(__xludf.DUMMYFUNCTION("""COMPUTED_VALUE"""),140.76666666666668)</f>
        <v>140.7666667</v>
      </c>
      <c r="H49" s="17">
        <f>IFERROR(__xludf.DUMMYFUNCTION("""COMPUTED_VALUE"""),39295.0)</f>
        <v>39295</v>
      </c>
      <c r="I49" s="19">
        <f>IFERROR(__xludf.DUMMYFUNCTION("""COMPUTED_VALUE"""),7.45)</f>
        <v>7.45</v>
      </c>
      <c r="J49" s="21">
        <f>IFERROR(__xludf.DUMMYFUNCTION("""COMPUTED_VALUE"""),82.0)</f>
        <v>82</v>
      </c>
      <c r="K49" s="23">
        <f>IFERROR(__xludf.DUMMYFUNCTION("""COMPUTED_VALUE"""),8.3)</f>
        <v>8.3</v>
      </c>
      <c r="L49" s="24">
        <f>IFERROR(__xludf.DUMMYFUNCTION("""COMPUTED_VALUE"""),1.0)</f>
        <v>1</v>
      </c>
      <c r="M49" s="25" t="str">
        <f>IFERROR(__xludf.DUMMYFUNCTION("""COMPUTED_VALUE"""),"Action-Adventure")</f>
        <v>Action-Adventure</v>
      </c>
      <c r="N49" s="25" t="str">
        <f>IFERROR(__xludf.DUMMYFUNCTION("""COMPUTED_VALUE"""),"PS3")</f>
        <v>PS3</v>
      </c>
      <c r="O49" s="26" t="str">
        <f>IFERROR(__xludf.DUMMYFUNCTION("""COMPUTED_VALUE"""),"Yes")</f>
        <v>Yes</v>
      </c>
      <c r="P49" s="26" t="str">
        <f>IFERROR(__xludf.DUMMYFUNCTION("""COMPUTED_VALUE"""),"")</f>
        <v/>
      </c>
    </row>
    <row r="50">
      <c r="A50" s="13" t="str">
        <f>IFERROR(__xludf.DUMMYFUNCTION("""COMPUTED_VALUE"""),"Ratchet: Deadlocked")</f>
        <v>Ratchet: Deadlocked</v>
      </c>
      <c r="B50" s="15" t="str">
        <f>IFERROR(__xludf.DUMMYFUNCTION("""COMPUTED_VALUE"""),"PS5/PS4")</f>
        <v>PS5/PS4</v>
      </c>
      <c r="C50" s="16" t="str">
        <f>IFERROR(__xludf.DUMMYFUNCTION("""COMPUTED_VALUE"""),"Premium (Streaming Only)")</f>
        <v>Premium (Streaming Only)</v>
      </c>
      <c r="D50" s="15" t="str">
        <f>IFERROR(__xludf.DUMMYFUNCTION("""COMPUTED_VALUE"""),"Active")</f>
        <v>Active</v>
      </c>
      <c r="E50" s="17">
        <f>IFERROR(__xludf.DUMMYFUNCTION("""COMPUTED_VALUE"""),44880.0)</f>
        <v>44880</v>
      </c>
      <c r="F50" s="54"/>
      <c r="G50" s="19">
        <f>IFERROR(__xludf.DUMMYFUNCTION("""COMPUTED_VALUE"""),46.7)</f>
        <v>46.7</v>
      </c>
      <c r="H50" s="17">
        <f>IFERROR(__xludf.DUMMYFUNCTION("""COMPUTED_VALUE"""),38650.0)</f>
        <v>38650</v>
      </c>
      <c r="I50" s="19">
        <f>IFERROR(__xludf.DUMMYFUNCTION("""COMPUTED_VALUE"""),17.055555555555557)</f>
        <v>17.05555556</v>
      </c>
      <c r="J50" s="21">
        <f>IFERROR(__xludf.DUMMYFUNCTION("""COMPUTED_VALUE"""),81.0)</f>
        <v>81</v>
      </c>
      <c r="K50" s="23">
        <f>IFERROR(__xludf.DUMMYFUNCTION("""COMPUTED_VALUE"""),8.8)</f>
        <v>8.8</v>
      </c>
      <c r="L50" s="24">
        <f>IFERROR(__xludf.DUMMYFUNCTION("""COMPUTED_VALUE"""),7.5)</f>
        <v>7.5</v>
      </c>
      <c r="M50" s="25" t="str">
        <f>IFERROR(__xludf.DUMMYFUNCTION("""COMPUTED_VALUE"""),"Platformer")</f>
        <v>Platformer</v>
      </c>
      <c r="N50" s="25" t="str">
        <f>IFERROR(__xludf.DUMMYFUNCTION("""COMPUTED_VALUE"""),"PS3")</f>
        <v>PS3</v>
      </c>
      <c r="O50" s="26" t="str">
        <f>IFERROR(__xludf.DUMMYFUNCTION("""COMPUTED_VALUE"""),"Yes")</f>
        <v>Yes</v>
      </c>
      <c r="P50" s="26"/>
    </row>
    <row r="51">
      <c r="A51" s="13" t="str">
        <f>IFERROR(__xludf.DUMMYFUNCTION("""COMPUTED_VALUE"""),"Hot Shots Golf: Out of Bounds")</f>
        <v>Hot Shots Golf: Out of Bounds</v>
      </c>
      <c r="B51" s="15" t="str">
        <f>IFERROR(__xludf.DUMMYFUNCTION("""COMPUTED_VALUE"""),"PS5/PS4")</f>
        <v>PS5/PS4</v>
      </c>
      <c r="C51" s="16" t="str">
        <f>IFERROR(__xludf.DUMMYFUNCTION("""COMPUTED_VALUE"""),"Premium (Streaming Only)")</f>
        <v>Premium (Streaming Only)</v>
      </c>
      <c r="D51" s="15" t="str">
        <f>IFERROR(__xludf.DUMMYFUNCTION("""COMPUTED_VALUE"""),"Active")</f>
        <v>Active</v>
      </c>
      <c r="E51" s="17">
        <f>IFERROR(__xludf.DUMMYFUNCTION("""COMPUTED_VALUE"""),42374.0)</f>
        <v>42374</v>
      </c>
      <c r="F51" s="54"/>
      <c r="G51" s="19">
        <f>IFERROR(__xludf.DUMMYFUNCTION("""COMPUTED_VALUE"""),129.03333333333333)</f>
        <v>129.0333333</v>
      </c>
      <c r="H51" s="17">
        <f>IFERROR(__xludf.DUMMYFUNCTION("""COMPUTED_VALUE"""),39508.0)</f>
        <v>39508</v>
      </c>
      <c r="I51" s="19">
        <f>IFERROR(__xludf.DUMMYFUNCTION("""COMPUTED_VALUE"""),7.844444444444444)</f>
        <v>7.844444444</v>
      </c>
      <c r="J51" s="21">
        <f>IFERROR(__xludf.DUMMYFUNCTION("""COMPUTED_VALUE"""),81.0)</f>
        <v>81</v>
      </c>
      <c r="K51" s="23">
        <f>IFERROR(__xludf.DUMMYFUNCTION("""COMPUTED_VALUE"""),8.4)</f>
        <v>8.4</v>
      </c>
      <c r="L51" s="24">
        <f>IFERROR(__xludf.DUMMYFUNCTION("""COMPUTED_VALUE"""),15.0)</f>
        <v>15</v>
      </c>
      <c r="M51" s="25" t="str">
        <f>IFERROR(__xludf.DUMMYFUNCTION("""COMPUTED_VALUE"""),"Golf")</f>
        <v>Golf</v>
      </c>
      <c r="N51" s="25" t="str">
        <f>IFERROR(__xludf.DUMMYFUNCTION("""COMPUTED_VALUE"""),"PS3")</f>
        <v>PS3</v>
      </c>
      <c r="O51" s="26" t="str">
        <f>IFERROR(__xludf.DUMMYFUNCTION("""COMPUTED_VALUE"""),"Yes")</f>
        <v>Yes</v>
      </c>
      <c r="P51" s="26" t="str">
        <f>IFERROR(__xludf.DUMMYFUNCTION("""COMPUTED_VALUE"""),"")</f>
        <v/>
      </c>
    </row>
    <row r="52">
      <c r="A52" s="13" t="str">
        <f>IFERROR(__xludf.DUMMYFUNCTION("""COMPUTED_VALUE"""),"Tales from Space: Mutant Blobs Attack")</f>
        <v>Tales from Space: Mutant Blobs Attack</v>
      </c>
      <c r="B52" s="15" t="str">
        <f>IFERROR(__xludf.DUMMYFUNCTION("""COMPUTED_VALUE"""),"PS5/PS4")</f>
        <v>PS5/PS4</v>
      </c>
      <c r="C52" s="16" t="str">
        <f>IFERROR(__xludf.DUMMYFUNCTION("""COMPUTED_VALUE"""),"Premium (Streaming Only)")</f>
        <v>Premium (Streaming Only)</v>
      </c>
      <c r="D52" s="15" t="str">
        <f>IFERROR(__xludf.DUMMYFUNCTION("""COMPUTED_VALUE"""),"Active")</f>
        <v>Active</v>
      </c>
      <c r="E52" s="17">
        <f>IFERROR(__xludf.DUMMYFUNCTION("""COMPUTED_VALUE"""),42374.0)</f>
        <v>42374</v>
      </c>
      <c r="F52" s="54"/>
      <c r="G52" s="19">
        <f>IFERROR(__xludf.DUMMYFUNCTION("""COMPUTED_VALUE"""),129.03333333333333)</f>
        <v>129.0333333</v>
      </c>
      <c r="H52" s="17">
        <f>IFERROR(__xludf.DUMMYFUNCTION("""COMPUTED_VALUE"""),41791.0)</f>
        <v>41791</v>
      </c>
      <c r="I52" s="19">
        <f>IFERROR(__xludf.DUMMYFUNCTION("""COMPUTED_VALUE"""),1.5944444444444446)</f>
        <v>1.594444444</v>
      </c>
      <c r="J52" s="21">
        <f>IFERROR(__xludf.DUMMYFUNCTION("""COMPUTED_VALUE"""),81.0)</f>
        <v>81</v>
      </c>
      <c r="K52" s="23">
        <f>IFERROR(__xludf.DUMMYFUNCTION("""COMPUTED_VALUE"""),7.9)</f>
        <v>7.9</v>
      </c>
      <c r="L52" s="24">
        <f>IFERROR(__xludf.DUMMYFUNCTION("""COMPUTED_VALUE"""),5.0)</f>
        <v>5</v>
      </c>
      <c r="M52" s="25" t="str">
        <f>IFERROR(__xludf.DUMMYFUNCTION("""COMPUTED_VALUE"""),"Platformer")</f>
        <v>Platformer</v>
      </c>
      <c r="N52" s="25" t="str">
        <f>IFERROR(__xludf.DUMMYFUNCTION("""COMPUTED_VALUE"""),"PS3")</f>
        <v>PS3</v>
      </c>
      <c r="O52" s="26" t="str">
        <f>IFERROR(__xludf.DUMMYFUNCTION("""COMPUTED_VALUE"""),"Yes")</f>
        <v>Yes</v>
      </c>
      <c r="P52" s="26" t="str">
        <f>IFERROR(__xludf.DUMMYFUNCTION("""COMPUTED_VALUE"""),"")</f>
        <v/>
      </c>
    </row>
    <row r="53">
      <c r="A53" s="13" t="str">
        <f>IFERROR(__xludf.DUMMYFUNCTION("""COMPUTED_VALUE"""),"Sam &amp; Max The Devil's Playhouse: Episode 1 - The Penal Zone")</f>
        <v>Sam &amp; Max The Devil's Playhouse: Episode 1 - The Penal Zone</v>
      </c>
      <c r="B53" s="15" t="str">
        <f>IFERROR(__xludf.DUMMYFUNCTION("""COMPUTED_VALUE"""),"PS5/PS4")</f>
        <v>PS5/PS4</v>
      </c>
      <c r="C53" s="16" t="str">
        <f>IFERROR(__xludf.DUMMYFUNCTION("""COMPUTED_VALUE"""),"Premium (Streaming Only)")</f>
        <v>Premium (Streaming Only)</v>
      </c>
      <c r="D53" s="15" t="str">
        <f>IFERROR(__xludf.DUMMYFUNCTION("""COMPUTED_VALUE"""),"Active")</f>
        <v>Active</v>
      </c>
      <c r="E53" s="17">
        <f>IFERROR(__xludf.DUMMYFUNCTION("""COMPUTED_VALUE"""),42311.0)</f>
        <v>42311</v>
      </c>
      <c r="F53" s="54"/>
      <c r="G53" s="19">
        <f>IFERROR(__xludf.DUMMYFUNCTION("""COMPUTED_VALUE"""),131.10000000000002)</f>
        <v>131.1</v>
      </c>
      <c r="H53" s="17">
        <f>IFERROR(__xludf.DUMMYFUNCTION("""COMPUTED_VALUE"""),40391.0)</f>
        <v>40391</v>
      </c>
      <c r="I53" s="19">
        <f>IFERROR(__xludf.DUMMYFUNCTION("""COMPUTED_VALUE"""),5.2555555555555555)</f>
        <v>5.255555556</v>
      </c>
      <c r="J53" s="21">
        <f>IFERROR(__xludf.DUMMYFUNCTION("""COMPUTED_VALUE"""),81.0)</f>
        <v>81</v>
      </c>
      <c r="K53" s="23">
        <f>IFERROR(__xludf.DUMMYFUNCTION("""COMPUTED_VALUE"""),7.5)</f>
        <v>7.5</v>
      </c>
      <c r="L53" s="24">
        <f>IFERROR(__xludf.DUMMYFUNCTION("""COMPUTED_VALUE"""),3.0)</f>
        <v>3</v>
      </c>
      <c r="M53" s="25" t="str">
        <f>IFERROR(__xludf.DUMMYFUNCTION("""COMPUTED_VALUE"""),"Adventure")</f>
        <v>Adventure</v>
      </c>
      <c r="N53" s="25" t="str">
        <f>IFERROR(__xludf.DUMMYFUNCTION("""COMPUTED_VALUE"""),"PS3")</f>
        <v>PS3</v>
      </c>
      <c r="O53" s="26" t="str">
        <f>IFERROR(__xludf.DUMMYFUNCTION("""COMPUTED_VALUE"""),"Yes")</f>
        <v>Yes</v>
      </c>
      <c r="P53" s="26" t="str">
        <f>IFERROR(__xludf.DUMMYFUNCTION("""COMPUTED_VALUE"""),"")</f>
        <v/>
      </c>
    </row>
    <row r="54">
      <c r="A54" s="13" t="str">
        <f>IFERROR(__xludf.DUMMYFUNCTION("""COMPUTED_VALUE"""),"STRONG BAD'S COOL GAME FOR ATTRACTIVE PEOPLE - EPISODE 4: DANGERESQUE 3: THE CRIMINAL PROJECTIVE")</f>
        <v>STRONG BAD'S COOL GAME FOR ATTRACTIVE PEOPLE - EPISODE 4: DANGERESQUE 3: THE CRIMINAL PROJECTIVE</v>
      </c>
      <c r="B54" s="15" t="str">
        <f>IFERROR(__xludf.DUMMYFUNCTION("""COMPUTED_VALUE"""),"PS5/PS4")</f>
        <v>PS5/PS4</v>
      </c>
      <c r="C54" s="16" t="str">
        <f>IFERROR(__xludf.DUMMYFUNCTION("""COMPUTED_VALUE"""),"Premium (Streaming Only)")</f>
        <v>Premium (Streaming Only)</v>
      </c>
      <c r="D54" s="15" t="str">
        <f>IFERROR(__xludf.DUMMYFUNCTION("""COMPUTED_VALUE"""),"Active")</f>
        <v>Active</v>
      </c>
      <c r="E54" s="17">
        <f>IFERROR(__xludf.DUMMYFUNCTION("""COMPUTED_VALUE"""),42311.0)</f>
        <v>42311</v>
      </c>
      <c r="F54" s="54"/>
      <c r="G54" s="19">
        <f>IFERROR(__xludf.DUMMYFUNCTION("""COMPUTED_VALUE"""),131.10000000000002)</f>
        <v>131.1</v>
      </c>
      <c r="H54" s="17">
        <f>IFERROR(__xludf.DUMMYFUNCTION("""COMPUTED_VALUE"""),39539.0)</f>
        <v>39539</v>
      </c>
      <c r="I54" s="19">
        <f>IFERROR(__xludf.DUMMYFUNCTION("""COMPUTED_VALUE"""),7.588888888888889)</f>
        <v>7.588888889</v>
      </c>
      <c r="J54" s="21">
        <f>IFERROR(__xludf.DUMMYFUNCTION("""COMPUTED_VALUE"""),81.0)</f>
        <v>81</v>
      </c>
      <c r="K54" s="23">
        <f>IFERROR(__xludf.DUMMYFUNCTION("""COMPUTED_VALUE"""),7.8)</f>
        <v>7.8</v>
      </c>
      <c r="L54" s="24">
        <f>IFERROR(__xludf.DUMMYFUNCTION("""COMPUTED_VALUE"""),2.0)</f>
        <v>2</v>
      </c>
      <c r="M54" s="25" t="str">
        <f>IFERROR(__xludf.DUMMYFUNCTION("""COMPUTED_VALUE"""),"Adventure")</f>
        <v>Adventure</v>
      </c>
      <c r="N54" s="25" t="str">
        <f>IFERROR(__xludf.DUMMYFUNCTION("""COMPUTED_VALUE"""),"PS3")</f>
        <v>PS3</v>
      </c>
      <c r="O54" s="26" t="str">
        <f>IFERROR(__xludf.DUMMYFUNCTION("""COMPUTED_VALUE"""),"Yes")</f>
        <v>Yes</v>
      </c>
      <c r="P54" s="26" t="str">
        <f>IFERROR(__xludf.DUMMYFUNCTION("""COMPUTED_VALUE"""),"")</f>
        <v/>
      </c>
    </row>
    <row r="55">
      <c r="A55" s="13" t="str">
        <f>IFERROR(__xludf.DUMMYFUNCTION("""COMPUTED_VALUE"""),"echochrome")</f>
        <v>echochrome</v>
      </c>
      <c r="B55" s="15" t="str">
        <f>IFERROR(__xludf.DUMMYFUNCTION("""COMPUTED_VALUE"""),"PS5/PS4")</f>
        <v>PS5/PS4</v>
      </c>
      <c r="C55" s="16" t="str">
        <f>IFERROR(__xludf.DUMMYFUNCTION("""COMPUTED_VALUE"""),"Premium (Streaming Only)")</f>
        <v>Premium (Streaming Only)</v>
      </c>
      <c r="D55" s="15" t="str">
        <f>IFERROR(__xludf.DUMMYFUNCTION("""COMPUTED_VALUE"""),"Active")</f>
        <v>Active</v>
      </c>
      <c r="E55" s="17">
        <f>IFERROR(__xludf.DUMMYFUNCTION("""COMPUTED_VALUE"""),42017.0)</f>
        <v>42017</v>
      </c>
      <c r="F55" s="54"/>
      <c r="G55" s="19">
        <f>IFERROR(__xludf.DUMMYFUNCTION("""COMPUTED_VALUE"""),140.76666666666668)</f>
        <v>140.7666667</v>
      </c>
      <c r="H55" s="17">
        <f>IFERROR(__xludf.DUMMYFUNCTION("""COMPUTED_VALUE"""),39569.0)</f>
        <v>39569</v>
      </c>
      <c r="I55" s="19">
        <f>IFERROR(__xludf.DUMMYFUNCTION("""COMPUTED_VALUE"""),6.7)</f>
        <v>6.7</v>
      </c>
      <c r="J55" s="21">
        <f>IFERROR(__xludf.DUMMYFUNCTION("""COMPUTED_VALUE"""),81.0)</f>
        <v>81</v>
      </c>
      <c r="K55" s="23">
        <f>IFERROR(__xludf.DUMMYFUNCTION("""COMPUTED_VALUE"""),7.4)</f>
        <v>7.4</v>
      </c>
      <c r="L55" s="24">
        <f>IFERROR(__xludf.DUMMYFUNCTION("""COMPUTED_VALUE"""),4.0)</f>
        <v>4</v>
      </c>
      <c r="M55" s="25" t="str">
        <f>IFERROR(__xludf.DUMMYFUNCTION("""COMPUTED_VALUE"""),"Puzzle")</f>
        <v>Puzzle</v>
      </c>
      <c r="N55" s="25" t="str">
        <f>IFERROR(__xludf.DUMMYFUNCTION("""COMPUTED_VALUE"""),"PS3")</f>
        <v>PS3</v>
      </c>
      <c r="O55" s="26" t="str">
        <f>IFERROR(__xludf.DUMMYFUNCTION("""COMPUTED_VALUE"""),"No")</f>
        <v>No</v>
      </c>
      <c r="P55" s="26" t="str">
        <f>IFERROR(__xludf.DUMMYFUNCTION("""COMPUTED_VALUE"""),"")</f>
        <v/>
      </c>
    </row>
    <row r="56">
      <c r="A56" s="13" t="str">
        <f>IFERROR(__xludf.DUMMYFUNCTION("""COMPUTED_VALUE"""),"God of War II HD")</f>
        <v>God of War II HD</v>
      </c>
      <c r="B56" s="15" t="str">
        <f>IFERROR(__xludf.DUMMYFUNCTION("""COMPUTED_VALUE"""),"PS5/PS4")</f>
        <v>PS5/PS4</v>
      </c>
      <c r="C56" s="16" t="str">
        <f>IFERROR(__xludf.DUMMYFUNCTION("""COMPUTED_VALUE"""),"Premium (Streaming Only)")</f>
        <v>Premium (Streaming Only)</v>
      </c>
      <c r="D56" s="15" t="str">
        <f>IFERROR(__xludf.DUMMYFUNCTION("""COMPUTED_VALUE"""),"Active")</f>
        <v>Active</v>
      </c>
      <c r="E56" s="17">
        <f>IFERROR(__xludf.DUMMYFUNCTION("""COMPUTED_VALUE"""),42017.0)</f>
        <v>42017</v>
      </c>
      <c r="F56" s="54"/>
      <c r="G56" s="19">
        <f>IFERROR(__xludf.DUMMYFUNCTION("""COMPUTED_VALUE"""),140.76666666666668)</f>
        <v>140.7666667</v>
      </c>
      <c r="H56" s="17">
        <f>IFERROR(__xludf.DUMMYFUNCTION("""COMPUTED_VALUE"""),39142.0)</f>
        <v>39142</v>
      </c>
      <c r="I56" s="19">
        <f>IFERROR(__xludf.DUMMYFUNCTION("""COMPUTED_VALUE"""),7.866666666666666)</f>
        <v>7.866666667</v>
      </c>
      <c r="J56" s="21">
        <f>IFERROR(__xludf.DUMMYFUNCTION("""COMPUTED_VALUE"""),81.0)</f>
        <v>81</v>
      </c>
      <c r="K56" s="23">
        <f>IFERROR(__xludf.DUMMYFUNCTION("""COMPUTED_VALUE"""),9.1)</f>
        <v>9.1</v>
      </c>
      <c r="L56" s="24">
        <f>IFERROR(__xludf.DUMMYFUNCTION("""COMPUTED_VALUE"""),12.0)</f>
        <v>12</v>
      </c>
      <c r="M56" s="25" t="str">
        <f>IFERROR(__xludf.DUMMYFUNCTION("""COMPUTED_VALUE"""),"Action-Adventure")</f>
        <v>Action-Adventure</v>
      </c>
      <c r="N56" s="25" t="str">
        <f>IFERROR(__xludf.DUMMYFUNCTION("""COMPUTED_VALUE"""),"PS3")</f>
        <v>PS3</v>
      </c>
      <c r="O56" s="26" t="str">
        <f>IFERROR(__xludf.DUMMYFUNCTION("""COMPUTED_VALUE"""),"Yes")</f>
        <v>Yes</v>
      </c>
      <c r="P56" s="26" t="str">
        <f>IFERROR(__xludf.DUMMYFUNCTION("""COMPUTED_VALUE"""),"")</f>
        <v/>
      </c>
    </row>
    <row r="57">
      <c r="A57" s="13" t="str">
        <f>IFERROR(__xludf.DUMMYFUNCTION("""COMPUTED_VALUE"""),"Hustle Kings")</f>
        <v>Hustle Kings</v>
      </c>
      <c r="B57" s="15" t="str">
        <f>IFERROR(__xludf.DUMMYFUNCTION("""COMPUTED_VALUE"""),"PS5/PS4")</f>
        <v>PS5/PS4</v>
      </c>
      <c r="C57" s="16" t="str">
        <f>IFERROR(__xludf.DUMMYFUNCTION("""COMPUTED_VALUE"""),"Premium (Streaming Only)")</f>
        <v>Premium (Streaming Only)</v>
      </c>
      <c r="D57" s="15" t="str">
        <f>IFERROR(__xludf.DUMMYFUNCTION("""COMPUTED_VALUE"""),"Active")</f>
        <v>Active</v>
      </c>
      <c r="E57" s="17">
        <f>IFERROR(__xludf.DUMMYFUNCTION("""COMPUTED_VALUE"""),42017.0)</f>
        <v>42017</v>
      </c>
      <c r="F57" s="54"/>
      <c r="G57" s="19">
        <f>IFERROR(__xludf.DUMMYFUNCTION("""COMPUTED_VALUE"""),140.76666666666668)</f>
        <v>140.7666667</v>
      </c>
      <c r="H57" s="17">
        <f>IFERROR(__xludf.DUMMYFUNCTION("""COMPUTED_VALUE"""),40179.0)</f>
        <v>40179</v>
      </c>
      <c r="I57" s="19">
        <f>IFERROR(__xludf.DUMMYFUNCTION("""COMPUTED_VALUE"""),5.033333333333333)</f>
        <v>5.033333333</v>
      </c>
      <c r="J57" s="21">
        <f>IFERROR(__xludf.DUMMYFUNCTION("""COMPUTED_VALUE"""),81.0)</f>
        <v>81</v>
      </c>
      <c r="K57" s="23">
        <f>IFERROR(__xludf.DUMMYFUNCTION("""COMPUTED_VALUE"""),7.8)</f>
        <v>7.8</v>
      </c>
      <c r="L57" s="24"/>
      <c r="M57" s="25" t="str">
        <f>IFERROR(__xludf.DUMMYFUNCTION("""COMPUTED_VALUE"""),"Billiards")</f>
        <v>Billiards</v>
      </c>
      <c r="N57" s="25" t="str">
        <f>IFERROR(__xludf.DUMMYFUNCTION("""COMPUTED_VALUE"""),"PS3")</f>
        <v>PS3</v>
      </c>
      <c r="O57" s="26" t="str">
        <f>IFERROR(__xludf.DUMMYFUNCTION("""COMPUTED_VALUE"""),"Yes")</f>
        <v>Yes</v>
      </c>
      <c r="P57" s="26" t="str">
        <f>IFERROR(__xludf.DUMMYFUNCTION("""COMPUTED_VALUE"""),"")</f>
        <v/>
      </c>
    </row>
    <row r="58">
      <c r="A58" s="13" t="str">
        <f>IFERROR(__xludf.DUMMYFUNCTION("""COMPUTED_VALUE"""),"Pool Nation")</f>
        <v>Pool Nation</v>
      </c>
      <c r="B58" s="15" t="str">
        <f>IFERROR(__xludf.DUMMYFUNCTION("""COMPUTED_VALUE"""),"PS5/PS4")</f>
        <v>PS5/PS4</v>
      </c>
      <c r="C58" s="16" t="str">
        <f>IFERROR(__xludf.DUMMYFUNCTION("""COMPUTED_VALUE"""),"Premium (Streaming Only)")</f>
        <v>Premium (Streaming Only)</v>
      </c>
      <c r="D58" s="15" t="str">
        <f>IFERROR(__xludf.DUMMYFUNCTION("""COMPUTED_VALUE"""),"Active")</f>
        <v>Active</v>
      </c>
      <c r="E58" s="17">
        <f>IFERROR(__xludf.DUMMYFUNCTION("""COMPUTED_VALUE"""),42017.0)</f>
        <v>42017</v>
      </c>
      <c r="F58" s="54"/>
      <c r="G58" s="19">
        <f>IFERROR(__xludf.DUMMYFUNCTION("""COMPUTED_VALUE"""),140.76666666666668)</f>
        <v>140.7666667</v>
      </c>
      <c r="H58" s="17">
        <f>IFERROR(__xludf.DUMMYFUNCTION("""COMPUTED_VALUE"""),41426.0)</f>
        <v>41426</v>
      </c>
      <c r="I58" s="19">
        <f>IFERROR(__xludf.DUMMYFUNCTION("""COMPUTED_VALUE"""),1.6166666666666667)</f>
        <v>1.616666667</v>
      </c>
      <c r="J58" s="21">
        <f>IFERROR(__xludf.DUMMYFUNCTION("""COMPUTED_VALUE"""),81.0)</f>
        <v>81</v>
      </c>
      <c r="K58" s="23">
        <f>IFERROR(__xludf.DUMMYFUNCTION("""COMPUTED_VALUE"""),7.3)</f>
        <v>7.3</v>
      </c>
      <c r="L58" s="24"/>
      <c r="M58" s="25" t="str">
        <f>IFERROR(__xludf.DUMMYFUNCTION("""COMPUTED_VALUE"""),"Billiards")</f>
        <v>Billiards</v>
      </c>
      <c r="N58" s="25" t="str">
        <f>IFERROR(__xludf.DUMMYFUNCTION("""COMPUTED_VALUE"""),"PS3")</f>
        <v>PS3</v>
      </c>
      <c r="O58" s="26" t="str">
        <f>IFERROR(__xludf.DUMMYFUNCTION("""COMPUTED_VALUE"""),"Yes")</f>
        <v>Yes</v>
      </c>
      <c r="P58" s="26" t="str">
        <f>IFERROR(__xludf.DUMMYFUNCTION("""COMPUTED_VALUE"""),"")</f>
        <v/>
      </c>
    </row>
    <row r="59">
      <c r="A59" s="13" t="str">
        <f>IFERROR(__xludf.DUMMYFUNCTION("""COMPUTED_VALUE"""),"RAGE")</f>
        <v>RAGE</v>
      </c>
      <c r="B59" s="15" t="str">
        <f>IFERROR(__xludf.DUMMYFUNCTION("""COMPUTED_VALUE"""),"PS5/PS4")</f>
        <v>PS5/PS4</v>
      </c>
      <c r="C59" s="16" t="str">
        <f>IFERROR(__xludf.DUMMYFUNCTION("""COMPUTED_VALUE"""),"Premium (Streaming Only)")</f>
        <v>Premium (Streaming Only)</v>
      </c>
      <c r="D59" s="15" t="str">
        <f>IFERROR(__xludf.DUMMYFUNCTION("""COMPUTED_VALUE"""),"Active")</f>
        <v>Active</v>
      </c>
      <c r="E59" s="17">
        <f>IFERROR(__xludf.DUMMYFUNCTION("""COMPUTED_VALUE"""),42017.0)</f>
        <v>42017</v>
      </c>
      <c r="F59" s="54"/>
      <c r="G59" s="19">
        <f>IFERROR(__xludf.DUMMYFUNCTION("""COMPUTED_VALUE"""),140.76666666666668)</f>
        <v>140.7666667</v>
      </c>
      <c r="H59" s="17">
        <f>IFERROR(__xludf.DUMMYFUNCTION("""COMPUTED_VALUE"""),40820.0)</f>
        <v>40820</v>
      </c>
      <c r="I59" s="19">
        <f>IFERROR(__xludf.DUMMYFUNCTION("""COMPUTED_VALUE"""),3.275)</f>
        <v>3.275</v>
      </c>
      <c r="J59" s="21">
        <f>IFERROR(__xludf.DUMMYFUNCTION("""COMPUTED_VALUE"""),81.0)</f>
        <v>81</v>
      </c>
      <c r="K59" s="23">
        <f>IFERROR(__xludf.DUMMYFUNCTION("""COMPUTED_VALUE"""),7.2)</f>
        <v>7.2</v>
      </c>
      <c r="L59" s="24">
        <f>IFERROR(__xludf.DUMMYFUNCTION("""COMPUTED_VALUE"""),11.0)</f>
        <v>11</v>
      </c>
      <c r="M59" s="25" t="str">
        <f>IFERROR(__xludf.DUMMYFUNCTION("""COMPUTED_VALUE"""),"Shooter")</f>
        <v>Shooter</v>
      </c>
      <c r="N59" s="25" t="str">
        <f>IFERROR(__xludf.DUMMYFUNCTION("""COMPUTED_VALUE"""),"PS3")</f>
        <v>PS3</v>
      </c>
      <c r="O59" s="26" t="str">
        <f>IFERROR(__xludf.DUMMYFUNCTION("""COMPUTED_VALUE"""),"Yes")</f>
        <v>Yes</v>
      </c>
      <c r="P59" s="26"/>
    </row>
    <row r="60">
      <c r="A60" s="13" t="str">
        <f>IFERROR(__xludf.DUMMYFUNCTION("""COMPUTED_VALUE"""),"Retro City Rampage DX")</f>
        <v>Retro City Rampage DX</v>
      </c>
      <c r="B60" s="15" t="str">
        <f>IFERROR(__xludf.DUMMYFUNCTION("""COMPUTED_VALUE"""),"PS5/PS4")</f>
        <v>PS5/PS4</v>
      </c>
      <c r="C60" s="16" t="str">
        <f>IFERROR(__xludf.DUMMYFUNCTION("""COMPUTED_VALUE"""),"Premium (Streaming Only)")</f>
        <v>Premium (Streaming Only)</v>
      </c>
      <c r="D60" s="15" t="str">
        <f>IFERROR(__xludf.DUMMYFUNCTION("""COMPUTED_VALUE"""),"Active")</f>
        <v>Active</v>
      </c>
      <c r="E60" s="17">
        <f>IFERROR(__xludf.DUMMYFUNCTION("""COMPUTED_VALUE"""),44725.0)</f>
        <v>44725</v>
      </c>
      <c r="F60" s="54"/>
      <c r="G60" s="19">
        <f>IFERROR(__xludf.DUMMYFUNCTION("""COMPUTED_VALUE"""),51.766666666666666)</f>
        <v>51.76666667</v>
      </c>
      <c r="H60" s="17">
        <f>IFERROR(__xludf.DUMMYFUNCTION("""COMPUTED_VALUE"""),41671.0)</f>
        <v>41671</v>
      </c>
      <c r="I60" s="19">
        <f>IFERROR(__xludf.DUMMYFUNCTION("""COMPUTED_VALUE"""),8.366666666666667)</f>
        <v>8.366666667</v>
      </c>
      <c r="J60" s="21">
        <f>IFERROR(__xludf.DUMMYFUNCTION("""COMPUTED_VALUE"""),80.0)</f>
        <v>80</v>
      </c>
      <c r="K60" s="23">
        <f>IFERROR(__xludf.DUMMYFUNCTION("""COMPUTED_VALUE"""),7.4)</f>
        <v>7.4</v>
      </c>
      <c r="L60" s="24">
        <f>IFERROR(__xludf.DUMMYFUNCTION("""COMPUTED_VALUE"""),5.0)</f>
        <v>5</v>
      </c>
      <c r="M60" s="25" t="str">
        <f>IFERROR(__xludf.DUMMYFUNCTION("""COMPUTED_VALUE"""),"Action-Adventure")</f>
        <v>Action-Adventure</v>
      </c>
      <c r="N60" s="25" t="str">
        <f>IFERROR(__xludf.DUMMYFUNCTION("""COMPUTED_VALUE"""),"PS3")</f>
        <v>PS3</v>
      </c>
      <c r="O60" s="26" t="str">
        <f>IFERROR(__xludf.DUMMYFUNCTION("""COMPUTED_VALUE"""),"Yes")</f>
        <v>Yes</v>
      </c>
      <c r="P60" s="26" t="str">
        <f>IFERROR(__xludf.DUMMYFUNCTION("""COMPUTED_VALUE"""),"")</f>
        <v/>
      </c>
    </row>
    <row r="61">
      <c r="A61" s="13" t="str">
        <f>IFERROR(__xludf.DUMMYFUNCTION("""COMPUTED_VALUE"""),"LEGO Star Wars: The Complete Saga")</f>
        <v>LEGO Star Wars: The Complete Saga</v>
      </c>
      <c r="B61" s="15" t="str">
        <f>IFERROR(__xludf.DUMMYFUNCTION("""COMPUTED_VALUE"""),"PS5/PS4")</f>
        <v>PS5/PS4</v>
      </c>
      <c r="C61" s="16" t="str">
        <f>IFERROR(__xludf.DUMMYFUNCTION("""COMPUTED_VALUE"""),"Premium (Streaming Only)")</f>
        <v>Premium (Streaming Only)</v>
      </c>
      <c r="D61" s="15" t="str">
        <f>IFERROR(__xludf.DUMMYFUNCTION("""COMPUTED_VALUE"""),"Active")</f>
        <v>Active</v>
      </c>
      <c r="E61" s="17">
        <f>IFERROR(__xludf.DUMMYFUNCTION("""COMPUTED_VALUE"""),42829.0)</f>
        <v>42829</v>
      </c>
      <c r="F61" s="54"/>
      <c r="G61" s="19">
        <f>IFERROR(__xludf.DUMMYFUNCTION("""COMPUTED_VALUE"""),114.06666666666668)</f>
        <v>114.0666667</v>
      </c>
      <c r="H61" s="17">
        <f>IFERROR(__xludf.DUMMYFUNCTION("""COMPUTED_VALUE"""),39392.0)</f>
        <v>39392</v>
      </c>
      <c r="I61" s="19">
        <f>IFERROR(__xludf.DUMMYFUNCTION("""COMPUTED_VALUE"""),9.411111111111111)</f>
        <v>9.411111111</v>
      </c>
      <c r="J61" s="21">
        <f>IFERROR(__xludf.DUMMYFUNCTION("""COMPUTED_VALUE"""),80.0)</f>
        <v>80</v>
      </c>
      <c r="K61" s="23">
        <f>IFERROR(__xludf.DUMMYFUNCTION("""COMPUTED_VALUE"""),8.4)</f>
        <v>8.4</v>
      </c>
      <c r="L61" s="24">
        <f>IFERROR(__xludf.DUMMYFUNCTION("""COMPUTED_VALUE"""),14.0)</f>
        <v>14</v>
      </c>
      <c r="M61" s="25" t="str">
        <f>IFERROR(__xludf.DUMMYFUNCTION("""COMPUTED_VALUE"""),"Action-Adventure")</f>
        <v>Action-Adventure</v>
      </c>
      <c r="N61" s="25" t="str">
        <f>IFERROR(__xludf.DUMMYFUNCTION("""COMPUTED_VALUE"""),"PS3")</f>
        <v>PS3</v>
      </c>
      <c r="O61" s="26" t="str">
        <f>IFERROR(__xludf.DUMMYFUNCTION("""COMPUTED_VALUE"""),"Yes")</f>
        <v>Yes</v>
      </c>
      <c r="P61" s="26"/>
    </row>
    <row r="62">
      <c r="A62" s="13" t="str">
        <f>IFERROR(__xludf.DUMMYFUNCTION("""COMPUTED_VALUE"""),"NOBUNAGA'S AMBITION: Sphere of Influence")</f>
        <v>NOBUNAGA'S AMBITION: Sphere of Influence</v>
      </c>
      <c r="B62" s="15" t="str">
        <f>IFERROR(__xludf.DUMMYFUNCTION("""COMPUTED_VALUE"""),"PS5/PS4")</f>
        <v>PS5/PS4</v>
      </c>
      <c r="C62" s="16" t="str">
        <f>IFERROR(__xludf.DUMMYFUNCTION("""COMPUTED_VALUE"""),"Premium (Streaming Only)")</f>
        <v>Premium (Streaming Only)</v>
      </c>
      <c r="D62" s="15" t="str">
        <f>IFERROR(__xludf.DUMMYFUNCTION("""COMPUTED_VALUE"""),"Active")</f>
        <v>Active</v>
      </c>
      <c r="E62" s="17">
        <f>IFERROR(__xludf.DUMMYFUNCTION("""COMPUTED_VALUE"""),42773.0)</f>
        <v>42773</v>
      </c>
      <c r="F62" s="54"/>
      <c r="G62" s="19">
        <f>IFERROR(__xludf.DUMMYFUNCTION("""COMPUTED_VALUE"""),115.96666666666667)</f>
        <v>115.9666667</v>
      </c>
      <c r="H62" s="17">
        <f>IFERROR(__xludf.DUMMYFUNCTION("""COMPUTED_VALUE"""),42248.0)</f>
        <v>42248</v>
      </c>
      <c r="I62" s="19">
        <f>IFERROR(__xludf.DUMMYFUNCTION("""COMPUTED_VALUE"""),1.4333333333333333)</f>
        <v>1.433333333</v>
      </c>
      <c r="J62" s="21">
        <f>IFERROR(__xludf.DUMMYFUNCTION("""COMPUTED_VALUE"""),80.0)</f>
        <v>80</v>
      </c>
      <c r="K62" s="23">
        <f>IFERROR(__xludf.DUMMYFUNCTION("""COMPUTED_VALUE"""),8.1)</f>
        <v>8.1</v>
      </c>
      <c r="L62" s="24">
        <f>IFERROR(__xludf.DUMMYFUNCTION("""COMPUTED_VALUE"""),50.0)</f>
        <v>50</v>
      </c>
      <c r="M62" s="25" t="str">
        <f>IFERROR(__xludf.DUMMYFUNCTION("""COMPUTED_VALUE"""),"Strategy")</f>
        <v>Strategy</v>
      </c>
      <c r="N62" s="25" t="str">
        <f>IFERROR(__xludf.DUMMYFUNCTION("""COMPUTED_VALUE"""),"PS3")</f>
        <v>PS3</v>
      </c>
      <c r="O62" s="26" t="str">
        <f>IFERROR(__xludf.DUMMYFUNCTION("""COMPUTED_VALUE"""),"Yes")</f>
        <v>Yes</v>
      </c>
      <c r="P62" s="26" t="str">
        <f>IFERROR(__xludf.DUMMYFUNCTION("""COMPUTED_VALUE"""),"")</f>
        <v/>
      </c>
    </row>
    <row r="63">
      <c r="A63" s="13" t="str">
        <f>IFERROR(__xludf.DUMMYFUNCTION("""COMPUTED_VALUE"""),"DISGAEA 4: A Promise Unforgotten")</f>
        <v>DISGAEA 4: A Promise Unforgotten</v>
      </c>
      <c r="B63" s="15" t="str">
        <f>IFERROR(__xludf.DUMMYFUNCTION("""COMPUTED_VALUE"""),"PS5/PS4")</f>
        <v>PS5/PS4</v>
      </c>
      <c r="C63" s="16" t="str">
        <f>IFERROR(__xludf.DUMMYFUNCTION("""COMPUTED_VALUE"""),"Premium (Streaming Only)")</f>
        <v>Premium (Streaming Only)</v>
      </c>
      <c r="D63" s="15" t="str">
        <f>IFERROR(__xludf.DUMMYFUNCTION("""COMPUTED_VALUE"""),"Active")</f>
        <v>Active</v>
      </c>
      <c r="E63" s="17">
        <f>IFERROR(__xludf.DUMMYFUNCTION("""COMPUTED_VALUE"""),42584.0)</f>
        <v>42584</v>
      </c>
      <c r="F63" s="54"/>
      <c r="G63" s="19">
        <f>IFERROR(__xludf.DUMMYFUNCTION("""COMPUTED_VALUE"""),122.13333333333333)</f>
        <v>122.1333333</v>
      </c>
      <c r="H63" s="17">
        <f>IFERROR(__xludf.DUMMYFUNCTION("""COMPUTED_VALUE"""),40787.0)</f>
        <v>40787</v>
      </c>
      <c r="I63" s="19">
        <f>IFERROR(__xludf.DUMMYFUNCTION("""COMPUTED_VALUE"""),4.919444444444444)</f>
        <v>4.919444444</v>
      </c>
      <c r="J63" s="21">
        <f>IFERROR(__xludf.DUMMYFUNCTION("""COMPUTED_VALUE"""),80.0)</f>
        <v>80</v>
      </c>
      <c r="K63" s="23">
        <f>IFERROR(__xludf.DUMMYFUNCTION("""COMPUTED_VALUE"""),8.1)</f>
        <v>8.1</v>
      </c>
      <c r="L63" s="24">
        <f>IFERROR(__xludf.DUMMYFUNCTION("""COMPUTED_VALUE"""),50.0)</f>
        <v>50</v>
      </c>
      <c r="M63" s="25" t="str">
        <f>IFERROR(__xludf.DUMMYFUNCTION("""COMPUTED_VALUE"""),"RPG")</f>
        <v>RPG</v>
      </c>
      <c r="N63" s="25" t="str">
        <f>IFERROR(__xludf.DUMMYFUNCTION("""COMPUTED_VALUE"""),"PS3")</f>
        <v>PS3</v>
      </c>
      <c r="O63" s="26" t="str">
        <f>IFERROR(__xludf.DUMMYFUNCTION("""COMPUTED_VALUE"""),"Yes")</f>
        <v>Yes</v>
      </c>
      <c r="P63" s="26" t="str">
        <f>IFERROR(__xludf.DUMMYFUNCTION("""COMPUTED_VALUE"""),"")</f>
        <v/>
      </c>
    </row>
    <row r="64">
      <c r="A64" s="13" t="str">
        <f>IFERROR(__xludf.DUMMYFUNCTION("""COMPUTED_VALUE"""),"Darkstalkers: Resurrection")</f>
        <v>Darkstalkers: Resurrection</v>
      </c>
      <c r="B64" s="15" t="str">
        <f>IFERROR(__xludf.DUMMYFUNCTION("""COMPUTED_VALUE"""),"PS5/PS4")</f>
        <v>PS5/PS4</v>
      </c>
      <c r="C64" s="16" t="str">
        <f>IFERROR(__xludf.DUMMYFUNCTION("""COMPUTED_VALUE"""),"Premium (Streaming Only)")</f>
        <v>Premium (Streaming Only)</v>
      </c>
      <c r="D64" s="15" t="str">
        <f>IFERROR(__xludf.DUMMYFUNCTION("""COMPUTED_VALUE"""),"Active")</f>
        <v>Active</v>
      </c>
      <c r="E64" s="17">
        <f>IFERROR(__xludf.DUMMYFUNCTION("""COMPUTED_VALUE"""),42466.0)</f>
        <v>42466</v>
      </c>
      <c r="F64" s="54"/>
      <c r="G64" s="19">
        <f>IFERROR(__xludf.DUMMYFUNCTION("""COMPUTED_VALUE"""),126.0)</f>
        <v>126</v>
      </c>
      <c r="H64" s="17">
        <f>IFERROR(__xludf.DUMMYFUNCTION("""COMPUTED_VALUE"""),41395.0)</f>
        <v>41395</v>
      </c>
      <c r="I64" s="19">
        <f>IFERROR(__xludf.DUMMYFUNCTION("""COMPUTED_VALUE"""),2.9305555555555554)</f>
        <v>2.930555556</v>
      </c>
      <c r="J64" s="21">
        <f>IFERROR(__xludf.DUMMYFUNCTION("""COMPUTED_VALUE"""),80.0)</f>
        <v>80</v>
      </c>
      <c r="K64" s="23">
        <f>IFERROR(__xludf.DUMMYFUNCTION("""COMPUTED_VALUE"""),7.6)</f>
        <v>7.6</v>
      </c>
      <c r="L64" s="24"/>
      <c r="M64" s="25" t="str">
        <f>IFERROR(__xludf.DUMMYFUNCTION("""COMPUTED_VALUE"""),"Fighting")</f>
        <v>Fighting</v>
      </c>
      <c r="N64" s="25" t="str">
        <f>IFERROR(__xludf.DUMMYFUNCTION("""COMPUTED_VALUE"""),"PS3")</f>
        <v>PS3</v>
      </c>
      <c r="O64" s="26" t="str">
        <f>IFERROR(__xludf.DUMMYFUNCTION("""COMPUTED_VALUE"""),"Yes")</f>
        <v>Yes</v>
      </c>
      <c r="P64" s="26" t="str">
        <f>IFERROR(__xludf.DUMMYFUNCTION("""COMPUTED_VALUE"""),"")</f>
        <v/>
      </c>
    </row>
    <row r="65">
      <c r="A65" s="13" t="str">
        <f>IFERROR(__xludf.DUMMYFUNCTION("""COMPUTED_VALUE"""),"Hot Shots Golf: World Invitational")</f>
        <v>Hot Shots Golf: World Invitational</v>
      </c>
      <c r="B65" s="15" t="str">
        <f>IFERROR(__xludf.DUMMYFUNCTION("""COMPUTED_VALUE"""),"PS5/PS4")</f>
        <v>PS5/PS4</v>
      </c>
      <c r="C65" s="16" t="str">
        <f>IFERROR(__xludf.DUMMYFUNCTION("""COMPUTED_VALUE"""),"Premium (Streaming Only)")</f>
        <v>Premium (Streaming Only)</v>
      </c>
      <c r="D65" s="15" t="str">
        <f>IFERROR(__xludf.DUMMYFUNCTION("""COMPUTED_VALUE"""),"Active")</f>
        <v>Active</v>
      </c>
      <c r="E65" s="17">
        <f>IFERROR(__xludf.DUMMYFUNCTION("""COMPUTED_VALUE"""),42374.0)</f>
        <v>42374</v>
      </c>
      <c r="F65" s="54"/>
      <c r="G65" s="19">
        <f>IFERROR(__xludf.DUMMYFUNCTION("""COMPUTED_VALUE"""),129.03333333333333)</f>
        <v>129.0333333</v>
      </c>
      <c r="H65" s="17">
        <f>IFERROR(__xludf.DUMMYFUNCTION("""COMPUTED_VALUE"""),40940.0)</f>
        <v>40940</v>
      </c>
      <c r="I65" s="19">
        <f>IFERROR(__xludf.DUMMYFUNCTION("""COMPUTED_VALUE"""),3.9277777777777776)</f>
        <v>3.927777778</v>
      </c>
      <c r="J65" s="21">
        <f>IFERROR(__xludf.DUMMYFUNCTION("""COMPUTED_VALUE"""),80.0)</f>
        <v>80</v>
      </c>
      <c r="K65" s="23">
        <f>IFERROR(__xludf.DUMMYFUNCTION("""COMPUTED_VALUE"""),7.7)</f>
        <v>7.7</v>
      </c>
      <c r="L65" s="24">
        <f>IFERROR(__xludf.DUMMYFUNCTION("""COMPUTED_VALUE"""),14.0)</f>
        <v>14</v>
      </c>
      <c r="M65" s="25" t="str">
        <f>IFERROR(__xludf.DUMMYFUNCTION("""COMPUTED_VALUE"""),"Golf")</f>
        <v>Golf</v>
      </c>
      <c r="N65" s="25" t="str">
        <f>IFERROR(__xludf.DUMMYFUNCTION("""COMPUTED_VALUE"""),"PS3")</f>
        <v>PS3</v>
      </c>
      <c r="O65" s="26" t="str">
        <f>IFERROR(__xludf.DUMMYFUNCTION("""COMPUTED_VALUE"""),"Yes")</f>
        <v>Yes</v>
      </c>
      <c r="P65" s="26" t="str">
        <f>IFERROR(__xludf.DUMMYFUNCTION("""COMPUTED_VALUE"""),"")</f>
        <v/>
      </c>
    </row>
    <row r="66">
      <c r="A66" s="13" t="str">
        <f>IFERROR(__xludf.DUMMYFUNCTION("""COMPUTED_VALUE"""),"Puppeteer")</f>
        <v>Puppeteer</v>
      </c>
      <c r="B66" s="15" t="str">
        <f>IFERROR(__xludf.DUMMYFUNCTION("""COMPUTED_VALUE"""),"PS5/PS4")</f>
        <v>PS5/PS4</v>
      </c>
      <c r="C66" s="16" t="str">
        <f>IFERROR(__xludf.DUMMYFUNCTION("""COMPUTED_VALUE"""),"Premium (Streaming Only)")</f>
        <v>Premium (Streaming Only)</v>
      </c>
      <c r="D66" s="15" t="str">
        <f>IFERROR(__xludf.DUMMYFUNCTION("""COMPUTED_VALUE"""),"Active")</f>
        <v>Active</v>
      </c>
      <c r="E66" s="17">
        <f>IFERROR(__xludf.DUMMYFUNCTION("""COMPUTED_VALUE"""),42374.0)</f>
        <v>42374</v>
      </c>
      <c r="F66" s="54"/>
      <c r="G66" s="19">
        <f>IFERROR(__xludf.DUMMYFUNCTION("""COMPUTED_VALUE"""),129.03333333333333)</f>
        <v>129.0333333</v>
      </c>
      <c r="H66" s="17">
        <f>IFERROR(__xludf.DUMMYFUNCTION("""COMPUTED_VALUE"""),41518.0)</f>
        <v>41518</v>
      </c>
      <c r="I66" s="19">
        <f>IFERROR(__xludf.DUMMYFUNCTION("""COMPUTED_VALUE"""),2.3444444444444446)</f>
        <v>2.344444444</v>
      </c>
      <c r="J66" s="21">
        <f>IFERROR(__xludf.DUMMYFUNCTION("""COMPUTED_VALUE"""),80.0)</f>
        <v>80</v>
      </c>
      <c r="K66" s="23">
        <f>IFERROR(__xludf.DUMMYFUNCTION("""COMPUTED_VALUE"""),8.0)</f>
        <v>8</v>
      </c>
      <c r="L66" s="24">
        <f>IFERROR(__xludf.DUMMYFUNCTION("""COMPUTED_VALUE"""),12.0)</f>
        <v>12</v>
      </c>
      <c r="M66" s="25" t="str">
        <f>IFERROR(__xludf.DUMMYFUNCTION("""COMPUTED_VALUE"""),"Platformer")</f>
        <v>Platformer</v>
      </c>
      <c r="N66" s="25" t="str">
        <f>IFERROR(__xludf.DUMMYFUNCTION("""COMPUTED_VALUE"""),"PS3")</f>
        <v>PS3</v>
      </c>
      <c r="O66" s="26" t="str">
        <f>IFERROR(__xludf.DUMMYFUNCTION("""COMPUTED_VALUE"""),"Yes")</f>
        <v>Yes</v>
      </c>
      <c r="P66" s="26" t="str">
        <f>IFERROR(__xludf.DUMMYFUNCTION("""COMPUTED_VALUE"""),"")</f>
        <v/>
      </c>
    </row>
    <row r="67">
      <c r="A67" s="13" t="str">
        <f>IFERROR(__xludf.DUMMYFUNCTION("""COMPUTED_VALUE"""),"Atelier Rorona Plus: The Alchemist of Arland")</f>
        <v>Atelier Rorona Plus: The Alchemist of Arland</v>
      </c>
      <c r="B67" s="15" t="str">
        <f>IFERROR(__xludf.DUMMYFUNCTION("""COMPUTED_VALUE"""),"PS5/PS4")</f>
        <v>PS5/PS4</v>
      </c>
      <c r="C67" s="16" t="str">
        <f>IFERROR(__xludf.DUMMYFUNCTION("""COMPUTED_VALUE"""),"Premium (Streaming Only)")</f>
        <v>Premium (Streaming Only)</v>
      </c>
      <c r="D67" s="15" t="str">
        <f>IFERROR(__xludf.DUMMYFUNCTION("""COMPUTED_VALUE"""),"Active")</f>
        <v>Active</v>
      </c>
      <c r="E67" s="17">
        <f>IFERROR(__xludf.DUMMYFUNCTION("""COMPUTED_VALUE"""),42311.0)</f>
        <v>42311</v>
      </c>
      <c r="F67" s="54"/>
      <c r="G67" s="19">
        <f>IFERROR(__xludf.DUMMYFUNCTION("""COMPUTED_VALUE"""),131.10000000000002)</f>
        <v>131.1</v>
      </c>
      <c r="H67" s="17">
        <f>IFERROR(__xludf.DUMMYFUNCTION("""COMPUTED_VALUE"""),39965.0)</f>
        <v>39965</v>
      </c>
      <c r="I67" s="19">
        <f>IFERROR(__xludf.DUMMYFUNCTION("""COMPUTED_VALUE"""),6.4222222222222225)</f>
        <v>6.422222222</v>
      </c>
      <c r="J67" s="21">
        <f>IFERROR(__xludf.DUMMYFUNCTION("""COMPUTED_VALUE"""),80.0)</f>
        <v>80</v>
      </c>
      <c r="K67" s="23">
        <f>IFERROR(__xludf.DUMMYFUNCTION("""COMPUTED_VALUE"""),7.8)</f>
        <v>7.8</v>
      </c>
      <c r="L67" s="24">
        <f>IFERROR(__xludf.DUMMYFUNCTION("""COMPUTED_VALUE"""),40.0)</f>
        <v>40</v>
      </c>
      <c r="M67" s="25" t="str">
        <f>IFERROR(__xludf.DUMMYFUNCTION("""COMPUTED_VALUE"""),"RPG")</f>
        <v>RPG</v>
      </c>
      <c r="N67" s="25" t="str">
        <f>IFERROR(__xludf.DUMMYFUNCTION("""COMPUTED_VALUE"""),"PS3")</f>
        <v>PS3</v>
      </c>
      <c r="O67" s="26" t="str">
        <f>IFERROR(__xludf.DUMMYFUNCTION("""COMPUTED_VALUE"""),"Yes")</f>
        <v>Yes</v>
      </c>
      <c r="P67" s="26" t="str">
        <f>IFERROR(__xludf.DUMMYFUNCTION("""COMPUTED_VALUE"""),"")</f>
        <v/>
      </c>
    </row>
    <row r="68">
      <c r="A68" s="13" t="str">
        <f>IFERROR(__xludf.DUMMYFUNCTION("""COMPUTED_VALUE"""),"Sam &amp; Max The Devil's Playhouse: Episode 5 - The City That Dares Not Sleep")</f>
        <v>Sam &amp; Max The Devil's Playhouse: Episode 5 - The City That Dares Not Sleep</v>
      </c>
      <c r="B68" s="15" t="str">
        <f>IFERROR(__xludf.DUMMYFUNCTION("""COMPUTED_VALUE"""),"PS5/PS4")</f>
        <v>PS5/PS4</v>
      </c>
      <c r="C68" s="16" t="str">
        <f>IFERROR(__xludf.DUMMYFUNCTION("""COMPUTED_VALUE"""),"Premium (Streaming Only)")</f>
        <v>Premium (Streaming Only)</v>
      </c>
      <c r="D68" s="15" t="str">
        <f>IFERROR(__xludf.DUMMYFUNCTION("""COMPUTED_VALUE"""),"Active")</f>
        <v>Active</v>
      </c>
      <c r="E68" s="17">
        <f>IFERROR(__xludf.DUMMYFUNCTION("""COMPUTED_VALUE"""),42311.0)</f>
        <v>42311</v>
      </c>
      <c r="F68" s="54"/>
      <c r="G68" s="19">
        <f>IFERROR(__xludf.DUMMYFUNCTION("""COMPUTED_VALUE"""),131.10000000000002)</f>
        <v>131.1</v>
      </c>
      <c r="H68" s="17">
        <f>IFERROR(__xludf.DUMMYFUNCTION("""COMPUTED_VALUE"""),40391.0)</f>
        <v>40391</v>
      </c>
      <c r="I68" s="19">
        <f>IFERROR(__xludf.DUMMYFUNCTION("""COMPUTED_VALUE"""),5.2555555555555555)</f>
        <v>5.255555556</v>
      </c>
      <c r="J68" s="21">
        <f>IFERROR(__xludf.DUMMYFUNCTION("""COMPUTED_VALUE"""),80.0)</f>
        <v>80</v>
      </c>
      <c r="K68" s="23">
        <f>IFERROR(__xludf.DUMMYFUNCTION("""COMPUTED_VALUE"""),7.8)</f>
        <v>7.8</v>
      </c>
      <c r="L68" s="24">
        <f>IFERROR(__xludf.DUMMYFUNCTION("""COMPUTED_VALUE"""),3.0)</f>
        <v>3</v>
      </c>
      <c r="M68" s="25" t="str">
        <f>IFERROR(__xludf.DUMMYFUNCTION("""COMPUTED_VALUE"""),"Adventure")</f>
        <v>Adventure</v>
      </c>
      <c r="N68" s="25" t="str">
        <f>IFERROR(__xludf.DUMMYFUNCTION("""COMPUTED_VALUE"""),"PS3")</f>
        <v>PS3</v>
      </c>
      <c r="O68" s="26" t="str">
        <f>IFERROR(__xludf.DUMMYFUNCTION("""COMPUTED_VALUE"""),"Yes")</f>
        <v>Yes</v>
      </c>
      <c r="P68" s="26" t="str">
        <f>IFERROR(__xludf.DUMMYFUNCTION("""COMPUTED_VALUE"""),"")</f>
        <v/>
      </c>
    </row>
    <row r="69">
      <c r="A69" s="13" t="str">
        <f>IFERROR(__xludf.DUMMYFUNCTION("""COMPUTED_VALUE"""),"ENSLAVED: Odyssey to the West")</f>
        <v>ENSLAVED: Odyssey to the West</v>
      </c>
      <c r="B69" s="15" t="str">
        <f>IFERROR(__xludf.DUMMYFUNCTION("""COMPUTED_VALUE"""),"PS5/PS4")</f>
        <v>PS5/PS4</v>
      </c>
      <c r="C69" s="16" t="str">
        <f>IFERROR(__xludf.DUMMYFUNCTION("""COMPUTED_VALUE"""),"Premium (Streaming Only)")</f>
        <v>Premium (Streaming Only)</v>
      </c>
      <c r="D69" s="15" t="str">
        <f>IFERROR(__xludf.DUMMYFUNCTION("""COMPUTED_VALUE"""),"Active")</f>
        <v>Active</v>
      </c>
      <c r="E69" s="17">
        <f>IFERROR(__xludf.DUMMYFUNCTION("""COMPUTED_VALUE"""),42017.0)</f>
        <v>42017</v>
      </c>
      <c r="F69" s="54"/>
      <c r="G69" s="19">
        <f>IFERROR(__xludf.DUMMYFUNCTION("""COMPUTED_VALUE"""),140.76666666666668)</f>
        <v>140.7666667</v>
      </c>
      <c r="H69" s="17">
        <f>IFERROR(__xludf.DUMMYFUNCTION("""COMPUTED_VALUE"""),40452.0)</f>
        <v>40452</v>
      </c>
      <c r="I69" s="19">
        <f>IFERROR(__xludf.DUMMYFUNCTION("""COMPUTED_VALUE"""),4.283333333333333)</f>
        <v>4.283333333</v>
      </c>
      <c r="J69" s="21">
        <f>IFERROR(__xludf.DUMMYFUNCTION("""COMPUTED_VALUE"""),80.0)</f>
        <v>80</v>
      </c>
      <c r="K69" s="23">
        <f>IFERROR(__xludf.DUMMYFUNCTION("""COMPUTED_VALUE"""),7.8)</f>
        <v>7.8</v>
      </c>
      <c r="L69" s="24">
        <f>IFERROR(__xludf.DUMMYFUNCTION("""COMPUTED_VALUE"""),9.0)</f>
        <v>9</v>
      </c>
      <c r="M69" s="25" t="str">
        <f>IFERROR(__xludf.DUMMYFUNCTION("""COMPUTED_VALUE"""),"Action-Adventure")</f>
        <v>Action-Adventure</v>
      </c>
      <c r="N69" s="25" t="str">
        <f>IFERROR(__xludf.DUMMYFUNCTION("""COMPUTED_VALUE"""),"PS3")</f>
        <v>PS3</v>
      </c>
      <c r="O69" s="26" t="str">
        <f>IFERROR(__xludf.DUMMYFUNCTION("""COMPUTED_VALUE"""),"Yes")</f>
        <v>Yes</v>
      </c>
      <c r="P69" s="26" t="str">
        <f>IFERROR(__xludf.DUMMYFUNCTION("""COMPUTED_VALUE"""),"")</f>
        <v/>
      </c>
    </row>
    <row r="70">
      <c r="A70" s="13" t="str">
        <f>IFERROR(__xludf.DUMMYFUNCTION("""COMPUTED_VALUE"""),"God of War: Ascension")</f>
        <v>God of War: Ascension</v>
      </c>
      <c r="B70" s="15" t="str">
        <f>IFERROR(__xludf.DUMMYFUNCTION("""COMPUTED_VALUE"""),"PS5/PS4")</f>
        <v>PS5/PS4</v>
      </c>
      <c r="C70" s="16" t="str">
        <f>IFERROR(__xludf.DUMMYFUNCTION("""COMPUTED_VALUE"""),"Premium (Streaming Only)")</f>
        <v>Premium (Streaming Only)</v>
      </c>
      <c r="D70" s="15" t="str">
        <f>IFERROR(__xludf.DUMMYFUNCTION("""COMPUTED_VALUE"""),"Active")</f>
        <v>Active</v>
      </c>
      <c r="E70" s="17">
        <f>IFERROR(__xludf.DUMMYFUNCTION("""COMPUTED_VALUE"""),42017.0)</f>
        <v>42017</v>
      </c>
      <c r="F70" s="54"/>
      <c r="G70" s="19">
        <f>IFERROR(__xludf.DUMMYFUNCTION("""COMPUTED_VALUE"""),140.76666666666668)</f>
        <v>140.7666667</v>
      </c>
      <c r="H70" s="17">
        <f>IFERROR(__xludf.DUMMYFUNCTION("""COMPUTED_VALUE"""),41334.0)</f>
        <v>41334</v>
      </c>
      <c r="I70" s="19">
        <f>IFERROR(__xludf.DUMMYFUNCTION("""COMPUTED_VALUE"""),1.8666666666666667)</f>
        <v>1.866666667</v>
      </c>
      <c r="J70" s="21">
        <f>IFERROR(__xludf.DUMMYFUNCTION("""COMPUTED_VALUE"""),80.0)</f>
        <v>80</v>
      </c>
      <c r="K70" s="23">
        <f>IFERROR(__xludf.DUMMYFUNCTION("""COMPUTED_VALUE"""),7.8)</f>
        <v>7.8</v>
      </c>
      <c r="L70" s="24">
        <f>IFERROR(__xludf.DUMMYFUNCTION("""COMPUTED_VALUE"""),12.0)</f>
        <v>12</v>
      </c>
      <c r="M70" s="25" t="str">
        <f>IFERROR(__xludf.DUMMYFUNCTION("""COMPUTED_VALUE"""),"Action-Adventure")</f>
        <v>Action-Adventure</v>
      </c>
      <c r="N70" s="25" t="str">
        <f>IFERROR(__xludf.DUMMYFUNCTION("""COMPUTED_VALUE"""),"PS3")</f>
        <v>PS3</v>
      </c>
      <c r="O70" s="26" t="str">
        <f>IFERROR(__xludf.DUMMYFUNCTION("""COMPUTED_VALUE"""),"Yes")</f>
        <v>Yes</v>
      </c>
      <c r="P70" s="26" t="str">
        <f>IFERROR(__xludf.DUMMYFUNCTION("""COMPUTED_VALUE"""),"")</f>
        <v/>
      </c>
    </row>
    <row r="71">
      <c r="A71" s="13" t="str">
        <f>IFERROR(__xludf.DUMMYFUNCTION("""COMPUTED_VALUE"""),"Skullgirls Encore")</f>
        <v>Skullgirls Encore</v>
      </c>
      <c r="B71" s="15" t="str">
        <f>IFERROR(__xludf.DUMMYFUNCTION("""COMPUTED_VALUE"""),"PS5/PS4")</f>
        <v>PS5/PS4</v>
      </c>
      <c r="C71" s="16" t="str">
        <f>IFERROR(__xludf.DUMMYFUNCTION("""COMPUTED_VALUE"""),"Premium (Streaming Only)")</f>
        <v>Premium (Streaming Only)</v>
      </c>
      <c r="D71" s="15" t="str">
        <f>IFERROR(__xludf.DUMMYFUNCTION("""COMPUTED_VALUE"""),"Active")</f>
        <v>Active</v>
      </c>
      <c r="E71" s="17">
        <f>IFERROR(__xludf.DUMMYFUNCTION("""COMPUTED_VALUE"""),42017.0)</f>
        <v>42017</v>
      </c>
      <c r="F71" s="54"/>
      <c r="G71" s="19">
        <f>IFERROR(__xludf.DUMMYFUNCTION("""COMPUTED_VALUE"""),140.76666666666668)</f>
        <v>140.7666667</v>
      </c>
      <c r="H71" s="17">
        <f>IFERROR(__xludf.DUMMYFUNCTION("""COMPUTED_VALUE"""),41671.0)</f>
        <v>41671</v>
      </c>
      <c r="I71" s="19">
        <f>IFERROR(__xludf.DUMMYFUNCTION("""COMPUTED_VALUE"""),0.95)</f>
        <v>0.95</v>
      </c>
      <c r="J71" s="21">
        <f>IFERROR(__xludf.DUMMYFUNCTION("""COMPUTED_VALUE"""),80.0)</f>
        <v>80</v>
      </c>
      <c r="K71" s="23">
        <f>IFERROR(__xludf.DUMMYFUNCTION("""COMPUTED_VALUE"""),8.1)</f>
        <v>8.1</v>
      </c>
      <c r="L71" s="24">
        <f>IFERROR(__xludf.DUMMYFUNCTION("""COMPUTED_VALUE"""),3.0)</f>
        <v>3</v>
      </c>
      <c r="M71" s="26" t="str">
        <f>IFERROR(__xludf.DUMMYFUNCTION("""COMPUTED_VALUE"""),"Fighting")</f>
        <v>Fighting</v>
      </c>
      <c r="N71" s="25" t="str">
        <f>IFERROR(__xludf.DUMMYFUNCTION("""COMPUTED_VALUE"""),"PS3")</f>
        <v>PS3</v>
      </c>
      <c r="O71" s="26" t="str">
        <f>IFERROR(__xludf.DUMMYFUNCTION("""COMPUTED_VALUE"""),"Yes")</f>
        <v>Yes</v>
      </c>
      <c r="P71" s="26" t="str">
        <f>IFERROR(__xludf.DUMMYFUNCTION("""COMPUTED_VALUE"""),"")</f>
        <v/>
      </c>
    </row>
    <row r="72">
      <c r="A72" s="13" t="str">
        <f>IFERROR(__xludf.DUMMYFUNCTION("""COMPUTED_VALUE"""),"The Darkness")</f>
        <v>The Darkness</v>
      </c>
      <c r="B72" s="15" t="str">
        <f>IFERROR(__xludf.DUMMYFUNCTION("""COMPUTED_VALUE"""),"PS5/PS4")</f>
        <v>PS5/PS4</v>
      </c>
      <c r="C72" s="16" t="str">
        <f>IFERROR(__xludf.DUMMYFUNCTION("""COMPUTED_VALUE"""),"Premium (Streaming Only)")</f>
        <v>Premium (Streaming Only)</v>
      </c>
      <c r="D72" s="15" t="str">
        <f>IFERROR(__xludf.DUMMYFUNCTION("""COMPUTED_VALUE"""),"Active")</f>
        <v>Active</v>
      </c>
      <c r="E72" s="17">
        <f>IFERROR(__xludf.DUMMYFUNCTION("""COMPUTED_VALUE"""),42017.0)</f>
        <v>42017</v>
      </c>
      <c r="F72" s="54"/>
      <c r="G72" s="19">
        <f>IFERROR(__xludf.DUMMYFUNCTION("""COMPUTED_VALUE"""),140.76666666666668)</f>
        <v>140.7666667</v>
      </c>
      <c r="H72" s="17">
        <f>IFERROR(__xludf.DUMMYFUNCTION("""COMPUTED_VALUE"""),39234.0)</f>
        <v>39234</v>
      </c>
      <c r="I72" s="19">
        <f>IFERROR(__xludf.DUMMYFUNCTION("""COMPUTED_VALUE"""),7.616666666666666)</f>
        <v>7.616666667</v>
      </c>
      <c r="J72" s="21">
        <f>IFERROR(__xludf.DUMMYFUNCTION("""COMPUTED_VALUE"""),80.0)</f>
        <v>80</v>
      </c>
      <c r="K72" s="23">
        <f>IFERROR(__xludf.DUMMYFUNCTION("""COMPUTED_VALUE"""),8.1)</f>
        <v>8.1</v>
      </c>
      <c r="L72" s="24">
        <f>IFERROR(__xludf.DUMMYFUNCTION("""COMPUTED_VALUE"""),8.0)</f>
        <v>8</v>
      </c>
      <c r="M72" s="25" t="str">
        <f>IFERROR(__xludf.DUMMYFUNCTION("""COMPUTED_VALUE"""),"Shooter")</f>
        <v>Shooter</v>
      </c>
      <c r="N72" s="25" t="str">
        <f>IFERROR(__xludf.DUMMYFUNCTION("""COMPUTED_VALUE"""),"PS3")</f>
        <v>PS3</v>
      </c>
      <c r="O72" s="26" t="str">
        <f>IFERROR(__xludf.DUMMYFUNCTION("""COMPUTED_VALUE"""),"Yes")</f>
        <v>Yes</v>
      </c>
      <c r="P72" s="26" t="str">
        <f>IFERROR(__xludf.DUMMYFUNCTION("""COMPUTED_VALUE"""),"")</f>
        <v/>
      </c>
    </row>
    <row r="73">
      <c r="A73" s="13" t="str">
        <f>IFERROR(__xludf.DUMMYFUNCTION("""COMPUTED_VALUE"""),"Heavenly Sword")</f>
        <v>Heavenly Sword</v>
      </c>
      <c r="B73" s="15" t="str">
        <f>IFERROR(__xludf.DUMMYFUNCTION("""COMPUTED_VALUE"""),"PS5/PS4")</f>
        <v>PS5/PS4</v>
      </c>
      <c r="C73" s="16" t="str">
        <f>IFERROR(__xludf.DUMMYFUNCTION("""COMPUTED_VALUE"""),"Premium (Streaming Only)")</f>
        <v>Premium (Streaming Only)</v>
      </c>
      <c r="D73" s="15" t="str">
        <f>IFERROR(__xludf.DUMMYFUNCTION("""COMPUTED_VALUE"""),"Active")</f>
        <v>Active</v>
      </c>
      <c r="E73" s="17">
        <f>IFERROR(__xludf.DUMMYFUNCTION("""COMPUTED_VALUE"""),44915.0)</f>
        <v>44915</v>
      </c>
      <c r="F73" s="54"/>
      <c r="G73" s="19">
        <f>IFERROR(__xludf.DUMMYFUNCTION("""COMPUTED_VALUE"""),45.53333333333333)</f>
        <v>45.53333333</v>
      </c>
      <c r="H73" s="17">
        <f>IFERROR(__xludf.DUMMYFUNCTION("""COMPUTED_VALUE"""),39337.0)</f>
        <v>39337</v>
      </c>
      <c r="I73" s="19">
        <f>IFERROR(__xludf.DUMMYFUNCTION("""COMPUTED_VALUE"""),15.272222222222222)</f>
        <v>15.27222222</v>
      </c>
      <c r="J73" s="21">
        <f>IFERROR(__xludf.DUMMYFUNCTION("""COMPUTED_VALUE"""),79.0)</f>
        <v>79</v>
      </c>
      <c r="K73" s="23">
        <f>IFERROR(__xludf.DUMMYFUNCTION("""COMPUTED_VALUE"""),8.1)</f>
        <v>8.1</v>
      </c>
      <c r="L73" s="24">
        <f>IFERROR(__xludf.DUMMYFUNCTION("""COMPUTED_VALUE"""),7.0)</f>
        <v>7</v>
      </c>
      <c r="M73" s="25" t="str">
        <f>IFERROR(__xludf.DUMMYFUNCTION("""COMPUTED_VALUE"""),"Action-Adventure")</f>
        <v>Action-Adventure</v>
      </c>
      <c r="N73" s="25" t="str">
        <f>IFERROR(__xludf.DUMMYFUNCTION("""COMPUTED_VALUE"""),"PS3")</f>
        <v>PS3</v>
      </c>
      <c r="O73" s="26" t="str">
        <f>IFERROR(__xludf.DUMMYFUNCTION("""COMPUTED_VALUE"""),"Yes")</f>
        <v>Yes</v>
      </c>
      <c r="P73" s="26"/>
    </row>
    <row r="74">
      <c r="A74" s="13" t="str">
        <f>IFERROR(__xludf.DUMMYFUNCTION("""COMPUTED_VALUE"""),"Atelier Escha &amp; Logy ~Alchemists of the Dusk Sky~")</f>
        <v>Atelier Escha &amp; Logy ~Alchemists of the Dusk Sky~</v>
      </c>
      <c r="B74" s="15" t="str">
        <f>IFERROR(__xludf.DUMMYFUNCTION("""COMPUTED_VALUE"""),"PS5/PS4")</f>
        <v>PS5/PS4</v>
      </c>
      <c r="C74" s="16" t="str">
        <f>IFERROR(__xludf.DUMMYFUNCTION("""COMPUTED_VALUE"""),"Premium (Streaming Only)")</f>
        <v>Premium (Streaming Only)</v>
      </c>
      <c r="D74" s="15" t="str">
        <f>IFERROR(__xludf.DUMMYFUNCTION("""COMPUTED_VALUE"""),"Active")</f>
        <v>Active</v>
      </c>
      <c r="E74" s="17">
        <f>IFERROR(__xludf.DUMMYFUNCTION("""COMPUTED_VALUE"""),42311.0)</f>
        <v>42311</v>
      </c>
      <c r="F74" s="54"/>
      <c r="G74" s="19">
        <f>IFERROR(__xludf.DUMMYFUNCTION("""COMPUTED_VALUE"""),131.10000000000002)</f>
        <v>131.1</v>
      </c>
      <c r="H74" s="17">
        <f>IFERROR(__xludf.DUMMYFUNCTION("""COMPUTED_VALUE"""),41821.0)</f>
        <v>41821</v>
      </c>
      <c r="I74" s="19">
        <f>IFERROR(__xludf.DUMMYFUNCTION("""COMPUTED_VALUE"""),1.3388888888888888)</f>
        <v>1.338888889</v>
      </c>
      <c r="J74" s="21">
        <f>IFERROR(__xludf.DUMMYFUNCTION("""COMPUTED_VALUE"""),79.0)</f>
        <v>79</v>
      </c>
      <c r="K74" s="23">
        <f>IFERROR(__xludf.DUMMYFUNCTION("""COMPUTED_VALUE"""),7.7)</f>
        <v>7.7</v>
      </c>
      <c r="L74" s="24">
        <f>IFERROR(__xludf.DUMMYFUNCTION("""COMPUTED_VALUE"""),50.0)</f>
        <v>50</v>
      </c>
      <c r="M74" s="25" t="str">
        <f>IFERROR(__xludf.DUMMYFUNCTION("""COMPUTED_VALUE"""),"RPG")</f>
        <v>RPG</v>
      </c>
      <c r="N74" s="25" t="str">
        <f>IFERROR(__xludf.DUMMYFUNCTION("""COMPUTED_VALUE"""),"PS3")</f>
        <v>PS3</v>
      </c>
      <c r="O74" s="26" t="str">
        <f>IFERROR(__xludf.DUMMYFUNCTION("""COMPUTED_VALUE"""),"Yes")</f>
        <v>Yes</v>
      </c>
      <c r="P74" s="26" t="str">
        <f>IFERROR(__xludf.DUMMYFUNCTION("""COMPUTED_VALUE"""),"")</f>
        <v/>
      </c>
    </row>
    <row r="75">
      <c r="A75" s="13" t="str">
        <f>IFERROR(__xludf.DUMMYFUNCTION("""COMPUTED_VALUE"""),"MEGA MAN 10")</f>
        <v>MEGA MAN 10</v>
      </c>
      <c r="B75" s="15" t="str">
        <f>IFERROR(__xludf.DUMMYFUNCTION("""COMPUTED_VALUE"""),"PS5/PS4")</f>
        <v>PS5/PS4</v>
      </c>
      <c r="C75" s="16" t="str">
        <f>IFERROR(__xludf.DUMMYFUNCTION("""COMPUTED_VALUE"""),"Premium (Streaming Only)")</f>
        <v>Premium (Streaming Only)</v>
      </c>
      <c r="D75" s="15" t="str">
        <f>IFERROR(__xludf.DUMMYFUNCTION("""COMPUTED_VALUE"""),"Active")</f>
        <v>Active</v>
      </c>
      <c r="E75" s="17">
        <f>IFERROR(__xludf.DUMMYFUNCTION("""COMPUTED_VALUE"""),42311.0)</f>
        <v>42311</v>
      </c>
      <c r="F75" s="54"/>
      <c r="G75" s="19">
        <f>IFERROR(__xludf.DUMMYFUNCTION("""COMPUTED_VALUE"""),131.10000000000002)</f>
        <v>131.1</v>
      </c>
      <c r="H75" s="17">
        <f>IFERROR(__xludf.DUMMYFUNCTION("""COMPUTED_VALUE"""),40238.0)</f>
        <v>40238</v>
      </c>
      <c r="I75" s="19">
        <f>IFERROR(__xludf.DUMMYFUNCTION("""COMPUTED_VALUE"""),5.6722222222222225)</f>
        <v>5.672222222</v>
      </c>
      <c r="J75" s="21">
        <f>IFERROR(__xludf.DUMMYFUNCTION("""COMPUTED_VALUE"""),79.0)</f>
        <v>79</v>
      </c>
      <c r="K75" s="23">
        <f>IFERROR(__xludf.DUMMYFUNCTION("""COMPUTED_VALUE"""),7.8)</f>
        <v>7.8</v>
      </c>
      <c r="L75" s="24">
        <f>IFERROR(__xludf.DUMMYFUNCTION("""COMPUTED_VALUE"""),2.0)</f>
        <v>2</v>
      </c>
      <c r="M75" s="25" t="str">
        <f>IFERROR(__xludf.DUMMYFUNCTION("""COMPUTED_VALUE"""),"Platformer")</f>
        <v>Platformer</v>
      </c>
      <c r="N75" s="25" t="str">
        <f>IFERROR(__xludf.DUMMYFUNCTION("""COMPUTED_VALUE"""),"PS3")</f>
        <v>PS3</v>
      </c>
      <c r="O75" s="26" t="str">
        <f>IFERROR(__xludf.DUMMYFUNCTION("""COMPUTED_VALUE"""),"Yes")</f>
        <v>Yes</v>
      </c>
      <c r="P75" s="26"/>
    </row>
    <row r="76">
      <c r="A76" s="13" t="str">
        <f>IFERROR(__xludf.DUMMYFUNCTION("""COMPUTED_VALUE"""),"STRONG BAD'S COOL GAME FOR ATTRACTIVE PEOPLE - EPISODE 3: BADDEST OF THE BANDS")</f>
        <v>STRONG BAD'S COOL GAME FOR ATTRACTIVE PEOPLE - EPISODE 3: BADDEST OF THE BANDS</v>
      </c>
      <c r="B76" s="15" t="str">
        <f>IFERROR(__xludf.DUMMYFUNCTION("""COMPUTED_VALUE"""),"PS5/PS4")</f>
        <v>PS5/PS4</v>
      </c>
      <c r="C76" s="16" t="str">
        <f>IFERROR(__xludf.DUMMYFUNCTION("""COMPUTED_VALUE"""),"Premium (Streaming Only)")</f>
        <v>Premium (Streaming Only)</v>
      </c>
      <c r="D76" s="15" t="str">
        <f>IFERROR(__xludf.DUMMYFUNCTION("""COMPUTED_VALUE"""),"Active")</f>
        <v>Active</v>
      </c>
      <c r="E76" s="17">
        <f>IFERROR(__xludf.DUMMYFUNCTION("""COMPUTED_VALUE"""),42311.0)</f>
        <v>42311</v>
      </c>
      <c r="F76" s="54"/>
      <c r="G76" s="19">
        <f>IFERROR(__xludf.DUMMYFUNCTION("""COMPUTED_VALUE"""),131.10000000000002)</f>
        <v>131.1</v>
      </c>
      <c r="H76" s="17">
        <f>IFERROR(__xludf.DUMMYFUNCTION("""COMPUTED_VALUE"""),39539.0)</f>
        <v>39539</v>
      </c>
      <c r="I76" s="19">
        <f>IFERROR(__xludf.DUMMYFUNCTION("""COMPUTED_VALUE"""),7.588888888888889)</f>
        <v>7.588888889</v>
      </c>
      <c r="J76" s="21">
        <f>IFERROR(__xludf.DUMMYFUNCTION("""COMPUTED_VALUE"""),79.0)</f>
        <v>79</v>
      </c>
      <c r="K76" s="23">
        <f>IFERROR(__xludf.DUMMYFUNCTION("""COMPUTED_VALUE"""),7.7)</f>
        <v>7.7</v>
      </c>
      <c r="L76" s="24">
        <f>IFERROR(__xludf.DUMMYFUNCTION("""COMPUTED_VALUE"""),2.0)</f>
        <v>2</v>
      </c>
      <c r="M76" s="25" t="str">
        <f>IFERROR(__xludf.DUMMYFUNCTION("""COMPUTED_VALUE"""),"Adventure")</f>
        <v>Adventure</v>
      </c>
      <c r="N76" s="25" t="str">
        <f>IFERROR(__xludf.DUMMYFUNCTION("""COMPUTED_VALUE"""),"PS3")</f>
        <v>PS3</v>
      </c>
      <c r="O76" s="26" t="str">
        <f>IFERROR(__xludf.DUMMYFUNCTION("""COMPUTED_VALUE"""),"Yes")</f>
        <v>Yes</v>
      </c>
      <c r="P76" s="26" t="str">
        <f>IFERROR(__xludf.DUMMYFUNCTION("""COMPUTED_VALUE"""),"")</f>
        <v/>
      </c>
    </row>
    <row r="77">
      <c r="A77" s="13" t="str">
        <f>IFERROR(__xludf.DUMMYFUNCTION("""COMPUTED_VALUE"""),"LEGO Batman 2: DC Super Heroes")</f>
        <v>LEGO Batman 2: DC Super Heroes</v>
      </c>
      <c r="B77" s="15" t="str">
        <f>IFERROR(__xludf.DUMMYFUNCTION("""COMPUTED_VALUE"""),"PS5/PS4")</f>
        <v>PS5/PS4</v>
      </c>
      <c r="C77" s="16" t="str">
        <f>IFERROR(__xludf.DUMMYFUNCTION("""COMPUTED_VALUE"""),"Premium (Streaming Only)")</f>
        <v>Premium (Streaming Only)</v>
      </c>
      <c r="D77" s="15" t="str">
        <f>IFERROR(__xludf.DUMMYFUNCTION("""COMPUTED_VALUE"""),"Active")</f>
        <v>Active</v>
      </c>
      <c r="E77" s="17">
        <f>IFERROR(__xludf.DUMMYFUNCTION("""COMPUTED_VALUE"""),42017.0)</f>
        <v>42017</v>
      </c>
      <c r="F77" s="54"/>
      <c r="G77" s="19">
        <f>IFERROR(__xludf.DUMMYFUNCTION("""COMPUTED_VALUE"""),140.76666666666668)</f>
        <v>140.7666667</v>
      </c>
      <c r="H77" s="17">
        <f>IFERROR(__xludf.DUMMYFUNCTION("""COMPUTED_VALUE"""),41079.0)</f>
        <v>41079</v>
      </c>
      <c r="I77" s="19">
        <f>IFERROR(__xludf.DUMMYFUNCTION("""COMPUTED_VALUE"""),2.566666666666667)</f>
        <v>2.566666667</v>
      </c>
      <c r="J77" s="21">
        <f>IFERROR(__xludf.DUMMYFUNCTION("""COMPUTED_VALUE"""),79.0)</f>
        <v>79</v>
      </c>
      <c r="K77" s="23">
        <f>IFERROR(__xludf.DUMMYFUNCTION("""COMPUTED_VALUE"""),7.9)</f>
        <v>7.9</v>
      </c>
      <c r="L77" s="24">
        <f>IFERROR(__xludf.DUMMYFUNCTION("""COMPUTED_VALUE"""),9.0)</f>
        <v>9</v>
      </c>
      <c r="M77" s="25" t="str">
        <f>IFERROR(__xludf.DUMMYFUNCTION("""COMPUTED_VALUE"""),"Action-Adventure")</f>
        <v>Action-Adventure</v>
      </c>
      <c r="N77" s="25" t="str">
        <f>IFERROR(__xludf.DUMMYFUNCTION("""COMPUTED_VALUE"""),"PS3")</f>
        <v>PS3</v>
      </c>
      <c r="O77" s="26" t="str">
        <f>IFERROR(__xludf.DUMMYFUNCTION("""COMPUTED_VALUE"""),"Yes")</f>
        <v>Yes</v>
      </c>
      <c r="P77" s="26"/>
    </row>
    <row r="78">
      <c r="A78" s="13" t="str">
        <f>IFERROR(__xludf.DUMMYFUNCTION("""COMPUTED_VALUE"""),"The Darkness II")</f>
        <v>The Darkness II</v>
      </c>
      <c r="B78" s="15" t="str">
        <f>IFERROR(__xludf.DUMMYFUNCTION("""COMPUTED_VALUE"""),"PS5/PS4")</f>
        <v>PS5/PS4</v>
      </c>
      <c r="C78" s="16" t="str">
        <f>IFERROR(__xludf.DUMMYFUNCTION("""COMPUTED_VALUE"""),"Premium (Streaming Only)")</f>
        <v>Premium (Streaming Only)</v>
      </c>
      <c r="D78" s="15" t="str">
        <f>IFERROR(__xludf.DUMMYFUNCTION("""COMPUTED_VALUE"""),"Active")</f>
        <v>Active</v>
      </c>
      <c r="E78" s="17">
        <f>IFERROR(__xludf.DUMMYFUNCTION("""COMPUTED_VALUE"""),42017.0)</f>
        <v>42017</v>
      </c>
      <c r="F78" s="54"/>
      <c r="G78" s="19">
        <f>IFERROR(__xludf.DUMMYFUNCTION("""COMPUTED_VALUE"""),140.76666666666668)</f>
        <v>140.7666667</v>
      </c>
      <c r="H78" s="17">
        <f>IFERROR(__xludf.DUMMYFUNCTION("""COMPUTED_VALUE"""),40940.0)</f>
        <v>40940</v>
      </c>
      <c r="I78" s="19">
        <f>IFERROR(__xludf.DUMMYFUNCTION("""COMPUTED_VALUE"""),2.95)</f>
        <v>2.95</v>
      </c>
      <c r="J78" s="21">
        <f>IFERROR(__xludf.DUMMYFUNCTION("""COMPUTED_VALUE"""),79.0)</f>
        <v>79</v>
      </c>
      <c r="K78" s="23">
        <f>IFERROR(__xludf.DUMMYFUNCTION("""COMPUTED_VALUE"""),7.5)</f>
        <v>7.5</v>
      </c>
      <c r="L78" s="24">
        <f>IFERROR(__xludf.DUMMYFUNCTION("""COMPUTED_VALUE"""),6.0)</f>
        <v>6</v>
      </c>
      <c r="M78" s="25" t="str">
        <f>IFERROR(__xludf.DUMMYFUNCTION("""COMPUTED_VALUE"""),"Shooter")</f>
        <v>Shooter</v>
      </c>
      <c r="N78" s="25" t="str">
        <f>IFERROR(__xludf.DUMMYFUNCTION("""COMPUTED_VALUE"""),"PS3")</f>
        <v>PS3</v>
      </c>
      <c r="O78" s="26" t="str">
        <f>IFERROR(__xludf.DUMMYFUNCTION("""COMPUTED_VALUE"""),"Yes")</f>
        <v>Yes</v>
      </c>
      <c r="P78" s="26" t="str">
        <f>IFERROR(__xludf.DUMMYFUNCTION("""COMPUTED_VALUE"""),"")</f>
        <v/>
      </c>
    </row>
    <row r="79">
      <c r="A79" s="13" t="str">
        <f>IFERROR(__xludf.DUMMYFUNCTION("""COMPUTED_VALUE"""),"Raiden IV: OverKill")</f>
        <v>Raiden IV: OverKill</v>
      </c>
      <c r="B79" s="15" t="str">
        <f>IFERROR(__xludf.DUMMYFUNCTION("""COMPUTED_VALUE"""),"PS5/PS4")</f>
        <v>PS5/PS4</v>
      </c>
      <c r="C79" s="16" t="str">
        <f>IFERROR(__xludf.DUMMYFUNCTION("""COMPUTED_VALUE"""),"Premium (Streaming Only)")</f>
        <v>Premium (Streaming Only)</v>
      </c>
      <c r="D79" s="15" t="str">
        <f>IFERROR(__xludf.DUMMYFUNCTION("""COMPUTED_VALUE"""),"Active")</f>
        <v>Active</v>
      </c>
      <c r="E79" s="17">
        <f>IFERROR(__xludf.DUMMYFUNCTION("""COMPUTED_VALUE"""),44725.0)</f>
        <v>44725</v>
      </c>
      <c r="F79" s="54"/>
      <c r="G79" s="19">
        <f>IFERROR(__xludf.DUMMYFUNCTION("""COMPUTED_VALUE"""),51.766666666666666)</f>
        <v>51.76666667</v>
      </c>
      <c r="H79" s="17">
        <f>IFERROR(__xludf.DUMMYFUNCTION("""COMPUTED_VALUE"""),41730.0)</f>
        <v>41730</v>
      </c>
      <c r="I79" s="19">
        <f>IFERROR(__xludf.DUMMYFUNCTION("""COMPUTED_VALUE"""),8.2)</f>
        <v>8.2</v>
      </c>
      <c r="J79" s="21">
        <f>IFERROR(__xludf.DUMMYFUNCTION("""COMPUTED_VALUE"""),78.0)</f>
        <v>78</v>
      </c>
      <c r="K79" s="23">
        <f>IFERROR(__xludf.DUMMYFUNCTION("""COMPUTED_VALUE"""),7.5)</f>
        <v>7.5</v>
      </c>
      <c r="L79" s="24">
        <f>IFERROR(__xludf.DUMMYFUNCTION("""COMPUTED_VALUE"""),4.0)</f>
        <v>4</v>
      </c>
      <c r="M79" s="25" t="str">
        <f>IFERROR(__xludf.DUMMYFUNCTION("""COMPUTED_VALUE"""),"Shooter")</f>
        <v>Shooter</v>
      </c>
      <c r="N79" s="25" t="str">
        <f>IFERROR(__xludf.DUMMYFUNCTION("""COMPUTED_VALUE"""),"PS3")</f>
        <v>PS3</v>
      </c>
      <c r="O79" s="26" t="str">
        <f>IFERROR(__xludf.DUMMYFUNCTION("""COMPUTED_VALUE"""),"Yes")</f>
        <v>Yes</v>
      </c>
      <c r="P79" s="26" t="str">
        <f>IFERROR(__xludf.DUMMYFUNCTION("""COMPUTED_VALUE"""),"")</f>
        <v/>
      </c>
    </row>
    <row r="80">
      <c r="A80" s="13" t="str">
        <f>IFERROR(__xludf.DUMMYFUNCTION("""COMPUTED_VALUE"""),"STARWHAL")</f>
        <v>STARWHAL</v>
      </c>
      <c r="B80" s="15" t="str">
        <f>IFERROR(__xludf.DUMMYFUNCTION("""COMPUTED_VALUE"""),"PS5/PS4")</f>
        <v>PS5/PS4</v>
      </c>
      <c r="C80" s="16" t="str">
        <f>IFERROR(__xludf.DUMMYFUNCTION("""COMPUTED_VALUE"""),"Premium (Streaming Only)")</f>
        <v>Premium (Streaming Only)</v>
      </c>
      <c r="D80" s="15" t="str">
        <f>IFERROR(__xludf.DUMMYFUNCTION("""COMPUTED_VALUE"""),"Active")</f>
        <v>Active</v>
      </c>
      <c r="E80" s="17">
        <f>IFERROR(__xludf.DUMMYFUNCTION("""COMPUTED_VALUE"""),44725.0)</f>
        <v>44725</v>
      </c>
      <c r="F80" s="54"/>
      <c r="G80" s="19">
        <f>IFERROR(__xludf.DUMMYFUNCTION("""COMPUTED_VALUE"""),51.766666666666666)</f>
        <v>51.76666667</v>
      </c>
      <c r="H80" s="17">
        <f>IFERROR(__xludf.DUMMYFUNCTION("""COMPUTED_VALUE"""),42036.0)</f>
        <v>42036</v>
      </c>
      <c r="I80" s="19">
        <f>IFERROR(__xludf.DUMMYFUNCTION("""COMPUTED_VALUE"""),7.366666666666666)</f>
        <v>7.366666667</v>
      </c>
      <c r="J80" s="21">
        <f>IFERROR(__xludf.DUMMYFUNCTION("""COMPUTED_VALUE"""),78.0)</f>
        <v>78</v>
      </c>
      <c r="K80" s="23">
        <f>IFERROR(__xludf.DUMMYFUNCTION("""COMPUTED_VALUE"""),7.3)</f>
        <v>7.3</v>
      </c>
      <c r="L80" s="24"/>
      <c r="M80" s="25" t="str">
        <f>IFERROR(__xludf.DUMMYFUNCTION("""COMPUTED_VALUE"""),"Party")</f>
        <v>Party</v>
      </c>
      <c r="N80" s="25" t="str">
        <f>IFERROR(__xludf.DUMMYFUNCTION("""COMPUTED_VALUE"""),"PS3")</f>
        <v>PS3</v>
      </c>
      <c r="O80" s="26" t="str">
        <f>IFERROR(__xludf.DUMMYFUNCTION("""COMPUTED_VALUE"""),"Yes")</f>
        <v>Yes</v>
      </c>
      <c r="P80" s="26" t="str">
        <f>IFERROR(__xludf.DUMMYFUNCTION("""COMPUTED_VALUE"""),"")</f>
        <v/>
      </c>
    </row>
    <row r="81">
      <c r="A81" s="13" t="str">
        <f>IFERROR(__xludf.DUMMYFUNCTION("""COMPUTED_VALUE"""),"DISGAEA 3: Absence of Justice")</f>
        <v>DISGAEA 3: Absence of Justice</v>
      </c>
      <c r="B81" s="15" t="str">
        <f>IFERROR(__xludf.DUMMYFUNCTION("""COMPUTED_VALUE"""),"PS5/PS4")</f>
        <v>PS5/PS4</v>
      </c>
      <c r="C81" s="16" t="str">
        <f>IFERROR(__xludf.DUMMYFUNCTION("""COMPUTED_VALUE"""),"Premium (Streaming Only)")</f>
        <v>Premium (Streaming Only)</v>
      </c>
      <c r="D81" s="15" t="str">
        <f>IFERROR(__xludf.DUMMYFUNCTION("""COMPUTED_VALUE"""),"Active")</f>
        <v>Active</v>
      </c>
      <c r="E81" s="17">
        <f>IFERROR(__xludf.DUMMYFUNCTION("""COMPUTED_VALUE"""),42584.0)</f>
        <v>42584</v>
      </c>
      <c r="F81" s="54"/>
      <c r="G81" s="19">
        <f>IFERROR(__xludf.DUMMYFUNCTION("""COMPUTED_VALUE"""),122.13333333333333)</f>
        <v>122.1333333</v>
      </c>
      <c r="H81" s="17">
        <f>IFERROR(__xludf.DUMMYFUNCTION("""COMPUTED_VALUE"""),39661.0)</f>
        <v>39661</v>
      </c>
      <c r="I81" s="19">
        <f>IFERROR(__xludf.DUMMYFUNCTION("""COMPUTED_VALUE"""),8.002777777777778)</f>
        <v>8.002777778</v>
      </c>
      <c r="J81" s="21">
        <f>IFERROR(__xludf.DUMMYFUNCTION("""COMPUTED_VALUE"""),78.0)</f>
        <v>78</v>
      </c>
      <c r="K81" s="23">
        <f>IFERROR(__xludf.DUMMYFUNCTION("""COMPUTED_VALUE"""),8.0)</f>
        <v>8</v>
      </c>
      <c r="L81" s="24">
        <f>IFERROR(__xludf.DUMMYFUNCTION("""COMPUTED_VALUE"""),48.0)</f>
        <v>48</v>
      </c>
      <c r="M81" s="25" t="str">
        <f>IFERROR(__xludf.DUMMYFUNCTION("""COMPUTED_VALUE"""),"RPG")</f>
        <v>RPG</v>
      </c>
      <c r="N81" s="25" t="str">
        <f>IFERROR(__xludf.DUMMYFUNCTION("""COMPUTED_VALUE"""),"PS3")</f>
        <v>PS3</v>
      </c>
      <c r="O81" s="26" t="str">
        <f>IFERROR(__xludf.DUMMYFUNCTION("""COMPUTED_VALUE"""),"Yes")</f>
        <v>Yes</v>
      </c>
      <c r="P81" s="26" t="str">
        <f>IFERROR(__xludf.DUMMYFUNCTION("""COMPUTED_VALUE"""),"")</f>
        <v/>
      </c>
    </row>
    <row r="82">
      <c r="A82" s="13" t="str">
        <f>IFERROR(__xludf.DUMMYFUNCTION("""COMPUTED_VALUE"""),"Resident Evil Revelations")</f>
        <v>Resident Evil Revelations</v>
      </c>
      <c r="B82" s="15" t="str">
        <f>IFERROR(__xludf.DUMMYFUNCTION("""COMPUTED_VALUE"""),"PS5/PS4")</f>
        <v>PS5/PS4</v>
      </c>
      <c r="C82" s="16" t="str">
        <f>IFERROR(__xludf.DUMMYFUNCTION("""COMPUTED_VALUE"""),"Premium (Streaming Only)")</f>
        <v>Premium (Streaming Only)</v>
      </c>
      <c r="D82" s="15" t="str">
        <f>IFERROR(__xludf.DUMMYFUNCTION("""COMPUTED_VALUE"""),"Active")</f>
        <v>Active</v>
      </c>
      <c r="E82" s="17">
        <f>IFERROR(__xludf.DUMMYFUNCTION("""COMPUTED_VALUE"""),42472.0)</f>
        <v>42472</v>
      </c>
      <c r="F82" s="54"/>
      <c r="G82" s="19">
        <f>IFERROR(__xludf.DUMMYFUNCTION("""COMPUTED_VALUE"""),125.79999999999998)</f>
        <v>125.8</v>
      </c>
      <c r="H82" s="17">
        <f>IFERROR(__xludf.DUMMYFUNCTION("""COMPUTED_VALUE"""),41395.0)</f>
        <v>41395</v>
      </c>
      <c r="I82" s="19">
        <f>IFERROR(__xludf.DUMMYFUNCTION("""COMPUTED_VALUE"""),2.9472222222222224)</f>
        <v>2.947222222</v>
      </c>
      <c r="J82" s="21">
        <f>IFERROR(__xludf.DUMMYFUNCTION("""COMPUTED_VALUE"""),78.0)</f>
        <v>78</v>
      </c>
      <c r="K82" s="23">
        <f>IFERROR(__xludf.DUMMYFUNCTION("""COMPUTED_VALUE"""),8.0)</f>
        <v>8</v>
      </c>
      <c r="L82" s="24">
        <f>IFERROR(__xludf.DUMMYFUNCTION("""COMPUTED_VALUE"""),9.0)</f>
        <v>9</v>
      </c>
      <c r="M82" s="25" t="str">
        <f>IFERROR(__xludf.DUMMYFUNCTION("""COMPUTED_VALUE"""),"Action-Adventure")</f>
        <v>Action-Adventure</v>
      </c>
      <c r="N82" s="25" t="str">
        <f>IFERROR(__xludf.DUMMYFUNCTION("""COMPUTED_VALUE"""),"PS3")</f>
        <v>PS3</v>
      </c>
      <c r="O82" s="26" t="str">
        <f>IFERROR(__xludf.DUMMYFUNCTION("""COMPUTED_VALUE"""),"Yes")</f>
        <v>Yes</v>
      </c>
      <c r="P82" s="26" t="str">
        <f>IFERROR(__xludf.DUMMYFUNCTION("""COMPUTED_VALUE"""),"")</f>
        <v/>
      </c>
    </row>
    <row r="83">
      <c r="A83" s="13" t="str">
        <f>IFERROR(__xludf.DUMMYFUNCTION("""COMPUTED_VALUE"""),"CRASH COMMANDO")</f>
        <v>CRASH COMMANDO</v>
      </c>
      <c r="B83" s="15" t="str">
        <f>IFERROR(__xludf.DUMMYFUNCTION("""COMPUTED_VALUE"""),"PS5/PS4")</f>
        <v>PS5/PS4</v>
      </c>
      <c r="C83" s="16" t="str">
        <f>IFERROR(__xludf.DUMMYFUNCTION("""COMPUTED_VALUE"""),"Premium (Streaming Only)")</f>
        <v>Premium (Streaming Only)</v>
      </c>
      <c r="D83" s="15" t="str">
        <f>IFERROR(__xludf.DUMMYFUNCTION("""COMPUTED_VALUE"""),"Active")</f>
        <v>Active</v>
      </c>
      <c r="E83" s="17">
        <f>IFERROR(__xludf.DUMMYFUNCTION("""COMPUTED_VALUE"""),42374.0)</f>
        <v>42374</v>
      </c>
      <c r="F83" s="54"/>
      <c r="G83" s="19">
        <f>IFERROR(__xludf.DUMMYFUNCTION("""COMPUTED_VALUE"""),129.03333333333333)</f>
        <v>129.0333333</v>
      </c>
      <c r="H83" s="17">
        <f>IFERROR(__xludf.DUMMYFUNCTION("""COMPUTED_VALUE"""),39783.0)</f>
        <v>39783</v>
      </c>
      <c r="I83" s="19">
        <f>IFERROR(__xludf.DUMMYFUNCTION("""COMPUTED_VALUE"""),7.094444444444444)</f>
        <v>7.094444444</v>
      </c>
      <c r="J83" s="21">
        <f>IFERROR(__xludf.DUMMYFUNCTION("""COMPUTED_VALUE"""),78.0)</f>
        <v>78</v>
      </c>
      <c r="K83" s="23">
        <f>IFERROR(__xludf.DUMMYFUNCTION("""COMPUTED_VALUE"""),7.2)</f>
        <v>7.2</v>
      </c>
      <c r="L83" s="24">
        <f>IFERROR(__xludf.DUMMYFUNCTION("""COMPUTED_VALUE"""),3.0)</f>
        <v>3</v>
      </c>
      <c r="M83" s="25" t="str">
        <f>IFERROR(__xludf.DUMMYFUNCTION("""COMPUTED_VALUE"""),"Shooter")</f>
        <v>Shooter</v>
      </c>
      <c r="N83" s="25" t="str">
        <f>IFERROR(__xludf.DUMMYFUNCTION("""COMPUTED_VALUE"""),"PS3")</f>
        <v>PS3</v>
      </c>
      <c r="O83" s="26" t="str">
        <f>IFERROR(__xludf.DUMMYFUNCTION("""COMPUTED_VALUE"""),"Yes")</f>
        <v>Yes</v>
      </c>
      <c r="P83" s="26" t="str">
        <f>IFERROR(__xludf.DUMMYFUNCTION("""COMPUTED_VALUE"""),"Yes")</f>
        <v>Yes</v>
      </c>
    </row>
    <row r="84">
      <c r="A84" s="13" t="str">
        <f>IFERROR(__xludf.DUMMYFUNCTION("""COMPUTED_VALUE"""),"ibb &amp; obb")</f>
        <v>ibb &amp; obb</v>
      </c>
      <c r="B84" s="15" t="str">
        <f>IFERROR(__xludf.DUMMYFUNCTION("""COMPUTED_VALUE"""),"PS5/PS4")</f>
        <v>PS5/PS4</v>
      </c>
      <c r="C84" s="16" t="str">
        <f>IFERROR(__xludf.DUMMYFUNCTION("""COMPUTED_VALUE"""),"Premium (Streaming Only)")</f>
        <v>Premium (Streaming Only)</v>
      </c>
      <c r="D84" s="15" t="str">
        <f>IFERROR(__xludf.DUMMYFUNCTION("""COMPUTED_VALUE"""),"Active")</f>
        <v>Active</v>
      </c>
      <c r="E84" s="17">
        <f>IFERROR(__xludf.DUMMYFUNCTION("""COMPUTED_VALUE"""),42311.0)</f>
        <v>42311</v>
      </c>
      <c r="F84" s="54"/>
      <c r="G84" s="19">
        <f>IFERROR(__xludf.DUMMYFUNCTION("""COMPUTED_VALUE"""),131.10000000000002)</f>
        <v>131.1</v>
      </c>
      <c r="H84" s="17">
        <f>IFERROR(__xludf.DUMMYFUNCTION("""COMPUTED_VALUE"""),41487.0)</f>
        <v>41487</v>
      </c>
      <c r="I84" s="19">
        <f>IFERROR(__xludf.DUMMYFUNCTION("""COMPUTED_VALUE"""),2.2555555555555555)</f>
        <v>2.255555556</v>
      </c>
      <c r="J84" s="21">
        <f>IFERROR(__xludf.DUMMYFUNCTION("""COMPUTED_VALUE"""),78.0)</f>
        <v>78</v>
      </c>
      <c r="K84" s="23">
        <f>IFERROR(__xludf.DUMMYFUNCTION("""COMPUTED_VALUE"""),7.7)</f>
        <v>7.7</v>
      </c>
      <c r="L84" s="24">
        <f>IFERROR(__xludf.DUMMYFUNCTION("""COMPUTED_VALUE"""),4.0)</f>
        <v>4</v>
      </c>
      <c r="M84" s="25" t="str">
        <f>IFERROR(__xludf.DUMMYFUNCTION("""COMPUTED_VALUE"""),"Action-Adventure")</f>
        <v>Action-Adventure</v>
      </c>
      <c r="N84" s="25" t="str">
        <f>IFERROR(__xludf.DUMMYFUNCTION("""COMPUTED_VALUE"""),"PS3")</f>
        <v>PS3</v>
      </c>
      <c r="O84" s="26" t="str">
        <f>IFERROR(__xludf.DUMMYFUNCTION("""COMPUTED_VALUE"""),"Yes")</f>
        <v>Yes</v>
      </c>
      <c r="P84" s="26" t="str">
        <f>IFERROR(__xludf.DUMMYFUNCTION("""COMPUTED_VALUE"""),"")</f>
        <v/>
      </c>
    </row>
    <row r="85">
      <c r="A85" s="13" t="str">
        <f>IFERROR(__xludf.DUMMYFUNCTION("""COMPUTED_VALUE"""),"Truck Racer")</f>
        <v>Truck Racer</v>
      </c>
      <c r="B85" s="15" t="str">
        <f>IFERROR(__xludf.DUMMYFUNCTION("""COMPUTED_VALUE"""),"PS5/PS4")</f>
        <v>PS5/PS4</v>
      </c>
      <c r="C85" s="16" t="str">
        <f>IFERROR(__xludf.DUMMYFUNCTION("""COMPUTED_VALUE"""),"Premium (Streaming Only)")</f>
        <v>Premium (Streaming Only)</v>
      </c>
      <c r="D85" s="15" t="str">
        <f>IFERROR(__xludf.DUMMYFUNCTION("""COMPUTED_VALUE"""),"Active")</f>
        <v>Active</v>
      </c>
      <c r="E85" s="17">
        <f>IFERROR(__xludf.DUMMYFUNCTION("""COMPUTED_VALUE"""),42311.0)</f>
        <v>42311</v>
      </c>
      <c r="F85" s="54"/>
      <c r="G85" s="19">
        <f>IFERROR(__xludf.DUMMYFUNCTION("""COMPUTED_VALUE"""),131.10000000000002)</f>
        <v>131.1</v>
      </c>
      <c r="H85" s="17">
        <f>IFERROR(__xludf.DUMMYFUNCTION("""COMPUTED_VALUE"""),41671.0)</f>
        <v>41671</v>
      </c>
      <c r="I85" s="19">
        <f>IFERROR(__xludf.DUMMYFUNCTION("""COMPUTED_VALUE"""),1.7555555555555555)</f>
        <v>1.755555556</v>
      </c>
      <c r="J85" s="21">
        <f>IFERROR(__xludf.DUMMYFUNCTION("""COMPUTED_VALUE"""),78.0)</f>
        <v>78</v>
      </c>
      <c r="K85" s="23">
        <f>IFERROR(__xludf.DUMMYFUNCTION("""COMPUTED_VALUE"""),4.2)</f>
        <v>4.2</v>
      </c>
      <c r="L85" s="24">
        <f>IFERROR(__xludf.DUMMYFUNCTION("""COMPUTED_VALUE"""),5.0)</f>
        <v>5</v>
      </c>
      <c r="M85" s="25" t="str">
        <f>IFERROR(__xludf.DUMMYFUNCTION("""COMPUTED_VALUE"""),"Racing")</f>
        <v>Racing</v>
      </c>
      <c r="N85" s="25" t="str">
        <f>IFERROR(__xludf.DUMMYFUNCTION("""COMPUTED_VALUE"""),"PS3")</f>
        <v>PS3</v>
      </c>
      <c r="O85" s="26" t="str">
        <f>IFERROR(__xludf.DUMMYFUNCTION("""COMPUTED_VALUE"""),"Yes")</f>
        <v>Yes</v>
      </c>
      <c r="P85" s="26" t="str">
        <f>IFERROR(__xludf.DUMMYFUNCTION("""COMPUTED_VALUE"""),"")</f>
        <v/>
      </c>
    </row>
    <row r="86">
      <c r="A86" s="13" t="str">
        <f>IFERROR(__xludf.DUMMYFUNCTION("""COMPUTED_VALUE"""),"Anomaly: Warzone Earth")</f>
        <v>Anomaly: Warzone Earth</v>
      </c>
      <c r="B86" s="15" t="str">
        <f>IFERROR(__xludf.DUMMYFUNCTION("""COMPUTED_VALUE"""),"PS5/PS4")</f>
        <v>PS5/PS4</v>
      </c>
      <c r="C86" s="16" t="str">
        <f>IFERROR(__xludf.DUMMYFUNCTION("""COMPUTED_VALUE"""),"Premium (Streaming Only)")</f>
        <v>Premium (Streaming Only)</v>
      </c>
      <c r="D86" s="15" t="str">
        <f>IFERROR(__xludf.DUMMYFUNCTION("""COMPUTED_VALUE"""),"Active")</f>
        <v>Active</v>
      </c>
      <c r="E86" s="17">
        <f>IFERROR(__xludf.DUMMYFUNCTION("""COMPUTED_VALUE"""),42017.0)</f>
        <v>42017</v>
      </c>
      <c r="F86" s="54"/>
      <c r="G86" s="19">
        <f>IFERROR(__xludf.DUMMYFUNCTION("""COMPUTED_VALUE"""),140.76666666666668)</f>
        <v>140.7666667</v>
      </c>
      <c r="H86" s="17">
        <f>IFERROR(__xludf.DUMMYFUNCTION("""COMPUTED_VALUE"""),41153.0)</f>
        <v>41153</v>
      </c>
      <c r="I86" s="19">
        <f>IFERROR(__xludf.DUMMYFUNCTION("""COMPUTED_VALUE"""),2.3666666666666667)</f>
        <v>2.366666667</v>
      </c>
      <c r="J86" s="21">
        <f>IFERROR(__xludf.DUMMYFUNCTION("""COMPUTED_VALUE"""),78.0)</f>
        <v>78</v>
      </c>
      <c r="K86" s="23">
        <f>IFERROR(__xludf.DUMMYFUNCTION("""COMPUTED_VALUE"""),7.2)</f>
        <v>7.2</v>
      </c>
      <c r="L86" s="24">
        <f>IFERROR(__xludf.DUMMYFUNCTION("""COMPUTED_VALUE"""),5.0)</f>
        <v>5</v>
      </c>
      <c r="M86" s="25" t="str">
        <f>IFERROR(__xludf.DUMMYFUNCTION("""COMPUTED_VALUE"""),"Strategy")</f>
        <v>Strategy</v>
      </c>
      <c r="N86" s="25" t="str">
        <f>IFERROR(__xludf.DUMMYFUNCTION("""COMPUTED_VALUE"""),"PS3")</f>
        <v>PS3</v>
      </c>
      <c r="O86" s="26" t="str">
        <f>IFERROR(__xludf.DUMMYFUNCTION("""COMPUTED_VALUE"""),"Yes")</f>
        <v>Yes</v>
      </c>
      <c r="P86" s="26" t="str">
        <f>IFERROR(__xludf.DUMMYFUNCTION("""COMPUTED_VALUE"""),"Yes")</f>
        <v>Yes</v>
      </c>
    </row>
    <row r="87">
      <c r="A87" s="13" t="str">
        <f>IFERROR(__xludf.DUMMYFUNCTION("""COMPUTED_VALUE"""),"Chime Super Deluxe")</f>
        <v>Chime Super Deluxe</v>
      </c>
      <c r="B87" s="15" t="str">
        <f>IFERROR(__xludf.DUMMYFUNCTION("""COMPUTED_VALUE"""),"PS5/PS4")</f>
        <v>PS5/PS4</v>
      </c>
      <c r="C87" s="16" t="str">
        <f>IFERROR(__xludf.DUMMYFUNCTION("""COMPUTED_VALUE"""),"Premium (Streaming Only)")</f>
        <v>Premium (Streaming Only)</v>
      </c>
      <c r="D87" s="15" t="str">
        <f>IFERROR(__xludf.DUMMYFUNCTION("""COMPUTED_VALUE"""),"Active")</f>
        <v>Active</v>
      </c>
      <c r="E87" s="17">
        <f>IFERROR(__xludf.DUMMYFUNCTION("""COMPUTED_VALUE"""),42017.0)</f>
        <v>42017</v>
      </c>
      <c r="F87" s="54"/>
      <c r="G87" s="19">
        <f>IFERROR(__xludf.DUMMYFUNCTION("""COMPUTED_VALUE"""),140.76666666666668)</f>
        <v>140.7666667</v>
      </c>
      <c r="H87" s="17">
        <f>IFERROR(__xludf.DUMMYFUNCTION("""COMPUTED_VALUE"""),40603.0)</f>
        <v>40603</v>
      </c>
      <c r="I87" s="19">
        <f>IFERROR(__xludf.DUMMYFUNCTION("""COMPUTED_VALUE"""),3.8666666666666667)</f>
        <v>3.866666667</v>
      </c>
      <c r="J87" s="21">
        <f>IFERROR(__xludf.DUMMYFUNCTION("""COMPUTED_VALUE"""),78.0)</f>
        <v>78</v>
      </c>
      <c r="K87" s="23">
        <f>IFERROR(__xludf.DUMMYFUNCTION("""COMPUTED_VALUE"""),7.1)</f>
        <v>7.1</v>
      </c>
      <c r="L87" s="24"/>
      <c r="M87" s="25" t="str">
        <f>IFERROR(__xludf.DUMMYFUNCTION("""COMPUTED_VALUE"""),"Puzzle")</f>
        <v>Puzzle</v>
      </c>
      <c r="N87" s="25" t="str">
        <f>IFERROR(__xludf.DUMMYFUNCTION("""COMPUTED_VALUE"""),"PS3")</f>
        <v>PS3</v>
      </c>
      <c r="O87" s="26" t="str">
        <f>IFERROR(__xludf.DUMMYFUNCTION("""COMPUTED_VALUE"""),"Yes")</f>
        <v>Yes</v>
      </c>
      <c r="P87" s="26" t="str">
        <f>IFERROR(__xludf.DUMMYFUNCTION("""COMPUTED_VALUE"""),"Yes")</f>
        <v>Yes</v>
      </c>
    </row>
    <row r="88">
      <c r="A88" s="13" t="str">
        <f>IFERROR(__xludf.DUMMYFUNCTION("""COMPUTED_VALUE"""),"inFAMOUS: Festival of Blood")</f>
        <v>inFAMOUS: Festival of Blood</v>
      </c>
      <c r="B88" s="15" t="str">
        <f>IFERROR(__xludf.DUMMYFUNCTION("""COMPUTED_VALUE"""),"PS5/PS4")</f>
        <v>PS5/PS4</v>
      </c>
      <c r="C88" s="16" t="str">
        <f>IFERROR(__xludf.DUMMYFUNCTION("""COMPUTED_VALUE"""),"Premium (Streaming Only)")</f>
        <v>Premium (Streaming Only)</v>
      </c>
      <c r="D88" s="15" t="str">
        <f>IFERROR(__xludf.DUMMYFUNCTION("""COMPUTED_VALUE"""),"Active")</f>
        <v>Active</v>
      </c>
      <c r="E88" s="17">
        <f>IFERROR(__xludf.DUMMYFUNCTION("""COMPUTED_VALUE"""),42017.0)</f>
        <v>42017</v>
      </c>
      <c r="F88" s="54"/>
      <c r="G88" s="19">
        <f>IFERROR(__xludf.DUMMYFUNCTION("""COMPUTED_VALUE"""),140.76666666666668)</f>
        <v>140.7666667</v>
      </c>
      <c r="H88" s="17">
        <f>IFERROR(__xludf.DUMMYFUNCTION("""COMPUTED_VALUE"""),40817.0)</f>
        <v>40817</v>
      </c>
      <c r="I88" s="19">
        <f>IFERROR(__xludf.DUMMYFUNCTION("""COMPUTED_VALUE"""),3.283333333333333)</f>
        <v>3.283333333</v>
      </c>
      <c r="J88" s="21">
        <f>IFERROR(__xludf.DUMMYFUNCTION("""COMPUTED_VALUE"""),78.0)</f>
        <v>78</v>
      </c>
      <c r="K88" s="23">
        <f>IFERROR(__xludf.DUMMYFUNCTION("""COMPUTED_VALUE"""),7.7)</f>
        <v>7.7</v>
      </c>
      <c r="L88" s="24">
        <f>IFERROR(__xludf.DUMMYFUNCTION("""COMPUTED_VALUE"""),3.0)</f>
        <v>3</v>
      </c>
      <c r="M88" s="25" t="str">
        <f>IFERROR(__xludf.DUMMYFUNCTION("""COMPUTED_VALUE"""),"Action-Adventure")</f>
        <v>Action-Adventure</v>
      </c>
      <c r="N88" s="25" t="str">
        <f>IFERROR(__xludf.DUMMYFUNCTION("""COMPUTED_VALUE"""),"PS3")</f>
        <v>PS3</v>
      </c>
      <c r="O88" s="26" t="str">
        <f>IFERROR(__xludf.DUMMYFUNCTION("""COMPUTED_VALUE"""),"Yes")</f>
        <v>Yes</v>
      </c>
      <c r="P88" s="26" t="str">
        <f>IFERROR(__xludf.DUMMYFUNCTION("""COMPUTED_VALUE"""),"")</f>
        <v/>
      </c>
    </row>
    <row r="89">
      <c r="A89" s="13" t="str">
        <f>IFERROR(__xludf.DUMMYFUNCTION("""COMPUTED_VALUE"""),"Machinarium")</f>
        <v>Machinarium</v>
      </c>
      <c r="B89" s="15" t="str">
        <f>IFERROR(__xludf.DUMMYFUNCTION("""COMPUTED_VALUE"""),"PS5/PS4")</f>
        <v>PS5/PS4</v>
      </c>
      <c r="C89" s="16" t="str">
        <f>IFERROR(__xludf.DUMMYFUNCTION("""COMPUTED_VALUE"""),"Premium (Streaming Only)")</f>
        <v>Premium (Streaming Only)</v>
      </c>
      <c r="D89" s="15" t="str">
        <f>IFERROR(__xludf.DUMMYFUNCTION("""COMPUTED_VALUE"""),"Active")</f>
        <v>Active</v>
      </c>
      <c r="E89" s="17">
        <f>IFERROR(__xludf.DUMMYFUNCTION("""COMPUTED_VALUE"""),42017.0)</f>
        <v>42017</v>
      </c>
      <c r="F89" s="54"/>
      <c r="G89" s="19">
        <f>IFERROR(__xludf.DUMMYFUNCTION("""COMPUTED_VALUE"""),140.76666666666668)</f>
        <v>140.7666667</v>
      </c>
      <c r="H89" s="17">
        <f>IFERROR(__xludf.DUMMYFUNCTION("""COMPUTED_VALUE"""),41183.0)</f>
        <v>41183</v>
      </c>
      <c r="I89" s="19">
        <f>IFERROR(__xludf.DUMMYFUNCTION("""COMPUTED_VALUE"""),2.283333333333333)</f>
        <v>2.283333333</v>
      </c>
      <c r="J89" s="21">
        <f>IFERROR(__xludf.DUMMYFUNCTION("""COMPUTED_VALUE"""),78.0)</f>
        <v>78</v>
      </c>
      <c r="K89" s="23">
        <f>IFERROR(__xludf.DUMMYFUNCTION("""COMPUTED_VALUE"""),8.5)</f>
        <v>8.5</v>
      </c>
      <c r="L89" s="24">
        <f>IFERROR(__xludf.DUMMYFUNCTION("""COMPUTED_VALUE"""),5.0)</f>
        <v>5</v>
      </c>
      <c r="M89" s="25" t="str">
        <f>IFERROR(__xludf.DUMMYFUNCTION("""COMPUTED_VALUE"""),"Adventure")</f>
        <v>Adventure</v>
      </c>
      <c r="N89" s="25" t="str">
        <f>IFERROR(__xludf.DUMMYFUNCTION("""COMPUTED_VALUE"""),"PS3")</f>
        <v>PS3</v>
      </c>
      <c r="O89" s="26" t="str">
        <f>IFERROR(__xludf.DUMMYFUNCTION("""COMPUTED_VALUE"""),"Yes")</f>
        <v>Yes</v>
      </c>
      <c r="P89" s="26" t="str">
        <f>IFERROR(__xludf.DUMMYFUNCTION("""COMPUTED_VALUE"""),"")</f>
        <v/>
      </c>
    </row>
    <row r="90">
      <c r="A90" s="13" t="str">
        <f>IFERROR(__xludf.DUMMYFUNCTION("""COMPUTED_VALUE"""),"Retro/Grade")</f>
        <v>Retro/Grade</v>
      </c>
      <c r="B90" s="15" t="str">
        <f>IFERROR(__xludf.DUMMYFUNCTION("""COMPUTED_VALUE"""),"PS5/PS4")</f>
        <v>PS5/PS4</v>
      </c>
      <c r="C90" s="16" t="str">
        <f>IFERROR(__xludf.DUMMYFUNCTION("""COMPUTED_VALUE"""),"Premium (Streaming Only)")</f>
        <v>Premium (Streaming Only)</v>
      </c>
      <c r="D90" s="15" t="str">
        <f>IFERROR(__xludf.DUMMYFUNCTION("""COMPUTED_VALUE"""),"Active")</f>
        <v>Active</v>
      </c>
      <c r="E90" s="17">
        <f>IFERROR(__xludf.DUMMYFUNCTION("""COMPUTED_VALUE"""),42017.0)</f>
        <v>42017</v>
      </c>
      <c r="F90" s="54"/>
      <c r="G90" s="19">
        <f>IFERROR(__xludf.DUMMYFUNCTION("""COMPUTED_VALUE"""),140.76666666666668)</f>
        <v>140.7666667</v>
      </c>
      <c r="H90" s="17">
        <f>IFERROR(__xludf.DUMMYFUNCTION("""COMPUTED_VALUE"""),41122.0)</f>
        <v>41122</v>
      </c>
      <c r="I90" s="19">
        <f>IFERROR(__xludf.DUMMYFUNCTION("""COMPUTED_VALUE"""),2.45)</f>
        <v>2.45</v>
      </c>
      <c r="J90" s="21">
        <f>IFERROR(__xludf.DUMMYFUNCTION("""COMPUTED_VALUE"""),78.0)</f>
        <v>78</v>
      </c>
      <c r="K90" s="23">
        <f>IFERROR(__xludf.DUMMYFUNCTION("""COMPUTED_VALUE"""),7.0)</f>
        <v>7</v>
      </c>
      <c r="L90" s="24">
        <f>IFERROR(__xludf.DUMMYFUNCTION("""COMPUTED_VALUE"""),4.0)</f>
        <v>4</v>
      </c>
      <c r="M90" s="25" t="str">
        <f>IFERROR(__xludf.DUMMYFUNCTION("""COMPUTED_VALUE"""),"Shooter")</f>
        <v>Shooter</v>
      </c>
      <c r="N90" s="25" t="str">
        <f>IFERROR(__xludf.DUMMYFUNCTION("""COMPUTED_VALUE"""),"PS3")</f>
        <v>PS3</v>
      </c>
      <c r="O90" s="26" t="str">
        <f>IFERROR(__xludf.DUMMYFUNCTION("""COMPUTED_VALUE"""),"Yes")</f>
        <v>Yes</v>
      </c>
      <c r="P90" s="26" t="str">
        <f>IFERROR(__xludf.DUMMYFUNCTION("""COMPUTED_VALUE"""),"")</f>
        <v/>
      </c>
    </row>
    <row r="91">
      <c r="A91" s="13" t="str">
        <f>IFERROR(__xludf.DUMMYFUNCTION("""COMPUTED_VALUE"""),"Siren: Blood Curse")</f>
        <v>Siren: Blood Curse</v>
      </c>
      <c r="B91" s="15" t="str">
        <f>IFERROR(__xludf.DUMMYFUNCTION("""COMPUTED_VALUE"""),"PS5/PS4")</f>
        <v>PS5/PS4</v>
      </c>
      <c r="C91" s="16" t="str">
        <f>IFERROR(__xludf.DUMMYFUNCTION("""COMPUTED_VALUE"""),"Premium (Streaming Only)")</f>
        <v>Premium (Streaming Only)</v>
      </c>
      <c r="D91" s="15" t="str">
        <f>IFERROR(__xludf.DUMMYFUNCTION("""COMPUTED_VALUE"""),"Active")</f>
        <v>Active</v>
      </c>
      <c r="E91" s="17">
        <f>IFERROR(__xludf.DUMMYFUNCTION("""COMPUTED_VALUE"""),42017.0)</f>
        <v>42017</v>
      </c>
      <c r="F91" s="54"/>
      <c r="G91" s="19">
        <f>IFERROR(__xludf.DUMMYFUNCTION("""COMPUTED_VALUE"""),140.76666666666668)</f>
        <v>140.7666667</v>
      </c>
      <c r="H91" s="17">
        <f>IFERROR(__xludf.DUMMYFUNCTION("""COMPUTED_VALUE"""),39630.0)</f>
        <v>39630</v>
      </c>
      <c r="I91" s="19">
        <f>IFERROR(__xludf.DUMMYFUNCTION("""COMPUTED_VALUE"""),6.533333333333333)</f>
        <v>6.533333333</v>
      </c>
      <c r="J91" s="21">
        <f>IFERROR(__xludf.DUMMYFUNCTION("""COMPUTED_VALUE"""),78.0)</f>
        <v>78</v>
      </c>
      <c r="K91" s="23">
        <f>IFERROR(__xludf.DUMMYFUNCTION("""COMPUTED_VALUE"""),7.7)</f>
        <v>7.7</v>
      </c>
      <c r="L91" s="24">
        <f>IFERROR(__xludf.DUMMYFUNCTION("""COMPUTED_VALUE"""),16.0)</f>
        <v>16</v>
      </c>
      <c r="M91" s="25" t="str">
        <f>IFERROR(__xludf.DUMMYFUNCTION("""COMPUTED_VALUE"""),"Horror")</f>
        <v>Horror</v>
      </c>
      <c r="N91" s="25" t="str">
        <f>IFERROR(__xludf.DUMMYFUNCTION("""COMPUTED_VALUE"""),"PS3")</f>
        <v>PS3</v>
      </c>
      <c r="O91" s="26" t="str">
        <f>IFERROR(__xludf.DUMMYFUNCTION("""COMPUTED_VALUE"""),"Yes")</f>
        <v>Yes</v>
      </c>
      <c r="P91" s="26" t="str">
        <f>IFERROR(__xludf.DUMMYFUNCTION("""COMPUTED_VALUE"""),"")</f>
        <v/>
      </c>
    </row>
    <row r="92">
      <c r="A92" s="13" t="str">
        <f>IFERROR(__xludf.DUMMYFUNCTION("""COMPUTED_VALUE"""),"LEGO Indiana Jones: The Original Adventures")</f>
        <v>LEGO Indiana Jones: The Original Adventures</v>
      </c>
      <c r="B92" s="15" t="str">
        <f>IFERROR(__xludf.DUMMYFUNCTION("""COMPUTED_VALUE"""),"PS5/PS4")</f>
        <v>PS5/PS4</v>
      </c>
      <c r="C92" s="16" t="str">
        <f>IFERROR(__xludf.DUMMYFUNCTION("""COMPUTED_VALUE"""),"Premium (Streaming Only)")</f>
        <v>Premium (Streaming Only)</v>
      </c>
      <c r="D92" s="15" t="str">
        <f>IFERROR(__xludf.DUMMYFUNCTION("""COMPUTED_VALUE"""),"Active")</f>
        <v>Active</v>
      </c>
      <c r="E92" s="17">
        <f>IFERROR(__xludf.DUMMYFUNCTION("""COMPUTED_VALUE"""),42829.0)</f>
        <v>42829</v>
      </c>
      <c r="F92" s="54"/>
      <c r="G92" s="19">
        <f>IFERROR(__xludf.DUMMYFUNCTION("""COMPUTED_VALUE"""),114.06666666666668)</f>
        <v>114.0666667</v>
      </c>
      <c r="H92" s="17">
        <f>IFERROR(__xludf.DUMMYFUNCTION("""COMPUTED_VALUE"""),39602.0)</f>
        <v>39602</v>
      </c>
      <c r="I92" s="19">
        <f>IFERROR(__xludf.DUMMYFUNCTION("""COMPUTED_VALUE"""),8.83611111111111)</f>
        <v>8.836111111</v>
      </c>
      <c r="J92" s="21">
        <f>IFERROR(__xludf.DUMMYFUNCTION("""COMPUTED_VALUE"""),77.0)</f>
        <v>77</v>
      </c>
      <c r="K92" s="23">
        <f>IFERROR(__xludf.DUMMYFUNCTION("""COMPUTED_VALUE"""),7.9)</f>
        <v>7.9</v>
      </c>
      <c r="L92" s="24">
        <f>IFERROR(__xludf.DUMMYFUNCTION("""COMPUTED_VALUE"""),10.0)</f>
        <v>10</v>
      </c>
      <c r="M92" s="25" t="str">
        <f>IFERROR(__xludf.DUMMYFUNCTION("""COMPUTED_VALUE"""),"Action-Adventure")</f>
        <v>Action-Adventure</v>
      </c>
      <c r="N92" s="25" t="str">
        <f>IFERROR(__xludf.DUMMYFUNCTION("""COMPUTED_VALUE"""),"PS3")</f>
        <v>PS3</v>
      </c>
      <c r="O92" s="26" t="str">
        <f>IFERROR(__xludf.DUMMYFUNCTION("""COMPUTED_VALUE"""),"Yes")</f>
        <v>Yes</v>
      </c>
      <c r="P92" s="26"/>
    </row>
    <row r="93">
      <c r="A93" s="13" t="str">
        <f>IFERROR(__xludf.DUMMYFUNCTION("""COMPUTED_VALUE"""),"MotorStorm Apocalypse")</f>
        <v>MotorStorm Apocalypse</v>
      </c>
      <c r="B93" s="15" t="str">
        <f>IFERROR(__xludf.DUMMYFUNCTION("""COMPUTED_VALUE"""),"PS5/PS4")</f>
        <v>PS5/PS4</v>
      </c>
      <c r="C93" s="16" t="str">
        <f>IFERROR(__xludf.DUMMYFUNCTION("""COMPUTED_VALUE"""),"Premium (Streaming Only)")</f>
        <v>Premium (Streaming Only)</v>
      </c>
      <c r="D93" s="15" t="str">
        <f>IFERROR(__xludf.DUMMYFUNCTION("""COMPUTED_VALUE"""),"Active")</f>
        <v>Active</v>
      </c>
      <c r="E93" s="17">
        <f>IFERROR(__xludf.DUMMYFUNCTION("""COMPUTED_VALUE"""),42374.0)</f>
        <v>42374</v>
      </c>
      <c r="F93" s="18"/>
      <c r="G93" s="19">
        <f>IFERROR(__xludf.DUMMYFUNCTION("""COMPUTED_VALUE"""),129.03333333333333)</f>
        <v>129.0333333</v>
      </c>
      <c r="H93" s="17">
        <f>IFERROR(__xludf.DUMMYFUNCTION("""COMPUTED_VALUE"""),40664.0)</f>
        <v>40664</v>
      </c>
      <c r="I93" s="19">
        <f>IFERROR(__xludf.DUMMYFUNCTION("""COMPUTED_VALUE"""),4.677777777777778)</f>
        <v>4.677777778</v>
      </c>
      <c r="J93" s="21">
        <f>IFERROR(__xludf.DUMMYFUNCTION("""COMPUTED_VALUE"""),77.0)</f>
        <v>77</v>
      </c>
      <c r="K93" s="23">
        <f>IFERROR(__xludf.DUMMYFUNCTION("""COMPUTED_VALUE"""),7.8)</f>
        <v>7.8</v>
      </c>
      <c r="L93" s="17">
        <f>IFERROR(__xludf.DUMMYFUNCTION("""COMPUTED_VALUE"""),10.0)</f>
        <v>10</v>
      </c>
      <c r="M93" s="25" t="str">
        <f>IFERROR(__xludf.DUMMYFUNCTION("""COMPUTED_VALUE"""),"Racing")</f>
        <v>Racing</v>
      </c>
      <c r="N93" s="25" t="str">
        <f>IFERROR(__xludf.DUMMYFUNCTION("""COMPUTED_VALUE"""),"PS3")</f>
        <v>PS3</v>
      </c>
      <c r="O93" s="26" t="str">
        <f>IFERROR(__xludf.DUMMYFUNCTION("""COMPUTED_VALUE"""),"Yes")</f>
        <v>Yes</v>
      </c>
      <c r="P93" s="26" t="str">
        <f>IFERROR(__xludf.DUMMYFUNCTION("""COMPUTED_VALUE"""),"")</f>
        <v/>
      </c>
    </row>
    <row r="94">
      <c r="A94" s="13" t="str">
        <f>IFERROR(__xludf.DUMMYFUNCTION("""COMPUTED_VALUE"""),"Soldner-X 2: Final Prototype")</f>
        <v>Soldner-X 2: Final Prototype</v>
      </c>
      <c r="B94" s="15" t="str">
        <f>IFERROR(__xludf.DUMMYFUNCTION("""COMPUTED_VALUE"""),"PS5/PS4")</f>
        <v>PS5/PS4</v>
      </c>
      <c r="C94" s="16" t="str">
        <f>IFERROR(__xludf.DUMMYFUNCTION("""COMPUTED_VALUE"""),"Premium (Streaming Only)")</f>
        <v>Premium (Streaming Only)</v>
      </c>
      <c r="D94" s="15" t="str">
        <f>IFERROR(__xludf.DUMMYFUNCTION("""COMPUTED_VALUE"""),"Active")</f>
        <v>Active</v>
      </c>
      <c r="E94" s="17">
        <f>IFERROR(__xludf.DUMMYFUNCTION("""COMPUTED_VALUE"""),42374.0)</f>
        <v>42374</v>
      </c>
      <c r="F94" s="18"/>
      <c r="G94" s="19">
        <f>IFERROR(__xludf.DUMMYFUNCTION("""COMPUTED_VALUE"""),129.03333333333333)</f>
        <v>129.0333333</v>
      </c>
      <c r="H94" s="17">
        <f>IFERROR(__xludf.DUMMYFUNCTION("""COMPUTED_VALUE"""),42064.0)</f>
        <v>42064</v>
      </c>
      <c r="I94" s="19">
        <f>IFERROR(__xludf.DUMMYFUNCTION("""COMPUTED_VALUE"""),0.8444444444444444)</f>
        <v>0.8444444444</v>
      </c>
      <c r="J94" s="21">
        <f>IFERROR(__xludf.DUMMYFUNCTION("""COMPUTED_VALUE"""),77.0)</f>
        <v>77</v>
      </c>
      <c r="K94" s="23">
        <f>IFERROR(__xludf.DUMMYFUNCTION("""COMPUTED_VALUE"""),7.3)</f>
        <v>7.3</v>
      </c>
      <c r="L94" s="24">
        <f>IFERROR(__xludf.DUMMYFUNCTION("""COMPUTED_VALUE"""),6.0)</f>
        <v>6</v>
      </c>
      <c r="M94" s="25" t="str">
        <f>IFERROR(__xludf.DUMMYFUNCTION("""COMPUTED_VALUE"""),"Shooter")</f>
        <v>Shooter</v>
      </c>
      <c r="N94" s="25" t="str">
        <f>IFERROR(__xludf.DUMMYFUNCTION("""COMPUTED_VALUE"""),"PS3")</f>
        <v>PS3</v>
      </c>
      <c r="O94" s="26" t="str">
        <f>IFERROR(__xludf.DUMMYFUNCTION("""COMPUTED_VALUE"""),"Yes")</f>
        <v>Yes</v>
      </c>
      <c r="P94" s="26" t="str">
        <f>IFERROR(__xludf.DUMMYFUNCTION("""COMPUTED_VALUE"""),"")</f>
        <v/>
      </c>
    </row>
    <row r="95">
      <c r="A95" s="13" t="str">
        <f>IFERROR(__xludf.DUMMYFUNCTION("""COMPUTED_VALUE"""),"The Last Guy")</f>
        <v>The Last Guy</v>
      </c>
      <c r="B95" s="15" t="str">
        <f>IFERROR(__xludf.DUMMYFUNCTION("""COMPUTED_VALUE"""),"PS5/PS4")</f>
        <v>PS5/PS4</v>
      </c>
      <c r="C95" s="16" t="str">
        <f>IFERROR(__xludf.DUMMYFUNCTION("""COMPUTED_VALUE"""),"Premium (Streaming Only)")</f>
        <v>Premium (Streaming Only)</v>
      </c>
      <c r="D95" s="15" t="str">
        <f>IFERROR(__xludf.DUMMYFUNCTION("""COMPUTED_VALUE"""),"Active")</f>
        <v>Active</v>
      </c>
      <c r="E95" s="17">
        <f>IFERROR(__xludf.DUMMYFUNCTION("""COMPUTED_VALUE"""),42374.0)</f>
        <v>42374</v>
      </c>
      <c r="F95" s="18"/>
      <c r="G95" s="19">
        <f>IFERROR(__xludf.DUMMYFUNCTION("""COMPUTED_VALUE"""),129.03333333333333)</f>
        <v>129.0333333</v>
      </c>
      <c r="H95" s="17">
        <f>IFERROR(__xludf.DUMMYFUNCTION("""COMPUTED_VALUE"""),39661.0)</f>
        <v>39661</v>
      </c>
      <c r="I95" s="19">
        <f>IFERROR(__xludf.DUMMYFUNCTION("""COMPUTED_VALUE"""),7.427777777777778)</f>
        <v>7.427777778</v>
      </c>
      <c r="J95" s="21">
        <f>IFERROR(__xludf.DUMMYFUNCTION("""COMPUTED_VALUE"""),77.0)</f>
        <v>77</v>
      </c>
      <c r="K95" s="23">
        <f>IFERROR(__xludf.DUMMYFUNCTION("""COMPUTED_VALUE"""),7.6)</f>
        <v>7.6</v>
      </c>
      <c r="L95" s="24">
        <f>IFERROR(__xludf.DUMMYFUNCTION("""COMPUTED_VALUE"""),6.0)</f>
        <v>6</v>
      </c>
      <c r="M95" s="25" t="str">
        <f>IFERROR(__xludf.DUMMYFUNCTION("""COMPUTED_VALUE"""),"Puzzle")</f>
        <v>Puzzle</v>
      </c>
      <c r="N95" s="25" t="str">
        <f>IFERROR(__xludf.DUMMYFUNCTION("""COMPUTED_VALUE"""),"PS3")</f>
        <v>PS3</v>
      </c>
      <c r="O95" s="26" t="str">
        <f>IFERROR(__xludf.DUMMYFUNCTION("""COMPUTED_VALUE"""),"Yes")</f>
        <v>Yes</v>
      </c>
      <c r="P95" s="26" t="str">
        <f>IFERROR(__xludf.DUMMYFUNCTION("""COMPUTED_VALUE"""),"")</f>
        <v/>
      </c>
    </row>
    <row r="96">
      <c r="A96" s="13" t="str">
        <f>IFERROR(__xludf.DUMMYFUNCTION("""COMPUTED_VALUE"""),"Final Fight: Double Impact")</f>
        <v>Final Fight: Double Impact</v>
      </c>
      <c r="B96" s="15" t="str">
        <f>IFERROR(__xludf.DUMMYFUNCTION("""COMPUTED_VALUE"""),"PS5/PS4")</f>
        <v>PS5/PS4</v>
      </c>
      <c r="C96" s="16" t="str">
        <f>IFERROR(__xludf.DUMMYFUNCTION("""COMPUTED_VALUE"""),"Premium (Streaming Only)")</f>
        <v>Premium (Streaming Only)</v>
      </c>
      <c r="D96" s="15" t="str">
        <f>IFERROR(__xludf.DUMMYFUNCTION("""COMPUTED_VALUE"""),"Active")</f>
        <v>Active</v>
      </c>
      <c r="E96" s="17">
        <f>IFERROR(__xludf.DUMMYFUNCTION("""COMPUTED_VALUE"""),42017.0)</f>
        <v>42017</v>
      </c>
      <c r="F96" s="54"/>
      <c r="G96" s="19">
        <f>IFERROR(__xludf.DUMMYFUNCTION("""COMPUTED_VALUE"""),140.76666666666668)</f>
        <v>140.7666667</v>
      </c>
      <c r="H96" s="17">
        <f>IFERROR(__xludf.DUMMYFUNCTION("""COMPUTED_VALUE"""),40282.0)</f>
        <v>40282</v>
      </c>
      <c r="I96" s="19">
        <f>IFERROR(__xludf.DUMMYFUNCTION("""COMPUTED_VALUE"""),4.747222222222222)</f>
        <v>4.747222222</v>
      </c>
      <c r="J96" s="21">
        <f>IFERROR(__xludf.DUMMYFUNCTION("""COMPUTED_VALUE"""),77.0)</f>
        <v>77</v>
      </c>
      <c r="K96" s="23">
        <f>IFERROR(__xludf.DUMMYFUNCTION("""COMPUTED_VALUE"""),7.5)</f>
        <v>7.5</v>
      </c>
      <c r="L96" s="24">
        <f>IFERROR(__xludf.DUMMYFUNCTION("""COMPUTED_VALUE"""),1.0)</f>
        <v>1</v>
      </c>
      <c r="M96" s="25" t="str">
        <f>IFERROR(__xludf.DUMMYFUNCTION("""COMPUTED_VALUE"""),"Brawler")</f>
        <v>Brawler</v>
      </c>
      <c r="N96" s="25" t="str">
        <f>IFERROR(__xludf.DUMMYFUNCTION("""COMPUTED_VALUE"""),"PS3")</f>
        <v>PS3</v>
      </c>
      <c r="O96" s="26" t="str">
        <f>IFERROR(__xludf.DUMMYFUNCTION("""COMPUTED_VALUE"""),"Yes")</f>
        <v>Yes</v>
      </c>
      <c r="P96" s="26"/>
    </row>
    <row r="97">
      <c r="A97" s="13" t="str">
        <f>IFERROR(__xludf.DUMMYFUNCTION("""COMPUTED_VALUE"""),"Penny Arcade Adventures: On the Rain-Slick Precipice of Darkness - Episode One")</f>
        <v>Penny Arcade Adventures: On the Rain-Slick Precipice of Darkness - Episode One</v>
      </c>
      <c r="B97" s="15" t="str">
        <f>IFERROR(__xludf.DUMMYFUNCTION("""COMPUTED_VALUE"""),"PS5/PS4")</f>
        <v>PS5/PS4</v>
      </c>
      <c r="C97" s="16" t="str">
        <f>IFERROR(__xludf.DUMMYFUNCTION("""COMPUTED_VALUE"""),"Premium (Streaming Only)")</f>
        <v>Premium (Streaming Only)</v>
      </c>
      <c r="D97" s="15" t="str">
        <f>IFERROR(__xludf.DUMMYFUNCTION("""COMPUTED_VALUE"""),"Active")</f>
        <v>Active</v>
      </c>
      <c r="E97" s="17">
        <f>IFERROR(__xludf.DUMMYFUNCTION("""COMPUTED_VALUE"""),42017.0)</f>
        <v>42017</v>
      </c>
      <c r="F97" s="54"/>
      <c r="G97" s="19">
        <f>IFERROR(__xludf.DUMMYFUNCTION("""COMPUTED_VALUE"""),140.76666666666668)</f>
        <v>140.7666667</v>
      </c>
      <c r="H97" s="17">
        <f>IFERROR(__xludf.DUMMYFUNCTION("""COMPUTED_VALUE"""),39569.0)</f>
        <v>39569</v>
      </c>
      <c r="I97" s="19">
        <f>IFERROR(__xludf.DUMMYFUNCTION("""COMPUTED_VALUE"""),6.7)</f>
        <v>6.7</v>
      </c>
      <c r="J97" s="21">
        <f>IFERROR(__xludf.DUMMYFUNCTION("""COMPUTED_VALUE"""),77.0)</f>
        <v>77</v>
      </c>
      <c r="K97" s="23">
        <f>IFERROR(__xludf.DUMMYFUNCTION("""COMPUTED_VALUE"""),7.8)</f>
        <v>7.8</v>
      </c>
      <c r="L97" s="24">
        <f>IFERROR(__xludf.DUMMYFUNCTION("""COMPUTED_VALUE"""),6.0)</f>
        <v>6</v>
      </c>
      <c r="M97" s="25" t="str">
        <f>IFERROR(__xludf.DUMMYFUNCTION("""COMPUTED_VALUE"""),"RPG")</f>
        <v>RPG</v>
      </c>
      <c r="N97" s="25" t="str">
        <f>IFERROR(__xludf.DUMMYFUNCTION("""COMPUTED_VALUE"""),"PS3")</f>
        <v>PS3</v>
      </c>
      <c r="O97" s="26" t="str">
        <f>IFERROR(__xludf.DUMMYFUNCTION("""COMPUTED_VALUE"""),"Yes")</f>
        <v>Yes</v>
      </c>
      <c r="P97" s="26" t="str">
        <f>IFERROR(__xludf.DUMMYFUNCTION("""COMPUTED_VALUE"""),"")</f>
        <v/>
      </c>
    </row>
    <row r="98">
      <c r="A98" s="13" t="str">
        <f>IFERROR(__xludf.DUMMYFUNCTION("""COMPUTED_VALUE"""),"Sanctum 2")</f>
        <v>Sanctum 2</v>
      </c>
      <c r="B98" s="15" t="str">
        <f>IFERROR(__xludf.DUMMYFUNCTION("""COMPUTED_VALUE"""),"PS5/PS4")</f>
        <v>PS5/PS4</v>
      </c>
      <c r="C98" s="16" t="str">
        <f>IFERROR(__xludf.DUMMYFUNCTION("""COMPUTED_VALUE"""),"Premium (Streaming Only)")</f>
        <v>Premium (Streaming Only)</v>
      </c>
      <c r="D98" s="15" t="str">
        <f>IFERROR(__xludf.DUMMYFUNCTION("""COMPUTED_VALUE"""),"Active")</f>
        <v>Active</v>
      </c>
      <c r="E98" s="17">
        <f>IFERROR(__xludf.DUMMYFUNCTION("""COMPUTED_VALUE"""),42017.0)</f>
        <v>42017</v>
      </c>
      <c r="F98" s="54"/>
      <c r="G98" s="19">
        <f>IFERROR(__xludf.DUMMYFUNCTION("""COMPUTED_VALUE"""),140.76666666666668)</f>
        <v>140.7666667</v>
      </c>
      <c r="H98" s="17">
        <f>IFERROR(__xludf.DUMMYFUNCTION("""COMPUTED_VALUE"""),41395.0)</f>
        <v>41395</v>
      </c>
      <c r="I98" s="19">
        <f>IFERROR(__xludf.DUMMYFUNCTION("""COMPUTED_VALUE"""),1.7)</f>
        <v>1.7</v>
      </c>
      <c r="J98" s="21">
        <f>IFERROR(__xludf.DUMMYFUNCTION("""COMPUTED_VALUE"""),77.0)</f>
        <v>77</v>
      </c>
      <c r="K98" s="23">
        <f>IFERROR(__xludf.DUMMYFUNCTION("""COMPUTED_VALUE"""),7.4)</f>
        <v>7.4</v>
      </c>
      <c r="L98" s="24">
        <f>IFERROR(__xludf.DUMMYFUNCTION("""COMPUTED_VALUE"""),8.0)</f>
        <v>8</v>
      </c>
      <c r="M98" s="25" t="str">
        <f>IFERROR(__xludf.DUMMYFUNCTION("""COMPUTED_VALUE"""),"Shooter")</f>
        <v>Shooter</v>
      </c>
      <c r="N98" s="25" t="str">
        <f>IFERROR(__xludf.DUMMYFUNCTION("""COMPUTED_VALUE"""),"PS3")</f>
        <v>PS3</v>
      </c>
      <c r="O98" s="26" t="str">
        <f>IFERROR(__xludf.DUMMYFUNCTION("""COMPUTED_VALUE"""),"Yes")</f>
        <v>Yes</v>
      </c>
      <c r="P98" s="26" t="str">
        <f>IFERROR(__xludf.DUMMYFUNCTION("""COMPUTED_VALUE"""),"")</f>
        <v/>
      </c>
    </row>
    <row r="99">
      <c r="A99" s="13" t="str">
        <f>IFERROR(__xludf.DUMMYFUNCTION("""COMPUTED_VALUE"""),"The King of Fighters XIII")</f>
        <v>The King of Fighters XIII</v>
      </c>
      <c r="B99" s="15" t="str">
        <f>IFERROR(__xludf.DUMMYFUNCTION("""COMPUTED_VALUE"""),"PS5/PS4")</f>
        <v>PS5/PS4</v>
      </c>
      <c r="C99" s="16" t="str">
        <f>IFERROR(__xludf.DUMMYFUNCTION("""COMPUTED_VALUE"""),"Premium (Streaming Only)")</f>
        <v>Premium (Streaming Only)</v>
      </c>
      <c r="D99" s="15" t="str">
        <f>IFERROR(__xludf.DUMMYFUNCTION("""COMPUTED_VALUE"""),"Active")</f>
        <v>Active</v>
      </c>
      <c r="E99" s="17">
        <f>IFERROR(__xludf.DUMMYFUNCTION("""COMPUTED_VALUE"""),42017.0)</f>
        <v>42017</v>
      </c>
      <c r="F99" s="54"/>
      <c r="G99" s="19">
        <f>IFERROR(__xludf.DUMMYFUNCTION("""COMPUTED_VALUE"""),140.76666666666668)</f>
        <v>140.7666667</v>
      </c>
      <c r="H99" s="17">
        <f>IFERROR(__xludf.DUMMYFUNCTION("""COMPUTED_VALUE"""),40848.0)</f>
        <v>40848</v>
      </c>
      <c r="I99" s="19">
        <f>IFERROR(__xludf.DUMMYFUNCTION("""COMPUTED_VALUE"""),3.2)</f>
        <v>3.2</v>
      </c>
      <c r="J99" s="21">
        <f>IFERROR(__xludf.DUMMYFUNCTION("""COMPUTED_VALUE"""),77.0)</f>
        <v>77</v>
      </c>
      <c r="K99" s="23">
        <f>IFERROR(__xludf.DUMMYFUNCTION("""COMPUTED_VALUE"""),8.1)</f>
        <v>8.1</v>
      </c>
      <c r="L99" s="24"/>
      <c r="M99" s="25" t="str">
        <f>IFERROR(__xludf.DUMMYFUNCTION("""COMPUTED_VALUE"""),"Fighting")</f>
        <v>Fighting</v>
      </c>
      <c r="N99" s="25" t="str">
        <f>IFERROR(__xludf.DUMMYFUNCTION("""COMPUTED_VALUE"""),"PS3")</f>
        <v>PS3</v>
      </c>
      <c r="O99" s="26" t="str">
        <f>IFERROR(__xludf.DUMMYFUNCTION("""COMPUTED_VALUE"""),"Yes")</f>
        <v>Yes</v>
      </c>
      <c r="P99" s="26" t="str">
        <f>IFERROR(__xludf.DUMMYFUNCTION("""COMPUTED_VALUE"""),"")</f>
        <v/>
      </c>
    </row>
    <row r="100">
      <c r="A100" s="13" t="str">
        <f>IFERROR(__xludf.DUMMYFUNCTION("""COMPUTED_VALUE"""),"SAMURAI WARRIORS 4")</f>
        <v>SAMURAI WARRIORS 4</v>
      </c>
      <c r="B100" s="15" t="str">
        <f>IFERROR(__xludf.DUMMYFUNCTION("""COMPUTED_VALUE"""),"PS5/PS4")</f>
        <v>PS5/PS4</v>
      </c>
      <c r="C100" s="16" t="str">
        <f>IFERROR(__xludf.DUMMYFUNCTION("""COMPUTED_VALUE"""),"Premium (Streaming Only)")</f>
        <v>Premium (Streaming Only)</v>
      </c>
      <c r="D100" s="15" t="str">
        <f>IFERROR(__xludf.DUMMYFUNCTION("""COMPUTED_VALUE"""),"Active")</f>
        <v>Active</v>
      </c>
      <c r="E100" s="17">
        <f>IFERROR(__xludf.DUMMYFUNCTION("""COMPUTED_VALUE"""),42773.0)</f>
        <v>42773</v>
      </c>
      <c r="F100" s="54"/>
      <c r="G100" s="19">
        <f>IFERROR(__xludf.DUMMYFUNCTION("""COMPUTED_VALUE"""),115.96666666666667)</f>
        <v>115.9666667</v>
      </c>
      <c r="H100" s="17">
        <f>IFERROR(__xludf.DUMMYFUNCTION("""COMPUTED_VALUE"""),41699.0)</f>
        <v>41699</v>
      </c>
      <c r="I100" s="19">
        <f>IFERROR(__xludf.DUMMYFUNCTION("""COMPUTED_VALUE"""),2.933333333333333)</f>
        <v>2.933333333</v>
      </c>
      <c r="J100" s="21">
        <f>IFERROR(__xludf.DUMMYFUNCTION("""COMPUTED_VALUE"""),76.0)</f>
        <v>76</v>
      </c>
      <c r="K100" s="23">
        <f>IFERROR(__xludf.DUMMYFUNCTION("""COMPUTED_VALUE"""),8.0)</f>
        <v>8</v>
      </c>
      <c r="L100" s="24">
        <f>IFERROR(__xludf.DUMMYFUNCTION("""COMPUTED_VALUE"""),25.0)</f>
        <v>25</v>
      </c>
      <c r="M100" s="25" t="str">
        <f>IFERROR(__xludf.DUMMYFUNCTION("""COMPUTED_VALUE"""),"Action-Adventure")</f>
        <v>Action-Adventure</v>
      </c>
      <c r="N100" s="25" t="str">
        <f>IFERROR(__xludf.DUMMYFUNCTION("""COMPUTED_VALUE"""),"PS3")</f>
        <v>PS3</v>
      </c>
      <c r="O100" s="26" t="str">
        <f>IFERROR(__xludf.DUMMYFUNCTION("""COMPUTED_VALUE"""),"Yes")</f>
        <v>Yes</v>
      </c>
      <c r="P100" s="26" t="str">
        <f>IFERROR(__xludf.DUMMYFUNCTION("""COMPUTED_VALUE"""),"")</f>
        <v/>
      </c>
    </row>
    <row r="101">
      <c r="A101" s="13" t="str">
        <f>IFERROR(__xludf.DUMMYFUNCTION("""COMPUTED_VALUE"""),"Burn Zombie Burn!")</f>
        <v>Burn Zombie Burn!</v>
      </c>
      <c r="B101" s="15" t="str">
        <f>IFERROR(__xludf.DUMMYFUNCTION("""COMPUTED_VALUE"""),"PS5/PS4")</f>
        <v>PS5/PS4</v>
      </c>
      <c r="C101" s="16" t="str">
        <f>IFERROR(__xludf.DUMMYFUNCTION("""COMPUTED_VALUE"""),"Premium (Streaming Only)")</f>
        <v>Premium (Streaming Only)</v>
      </c>
      <c r="D101" s="15" t="str">
        <f>IFERROR(__xludf.DUMMYFUNCTION("""COMPUTED_VALUE"""),"Active")</f>
        <v>Active</v>
      </c>
      <c r="E101" s="17">
        <f>IFERROR(__xludf.DUMMYFUNCTION("""COMPUTED_VALUE"""),42647.0)</f>
        <v>42647</v>
      </c>
      <c r="F101" s="54"/>
      <c r="G101" s="19">
        <f>IFERROR(__xludf.DUMMYFUNCTION("""COMPUTED_VALUE"""),120.06666666666668)</f>
        <v>120.0666667</v>
      </c>
      <c r="H101" s="17">
        <f>IFERROR(__xludf.DUMMYFUNCTION("""COMPUTED_VALUE"""),39873.0)</f>
        <v>39873</v>
      </c>
      <c r="I101" s="19">
        <f>IFERROR(__xludf.DUMMYFUNCTION("""COMPUTED_VALUE"""),7.591666666666667)</f>
        <v>7.591666667</v>
      </c>
      <c r="J101" s="21">
        <f>IFERROR(__xludf.DUMMYFUNCTION("""COMPUTED_VALUE"""),76.0)</f>
        <v>76</v>
      </c>
      <c r="K101" s="23">
        <f>IFERROR(__xludf.DUMMYFUNCTION("""COMPUTED_VALUE"""),7.6)</f>
        <v>7.6</v>
      </c>
      <c r="L101" s="24">
        <f>IFERROR(__xludf.DUMMYFUNCTION("""COMPUTED_VALUE"""),6.0)</f>
        <v>6</v>
      </c>
      <c r="M101" s="25" t="str">
        <f>IFERROR(__xludf.DUMMYFUNCTION("""COMPUTED_VALUE"""),"Shooter")</f>
        <v>Shooter</v>
      </c>
      <c r="N101" s="25" t="str">
        <f>IFERROR(__xludf.DUMMYFUNCTION("""COMPUTED_VALUE"""),"PS3")</f>
        <v>PS3</v>
      </c>
      <c r="O101" s="26" t="str">
        <f>IFERROR(__xludf.DUMMYFUNCTION("""COMPUTED_VALUE"""),"Yes")</f>
        <v>Yes</v>
      </c>
      <c r="P101" s="26" t="str">
        <f>IFERROR(__xludf.DUMMYFUNCTION("""COMPUTED_VALUE"""),"Yes")</f>
        <v>Yes</v>
      </c>
    </row>
    <row r="102">
      <c r="A102" s="13" t="str">
        <f>IFERROR(__xludf.DUMMYFUNCTION("""COMPUTED_VALUE"""),"LEGO Batman: The Videogame")</f>
        <v>LEGO Batman: The Videogame</v>
      </c>
      <c r="B102" s="15" t="str">
        <f>IFERROR(__xludf.DUMMYFUNCTION("""COMPUTED_VALUE"""),"PS5/PS4")</f>
        <v>PS5/PS4</v>
      </c>
      <c r="C102" s="16" t="str">
        <f>IFERROR(__xludf.DUMMYFUNCTION("""COMPUTED_VALUE"""),"Premium (Streaming Only)")</f>
        <v>Premium (Streaming Only)</v>
      </c>
      <c r="D102" s="15" t="str">
        <f>IFERROR(__xludf.DUMMYFUNCTION("""COMPUTED_VALUE"""),"Active")</f>
        <v>Active</v>
      </c>
      <c r="E102" s="17">
        <f>IFERROR(__xludf.DUMMYFUNCTION("""COMPUTED_VALUE"""),42493.0)</f>
        <v>42493</v>
      </c>
      <c r="F102" s="54"/>
      <c r="G102" s="19">
        <f>IFERROR(__xludf.DUMMYFUNCTION("""COMPUTED_VALUE"""),125.10000000000001)</f>
        <v>125.1</v>
      </c>
      <c r="H102" s="17">
        <f>IFERROR(__xludf.DUMMYFUNCTION("""COMPUTED_VALUE"""),39714.0)</f>
        <v>39714</v>
      </c>
      <c r="I102" s="19">
        <f>IFERROR(__xludf.DUMMYFUNCTION("""COMPUTED_VALUE"""),7.611111111111111)</f>
        <v>7.611111111</v>
      </c>
      <c r="J102" s="21">
        <f>IFERROR(__xludf.DUMMYFUNCTION("""COMPUTED_VALUE"""),76.0)</f>
        <v>76</v>
      </c>
      <c r="K102" s="23">
        <f>IFERROR(__xludf.DUMMYFUNCTION("""COMPUTED_VALUE"""),7.8)</f>
        <v>7.8</v>
      </c>
      <c r="L102" s="24">
        <f>IFERROR(__xludf.DUMMYFUNCTION("""COMPUTED_VALUE"""),10.0)</f>
        <v>10</v>
      </c>
      <c r="M102" s="25" t="str">
        <f>IFERROR(__xludf.DUMMYFUNCTION("""COMPUTED_VALUE"""),"Action-Adventure")</f>
        <v>Action-Adventure</v>
      </c>
      <c r="N102" s="25" t="str">
        <f>IFERROR(__xludf.DUMMYFUNCTION("""COMPUTED_VALUE"""),"PS3")</f>
        <v>PS3</v>
      </c>
      <c r="O102" s="26" t="str">
        <f>IFERROR(__xludf.DUMMYFUNCTION("""COMPUTED_VALUE"""),"Yes")</f>
        <v>Yes</v>
      </c>
      <c r="P102" s="26"/>
    </row>
    <row r="103">
      <c r="A103" s="13" t="str">
        <f>IFERROR(__xludf.DUMMYFUNCTION("""COMPUTED_VALUE"""),"Resident Evil 4")</f>
        <v>Resident Evil 4</v>
      </c>
      <c r="B103" s="15" t="str">
        <f>IFERROR(__xludf.DUMMYFUNCTION("""COMPUTED_VALUE"""),"PS5/PS4")</f>
        <v>PS5/PS4</v>
      </c>
      <c r="C103" s="16" t="str">
        <f>IFERROR(__xludf.DUMMYFUNCTION("""COMPUTED_VALUE"""),"Premium (Streaming Only)")</f>
        <v>Premium (Streaming Only)</v>
      </c>
      <c r="D103" s="15" t="str">
        <f>IFERROR(__xludf.DUMMYFUNCTION("""COMPUTED_VALUE"""),"Active")</f>
        <v>Active</v>
      </c>
      <c r="E103" s="17">
        <f>IFERROR(__xludf.DUMMYFUNCTION("""COMPUTED_VALUE"""),42472.0)</f>
        <v>42472</v>
      </c>
      <c r="F103" s="54"/>
      <c r="G103" s="19">
        <f>IFERROR(__xludf.DUMMYFUNCTION("""COMPUTED_VALUE"""),125.79999999999998)</f>
        <v>125.8</v>
      </c>
      <c r="H103" s="17">
        <f>IFERROR(__xludf.DUMMYFUNCTION("""COMPUTED_VALUE"""),38363.0)</f>
        <v>38363</v>
      </c>
      <c r="I103" s="19">
        <f>IFERROR(__xludf.DUMMYFUNCTION("""COMPUTED_VALUE"""),11.252777777777778)</f>
        <v>11.25277778</v>
      </c>
      <c r="J103" s="21">
        <f>IFERROR(__xludf.DUMMYFUNCTION("""COMPUTED_VALUE"""),76.0)</f>
        <v>76</v>
      </c>
      <c r="K103" s="23">
        <f>IFERROR(__xludf.DUMMYFUNCTION("""COMPUTED_VALUE"""),9.0)</f>
        <v>9</v>
      </c>
      <c r="L103" s="24">
        <f>IFERROR(__xludf.DUMMYFUNCTION("""COMPUTED_VALUE"""),16.0)</f>
        <v>16</v>
      </c>
      <c r="M103" s="25" t="str">
        <f>IFERROR(__xludf.DUMMYFUNCTION("""COMPUTED_VALUE"""),"Shooter")</f>
        <v>Shooter</v>
      </c>
      <c r="N103" s="25" t="str">
        <f>IFERROR(__xludf.DUMMYFUNCTION("""COMPUTED_VALUE"""),"PS3")</f>
        <v>PS3</v>
      </c>
      <c r="O103" s="26" t="str">
        <f>IFERROR(__xludf.DUMMYFUNCTION("""COMPUTED_VALUE"""),"Yes")</f>
        <v>Yes</v>
      </c>
      <c r="P103" s="26"/>
    </row>
    <row r="104">
      <c r="A104" s="13" t="str">
        <f>IFERROR(__xludf.DUMMYFUNCTION("""COMPUTED_VALUE"""),"Ratchet and Clank: Quest for Booty")</f>
        <v>Ratchet and Clank: Quest for Booty</v>
      </c>
      <c r="B104" s="15" t="str">
        <f>IFERROR(__xludf.DUMMYFUNCTION("""COMPUTED_VALUE"""),"PS5/PS4")</f>
        <v>PS5/PS4</v>
      </c>
      <c r="C104" s="16" t="str">
        <f>IFERROR(__xludf.DUMMYFUNCTION("""COMPUTED_VALUE"""),"Premium (Streaming Only)")</f>
        <v>Premium (Streaming Only)</v>
      </c>
      <c r="D104" s="15" t="str">
        <f>IFERROR(__xludf.DUMMYFUNCTION("""COMPUTED_VALUE"""),"Active")</f>
        <v>Active</v>
      </c>
      <c r="E104" s="17">
        <f>IFERROR(__xludf.DUMMYFUNCTION("""COMPUTED_VALUE"""),42374.0)</f>
        <v>42374</v>
      </c>
      <c r="F104" s="54"/>
      <c r="G104" s="19">
        <f>IFERROR(__xludf.DUMMYFUNCTION("""COMPUTED_VALUE"""),129.03333333333333)</f>
        <v>129.0333333</v>
      </c>
      <c r="H104" s="17">
        <f>IFERROR(__xludf.DUMMYFUNCTION("""COMPUTED_VALUE"""),39661.0)</f>
        <v>39661</v>
      </c>
      <c r="I104" s="19">
        <f>IFERROR(__xludf.DUMMYFUNCTION("""COMPUTED_VALUE"""),7.427777777777778)</f>
        <v>7.427777778</v>
      </c>
      <c r="J104" s="21">
        <f>IFERROR(__xludf.DUMMYFUNCTION("""COMPUTED_VALUE"""),76.0)</f>
        <v>76</v>
      </c>
      <c r="K104" s="23">
        <f>IFERROR(__xludf.DUMMYFUNCTION("""COMPUTED_VALUE"""),7.5)</f>
        <v>7.5</v>
      </c>
      <c r="L104" s="24">
        <f>IFERROR(__xludf.DUMMYFUNCTION("""COMPUTED_VALUE"""),3.0)</f>
        <v>3</v>
      </c>
      <c r="M104" s="25" t="str">
        <f>IFERROR(__xludf.DUMMYFUNCTION("""COMPUTED_VALUE"""),"Action-Adventure")</f>
        <v>Action-Adventure</v>
      </c>
      <c r="N104" s="25" t="str">
        <f>IFERROR(__xludf.DUMMYFUNCTION("""COMPUTED_VALUE"""),"PS3")</f>
        <v>PS3</v>
      </c>
      <c r="O104" s="26" t="str">
        <f>IFERROR(__xludf.DUMMYFUNCTION("""COMPUTED_VALUE"""),"Yes")</f>
        <v>Yes</v>
      </c>
      <c r="P104" s="26" t="str">
        <f>IFERROR(__xludf.DUMMYFUNCTION("""COMPUTED_VALUE"""),"")</f>
        <v/>
      </c>
    </row>
    <row r="105">
      <c r="A105" s="13" t="str">
        <f>IFERROR(__xludf.DUMMYFUNCTION("""COMPUTED_VALUE"""),"Sam &amp; Max The Devil's Playhouse: Episode 4 - Beyond Alley of Dolls")</f>
        <v>Sam &amp; Max The Devil's Playhouse: Episode 4 - Beyond Alley of Dolls</v>
      </c>
      <c r="B105" s="15" t="str">
        <f>IFERROR(__xludf.DUMMYFUNCTION("""COMPUTED_VALUE"""),"PS5/PS4")</f>
        <v>PS5/PS4</v>
      </c>
      <c r="C105" s="16" t="str">
        <f>IFERROR(__xludf.DUMMYFUNCTION("""COMPUTED_VALUE"""),"Premium (Streaming Only)")</f>
        <v>Premium (Streaming Only)</v>
      </c>
      <c r="D105" s="15" t="str">
        <f>IFERROR(__xludf.DUMMYFUNCTION("""COMPUTED_VALUE"""),"Active")</f>
        <v>Active</v>
      </c>
      <c r="E105" s="17">
        <f>IFERROR(__xludf.DUMMYFUNCTION("""COMPUTED_VALUE"""),42311.0)</f>
        <v>42311</v>
      </c>
      <c r="F105" s="18"/>
      <c r="G105" s="19">
        <f>IFERROR(__xludf.DUMMYFUNCTION("""COMPUTED_VALUE"""),131.10000000000002)</f>
        <v>131.1</v>
      </c>
      <c r="H105" s="17">
        <f>IFERROR(__xludf.DUMMYFUNCTION("""COMPUTED_VALUE"""),40391.0)</f>
        <v>40391</v>
      </c>
      <c r="I105" s="19">
        <f>IFERROR(__xludf.DUMMYFUNCTION("""COMPUTED_VALUE"""),5.2555555555555555)</f>
        <v>5.255555556</v>
      </c>
      <c r="J105" s="21">
        <f>IFERROR(__xludf.DUMMYFUNCTION("""COMPUTED_VALUE"""),76.0)</f>
        <v>76</v>
      </c>
      <c r="K105" s="23">
        <f>IFERROR(__xludf.DUMMYFUNCTION("""COMPUTED_VALUE"""),7.6)</f>
        <v>7.6</v>
      </c>
      <c r="L105" s="24">
        <f>IFERROR(__xludf.DUMMYFUNCTION("""COMPUTED_VALUE"""),3.0)</f>
        <v>3</v>
      </c>
      <c r="M105" s="25" t="str">
        <f>IFERROR(__xludf.DUMMYFUNCTION("""COMPUTED_VALUE"""),"Adventure")</f>
        <v>Adventure</v>
      </c>
      <c r="N105" s="25" t="str">
        <f>IFERROR(__xludf.DUMMYFUNCTION("""COMPUTED_VALUE"""),"PS3")</f>
        <v>PS3</v>
      </c>
      <c r="O105" s="26" t="str">
        <f>IFERROR(__xludf.DUMMYFUNCTION("""COMPUTED_VALUE"""),"Yes")</f>
        <v>Yes</v>
      </c>
      <c r="P105" s="26" t="str">
        <f>IFERROR(__xludf.DUMMYFUNCTION("""COMPUTED_VALUE"""),"")</f>
        <v/>
      </c>
    </row>
    <row r="106">
      <c r="A106" s="13" t="str">
        <f>IFERROR(__xludf.DUMMYFUNCTION("""COMPUTED_VALUE"""),"STRONG BAD'S COOL GAME FOR ATTRACTIVE PEOPLE - EPISODE 1: HOMESTAR RUINER")</f>
        <v>STRONG BAD'S COOL GAME FOR ATTRACTIVE PEOPLE - EPISODE 1: HOMESTAR RUINER</v>
      </c>
      <c r="B106" s="15" t="str">
        <f>IFERROR(__xludf.DUMMYFUNCTION("""COMPUTED_VALUE"""),"PS5/PS4")</f>
        <v>PS5/PS4</v>
      </c>
      <c r="C106" s="16" t="str">
        <f>IFERROR(__xludf.DUMMYFUNCTION("""COMPUTED_VALUE"""),"Premium (Streaming Only)")</f>
        <v>Premium (Streaming Only)</v>
      </c>
      <c r="D106" s="15" t="str">
        <f>IFERROR(__xludf.DUMMYFUNCTION("""COMPUTED_VALUE"""),"Active")</f>
        <v>Active</v>
      </c>
      <c r="E106" s="17">
        <f>IFERROR(__xludf.DUMMYFUNCTION("""COMPUTED_VALUE"""),42311.0)</f>
        <v>42311</v>
      </c>
      <c r="F106" s="54"/>
      <c r="G106" s="19">
        <f>IFERROR(__xludf.DUMMYFUNCTION("""COMPUTED_VALUE"""),131.10000000000002)</f>
        <v>131.1</v>
      </c>
      <c r="H106" s="17">
        <f>IFERROR(__xludf.DUMMYFUNCTION("""COMPUTED_VALUE"""),39539.0)</f>
        <v>39539</v>
      </c>
      <c r="I106" s="19">
        <f>IFERROR(__xludf.DUMMYFUNCTION("""COMPUTED_VALUE"""),7.588888888888889)</f>
        <v>7.588888889</v>
      </c>
      <c r="J106" s="21">
        <f>IFERROR(__xludf.DUMMYFUNCTION("""COMPUTED_VALUE"""),76.0)</f>
        <v>76</v>
      </c>
      <c r="K106" s="23">
        <f>IFERROR(__xludf.DUMMYFUNCTION("""COMPUTED_VALUE"""),7.9)</f>
        <v>7.9</v>
      </c>
      <c r="L106" s="24">
        <f>IFERROR(__xludf.DUMMYFUNCTION("""COMPUTED_VALUE"""),2.0)</f>
        <v>2</v>
      </c>
      <c r="M106" s="25" t="str">
        <f>IFERROR(__xludf.DUMMYFUNCTION("""COMPUTED_VALUE"""),"Adventure")</f>
        <v>Adventure</v>
      </c>
      <c r="N106" s="25" t="str">
        <f>IFERROR(__xludf.DUMMYFUNCTION("""COMPUTED_VALUE"""),"PS3")</f>
        <v>PS3</v>
      </c>
      <c r="O106" s="26" t="str">
        <f>IFERROR(__xludf.DUMMYFUNCTION("""COMPUTED_VALUE"""),"Yes")</f>
        <v>Yes</v>
      </c>
      <c r="P106" s="26" t="str">
        <f>IFERROR(__xludf.DUMMYFUNCTION("""COMPUTED_VALUE"""),"")</f>
        <v/>
      </c>
    </row>
    <row r="107">
      <c r="A107" s="13" t="str">
        <f>IFERROR(__xludf.DUMMYFUNCTION("""COMPUTED_VALUE"""),"Atelier Shallie ~Alchemists of the Dusk Sea~")</f>
        <v>Atelier Shallie ~Alchemists of the Dusk Sea~</v>
      </c>
      <c r="B107" s="15" t="str">
        <f>IFERROR(__xludf.DUMMYFUNCTION("""COMPUTED_VALUE"""),"PS5/PS4")</f>
        <v>PS5/PS4</v>
      </c>
      <c r="C107" s="16" t="str">
        <f>IFERROR(__xludf.DUMMYFUNCTION("""COMPUTED_VALUE"""),"Premium (Streaming Only)")</f>
        <v>Premium (Streaming Only)</v>
      </c>
      <c r="D107" s="15" t="str">
        <f>IFERROR(__xludf.DUMMYFUNCTION("""COMPUTED_VALUE"""),"Active")</f>
        <v>Active</v>
      </c>
      <c r="E107" s="17">
        <f>IFERROR(__xludf.DUMMYFUNCTION("""COMPUTED_VALUE"""),42017.0)</f>
        <v>42017</v>
      </c>
      <c r="F107" s="54"/>
      <c r="G107" s="19">
        <f>IFERROR(__xludf.DUMMYFUNCTION("""COMPUTED_VALUE"""),140.76666666666668)</f>
        <v>140.7666667</v>
      </c>
      <c r="H107" s="17">
        <f>IFERROR(__xludf.DUMMYFUNCTION("""COMPUTED_VALUE"""),41821.0)</f>
        <v>41821</v>
      </c>
      <c r="I107" s="19">
        <f>IFERROR(__xludf.DUMMYFUNCTION("""COMPUTED_VALUE"""),0.5333333333333333)</f>
        <v>0.5333333333</v>
      </c>
      <c r="J107" s="21">
        <f>IFERROR(__xludf.DUMMYFUNCTION("""COMPUTED_VALUE"""),76.0)</f>
        <v>76</v>
      </c>
      <c r="K107" s="23">
        <f>IFERROR(__xludf.DUMMYFUNCTION("""COMPUTED_VALUE"""),7.8)</f>
        <v>7.8</v>
      </c>
      <c r="L107" s="24">
        <f>IFERROR(__xludf.DUMMYFUNCTION("""COMPUTED_VALUE"""),45.0)</f>
        <v>45</v>
      </c>
      <c r="M107" s="25" t="str">
        <f>IFERROR(__xludf.DUMMYFUNCTION("""COMPUTED_VALUE"""),"RPG")</f>
        <v>RPG</v>
      </c>
      <c r="N107" s="25" t="str">
        <f>IFERROR(__xludf.DUMMYFUNCTION("""COMPUTED_VALUE"""),"PS3")</f>
        <v>PS3</v>
      </c>
      <c r="O107" s="26" t="str">
        <f>IFERROR(__xludf.DUMMYFUNCTION("""COMPUTED_VALUE"""),"Yes")</f>
        <v>Yes</v>
      </c>
      <c r="P107" s="26" t="str">
        <f>IFERROR(__xludf.DUMMYFUNCTION("""COMPUTED_VALUE"""),"")</f>
        <v/>
      </c>
    </row>
    <row r="108">
      <c r="A108" s="13" t="str">
        <f>IFERROR(__xludf.DUMMYFUNCTION("""COMPUTED_VALUE"""),"Batman: Arkham Origins")</f>
        <v>Batman: Arkham Origins</v>
      </c>
      <c r="B108" s="15" t="str">
        <f>IFERROR(__xludf.DUMMYFUNCTION("""COMPUTED_VALUE"""),"PS5/PS4")</f>
        <v>PS5/PS4</v>
      </c>
      <c r="C108" s="16" t="str">
        <f>IFERROR(__xludf.DUMMYFUNCTION("""COMPUTED_VALUE"""),"Premium (Streaming Only)")</f>
        <v>Premium (Streaming Only)</v>
      </c>
      <c r="D108" s="15" t="str">
        <f>IFERROR(__xludf.DUMMYFUNCTION("""COMPUTED_VALUE"""),"Active")</f>
        <v>Active</v>
      </c>
      <c r="E108" s="17">
        <f>IFERROR(__xludf.DUMMYFUNCTION("""COMPUTED_VALUE"""),42017.0)</f>
        <v>42017</v>
      </c>
      <c r="F108" s="54"/>
      <c r="G108" s="19">
        <f>IFERROR(__xludf.DUMMYFUNCTION("""COMPUTED_VALUE"""),140.76666666666668)</f>
        <v>140.7666667</v>
      </c>
      <c r="H108" s="17">
        <f>IFERROR(__xludf.DUMMYFUNCTION("""COMPUTED_VALUE"""),41548.0)</f>
        <v>41548</v>
      </c>
      <c r="I108" s="19">
        <f>IFERROR(__xludf.DUMMYFUNCTION("""COMPUTED_VALUE"""),1.2833333333333334)</f>
        <v>1.283333333</v>
      </c>
      <c r="J108" s="21">
        <f>IFERROR(__xludf.DUMMYFUNCTION("""COMPUTED_VALUE"""),76.0)</f>
        <v>76</v>
      </c>
      <c r="K108" s="23">
        <f>IFERROR(__xludf.DUMMYFUNCTION("""COMPUTED_VALUE"""),7.4)</f>
        <v>7.4</v>
      </c>
      <c r="L108" s="24">
        <f>IFERROR(__xludf.DUMMYFUNCTION("""COMPUTED_VALUE"""),12.0)</f>
        <v>12</v>
      </c>
      <c r="M108" s="25" t="str">
        <f>IFERROR(__xludf.DUMMYFUNCTION("""COMPUTED_VALUE"""),"Action-Adventure")</f>
        <v>Action-Adventure</v>
      </c>
      <c r="N108" s="25" t="str">
        <f>IFERROR(__xludf.DUMMYFUNCTION("""COMPUTED_VALUE"""),"PS3")</f>
        <v>PS3</v>
      </c>
      <c r="O108" s="26" t="str">
        <f>IFERROR(__xludf.DUMMYFUNCTION("""COMPUTED_VALUE"""),"Yes")</f>
        <v>Yes</v>
      </c>
      <c r="P108" s="26" t="str">
        <f>IFERROR(__xludf.DUMMYFUNCTION("""COMPUTED_VALUE"""),"")</f>
        <v/>
      </c>
    </row>
    <row r="109">
      <c r="A109" s="13" t="str">
        <f>IFERROR(__xludf.DUMMYFUNCTION("""COMPUTED_VALUE"""),"METAL SLUG 3")</f>
        <v>METAL SLUG 3</v>
      </c>
      <c r="B109" s="15" t="str">
        <f>IFERROR(__xludf.DUMMYFUNCTION("""COMPUTED_VALUE"""),"PS5/PS4")</f>
        <v>PS5/PS4</v>
      </c>
      <c r="C109" s="16" t="str">
        <f>IFERROR(__xludf.DUMMYFUNCTION("""COMPUTED_VALUE"""),"Premium (Streaming Only)")</f>
        <v>Premium (Streaming Only)</v>
      </c>
      <c r="D109" s="15" t="str">
        <f>IFERROR(__xludf.DUMMYFUNCTION("""COMPUTED_VALUE"""),"Active")</f>
        <v>Active</v>
      </c>
      <c r="E109" s="17">
        <f>IFERROR(__xludf.DUMMYFUNCTION("""COMPUTED_VALUE"""),42017.0)</f>
        <v>42017</v>
      </c>
      <c r="F109" s="54"/>
      <c r="G109" s="19">
        <f>IFERROR(__xludf.DUMMYFUNCTION("""COMPUTED_VALUE"""),140.76666666666668)</f>
        <v>140.7666667</v>
      </c>
      <c r="H109" s="17">
        <f>IFERROR(__xludf.DUMMYFUNCTION("""COMPUTED_VALUE"""),36678.0)</f>
        <v>36678</v>
      </c>
      <c r="I109" s="19">
        <f>IFERROR(__xludf.DUMMYFUNCTION("""COMPUTED_VALUE"""),14.616666666666667)</f>
        <v>14.61666667</v>
      </c>
      <c r="J109" s="21">
        <f>IFERROR(__xludf.DUMMYFUNCTION("""COMPUTED_VALUE"""),76.0)</f>
        <v>76</v>
      </c>
      <c r="K109" s="23">
        <f>IFERROR(__xludf.DUMMYFUNCTION("""COMPUTED_VALUE"""),8.0)</f>
        <v>8</v>
      </c>
      <c r="L109" s="24">
        <f>IFERROR(__xludf.DUMMYFUNCTION("""COMPUTED_VALUE"""),1.5)</f>
        <v>1.5</v>
      </c>
      <c r="M109" s="25" t="str">
        <f>IFERROR(__xludf.DUMMYFUNCTION("""COMPUTED_VALUE"""),"Platformer")</f>
        <v>Platformer</v>
      </c>
      <c r="N109" s="25" t="str">
        <f>IFERROR(__xludf.DUMMYFUNCTION("""COMPUTED_VALUE"""),"PS3")</f>
        <v>PS3</v>
      </c>
      <c r="O109" s="26" t="str">
        <f>IFERROR(__xludf.DUMMYFUNCTION("""COMPUTED_VALUE"""),"Yes")</f>
        <v>Yes</v>
      </c>
      <c r="P109" s="26"/>
    </row>
    <row r="110">
      <c r="A110" s="13" t="str">
        <f>IFERROR(__xludf.DUMMYFUNCTION("""COMPUTED_VALUE"""),"SkyDrift")</f>
        <v>SkyDrift</v>
      </c>
      <c r="B110" s="15" t="str">
        <f>IFERROR(__xludf.DUMMYFUNCTION("""COMPUTED_VALUE"""),"PS5/PS4")</f>
        <v>PS5/PS4</v>
      </c>
      <c r="C110" s="16" t="str">
        <f>IFERROR(__xludf.DUMMYFUNCTION("""COMPUTED_VALUE"""),"Premium (Streaming Only)")</f>
        <v>Premium (Streaming Only)</v>
      </c>
      <c r="D110" s="15" t="str">
        <f>IFERROR(__xludf.DUMMYFUNCTION("""COMPUTED_VALUE"""),"Active")</f>
        <v>Active</v>
      </c>
      <c r="E110" s="17">
        <f>IFERROR(__xludf.DUMMYFUNCTION("""COMPUTED_VALUE"""),42017.0)</f>
        <v>42017</v>
      </c>
      <c r="F110" s="54"/>
      <c r="G110" s="19">
        <f>IFERROR(__xludf.DUMMYFUNCTION("""COMPUTED_VALUE"""),140.76666666666668)</f>
        <v>140.7666667</v>
      </c>
      <c r="H110" s="17">
        <f>IFERROR(__xludf.DUMMYFUNCTION("""COMPUTED_VALUE"""),40787.0)</f>
        <v>40787</v>
      </c>
      <c r="I110" s="19">
        <f>IFERROR(__xludf.DUMMYFUNCTION("""COMPUTED_VALUE"""),3.3666666666666667)</f>
        <v>3.366666667</v>
      </c>
      <c r="J110" s="21">
        <f>IFERROR(__xludf.DUMMYFUNCTION("""COMPUTED_VALUE"""),76.0)</f>
        <v>76</v>
      </c>
      <c r="K110" s="23">
        <f>IFERROR(__xludf.DUMMYFUNCTION("""COMPUTED_VALUE"""),7.0)</f>
        <v>7</v>
      </c>
      <c r="L110" s="24">
        <f>IFERROR(__xludf.DUMMYFUNCTION("""COMPUTED_VALUE"""),5.0)</f>
        <v>5</v>
      </c>
      <c r="M110" s="25" t="str">
        <f>IFERROR(__xludf.DUMMYFUNCTION("""COMPUTED_VALUE"""),"Racing")</f>
        <v>Racing</v>
      </c>
      <c r="N110" s="25" t="str">
        <f>IFERROR(__xludf.DUMMYFUNCTION("""COMPUTED_VALUE"""),"PS3")</f>
        <v>PS3</v>
      </c>
      <c r="O110" s="26" t="str">
        <f>IFERROR(__xludf.DUMMYFUNCTION("""COMPUTED_VALUE"""),"Yes")</f>
        <v>Yes</v>
      </c>
      <c r="P110" s="26" t="str">
        <f>IFERROR(__xludf.DUMMYFUNCTION("""COMPUTED_VALUE"""),"")</f>
        <v/>
      </c>
    </row>
    <row r="111">
      <c r="A111" s="13" t="str">
        <f>IFERROR(__xludf.DUMMYFUNCTION("""COMPUTED_VALUE"""),"Tales from Space: About a Blob")</f>
        <v>Tales from Space: About a Blob</v>
      </c>
      <c r="B111" s="15" t="str">
        <f>IFERROR(__xludf.DUMMYFUNCTION("""COMPUTED_VALUE"""),"PS5/PS4")</f>
        <v>PS5/PS4</v>
      </c>
      <c r="C111" s="16" t="str">
        <f>IFERROR(__xludf.DUMMYFUNCTION("""COMPUTED_VALUE"""),"Premium (Streaming Only)")</f>
        <v>Premium (Streaming Only)</v>
      </c>
      <c r="D111" s="15" t="str">
        <f>IFERROR(__xludf.DUMMYFUNCTION("""COMPUTED_VALUE"""),"Active")</f>
        <v>Active</v>
      </c>
      <c r="E111" s="17">
        <f>IFERROR(__xludf.DUMMYFUNCTION("""COMPUTED_VALUE"""),42017.0)</f>
        <v>42017</v>
      </c>
      <c r="F111" s="54"/>
      <c r="G111" s="19">
        <f>IFERROR(__xludf.DUMMYFUNCTION("""COMPUTED_VALUE"""),140.76666666666668)</f>
        <v>140.7666667</v>
      </c>
      <c r="H111" s="17">
        <f>IFERROR(__xludf.DUMMYFUNCTION("""COMPUTED_VALUE"""),40575.0)</f>
        <v>40575</v>
      </c>
      <c r="I111" s="19">
        <f>IFERROR(__xludf.DUMMYFUNCTION("""COMPUTED_VALUE"""),3.95)</f>
        <v>3.95</v>
      </c>
      <c r="J111" s="21">
        <f>IFERROR(__xludf.DUMMYFUNCTION("""COMPUTED_VALUE"""),76.0)</f>
        <v>76</v>
      </c>
      <c r="K111" s="23">
        <f>IFERROR(__xludf.DUMMYFUNCTION("""COMPUTED_VALUE"""),7.5)</f>
        <v>7.5</v>
      </c>
      <c r="L111" s="24">
        <f>IFERROR(__xludf.DUMMYFUNCTION("""COMPUTED_VALUE"""),4.0)</f>
        <v>4</v>
      </c>
      <c r="M111" s="25" t="str">
        <f>IFERROR(__xludf.DUMMYFUNCTION("""COMPUTED_VALUE"""),"Platformer")</f>
        <v>Platformer</v>
      </c>
      <c r="N111" s="25" t="str">
        <f>IFERROR(__xludf.DUMMYFUNCTION("""COMPUTED_VALUE"""),"PS3")</f>
        <v>PS3</v>
      </c>
      <c r="O111" s="26" t="str">
        <f>IFERROR(__xludf.DUMMYFUNCTION("""COMPUTED_VALUE"""),"Yes")</f>
        <v>Yes</v>
      </c>
      <c r="P111" s="26" t="str">
        <f>IFERROR(__xludf.DUMMYFUNCTION("""COMPUTED_VALUE"""),"")</f>
        <v/>
      </c>
    </row>
    <row r="112">
      <c r="A112" s="13" t="str">
        <f>IFERROR(__xludf.DUMMYFUNCTION("""COMPUTED_VALUE"""),"Ratchet and Clank: Into the Nexus")</f>
        <v>Ratchet and Clank: Into the Nexus</v>
      </c>
      <c r="B112" s="15" t="str">
        <f>IFERROR(__xludf.DUMMYFUNCTION("""COMPUTED_VALUE"""),"PS5/PS4")</f>
        <v>PS5/PS4</v>
      </c>
      <c r="C112" s="16" t="str">
        <f>IFERROR(__xludf.DUMMYFUNCTION("""COMPUTED_VALUE"""),"Premium (Streaming Only)")</f>
        <v>Premium (Streaming Only)</v>
      </c>
      <c r="D112" s="15" t="str">
        <f>IFERROR(__xludf.DUMMYFUNCTION("""COMPUTED_VALUE"""),"Active")</f>
        <v>Active</v>
      </c>
      <c r="E112" s="17">
        <f>IFERROR(__xludf.DUMMYFUNCTION("""COMPUTED_VALUE"""),41926.0)</f>
        <v>41926</v>
      </c>
      <c r="F112" s="54"/>
      <c r="G112" s="19">
        <f>IFERROR(__xludf.DUMMYFUNCTION("""COMPUTED_VALUE"""),143.73333333333335)</f>
        <v>143.7333333</v>
      </c>
      <c r="H112" s="17">
        <f>IFERROR(__xludf.DUMMYFUNCTION("""COMPUTED_VALUE"""),40817.0)</f>
        <v>40817</v>
      </c>
      <c r="I112" s="19">
        <f>IFERROR(__xludf.DUMMYFUNCTION("""COMPUTED_VALUE"""),3.036111111111111)</f>
        <v>3.036111111</v>
      </c>
      <c r="J112" s="21">
        <f>IFERROR(__xludf.DUMMYFUNCTION("""COMPUTED_VALUE"""),76.0)</f>
        <v>76</v>
      </c>
      <c r="K112" s="23">
        <f>IFERROR(__xludf.DUMMYFUNCTION("""COMPUTED_VALUE"""),7.8)</f>
        <v>7.8</v>
      </c>
      <c r="L112" s="24">
        <f>IFERROR(__xludf.DUMMYFUNCTION("""COMPUTED_VALUE"""),4.0)</f>
        <v>4</v>
      </c>
      <c r="M112" s="25" t="str">
        <f>IFERROR(__xludf.DUMMYFUNCTION("""COMPUTED_VALUE"""),"Action-Adventure")</f>
        <v>Action-Adventure</v>
      </c>
      <c r="N112" s="25" t="str">
        <f>IFERROR(__xludf.DUMMYFUNCTION("""COMPUTED_VALUE"""),"PS3")</f>
        <v>PS3</v>
      </c>
      <c r="O112" s="26" t="str">
        <f>IFERROR(__xludf.DUMMYFUNCTION("""COMPUTED_VALUE"""),"Yes")</f>
        <v>Yes</v>
      </c>
      <c r="P112" s="26" t="str">
        <f>IFERROR(__xludf.DUMMYFUNCTION("""COMPUTED_VALUE"""),"")</f>
        <v/>
      </c>
    </row>
    <row r="113">
      <c r="A113" s="13" t="str">
        <f>IFERROR(__xludf.DUMMYFUNCTION("""COMPUTED_VALUE"""),"Sly Cooper: Thieves in Time")</f>
        <v>Sly Cooper: Thieves in Time</v>
      </c>
      <c r="B113" s="15" t="str">
        <f>IFERROR(__xludf.DUMMYFUNCTION("""COMPUTED_VALUE"""),"PS5/PS4")</f>
        <v>PS5/PS4</v>
      </c>
      <c r="C113" s="16" t="str">
        <f>IFERROR(__xludf.DUMMYFUNCTION("""COMPUTED_VALUE"""),"Premium (Streaming Only)")</f>
        <v>Premium (Streaming Only)</v>
      </c>
      <c r="D113" s="15" t="str">
        <f>IFERROR(__xludf.DUMMYFUNCTION("""COMPUTED_VALUE"""),"Active")</f>
        <v>Active</v>
      </c>
      <c r="E113" s="17">
        <f>IFERROR(__xludf.DUMMYFUNCTION("""COMPUTED_VALUE"""),44824.0)</f>
        <v>44824</v>
      </c>
      <c r="F113" s="54"/>
      <c r="G113" s="19">
        <f>IFERROR(__xludf.DUMMYFUNCTION("""COMPUTED_VALUE"""),48.53333333333333)</f>
        <v>48.53333333</v>
      </c>
      <c r="H113" s="17">
        <f>IFERROR(__xludf.DUMMYFUNCTION("""COMPUTED_VALUE"""),41310.0)</f>
        <v>41310</v>
      </c>
      <c r="I113" s="19">
        <f>IFERROR(__xludf.DUMMYFUNCTION("""COMPUTED_VALUE"""),9.625)</f>
        <v>9.625</v>
      </c>
      <c r="J113" s="21">
        <f>IFERROR(__xludf.DUMMYFUNCTION("""COMPUTED_VALUE"""),75.0)</f>
        <v>75</v>
      </c>
      <c r="K113" s="23">
        <f>IFERROR(__xludf.DUMMYFUNCTION("""COMPUTED_VALUE"""),8.2)</f>
        <v>8.2</v>
      </c>
      <c r="L113" s="24">
        <f>IFERROR(__xludf.DUMMYFUNCTION("""COMPUTED_VALUE"""),13.0)</f>
        <v>13</v>
      </c>
      <c r="M113" s="25" t="str">
        <f>IFERROR(__xludf.DUMMYFUNCTION("""COMPUTED_VALUE"""),"Platformer")</f>
        <v>Platformer</v>
      </c>
      <c r="N113" s="25" t="str">
        <f>IFERROR(__xludf.DUMMYFUNCTION("""COMPUTED_VALUE"""),"PS3")</f>
        <v>PS3</v>
      </c>
      <c r="O113" s="26" t="str">
        <f>IFERROR(__xludf.DUMMYFUNCTION("""COMPUTED_VALUE"""),"Yes")</f>
        <v>Yes</v>
      </c>
      <c r="P113" s="26"/>
    </row>
    <row r="114">
      <c r="A114" s="13" t="str">
        <f>IFERROR(__xludf.DUMMYFUNCTION("""COMPUTED_VALUE"""),"LEGO Star Wars III: The Clone Wars")</f>
        <v>LEGO Star Wars III: The Clone Wars</v>
      </c>
      <c r="B114" s="15" t="str">
        <f>IFERROR(__xludf.DUMMYFUNCTION("""COMPUTED_VALUE"""),"PS5/PS4")</f>
        <v>PS5/PS4</v>
      </c>
      <c r="C114" s="16" t="str">
        <f>IFERROR(__xludf.DUMMYFUNCTION("""COMPUTED_VALUE"""),"Premium (Streaming Only)")</f>
        <v>Premium (Streaming Only)</v>
      </c>
      <c r="D114" s="15" t="str">
        <f>IFERROR(__xludf.DUMMYFUNCTION("""COMPUTED_VALUE"""),"Active")</f>
        <v>Active</v>
      </c>
      <c r="E114" s="17">
        <f>IFERROR(__xludf.DUMMYFUNCTION("""COMPUTED_VALUE"""),42829.0)</f>
        <v>42829</v>
      </c>
      <c r="F114" s="54"/>
      <c r="G114" s="19">
        <f>IFERROR(__xludf.DUMMYFUNCTION("""COMPUTED_VALUE"""),114.06666666666668)</f>
        <v>114.0666667</v>
      </c>
      <c r="H114" s="17">
        <f>IFERROR(__xludf.DUMMYFUNCTION("""COMPUTED_VALUE"""),40624.0)</f>
        <v>40624</v>
      </c>
      <c r="I114" s="19">
        <f>IFERROR(__xludf.DUMMYFUNCTION("""COMPUTED_VALUE"""),6.033333333333333)</f>
        <v>6.033333333</v>
      </c>
      <c r="J114" s="21">
        <f>IFERROR(__xludf.DUMMYFUNCTION("""COMPUTED_VALUE"""),75.0)</f>
        <v>75</v>
      </c>
      <c r="K114" s="23">
        <f>IFERROR(__xludf.DUMMYFUNCTION("""COMPUTED_VALUE"""),7.5)</f>
        <v>7.5</v>
      </c>
      <c r="L114" s="24">
        <f>IFERROR(__xludf.DUMMYFUNCTION("""COMPUTED_VALUE"""),9.0)</f>
        <v>9</v>
      </c>
      <c r="M114" s="25" t="str">
        <f>IFERROR(__xludf.DUMMYFUNCTION("""COMPUTED_VALUE"""),"Action-Adventure")</f>
        <v>Action-Adventure</v>
      </c>
      <c r="N114" s="25" t="str">
        <f>IFERROR(__xludf.DUMMYFUNCTION("""COMPUTED_VALUE"""),"PS3")</f>
        <v>PS3</v>
      </c>
      <c r="O114" s="26" t="str">
        <f>IFERROR(__xludf.DUMMYFUNCTION("""COMPUTED_VALUE"""),"Yes")</f>
        <v>Yes</v>
      </c>
      <c r="P114" s="26"/>
    </row>
    <row r="115">
      <c r="A115" s="13" t="str">
        <f>IFERROR(__xludf.DUMMYFUNCTION("""COMPUTED_VALUE"""),"HOARD")</f>
        <v>HOARD</v>
      </c>
      <c r="B115" s="15" t="str">
        <f>IFERROR(__xludf.DUMMYFUNCTION("""COMPUTED_VALUE"""),"PS5/PS4")</f>
        <v>PS5/PS4</v>
      </c>
      <c r="C115" s="16" t="str">
        <f>IFERROR(__xludf.DUMMYFUNCTION("""COMPUTED_VALUE"""),"Premium (Streaming Only)")</f>
        <v>Premium (Streaming Only)</v>
      </c>
      <c r="D115" s="15" t="str">
        <f>IFERROR(__xludf.DUMMYFUNCTION("""COMPUTED_VALUE"""),"Active")</f>
        <v>Active</v>
      </c>
      <c r="E115" s="17">
        <f>IFERROR(__xludf.DUMMYFUNCTION("""COMPUTED_VALUE"""),42528.0)</f>
        <v>42528</v>
      </c>
      <c r="F115" s="54"/>
      <c r="G115" s="19">
        <f>IFERROR(__xludf.DUMMYFUNCTION("""COMPUTED_VALUE"""),123.96666666666667)</f>
        <v>123.9666667</v>
      </c>
      <c r="H115" s="17">
        <f>IFERROR(__xludf.DUMMYFUNCTION("""COMPUTED_VALUE"""),40483.0)</f>
        <v>40483</v>
      </c>
      <c r="I115" s="19">
        <f>IFERROR(__xludf.DUMMYFUNCTION("""COMPUTED_VALUE"""),5.6)</f>
        <v>5.6</v>
      </c>
      <c r="J115" s="21">
        <f>IFERROR(__xludf.DUMMYFUNCTION("""COMPUTED_VALUE"""),75.0)</f>
        <v>75</v>
      </c>
      <c r="K115" s="23">
        <f>IFERROR(__xludf.DUMMYFUNCTION("""COMPUTED_VALUE"""),6.9)</f>
        <v>6.9</v>
      </c>
      <c r="L115" s="24">
        <f>IFERROR(__xludf.DUMMYFUNCTION("""COMPUTED_VALUE"""),4.0)</f>
        <v>4</v>
      </c>
      <c r="M115" s="25" t="str">
        <f>IFERROR(__xludf.DUMMYFUNCTION("""COMPUTED_VALUE"""),"Strategy")</f>
        <v>Strategy</v>
      </c>
      <c r="N115" s="25" t="str">
        <f>IFERROR(__xludf.DUMMYFUNCTION("""COMPUTED_VALUE"""),"PS3")</f>
        <v>PS3</v>
      </c>
      <c r="O115" s="26" t="str">
        <f>IFERROR(__xludf.DUMMYFUNCTION("""COMPUTED_VALUE"""),"Yes")</f>
        <v>Yes</v>
      </c>
      <c r="P115" s="26" t="str">
        <f>IFERROR(__xludf.DUMMYFUNCTION("""COMPUTED_VALUE"""),"")</f>
        <v/>
      </c>
    </row>
    <row r="116">
      <c r="A116" s="13" t="str">
        <f>IFERROR(__xludf.DUMMYFUNCTION("""COMPUTED_VALUE"""),"Resident Evil Revelations 2: Complete Edition")</f>
        <v>Resident Evil Revelations 2: Complete Edition</v>
      </c>
      <c r="B116" s="15" t="str">
        <f>IFERROR(__xludf.DUMMYFUNCTION("""COMPUTED_VALUE"""),"PS5/PS4")</f>
        <v>PS5/PS4</v>
      </c>
      <c r="C116" s="16" t="str">
        <f>IFERROR(__xludf.DUMMYFUNCTION("""COMPUTED_VALUE"""),"Premium (Streaming Only)")</f>
        <v>Premium (Streaming Only)</v>
      </c>
      <c r="D116" s="15" t="str">
        <f>IFERROR(__xludf.DUMMYFUNCTION("""COMPUTED_VALUE"""),"Active")</f>
        <v>Active</v>
      </c>
      <c r="E116" s="17">
        <f>IFERROR(__xludf.DUMMYFUNCTION("""COMPUTED_VALUE"""),42472.0)</f>
        <v>42472</v>
      </c>
      <c r="F116" s="54"/>
      <c r="G116" s="19">
        <f>IFERROR(__xludf.DUMMYFUNCTION("""COMPUTED_VALUE"""),125.79999999999998)</f>
        <v>125.8</v>
      </c>
      <c r="H116" s="17">
        <f>IFERROR(__xludf.DUMMYFUNCTION("""COMPUTED_VALUE"""),41395.0)</f>
        <v>41395</v>
      </c>
      <c r="I116" s="19">
        <f>IFERROR(__xludf.DUMMYFUNCTION("""COMPUTED_VALUE"""),2.9472222222222224)</f>
        <v>2.947222222</v>
      </c>
      <c r="J116" s="21">
        <f>IFERROR(__xludf.DUMMYFUNCTION("""COMPUTED_VALUE"""),75.0)</f>
        <v>75</v>
      </c>
      <c r="K116" s="23">
        <f>IFERROR(__xludf.DUMMYFUNCTION("""COMPUTED_VALUE"""),7.5)</f>
        <v>7.5</v>
      </c>
      <c r="L116" s="24">
        <f>IFERROR(__xludf.DUMMYFUNCTION("""COMPUTED_VALUE"""),10.0)</f>
        <v>10</v>
      </c>
      <c r="M116" s="25" t="str">
        <f>IFERROR(__xludf.DUMMYFUNCTION("""COMPUTED_VALUE"""),"Action-Adventure")</f>
        <v>Action-Adventure</v>
      </c>
      <c r="N116" s="25" t="str">
        <f>IFERROR(__xludf.DUMMYFUNCTION("""COMPUTED_VALUE"""),"PS3")</f>
        <v>PS3</v>
      </c>
      <c r="O116" s="26" t="str">
        <f>IFERROR(__xludf.DUMMYFUNCTION("""COMPUTED_VALUE"""),"Yes")</f>
        <v>Yes</v>
      </c>
      <c r="P116" s="26" t="str">
        <f>IFERROR(__xludf.DUMMYFUNCTION("""COMPUTED_VALUE"""),"")</f>
        <v/>
      </c>
    </row>
    <row r="117">
      <c r="A117" s="13" t="str">
        <f>IFERROR(__xludf.DUMMYFUNCTION("""COMPUTED_VALUE"""),"Anna: Extended Edition")</f>
        <v>Anna: Extended Edition</v>
      </c>
      <c r="B117" s="15" t="str">
        <f>IFERROR(__xludf.DUMMYFUNCTION("""COMPUTED_VALUE"""),"PS5/PS4")</f>
        <v>PS5/PS4</v>
      </c>
      <c r="C117" s="16" t="str">
        <f>IFERROR(__xludf.DUMMYFUNCTION("""COMPUTED_VALUE"""),"Premium (Streaming Only)")</f>
        <v>Premium (Streaming Only)</v>
      </c>
      <c r="D117" s="15" t="str">
        <f>IFERROR(__xludf.DUMMYFUNCTION("""COMPUTED_VALUE"""),"Active")</f>
        <v>Active</v>
      </c>
      <c r="E117" s="17">
        <f>IFERROR(__xludf.DUMMYFUNCTION("""COMPUTED_VALUE"""),42311.0)</f>
        <v>42311</v>
      </c>
      <c r="F117" s="54"/>
      <c r="G117" s="19">
        <f>IFERROR(__xludf.DUMMYFUNCTION("""COMPUTED_VALUE"""),131.10000000000002)</f>
        <v>131.1</v>
      </c>
      <c r="H117" s="17">
        <f>IFERROR(__xludf.DUMMYFUNCTION("""COMPUTED_VALUE"""),41091.0)</f>
        <v>41091</v>
      </c>
      <c r="I117" s="19">
        <f>IFERROR(__xludf.DUMMYFUNCTION("""COMPUTED_VALUE"""),3.338888888888889)</f>
        <v>3.338888889</v>
      </c>
      <c r="J117" s="21">
        <f>IFERROR(__xludf.DUMMYFUNCTION("""COMPUTED_VALUE"""),75.0)</f>
        <v>75</v>
      </c>
      <c r="K117" s="23">
        <f>IFERROR(__xludf.DUMMYFUNCTION("""COMPUTED_VALUE"""),5.6)</f>
        <v>5.6</v>
      </c>
      <c r="L117" s="24">
        <f>IFERROR(__xludf.DUMMYFUNCTION("""COMPUTED_VALUE"""),4.0)</f>
        <v>4</v>
      </c>
      <c r="M117" s="25" t="str">
        <f>IFERROR(__xludf.DUMMYFUNCTION("""COMPUTED_VALUE"""),"Horror")</f>
        <v>Horror</v>
      </c>
      <c r="N117" s="25" t="str">
        <f>IFERROR(__xludf.DUMMYFUNCTION("""COMPUTED_VALUE"""),"PS3")</f>
        <v>PS3</v>
      </c>
      <c r="O117" s="26" t="str">
        <f>IFERROR(__xludf.DUMMYFUNCTION("""COMPUTED_VALUE"""),"Yes")</f>
        <v>Yes</v>
      </c>
      <c r="P117" s="26" t="str">
        <f>IFERROR(__xludf.DUMMYFUNCTION("""COMPUTED_VALUE"""),"")</f>
        <v/>
      </c>
    </row>
    <row r="118">
      <c r="A118" s="13" t="str">
        <f>IFERROR(__xludf.DUMMYFUNCTION("""COMPUTED_VALUE"""),"Resident Evil: The Darkside Chronicles")</f>
        <v>Resident Evil: The Darkside Chronicles</v>
      </c>
      <c r="B118" s="15" t="str">
        <f>IFERROR(__xludf.DUMMYFUNCTION("""COMPUTED_VALUE"""),"PS5/PS4")</f>
        <v>PS5/PS4</v>
      </c>
      <c r="C118" s="16" t="str">
        <f>IFERROR(__xludf.DUMMYFUNCTION("""COMPUTED_VALUE"""),"Premium (Streaming Only)")</f>
        <v>Premium (Streaming Only)</v>
      </c>
      <c r="D118" s="15" t="str">
        <f>IFERROR(__xludf.DUMMYFUNCTION("""COMPUTED_VALUE"""),"Active")</f>
        <v>Active</v>
      </c>
      <c r="E118" s="17">
        <f>IFERROR(__xludf.DUMMYFUNCTION("""COMPUTED_VALUE"""),42311.0)</f>
        <v>42311</v>
      </c>
      <c r="F118" s="54"/>
      <c r="G118" s="19">
        <f>IFERROR(__xludf.DUMMYFUNCTION("""COMPUTED_VALUE"""),131.10000000000002)</f>
        <v>131.1</v>
      </c>
      <c r="H118" s="17">
        <f>IFERROR(__xludf.DUMMYFUNCTION("""COMPUTED_VALUE"""),40118.0)</f>
        <v>40118</v>
      </c>
      <c r="I118" s="19">
        <f>IFERROR(__xludf.DUMMYFUNCTION("""COMPUTED_VALUE"""),6.0055555555555555)</f>
        <v>6.005555556</v>
      </c>
      <c r="J118" s="21">
        <f>IFERROR(__xludf.DUMMYFUNCTION("""COMPUTED_VALUE"""),75.0)</f>
        <v>75</v>
      </c>
      <c r="K118" s="23">
        <f>IFERROR(__xludf.DUMMYFUNCTION("""COMPUTED_VALUE"""),8.1)</f>
        <v>8.1</v>
      </c>
      <c r="L118" s="24">
        <f>IFERROR(__xludf.DUMMYFUNCTION("""COMPUTED_VALUE"""),7.0)</f>
        <v>7</v>
      </c>
      <c r="M118" s="25" t="str">
        <f>IFERROR(__xludf.DUMMYFUNCTION("""COMPUTED_VALUE"""),"Shooter")</f>
        <v>Shooter</v>
      </c>
      <c r="N118" s="25" t="str">
        <f>IFERROR(__xludf.DUMMYFUNCTION("""COMPUTED_VALUE"""),"PS3")</f>
        <v>PS3</v>
      </c>
      <c r="O118" s="26" t="str">
        <f>IFERROR(__xludf.DUMMYFUNCTION("""COMPUTED_VALUE"""),"Yes")</f>
        <v>Yes</v>
      </c>
      <c r="P118" s="26" t="str">
        <f>IFERROR(__xludf.DUMMYFUNCTION("""COMPUTED_VALUE"""),"")</f>
        <v/>
      </c>
    </row>
    <row r="119">
      <c r="A119" s="13" t="str">
        <f>IFERROR(__xludf.DUMMYFUNCTION("""COMPUTED_VALUE"""),"Sam &amp; Max Beyond Time and Space: Episode 1 - Ice Station Santa")</f>
        <v>Sam &amp; Max Beyond Time and Space: Episode 1 - Ice Station Santa</v>
      </c>
      <c r="B119" s="15" t="str">
        <f>IFERROR(__xludf.DUMMYFUNCTION("""COMPUTED_VALUE"""),"PS5/PS4")</f>
        <v>PS5/PS4</v>
      </c>
      <c r="C119" s="16" t="str">
        <f>IFERROR(__xludf.DUMMYFUNCTION("""COMPUTED_VALUE"""),"Premium (Streaming Only)")</f>
        <v>Premium (Streaming Only)</v>
      </c>
      <c r="D119" s="15" t="str">
        <f>IFERROR(__xludf.DUMMYFUNCTION("""COMPUTED_VALUE"""),"Active")</f>
        <v>Active</v>
      </c>
      <c r="E119" s="17">
        <f>IFERROR(__xludf.DUMMYFUNCTION("""COMPUTED_VALUE"""),42311.0)</f>
        <v>42311</v>
      </c>
      <c r="F119" s="54"/>
      <c r="G119" s="19">
        <f>IFERROR(__xludf.DUMMYFUNCTION("""COMPUTED_VALUE"""),131.10000000000002)</f>
        <v>131.1</v>
      </c>
      <c r="H119" s="17">
        <f>IFERROR(__xludf.DUMMYFUNCTION("""COMPUTED_VALUE"""),40087.0)</f>
        <v>40087</v>
      </c>
      <c r="I119" s="19">
        <f>IFERROR(__xludf.DUMMYFUNCTION("""COMPUTED_VALUE"""),6.088888888888889)</f>
        <v>6.088888889</v>
      </c>
      <c r="J119" s="21">
        <f>IFERROR(__xludf.DUMMYFUNCTION("""COMPUTED_VALUE"""),75.0)</f>
        <v>75</v>
      </c>
      <c r="K119" s="23">
        <f>IFERROR(__xludf.DUMMYFUNCTION("""COMPUTED_VALUE"""),7.6)</f>
        <v>7.6</v>
      </c>
      <c r="L119" s="24">
        <f>IFERROR(__xludf.DUMMYFUNCTION("""COMPUTED_VALUE"""),2.0)</f>
        <v>2</v>
      </c>
      <c r="M119" s="25" t="str">
        <f>IFERROR(__xludf.DUMMYFUNCTION("""COMPUTED_VALUE"""),"Adventure")</f>
        <v>Adventure</v>
      </c>
      <c r="N119" s="25" t="str">
        <f>IFERROR(__xludf.DUMMYFUNCTION("""COMPUTED_VALUE"""),"PS3")</f>
        <v>PS3</v>
      </c>
      <c r="O119" s="26" t="str">
        <f>IFERROR(__xludf.DUMMYFUNCTION("""COMPUTED_VALUE"""),"Yes")</f>
        <v>Yes</v>
      </c>
      <c r="P119" s="26" t="str">
        <f>IFERROR(__xludf.DUMMYFUNCTION("""COMPUTED_VALUE"""),"")</f>
        <v/>
      </c>
    </row>
    <row r="120">
      <c r="A120" s="13" t="str">
        <f>IFERROR(__xludf.DUMMYFUNCTION("""COMPUTED_VALUE"""),"Sam &amp; Max Beyond Time and Space: Episode 2 - Moai Better Blues")</f>
        <v>Sam &amp; Max Beyond Time and Space: Episode 2 - Moai Better Blues</v>
      </c>
      <c r="B120" s="15" t="str">
        <f>IFERROR(__xludf.DUMMYFUNCTION("""COMPUTED_VALUE"""),"PS5/PS4")</f>
        <v>PS5/PS4</v>
      </c>
      <c r="C120" s="16" t="str">
        <f>IFERROR(__xludf.DUMMYFUNCTION("""COMPUTED_VALUE"""),"Premium (Streaming Only)")</f>
        <v>Premium (Streaming Only)</v>
      </c>
      <c r="D120" s="15" t="str">
        <f>IFERROR(__xludf.DUMMYFUNCTION("""COMPUTED_VALUE"""),"Active")</f>
        <v>Active</v>
      </c>
      <c r="E120" s="17">
        <f>IFERROR(__xludf.DUMMYFUNCTION("""COMPUTED_VALUE"""),42311.0)</f>
        <v>42311</v>
      </c>
      <c r="F120" s="54"/>
      <c r="G120" s="19">
        <f>IFERROR(__xludf.DUMMYFUNCTION("""COMPUTED_VALUE"""),131.10000000000002)</f>
        <v>131.1</v>
      </c>
      <c r="H120" s="17">
        <f>IFERROR(__xludf.DUMMYFUNCTION("""COMPUTED_VALUE"""),40087.0)</f>
        <v>40087</v>
      </c>
      <c r="I120" s="19">
        <f>IFERROR(__xludf.DUMMYFUNCTION("""COMPUTED_VALUE"""),6.088888888888889)</f>
        <v>6.088888889</v>
      </c>
      <c r="J120" s="21">
        <f>IFERROR(__xludf.DUMMYFUNCTION("""COMPUTED_VALUE"""),75.0)</f>
        <v>75</v>
      </c>
      <c r="K120" s="23">
        <f>IFERROR(__xludf.DUMMYFUNCTION("""COMPUTED_VALUE"""),7.7)</f>
        <v>7.7</v>
      </c>
      <c r="L120" s="24">
        <f>IFERROR(__xludf.DUMMYFUNCTION("""COMPUTED_VALUE"""),2.0)</f>
        <v>2</v>
      </c>
      <c r="M120" s="25" t="str">
        <f>IFERROR(__xludf.DUMMYFUNCTION("""COMPUTED_VALUE"""),"Adventure")</f>
        <v>Adventure</v>
      </c>
      <c r="N120" s="25" t="str">
        <f>IFERROR(__xludf.DUMMYFUNCTION("""COMPUTED_VALUE"""),"PS3")</f>
        <v>PS3</v>
      </c>
      <c r="O120" s="26" t="str">
        <f>IFERROR(__xludf.DUMMYFUNCTION("""COMPUTED_VALUE"""),"Yes")</f>
        <v>Yes</v>
      </c>
      <c r="P120" s="26" t="str">
        <f>IFERROR(__xludf.DUMMYFUNCTION("""COMPUTED_VALUE"""),"")</f>
        <v/>
      </c>
    </row>
    <row r="121">
      <c r="A121" s="13" t="str">
        <f>IFERROR(__xludf.DUMMYFUNCTION("""COMPUTED_VALUE"""),"Sam &amp; Max Beyond Time and Space: Episode 3 - Night of the Raving Dead")</f>
        <v>Sam &amp; Max Beyond Time and Space: Episode 3 - Night of the Raving Dead</v>
      </c>
      <c r="B121" s="15" t="str">
        <f>IFERROR(__xludf.DUMMYFUNCTION("""COMPUTED_VALUE"""),"PS5/PS4")</f>
        <v>PS5/PS4</v>
      </c>
      <c r="C121" s="16" t="str">
        <f>IFERROR(__xludf.DUMMYFUNCTION("""COMPUTED_VALUE"""),"Premium (Streaming Only)")</f>
        <v>Premium (Streaming Only)</v>
      </c>
      <c r="D121" s="15" t="str">
        <f>IFERROR(__xludf.DUMMYFUNCTION("""COMPUTED_VALUE"""),"Active")</f>
        <v>Active</v>
      </c>
      <c r="E121" s="17">
        <f>IFERROR(__xludf.DUMMYFUNCTION("""COMPUTED_VALUE"""),42311.0)</f>
        <v>42311</v>
      </c>
      <c r="F121" s="54"/>
      <c r="G121" s="19">
        <f>IFERROR(__xludf.DUMMYFUNCTION("""COMPUTED_VALUE"""),131.10000000000002)</f>
        <v>131.1</v>
      </c>
      <c r="H121" s="17">
        <f>IFERROR(__xludf.DUMMYFUNCTION("""COMPUTED_VALUE"""),40087.0)</f>
        <v>40087</v>
      </c>
      <c r="I121" s="19">
        <f>IFERROR(__xludf.DUMMYFUNCTION("""COMPUTED_VALUE"""),6.088888888888889)</f>
        <v>6.088888889</v>
      </c>
      <c r="J121" s="21">
        <f>IFERROR(__xludf.DUMMYFUNCTION("""COMPUTED_VALUE"""),75.0)</f>
        <v>75</v>
      </c>
      <c r="K121" s="23">
        <f>IFERROR(__xludf.DUMMYFUNCTION("""COMPUTED_VALUE"""),7.8)</f>
        <v>7.8</v>
      </c>
      <c r="L121" s="24">
        <f>IFERROR(__xludf.DUMMYFUNCTION("""COMPUTED_VALUE"""),2.0)</f>
        <v>2</v>
      </c>
      <c r="M121" s="25" t="str">
        <f>IFERROR(__xludf.DUMMYFUNCTION("""COMPUTED_VALUE"""),"Adventure")</f>
        <v>Adventure</v>
      </c>
      <c r="N121" s="25" t="str">
        <f>IFERROR(__xludf.DUMMYFUNCTION("""COMPUTED_VALUE"""),"PS3")</f>
        <v>PS3</v>
      </c>
      <c r="O121" s="26" t="str">
        <f>IFERROR(__xludf.DUMMYFUNCTION("""COMPUTED_VALUE"""),"Yes")</f>
        <v>Yes</v>
      </c>
      <c r="P121" s="26" t="str">
        <f>IFERROR(__xludf.DUMMYFUNCTION("""COMPUTED_VALUE"""),"")</f>
        <v/>
      </c>
    </row>
    <row r="122">
      <c r="A122" s="13" t="str">
        <f>IFERROR(__xludf.DUMMYFUNCTION("""COMPUTED_VALUE"""),"Sam &amp; Max Beyond Time and Space: Episode 4 - Chariots of the Dogs")</f>
        <v>Sam &amp; Max Beyond Time and Space: Episode 4 - Chariots of the Dogs</v>
      </c>
      <c r="B122" s="15" t="str">
        <f>IFERROR(__xludf.DUMMYFUNCTION("""COMPUTED_VALUE"""),"PS5/PS4")</f>
        <v>PS5/PS4</v>
      </c>
      <c r="C122" s="16" t="str">
        <f>IFERROR(__xludf.DUMMYFUNCTION("""COMPUTED_VALUE"""),"Premium (Streaming Only)")</f>
        <v>Premium (Streaming Only)</v>
      </c>
      <c r="D122" s="15" t="str">
        <f>IFERROR(__xludf.DUMMYFUNCTION("""COMPUTED_VALUE"""),"Active")</f>
        <v>Active</v>
      </c>
      <c r="E122" s="17">
        <f>IFERROR(__xludf.DUMMYFUNCTION("""COMPUTED_VALUE"""),42311.0)</f>
        <v>42311</v>
      </c>
      <c r="F122" s="54"/>
      <c r="G122" s="19">
        <f>IFERROR(__xludf.DUMMYFUNCTION("""COMPUTED_VALUE"""),131.10000000000002)</f>
        <v>131.1</v>
      </c>
      <c r="H122" s="17">
        <f>IFERROR(__xludf.DUMMYFUNCTION("""COMPUTED_VALUE"""),40087.0)</f>
        <v>40087</v>
      </c>
      <c r="I122" s="19">
        <f>IFERROR(__xludf.DUMMYFUNCTION("""COMPUTED_VALUE"""),6.088888888888889)</f>
        <v>6.088888889</v>
      </c>
      <c r="J122" s="21">
        <f>IFERROR(__xludf.DUMMYFUNCTION("""COMPUTED_VALUE"""),75.0)</f>
        <v>75</v>
      </c>
      <c r="K122" s="23">
        <f>IFERROR(__xludf.DUMMYFUNCTION("""COMPUTED_VALUE"""),7.9)</f>
        <v>7.9</v>
      </c>
      <c r="L122" s="24">
        <f>IFERROR(__xludf.DUMMYFUNCTION("""COMPUTED_VALUE"""),2.0)</f>
        <v>2</v>
      </c>
      <c r="M122" s="25" t="str">
        <f>IFERROR(__xludf.DUMMYFUNCTION("""COMPUTED_VALUE"""),"Adventure")</f>
        <v>Adventure</v>
      </c>
      <c r="N122" s="25" t="str">
        <f>IFERROR(__xludf.DUMMYFUNCTION("""COMPUTED_VALUE"""),"PS3")</f>
        <v>PS3</v>
      </c>
      <c r="O122" s="26" t="str">
        <f>IFERROR(__xludf.DUMMYFUNCTION("""COMPUTED_VALUE"""),"Yes")</f>
        <v>Yes</v>
      </c>
      <c r="P122" s="26" t="str">
        <f>IFERROR(__xludf.DUMMYFUNCTION("""COMPUTED_VALUE"""),"")</f>
        <v/>
      </c>
    </row>
    <row r="123">
      <c r="A123" s="13" t="str">
        <f>IFERROR(__xludf.DUMMYFUNCTION("""COMPUTED_VALUE"""),"Sam &amp; Max Beyond Time and Space: Episode 5 - What's New Beelzebub?")</f>
        <v>Sam &amp; Max Beyond Time and Space: Episode 5 - What's New Beelzebub?</v>
      </c>
      <c r="B123" s="15" t="str">
        <f>IFERROR(__xludf.DUMMYFUNCTION("""COMPUTED_VALUE"""),"PS5/PS4")</f>
        <v>PS5/PS4</v>
      </c>
      <c r="C123" s="16" t="str">
        <f>IFERROR(__xludf.DUMMYFUNCTION("""COMPUTED_VALUE"""),"Premium (Streaming Only)")</f>
        <v>Premium (Streaming Only)</v>
      </c>
      <c r="D123" s="15" t="str">
        <f>IFERROR(__xludf.DUMMYFUNCTION("""COMPUTED_VALUE"""),"Active")</f>
        <v>Active</v>
      </c>
      <c r="E123" s="17">
        <f>IFERROR(__xludf.DUMMYFUNCTION("""COMPUTED_VALUE"""),42311.0)</f>
        <v>42311</v>
      </c>
      <c r="F123" s="54"/>
      <c r="G123" s="19">
        <f>IFERROR(__xludf.DUMMYFUNCTION("""COMPUTED_VALUE"""),131.10000000000002)</f>
        <v>131.1</v>
      </c>
      <c r="H123" s="17">
        <f>IFERROR(__xludf.DUMMYFUNCTION("""COMPUTED_VALUE"""),40087.0)</f>
        <v>40087</v>
      </c>
      <c r="I123" s="19">
        <f>IFERROR(__xludf.DUMMYFUNCTION("""COMPUTED_VALUE"""),6.088888888888889)</f>
        <v>6.088888889</v>
      </c>
      <c r="J123" s="21">
        <f>IFERROR(__xludf.DUMMYFUNCTION("""COMPUTED_VALUE"""),75.0)</f>
        <v>75</v>
      </c>
      <c r="K123" s="23">
        <f>IFERROR(__xludf.DUMMYFUNCTION("""COMPUTED_VALUE"""),8.1)</f>
        <v>8.1</v>
      </c>
      <c r="L123" s="24">
        <f>IFERROR(__xludf.DUMMYFUNCTION("""COMPUTED_VALUE"""),2.0)</f>
        <v>2</v>
      </c>
      <c r="M123" s="25" t="str">
        <f>IFERROR(__xludf.DUMMYFUNCTION("""COMPUTED_VALUE"""),"Adventure")</f>
        <v>Adventure</v>
      </c>
      <c r="N123" s="25" t="str">
        <f>IFERROR(__xludf.DUMMYFUNCTION("""COMPUTED_VALUE"""),"PS3")</f>
        <v>PS3</v>
      </c>
      <c r="O123" s="26" t="str">
        <f>IFERROR(__xludf.DUMMYFUNCTION("""COMPUTED_VALUE"""),"Yes")</f>
        <v>Yes</v>
      </c>
      <c r="P123" s="26" t="str">
        <f>IFERROR(__xludf.DUMMYFUNCTION("""COMPUTED_VALUE"""),"")</f>
        <v/>
      </c>
    </row>
    <row r="124">
      <c r="A124" s="13" t="str">
        <f>IFERROR(__xludf.DUMMYFUNCTION("""COMPUTED_VALUE"""),"Penny Arcade Adventures: On the Rain-Slick Precipice of Darkness - Episode Two")</f>
        <v>Penny Arcade Adventures: On the Rain-Slick Precipice of Darkness - Episode Two</v>
      </c>
      <c r="B124" s="15" t="str">
        <f>IFERROR(__xludf.DUMMYFUNCTION("""COMPUTED_VALUE"""),"PS5/PS4")</f>
        <v>PS5/PS4</v>
      </c>
      <c r="C124" s="16" t="str">
        <f>IFERROR(__xludf.DUMMYFUNCTION("""COMPUTED_VALUE"""),"Premium (Streaming Only)")</f>
        <v>Premium (Streaming Only)</v>
      </c>
      <c r="D124" s="15" t="str">
        <f>IFERROR(__xludf.DUMMYFUNCTION("""COMPUTED_VALUE"""),"Active")</f>
        <v>Active</v>
      </c>
      <c r="E124" s="17">
        <f>IFERROR(__xludf.DUMMYFUNCTION("""COMPUTED_VALUE"""),42017.0)</f>
        <v>42017</v>
      </c>
      <c r="F124" s="54"/>
      <c r="G124" s="19">
        <f>IFERROR(__xludf.DUMMYFUNCTION("""COMPUTED_VALUE"""),140.76666666666668)</f>
        <v>140.7666667</v>
      </c>
      <c r="H124" s="17">
        <f>IFERROR(__xludf.DUMMYFUNCTION("""COMPUTED_VALUE"""),39569.0)</f>
        <v>39569</v>
      </c>
      <c r="I124" s="19">
        <f>IFERROR(__xludf.DUMMYFUNCTION("""COMPUTED_VALUE"""),6.7)</f>
        <v>6.7</v>
      </c>
      <c r="J124" s="21">
        <f>IFERROR(__xludf.DUMMYFUNCTION("""COMPUTED_VALUE"""),75.0)</f>
        <v>75</v>
      </c>
      <c r="K124" s="23">
        <f>IFERROR(__xludf.DUMMYFUNCTION("""COMPUTED_VALUE"""),8.0)</f>
        <v>8</v>
      </c>
      <c r="L124" s="24">
        <f>IFERROR(__xludf.DUMMYFUNCTION("""COMPUTED_VALUE"""),6.0)</f>
        <v>6</v>
      </c>
      <c r="M124" s="25" t="str">
        <f>IFERROR(__xludf.DUMMYFUNCTION("""COMPUTED_VALUE"""),"RPG")</f>
        <v>RPG</v>
      </c>
      <c r="N124" s="25" t="str">
        <f>IFERROR(__xludf.DUMMYFUNCTION("""COMPUTED_VALUE"""),"PS3")</f>
        <v>PS3</v>
      </c>
      <c r="O124" s="26" t="str">
        <f>IFERROR(__xludf.DUMMYFUNCTION("""COMPUTED_VALUE"""),"Yes")</f>
        <v>Yes</v>
      </c>
      <c r="P124" s="26" t="str">
        <f>IFERROR(__xludf.DUMMYFUNCTION("""COMPUTED_VALUE"""),"")</f>
        <v/>
      </c>
    </row>
    <row r="125">
      <c r="A125" s="13" t="str">
        <f>IFERROR(__xludf.DUMMYFUNCTION("""COMPUTED_VALUE"""),"Resident Evil: The Umbrella Chronicles")</f>
        <v>Resident Evil: The Umbrella Chronicles</v>
      </c>
      <c r="B125" s="15" t="str">
        <f>IFERROR(__xludf.DUMMYFUNCTION("""COMPUTED_VALUE"""),"PS5/PS4")</f>
        <v>PS5/PS4</v>
      </c>
      <c r="C125" s="16" t="str">
        <f>IFERROR(__xludf.DUMMYFUNCTION("""COMPUTED_VALUE"""),"Premium (Streaming Only)")</f>
        <v>Premium (Streaming Only)</v>
      </c>
      <c r="D125" s="15" t="str">
        <f>IFERROR(__xludf.DUMMYFUNCTION("""COMPUTED_VALUE"""),"Active")</f>
        <v>Active</v>
      </c>
      <c r="E125" s="17">
        <f>IFERROR(__xludf.DUMMYFUNCTION("""COMPUTED_VALUE"""),42017.0)</f>
        <v>42017</v>
      </c>
      <c r="F125" s="54"/>
      <c r="G125" s="19">
        <f>IFERROR(__xludf.DUMMYFUNCTION("""COMPUTED_VALUE"""),140.76666666666668)</f>
        <v>140.7666667</v>
      </c>
      <c r="H125" s="17">
        <f>IFERROR(__xludf.DUMMYFUNCTION("""COMPUTED_VALUE"""),39387.0)</f>
        <v>39387</v>
      </c>
      <c r="I125" s="19">
        <f>IFERROR(__xludf.DUMMYFUNCTION("""COMPUTED_VALUE"""),7.2)</f>
        <v>7.2</v>
      </c>
      <c r="J125" s="21">
        <f>IFERROR(__xludf.DUMMYFUNCTION("""COMPUTED_VALUE"""),75.0)</f>
        <v>75</v>
      </c>
      <c r="K125" s="23">
        <f>IFERROR(__xludf.DUMMYFUNCTION("""COMPUTED_VALUE"""),8.0)</f>
        <v>8</v>
      </c>
      <c r="L125" s="24">
        <f>IFERROR(__xludf.DUMMYFUNCTION("""COMPUTED_VALUE"""),8.0)</f>
        <v>8</v>
      </c>
      <c r="M125" s="25" t="str">
        <f>IFERROR(__xludf.DUMMYFUNCTION("""COMPUTED_VALUE"""),"Shooter")</f>
        <v>Shooter</v>
      </c>
      <c r="N125" s="25" t="str">
        <f>IFERROR(__xludf.DUMMYFUNCTION("""COMPUTED_VALUE"""),"PS3")</f>
        <v>PS3</v>
      </c>
      <c r="O125" s="26" t="str">
        <f>IFERROR(__xludf.DUMMYFUNCTION("""COMPUTED_VALUE"""),"Yes")</f>
        <v>Yes</v>
      </c>
      <c r="P125" s="26" t="str">
        <f>IFERROR(__xludf.DUMMYFUNCTION("""COMPUTED_VALUE"""),"")</f>
        <v/>
      </c>
    </row>
    <row r="126">
      <c r="A126" s="13" t="str">
        <f>IFERROR(__xludf.DUMMYFUNCTION("""COMPUTED_VALUE"""),"High Stakes on the Vegas Strip: Poker Edition")</f>
        <v>High Stakes on the Vegas Strip: Poker Edition</v>
      </c>
      <c r="B126" s="15" t="str">
        <f>IFERROR(__xludf.DUMMYFUNCTION("""COMPUTED_VALUE"""),"PS5/PS4")</f>
        <v>PS5/PS4</v>
      </c>
      <c r="C126" s="16" t="str">
        <f>IFERROR(__xludf.DUMMYFUNCTION("""COMPUTED_VALUE"""),"Premium (Streaming Only)")</f>
        <v>Premium (Streaming Only)</v>
      </c>
      <c r="D126" s="15" t="str">
        <f>IFERROR(__xludf.DUMMYFUNCTION("""COMPUTED_VALUE"""),"Active")</f>
        <v>Active</v>
      </c>
      <c r="E126" s="17">
        <f>IFERROR(__xludf.DUMMYFUNCTION("""COMPUTED_VALUE"""),43074.0)</f>
        <v>43074</v>
      </c>
      <c r="F126" s="54"/>
      <c r="G126" s="19">
        <f>IFERROR(__xludf.DUMMYFUNCTION("""COMPUTED_VALUE"""),106.03333333333333)</f>
        <v>106.0333333</v>
      </c>
      <c r="H126" s="17">
        <f>IFERROR(__xludf.DUMMYFUNCTION("""COMPUTED_VALUE"""),39744.0)</f>
        <v>39744</v>
      </c>
      <c r="I126" s="19">
        <f>IFERROR(__xludf.DUMMYFUNCTION("""COMPUTED_VALUE"""),9.116666666666667)</f>
        <v>9.116666667</v>
      </c>
      <c r="J126" s="21">
        <f>IFERROR(__xludf.DUMMYFUNCTION("""COMPUTED_VALUE"""),74.0)</f>
        <v>74</v>
      </c>
      <c r="K126" s="23">
        <f>IFERROR(__xludf.DUMMYFUNCTION("""COMPUTED_VALUE"""),7.1)</f>
        <v>7.1</v>
      </c>
      <c r="L126" s="24"/>
      <c r="M126" s="25" t="str">
        <f>IFERROR(__xludf.DUMMYFUNCTION("""COMPUTED_VALUE"""),"Card &amp; Board")</f>
        <v>Card &amp; Board</v>
      </c>
      <c r="N126" s="25" t="str">
        <f>IFERROR(__xludf.DUMMYFUNCTION("""COMPUTED_VALUE"""),"PS3")</f>
        <v>PS3</v>
      </c>
      <c r="O126" s="26" t="str">
        <f>IFERROR(__xludf.DUMMYFUNCTION("""COMPUTED_VALUE"""),"Yes")</f>
        <v>Yes</v>
      </c>
      <c r="P126" s="26" t="str">
        <f>IFERROR(__xludf.DUMMYFUNCTION("""COMPUTED_VALUE"""),"")</f>
        <v/>
      </c>
    </row>
    <row r="127">
      <c r="A127" s="13" t="str">
        <f>IFERROR(__xludf.DUMMYFUNCTION("""COMPUTED_VALUE"""),"Disney/PIXAR Cars 2: The Video Game")</f>
        <v>Disney/PIXAR Cars 2: The Video Game</v>
      </c>
      <c r="B127" s="15" t="str">
        <f>IFERROR(__xludf.DUMMYFUNCTION("""COMPUTED_VALUE"""),"PS5/PS4")</f>
        <v>PS5/PS4</v>
      </c>
      <c r="C127" s="16" t="str">
        <f>IFERROR(__xludf.DUMMYFUNCTION("""COMPUTED_VALUE"""),"Premium (Streaming Only)")</f>
        <v>Premium (Streaming Only)</v>
      </c>
      <c r="D127" s="15" t="str">
        <f>IFERROR(__xludf.DUMMYFUNCTION("""COMPUTED_VALUE"""),"Active")</f>
        <v>Active</v>
      </c>
      <c r="E127" s="17">
        <f>IFERROR(__xludf.DUMMYFUNCTION("""COMPUTED_VALUE"""),42895.0)</f>
        <v>42895</v>
      </c>
      <c r="F127" s="54"/>
      <c r="G127" s="19">
        <f>IFERROR(__xludf.DUMMYFUNCTION("""COMPUTED_VALUE"""),111.89999999999999)</f>
        <v>111.9</v>
      </c>
      <c r="H127" s="17">
        <f>IFERROR(__xludf.DUMMYFUNCTION("""COMPUTED_VALUE"""),40695.0)</f>
        <v>40695</v>
      </c>
      <c r="I127" s="19">
        <f>IFERROR(__xludf.DUMMYFUNCTION("""COMPUTED_VALUE"""),6.022222222222222)</f>
        <v>6.022222222</v>
      </c>
      <c r="J127" s="21">
        <f>IFERROR(__xludf.DUMMYFUNCTION("""COMPUTED_VALUE"""),74.0)</f>
        <v>74</v>
      </c>
      <c r="K127" s="23">
        <f>IFERROR(__xludf.DUMMYFUNCTION("""COMPUTED_VALUE"""),7.2)</f>
        <v>7.2</v>
      </c>
      <c r="L127" s="24">
        <f>IFERROR(__xludf.DUMMYFUNCTION("""COMPUTED_VALUE"""),7.0)</f>
        <v>7</v>
      </c>
      <c r="M127" s="25" t="str">
        <f>IFERROR(__xludf.DUMMYFUNCTION("""COMPUTED_VALUE"""),"Racing")</f>
        <v>Racing</v>
      </c>
      <c r="N127" s="25" t="str">
        <f>IFERROR(__xludf.DUMMYFUNCTION("""COMPUTED_VALUE"""),"PS3")</f>
        <v>PS3</v>
      </c>
      <c r="O127" s="26" t="str">
        <f>IFERROR(__xludf.DUMMYFUNCTION("""COMPUTED_VALUE"""),"Yes")</f>
        <v>Yes</v>
      </c>
      <c r="P127" s="26" t="str">
        <f>IFERROR(__xludf.DUMMYFUNCTION("""COMPUTED_VALUE"""),"")</f>
        <v/>
      </c>
    </row>
    <row r="128">
      <c r="A128" s="13" t="str">
        <f>IFERROR(__xludf.DUMMYFUNCTION("""COMPUTED_VALUE"""),"Disgaea D2: A Brighter Darkness")</f>
        <v>Disgaea D2: A Brighter Darkness</v>
      </c>
      <c r="B128" s="15" t="str">
        <f>IFERROR(__xludf.DUMMYFUNCTION("""COMPUTED_VALUE"""),"PS5/PS4")</f>
        <v>PS5/PS4</v>
      </c>
      <c r="C128" s="16" t="str">
        <f>IFERROR(__xludf.DUMMYFUNCTION("""COMPUTED_VALUE"""),"Premium (Streaming Only)")</f>
        <v>Premium (Streaming Only)</v>
      </c>
      <c r="D128" s="15" t="str">
        <f>IFERROR(__xludf.DUMMYFUNCTION("""COMPUTED_VALUE"""),"Active")</f>
        <v>Active</v>
      </c>
      <c r="E128" s="17">
        <f>IFERROR(__xludf.DUMMYFUNCTION("""COMPUTED_VALUE"""),42584.0)</f>
        <v>42584</v>
      </c>
      <c r="F128" s="54"/>
      <c r="G128" s="19">
        <f>IFERROR(__xludf.DUMMYFUNCTION("""COMPUTED_VALUE"""),122.13333333333333)</f>
        <v>122.1333333</v>
      </c>
      <c r="H128" s="17">
        <f>IFERROR(__xludf.DUMMYFUNCTION("""COMPUTED_VALUE"""),41548.0)</f>
        <v>41548</v>
      </c>
      <c r="I128" s="19">
        <f>IFERROR(__xludf.DUMMYFUNCTION("""COMPUTED_VALUE"""),2.8361111111111112)</f>
        <v>2.836111111</v>
      </c>
      <c r="J128" s="21">
        <f>IFERROR(__xludf.DUMMYFUNCTION("""COMPUTED_VALUE"""),74.0)</f>
        <v>74</v>
      </c>
      <c r="K128" s="23">
        <f>IFERROR(__xludf.DUMMYFUNCTION("""COMPUTED_VALUE"""),7.9)</f>
        <v>7.9</v>
      </c>
      <c r="L128" s="24">
        <f>IFERROR(__xludf.DUMMYFUNCTION("""COMPUTED_VALUE"""),50.0)</f>
        <v>50</v>
      </c>
      <c r="M128" s="25" t="str">
        <f>IFERROR(__xludf.DUMMYFUNCTION("""COMPUTED_VALUE"""),"RPG")</f>
        <v>RPG</v>
      </c>
      <c r="N128" s="25" t="str">
        <f>IFERROR(__xludf.DUMMYFUNCTION("""COMPUTED_VALUE"""),"PS3")</f>
        <v>PS3</v>
      </c>
      <c r="O128" s="26" t="str">
        <f>IFERROR(__xludf.DUMMYFUNCTION("""COMPUTED_VALUE"""),"Yes")</f>
        <v>Yes</v>
      </c>
      <c r="P128" s="26" t="str">
        <f>IFERROR(__xludf.DUMMYFUNCTION("""COMPUTED_VALUE"""),"")</f>
        <v/>
      </c>
    </row>
    <row r="129">
      <c r="A129" s="13" t="str">
        <f>IFERROR(__xludf.DUMMYFUNCTION("""COMPUTED_VALUE"""),"Devil May Cry: HD Collection")</f>
        <v>Devil May Cry: HD Collection</v>
      </c>
      <c r="B129" s="15" t="str">
        <f>IFERROR(__xludf.DUMMYFUNCTION("""COMPUTED_VALUE"""),"PS5/PS4")</f>
        <v>PS5/PS4</v>
      </c>
      <c r="C129" s="16" t="str">
        <f>IFERROR(__xludf.DUMMYFUNCTION("""COMPUTED_VALUE"""),"Premium (Streaming Only)")</f>
        <v>Premium (Streaming Only)</v>
      </c>
      <c r="D129" s="15" t="str">
        <f>IFERROR(__xludf.DUMMYFUNCTION("""COMPUTED_VALUE"""),"Active")</f>
        <v>Active</v>
      </c>
      <c r="E129" s="17">
        <f>IFERROR(__xludf.DUMMYFUNCTION("""COMPUTED_VALUE"""),42466.0)</f>
        <v>42466</v>
      </c>
      <c r="F129" s="54"/>
      <c r="G129" s="19">
        <f>IFERROR(__xludf.DUMMYFUNCTION("""COMPUTED_VALUE"""),126.0)</f>
        <v>126</v>
      </c>
      <c r="H129" s="17">
        <f>IFERROR(__xludf.DUMMYFUNCTION("""COMPUTED_VALUE"""),40969.0)</f>
        <v>40969</v>
      </c>
      <c r="I129" s="19">
        <f>IFERROR(__xludf.DUMMYFUNCTION("""COMPUTED_VALUE"""),4.097222222222222)</f>
        <v>4.097222222</v>
      </c>
      <c r="J129" s="21">
        <f>IFERROR(__xludf.DUMMYFUNCTION("""COMPUTED_VALUE"""),74.0)</f>
        <v>74</v>
      </c>
      <c r="K129" s="23">
        <f>IFERROR(__xludf.DUMMYFUNCTION("""COMPUTED_VALUE"""),8.0)</f>
        <v>8</v>
      </c>
      <c r="L129" s="24">
        <f>IFERROR(__xludf.DUMMYFUNCTION("""COMPUTED_VALUE"""),30.0)</f>
        <v>30</v>
      </c>
      <c r="M129" s="25" t="str">
        <f>IFERROR(__xludf.DUMMYFUNCTION("""COMPUTED_VALUE"""),"Action-Adventure")</f>
        <v>Action-Adventure</v>
      </c>
      <c r="N129" s="25" t="str">
        <f>IFERROR(__xludf.DUMMYFUNCTION("""COMPUTED_VALUE"""),"PS3")</f>
        <v>PS3</v>
      </c>
      <c r="O129" s="26" t="str">
        <f>IFERROR(__xludf.DUMMYFUNCTION("""COMPUTED_VALUE"""),"Yes")</f>
        <v>Yes</v>
      </c>
      <c r="P129" s="26" t="str">
        <f>IFERROR(__xludf.DUMMYFUNCTION("""COMPUTED_VALUE"""),"")</f>
        <v/>
      </c>
    </row>
    <row r="130">
      <c r="A130" s="13" t="str">
        <f>IFERROR(__xludf.DUMMYFUNCTION("""COMPUTED_VALUE"""),"The Guided Fate Paradox")</f>
        <v>The Guided Fate Paradox</v>
      </c>
      <c r="B130" s="15" t="str">
        <f>IFERROR(__xludf.DUMMYFUNCTION("""COMPUTED_VALUE"""),"PS5/PS4")</f>
        <v>PS5/PS4</v>
      </c>
      <c r="C130" s="16" t="str">
        <f>IFERROR(__xludf.DUMMYFUNCTION("""COMPUTED_VALUE"""),"Premium (Streaming Only)")</f>
        <v>Premium (Streaming Only)</v>
      </c>
      <c r="D130" s="15" t="str">
        <f>IFERROR(__xludf.DUMMYFUNCTION("""COMPUTED_VALUE"""),"Active")</f>
        <v>Active</v>
      </c>
      <c r="E130" s="17">
        <f>IFERROR(__xludf.DUMMYFUNCTION("""COMPUTED_VALUE"""),42374.0)</f>
        <v>42374</v>
      </c>
      <c r="F130" s="54"/>
      <c r="G130" s="19">
        <f>IFERROR(__xludf.DUMMYFUNCTION("""COMPUTED_VALUE"""),129.03333333333333)</f>
        <v>129.0333333</v>
      </c>
      <c r="H130" s="17">
        <f>IFERROR(__xludf.DUMMYFUNCTION("""COMPUTED_VALUE"""),41579.0)</f>
        <v>41579</v>
      </c>
      <c r="I130" s="19">
        <f>IFERROR(__xludf.DUMMYFUNCTION("""COMPUTED_VALUE"""),2.1777777777777776)</f>
        <v>2.177777778</v>
      </c>
      <c r="J130" s="21">
        <f>IFERROR(__xludf.DUMMYFUNCTION("""COMPUTED_VALUE"""),74.0)</f>
        <v>74</v>
      </c>
      <c r="K130" s="23">
        <f>IFERROR(__xludf.DUMMYFUNCTION("""COMPUTED_VALUE"""),7.6)</f>
        <v>7.6</v>
      </c>
      <c r="L130" s="24">
        <f>IFERROR(__xludf.DUMMYFUNCTION("""COMPUTED_VALUE"""),35.0)</f>
        <v>35</v>
      </c>
      <c r="M130" s="25" t="str">
        <f>IFERROR(__xludf.DUMMYFUNCTION("""COMPUTED_VALUE"""),"RPG")</f>
        <v>RPG</v>
      </c>
      <c r="N130" s="25" t="str">
        <f>IFERROR(__xludf.DUMMYFUNCTION("""COMPUTED_VALUE"""),"PS3")</f>
        <v>PS3</v>
      </c>
      <c r="O130" s="26" t="str">
        <f>IFERROR(__xludf.DUMMYFUNCTION("""COMPUTED_VALUE"""),"Yes")</f>
        <v>Yes</v>
      </c>
      <c r="P130" s="26" t="str">
        <f>IFERROR(__xludf.DUMMYFUNCTION("""COMPUTED_VALUE"""),"")</f>
        <v/>
      </c>
    </row>
    <row r="131">
      <c r="A131" s="13" t="str">
        <f>IFERROR(__xludf.DUMMYFUNCTION("""COMPUTED_VALUE"""),"TOKYO JUNGLE")</f>
        <v>TOKYO JUNGLE</v>
      </c>
      <c r="B131" s="15" t="str">
        <f>IFERROR(__xludf.DUMMYFUNCTION("""COMPUTED_VALUE"""),"PS5/PS4")</f>
        <v>PS5/PS4</v>
      </c>
      <c r="C131" s="16" t="str">
        <f>IFERROR(__xludf.DUMMYFUNCTION("""COMPUTED_VALUE"""),"Premium (Streaming Only)")</f>
        <v>Premium (Streaming Only)</v>
      </c>
      <c r="D131" s="15" t="str">
        <f>IFERROR(__xludf.DUMMYFUNCTION("""COMPUTED_VALUE"""),"Active")</f>
        <v>Active</v>
      </c>
      <c r="E131" s="17">
        <f>IFERROR(__xludf.DUMMYFUNCTION("""COMPUTED_VALUE"""),42374.0)</f>
        <v>42374</v>
      </c>
      <c r="F131" s="54"/>
      <c r="G131" s="19">
        <f>IFERROR(__xludf.DUMMYFUNCTION("""COMPUTED_VALUE"""),129.03333333333333)</f>
        <v>129.0333333</v>
      </c>
      <c r="H131" s="17">
        <f>IFERROR(__xludf.DUMMYFUNCTION("""COMPUTED_VALUE"""),41153.0)</f>
        <v>41153</v>
      </c>
      <c r="I131" s="19">
        <f>IFERROR(__xludf.DUMMYFUNCTION("""COMPUTED_VALUE"""),3.3444444444444446)</f>
        <v>3.344444444</v>
      </c>
      <c r="J131" s="21">
        <f>IFERROR(__xludf.DUMMYFUNCTION("""COMPUTED_VALUE"""),74.0)</f>
        <v>74</v>
      </c>
      <c r="K131" s="23">
        <f>IFERROR(__xludf.DUMMYFUNCTION("""COMPUTED_VALUE"""),7.7)</f>
        <v>7.7</v>
      </c>
      <c r="L131" s="24">
        <f>IFERROR(__xludf.DUMMYFUNCTION("""COMPUTED_VALUE"""),10.0)</f>
        <v>10</v>
      </c>
      <c r="M131" s="25" t="str">
        <f>IFERROR(__xludf.DUMMYFUNCTION("""COMPUTED_VALUE"""),"Action-Adventure")</f>
        <v>Action-Adventure</v>
      </c>
      <c r="N131" s="25" t="str">
        <f>IFERROR(__xludf.DUMMYFUNCTION("""COMPUTED_VALUE"""),"PS3")</f>
        <v>PS3</v>
      </c>
      <c r="O131" s="26" t="str">
        <f>IFERROR(__xludf.DUMMYFUNCTION("""COMPUTED_VALUE"""),"Yes")</f>
        <v>Yes</v>
      </c>
      <c r="P131" s="26" t="str">
        <f>IFERROR(__xludf.DUMMYFUNCTION("""COMPUTED_VALUE"""),"")</f>
        <v/>
      </c>
    </row>
    <row r="132">
      <c r="A132" s="13" t="str">
        <f>IFERROR(__xludf.DUMMYFUNCTION("""COMPUTED_VALUE"""),"Hamilton's Great Adventure")</f>
        <v>Hamilton's Great Adventure</v>
      </c>
      <c r="B132" s="15" t="str">
        <f>IFERROR(__xludf.DUMMYFUNCTION("""COMPUTED_VALUE"""),"PS5/PS4")</f>
        <v>PS5/PS4</v>
      </c>
      <c r="C132" s="16" t="str">
        <f>IFERROR(__xludf.DUMMYFUNCTION("""COMPUTED_VALUE"""),"Premium (Streaming Only)")</f>
        <v>Premium (Streaming Only)</v>
      </c>
      <c r="D132" s="15" t="str">
        <f>IFERROR(__xludf.DUMMYFUNCTION("""COMPUTED_VALUE"""),"Active")</f>
        <v>Active</v>
      </c>
      <c r="E132" s="17">
        <f>IFERROR(__xludf.DUMMYFUNCTION("""COMPUTED_VALUE"""),42311.0)</f>
        <v>42311</v>
      </c>
      <c r="F132" s="54"/>
      <c r="G132" s="19">
        <f>IFERROR(__xludf.DUMMYFUNCTION("""COMPUTED_VALUE"""),131.10000000000002)</f>
        <v>131.1</v>
      </c>
      <c r="H132" s="17">
        <f>IFERROR(__xludf.DUMMYFUNCTION("""COMPUTED_VALUE"""),40756.0)</f>
        <v>40756</v>
      </c>
      <c r="I132" s="19">
        <f>IFERROR(__xludf.DUMMYFUNCTION("""COMPUTED_VALUE"""),4.2555555555555555)</f>
        <v>4.255555556</v>
      </c>
      <c r="J132" s="21">
        <f>IFERROR(__xludf.DUMMYFUNCTION("""COMPUTED_VALUE"""),74.0)</f>
        <v>74</v>
      </c>
      <c r="K132" s="23">
        <f>IFERROR(__xludf.DUMMYFUNCTION("""COMPUTED_VALUE"""),5.8)</f>
        <v>5.8</v>
      </c>
      <c r="L132" s="24">
        <f>IFERROR(__xludf.DUMMYFUNCTION("""COMPUTED_VALUE"""),5.0)</f>
        <v>5</v>
      </c>
      <c r="M132" s="25" t="str">
        <f>IFERROR(__xludf.DUMMYFUNCTION("""COMPUTED_VALUE"""),"Adventure")</f>
        <v>Adventure</v>
      </c>
      <c r="N132" s="25" t="str">
        <f>IFERROR(__xludf.DUMMYFUNCTION("""COMPUTED_VALUE"""),"PS3")</f>
        <v>PS3</v>
      </c>
      <c r="O132" s="26" t="str">
        <f>IFERROR(__xludf.DUMMYFUNCTION("""COMPUTED_VALUE"""),"Yes")</f>
        <v>Yes</v>
      </c>
      <c r="P132" s="26" t="str">
        <f>IFERROR(__xludf.DUMMYFUNCTION("""COMPUTED_VALUE"""),"")</f>
        <v/>
      </c>
    </row>
    <row r="133">
      <c r="A133" s="13" t="str">
        <f>IFERROR(__xludf.DUMMYFUNCTION("""COMPUTED_VALUE"""),"DEAD OR ALIVE 5")</f>
        <v>DEAD OR ALIVE 5</v>
      </c>
      <c r="B133" s="15" t="str">
        <f>IFERROR(__xludf.DUMMYFUNCTION("""COMPUTED_VALUE"""),"PS5/PS4")</f>
        <v>PS5/PS4</v>
      </c>
      <c r="C133" s="16" t="str">
        <f>IFERROR(__xludf.DUMMYFUNCTION("""COMPUTED_VALUE"""),"Premium (Streaming Only)")</f>
        <v>Premium (Streaming Only)</v>
      </c>
      <c r="D133" s="15" t="str">
        <f>IFERROR(__xludf.DUMMYFUNCTION("""COMPUTED_VALUE"""),"Active")</f>
        <v>Active</v>
      </c>
      <c r="E133" s="17">
        <f>IFERROR(__xludf.DUMMYFUNCTION("""COMPUTED_VALUE"""),42017.0)</f>
        <v>42017</v>
      </c>
      <c r="F133" s="54"/>
      <c r="G133" s="19">
        <f>IFERROR(__xludf.DUMMYFUNCTION("""COMPUTED_VALUE"""),140.76666666666668)</f>
        <v>140.7666667</v>
      </c>
      <c r="H133" s="17">
        <f>IFERROR(__xludf.DUMMYFUNCTION("""COMPUTED_VALUE"""),41153.0)</f>
        <v>41153</v>
      </c>
      <c r="I133" s="19">
        <f>IFERROR(__xludf.DUMMYFUNCTION("""COMPUTED_VALUE"""),2.3666666666666667)</f>
        <v>2.366666667</v>
      </c>
      <c r="J133" s="21">
        <f>IFERROR(__xludf.DUMMYFUNCTION("""COMPUTED_VALUE"""),74.0)</f>
        <v>74</v>
      </c>
      <c r="K133" s="23">
        <f>IFERROR(__xludf.DUMMYFUNCTION("""COMPUTED_VALUE"""),7.7)</f>
        <v>7.7</v>
      </c>
      <c r="L133" s="24"/>
      <c r="M133" s="68" t="str">
        <f>IFERROR(__xludf.DUMMYFUNCTION("""COMPUTED_VALUE"""),"Fighting")</f>
        <v>Fighting</v>
      </c>
      <c r="N133" s="68" t="str">
        <f>IFERROR(__xludf.DUMMYFUNCTION("""COMPUTED_VALUE"""),"PS3")</f>
        <v>PS3</v>
      </c>
      <c r="O133" s="69" t="str">
        <f>IFERROR(__xludf.DUMMYFUNCTION("""COMPUTED_VALUE"""),"Yes")</f>
        <v>Yes</v>
      </c>
      <c r="P133" s="69" t="str">
        <f>IFERROR(__xludf.DUMMYFUNCTION("""COMPUTED_VALUE"""),"Yes")</f>
        <v>Yes</v>
      </c>
    </row>
    <row r="134">
      <c r="A134" s="13" t="str">
        <f>IFERROR(__xludf.DUMMYFUNCTION("""COMPUTED_VALUE"""),"MX vs. ATV: Reflex")</f>
        <v>MX vs. ATV: Reflex</v>
      </c>
      <c r="B134" s="15" t="str">
        <f>IFERROR(__xludf.DUMMYFUNCTION("""COMPUTED_VALUE"""),"PS5/PS4")</f>
        <v>PS5/PS4</v>
      </c>
      <c r="C134" s="16" t="str">
        <f>IFERROR(__xludf.DUMMYFUNCTION("""COMPUTED_VALUE"""),"Premium (Streaming Only)")</f>
        <v>Premium (Streaming Only)</v>
      </c>
      <c r="D134" s="15" t="str">
        <f>IFERROR(__xludf.DUMMYFUNCTION("""COMPUTED_VALUE"""),"Active")</f>
        <v>Active</v>
      </c>
      <c r="E134" s="17">
        <f>IFERROR(__xludf.DUMMYFUNCTION("""COMPUTED_VALUE"""),42017.0)</f>
        <v>42017</v>
      </c>
      <c r="F134" s="54"/>
      <c r="G134" s="19">
        <f>IFERROR(__xludf.DUMMYFUNCTION("""COMPUTED_VALUE"""),140.76666666666668)</f>
        <v>140.7666667</v>
      </c>
      <c r="H134" s="17">
        <f>IFERROR(__xludf.DUMMYFUNCTION("""COMPUTED_VALUE"""),40148.0)</f>
        <v>40148</v>
      </c>
      <c r="I134" s="19">
        <f>IFERROR(__xludf.DUMMYFUNCTION("""COMPUTED_VALUE"""),5.116666666666666)</f>
        <v>5.116666667</v>
      </c>
      <c r="J134" s="21">
        <f>IFERROR(__xludf.DUMMYFUNCTION("""COMPUTED_VALUE"""),74.0)</f>
        <v>74</v>
      </c>
      <c r="K134" s="23">
        <f>IFERROR(__xludf.DUMMYFUNCTION("""COMPUTED_VALUE"""),7.4)</f>
        <v>7.4</v>
      </c>
      <c r="L134" s="24">
        <f>IFERROR(__xludf.DUMMYFUNCTION("""COMPUTED_VALUE"""),10.0)</f>
        <v>10</v>
      </c>
      <c r="M134" s="25" t="str">
        <f>IFERROR(__xludf.DUMMYFUNCTION("""COMPUTED_VALUE"""),"Racing")</f>
        <v>Racing</v>
      </c>
      <c r="N134" s="25" t="str">
        <f>IFERROR(__xludf.DUMMYFUNCTION("""COMPUTED_VALUE"""),"PS3")</f>
        <v>PS3</v>
      </c>
      <c r="O134" s="26" t="str">
        <f>IFERROR(__xludf.DUMMYFUNCTION("""COMPUTED_VALUE"""),"Yes")</f>
        <v>Yes</v>
      </c>
      <c r="P134" s="26" t="str">
        <f>IFERROR(__xludf.DUMMYFUNCTION("""COMPUTED_VALUE"""),"")</f>
        <v/>
      </c>
    </row>
    <row r="135">
      <c r="A135" s="13" t="str">
        <f>IFERROR(__xludf.DUMMYFUNCTION("""COMPUTED_VALUE"""),"Rocketbirds: Hardboiled Chicken")</f>
        <v>Rocketbirds: Hardboiled Chicken</v>
      </c>
      <c r="B135" s="15" t="str">
        <f>IFERROR(__xludf.DUMMYFUNCTION("""COMPUTED_VALUE"""),"PS5/PS4")</f>
        <v>PS5/PS4</v>
      </c>
      <c r="C135" s="16" t="str">
        <f>IFERROR(__xludf.DUMMYFUNCTION("""COMPUTED_VALUE"""),"Premium (Streaming Only)")</f>
        <v>Premium (Streaming Only)</v>
      </c>
      <c r="D135" s="15" t="str">
        <f>IFERROR(__xludf.DUMMYFUNCTION("""COMPUTED_VALUE"""),"Active")</f>
        <v>Active</v>
      </c>
      <c r="E135" s="17">
        <f>IFERROR(__xludf.DUMMYFUNCTION("""COMPUTED_VALUE"""),42017.0)</f>
        <v>42017</v>
      </c>
      <c r="F135" s="54"/>
      <c r="G135" s="19">
        <f>IFERROR(__xludf.DUMMYFUNCTION("""COMPUTED_VALUE"""),140.76666666666668)</f>
        <v>140.7666667</v>
      </c>
      <c r="H135" s="17">
        <f>IFERROR(__xludf.DUMMYFUNCTION("""COMPUTED_VALUE"""),40817.0)</f>
        <v>40817</v>
      </c>
      <c r="I135" s="19">
        <f>IFERROR(__xludf.DUMMYFUNCTION("""COMPUTED_VALUE"""),3.283333333333333)</f>
        <v>3.283333333</v>
      </c>
      <c r="J135" s="21">
        <f>IFERROR(__xludf.DUMMYFUNCTION("""COMPUTED_VALUE"""),74.0)</f>
        <v>74</v>
      </c>
      <c r="K135" s="23">
        <f>IFERROR(__xludf.DUMMYFUNCTION("""COMPUTED_VALUE"""),7.1)</f>
        <v>7.1</v>
      </c>
      <c r="L135" s="24">
        <f>IFERROR(__xludf.DUMMYFUNCTION("""COMPUTED_VALUE"""),5.0)</f>
        <v>5</v>
      </c>
      <c r="M135" s="25" t="str">
        <f>IFERROR(__xludf.DUMMYFUNCTION("""COMPUTED_VALUE"""),"Action-Adventure")</f>
        <v>Action-Adventure</v>
      </c>
      <c r="N135" s="25" t="str">
        <f>IFERROR(__xludf.DUMMYFUNCTION("""COMPUTED_VALUE"""),"PS3")</f>
        <v>PS3</v>
      </c>
      <c r="O135" s="26" t="str">
        <f>IFERROR(__xludf.DUMMYFUNCTION("""COMPUTED_VALUE"""),"Yes")</f>
        <v>Yes</v>
      </c>
      <c r="P135" s="26" t="str">
        <f>IFERROR(__xludf.DUMMYFUNCTION("""COMPUTED_VALUE"""),"")</f>
        <v/>
      </c>
    </row>
    <row r="136">
      <c r="A136" s="13" t="str">
        <f>IFERROR(__xludf.DUMMYFUNCTION("""COMPUTED_VALUE"""),"Bentley's Hackpack")</f>
        <v>Bentley's Hackpack</v>
      </c>
      <c r="B136" s="15" t="str">
        <f>IFERROR(__xludf.DUMMYFUNCTION("""COMPUTED_VALUE"""),"PS5/PS4")</f>
        <v>PS5/PS4</v>
      </c>
      <c r="C136" s="16" t="str">
        <f>IFERROR(__xludf.DUMMYFUNCTION("""COMPUTED_VALUE"""),"Premium (Streaming Only)")</f>
        <v>Premium (Streaming Only)</v>
      </c>
      <c r="D136" s="15" t="str">
        <f>IFERROR(__xludf.DUMMYFUNCTION("""COMPUTED_VALUE"""),"Active")</f>
        <v>Active</v>
      </c>
      <c r="E136" s="17">
        <f>IFERROR(__xludf.DUMMYFUNCTION("""COMPUTED_VALUE"""),44824.0)</f>
        <v>44824</v>
      </c>
      <c r="F136" s="54"/>
      <c r="G136" s="19">
        <f>IFERROR(__xludf.DUMMYFUNCTION("""COMPUTED_VALUE"""),48.53333333333333)</f>
        <v>48.53333333</v>
      </c>
      <c r="H136" s="17">
        <f>IFERROR(__xludf.DUMMYFUNCTION("""COMPUTED_VALUE"""),41310.0)</f>
        <v>41310</v>
      </c>
      <c r="I136" s="19">
        <f>IFERROR(__xludf.DUMMYFUNCTION("""COMPUTED_VALUE"""),9.625)</f>
        <v>9.625</v>
      </c>
      <c r="J136" s="21">
        <f>IFERROR(__xludf.DUMMYFUNCTION("""COMPUTED_VALUE"""),73.0)</f>
        <v>73</v>
      </c>
      <c r="K136" s="23">
        <f>IFERROR(__xludf.DUMMYFUNCTION("""COMPUTED_VALUE"""),7.8)</f>
        <v>7.8</v>
      </c>
      <c r="L136" s="24">
        <f>IFERROR(__xludf.DUMMYFUNCTION("""COMPUTED_VALUE"""),6.0)</f>
        <v>6</v>
      </c>
      <c r="M136" s="25" t="str">
        <f>IFERROR(__xludf.DUMMYFUNCTION("""COMPUTED_VALUE"""),"Compilation")</f>
        <v>Compilation</v>
      </c>
      <c r="N136" s="25" t="str">
        <f>IFERROR(__xludf.DUMMYFUNCTION("""COMPUTED_VALUE"""),"PS3")</f>
        <v>PS3</v>
      </c>
      <c r="O136" s="26" t="str">
        <f>IFERROR(__xludf.DUMMYFUNCTION("""COMPUTED_VALUE"""),"Yes")</f>
        <v>Yes</v>
      </c>
      <c r="P136" s="26"/>
    </row>
    <row r="137">
      <c r="A137" s="13" t="str">
        <f>IFERROR(__xludf.DUMMYFUNCTION("""COMPUTED_VALUE"""),"Savage Moon")</f>
        <v>Savage Moon</v>
      </c>
      <c r="B137" s="15" t="str">
        <f>IFERROR(__xludf.DUMMYFUNCTION("""COMPUTED_VALUE"""),"PS5/PS4")</f>
        <v>PS5/PS4</v>
      </c>
      <c r="C137" s="16" t="str">
        <f>IFERROR(__xludf.DUMMYFUNCTION("""COMPUTED_VALUE"""),"Premium (Streaming Only)")</f>
        <v>Premium (Streaming Only)</v>
      </c>
      <c r="D137" s="15" t="str">
        <f>IFERROR(__xludf.DUMMYFUNCTION("""COMPUTED_VALUE"""),"Active")</f>
        <v>Active</v>
      </c>
      <c r="E137" s="17">
        <f>IFERROR(__xludf.DUMMYFUNCTION("""COMPUTED_VALUE"""),42374.0)</f>
        <v>42374</v>
      </c>
      <c r="F137" s="54"/>
      <c r="G137" s="19">
        <f>IFERROR(__xludf.DUMMYFUNCTION("""COMPUTED_VALUE"""),129.03333333333333)</f>
        <v>129.0333333</v>
      </c>
      <c r="H137" s="17">
        <f>IFERROR(__xludf.DUMMYFUNCTION("""COMPUTED_VALUE"""),39814.0)</f>
        <v>39814</v>
      </c>
      <c r="I137" s="19">
        <f>IFERROR(__xludf.DUMMYFUNCTION("""COMPUTED_VALUE"""),7.011111111111111)</f>
        <v>7.011111111</v>
      </c>
      <c r="J137" s="21">
        <f>IFERROR(__xludf.DUMMYFUNCTION("""COMPUTED_VALUE"""),73.0)</f>
        <v>73</v>
      </c>
      <c r="K137" s="23">
        <f>IFERROR(__xludf.DUMMYFUNCTION("""COMPUTED_VALUE"""),7.5)</f>
        <v>7.5</v>
      </c>
      <c r="L137" s="24">
        <f>IFERROR(__xludf.DUMMYFUNCTION("""COMPUTED_VALUE"""),6.0)</f>
        <v>6</v>
      </c>
      <c r="M137" s="25" t="str">
        <f>IFERROR(__xludf.DUMMYFUNCTION("""COMPUTED_VALUE"""),"Strategy")</f>
        <v>Strategy</v>
      </c>
      <c r="N137" s="25" t="str">
        <f>IFERROR(__xludf.DUMMYFUNCTION("""COMPUTED_VALUE"""),"PS3")</f>
        <v>PS3</v>
      </c>
      <c r="O137" s="26" t="str">
        <f>IFERROR(__xludf.DUMMYFUNCTION("""COMPUTED_VALUE"""),"Yes")</f>
        <v>Yes</v>
      </c>
      <c r="P137" s="26" t="str">
        <f>IFERROR(__xludf.DUMMYFUNCTION("""COMPUTED_VALUE"""),"")</f>
        <v/>
      </c>
    </row>
    <row r="138">
      <c r="A138" s="13" t="str">
        <f>IFERROR(__xludf.DUMMYFUNCTION("""COMPUTED_VALUE"""),"Sky Fighter")</f>
        <v>Sky Fighter</v>
      </c>
      <c r="B138" s="15" t="str">
        <f>IFERROR(__xludf.DUMMYFUNCTION("""COMPUTED_VALUE"""),"PS5/PS4")</f>
        <v>PS5/PS4</v>
      </c>
      <c r="C138" s="16" t="str">
        <f>IFERROR(__xludf.DUMMYFUNCTION("""COMPUTED_VALUE"""),"Premium (Streaming Only)")</f>
        <v>Premium (Streaming Only)</v>
      </c>
      <c r="D138" s="15" t="str">
        <f>IFERROR(__xludf.DUMMYFUNCTION("""COMPUTED_VALUE"""),"Active")</f>
        <v>Active</v>
      </c>
      <c r="E138" s="17">
        <f>IFERROR(__xludf.DUMMYFUNCTION("""COMPUTED_VALUE"""),42374.0)</f>
        <v>42374</v>
      </c>
      <c r="F138" s="18"/>
      <c r="G138" s="19">
        <f>IFERROR(__xludf.DUMMYFUNCTION("""COMPUTED_VALUE"""),129.03333333333333)</f>
        <v>129.0333333</v>
      </c>
      <c r="H138" s="17">
        <f>IFERROR(__xludf.DUMMYFUNCTION("""COMPUTED_VALUE"""),40575.0)</f>
        <v>40575</v>
      </c>
      <c r="I138" s="19">
        <f>IFERROR(__xludf.DUMMYFUNCTION("""COMPUTED_VALUE"""),4.927777777777778)</f>
        <v>4.927777778</v>
      </c>
      <c r="J138" s="21">
        <f>IFERROR(__xludf.DUMMYFUNCTION("""COMPUTED_VALUE"""),73.0)</f>
        <v>73</v>
      </c>
      <c r="K138" s="23"/>
      <c r="L138" s="24">
        <f>IFERROR(__xludf.DUMMYFUNCTION("""COMPUTED_VALUE"""),3.0)</f>
        <v>3</v>
      </c>
      <c r="M138" s="25" t="str">
        <f>IFERROR(__xludf.DUMMYFUNCTION("""COMPUTED_VALUE"""),"Shooter")</f>
        <v>Shooter</v>
      </c>
      <c r="N138" s="25" t="str">
        <f>IFERROR(__xludf.DUMMYFUNCTION("""COMPUTED_VALUE"""),"PS3")</f>
        <v>PS3</v>
      </c>
      <c r="O138" s="26" t="str">
        <f>IFERROR(__xludf.DUMMYFUNCTION("""COMPUTED_VALUE"""),"Yes")</f>
        <v>Yes</v>
      </c>
      <c r="P138" s="26" t="str">
        <f>IFERROR(__xludf.DUMMYFUNCTION("""COMPUTED_VALUE"""),"")</f>
        <v/>
      </c>
    </row>
    <row r="139">
      <c r="A139" s="13" t="str">
        <f>IFERROR(__xludf.DUMMYFUNCTION("""COMPUTED_VALUE"""),"When Vikings Attack!")</f>
        <v>When Vikings Attack!</v>
      </c>
      <c r="B139" s="15" t="str">
        <f>IFERROR(__xludf.DUMMYFUNCTION("""COMPUTED_VALUE"""),"PS5/PS4")</f>
        <v>PS5/PS4</v>
      </c>
      <c r="C139" s="16" t="str">
        <f>IFERROR(__xludf.DUMMYFUNCTION("""COMPUTED_VALUE"""),"Premium (Streaming Only)")</f>
        <v>Premium (Streaming Only)</v>
      </c>
      <c r="D139" s="15" t="str">
        <f>IFERROR(__xludf.DUMMYFUNCTION("""COMPUTED_VALUE"""),"Active")</f>
        <v>Active</v>
      </c>
      <c r="E139" s="17">
        <f>IFERROR(__xludf.DUMMYFUNCTION("""COMPUTED_VALUE"""),42374.0)</f>
        <v>42374</v>
      </c>
      <c r="F139" s="54"/>
      <c r="G139" s="19">
        <f>IFERROR(__xludf.DUMMYFUNCTION("""COMPUTED_VALUE"""),129.03333333333333)</f>
        <v>129.0333333</v>
      </c>
      <c r="H139" s="17">
        <f>IFERROR(__xludf.DUMMYFUNCTION("""COMPUTED_VALUE"""),41214.0)</f>
        <v>41214</v>
      </c>
      <c r="I139" s="19">
        <f>IFERROR(__xludf.DUMMYFUNCTION("""COMPUTED_VALUE"""),3.1777777777777776)</f>
        <v>3.177777778</v>
      </c>
      <c r="J139" s="21">
        <f>IFERROR(__xludf.DUMMYFUNCTION("""COMPUTED_VALUE"""),73.0)</f>
        <v>73</v>
      </c>
      <c r="K139" s="23">
        <f>IFERROR(__xludf.DUMMYFUNCTION("""COMPUTED_VALUE"""),7.1)</f>
        <v>7.1</v>
      </c>
      <c r="L139" s="24">
        <f>IFERROR(__xludf.DUMMYFUNCTION("""COMPUTED_VALUE"""),4.0)</f>
        <v>4</v>
      </c>
      <c r="M139" s="25" t="str">
        <f>IFERROR(__xludf.DUMMYFUNCTION("""COMPUTED_VALUE"""),"Action-Adventure")</f>
        <v>Action-Adventure</v>
      </c>
      <c r="N139" s="25" t="str">
        <f>IFERROR(__xludf.DUMMYFUNCTION("""COMPUTED_VALUE"""),"PS3")</f>
        <v>PS3</v>
      </c>
      <c r="O139" s="26" t="str">
        <f>IFERROR(__xludf.DUMMYFUNCTION("""COMPUTED_VALUE"""),"Yes")</f>
        <v>Yes</v>
      </c>
      <c r="P139" s="26" t="str">
        <f>IFERROR(__xludf.DUMMYFUNCTION("""COMPUTED_VALUE"""),"")</f>
        <v/>
      </c>
    </row>
    <row r="140">
      <c r="A140" s="13" t="str">
        <f>IFERROR(__xludf.DUMMYFUNCTION("""COMPUTED_VALUE"""),"Karateka")</f>
        <v>Karateka</v>
      </c>
      <c r="B140" s="15" t="str">
        <f>IFERROR(__xludf.DUMMYFUNCTION("""COMPUTED_VALUE"""),"PS5/PS4")</f>
        <v>PS5/PS4</v>
      </c>
      <c r="C140" s="16" t="str">
        <f>IFERROR(__xludf.DUMMYFUNCTION("""COMPUTED_VALUE"""),"Premium (Streaming Only)")</f>
        <v>Premium (Streaming Only)</v>
      </c>
      <c r="D140" s="15" t="str">
        <f>IFERROR(__xludf.DUMMYFUNCTION("""COMPUTED_VALUE"""),"Active")</f>
        <v>Active</v>
      </c>
      <c r="E140" s="17">
        <f>IFERROR(__xludf.DUMMYFUNCTION("""COMPUTED_VALUE"""),42311.0)</f>
        <v>42311</v>
      </c>
      <c r="F140" s="18"/>
      <c r="G140" s="19">
        <f>IFERROR(__xludf.DUMMYFUNCTION("""COMPUTED_VALUE"""),131.10000000000002)</f>
        <v>131.1</v>
      </c>
      <c r="H140" s="17">
        <f>IFERROR(__xludf.DUMMYFUNCTION("""COMPUTED_VALUE"""),41244.0)</f>
        <v>41244</v>
      </c>
      <c r="I140" s="19">
        <f>IFERROR(__xludf.DUMMYFUNCTION("""COMPUTED_VALUE"""),2.922222222222222)</f>
        <v>2.922222222</v>
      </c>
      <c r="J140" s="21">
        <f>IFERROR(__xludf.DUMMYFUNCTION("""COMPUTED_VALUE"""),73.0)</f>
        <v>73</v>
      </c>
      <c r="K140" s="23">
        <f>IFERROR(__xludf.DUMMYFUNCTION("""COMPUTED_VALUE"""),5.8)</f>
        <v>5.8</v>
      </c>
      <c r="L140" s="24">
        <f>IFERROR(__xludf.DUMMYFUNCTION("""COMPUTED_VALUE"""),2.0)</f>
        <v>2</v>
      </c>
      <c r="M140" s="70" t="str">
        <f>IFERROR(__xludf.DUMMYFUNCTION("""COMPUTED_VALUE"""),"Action-Adventure")</f>
        <v>Action-Adventure</v>
      </c>
      <c r="N140" s="25" t="str">
        <f>IFERROR(__xludf.DUMMYFUNCTION("""COMPUTED_VALUE"""),"PS3")</f>
        <v>PS3</v>
      </c>
      <c r="O140" s="26" t="str">
        <f>IFERROR(__xludf.DUMMYFUNCTION("""COMPUTED_VALUE"""),"Yes")</f>
        <v>Yes</v>
      </c>
      <c r="P140" s="26" t="str">
        <f>IFERROR(__xludf.DUMMYFUNCTION("""COMPUTED_VALUE"""),"")</f>
        <v/>
      </c>
    </row>
    <row r="141">
      <c r="A141" s="13" t="str">
        <f>IFERROR(__xludf.DUMMYFUNCTION("""COMPUTED_VALUE"""),"Knytt Underground")</f>
        <v>Knytt Underground</v>
      </c>
      <c r="B141" s="15" t="str">
        <f>IFERROR(__xludf.DUMMYFUNCTION("""COMPUTED_VALUE"""),"PS5/PS4")</f>
        <v>PS5/PS4</v>
      </c>
      <c r="C141" s="16" t="str">
        <f>IFERROR(__xludf.DUMMYFUNCTION("""COMPUTED_VALUE"""),"Premium (Streaming Only)")</f>
        <v>Premium (Streaming Only)</v>
      </c>
      <c r="D141" s="15" t="str">
        <f>IFERROR(__xludf.DUMMYFUNCTION("""COMPUTED_VALUE"""),"Active")</f>
        <v>Active</v>
      </c>
      <c r="E141" s="17">
        <f>IFERROR(__xludf.DUMMYFUNCTION("""COMPUTED_VALUE"""),42311.0)</f>
        <v>42311</v>
      </c>
      <c r="F141" s="18"/>
      <c r="G141" s="19">
        <f>IFERROR(__xludf.DUMMYFUNCTION("""COMPUTED_VALUE"""),131.10000000000002)</f>
        <v>131.1</v>
      </c>
      <c r="H141" s="17">
        <f>IFERROR(__xludf.DUMMYFUNCTION("""COMPUTED_VALUE"""),41244.0)</f>
        <v>41244</v>
      </c>
      <c r="I141" s="19">
        <f>IFERROR(__xludf.DUMMYFUNCTION("""COMPUTED_VALUE"""),2.922222222222222)</f>
        <v>2.922222222</v>
      </c>
      <c r="J141" s="21">
        <f>IFERROR(__xludf.DUMMYFUNCTION("""COMPUTED_VALUE"""),73.0)</f>
        <v>73</v>
      </c>
      <c r="K141" s="23">
        <f>IFERROR(__xludf.DUMMYFUNCTION("""COMPUTED_VALUE"""),7.5)</f>
        <v>7.5</v>
      </c>
      <c r="L141" s="24">
        <f>IFERROR(__xludf.DUMMYFUNCTION("""COMPUTED_VALUE"""),12.0)</f>
        <v>12</v>
      </c>
      <c r="M141" s="25" t="str">
        <f>IFERROR(__xludf.DUMMYFUNCTION("""COMPUTED_VALUE"""),"Platformer")</f>
        <v>Platformer</v>
      </c>
      <c r="N141" s="25" t="str">
        <f>IFERROR(__xludf.DUMMYFUNCTION("""COMPUTED_VALUE"""),"PS3")</f>
        <v>PS3</v>
      </c>
      <c r="O141" s="26" t="str">
        <f>IFERROR(__xludf.DUMMYFUNCTION("""COMPUTED_VALUE"""),"Yes")</f>
        <v>Yes</v>
      </c>
      <c r="P141" s="26" t="str">
        <f>IFERROR(__xludf.DUMMYFUNCTION("""COMPUTED_VALUE"""),"")</f>
        <v/>
      </c>
    </row>
    <row r="142">
      <c r="A142" s="13" t="str">
        <f>IFERROR(__xludf.DUMMYFUNCTION("""COMPUTED_VALUE"""),"Sam &amp; Max The Devil's Playhouse: Episode 3 - They Stole Max's Brain")</f>
        <v>Sam &amp; Max The Devil's Playhouse: Episode 3 - They Stole Max's Brain</v>
      </c>
      <c r="B142" s="15" t="str">
        <f>IFERROR(__xludf.DUMMYFUNCTION("""COMPUTED_VALUE"""),"PS5/PS4")</f>
        <v>PS5/PS4</v>
      </c>
      <c r="C142" s="16" t="str">
        <f>IFERROR(__xludf.DUMMYFUNCTION("""COMPUTED_VALUE"""),"Premium (Streaming Only)")</f>
        <v>Premium (Streaming Only)</v>
      </c>
      <c r="D142" s="15" t="str">
        <f>IFERROR(__xludf.DUMMYFUNCTION("""COMPUTED_VALUE"""),"Active")</f>
        <v>Active</v>
      </c>
      <c r="E142" s="17">
        <f>IFERROR(__xludf.DUMMYFUNCTION("""COMPUTED_VALUE"""),42311.0)</f>
        <v>42311</v>
      </c>
      <c r="F142" s="54"/>
      <c r="G142" s="19">
        <f>IFERROR(__xludf.DUMMYFUNCTION("""COMPUTED_VALUE"""),131.10000000000002)</f>
        <v>131.1</v>
      </c>
      <c r="H142" s="17">
        <f>IFERROR(__xludf.DUMMYFUNCTION("""COMPUTED_VALUE"""),40391.0)</f>
        <v>40391</v>
      </c>
      <c r="I142" s="19">
        <f>IFERROR(__xludf.DUMMYFUNCTION("""COMPUTED_VALUE"""),5.2555555555555555)</f>
        <v>5.255555556</v>
      </c>
      <c r="J142" s="21">
        <f>IFERROR(__xludf.DUMMYFUNCTION("""COMPUTED_VALUE"""),73.0)</f>
        <v>73</v>
      </c>
      <c r="K142" s="23">
        <f>IFERROR(__xludf.DUMMYFUNCTION("""COMPUTED_VALUE"""),7.9)</f>
        <v>7.9</v>
      </c>
      <c r="L142" s="24">
        <f>IFERROR(__xludf.DUMMYFUNCTION("""COMPUTED_VALUE"""),3.0)</f>
        <v>3</v>
      </c>
      <c r="M142" s="25" t="str">
        <f>IFERROR(__xludf.DUMMYFUNCTION("""COMPUTED_VALUE"""),"Adventure")</f>
        <v>Adventure</v>
      </c>
      <c r="N142" s="25" t="str">
        <f>IFERROR(__xludf.DUMMYFUNCTION("""COMPUTED_VALUE"""),"PS3")</f>
        <v>PS3</v>
      </c>
      <c r="O142" s="26" t="str">
        <f>IFERROR(__xludf.DUMMYFUNCTION("""COMPUTED_VALUE"""),"Yes")</f>
        <v>Yes</v>
      </c>
      <c r="P142" s="26" t="str">
        <f>IFERROR(__xludf.DUMMYFUNCTION("""COMPUTED_VALUE"""),"")</f>
        <v/>
      </c>
    </row>
    <row r="143">
      <c r="A143" s="13" t="str">
        <f>IFERROR(__xludf.DUMMYFUNCTION("""COMPUTED_VALUE"""),"Arcana Heart 3")</f>
        <v>Arcana Heart 3</v>
      </c>
      <c r="B143" s="15" t="str">
        <f>IFERROR(__xludf.DUMMYFUNCTION("""COMPUTED_VALUE"""),"PS5/PS4")</f>
        <v>PS5/PS4</v>
      </c>
      <c r="C143" s="16" t="str">
        <f>IFERROR(__xludf.DUMMYFUNCTION("""COMPUTED_VALUE"""),"Premium (Streaming Only)")</f>
        <v>Premium (Streaming Only)</v>
      </c>
      <c r="D143" s="15" t="str">
        <f>IFERROR(__xludf.DUMMYFUNCTION("""COMPUTED_VALUE"""),"Active")</f>
        <v>Active</v>
      </c>
      <c r="E143" s="17">
        <f>IFERROR(__xludf.DUMMYFUNCTION("""COMPUTED_VALUE"""),42017.0)</f>
        <v>42017</v>
      </c>
      <c r="F143" s="54"/>
      <c r="G143" s="19">
        <f>IFERROR(__xludf.DUMMYFUNCTION("""COMPUTED_VALUE"""),140.76666666666668)</f>
        <v>140.7666667</v>
      </c>
      <c r="H143" s="17">
        <f>IFERROR(__xludf.DUMMYFUNCTION("""COMPUTED_VALUE"""),40634.0)</f>
        <v>40634</v>
      </c>
      <c r="I143" s="19">
        <f>IFERROR(__xludf.DUMMYFUNCTION("""COMPUTED_VALUE"""),3.783333333333333)</f>
        <v>3.783333333</v>
      </c>
      <c r="J143" s="21">
        <f>IFERROR(__xludf.DUMMYFUNCTION("""COMPUTED_VALUE"""),73.0)</f>
        <v>73</v>
      </c>
      <c r="K143" s="23">
        <f>IFERROR(__xludf.DUMMYFUNCTION("""COMPUTED_VALUE"""),7.2)</f>
        <v>7.2</v>
      </c>
      <c r="L143" s="24"/>
      <c r="M143" s="25" t="str">
        <f>IFERROR(__xludf.DUMMYFUNCTION("""COMPUTED_VALUE"""),"Fighting")</f>
        <v>Fighting</v>
      </c>
      <c r="N143" s="25" t="str">
        <f>IFERROR(__xludf.DUMMYFUNCTION("""COMPUTED_VALUE"""),"PS3")</f>
        <v>PS3</v>
      </c>
      <c r="O143" s="26" t="str">
        <f>IFERROR(__xludf.DUMMYFUNCTION("""COMPUTED_VALUE"""),"Yes")</f>
        <v>Yes</v>
      </c>
      <c r="P143" s="26" t="str">
        <f>IFERROR(__xludf.DUMMYFUNCTION("""COMPUTED_VALUE"""),"")</f>
        <v/>
      </c>
    </row>
    <row r="144">
      <c r="A144" s="13" t="str">
        <f>IFERROR(__xludf.DUMMYFUNCTION("""COMPUTED_VALUE"""),"Eufloria")</f>
        <v>Eufloria</v>
      </c>
      <c r="B144" s="15" t="str">
        <f>IFERROR(__xludf.DUMMYFUNCTION("""COMPUTED_VALUE"""),"PS5/PS4")</f>
        <v>PS5/PS4</v>
      </c>
      <c r="C144" s="16" t="str">
        <f>IFERROR(__xludf.DUMMYFUNCTION("""COMPUTED_VALUE"""),"Premium (Streaming Only)")</f>
        <v>Premium (Streaming Only)</v>
      </c>
      <c r="D144" s="15" t="str">
        <f>IFERROR(__xludf.DUMMYFUNCTION("""COMPUTED_VALUE"""),"Active")</f>
        <v>Active</v>
      </c>
      <c r="E144" s="17">
        <f>IFERROR(__xludf.DUMMYFUNCTION("""COMPUTED_VALUE"""),42017.0)</f>
        <v>42017</v>
      </c>
      <c r="F144" s="54"/>
      <c r="G144" s="19">
        <f>IFERROR(__xludf.DUMMYFUNCTION("""COMPUTED_VALUE"""),140.76666666666668)</f>
        <v>140.7666667</v>
      </c>
      <c r="H144" s="17">
        <f>IFERROR(__xludf.DUMMYFUNCTION("""COMPUTED_VALUE"""),40817.0)</f>
        <v>40817</v>
      </c>
      <c r="I144" s="19">
        <f>IFERROR(__xludf.DUMMYFUNCTION("""COMPUTED_VALUE"""),3.283333333333333)</f>
        <v>3.283333333</v>
      </c>
      <c r="J144" s="21">
        <f>IFERROR(__xludf.DUMMYFUNCTION("""COMPUTED_VALUE"""),73.0)</f>
        <v>73</v>
      </c>
      <c r="K144" s="23">
        <f>IFERROR(__xludf.DUMMYFUNCTION("""COMPUTED_VALUE"""),7.4)</f>
        <v>7.4</v>
      </c>
      <c r="L144" s="24">
        <f>IFERROR(__xludf.DUMMYFUNCTION("""COMPUTED_VALUE"""),7.0)</f>
        <v>7</v>
      </c>
      <c r="M144" s="25" t="str">
        <f>IFERROR(__xludf.DUMMYFUNCTION("""COMPUTED_VALUE"""),"Strategy")</f>
        <v>Strategy</v>
      </c>
      <c r="N144" s="25" t="str">
        <f>IFERROR(__xludf.DUMMYFUNCTION("""COMPUTED_VALUE"""),"PS3")</f>
        <v>PS3</v>
      </c>
      <c r="O144" s="26" t="str">
        <f>IFERROR(__xludf.DUMMYFUNCTION("""COMPUTED_VALUE"""),"Yes")</f>
        <v>Yes</v>
      </c>
      <c r="P144" s="26" t="str">
        <f>IFERROR(__xludf.DUMMYFUNCTION("""COMPUTED_VALUE"""),"")</f>
        <v/>
      </c>
    </row>
    <row r="145">
      <c r="A145" s="13" t="str">
        <f>IFERROR(__xludf.DUMMYFUNCTION("""COMPUTED_VALUE"""),"LEGO Pirates of the Caribbean: The Video Game")</f>
        <v>LEGO Pirates of the Caribbean: The Video Game</v>
      </c>
      <c r="B145" s="15" t="str">
        <f>IFERROR(__xludf.DUMMYFUNCTION("""COMPUTED_VALUE"""),"PS5/PS4")</f>
        <v>PS5/PS4</v>
      </c>
      <c r="C145" s="16" t="str">
        <f>IFERROR(__xludf.DUMMYFUNCTION("""COMPUTED_VALUE"""),"Premium (Streaming Only)")</f>
        <v>Premium (Streaming Only)</v>
      </c>
      <c r="D145" s="15" t="str">
        <f>IFERROR(__xludf.DUMMYFUNCTION("""COMPUTED_VALUE"""),"Active")</f>
        <v>Active</v>
      </c>
      <c r="E145" s="17">
        <f>IFERROR(__xludf.DUMMYFUNCTION("""COMPUTED_VALUE"""),42017.0)</f>
        <v>42017</v>
      </c>
      <c r="F145" s="54"/>
      <c r="G145" s="19">
        <f>IFERROR(__xludf.DUMMYFUNCTION("""COMPUTED_VALUE"""),140.76666666666668)</f>
        <v>140.7666667</v>
      </c>
      <c r="H145" s="17">
        <f>IFERROR(__xludf.DUMMYFUNCTION("""COMPUTED_VALUE"""),40664.0)</f>
        <v>40664</v>
      </c>
      <c r="I145" s="19">
        <f>IFERROR(__xludf.DUMMYFUNCTION("""COMPUTED_VALUE"""),3.7)</f>
        <v>3.7</v>
      </c>
      <c r="J145" s="21">
        <f>IFERROR(__xludf.DUMMYFUNCTION("""COMPUTED_VALUE"""),73.0)</f>
        <v>73</v>
      </c>
      <c r="K145" s="23">
        <f>IFERROR(__xludf.DUMMYFUNCTION("""COMPUTED_VALUE"""),7.7)</f>
        <v>7.7</v>
      </c>
      <c r="L145" s="24">
        <f>IFERROR(__xludf.DUMMYFUNCTION("""COMPUTED_VALUE"""),9.0)</f>
        <v>9</v>
      </c>
      <c r="M145" s="25" t="str">
        <f>IFERROR(__xludf.DUMMYFUNCTION("""COMPUTED_VALUE"""),"Action-Adventure")</f>
        <v>Action-Adventure</v>
      </c>
      <c r="N145" s="25" t="str">
        <f>IFERROR(__xludf.DUMMYFUNCTION("""COMPUTED_VALUE"""),"PS3")</f>
        <v>PS3</v>
      </c>
      <c r="O145" s="26" t="str">
        <f>IFERROR(__xludf.DUMMYFUNCTION("""COMPUTED_VALUE"""),"Yes")</f>
        <v>Yes</v>
      </c>
      <c r="P145" s="26" t="str">
        <f>IFERROR(__xludf.DUMMYFUNCTION("""COMPUTED_VALUE"""),"")</f>
        <v/>
      </c>
    </row>
    <row r="146">
      <c r="A146" s="13" t="str">
        <f>IFERROR(__xludf.DUMMYFUNCTION("""COMPUTED_VALUE"""),"Kung Fu Rabbit")</f>
        <v>Kung Fu Rabbit</v>
      </c>
      <c r="B146" s="15" t="str">
        <f>IFERROR(__xludf.DUMMYFUNCTION("""COMPUTED_VALUE"""),"PS5/PS4")</f>
        <v>PS5/PS4</v>
      </c>
      <c r="C146" s="16" t="str">
        <f>IFERROR(__xludf.DUMMYFUNCTION("""COMPUTED_VALUE"""),"Premium (Streaming Only)")</f>
        <v>Premium (Streaming Only)</v>
      </c>
      <c r="D146" s="15" t="str">
        <f>IFERROR(__xludf.DUMMYFUNCTION("""COMPUTED_VALUE"""),"Active")</f>
        <v>Active</v>
      </c>
      <c r="E146" s="17">
        <f>IFERROR(__xludf.DUMMYFUNCTION("""COMPUTED_VALUE"""),42493.0)</f>
        <v>42493</v>
      </c>
      <c r="F146" s="54"/>
      <c r="G146" s="19">
        <f>IFERROR(__xludf.DUMMYFUNCTION("""COMPUTED_VALUE"""),125.10000000000001)</f>
        <v>125.1</v>
      </c>
      <c r="H146" s="17">
        <f>IFERROR(__xludf.DUMMYFUNCTION("""COMPUTED_VALUE"""),41395.0)</f>
        <v>41395</v>
      </c>
      <c r="I146" s="19">
        <f>IFERROR(__xludf.DUMMYFUNCTION("""COMPUTED_VALUE"""),3.0055555555555555)</f>
        <v>3.005555556</v>
      </c>
      <c r="J146" s="21">
        <f>IFERROR(__xludf.DUMMYFUNCTION("""COMPUTED_VALUE"""),72.0)</f>
        <v>72</v>
      </c>
      <c r="K146" s="23">
        <f>IFERROR(__xludf.DUMMYFUNCTION("""COMPUTED_VALUE"""),5.9)</f>
        <v>5.9</v>
      </c>
      <c r="L146" s="24">
        <f>IFERROR(__xludf.DUMMYFUNCTION("""COMPUTED_VALUE"""),3.0)</f>
        <v>3</v>
      </c>
      <c r="M146" s="25" t="str">
        <f>IFERROR(__xludf.DUMMYFUNCTION("""COMPUTED_VALUE"""),"Platformer")</f>
        <v>Platformer</v>
      </c>
      <c r="N146" s="25" t="str">
        <f>IFERROR(__xludf.DUMMYFUNCTION("""COMPUTED_VALUE"""),"PS3")</f>
        <v>PS3</v>
      </c>
      <c r="O146" s="26" t="str">
        <f>IFERROR(__xludf.DUMMYFUNCTION("""COMPUTED_VALUE"""),"Yes")</f>
        <v>Yes</v>
      </c>
      <c r="P146" s="26" t="str">
        <f>IFERROR(__xludf.DUMMYFUNCTION("""COMPUTED_VALUE"""),"")</f>
        <v/>
      </c>
    </row>
    <row r="147">
      <c r="A147" s="13" t="str">
        <f>IFERROR(__xludf.DUMMYFUNCTION("""COMPUTED_VALUE"""),"F.E.A.R. FIRST ENCOUNTER ASSAULT RECON")</f>
        <v>F.E.A.R. FIRST ENCOUNTER ASSAULT RECON</v>
      </c>
      <c r="B147" s="15" t="str">
        <f>IFERROR(__xludf.DUMMYFUNCTION("""COMPUTED_VALUE"""),"PS5/PS4")</f>
        <v>PS5/PS4</v>
      </c>
      <c r="C147" s="16" t="str">
        <f>IFERROR(__xludf.DUMMYFUNCTION("""COMPUTED_VALUE"""),"Premium (Streaming Only)")</f>
        <v>Premium (Streaming Only)</v>
      </c>
      <c r="D147" s="15" t="str">
        <f>IFERROR(__xludf.DUMMYFUNCTION("""COMPUTED_VALUE"""),"Active")</f>
        <v>Active</v>
      </c>
      <c r="E147" s="17">
        <f>IFERROR(__xludf.DUMMYFUNCTION("""COMPUTED_VALUE"""),42417.0)</f>
        <v>42417</v>
      </c>
      <c r="F147" s="54"/>
      <c r="G147" s="19">
        <f>IFERROR(__xludf.DUMMYFUNCTION("""COMPUTED_VALUE"""),127.63333333333333)</f>
        <v>127.6333333</v>
      </c>
      <c r="H147" s="17">
        <f>IFERROR(__xludf.DUMMYFUNCTION("""COMPUTED_VALUE"""),39173.0)</f>
        <v>39173</v>
      </c>
      <c r="I147" s="19">
        <f>IFERROR(__xludf.DUMMYFUNCTION("""COMPUTED_VALUE"""),8.877777777777778)</f>
        <v>8.877777778</v>
      </c>
      <c r="J147" s="21">
        <f>IFERROR(__xludf.DUMMYFUNCTION("""COMPUTED_VALUE"""),72.0)</f>
        <v>72</v>
      </c>
      <c r="K147" s="23">
        <f>IFERROR(__xludf.DUMMYFUNCTION("""COMPUTED_VALUE"""),8.6)</f>
        <v>8.6</v>
      </c>
      <c r="L147" s="24">
        <f>IFERROR(__xludf.DUMMYFUNCTION("""COMPUTED_VALUE"""),8.0)</f>
        <v>8</v>
      </c>
      <c r="M147" s="25" t="str">
        <f>IFERROR(__xludf.DUMMYFUNCTION("""COMPUTED_VALUE"""),"Shooter")</f>
        <v>Shooter</v>
      </c>
      <c r="N147" s="25" t="str">
        <f>IFERROR(__xludf.DUMMYFUNCTION("""COMPUTED_VALUE"""),"PS3")</f>
        <v>PS3</v>
      </c>
      <c r="O147" s="26" t="str">
        <f>IFERROR(__xludf.DUMMYFUNCTION("""COMPUTED_VALUE"""),"Yes")</f>
        <v>Yes</v>
      </c>
      <c r="P147" s="26" t="str">
        <f>IFERROR(__xludf.DUMMYFUNCTION("""COMPUTED_VALUE"""),"")</f>
        <v/>
      </c>
    </row>
    <row r="148">
      <c r="A148" s="13" t="str">
        <f>IFERROR(__xludf.DUMMYFUNCTION("""COMPUTED_VALUE"""),"LocoRoco Cocoreccho!")</f>
        <v>LocoRoco Cocoreccho!</v>
      </c>
      <c r="B148" s="15" t="str">
        <f>IFERROR(__xludf.DUMMYFUNCTION("""COMPUTED_VALUE"""),"PS5/PS4")</f>
        <v>PS5/PS4</v>
      </c>
      <c r="C148" s="16" t="str">
        <f>IFERROR(__xludf.DUMMYFUNCTION("""COMPUTED_VALUE"""),"Premium (Streaming Only)")</f>
        <v>Premium (Streaming Only)</v>
      </c>
      <c r="D148" s="15" t="str">
        <f>IFERROR(__xludf.DUMMYFUNCTION("""COMPUTED_VALUE"""),"Active")</f>
        <v>Active</v>
      </c>
      <c r="E148" s="17">
        <f>IFERROR(__xludf.DUMMYFUNCTION("""COMPUTED_VALUE"""),42374.0)</f>
        <v>42374</v>
      </c>
      <c r="F148" s="54"/>
      <c r="G148" s="19">
        <f>IFERROR(__xludf.DUMMYFUNCTION("""COMPUTED_VALUE"""),129.03333333333333)</f>
        <v>129.0333333</v>
      </c>
      <c r="H148" s="17">
        <f>IFERROR(__xludf.DUMMYFUNCTION("""COMPUTED_VALUE"""),39326.0)</f>
        <v>39326</v>
      </c>
      <c r="I148" s="19">
        <f>IFERROR(__xludf.DUMMYFUNCTION("""COMPUTED_VALUE"""),8.344444444444445)</f>
        <v>8.344444444</v>
      </c>
      <c r="J148" s="21">
        <f>IFERROR(__xludf.DUMMYFUNCTION("""COMPUTED_VALUE"""),72.0)</f>
        <v>72</v>
      </c>
      <c r="K148" s="23">
        <f>IFERROR(__xludf.DUMMYFUNCTION("""COMPUTED_VALUE"""),7.3)</f>
        <v>7.3</v>
      </c>
      <c r="L148" s="24">
        <f>IFERROR(__xludf.DUMMYFUNCTION("""COMPUTED_VALUE"""),2.0)</f>
        <v>2</v>
      </c>
      <c r="M148" s="25" t="str">
        <f>IFERROR(__xludf.DUMMYFUNCTION("""COMPUTED_VALUE"""),"Platformer")</f>
        <v>Platformer</v>
      </c>
      <c r="N148" s="25" t="str">
        <f>IFERROR(__xludf.DUMMYFUNCTION("""COMPUTED_VALUE"""),"PS3")</f>
        <v>PS3</v>
      </c>
      <c r="O148" s="26" t="str">
        <f>IFERROR(__xludf.DUMMYFUNCTION("""COMPUTED_VALUE"""),"Yes")</f>
        <v>Yes</v>
      </c>
      <c r="P148" s="26" t="str">
        <f>IFERROR(__xludf.DUMMYFUNCTION("""COMPUTED_VALUE"""),"")</f>
        <v/>
      </c>
    </row>
    <row r="149">
      <c r="A149" s="13" t="str">
        <f>IFERROR(__xludf.DUMMYFUNCTION("""COMPUTED_VALUE"""),"rain")</f>
        <v>rain</v>
      </c>
      <c r="B149" s="15" t="str">
        <f>IFERROR(__xludf.DUMMYFUNCTION("""COMPUTED_VALUE"""),"PS5/PS4")</f>
        <v>PS5/PS4</v>
      </c>
      <c r="C149" s="16" t="str">
        <f>IFERROR(__xludf.DUMMYFUNCTION("""COMPUTED_VALUE"""),"Premium (Streaming Only)")</f>
        <v>Premium (Streaming Only)</v>
      </c>
      <c r="D149" s="15" t="str">
        <f>IFERROR(__xludf.DUMMYFUNCTION("""COMPUTED_VALUE"""),"Active")</f>
        <v>Active</v>
      </c>
      <c r="E149" s="17">
        <f>IFERROR(__xludf.DUMMYFUNCTION("""COMPUTED_VALUE"""),42374.0)</f>
        <v>42374</v>
      </c>
      <c r="F149" s="54"/>
      <c r="G149" s="19">
        <f>IFERROR(__xludf.DUMMYFUNCTION("""COMPUTED_VALUE"""),129.03333333333333)</f>
        <v>129.0333333</v>
      </c>
      <c r="H149" s="17">
        <f>IFERROR(__xludf.DUMMYFUNCTION("""COMPUTED_VALUE"""),41548.0)</f>
        <v>41548</v>
      </c>
      <c r="I149" s="19">
        <f>IFERROR(__xludf.DUMMYFUNCTION("""COMPUTED_VALUE"""),2.261111111111111)</f>
        <v>2.261111111</v>
      </c>
      <c r="J149" s="21">
        <f>IFERROR(__xludf.DUMMYFUNCTION("""COMPUTED_VALUE"""),72.0)</f>
        <v>72</v>
      </c>
      <c r="K149" s="23">
        <f>IFERROR(__xludf.DUMMYFUNCTION("""COMPUTED_VALUE"""),7.1)</f>
        <v>7.1</v>
      </c>
      <c r="L149" s="24">
        <f>IFERROR(__xludf.DUMMYFUNCTION("""COMPUTED_VALUE"""),3.0)</f>
        <v>3</v>
      </c>
      <c r="M149" s="25" t="str">
        <f>IFERROR(__xludf.DUMMYFUNCTION("""COMPUTED_VALUE"""),"Action-Adventure")</f>
        <v>Action-Adventure</v>
      </c>
      <c r="N149" s="25" t="str">
        <f>IFERROR(__xludf.DUMMYFUNCTION("""COMPUTED_VALUE"""),"PS3")</f>
        <v>PS3</v>
      </c>
      <c r="O149" s="26" t="str">
        <f>IFERROR(__xludf.DUMMYFUNCTION("""COMPUTED_VALUE"""),"Yes")</f>
        <v>Yes</v>
      </c>
      <c r="P149" s="26" t="str">
        <f>IFERROR(__xludf.DUMMYFUNCTION("""COMPUTED_VALUE"""),"")</f>
        <v/>
      </c>
    </row>
    <row r="150">
      <c r="A150" s="13" t="str">
        <f>IFERROR(__xludf.DUMMYFUNCTION("""COMPUTED_VALUE"""),"Trash Panic")</f>
        <v>Trash Panic</v>
      </c>
      <c r="B150" s="15" t="str">
        <f>IFERROR(__xludf.DUMMYFUNCTION("""COMPUTED_VALUE"""),"PS5/PS4")</f>
        <v>PS5/PS4</v>
      </c>
      <c r="C150" s="16" t="str">
        <f>IFERROR(__xludf.DUMMYFUNCTION("""COMPUTED_VALUE"""),"Premium (Streaming Only)")</f>
        <v>Premium (Streaming Only)</v>
      </c>
      <c r="D150" s="15" t="str">
        <f>IFERROR(__xludf.DUMMYFUNCTION("""COMPUTED_VALUE"""),"Active")</f>
        <v>Active</v>
      </c>
      <c r="E150" s="17">
        <f>IFERROR(__xludf.DUMMYFUNCTION("""COMPUTED_VALUE"""),42374.0)</f>
        <v>42374</v>
      </c>
      <c r="F150" s="54"/>
      <c r="G150" s="19">
        <f>IFERROR(__xludf.DUMMYFUNCTION("""COMPUTED_VALUE"""),129.03333333333333)</f>
        <v>129.0333333</v>
      </c>
      <c r="H150" s="17">
        <f>IFERROR(__xludf.DUMMYFUNCTION("""COMPUTED_VALUE"""),39965.0)</f>
        <v>39965</v>
      </c>
      <c r="I150" s="19">
        <f>IFERROR(__xludf.DUMMYFUNCTION("""COMPUTED_VALUE"""),6.594444444444444)</f>
        <v>6.594444444</v>
      </c>
      <c r="J150" s="21">
        <f>IFERROR(__xludf.DUMMYFUNCTION("""COMPUTED_VALUE"""),72.0)</f>
        <v>72</v>
      </c>
      <c r="K150" s="23">
        <f>IFERROR(__xludf.DUMMYFUNCTION("""COMPUTED_VALUE"""),7.2)</f>
        <v>7.2</v>
      </c>
      <c r="L150" s="24">
        <f>IFERROR(__xludf.DUMMYFUNCTION("""COMPUTED_VALUE"""),3.0)</f>
        <v>3</v>
      </c>
      <c r="M150" s="25" t="str">
        <f>IFERROR(__xludf.DUMMYFUNCTION("""COMPUTED_VALUE"""),"Puzzle")</f>
        <v>Puzzle</v>
      </c>
      <c r="N150" s="25" t="str">
        <f>IFERROR(__xludf.DUMMYFUNCTION("""COMPUTED_VALUE"""),"PS3")</f>
        <v>PS3</v>
      </c>
      <c r="O150" s="26" t="str">
        <f>IFERROR(__xludf.DUMMYFUNCTION("""COMPUTED_VALUE"""),"Yes")</f>
        <v>Yes</v>
      </c>
      <c r="P150" s="26" t="str">
        <f>IFERROR(__xludf.DUMMYFUNCTION("""COMPUTED_VALUE"""),"")</f>
        <v/>
      </c>
    </row>
    <row r="151">
      <c r="A151" s="13" t="str">
        <f>IFERROR(__xludf.DUMMYFUNCTION("""COMPUTED_VALUE"""),"Proteus")</f>
        <v>Proteus</v>
      </c>
      <c r="B151" s="15" t="str">
        <f>IFERROR(__xludf.DUMMYFUNCTION("""COMPUTED_VALUE"""),"PS5/PS4")</f>
        <v>PS5/PS4</v>
      </c>
      <c r="C151" s="16" t="str">
        <f>IFERROR(__xludf.DUMMYFUNCTION("""COMPUTED_VALUE"""),"Premium (Streaming Only)")</f>
        <v>Premium (Streaming Only)</v>
      </c>
      <c r="D151" s="15" t="str">
        <f>IFERROR(__xludf.DUMMYFUNCTION("""COMPUTED_VALUE"""),"Active")</f>
        <v>Active</v>
      </c>
      <c r="E151" s="17">
        <f>IFERROR(__xludf.DUMMYFUNCTION("""COMPUTED_VALUE"""),42311.0)</f>
        <v>42311</v>
      </c>
      <c r="F151" s="54"/>
      <c r="G151" s="19">
        <f>IFERROR(__xludf.DUMMYFUNCTION("""COMPUTED_VALUE"""),131.10000000000002)</f>
        <v>131.1</v>
      </c>
      <c r="H151" s="17">
        <f>IFERROR(__xludf.DUMMYFUNCTION("""COMPUTED_VALUE"""),41548.0)</f>
        <v>41548</v>
      </c>
      <c r="I151" s="19">
        <f>IFERROR(__xludf.DUMMYFUNCTION("""COMPUTED_VALUE"""),2.088888888888889)</f>
        <v>2.088888889</v>
      </c>
      <c r="J151" s="21">
        <f>IFERROR(__xludf.DUMMYFUNCTION("""COMPUTED_VALUE"""),72.0)</f>
        <v>72</v>
      </c>
      <c r="K151" s="23">
        <f>IFERROR(__xludf.DUMMYFUNCTION("""COMPUTED_VALUE"""),6.2)</f>
        <v>6.2</v>
      </c>
      <c r="L151" s="24">
        <f>IFERROR(__xludf.DUMMYFUNCTION("""COMPUTED_VALUE"""),1.0)</f>
        <v>1</v>
      </c>
      <c r="M151" s="25" t="str">
        <f>IFERROR(__xludf.DUMMYFUNCTION("""COMPUTED_VALUE"""),"Adventure")</f>
        <v>Adventure</v>
      </c>
      <c r="N151" s="25" t="str">
        <f>IFERROR(__xludf.DUMMYFUNCTION("""COMPUTED_VALUE"""),"PS3")</f>
        <v>PS3</v>
      </c>
      <c r="O151" s="26" t="str">
        <f>IFERROR(__xludf.DUMMYFUNCTION("""COMPUTED_VALUE"""),"Yes")</f>
        <v>Yes</v>
      </c>
      <c r="P151" s="26" t="str">
        <f>IFERROR(__xludf.DUMMYFUNCTION("""COMPUTED_VALUE"""),"")</f>
        <v/>
      </c>
    </row>
    <row r="152">
      <c r="A152" s="13" t="str">
        <f>IFERROR(__xludf.DUMMYFUNCTION("""COMPUTED_VALUE"""),"Warlords")</f>
        <v>Warlords</v>
      </c>
      <c r="B152" s="15" t="str">
        <f>IFERROR(__xludf.DUMMYFUNCTION("""COMPUTED_VALUE"""),"PS5/PS4")</f>
        <v>PS5/PS4</v>
      </c>
      <c r="C152" s="16" t="str">
        <f>IFERROR(__xludf.DUMMYFUNCTION("""COMPUTED_VALUE"""),"Premium (Streaming Only)")</f>
        <v>Premium (Streaming Only)</v>
      </c>
      <c r="D152" s="15" t="str">
        <f>IFERROR(__xludf.DUMMYFUNCTION("""COMPUTED_VALUE"""),"Active")</f>
        <v>Active</v>
      </c>
      <c r="E152" s="17">
        <f>IFERROR(__xludf.DUMMYFUNCTION("""COMPUTED_VALUE"""),42311.0)</f>
        <v>42311</v>
      </c>
      <c r="F152" s="54"/>
      <c r="G152" s="19">
        <f>IFERROR(__xludf.DUMMYFUNCTION("""COMPUTED_VALUE"""),131.10000000000002)</f>
        <v>131.1</v>
      </c>
      <c r="H152" s="17">
        <f>IFERROR(__xludf.DUMMYFUNCTION("""COMPUTED_VALUE"""),41183.0)</f>
        <v>41183</v>
      </c>
      <c r="I152" s="19">
        <f>IFERROR(__xludf.DUMMYFUNCTION("""COMPUTED_VALUE"""),3.088888888888889)</f>
        <v>3.088888889</v>
      </c>
      <c r="J152" s="21">
        <f>IFERROR(__xludf.DUMMYFUNCTION("""COMPUTED_VALUE"""),72.0)</f>
        <v>72</v>
      </c>
      <c r="K152" s="23">
        <f>IFERROR(__xludf.DUMMYFUNCTION("""COMPUTED_VALUE"""),7.0)</f>
        <v>7</v>
      </c>
      <c r="L152" s="24"/>
      <c r="M152" s="25" t="str">
        <f>IFERROR(__xludf.DUMMYFUNCTION("""COMPUTED_VALUE"""),"Strategy")</f>
        <v>Strategy</v>
      </c>
      <c r="N152" s="25" t="str">
        <f>IFERROR(__xludf.DUMMYFUNCTION("""COMPUTED_VALUE"""),"PS3")</f>
        <v>PS3</v>
      </c>
      <c r="O152" s="26" t="str">
        <f>IFERROR(__xludf.DUMMYFUNCTION("""COMPUTED_VALUE"""),"Yes")</f>
        <v>Yes</v>
      </c>
      <c r="P152" s="26" t="str">
        <f>IFERROR(__xludf.DUMMYFUNCTION("""COMPUTED_VALUE"""),"")</f>
        <v/>
      </c>
    </row>
    <row r="153">
      <c r="A153" s="13" t="str">
        <f>IFERROR(__xludf.DUMMYFUNCTION("""COMPUTED_VALUE"""),"Brink")</f>
        <v>Brink</v>
      </c>
      <c r="B153" s="15" t="str">
        <f>IFERROR(__xludf.DUMMYFUNCTION("""COMPUTED_VALUE"""),"PS5/PS4")</f>
        <v>PS5/PS4</v>
      </c>
      <c r="C153" s="16" t="str">
        <f>IFERROR(__xludf.DUMMYFUNCTION("""COMPUTED_VALUE"""),"Premium (Streaming Only)")</f>
        <v>Premium (Streaming Only)</v>
      </c>
      <c r="D153" s="15" t="str">
        <f>IFERROR(__xludf.DUMMYFUNCTION("""COMPUTED_VALUE"""),"Active")</f>
        <v>Active</v>
      </c>
      <c r="E153" s="17">
        <f>IFERROR(__xludf.DUMMYFUNCTION("""COMPUTED_VALUE"""),42017.0)</f>
        <v>42017</v>
      </c>
      <c r="F153" s="54"/>
      <c r="G153" s="19">
        <f>IFERROR(__xludf.DUMMYFUNCTION("""COMPUTED_VALUE"""),140.76666666666668)</f>
        <v>140.7666667</v>
      </c>
      <c r="H153" s="17">
        <f>IFERROR(__xludf.DUMMYFUNCTION("""COMPUTED_VALUE"""),40664.0)</f>
        <v>40664</v>
      </c>
      <c r="I153" s="19">
        <f>IFERROR(__xludf.DUMMYFUNCTION("""COMPUTED_VALUE"""),3.7)</f>
        <v>3.7</v>
      </c>
      <c r="J153" s="21">
        <f>IFERROR(__xludf.DUMMYFUNCTION("""COMPUTED_VALUE"""),72.0)</f>
        <v>72</v>
      </c>
      <c r="K153" s="23">
        <f>IFERROR(__xludf.DUMMYFUNCTION("""COMPUTED_VALUE"""),6.3)</f>
        <v>6.3</v>
      </c>
      <c r="L153" s="24">
        <f>IFERROR(__xludf.DUMMYFUNCTION("""COMPUTED_VALUE"""),7.0)</f>
        <v>7</v>
      </c>
      <c r="M153" s="25" t="str">
        <f>IFERROR(__xludf.DUMMYFUNCTION("""COMPUTED_VALUE"""),"Shooter")</f>
        <v>Shooter</v>
      </c>
      <c r="N153" s="25" t="str">
        <f>IFERROR(__xludf.DUMMYFUNCTION("""COMPUTED_VALUE"""),"PS3")</f>
        <v>PS3</v>
      </c>
      <c r="O153" s="26" t="str">
        <f>IFERROR(__xludf.DUMMYFUNCTION("""COMPUTED_VALUE"""),"Yes")</f>
        <v>Yes</v>
      </c>
      <c r="P153" s="26" t="str">
        <f>IFERROR(__xludf.DUMMYFUNCTION("""COMPUTED_VALUE"""),"")</f>
        <v/>
      </c>
    </row>
    <row r="154">
      <c r="A154" s="13" t="str">
        <f>IFERROR(__xludf.DUMMYFUNCTION("""COMPUTED_VALUE"""),"Dark Sector")</f>
        <v>Dark Sector</v>
      </c>
      <c r="B154" s="15" t="str">
        <f>IFERROR(__xludf.DUMMYFUNCTION("""COMPUTED_VALUE"""),"PS5/PS4")</f>
        <v>PS5/PS4</v>
      </c>
      <c r="C154" s="16" t="str">
        <f>IFERROR(__xludf.DUMMYFUNCTION("""COMPUTED_VALUE"""),"Premium (Streaming Only)")</f>
        <v>Premium (Streaming Only)</v>
      </c>
      <c r="D154" s="15" t="str">
        <f>IFERROR(__xludf.DUMMYFUNCTION("""COMPUTED_VALUE"""),"Active")</f>
        <v>Active</v>
      </c>
      <c r="E154" s="17">
        <f>IFERROR(__xludf.DUMMYFUNCTION("""COMPUTED_VALUE"""),42017.0)</f>
        <v>42017</v>
      </c>
      <c r="F154" s="54"/>
      <c r="G154" s="19">
        <f>IFERROR(__xludf.DUMMYFUNCTION("""COMPUTED_VALUE"""),140.76666666666668)</f>
        <v>140.7666667</v>
      </c>
      <c r="H154" s="17">
        <f>IFERROR(__xludf.DUMMYFUNCTION("""COMPUTED_VALUE"""),39508.0)</f>
        <v>39508</v>
      </c>
      <c r="I154" s="19">
        <f>IFERROR(__xludf.DUMMYFUNCTION("""COMPUTED_VALUE"""),6.866666666666666)</f>
        <v>6.866666667</v>
      </c>
      <c r="J154" s="21">
        <f>IFERROR(__xludf.DUMMYFUNCTION("""COMPUTED_VALUE"""),72.0)</f>
        <v>72</v>
      </c>
      <c r="K154" s="23">
        <f>IFERROR(__xludf.DUMMYFUNCTION("""COMPUTED_VALUE"""),7.4)</f>
        <v>7.4</v>
      </c>
      <c r="L154" s="24">
        <f>IFERROR(__xludf.DUMMYFUNCTION("""COMPUTED_VALUE"""),10.0)</f>
        <v>10</v>
      </c>
      <c r="M154" s="25" t="str">
        <f>IFERROR(__xludf.DUMMYFUNCTION("""COMPUTED_VALUE"""),"Action-Adventure")</f>
        <v>Action-Adventure</v>
      </c>
      <c r="N154" s="25" t="str">
        <f>IFERROR(__xludf.DUMMYFUNCTION("""COMPUTED_VALUE"""),"PS3")</f>
        <v>PS3</v>
      </c>
      <c r="O154" s="26" t="str">
        <f>IFERROR(__xludf.DUMMYFUNCTION("""COMPUTED_VALUE"""),"Yes")</f>
        <v>Yes</v>
      </c>
      <c r="P154" s="26" t="str">
        <f>IFERROR(__xludf.DUMMYFUNCTION("""COMPUTED_VALUE"""),"")</f>
        <v/>
      </c>
    </row>
    <row r="155">
      <c r="A155" s="13" t="str">
        <f>IFERROR(__xludf.DUMMYFUNCTION("""COMPUTED_VALUE"""),"Derrick the Deathfin")</f>
        <v>Derrick the Deathfin</v>
      </c>
      <c r="B155" s="15" t="str">
        <f>IFERROR(__xludf.DUMMYFUNCTION("""COMPUTED_VALUE"""),"PS5/PS4")</f>
        <v>PS5/PS4</v>
      </c>
      <c r="C155" s="16" t="str">
        <f>IFERROR(__xludf.DUMMYFUNCTION("""COMPUTED_VALUE"""),"Premium (Streaming Only)")</f>
        <v>Premium (Streaming Only)</v>
      </c>
      <c r="D155" s="15" t="str">
        <f>IFERROR(__xludf.DUMMYFUNCTION("""COMPUTED_VALUE"""),"Active")</f>
        <v>Active</v>
      </c>
      <c r="E155" s="17">
        <f>IFERROR(__xludf.DUMMYFUNCTION("""COMPUTED_VALUE"""),42017.0)</f>
        <v>42017</v>
      </c>
      <c r="F155" s="54"/>
      <c r="G155" s="19">
        <f>IFERROR(__xludf.DUMMYFUNCTION("""COMPUTED_VALUE"""),140.76666666666668)</f>
        <v>140.7666667</v>
      </c>
      <c r="H155" s="17">
        <f>IFERROR(__xludf.DUMMYFUNCTION("""COMPUTED_VALUE"""),41183.0)</f>
        <v>41183</v>
      </c>
      <c r="I155" s="19">
        <f>IFERROR(__xludf.DUMMYFUNCTION("""COMPUTED_VALUE"""),2.283333333333333)</f>
        <v>2.283333333</v>
      </c>
      <c r="J155" s="21">
        <f>IFERROR(__xludf.DUMMYFUNCTION("""COMPUTED_VALUE"""),72.0)</f>
        <v>72</v>
      </c>
      <c r="K155" s="23">
        <f>IFERROR(__xludf.DUMMYFUNCTION("""COMPUTED_VALUE"""),6.7)</f>
        <v>6.7</v>
      </c>
      <c r="L155" s="24">
        <f>IFERROR(__xludf.DUMMYFUNCTION("""COMPUTED_VALUE"""),3.0)</f>
        <v>3</v>
      </c>
      <c r="M155" s="25" t="str">
        <f>IFERROR(__xludf.DUMMYFUNCTION("""COMPUTED_VALUE"""),"Action-Adventure")</f>
        <v>Action-Adventure</v>
      </c>
      <c r="N155" s="25" t="str">
        <f>IFERROR(__xludf.DUMMYFUNCTION("""COMPUTED_VALUE"""),"PS3")</f>
        <v>PS3</v>
      </c>
      <c r="O155" s="26" t="str">
        <f>IFERROR(__xludf.DUMMYFUNCTION("""COMPUTED_VALUE"""),"Yes")</f>
        <v>Yes</v>
      </c>
      <c r="P155" s="26" t="str">
        <f>IFERROR(__xludf.DUMMYFUNCTION("""COMPUTED_VALUE"""),"")</f>
        <v/>
      </c>
    </row>
    <row r="156">
      <c r="A156" s="13" t="str">
        <f>IFERROR(__xludf.DUMMYFUNCTION("""COMPUTED_VALUE"""),"Papo &amp; Yo")</f>
        <v>Papo &amp; Yo</v>
      </c>
      <c r="B156" s="15" t="str">
        <f>IFERROR(__xludf.DUMMYFUNCTION("""COMPUTED_VALUE"""),"PS5/PS4")</f>
        <v>PS5/PS4</v>
      </c>
      <c r="C156" s="16" t="str">
        <f>IFERROR(__xludf.DUMMYFUNCTION("""COMPUTED_VALUE"""),"Premium (Streaming Only)")</f>
        <v>Premium (Streaming Only)</v>
      </c>
      <c r="D156" s="15" t="str">
        <f>IFERROR(__xludf.DUMMYFUNCTION("""COMPUTED_VALUE"""),"Active")</f>
        <v>Active</v>
      </c>
      <c r="E156" s="17">
        <f>IFERROR(__xludf.DUMMYFUNCTION("""COMPUTED_VALUE"""),42017.0)</f>
        <v>42017</v>
      </c>
      <c r="F156" s="54"/>
      <c r="G156" s="19">
        <f>IFERROR(__xludf.DUMMYFUNCTION("""COMPUTED_VALUE"""),140.76666666666668)</f>
        <v>140.7666667</v>
      </c>
      <c r="H156" s="17">
        <f>IFERROR(__xludf.DUMMYFUNCTION("""COMPUTED_VALUE"""),41122.0)</f>
        <v>41122</v>
      </c>
      <c r="I156" s="19">
        <f>IFERROR(__xludf.DUMMYFUNCTION("""COMPUTED_VALUE"""),2.45)</f>
        <v>2.45</v>
      </c>
      <c r="J156" s="21">
        <f>IFERROR(__xludf.DUMMYFUNCTION("""COMPUTED_VALUE"""),72.0)</f>
        <v>72</v>
      </c>
      <c r="K156" s="23">
        <f>IFERROR(__xludf.DUMMYFUNCTION("""COMPUTED_VALUE"""),7.4)</f>
        <v>7.4</v>
      </c>
      <c r="L156" s="24">
        <f>IFERROR(__xludf.DUMMYFUNCTION("""COMPUTED_VALUE"""),3.0)</f>
        <v>3</v>
      </c>
      <c r="M156" s="25" t="str">
        <f>IFERROR(__xludf.DUMMYFUNCTION("""COMPUTED_VALUE"""),"Action-Adventure")</f>
        <v>Action-Adventure</v>
      </c>
      <c r="N156" s="25" t="str">
        <f>IFERROR(__xludf.DUMMYFUNCTION("""COMPUTED_VALUE"""),"PS3")</f>
        <v>PS3</v>
      </c>
      <c r="O156" s="26" t="str">
        <f>IFERROR(__xludf.DUMMYFUNCTION("""COMPUTED_VALUE"""),"Yes")</f>
        <v>Yes</v>
      </c>
      <c r="P156" s="26" t="str">
        <f>IFERROR(__xludf.DUMMYFUNCTION("""COMPUTED_VALUE"""),"")</f>
        <v/>
      </c>
    </row>
    <row r="157">
      <c r="A157" s="13" t="str">
        <f>IFERROR(__xludf.DUMMYFUNCTION("""COMPUTED_VALUE"""),"Disney/PIXAR Brave")</f>
        <v>Disney/PIXAR Brave</v>
      </c>
      <c r="B157" s="15" t="str">
        <f>IFERROR(__xludf.DUMMYFUNCTION("""COMPUTED_VALUE"""),"PS5/PS4")</f>
        <v>PS5/PS4</v>
      </c>
      <c r="C157" s="16" t="str">
        <f>IFERROR(__xludf.DUMMYFUNCTION("""COMPUTED_VALUE"""),"Premium (Streaming Only)")</f>
        <v>Premium (Streaming Only)</v>
      </c>
      <c r="D157" s="15" t="str">
        <f>IFERROR(__xludf.DUMMYFUNCTION("""COMPUTED_VALUE"""),"Active")</f>
        <v>Active</v>
      </c>
      <c r="E157" s="17">
        <f>IFERROR(__xludf.DUMMYFUNCTION("""COMPUTED_VALUE"""),42895.0)</f>
        <v>42895</v>
      </c>
      <c r="F157" s="18"/>
      <c r="G157" s="19">
        <f>IFERROR(__xludf.DUMMYFUNCTION("""COMPUTED_VALUE"""),111.89999999999999)</f>
        <v>111.9</v>
      </c>
      <c r="H157" s="17">
        <f>IFERROR(__xludf.DUMMYFUNCTION("""COMPUTED_VALUE"""),41061.0)</f>
        <v>41061</v>
      </c>
      <c r="I157" s="19">
        <f>IFERROR(__xludf.DUMMYFUNCTION("""COMPUTED_VALUE"""),5.022222222222222)</f>
        <v>5.022222222</v>
      </c>
      <c r="J157" s="21">
        <f>IFERROR(__xludf.DUMMYFUNCTION("""COMPUTED_VALUE"""),71.0)</f>
        <v>71</v>
      </c>
      <c r="K157" s="23">
        <f>IFERROR(__xludf.DUMMYFUNCTION("""COMPUTED_VALUE"""),6.0)</f>
        <v>6</v>
      </c>
      <c r="L157" s="24">
        <f>IFERROR(__xludf.DUMMYFUNCTION("""COMPUTED_VALUE"""),6.0)</f>
        <v>6</v>
      </c>
      <c r="M157" s="25" t="str">
        <f>IFERROR(__xludf.DUMMYFUNCTION("""COMPUTED_VALUE"""),"Action-Adventure")</f>
        <v>Action-Adventure</v>
      </c>
      <c r="N157" s="25" t="str">
        <f>IFERROR(__xludf.DUMMYFUNCTION("""COMPUTED_VALUE"""),"PS3")</f>
        <v>PS3</v>
      </c>
      <c r="O157" s="26" t="str">
        <f>IFERROR(__xludf.DUMMYFUNCTION("""COMPUTED_VALUE"""),"Yes")</f>
        <v>Yes</v>
      </c>
      <c r="P157" s="26" t="str">
        <f>IFERROR(__xludf.DUMMYFUNCTION("""COMPUTED_VALUE"""),"")</f>
        <v/>
      </c>
    </row>
    <row r="158">
      <c r="A158" s="13" t="str">
        <f>IFERROR(__xludf.DUMMYFUNCTION("""COMPUTED_VALUE"""),"Big Sky Infinity")</f>
        <v>Big Sky Infinity</v>
      </c>
      <c r="B158" s="15" t="str">
        <f>IFERROR(__xludf.DUMMYFUNCTION("""COMPUTED_VALUE"""),"PS5/PS4")</f>
        <v>PS5/PS4</v>
      </c>
      <c r="C158" s="16" t="str">
        <f>IFERROR(__xludf.DUMMYFUNCTION("""COMPUTED_VALUE"""),"Premium (Streaming Only)")</f>
        <v>Premium (Streaming Only)</v>
      </c>
      <c r="D158" s="15" t="str">
        <f>IFERROR(__xludf.DUMMYFUNCTION("""COMPUTED_VALUE"""),"Active")</f>
        <v>Active</v>
      </c>
      <c r="E158" s="17">
        <f>IFERROR(__xludf.DUMMYFUNCTION("""COMPUTED_VALUE"""),42374.0)</f>
        <v>42374</v>
      </c>
      <c r="F158" s="54"/>
      <c r="G158" s="19">
        <f>IFERROR(__xludf.DUMMYFUNCTION("""COMPUTED_VALUE"""),129.03333333333333)</f>
        <v>129.0333333</v>
      </c>
      <c r="H158" s="17">
        <f>IFERROR(__xludf.DUMMYFUNCTION("""COMPUTED_VALUE"""),41244.0)</f>
        <v>41244</v>
      </c>
      <c r="I158" s="19">
        <f>IFERROR(__xludf.DUMMYFUNCTION("""COMPUTED_VALUE"""),3.0944444444444446)</f>
        <v>3.094444444</v>
      </c>
      <c r="J158" s="21">
        <f>IFERROR(__xludf.DUMMYFUNCTION("""COMPUTED_VALUE"""),71.0)</f>
        <v>71</v>
      </c>
      <c r="K158" s="23">
        <f>IFERROR(__xludf.DUMMYFUNCTION("""COMPUTED_VALUE"""),7.1)</f>
        <v>7.1</v>
      </c>
      <c r="L158" s="24"/>
      <c r="M158" s="25" t="str">
        <f>IFERROR(__xludf.DUMMYFUNCTION("""COMPUTED_VALUE"""),"Shooter")</f>
        <v>Shooter</v>
      </c>
      <c r="N158" s="25" t="str">
        <f>IFERROR(__xludf.DUMMYFUNCTION("""COMPUTED_VALUE"""),"PS3")</f>
        <v>PS3</v>
      </c>
      <c r="O158" s="26" t="str">
        <f>IFERROR(__xludf.DUMMYFUNCTION("""COMPUTED_VALUE"""),"Yes")</f>
        <v>Yes</v>
      </c>
      <c r="P158" s="26" t="str">
        <f>IFERROR(__xludf.DUMMYFUNCTION("""COMPUTED_VALUE"""),"Yes")</f>
        <v>Yes</v>
      </c>
    </row>
    <row r="159">
      <c r="A159" s="13" t="str">
        <f>IFERROR(__xludf.DUMMYFUNCTION("""COMPUTED_VALUE"""),"Mamorukun Curse!")</f>
        <v>Mamorukun Curse!</v>
      </c>
      <c r="B159" s="15" t="str">
        <f>IFERROR(__xludf.DUMMYFUNCTION("""COMPUTED_VALUE"""),"PS5/PS4")</f>
        <v>PS5/PS4</v>
      </c>
      <c r="C159" s="16" t="str">
        <f>IFERROR(__xludf.DUMMYFUNCTION("""COMPUTED_VALUE"""),"Premium (Streaming Only)")</f>
        <v>Premium (Streaming Only)</v>
      </c>
      <c r="D159" s="15" t="str">
        <f>IFERROR(__xludf.DUMMYFUNCTION("""COMPUTED_VALUE"""),"Active")</f>
        <v>Active</v>
      </c>
      <c r="E159" s="17">
        <f>IFERROR(__xludf.DUMMYFUNCTION("""COMPUTED_VALUE"""),42374.0)</f>
        <v>42374</v>
      </c>
      <c r="F159" s="18"/>
      <c r="G159" s="19">
        <f>IFERROR(__xludf.DUMMYFUNCTION("""COMPUTED_VALUE"""),129.03333333333333)</f>
        <v>129.0333333</v>
      </c>
      <c r="H159" s="17">
        <f>IFERROR(__xludf.DUMMYFUNCTION("""COMPUTED_VALUE"""),41456.0)</f>
        <v>41456</v>
      </c>
      <c r="I159" s="19">
        <f>IFERROR(__xludf.DUMMYFUNCTION("""COMPUTED_VALUE"""),2.511111111111111)</f>
        <v>2.511111111</v>
      </c>
      <c r="J159" s="21">
        <f>IFERROR(__xludf.DUMMYFUNCTION("""COMPUTED_VALUE"""),71.0)</f>
        <v>71</v>
      </c>
      <c r="K159" s="23">
        <f>IFERROR(__xludf.DUMMYFUNCTION("""COMPUTED_VALUE"""),7.2)</f>
        <v>7.2</v>
      </c>
      <c r="L159" s="24">
        <f>IFERROR(__xludf.DUMMYFUNCTION("""COMPUTED_VALUE"""),4.0)</f>
        <v>4</v>
      </c>
      <c r="M159" s="25" t="str">
        <f>IFERROR(__xludf.DUMMYFUNCTION("""COMPUTED_VALUE"""),"Shooter")</f>
        <v>Shooter</v>
      </c>
      <c r="N159" s="25" t="str">
        <f>IFERROR(__xludf.DUMMYFUNCTION("""COMPUTED_VALUE"""),"PS3")</f>
        <v>PS3</v>
      </c>
      <c r="O159" s="26" t="str">
        <f>IFERROR(__xludf.DUMMYFUNCTION("""COMPUTED_VALUE"""),"Yes")</f>
        <v>Yes</v>
      </c>
      <c r="P159" s="26" t="str">
        <f>IFERROR(__xludf.DUMMYFUNCTION("""COMPUTED_VALUE"""),"")</f>
        <v/>
      </c>
    </row>
    <row r="160">
      <c r="A160" s="13" t="str">
        <f>IFERROR(__xludf.DUMMYFUNCTION("""COMPUTED_VALUE"""),"Asura's Wrath")</f>
        <v>Asura's Wrath</v>
      </c>
      <c r="B160" s="15" t="str">
        <f>IFERROR(__xludf.DUMMYFUNCTION("""COMPUTED_VALUE"""),"PS5/PS4")</f>
        <v>PS5/PS4</v>
      </c>
      <c r="C160" s="16" t="str">
        <f>IFERROR(__xludf.DUMMYFUNCTION("""COMPUTED_VALUE"""),"Premium (Streaming Only)")</f>
        <v>Premium (Streaming Only)</v>
      </c>
      <c r="D160" s="15" t="str">
        <f>IFERROR(__xludf.DUMMYFUNCTION("""COMPUTED_VALUE"""),"Active")</f>
        <v>Active</v>
      </c>
      <c r="E160" s="17">
        <f>IFERROR(__xludf.DUMMYFUNCTION("""COMPUTED_VALUE"""),42311.0)</f>
        <v>42311</v>
      </c>
      <c r="F160" s="54"/>
      <c r="G160" s="19">
        <f>IFERROR(__xludf.DUMMYFUNCTION("""COMPUTED_VALUE"""),131.10000000000002)</f>
        <v>131.1</v>
      </c>
      <c r="H160" s="17">
        <f>IFERROR(__xludf.DUMMYFUNCTION("""COMPUTED_VALUE"""),40940.0)</f>
        <v>40940</v>
      </c>
      <c r="I160" s="19">
        <f>IFERROR(__xludf.DUMMYFUNCTION("""COMPUTED_VALUE"""),3.7555555555555555)</f>
        <v>3.755555556</v>
      </c>
      <c r="J160" s="21">
        <f>IFERROR(__xludf.DUMMYFUNCTION("""COMPUTED_VALUE"""),71.0)</f>
        <v>71</v>
      </c>
      <c r="K160" s="23">
        <f>IFERROR(__xludf.DUMMYFUNCTION("""COMPUTED_VALUE"""),8.0)</f>
        <v>8</v>
      </c>
      <c r="L160" s="24">
        <f>IFERROR(__xludf.DUMMYFUNCTION("""COMPUTED_VALUE"""),10.0)</f>
        <v>10</v>
      </c>
      <c r="M160" s="25" t="str">
        <f>IFERROR(__xludf.DUMMYFUNCTION("""COMPUTED_VALUE"""),"Action-Adventure")</f>
        <v>Action-Adventure</v>
      </c>
      <c r="N160" s="25" t="str">
        <f>IFERROR(__xludf.DUMMYFUNCTION("""COMPUTED_VALUE"""),"PS3")</f>
        <v>PS3</v>
      </c>
      <c r="O160" s="26" t="str">
        <f>IFERROR(__xludf.DUMMYFUNCTION("""COMPUTED_VALUE"""),"Yes")</f>
        <v>Yes</v>
      </c>
      <c r="P160" s="26" t="str">
        <f>IFERROR(__xludf.DUMMYFUNCTION("""COMPUTED_VALUE"""),"")</f>
        <v/>
      </c>
    </row>
    <row r="161">
      <c r="A161" s="13" t="str">
        <f>IFERROR(__xludf.DUMMYFUNCTION("""COMPUTED_VALUE"""),"Castlevania: Lords of Shadow - Mirror of Fate")</f>
        <v>Castlevania: Lords of Shadow - Mirror of Fate</v>
      </c>
      <c r="B161" s="15" t="str">
        <f>IFERROR(__xludf.DUMMYFUNCTION("""COMPUTED_VALUE"""),"PS5/PS4")</f>
        <v>PS5/PS4</v>
      </c>
      <c r="C161" s="16" t="str">
        <f>IFERROR(__xludf.DUMMYFUNCTION("""COMPUTED_VALUE"""),"Premium (Streaming Only)")</f>
        <v>Premium (Streaming Only)</v>
      </c>
      <c r="D161" s="15" t="str">
        <f>IFERROR(__xludf.DUMMYFUNCTION("""COMPUTED_VALUE"""),"Active")</f>
        <v>Active</v>
      </c>
      <c r="E161" s="17">
        <f>IFERROR(__xludf.DUMMYFUNCTION("""COMPUTED_VALUE"""),43683.0)</f>
        <v>43683</v>
      </c>
      <c r="F161" s="54"/>
      <c r="G161" s="19">
        <f>IFERROR(__xludf.DUMMYFUNCTION("""COMPUTED_VALUE"""),86.0)</f>
        <v>86</v>
      </c>
      <c r="H161" s="17">
        <f>IFERROR(__xludf.DUMMYFUNCTION("""COMPUTED_VALUE"""),41548.0)</f>
        <v>41548</v>
      </c>
      <c r="I161" s="19">
        <f>IFERROR(__xludf.DUMMYFUNCTION("""COMPUTED_VALUE"""),5.847222222222222)</f>
        <v>5.847222222</v>
      </c>
      <c r="J161" s="21">
        <f>IFERROR(__xludf.DUMMYFUNCTION("""COMPUTED_VALUE"""),70.0)</f>
        <v>70</v>
      </c>
      <c r="K161" s="23">
        <f>IFERROR(__xludf.DUMMYFUNCTION("""COMPUTED_VALUE"""),7.2)</f>
        <v>7.2</v>
      </c>
      <c r="L161" s="24">
        <f>IFERROR(__xludf.DUMMYFUNCTION("""COMPUTED_VALUE"""),10.0)</f>
        <v>10</v>
      </c>
      <c r="M161" s="25" t="str">
        <f>IFERROR(__xludf.DUMMYFUNCTION("""COMPUTED_VALUE"""),"Action-Adventure")</f>
        <v>Action-Adventure</v>
      </c>
      <c r="N161" s="25" t="str">
        <f>IFERROR(__xludf.DUMMYFUNCTION("""COMPUTED_VALUE"""),"PS3")</f>
        <v>PS3</v>
      </c>
      <c r="O161" s="26" t="str">
        <f>IFERROR(__xludf.DUMMYFUNCTION("""COMPUTED_VALUE"""),"Yes")</f>
        <v>Yes</v>
      </c>
      <c r="P161" s="26" t="str">
        <f>IFERROR(__xludf.DUMMYFUNCTION("""COMPUTED_VALUE"""),"")</f>
        <v/>
      </c>
    </row>
    <row r="162">
      <c r="A162" s="13" t="str">
        <f>IFERROR(__xludf.DUMMYFUNCTION("""COMPUTED_VALUE"""),"Disney Universe")</f>
        <v>Disney Universe</v>
      </c>
      <c r="B162" s="15" t="str">
        <f>IFERROR(__xludf.DUMMYFUNCTION("""COMPUTED_VALUE"""),"PS5/PS4")</f>
        <v>PS5/PS4</v>
      </c>
      <c r="C162" s="16" t="str">
        <f>IFERROR(__xludf.DUMMYFUNCTION("""COMPUTED_VALUE"""),"Premium (Streaming Only)")</f>
        <v>Premium (Streaming Only)</v>
      </c>
      <c r="D162" s="15" t="str">
        <f>IFERROR(__xludf.DUMMYFUNCTION("""COMPUTED_VALUE"""),"Active")</f>
        <v>Active</v>
      </c>
      <c r="E162" s="17">
        <f>IFERROR(__xludf.DUMMYFUNCTION("""COMPUTED_VALUE"""),42895.0)</f>
        <v>42895</v>
      </c>
      <c r="F162" s="54"/>
      <c r="G162" s="19">
        <f>IFERROR(__xludf.DUMMYFUNCTION("""COMPUTED_VALUE"""),111.89999999999999)</f>
        <v>111.9</v>
      </c>
      <c r="H162" s="17">
        <f>IFERROR(__xludf.DUMMYFUNCTION("""COMPUTED_VALUE"""),40817.0)</f>
        <v>40817</v>
      </c>
      <c r="I162" s="19">
        <f>IFERROR(__xludf.DUMMYFUNCTION("""COMPUTED_VALUE"""),5.688888888888889)</f>
        <v>5.688888889</v>
      </c>
      <c r="J162" s="21">
        <f>IFERROR(__xludf.DUMMYFUNCTION("""COMPUTED_VALUE"""),70.0)</f>
        <v>70</v>
      </c>
      <c r="K162" s="23">
        <f>IFERROR(__xludf.DUMMYFUNCTION("""COMPUTED_VALUE"""),7.5)</f>
        <v>7.5</v>
      </c>
      <c r="L162" s="24">
        <f>IFERROR(__xludf.DUMMYFUNCTION("""COMPUTED_VALUE"""),10.0)</f>
        <v>10</v>
      </c>
      <c r="M162" s="25" t="str">
        <f>IFERROR(__xludf.DUMMYFUNCTION("""COMPUTED_VALUE"""),"Action-Adventure")</f>
        <v>Action-Adventure</v>
      </c>
      <c r="N162" s="25" t="str">
        <f>IFERROR(__xludf.DUMMYFUNCTION("""COMPUTED_VALUE"""),"PS3")</f>
        <v>PS3</v>
      </c>
      <c r="O162" s="26" t="str">
        <f>IFERROR(__xludf.DUMMYFUNCTION("""COMPUTED_VALUE"""),"Yes")</f>
        <v>Yes</v>
      </c>
      <c r="P162" s="26" t="str">
        <f>IFERROR(__xludf.DUMMYFUNCTION("""COMPUTED_VALUE"""),"")</f>
        <v/>
      </c>
    </row>
    <row r="163">
      <c r="A163" s="13" t="str">
        <f>IFERROR(__xludf.DUMMYFUNCTION("""COMPUTED_VALUE"""),"LEGO Indiana Jones 2: The Adventure Continues")</f>
        <v>LEGO Indiana Jones 2: The Adventure Continues</v>
      </c>
      <c r="B163" s="15" t="str">
        <f>IFERROR(__xludf.DUMMYFUNCTION("""COMPUTED_VALUE"""),"PS5/PS4")</f>
        <v>PS5/PS4</v>
      </c>
      <c r="C163" s="16" t="str">
        <f>IFERROR(__xludf.DUMMYFUNCTION("""COMPUTED_VALUE"""),"Premium (Streaming Only)")</f>
        <v>Premium (Streaming Only)</v>
      </c>
      <c r="D163" s="15" t="str">
        <f>IFERROR(__xludf.DUMMYFUNCTION("""COMPUTED_VALUE"""),"Active")</f>
        <v>Active</v>
      </c>
      <c r="E163" s="17">
        <f>IFERROR(__xludf.DUMMYFUNCTION("""COMPUTED_VALUE"""),42829.0)</f>
        <v>42829</v>
      </c>
      <c r="F163" s="54"/>
      <c r="G163" s="19">
        <f>IFERROR(__xludf.DUMMYFUNCTION("""COMPUTED_VALUE"""),114.06666666666668)</f>
        <v>114.0666667</v>
      </c>
      <c r="H163" s="17">
        <f>IFERROR(__xludf.DUMMYFUNCTION("""COMPUTED_VALUE"""),40118.0)</f>
        <v>40118</v>
      </c>
      <c r="I163" s="19">
        <f>IFERROR(__xludf.DUMMYFUNCTION("""COMPUTED_VALUE"""),7.425)</f>
        <v>7.425</v>
      </c>
      <c r="J163" s="21">
        <f>IFERROR(__xludf.DUMMYFUNCTION("""COMPUTED_VALUE"""),70.0)</f>
        <v>70</v>
      </c>
      <c r="K163" s="23">
        <f>IFERROR(__xludf.DUMMYFUNCTION("""COMPUTED_VALUE"""),7.5)</f>
        <v>7.5</v>
      </c>
      <c r="L163" s="24">
        <f>IFERROR(__xludf.DUMMYFUNCTION("""COMPUTED_VALUE"""),12.0)</f>
        <v>12</v>
      </c>
      <c r="M163" s="25" t="str">
        <f>IFERROR(__xludf.DUMMYFUNCTION("""COMPUTED_VALUE"""),"Action-Adventure")</f>
        <v>Action-Adventure</v>
      </c>
      <c r="N163" s="25" t="str">
        <f>IFERROR(__xludf.DUMMYFUNCTION("""COMPUTED_VALUE"""),"PS3")</f>
        <v>PS3</v>
      </c>
      <c r="O163" s="26" t="str">
        <f>IFERROR(__xludf.DUMMYFUNCTION("""COMPUTED_VALUE"""),"Yes")</f>
        <v>Yes</v>
      </c>
      <c r="P163" s="26" t="str">
        <f>IFERROR(__xludf.DUMMYFUNCTION("""COMPUTED_VALUE"""),"")</f>
        <v/>
      </c>
    </row>
    <row r="164">
      <c r="A164" s="13" t="str">
        <f>IFERROR(__xludf.DUMMYFUNCTION("""COMPUTED_VALUE"""),"WARRIORS OROCHI 3")</f>
        <v>WARRIORS OROCHI 3</v>
      </c>
      <c r="B164" s="15" t="str">
        <f>IFERROR(__xludf.DUMMYFUNCTION("""COMPUTED_VALUE"""),"PS5/PS4")</f>
        <v>PS5/PS4</v>
      </c>
      <c r="C164" s="16" t="str">
        <f>IFERROR(__xludf.DUMMYFUNCTION("""COMPUTED_VALUE"""),"Premium (Streaming Only)")</f>
        <v>Premium (Streaming Only)</v>
      </c>
      <c r="D164" s="15" t="str">
        <f>IFERROR(__xludf.DUMMYFUNCTION("""COMPUTED_VALUE"""),"Active")</f>
        <v>Active</v>
      </c>
      <c r="E164" s="17">
        <f>IFERROR(__xludf.DUMMYFUNCTION("""COMPUTED_VALUE"""),42773.0)</f>
        <v>42773</v>
      </c>
      <c r="F164" s="54"/>
      <c r="G164" s="19">
        <f>IFERROR(__xludf.DUMMYFUNCTION("""COMPUTED_VALUE"""),115.96666666666667)</f>
        <v>115.9666667</v>
      </c>
      <c r="H164" s="17">
        <f>IFERROR(__xludf.DUMMYFUNCTION("""COMPUTED_VALUE"""),40969.0)</f>
        <v>40969</v>
      </c>
      <c r="I164" s="19">
        <f>IFERROR(__xludf.DUMMYFUNCTION("""COMPUTED_VALUE"""),4.933333333333334)</f>
        <v>4.933333333</v>
      </c>
      <c r="J164" s="21">
        <f>IFERROR(__xludf.DUMMYFUNCTION("""COMPUTED_VALUE"""),70.0)</f>
        <v>70</v>
      </c>
      <c r="K164" s="23">
        <f>IFERROR(__xludf.DUMMYFUNCTION("""COMPUTED_VALUE"""),8.1)</f>
        <v>8.1</v>
      </c>
      <c r="L164" s="24">
        <f>IFERROR(__xludf.DUMMYFUNCTION("""COMPUTED_VALUE"""),30.0)</f>
        <v>30</v>
      </c>
      <c r="M164" s="25" t="str">
        <f>IFERROR(__xludf.DUMMYFUNCTION("""COMPUTED_VALUE"""),"Action-Adventure")</f>
        <v>Action-Adventure</v>
      </c>
      <c r="N164" s="25" t="str">
        <f>IFERROR(__xludf.DUMMYFUNCTION("""COMPUTED_VALUE"""),"PS3")</f>
        <v>PS3</v>
      </c>
      <c r="O164" s="26" t="str">
        <f>IFERROR(__xludf.DUMMYFUNCTION("""COMPUTED_VALUE"""),"Yes")</f>
        <v>Yes</v>
      </c>
      <c r="P164" s="26" t="str">
        <f>IFERROR(__xludf.DUMMYFUNCTION("""COMPUTED_VALUE"""),"")</f>
        <v/>
      </c>
    </row>
    <row r="165">
      <c r="A165" s="13" t="str">
        <f>IFERROR(__xludf.DUMMYFUNCTION("""COMPUTED_VALUE"""),"Injustice: Gods Among Us - Ultimate Edition")</f>
        <v>Injustice: Gods Among Us - Ultimate Edition</v>
      </c>
      <c r="B165" s="15" t="str">
        <f>IFERROR(__xludf.DUMMYFUNCTION("""COMPUTED_VALUE"""),"PS5/PS4")</f>
        <v>PS5/PS4</v>
      </c>
      <c r="C165" s="16" t="str">
        <f>IFERROR(__xludf.DUMMYFUNCTION("""COMPUTED_VALUE"""),"Premium (Streaming Only)")</f>
        <v>Premium (Streaming Only)</v>
      </c>
      <c r="D165" s="15" t="str">
        <f>IFERROR(__xludf.DUMMYFUNCTION("""COMPUTED_VALUE"""),"Active")</f>
        <v>Active</v>
      </c>
      <c r="E165" s="17">
        <f>IFERROR(__xludf.DUMMYFUNCTION("""COMPUTED_VALUE"""),42417.0)</f>
        <v>42417</v>
      </c>
      <c r="F165" s="54"/>
      <c r="G165" s="19">
        <f>IFERROR(__xludf.DUMMYFUNCTION("""COMPUTED_VALUE"""),127.63333333333333)</f>
        <v>127.6333333</v>
      </c>
      <c r="H165" s="17">
        <f>IFERROR(__xludf.DUMMYFUNCTION("""COMPUTED_VALUE"""),41609.0)</f>
        <v>41609</v>
      </c>
      <c r="I165" s="19">
        <f>IFERROR(__xludf.DUMMYFUNCTION("""COMPUTED_VALUE"""),2.2111111111111112)</f>
        <v>2.211111111</v>
      </c>
      <c r="J165" s="21">
        <f>IFERROR(__xludf.DUMMYFUNCTION("""COMPUTED_VALUE"""),70.0)</f>
        <v>70</v>
      </c>
      <c r="K165" s="23">
        <f>IFERROR(__xludf.DUMMYFUNCTION("""COMPUTED_VALUE"""),7.7)</f>
        <v>7.7</v>
      </c>
      <c r="L165" s="24">
        <f>IFERROR(__xludf.DUMMYFUNCTION("""COMPUTED_VALUE"""),5.0)</f>
        <v>5</v>
      </c>
      <c r="M165" s="25" t="str">
        <f>IFERROR(__xludf.DUMMYFUNCTION("""COMPUTED_VALUE"""),"Fighting")</f>
        <v>Fighting</v>
      </c>
      <c r="N165" s="25" t="str">
        <f>IFERROR(__xludf.DUMMYFUNCTION("""COMPUTED_VALUE"""),"PS3")</f>
        <v>PS3</v>
      </c>
      <c r="O165" s="26" t="str">
        <f>IFERROR(__xludf.DUMMYFUNCTION("""COMPUTED_VALUE"""),"Yes")</f>
        <v>Yes</v>
      </c>
      <c r="P165" s="26" t="str">
        <f>IFERROR(__xludf.DUMMYFUNCTION("""COMPUTED_VALUE"""),"")</f>
        <v/>
      </c>
    </row>
    <row r="166">
      <c r="A166" s="13" t="str">
        <f>IFERROR(__xludf.DUMMYFUNCTION("""COMPUTED_VALUE"""),"Numblast")</f>
        <v>Numblast</v>
      </c>
      <c r="B166" s="15" t="str">
        <f>IFERROR(__xludf.DUMMYFUNCTION("""COMPUTED_VALUE"""),"PS5/PS4")</f>
        <v>PS5/PS4</v>
      </c>
      <c r="C166" s="16" t="str">
        <f>IFERROR(__xludf.DUMMYFUNCTION("""COMPUTED_VALUE"""),"Premium (Streaming Only)")</f>
        <v>Premium (Streaming Only)</v>
      </c>
      <c r="D166" s="15" t="str">
        <f>IFERROR(__xludf.DUMMYFUNCTION("""COMPUTED_VALUE"""),"Active")</f>
        <v>Active</v>
      </c>
      <c r="E166" s="17">
        <f>IFERROR(__xludf.DUMMYFUNCTION("""COMPUTED_VALUE"""),42374.0)</f>
        <v>42374</v>
      </c>
      <c r="F166" s="54"/>
      <c r="G166" s="19">
        <f>IFERROR(__xludf.DUMMYFUNCTION("""COMPUTED_VALUE"""),129.03333333333333)</f>
        <v>129.0333333</v>
      </c>
      <c r="H166" s="17">
        <f>IFERROR(__xludf.DUMMYFUNCTION("""COMPUTED_VALUE"""),40118.0)</f>
        <v>40118</v>
      </c>
      <c r="I166" s="19">
        <f>IFERROR(__xludf.DUMMYFUNCTION("""COMPUTED_VALUE"""),6.177777777777778)</f>
        <v>6.177777778</v>
      </c>
      <c r="J166" s="21">
        <f>IFERROR(__xludf.DUMMYFUNCTION("""COMPUTED_VALUE"""),70.0)</f>
        <v>70</v>
      </c>
      <c r="K166" s="23">
        <f>IFERROR(__xludf.DUMMYFUNCTION("""COMPUTED_VALUE"""),7.1)</f>
        <v>7.1</v>
      </c>
      <c r="L166" s="24">
        <f>IFERROR(__xludf.DUMMYFUNCTION("""COMPUTED_VALUE"""),5.0)</f>
        <v>5</v>
      </c>
      <c r="M166" s="25" t="str">
        <f>IFERROR(__xludf.DUMMYFUNCTION("""COMPUTED_VALUE"""),"Puzzle")</f>
        <v>Puzzle</v>
      </c>
      <c r="N166" s="25" t="str">
        <f>IFERROR(__xludf.DUMMYFUNCTION("""COMPUTED_VALUE"""),"PS3")</f>
        <v>PS3</v>
      </c>
      <c r="O166" s="26" t="str">
        <f>IFERROR(__xludf.DUMMYFUNCTION("""COMPUTED_VALUE"""),"Yes")</f>
        <v>Yes</v>
      </c>
      <c r="P166" s="26" t="str">
        <f>IFERROR(__xludf.DUMMYFUNCTION("""COMPUTED_VALUE"""),"")</f>
        <v/>
      </c>
    </row>
    <row r="167">
      <c r="A167" s="13" t="str">
        <f>IFERROR(__xludf.DUMMYFUNCTION("""COMPUTED_VALUE"""),"Ratchet and Clank: All 4 One")</f>
        <v>Ratchet and Clank: All 4 One</v>
      </c>
      <c r="B167" s="15" t="str">
        <f>IFERROR(__xludf.DUMMYFUNCTION("""COMPUTED_VALUE"""),"PS5/PS4")</f>
        <v>PS5/PS4</v>
      </c>
      <c r="C167" s="16" t="str">
        <f>IFERROR(__xludf.DUMMYFUNCTION("""COMPUTED_VALUE"""),"Premium (Streaming Only)")</f>
        <v>Premium (Streaming Only)</v>
      </c>
      <c r="D167" s="15" t="str">
        <f>IFERROR(__xludf.DUMMYFUNCTION("""COMPUTED_VALUE"""),"Active")</f>
        <v>Active</v>
      </c>
      <c r="E167" s="17">
        <f>IFERROR(__xludf.DUMMYFUNCTION("""COMPUTED_VALUE"""),42374.0)</f>
        <v>42374</v>
      </c>
      <c r="F167" s="54"/>
      <c r="G167" s="19">
        <f>IFERROR(__xludf.DUMMYFUNCTION("""COMPUTED_VALUE"""),129.03333333333333)</f>
        <v>129.0333333</v>
      </c>
      <c r="H167" s="17">
        <f>IFERROR(__xludf.DUMMYFUNCTION("""COMPUTED_VALUE"""),40817.0)</f>
        <v>40817</v>
      </c>
      <c r="I167" s="19">
        <f>IFERROR(__xludf.DUMMYFUNCTION("""COMPUTED_VALUE"""),4.261111111111111)</f>
        <v>4.261111111</v>
      </c>
      <c r="J167" s="21">
        <f>IFERROR(__xludf.DUMMYFUNCTION("""COMPUTED_VALUE"""),70.0)</f>
        <v>70</v>
      </c>
      <c r="K167" s="23">
        <f>IFERROR(__xludf.DUMMYFUNCTION("""COMPUTED_VALUE"""),7.1)</f>
        <v>7.1</v>
      </c>
      <c r="L167" s="24">
        <f>IFERROR(__xludf.DUMMYFUNCTION("""COMPUTED_VALUE"""),9.0)</f>
        <v>9</v>
      </c>
      <c r="M167" s="25" t="str">
        <f>IFERROR(__xludf.DUMMYFUNCTION("""COMPUTED_VALUE"""),"Action-Adventure")</f>
        <v>Action-Adventure</v>
      </c>
      <c r="N167" s="25" t="str">
        <f>IFERROR(__xludf.DUMMYFUNCTION("""COMPUTED_VALUE"""),"PS3")</f>
        <v>PS3</v>
      </c>
      <c r="O167" s="26" t="str">
        <f>IFERROR(__xludf.DUMMYFUNCTION("""COMPUTED_VALUE"""),"Yes")</f>
        <v>Yes</v>
      </c>
      <c r="P167" s="26" t="str">
        <f>IFERROR(__xludf.DUMMYFUNCTION("""COMPUTED_VALUE"""),"")</f>
        <v/>
      </c>
    </row>
    <row r="168">
      <c r="A168" s="13" t="str">
        <f>IFERROR(__xludf.DUMMYFUNCTION("""COMPUTED_VALUE"""),"Pid")</f>
        <v>Pid</v>
      </c>
      <c r="B168" s="15" t="str">
        <f>IFERROR(__xludf.DUMMYFUNCTION("""COMPUTED_VALUE"""),"PS5/PS4")</f>
        <v>PS5/PS4</v>
      </c>
      <c r="C168" s="16" t="str">
        <f>IFERROR(__xludf.DUMMYFUNCTION("""COMPUTED_VALUE"""),"Premium (Streaming Only)")</f>
        <v>Premium (Streaming Only)</v>
      </c>
      <c r="D168" s="15" t="str">
        <f>IFERROR(__xludf.DUMMYFUNCTION("""COMPUTED_VALUE"""),"Active")</f>
        <v>Active</v>
      </c>
      <c r="E168" s="17">
        <f>IFERROR(__xludf.DUMMYFUNCTION("""COMPUTED_VALUE"""),42311.0)</f>
        <v>42311</v>
      </c>
      <c r="F168" s="54"/>
      <c r="G168" s="19">
        <f>IFERROR(__xludf.DUMMYFUNCTION("""COMPUTED_VALUE"""),131.10000000000002)</f>
        <v>131.1</v>
      </c>
      <c r="H168" s="17">
        <f>IFERROR(__xludf.DUMMYFUNCTION("""COMPUTED_VALUE"""),41214.0)</f>
        <v>41214</v>
      </c>
      <c r="I168" s="19">
        <f>IFERROR(__xludf.DUMMYFUNCTION("""COMPUTED_VALUE"""),3.0055555555555555)</f>
        <v>3.005555556</v>
      </c>
      <c r="J168" s="21">
        <f>IFERROR(__xludf.DUMMYFUNCTION("""COMPUTED_VALUE"""),70.0)</f>
        <v>70</v>
      </c>
      <c r="K168" s="23">
        <f>IFERROR(__xludf.DUMMYFUNCTION("""COMPUTED_VALUE"""),6.2)</f>
        <v>6.2</v>
      </c>
      <c r="L168" s="24">
        <f>IFERROR(__xludf.DUMMYFUNCTION("""COMPUTED_VALUE"""),5.0)</f>
        <v>5</v>
      </c>
      <c r="M168" s="25" t="str">
        <f>IFERROR(__xludf.DUMMYFUNCTION("""COMPUTED_VALUE"""),"Platformer")</f>
        <v>Platformer</v>
      </c>
      <c r="N168" s="25" t="str">
        <f>IFERROR(__xludf.DUMMYFUNCTION("""COMPUTED_VALUE"""),"PS3")</f>
        <v>PS3</v>
      </c>
      <c r="O168" s="26" t="str">
        <f>IFERROR(__xludf.DUMMYFUNCTION("""COMPUTED_VALUE"""),"Yes")</f>
        <v>Yes</v>
      </c>
      <c r="P168" s="26" t="str">
        <f>IFERROR(__xludf.DUMMYFUNCTION("""COMPUTED_VALUE"""),"")</f>
        <v/>
      </c>
    </row>
    <row r="169">
      <c r="A169" s="13" t="str">
        <f>IFERROR(__xludf.DUMMYFUNCTION("""COMPUTED_VALUE"""),"Rocket Knight")</f>
        <v>Rocket Knight</v>
      </c>
      <c r="B169" s="15" t="str">
        <f>IFERROR(__xludf.DUMMYFUNCTION("""COMPUTED_VALUE"""),"PS5/PS4")</f>
        <v>PS5/PS4</v>
      </c>
      <c r="C169" s="16" t="str">
        <f>IFERROR(__xludf.DUMMYFUNCTION("""COMPUTED_VALUE"""),"Premium (Streaming Only)")</f>
        <v>Premium (Streaming Only)</v>
      </c>
      <c r="D169" s="15" t="str">
        <f>IFERROR(__xludf.DUMMYFUNCTION("""COMPUTED_VALUE"""),"Active")</f>
        <v>Active</v>
      </c>
      <c r="E169" s="17">
        <f>IFERROR(__xludf.DUMMYFUNCTION("""COMPUTED_VALUE"""),42311.0)</f>
        <v>42311</v>
      </c>
      <c r="F169" s="54"/>
      <c r="G169" s="19">
        <f>IFERROR(__xludf.DUMMYFUNCTION("""COMPUTED_VALUE"""),131.10000000000002)</f>
        <v>131.1</v>
      </c>
      <c r="H169" s="17">
        <f>IFERROR(__xludf.DUMMYFUNCTION("""COMPUTED_VALUE"""),40299.0)</f>
        <v>40299</v>
      </c>
      <c r="I169" s="19">
        <f>IFERROR(__xludf.DUMMYFUNCTION("""COMPUTED_VALUE"""),5.5055555555555555)</f>
        <v>5.505555556</v>
      </c>
      <c r="J169" s="21">
        <f>IFERROR(__xludf.DUMMYFUNCTION("""COMPUTED_VALUE"""),70.0)</f>
        <v>70</v>
      </c>
      <c r="K169" s="23">
        <f>IFERROR(__xludf.DUMMYFUNCTION("""COMPUTED_VALUE"""),7.2)</f>
        <v>7.2</v>
      </c>
      <c r="L169" s="24">
        <f>IFERROR(__xludf.DUMMYFUNCTION("""COMPUTED_VALUE"""),4.0)</f>
        <v>4</v>
      </c>
      <c r="M169" s="25" t="str">
        <f>IFERROR(__xludf.DUMMYFUNCTION("""COMPUTED_VALUE"""),"Platformer")</f>
        <v>Platformer</v>
      </c>
      <c r="N169" s="25" t="str">
        <f>IFERROR(__xludf.DUMMYFUNCTION("""COMPUTED_VALUE"""),"PS3")</f>
        <v>PS3</v>
      </c>
      <c r="O169" s="26" t="str">
        <f>IFERROR(__xludf.DUMMYFUNCTION("""COMPUTED_VALUE"""),"Yes")</f>
        <v>Yes</v>
      </c>
      <c r="P169" s="26" t="str">
        <f>IFERROR(__xludf.DUMMYFUNCTION("""COMPUTED_VALUE"""),"")</f>
        <v/>
      </c>
    </row>
    <row r="170">
      <c r="A170" s="13" t="str">
        <f>IFERROR(__xludf.DUMMYFUNCTION("""COMPUTED_VALUE"""),"Atelier Ayesha: The Alchemist of Dusk")</f>
        <v>Atelier Ayesha: The Alchemist of Dusk</v>
      </c>
      <c r="B170" s="15" t="str">
        <f>IFERROR(__xludf.DUMMYFUNCTION("""COMPUTED_VALUE"""),"PS5/PS4")</f>
        <v>PS5/PS4</v>
      </c>
      <c r="C170" s="16" t="str">
        <f>IFERROR(__xludf.DUMMYFUNCTION("""COMPUTED_VALUE"""),"Premium (Streaming Only)")</f>
        <v>Premium (Streaming Only)</v>
      </c>
      <c r="D170" s="15" t="str">
        <f>IFERROR(__xludf.DUMMYFUNCTION("""COMPUTED_VALUE"""),"Active")</f>
        <v>Active</v>
      </c>
      <c r="E170" s="17">
        <f>IFERROR(__xludf.DUMMYFUNCTION("""COMPUTED_VALUE"""),42017.0)</f>
        <v>42017</v>
      </c>
      <c r="F170" s="54"/>
      <c r="G170" s="19">
        <f>IFERROR(__xludf.DUMMYFUNCTION("""COMPUTED_VALUE"""),140.76666666666668)</f>
        <v>140.7666667</v>
      </c>
      <c r="H170" s="17">
        <f>IFERROR(__xludf.DUMMYFUNCTION("""COMPUTED_VALUE"""),41061.0)</f>
        <v>41061</v>
      </c>
      <c r="I170" s="19">
        <f>IFERROR(__xludf.DUMMYFUNCTION("""COMPUTED_VALUE"""),2.6166666666666667)</f>
        <v>2.616666667</v>
      </c>
      <c r="J170" s="21">
        <f>IFERROR(__xludf.DUMMYFUNCTION("""COMPUTED_VALUE"""),70.0)</f>
        <v>70</v>
      </c>
      <c r="K170" s="23">
        <f>IFERROR(__xludf.DUMMYFUNCTION("""COMPUTED_VALUE"""),7.9)</f>
        <v>7.9</v>
      </c>
      <c r="L170" s="24">
        <f>IFERROR(__xludf.DUMMYFUNCTION("""COMPUTED_VALUE"""),45.0)</f>
        <v>45</v>
      </c>
      <c r="M170" s="25" t="str">
        <f>IFERROR(__xludf.DUMMYFUNCTION("""COMPUTED_VALUE"""),"RPG")</f>
        <v>RPG</v>
      </c>
      <c r="N170" s="25" t="str">
        <f>IFERROR(__xludf.DUMMYFUNCTION("""COMPUTED_VALUE"""),"PS3")</f>
        <v>PS3</v>
      </c>
      <c r="O170" s="26" t="str">
        <f>IFERROR(__xludf.DUMMYFUNCTION("""COMPUTED_VALUE"""),"Yes")</f>
        <v>Yes</v>
      </c>
      <c r="P170" s="26" t="str">
        <f>IFERROR(__xludf.DUMMYFUNCTION("""COMPUTED_VALUE"""),"")</f>
        <v/>
      </c>
    </row>
    <row r="171">
      <c r="A171" s="13" t="str">
        <f>IFERROR(__xludf.DUMMYFUNCTION("""COMPUTED_VALUE"""),"Deception IV: Blood Ties")</f>
        <v>Deception IV: Blood Ties</v>
      </c>
      <c r="B171" s="15" t="str">
        <f>IFERROR(__xludf.DUMMYFUNCTION("""COMPUTED_VALUE"""),"PS5/PS4")</f>
        <v>PS5/PS4</v>
      </c>
      <c r="C171" s="16" t="str">
        <f>IFERROR(__xludf.DUMMYFUNCTION("""COMPUTED_VALUE"""),"Premium (Streaming Only)")</f>
        <v>Premium (Streaming Only)</v>
      </c>
      <c r="D171" s="15" t="str">
        <f>IFERROR(__xludf.DUMMYFUNCTION("""COMPUTED_VALUE"""),"Active")</f>
        <v>Active</v>
      </c>
      <c r="E171" s="17">
        <f>IFERROR(__xludf.DUMMYFUNCTION("""COMPUTED_VALUE"""),42017.0)</f>
        <v>42017</v>
      </c>
      <c r="F171" s="54"/>
      <c r="G171" s="19">
        <f>IFERROR(__xludf.DUMMYFUNCTION("""COMPUTED_VALUE"""),140.76666666666668)</f>
        <v>140.7666667</v>
      </c>
      <c r="H171" s="17">
        <f>IFERROR(__xludf.DUMMYFUNCTION("""COMPUTED_VALUE"""),41671.0)</f>
        <v>41671</v>
      </c>
      <c r="I171" s="19">
        <f>IFERROR(__xludf.DUMMYFUNCTION("""COMPUTED_VALUE"""),0.95)</f>
        <v>0.95</v>
      </c>
      <c r="J171" s="21">
        <f>IFERROR(__xludf.DUMMYFUNCTION("""COMPUTED_VALUE"""),70.0)</f>
        <v>70</v>
      </c>
      <c r="K171" s="23">
        <f>IFERROR(__xludf.DUMMYFUNCTION("""COMPUTED_VALUE"""),7.4)</f>
        <v>7.4</v>
      </c>
      <c r="L171" s="24">
        <f>IFERROR(__xludf.DUMMYFUNCTION("""COMPUTED_VALUE"""),25.0)</f>
        <v>25</v>
      </c>
      <c r="M171" s="25" t="str">
        <f>IFERROR(__xludf.DUMMYFUNCTION("""COMPUTED_VALUE"""),"Strategy")</f>
        <v>Strategy</v>
      </c>
      <c r="N171" s="25" t="str">
        <f>IFERROR(__xludf.DUMMYFUNCTION("""COMPUTED_VALUE"""),"PS3")</f>
        <v>PS3</v>
      </c>
      <c r="O171" s="26" t="str">
        <f>IFERROR(__xludf.DUMMYFUNCTION("""COMPUTED_VALUE"""),"Yes")</f>
        <v>Yes</v>
      </c>
      <c r="P171" s="26" t="str">
        <f>IFERROR(__xludf.DUMMYFUNCTION("""COMPUTED_VALUE"""),"")</f>
        <v/>
      </c>
    </row>
    <row r="172">
      <c r="A172" s="13" t="str">
        <f>IFERROR(__xludf.DUMMYFUNCTION("""COMPUTED_VALUE"""),"Elefunk")</f>
        <v>Elefunk</v>
      </c>
      <c r="B172" s="15" t="str">
        <f>IFERROR(__xludf.DUMMYFUNCTION("""COMPUTED_VALUE"""),"PS5/PS4")</f>
        <v>PS5/PS4</v>
      </c>
      <c r="C172" s="16" t="str">
        <f>IFERROR(__xludf.DUMMYFUNCTION("""COMPUTED_VALUE"""),"Premium (Streaming Only)")</f>
        <v>Premium (Streaming Only)</v>
      </c>
      <c r="D172" s="15" t="str">
        <f>IFERROR(__xludf.DUMMYFUNCTION("""COMPUTED_VALUE"""),"Active")</f>
        <v>Active</v>
      </c>
      <c r="E172" s="17">
        <f>IFERROR(__xludf.DUMMYFUNCTION("""COMPUTED_VALUE"""),42017.0)</f>
        <v>42017</v>
      </c>
      <c r="F172" s="54"/>
      <c r="G172" s="19">
        <f>IFERROR(__xludf.DUMMYFUNCTION("""COMPUTED_VALUE"""),140.76666666666668)</f>
        <v>140.7666667</v>
      </c>
      <c r="H172" s="17">
        <f>IFERROR(__xludf.DUMMYFUNCTION("""COMPUTED_VALUE"""),39630.0)</f>
        <v>39630</v>
      </c>
      <c r="I172" s="19">
        <f>IFERROR(__xludf.DUMMYFUNCTION("""COMPUTED_VALUE"""),6.533333333333333)</f>
        <v>6.533333333</v>
      </c>
      <c r="J172" s="21">
        <f>IFERROR(__xludf.DUMMYFUNCTION("""COMPUTED_VALUE"""),70.0)</f>
        <v>70</v>
      </c>
      <c r="K172" s="23">
        <f>IFERROR(__xludf.DUMMYFUNCTION("""COMPUTED_VALUE"""),7.3)</f>
        <v>7.3</v>
      </c>
      <c r="L172" s="24">
        <f>IFERROR(__xludf.DUMMYFUNCTION("""COMPUTED_VALUE"""),4.0)</f>
        <v>4</v>
      </c>
      <c r="M172" s="25" t="str">
        <f>IFERROR(__xludf.DUMMYFUNCTION("""COMPUTED_VALUE"""),"Puzzle")</f>
        <v>Puzzle</v>
      </c>
      <c r="N172" s="25" t="str">
        <f>IFERROR(__xludf.DUMMYFUNCTION("""COMPUTED_VALUE"""),"PS3")</f>
        <v>PS3</v>
      </c>
      <c r="O172" s="26" t="str">
        <f>IFERROR(__xludf.DUMMYFUNCTION("""COMPUTED_VALUE"""),"Yes")</f>
        <v>Yes</v>
      </c>
      <c r="P172" s="26" t="str">
        <f>IFERROR(__xludf.DUMMYFUNCTION("""COMPUTED_VALUE"""),"")</f>
        <v/>
      </c>
    </row>
    <row r="173">
      <c r="A173" s="13" t="str">
        <f>IFERROR(__xludf.DUMMYFUNCTION("""COMPUTED_VALUE"""),"Piyotama")</f>
        <v>Piyotama</v>
      </c>
      <c r="B173" s="15" t="str">
        <f>IFERROR(__xludf.DUMMYFUNCTION("""COMPUTED_VALUE"""),"PS5/PS4")</f>
        <v>PS5/PS4</v>
      </c>
      <c r="C173" s="16" t="str">
        <f>IFERROR(__xludf.DUMMYFUNCTION("""COMPUTED_VALUE"""),"Premium (Streaming Only)")</f>
        <v>Premium (Streaming Only)</v>
      </c>
      <c r="D173" s="15" t="str">
        <f>IFERROR(__xludf.DUMMYFUNCTION("""COMPUTED_VALUE"""),"Active")</f>
        <v>Active</v>
      </c>
      <c r="E173" s="17">
        <f>IFERROR(__xludf.DUMMYFUNCTION("""COMPUTED_VALUE"""),42017.0)</f>
        <v>42017</v>
      </c>
      <c r="F173" s="71"/>
      <c r="G173" s="19">
        <f>IFERROR(__xludf.DUMMYFUNCTION("""COMPUTED_VALUE"""),140.76666666666668)</f>
        <v>140.7666667</v>
      </c>
      <c r="H173" s="17">
        <f>IFERROR(__xludf.DUMMYFUNCTION("""COMPUTED_VALUE"""),39295.0)</f>
        <v>39295</v>
      </c>
      <c r="I173" s="19">
        <f>IFERROR(__xludf.DUMMYFUNCTION("""COMPUTED_VALUE"""),7.45)</f>
        <v>7.45</v>
      </c>
      <c r="J173" s="21">
        <f>IFERROR(__xludf.DUMMYFUNCTION("""COMPUTED_VALUE"""),70.0)</f>
        <v>70</v>
      </c>
      <c r="K173" s="23">
        <f>IFERROR(__xludf.DUMMYFUNCTION("""COMPUTED_VALUE"""),7.4)</f>
        <v>7.4</v>
      </c>
      <c r="L173" s="24">
        <f>IFERROR(__xludf.DUMMYFUNCTION("""COMPUTED_VALUE"""),3.0)</f>
        <v>3</v>
      </c>
      <c r="M173" s="25" t="str">
        <f>IFERROR(__xludf.DUMMYFUNCTION("""COMPUTED_VALUE"""),"Puzzle")</f>
        <v>Puzzle</v>
      </c>
      <c r="N173" s="25" t="str">
        <f>IFERROR(__xludf.DUMMYFUNCTION("""COMPUTED_VALUE"""),"PS3")</f>
        <v>PS3</v>
      </c>
      <c r="O173" s="26" t="str">
        <f>IFERROR(__xludf.DUMMYFUNCTION("""COMPUTED_VALUE"""),"Yes")</f>
        <v>Yes</v>
      </c>
      <c r="P173" s="26" t="str">
        <f>IFERROR(__xludf.DUMMYFUNCTION("""COMPUTED_VALUE"""),"")</f>
        <v/>
      </c>
    </row>
    <row r="174">
      <c r="A174" s="13" t="str">
        <f>IFERROR(__xludf.DUMMYFUNCTION("""COMPUTED_VALUE"""),"Sniper Elite V2")</f>
        <v>Sniper Elite V2</v>
      </c>
      <c r="B174" s="15" t="str">
        <f>IFERROR(__xludf.DUMMYFUNCTION("""COMPUTED_VALUE"""),"PS5/PS4")</f>
        <v>PS5/PS4</v>
      </c>
      <c r="C174" s="16" t="str">
        <f>IFERROR(__xludf.DUMMYFUNCTION("""COMPUTED_VALUE"""),"Premium (Streaming Only)")</f>
        <v>Premium (Streaming Only)</v>
      </c>
      <c r="D174" s="15" t="str">
        <f>IFERROR(__xludf.DUMMYFUNCTION("""COMPUTED_VALUE"""),"Active")</f>
        <v>Active</v>
      </c>
      <c r="E174" s="17">
        <f>IFERROR(__xludf.DUMMYFUNCTION("""COMPUTED_VALUE"""),42017.0)</f>
        <v>42017</v>
      </c>
      <c r="F174" s="71"/>
      <c r="G174" s="19">
        <f>IFERROR(__xludf.DUMMYFUNCTION("""COMPUTED_VALUE"""),140.76666666666668)</f>
        <v>140.7666667</v>
      </c>
      <c r="H174" s="17">
        <f>IFERROR(__xludf.DUMMYFUNCTION("""COMPUTED_VALUE"""),41030.0)</f>
        <v>41030</v>
      </c>
      <c r="I174" s="19">
        <f>IFERROR(__xludf.DUMMYFUNCTION("""COMPUTED_VALUE"""),2.7)</f>
        <v>2.7</v>
      </c>
      <c r="J174" s="21">
        <f>IFERROR(__xludf.DUMMYFUNCTION("""COMPUTED_VALUE"""),70.0)</f>
        <v>70</v>
      </c>
      <c r="K174" s="23">
        <f>IFERROR(__xludf.DUMMYFUNCTION("""COMPUTED_VALUE"""),7.7)</f>
        <v>7.7</v>
      </c>
      <c r="L174" s="24">
        <f>IFERROR(__xludf.DUMMYFUNCTION("""COMPUTED_VALUE"""),10.0)</f>
        <v>10</v>
      </c>
      <c r="M174" s="25" t="str">
        <f>IFERROR(__xludf.DUMMYFUNCTION("""COMPUTED_VALUE"""),"Shooter")</f>
        <v>Shooter</v>
      </c>
      <c r="N174" s="25" t="str">
        <f>IFERROR(__xludf.DUMMYFUNCTION("""COMPUTED_VALUE"""),"PS3")</f>
        <v>PS3</v>
      </c>
      <c r="O174" s="26" t="str">
        <f>IFERROR(__xludf.DUMMYFUNCTION("""COMPUTED_VALUE"""),"Yes")</f>
        <v>Yes</v>
      </c>
      <c r="P174" s="26" t="str">
        <f>IFERROR(__xludf.DUMMYFUNCTION("""COMPUTED_VALUE"""),"")</f>
        <v/>
      </c>
    </row>
    <row r="175">
      <c r="A175" s="13" t="str">
        <f>IFERROR(__xludf.DUMMYFUNCTION("""COMPUTED_VALUE"""),"BloodRayne: Betrayal")</f>
        <v>BloodRayne: Betrayal</v>
      </c>
      <c r="B175" s="15" t="str">
        <f>IFERROR(__xludf.DUMMYFUNCTION("""COMPUTED_VALUE"""),"PS5/PS4")</f>
        <v>PS5/PS4</v>
      </c>
      <c r="C175" s="16" t="str">
        <f>IFERROR(__xludf.DUMMYFUNCTION("""COMPUTED_VALUE"""),"Premium (Streaming Only)")</f>
        <v>Premium (Streaming Only)</v>
      </c>
      <c r="D175" s="15" t="str">
        <f>IFERROR(__xludf.DUMMYFUNCTION("""COMPUTED_VALUE"""),"Active")</f>
        <v>Active</v>
      </c>
      <c r="E175" s="17">
        <f>IFERROR(__xludf.DUMMYFUNCTION("""COMPUTED_VALUE"""),42647.0)</f>
        <v>42647</v>
      </c>
      <c r="F175" s="54"/>
      <c r="G175" s="19">
        <f>IFERROR(__xludf.DUMMYFUNCTION("""COMPUTED_VALUE"""),120.06666666666668)</f>
        <v>120.0666667</v>
      </c>
      <c r="H175" s="17">
        <f>IFERROR(__xludf.DUMMYFUNCTION("""COMPUTED_VALUE"""),40787.0)</f>
        <v>40787</v>
      </c>
      <c r="I175" s="19">
        <f>IFERROR(__xludf.DUMMYFUNCTION("""COMPUTED_VALUE"""),5.091666666666667)</f>
        <v>5.091666667</v>
      </c>
      <c r="J175" s="21">
        <f>IFERROR(__xludf.DUMMYFUNCTION("""COMPUTED_VALUE"""),69.0)</f>
        <v>69</v>
      </c>
      <c r="K175" s="23">
        <f>IFERROR(__xludf.DUMMYFUNCTION("""COMPUTED_VALUE"""),6.4)</f>
        <v>6.4</v>
      </c>
      <c r="L175" s="24">
        <f>IFERROR(__xludf.DUMMYFUNCTION("""COMPUTED_VALUE"""),4.0)</f>
        <v>4</v>
      </c>
      <c r="M175" s="25" t="str">
        <f>IFERROR(__xludf.DUMMYFUNCTION("""COMPUTED_VALUE"""),"Platformer")</f>
        <v>Platformer</v>
      </c>
      <c r="N175" s="25" t="str">
        <f>IFERROR(__xludf.DUMMYFUNCTION("""COMPUTED_VALUE"""),"PS3")</f>
        <v>PS3</v>
      </c>
      <c r="O175" s="26" t="str">
        <f>IFERROR(__xludf.DUMMYFUNCTION("""COMPUTED_VALUE"""),"Yes")</f>
        <v>Yes</v>
      </c>
      <c r="P175" s="26" t="str">
        <f>IFERROR(__xludf.DUMMYFUNCTION("""COMPUTED_VALUE"""),"")</f>
        <v/>
      </c>
    </row>
    <row r="176">
      <c r="A176" s="13" t="str">
        <f>IFERROR(__xludf.DUMMYFUNCTION("""COMPUTED_VALUE"""),"Deception IV: The Nightmare Princess")</f>
        <v>Deception IV: The Nightmare Princess</v>
      </c>
      <c r="B176" s="15" t="str">
        <f>IFERROR(__xludf.DUMMYFUNCTION("""COMPUTED_VALUE"""),"PS5/PS4")</f>
        <v>PS5/PS4</v>
      </c>
      <c r="C176" s="16" t="str">
        <f>IFERROR(__xludf.DUMMYFUNCTION("""COMPUTED_VALUE"""),"Premium (Streaming Only)")</f>
        <v>Premium (Streaming Only)</v>
      </c>
      <c r="D176" s="15" t="str">
        <f>IFERROR(__xludf.DUMMYFUNCTION("""COMPUTED_VALUE"""),"Active")</f>
        <v>Active</v>
      </c>
      <c r="E176" s="17">
        <f>IFERROR(__xludf.DUMMYFUNCTION("""COMPUTED_VALUE"""),42647.0)</f>
        <v>42647</v>
      </c>
      <c r="F176" s="54"/>
      <c r="G176" s="19">
        <f>IFERROR(__xludf.DUMMYFUNCTION("""COMPUTED_VALUE"""),120.06666666666668)</f>
        <v>120.0666667</v>
      </c>
      <c r="H176" s="17">
        <f>IFERROR(__xludf.DUMMYFUNCTION("""COMPUTED_VALUE"""),42186.0)</f>
        <v>42186</v>
      </c>
      <c r="I176" s="19">
        <f>IFERROR(__xludf.DUMMYFUNCTION("""COMPUTED_VALUE"""),1.2583333333333333)</f>
        <v>1.258333333</v>
      </c>
      <c r="J176" s="21">
        <f>IFERROR(__xludf.DUMMYFUNCTION("""COMPUTED_VALUE"""),69.0)</f>
        <v>69</v>
      </c>
      <c r="K176" s="23">
        <f>IFERROR(__xludf.DUMMYFUNCTION("""COMPUTED_VALUE"""),7.8)</f>
        <v>7.8</v>
      </c>
      <c r="L176" s="24">
        <f>IFERROR(__xludf.DUMMYFUNCTION("""COMPUTED_VALUE"""),25.0)</f>
        <v>25</v>
      </c>
      <c r="M176" s="25" t="str">
        <f>IFERROR(__xludf.DUMMYFUNCTION("""COMPUTED_VALUE"""),"Strategy")</f>
        <v>Strategy</v>
      </c>
      <c r="N176" s="25" t="str">
        <f>IFERROR(__xludf.DUMMYFUNCTION("""COMPUTED_VALUE"""),"PS3")</f>
        <v>PS3</v>
      </c>
      <c r="O176" s="26" t="str">
        <f>IFERROR(__xludf.DUMMYFUNCTION("""COMPUTED_VALUE"""),"Yes")</f>
        <v>Yes</v>
      </c>
      <c r="P176" s="26" t="str">
        <f>IFERROR(__xludf.DUMMYFUNCTION("""COMPUTED_VALUE"""),"")</f>
        <v/>
      </c>
    </row>
    <row r="177">
      <c r="A177" s="13" t="str">
        <f>IFERROR(__xludf.DUMMYFUNCTION("""COMPUTED_VALUE"""),"Battle Princess of Arcadias")</f>
        <v>Battle Princess of Arcadias</v>
      </c>
      <c r="B177" s="15" t="str">
        <f>IFERROR(__xludf.DUMMYFUNCTION("""COMPUTED_VALUE"""),"PS5/PS4")</f>
        <v>PS5/PS4</v>
      </c>
      <c r="C177" s="16" t="str">
        <f>IFERROR(__xludf.DUMMYFUNCTION("""COMPUTED_VALUE"""),"Premium (Streaming Only)")</f>
        <v>Premium (Streaming Only)</v>
      </c>
      <c r="D177" s="15" t="str">
        <f>IFERROR(__xludf.DUMMYFUNCTION("""COMPUTED_VALUE"""),"Active")</f>
        <v>Active</v>
      </c>
      <c r="E177" s="17">
        <f>IFERROR(__xludf.DUMMYFUNCTION("""COMPUTED_VALUE"""),42584.0)</f>
        <v>42584</v>
      </c>
      <c r="F177" s="54"/>
      <c r="G177" s="19">
        <f>IFERROR(__xludf.DUMMYFUNCTION("""COMPUTED_VALUE"""),122.13333333333333)</f>
        <v>122.1333333</v>
      </c>
      <c r="H177" s="17">
        <f>IFERROR(__xludf.DUMMYFUNCTION("""COMPUTED_VALUE"""),41791.0)</f>
        <v>41791</v>
      </c>
      <c r="I177" s="19">
        <f>IFERROR(__xludf.DUMMYFUNCTION("""COMPUTED_VALUE"""),2.1694444444444443)</f>
        <v>2.169444444</v>
      </c>
      <c r="J177" s="21">
        <f>IFERROR(__xludf.DUMMYFUNCTION("""COMPUTED_VALUE"""),69.0)</f>
        <v>69</v>
      </c>
      <c r="K177" s="23">
        <f>IFERROR(__xludf.DUMMYFUNCTION("""COMPUTED_VALUE"""),6.6)</f>
        <v>6.6</v>
      </c>
      <c r="L177" s="24">
        <f>IFERROR(__xludf.DUMMYFUNCTION("""COMPUTED_VALUE"""),10.0)</f>
        <v>10</v>
      </c>
      <c r="M177" s="25" t="str">
        <f>IFERROR(__xludf.DUMMYFUNCTION("""COMPUTED_VALUE"""),"RPG")</f>
        <v>RPG</v>
      </c>
      <c r="N177" s="25" t="str">
        <f>IFERROR(__xludf.DUMMYFUNCTION("""COMPUTED_VALUE"""),"PS3")</f>
        <v>PS3</v>
      </c>
      <c r="O177" s="26" t="str">
        <f>IFERROR(__xludf.DUMMYFUNCTION("""COMPUTED_VALUE"""),"Yes")</f>
        <v>Yes</v>
      </c>
      <c r="P177" s="26" t="str">
        <f>IFERROR(__xludf.DUMMYFUNCTION("""COMPUTED_VALUE"""),"")</f>
        <v/>
      </c>
    </row>
    <row r="178">
      <c r="A178" s="13" t="str">
        <f>IFERROR(__xludf.DUMMYFUNCTION("""COMPUTED_VALUE"""),"Dragon's Lair II: Time Warp")</f>
        <v>Dragon's Lair II: Time Warp</v>
      </c>
      <c r="B178" s="15" t="str">
        <f>IFERROR(__xludf.DUMMYFUNCTION("""COMPUTED_VALUE"""),"PS5/PS4")</f>
        <v>PS5/PS4</v>
      </c>
      <c r="C178" s="16" t="str">
        <f>IFERROR(__xludf.DUMMYFUNCTION("""COMPUTED_VALUE"""),"Premium (Streaming Only)")</f>
        <v>Premium (Streaming Only)</v>
      </c>
      <c r="D178" s="15" t="str">
        <f>IFERROR(__xludf.DUMMYFUNCTION("""COMPUTED_VALUE"""),"Active")</f>
        <v>Active</v>
      </c>
      <c r="E178" s="17">
        <f>IFERROR(__xludf.DUMMYFUNCTION("""COMPUTED_VALUE"""),42311.0)</f>
        <v>42311</v>
      </c>
      <c r="F178" s="54"/>
      <c r="G178" s="19">
        <f>IFERROR(__xludf.DUMMYFUNCTION("""COMPUTED_VALUE"""),131.10000000000002)</f>
        <v>131.1</v>
      </c>
      <c r="H178" s="17">
        <f>IFERROR(__xludf.DUMMYFUNCTION("""COMPUTED_VALUE"""),40695.0)</f>
        <v>40695</v>
      </c>
      <c r="I178" s="19">
        <f>IFERROR(__xludf.DUMMYFUNCTION("""COMPUTED_VALUE"""),4.4222222222222225)</f>
        <v>4.422222222</v>
      </c>
      <c r="J178" s="21">
        <f>IFERROR(__xludf.DUMMYFUNCTION("""COMPUTED_VALUE"""),69.0)</f>
        <v>69</v>
      </c>
      <c r="K178" s="23">
        <f>IFERROR(__xludf.DUMMYFUNCTION("""COMPUTED_VALUE"""),6.2)</f>
        <v>6.2</v>
      </c>
      <c r="L178" s="24">
        <f>IFERROR(__xludf.DUMMYFUNCTION("""COMPUTED_VALUE"""),1.0)</f>
        <v>1</v>
      </c>
      <c r="M178" s="25" t="str">
        <f>IFERROR(__xludf.DUMMYFUNCTION("""COMPUTED_VALUE"""),"Action-Adventure")</f>
        <v>Action-Adventure</v>
      </c>
      <c r="N178" s="25" t="str">
        <f>IFERROR(__xludf.DUMMYFUNCTION("""COMPUTED_VALUE"""),"PS3")</f>
        <v>PS3</v>
      </c>
      <c r="O178" s="26" t="str">
        <f>IFERROR(__xludf.DUMMYFUNCTION("""COMPUTED_VALUE"""),"Yes")</f>
        <v>Yes</v>
      </c>
      <c r="P178" s="26" t="str">
        <f>IFERROR(__xludf.DUMMYFUNCTION("""COMPUTED_VALUE"""),"")</f>
        <v/>
      </c>
    </row>
    <row r="179">
      <c r="A179" s="13" t="str">
        <f>IFERROR(__xludf.DUMMYFUNCTION("""COMPUTED_VALUE"""),"Alone in the Dark: Inferno")</f>
        <v>Alone in the Dark: Inferno</v>
      </c>
      <c r="B179" s="15" t="str">
        <f>IFERROR(__xludf.DUMMYFUNCTION("""COMPUTED_VALUE"""),"PS5/PS4")</f>
        <v>PS5/PS4</v>
      </c>
      <c r="C179" s="16" t="str">
        <f>IFERROR(__xludf.DUMMYFUNCTION("""COMPUTED_VALUE"""),"Premium (Streaming Only)")</f>
        <v>Premium (Streaming Only)</v>
      </c>
      <c r="D179" s="15" t="str">
        <f>IFERROR(__xludf.DUMMYFUNCTION("""COMPUTED_VALUE"""),"Active")</f>
        <v>Active</v>
      </c>
      <c r="E179" s="17">
        <f>IFERROR(__xludf.DUMMYFUNCTION("""COMPUTED_VALUE"""),42066.0)</f>
        <v>42066</v>
      </c>
      <c r="F179" s="54"/>
      <c r="G179" s="19">
        <f>IFERROR(__xludf.DUMMYFUNCTION("""COMPUTED_VALUE"""),139.1)</f>
        <v>139.1</v>
      </c>
      <c r="H179" s="17">
        <f>IFERROR(__xludf.DUMMYFUNCTION("""COMPUTED_VALUE"""),39753.0)</f>
        <v>39753</v>
      </c>
      <c r="I179" s="19">
        <f>IFERROR(__xludf.DUMMYFUNCTION("""COMPUTED_VALUE"""),6.338888888888889)</f>
        <v>6.338888889</v>
      </c>
      <c r="J179" s="21">
        <f>IFERROR(__xludf.DUMMYFUNCTION("""COMPUTED_VALUE"""),69.0)</f>
        <v>69</v>
      </c>
      <c r="K179" s="23">
        <f>IFERROR(__xludf.DUMMYFUNCTION("""COMPUTED_VALUE"""),5.9)</f>
        <v>5.9</v>
      </c>
      <c r="L179" s="24">
        <f>IFERROR(__xludf.DUMMYFUNCTION("""COMPUTED_VALUE"""),12.0)</f>
        <v>12</v>
      </c>
      <c r="M179" s="25" t="str">
        <f>IFERROR(__xludf.DUMMYFUNCTION("""COMPUTED_VALUE"""),"Action-Adventure")</f>
        <v>Action-Adventure</v>
      </c>
      <c r="N179" s="25" t="str">
        <f>IFERROR(__xludf.DUMMYFUNCTION("""COMPUTED_VALUE"""),"PS3")</f>
        <v>PS3</v>
      </c>
      <c r="O179" s="26" t="str">
        <f>IFERROR(__xludf.DUMMYFUNCTION("""COMPUTED_VALUE"""),"Yes")</f>
        <v>Yes</v>
      </c>
      <c r="P179" s="26" t="str">
        <f>IFERROR(__xludf.DUMMYFUNCTION("""COMPUTED_VALUE"""),"")</f>
        <v/>
      </c>
    </row>
    <row r="180">
      <c r="A180" s="13" t="str">
        <f>IFERROR(__xludf.DUMMYFUNCTION("""COMPUTED_VALUE"""),"Earth Defense Force 2025")</f>
        <v>Earth Defense Force 2025</v>
      </c>
      <c r="B180" s="15" t="str">
        <f>IFERROR(__xludf.DUMMYFUNCTION("""COMPUTED_VALUE"""),"PS5/PS4")</f>
        <v>PS5/PS4</v>
      </c>
      <c r="C180" s="16" t="str">
        <f>IFERROR(__xludf.DUMMYFUNCTION("""COMPUTED_VALUE"""),"Premium (Streaming Only)")</f>
        <v>Premium (Streaming Only)</v>
      </c>
      <c r="D180" s="15" t="str">
        <f>IFERROR(__xludf.DUMMYFUNCTION("""COMPUTED_VALUE"""),"Active")</f>
        <v>Active</v>
      </c>
      <c r="E180" s="17">
        <f>IFERROR(__xludf.DUMMYFUNCTION("""COMPUTED_VALUE"""),42017.0)</f>
        <v>42017</v>
      </c>
      <c r="F180" s="54"/>
      <c r="G180" s="19">
        <f>IFERROR(__xludf.DUMMYFUNCTION("""COMPUTED_VALUE"""),140.76666666666668)</f>
        <v>140.7666667</v>
      </c>
      <c r="H180" s="17">
        <f>IFERROR(__xludf.DUMMYFUNCTION("""COMPUTED_VALUE"""),41671.0)</f>
        <v>41671</v>
      </c>
      <c r="I180" s="19">
        <f>IFERROR(__xludf.DUMMYFUNCTION("""COMPUTED_VALUE"""),0.95)</f>
        <v>0.95</v>
      </c>
      <c r="J180" s="21">
        <f>IFERROR(__xludf.DUMMYFUNCTION("""COMPUTED_VALUE"""),69.0)</f>
        <v>69</v>
      </c>
      <c r="K180" s="23">
        <f>IFERROR(__xludf.DUMMYFUNCTION("""COMPUTED_VALUE"""),7.8)</f>
        <v>7.8</v>
      </c>
      <c r="L180" s="24">
        <f>IFERROR(__xludf.DUMMYFUNCTION("""COMPUTED_VALUE"""),15.0)</f>
        <v>15</v>
      </c>
      <c r="M180" s="25" t="str">
        <f>IFERROR(__xludf.DUMMYFUNCTION("""COMPUTED_VALUE"""),"Shooter")</f>
        <v>Shooter</v>
      </c>
      <c r="N180" s="25" t="str">
        <f>IFERROR(__xludf.DUMMYFUNCTION("""COMPUTED_VALUE"""),"PS3")</f>
        <v>PS3</v>
      </c>
      <c r="O180" s="26" t="str">
        <f>IFERROR(__xludf.DUMMYFUNCTION("""COMPUTED_VALUE"""),"Yes")</f>
        <v>Yes</v>
      </c>
      <c r="P180" s="26" t="str">
        <f>IFERROR(__xludf.DUMMYFUNCTION("""COMPUTED_VALUE"""),"")</f>
        <v/>
      </c>
    </row>
    <row r="181">
      <c r="A181" s="13" t="str">
        <f>IFERROR(__xludf.DUMMYFUNCTION("""COMPUTED_VALUE"""),"Disney G-Force")</f>
        <v>Disney G-Force</v>
      </c>
      <c r="B181" s="15" t="str">
        <f>IFERROR(__xludf.DUMMYFUNCTION("""COMPUTED_VALUE"""),"PS5/PS4")</f>
        <v>PS5/PS4</v>
      </c>
      <c r="C181" s="16" t="str">
        <f>IFERROR(__xludf.DUMMYFUNCTION("""COMPUTED_VALUE"""),"Premium (Streaming Only)")</f>
        <v>Premium (Streaming Only)</v>
      </c>
      <c r="D181" s="15" t="str">
        <f>IFERROR(__xludf.DUMMYFUNCTION("""COMPUTED_VALUE"""),"Active")</f>
        <v>Active</v>
      </c>
      <c r="E181" s="17">
        <f>IFERROR(__xludf.DUMMYFUNCTION("""COMPUTED_VALUE"""),42895.0)</f>
        <v>42895</v>
      </c>
      <c r="F181" s="54"/>
      <c r="G181" s="19">
        <f>IFERROR(__xludf.DUMMYFUNCTION("""COMPUTED_VALUE"""),111.89999999999999)</f>
        <v>111.9</v>
      </c>
      <c r="H181" s="17">
        <f>IFERROR(__xludf.DUMMYFUNCTION("""COMPUTED_VALUE"""),39995.0)</f>
        <v>39995</v>
      </c>
      <c r="I181" s="19">
        <f>IFERROR(__xludf.DUMMYFUNCTION("""COMPUTED_VALUE"""),7.938888888888889)</f>
        <v>7.938888889</v>
      </c>
      <c r="J181" s="21">
        <f>IFERROR(__xludf.DUMMYFUNCTION("""COMPUTED_VALUE"""),68.0)</f>
        <v>68</v>
      </c>
      <c r="K181" s="23">
        <f>IFERROR(__xludf.DUMMYFUNCTION("""COMPUTED_VALUE"""),6.7)</f>
        <v>6.7</v>
      </c>
      <c r="L181" s="24">
        <f>IFERROR(__xludf.DUMMYFUNCTION("""COMPUTED_VALUE"""),6.0)</f>
        <v>6</v>
      </c>
      <c r="M181" s="25" t="str">
        <f>IFERROR(__xludf.DUMMYFUNCTION("""COMPUTED_VALUE"""),"Action-Adventure")</f>
        <v>Action-Adventure</v>
      </c>
      <c r="N181" s="25" t="str">
        <f>IFERROR(__xludf.DUMMYFUNCTION("""COMPUTED_VALUE"""),"PS3")</f>
        <v>PS3</v>
      </c>
      <c r="O181" s="26" t="str">
        <f>IFERROR(__xludf.DUMMYFUNCTION("""COMPUTED_VALUE"""),"Yes")</f>
        <v>Yes</v>
      </c>
      <c r="P181" s="26" t="str">
        <f>IFERROR(__xludf.DUMMYFUNCTION("""COMPUTED_VALUE"""),"")</f>
        <v/>
      </c>
    </row>
    <row r="182">
      <c r="A182" s="13" t="str">
        <f>IFERROR(__xludf.DUMMYFUNCTION("""COMPUTED_VALUE"""),"Dynasty Warriors 8: Xtreme Legends")</f>
        <v>Dynasty Warriors 8: Xtreme Legends</v>
      </c>
      <c r="B182" s="15" t="str">
        <f>IFERROR(__xludf.DUMMYFUNCTION("""COMPUTED_VALUE"""),"PS5/PS4")</f>
        <v>PS5/PS4</v>
      </c>
      <c r="C182" s="16" t="str">
        <f>IFERROR(__xludf.DUMMYFUNCTION("""COMPUTED_VALUE"""),"Premium (Streaming Only)")</f>
        <v>Premium (Streaming Only)</v>
      </c>
      <c r="D182" s="15" t="str">
        <f>IFERROR(__xludf.DUMMYFUNCTION("""COMPUTED_VALUE"""),"Active")</f>
        <v>Active</v>
      </c>
      <c r="E182" s="17">
        <f>IFERROR(__xludf.DUMMYFUNCTION("""COMPUTED_VALUE"""),42857.0)</f>
        <v>42857</v>
      </c>
      <c r="F182" s="54"/>
      <c r="G182" s="19">
        <f>IFERROR(__xludf.DUMMYFUNCTION("""COMPUTED_VALUE"""),113.13333333333333)</f>
        <v>113.1333333</v>
      </c>
      <c r="H182" s="17">
        <f>IFERROR(__xludf.DUMMYFUNCTION("""COMPUTED_VALUE"""),41760.0)</f>
        <v>41760</v>
      </c>
      <c r="I182" s="19">
        <f>IFERROR(__xludf.DUMMYFUNCTION("""COMPUTED_VALUE"""),3.0027777777777778)</f>
        <v>3.002777778</v>
      </c>
      <c r="J182" s="21">
        <f>IFERROR(__xludf.DUMMYFUNCTION("""COMPUTED_VALUE"""),68.0)</f>
        <v>68</v>
      </c>
      <c r="K182" s="23">
        <f>IFERROR(__xludf.DUMMYFUNCTION("""COMPUTED_VALUE"""),7.8)</f>
        <v>7.8</v>
      </c>
      <c r="L182" s="24">
        <f>IFERROR(__xludf.DUMMYFUNCTION("""COMPUTED_VALUE"""),25.0)</f>
        <v>25</v>
      </c>
      <c r="M182" s="25" t="str">
        <f>IFERROR(__xludf.DUMMYFUNCTION("""COMPUTED_VALUE"""),"Action-Adventure")</f>
        <v>Action-Adventure</v>
      </c>
      <c r="N182" s="25" t="str">
        <f>IFERROR(__xludf.DUMMYFUNCTION("""COMPUTED_VALUE"""),"PS3")</f>
        <v>PS3</v>
      </c>
      <c r="O182" s="26" t="str">
        <f>IFERROR(__xludf.DUMMYFUNCTION("""COMPUTED_VALUE"""),"Yes")</f>
        <v>Yes</v>
      </c>
      <c r="P182" s="26" t="str">
        <f>IFERROR(__xludf.DUMMYFUNCTION("""COMPUTED_VALUE"""),"")</f>
        <v/>
      </c>
    </row>
    <row r="183">
      <c r="A183" s="13" t="str">
        <f>IFERROR(__xludf.DUMMYFUNCTION("""COMPUTED_VALUE"""),"Castlevania: Harmony of Despair")</f>
        <v>Castlevania: Harmony of Despair</v>
      </c>
      <c r="B183" s="15" t="str">
        <f>IFERROR(__xludf.DUMMYFUNCTION("""COMPUTED_VALUE"""),"PS5/PS4")</f>
        <v>PS5/PS4</v>
      </c>
      <c r="C183" s="16" t="str">
        <f>IFERROR(__xludf.DUMMYFUNCTION("""COMPUTED_VALUE"""),"Premium (Streaming Only)")</f>
        <v>Premium (Streaming Only)</v>
      </c>
      <c r="D183" s="15" t="str">
        <f>IFERROR(__xludf.DUMMYFUNCTION("""COMPUTED_VALUE"""),"Active")</f>
        <v>Active</v>
      </c>
      <c r="E183" s="17">
        <f>IFERROR(__xludf.DUMMYFUNCTION("""COMPUTED_VALUE"""),42647.0)</f>
        <v>42647</v>
      </c>
      <c r="F183" s="54"/>
      <c r="G183" s="19">
        <f>IFERROR(__xludf.DUMMYFUNCTION("""COMPUTED_VALUE"""),120.06666666666668)</f>
        <v>120.0666667</v>
      </c>
      <c r="H183" s="17">
        <f>IFERROR(__xludf.DUMMYFUNCTION("""COMPUTED_VALUE"""),40787.0)</f>
        <v>40787</v>
      </c>
      <c r="I183" s="19">
        <f>IFERROR(__xludf.DUMMYFUNCTION("""COMPUTED_VALUE"""),5.091666666666667)</f>
        <v>5.091666667</v>
      </c>
      <c r="J183" s="21">
        <f>IFERROR(__xludf.DUMMYFUNCTION("""COMPUTED_VALUE"""),68.0)</f>
        <v>68</v>
      </c>
      <c r="K183" s="23">
        <f>IFERROR(__xludf.DUMMYFUNCTION("""COMPUTED_VALUE"""),7.7)</f>
        <v>7.7</v>
      </c>
      <c r="L183" s="24">
        <f>IFERROR(__xludf.DUMMYFUNCTION("""COMPUTED_VALUE"""),12.0)</f>
        <v>12</v>
      </c>
      <c r="M183" s="25" t="str">
        <f>IFERROR(__xludf.DUMMYFUNCTION("""COMPUTED_VALUE"""),"Action-Adventure")</f>
        <v>Action-Adventure</v>
      </c>
      <c r="N183" s="25" t="str">
        <f>IFERROR(__xludf.DUMMYFUNCTION("""COMPUTED_VALUE"""),"PS3")</f>
        <v>PS3</v>
      </c>
      <c r="O183" s="26" t="str">
        <f>IFERROR(__xludf.DUMMYFUNCTION("""COMPUTED_VALUE"""),"Yes")</f>
        <v>Yes</v>
      </c>
      <c r="P183" s="26" t="str">
        <f>IFERROR(__xludf.DUMMYFUNCTION("""COMPUTED_VALUE"""),"Yes")</f>
        <v>Yes</v>
      </c>
    </row>
    <row r="184">
      <c r="A184" s="13" t="str">
        <f>IFERROR(__xludf.DUMMYFUNCTION("""COMPUTED_VALUE"""),"Dragon Fin Soup")</f>
        <v>Dragon Fin Soup</v>
      </c>
      <c r="B184" s="15" t="str">
        <f>IFERROR(__xludf.DUMMYFUNCTION("""COMPUTED_VALUE"""),"PS5/PS4")</f>
        <v>PS5/PS4</v>
      </c>
      <c r="C184" s="16" t="str">
        <f>IFERROR(__xludf.DUMMYFUNCTION("""COMPUTED_VALUE"""),"Premium (Streaming Only)")</f>
        <v>Premium (Streaming Only)</v>
      </c>
      <c r="D184" s="15" t="str">
        <f>IFERROR(__xludf.DUMMYFUNCTION("""COMPUTED_VALUE"""),"Active")</f>
        <v>Active</v>
      </c>
      <c r="E184" s="17">
        <f>IFERROR(__xludf.DUMMYFUNCTION("""COMPUTED_VALUE"""),42584.0)</f>
        <v>42584</v>
      </c>
      <c r="F184" s="54"/>
      <c r="G184" s="19">
        <f>IFERROR(__xludf.DUMMYFUNCTION("""COMPUTED_VALUE"""),122.13333333333333)</f>
        <v>122.1333333</v>
      </c>
      <c r="H184" s="17">
        <f>IFERROR(__xludf.DUMMYFUNCTION("""COMPUTED_VALUE"""),42311.0)</f>
        <v>42311</v>
      </c>
      <c r="I184" s="19">
        <f>IFERROR(__xludf.DUMMYFUNCTION("""COMPUTED_VALUE"""),0.7472222222222222)</f>
        <v>0.7472222222</v>
      </c>
      <c r="J184" s="21">
        <f>IFERROR(__xludf.DUMMYFUNCTION("""COMPUTED_VALUE"""),68.0)</f>
        <v>68</v>
      </c>
      <c r="K184" s="23">
        <f>IFERROR(__xludf.DUMMYFUNCTION("""COMPUTED_VALUE"""),5.9)</f>
        <v>5.9</v>
      </c>
      <c r="L184" s="24">
        <f>IFERROR(__xludf.DUMMYFUNCTION("""COMPUTED_VALUE"""),15.0)</f>
        <v>15</v>
      </c>
      <c r="M184" s="25" t="str">
        <f>IFERROR(__xludf.DUMMYFUNCTION("""COMPUTED_VALUE"""),"RPG")</f>
        <v>RPG</v>
      </c>
      <c r="N184" s="25" t="str">
        <f>IFERROR(__xludf.DUMMYFUNCTION("""COMPUTED_VALUE"""),"PS3")</f>
        <v>PS3</v>
      </c>
      <c r="O184" s="26" t="str">
        <f>IFERROR(__xludf.DUMMYFUNCTION("""COMPUTED_VALUE"""),"Yes")</f>
        <v>Yes</v>
      </c>
      <c r="P184" s="26" t="str">
        <f>IFERROR(__xludf.DUMMYFUNCTION("""COMPUTED_VALUE"""),"")</f>
        <v/>
      </c>
    </row>
    <row r="185">
      <c r="A185" s="13" t="str">
        <f>IFERROR(__xludf.DUMMYFUNCTION("""COMPUTED_VALUE"""),"Lost Planet 2")</f>
        <v>Lost Planet 2</v>
      </c>
      <c r="B185" s="15" t="str">
        <f>IFERROR(__xludf.DUMMYFUNCTION("""COMPUTED_VALUE"""),"PS5/PS4")</f>
        <v>PS5/PS4</v>
      </c>
      <c r="C185" s="16" t="str">
        <f>IFERROR(__xludf.DUMMYFUNCTION("""COMPUTED_VALUE"""),"Premium (Streaming Only)")</f>
        <v>Premium (Streaming Only)</v>
      </c>
      <c r="D185" s="15" t="str">
        <f>IFERROR(__xludf.DUMMYFUNCTION("""COMPUTED_VALUE"""),"Active")</f>
        <v>Active</v>
      </c>
      <c r="E185" s="17">
        <f>IFERROR(__xludf.DUMMYFUNCTION("""COMPUTED_VALUE"""),42311.0)</f>
        <v>42311</v>
      </c>
      <c r="F185" s="54"/>
      <c r="G185" s="19">
        <f>IFERROR(__xludf.DUMMYFUNCTION("""COMPUTED_VALUE"""),131.10000000000002)</f>
        <v>131.1</v>
      </c>
      <c r="H185" s="17">
        <f>IFERROR(__xludf.DUMMYFUNCTION("""COMPUTED_VALUE"""),40299.0)</f>
        <v>40299</v>
      </c>
      <c r="I185" s="19">
        <f>IFERROR(__xludf.DUMMYFUNCTION("""COMPUTED_VALUE"""),5.5055555555555555)</f>
        <v>5.505555556</v>
      </c>
      <c r="J185" s="21">
        <f>IFERROR(__xludf.DUMMYFUNCTION("""COMPUTED_VALUE"""),68.0)</f>
        <v>68</v>
      </c>
      <c r="K185" s="23">
        <f>IFERROR(__xludf.DUMMYFUNCTION("""COMPUTED_VALUE"""),7.1)</f>
        <v>7.1</v>
      </c>
      <c r="L185" s="24">
        <f>IFERROR(__xludf.DUMMYFUNCTION("""COMPUTED_VALUE"""),10.0)</f>
        <v>10</v>
      </c>
      <c r="M185" s="25" t="str">
        <f>IFERROR(__xludf.DUMMYFUNCTION("""COMPUTED_VALUE"""),"Shooter")</f>
        <v>Shooter</v>
      </c>
      <c r="N185" s="25" t="str">
        <f>IFERROR(__xludf.DUMMYFUNCTION("""COMPUTED_VALUE"""),"PS3")</f>
        <v>PS3</v>
      </c>
      <c r="O185" s="26" t="str">
        <f>IFERROR(__xludf.DUMMYFUNCTION("""COMPUTED_VALUE"""),"Yes")</f>
        <v>Yes</v>
      </c>
      <c r="P185" s="26" t="str">
        <f>IFERROR(__xludf.DUMMYFUNCTION("""COMPUTED_VALUE"""),"")</f>
        <v/>
      </c>
    </row>
    <row r="186">
      <c r="A186" s="13" t="str">
        <f>IFERROR(__xludf.DUMMYFUNCTION("""COMPUTED_VALUE"""),"Aqua Panic!")</f>
        <v>Aqua Panic!</v>
      </c>
      <c r="B186" s="15" t="str">
        <f>IFERROR(__xludf.DUMMYFUNCTION("""COMPUTED_VALUE"""),"PS5/PS4")</f>
        <v>PS5/PS4</v>
      </c>
      <c r="C186" s="16" t="str">
        <f>IFERROR(__xludf.DUMMYFUNCTION("""COMPUTED_VALUE"""),"Premium (Streaming Only)")</f>
        <v>Premium (Streaming Only)</v>
      </c>
      <c r="D186" s="15" t="str">
        <f>IFERROR(__xludf.DUMMYFUNCTION("""COMPUTED_VALUE"""),"Active")</f>
        <v>Active</v>
      </c>
      <c r="E186" s="17">
        <f>IFERROR(__xludf.DUMMYFUNCTION("""COMPUTED_VALUE"""),42017.0)</f>
        <v>42017</v>
      </c>
      <c r="F186" s="71"/>
      <c r="G186" s="19">
        <f>IFERROR(__xludf.DUMMYFUNCTION("""COMPUTED_VALUE"""),140.76666666666668)</f>
        <v>140.7666667</v>
      </c>
      <c r="H186" s="17">
        <f>IFERROR(__xludf.DUMMYFUNCTION("""COMPUTED_VALUE"""),40452.0)</f>
        <v>40452</v>
      </c>
      <c r="I186" s="19">
        <f>IFERROR(__xludf.DUMMYFUNCTION("""COMPUTED_VALUE"""),4.283333333333333)</f>
        <v>4.283333333</v>
      </c>
      <c r="J186" s="21">
        <f>IFERROR(__xludf.DUMMYFUNCTION("""COMPUTED_VALUE"""),68.0)</f>
        <v>68</v>
      </c>
      <c r="K186" s="23">
        <f>IFERROR(__xludf.DUMMYFUNCTION("""COMPUTED_VALUE"""),6.8)</f>
        <v>6.8</v>
      </c>
      <c r="L186" s="24">
        <f>IFERROR(__xludf.DUMMYFUNCTION("""COMPUTED_VALUE"""),4.0)</f>
        <v>4</v>
      </c>
      <c r="M186" s="25" t="str">
        <f>IFERROR(__xludf.DUMMYFUNCTION("""COMPUTED_VALUE"""),"Puzzle")</f>
        <v>Puzzle</v>
      </c>
      <c r="N186" s="25" t="str">
        <f>IFERROR(__xludf.DUMMYFUNCTION("""COMPUTED_VALUE"""),"PS3")</f>
        <v>PS3</v>
      </c>
      <c r="O186" s="26" t="str">
        <f>IFERROR(__xludf.DUMMYFUNCTION("""COMPUTED_VALUE"""),"Yes")</f>
        <v>Yes</v>
      </c>
      <c r="P186" s="26" t="str">
        <f>IFERROR(__xludf.DUMMYFUNCTION("""COMPUTED_VALUE"""),"")</f>
        <v/>
      </c>
    </row>
    <row r="187">
      <c r="A187" s="13" t="str">
        <f>IFERROR(__xludf.DUMMYFUNCTION("""COMPUTED_VALUE"""),"Dynasty Warriors 7: Xtreme Legends")</f>
        <v>Dynasty Warriors 7: Xtreme Legends</v>
      </c>
      <c r="B187" s="15" t="str">
        <f>IFERROR(__xludf.DUMMYFUNCTION("""COMPUTED_VALUE"""),"PS5/PS4")</f>
        <v>PS5/PS4</v>
      </c>
      <c r="C187" s="16" t="str">
        <f>IFERROR(__xludf.DUMMYFUNCTION("""COMPUTED_VALUE"""),"Premium (Streaming Only)")</f>
        <v>Premium (Streaming Only)</v>
      </c>
      <c r="D187" s="15" t="str">
        <f>IFERROR(__xludf.DUMMYFUNCTION("""COMPUTED_VALUE"""),"Active")</f>
        <v>Active</v>
      </c>
      <c r="E187" s="17">
        <f>IFERROR(__xludf.DUMMYFUNCTION("""COMPUTED_VALUE"""),42017.0)</f>
        <v>42017</v>
      </c>
      <c r="F187" s="54"/>
      <c r="G187" s="19">
        <f>IFERROR(__xludf.DUMMYFUNCTION("""COMPUTED_VALUE"""),140.76666666666668)</f>
        <v>140.7666667</v>
      </c>
      <c r="H187" s="17">
        <f>IFERROR(__xludf.DUMMYFUNCTION("""COMPUTED_VALUE"""),40848.0)</f>
        <v>40848</v>
      </c>
      <c r="I187" s="19">
        <f>IFERROR(__xludf.DUMMYFUNCTION("""COMPUTED_VALUE"""),3.2)</f>
        <v>3.2</v>
      </c>
      <c r="J187" s="21">
        <f>IFERROR(__xludf.DUMMYFUNCTION("""COMPUTED_VALUE"""),68.0)</f>
        <v>68</v>
      </c>
      <c r="K187" s="23">
        <f>IFERROR(__xludf.DUMMYFUNCTION("""COMPUTED_VALUE"""),7.6)</f>
        <v>7.6</v>
      </c>
      <c r="L187" s="24">
        <f>IFERROR(__xludf.DUMMYFUNCTION("""COMPUTED_VALUE"""),25.0)</f>
        <v>25</v>
      </c>
      <c r="M187" s="25" t="str">
        <f>IFERROR(__xludf.DUMMYFUNCTION("""COMPUTED_VALUE"""),"Action-Adventure")</f>
        <v>Action-Adventure</v>
      </c>
      <c r="N187" s="25" t="str">
        <f>IFERROR(__xludf.DUMMYFUNCTION("""COMPUTED_VALUE"""),"PS3")</f>
        <v>PS3</v>
      </c>
      <c r="O187" s="26" t="str">
        <f>IFERROR(__xludf.DUMMYFUNCTION("""COMPUTED_VALUE"""),"Yes")</f>
        <v>Yes</v>
      </c>
      <c r="P187" s="26" t="str">
        <f>IFERROR(__xludf.DUMMYFUNCTION("""COMPUTED_VALUE"""),"")</f>
        <v/>
      </c>
    </row>
    <row r="188">
      <c r="A188" s="13" t="str">
        <f>IFERROR(__xludf.DUMMYFUNCTION("""COMPUTED_VALUE"""),"Dynasty Warriors 8")</f>
        <v>Dynasty Warriors 8</v>
      </c>
      <c r="B188" s="15" t="str">
        <f>IFERROR(__xludf.DUMMYFUNCTION("""COMPUTED_VALUE"""),"PS5/PS4")</f>
        <v>PS5/PS4</v>
      </c>
      <c r="C188" s="16" t="str">
        <f>IFERROR(__xludf.DUMMYFUNCTION("""COMPUTED_VALUE"""),"Premium (Streaming Only)")</f>
        <v>Premium (Streaming Only)</v>
      </c>
      <c r="D188" s="15" t="str">
        <f>IFERROR(__xludf.DUMMYFUNCTION("""COMPUTED_VALUE"""),"Active")</f>
        <v>Active</v>
      </c>
      <c r="E188" s="17">
        <f>IFERROR(__xludf.DUMMYFUNCTION("""COMPUTED_VALUE"""),42017.0)</f>
        <v>42017</v>
      </c>
      <c r="F188" s="54"/>
      <c r="G188" s="19">
        <f>IFERROR(__xludf.DUMMYFUNCTION("""COMPUTED_VALUE"""),140.76666666666668)</f>
        <v>140.7666667</v>
      </c>
      <c r="H188" s="17">
        <f>IFERROR(__xludf.DUMMYFUNCTION("""COMPUTED_VALUE"""),41456.0)</f>
        <v>41456</v>
      </c>
      <c r="I188" s="19">
        <f>IFERROR(__xludf.DUMMYFUNCTION("""COMPUTED_VALUE"""),1.5333333333333334)</f>
        <v>1.533333333</v>
      </c>
      <c r="J188" s="21">
        <f>IFERROR(__xludf.DUMMYFUNCTION("""COMPUTED_VALUE"""),68.0)</f>
        <v>68</v>
      </c>
      <c r="K188" s="23">
        <f>IFERROR(__xludf.DUMMYFUNCTION("""COMPUTED_VALUE"""),8.0)</f>
        <v>8</v>
      </c>
      <c r="L188" s="24">
        <f>IFERROR(__xludf.DUMMYFUNCTION("""COMPUTED_VALUE"""),25.0)</f>
        <v>25</v>
      </c>
      <c r="M188" s="25" t="str">
        <f>IFERROR(__xludf.DUMMYFUNCTION("""COMPUTED_VALUE"""),"Action-Adventure")</f>
        <v>Action-Adventure</v>
      </c>
      <c r="N188" s="25" t="str">
        <f>IFERROR(__xludf.DUMMYFUNCTION("""COMPUTED_VALUE"""),"PS3")</f>
        <v>PS3</v>
      </c>
      <c r="O188" s="26" t="str">
        <f>IFERROR(__xludf.DUMMYFUNCTION("""COMPUTED_VALUE"""),"Yes")</f>
        <v>Yes</v>
      </c>
      <c r="P188" s="26" t="str">
        <f>IFERROR(__xludf.DUMMYFUNCTION("""COMPUTED_VALUE"""),"")</f>
        <v/>
      </c>
    </row>
    <row r="189">
      <c r="A189" s="13" t="str">
        <f>IFERROR(__xludf.DUMMYFUNCTION("""COMPUTED_VALUE"""),"Hakuoki: Stories of the Shinsengumi")</f>
        <v>Hakuoki: Stories of the Shinsengumi</v>
      </c>
      <c r="B189" s="15" t="str">
        <f>IFERROR(__xludf.DUMMYFUNCTION("""COMPUTED_VALUE"""),"PS5/PS4")</f>
        <v>PS5/PS4</v>
      </c>
      <c r="C189" s="16" t="str">
        <f>IFERROR(__xludf.DUMMYFUNCTION("""COMPUTED_VALUE"""),"Premium (Streaming Only)")</f>
        <v>Premium (Streaming Only)</v>
      </c>
      <c r="D189" s="15" t="str">
        <f>IFERROR(__xludf.DUMMYFUNCTION("""COMPUTED_VALUE"""),"Active")</f>
        <v>Active</v>
      </c>
      <c r="E189" s="17">
        <f>IFERROR(__xludf.DUMMYFUNCTION("""COMPUTED_VALUE"""),42017.0)</f>
        <v>42017</v>
      </c>
      <c r="F189" s="54"/>
      <c r="G189" s="19">
        <f>IFERROR(__xludf.DUMMYFUNCTION("""COMPUTED_VALUE"""),140.76666666666668)</f>
        <v>140.7666667</v>
      </c>
      <c r="H189" s="17">
        <f>IFERROR(__xludf.DUMMYFUNCTION("""COMPUTED_VALUE"""),41536.0)</f>
        <v>41536</v>
      </c>
      <c r="I189" s="19">
        <f>IFERROR(__xludf.DUMMYFUNCTION("""COMPUTED_VALUE"""),1.3166666666666667)</f>
        <v>1.316666667</v>
      </c>
      <c r="J189" s="21">
        <f>IFERROR(__xludf.DUMMYFUNCTION("""COMPUTED_VALUE"""),68.0)</f>
        <v>68</v>
      </c>
      <c r="K189" s="23">
        <f>IFERROR(__xludf.DUMMYFUNCTION("""COMPUTED_VALUE"""),7.4)</f>
        <v>7.4</v>
      </c>
      <c r="L189" s="24">
        <f>IFERROR(__xludf.DUMMYFUNCTION("""COMPUTED_VALUE"""),50.0)</f>
        <v>50</v>
      </c>
      <c r="M189" s="25" t="str">
        <f>IFERROR(__xludf.DUMMYFUNCTION("""COMPUTED_VALUE"""),"Adventure")</f>
        <v>Adventure</v>
      </c>
      <c r="N189" s="25" t="str">
        <f>IFERROR(__xludf.DUMMYFUNCTION("""COMPUTED_VALUE"""),"PS3")</f>
        <v>PS3</v>
      </c>
      <c r="O189" s="26" t="str">
        <f>IFERROR(__xludf.DUMMYFUNCTION("""COMPUTED_VALUE"""),"Yes")</f>
        <v>Yes</v>
      </c>
      <c r="P189" s="26" t="str">
        <f>IFERROR(__xludf.DUMMYFUNCTION("""COMPUTED_VALUE"""),"")</f>
        <v/>
      </c>
    </row>
    <row r="190">
      <c r="A190" s="13" t="str">
        <f>IFERROR(__xludf.DUMMYFUNCTION("""COMPUTED_VALUE"""),"Lead and Gold: Gangs of the Wild West")</f>
        <v>Lead and Gold: Gangs of the Wild West</v>
      </c>
      <c r="B190" s="15" t="str">
        <f>IFERROR(__xludf.DUMMYFUNCTION("""COMPUTED_VALUE"""),"PS5/PS4")</f>
        <v>PS5/PS4</v>
      </c>
      <c r="C190" s="16" t="str">
        <f>IFERROR(__xludf.DUMMYFUNCTION("""COMPUTED_VALUE"""),"Premium (Streaming Only)")</f>
        <v>Premium (Streaming Only)</v>
      </c>
      <c r="D190" s="15" t="str">
        <f>IFERROR(__xludf.DUMMYFUNCTION("""COMPUTED_VALUE"""),"Active")</f>
        <v>Active</v>
      </c>
      <c r="E190" s="17">
        <f>IFERROR(__xludf.DUMMYFUNCTION("""COMPUTED_VALUE"""),42017.0)</f>
        <v>42017</v>
      </c>
      <c r="F190" s="54"/>
      <c r="G190" s="19">
        <f>IFERROR(__xludf.DUMMYFUNCTION("""COMPUTED_VALUE"""),140.76666666666668)</f>
        <v>140.7666667</v>
      </c>
      <c r="H190" s="17">
        <f>IFERROR(__xludf.DUMMYFUNCTION("""COMPUTED_VALUE"""),40299.0)</f>
        <v>40299</v>
      </c>
      <c r="I190" s="19">
        <f>IFERROR(__xludf.DUMMYFUNCTION("""COMPUTED_VALUE"""),4.7)</f>
        <v>4.7</v>
      </c>
      <c r="J190" s="21">
        <f>IFERROR(__xludf.DUMMYFUNCTION("""COMPUTED_VALUE"""),68.0)</f>
        <v>68</v>
      </c>
      <c r="K190" s="23">
        <f>IFERROR(__xludf.DUMMYFUNCTION("""COMPUTED_VALUE"""),7.0)</f>
        <v>7</v>
      </c>
      <c r="L190" s="24"/>
      <c r="M190" s="25" t="str">
        <f>IFERROR(__xludf.DUMMYFUNCTION("""COMPUTED_VALUE"""),"Shooter")</f>
        <v>Shooter</v>
      </c>
      <c r="N190" s="25" t="str">
        <f>IFERROR(__xludf.DUMMYFUNCTION("""COMPUTED_VALUE"""),"PS3")</f>
        <v>PS3</v>
      </c>
      <c r="O190" s="26" t="str">
        <f>IFERROR(__xludf.DUMMYFUNCTION("""COMPUTED_VALUE"""),"Yes")</f>
        <v>Yes</v>
      </c>
      <c r="P190" s="26" t="str">
        <f>IFERROR(__xludf.DUMMYFUNCTION("""COMPUTED_VALUE"""),"")</f>
        <v/>
      </c>
    </row>
    <row r="191">
      <c r="A191" s="13" t="str">
        <f>IFERROR(__xludf.DUMMYFUNCTION("""COMPUTED_VALUE"""),"Legasista")</f>
        <v>Legasista</v>
      </c>
      <c r="B191" s="15" t="str">
        <f>IFERROR(__xludf.DUMMYFUNCTION("""COMPUTED_VALUE"""),"PS5/PS4")</f>
        <v>PS5/PS4</v>
      </c>
      <c r="C191" s="16" t="str">
        <f>IFERROR(__xludf.DUMMYFUNCTION("""COMPUTED_VALUE"""),"Premium (Streaming Only)")</f>
        <v>Premium (Streaming Only)</v>
      </c>
      <c r="D191" s="15" t="str">
        <f>IFERROR(__xludf.DUMMYFUNCTION("""COMPUTED_VALUE"""),"Active")</f>
        <v>Active</v>
      </c>
      <c r="E191" s="17">
        <f>IFERROR(__xludf.DUMMYFUNCTION("""COMPUTED_VALUE"""),42017.0)</f>
        <v>42017</v>
      </c>
      <c r="F191" s="54"/>
      <c r="G191" s="19">
        <f>IFERROR(__xludf.DUMMYFUNCTION("""COMPUTED_VALUE"""),140.76666666666668)</f>
        <v>140.7666667</v>
      </c>
      <c r="H191" s="17">
        <f>IFERROR(__xludf.DUMMYFUNCTION("""COMPUTED_VALUE"""),41122.0)</f>
        <v>41122</v>
      </c>
      <c r="I191" s="19">
        <f>IFERROR(__xludf.DUMMYFUNCTION("""COMPUTED_VALUE"""),2.45)</f>
        <v>2.45</v>
      </c>
      <c r="J191" s="21">
        <f>IFERROR(__xludf.DUMMYFUNCTION("""COMPUTED_VALUE"""),68.0)</f>
        <v>68</v>
      </c>
      <c r="K191" s="23">
        <f>IFERROR(__xludf.DUMMYFUNCTION("""COMPUTED_VALUE"""),7.0)</f>
        <v>7</v>
      </c>
      <c r="L191" s="24">
        <f>IFERROR(__xludf.DUMMYFUNCTION("""COMPUTED_VALUE"""),35.0)</f>
        <v>35</v>
      </c>
      <c r="M191" s="25" t="str">
        <f>IFERROR(__xludf.DUMMYFUNCTION("""COMPUTED_VALUE"""),"RPG")</f>
        <v>RPG</v>
      </c>
      <c r="N191" s="25" t="str">
        <f>IFERROR(__xludf.DUMMYFUNCTION("""COMPUTED_VALUE"""),"PS3")</f>
        <v>PS3</v>
      </c>
      <c r="O191" s="26" t="str">
        <f>IFERROR(__xludf.DUMMYFUNCTION("""COMPUTED_VALUE"""),"Yes")</f>
        <v>Yes</v>
      </c>
      <c r="P191" s="26" t="str">
        <f>IFERROR(__xludf.DUMMYFUNCTION("""COMPUTED_VALUE"""),"")</f>
        <v/>
      </c>
    </row>
    <row r="192">
      <c r="A192" s="13" t="str">
        <f>IFERROR(__xludf.DUMMYFUNCTION("""COMPUTED_VALUE"""),"Planets Under Attack")</f>
        <v>Planets Under Attack</v>
      </c>
      <c r="B192" s="15" t="str">
        <f>IFERROR(__xludf.DUMMYFUNCTION("""COMPUTED_VALUE"""),"PS5/PS4")</f>
        <v>PS5/PS4</v>
      </c>
      <c r="C192" s="16" t="str">
        <f>IFERROR(__xludf.DUMMYFUNCTION("""COMPUTED_VALUE"""),"Premium (Streaming Only)")</f>
        <v>Premium (Streaming Only)</v>
      </c>
      <c r="D192" s="15" t="str">
        <f>IFERROR(__xludf.DUMMYFUNCTION("""COMPUTED_VALUE"""),"Active")</f>
        <v>Active</v>
      </c>
      <c r="E192" s="17">
        <f>IFERROR(__xludf.DUMMYFUNCTION("""COMPUTED_VALUE"""),42017.0)</f>
        <v>42017</v>
      </c>
      <c r="F192" s="54"/>
      <c r="G192" s="19">
        <f>IFERROR(__xludf.DUMMYFUNCTION("""COMPUTED_VALUE"""),140.76666666666668)</f>
        <v>140.7666667</v>
      </c>
      <c r="H192" s="17">
        <f>IFERROR(__xludf.DUMMYFUNCTION("""COMPUTED_VALUE"""),41214.0)</f>
        <v>41214</v>
      </c>
      <c r="I192" s="19">
        <f>IFERROR(__xludf.DUMMYFUNCTION("""COMPUTED_VALUE"""),2.2)</f>
        <v>2.2</v>
      </c>
      <c r="J192" s="21">
        <f>IFERROR(__xludf.DUMMYFUNCTION("""COMPUTED_VALUE"""),68.0)</f>
        <v>68</v>
      </c>
      <c r="K192" s="23">
        <f>IFERROR(__xludf.DUMMYFUNCTION("""COMPUTED_VALUE"""),6.8)</f>
        <v>6.8</v>
      </c>
      <c r="L192" s="24">
        <f>IFERROR(__xludf.DUMMYFUNCTION("""COMPUTED_VALUE"""),5.0)</f>
        <v>5</v>
      </c>
      <c r="M192" s="25" t="str">
        <f>IFERROR(__xludf.DUMMYFUNCTION("""COMPUTED_VALUE"""),"Strategy")</f>
        <v>Strategy</v>
      </c>
      <c r="N192" s="25" t="str">
        <f>IFERROR(__xludf.DUMMYFUNCTION("""COMPUTED_VALUE"""),"PS3")</f>
        <v>PS3</v>
      </c>
      <c r="O192" s="26" t="str">
        <f>IFERROR(__xludf.DUMMYFUNCTION("""COMPUTED_VALUE"""),"Yes")</f>
        <v>Yes</v>
      </c>
      <c r="P192" s="26" t="str">
        <f>IFERROR(__xludf.DUMMYFUNCTION("""COMPUTED_VALUE"""),"")</f>
        <v/>
      </c>
    </row>
    <row r="193">
      <c r="A193" s="13" t="str">
        <f>IFERROR(__xludf.DUMMYFUNCTION("""COMPUTED_VALUE"""),"Rag Doll Kung Fu: Fists of Plastic")</f>
        <v>Rag Doll Kung Fu: Fists of Plastic</v>
      </c>
      <c r="B193" s="15" t="str">
        <f>IFERROR(__xludf.DUMMYFUNCTION("""COMPUTED_VALUE"""),"PS5/PS4")</f>
        <v>PS5/PS4</v>
      </c>
      <c r="C193" s="16" t="str">
        <f>IFERROR(__xludf.DUMMYFUNCTION("""COMPUTED_VALUE"""),"Premium (Streaming Only)")</f>
        <v>Premium (Streaming Only)</v>
      </c>
      <c r="D193" s="15" t="str">
        <f>IFERROR(__xludf.DUMMYFUNCTION("""COMPUTED_VALUE"""),"Active")</f>
        <v>Active</v>
      </c>
      <c r="E193" s="17">
        <f>IFERROR(__xludf.DUMMYFUNCTION("""COMPUTED_VALUE"""),42017.0)</f>
        <v>42017</v>
      </c>
      <c r="F193" s="54"/>
      <c r="G193" s="19">
        <f>IFERROR(__xludf.DUMMYFUNCTION("""COMPUTED_VALUE"""),140.76666666666668)</f>
        <v>140.7666667</v>
      </c>
      <c r="H193" s="17">
        <f>IFERROR(__xludf.DUMMYFUNCTION("""COMPUTED_VALUE"""),39904.0)</f>
        <v>39904</v>
      </c>
      <c r="I193" s="19">
        <f>IFERROR(__xludf.DUMMYFUNCTION("""COMPUTED_VALUE"""),5.783333333333333)</f>
        <v>5.783333333</v>
      </c>
      <c r="J193" s="21">
        <f>IFERROR(__xludf.DUMMYFUNCTION("""COMPUTED_VALUE"""),68.0)</f>
        <v>68</v>
      </c>
      <c r="K193" s="23">
        <f>IFERROR(__xludf.DUMMYFUNCTION("""COMPUTED_VALUE"""),6.6)</f>
        <v>6.6</v>
      </c>
      <c r="L193" s="24">
        <f>IFERROR(__xludf.DUMMYFUNCTION("""COMPUTED_VALUE"""),3.0)</f>
        <v>3</v>
      </c>
      <c r="M193" s="25" t="str">
        <f>IFERROR(__xludf.DUMMYFUNCTION("""COMPUTED_VALUE"""),"Fighting")</f>
        <v>Fighting</v>
      </c>
      <c r="N193" s="25" t="str">
        <f>IFERROR(__xludf.DUMMYFUNCTION("""COMPUTED_VALUE"""),"PS3")</f>
        <v>PS3</v>
      </c>
      <c r="O193" s="26" t="str">
        <f>IFERROR(__xludf.DUMMYFUNCTION("""COMPUTED_VALUE"""),"Yes")</f>
        <v>Yes</v>
      </c>
      <c r="P193" s="26" t="str">
        <f>IFERROR(__xludf.DUMMYFUNCTION("""COMPUTED_VALUE"""),"")</f>
        <v/>
      </c>
    </row>
    <row r="194">
      <c r="A194" s="13" t="str">
        <f>IFERROR(__xludf.DUMMYFUNCTION("""COMPUTED_VALUE"""),"MX vs. ATV: Untamed")</f>
        <v>MX vs. ATV: Untamed</v>
      </c>
      <c r="B194" s="15" t="str">
        <f>IFERROR(__xludf.DUMMYFUNCTION("""COMPUTED_VALUE"""),"PS5/PS4")</f>
        <v>PS5/PS4</v>
      </c>
      <c r="C194" s="16" t="str">
        <f>IFERROR(__xludf.DUMMYFUNCTION("""COMPUTED_VALUE"""),"Premium (Streaming Only)")</f>
        <v>Premium (Streaming Only)</v>
      </c>
      <c r="D194" s="15" t="str">
        <f>IFERROR(__xludf.DUMMYFUNCTION("""COMPUTED_VALUE"""),"Active")</f>
        <v>Active</v>
      </c>
      <c r="E194" s="17">
        <f>IFERROR(__xludf.DUMMYFUNCTION("""COMPUTED_VALUE"""),44725.0)</f>
        <v>44725</v>
      </c>
      <c r="F194" s="54"/>
      <c r="G194" s="19">
        <f>IFERROR(__xludf.DUMMYFUNCTION("""COMPUTED_VALUE"""),51.766666666666666)</f>
        <v>51.76666667</v>
      </c>
      <c r="H194" s="17">
        <f>IFERROR(__xludf.DUMMYFUNCTION("""COMPUTED_VALUE"""),39417.0)</f>
        <v>39417</v>
      </c>
      <c r="I194" s="19">
        <f>IFERROR(__xludf.DUMMYFUNCTION("""COMPUTED_VALUE"""),14.533333333333333)</f>
        <v>14.53333333</v>
      </c>
      <c r="J194" s="21">
        <f>IFERROR(__xludf.DUMMYFUNCTION("""COMPUTED_VALUE"""),67.0)</f>
        <v>67</v>
      </c>
      <c r="K194" s="23">
        <f>IFERROR(__xludf.DUMMYFUNCTION("""COMPUTED_VALUE"""),7.3)</f>
        <v>7.3</v>
      </c>
      <c r="L194" s="24">
        <f>IFERROR(__xludf.DUMMYFUNCTION("""COMPUTED_VALUE"""),10.0)</f>
        <v>10</v>
      </c>
      <c r="M194" s="25" t="str">
        <f>IFERROR(__xludf.DUMMYFUNCTION("""COMPUTED_VALUE"""),"Racing")</f>
        <v>Racing</v>
      </c>
      <c r="N194" s="25" t="str">
        <f>IFERROR(__xludf.DUMMYFUNCTION("""COMPUTED_VALUE"""),"PS3")</f>
        <v>PS3</v>
      </c>
      <c r="O194" s="26" t="str">
        <f>IFERROR(__xludf.DUMMYFUNCTION("""COMPUTED_VALUE"""),"Yes")</f>
        <v>Yes</v>
      </c>
      <c r="P194" s="26" t="str">
        <f>IFERROR(__xludf.DUMMYFUNCTION("""COMPUTED_VALUE"""),"")</f>
        <v/>
      </c>
    </row>
    <row r="195">
      <c r="A195" s="13" t="str">
        <f>IFERROR(__xludf.DUMMYFUNCTION("""COMPUTED_VALUE"""),"NINJA GAIDEN 3: Razor's Edge")</f>
        <v>NINJA GAIDEN 3: Razor's Edge</v>
      </c>
      <c r="B195" s="15" t="str">
        <f>IFERROR(__xludf.DUMMYFUNCTION("""COMPUTED_VALUE"""),"PS5/PS4")</f>
        <v>PS5/PS4</v>
      </c>
      <c r="C195" s="16" t="str">
        <f>IFERROR(__xludf.DUMMYFUNCTION("""COMPUTED_VALUE"""),"Premium (Streaming Only)")</f>
        <v>Premium (Streaming Only)</v>
      </c>
      <c r="D195" s="15" t="str">
        <f>IFERROR(__xludf.DUMMYFUNCTION("""COMPUTED_VALUE"""),"Active")</f>
        <v>Active</v>
      </c>
      <c r="E195" s="17">
        <f>IFERROR(__xludf.DUMMYFUNCTION("""COMPUTED_VALUE"""),42773.0)</f>
        <v>42773</v>
      </c>
      <c r="F195" s="18"/>
      <c r="G195" s="19">
        <f>IFERROR(__xludf.DUMMYFUNCTION("""COMPUTED_VALUE"""),115.96666666666667)</f>
        <v>115.9666667</v>
      </c>
      <c r="H195" s="17">
        <f>IFERROR(__xludf.DUMMYFUNCTION("""COMPUTED_VALUE"""),41365.0)</f>
        <v>41365</v>
      </c>
      <c r="I195" s="19">
        <f>IFERROR(__xludf.DUMMYFUNCTION("""COMPUTED_VALUE"""),3.85)</f>
        <v>3.85</v>
      </c>
      <c r="J195" s="21">
        <f>IFERROR(__xludf.DUMMYFUNCTION("""COMPUTED_VALUE"""),67.0)</f>
        <v>67</v>
      </c>
      <c r="K195" s="23">
        <f>IFERROR(__xludf.DUMMYFUNCTION("""COMPUTED_VALUE"""),6.8)</f>
        <v>6.8</v>
      </c>
      <c r="L195" s="24">
        <f>IFERROR(__xludf.DUMMYFUNCTION("""COMPUTED_VALUE"""),13.0)</f>
        <v>13</v>
      </c>
      <c r="M195" s="25" t="str">
        <f>IFERROR(__xludf.DUMMYFUNCTION("""COMPUTED_VALUE"""),"Action-Adventure")</f>
        <v>Action-Adventure</v>
      </c>
      <c r="N195" s="25" t="str">
        <f>IFERROR(__xludf.DUMMYFUNCTION("""COMPUTED_VALUE"""),"PS3")</f>
        <v>PS3</v>
      </c>
      <c r="O195" s="26" t="str">
        <f>IFERROR(__xludf.DUMMYFUNCTION("""COMPUTED_VALUE"""),"Yes")</f>
        <v>Yes</v>
      </c>
      <c r="P195" s="26" t="str">
        <f>IFERROR(__xludf.DUMMYFUNCTION("""COMPUTED_VALUE"""),"")</f>
        <v/>
      </c>
    </row>
    <row r="196">
      <c r="A196" s="13" t="str">
        <f>IFERROR(__xludf.DUMMYFUNCTION("""COMPUTED_VALUE"""),"All Zombies Must Die!")</f>
        <v>All Zombies Must Die!</v>
      </c>
      <c r="B196" s="15" t="str">
        <f>IFERROR(__xludf.DUMMYFUNCTION("""COMPUTED_VALUE"""),"PS5/PS4")</f>
        <v>PS5/PS4</v>
      </c>
      <c r="C196" s="16" t="str">
        <f>IFERROR(__xludf.DUMMYFUNCTION("""COMPUTED_VALUE"""),"Premium (Streaming Only)")</f>
        <v>Premium (Streaming Only)</v>
      </c>
      <c r="D196" s="15" t="str">
        <f>IFERROR(__xludf.DUMMYFUNCTION("""COMPUTED_VALUE"""),"Active")</f>
        <v>Active</v>
      </c>
      <c r="E196" s="17">
        <f>IFERROR(__xludf.DUMMYFUNCTION("""COMPUTED_VALUE"""),42647.0)</f>
        <v>42647</v>
      </c>
      <c r="F196" s="71"/>
      <c r="G196" s="19">
        <f>IFERROR(__xludf.DUMMYFUNCTION("""COMPUTED_VALUE"""),120.06666666666668)</f>
        <v>120.0666667</v>
      </c>
      <c r="H196" s="17">
        <f>IFERROR(__xludf.DUMMYFUNCTION("""COMPUTED_VALUE"""),40878.0)</f>
        <v>40878</v>
      </c>
      <c r="I196" s="19">
        <f>IFERROR(__xludf.DUMMYFUNCTION("""COMPUTED_VALUE"""),4.841666666666667)</f>
        <v>4.841666667</v>
      </c>
      <c r="J196" s="21">
        <f>IFERROR(__xludf.DUMMYFUNCTION("""COMPUTED_VALUE"""),67.0)</f>
        <v>67</v>
      </c>
      <c r="K196" s="23">
        <f>IFERROR(__xludf.DUMMYFUNCTION("""COMPUTED_VALUE"""),6.4)</f>
        <v>6.4</v>
      </c>
      <c r="L196" s="24">
        <f>IFERROR(__xludf.DUMMYFUNCTION("""COMPUTED_VALUE"""),7.0)</f>
        <v>7</v>
      </c>
      <c r="M196" s="25" t="str">
        <f>IFERROR(__xludf.DUMMYFUNCTION("""COMPUTED_VALUE"""),"Action-Adventure")</f>
        <v>Action-Adventure</v>
      </c>
      <c r="N196" s="25" t="str">
        <f>IFERROR(__xludf.DUMMYFUNCTION("""COMPUTED_VALUE"""),"PS3")</f>
        <v>PS3</v>
      </c>
      <c r="O196" s="26" t="str">
        <f>IFERROR(__xludf.DUMMYFUNCTION("""COMPUTED_VALUE"""),"Yes")</f>
        <v>Yes</v>
      </c>
      <c r="P196" s="26" t="str">
        <f>IFERROR(__xludf.DUMMYFUNCTION("""COMPUTED_VALUE"""),"Yes")</f>
        <v>Yes</v>
      </c>
    </row>
    <row r="197">
      <c r="A197" s="13" t="str">
        <f>IFERROR(__xludf.DUMMYFUNCTION("""COMPUTED_VALUE"""),"Battle Fantasia")</f>
        <v>Battle Fantasia</v>
      </c>
      <c r="B197" s="15" t="str">
        <f>IFERROR(__xludf.DUMMYFUNCTION("""COMPUTED_VALUE"""),"PS5/PS4")</f>
        <v>PS5/PS4</v>
      </c>
      <c r="C197" s="16" t="str">
        <f>IFERROR(__xludf.DUMMYFUNCTION("""COMPUTED_VALUE"""),"Premium (Streaming Only)")</f>
        <v>Premium (Streaming Only)</v>
      </c>
      <c r="D197" s="15" t="str">
        <f>IFERROR(__xludf.DUMMYFUNCTION("""COMPUTED_VALUE"""),"Active")</f>
        <v>Active</v>
      </c>
      <c r="E197" s="17">
        <f>IFERROR(__xludf.DUMMYFUNCTION("""COMPUTED_VALUE"""),42311.0)</f>
        <v>42311</v>
      </c>
      <c r="F197" s="18"/>
      <c r="G197" s="19">
        <f>IFERROR(__xludf.DUMMYFUNCTION("""COMPUTED_VALUE"""),131.10000000000002)</f>
        <v>131.1</v>
      </c>
      <c r="H197" s="17">
        <f>IFERROR(__xludf.DUMMYFUNCTION("""COMPUTED_VALUE"""),40148.0)</f>
        <v>40148</v>
      </c>
      <c r="I197" s="19">
        <f>IFERROR(__xludf.DUMMYFUNCTION("""COMPUTED_VALUE"""),5.9222222222222225)</f>
        <v>5.922222222</v>
      </c>
      <c r="J197" s="21">
        <f>IFERROR(__xludf.DUMMYFUNCTION("""COMPUTED_VALUE"""),67.0)</f>
        <v>67</v>
      </c>
      <c r="K197" s="23">
        <f>IFERROR(__xludf.DUMMYFUNCTION("""COMPUTED_VALUE"""),7.3)</f>
        <v>7.3</v>
      </c>
      <c r="L197" s="24"/>
      <c r="M197" s="25" t="str">
        <f>IFERROR(__xludf.DUMMYFUNCTION("""COMPUTED_VALUE"""),"Fighting")</f>
        <v>Fighting</v>
      </c>
      <c r="N197" s="25" t="str">
        <f>IFERROR(__xludf.DUMMYFUNCTION("""COMPUTED_VALUE"""),"PS3")</f>
        <v>PS3</v>
      </c>
      <c r="O197" s="26" t="str">
        <f>IFERROR(__xludf.DUMMYFUNCTION("""COMPUTED_VALUE"""),"Yes")</f>
        <v>Yes</v>
      </c>
      <c r="P197" s="26" t="str">
        <f>IFERROR(__xludf.DUMMYFUNCTION("""COMPUTED_VALUE"""),"")</f>
        <v/>
      </c>
    </row>
    <row r="198">
      <c r="A198" s="13" t="str">
        <f>IFERROR(__xludf.DUMMYFUNCTION("""COMPUTED_VALUE"""),"Lost Planet: Extreme Condition")</f>
        <v>Lost Planet: Extreme Condition</v>
      </c>
      <c r="B198" s="15" t="str">
        <f>IFERROR(__xludf.DUMMYFUNCTION("""COMPUTED_VALUE"""),"PS5/PS4")</f>
        <v>PS5/PS4</v>
      </c>
      <c r="C198" s="16" t="str">
        <f>IFERROR(__xludf.DUMMYFUNCTION("""COMPUTED_VALUE"""),"Premium (Streaming Only)")</f>
        <v>Premium (Streaming Only)</v>
      </c>
      <c r="D198" s="15" t="str">
        <f>IFERROR(__xludf.DUMMYFUNCTION("""COMPUTED_VALUE"""),"Active")</f>
        <v>Active</v>
      </c>
      <c r="E198" s="17">
        <f>IFERROR(__xludf.DUMMYFUNCTION("""COMPUTED_VALUE"""),42311.0)</f>
        <v>42311</v>
      </c>
      <c r="F198" s="54"/>
      <c r="G198" s="19">
        <f>IFERROR(__xludf.DUMMYFUNCTION("""COMPUTED_VALUE"""),131.10000000000002)</f>
        <v>131.1</v>
      </c>
      <c r="H198" s="17">
        <f>IFERROR(__xludf.DUMMYFUNCTION("""COMPUTED_VALUE"""),39479.0)</f>
        <v>39479</v>
      </c>
      <c r="I198" s="19">
        <f>IFERROR(__xludf.DUMMYFUNCTION("""COMPUTED_VALUE"""),7.7555555555555555)</f>
        <v>7.755555556</v>
      </c>
      <c r="J198" s="21">
        <f>IFERROR(__xludf.DUMMYFUNCTION("""COMPUTED_VALUE"""),67.0)</f>
        <v>67</v>
      </c>
      <c r="K198" s="23">
        <f>IFERROR(__xludf.DUMMYFUNCTION("""COMPUTED_VALUE"""),7.5)</f>
        <v>7.5</v>
      </c>
      <c r="L198" s="24">
        <f>IFERROR(__xludf.DUMMYFUNCTION("""COMPUTED_VALUE"""),8.0)</f>
        <v>8</v>
      </c>
      <c r="M198" s="25" t="str">
        <f>IFERROR(__xludf.DUMMYFUNCTION("""COMPUTED_VALUE"""),"Shooter")</f>
        <v>Shooter</v>
      </c>
      <c r="N198" s="25" t="str">
        <f>IFERROR(__xludf.DUMMYFUNCTION("""COMPUTED_VALUE"""),"PS3")</f>
        <v>PS3</v>
      </c>
      <c r="O198" s="26" t="str">
        <f>IFERROR(__xludf.DUMMYFUNCTION("""COMPUTED_VALUE"""),"Yes")</f>
        <v>Yes</v>
      </c>
      <c r="P198" s="26" t="str">
        <f>IFERROR(__xludf.DUMMYFUNCTION("""COMPUTED_VALUE"""),"")</f>
        <v/>
      </c>
    </row>
    <row r="199">
      <c r="A199" s="13" t="str">
        <f>IFERROR(__xludf.DUMMYFUNCTION("""COMPUTED_VALUE"""),"Ar nosurge: Ode to an Unborn Star")</f>
        <v>Ar nosurge: Ode to an Unborn Star</v>
      </c>
      <c r="B199" s="15" t="str">
        <f>IFERROR(__xludf.DUMMYFUNCTION("""COMPUTED_VALUE"""),"PS5/PS4")</f>
        <v>PS5/PS4</v>
      </c>
      <c r="C199" s="16" t="str">
        <f>IFERROR(__xludf.DUMMYFUNCTION("""COMPUTED_VALUE"""),"Premium (Streaming Only)")</f>
        <v>Premium (Streaming Only)</v>
      </c>
      <c r="D199" s="15" t="str">
        <f>IFERROR(__xludf.DUMMYFUNCTION("""COMPUTED_VALUE"""),"Active")</f>
        <v>Active</v>
      </c>
      <c r="E199" s="17">
        <f>IFERROR(__xludf.DUMMYFUNCTION("""COMPUTED_VALUE"""),42017.0)</f>
        <v>42017</v>
      </c>
      <c r="F199" s="54"/>
      <c r="G199" s="19">
        <f>IFERROR(__xludf.DUMMYFUNCTION("""COMPUTED_VALUE"""),140.76666666666668)</f>
        <v>140.7666667</v>
      </c>
      <c r="H199" s="17">
        <f>IFERROR(__xludf.DUMMYFUNCTION("""COMPUTED_VALUE"""),41699.0)</f>
        <v>41699</v>
      </c>
      <c r="I199" s="19">
        <f>IFERROR(__xludf.DUMMYFUNCTION("""COMPUTED_VALUE"""),0.8666666666666667)</f>
        <v>0.8666666667</v>
      </c>
      <c r="J199" s="21">
        <f>IFERROR(__xludf.DUMMYFUNCTION("""COMPUTED_VALUE"""),67.0)</f>
        <v>67</v>
      </c>
      <c r="K199" s="23">
        <f>IFERROR(__xludf.DUMMYFUNCTION("""COMPUTED_VALUE"""),7.5)</f>
        <v>7.5</v>
      </c>
      <c r="L199" s="24">
        <f>IFERROR(__xludf.DUMMYFUNCTION("""COMPUTED_VALUE"""),40.0)</f>
        <v>40</v>
      </c>
      <c r="M199" s="25" t="str">
        <f>IFERROR(__xludf.DUMMYFUNCTION("""COMPUTED_VALUE"""),"RPG")</f>
        <v>RPG</v>
      </c>
      <c r="N199" s="25" t="str">
        <f>IFERROR(__xludf.DUMMYFUNCTION("""COMPUTED_VALUE"""),"PS3")</f>
        <v>PS3</v>
      </c>
      <c r="O199" s="26" t="str">
        <f>IFERROR(__xludf.DUMMYFUNCTION("""COMPUTED_VALUE"""),"Yes")</f>
        <v>Yes</v>
      </c>
      <c r="P199" s="26" t="str">
        <f>IFERROR(__xludf.DUMMYFUNCTION("""COMPUTED_VALUE"""),"")</f>
        <v/>
      </c>
    </row>
    <row r="200">
      <c r="A200" s="13" t="str">
        <f>IFERROR(__xludf.DUMMYFUNCTION("""COMPUTED_VALUE"""),"Jimmie Johnson's Anything With An Engine")</f>
        <v>Jimmie Johnson's Anything With An Engine</v>
      </c>
      <c r="B200" s="15" t="str">
        <f>IFERROR(__xludf.DUMMYFUNCTION("""COMPUTED_VALUE"""),"PS5/PS4")</f>
        <v>PS5/PS4</v>
      </c>
      <c r="C200" s="16" t="str">
        <f>IFERROR(__xludf.DUMMYFUNCTION("""COMPUTED_VALUE"""),"Premium (Streaming Only)")</f>
        <v>Premium (Streaming Only)</v>
      </c>
      <c r="D200" s="15" t="str">
        <f>IFERROR(__xludf.DUMMYFUNCTION("""COMPUTED_VALUE"""),"Active")</f>
        <v>Active</v>
      </c>
      <c r="E200" s="17">
        <f>IFERROR(__xludf.DUMMYFUNCTION("""COMPUTED_VALUE"""),42017.0)</f>
        <v>42017</v>
      </c>
      <c r="F200" s="54"/>
      <c r="G200" s="19">
        <f>IFERROR(__xludf.DUMMYFUNCTION("""COMPUTED_VALUE"""),140.76666666666668)</f>
        <v>140.7666667</v>
      </c>
      <c r="H200" s="17">
        <f>IFERROR(__xludf.DUMMYFUNCTION("""COMPUTED_VALUE"""),40848.0)</f>
        <v>40848</v>
      </c>
      <c r="I200" s="19">
        <f>IFERROR(__xludf.DUMMYFUNCTION("""COMPUTED_VALUE"""),3.2)</f>
        <v>3.2</v>
      </c>
      <c r="J200" s="21">
        <f>IFERROR(__xludf.DUMMYFUNCTION("""COMPUTED_VALUE"""),67.0)</f>
        <v>67</v>
      </c>
      <c r="K200" s="23">
        <f>IFERROR(__xludf.DUMMYFUNCTION("""COMPUTED_VALUE"""),5.4)</f>
        <v>5.4</v>
      </c>
      <c r="L200" s="24">
        <f>IFERROR(__xludf.DUMMYFUNCTION("""COMPUTED_VALUE"""),4.0)</f>
        <v>4</v>
      </c>
      <c r="M200" s="25" t="str">
        <f>IFERROR(__xludf.DUMMYFUNCTION("""COMPUTED_VALUE"""),"Racing")</f>
        <v>Racing</v>
      </c>
      <c r="N200" s="25" t="str">
        <f>IFERROR(__xludf.DUMMYFUNCTION("""COMPUTED_VALUE"""),"PS3")</f>
        <v>PS3</v>
      </c>
      <c r="O200" s="26" t="str">
        <f>IFERROR(__xludf.DUMMYFUNCTION("""COMPUTED_VALUE"""),"Yes")</f>
        <v>Yes</v>
      </c>
      <c r="P200" s="26" t="str">
        <f>IFERROR(__xludf.DUMMYFUNCTION("""COMPUTED_VALUE"""),"")</f>
        <v/>
      </c>
    </row>
    <row r="201">
      <c r="A201" s="13" t="str">
        <f>IFERROR(__xludf.DUMMYFUNCTION("""COMPUTED_VALUE"""),"Record of Agarest War")</f>
        <v>Record of Agarest War</v>
      </c>
      <c r="B201" s="15" t="str">
        <f>IFERROR(__xludf.DUMMYFUNCTION("""COMPUTED_VALUE"""),"PS5/PS4")</f>
        <v>PS5/PS4</v>
      </c>
      <c r="C201" s="16" t="str">
        <f>IFERROR(__xludf.DUMMYFUNCTION("""COMPUTED_VALUE"""),"Premium (Streaming Only)")</f>
        <v>Premium (Streaming Only)</v>
      </c>
      <c r="D201" s="15" t="str">
        <f>IFERROR(__xludf.DUMMYFUNCTION("""COMPUTED_VALUE"""),"Active")</f>
        <v>Active</v>
      </c>
      <c r="E201" s="17">
        <f>IFERROR(__xludf.DUMMYFUNCTION("""COMPUTED_VALUE"""),42017.0)</f>
        <v>42017</v>
      </c>
      <c r="F201" s="54"/>
      <c r="G201" s="19">
        <f>IFERROR(__xludf.DUMMYFUNCTION("""COMPUTED_VALUE"""),140.76666666666668)</f>
        <v>140.7666667</v>
      </c>
      <c r="H201" s="17">
        <f>IFERROR(__xludf.DUMMYFUNCTION("""COMPUTED_VALUE"""),40269.0)</f>
        <v>40269</v>
      </c>
      <c r="I201" s="19">
        <f>IFERROR(__xludf.DUMMYFUNCTION("""COMPUTED_VALUE"""),4.783333333333333)</f>
        <v>4.783333333</v>
      </c>
      <c r="J201" s="21">
        <f>IFERROR(__xludf.DUMMYFUNCTION("""COMPUTED_VALUE"""),67.0)</f>
        <v>67</v>
      </c>
      <c r="K201" s="23">
        <f>IFERROR(__xludf.DUMMYFUNCTION("""COMPUTED_VALUE"""),7.0)</f>
        <v>7</v>
      </c>
      <c r="L201" s="24">
        <f>IFERROR(__xludf.DUMMYFUNCTION("""COMPUTED_VALUE"""),55.0)</f>
        <v>55</v>
      </c>
      <c r="M201" s="25" t="str">
        <f>IFERROR(__xludf.DUMMYFUNCTION("""COMPUTED_VALUE"""),"RPG")</f>
        <v>RPG</v>
      </c>
      <c r="N201" s="25" t="str">
        <f>IFERROR(__xludf.DUMMYFUNCTION("""COMPUTED_VALUE"""),"PS3")</f>
        <v>PS3</v>
      </c>
      <c r="O201" s="26" t="str">
        <f>IFERROR(__xludf.DUMMYFUNCTION("""COMPUTED_VALUE"""),"Yes")</f>
        <v>Yes</v>
      </c>
      <c r="P201" s="26" t="str">
        <f>IFERROR(__xludf.DUMMYFUNCTION("""COMPUTED_VALUE"""),"")</f>
        <v/>
      </c>
    </row>
    <row r="202">
      <c r="A202" s="13" t="str">
        <f>IFERROR(__xludf.DUMMYFUNCTION("""COMPUTED_VALUE"""),"Red Johnson's Chronicles")</f>
        <v>Red Johnson's Chronicles</v>
      </c>
      <c r="B202" s="15" t="str">
        <f>IFERROR(__xludf.DUMMYFUNCTION("""COMPUTED_VALUE"""),"PS5/PS4")</f>
        <v>PS5/PS4</v>
      </c>
      <c r="C202" s="16" t="str">
        <f>IFERROR(__xludf.DUMMYFUNCTION("""COMPUTED_VALUE"""),"Premium (Streaming Only)")</f>
        <v>Premium (Streaming Only)</v>
      </c>
      <c r="D202" s="15" t="str">
        <f>IFERROR(__xludf.DUMMYFUNCTION("""COMPUTED_VALUE"""),"Active")</f>
        <v>Active</v>
      </c>
      <c r="E202" s="17">
        <f>IFERROR(__xludf.DUMMYFUNCTION("""COMPUTED_VALUE"""),42017.0)</f>
        <v>42017</v>
      </c>
      <c r="F202" s="54"/>
      <c r="G202" s="19">
        <f>IFERROR(__xludf.DUMMYFUNCTION("""COMPUTED_VALUE"""),140.76666666666668)</f>
        <v>140.7666667</v>
      </c>
      <c r="H202" s="17">
        <f>IFERROR(__xludf.DUMMYFUNCTION("""COMPUTED_VALUE"""),40664.0)</f>
        <v>40664</v>
      </c>
      <c r="I202" s="19">
        <f>IFERROR(__xludf.DUMMYFUNCTION("""COMPUTED_VALUE"""),3.7)</f>
        <v>3.7</v>
      </c>
      <c r="J202" s="21">
        <f>IFERROR(__xludf.DUMMYFUNCTION("""COMPUTED_VALUE"""),67.0)</f>
        <v>67</v>
      </c>
      <c r="K202" s="23">
        <f>IFERROR(__xludf.DUMMYFUNCTION("""COMPUTED_VALUE"""),6.2)</f>
        <v>6.2</v>
      </c>
      <c r="L202" s="24">
        <f>IFERROR(__xludf.DUMMYFUNCTION("""COMPUTED_VALUE"""),4.0)</f>
        <v>4</v>
      </c>
      <c r="M202" s="25" t="str">
        <f>IFERROR(__xludf.DUMMYFUNCTION("""COMPUTED_VALUE"""),"Adventure")</f>
        <v>Adventure</v>
      </c>
      <c r="N202" s="25" t="str">
        <f>IFERROR(__xludf.DUMMYFUNCTION("""COMPUTED_VALUE"""),"PS3")</f>
        <v>PS3</v>
      </c>
      <c r="O202" s="26" t="str">
        <f>IFERROR(__xludf.DUMMYFUNCTION("""COMPUTED_VALUE"""),"Yes")</f>
        <v>Yes</v>
      </c>
      <c r="P202" s="26" t="str">
        <f>IFERROR(__xludf.DUMMYFUNCTION("""COMPUTED_VALUE"""),"")</f>
        <v/>
      </c>
    </row>
    <row r="203">
      <c r="A203" s="13" t="str">
        <f>IFERROR(__xludf.DUMMYFUNCTION("""COMPUTED_VALUE"""),"Black Knight Sword")</f>
        <v>Black Knight Sword</v>
      </c>
      <c r="B203" s="15" t="str">
        <f>IFERROR(__xludf.DUMMYFUNCTION("""COMPUTED_VALUE"""),"PS5/PS4")</f>
        <v>PS5/PS4</v>
      </c>
      <c r="C203" s="16" t="str">
        <f>IFERROR(__xludf.DUMMYFUNCTION("""COMPUTED_VALUE"""),"Premium (Streaming Only)")</f>
        <v>Premium (Streaming Only)</v>
      </c>
      <c r="D203" s="15" t="str">
        <f>IFERROR(__xludf.DUMMYFUNCTION("""COMPUTED_VALUE"""),"Active")</f>
        <v>Active</v>
      </c>
      <c r="E203" s="17">
        <f>IFERROR(__xludf.DUMMYFUNCTION("""COMPUTED_VALUE"""),43529.0)</f>
        <v>43529</v>
      </c>
      <c r="F203" s="54"/>
      <c r="G203" s="19">
        <f>IFERROR(__xludf.DUMMYFUNCTION("""COMPUTED_VALUE"""),91.03333333333333)</f>
        <v>91.03333333</v>
      </c>
      <c r="H203" s="17">
        <f>IFERROR(__xludf.DUMMYFUNCTION("""COMPUTED_VALUE"""),41244.0)</f>
        <v>41244</v>
      </c>
      <c r="I203" s="19">
        <f>IFERROR(__xludf.DUMMYFUNCTION("""COMPUTED_VALUE"""),6.261111111111111)</f>
        <v>6.261111111</v>
      </c>
      <c r="J203" s="21">
        <f>IFERROR(__xludf.DUMMYFUNCTION("""COMPUTED_VALUE"""),66.0)</f>
        <v>66</v>
      </c>
      <c r="K203" s="23">
        <f>IFERROR(__xludf.DUMMYFUNCTION("""COMPUTED_VALUE"""),6.8)</f>
        <v>6.8</v>
      </c>
      <c r="L203" s="24">
        <f>IFERROR(__xludf.DUMMYFUNCTION("""COMPUTED_VALUE"""),3.0)</f>
        <v>3</v>
      </c>
      <c r="M203" s="25" t="str">
        <f>IFERROR(__xludf.DUMMYFUNCTION("""COMPUTED_VALUE"""),"Platformer")</f>
        <v>Platformer</v>
      </c>
      <c r="N203" s="25" t="str">
        <f>IFERROR(__xludf.DUMMYFUNCTION("""COMPUTED_VALUE"""),"PS3")</f>
        <v>PS3</v>
      </c>
      <c r="O203" s="26" t="str">
        <f>IFERROR(__xludf.DUMMYFUNCTION("""COMPUTED_VALUE"""),"Yes")</f>
        <v>Yes</v>
      </c>
      <c r="P203" s="26" t="str">
        <f>IFERROR(__xludf.DUMMYFUNCTION("""COMPUTED_VALUE"""),"")</f>
        <v/>
      </c>
    </row>
    <row r="204">
      <c r="A204" s="13" t="str">
        <f>IFERROR(__xludf.DUMMYFUNCTION("""COMPUTED_VALUE"""),"Magic Orbz")</f>
        <v>Magic Orbz</v>
      </c>
      <c r="B204" s="15" t="str">
        <f>IFERROR(__xludf.DUMMYFUNCTION("""COMPUTED_VALUE"""),"PS5/PS4")</f>
        <v>PS5/PS4</v>
      </c>
      <c r="C204" s="16" t="str">
        <f>IFERROR(__xludf.DUMMYFUNCTION("""COMPUTED_VALUE"""),"Premium (Streaming Only)")</f>
        <v>Premium (Streaming Only)</v>
      </c>
      <c r="D204" s="15" t="str">
        <f>IFERROR(__xludf.DUMMYFUNCTION("""COMPUTED_VALUE"""),"Active")</f>
        <v>Active</v>
      </c>
      <c r="E204" s="17">
        <f>IFERROR(__xludf.DUMMYFUNCTION("""COMPUTED_VALUE"""),42493.0)</f>
        <v>42493</v>
      </c>
      <c r="F204" s="54"/>
      <c r="G204" s="19">
        <f>IFERROR(__xludf.DUMMYFUNCTION("""COMPUTED_VALUE"""),125.10000000000001)</f>
        <v>125.1</v>
      </c>
      <c r="H204" s="17">
        <f>IFERROR(__xludf.DUMMYFUNCTION("""COMPUTED_VALUE"""),39814.0)</f>
        <v>39814</v>
      </c>
      <c r="I204" s="19">
        <f>IFERROR(__xludf.DUMMYFUNCTION("""COMPUTED_VALUE"""),7.338888888888889)</f>
        <v>7.338888889</v>
      </c>
      <c r="J204" s="21">
        <f>IFERROR(__xludf.DUMMYFUNCTION("""COMPUTED_VALUE"""),66.0)</f>
        <v>66</v>
      </c>
      <c r="K204" s="23">
        <f>IFERROR(__xludf.DUMMYFUNCTION("""COMPUTED_VALUE"""),6.9)</f>
        <v>6.9</v>
      </c>
      <c r="L204" s="24">
        <f>IFERROR(__xludf.DUMMYFUNCTION("""COMPUTED_VALUE"""),3.0)</f>
        <v>3</v>
      </c>
      <c r="M204" s="25" t="str">
        <f>IFERROR(__xludf.DUMMYFUNCTION("""COMPUTED_VALUE"""),"Arcade")</f>
        <v>Arcade</v>
      </c>
      <c r="N204" s="25" t="str">
        <f>IFERROR(__xludf.DUMMYFUNCTION("""COMPUTED_VALUE"""),"PS3")</f>
        <v>PS3</v>
      </c>
      <c r="O204" s="26" t="str">
        <f>IFERROR(__xludf.DUMMYFUNCTION("""COMPUTED_VALUE"""),"Yes")</f>
        <v>Yes</v>
      </c>
      <c r="P204" s="26" t="str">
        <f>IFERROR(__xludf.DUMMYFUNCTION("""COMPUTED_VALUE"""),"")</f>
        <v/>
      </c>
    </row>
    <row r="205">
      <c r="A205" s="13" t="str">
        <f>IFERROR(__xludf.DUMMYFUNCTION("""COMPUTED_VALUE"""),"PixelJunk Racers 2nd Lap")</f>
        <v>PixelJunk Racers 2nd Lap</v>
      </c>
      <c r="B205" s="15" t="str">
        <f>IFERROR(__xludf.DUMMYFUNCTION("""COMPUTED_VALUE"""),"PS5/PS4")</f>
        <v>PS5/PS4</v>
      </c>
      <c r="C205" s="16" t="str">
        <f>IFERROR(__xludf.DUMMYFUNCTION("""COMPUTED_VALUE"""),"Premium (Streaming Only)")</f>
        <v>Premium (Streaming Only)</v>
      </c>
      <c r="D205" s="15" t="str">
        <f>IFERROR(__xludf.DUMMYFUNCTION("""COMPUTED_VALUE"""),"Active")</f>
        <v>Active</v>
      </c>
      <c r="E205" s="17">
        <f>IFERROR(__xludf.DUMMYFUNCTION("""COMPUTED_VALUE"""),42374.0)</f>
        <v>42374</v>
      </c>
      <c r="F205" s="54"/>
      <c r="G205" s="19">
        <f>IFERROR(__xludf.DUMMYFUNCTION("""COMPUTED_VALUE"""),129.03333333333333)</f>
        <v>129.0333333</v>
      </c>
      <c r="H205" s="17">
        <f>IFERROR(__xludf.DUMMYFUNCTION("""COMPUTED_VALUE"""),40391.0)</f>
        <v>40391</v>
      </c>
      <c r="I205" s="19">
        <f>IFERROR(__xludf.DUMMYFUNCTION("""COMPUTED_VALUE"""),5.427777777777778)</f>
        <v>5.427777778</v>
      </c>
      <c r="J205" s="21">
        <f>IFERROR(__xludf.DUMMYFUNCTION("""COMPUTED_VALUE"""),66.0)</f>
        <v>66</v>
      </c>
      <c r="K205" s="23">
        <f>IFERROR(__xludf.DUMMYFUNCTION("""COMPUTED_VALUE"""),6.8)</f>
        <v>6.8</v>
      </c>
      <c r="L205" s="24">
        <f>IFERROR(__xludf.DUMMYFUNCTION("""COMPUTED_VALUE"""),2.0)</f>
        <v>2</v>
      </c>
      <c r="M205" s="25" t="str">
        <f>IFERROR(__xludf.DUMMYFUNCTION("""COMPUTED_VALUE"""),"Racing")</f>
        <v>Racing</v>
      </c>
      <c r="N205" s="25" t="str">
        <f>IFERROR(__xludf.DUMMYFUNCTION("""COMPUTED_VALUE"""),"PS3")</f>
        <v>PS3</v>
      </c>
      <c r="O205" s="26" t="str">
        <f>IFERROR(__xludf.DUMMYFUNCTION("""COMPUTED_VALUE"""),"Yes")</f>
        <v>Yes</v>
      </c>
      <c r="P205" s="26" t="str">
        <f>IFERROR(__xludf.DUMMYFUNCTION("""COMPUTED_VALUE"""),"")</f>
        <v/>
      </c>
    </row>
    <row r="206">
      <c r="A206" s="13" t="str">
        <f>IFERROR(__xludf.DUMMYFUNCTION("""COMPUTED_VALUE"""),"Double Dragon Neon")</f>
        <v>Double Dragon Neon</v>
      </c>
      <c r="B206" s="15" t="str">
        <f>IFERROR(__xludf.DUMMYFUNCTION("""COMPUTED_VALUE"""),"PS5/PS4")</f>
        <v>PS5/PS4</v>
      </c>
      <c r="C206" s="16" t="str">
        <f>IFERROR(__xludf.DUMMYFUNCTION("""COMPUTED_VALUE"""),"Premium (Streaming Only)")</f>
        <v>Premium (Streaming Only)</v>
      </c>
      <c r="D206" s="15" t="str">
        <f>IFERROR(__xludf.DUMMYFUNCTION("""COMPUTED_VALUE"""),"Active")</f>
        <v>Active</v>
      </c>
      <c r="E206" s="17">
        <f>IFERROR(__xludf.DUMMYFUNCTION("""COMPUTED_VALUE"""),42311.0)</f>
        <v>42311</v>
      </c>
      <c r="F206" s="54"/>
      <c r="G206" s="19">
        <f>IFERROR(__xludf.DUMMYFUNCTION("""COMPUTED_VALUE"""),131.10000000000002)</f>
        <v>131.1</v>
      </c>
      <c r="H206" s="17">
        <f>IFERROR(__xludf.DUMMYFUNCTION("""COMPUTED_VALUE"""),41163.0)</f>
        <v>41163</v>
      </c>
      <c r="I206" s="19">
        <f>IFERROR(__xludf.DUMMYFUNCTION("""COMPUTED_VALUE"""),3.1444444444444444)</f>
        <v>3.144444444</v>
      </c>
      <c r="J206" s="21">
        <f>IFERROR(__xludf.DUMMYFUNCTION("""COMPUTED_VALUE"""),66.0)</f>
        <v>66</v>
      </c>
      <c r="K206" s="23">
        <f>IFERROR(__xludf.DUMMYFUNCTION("""COMPUTED_VALUE"""),7.4)</f>
        <v>7.4</v>
      </c>
      <c r="L206" s="24">
        <f>IFERROR(__xludf.DUMMYFUNCTION("""COMPUTED_VALUE"""),3.5)</f>
        <v>3.5</v>
      </c>
      <c r="M206" s="25" t="str">
        <f>IFERROR(__xludf.DUMMYFUNCTION("""COMPUTED_VALUE"""),"Action-Adventure")</f>
        <v>Action-Adventure</v>
      </c>
      <c r="N206" s="25" t="str">
        <f>IFERROR(__xludf.DUMMYFUNCTION("""COMPUTED_VALUE"""),"PS3")</f>
        <v>PS3</v>
      </c>
      <c r="O206" s="26" t="str">
        <f>IFERROR(__xludf.DUMMYFUNCTION("""COMPUTED_VALUE"""),"Yes")</f>
        <v>Yes</v>
      </c>
      <c r="P206" s="26"/>
    </row>
    <row r="207">
      <c r="A207" s="13" t="str">
        <f>IFERROR(__xludf.DUMMYFUNCTION("""COMPUTED_VALUE"""),"Rotastic")</f>
        <v>Rotastic</v>
      </c>
      <c r="B207" s="15" t="str">
        <f>IFERROR(__xludf.DUMMYFUNCTION("""COMPUTED_VALUE"""),"PS5/PS4")</f>
        <v>PS5/PS4</v>
      </c>
      <c r="C207" s="16" t="str">
        <f>IFERROR(__xludf.DUMMYFUNCTION("""COMPUTED_VALUE"""),"Premium (Streaming Only)")</f>
        <v>Premium (Streaming Only)</v>
      </c>
      <c r="D207" s="15" t="str">
        <f>IFERROR(__xludf.DUMMYFUNCTION("""COMPUTED_VALUE"""),"Active")</f>
        <v>Active</v>
      </c>
      <c r="E207" s="17">
        <f>IFERROR(__xludf.DUMMYFUNCTION("""COMPUTED_VALUE"""),42311.0)</f>
        <v>42311</v>
      </c>
      <c r="F207" s="54"/>
      <c r="G207" s="19">
        <f>IFERROR(__xludf.DUMMYFUNCTION("""COMPUTED_VALUE"""),131.10000000000002)</f>
        <v>131.1</v>
      </c>
      <c r="H207" s="17">
        <f>IFERROR(__xludf.DUMMYFUNCTION("""COMPUTED_VALUE"""),40787.0)</f>
        <v>40787</v>
      </c>
      <c r="I207" s="19">
        <f>IFERROR(__xludf.DUMMYFUNCTION("""COMPUTED_VALUE"""),4.1722222222222225)</f>
        <v>4.172222222</v>
      </c>
      <c r="J207" s="21">
        <f>IFERROR(__xludf.DUMMYFUNCTION("""COMPUTED_VALUE"""),66.0)</f>
        <v>66</v>
      </c>
      <c r="K207" s="23">
        <f>IFERROR(__xludf.DUMMYFUNCTION("""COMPUTED_VALUE"""),7.0)</f>
        <v>7</v>
      </c>
      <c r="L207" s="24">
        <f>IFERROR(__xludf.DUMMYFUNCTION("""COMPUTED_VALUE"""),4.0)</f>
        <v>4</v>
      </c>
      <c r="M207" s="25" t="str">
        <f>IFERROR(__xludf.DUMMYFUNCTION("""COMPUTED_VALUE"""),"Action-Adventure")</f>
        <v>Action-Adventure</v>
      </c>
      <c r="N207" s="25" t="str">
        <f>IFERROR(__xludf.DUMMYFUNCTION("""COMPUTED_VALUE"""),"PS3")</f>
        <v>PS3</v>
      </c>
      <c r="O207" s="26" t="str">
        <f>IFERROR(__xludf.DUMMYFUNCTION("""COMPUTED_VALUE"""),"Yes")</f>
        <v>Yes</v>
      </c>
      <c r="P207" s="26" t="str">
        <f>IFERROR(__xludf.DUMMYFUNCTION("""COMPUTED_VALUE"""),"")</f>
        <v/>
      </c>
    </row>
    <row r="208">
      <c r="A208" s="13" t="str">
        <f>IFERROR(__xludf.DUMMYFUNCTION("""COMPUTED_VALUE"""),"Atelier Meruru: The Alchemist of Arland")</f>
        <v>Atelier Meruru: The Alchemist of Arland</v>
      </c>
      <c r="B208" s="15" t="str">
        <f>IFERROR(__xludf.DUMMYFUNCTION("""COMPUTED_VALUE"""),"PS5/PS4")</f>
        <v>PS5/PS4</v>
      </c>
      <c r="C208" s="16" t="str">
        <f>IFERROR(__xludf.DUMMYFUNCTION("""COMPUTED_VALUE"""),"Premium (Streaming Only)")</f>
        <v>Premium (Streaming Only)</v>
      </c>
      <c r="D208" s="15" t="str">
        <f>IFERROR(__xludf.DUMMYFUNCTION("""COMPUTED_VALUE"""),"Active")</f>
        <v>Active</v>
      </c>
      <c r="E208" s="17">
        <f>IFERROR(__xludf.DUMMYFUNCTION("""COMPUTED_VALUE"""),42017.0)</f>
        <v>42017</v>
      </c>
      <c r="F208" s="54"/>
      <c r="G208" s="19">
        <f>IFERROR(__xludf.DUMMYFUNCTION("""COMPUTED_VALUE"""),140.76666666666668)</f>
        <v>140.7666667</v>
      </c>
      <c r="H208" s="17">
        <f>IFERROR(__xludf.DUMMYFUNCTION("""COMPUTED_VALUE"""),40695.0)</f>
        <v>40695</v>
      </c>
      <c r="I208" s="19">
        <f>IFERROR(__xludf.DUMMYFUNCTION("""COMPUTED_VALUE"""),3.6166666666666667)</f>
        <v>3.616666667</v>
      </c>
      <c r="J208" s="21">
        <f>IFERROR(__xludf.DUMMYFUNCTION("""COMPUTED_VALUE"""),66.0)</f>
        <v>66</v>
      </c>
      <c r="K208" s="23">
        <f>IFERROR(__xludf.DUMMYFUNCTION("""COMPUTED_VALUE"""),8.0)</f>
        <v>8</v>
      </c>
      <c r="L208" s="24">
        <f>IFERROR(__xludf.DUMMYFUNCTION("""COMPUTED_VALUE"""),45.0)</f>
        <v>45</v>
      </c>
      <c r="M208" s="25" t="str">
        <f>IFERROR(__xludf.DUMMYFUNCTION("""COMPUTED_VALUE"""),"RPG")</f>
        <v>RPG</v>
      </c>
      <c r="N208" s="25" t="str">
        <f>IFERROR(__xludf.DUMMYFUNCTION("""COMPUTED_VALUE"""),"PS3")</f>
        <v>PS3</v>
      </c>
      <c r="O208" s="26" t="str">
        <f>IFERROR(__xludf.DUMMYFUNCTION("""COMPUTED_VALUE"""),"Yes")</f>
        <v>Yes</v>
      </c>
      <c r="P208" s="26" t="str">
        <f>IFERROR(__xludf.DUMMYFUNCTION("""COMPUTED_VALUE"""),"")</f>
        <v/>
      </c>
    </row>
    <row r="209">
      <c r="A209" s="13" t="str">
        <f>IFERROR(__xludf.DUMMYFUNCTION("""COMPUTED_VALUE"""),"Planet Minigolf")</f>
        <v>Planet Minigolf</v>
      </c>
      <c r="B209" s="15" t="str">
        <f>IFERROR(__xludf.DUMMYFUNCTION("""COMPUTED_VALUE"""),"PS5/PS4")</f>
        <v>PS5/PS4</v>
      </c>
      <c r="C209" s="16" t="str">
        <f>IFERROR(__xludf.DUMMYFUNCTION("""COMPUTED_VALUE"""),"Premium (Streaming Only)")</f>
        <v>Premium (Streaming Only)</v>
      </c>
      <c r="D209" s="15" t="str">
        <f>IFERROR(__xludf.DUMMYFUNCTION("""COMPUTED_VALUE"""),"Active")</f>
        <v>Active</v>
      </c>
      <c r="E209" s="17">
        <f>IFERROR(__xludf.DUMMYFUNCTION("""COMPUTED_VALUE"""),42017.0)</f>
        <v>42017</v>
      </c>
      <c r="F209" s="54"/>
      <c r="G209" s="19">
        <f>IFERROR(__xludf.DUMMYFUNCTION("""COMPUTED_VALUE"""),140.76666666666668)</f>
        <v>140.7666667</v>
      </c>
      <c r="H209" s="17">
        <f>IFERROR(__xludf.DUMMYFUNCTION("""COMPUTED_VALUE"""),40330.0)</f>
        <v>40330</v>
      </c>
      <c r="I209" s="19">
        <f>IFERROR(__xludf.DUMMYFUNCTION("""COMPUTED_VALUE"""),4.616666666666666)</f>
        <v>4.616666667</v>
      </c>
      <c r="J209" s="21">
        <f>IFERROR(__xludf.DUMMYFUNCTION("""COMPUTED_VALUE"""),66.0)</f>
        <v>66</v>
      </c>
      <c r="K209" s="23">
        <f>IFERROR(__xludf.DUMMYFUNCTION("""COMPUTED_VALUE"""),6.8)</f>
        <v>6.8</v>
      </c>
      <c r="L209" s="24"/>
      <c r="M209" s="25" t="str">
        <f>IFERROR(__xludf.DUMMYFUNCTION("""COMPUTED_VALUE"""),"Sports")</f>
        <v>Sports</v>
      </c>
      <c r="N209" s="25" t="str">
        <f>IFERROR(__xludf.DUMMYFUNCTION("""COMPUTED_VALUE"""),"PS3")</f>
        <v>PS3</v>
      </c>
      <c r="O209" s="26" t="str">
        <f>IFERROR(__xludf.DUMMYFUNCTION("""COMPUTED_VALUE"""),"Yes")</f>
        <v>Yes</v>
      </c>
      <c r="P209" s="26" t="str">
        <f>IFERROR(__xludf.DUMMYFUNCTION("""COMPUTED_VALUE"""),"")</f>
        <v/>
      </c>
    </row>
    <row r="210">
      <c r="A210" s="13" t="str">
        <f>IFERROR(__xludf.DUMMYFUNCTION("""COMPUTED_VALUE"""),"Puzzle Agent")</f>
        <v>Puzzle Agent</v>
      </c>
      <c r="B210" s="15" t="str">
        <f>IFERROR(__xludf.DUMMYFUNCTION("""COMPUTED_VALUE"""),"PS5/PS4")</f>
        <v>PS5/PS4</v>
      </c>
      <c r="C210" s="16" t="str">
        <f>IFERROR(__xludf.DUMMYFUNCTION("""COMPUTED_VALUE"""),"Premium (Streaming Only)")</f>
        <v>Premium (Streaming Only)</v>
      </c>
      <c r="D210" s="15" t="str">
        <f>IFERROR(__xludf.DUMMYFUNCTION("""COMPUTED_VALUE"""),"Active")</f>
        <v>Active</v>
      </c>
      <c r="E210" s="17">
        <f>IFERROR(__xludf.DUMMYFUNCTION("""COMPUTED_VALUE"""),42017.0)</f>
        <v>42017</v>
      </c>
      <c r="F210" s="54"/>
      <c r="G210" s="19">
        <f>IFERROR(__xludf.DUMMYFUNCTION("""COMPUTED_VALUE"""),140.76666666666668)</f>
        <v>140.7666667</v>
      </c>
      <c r="H210" s="17">
        <f>IFERROR(__xludf.DUMMYFUNCTION("""COMPUTED_VALUE"""),40330.0)</f>
        <v>40330</v>
      </c>
      <c r="I210" s="19">
        <f>IFERROR(__xludf.DUMMYFUNCTION("""COMPUTED_VALUE"""),4.616666666666666)</f>
        <v>4.616666667</v>
      </c>
      <c r="J210" s="21">
        <f>IFERROR(__xludf.DUMMYFUNCTION("""COMPUTED_VALUE"""),66.0)</f>
        <v>66</v>
      </c>
      <c r="K210" s="23">
        <f>IFERROR(__xludf.DUMMYFUNCTION("""COMPUTED_VALUE"""),7.5)</f>
        <v>7.5</v>
      </c>
      <c r="L210" s="24">
        <f>IFERROR(__xludf.DUMMYFUNCTION("""COMPUTED_VALUE"""),3.0)</f>
        <v>3</v>
      </c>
      <c r="M210" s="25" t="str">
        <f>IFERROR(__xludf.DUMMYFUNCTION("""COMPUTED_VALUE"""),"Puzzle")</f>
        <v>Puzzle</v>
      </c>
      <c r="N210" s="25" t="str">
        <f>IFERROR(__xludf.DUMMYFUNCTION("""COMPUTED_VALUE"""),"PS3")</f>
        <v>PS3</v>
      </c>
      <c r="O210" s="26" t="str">
        <f>IFERROR(__xludf.DUMMYFUNCTION("""COMPUTED_VALUE"""),"Yes")</f>
        <v>Yes</v>
      </c>
      <c r="P210" s="26" t="str">
        <f>IFERROR(__xludf.DUMMYFUNCTION("""COMPUTED_VALUE"""),"")</f>
        <v/>
      </c>
    </row>
    <row r="211">
      <c r="A211" s="13" t="str">
        <f>IFERROR(__xludf.DUMMYFUNCTION("""COMPUTED_VALUE"""),"The Awakened Fate: Ultimatum")</f>
        <v>The Awakened Fate: Ultimatum</v>
      </c>
      <c r="B211" s="15" t="str">
        <f>IFERROR(__xludf.DUMMYFUNCTION("""COMPUTED_VALUE"""),"PS5/PS4")</f>
        <v>PS5/PS4</v>
      </c>
      <c r="C211" s="16" t="str">
        <f>IFERROR(__xludf.DUMMYFUNCTION("""COMPUTED_VALUE"""),"Premium (Streaming Only)")</f>
        <v>Premium (Streaming Only)</v>
      </c>
      <c r="D211" s="15" t="str">
        <f>IFERROR(__xludf.DUMMYFUNCTION("""COMPUTED_VALUE"""),"Active")</f>
        <v>Active</v>
      </c>
      <c r="E211" s="17">
        <f>IFERROR(__xludf.DUMMYFUNCTION("""COMPUTED_VALUE"""),44725.0)</f>
        <v>44725</v>
      </c>
      <c r="F211" s="54"/>
      <c r="G211" s="19">
        <f>IFERROR(__xludf.DUMMYFUNCTION("""COMPUTED_VALUE"""),51.766666666666666)</f>
        <v>51.76666667</v>
      </c>
      <c r="H211" s="17">
        <f>IFERROR(__xludf.DUMMYFUNCTION("""COMPUTED_VALUE"""),42064.0)</f>
        <v>42064</v>
      </c>
      <c r="I211" s="19">
        <f>IFERROR(__xludf.DUMMYFUNCTION("""COMPUTED_VALUE"""),7.283333333333333)</f>
        <v>7.283333333</v>
      </c>
      <c r="J211" s="21">
        <f>IFERROR(__xludf.DUMMYFUNCTION("""COMPUTED_VALUE"""),65.0)</f>
        <v>65</v>
      </c>
      <c r="K211" s="23">
        <f>IFERROR(__xludf.DUMMYFUNCTION("""COMPUTED_VALUE"""),7.4)</f>
        <v>7.4</v>
      </c>
      <c r="L211" s="24">
        <f>IFERROR(__xludf.DUMMYFUNCTION("""COMPUTED_VALUE"""),30.0)</f>
        <v>30</v>
      </c>
      <c r="M211" s="25" t="str">
        <f>IFERROR(__xludf.DUMMYFUNCTION("""COMPUTED_VALUE"""),"RPG")</f>
        <v>RPG</v>
      </c>
      <c r="N211" s="25" t="str">
        <f>IFERROR(__xludf.DUMMYFUNCTION("""COMPUTED_VALUE"""),"PS3")</f>
        <v>PS3</v>
      </c>
      <c r="O211" s="26" t="str">
        <f>IFERROR(__xludf.DUMMYFUNCTION("""COMPUTED_VALUE"""),"Yes")</f>
        <v>Yes</v>
      </c>
      <c r="P211" s="26" t="str">
        <f>IFERROR(__xludf.DUMMYFUNCTION("""COMPUTED_VALUE"""),"")</f>
        <v/>
      </c>
    </row>
    <row r="212">
      <c r="A212" s="13" t="str">
        <f>IFERROR(__xludf.DUMMYFUNCTION("""COMPUTED_VALUE"""),"Snakeball")</f>
        <v>Snakeball</v>
      </c>
      <c r="B212" s="15" t="str">
        <f>IFERROR(__xludf.DUMMYFUNCTION("""COMPUTED_VALUE"""),"PS5/PS4")</f>
        <v>PS5/PS4</v>
      </c>
      <c r="C212" s="16" t="str">
        <f>IFERROR(__xludf.DUMMYFUNCTION("""COMPUTED_VALUE"""),"Premium (Streaming Only)")</f>
        <v>Premium (Streaming Only)</v>
      </c>
      <c r="D212" s="15" t="str">
        <f>IFERROR(__xludf.DUMMYFUNCTION("""COMPUTED_VALUE"""),"Active")</f>
        <v>Active</v>
      </c>
      <c r="E212" s="17">
        <f>IFERROR(__xludf.DUMMYFUNCTION("""COMPUTED_VALUE"""),42374.0)</f>
        <v>42374</v>
      </c>
      <c r="F212" s="54"/>
      <c r="G212" s="19">
        <f>IFERROR(__xludf.DUMMYFUNCTION("""COMPUTED_VALUE"""),129.03333333333333)</f>
        <v>129.0333333</v>
      </c>
      <c r="H212" s="17">
        <f>IFERROR(__xludf.DUMMYFUNCTION("""COMPUTED_VALUE"""),39417.0)</f>
        <v>39417</v>
      </c>
      <c r="I212" s="19">
        <f>IFERROR(__xludf.DUMMYFUNCTION("""COMPUTED_VALUE"""),8.094444444444445)</f>
        <v>8.094444444</v>
      </c>
      <c r="J212" s="21">
        <f>IFERROR(__xludf.DUMMYFUNCTION("""COMPUTED_VALUE"""),65.0)</f>
        <v>65</v>
      </c>
      <c r="K212" s="23">
        <f>IFERROR(__xludf.DUMMYFUNCTION("""COMPUTED_VALUE"""),6.8)</f>
        <v>6.8</v>
      </c>
      <c r="L212" s="24">
        <f>IFERROR(__xludf.DUMMYFUNCTION("""COMPUTED_VALUE"""),3.0)</f>
        <v>3</v>
      </c>
      <c r="M212" s="25" t="str">
        <f>IFERROR(__xludf.DUMMYFUNCTION("""COMPUTED_VALUE"""),"Arcade")</f>
        <v>Arcade</v>
      </c>
      <c r="N212" s="25" t="str">
        <f>IFERROR(__xludf.DUMMYFUNCTION("""COMPUTED_VALUE"""),"PS3")</f>
        <v>PS3</v>
      </c>
      <c r="O212" s="26" t="str">
        <f>IFERROR(__xludf.DUMMYFUNCTION("""COMPUTED_VALUE"""),"Yes")</f>
        <v>Yes</v>
      </c>
      <c r="P212" s="26" t="str">
        <f>IFERROR(__xludf.DUMMYFUNCTION("""COMPUTED_VALUE"""),"")</f>
        <v/>
      </c>
    </row>
    <row r="213">
      <c r="A213" s="13" t="str">
        <f>IFERROR(__xludf.DUMMYFUNCTION("""COMPUTED_VALUE"""),"Divekick")</f>
        <v>Divekick</v>
      </c>
      <c r="B213" s="15" t="str">
        <f>IFERROR(__xludf.DUMMYFUNCTION("""COMPUTED_VALUE"""),"PS5/PS4")</f>
        <v>PS5/PS4</v>
      </c>
      <c r="C213" s="16" t="str">
        <f>IFERROR(__xludf.DUMMYFUNCTION("""COMPUTED_VALUE"""),"Premium (Streaming Only)")</f>
        <v>Premium (Streaming Only)</v>
      </c>
      <c r="D213" s="15" t="str">
        <f>IFERROR(__xludf.DUMMYFUNCTION("""COMPUTED_VALUE"""),"Active")</f>
        <v>Active</v>
      </c>
      <c r="E213" s="17">
        <f>IFERROR(__xludf.DUMMYFUNCTION("""COMPUTED_VALUE"""),42311.0)</f>
        <v>42311</v>
      </c>
      <c r="F213" s="54"/>
      <c r="G213" s="19">
        <f>IFERROR(__xludf.DUMMYFUNCTION("""COMPUTED_VALUE"""),131.10000000000002)</f>
        <v>131.1</v>
      </c>
      <c r="H213" s="17">
        <f>IFERROR(__xludf.DUMMYFUNCTION("""COMPUTED_VALUE"""),41487.0)</f>
        <v>41487</v>
      </c>
      <c r="I213" s="19">
        <f>IFERROR(__xludf.DUMMYFUNCTION("""COMPUTED_VALUE"""),2.2555555555555555)</f>
        <v>2.255555556</v>
      </c>
      <c r="J213" s="21">
        <f>IFERROR(__xludf.DUMMYFUNCTION("""COMPUTED_VALUE"""),65.0)</f>
        <v>65</v>
      </c>
      <c r="K213" s="23">
        <f>IFERROR(__xludf.DUMMYFUNCTION("""COMPUTED_VALUE"""),7.1)</f>
        <v>7.1</v>
      </c>
      <c r="L213" s="24"/>
      <c r="M213" s="25" t="str">
        <f>IFERROR(__xludf.DUMMYFUNCTION("""COMPUTED_VALUE"""),"Fighting")</f>
        <v>Fighting</v>
      </c>
      <c r="N213" s="25" t="str">
        <f>IFERROR(__xludf.DUMMYFUNCTION("""COMPUTED_VALUE"""),"PS3")</f>
        <v>PS3</v>
      </c>
      <c r="O213" s="26" t="str">
        <f>IFERROR(__xludf.DUMMYFUNCTION("""COMPUTED_VALUE"""),"Yes")</f>
        <v>Yes</v>
      </c>
      <c r="P213" s="26" t="str">
        <f>IFERROR(__xludf.DUMMYFUNCTION("""COMPUTED_VALUE"""),"")</f>
        <v/>
      </c>
    </row>
    <row r="214">
      <c r="A214" s="13" t="str">
        <f>IFERROR(__xludf.DUMMYFUNCTION("""COMPUTED_VALUE"""),"Matt Hazard: Blood Bath and Beyond")</f>
        <v>Matt Hazard: Blood Bath and Beyond</v>
      </c>
      <c r="B214" s="15" t="str">
        <f>IFERROR(__xludf.DUMMYFUNCTION("""COMPUTED_VALUE"""),"PS5/PS4")</f>
        <v>PS5/PS4</v>
      </c>
      <c r="C214" s="16" t="str">
        <f>IFERROR(__xludf.DUMMYFUNCTION("""COMPUTED_VALUE"""),"Premium (Streaming Only)")</f>
        <v>Premium (Streaming Only)</v>
      </c>
      <c r="D214" s="15" t="str">
        <f>IFERROR(__xludf.DUMMYFUNCTION("""COMPUTED_VALUE"""),"Active")</f>
        <v>Active</v>
      </c>
      <c r="E214" s="17">
        <f>IFERROR(__xludf.DUMMYFUNCTION("""COMPUTED_VALUE"""),42311.0)</f>
        <v>42311</v>
      </c>
      <c r="F214" s="54"/>
      <c r="G214" s="19">
        <f>IFERROR(__xludf.DUMMYFUNCTION("""COMPUTED_VALUE"""),131.10000000000002)</f>
        <v>131.1</v>
      </c>
      <c r="H214" s="17">
        <f>IFERROR(__xludf.DUMMYFUNCTION("""COMPUTED_VALUE"""),40179.0)</f>
        <v>40179</v>
      </c>
      <c r="I214" s="19">
        <f>IFERROR(__xludf.DUMMYFUNCTION("""COMPUTED_VALUE"""),5.838888888888889)</f>
        <v>5.838888889</v>
      </c>
      <c r="J214" s="21">
        <f>IFERROR(__xludf.DUMMYFUNCTION("""COMPUTED_VALUE"""),65.0)</f>
        <v>65</v>
      </c>
      <c r="K214" s="23">
        <f>IFERROR(__xludf.DUMMYFUNCTION("""COMPUTED_VALUE"""),6.3)</f>
        <v>6.3</v>
      </c>
      <c r="L214" s="24">
        <f>IFERROR(__xludf.DUMMYFUNCTION("""COMPUTED_VALUE"""),4.0)</f>
        <v>4</v>
      </c>
      <c r="M214" s="25" t="str">
        <f>IFERROR(__xludf.DUMMYFUNCTION("""COMPUTED_VALUE"""),"Shooter")</f>
        <v>Shooter</v>
      </c>
      <c r="N214" s="25" t="str">
        <f>IFERROR(__xludf.DUMMYFUNCTION("""COMPUTED_VALUE"""),"PS3")</f>
        <v>PS3</v>
      </c>
      <c r="O214" s="26" t="str">
        <f>IFERROR(__xludf.DUMMYFUNCTION("""COMPUTED_VALUE"""),"Yes")</f>
        <v>Yes</v>
      </c>
      <c r="P214" s="26" t="str">
        <f>IFERROR(__xludf.DUMMYFUNCTION("""COMPUTED_VALUE"""),"")</f>
        <v/>
      </c>
    </row>
    <row r="215">
      <c r="A215" s="13" t="str">
        <f>IFERROR(__xludf.DUMMYFUNCTION("""COMPUTED_VALUE"""),"Eat Them!")</f>
        <v>Eat Them!</v>
      </c>
      <c r="B215" s="15" t="str">
        <f>IFERROR(__xludf.DUMMYFUNCTION("""COMPUTED_VALUE"""),"PS5/PS4")</f>
        <v>PS5/PS4</v>
      </c>
      <c r="C215" s="16" t="str">
        <f>IFERROR(__xludf.DUMMYFUNCTION("""COMPUTED_VALUE"""),"Premium (Streaming Only)")</f>
        <v>Premium (Streaming Only)</v>
      </c>
      <c r="D215" s="15" t="str">
        <f>IFERROR(__xludf.DUMMYFUNCTION("""COMPUTED_VALUE"""),"Active")</f>
        <v>Active</v>
      </c>
      <c r="E215" s="17">
        <f>IFERROR(__xludf.DUMMYFUNCTION("""COMPUTED_VALUE"""),42017.0)</f>
        <v>42017</v>
      </c>
      <c r="F215" s="54"/>
      <c r="G215" s="19">
        <f>IFERROR(__xludf.DUMMYFUNCTION("""COMPUTED_VALUE"""),140.76666666666668)</f>
        <v>140.7666667</v>
      </c>
      <c r="H215" s="17">
        <f>IFERROR(__xludf.DUMMYFUNCTION("""COMPUTED_VALUE"""),40513.0)</f>
        <v>40513</v>
      </c>
      <c r="I215" s="19">
        <f>IFERROR(__xludf.DUMMYFUNCTION("""COMPUTED_VALUE"""),4.116666666666666)</f>
        <v>4.116666667</v>
      </c>
      <c r="J215" s="21">
        <f>IFERROR(__xludf.DUMMYFUNCTION("""COMPUTED_VALUE"""),65.0)</f>
        <v>65</v>
      </c>
      <c r="K215" s="23">
        <f>IFERROR(__xludf.DUMMYFUNCTION("""COMPUTED_VALUE"""),7.2)</f>
        <v>7.2</v>
      </c>
      <c r="L215" s="24">
        <f>IFERROR(__xludf.DUMMYFUNCTION("""COMPUTED_VALUE"""),6.0)</f>
        <v>6</v>
      </c>
      <c r="M215" s="25" t="str">
        <f>IFERROR(__xludf.DUMMYFUNCTION("""COMPUTED_VALUE"""),"Action-Adventure")</f>
        <v>Action-Adventure</v>
      </c>
      <c r="N215" s="25" t="str">
        <f>IFERROR(__xludf.DUMMYFUNCTION("""COMPUTED_VALUE"""),"PS3")</f>
        <v>PS3</v>
      </c>
      <c r="O215" s="26" t="str">
        <f>IFERROR(__xludf.DUMMYFUNCTION("""COMPUTED_VALUE"""),"Yes")</f>
        <v>Yes</v>
      </c>
      <c r="P215" s="26" t="str">
        <f>IFERROR(__xludf.DUMMYFUNCTION("""COMPUTED_VALUE"""),"")</f>
        <v/>
      </c>
    </row>
    <row r="216">
      <c r="A216" s="13" t="str">
        <f>IFERROR(__xludf.DUMMYFUNCTION("""COMPUTED_VALUE"""),"Resident Evil Code: Veronica X")</f>
        <v>Resident Evil Code: Veronica X</v>
      </c>
      <c r="B216" s="15" t="str">
        <f>IFERROR(__xludf.DUMMYFUNCTION("""COMPUTED_VALUE"""),"PS5/PS4")</f>
        <v>PS5/PS4</v>
      </c>
      <c r="C216" s="16" t="str">
        <f>IFERROR(__xludf.DUMMYFUNCTION("""COMPUTED_VALUE"""),"Premium (Streaming Only)")</f>
        <v>Premium (Streaming Only)</v>
      </c>
      <c r="D216" s="15" t="str">
        <f>IFERROR(__xludf.DUMMYFUNCTION("""COMPUTED_VALUE"""),"Active")</f>
        <v>Active</v>
      </c>
      <c r="E216" s="17">
        <f>IFERROR(__xludf.DUMMYFUNCTION("""COMPUTED_VALUE"""),42017.0)</f>
        <v>42017</v>
      </c>
      <c r="F216" s="54"/>
      <c r="G216" s="19">
        <f>IFERROR(__xludf.DUMMYFUNCTION("""COMPUTED_VALUE"""),140.76666666666668)</f>
        <v>140.7666667</v>
      </c>
      <c r="H216" s="17">
        <f>IFERROR(__xludf.DUMMYFUNCTION("""COMPUTED_VALUE"""),40787.0)</f>
        <v>40787</v>
      </c>
      <c r="I216" s="19">
        <f>IFERROR(__xludf.DUMMYFUNCTION("""COMPUTED_VALUE"""),3.3666666666666667)</f>
        <v>3.366666667</v>
      </c>
      <c r="J216" s="21">
        <f>IFERROR(__xludf.DUMMYFUNCTION("""COMPUTED_VALUE"""),65.0)</f>
        <v>65</v>
      </c>
      <c r="K216" s="23">
        <f>IFERROR(__xludf.DUMMYFUNCTION("""COMPUTED_VALUE"""),8.4)</f>
        <v>8.4</v>
      </c>
      <c r="L216" s="24">
        <f>IFERROR(__xludf.DUMMYFUNCTION("""COMPUTED_VALUE"""),11.0)</f>
        <v>11</v>
      </c>
      <c r="M216" s="25" t="str">
        <f>IFERROR(__xludf.DUMMYFUNCTION("""COMPUTED_VALUE"""),"Action-Adventure")</f>
        <v>Action-Adventure</v>
      </c>
      <c r="N216" s="25" t="str">
        <f>IFERROR(__xludf.DUMMYFUNCTION("""COMPUTED_VALUE"""),"PS3")</f>
        <v>PS3</v>
      </c>
      <c r="O216" s="26" t="str">
        <f>IFERROR(__xludf.DUMMYFUNCTION("""COMPUTED_VALUE"""),"Yes")</f>
        <v>Yes</v>
      </c>
      <c r="P216" s="26" t="str">
        <f>IFERROR(__xludf.DUMMYFUNCTION("""COMPUTED_VALUE"""),"")</f>
        <v/>
      </c>
    </row>
    <row r="217">
      <c r="A217" s="13" t="str">
        <f>IFERROR(__xludf.DUMMYFUNCTION("""COMPUTED_VALUE"""),"Star Wars: The Force Unleashed - Ultimate Sith Edition")</f>
        <v>Star Wars: The Force Unleashed - Ultimate Sith Edition</v>
      </c>
      <c r="B217" s="15" t="str">
        <f>IFERROR(__xludf.DUMMYFUNCTION("""COMPUTED_VALUE"""),"PS5/PS4")</f>
        <v>PS5/PS4</v>
      </c>
      <c r="C217" s="16" t="str">
        <f>IFERROR(__xludf.DUMMYFUNCTION("""COMPUTED_VALUE"""),"Premium (Streaming Only)")</f>
        <v>Premium (Streaming Only)</v>
      </c>
      <c r="D217" s="15" t="str">
        <f>IFERROR(__xludf.DUMMYFUNCTION("""COMPUTED_VALUE"""),"Active")</f>
        <v>Active</v>
      </c>
      <c r="E217" s="17">
        <f>IFERROR(__xludf.DUMMYFUNCTION("""COMPUTED_VALUE"""),42017.0)</f>
        <v>42017</v>
      </c>
      <c r="F217" s="54"/>
      <c r="G217" s="19">
        <f>IFERROR(__xludf.DUMMYFUNCTION("""COMPUTED_VALUE"""),140.76666666666668)</f>
        <v>140.7666667</v>
      </c>
      <c r="H217" s="17">
        <f>IFERROR(__xludf.DUMMYFUNCTION("""COMPUTED_VALUE"""),39692.0)</f>
        <v>39692</v>
      </c>
      <c r="I217" s="19">
        <f>IFERROR(__xludf.DUMMYFUNCTION("""COMPUTED_VALUE"""),6.366666666666666)</f>
        <v>6.366666667</v>
      </c>
      <c r="J217" s="21">
        <f>IFERROR(__xludf.DUMMYFUNCTION("""COMPUTED_VALUE"""),65.0)</f>
        <v>65</v>
      </c>
      <c r="K217" s="23">
        <f>IFERROR(__xludf.DUMMYFUNCTION("""COMPUTED_VALUE"""),7.0)</f>
        <v>7</v>
      </c>
      <c r="L217" s="24">
        <f>IFERROR(__xludf.DUMMYFUNCTION("""COMPUTED_VALUE"""),8.0)</f>
        <v>8</v>
      </c>
      <c r="M217" s="25" t="str">
        <f>IFERROR(__xludf.DUMMYFUNCTION("""COMPUTED_VALUE"""),"Action-Adventure")</f>
        <v>Action-Adventure</v>
      </c>
      <c r="N217" s="25" t="str">
        <f>IFERROR(__xludf.DUMMYFUNCTION("""COMPUTED_VALUE"""),"PS3")</f>
        <v>PS3</v>
      </c>
      <c r="O217" s="26" t="str">
        <f>IFERROR(__xludf.DUMMYFUNCTION("""COMPUTED_VALUE"""),"Yes")</f>
        <v>Yes</v>
      </c>
      <c r="P217" s="26" t="str">
        <f>IFERROR(__xludf.DUMMYFUNCTION("""COMPUTED_VALUE"""),"")</f>
        <v/>
      </c>
    </row>
    <row r="218">
      <c r="A218" s="13" t="str">
        <f>IFERROR(__xludf.DUMMYFUNCTION("""COMPUTED_VALUE"""),"Urban Trial Freestyle")</f>
        <v>Urban Trial Freestyle</v>
      </c>
      <c r="B218" s="15" t="str">
        <f>IFERROR(__xludf.DUMMYFUNCTION("""COMPUTED_VALUE"""),"PS5/PS4")</f>
        <v>PS5/PS4</v>
      </c>
      <c r="C218" s="16" t="str">
        <f>IFERROR(__xludf.DUMMYFUNCTION("""COMPUTED_VALUE"""),"Premium (Streaming Only)")</f>
        <v>Premium (Streaming Only)</v>
      </c>
      <c r="D218" s="15" t="str">
        <f>IFERROR(__xludf.DUMMYFUNCTION("""COMPUTED_VALUE"""),"Active")</f>
        <v>Active</v>
      </c>
      <c r="E218" s="17">
        <f>IFERROR(__xludf.DUMMYFUNCTION("""COMPUTED_VALUE"""),44725.0)</f>
        <v>44725</v>
      </c>
      <c r="F218" s="54"/>
      <c r="G218" s="19">
        <f>IFERROR(__xludf.DUMMYFUNCTION("""COMPUTED_VALUE"""),51.766666666666666)</f>
        <v>51.76666667</v>
      </c>
      <c r="H218" s="17">
        <f>IFERROR(__xludf.DUMMYFUNCTION("""COMPUTED_VALUE"""),41306.0)</f>
        <v>41306</v>
      </c>
      <c r="I218" s="19">
        <f>IFERROR(__xludf.DUMMYFUNCTION("""COMPUTED_VALUE"""),9.366666666666667)</f>
        <v>9.366666667</v>
      </c>
      <c r="J218" s="21">
        <f>IFERROR(__xludf.DUMMYFUNCTION("""COMPUTED_VALUE"""),64.0)</f>
        <v>64</v>
      </c>
      <c r="K218" s="23">
        <f>IFERROR(__xludf.DUMMYFUNCTION("""COMPUTED_VALUE"""),6.4)</f>
        <v>6.4</v>
      </c>
      <c r="L218" s="24">
        <f>IFERROR(__xludf.DUMMYFUNCTION("""COMPUTED_VALUE"""),3.0)</f>
        <v>3</v>
      </c>
      <c r="M218" s="25" t="str">
        <f>IFERROR(__xludf.DUMMYFUNCTION("""COMPUTED_VALUE"""),"Racing")</f>
        <v>Racing</v>
      </c>
      <c r="N218" s="25" t="str">
        <f>IFERROR(__xludf.DUMMYFUNCTION("""COMPUTED_VALUE"""),"PS3")</f>
        <v>PS3</v>
      </c>
      <c r="O218" s="26" t="str">
        <f>IFERROR(__xludf.DUMMYFUNCTION("""COMPUTED_VALUE"""),"Yes")</f>
        <v>Yes</v>
      </c>
      <c r="P218" s="26" t="str">
        <f>IFERROR(__xludf.DUMMYFUNCTION("""COMPUTED_VALUE"""),"")</f>
        <v/>
      </c>
    </row>
    <row r="219">
      <c r="A219" s="13" t="str">
        <f>IFERROR(__xludf.DUMMYFUNCTION("""COMPUTED_VALUE"""),"White Knight Chronicles: International Edition")</f>
        <v>White Knight Chronicles: International Edition</v>
      </c>
      <c r="B219" s="15" t="str">
        <f>IFERROR(__xludf.DUMMYFUNCTION("""COMPUTED_VALUE"""),"PS5/PS4")</f>
        <v>PS5/PS4</v>
      </c>
      <c r="C219" s="16" t="str">
        <f>IFERROR(__xludf.DUMMYFUNCTION("""COMPUTED_VALUE"""),"Premium (Streaming Only)")</f>
        <v>Premium (Streaming Only)</v>
      </c>
      <c r="D219" s="15" t="str">
        <f>IFERROR(__xludf.DUMMYFUNCTION("""COMPUTED_VALUE"""),"Active")</f>
        <v>Active</v>
      </c>
      <c r="E219" s="17">
        <f>IFERROR(__xludf.DUMMYFUNCTION("""COMPUTED_VALUE"""),42374.0)</f>
        <v>42374</v>
      </c>
      <c r="F219" s="54"/>
      <c r="G219" s="19">
        <f>IFERROR(__xludf.DUMMYFUNCTION("""COMPUTED_VALUE"""),129.03333333333333)</f>
        <v>129.0333333</v>
      </c>
      <c r="H219" s="17">
        <f>IFERROR(__xludf.DUMMYFUNCTION("""COMPUTED_VALUE"""),40210.0)</f>
        <v>40210</v>
      </c>
      <c r="I219" s="19">
        <f>IFERROR(__xludf.DUMMYFUNCTION("""COMPUTED_VALUE"""),5.927777777777778)</f>
        <v>5.927777778</v>
      </c>
      <c r="J219" s="21">
        <f>IFERROR(__xludf.DUMMYFUNCTION("""COMPUTED_VALUE"""),64.0)</f>
        <v>64</v>
      </c>
      <c r="K219" s="23">
        <f>IFERROR(__xludf.DUMMYFUNCTION("""COMPUTED_VALUE"""),6.5)</f>
        <v>6.5</v>
      </c>
      <c r="L219" s="24">
        <f>IFERROR(__xludf.DUMMYFUNCTION("""COMPUTED_VALUE"""),45.0)</f>
        <v>45</v>
      </c>
      <c r="M219" s="25" t="str">
        <f>IFERROR(__xludf.DUMMYFUNCTION("""COMPUTED_VALUE"""),"RPG")</f>
        <v>RPG</v>
      </c>
      <c r="N219" s="25" t="str">
        <f>IFERROR(__xludf.DUMMYFUNCTION("""COMPUTED_VALUE"""),"PS3")</f>
        <v>PS3</v>
      </c>
      <c r="O219" s="26" t="str">
        <f>IFERROR(__xludf.DUMMYFUNCTION("""COMPUTED_VALUE"""),"Yes")</f>
        <v>Yes</v>
      </c>
      <c r="P219" s="26" t="str">
        <f>IFERROR(__xludf.DUMMYFUNCTION("""COMPUTED_VALUE"""),"")</f>
        <v/>
      </c>
    </row>
    <row r="220">
      <c r="A220" s="13" t="str">
        <f>IFERROR(__xludf.DUMMYFUNCTION("""COMPUTED_VALUE"""),"Dynasty Warriors Strikeforce")</f>
        <v>Dynasty Warriors Strikeforce</v>
      </c>
      <c r="B220" s="15" t="str">
        <f>IFERROR(__xludf.DUMMYFUNCTION("""COMPUTED_VALUE"""),"PS5/PS4")</f>
        <v>PS5/PS4</v>
      </c>
      <c r="C220" s="16" t="str">
        <f>IFERROR(__xludf.DUMMYFUNCTION("""COMPUTED_VALUE"""),"Premium (Streaming Only)")</f>
        <v>Premium (Streaming Only)</v>
      </c>
      <c r="D220" s="15" t="str">
        <f>IFERROR(__xludf.DUMMYFUNCTION("""COMPUTED_VALUE"""),"Active")</f>
        <v>Active</v>
      </c>
      <c r="E220" s="17">
        <f>IFERROR(__xludf.DUMMYFUNCTION("""COMPUTED_VALUE"""),42017.0)</f>
        <v>42017</v>
      </c>
      <c r="F220" s="54"/>
      <c r="G220" s="19">
        <f>IFERROR(__xludf.DUMMYFUNCTION("""COMPUTED_VALUE"""),140.76666666666668)</f>
        <v>140.7666667</v>
      </c>
      <c r="H220" s="17">
        <f>IFERROR(__xludf.DUMMYFUNCTION("""COMPUTED_VALUE"""),40210.0)</f>
        <v>40210</v>
      </c>
      <c r="I220" s="19">
        <f>IFERROR(__xludf.DUMMYFUNCTION("""COMPUTED_VALUE"""),4.95)</f>
        <v>4.95</v>
      </c>
      <c r="J220" s="21">
        <f>IFERROR(__xludf.DUMMYFUNCTION("""COMPUTED_VALUE"""),64.0)</f>
        <v>64</v>
      </c>
      <c r="K220" s="23">
        <f>IFERROR(__xludf.DUMMYFUNCTION("""COMPUTED_VALUE"""),7.4)</f>
        <v>7.4</v>
      </c>
      <c r="L220" s="24">
        <f>IFERROR(__xludf.DUMMYFUNCTION("""COMPUTED_VALUE"""),20.0)</f>
        <v>20</v>
      </c>
      <c r="M220" s="25" t="str">
        <f>IFERROR(__xludf.DUMMYFUNCTION("""COMPUTED_VALUE"""),"Action-Adventure")</f>
        <v>Action-Adventure</v>
      </c>
      <c r="N220" s="25" t="str">
        <f>IFERROR(__xludf.DUMMYFUNCTION("""COMPUTED_VALUE"""),"PS3")</f>
        <v>PS3</v>
      </c>
      <c r="O220" s="26" t="str">
        <f>IFERROR(__xludf.DUMMYFUNCTION("""COMPUTED_VALUE"""),"Yes")</f>
        <v>Yes</v>
      </c>
      <c r="P220" s="26" t="str">
        <f>IFERROR(__xludf.DUMMYFUNCTION("""COMPUTED_VALUE"""),"")</f>
        <v/>
      </c>
    </row>
    <row r="221">
      <c r="A221" s="13" t="str">
        <f>IFERROR(__xludf.DUMMYFUNCTION("""COMPUTED_VALUE"""),"Ratchet and Clank: Full Frontal Assault")</f>
        <v>Ratchet and Clank: Full Frontal Assault</v>
      </c>
      <c r="B221" s="15" t="str">
        <f>IFERROR(__xludf.DUMMYFUNCTION("""COMPUTED_VALUE"""),"PS5/PS4")</f>
        <v>PS5/PS4</v>
      </c>
      <c r="C221" s="16" t="str">
        <f>IFERROR(__xludf.DUMMYFUNCTION("""COMPUTED_VALUE"""),"Premium (Streaming Only)")</f>
        <v>Premium (Streaming Only)</v>
      </c>
      <c r="D221" s="15" t="str">
        <f>IFERROR(__xludf.DUMMYFUNCTION("""COMPUTED_VALUE"""),"Active")</f>
        <v>Active</v>
      </c>
      <c r="E221" s="17">
        <f>IFERROR(__xludf.DUMMYFUNCTION("""COMPUTED_VALUE"""),42017.0)</f>
        <v>42017</v>
      </c>
      <c r="F221" s="54"/>
      <c r="G221" s="19">
        <f>IFERROR(__xludf.DUMMYFUNCTION("""COMPUTED_VALUE"""),140.76666666666668)</f>
        <v>140.7666667</v>
      </c>
      <c r="H221" s="17">
        <f>IFERROR(__xludf.DUMMYFUNCTION("""COMPUTED_VALUE"""),41214.0)</f>
        <v>41214</v>
      </c>
      <c r="I221" s="19">
        <f>IFERROR(__xludf.DUMMYFUNCTION("""COMPUTED_VALUE"""),2.2)</f>
        <v>2.2</v>
      </c>
      <c r="J221" s="21">
        <f>IFERROR(__xludf.DUMMYFUNCTION("""COMPUTED_VALUE"""),64.0)</f>
        <v>64</v>
      </c>
      <c r="K221" s="23">
        <f>IFERROR(__xludf.DUMMYFUNCTION("""COMPUTED_VALUE"""),6.6)</f>
        <v>6.6</v>
      </c>
      <c r="L221" s="24">
        <f>IFERROR(__xludf.DUMMYFUNCTION("""COMPUTED_VALUE"""),4.0)</f>
        <v>4</v>
      </c>
      <c r="M221" s="25" t="str">
        <f>IFERROR(__xludf.DUMMYFUNCTION("""COMPUTED_VALUE"""),"Action-Adventure")</f>
        <v>Action-Adventure</v>
      </c>
      <c r="N221" s="25" t="str">
        <f>IFERROR(__xludf.DUMMYFUNCTION("""COMPUTED_VALUE"""),"PS3")</f>
        <v>PS3</v>
      </c>
      <c r="O221" s="26" t="str">
        <f>IFERROR(__xludf.DUMMYFUNCTION("""COMPUTED_VALUE"""),"Yes")</f>
        <v>Yes</v>
      </c>
      <c r="P221" s="26" t="str">
        <f>IFERROR(__xludf.DUMMYFUNCTION("""COMPUTED_VALUE"""),"")</f>
        <v/>
      </c>
    </row>
    <row r="222">
      <c r="A222" s="13" t="str">
        <f>IFERROR(__xludf.DUMMYFUNCTION("""COMPUTED_VALUE"""),"StarDrone")</f>
        <v>StarDrone</v>
      </c>
      <c r="B222" s="15" t="str">
        <f>IFERROR(__xludf.DUMMYFUNCTION("""COMPUTED_VALUE"""),"PS5/PS4")</f>
        <v>PS5/PS4</v>
      </c>
      <c r="C222" s="16" t="str">
        <f>IFERROR(__xludf.DUMMYFUNCTION("""COMPUTED_VALUE"""),"Premium (Streaming Only)")</f>
        <v>Premium (Streaming Only)</v>
      </c>
      <c r="D222" s="15" t="str">
        <f>IFERROR(__xludf.DUMMYFUNCTION("""COMPUTED_VALUE"""),"Active")</f>
        <v>Active</v>
      </c>
      <c r="E222" s="17">
        <f>IFERROR(__xludf.DUMMYFUNCTION("""COMPUTED_VALUE"""),42017.0)</f>
        <v>42017</v>
      </c>
      <c r="F222" s="54"/>
      <c r="G222" s="19">
        <f>IFERROR(__xludf.DUMMYFUNCTION("""COMPUTED_VALUE"""),140.76666666666668)</f>
        <v>140.7666667</v>
      </c>
      <c r="H222" s="17">
        <f>IFERROR(__xludf.DUMMYFUNCTION("""COMPUTED_VALUE"""),40631.0)</f>
        <v>40631</v>
      </c>
      <c r="I222" s="19">
        <f>IFERROR(__xludf.DUMMYFUNCTION("""COMPUTED_VALUE"""),3.7888888888888888)</f>
        <v>3.788888889</v>
      </c>
      <c r="J222" s="21">
        <f>IFERROR(__xludf.DUMMYFUNCTION("""COMPUTED_VALUE"""),64.0)</f>
        <v>64</v>
      </c>
      <c r="K222" s="23">
        <f>IFERROR(__xludf.DUMMYFUNCTION("""COMPUTED_VALUE"""),6.8)</f>
        <v>6.8</v>
      </c>
      <c r="L222" s="24">
        <f>IFERROR(__xludf.DUMMYFUNCTION("""COMPUTED_VALUE"""),6.0)</f>
        <v>6</v>
      </c>
      <c r="M222" s="25" t="str">
        <f>IFERROR(__xludf.DUMMYFUNCTION("""COMPUTED_VALUE"""),"Arcade")</f>
        <v>Arcade</v>
      </c>
      <c r="N222" s="25" t="str">
        <f>IFERROR(__xludf.DUMMYFUNCTION("""COMPUTED_VALUE"""),"PS3")</f>
        <v>PS3</v>
      </c>
      <c r="O222" s="26" t="str">
        <f>IFERROR(__xludf.DUMMYFUNCTION("""COMPUTED_VALUE"""),"Yes")</f>
        <v>Yes</v>
      </c>
      <c r="P222" s="26" t="str">
        <f>IFERROR(__xludf.DUMMYFUNCTION("""COMPUTED_VALUE"""),"")</f>
        <v/>
      </c>
    </row>
    <row r="223">
      <c r="A223" s="13" t="str">
        <f>IFERROR(__xludf.DUMMYFUNCTION("""COMPUTED_VALUE"""),"XBlaze Lost: Memories")</f>
        <v>XBlaze Lost: Memories</v>
      </c>
      <c r="B223" s="15" t="str">
        <f>IFERROR(__xludf.DUMMYFUNCTION("""COMPUTED_VALUE"""),"PS5/PS4")</f>
        <v>PS5/PS4</v>
      </c>
      <c r="C223" s="16" t="str">
        <f>IFERROR(__xludf.DUMMYFUNCTION("""COMPUTED_VALUE"""),"Premium (Streaming Only)")</f>
        <v>Premium (Streaming Only)</v>
      </c>
      <c r="D223" s="15" t="str">
        <f>IFERROR(__xludf.DUMMYFUNCTION("""COMPUTED_VALUE"""),"Active")</f>
        <v>Active</v>
      </c>
      <c r="E223" s="17">
        <f>IFERROR(__xludf.DUMMYFUNCTION("""COMPUTED_VALUE"""),44725.0)</f>
        <v>44725</v>
      </c>
      <c r="F223" s="54"/>
      <c r="G223" s="19">
        <f>IFERROR(__xludf.DUMMYFUNCTION("""COMPUTED_VALUE"""),51.766666666666666)</f>
        <v>51.76666667</v>
      </c>
      <c r="H223" s="17">
        <f>IFERROR(__xludf.DUMMYFUNCTION("""COMPUTED_VALUE"""),42095.0)</f>
        <v>42095</v>
      </c>
      <c r="I223" s="19">
        <f>IFERROR(__xludf.DUMMYFUNCTION("""COMPUTED_VALUE"""),7.2)</f>
        <v>7.2</v>
      </c>
      <c r="J223" s="21">
        <f>IFERROR(__xludf.DUMMYFUNCTION("""COMPUTED_VALUE"""),63.0)</f>
        <v>63</v>
      </c>
      <c r="K223" s="23">
        <f>IFERROR(__xludf.DUMMYFUNCTION("""COMPUTED_VALUE"""),7.0)</f>
        <v>7</v>
      </c>
      <c r="L223" s="24">
        <f>IFERROR(__xludf.DUMMYFUNCTION("""COMPUTED_VALUE"""),10.0)</f>
        <v>10</v>
      </c>
      <c r="M223" s="25" t="str">
        <f>IFERROR(__xludf.DUMMYFUNCTION("""COMPUTED_VALUE"""),"Visual Novel")</f>
        <v>Visual Novel</v>
      </c>
      <c r="N223" s="25" t="str">
        <f>IFERROR(__xludf.DUMMYFUNCTION("""COMPUTED_VALUE"""),"PS3")</f>
        <v>PS3</v>
      </c>
      <c r="O223" s="26" t="str">
        <f>IFERROR(__xludf.DUMMYFUNCTION("""COMPUTED_VALUE"""),"Yes")</f>
        <v>Yes</v>
      </c>
      <c r="P223" s="26" t="str">
        <f>IFERROR(__xludf.DUMMYFUNCTION("""COMPUTED_VALUE"""),"")</f>
        <v/>
      </c>
    </row>
    <row r="224">
      <c r="A224" s="13" t="str">
        <f>IFERROR(__xludf.DUMMYFUNCTION("""COMPUTED_VALUE"""),"Castlevania: Lords of Shadow 2")</f>
        <v>Castlevania: Lords of Shadow 2</v>
      </c>
      <c r="B224" s="15" t="str">
        <f>IFERROR(__xludf.DUMMYFUNCTION("""COMPUTED_VALUE"""),"PS5/PS4")</f>
        <v>PS5/PS4</v>
      </c>
      <c r="C224" s="16" t="str">
        <f>IFERROR(__xludf.DUMMYFUNCTION("""COMPUTED_VALUE"""),"Premium (Streaming Only)")</f>
        <v>Premium (Streaming Only)</v>
      </c>
      <c r="D224" s="15" t="str">
        <f>IFERROR(__xludf.DUMMYFUNCTION("""COMPUTED_VALUE"""),"Active")</f>
        <v>Active</v>
      </c>
      <c r="E224" s="17">
        <f>IFERROR(__xludf.DUMMYFUNCTION("""COMPUTED_VALUE"""),43683.0)</f>
        <v>43683</v>
      </c>
      <c r="F224" s="54"/>
      <c r="G224" s="19">
        <f>IFERROR(__xludf.DUMMYFUNCTION("""COMPUTED_VALUE"""),86.0)</f>
        <v>86</v>
      </c>
      <c r="H224" s="17">
        <f>IFERROR(__xludf.DUMMYFUNCTION("""COMPUTED_VALUE"""),41699.0)</f>
        <v>41699</v>
      </c>
      <c r="I224" s="19">
        <f>IFERROR(__xludf.DUMMYFUNCTION("""COMPUTED_VALUE"""),5.430555555555555)</f>
        <v>5.430555556</v>
      </c>
      <c r="J224" s="21">
        <f>IFERROR(__xludf.DUMMYFUNCTION("""COMPUTED_VALUE"""),63.0)</f>
        <v>63</v>
      </c>
      <c r="K224" s="23">
        <f>IFERROR(__xludf.DUMMYFUNCTION("""COMPUTED_VALUE"""),6.4)</f>
        <v>6.4</v>
      </c>
      <c r="L224" s="24">
        <f>IFERROR(__xludf.DUMMYFUNCTION("""COMPUTED_VALUE"""),16.0)</f>
        <v>16</v>
      </c>
      <c r="M224" s="25" t="str">
        <f>IFERROR(__xludf.DUMMYFUNCTION("""COMPUTED_VALUE"""),"Action-Adventure")</f>
        <v>Action-Adventure</v>
      </c>
      <c r="N224" s="25" t="str">
        <f>IFERROR(__xludf.DUMMYFUNCTION("""COMPUTED_VALUE"""),"PS3")</f>
        <v>PS3</v>
      </c>
      <c r="O224" s="26" t="str">
        <f>IFERROR(__xludf.DUMMYFUNCTION("""COMPUTED_VALUE"""),"Yes")</f>
        <v>Yes</v>
      </c>
      <c r="P224" s="26" t="str">
        <f>IFERROR(__xludf.DUMMYFUNCTION("""COMPUTED_VALUE"""),"")</f>
        <v/>
      </c>
    </row>
    <row r="225">
      <c r="A225" s="13" t="str">
        <f>IFERROR(__xludf.DUMMYFUNCTION("""COMPUTED_VALUE"""),"Cars Mater-National Championship")</f>
        <v>Cars Mater-National Championship</v>
      </c>
      <c r="B225" s="15" t="str">
        <f>IFERROR(__xludf.DUMMYFUNCTION("""COMPUTED_VALUE"""),"PS5/PS4")</f>
        <v>PS5/PS4</v>
      </c>
      <c r="C225" s="16" t="str">
        <f>IFERROR(__xludf.DUMMYFUNCTION("""COMPUTED_VALUE"""),"Premium (Streaming Only)")</f>
        <v>Premium (Streaming Only)</v>
      </c>
      <c r="D225" s="15" t="str">
        <f>IFERROR(__xludf.DUMMYFUNCTION("""COMPUTED_VALUE"""),"Active")</f>
        <v>Active</v>
      </c>
      <c r="E225" s="17">
        <f>IFERROR(__xludf.DUMMYFUNCTION("""COMPUTED_VALUE"""),42895.0)</f>
        <v>42895</v>
      </c>
      <c r="F225" s="54"/>
      <c r="G225" s="19">
        <f>IFERROR(__xludf.DUMMYFUNCTION("""COMPUTED_VALUE"""),111.89999999999999)</f>
        <v>111.9</v>
      </c>
      <c r="H225" s="17">
        <f>IFERROR(__xludf.DUMMYFUNCTION("""COMPUTED_VALUE"""),39356.0)</f>
        <v>39356</v>
      </c>
      <c r="I225" s="19">
        <f>IFERROR(__xludf.DUMMYFUNCTION("""COMPUTED_VALUE"""),9.688888888888888)</f>
        <v>9.688888889</v>
      </c>
      <c r="J225" s="21">
        <f>IFERROR(__xludf.DUMMYFUNCTION("""COMPUTED_VALUE"""),63.0)</f>
        <v>63</v>
      </c>
      <c r="K225" s="23">
        <f>IFERROR(__xludf.DUMMYFUNCTION("""COMPUTED_VALUE"""),7.1)</f>
        <v>7.1</v>
      </c>
      <c r="L225" s="24">
        <f>IFERROR(__xludf.DUMMYFUNCTION("""COMPUTED_VALUE"""),7.0)</f>
        <v>7</v>
      </c>
      <c r="M225" s="25" t="str">
        <f>IFERROR(__xludf.DUMMYFUNCTION("""COMPUTED_VALUE"""),"Racing")</f>
        <v>Racing</v>
      </c>
      <c r="N225" s="25" t="str">
        <f>IFERROR(__xludf.DUMMYFUNCTION("""COMPUTED_VALUE"""),"PS3")</f>
        <v>PS3</v>
      </c>
      <c r="O225" s="26" t="str">
        <f>IFERROR(__xludf.DUMMYFUNCTION("""COMPUTED_VALUE"""),"Yes")</f>
        <v>Yes</v>
      </c>
      <c r="P225" s="26" t="str">
        <f>IFERROR(__xludf.DUMMYFUNCTION("""COMPUTED_VALUE"""),"")</f>
        <v/>
      </c>
    </row>
    <row r="226">
      <c r="A226" s="13" t="str">
        <f>IFERROR(__xludf.DUMMYFUNCTION("""COMPUTED_VALUE"""),"Phineas and Ferb: Across the 2nd Dimension")</f>
        <v>Phineas and Ferb: Across the 2nd Dimension</v>
      </c>
      <c r="B226" s="15" t="str">
        <f>IFERROR(__xludf.DUMMYFUNCTION("""COMPUTED_VALUE"""),"PS5/PS4")</f>
        <v>PS5/PS4</v>
      </c>
      <c r="C226" s="16" t="str">
        <f>IFERROR(__xludf.DUMMYFUNCTION("""COMPUTED_VALUE"""),"Premium (Streaming Only)")</f>
        <v>Premium (Streaming Only)</v>
      </c>
      <c r="D226" s="15" t="str">
        <f>IFERROR(__xludf.DUMMYFUNCTION("""COMPUTED_VALUE"""),"Active")</f>
        <v>Active</v>
      </c>
      <c r="E226" s="17">
        <f>IFERROR(__xludf.DUMMYFUNCTION("""COMPUTED_VALUE"""),42895.0)</f>
        <v>42895</v>
      </c>
      <c r="F226" s="18"/>
      <c r="G226" s="19">
        <f>IFERROR(__xludf.DUMMYFUNCTION("""COMPUTED_VALUE"""),111.89999999999999)</f>
        <v>111.9</v>
      </c>
      <c r="H226" s="17">
        <f>IFERROR(__xludf.DUMMYFUNCTION("""COMPUTED_VALUE"""),40756.0)</f>
        <v>40756</v>
      </c>
      <c r="I226" s="19">
        <f>IFERROR(__xludf.DUMMYFUNCTION("""COMPUTED_VALUE"""),5.855555555555555)</f>
        <v>5.855555556</v>
      </c>
      <c r="J226" s="21">
        <f>IFERROR(__xludf.DUMMYFUNCTION("""COMPUTED_VALUE"""),63.0)</f>
        <v>63</v>
      </c>
      <c r="K226" s="23">
        <f>IFERROR(__xludf.DUMMYFUNCTION("""COMPUTED_VALUE"""),6.8)</f>
        <v>6.8</v>
      </c>
      <c r="L226" s="24">
        <f>IFERROR(__xludf.DUMMYFUNCTION("""COMPUTED_VALUE"""),6.0)</f>
        <v>6</v>
      </c>
      <c r="M226" s="25" t="str">
        <f>IFERROR(__xludf.DUMMYFUNCTION("""COMPUTED_VALUE"""),"Action-Adventure")</f>
        <v>Action-Adventure</v>
      </c>
      <c r="N226" s="25" t="str">
        <f>IFERROR(__xludf.DUMMYFUNCTION("""COMPUTED_VALUE"""),"PS3")</f>
        <v>PS3</v>
      </c>
      <c r="O226" s="26" t="str">
        <f>IFERROR(__xludf.DUMMYFUNCTION("""COMPUTED_VALUE"""),"Yes")</f>
        <v>Yes</v>
      </c>
      <c r="P226" s="26" t="str">
        <f>IFERROR(__xludf.DUMMYFUNCTION("""COMPUTED_VALUE"""),"")</f>
        <v/>
      </c>
    </row>
    <row r="227">
      <c r="A227" s="13" t="str">
        <f>IFERROR(__xludf.DUMMYFUNCTION("""COMPUTED_VALUE"""),"Sacred Citadel")</f>
        <v>Sacred Citadel</v>
      </c>
      <c r="B227" s="15" t="str">
        <f>IFERROR(__xludf.DUMMYFUNCTION("""COMPUTED_VALUE"""),"PS5/PS4")</f>
        <v>PS5/PS4</v>
      </c>
      <c r="C227" s="16" t="str">
        <f>IFERROR(__xludf.DUMMYFUNCTION("""COMPUTED_VALUE"""),"Premium (Streaming Only)")</f>
        <v>Premium (Streaming Only)</v>
      </c>
      <c r="D227" s="15" t="str">
        <f>IFERROR(__xludf.DUMMYFUNCTION("""COMPUTED_VALUE"""),"Active")</f>
        <v>Active</v>
      </c>
      <c r="E227" s="17">
        <f>IFERROR(__xludf.DUMMYFUNCTION("""COMPUTED_VALUE"""),42402.0)</f>
        <v>42402</v>
      </c>
      <c r="F227" s="54"/>
      <c r="G227" s="19">
        <f>IFERROR(__xludf.DUMMYFUNCTION("""COMPUTED_VALUE"""),128.13333333333333)</f>
        <v>128.1333333</v>
      </c>
      <c r="H227" s="17">
        <f>IFERROR(__xludf.DUMMYFUNCTION("""COMPUTED_VALUE"""),41381.0)</f>
        <v>41381</v>
      </c>
      <c r="I227" s="19">
        <f>IFERROR(__xludf.DUMMYFUNCTION("""COMPUTED_VALUE"""),2.7916666666666665)</f>
        <v>2.791666667</v>
      </c>
      <c r="J227" s="21">
        <f>IFERROR(__xludf.DUMMYFUNCTION("""COMPUTED_VALUE"""),63.0)</f>
        <v>63</v>
      </c>
      <c r="K227" s="23">
        <f>IFERROR(__xludf.DUMMYFUNCTION("""COMPUTED_VALUE"""),6.3)</f>
        <v>6.3</v>
      </c>
      <c r="L227" s="24">
        <f>IFERROR(__xludf.DUMMYFUNCTION("""COMPUTED_VALUE"""),5.0)</f>
        <v>5</v>
      </c>
      <c r="M227" s="25" t="str">
        <f>IFERROR(__xludf.DUMMYFUNCTION("""COMPUTED_VALUE"""),"Action-Adventure")</f>
        <v>Action-Adventure</v>
      </c>
      <c r="N227" s="25" t="str">
        <f>IFERROR(__xludf.DUMMYFUNCTION("""COMPUTED_VALUE"""),"PS3")</f>
        <v>PS3</v>
      </c>
      <c r="O227" s="26" t="str">
        <f>IFERROR(__xludf.DUMMYFUNCTION("""COMPUTED_VALUE"""),"Yes")</f>
        <v>Yes</v>
      </c>
      <c r="P227" s="26"/>
    </row>
    <row r="228">
      <c r="A228" s="13" t="str">
        <f>IFERROR(__xludf.DUMMYFUNCTION("""COMPUTED_VALUE"""),"Wakeboarding HD")</f>
        <v>Wakeboarding HD</v>
      </c>
      <c r="B228" s="15" t="str">
        <f>IFERROR(__xludf.DUMMYFUNCTION("""COMPUTED_VALUE"""),"PS5/PS4")</f>
        <v>PS5/PS4</v>
      </c>
      <c r="C228" s="16" t="str">
        <f>IFERROR(__xludf.DUMMYFUNCTION("""COMPUTED_VALUE"""),"Premium (Streaming Only)")</f>
        <v>Premium (Streaming Only)</v>
      </c>
      <c r="D228" s="15" t="str">
        <f>IFERROR(__xludf.DUMMYFUNCTION("""COMPUTED_VALUE"""),"Active")</f>
        <v>Active</v>
      </c>
      <c r="E228" s="17">
        <f>IFERROR(__xludf.DUMMYFUNCTION("""COMPUTED_VALUE"""),42374.0)</f>
        <v>42374</v>
      </c>
      <c r="F228" s="54"/>
      <c r="G228" s="19">
        <f>IFERROR(__xludf.DUMMYFUNCTION("""COMPUTED_VALUE"""),129.03333333333333)</f>
        <v>129.0333333</v>
      </c>
      <c r="H228" s="17">
        <f>IFERROR(__xludf.DUMMYFUNCTION("""COMPUTED_VALUE"""),41506.0)</f>
        <v>41506</v>
      </c>
      <c r="I228" s="19">
        <f>IFERROR(__xludf.DUMMYFUNCTION("""COMPUTED_VALUE"""),2.375)</f>
        <v>2.375</v>
      </c>
      <c r="J228" s="21">
        <f>IFERROR(__xludf.DUMMYFUNCTION("""COMPUTED_VALUE"""),63.0)</f>
        <v>63</v>
      </c>
      <c r="K228" s="23"/>
      <c r="L228" s="24">
        <f>IFERROR(__xludf.DUMMYFUNCTION("""COMPUTED_VALUE"""),3.0)</f>
        <v>3</v>
      </c>
      <c r="M228" s="25" t="str">
        <f>IFERROR(__xludf.DUMMYFUNCTION("""COMPUTED_VALUE"""),"Sports")</f>
        <v>Sports</v>
      </c>
      <c r="N228" s="25" t="str">
        <f>IFERROR(__xludf.DUMMYFUNCTION("""COMPUTED_VALUE"""),"PS3")</f>
        <v>PS3</v>
      </c>
      <c r="O228" s="26" t="str">
        <f>IFERROR(__xludf.DUMMYFUNCTION("""COMPUTED_VALUE"""),"Yes")</f>
        <v>Yes</v>
      </c>
      <c r="P228" s="26" t="str">
        <f>IFERROR(__xludf.DUMMYFUNCTION("""COMPUTED_VALUE"""),"")</f>
        <v/>
      </c>
    </row>
    <row r="229">
      <c r="A229" s="13" t="str">
        <f>IFERROR(__xludf.DUMMYFUNCTION("""COMPUTED_VALUE"""),"Zombie Tycoon 2: Brainhov's Revenge")</f>
        <v>Zombie Tycoon 2: Brainhov's Revenge</v>
      </c>
      <c r="B229" s="15" t="str">
        <f>IFERROR(__xludf.DUMMYFUNCTION("""COMPUTED_VALUE"""),"PS5/PS4")</f>
        <v>PS5/PS4</v>
      </c>
      <c r="C229" s="16" t="str">
        <f>IFERROR(__xludf.DUMMYFUNCTION("""COMPUTED_VALUE"""),"Premium (Streaming Only)")</f>
        <v>Premium (Streaming Only)</v>
      </c>
      <c r="D229" s="15" t="str">
        <f>IFERROR(__xludf.DUMMYFUNCTION("""COMPUTED_VALUE"""),"Active")</f>
        <v>Active</v>
      </c>
      <c r="E229" s="17">
        <f>IFERROR(__xludf.DUMMYFUNCTION("""COMPUTED_VALUE"""),42374.0)</f>
        <v>42374</v>
      </c>
      <c r="F229" s="54"/>
      <c r="G229" s="19">
        <f>IFERROR(__xludf.DUMMYFUNCTION("""COMPUTED_VALUE"""),129.03333333333333)</f>
        <v>129.0333333</v>
      </c>
      <c r="H229" s="17">
        <f>IFERROR(__xludf.DUMMYFUNCTION("""COMPUTED_VALUE"""),41365.0)</f>
        <v>41365</v>
      </c>
      <c r="I229" s="19">
        <f>IFERROR(__xludf.DUMMYFUNCTION("""COMPUTED_VALUE"""),2.761111111111111)</f>
        <v>2.761111111</v>
      </c>
      <c r="J229" s="21">
        <f>IFERROR(__xludf.DUMMYFUNCTION("""COMPUTED_VALUE"""),63.0)</f>
        <v>63</v>
      </c>
      <c r="K229" s="23">
        <f>IFERROR(__xludf.DUMMYFUNCTION("""COMPUTED_VALUE"""),7.2)</f>
        <v>7.2</v>
      </c>
      <c r="L229" s="24">
        <f>IFERROR(__xludf.DUMMYFUNCTION("""COMPUTED_VALUE"""),5.0)</f>
        <v>5</v>
      </c>
      <c r="M229" s="25" t="str">
        <f>IFERROR(__xludf.DUMMYFUNCTION("""COMPUTED_VALUE"""),"Strategy")</f>
        <v>Strategy</v>
      </c>
      <c r="N229" s="25" t="str">
        <f>IFERROR(__xludf.DUMMYFUNCTION("""COMPUTED_VALUE"""),"PS3")</f>
        <v>PS3</v>
      </c>
      <c r="O229" s="26" t="str">
        <f>IFERROR(__xludf.DUMMYFUNCTION("""COMPUTED_VALUE"""),"Yes")</f>
        <v>Yes</v>
      </c>
      <c r="P229" s="26" t="str">
        <f>IFERROR(__xludf.DUMMYFUNCTION("""COMPUTED_VALUE"""),"")</f>
        <v/>
      </c>
    </row>
    <row r="230">
      <c r="A230" s="13" t="str">
        <f>IFERROR(__xludf.DUMMYFUNCTION("""COMPUTED_VALUE"""),"Bionic Commando: Rearmed 2")</f>
        <v>Bionic Commando: Rearmed 2</v>
      </c>
      <c r="B230" s="15" t="str">
        <f>IFERROR(__xludf.DUMMYFUNCTION("""COMPUTED_VALUE"""),"PS5/PS4")</f>
        <v>PS5/PS4</v>
      </c>
      <c r="C230" s="16" t="str">
        <f>IFERROR(__xludf.DUMMYFUNCTION("""COMPUTED_VALUE"""),"Premium (Streaming Only)")</f>
        <v>Premium (Streaming Only)</v>
      </c>
      <c r="D230" s="15" t="str">
        <f>IFERROR(__xludf.DUMMYFUNCTION("""COMPUTED_VALUE"""),"Active")</f>
        <v>Active</v>
      </c>
      <c r="E230" s="17">
        <f>IFERROR(__xludf.DUMMYFUNCTION("""COMPUTED_VALUE"""),42311.0)</f>
        <v>42311</v>
      </c>
      <c r="F230" s="54"/>
      <c r="G230" s="19">
        <f>IFERROR(__xludf.DUMMYFUNCTION("""COMPUTED_VALUE"""),131.10000000000002)</f>
        <v>131.1</v>
      </c>
      <c r="H230" s="17">
        <f>IFERROR(__xludf.DUMMYFUNCTION("""COMPUTED_VALUE"""),40575.0)</f>
        <v>40575</v>
      </c>
      <c r="I230" s="19">
        <f>IFERROR(__xludf.DUMMYFUNCTION("""COMPUTED_VALUE"""),4.7555555555555555)</f>
        <v>4.755555556</v>
      </c>
      <c r="J230" s="21">
        <f>IFERROR(__xludf.DUMMYFUNCTION("""COMPUTED_VALUE"""),63.0)</f>
        <v>63</v>
      </c>
      <c r="K230" s="23">
        <f>IFERROR(__xludf.DUMMYFUNCTION("""COMPUTED_VALUE"""),5.7)</f>
        <v>5.7</v>
      </c>
      <c r="L230" s="24">
        <f>IFERROR(__xludf.DUMMYFUNCTION("""COMPUTED_VALUE"""),5.0)</f>
        <v>5</v>
      </c>
      <c r="M230" s="25" t="str">
        <f>IFERROR(__xludf.DUMMYFUNCTION("""COMPUTED_VALUE"""),"Platformer")</f>
        <v>Platformer</v>
      </c>
      <c r="N230" s="25" t="str">
        <f>IFERROR(__xludf.DUMMYFUNCTION("""COMPUTED_VALUE"""),"PS3")</f>
        <v>PS3</v>
      </c>
      <c r="O230" s="26" t="str">
        <f>IFERROR(__xludf.DUMMYFUNCTION("""COMPUTED_VALUE"""),"Yes")</f>
        <v>Yes</v>
      </c>
      <c r="P230" s="26" t="str">
        <f>IFERROR(__xludf.DUMMYFUNCTION("""COMPUTED_VALUE"""),"Yes")</f>
        <v>Yes</v>
      </c>
    </row>
    <row r="231">
      <c r="A231" s="13" t="str">
        <f>IFERROR(__xludf.DUMMYFUNCTION("""COMPUTED_VALUE"""),"AFRIKA")</f>
        <v>AFRIKA</v>
      </c>
      <c r="B231" s="15" t="str">
        <f>IFERROR(__xludf.DUMMYFUNCTION("""COMPUTED_VALUE"""),"PS5/PS4")</f>
        <v>PS5/PS4</v>
      </c>
      <c r="C231" s="16" t="str">
        <f>IFERROR(__xludf.DUMMYFUNCTION("""COMPUTED_VALUE"""),"Premium (Streaming Only)")</f>
        <v>Premium (Streaming Only)</v>
      </c>
      <c r="D231" s="15" t="str">
        <f>IFERROR(__xludf.DUMMYFUNCTION("""COMPUTED_VALUE"""),"Active")</f>
        <v>Active</v>
      </c>
      <c r="E231" s="17">
        <f>IFERROR(__xludf.DUMMYFUNCTION("""COMPUTED_VALUE"""),42017.0)</f>
        <v>42017</v>
      </c>
      <c r="F231" s="54"/>
      <c r="G231" s="19">
        <f>IFERROR(__xludf.DUMMYFUNCTION("""COMPUTED_VALUE"""),140.76666666666668)</f>
        <v>140.7666667</v>
      </c>
      <c r="H231" s="17">
        <f>IFERROR(__xludf.DUMMYFUNCTION("""COMPUTED_VALUE"""),39661.0)</f>
        <v>39661</v>
      </c>
      <c r="I231" s="19">
        <f>IFERROR(__xludf.DUMMYFUNCTION("""COMPUTED_VALUE"""),6.45)</f>
        <v>6.45</v>
      </c>
      <c r="J231" s="21">
        <f>IFERROR(__xludf.DUMMYFUNCTION("""COMPUTED_VALUE"""),63.0)</f>
        <v>63</v>
      </c>
      <c r="K231" s="23">
        <f>IFERROR(__xludf.DUMMYFUNCTION("""COMPUTED_VALUE"""),6.2)</f>
        <v>6.2</v>
      </c>
      <c r="L231" s="24">
        <f>IFERROR(__xludf.DUMMYFUNCTION("""COMPUTED_VALUE"""),10.0)</f>
        <v>10</v>
      </c>
      <c r="M231" s="25" t="str">
        <f>IFERROR(__xludf.DUMMYFUNCTION("""COMPUTED_VALUE"""),"Simulation")</f>
        <v>Simulation</v>
      </c>
      <c r="N231" s="25" t="str">
        <f>IFERROR(__xludf.DUMMYFUNCTION("""COMPUTED_VALUE"""),"PS3")</f>
        <v>PS3</v>
      </c>
      <c r="O231" s="26" t="str">
        <f>IFERROR(__xludf.DUMMYFUNCTION("""COMPUTED_VALUE"""),"Yes")</f>
        <v>Yes</v>
      </c>
      <c r="P231" s="26" t="str">
        <f>IFERROR(__xludf.DUMMYFUNCTION("""COMPUTED_VALUE"""),"")</f>
        <v/>
      </c>
    </row>
    <row r="232">
      <c r="A232" s="13" t="str">
        <f>IFERROR(__xludf.DUMMYFUNCTION("""COMPUTED_VALUE"""),"Dynasty Warriors 7: Empires")</f>
        <v>Dynasty Warriors 7: Empires</v>
      </c>
      <c r="B232" s="15" t="str">
        <f>IFERROR(__xludf.DUMMYFUNCTION("""COMPUTED_VALUE"""),"PS5/PS4")</f>
        <v>PS5/PS4</v>
      </c>
      <c r="C232" s="16" t="str">
        <f>IFERROR(__xludf.DUMMYFUNCTION("""COMPUTED_VALUE"""),"Premium (Streaming Only)")</f>
        <v>Premium (Streaming Only)</v>
      </c>
      <c r="D232" s="15" t="str">
        <f>IFERROR(__xludf.DUMMYFUNCTION("""COMPUTED_VALUE"""),"Active")</f>
        <v>Active</v>
      </c>
      <c r="E232" s="17">
        <f>IFERROR(__xludf.DUMMYFUNCTION("""COMPUTED_VALUE"""),42017.0)</f>
        <v>42017</v>
      </c>
      <c r="F232" s="54"/>
      <c r="G232" s="19">
        <f>IFERROR(__xludf.DUMMYFUNCTION("""COMPUTED_VALUE"""),140.76666666666668)</f>
        <v>140.7666667</v>
      </c>
      <c r="H232" s="17">
        <f>IFERROR(__xludf.DUMMYFUNCTION("""COMPUTED_VALUE"""),41306.0)</f>
        <v>41306</v>
      </c>
      <c r="I232" s="19">
        <f>IFERROR(__xludf.DUMMYFUNCTION("""COMPUTED_VALUE"""),1.95)</f>
        <v>1.95</v>
      </c>
      <c r="J232" s="21">
        <f>IFERROR(__xludf.DUMMYFUNCTION("""COMPUTED_VALUE"""),63.0)</f>
        <v>63</v>
      </c>
      <c r="K232" s="23">
        <f>IFERROR(__xludf.DUMMYFUNCTION("""COMPUTED_VALUE"""),7.5)</f>
        <v>7.5</v>
      </c>
      <c r="L232" s="24">
        <f>IFERROR(__xludf.DUMMYFUNCTION("""COMPUTED_VALUE"""),25.0)</f>
        <v>25</v>
      </c>
      <c r="M232" s="25" t="str">
        <f>IFERROR(__xludf.DUMMYFUNCTION("""COMPUTED_VALUE"""),"Action-Adventure")</f>
        <v>Action-Adventure</v>
      </c>
      <c r="N232" s="25" t="str">
        <f>IFERROR(__xludf.DUMMYFUNCTION("""COMPUTED_VALUE"""),"PS3")</f>
        <v>PS3</v>
      </c>
      <c r="O232" s="26" t="str">
        <f>IFERROR(__xludf.DUMMYFUNCTION("""COMPUTED_VALUE"""),"Yes")</f>
        <v>Yes</v>
      </c>
      <c r="P232" s="26" t="str">
        <f>IFERROR(__xludf.DUMMYFUNCTION("""COMPUTED_VALUE"""),"")</f>
        <v/>
      </c>
    </row>
    <row r="233">
      <c r="A233" s="13" t="str">
        <f>IFERROR(__xludf.DUMMYFUNCTION("""COMPUTED_VALUE"""),"Earth Defense Force: Insect Armageddon")</f>
        <v>Earth Defense Force: Insect Armageddon</v>
      </c>
      <c r="B233" s="15" t="str">
        <f>IFERROR(__xludf.DUMMYFUNCTION("""COMPUTED_VALUE"""),"PS5/PS4")</f>
        <v>PS5/PS4</v>
      </c>
      <c r="C233" s="16" t="str">
        <f>IFERROR(__xludf.DUMMYFUNCTION("""COMPUTED_VALUE"""),"Premium (Streaming Only)")</f>
        <v>Premium (Streaming Only)</v>
      </c>
      <c r="D233" s="15" t="str">
        <f>IFERROR(__xludf.DUMMYFUNCTION("""COMPUTED_VALUE"""),"Active")</f>
        <v>Active</v>
      </c>
      <c r="E233" s="17">
        <f>IFERROR(__xludf.DUMMYFUNCTION("""COMPUTED_VALUE"""),42017.0)</f>
        <v>42017</v>
      </c>
      <c r="F233" s="54"/>
      <c r="G233" s="19">
        <f>IFERROR(__xludf.DUMMYFUNCTION("""COMPUTED_VALUE"""),140.76666666666668)</f>
        <v>140.7666667</v>
      </c>
      <c r="H233" s="17">
        <f>IFERROR(__xludf.DUMMYFUNCTION("""COMPUTED_VALUE"""),40725.0)</f>
        <v>40725</v>
      </c>
      <c r="I233" s="19">
        <f>IFERROR(__xludf.DUMMYFUNCTION("""COMPUTED_VALUE"""),3.533333333333333)</f>
        <v>3.533333333</v>
      </c>
      <c r="J233" s="21">
        <f>IFERROR(__xludf.DUMMYFUNCTION("""COMPUTED_VALUE"""),63.0)</f>
        <v>63</v>
      </c>
      <c r="K233" s="23">
        <f>IFERROR(__xludf.DUMMYFUNCTION("""COMPUTED_VALUE"""),7.7)</f>
        <v>7.7</v>
      </c>
      <c r="L233" s="24">
        <f>IFERROR(__xludf.DUMMYFUNCTION("""COMPUTED_VALUE"""),7.0)</f>
        <v>7</v>
      </c>
      <c r="M233" s="25" t="str">
        <f>IFERROR(__xludf.DUMMYFUNCTION("""COMPUTED_VALUE"""),"Shooter")</f>
        <v>Shooter</v>
      </c>
      <c r="N233" s="25" t="str">
        <f>IFERROR(__xludf.DUMMYFUNCTION("""COMPUTED_VALUE"""),"PS3")</f>
        <v>PS3</v>
      </c>
      <c r="O233" s="26" t="str">
        <f>IFERROR(__xludf.DUMMYFUNCTION("""COMPUTED_VALUE"""),"Yes")</f>
        <v>Yes</v>
      </c>
      <c r="P233" s="26" t="str">
        <f>IFERROR(__xludf.DUMMYFUNCTION("""COMPUTED_VALUE"""),"")</f>
        <v/>
      </c>
    </row>
    <row r="234">
      <c r="A234" s="13" t="str">
        <f>IFERROR(__xludf.DUMMYFUNCTION("""COMPUTED_VALUE"""),"Judge Dee: The City God Case")</f>
        <v>Judge Dee: The City God Case</v>
      </c>
      <c r="B234" s="15" t="str">
        <f>IFERROR(__xludf.DUMMYFUNCTION("""COMPUTED_VALUE"""),"PS5/PS4")</f>
        <v>PS5/PS4</v>
      </c>
      <c r="C234" s="16" t="str">
        <f>IFERROR(__xludf.DUMMYFUNCTION("""COMPUTED_VALUE"""),"Premium (Streaming Only)")</f>
        <v>Premium (Streaming Only)</v>
      </c>
      <c r="D234" s="15" t="str">
        <f>IFERROR(__xludf.DUMMYFUNCTION("""COMPUTED_VALUE"""),"Active")</f>
        <v>Active</v>
      </c>
      <c r="E234" s="17">
        <f>IFERROR(__xludf.DUMMYFUNCTION("""COMPUTED_VALUE"""),42017.0)</f>
        <v>42017</v>
      </c>
      <c r="F234" s="54"/>
      <c r="G234" s="19">
        <f>IFERROR(__xludf.DUMMYFUNCTION("""COMPUTED_VALUE"""),140.76666666666668)</f>
        <v>140.7666667</v>
      </c>
      <c r="H234" s="17">
        <f>IFERROR(__xludf.DUMMYFUNCTION("""COMPUTED_VALUE"""),41928.0)</f>
        <v>41928</v>
      </c>
      <c r="I234" s="19">
        <f>IFERROR(__xludf.DUMMYFUNCTION("""COMPUTED_VALUE"""),0.24166666666666667)</f>
        <v>0.2416666667</v>
      </c>
      <c r="J234" s="21">
        <f>IFERROR(__xludf.DUMMYFUNCTION("""COMPUTED_VALUE"""),63.0)</f>
        <v>63</v>
      </c>
      <c r="K234" s="23">
        <f>IFERROR(__xludf.DUMMYFUNCTION("""COMPUTED_VALUE"""),6.5)</f>
        <v>6.5</v>
      </c>
      <c r="L234" s="24">
        <f>IFERROR(__xludf.DUMMYFUNCTION("""COMPUTED_VALUE"""),5.0)</f>
        <v>5</v>
      </c>
      <c r="M234" s="25" t="str">
        <f>IFERROR(__xludf.DUMMYFUNCTION("""COMPUTED_VALUE"""),"Adventure")</f>
        <v>Adventure</v>
      </c>
      <c r="N234" s="25" t="str">
        <f>IFERROR(__xludf.DUMMYFUNCTION("""COMPUTED_VALUE"""),"PS3")</f>
        <v>PS3</v>
      </c>
      <c r="O234" s="26" t="str">
        <f>IFERROR(__xludf.DUMMYFUNCTION("""COMPUTED_VALUE"""),"Yes")</f>
        <v>Yes</v>
      </c>
      <c r="P234" s="26" t="str">
        <f>IFERROR(__xludf.DUMMYFUNCTION("""COMPUTED_VALUE"""),"")</f>
        <v/>
      </c>
    </row>
    <row r="235">
      <c r="A235" s="13" t="str">
        <f>IFERROR(__xludf.DUMMYFUNCTION("""COMPUTED_VALUE"""),"Resident Evil 6")</f>
        <v>Resident Evil 6</v>
      </c>
      <c r="B235" s="15" t="str">
        <f>IFERROR(__xludf.DUMMYFUNCTION("""COMPUTED_VALUE"""),"PS5/PS4")</f>
        <v>PS5/PS4</v>
      </c>
      <c r="C235" s="16" t="str">
        <f>IFERROR(__xludf.DUMMYFUNCTION("""COMPUTED_VALUE"""),"Premium (Streaming Only)")</f>
        <v>Premium (Streaming Only)</v>
      </c>
      <c r="D235" s="15" t="str">
        <f>IFERROR(__xludf.DUMMYFUNCTION("""COMPUTED_VALUE"""),"Active")</f>
        <v>Active</v>
      </c>
      <c r="E235" s="17">
        <f>IFERROR(__xludf.DUMMYFUNCTION("""COMPUTED_VALUE"""),42017.0)</f>
        <v>42017</v>
      </c>
      <c r="F235" s="54"/>
      <c r="G235" s="19">
        <f>IFERROR(__xludf.DUMMYFUNCTION("""COMPUTED_VALUE"""),140.76666666666668)</f>
        <v>140.7666667</v>
      </c>
      <c r="H235" s="17">
        <f>IFERROR(__xludf.DUMMYFUNCTION("""COMPUTED_VALUE"""),41184.0)</f>
        <v>41184</v>
      </c>
      <c r="I235" s="19">
        <f>IFERROR(__xludf.DUMMYFUNCTION("""COMPUTED_VALUE"""),2.2805555555555554)</f>
        <v>2.280555556</v>
      </c>
      <c r="J235" s="21">
        <f>IFERROR(__xludf.DUMMYFUNCTION("""COMPUTED_VALUE"""),63.0)</f>
        <v>63</v>
      </c>
      <c r="K235" s="23">
        <f>IFERROR(__xludf.DUMMYFUNCTION("""COMPUTED_VALUE"""),6.1)</f>
        <v>6.1</v>
      </c>
      <c r="L235" s="24">
        <f>IFERROR(__xludf.DUMMYFUNCTION("""COMPUTED_VALUE"""),21.5)</f>
        <v>21.5</v>
      </c>
      <c r="M235" s="25" t="str">
        <f>IFERROR(__xludf.DUMMYFUNCTION("""COMPUTED_VALUE"""),"Shooter")</f>
        <v>Shooter</v>
      </c>
      <c r="N235" s="25" t="str">
        <f>IFERROR(__xludf.DUMMYFUNCTION("""COMPUTED_VALUE"""),"PS3")</f>
        <v>PS3</v>
      </c>
      <c r="O235" s="26" t="str">
        <f>IFERROR(__xludf.DUMMYFUNCTION("""COMPUTED_VALUE"""),"Yes")</f>
        <v>Yes</v>
      </c>
      <c r="P235" s="26"/>
    </row>
    <row r="236">
      <c r="A236" s="13" t="str">
        <f>IFERROR(__xludf.DUMMYFUNCTION("""COMPUTED_VALUE"""),"Soldner-X: Himmelssturmer")</f>
        <v>Soldner-X: Himmelssturmer</v>
      </c>
      <c r="B236" s="15" t="str">
        <f>IFERROR(__xludf.DUMMYFUNCTION("""COMPUTED_VALUE"""),"PS5/PS4")</f>
        <v>PS5/PS4</v>
      </c>
      <c r="C236" s="16" t="str">
        <f>IFERROR(__xludf.DUMMYFUNCTION("""COMPUTED_VALUE"""),"Premium (Streaming Only)")</f>
        <v>Premium (Streaming Only)</v>
      </c>
      <c r="D236" s="15" t="str">
        <f>IFERROR(__xludf.DUMMYFUNCTION("""COMPUTED_VALUE"""),"Active")</f>
        <v>Active</v>
      </c>
      <c r="E236" s="17">
        <f>IFERROR(__xludf.DUMMYFUNCTION("""COMPUTED_VALUE"""),42017.0)</f>
        <v>42017</v>
      </c>
      <c r="F236" s="54"/>
      <c r="G236" s="19">
        <f>IFERROR(__xludf.DUMMYFUNCTION("""COMPUTED_VALUE"""),140.76666666666668)</f>
        <v>140.7666667</v>
      </c>
      <c r="H236" s="17">
        <f>IFERROR(__xludf.DUMMYFUNCTION("""COMPUTED_VALUE"""),39783.0)</f>
        <v>39783</v>
      </c>
      <c r="I236" s="19">
        <f>IFERROR(__xludf.DUMMYFUNCTION("""COMPUTED_VALUE"""),6.116666666666666)</f>
        <v>6.116666667</v>
      </c>
      <c r="J236" s="21">
        <f>IFERROR(__xludf.DUMMYFUNCTION("""COMPUTED_VALUE"""),63.0)</f>
        <v>63</v>
      </c>
      <c r="K236" s="23">
        <f>IFERROR(__xludf.DUMMYFUNCTION("""COMPUTED_VALUE"""),7.4)</f>
        <v>7.4</v>
      </c>
      <c r="L236" s="24">
        <f>IFERROR(__xludf.DUMMYFUNCTION("""COMPUTED_VALUE"""),5.0)</f>
        <v>5</v>
      </c>
      <c r="M236" s="25" t="str">
        <f>IFERROR(__xludf.DUMMYFUNCTION("""COMPUTED_VALUE"""),"Shooter")</f>
        <v>Shooter</v>
      </c>
      <c r="N236" s="25" t="str">
        <f>IFERROR(__xludf.DUMMYFUNCTION("""COMPUTED_VALUE"""),"PS3")</f>
        <v>PS3</v>
      </c>
      <c r="O236" s="26" t="str">
        <f>IFERROR(__xludf.DUMMYFUNCTION("""COMPUTED_VALUE"""),"Yes")</f>
        <v>Yes</v>
      </c>
      <c r="P236" s="26" t="str">
        <f>IFERROR(__xludf.DUMMYFUNCTION("""COMPUTED_VALUE"""),"")</f>
        <v/>
      </c>
    </row>
    <row r="237">
      <c r="A237" s="13" t="str">
        <f>IFERROR(__xludf.DUMMYFUNCTION("""COMPUTED_VALUE"""),"Star Wars: The Force Unleashed II")</f>
        <v>Star Wars: The Force Unleashed II</v>
      </c>
      <c r="B237" s="15" t="str">
        <f>IFERROR(__xludf.DUMMYFUNCTION("""COMPUTED_VALUE"""),"PS5/PS4")</f>
        <v>PS5/PS4</v>
      </c>
      <c r="C237" s="16" t="str">
        <f>IFERROR(__xludf.DUMMYFUNCTION("""COMPUTED_VALUE"""),"Premium (Streaming Only)")</f>
        <v>Premium (Streaming Only)</v>
      </c>
      <c r="D237" s="15" t="str">
        <f>IFERROR(__xludf.DUMMYFUNCTION("""COMPUTED_VALUE"""),"Active")</f>
        <v>Active</v>
      </c>
      <c r="E237" s="17">
        <f>IFERROR(__xludf.DUMMYFUNCTION("""COMPUTED_VALUE"""),42017.0)</f>
        <v>42017</v>
      </c>
      <c r="F237" s="54"/>
      <c r="G237" s="19">
        <f>IFERROR(__xludf.DUMMYFUNCTION("""COMPUTED_VALUE"""),140.76666666666668)</f>
        <v>140.7666667</v>
      </c>
      <c r="H237" s="17">
        <f>IFERROR(__xludf.DUMMYFUNCTION("""COMPUTED_VALUE"""),40452.0)</f>
        <v>40452</v>
      </c>
      <c r="I237" s="19">
        <f>IFERROR(__xludf.DUMMYFUNCTION("""COMPUTED_VALUE"""),4.283333333333333)</f>
        <v>4.283333333</v>
      </c>
      <c r="J237" s="21">
        <f>IFERROR(__xludf.DUMMYFUNCTION("""COMPUTED_VALUE"""),63.0)</f>
        <v>63</v>
      </c>
      <c r="K237" s="23">
        <f>IFERROR(__xludf.DUMMYFUNCTION("""COMPUTED_VALUE"""),5.4)</f>
        <v>5.4</v>
      </c>
      <c r="L237" s="24">
        <f>IFERROR(__xludf.DUMMYFUNCTION("""COMPUTED_VALUE"""),5.0)</f>
        <v>5</v>
      </c>
      <c r="M237" s="25" t="str">
        <f>IFERROR(__xludf.DUMMYFUNCTION("""COMPUTED_VALUE"""),"Action-Adventure")</f>
        <v>Action-Adventure</v>
      </c>
      <c r="N237" s="25" t="str">
        <f>IFERROR(__xludf.DUMMYFUNCTION("""COMPUTED_VALUE"""),"PS3")</f>
        <v>PS3</v>
      </c>
      <c r="O237" s="26" t="str">
        <f>IFERROR(__xludf.DUMMYFUNCTION("""COMPUTED_VALUE"""),"Yes")</f>
        <v>Yes</v>
      </c>
      <c r="P237" s="26" t="str">
        <f>IFERROR(__xludf.DUMMYFUNCTION("""COMPUTED_VALUE"""),"")</f>
        <v/>
      </c>
    </row>
    <row r="238">
      <c r="A238" s="13" t="str">
        <f>IFERROR(__xludf.DUMMYFUNCTION("""COMPUTED_VALUE"""),"The UnderGarden")</f>
        <v>The UnderGarden</v>
      </c>
      <c r="B238" s="15" t="str">
        <f>IFERROR(__xludf.DUMMYFUNCTION("""COMPUTED_VALUE"""),"PS5/PS4")</f>
        <v>PS5/PS4</v>
      </c>
      <c r="C238" s="16" t="str">
        <f>IFERROR(__xludf.DUMMYFUNCTION("""COMPUTED_VALUE"""),"Premium (Streaming Only)")</f>
        <v>Premium (Streaming Only)</v>
      </c>
      <c r="D238" s="15" t="str">
        <f>IFERROR(__xludf.DUMMYFUNCTION("""COMPUTED_VALUE"""),"Active")</f>
        <v>Active</v>
      </c>
      <c r="E238" s="17">
        <f>IFERROR(__xludf.DUMMYFUNCTION("""COMPUTED_VALUE"""),42017.0)</f>
        <v>42017</v>
      </c>
      <c r="F238" s="54"/>
      <c r="G238" s="19">
        <f>IFERROR(__xludf.DUMMYFUNCTION("""COMPUTED_VALUE"""),140.76666666666668)</f>
        <v>140.7666667</v>
      </c>
      <c r="H238" s="17">
        <f>IFERROR(__xludf.DUMMYFUNCTION("""COMPUTED_VALUE"""),40575.0)</f>
        <v>40575</v>
      </c>
      <c r="I238" s="19">
        <f>IFERROR(__xludf.DUMMYFUNCTION("""COMPUTED_VALUE"""),3.95)</f>
        <v>3.95</v>
      </c>
      <c r="J238" s="21">
        <f>IFERROR(__xludf.DUMMYFUNCTION("""COMPUTED_VALUE"""),63.0)</f>
        <v>63</v>
      </c>
      <c r="K238" s="23">
        <f>IFERROR(__xludf.DUMMYFUNCTION("""COMPUTED_VALUE"""),7.0)</f>
        <v>7</v>
      </c>
      <c r="L238" s="24">
        <f>IFERROR(__xludf.DUMMYFUNCTION("""COMPUTED_VALUE"""),4.0)</f>
        <v>4</v>
      </c>
      <c r="M238" s="25" t="str">
        <f>IFERROR(__xludf.DUMMYFUNCTION("""COMPUTED_VALUE"""),"Puzzle")</f>
        <v>Puzzle</v>
      </c>
      <c r="N238" s="25" t="str">
        <f>IFERROR(__xludf.DUMMYFUNCTION("""COMPUTED_VALUE"""),"PS3")</f>
        <v>PS3</v>
      </c>
      <c r="O238" s="26" t="str">
        <f>IFERROR(__xludf.DUMMYFUNCTION("""COMPUTED_VALUE"""),"Yes")</f>
        <v>Yes</v>
      </c>
      <c r="P238" s="26" t="str">
        <f>IFERROR(__xludf.DUMMYFUNCTION("""COMPUTED_VALUE"""),"")</f>
        <v/>
      </c>
    </row>
    <row r="239">
      <c r="A239" s="13" t="str">
        <f>IFERROR(__xludf.DUMMYFUNCTION("""COMPUTED_VALUE"""),"Dynasty Warriors 6: Empires")</f>
        <v>Dynasty Warriors 6: Empires</v>
      </c>
      <c r="B239" s="15" t="str">
        <f>IFERROR(__xludf.DUMMYFUNCTION("""COMPUTED_VALUE"""),"PS5/PS4")</f>
        <v>PS5/PS4</v>
      </c>
      <c r="C239" s="16" t="str">
        <f>IFERROR(__xludf.DUMMYFUNCTION("""COMPUTED_VALUE"""),"Premium (Streaming Only)")</f>
        <v>Premium (Streaming Only)</v>
      </c>
      <c r="D239" s="15" t="str">
        <f>IFERROR(__xludf.DUMMYFUNCTION("""COMPUTED_VALUE"""),"Active")</f>
        <v>Active</v>
      </c>
      <c r="E239" s="17">
        <f>IFERROR(__xludf.DUMMYFUNCTION("""COMPUTED_VALUE"""),42773.0)</f>
        <v>42773</v>
      </c>
      <c r="F239" s="54"/>
      <c r="G239" s="19">
        <f>IFERROR(__xludf.DUMMYFUNCTION("""COMPUTED_VALUE"""),115.96666666666667)</f>
        <v>115.9666667</v>
      </c>
      <c r="H239" s="17">
        <f>IFERROR(__xludf.DUMMYFUNCTION("""COMPUTED_VALUE"""),39965.0)</f>
        <v>39965</v>
      </c>
      <c r="I239" s="19">
        <f>IFERROR(__xludf.DUMMYFUNCTION("""COMPUTED_VALUE"""),7.683333333333334)</f>
        <v>7.683333333</v>
      </c>
      <c r="J239" s="21">
        <f>IFERROR(__xludf.DUMMYFUNCTION("""COMPUTED_VALUE"""),62.0)</f>
        <v>62</v>
      </c>
      <c r="K239" s="23">
        <f>IFERROR(__xludf.DUMMYFUNCTION("""COMPUTED_VALUE"""),7.2)</f>
        <v>7.2</v>
      </c>
      <c r="L239" s="24">
        <f>IFERROR(__xludf.DUMMYFUNCTION("""COMPUTED_VALUE"""),25.0)</f>
        <v>25</v>
      </c>
      <c r="M239" s="25" t="str">
        <f>IFERROR(__xludf.DUMMYFUNCTION("""COMPUTED_VALUE"""),"Action-Adventure")</f>
        <v>Action-Adventure</v>
      </c>
      <c r="N239" s="25" t="str">
        <f>IFERROR(__xludf.DUMMYFUNCTION("""COMPUTED_VALUE"""),"PS3")</f>
        <v>PS3</v>
      </c>
      <c r="O239" s="26" t="str">
        <f>IFERROR(__xludf.DUMMYFUNCTION("""COMPUTED_VALUE"""),"Yes")</f>
        <v>Yes</v>
      </c>
      <c r="P239" s="26" t="str">
        <f>IFERROR(__xludf.DUMMYFUNCTION("""COMPUTED_VALUE"""),"")</f>
        <v/>
      </c>
    </row>
    <row r="240">
      <c r="A240" s="13" t="str">
        <f>IFERROR(__xludf.DUMMYFUNCTION("""COMPUTED_VALUE"""),"Armageddon Riders")</f>
        <v>Armageddon Riders</v>
      </c>
      <c r="B240" s="15" t="str">
        <f>IFERROR(__xludf.DUMMYFUNCTION("""COMPUTED_VALUE"""),"PS5/PS4")</f>
        <v>PS5/PS4</v>
      </c>
      <c r="C240" s="16" t="str">
        <f>IFERROR(__xludf.DUMMYFUNCTION("""COMPUTED_VALUE"""),"Premium (Streaming Only)")</f>
        <v>Premium (Streaming Only)</v>
      </c>
      <c r="D240" s="15" t="str">
        <f>IFERROR(__xludf.DUMMYFUNCTION("""COMPUTED_VALUE"""),"Active")</f>
        <v>Active</v>
      </c>
      <c r="E240" s="17">
        <f>IFERROR(__xludf.DUMMYFUNCTION("""COMPUTED_VALUE"""),42374.0)</f>
        <v>42374</v>
      </c>
      <c r="F240" s="54"/>
      <c r="G240" s="19">
        <f>IFERROR(__xludf.DUMMYFUNCTION("""COMPUTED_VALUE"""),129.03333333333333)</f>
        <v>129.0333333</v>
      </c>
      <c r="H240" s="17">
        <f>IFERROR(__xludf.DUMMYFUNCTION("""COMPUTED_VALUE"""),40078.0)</f>
        <v>40078</v>
      </c>
      <c r="I240" s="19">
        <f>IFERROR(__xludf.DUMMYFUNCTION("""COMPUTED_VALUE"""),6.286111111111111)</f>
        <v>6.286111111</v>
      </c>
      <c r="J240" s="21">
        <f>IFERROR(__xludf.DUMMYFUNCTION("""COMPUTED_VALUE"""),62.0)</f>
        <v>62</v>
      </c>
      <c r="K240" s="23"/>
      <c r="L240" s="24"/>
      <c r="M240" s="25" t="str">
        <f>IFERROR(__xludf.DUMMYFUNCTION("""COMPUTED_VALUE"""),"Racing")</f>
        <v>Racing</v>
      </c>
      <c r="N240" s="25" t="str">
        <f>IFERROR(__xludf.DUMMYFUNCTION("""COMPUTED_VALUE"""),"PS3")</f>
        <v>PS3</v>
      </c>
      <c r="O240" s="26" t="str">
        <f>IFERROR(__xludf.DUMMYFUNCTION("""COMPUTED_VALUE"""),"Yes")</f>
        <v>Yes</v>
      </c>
      <c r="P240" s="26" t="str">
        <f>IFERROR(__xludf.DUMMYFUNCTION("""COMPUTED_VALUE"""),"Yes")</f>
        <v>Yes</v>
      </c>
    </row>
    <row r="241">
      <c r="A241" s="13" t="str">
        <f>IFERROR(__xludf.DUMMYFUNCTION("""COMPUTED_VALUE"""),"Thunder Wolves")</f>
        <v>Thunder Wolves</v>
      </c>
      <c r="B241" s="15" t="str">
        <f>IFERROR(__xludf.DUMMYFUNCTION("""COMPUTED_VALUE"""),"PS5/PS4")</f>
        <v>PS5/PS4</v>
      </c>
      <c r="C241" s="16" t="str">
        <f>IFERROR(__xludf.DUMMYFUNCTION("""COMPUTED_VALUE"""),"Premium (Streaming Only)")</f>
        <v>Premium (Streaming Only)</v>
      </c>
      <c r="D241" s="15" t="str">
        <f>IFERROR(__xludf.DUMMYFUNCTION("""COMPUTED_VALUE"""),"Active")</f>
        <v>Active</v>
      </c>
      <c r="E241" s="17">
        <f>IFERROR(__xludf.DUMMYFUNCTION("""COMPUTED_VALUE"""),42311.0)</f>
        <v>42311</v>
      </c>
      <c r="F241" s="54"/>
      <c r="G241" s="19">
        <f>IFERROR(__xludf.DUMMYFUNCTION("""COMPUTED_VALUE"""),131.10000000000002)</f>
        <v>131.1</v>
      </c>
      <c r="H241" s="17">
        <f>IFERROR(__xludf.DUMMYFUNCTION("""COMPUTED_VALUE"""),41487.0)</f>
        <v>41487</v>
      </c>
      <c r="I241" s="19">
        <f>IFERROR(__xludf.DUMMYFUNCTION("""COMPUTED_VALUE"""),2.2555555555555555)</f>
        <v>2.255555556</v>
      </c>
      <c r="J241" s="21">
        <f>IFERROR(__xludf.DUMMYFUNCTION("""COMPUTED_VALUE"""),62.0)</f>
        <v>62</v>
      </c>
      <c r="K241" s="23">
        <f>IFERROR(__xludf.DUMMYFUNCTION("""COMPUTED_VALUE"""),6.0)</f>
        <v>6</v>
      </c>
      <c r="L241" s="24">
        <f>IFERROR(__xludf.DUMMYFUNCTION("""COMPUTED_VALUE"""),4.0)</f>
        <v>4</v>
      </c>
      <c r="M241" s="25" t="str">
        <f>IFERROR(__xludf.DUMMYFUNCTION("""COMPUTED_VALUE"""),"Shooter")</f>
        <v>Shooter</v>
      </c>
      <c r="N241" s="25" t="str">
        <f>IFERROR(__xludf.DUMMYFUNCTION("""COMPUTED_VALUE"""),"PS3")</f>
        <v>PS3</v>
      </c>
      <c r="O241" s="26" t="str">
        <f>IFERROR(__xludf.DUMMYFUNCTION("""COMPUTED_VALUE"""),"Yes")</f>
        <v>Yes</v>
      </c>
      <c r="P241" s="26" t="str">
        <f>IFERROR(__xludf.DUMMYFUNCTION("""COMPUTED_VALUE"""),"")</f>
        <v/>
      </c>
    </row>
    <row r="242">
      <c r="A242" s="13" t="str">
        <f>IFERROR(__xludf.DUMMYFUNCTION("""COMPUTED_VALUE"""),"Skydive: Proximity Flight")</f>
        <v>Skydive: Proximity Flight</v>
      </c>
      <c r="B242" s="15" t="str">
        <f>IFERROR(__xludf.DUMMYFUNCTION("""COMPUTED_VALUE"""),"PS5/PS4")</f>
        <v>PS5/PS4</v>
      </c>
      <c r="C242" s="16" t="str">
        <f>IFERROR(__xludf.DUMMYFUNCTION("""COMPUTED_VALUE"""),"Premium (Streaming Only)")</f>
        <v>Premium (Streaming Only)</v>
      </c>
      <c r="D242" s="15" t="str">
        <f>IFERROR(__xludf.DUMMYFUNCTION("""COMPUTED_VALUE"""),"Active")</f>
        <v>Active</v>
      </c>
      <c r="E242" s="17">
        <f>IFERROR(__xludf.DUMMYFUNCTION("""COMPUTED_VALUE"""),42017.0)</f>
        <v>42017</v>
      </c>
      <c r="F242" s="71"/>
      <c r="G242" s="19">
        <f>IFERROR(__xludf.DUMMYFUNCTION("""COMPUTED_VALUE"""),140.76666666666668)</f>
        <v>140.7666667</v>
      </c>
      <c r="H242" s="17">
        <f>IFERROR(__xludf.DUMMYFUNCTION("""COMPUTED_VALUE"""),41548.0)</f>
        <v>41548</v>
      </c>
      <c r="I242" s="19">
        <f>IFERROR(__xludf.DUMMYFUNCTION("""COMPUTED_VALUE"""),1.2833333333333334)</f>
        <v>1.283333333</v>
      </c>
      <c r="J242" s="21">
        <f>IFERROR(__xludf.DUMMYFUNCTION("""COMPUTED_VALUE"""),62.0)</f>
        <v>62</v>
      </c>
      <c r="K242" s="23">
        <f>IFERROR(__xludf.DUMMYFUNCTION("""COMPUTED_VALUE"""),6.4)</f>
        <v>6.4</v>
      </c>
      <c r="L242" s="24">
        <f>IFERROR(__xludf.DUMMYFUNCTION("""COMPUTED_VALUE"""),3.0)</f>
        <v>3</v>
      </c>
      <c r="M242" s="25" t="str">
        <f>IFERROR(__xludf.DUMMYFUNCTION("""COMPUTED_VALUE"""),"Sports")</f>
        <v>Sports</v>
      </c>
      <c r="N242" s="25" t="str">
        <f>IFERROR(__xludf.DUMMYFUNCTION("""COMPUTED_VALUE"""),"PS3")</f>
        <v>PS3</v>
      </c>
      <c r="O242" s="26" t="str">
        <f>IFERROR(__xludf.DUMMYFUNCTION("""COMPUTED_VALUE"""),"Yes")</f>
        <v>Yes</v>
      </c>
      <c r="P242" s="26" t="str">
        <f>IFERROR(__xludf.DUMMYFUNCTION("""COMPUTED_VALUE"""),"")</f>
        <v/>
      </c>
    </row>
    <row r="243">
      <c r="A243" s="13" t="str">
        <f>IFERROR(__xludf.DUMMYFUNCTION("""COMPUTED_VALUE"""),"MX vs. ATV: Alive")</f>
        <v>MX vs. ATV: Alive</v>
      </c>
      <c r="B243" s="15" t="str">
        <f>IFERROR(__xludf.DUMMYFUNCTION("""COMPUTED_VALUE"""),"PS5/PS4")</f>
        <v>PS5/PS4</v>
      </c>
      <c r="C243" s="16" t="str">
        <f>IFERROR(__xludf.DUMMYFUNCTION("""COMPUTED_VALUE"""),"Premium (Streaming Only)")</f>
        <v>Premium (Streaming Only)</v>
      </c>
      <c r="D243" s="15" t="str">
        <f>IFERROR(__xludf.DUMMYFUNCTION("""COMPUTED_VALUE"""),"Active")</f>
        <v>Active</v>
      </c>
      <c r="E243" s="17">
        <f>IFERROR(__xludf.DUMMYFUNCTION("""COMPUTED_VALUE"""),44725.0)</f>
        <v>44725</v>
      </c>
      <c r="F243" s="54"/>
      <c r="G243" s="19">
        <f>IFERROR(__xludf.DUMMYFUNCTION("""COMPUTED_VALUE"""),51.766666666666666)</f>
        <v>51.76666667</v>
      </c>
      <c r="H243" s="17">
        <f>IFERROR(__xludf.DUMMYFUNCTION("""COMPUTED_VALUE"""),40664.0)</f>
        <v>40664</v>
      </c>
      <c r="I243" s="19">
        <f>IFERROR(__xludf.DUMMYFUNCTION("""COMPUTED_VALUE"""),11.116666666666667)</f>
        <v>11.11666667</v>
      </c>
      <c r="J243" s="21">
        <f>IFERROR(__xludf.DUMMYFUNCTION("""COMPUTED_VALUE"""),61.0)</f>
        <v>61</v>
      </c>
      <c r="K243" s="23">
        <f>IFERROR(__xludf.DUMMYFUNCTION("""COMPUTED_VALUE"""),6.8)</f>
        <v>6.8</v>
      </c>
      <c r="L243" s="24">
        <f>IFERROR(__xludf.DUMMYFUNCTION("""COMPUTED_VALUE"""),10.0)</f>
        <v>10</v>
      </c>
      <c r="M243" s="25" t="str">
        <f>IFERROR(__xludf.DUMMYFUNCTION("""COMPUTED_VALUE"""),"Racing")</f>
        <v>Racing</v>
      </c>
      <c r="N243" s="25" t="str">
        <f>IFERROR(__xludf.DUMMYFUNCTION("""COMPUTED_VALUE"""),"PS3")</f>
        <v>PS3</v>
      </c>
      <c r="O243" s="26" t="str">
        <f>IFERROR(__xludf.DUMMYFUNCTION("""COMPUTED_VALUE"""),"Yes")</f>
        <v>Yes</v>
      </c>
      <c r="P243" s="26" t="str">
        <f>IFERROR(__xludf.DUMMYFUNCTION("""COMPUTED_VALUE"""),"")</f>
        <v/>
      </c>
    </row>
    <row r="244">
      <c r="A244" s="13" t="str">
        <f>IFERROR(__xludf.DUMMYFUNCTION("""COMPUTED_VALUE"""),"Cars Race-O-Rama")</f>
        <v>Cars Race-O-Rama</v>
      </c>
      <c r="B244" s="15" t="str">
        <f>IFERROR(__xludf.DUMMYFUNCTION("""COMPUTED_VALUE"""),"PS5/PS4")</f>
        <v>PS5/PS4</v>
      </c>
      <c r="C244" s="16" t="str">
        <f>IFERROR(__xludf.DUMMYFUNCTION("""COMPUTED_VALUE"""),"Premium (Streaming Only)")</f>
        <v>Premium (Streaming Only)</v>
      </c>
      <c r="D244" s="15" t="str">
        <f>IFERROR(__xludf.DUMMYFUNCTION("""COMPUTED_VALUE"""),"Active")</f>
        <v>Active</v>
      </c>
      <c r="E244" s="17">
        <f>IFERROR(__xludf.DUMMYFUNCTION("""COMPUTED_VALUE"""),42895.0)</f>
        <v>42895</v>
      </c>
      <c r="F244" s="54"/>
      <c r="G244" s="19">
        <f>IFERROR(__xludf.DUMMYFUNCTION("""COMPUTED_VALUE"""),111.89999999999999)</f>
        <v>111.9</v>
      </c>
      <c r="H244" s="17">
        <f>IFERROR(__xludf.DUMMYFUNCTION("""COMPUTED_VALUE"""),40087.0)</f>
        <v>40087</v>
      </c>
      <c r="I244" s="19">
        <f>IFERROR(__xludf.DUMMYFUNCTION("""COMPUTED_VALUE"""),7.688888888888889)</f>
        <v>7.688888889</v>
      </c>
      <c r="J244" s="21">
        <f>IFERROR(__xludf.DUMMYFUNCTION("""COMPUTED_VALUE"""),61.0)</f>
        <v>61</v>
      </c>
      <c r="K244" s="23">
        <f>IFERROR(__xludf.DUMMYFUNCTION("""COMPUTED_VALUE"""),6.8)</f>
        <v>6.8</v>
      </c>
      <c r="L244" s="24">
        <f>IFERROR(__xludf.DUMMYFUNCTION("""COMPUTED_VALUE"""),7.0)</f>
        <v>7</v>
      </c>
      <c r="M244" s="25" t="str">
        <f>IFERROR(__xludf.DUMMYFUNCTION("""COMPUTED_VALUE"""),"Racing")</f>
        <v>Racing</v>
      </c>
      <c r="N244" s="25" t="str">
        <f>IFERROR(__xludf.DUMMYFUNCTION("""COMPUTED_VALUE"""),"PS3")</f>
        <v>PS3</v>
      </c>
      <c r="O244" s="26" t="str">
        <f>IFERROR(__xludf.DUMMYFUNCTION("""COMPUTED_VALUE"""),"Yes")</f>
        <v>Yes</v>
      </c>
      <c r="P244" s="26" t="str">
        <f>IFERROR(__xludf.DUMMYFUNCTION("""COMPUTED_VALUE"""),"")</f>
        <v/>
      </c>
    </row>
    <row r="245">
      <c r="A245" s="13" t="str">
        <f>IFERROR(__xludf.DUMMYFUNCTION("""COMPUTED_VALUE"""),"Hamsterball")</f>
        <v>Hamsterball</v>
      </c>
      <c r="B245" s="15" t="str">
        <f>IFERROR(__xludf.DUMMYFUNCTION("""COMPUTED_VALUE"""),"PS5/PS4")</f>
        <v>PS5/PS4</v>
      </c>
      <c r="C245" s="16" t="str">
        <f>IFERROR(__xludf.DUMMYFUNCTION("""COMPUTED_VALUE"""),"Premium (Streaming Only)")</f>
        <v>Premium (Streaming Only)</v>
      </c>
      <c r="D245" s="15" t="str">
        <f>IFERROR(__xludf.DUMMYFUNCTION("""COMPUTED_VALUE"""),"Active")</f>
        <v>Active</v>
      </c>
      <c r="E245" s="17">
        <f>IFERROR(__xludf.DUMMYFUNCTION("""COMPUTED_VALUE"""),42493.0)</f>
        <v>42493</v>
      </c>
      <c r="F245" s="54"/>
      <c r="G245" s="19">
        <f>IFERROR(__xludf.DUMMYFUNCTION("""COMPUTED_VALUE"""),125.10000000000001)</f>
        <v>125.1</v>
      </c>
      <c r="H245" s="17">
        <f>IFERROR(__xludf.DUMMYFUNCTION("""COMPUTED_VALUE"""),40238.0)</f>
        <v>40238</v>
      </c>
      <c r="I245" s="19">
        <f>IFERROR(__xludf.DUMMYFUNCTION("""COMPUTED_VALUE"""),6.1722222222222225)</f>
        <v>6.172222222</v>
      </c>
      <c r="J245" s="21">
        <f>IFERROR(__xludf.DUMMYFUNCTION("""COMPUTED_VALUE"""),61.0)</f>
        <v>61</v>
      </c>
      <c r="K245" s="23">
        <f>IFERROR(__xludf.DUMMYFUNCTION("""COMPUTED_VALUE"""),7.1)</f>
        <v>7.1</v>
      </c>
      <c r="L245" s="24">
        <f>IFERROR(__xludf.DUMMYFUNCTION("""COMPUTED_VALUE"""),3.0)</f>
        <v>3</v>
      </c>
      <c r="M245" s="25" t="str">
        <f>IFERROR(__xludf.DUMMYFUNCTION("""COMPUTED_VALUE"""),"Arcade")</f>
        <v>Arcade</v>
      </c>
      <c r="N245" s="25" t="str">
        <f>IFERROR(__xludf.DUMMYFUNCTION("""COMPUTED_VALUE"""),"PS3")</f>
        <v>PS3</v>
      </c>
      <c r="O245" s="26" t="str">
        <f>IFERROR(__xludf.DUMMYFUNCTION("""COMPUTED_VALUE"""),"Yes")</f>
        <v>Yes</v>
      </c>
      <c r="P245" s="26" t="str">
        <f>IFERROR(__xludf.DUMMYFUNCTION("""COMPUTED_VALUE"""),"")</f>
        <v/>
      </c>
    </row>
    <row r="246">
      <c r="A246" s="13" t="str">
        <f>IFERROR(__xludf.DUMMYFUNCTION("""COMPUTED_VALUE"""),"Ragnarok Odyssey ACE")</f>
        <v>Ragnarok Odyssey ACE</v>
      </c>
      <c r="B246" s="15" t="str">
        <f>IFERROR(__xludf.DUMMYFUNCTION("""COMPUTED_VALUE"""),"PS5/PS4")</f>
        <v>PS5/PS4</v>
      </c>
      <c r="C246" s="16" t="str">
        <f>IFERROR(__xludf.DUMMYFUNCTION("""COMPUTED_VALUE"""),"Premium (Streaming Only)")</f>
        <v>Premium (Streaming Only)</v>
      </c>
      <c r="D246" s="15" t="str">
        <f>IFERROR(__xludf.DUMMYFUNCTION("""COMPUTED_VALUE"""),"Active")</f>
        <v>Active</v>
      </c>
      <c r="E246" s="17">
        <f>IFERROR(__xludf.DUMMYFUNCTION("""COMPUTED_VALUE"""),42374.0)</f>
        <v>42374</v>
      </c>
      <c r="F246" s="54"/>
      <c r="G246" s="19">
        <f>IFERROR(__xludf.DUMMYFUNCTION("""COMPUTED_VALUE"""),129.03333333333333)</f>
        <v>129.0333333</v>
      </c>
      <c r="H246" s="17">
        <f>IFERROR(__xludf.DUMMYFUNCTION("""COMPUTED_VALUE"""),41730.0)</f>
        <v>41730</v>
      </c>
      <c r="I246" s="19">
        <f>IFERROR(__xludf.DUMMYFUNCTION("""COMPUTED_VALUE"""),1.761111111111111)</f>
        <v>1.761111111</v>
      </c>
      <c r="J246" s="21">
        <f>IFERROR(__xludf.DUMMYFUNCTION("""COMPUTED_VALUE"""),61.0)</f>
        <v>61</v>
      </c>
      <c r="K246" s="23">
        <f>IFERROR(__xludf.DUMMYFUNCTION("""COMPUTED_VALUE"""),7.2)</f>
        <v>7.2</v>
      </c>
      <c r="L246" s="24">
        <f>IFERROR(__xludf.DUMMYFUNCTION("""COMPUTED_VALUE"""),30.0)</f>
        <v>30</v>
      </c>
      <c r="M246" s="25" t="str">
        <f>IFERROR(__xludf.DUMMYFUNCTION("""COMPUTED_VALUE"""),"RPG")</f>
        <v>RPG</v>
      </c>
      <c r="N246" s="25" t="str">
        <f>IFERROR(__xludf.DUMMYFUNCTION("""COMPUTED_VALUE"""),"PS3")</f>
        <v>PS3</v>
      </c>
      <c r="O246" s="26" t="str">
        <f>IFERROR(__xludf.DUMMYFUNCTION("""COMPUTED_VALUE"""),"Yes")</f>
        <v>Yes</v>
      </c>
      <c r="P246" s="26" t="str">
        <f>IFERROR(__xludf.DUMMYFUNCTION("""COMPUTED_VALUE"""),"")</f>
        <v/>
      </c>
    </row>
    <row r="247">
      <c r="A247" s="13" t="str">
        <f>IFERROR(__xludf.DUMMYFUNCTION("""COMPUTED_VALUE"""),"Smash Cars")</f>
        <v>Smash Cars</v>
      </c>
      <c r="B247" s="15" t="str">
        <f>IFERROR(__xludf.DUMMYFUNCTION("""COMPUTED_VALUE"""),"PS5/PS4")</f>
        <v>PS5/PS4</v>
      </c>
      <c r="C247" s="16" t="str">
        <f>IFERROR(__xludf.DUMMYFUNCTION("""COMPUTED_VALUE"""),"Premium (Streaming Only)")</f>
        <v>Premium (Streaming Only)</v>
      </c>
      <c r="D247" s="15" t="str">
        <f>IFERROR(__xludf.DUMMYFUNCTION("""COMPUTED_VALUE"""),"Active")</f>
        <v>Active</v>
      </c>
      <c r="E247" s="17">
        <f>IFERROR(__xludf.DUMMYFUNCTION("""COMPUTED_VALUE"""),42374.0)</f>
        <v>42374</v>
      </c>
      <c r="F247" s="54"/>
      <c r="G247" s="19">
        <f>IFERROR(__xludf.DUMMYFUNCTION("""COMPUTED_VALUE"""),129.03333333333333)</f>
        <v>129.0333333</v>
      </c>
      <c r="H247" s="17">
        <f>IFERROR(__xludf.DUMMYFUNCTION("""COMPUTED_VALUE"""),40026.0)</f>
        <v>40026</v>
      </c>
      <c r="I247" s="19">
        <f>IFERROR(__xludf.DUMMYFUNCTION("""COMPUTED_VALUE"""),6.427777777777778)</f>
        <v>6.427777778</v>
      </c>
      <c r="J247" s="21">
        <f>IFERROR(__xludf.DUMMYFUNCTION("""COMPUTED_VALUE"""),61.0)</f>
        <v>61</v>
      </c>
      <c r="K247" s="23">
        <f>IFERROR(__xludf.DUMMYFUNCTION("""COMPUTED_VALUE"""),6.8)</f>
        <v>6.8</v>
      </c>
      <c r="L247" s="24">
        <f>IFERROR(__xludf.DUMMYFUNCTION("""COMPUTED_VALUE"""),4.0)</f>
        <v>4</v>
      </c>
      <c r="M247" s="25" t="str">
        <f>IFERROR(__xludf.DUMMYFUNCTION("""COMPUTED_VALUE"""),"Racing")</f>
        <v>Racing</v>
      </c>
      <c r="N247" s="25" t="str">
        <f>IFERROR(__xludf.DUMMYFUNCTION("""COMPUTED_VALUE"""),"PS3")</f>
        <v>PS3</v>
      </c>
      <c r="O247" s="26" t="str">
        <f>IFERROR(__xludf.DUMMYFUNCTION("""COMPUTED_VALUE"""),"Yes")</f>
        <v>Yes</v>
      </c>
      <c r="P247" s="26" t="str">
        <f>IFERROR(__xludf.DUMMYFUNCTION("""COMPUTED_VALUE"""),"")</f>
        <v/>
      </c>
    </row>
    <row r="248">
      <c r="A248" s="13" t="str">
        <f>IFERROR(__xludf.DUMMYFUNCTION("""COMPUTED_VALUE"""),"Lost Planet 3")</f>
        <v>Lost Planet 3</v>
      </c>
      <c r="B248" s="15" t="str">
        <f>IFERROR(__xludf.DUMMYFUNCTION("""COMPUTED_VALUE"""),"PS5/PS4")</f>
        <v>PS5/PS4</v>
      </c>
      <c r="C248" s="16" t="str">
        <f>IFERROR(__xludf.DUMMYFUNCTION("""COMPUTED_VALUE"""),"Premium (Streaming Only)")</f>
        <v>Premium (Streaming Only)</v>
      </c>
      <c r="D248" s="15" t="str">
        <f>IFERROR(__xludf.DUMMYFUNCTION("""COMPUTED_VALUE"""),"Active")</f>
        <v>Active</v>
      </c>
      <c r="E248" s="17">
        <f>IFERROR(__xludf.DUMMYFUNCTION("""COMPUTED_VALUE"""),42311.0)</f>
        <v>42311</v>
      </c>
      <c r="F248" s="54"/>
      <c r="G248" s="19">
        <f>IFERROR(__xludf.DUMMYFUNCTION("""COMPUTED_VALUE"""),131.10000000000002)</f>
        <v>131.1</v>
      </c>
      <c r="H248" s="17">
        <f>IFERROR(__xludf.DUMMYFUNCTION("""COMPUTED_VALUE"""),41487.0)</f>
        <v>41487</v>
      </c>
      <c r="I248" s="19">
        <f>IFERROR(__xludf.DUMMYFUNCTION("""COMPUTED_VALUE"""),2.2555555555555555)</f>
        <v>2.255555556</v>
      </c>
      <c r="J248" s="21">
        <f>IFERROR(__xludf.DUMMYFUNCTION("""COMPUTED_VALUE"""),61.0)</f>
        <v>61</v>
      </c>
      <c r="K248" s="23">
        <f>IFERROR(__xludf.DUMMYFUNCTION("""COMPUTED_VALUE"""),6.5)</f>
        <v>6.5</v>
      </c>
      <c r="L248" s="24">
        <f>IFERROR(__xludf.DUMMYFUNCTION("""COMPUTED_VALUE"""),11.0)</f>
        <v>11</v>
      </c>
      <c r="M248" s="25" t="str">
        <f>IFERROR(__xludf.DUMMYFUNCTION("""COMPUTED_VALUE"""),"Shooter")</f>
        <v>Shooter</v>
      </c>
      <c r="N248" s="25" t="str">
        <f>IFERROR(__xludf.DUMMYFUNCTION("""COMPUTED_VALUE"""),"PS3")</f>
        <v>PS3</v>
      </c>
      <c r="O248" s="26" t="str">
        <f>IFERROR(__xludf.DUMMYFUNCTION("""COMPUTED_VALUE"""),"Yes")</f>
        <v>Yes</v>
      </c>
      <c r="P248" s="26" t="str">
        <f>IFERROR(__xludf.DUMMYFUNCTION("""COMPUTED_VALUE"""),"")</f>
        <v/>
      </c>
    </row>
    <row r="249">
      <c r="A249" s="13" t="str">
        <f>IFERROR(__xludf.DUMMYFUNCTION("""COMPUTED_VALUE"""),"Zack Zero")</f>
        <v>Zack Zero</v>
      </c>
      <c r="B249" s="15" t="str">
        <f>IFERROR(__xludf.DUMMYFUNCTION("""COMPUTED_VALUE"""),"PS5/PS4")</f>
        <v>PS5/PS4</v>
      </c>
      <c r="C249" s="16" t="str">
        <f>IFERROR(__xludf.DUMMYFUNCTION("""COMPUTED_VALUE"""),"Premium (Streaming Only)")</f>
        <v>Premium (Streaming Only)</v>
      </c>
      <c r="D249" s="15" t="str">
        <f>IFERROR(__xludf.DUMMYFUNCTION("""COMPUTED_VALUE"""),"Active")</f>
        <v>Active</v>
      </c>
      <c r="E249" s="17">
        <f>IFERROR(__xludf.DUMMYFUNCTION("""COMPUTED_VALUE"""),42374.0)</f>
        <v>42374</v>
      </c>
      <c r="F249" s="18"/>
      <c r="G249" s="19">
        <f>IFERROR(__xludf.DUMMYFUNCTION("""COMPUTED_VALUE"""),129.03333333333333)</f>
        <v>129.0333333</v>
      </c>
      <c r="H249" s="17">
        <f>IFERROR(__xludf.DUMMYFUNCTION("""COMPUTED_VALUE"""),40909.0)</f>
        <v>40909</v>
      </c>
      <c r="I249" s="19">
        <f>IFERROR(__xludf.DUMMYFUNCTION("""COMPUTED_VALUE"""),4.011111111111111)</f>
        <v>4.011111111</v>
      </c>
      <c r="J249" s="21">
        <f>IFERROR(__xludf.DUMMYFUNCTION("""COMPUTED_VALUE"""),60.0)</f>
        <v>60</v>
      </c>
      <c r="K249" s="23">
        <f>IFERROR(__xludf.DUMMYFUNCTION("""COMPUTED_VALUE"""),6.9)</f>
        <v>6.9</v>
      </c>
      <c r="L249" s="24">
        <f>IFERROR(__xludf.DUMMYFUNCTION("""COMPUTED_VALUE"""),4.0)</f>
        <v>4</v>
      </c>
      <c r="M249" s="25" t="str">
        <f>IFERROR(__xludf.DUMMYFUNCTION("""COMPUTED_VALUE"""),"Platformer")</f>
        <v>Platformer</v>
      </c>
      <c r="N249" s="25" t="str">
        <f>IFERROR(__xludf.DUMMYFUNCTION("""COMPUTED_VALUE"""),"PS3")</f>
        <v>PS3</v>
      </c>
      <c r="O249" s="26" t="str">
        <f>IFERROR(__xludf.DUMMYFUNCTION("""COMPUTED_VALUE"""),"Yes")</f>
        <v>Yes</v>
      </c>
      <c r="P249" s="26" t="str">
        <f>IFERROR(__xludf.DUMMYFUNCTION("""COMPUTED_VALUE"""),"")</f>
        <v/>
      </c>
    </row>
    <row r="250">
      <c r="A250" s="13" t="str">
        <f>IFERROR(__xludf.DUMMYFUNCTION("""COMPUTED_VALUE"""),"Final Exam")</f>
        <v>Final Exam</v>
      </c>
      <c r="B250" s="15" t="str">
        <f>IFERROR(__xludf.DUMMYFUNCTION("""COMPUTED_VALUE"""),"PS5/PS4")</f>
        <v>PS5/PS4</v>
      </c>
      <c r="C250" s="16" t="str">
        <f>IFERROR(__xludf.DUMMYFUNCTION("""COMPUTED_VALUE"""),"Premium (Streaming Only)")</f>
        <v>Premium (Streaming Only)</v>
      </c>
      <c r="D250" s="15" t="str">
        <f>IFERROR(__xludf.DUMMYFUNCTION("""COMPUTED_VALUE"""),"Active")</f>
        <v>Active</v>
      </c>
      <c r="E250" s="17">
        <f>IFERROR(__xludf.DUMMYFUNCTION("""COMPUTED_VALUE"""),42017.0)</f>
        <v>42017</v>
      </c>
      <c r="F250" s="54"/>
      <c r="G250" s="19">
        <f>IFERROR(__xludf.DUMMYFUNCTION("""COMPUTED_VALUE"""),140.76666666666668)</f>
        <v>140.7666667</v>
      </c>
      <c r="H250" s="17">
        <f>IFERROR(__xludf.DUMMYFUNCTION("""COMPUTED_VALUE"""),41579.0)</f>
        <v>41579</v>
      </c>
      <c r="I250" s="19">
        <f>IFERROR(__xludf.DUMMYFUNCTION("""COMPUTED_VALUE"""),1.2)</f>
        <v>1.2</v>
      </c>
      <c r="J250" s="21">
        <f>IFERROR(__xludf.DUMMYFUNCTION("""COMPUTED_VALUE"""),60.0)</f>
        <v>60</v>
      </c>
      <c r="K250" s="23">
        <f>IFERROR(__xludf.DUMMYFUNCTION("""COMPUTED_VALUE"""),5.8)</f>
        <v>5.8</v>
      </c>
      <c r="L250" s="24">
        <f>IFERROR(__xludf.DUMMYFUNCTION("""COMPUTED_VALUE"""),5.0)</f>
        <v>5</v>
      </c>
      <c r="M250" s="25" t="str">
        <f>IFERROR(__xludf.DUMMYFUNCTION("""COMPUTED_VALUE"""),"Action-Adventure")</f>
        <v>Action-Adventure</v>
      </c>
      <c r="N250" s="25" t="str">
        <f>IFERROR(__xludf.DUMMYFUNCTION("""COMPUTED_VALUE"""),"PS3")</f>
        <v>PS3</v>
      </c>
      <c r="O250" s="26" t="str">
        <f>IFERROR(__xludf.DUMMYFUNCTION("""COMPUTED_VALUE"""),"Yes")</f>
        <v>Yes</v>
      </c>
      <c r="P250" s="26" t="str">
        <f>IFERROR(__xludf.DUMMYFUNCTION("""COMPUTED_VALUE"""),"")</f>
        <v/>
      </c>
    </row>
    <row r="251">
      <c r="A251" s="13" t="str">
        <f>IFERROR(__xludf.DUMMYFUNCTION("""COMPUTED_VALUE"""),"Bolt")</f>
        <v>Bolt</v>
      </c>
      <c r="B251" s="15" t="str">
        <f>IFERROR(__xludf.DUMMYFUNCTION("""COMPUTED_VALUE"""),"PS5/PS4")</f>
        <v>PS5/PS4</v>
      </c>
      <c r="C251" s="16" t="str">
        <f>IFERROR(__xludf.DUMMYFUNCTION("""COMPUTED_VALUE"""),"Premium (Streaming Only)")</f>
        <v>Premium (Streaming Only)</v>
      </c>
      <c r="D251" s="15" t="str">
        <f>IFERROR(__xludf.DUMMYFUNCTION("""COMPUTED_VALUE"""),"Active")</f>
        <v>Active</v>
      </c>
      <c r="E251" s="17">
        <f>IFERROR(__xludf.DUMMYFUNCTION("""COMPUTED_VALUE"""),42895.0)</f>
        <v>42895</v>
      </c>
      <c r="F251" s="54"/>
      <c r="G251" s="19">
        <f>IFERROR(__xludf.DUMMYFUNCTION("""COMPUTED_VALUE"""),111.89999999999999)</f>
        <v>111.9</v>
      </c>
      <c r="H251" s="17">
        <f>IFERROR(__xludf.DUMMYFUNCTION("""COMPUTED_VALUE"""),39753.0)</f>
        <v>39753</v>
      </c>
      <c r="I251" s="19">
        <f>IFERROR(__xludf.DUMMYFUNCTION("""COMPUTED_VALUE"""),8.605555555555556)</f>
        <v>8.605555556</v>
      </c>
      <c r="J251" s="21">
        <f>IFERROR(__xludf.DUMMYFUNCTION("""COMPUTED_VALUE"""),59.0)</f>
        <v>59</v>
      </c>
      <c r="K251" s="23">
        <f>IFERROR(__xludf.DUMMYFUNCTION("""COMPUTED_VALUE"""),6.0)</f>
        <v>6</v>
      </c>
      <c r="L251" s="24">
        <f>IFERROR(__xludf.DUMMYFUNCTION("""COMPUTED_VALUE"""),7.0)</f>
        <v>7</v>
      </c>
      <c r="M251" s="25" t="str">
        <f>IFERROR(__xludf.DUMMYFUNCTION("""COMPUTED_VALUE"""),"Action-Adventure")</f>
        <v>Action-Adventure</v>
      </c>
      <c r="N251" s="25" t="str">
        <f>IFERROR(__xludf.DUMMYFUNCTION("""COMPUTED_VALUE"""),"PS3")</f>
        <v>PS3</v>
      </c>
      <c r="O251" s="26" t="str">
        <f>IFERROR(__xludf.DUMMYFUNCTION("""COMPUTED_VALUE"""),"Yes")</f>
        <v>Yes</v>
      </c>
      <c r="P251" s="26" t="str">
        <f>IFERROR(__xludf.DUMMYFUNCTION("""COMPUTED_VALUE"""),"")</f>
        <v/>
      </c>
    </row>
    <row r="252">
      <c r="A252" s="13" t="str">
        <f>IFERROR(__xludf.DUMMYFUNCTION("""COMPUTED_VALUE"""),"Disney Epic Mickey 2: The Power of Two")</f>
        <v>Disney Epic Mickey 2: The Power of Two</v>
      </c>
      <c r="B252" s="15" t="str">
        <f>IFERROR(__xludf.DUMMYFUNCTION("""COMPUTED_VALUE"""),"PS5/PS4")</f>
        <v>PS5/PS4</v>
      </c>
      <c r="C252" s="16" t="str">
        <f>IFERROR(__xludf.DUMMYFUNCTION("""COMPUTED_VALUE"""),"Premium (Streaming Only)")</f>
        <v>Premium (Streaming Only)</v>
      </c>
      <c r="D252" s="15" t="str">
        <f>IFERROR(__xludf.DUMMYFUNCTION("""COMPUTED_VALUE"""),"Active")</f>
        <v>Active</v>
      </c>
      <c r="E252" s="17">
        <f>IFERROR(__xludf.DUMMYFUNCTION("""COMPUTED_VALUE"""),42895.0)</f>
        <v>42895</v>
      </c>
      <c r="F252" s="54"/>
      <c r="G252" s="19">
        <f>IFERROR(__xludf.DUMMYFUNCTION("""COMPUTED_VALUE"""),111.89999999999999)</f>
        <v>111.9</v>
      </c>
      <c r="H252" s="17">
        <f>IFERROR(__xludf.DUMMYFUNCTION("""COMPUTED_VALUE"""),41231.0)</f>
        <v>41231</v>
      </c>
      <c r="I252" s="19">
        <f>IFERROR(__xludf.DUMMYFUNCTION("""COMPUTED_VALUE"""),4.558333333333334)</f>
        <v>4.558333333</v>
      </c>
      <c r="J252" s="21">
        <f>IFERROR(__xludf.DUMMYFUNCTION("""COMPUTED_VALUE"""),59.0)</f>
        <v>59</v>
      </c>
      <c r="K252" s="23">
        <f>IFERROR(__xludf.DUMMYFUNCTION("""COMPUTED_VALUE"""),6.5)</f>
        <v>6.5</v>
      </c>
      <c r="L252" s="24">
        <f>IFERROR(__xludf.DUMMYFUNCTION("""COMPUTED_VALUE"""),9.0)</f>
        <v>9</v>
      </c>
      <c r="M252" s="25" t="str">
        <f>IFERROR(__xludf.DUMMYFUNCTION("""COMPUTED_VALUE"""),"Platformer")</f>
        <v>Platformer</v>
      </c>
      <c r="N252" s="25" t="str">
        <f>IFERROR(__xludf.DUMMYFUNCTION("""COMPUTED_VALUE"""),"PS3")</f>
        <v>PS3</v>
      </c>
      <c r="O252" s="26" t="str">
        <f>IFERROR(__xludf.DUMMYFUNCTION("""COMPUTED_VALUE"""),"Yes")</f>
        <v>Yes</v>
      </c>
      <c r="P252" s="26"/>
    </row>
    <row r="253">
      <c r="A253" s="13" t="str">
        <f>IFERROR(__xludf.DUMMYFUNCTION("""COMPUTED_VALUE"""),"Dogfight 1942")</f>
        <v>Dogfight 1942</v>
      </c>
      <c r="B253" s="15" t="str">
        <f>IFERROR(__xludf.DUMMYFUNCTION("""COMPUTED_VALUE"""),"PS5/PS4")</f>
        <v>PS5/PS4</v>
      </c>
      <c r="C253" s="16" t="str">
        <f>IFERROR(__xludf.DUMMYFUNCTION("""COMPUTED_VALUE"""),"Premium (Streaming Only)")</f>
        <v>Premium (Streaming Only)</v>
      </c>
      <c r="D253" s="15" t="str">
        <f>IFERROR(__xludf.DUMMYFUNCTION("""COMPUTED_VALUE"""),"Active")</f>
        <v>Active</v>
      </c>
      <c r="E253" s="17">
        <f>IFERROR(__xludf.DUMMYFUNCTION("""COMPUTED_VALUE"""),42528.0)</f>
        <v>42528</v>
      </c>
      <c r="F253" s="54"/>
      <c r="G253" s="19">
        <f>IFERROR(__xludf.DUMMYFUNCTION("""COMPUTED_VALUE"""),123.96666666666667)</f>
        <v>123.9666667</v>
      </c>
      <c r="H253" s="17">
        <f>IFERROR(__xludf.DUMMYFUNCTION("""COMPUTED_VALUE"""),41153.0)</f>
        <v>41153</v>
      </c>
      <c r="I253" s="19">
        <f>IFERROR(__xludf.DUMMYFUNCTION("""COMPUTED_VALUE"""),3.7666666666666666)</f>
        <v>3.766666667</v>
      </c>
      <c r="J253" s="21">
        <f>IFERROR(__xludf.DUMMYFUNCTION("""COMPUTED_VALUE"""),59.0)</f>
        <v>59</v>
      </c>
      <c r="K253" s="23">
        <f>IFERROR(__xludf.DUMMYFUNCTION("""COMPUTED_VALUE"""),5.8)</f>
        <v>5.8</v>
      </c>
      <c r="L253" s="24">
        <f>IFERROR(__xludf.DUMMYFUNCTION("""COMPUTED_VALUE"""),4.0)</f>
        <v>4</v>
      </c>
      <c r="M253" s="25" t="str">
        <f>IFERROR(__xludf.DUMMYFUNCTION("""COMPUTED_VALUE"""),"Shooter")</f>
        <v>Shooter</v>
      </c>
      <c r="N253" s="25" t="str">
        <f>IFERROR(__xludf.DUMMYFUNCTION("""COMPUTED_VALUE"""),"PS3")</f>
        <v>PS3</v>
      </c>
      <c r="O253" s="26" t="str">
        <f>IFERROR(__xludf.DUMMYFUNCTION("""COMPUTED_VALUE"""),"Yes")</f>
        <v>Yes</v>
      </c>
      <c r="P253" s="26" t="str">
        <f>IFERROR(__xludf.DUMMYFUNCTION("""COMPUTED_VALUE"""),"")</f>
        <v/>
      </c>
    </row>
    <row r="254">
      <c r="A254" s="13" t="str">
        <f>IFERROR(__xludf.DUMMYFUNCTION("""COMPUTED_VALUE"""),"Dark Void")</f>
        <v>Dark Void</v>
      </c>
      <c r="B254" s="15" t="str">
        <f>IFERROR(__xludf.DUMMYFUNCTION("""COMPUTED_VALUE"""),"PS5/PS4")</f>
        <v>PS5/PS4</v>
      </c>
      <c r="C254" s="16" t="str">
        <f>IFERROR(__xludf.DUMMYFUNCTION("""COMPUTED_VALUE"""),"Premium (Streaming Only)")</f>
        <v>Premium (Streaming Only)</v>
      </c>
      <c r="D254" s="15" t="str">
        <f>IFERROR(__xludf.DUMMYFUNCTION("""COMPUTED_VALUE"""),"Active")</f>
        <v>Active</v>
      </c>
      <c r="E254" s="17">
        <f>IFERROR(__xludf.DUMMYFUNCTION("""COMPUTED_VALUE"""),42466.0)</f>
        <v>42466</v>
      </c>
      <c r="F254" s="54"/>
      <c r="G254" s="19">
        <f>IFERROR(__xludf.DUMMYFUNCTION("""COMPUTED_VALUE"""),126.0)</f>
        <v>126</v>
      </c>
      <c r="H254" s="17">
        <f>IFERROR(__xludf.DUMMYFUNCTION("""COMPUTED_VALUE"""),40193.0)</f>
        <v>40193</v>
      </c>
      <c r="I254" s="19">
        <f>IFERROR(__xludf.DUMMYFUNCTION("""COMPUTED_VALUE"""),6.225)</f>
        <v>6.225</v>
      </c>
      <c r="J254" s="21">
        <f>IFERROR(__xludf.DUMMYFUNCTION("""COMPUTED_VALUE"""),59.0)</f>
        <v>59</v>
      </c>
      <c r="K254" s="23">
        <f>IFERROR(__xludf.DUMMYFUNCTION("""COMPUTED_VALUE"""),6.0)</f>
        <v>6</v>
      </c>
      <c r="L254" s="24">
        <f>IFERROR(__xludf.DUMMYFUNCTION("""COMPUTED_VALUE"""),7.5)</f>
        <v>7.5</v>
      </c>
      <c r="M254" s="25" t="str">
        <f>IFERROR(__xludf.DUMMYFUNCTION("""COMPUTED_VALUE"""),"Shooter")</f>
        <v>Shooter</v>
      </c>
      <c r="N254" s="25" t="str">
        <f>IFERROR(__xludf.DUMMYFUNCTION("""COMPUTED_VALUE"""),"PS3")</f>
        <v>PS3</v>
      </c>
      <c r="O254" s="26" t="str">
        <f>IFERROR(__xludf.DUMMYFUNCTION("""COMPUTED_VALUE"""),"Yes")</f>
        <v>Yes</v>
      </c>
      <c r="P254" s="26"/>
    </row>
    <row r="255">
      <c r="A255" s="13" t="str">
        <f>IFERROR(__xludf.DUMMYFUNCTION("""COMPUTED_VALUE"""),"Anarchy: Rush Hour")</f>
        <v>Anarchy: Rush Hour</v>
      </c>
      <c r="B255" s="15" t="str">
        <f>IFERROR(__xludf.DUMMYFUNCTION("""COMPUTED_VALUE"""),"PS5/PS4")</f>
        <v>PS5/PS4</v>
      </c>
      <c r="C255" s="16" t="str">
        <f>IFERROR(__xludf.DUMMYFUNCTION("""COMPUTED_VALUE"""),"Premium (Streaming Only)")</f>
        <v>Premium (Streaming Only)</v>
      </c>
      <c r="D255" s="15" t="str">
        <f>IFERROR(__xludf.DUMMYFUNCTION("""COMPUTED_VALUE"""),"Active")</f>
        <v>Active</v>
      </c>
      <c r="E255" s="17">
        <f>IFERROR(__xludf.DUMMYFUNCTION("""COMPUTED_VALUE"""),42374.0)</f>
        <v>42374</v>
      </c>
      <c r="F255" s="54"/>
      <c r="G255" s="19">
        <f>IFERROR(__xludf.DUMMYFUNCTION("""COMPUTED_VALUE"""),129.03333333333333)</f>
        <v>129.0333333</v>
      </c>
      <c r="H255" s="17">
        <f>IFERROR(__xludf.DUMMYFUNCTION("""COMPUTED_VALUE"""),40436.0)</f>
        <v>40436</v>
      </c>
      <c r="I255" s="19">
        <f>IFERROR(__xludf.DUMMYFUNCTION("""COMPUTED_VALUE"""),5.305555555555555)</f>
        <v>5.305555556</v>
      </c>
      <c r="J255" s="21">
        <f>IFERROR(__xludf.DUMMYFUNCTION("""COMPUTED_VALUE"""),59.0)</f>
        <v>59</v>
      </c>
      <c r="K255" s="23"/>
      <c r="L255" s="24"/>
      <c r="M255" s="25" t="str">
        <f>IFERROR(__xludf.DUMMYFUNCTION("""COMPUTED_VALUE"""),"Racing")</f>
        <v>Racing</v>
      </c>
      <c r="N255" s="25" t="str">
        <f>IFERROR(__xludf.DUMMYFUNCTION("""COMPUTED_VALUE"""),"PS3")</f>
        <v>PS3</v>
      </c>
      <c r="O255" s="26" t="str">
        <f>IFERROR(__xludf.DUMMYFUNCTION("""COMPUTED_VALUE"""),"Yes")</f>
        <v>Yes</v>
      </c>
      <c r="P255" s="26" t="str">
        <f>IFERROR(__xludf.DUMMYFUNCTION("""COMPUTED_VALUE"""),"")</f>
        <v/>
      </c>
    </row>
    <row r="256">
      <c r="A256" s="13" t="str">
        <f>IFERROR(__xludf.DUMMYFUNCTION("""COMPUTED_VALUE"""),"Linger in Shadows")</f>
        <v>Linger in Shadows</v>
      </c>
      <c r="B256" s="15" t="str">
        <f>IFERROR(__xludf.DUMMYFUNCTION("""COMPUTED_VALUE"""),"PS5/PS4")</f>
        <v>PS5/PS4</v>
      </c>
      <c r="C256" s="16" t="str">
        <f>IFERROR(__xludf.DUMMYFUNCTION("""COMPUTED_VALUE"""),"Premium (Streaming Only)")</f>
        <v>Premium (Streaming Only)</v>
      </c>
      <c r="D256" s="15" t="str">
        <f>IFERROR(__xludf.DUMMYFUNCTION("""COMPUTED_VALUE"""),"Active")</f>
        <v>Active</v>
      </c>
      <c r="E256" s="17">
        <f>IFERROR(__xludf.DUMMYFUNCTION("""COMPUTED_VALUE"""),42374.0)</f>
        <v>42374</v>
      </c>
      <c r="F256" s="54"/>
      <c r="G256" s="19">
        <f>IFERROR(__xludf.DUMMYFUNCTION("""COMPUTED_VALUE"""),129.03333333333333)</f>
        <v>129.0333333</v>
      </c>
      <c r="H256" s="17">
        <f>IFERROR(__xludf.DUMMYFUNCTION("""COMPUTED_VALUE"""),39722.0)</f>
        <v>39722</v>
      </c>
      <c r="I256" s="19">
        <f>IFERROR(__xludf.DUMMYFUNCTION("""COMPUTED_VALUE"""),7.261111111111111)</f>
        <v>7.261111111</v>
      </c>
      <c r="J256" s="21">
        <f>IFERROR(__xludf.DUMMYFUNCTION("""COMPUTED_VALUE"""),59.0)</f>
        <v>59</v>
      </c>
      <c r="K256" s="23">
        <f>IFERROR(__xludf.DUMMYFUNCTION("""COMPUTED_VALUE"""),6.4)</f>
        <v>6.4</v>
      </c>
      <c r="L256" s="24">
        <f>IFERROR(__xludf.DUMMYFUNCTION("""COMPUTED_VALUE"""),1.0)</f>
        <v>1</v>
      </c>
      <c r="M256" s="25" t="str">
        <f>IFERROR(__xludf.DUMMYFUNCTION("""COMPUTED_VALUE"""),"Interactive")</f>
        <v>Interactive</v>
      </c>
      <c r="N256" s="25" t="str">
        <f>IFERROR(__xludf.DUMMYFUNCTION("""COMPUTED_VALUE"""),"PS3")</f>
        <v>PS3</v>
      </c>
      <c r="O256" s="26" t="str">
        <f>IFERROR(__xludf.DUMMYFUNCTION("""COMPUTED_VALUE"""),"Yes")</f>
        <v>Yes</v>
      </c>
      <c r="P256" s="26" t="str">
        <f>IFERROR(__xludf.DUMMYFUNCTION("""COMPUTED_VALUE"""),"")</f>
        <v/>
      </c>
    </row>
    <row r="257">
      <c r="A257" s="13" t="str">
        <f>IFERROR(__xludf.DUMMYFUNCTION("""COMPUTED_VALUE"""),"OKABU")</f>
        <v>OKABU</v>
      </c>
      <c r="B257" s="15" t="str">
        <f>IFERROR(__xludf.DUMMYFUNCTION("""COMPUTED_VALUE"""),"PS5/PS4")</f>
        <v>PS5/PS4</v>
      </c>
      <c r="C257" s="16" t="str">
        <f>IFERROR(__xludf.DUMMYFUNCTION("""COMPUTED_VALUE"""),"Premium (Streaming Only)")</f>
        <v>Premium (Streaming Only)</v>
      </c>
      <c r="D257" s="15" t="str">
        <f>IFERROR(__xludf.DUMMYFUNCTION("""COMPUTED_VALUE"""),"Active")</f>
        <v>Active</v>
      </c>
      <c r="E257" s="17">
        <f>IFERROR(__xludf.DUMMYFUNCTION("""COMPUTED_VALUE"""),42374.0)</f>
        <v>42374</v>
      </c>
      <c r="F257" s="54"/>
      <c r="G257" s="19">
        <f>IFERROR(__xludf.DUMMYFUNCTION("""COMPUTED_VALUE"""),129.03333333333333)</f>
        <v>129.0333333</v>
      </c>
      <c r="H257" s="17">
        <f>IFERROR(__xludf.DUMMYFUNCTION("""COMPUTED_VALUE"""),40834.0)</f>
        <v>40834</v>
      </c>
      <c r="I257" s="19">
        <f>IFERROR(__xludf.DUMMYFUNCTION("""COMPUTED_VALUE"""),4.213888888888889)</f>
        <v>4.213888889</v>
      </c>
      <c r="J257" s="21">
        <f>IFERROR(__xludf.DUMMYFUNCTION("""COMPUTED_VALUE"""),59.0)</f>
        <v>59</v>
      </c>
      <c r="K257" s="23"/>
      <c r="L257" s="24">
        <f>IFERROR(__xludf.DUMMYFUNCTION("""COMPUTED_VALUE"""),3.0)</f>
        <v>3</v>
      </c>
      <c r="M257" s="25" t="str">
        <f>IFERROR(__xludf.DUMMYFUNCTION("""COMPUTED_VALUE"""),"Action-Adventure")</f>
        <v>Action-Adventure</v>
      </c>
      <c r="N257" s="25" t="str">
        <f>IFERROR(__xludf.DUMMYFUNCTION("""COMPUTED_VALUE"""),"PS3")</f>
        <v>PS3</v>
      </c>
      <c r="O257" s="26" t="str">
        <f>IFERROR(__xludf.DUMMYFUNCTION("""COMPUTED_VALUE"""),"Yes")</f>
        <v>Yes</v>
      </c>
      <c r="P257" s="26" t="str">
        <f>IFERROR(__xludf.DUMMYFUNCTION("""COMPUTED_VALUE"""),"")</f>
        <v/>
      </c>
    </row>
    <row r="258">
      <c r="A258" s="13" t="str">
        <f>IFERROR(__xludf.DUMMYFUNCTION("""COMPUTED_VALUE"""),"Dynasty Warriors 6")</f>
        <v>Dynasty Warriors 6</v>
      </c>
      <c r="B258" s="15" t="str">
        <f>IFERROR(__xludf.DUMMYFUNCTION("""COMPUTED_VALUE"""),"PS5/PS4")</f>
        <v>PS5/PS4</v>
      </c>
      <c r="C258" s="16" t="str">
        <f>IFERROR(__xludf.DUMMYFUNCTION("""COMPUTED_VALUE"""),"Premium (Streaming Only)")</f>
        <v>Premium (Streaming Only)</v>
      </c>
      <c r="D258" s="15" t="str">
        <f>IFERROR(__xludf.DUMMYFUNCTION("""COMPUTED_VALUE"""),"Active")</f>
        <v>Active</v>
      </c>
      <c r="E258" s="17">
        <f>IFERROR(__xludf.DUMMYFUNCTION("""COMPUTED_VALUE"""),42178.0)</f>
        <v>42178</v>
      </c>
      <c r="F258" s="54"/>
      <c r="G258" s="19">
        <f>IFERROR(__xludf.DUMMYFUNCTION("""COMPUTED_VALUE"""),135.43333333333334)</f>
        <v>135.4333333</v>
      </c>
      <c r="H258" s="17">
        <f>IFERROR(__xludf.DUMMYFUNCTION("""COMPUTED_VALUE"""),39479.0)</f>
        <v>39479</v>
      </c>
      <c r="I258" s="19">
        <f>IFERROR(__xludf.DUMMYFUNCTION("""COMPUTED_VALUE"""),7.394444444444445)</f>
        <v>7.394444444</v>
      </c>
      <c r="J258" s="21">
        <f>IFERROR(__xludf.DUMMYFUNCTION("""COMPUTED_VALUE"""),59.0)</f>
        <v>59</v>
      </c>
      <c r="K258" s="23">
        <f>IFERROR(__xludf.DUMMYFUNCTION("""COMPUTED_VALUE"""),7.2)</f>
        <v>7.2</v>
      </c>
      <c r="L258" s="24">
        <f>IFERROR(__xludf.DUMMYFUNCTION("""COMPUTED_VALUE"""),20.0)</f>
        <v>20</v>
      </c>
      <c r="M258" s="25" t="str">
        <f>IFERROR(__xludf.DUMMYFUNCTION("""COMPUTED_VALUE"""),"Action-Adventure")</f>
        <v>Action-Adventure</v>
      </c>
      <c r="N258" s="25" t="str">
        <f>IFERROR(__xludf.DUMMYFUNCTION("""COMPUTED_VALUE"""),"PS3")</f>
        <v>PS3</v>
      </c>
      <c r="O258" s="26" t="str">
        <f>IFERROR(__xludf.DUMMYFUNCTION("""COMPUTED_VALUE"""),"Yes")</f>
        <v>Yes</v>
      </c>
      <c r="P258" s="26" t="str">
        <f>IFERROR(__xludf.DUMMYFUNCTION("""COMPUTED_VALUE"""),"")</f>
        <v/>
      </c>
    </row>
    <row r="259">
      <c r="A259" s="13" t="str">
        <f>IFERROR(__xludf.DUMMYFUNCTION("""COMPUTED_VALUE"""),"Mars: War Logs")</f>
        <v>Mars: War Logs</v>
      </c>
      <c r="B259" s="15" t="str">
        <f>IFERROR(__xludf.DUMMYFUNCTION("""COMPUTED_VALUE"""),"PS5/PS4")</f>
        <v>PS5/PS4</v>
      </c>
      <c r="C259" s="16" t="str">
        <f>IFERROR(__xludf.DUMMYFUNCTION("""COMPUTED_VALUE"""),"Premium (Streaming Only)")</f>
        <v>Premium (Streaming Only)</v>
      </c>
      <c r="D259" s="15" t="str">
        <f>IFERROR(__xludf.DUMMYFUNCTION("""COMPUTED_VALUE"""),"Active")</f>
        <v>Active</v>
      </c>
      <c r="E259" s="17">
        <f>IFERROR(__xludf.DUMMYFUNCTION("""COMPUTED_VALUE"""),42017.0)</f>
        <v>42017</v>
      </c>
      <c r="F259" s="54"/>
      <c r="G259" s="19">
        <f>IFERROR(__xludf.DUMMYFUNCTION("""COMPUTED_VALUE"""),140.76666666666668)</f>
        <v>140.7666667</v>
      </c>
      <c r="H259" s="17">
        <f>IFERROR(__xludf.DUMMYFUNCTION("""COMPUTED_VALUE"""),41456.0)</f>
        <v>41456</v>
      </c>
      <c r="I259" s="19">
        <f>IFERROR(__xludf.DUMMYFUNCTION("""COMPUTED_VALUE"""),1.5333333333333334)</f>
        <v>1.533333333</v>
      </c>
      <c r="J259" s="21">
        <f>IFERROR(__xludf.DUMMYFUNCTION("""COMPUTED_VALUE"""),59.0)</f>
        <v>59</v>
      </c>
      <c r="K259" s="23">
        <f>IFERROR(__xludf.DUMMYFUNCTION("""COMPUTED_VALUE"""),6.5)</f>
        <v>6.5</v>
      </c>
      <c r="L259" s="24">
        <f>IFERROR(__xludf.DUMMYFUNCTION("""COMPUTED_VALUE"""),18.0)</f>
        <v>18</v>
      </c>
      <c r="M259" s="25" t="str">
        <f>IFERROR(__xludf.DUMMYFUNCTION("""COMPUTED_VALUE"""),"RPG")</f>
        <v>RPG</v>
      </c>
      <c r="N259" s="25" t="str">
        <f>IFERROR(__xludf.DUMMYFUNCTION("""COMPUTED_VALUE"""),"PS3")</f>
        <v>PS3</v>
      </c>
      <c r="O259" s="26" t="str">
        <f>IFERROR(__xludf.DUMMYFUNCTION("""COMPUTED_VALUE"""),"Yes")</f>
        <v>Yes</v>
      </c>
      <c r="P259" s="26" t="str">
        <f>IFERROR(__xludf.DUMMYFUNCTION("""COMPUTED_VALUE"""),"")</f>
        <v/>
      </c>
    </row>
    <row r="260">
      <c r="A260" s="13" t="str">
        <f>IFERROR(__xludf.DUMMYFUNCTION("""COMPUTED_VALUE"""),"Way of the Samurai 4: Plus")</f>
        <v>Way of the Samurai 4: Plus</v>
      </c>
      <c r="B260" s="15" t="str">
        <f>IFERROR(__xludf.DUMMYFUNCTION("""COMPUTED_VALUE"""),"PS5/PS4")</f>
        <v>PS5/PS4</v>
      </c>
      <c r="C260" s="16" t="str">
        <f>IFERROR(__xludf.DUMMYFUNCTION("""COMPUTED_VALUE"""),"Premium (Streaming Only)")</f>
        <v>Premium (Streaming Only)</v>
      </c>
      <c r="D260" s="15" t="str">
        <f>IFERROR(__xludf.DUMMYFUNCTION("""COMPUTED_VALUE"""),"Active")</f>
        <v>Active</v>
      </c>
      <c r="E260" s="17">
        <f>IFERROR(__xludf.DUMMYFUNCTION("""COMPUTED_VALUE"""),44725.0)</f>
        <v>44725</v>
      </c>
      <c r="F260" s="54"/>
      <c r="G260" s="19">
        <f>IFERROR(__xludf.DUMMYFUNCTION("""COMPUTED_VALUE"""),51.766666666666666)</f>
        <v>51.76666667</v>
      </c>
      <c r="H260" s="17">
        <f>IFERROR(__xludf.DUMMYFUNCTION("""COMPUTED_VALUE"""),41122.0)</f>
        <v>41122</v>
      </c>
      <c r="I260" s="19">
        <f>IFERROR(__xludf.DUMMYFUNCTION("""COMPUTED_VALUE"""),9.866666666666667)</f>
        <v>9.866666667</v>
      </c>
      <c r="J260" s="21">
        <f>IFERROR(__xludf.DUMMYFUNCTION("""COMPUTED_VALUE"""),58.0)</f>
        <v>58</v>
      </c>
      <c r="K260" s="23">
        <f>IFERROR(__xludf.DUMMYFUNCTION("""COMPUTED_VALUE"""),6.8)</f>
        <v>6.8</v>
      </c>
      <c r="L260" s="24">
        <f>IFERROR(__xludf.DUMMYFUNCTION("""COMPUTED_VALUE"""),15.0)</f>
        <v>15</v>
      </c>
      <c r="M260" s="25" t="str">
        <f>IFERROR(__xludf.DUMMYFUNCTION("""COMPUTED_VALUE"""),"Action-Adventure")</f>
        <v>Action-Adventure</v>
      </c>
      <c r="N260" s="25" t="str">
        <f>IFERROR(__xludf.DUMMYFUNCTION("""COMPUTED_VALUE"""),"PS3")</f>
        <v>PS3</v>
      </c>
      <c r="O260" s="26" t="str">
        <f>IFERROR(__xludf.DUMMYFUNCTION("""COMPUTED_VALUE"""),"Yes")</f>
        <v>Yes</v>
      </c>
      <c r="P260" s="26" t="str">
        <f>IFERROR(__xludf.DUMMYFUNCTION("""COMPUTED_VALUE"""),"")</f>
        <v/>
      </c>
    </row>
    <row r="261">
      <c r="A261" s="13" t="str">
        <f>IFERROR(__xludf.DUMMYFUNCTION("""COMPUTED_VALUE"""),"Tron: Evolution")</f>
        <v>Tron: Evolution</v>
      </c>
      <c r="B261" s="15" t="str">
        <f>IFERROR(__xludf.DUMMYFUNCTION("""COMPUTED_VALUE"""),"PS5/PS4")</f>
        <v>PS5/PS4</v>
      </c>
      <c r="C261" s="16" t="str">
        <f>IFERROR(__xludf.DUMMYFUNCTION("""COMPUTED_VALUE"""),"Premium (Streaming Only)")</f>
        <v>Premium (Streaming Only)</v>
      </c>
      <c r="D261" s="15" t="str">
        <f>IFERROR(__xludf.DUMMYFUNCTION("""COMPUTED_VALUE"""),"Active")</f>
        <v>Active</v>
      </c>
      <c r="E261" s="17">
        <f>IFERROR(__xludf.DUMMYFUNCTION("""COMPUTED_VALUE"""),42895.0)</f>
        <v>42895</v>
      </c>
      <c r="F261" s="54"/>
      <c r="G261" s="19">
        <f>IFERROR(__xludf.DUMMYFUNCTION("""COMPUTED_VALUE"""),111.89999999999999)</f>
        <v>111.9</v>
      </c>
      <c r="H261" s="17">
        <f>IFERROR(__xludf.DUMMYFUNCTION("""COMPUTED_VALUE"""),40513.0)</f>
        <v>40513</v>
      </c>
      <c r="I261" s="19">
        <f>IFERROR(__xludf.DUMMYFUNCTION("""COMPUTED_VALUE"""),6.522222222222222)</f>
        <v>6.522222222</v>
      </c>
      <c r="J261" s="21">
        <f>IFERROR(__xludf.DUMMYFUNCTION("""COMPUTED_VALUE"""),58.0)</f>
        <v>58</v>
      </c>
      <c r="K261" s="23">
        <f>IFERROR(__xludf.DUMMYFUNCTION("""COMPUTED_VALUE"""),5.7)</f>
        <v>5.7</v>
      </c>
      <c r="L261" s="24">
        <f>IFERROR(__xludf.DUMMYFUNCTION("""COMPUTED_VALUE"""),8.0)</f>
        <v>8</v>
      </c>
      <c r="M261" s="72" t="str">
        <f>IFERROR(__xludf.DUMMYFUNCTION("""COMPUTED_VALUE"""),"Action-Adventure")</f>
        <v>Action-Adventure</v>
      </c>
      <c r="N261" s="72" t="str">
        <f>IFERROR(__xludf.DUMMYFUNCTION("""COMPUTED_VALUE"""),"PS3")</f>
        <v>PS3</v>
      </c>
      <c r="O261" s="73" t="str">
        <f>IFERROR(__xludf.DUMMYFUNCTION("""COMPUTED_VALUE"""),"Yes")</f>
        <v>Yes</v>
      </c>
      <c r="P261" s="73" t="str">
        <f>IFERROR(__xludf.DUMMYFUNCTION("""COMPUTED_VALUE"""),"")</f>
        <v/>
      </c>
    </row>
    <row r="262">
      <c r="A262" s="13" t="str">
        <f>IFERROR(__xludf.DUMMYFUNCTION("""COMPUTED_VALUE"""),"NINJA GAIDEN 3")</f>
        <v>NINJA GAIDEN 3</v>
      </c>
      <c r="B262" s="15" t="str">
        <f>IFERROR(__xludf.DUMMYFUNCTION("""COMPUTED_VALUE"""),"PS5/PS4")</f>
        <v>PS5/PS4</v>
      </c>
      <c r="C262" s="16" t="str">
        <f>IFERROR(__xludf.DUMMYFUNCTION("""COMPUTED_VALUE"""),"Premium (Streaming Only)")</f>
        <v>Premium (Streaming Only)</v>
      </c>
      <c r="D262" s="15" t="str">
        <f>IFERROR(__xludf.DUMMYFUNCTION("""COMPUTED_VALUE"""),"Active")</f>
        <v>Active</v>
      </c>
      <c r="E262" s="17">
        <f>IFERROR(__xludf.DUMMYFUNCTION("""COMPUTED_VALUE"""),42773.0)</f>
        <v>42773</v>
      </c>
      <c r="F262" s="18"/>
      <c r="G262" s="19">
        <f>IFERROR(__xludf.DUMMYFUNCTION("""COMPUTED_VALUE"""),115.96666666666667)</f>
        <v>115.9666667</v>
      </c>
      <c r="H262" s="17">
        <f>IFERROR(__xludf.DUMMYFUNCTION("""COMPUTED_VALUE"""),40969.0)</f>
        <v>40969</v>
      </c>
      <c r="I262" s="19">
        <f>IFERROR(__xludf.DUMMYFUNCTION("""COMPUTED_VALUE"""),4.933333333333334)</f>
        <v>4.933333333</v>
      </c>
      <c r="J262" s="21">
        <f>IFERROR(__xludf.DUMMYFUNCTION("""COMPUTED_VALUE"""),58.0)</f>
        <v>58</v>
      </c>
      <c r="K262" s="23">
        <f>IFERROR(__xludf.DUMMYFUNCTION("""COMPUTED_VALUE"""),6.1)</f>
        <v>6.1</v>
      </c>
      <c r="L262" s="24">
        <f>IFERROR(__xludf.DUMMYFUNCTION("""COMPUTED_VALUE"""),11.0)</f>
        <v>11</v>
      </c>
      <c r="M262" s="25" t="str">
        <f>IFERROR(__xludf.DUMMYFUNCTION("""COMPUTED_VALUE"""),"Action-Adventure")</f>
        <v>Action-Adventure</v>
      </c>
      <c r="N262" s="25" t="str">
        <f>IFERROR(__xludf.DUMMYFUNCTION("""COMPUTED_VALUE"""),"PS3")</f>
        <v>PS3</v>
      </c>
      <c r="O262" s="26" t="str">
        <f>IFERROR(__xludf.DUMMYFUNCTION("""COMPUTED_VALUE"""),"Yes")</f>
        <v>Yes</v>
      </c>
      <c r="P262" s="26" t="str">
        <f>IFERROR(__xludf.DUMMYFUNCTION("""COMPUTED_VALUE"""),"")</f>
        <v/>
      </c>
    </row>
    <row r="263">
      <c r="A263" s="13" t="str">
        <f>IFERROR(__xludf.DUMMYFUNCTION("""COMPUTED_VALUE"""),"Bladestorm: Nightmare")</f>
        <v>Bladestorm: Nightmare</v>
      </c>
      <c r="B263" s="15" t="str">
        <f>IFERROR(__xludf.DUMMYFUNCTION("""COMPUTED_VALUE"""),"PS5/PS4")</f>
        <v>PS5/PS4</v>
      </c>
      <c r="C263" s="16" t="str">
        <f>IFERROR(__xludf.DUMMYFUNCTION("""COMPUTED_VALUE"""),"Premium (Streaming Only)")</f>
        <v>Premium (Streaming Only)</v>
      </c>
      <c r="D263" s="15" t="str">
        <f>IFERROR(__xludf.DUMMYFUNCTION("""COMPUTED_VALUE"""),"Active")</f>
        <v>Active</v>
      </c>
      <c r="E263" s="17">
        <f>IFERROR(__xludf.DUMMYFUNCTION("""COMPUTED_VALUE"""),42647.0)</f>
        <v>42647</v>
      </c>
      <c r="F263" s="54"/>
      <c r="G263" s="19">
        <f>IFERROR(__xludf.DUMMYFUNCTION("""COMPUTED_VALUE"""),120.06666666666668)</f>
        <v>120.0666667</v>
      </c>
      <c r="H263" s="17">
        <f>IFERROR(__xludf.DUMMYFUNCTION("""COMPUTED_VALUE"""),42064.0)</f>
        <v>42064</v>
      </c>
      <c r="I263" s="19">
        <f>IFERROR(__xludf.DUMMYFUNCTION("""COMPUTED_VALUE"""),1.5916666666666666)</f>
        <v>1.591666667</v>
      </c>
      <c r="J263" s="21">
        <f>IFERROR(__xludf.DUMMYFUNCTION("""COMPUTED_VALUE"""),58.0)</f>
        <v>58</v>
      </c>
      <c r="K263" s="23">
        <f>IFERROR(__xludf.DUMMYFUNCTION("""COMPUTED_VALUE"""),6.4)</f>
        <v>6.4</v>
      </c>
      <c r="L263" s="24">
        <f>IFERROR(__xludf.DUMMYFUNCTION("""COMPUTED_VALUE"""),25.0)</f>
        <v>25</v>
      </c>
      <c r="M263" s="25" t="str">
        <f>IFERROR(__xludf.DUMMYFUNCTION("""COMPUTED_VALUE"""),"RPG")</f>
        <v>RPG</v>
      </c>
      <c r="N263" s="25" t="str">
        <f>IFERROR(__xludf.DUMMYFUNCTION("""COMPUTED_VALUE"""),"PS3")</f>
        <v>PS3</v>
      </c>
      <c r="O263" s="26" t="str">
        <f>IFERROR(__xludf.DUMMYFUNCTION("""COMPUTED_VALUE"""),"Yes")</f>
        <v>Yes</v>
      </c>
      <c r="P263" s="26" t="str">
        <f>IFERROR(__xludf.DUMMYFUNCTION("""COMPUTED_VALUE"""),"")</f>
        <v/>
      </c>
    </row>
    <row r="264">
      <c r="A264" s="13" t="str">
        <f>IFERROR(__xludf.DUMMYFUNCTION("""COMPUTED_VALUE"""),"Cel Damage HD")</f>
        <v>Cel Damage HD</v>
      </c>
      <c r="B264" s="15" t="str">
        <f>IFERROR(__xludf.DUMMYFUNCTION("""COMPUTED_VALUE"""),"PS5/PS4")</f>
        <v>PS5/PS4</v>
      </c>
      <c r="C264" s="16" t="str">
        <f>IFERROR(__xludf.DUMMYFUNCTION("""COMPUTED_VALUE"""),"Premium (Streaming Only)")</f>
        <v>Premium (Streaming Only)</v>
      </c>
      <c r="D264" s="15" t="str">
        <f>IFERROR(__xludf.DUMMYFUNCTION("""COMPUTED_VALUE"""),"Active")</f>
        <v>Active</v>
      </c>
      <c r="E264" s="17">
        <f>IFERROR(__xludf.DUMMYFUNCTION("""COMPUTED_VALUE"""),42311.0)</f>
        <v>42311</v>
      </c>
      <c r="F264" s="54"/>
      <c r="G264" s="19">
        <f>IFERROR(__xludf.DUMMYFUNCTION("""COMPUTED_VALUE"""),131.10000000000002)</f>
        <v>131.1</v>
      </c>
      <c r="H264" s="17">
        <f>IFERROR(__xludf.DUMMYFUNCTION("""COMPUTED_VALUE"""),41730.0)</f>
        <v>41730</v>
      </c>
      <c r="I264" s="19">
        <f>IFERROR(__xludf.DUMMYFUNCTION("""COMPUTED_VALUE"""),1.5888888888888888)</f>
        <v>1.588888889</v>
      </c>
      <c r="J264" s="21">
        <f>IFERROR(__xludf.DUMMYFUNCTION("""COMPUTED_VALUE"""),58.0)</f>
        <v>58</v>
      </c>
      <c r="K264" s="23">
        <f>IFERROR(__xludf.DUMMYFUNCTION("""COMPUTED_VALUE"""),6.7)</f>
        <v>6.7</v>
      </c>
      <c r="L264" s="24"/>
      <c r="M264" s="25" t="str">
        <f>IFERROR(__xludf.DUMMYFUNCTION("""COMPUTED_VALUE"""),"Racing")</f>
        <v>Racing</v>
      </c>
      <c r="N264" s="25" t="str">
        <f>IFERROR(__xludf.DUMMYFUNCTION("""COMPUTED_VALUE"""),"PS3")</f>
        <v>PS3</v>
      </c>
      <c r="O264" s="26" t="str">
        <f>IFERROR(__xludf.DUMMYFUNCTION("""COMPUTED_VALUE"""),"Yes")</f>
        <v>Yes</v>
      </c>
      <c r="P264" s="26" t="str">
        <f>IFERROR(__xludf.DUMMYFUNCTION("""COMPUTED_VALUE"""),"")</f>
        <v/>
      </c>
    </row>
    <row r="265">
      <c r="A265" s="13" t="str">
        <f>IFERROR(__xludf.DUMMYFUNCTION("""COMPUTED_VALUE"""),"Bang Bang Racing")</f>
        <v>Bang Bang Racing</v>
      </c>
      <c r="B265" s="15" t="str">
        <f>IFERROR(__xludf.DUMMYFUNCTION("""COMPUTED_VALUE"""),"PS5/PS4")</f>
        <v>PS5/PS4</v>
      </c>
      <c r="C265" s="16" t="str">
        <f>IFERROR(__xludf.DUMMYFUNCTION("""COMPUTED_VALUE"""),"Premium (Streaming Only)")</f>
        <v>Premium (Streaming Only)</v>
      </c>
      <c r="D265" s="15" t="str">
        <f>IFERROR(__xludf.DUMMYFUNCTION("""COMPUTED_VALUE"""),"Active")</f>
        <v>Active</v>
      </c>
      <c r="E265" s="17">
        <f>IFERROR(__xludf.DUMMYFUNCTION("""COMPUTED_VALUE"""),42017.0)</f>
        <v>42017</v>
      </c>
      <c r="F265" s="54"/>
      <c r="G265" s="19">
        <f>IFERROR(__xludf.DUMMYFUNCTION("""COMPUTED_VALUE"""),140.76666666666668)</f>
        <v>140.7666667</v>
      </c>
      <c r="H265" s="17">
        <f>IFERROR(__xludf.DUMMYFUNCTION("""COMPUTED_VALUE"""),41061.0)</f>
        <v>41061</v>
      </c>
      <c r="I265" s="19">
        <f>IFERROR(__xludf.DUMMYFUNCTION("""COMPUTED_VALUE"""),2.6166666666666667)</f>
        <v>2.616666667</v>
      </c>
      <c r="J265" s="21">
        <f>IFERROR(__xludf.DUMMYFUNCTION("""COMPUTED_VALUE"""),58.0)</f>
        <v>58</v>
      </c>
      <c r="K265" s="23">
        <f>IFERROR(__xludf.DUMMYFUNCTION("""COMPUTED_VALUE"""),6.5)</f>
        <v>6.5</v>
      </c>
      <c r="L265" s="24"/>
      <c r="M265" s="25" t="str">
        <f>IFERROR(__xludf.DUMMYFUNCTION("""COMPUTED_VALUE"""),"Racing")</f>
        <v>Racing</v>
      </c>
      <c r="N265" s="25" t="str">
        <f>IFERROR(__xludf.DUMMYFUNCTION("""COMPUTED_VALUE"""),"PS3")</f>
        <v>PS3</v>
      </c>
      <c r="O265" s="26" t="str">
        <f>IFERROR(__xludf.DUMMYFUNCTION("""COMPUTED_VALUE"""),"Yes")</f>
        <v>Yes</v>
      </c>
      <c r="P265" s="26" t="str">
        <f>IFERROR(__xludf.DUMMYFUNCTION("""COMPUTED_VALUE"""),"Yes")</f>
        <v>Yes</v>
      </c>
    </row>
    <row r="266">
      <c r="A266" s="13" t="str">
        <f>IFERROR(__xludf.DUMMYFUNCTION("""COMPUTED_VALUE"""),"Bladestorm: The Hundred Years' War")</f>
        <v>Bladestorm: The Hundred Years' War</v>
      </c>
      <c r="B266" s="15" t="str">
        <f>IFERROR(__xludf.DUMMYFUNCTION("""COMPUTED_VALUE"""),"PS5/PS4")</f>
        <v>PS5/PS4</v>
      </c>
      <c r="C266" s="16" t="str">
        <f>IFERROR(__xludf.DUMMYFUNCTION("""COMPUTED_VALUE"""),"Premium (Streaming Only)")</f>
        <v>Premium (Streaming Only)</v>
      </c>
      <c r="D266" s="15" t="str">
        <f>IFERROR(__xludf.DUMMYFUNCTION("""COMPUTED_VALUE"""),"Active")</f>
        <v>Active</v>
      </c>
      <c r="E266" s="17">
        <f>IFERROR(__xludf.DUMMYFUNCTION("""COMPUTED_VALUE"""),42017.0)</f>
        <v>42017</v>
      </c>
      <c r="F266" s="54"/>
      <c r="G266" s="19">
        <f>IFERROR(__xludf.DUMMYFUNCTION("""COMPUTED_VALUE"""),140.76666666666668)</f>
        <v>140.7666667</v>
      </c>
      <c r="H266" s="17">
        <f>IFERROR(__xludf.DUMMYFUNCTION("""COMPUTED_VALUE"""),39387.0)</f>
        <v>39387</v>
      </c>
      <c r="I266" s="19">
        <f>IFERROR(__xludf.DUMMYFUNCTION("""COMPUTED_VALUE"""),7.2)</f>
        <v>7.2</v>
      </c>
      <c r="J266" s="21">
        <f>IFERROR(__xludf.DUMMYFUNCTION("""COMPUTED_VALUE"""),58.0)</f>
        <v>58</v>
      </c>
      <c r="K266" s="23">
        <f>IFERROR(__xludf.DUMMYFUNCTION("""COMPUTED_VALUE"""),7.3)</f>
        <v>7.3</v>
      </c>
      <c r="L266" s="24">
        <f>IFERROR(__xludf.DUMMYFUNCTION("""COMPUTED_VALUE"""),25.0)</f>
        <v>25</v>
      </c>
      <c r="M266" s="25" t="str">
        <f>IFERROR(__xludf.DUMMYFUNCTION("""COMPUTED_VALUE"""),"RPG")</f>
        <v>RPG</v>
      </c>
      <c r="N266" s="25" t="str">
        <f>IFERROR(__xludf.DUMMYFUNCTION("""COMPUTED_VALUE"""),"PS3")</f>
        <v>PS3</v>
      </c>
      <c r="O266" s="26" t="str">
        <f>IFERROR(__xludf.DUMMYFUNCTION("""COMPUTED_VALUE"""),"Yes")</f>
        <v>Yes</v>
      </c>
      <c r="P266" s="26" t="str">
        <f>IFERROR(__xludf.DUMMYFUNCTION("""COMPUTED_VALUE"""),"")</f>
        <v/>
      </c>
    </row>
    <row r="267">
      <c r="A267" s="13" t="str">
        <f>IFERROR(__xludf.DUMMYFUNCTION("""COMPUTED_VALUE"""),"Way of the Samurai 3: Plus")</f>
        <v>Way of the Samurai 3: Plus</v>
      </c>
      <c r="B267" s="15" t="str">
        <f>IFERROR(__xludf.DUMMYFUNCTION("""COMPUTED_VALUE"""),"PS5/PS4")</f>
        <v>PS5/PS4</v>
      </c>
      <c r="C267" s="16" t="str">
        <f>IFERROR(__xludf.DUMMYFUNCTION("""COMPUTED_VALUE"""),"Premium (Streaming Only)")</f>
        <v>Premium (Streaming Only)</v>
      </c>
      <c r="D267" s="15" t="str">
        <f>IFERROR(__xludf.DUMMYFUNCTION("""COMPUTED_VALUE"""),"Active")</f>
        <v>Active</v>
      </c>
      <c r="E267" s="17">
        <f>IFERROR(__xludf.DUMMYFUNCTION("""COMPUTED_VALUE"""),42017.0)</f>
        <v>42017</v>
      </c>
      <c r="F267" s="54"/>
      <c r="G267" s="19">
        <f>IFERROR(__xludf.DUMMYFUNCTION("""COMPUTED_VALUE"""),140.76666666666668)</f>
        <v>140.7666667</v>
      </c>
      <c r="H267" s="17">
        <f>IFERROR(__xludf.DUMMYFUNCTION("""COMPUTED_VALUE"""),40087.0)</f>
        <v>40087</v>
      </c>
      <c r="I267" s="19">
        <f>IFERROR(__xludf.DUMMYFUNCTION("""COMPUTED_VALUE"""),5.283333333333333)</f>
        <v>5.283333333</v>
      </c>
      <c r="J267" s="21">
        <f>IFERROR(__xludf.DUMMYFUNCTION("""COMPUTED_VALUE"""),58.0)</f>
        <v>58</v>
      </c>
      <c r="K267" s="23">
        <f>IFERROR(__xludf.DUMMYFUNCTION("""COMPUTED_VALUE"""),7.0)</f>
        <v>7</v>
      </c>
      <c r="L267" s="24">
        <f>IFERROR(__xludf.DUMMYFUNCTION("""COMPUTED_VALUE"""),15.0)</f>
        <v>15</v>
      </c>
      <c r="M267" s="25" t="str">
        <f>IFERROR(__xludf.DUMMYFUNCTION("""COMPUTED_VALUE"""),"Action-Adventure")</f>
        <v>Action-Adventure</v>
      </c>
      <c r="N267" s="25" t="str">
        <f>IFERROR(__xludf.DUMMYFUNCTION("""COMPUTED_VALUE"""),"PS3")</f>
        <v>PS3</v>
      </c>
      <c r="O267" s="26" t="str">
        <f>IFERROR(__xludf.DUMMYFUNCTION("""COMPUTED_VALUE"""),"Yes")</f>
        <v>Yes</v>
      </c>
      <c r="P267" s="26" t="str">
        <f>IFERROR(__xludf.DUMMYFUNCTION("""COMPUTED_VALUE"""),"")</f>
        <v/>
      </c>
    </row>
    <row r="268">
      <c r="A268" s="13" t="str">
        <f>IFERROR(__xludf.DUMMYFUNCTION("""COMPUTED_VALUE"""),"HUNTED: THE DEMON'S FORGE")</f>
        <v>HUNTED: THE DEMON'S FORGE</v>
      </c>
      <c r="B268" s="15" t="str">
        <f>IFERROR(__xludf.DUMMYFUNCTION("""COMPUTED_VALUE"""),"PS5/PS4")</f>
        <v>PS5/PS4</v>
      </c>
      <c r="C268" s="16" t="str">
        <f>IFERROR(__xludf.DUMMYFUNCTION("""COMPUTED_VALUE"""),"Premium (Streaming Only)")</f>
        <v>Premium (Streaming Only)</v>
      </c>
      <c r="D268" s="15" t="str">
        <f>IFERROR(__xludf.DUMMYFUNCTION("""COMPUTED_VALUE"""),"Active")</f>
        <v>Active</v>
      </c>
      <c r="E268" s="17">
        <f>IFERROR(__xludf.DUMMYFUNCTION("""COMPUTED_VALUE"""),42983.0)</f>
        <v>42983</v>
      </c>
      <c r="F268" s="54"/>
      <c r="G268" s="19">
        <f>IFERROR(__xludf.DUMMYFUNCTION("""COMPUTED_VALUE"""),109.03333333333333)</f>
        <v>109.0333333</v>
      </c>
      <c r="H268" s="17">
        <f>IFERROR(__xludf.DUMMYFUNCTION("""COMPUTED_VALUE"""),40664.0)</f>
        <v>40664</v>
      </c>
      <c r="I268" s="19">
        <f>IFERROR(__xludf.DUMMYFUNCTION("""COMPUTED_VALUE"""),6.344444444444444)</f>
        <v>6.344444444</v>
      </c>
      <c r="J268" s="21">
        <f>IFERROR(__xludf.DUMMYFUNCTION("""COMPUTED_VALUE"""),57.0)</f>
        <v>57</v>
      </c>
      <c r="K268" s="23">
        <f>IFERROR(__xludf.DUMMYFUNCTION("""COMPUTED_VALUE"""),6.4)</f>
        <v>6.4</v>
      </c>
      <c r="L268" s="24">
        <f>IFERROR(__xludf.DUMMYFUNCTION("""COMPUTED_VALUE"""),10.0)</f>
        <v>10</v>
      </c>
      <c r="M268" s="25" t="str">
        <f>IFERROR(__xludf.DUMMYFUNCTION("""COMPUTED_VALUE"""),"Action-Adventure")</f>
        <v>Action-Adventure</v>
      </c>
      <c r="N268" s="25" t="str">
        <f>IFERROR(__xludf.DUMMYFUNCTION("""COMPUTED_VALUE"""),"PS3")</f>
        <v>PS3</v>
      </c>
      <c r="O268" s="26" t="str">
        <f>IFERROR(__xludf.DUMMYFUNCTION("""COMPUTED_VALUE"""),"Yes")</f>
        <v>Yes</v>
      </c>
      <c r="P268" s="26" t="str">
        <f>IFERROR(__xludf.DUMMYFUNCTION("""COMPUTED_VALUE"""),"")</f>
        <v/>
      </c>
    </row>
    <row r="269">
      <c r="A269" s="13" t="str">
        <f>IFERROR(__xludf.DUMMYFUNCTION("""COMPUTED_VALUE"""),"AKIBA'S TRIP: Undead &amp; Undressed")</f>
        <v>AKIBA'S TRIP: Undead &amp; Undressed</v>
      </c>
      <c r="B269" s="15" t="str">
        <f>IFERROR(__xludf.DUMMYFUNCTION("""COMPUTED_VALUE"""),"PS5/PS4")</f>
        <v>PS5/PS4</v>
      </c>
      <c r="C269" s="16" t="str">
        <f>IFERROR(__xludf.DUMMYFUNCTION("""COMPUTED_VALUE"""),"Premium (Streaming Only)")</f>
        <v>Premium (Streaming Only)</v>
      </c>
      <c r="D269" s="15" t="str">
        <f>IFERROR(__xludf.DUMMYFUNCTION("""COMPUTED_VALUE"""),"Active")</f>
        <v>Active</v>
      </c>
      <c r="E269" s="17">
        <f>IFERROR(__xludf.DUMMYFUNCTION("""COMPUTED_VALUE"""),42647.0)</f>
        <v>42647</v>
      </c>
      <c r="F269" s="54"/>
      <c r="G269" s="19">
        <f>IFERROR(__xludf.DUMMYFUNCTION("""COMPUTED_VALUE"""),120.06666666666668)</f>
        <v>120.0666667</v>
      </c>
      <c r="H269" s="17">
        <f>IFERROR(__xludf.DUMMYFUNCTION("""COMPUTED_VALUE"""),41944.0)</f>
        <v>41944</v>
      </c>
      <c r="I269" s="19">
        <f>IFERROR(__xludf.DUMMYFUNCTION("""COMPUTED_VALUE"""),1.925)</f>
        <v>1.925</v>
      </c>
      <c r="J269" s="21">
        <f>IFERROR(__xludf.DUMMYFUNCTION("""COMPUTED_VALUE"""),57.0)</f>
        <v>57</v>
      </c>
      <c r="K269" s="23">
        <f>IFERROR(__xludf.DUMMYFUNCTION("""COMPUTED_VALUE"""),7.1)</f>
        <v>7.1</v>
      </c>
      <c r="L269" s="24">
        <f>IFERROR(__xludf.DUMMYFUNCTION("""COMPUTED_VALUE"""),12.0)</f>
        <v>12</v>
      </c>
      <c r="M269" s="25" t="str">
        <f>IFERROR(__xludf.DUMMYFUNCTION("""COMPUTED_VALUE"""),"Action-Adventure")</f>
        <v>Action-Adventure</v>
      </c>
      <c r="N269" s="25" t="str">
        <f>IFERROR(__xludf.DUMMYFUNCTION("""COMPUTED_VALUE"""),"PS3")</f>
        <v>PS3</v>
      </c>
      <c r="O269" s="26" t="str">
        <f>IFERROR(__xludf.DUMMYFUNCTION("""COMPUTED_VALUE"""),"Yes")</f>
        <v>Yes</v>
      </c>
      <c r="P269" s="26" t="str">
        <f>IFERROR(__xludf.DUMMYFUNCTION("""COMPUTED_VALUE"""),"")</f>
        <v/>
      </c>
    </row>
    <row r="270">
      <c r="A270" s="13" t="str">
        <f>IFERROR(__xludf.DUMMYFUNCTION("""COMPUTED_VALUE"""),"Toy Home")</f>
        <v>Toy Home</v>
      </c>
      <c r="B270" s="15" t="str">
        <f>IFERROR(__xludf.DUMMYFUNCTION("""COMPUTED_VALUE"""),"PS5/PS4")</f>
        <v>PS5/PS4</v>
      </c>
      <c r="C270" s="16" t="str">
        <f>IFERROR(__xludf.DUMMYFUNCTION("""COMPUTED_VALUE"""),"Premium (Streaming Only)")</f>
        <v>Premium (Streaming Only)</v>
      </c>
      <c r="D270" s="15" t="str">
        <f>IFERROR(__xludf.DUMMYFUNCTION("""COMPUTED_VALUE"""),"Active")</f>
        <v>Active</v>
      </c>
      <c r="E270" s="17">
        <f>IFERROR(__xludf.DUMMYFUNCTION("""COMPUTED_VALUE"""),42374.0)</f>
        <v>42374</v>
      </c>
      <c r="F270" s="54"/>
      <c r="G270" s="19">
        <f>IFERROR(__xludf.DUMMYFUNCTION("""COMPUTED_VALUE"""),129.03333333333333)</f>
        <v>129.0333333</v>
      </c>
      <c r="H270" s="17">
        <f>IFERROR(__xludf.DUMMYFUNCTION("""COMPUTED_VALUE"""),39417.0)</f>
        <v>39417</v>
      </c>
      <c r="I270" s="19">
        <f>IFERROR(__xludf.DUMMYFUNCTION("""COMPUTED_VALUE"""),8.094444444444445)</f>
        <v>8.094444444</v>
      </c>
      <c r="J270" s="21">
        <f>IFERROR(__xludf.DUMMYFUNCTION("""COMPUTED_VALUE"""),57.0)</f>
        <v>57</v>
      </c>
      <c r="K270" s="23">
        <f>IFERROR(__xludf.DUMMYFUNCTION("""COMPUTED_VALUE"""),6.9)</f>
        <v>6.9</v>
      </c>
      <c r="L270" s="24">
        <f>IFERROR(__xludf.DUMMYFUNCTION("""COMPUTED_VALUE"""),3.0)</f>
        <v>3</v>
      </c>
      <c r="M270" s="25" t="str">
        <f>IFERROR(__xludf.DUMMYFUNCTION("""COMPUTED_VALUE"""),"Racing")</f>
        <v>Racing</v>
      </c>
      <c r="N270" s="25" t="str">
        <f>IFERROR(__xludf.DUMMYFUNCTION("""COMPUTED_VALUE"""),"PS3")</f>
        <v>PS3</v>
      </c>
      <c r="O270" s="26" t="str">
        <f>IFERROR(__xludf.DUMMYFUNCTION("""COMPUTED_VALUE"""),"Yes")</f>
        <v>Yes</v>
      </c>
      <c r="P270" s="26" t="str">
        <f>IFERROR(__xludf.DUMMYFUNCTION("""COMPUTED_VALUE"""),"")</f>
        <v/>
      </c>
    </row>
    <row r="271">
      <c r="A271" s="13" t="str">
        <f>IFERROR(__xludf.DUMMYFUNCTION("""COMPUTED_VALUE"""),"Voodoo Chronicles: The First Sign")</f>
        <v>Voodoo Chronicles: The First Sign</v>
      </c>
      <c r="B271" s="15" t="str">
        <f>IFERROR(__xludf.DUMMYFUNCTION("""COMPUTED_VALUE"""),"PS5/PS4")</f>
        <v>PS5/PS4</v>
      </c>
      <c r="C271" s="16" t="str">
        <f>IFERROR(__xludf.DUMMYFUNCTION("""COMPUTED_VALUE"""),"Premium (Streaming Only)")</f>
        <v>Premium (Streaming Only)</v>
      </c>
      <c r="D271" s="15" t="str">
        <f>IFERROR(__xludf.DUMMYFUNCTION("""COMPUTED_VALUE"""),"Active")</f>
        <v>Active</v>
      </c>
      <c r="E271" s="17">
        <f>IFERROR(__xludf.DUMMYFUNCTION("""COMPUTED_VALUE"""),42311.0)</f>
        <v>42311</v>
      </c>
      <c r="F271" s="54"/>
      <c r="G271" s="19">
        <f>IFERROR(__xludf.DUMMYFUNCTION("""COMPUTED_VALUE"""),131.10000000000002)</f>
        <v>131.1</v>
      </c>
      <c r="H271" s="17">
        <f>IFERROR(__xludf.DUMMYFUNCTION("""COMPUTED_VALUE"""),41254.0)</f>
        <v>41254</v>
      </c>
      <c r="I271" s="19">
        <f>IFERROR(__xludf.DUMMYFUNCTION("""COMPUTED_VALUE"""),2.8944444444444444)</f>
        <v>2.894444444</v>
      </c>
      <c r="J271" s="21">
        <f>IFERROR(__xludf.DUMMYFUNCTION("""COMPUTED_VALUE"""),57.0)</f>
        <v>57</v>
      </c>
      <c r="K271" s="23"/>
      <c r="L271" s="24">
        <f>IFERROR(__xludf.DUMMYFUNCTION("""COMPUTED_VALUE"""),8.0)</f>
        <v>8</v>
      </c>
      <c r="M271" s="25" t="str">
        <f>IFERROR(__xludf.DUMMYFUNCTION("""COMPUTED_VALUE"""),"Adventure")</f>
        <v>Adventure</v>
      </c>
      <c r="N271" s="25" t="str">
        <f>IFERROR(__xludf.DUMMYFUNCTION("""COMPUTED_VALUE"""),"PS3")</f>
        <v>PS3</v>
      </c>
      <c r="O271" s="26" t="str">
        <f>IFERROR(__xludf.DUMMYFUNCTION("""COMPUTED_VALUE"""),"Yes")</f>
        <v>Yes</v>
      </c>
      <c r="P271" s="26" t="str">
        <f>IFERROR(__xludf.DUMMYFUNCTION("""COMPUTED_VALUE"""),"")</f>
        <v/>
      </c>
    </row>
    <row r="272">
      <c r="A272" s="13" t="str">
        <f>IFERROR(__xludf.DUMMYFUNCTION("""COMPUTED_VALUE"""),"Dynasty Warriors 7")</f>
        <v>Dynasty Warriors 7</v>
      </c>
      <c r="B272" s="15" t="str">
        <f>IFERROR(__xludf.DUMMYFUNCTION("""COMPUTED_VALUE"""),"PS5/PS4")</f>
        <v>PS5/PS4</v>
      </c>
      <c r="C272" s="16" t="str">
        <f>IFERROR(__xludf.DUMMYFUNCTION("""COMPUTED_VALUE"""),"Premium (Streaming Only)")</f>
        <v>Premium (Streaming Only)</v>
      </c>
      <c r="D272" s="15" t="str">
        <f>IFERROR(__xludf.DUMMYFUNCTION("""COMPUTED_VALUE"""),"Active")</f>
        <v>Active</v>
      </c>
      <c r="E272" s="17">
        <f>IFERROR(__xludf.DUMMYFUNCTION("""COMPUTED_VALUE"""),42017.0)</f>
        <v>42017</v>
      </c>
      <c r="F272" s="18"/>
      <c r="G272" s="19">
        <f>IFERROR(__xludf.DUMMYFUNCTION("""COMPUTED_VALUE"""),140.76666666666668)</f>
        <v>140.7666667</v>
      </c>
      <c r="H272" s="17">
        <f>IFERROR(__xludf.DUMMYFUNCTION("""COMPUTED_VALUE"""),40603.0)</f>
        <v>40603</v>
      </c>
      <c r="I272" s="19">
        <f>IFERROR(__xludf.DUMMYFUNCTION("""COMPUTED_VALUE"""),3.8666666666666667)</f>
        <v>3.866666667</v>
      </c>
      <c r="J272" s="21">
        <f>IFERROR(__xludf.DUMMYFUNCTION("""COMPUTED_VALUE"""),57.0)</f>
        <v>57</v>
      </c>
      <c r="K272" s="23">
        <f>IFERROR(__xludf.DUMMYFUNCTION("""COMPUTED_VALUE"""),7.6)</f>
        <v>7.6</v>
      </c>
      <c r="L272" s="24">
        <f>IFERROR(__xludf.DUMMYFUNCTION("""COMPUTED_VALUE"""),20.0)</f>
        <v>20</v>
      </c>
      <c r="M272" s="25" t="str">
        <f>IFERROR(__xludf.DUMMYFUNCTION("""COMPUTED_VALUE"""),"Action-Adventure")</f>
        <v>Action-Adventure</v>
      </c>
      <c r="N272" s="25" t="str">
        <f>IFERROR(__xludf.DUMMYFUNCTION("""COMPUTED_VALUE"""),"PS3")</f>
        <v>PS3</v>
      </c>
      <c r="O272" s="26" t="str">
        <f>IFERROR(__xludf.DUMMYFUNCTION("""COMPUTED_VALUE"""),"Yes")</f>
        <v>Yes</v>
      </c>
      <c r="P272" s="26" t="str">
        <f>IFERROR(__xludf.DUMMYFUNCTION("""COMPUTED_VALUE"""),"")</f>
        <v/>
      </c>
    </row>
    <row r="273">
      <c r="A273" s="13" t="str">
        <f>IFERROR(__xludf.DUMMYFUNCTION("""COMPUTED_VALUE"""),"Faery: Legends of Avalon")</f>
        <v>Faery: Legends of Avalon</v>
      </c>
      <c r="B273" s="15" t="str">
        <f>IFERROR(__xludf.DUMMYFUNCTION("""COMPUTED_VALUE"""),"PS5/PS4")</f>
        <v>PS5/PS4</v>
      </c>
      <c r="C273" s="16" t="str">
        <f>IFERROR(__xludf.DUMMYFUNCTION("""COMPUTED_VALUE"""),"Premium (Streaming Only)")</f>
        <v>Premium (Streaming Only)</v>
      </c>
      <c r="D273" s="15" t="str">
        <f>IFERROR(__xludf.DUMMYFUNCTION("""COMPUTED_VALUE"""),"Active")</f>
        <v>Active</v>
      </c>
      <c r="E273" s="17">
        <f>IFERROR(__xludf.DUMMYFUNCTION("""COMPUTED_VALUE"""),42017.0)</f>
        <v>42017</v>
      </c>
      <c r="F273" s="18"/>
      <c r="G273" s="19">
        <f>IFERROR(__xludf.DUMMYFUNCTION("""COMPUTED_VALUE"""),140.76666666666668)</f>
        <v>140.7666667</v>
      </c>
      <c r="H273" s="17">
        <f>IFERROR(__xludf.DUMMYFUNCTION("""COMPUTED_VALUE"""),40544.0)</f>
        <v>40544</v>
      </c>
      <c r="I273" s="19">
        <f>IFERROR(__xludf.DUMMYFUNCTION("""COMPUTED_VALUE"""),4.033333333333333)</f>
        <v>4.033333333</v>
      </c>
      <c r="J273" s="21">
        <f>IFERROR(__xludf.DUMMYFUNCTION("""COMPUTED_VALUE"""),57.0)</f>
        <v>57</v>
      </c>
      <c r="K273" s="23">
        <f>IFERROR(__xludf.DUMMYFUNCTION("""COMPUTED_VALUE"""),6.8)</f>
        <v>6.8</v>
      </c>
      <c r="L273" s="24">
        <f>IFERROR(__xludf.DUMMYFUNCTION("""COMPUTED_VALUE"""),10.0)</f>
        <v>10</v>
      </c>
      <c r="M273" s="25" t="str">
        <f>IFERROR(__xludf.DUMMYFUNCTION("""COMPUTED_VALUE"""),"RPG")</f>
        <v>RPG</v>
      </c>
      <c r="N273" s="25" t="str">
        <f>IFERROR(__xludf.DUMMYFUNCTION("""COMPUTED_VALUE"""),"PS3")</f>
        <v>PS3</v>
      </c>
      <c r="O273" s="26" t="str">
        <f>IFERROR(__xludf.DUMMYFUNCTION("""COMPUTED_VALUE"""),"Yes")</f>
        <v>Yes</v>
      </c>
      <c r="P273" s="26" t="str">
        <f>IFERROR(__xludf.DUMMYFUNCTION("""COMPUTED_VALUE"""),"")</f>
        <v/>
      </c>
    </row>
    <row r="274">
      <c r="A274" s="13" t="str">
        <f>IFERROR(__xludf.DUMMYFUNCTION("""COMPUTED_VALUE"""),"Wizardry: Labyrinth of Lost Souls")</f>
        <v>Wizardry: Labyrinth of Lost Souls</v>
      </c>
      <c r="B274" s="15" t="str">
        <f>IFERROR(__xludf.DUMMYFUNCTION("""COMPUTED_VALUE"""),"PS5/PS4")</f>
        <v>PS5/PS4</v>
      </c>
      <c r="C274" s="16" t="str">
        <f>IFERROR(__xludf.DUMMYFUNCTION("""COMPUTED_VALUE"""),"Premium (Streaming Only)")</f>
        <v>Premium (Streaming Only)</v>
      </c>
      <c r="D274" s="15" t="str">
        <f>IFERROR(__xludf.DUMMYFUNCTION("""COMPUTED_VALUE"""),"Active")</f>
        <v>Active</v>
      </c>
      <c r="E274" s="17">
        <f>IFERROR(__xludf.DUMMYFUNCTION("""COMPUTED_VALUE"""),42017.0)</f>
        <v>42017</v>
      </c>
      <c r="F274" s="54"/>
      <c r="G274" s="19">
        <f>IFERROR(__xludf.DUMMYFUNCTION("""COMPUTED_VALUE"""),140.76666666666668)</f>
        <v>140.7666667</v>
      </c>
      <c r="H274" s="17">
        <f>IFERROR(__xludf.DUMMYFUNCTION("""COMPUTED_VALUE"""),40664.0)</f>
        <v>40664</v>
      </c>
      <c r="I274" s="19">
        <f>IFERROR(__xludf.DUMMYFUNCTION("""COMPUTED_VALUE"""),3.7)</f>
        <v>3.7</v>
      </c>
      <c r="J274" s="21">
        <f>IFERROR(__xludf.DUMMYFUNCTION("""COMPUTED_VALUE"""),57.0)</f>
        <v>57</v>
      </c>
      <c r="K274" s="23">
        <f>IFERROR(__xludf.DUMMYFUNCTION("""COMPUTED_VALUE"""),7.4)</f>
        <v>7.4</v>
      </c>
      <c r="L274" s="24">
        <f>IFERROR(__xludf.DUMMYFUNCTION("""COMPUTED_VALUE"""),30.0)</f>
        <v>30</v>
      </c>
      <c r="M274" s="25" t="str">
        <f>IFERROR(__xludf.DUMMYFUNCTION("""COMPUTED_VALUE"""),"RPG")</f>
        <v>RPG</v>
      </c>
      <c r="N274" s="25" t="str">
        <f>IFERROR(__xludf.DUMMYFUNCTION("""COMPUTED_VALUE"""),"PS3")</f>
        <v>PS3</v>
      </c>
      <c r="O274" s="26" t="str">
        <f>IFERROR(__xludf.DUMMYFUNCTION("""COMPUTED_VALUE"""),"Yes")</f>
        <v>Yes</v>
      </c>
      <c r="P274" s="26" t="str">
        <f>IFERROR(__xludf.DUMMYFUNCTION("""COMPUTED_VALUE"""),"")</f>
        <v/>
      </c>
    </row>
    <row r="275">
      <c r="A275" s="13" t="str">
        <f>IFERROR(__xludf.DUMMYFUNCTION("""COMPUTED_VALUE"""),"Deadliest Warrior: Legends")</f>
        <v>Deadliest Warrior: Legends</v>
      </c>
      <c r="B275" s="15" t="str">
        <f>IFERROR(__xludf.DUMMYFUNCTION("""COMPUTED_VALUE"""),"PS5/PS4")</f>
        <v>PS5/PS4</v>
      </c>
      <c r="C275" s="16" t="str">
        <f>IFERROR(__xludf.DUMMYFUNCTION("""COMPUTED_VALUE"""),"Premium (Streaming Only)")</f>
        <v>Premium (Streaming Only)</v>
      </c>
      <c r="D275" s="15" t="str">
        <f>IFERROR(__xludf.DUMMYFUNCTION("""COMPUTED_VALUE"""),"Active")</f>
        <v>Active</v>
      </c>
      <c r="E275" s="17">
        <f>IFERROR(__xludf.DUMMYFUNCTION("""COMPUTED_VALUE"""),42556.0)</f>
        <v>42556</v>
      </c>
      <c r="F275" s="54"/>
      <c r="G275" s="19">
        <f>IFERROR(__xludf.DUMMYFUNCTION("""COMPUTED_VALUE"""),123.03333333333333)</f>
        <v>123.0333333</v>
      </c>
      <c r="H275" s="17">
        <f>IFERROR(__xludf.DUMMYFUNCTION("""COMPUTED_VALUE"""),40695.0)</f>
        <v>40695</v>
      </c>
      <c r="I275" s="19">
        <f>IFERROR(__xludf.DUMMYFUNCTION("""COMPUTED_VALUE"""),5.094444444444444)</f>
        <v>5.094444444</v>
      </c>
      <c r="J275" s="21">
        <f>IFERROR(__xludf.DUMMYFUNCTION("""COMPUTED_VALUE"""),56.0)</f>
        <v>56</v>
      </c>
      <c r="K275" s="23">
        <f>IFERROR(__xludf.DUMMYFUNCTION("""COMPUTED_VALUE"""),7.3)</f>
        <v>7.3</v>
      </c>
      <c r="L275" s="24"/>
      <c r="M275" s="25" t="str">
        <f>IFERROR(__xludf.DUMMYFUNCTION("""COMPUTED_VALUE"""),"Fighting")</f>
        <v>Fighting</v>
      </c>
      <c r="N275" s="25" t="str">
        <f>IFERROR(__xludf.DUMMYFUNCTION("""COMPUTED_VALUE"""),"PS3")</f>
        <v>PS3</v>
      </c>
      <c r="O275" s="26" t="str">
        <f>IFERROR(__xludf.DUMMYFUNCTION("""COMPUTED_VALUE"""),"Yes")</f>
        <v>Yes</v>
      </c>
      <c r="P275" s="26" t="str">
        <f>IFERROR(__xludf.DUMMYFUNCTION("""COMPUTED_VALUE"""),"")</f>
        <v/>
      </c>
    </row>
    <row r="276">
      <c r="A276" s="13" t="str">
        <f>IFERROR(__xludf.DUMMYFUNCTION("""COMPUTED_VALUE"""),"Deadliest Warrior: The Game")</f>
        <v>Deadliest Warrior: The Game</v>
      </c>
      <c r="B276" s="15" t="str">
        <f>IFERROR(__xludf.DUMMYFUNCTION("""COMPUTED_VALUE"""),"PS5/PS4")</f>
        <v>PS5/PS4</v>
      </c>
      <c r="C276" s="16" t="str">
        <f>IFERROR(__xludf.DUMMYFUNCTION("""COMPUTED_VALUE"""),"Premium (Streaming Only)")</f>
        <v>Premium (Streaming Only)</v>
      </c>
      <c r="D276" s="15" t="str">
        <f>IFERROR(__xludf.DUMMYFUNCTION("""COMPUTED_VALUE"""),"Active")</f>
        <v>Active</v>
      </c>
      <c r="E276" s="17">
        <f>IFERROR(__xludf.DUMMYFUNCTION("""COMPUTED_VALUE"""),42556.0)</f>
        <v>42556</v>
      </c>
      <c r="F276" s="54"/>
      <c r="G276" s="19">
        <f>IFERROR(__xludf.DUMMYFUNCTION("""COMPUTED_VALUE"""),123.03333333333333)</f>
        <v>123.0333333</v>
      </c>
      <c r="H276" s="17">
        <f>IFERROR(__xludf.DUMMYFUNCTION("""COMPUTED_VALUE"""),40360.0)</f>
        <v>40360</v>
      </c>
      <c r="I276" s="19">
        <f>IFERROR(__xludf.DUMMYFUNCTION("""COMPUTED_VALUE"""),6.011111111111111)</f>
        <v>6.011111111</v>
      </c>
      <c r="J276" s="21">
        <f>IFERROR(__xludf.DUMMYFUNCTION("""COMPUTED_VALUE"""),56.0)</f>
        <v>56</v>
      </c>
      <c r="K276" s="23">
        <f>IFERROR(__xludf.DUMMYFUNCTION("""COMPUTED_VALUE"""),7.4)</f>
        <v>7.4</v>
      </c>
      <c r="L276" s="24"/>
      <c r="M276" s="25" t="str">
        <f>IFERROR(__xludf.DUMMYFUNCTION("""COMPUTED_VALUE"""),"Fighting")</f>
        <v>Fighting</v>
      </c>
      <c r="N276" s="25" t="str">
        <f>IFERROR(__xludf.DUMMYFUNCTION("""COMPUTED_VALUE"""),"PS3")</f>
        <v>PS3</v>
      </c>
      <c r="O276" s="26" t="str">
        <f>IFERROR(__xludf.DUMMYFUNCTION("""COMPUTED_VALUE"""),"Yes")</f>
        <v>Yes</v>
      </c>
      <c r="P276" s="26" t="str">
        <f>IFERROR(__xludf.DUMMYFUNCTION("""COMPUTED_VALUE"""),"")</f>
        <v/>
      </c>
    </row>
    <row r="277">
      <c r="A277" s="13" t="str">
        <f>IFERROR(__xludf.DUMMYFUNCTION("""COMPUTED_VALUE"""),"Sacred 3: Gold Edition")</f>
        <v>Sacred 3: Gold Edition</v>
      </c>
      <c r="B277" s="15" t="str">
        <f>IFERROR(__xludf.DUMMYFUNCTION("""COMPUTED_VALUE"""),"PS5/PS4")</f>
        <v>PS5/PS4</v>
      </c>
      <c r="C277" s="16" t="str">
        <f>IFERROR(__xludf.DUMMYFUNCTION("""COMPUTED_VALUE"""),"Premium (Streaming Only)")</f>
        <v>Premium (Streaming Only)</v>
      </c>
      <c r="D277" s="15" t="str">
        <f>IFERROR(__xludf.DUMMYFUNCTION("""COMPUTED_VALUE"""),"Active")</f>
        <v>Active</v>
      </c>
      <c r="E277" s="17">
        <f>IFERROR(__xludf.DUMMYFUNCTION("""COMPUTED_VALUE"""),42402.0)</f>
        <v>42402</v>
      </c>
      <c r="F277" s="54"/>
      <c r="G277" s="19">
        <f>IFERROR(__xludf.DUMMYFUNCTION("""COMPUTED_VALUE"""),128.13333333333333)</f>
        <v>128.1333333</v>
      </c>
      <c r="H277" s="17">
        <f>IFERROR(__xludf.DUMMYFUNCTION("""COMPUTED_VALUE"""),41852.0)</f>
        <v>41852</v>
      </c>
      <c r="I277" s="19">
        <f>IFERROR(__xludf.DUMMYFUNCTION("""COMPUTED_VALUE"""),1.5027777777777778)</f>
        <v>1.502777778</v>
      </c>
      <c r="J277" s="21">
        <f>IFERROR(__xludf.DUMMYFUNCTION("""COMPUTED_VALUE"""),56.0)</f>
        <v>56</v>
      </c>
      <c r="K277" s="23">
        <f>IFERROR(__xludf.DUMMYFUNCTION("""COMPUTED_VALUE"""),5.1)</f>
        <v>5.1</v>
      </c>
      <c r="L277" s="24">
        <f>IFERROR(__xludf.DUMMYFUNCTION("""COMPUTED_VALUE"""),10.0)</f>
        <v>10</v>
      </c>
      <c r="M277" s="26" t="str">
        <f>IFERROR(__xludf.DUMMYFUNCTION("""COMPUTED_VALUE"""),"Action-Adventure")</f>
        <v>Action-Adventure</v>
      </c>
      <c r="N277" s="25" t="str">
        <f>IFERROR(__xludf.DUMMYFUNCTION("""COMPUTED_VALUE"""),"PS3")</f>
        <v>PS3</v>
      </c>
      <c r="O277" s="26" t="str">
        <f>IFERROR(__xludf.DUMMYFUNCTION("""COMPUTED_VALUE"""),"Yes")</f>
        <v>Yes</v>
      </c>
      <c r="P277" s="26" t="str">
        <f>IFERROR(__xludf.DUMMYFUNCTION("""COMPUTED_VALUE"""),"")</f>
        <v/>
      </c>
    </row>
    <row r="278">
      <c r="A278" s="13" t="str">
        <f>IFERROR(__xludf.DUMMYFUNCTION("""COMPUTED_VALUE"""),"Spelunker HD")</f>
        <v>Spelunker HD</v>
      </c>
      <c r="B278" s="15" t="str">
        <f>IFERROR(__xludf.DUMMYFUNCTION("""COMPUTED_VALUE"""),"PS5/PS4")</f>
        <v>PS5/PS4</v>
      </c>
      <c r="C278" s="16" t="str">
        <f>IFERROR(__xludf.DUMMYFUNCTION("""COMPUTED_VALUE"""),"Premium (Streaming Only)")</f>
        <v>Premium (Streaming Only)</v>
      </c>
      <c r="D278" s="15" t="str">
        <f>IFERROR(__xludf.DUMMYFUNCTION("""COMPUTED_VALUE"""),"Active")</f>
        <v>Active</v>
      </c>
      <c r="E278" s="17">
        <f>IFERROR(__xludf.DUMMYFUNCTION("""COMPUTED_VALUE"""),42374.0)</f>
        <v>42374</v>
      </c>
      <c r="F278" s="54"/>
      <c r="G278" s="19">
        <f>IFERROR(__xludf.DUMMYFUNCTION("""COMPUTED_VALUE"""),129.03333333333333)</f>
        <v>129.0333333</v>
      </c>
      <c r="H278" s="17">
        <f>IFERROR(__xludf.DUMMYFUNCTION("""COMPUTED_VALUE"""),40483.0)</f>
        <v>40483</v>
      </c>
      <c r="I278" s="19">
        <f>IFERROR(__xludf.DUMMYFUNCTION("""COMPUTED_VALUE"""),5.177777777777778)</f>
        <v>5.177777778</v>
      </c>
      <c r="J278" s="21">
        <f>IFERROR(__xludf.DUMMYFUNCTION("""COMPUTED_VALUE"""),56.0)</f>
        <v>56</v>
      </c>
      <c r="K278" s="23">
        <f>IFERROR(__xludf.DUMMYFUNCTION("""COMPUTED_VALUE"""),6.8)</f>
        <v>6.8</v>
      </c>
      <c r="L278" s="24">
        <f>IFERROR(__xludf.DUMMYFUNCTION("""COMPUTED_VALUE"""),5.0)</f>
        <v>5</v>
      </c>
      <c r="M278" s="25" t="str">
        <f>IFERROR(__xludf.DUMMYFUNCTION("""COMPUTED_VALUE"""),"Platformer")</f>
        <v>Platformer</v>
      </c>
      <c r="N278" s="25" t="str">
        <f>IFERROR(__xludf.DUMMYFUNCTION("""COMPUTED_VALUE"""),"PS3")</f>
        <v>PS3</v>
      </c>
      <c r="O278" s="26" t="str">
        <f>IFERROR(__xludf.DUMMYFUNCTION("""COMPUTED_VALUE"""),"Yes")</f>
        <v>Yes</v>
      </c>
      <c r="P278" s="26" t="str">
        <f>IFERROR(__xludf.DUMMYFUNCTION("""COMPUTED_VALUE"""),"")</f>
        <v/>
      </c>
    </row>
    <row r="279">
      <c r="A279" s="13" t="str">
        <f>IFERROR(__xludf.DUMMYFUNCTION("""COMPUTED_VALUE"""),"Record of Agarest War 2")</f>
        <v>Record of Agarest War 2</v>
      </c>
      <c r="B279" s="15" t="str">
        <f>IFERROR(__xludf.DUMMYFUNCTION("""COMPUTED_VALUE"""),"PS5/PS4")</f>
        <v>PS5/PS4</v>
      </c>
      <c r="C279" s="16" t="str">
        <f>IFERROR(__xludf.DUMMYFUNCTION("""COMPUTED_VALUE"""),"Premium (Streaming Only)")</f>
        <v>Premium (Streaming Only)</v>
      </c>
      <c r="D279" s="15" t="str">
        <f>IFERROR(__xludf.DUMMYFUNCTION("""COMPUTED_VALUE"""),"Active")</f>
        <v>Active</v>
      </c>
      <c r="E279" s="17">
        <f>IFERROR(__xludf.DUMMYFUNCTION("""COMPUTED_VALUE"""),42017.0)</f>
        <v>42017</v>
      </c>
      <c r="F279" s="54"/>
      <c r="G279" s="19">
        <f>IFERROR(__xludf.DUMMYFUNCTION("""COMPUTED_VALUE"""),140.76666666666668)</f>
        <v>140.7666667</v>
      </c>
      <c r="H279" s="17">
        <f>IFERROR(__xludf.DUMMYFUNCTION("""COMPUTED_VALUE"""),41061.0)</f>
        <v>41061</v>
      </c>
      <c r="I279" s="19">
        <f>IFERROR(__xludf.DUMMYFUNCTION("""COMPUTED_VALUE"""),2.6166666666666667)</f>
        <v>2.616666667</v>
      </c>
      <c r="J279" s="21">
        <f>IFERROR(__xludf.DUMMYFUNCTION("""COMPUTED_VALUE"""),56.0)</f>
        <v>56</v>
      </c>
      <c r="K279" s="23">
        <f>IFERROR(__xludf.DUMMYFUNCTION("""COMPUTED_VALUE"""),6.7)</f>
        <v>6.7</v>
      </c>
      <c r="L279" s="24">
        <f>IFERROR(__xludf.DUMMYFUNCTION("""COMPUTED_VALUE"""),55.0)</f>
        <v>55</v>
      </c>
      <c r="M279" s="25" t="str">
        <f>IFERROR(__xludf.DUMMYFUNCTION("""COMPUTED_VALUE"""),"RPG")</f>
        <v>RPG</v>
      </c>
      <c r="N279" s="25" t="str">
        <f>IFERROR(__xludf.DUMMYFUNCTION("""COMPUTED_VALUE"""),"PS3")</f>
        <v>PS3</v>
      </c>
      <c r="O279" s="26" t="str">
        <f>IFERROR(__xludf.DUMMYFUNCTION("""COMPUTED_VALUE"""),"Yes")</f>
        <v>Yes</v>
      </c>
      <c r="P279" s="26" t="str">
        <f>IFERROR(__xludf.DUMMYFUNCTION("""COMPUTED_VALUE"""),"")</f>
        <v/>
      </c>
    </row>
    <row r="280">
      <c r="A280" s="13" t="str">
        <f>IFERROR(__xludf.DUMMYFUNCTION("""COMPUTED_VALUE"""),"Red Johnson's Chronicles: One Against All")</f>
        <v>Red Johnson's Chronicles: One Against All</v>
      </c>
      <c r="B280" s="15" t="str">
        <f>IFERROR(__xludf.DUMMYFUNCTION("""COMPUTED_VALUE"""),"PS5/PS4")</f>
        <v>PS5/PS4</v>
      </c>
      <c r="C280" s="16" t="str">
        <f>IFERROR(__xludf.DUMMYFUNCTION("""COMPUTED_VALUE"""),"Premium (Streaming Only)")</f>
        <v>Premium (Streaming Only)</v>
      </c>
      <c r="D280" s="15" t="str">
        <f>IFERROR(__xludf.DUMMYFUNCTION("""COMPUTED_VALUE"""),"Active")</f>
        <v>Active</v>
      </c>
      <c r="E280" s="17">
        <f>IFERROR(__xludf.DUMMYFUNCTION("""COMPUTED_VALUE"""),42017.0)</f>
        <v>42017</v>
      </c>
      <c r="F280" s="54"/>
      <c r="G280" s="19">
        <f>IFERROR(__xludf.DUMMYFUNCTION("""COMPUTED_VALUE"""),140.76666666666668)</f>
        <v>140.7666667</v>
      </c>
      <c r="H280" s="17">
        <f>IFERROR(__xludf.DUMMYFUNCTION("""COMPUTED_VALUE"""),41153.0)</f>
        <v>41153</v>
      </c>
      <c r="I280" s="19">
        <f>IFERROR(__xludf.DUMMYFUNCTION("""COMPUTED_VALUE"""),2.3666666666666667)</f>
        <v>2.366666667</v>
      </c>
      <c r="J280" s="21">
        <f>IFERROR(__xludf.DUMMYFUNCTION("""COMPUTED_VALUE"""),56.0)</f>
        <v>56</v>
      </c>
      <c r="K280" s="23">
        <f>IFERROR(__xludf.DUMMYFUNCTION("""COMPUTED_VALUE"""),6.3)</f>
        <v>6.3</v>
      </c>
      <c r="L280" s="24">
        <f>IFERROR(__xludf.DUMMYFUNCTION("""COMPUTED_VALUE"""),5.0)</f>
        <v>5</v>
      </c>
      <c r="M280" s="25" t="str">
        <f>IFERROR(__xludf.DUMMYFUNCTION("""COMPUTED_VALUE"""),"Adventure")</f>
        <v>Adventure</v>
      </c>
      <c r="N280" s="25" t="str">
        <f>IFERROR(__xludf.DUMMYFUNCTION("""COMPUTED_VALUE"""),"PS3")</f>
        <v>PS3</v>
      </c>
      <c r="O280" s="26" t="str">
        <f>IFERROR(__xludf.DUMMYFUNCTION("""COMPUTED_VALUE"""),"Yes")</f>
        <v>Yes</v>
      </c>
      <c r="P280" s="26" t="str">
        <f>IFERROR(__xludf.DUMMYFUNCTION("""COMPUTED_VALUE"""),"")</f>
        <v/>
      </c>
    </row>
    <row r="281">
      <c r="A281" s="13" t="str">
        <f>IFERROR(__xludf.DUMMYFUNCTION("""COMPUTED_VALUE"""),"Rune Factory: Tides of Destiny")</f>
        <v>Rune Factory: Tides of Destiny</v>
      </c>
      <c r="B281" s="15" t="str">
        <f>IFERROR(__xludf.DUMMYFUNCTION("""COMPUTED_VALUE"""),"PS5/PS4")</f>
        <v>PS5/PS4</v>
      </c>
      <c r="C281" s="16" t="str">
        <f>IFERROR(__xludf.DUMMYFUNCTION("""COMPUTED_VALUE"""),"Premium (Streaming Only)")</f>
        <v>Premium (Streaming Only)</v>
      </c>
      <c r="D281" s="15" t="str">
        <f>IFERROR(__xludf.DUMMYFUNCTION("""COMPUTED_VALUE"""),"Active")</f>
        <v>Active</v>
      </c>
      <c r="E281" s="17">
        <f>IFERROR(__xludf.DUMMYFUNCTION("""COMPUTED_VALUE"""),44725.0)</f>
        <v>44725</v>
      </c>
      <c r="F281" s="54"/>
      <c r="G281" s="19">
        <f>IFERROR(__xludf.DUMMYFUNCTION("""COMPUTED_VALUE"""),51.766666666666666)</f>
        <v>51.76666667</v>
      </c>
      <c r="H281" s="17">
        <f>IFERROR(__xludf.DUMMYFUNCTION("""COMPUTED_VALUE"""),40817.0)</f>
        <v>40817</v>
      </c>
      <c r="I281" s="19">
        <f>IFERROR(__xludf.DUMMYFUNCTION("""COMPUTED_VALUE"""),10.7)</f>
        <v>10.7</v>
      </c>
      <c r="J281" s="21">
        <f>IFERROR(__xludf.DUMMYFUNCTION("""COMPUTED_VALUE"""),55.0)</f>
        <v>55</v>
      </c>
      <c r="K281" s="23">
        <f>IFERROR(__xludf.DUMMYFUNCTION("""COMPUTED_VALUE"""),8.1)</f>
        <v>8.1</v>
      </c>
      <c r="L281" s="24">
        <f>IFERROR(__xludf.DUMMYFUNCTION("""COMPUTED_VALUE"""),35.0)</f>
        <v>35</v>
      </c>
      <c r="M281" s="25" t="str">
        <f>IFERROR(__xludf.DUMMYFUNCTION("""COMPUTED_VALUE"""),"RPG")</f>
        <v>RPG</v>
      </c>
      <c r="N281" s="25" t="str">
        <f>IFERROR(__xludf.DUMMYFUNCTION("""COMPUTED_VALUE"""),"PS3")</f>
        <v>PS3</v>
      </c>
      <c r="O281" s="26" t="str">
        <f>IFERROR(__xludf.DUMMYFUNCTION("""COMPUTED_VALUE"""),"Yes")</f>
        <v>Yes</v>
      </c>
      <c r="P281" s="26" t="str">
        <f>IFERROR(__xludf.DUMMYFUNCTION("""COMPUTED_VALUE"""),"")</f>
        <v/>
      </c>
    </row>
    <row r="282">
      <c r="A282" s="13" t="str">
        <f>IFERROR(__xludf.DUMMYFUNCTION("""COMPUTED_VALUE"""),"Pirates of the Caribbean: At World's End")</f>
        <v>Pirates of the Caribbean: At World's End</v>
      </c>
      <c r="B282" s="15" t="str">
        <f>IFERROR(__xludf.DUMMYFUNCTION("""COMPUTED_VALUE"""),"PS5/PS4")</f>
        <v>PS5/PS4</v>
      </c>
      <c r="C282" s="16" t="str">
        <f>IFERROR(__xludf.DUMMYFUNCTION("""COMPUTED_VALUE"""),"Premium (Streaming Only)")</f>
        <v>Premium (Streaming Only)</v>
      </c>
      <c r="D282" s="15" t="str">
        <f>IFERROR(__xludf.DUMMYFUNCTION("""COMPUTED_VALUE"""),"Active")</f>
        <v>Active</v>
      </c>
      <c r="E282" s="17">
        <f>IFERROR(__xludf.DUMMYFUNCTION("""COMPUTED_VALUE"""),42895.0)</f>
        <v>42895</v>
      </c>
      <c r="F282" s="18"/>
      <c r="G282" s="19">
        <f>IFERROR(__xludf.DUMMYFUNCTION("""COMPUTED_VALUE"""),111.89999999999999)</f>
        <v>111.9</v>
      </c>
      <c r="H282" s="17">
        <f>IFERROR(__xludf.DUMMYFUNCTION("""COMPUTED_VALUE"""),39142.0)</f>
        <v>39142</v>
      </c>
      <c r="I282" s="19">
        <f>IFERROR(__xludf.DUMMYFUNCTION("""COMPUTED_VALUE"""),10.272222222222222)</f>
        <v>10.27222222</v>
      </c>
      <c r="J282" s="21">
        <f>IFERROR(__xludf.DUMMYFUNCTION("""COMPUTED_VALUE"""),55.0)</f>
        <v>55</v>
      </c>
      <c r="K282" s="23">
        <f>IFERROR(__xludf.DUMMYFUNCTION("""COMPUTED_VALUE"""),7.0)</f>
        <v>7</v>
      </c>
      <c r="L282" s="24">
        <f>IFERROR(__xludf.DUMMYFUNCTION("""COMPUTED_VALUE"""),9.0)</f>
        <v>9</v>
      </c>
      <c r="M282" s="25" t="str">
        <f>IFERROR(__xludf.DUMMYFUNCTION("""COMPUTED_VALUE"""),"Action-Adventure")</f>
        <v>Action-Adventure</v>
      </c>
      <c r="N282" s="25" t="str">
        <f>IFERROR(__xludf.DUMMYFUNCTION("""COMPUTED_VALUE"""),"PS3")</f>
        <v>PS3</v>
      </c>
      <c r="O282" s="26" t="str">
        <f>IFERROR(__xludf.DUMMYFUNCTION("""COMPUTED_VALUE"""),"Yes")</f>
        <v>Yes</v>
      </c>
      <c r="P282" s="26" t="str">
        <f>IFERROR(__xludf.DUMMYFUNCTION("""COMPUTED_VALUE"""),"")</f>
        <v/>
      </c>
    </row>
    <row r="283">
      <c r="A283" s="13" t="str">
        <f>IFERROR(__xludf.DUMMYFUNCTION("""COMPUTED_VALUE"""),"Disney/PIXAR Ratatouille")</f>
        <v>Disney/PIXAR Ratatouille</v>
      </c>
      <c r="B283" s="15" t="str">
        <f>IFERROR(__xludf.DUMMYFUNCTION("""COMPUTED_VALUE"""),"PS5/PS4")</f>
        <v>PS5/PS4</v>
      </c>
      <c r="C283" s="16" t="str">
        <f>IFERROR(__xludf.DUMMYFUNCTION("""COMPUTED_VALUE"""),"Premium (Streaming Only)")</f>
        <v>Premium (Streaming Only)</v>
      </c>
      <c r="D283" s="15" t="str">
        <f>IFERROR(__xludf.DUMMYFUNCTION("""COMPUTED_VALUE"""),"Active")</f>
        <v>Active</v>
      </c>
      <c r="E283" s="17">
        <f>IFERROR(__xludf.DUMMYFUNCTION("""COMPUTED_VALUE"""),42895.0)</f>
        <v>42895</v>
      </c>
      <c r="F283" s="54"/>
      <c r="G283" s="19">
        <f>IFERROR(__xludf.DUMMYFUNCTION("""COMPUTED_VALUE"""),111.89999999999999)</f>
        <v>111.9</v>
      </c>
      <c r="H283" s="17">
        <f>IFERROR(__xludf.DUMMYFUNCTION("""COMPUTED_VALUE"""),39356.0)</f>
        <v>39356</v>
      </c>
      <c r="I283" s="19">
        <f>IFERROR(__xludf.DUMMYFUNCTION("""COMPUTED_VALUE"""),9.688888888888888)</f>
        <v>9.688888889</v>
      </c>
      <c r="J283" s="21">
        <f>IFERROR(__xludf.DUMMYFUNCTION("""COMPUTED_VALUE"""),55.0)</f>
        <v>55</v>
      </c>
      <c r="K283" s="23">
        <f>IFERROR(__xludf.DUMMYFUNCTION("""COMPUTED_VALUE"""),6.5)</f>
        <v>6.5</v>
      </c>
      <c r="L283" s="24">
        <f>IFERROR(__xludf.DUMMYFUNCTION("""COMPUTED_VALUE"""),7.0)</f>
        <v>7</v>
      </c>
      <c r="M283" s="25" t="str">
        <f>IFERROR(__xludf.DUMMYFUNCTION("""COMPUTED_VALUE"""),"Action-Adventure")</f>
        <v>Action-Adventure</v>
      </c>
      <c r="N283" s="25" t="str">
        <f>IFERROR(__xludf.DUMMYFUNCTION("""COMPUTED_VALUE"""),"PS3")</f>
        <v>PS3</v>
      </c>
      <c r="O283" s="26" t="str">
        <f>IFERROR(__xludf.DUMMYFUNCTION("""COMPUTED_VALUE"""),"Yes")</f>
        <v>Yes</v>
      </c>
      <c r="P283" s="26" t="str">
        <f>IFERROR(__xludf.DUMMYFUNCTION("""COMPUTED_VALUE"""),"")</f>
        <v/>
      </c>
    </row>
    <row r="284">
      <c r="A284" s="13" t="str">
        <f>IFERROR(__xludf.DUMMYFUNCTION("""COMPUTED_VALUE"""),"Genji: Days of the Blade")</f>
        <v>Genji: Days of the Blade</v>
      </c>
      <c r="B284" s="15" t="str">
        <f>IFERROR(__xludf.DUMMYFUNCTION("""COMPUTED_VALUE"""),"PS5/PS4")</f>
        <v>PS5/PS4</v>
      </c>
      <c r="C284" s="16" t="str">
        <f>IFERROR(__xludf.DUMMYFUNCTION("""COMPUTED_VALUE"""),"Premium (Streaming Only)")</f>
        <v>Premium (Streaming Only)</v>
      </c>
      <c r="D284" s="15" t="str">
        <f>IFERROR(__xludf.DUMMYFUNCTION("""COMPUTED_VALUE"""),"Active")</f>
        <v>Active</v>
      </c>
      <c r="E284" s="17">
        <f>IFERROR(__xludf.DUMMYFUNCTION("""COMPUTED_VALUE"""),42556.0)</f>
        <v>42556</v>
      </c>
      <c r="F284" s="54"/>
      <c r="G284" s="19">
        <f>IFERROR(__xludf.DUMMYFUNCTION("""COMPUTED_VALUE"""),123.03333333333333)</f>
        <v>123.0333333</v>
      </c>
      <c r="H284" s="17">
        <f>IFERROR(__xludf.DUMMYFUNCTION("""COMPUTED_VALUE"""),39022.0)</f>
        <v>39022</v>
      </c>
      <c r="I284" s="19">
        <f>IFERROR(__xludf.DUMMYFUNCTION("""COMPUTED_VALUE"""),9.677777777777777)</f>
        <v>9.677777778</v>
      </c>
      <c r="J284" s="21">
        <f>IFERROR(__xludf.DUMMYFUNCTION("""COMPUTED_VALUE"""),55.0)</f>
        <v>55</v>
      </c>
      <c r="K284" s="23">
        <f>IFERROR(__xludf.DUMMYFUNCTION("""COMPUTED_VALUE"""),6.7)</f>
        <v>6.7</v>
      </c>
      <c r="L284" s="24">
        <f>IFERROR(__xludf.DUMMYFUNCTION("""COMPUTED_VALUE"""),10.0)</f>
        <v>10</v>
      </c>
      <c r="M284" s="25" t="str">
        <f>IFERROR(__xludf.DUMMYFUNCTION("""COMPUTED_VALUE"""),"Action-Adventure")</f>
        <v>Action-Adventure</v>
      </c>
      <c r="N284" s="25" t="str">
        <f>IFERROR(__xludf.DUMMYFUNCTION("""COMPUTED_VALUE"""),"PS3")</f>
        <v>PS3</v>
      </c>
      <c r="O284" s="26" t="str">
        <f>IFERROR(__xludf.DUMMYFUNCTION("""COMPUTED_VALUE"""),"Yes")</f>
        <v>Yes</v>
      </c>
      <c r="P284" s="26" t="str">
        <f>IFERROR(__xludf.DUMMYFUNCTION("""COMPUTED_VALUE"""),"")</f>
        <v/>
      </c>
    </row>
    <row r="285">
      <c r="A285" s="13" t="str">
        <f>IFERROR(__xludf.DUMMYFUNCTION("""COMPUTED_VALUE"""),"Narco Terror")</f>
        <v>Narco Terror</v>
      </c>
      <c r="B285" s="15" t="str">
        <f>IFERROR(__xludf.DUMMYFUNCTION("""COMPUTED_VALUE"""),"PS5/PS4")</f>
        <v>PS5/PS4</v>
      </c>
      <c r="C285" s="16" t="str">
        <f>IFERROR(__xludf.DUMMYFUNCTION("""COMPUTED_VALUE"""),"Premium (Streaming Only)")</f>
        <v>Premium (Streaming Only)</v>
      </c>
      <c r="D285" s="15" t="str">
        <f>IFERROR(__xludf.DUMMYFUNCTION("""COMPUTED_VALUE"""),"Active")</f>
        <v>Active</v>
      </c>
      <c r="E285" s="17">
        <f>IFERROR(__xludf.DUMMYFUNCTION("""COMPUTED_VALUE"""),42402.0)</f>
        <v>42402</v>
      </c>
      <c r="F285" s="54"/>
      <c r="G285" s="19">
        <f>IFERROR(__xludf.DUMMYFUNCTION("""COMPUTED_VALUE"""),128.13333333333333)</f>
        <v>128.1333333</v>
      </c>
      <c r="H285" s="17">
        <f>IFERROR(__xludf.DUMMYFUNCTION("""COMPUTED_VALUE"""),41456.0)</f>
        <v>41456</v>
      </c>
      <c r="I285" s="19">
        <f>IFERROR(__xludf.DUMMYFUNCTION("""COMPUTED_VALUE"""),2.5861111111111112)</f>
        <v>2.586111111</v>
      </c>
      <c r="J285" s="21">
        <f>IFERROR(__xludf.DUMMYFUNCTION("""COMPUTED_VALUE"""),55.0)</f>
        <v>55</v>
      </c>
      <c r="K285" s="23">
        <f>IFERROR(__xludf.DUMMYFUNCTION("""COMPUTED_VALUE"""),6.0)</f>
        <v>6</v>
      </c>
      <c r="L285" s="24">
        <f>IFERROR(__xludf.DUMMYFUNCTION("""COMPUTED_VALUE"""),3.0)</f>
        <v>3</v>
      </c>
      <c r="M285" s="25" t="str">
        <f>IFERROR(__xludf.DUMMYFUNCTION("""COMPUTED_VALUE"""),"Shooter")</f>
        <v>Shooter</v>
      </c>
      <c r="N285" s="25" t="str">
        <f>IFERROR(__xludf.DUMMYFUNCTION("""COMPUTED_VALUE"""),"PS3")</f>
        <v>PS3</v>
      </c>
      <c r="O285" s="26" t="str">
        <f>IFERROR(__xludf.DUMMYFUNCTION("""COMPUTED_VALUE"""),"Yes")</f>
        <v>Yes</v>
      </c>
      <c r="P285" s="26" t="str">
        <f>IFERROR(__xludf.DUMMYFUNCTION("""COMPUTED_VALUE"""),"")</f>
        <v/>
      </c>
    </row>
    <row r="286">
      <c r="A286" s="13" t="str">
        <f>IFERROR(__xludf.DUMMYFUNCTION("""COMPUTED_VALUE"""),"TRINITY: Souls of Zill O'll")</f>
        <v>TRINITY: Souls of Zill O'll</v>
      </c>
      <c r="B286" s="15" t="str">
        <f>IFERROR(__xludf.DUMMYFUNCTION("""COMPUTED_VALUE"""),"PS5/PS4")</f>
        <v>PS5/PS4</v>
      </c>
      <c r="C286" s="16" t="str">
        <f>IFERROR(__xludf.DUMMYFUNCTION("""COMPUTED_VALUE"""),"Premium (Streaming Only)")</f>
        <v>Premium (Streaming Only)</v>
      </c>
      <c r="D286" s="15" t="str">
        <f>IFERROR(__xludf.DUMMYFUNCTION("""COMPUTED_VALUE"""),"Active")</f>
        <v>Active</v>
      </c>
      <c r="E286" s="17">
        <f>IFERROR(__xludf.DUMMYFUNCTION("""COMPUTED_VALUE"""),42374.0)</f>
        <v>42374</v>
      </c>
      <c r="F286" s="54"/>
      <c r="G286" s="19">
        <f>IFERROR(__xludf.DUMMYFUNCTION("""COMPUTED_VALUE"""),129.03333333333333)</f>
        <v>129.0333333</v>
      </c>
      <c r="H286" s="17">
        <f>IFERROR(__xludf.DUMMYFUNCTION("""COMPUTED_VALUE"""),40575.0)</f>
        <v>40575</v>
      </c>
      <c r="I286" s="19">
        <f>IFERROR(__xludf.DUMMYFUNCTION("""COMPUTED_VALUE"""),4.927777777777778)</f>
        <v>4.927777778</v>
      </c>
      <c r="J286" s="21">
        <f>IFERROR(__xludf.DUMMYFUNCTION("""COMPUTED_VALUE"""),55.0)</f>
        <v>55</v>
      </c>
      <c r="K286" s="23">
        <f>IFERROR(__xludf.DUMMYFUNCTION("""COMPUTED_VALUE"""),6.5)</f>
        <v>6.5</v>
      </c>
      <c r="L286" s="24">
        <f>IFERROR(__xludf.DUMMYFUNCTION("""COMPUTED_VALUE"""),40.0)</f>
        <v>40</v>
      </c>
      <c r="M286" s="25" t="str">
        <f>IFERROR(__xludf.DUMMYFUNCTION("""COMPUTED_VALUE"""),"RPG")</f>
        <v>RPG</v>
      </c>
      <c r="N286" s="25" t="str">
        <f>IFERROR(__xludf.DUMMYFUNCTION("""COMPUTED_VALUE"""),"PS3")</f>
        <v>PS3</v>
      </c>
      <c r="O286" s="26" t="str">
        <f>IFERROR(__xludf.DUMMYFUNCTION("""COMPUTED_VALUE"""),"Yes")</f>
        <v>Yes</v>
      </c>
      <c r="P286" s="26" t="str">
        <f>IFERROR(__xludf.DUMMYFUNCTION("""COMPUTED_VALUE"""),"")</f>
        <v/>
      </c>
    </row>
    <row r="287">
      <c r="A287" s="13" t="str">
        <f>IFERROR(__xludf.DUMMYFUNCTION("""COMPUTED_VALUE"""),"Alien Spidy")</f>
        <v>Alien Spidy</v>
      </c>
      <c r="B287" s="15" t="str">
        <f>IFERROR(__xludf.DUMMYFUNCTION("""COMPUTED_VALUE"""),"PS5/PS4")</f>
        <v>PS5/PS4</v>
      </c>
      <c r="C287" s="16" t="str">
        <f>IFERROR(__xludf.DUMMYFUNCTION("""COMPUTED_VALUE"""),"Premium (Streaming Only)")</f>
        <v>Premium (Streaming Only)</v>
      </c>
      <c r="D287" s="15" t="str">
        <f>IFERROR(__xludf.DUMMYFUNCTION("""COMPUTED_VALUE"""),"Active")</f>
        <v>Active</v>
      </c>
      <c r="E287" s="17">
        <f>IFERROR(__xludf.DUMMYFUNCTION("""COMPUTED_VALUE"""),42311.0)</f>
        <v>42311</v>
      </c>
      <c r="F287" s="54"/>
      <c r="G287" s="19">
        <f>IFERROR(__xludf.DUMMYFUNCTION("""COMPUTED_VALUE"""),131.10000000000002)</f>
        <v>131.1</v>
      </c>
      <c r="H287" s="17">
        <f>IFERROR(__xludf.DUMMYFUNCTION("""COMPUTED_VALUE"""),41456.0)</f>
        <v>41456</v>
      </c>
      <c r="I287" s="19">
        <f>IFERROR(__xludf.DUMMYFUNCTION("""COMPUTED_VALUE"""),2.338888888888889)</f>
        <v>2.338888889</v>
      </c>
      <c r="J287" s="21">
        <f>IFERROR(__xludf.DUMMYFUNCTION("""COMPUTED_VALUE"""),55.0)</f>
        <v>55</v>
      </c>
      <c r="K287" s="23">
        <f>IFERROR(__xludf.DUMMYFUNCTION("""COMPUTED_VALUE"""),5.5)</f>
        <v>5.5</v>
      </c>
      <c r="L287" s="24">
        <f>IFERROR(__xludf.DUMMYFUNCTION("""COMPUTED_VALUE"""),3.0)</f>
        <v>3</v>
      </c>
      <c r="M287" s="25" t="str">
        <f>IFERROR(__xludf.DUMMYFUNCTION("""COMPUTED_VALUE"""),"Platformer")</f>
        <v>Platformer</v>
      </c>
      <c r="N287" s="25" t="str">
        <f>IFERROR(__xludf.DUMMYFUNCTION("""COMPUTED_VALUE"""),"PS3")</f>
        <v>PS3</v>
      </c>
      <c r="O287" s="26" t="str">
        <f>IFERROR(__xludf.DUMMYFUNCTION("""COMPUTED_VALUE"""),"Yes")</f>
        <v>Yes</v>
      </c>
      <c r="P287" s="26" t="str">
        <f>IFERROR(__xludf.DUMMYFUNCTION("""COMPUTED_VALUE"""),"")</f>
        <v/>
      </c>
    </row>
    <row r="288">
      <c r="A288" s="13" t="str">
        <f>IFERROR(__xludf.DUMMYFUNCTION("""COMPUTED_VALUE"""),"Doc Clock: The Toasted Sandwich of Time")</f>
        <v>Doc Clock: The Toasted Sandwich of Time</v>
      </c>
      <c r="B288" s="15" t="str">
        <f>IFERROR(__xludf.DUMMYFUNCTION("""COMPUTED_VALUE"""),"PS5/PS4")</f>
        <v>PS5/PS4</v>
      </c>
      <c r="C288" s="16" t="str">
        <f>IFERROR(__xludf.DUMMYFUNCTION("""COMPUTED_VALUE"""),"Premium (Streaming Only)")</f>
        <v>Premium (Streaming Only)</v>
      </c>
      <c r="D288" s="15" t="str">
        <f>IFERROR(__xludf.DUMMYFUNCTION("""COMPUTED_VALUE"""),"Active")</f>
        <v>Active</v>
      </c>
      <c r="E288" s="17">
        <f>IFERROR(__xludf.DUMMYFUNCTION("""COMPUTED_VALUE"""),42493.0)</f>
        <v>42493</v>
      </c>
      <c r="F288" s="54"/>
      <c r="G288" s="19">
        <f>IFERROR(__xludf.DUMMYFUNCTION("""COMPUTED_VALUE"""),125.10000000000001)</f>
        <v>125.1</v>
      </c>
      <c r="H288" s="17">
        <f>IFERROR(__xludf.DUMMYFUNCTION("""COMPUTED_VALUE"""),41030.0)</f>
        <v>41030</v>
      </c>
      <c r="I288" s="19">
        <f>IFERROR(__xludf.DUMMYFUNCTION("""COMPUTED_VALUE"""),4.0055555555555555)</f>
        <v>4.005555556</v>
      </c>
      <c r="J288" s="21">
        <f>IFERROR(__xludf.DUMMYFUNCTION("""COMPUTED_VALUE"""),54.0)</f>
        <v>54</v>
      </c>
      <c r="K288" s="23">
        <f>IFERROR(__xludf.DUMMYFUNCTION("""COMPUTED_VALUE"""),6.4)</f>
        <v>6.4</v>
      </c>
      <c r="L288" s="24">
        <f>IFERROR(__xludf.DUMMYFUNCTION("""COMPUTED_VALUE"""),5.0)</f>
        <v>5</v>
      </c>
      <c r="M288" s="25" t="str">
        <f>IFERROR(__xludf.DUMMYFUNCTION("""COMPUTED_VALUE"""),"Puzzle")</f>
        <v>Puzzle</v>
      </c>
      <c r="N288" s="25" t="str">
        <f>IFERROR(__xludf.DUMMYFUNCTION("""COMPUTED_VALUE"""),"PS3")</f>
        <v>PS3</v>
      </c>
      <c r="O288" s="26" t="str">
        <f>IFERROR(__xludf.DUMMYFUNCTION("""COMPUTED_VALUE"""),"Yes")</f>
        <v>Yes</v>
      </c>
      <c r="P288" s="26" t="str">
        <f>IFERROR(__xludf.DUMMYFUNCTION("""COMPUTED_VALUE"""),"")</f>
        <v/>
      </c>
    </row>
    <row r="289">
      <c r="A289" s="13" t="str">
        <f>IFERROR(__xludf.DUMMYFUNCTION("""COMPUTED_VALUE"""),"Port Royale 3: Pirates &amp; Merchants - Gold Edition")</f>
        <v>Port Royale 3: Pirates &amp; Merchants - Gold Edition</v>
      </c>
      <c r="B289" s="15" t="str">
        <f>IFERROR(__xludf.DUMMYFUNCTION("""COMPUTED_VALUE"""),"PS5/PS4")</f>
        <v>PS5/PS4</v>
      </c>
      <c r="C289" s="16" t="str">
        <f>IFERROR(__xludf.DUMMYFUNCTION("""COMPUTED_VALUE"""),"Premium (Streaming Only)")</f>
        <v>Premium (Streaming Only)</v>
      </c>
      <c r="D289" s="15" t="str">
        <f>IFERROR(__xludf.DUMMYFUNCTION("""COMPUTED_VALUE"""),"Active")</f>
        <v>Active</v>
      </c>
      <c r="E289" s="17">
        <f>IFERROR(__xludf.DUMMYFUNCTION("""COMPUTED_VALUE"""),42017.0)</f>
        <v>42017</v>
      </c>
      <c r="F289" s="54"/>
      <c r="G289" s="19">
        <f>IFERROR(__xludf.DUMMYFUNCTION("""COMPUTED_VALUE"""),140.76666666666668)</f>
        <v>140.7666667</v>
      </c>
      <c r="H289" s="17">
        <f>IFERROR(__xludf.DUMMYFUNCTION("""COMPUTED_VALUE"""),41518.0)</f>
        <v>41518</v>
      </c>
      <c r="I289" s="19">
        <f>IFERROR(__xludf.DUMMYFUNCTION("""COMPUTED_VALUE"""),1.3666666666666667)</f>
        <v>1.366666667</v>
      </c>
      <c r="J289" s="21">
        <f>IFERROR(__xludf.DUMMYFUNCTION("""COMPUTED_VALUE"""),54.0)</f>
        <v>54</v>
      </c>
      <c r="K289" s="23">
        <f>IFERROR(__xludf.DUMMYFUNCTION("""COMPUTED_VALUE"""),6.8)</f>
        <v>6.8</v>
      </c>
      <c r="L289" s="24">
        <f>IFERROR(__xludf.DUMMYFUNCTION("""COMPUTED_VALUE"""),30.0)</f>
        <v>30</v>
      </c>
      <c r="M289" s="25" t="str">
        <f>IFERROR(__xludf.DUMMYFUNCTION("""COMPUTED_VALUE"""),"Strategy")</f>
        <v>Strategy</v>
      </c>
      <c r="N289" s="25" t="str">
        <f>IFERROR(__xludf.DUMMYFUNCTION("""COMPUTED_VALUE"""),"PS3")</f>
        <v>PS3</v>
      </c>
      <c r="O289" s="26" t="str">
        <f>IFERROR(__xludf.DUMMYFUNCTION("""COMPUTED_VALUE"""),"Yes")</f>
        <v>Yes</v>
      </c>
      <c r="P289" s="26" t="str">
        <f>IFERROR(__xludf.DUMMYFUNCTION("""COMPUTED_VALUE"""),"")</f>
        <v/>
      </c>
    </row>
    <row r="290">
      <c r="A290" s="13" t="str">
        <f>IFERROR(__xludf.DUMMYFUNCTION("""COMPUTED_VALUE"""),"Death Track: Resurrection")</f>
        <v>Death Track: Resurrection</v>
      </c>
      <c r="B290" s="15" t="str">
        <f>IFERROR(__xludf.DUMMYFUNCTION("""COMPUTED_VALUE"""),"PS5/PS4")</f>
        <v>PS5/PS4</v>
      </c>
      <c r="C290" s="16" t="str">
        <f>IFERROR(__xludf.DUMMYFUNCTION("""COMPUTED_VALUE"""),"Premium (Streaming Only)")</f>
        <v>Premium (Streaming Only)</v>
      </c>
      <c r="D290" s="15" t="str">
        <f>IFERROR(__xludf.DUMMYFUNCTION("""COMPUTED_VALUE"""),"Active")</f>
        <v>Active</v>
      </c>
      <c r="E290" s="17">
        <f>IFERROR(__xludf.DUMMYFUNCTION("""COMPUTED_VALUE"""),42311.0)</f>
        <v>42311</v>
      </c>
      <c r="F290" s="54"/>
      <c r="G290" s="19">
        <f>IFERROR(__xludf.DUMMYFUNCTION("""COMPUTED_VALUE"""),131.10000000000002)</f>
        <v>131.1</v>
      </c>
      <c r="H290" s="17">
        <f>IFERROR(__xludf.DUMMYFUNCTION("""COMPUTED_VALUE"""),39479.0)</f>
        <v>39479</v>
      </c>
      <c r="I290" s="19">
        <f>IFERROR(__xludf.DUMMYFUNCTION("""COMPUTED_VALUE"""),7.7555555555555555)</f>
        <v>7.755555556</v>
      </c>
      <c r="J290" s="21">
        <f>IFERROR(__xludf.DUMMYFUNCTION("""COMPUTED_VALUE"""),53.0)</f>
        <v>53</v>
      </c>
      <c r="K290" s="23">
        <f>IFERROR(__xludf.DUMMYFUNCTION("""COMPUTED_VALUE"""),5.8)</f>
        <v>5.8</v>
      </c>
      <c r="L290" s="24"/>
      <c r="M290" s="25" t="str">
        <f>IFERROR(__xludf.DUMMYFUNCTION("""COMPUTED_VALUE"""),"Racing")</f>
        <v>Racing</v>
      </c>
      <c r="N290" s="25" t="str">
        <f>IFERROR(__xludf.DUMMYFUNCTION("""COMPUTED_VALUE"""),"PS3")</f>
        <v>PS3</v>
      </c>
      <c r="O290" s="26" t="str">
        <f>IFERROR(__xludf.DUMMYFUNCTION("""COMPUTED_VALUE"""),"Yes")</f>
        <v>Yes</v>
      </c>
      <c r="P290" s="26" t="str">
        <f>IFERROR(__xludf.DUMMYFUNCTION("""COMPUTED_VALUE"""),"")</f>
        <v/>
      </c>
    </row>
    <row r="291">
      <c r="A291" s="13" t="str">
        <f>IFERROR(__xludf.DUMMYFUNCTION("""COMPUTED_VALUE"""),"Resident Evil Operation Raccoon City")</f>
        <v>Resident Evil Operation Raccoon City</v>
      </c>
      <c r="B291" s="15" t="str">
        <f>IFERROR(__xludf.DUMMYFUNCTION("""COMPUTED_VALUE"""),"PS5/PS4")</f>
        <v>PS5/PS4</v>
      </c>
      <c r="C291" s="16" t="str">
        <f>IFERROR(__xludf.DUMMYFUNCTION("""COMPUTED_VALUE"""),"Premium (Streaming Only)")</f>
        <v>Premium (Streaming Only)</v>
      </c>
      <c r="D291" s="15" t="str">
        <f>IFERROR(__xludf.DUMMYFUNCTION("""COMPUTED_VALUE"""),"Active")</f>
        <v>Active</v>
      </c>
      <c r="E291" s="17">
        <f>IFERROR(__xludf.DUMMYFUNCTION("""COMPUTED_VALUE"""),42472.0)</f>
        <v>42472</v>
      </c>
      <c r="F291" s="54"/>
      <c r="G291" s="19">
        <f>IFERROR(__xludf.DUMMYFUNCTION("""COMPUTED_VALUE"""),125.79999999999998)</f>
        <v>125.8</v>
      </c>
      <c r="H291" s="17">
        <f>IFERROR(__xludf.DUMMYFUNCTION("""COMPUTED_VALUE"""),41030.0)</f>
        <v>41030</v>
      </c>
      <c r="I291" s="19">
        <f>IFERROR(__xludf.DUMMYFUNCTION("""COMPUTED_VALUE"""),3.9472222222222224)</f>
        <v>3.947222222</v>
      </c>
      <c r="J291" s="21">
        <f>IFERROR(__xludf.DUMMYFUNCTION("""COMPUTED_VALUE"""),52.0)</f>
        <v>52</v>
      </c>
      <c r="K291" s="23">
        <f>IFERROR(__xludf.DUMMYFUNCTION("""COMPUTED_VALUE"""),5.5)</f>
        <v>5.5</v>
      </c>
      <c r="L291" s="24">
        <f>IFERROR(__xludf.DUMMYFUNCTION("""COMPUTED_VALUE"""),6.0)</f>
        <v>6</v>
      </c>
      <c r="M291" s="25" t="str">
        <f>IFERROR(__xludf.DUMMYFUNCTION("""COMPUTED_VALUE"""),"Shooter")</f>
        <v>Shooter</v>
      </c>
      <c r="N291" s="25" t="str">
        <f>IFERROR(__xludf.DUMMYFUNCTION("""COMPUTED_VALUE"""),"PS3")</f>
        <v>PS3</v>
      </c>
      <c r="O291" s="26" t="str">
        <f>IFERROR(__xludf.DUMMYFUNCTION("""COMPUTED_VALUE"""),"Yes")</f>
        <v>Yes</v>
      </c>
      <c r="P291" s="26" t="str">
        <f>IFERROR(__xludf.DUMMYFUNCTION("""COMPUTED_VALUE"""),"")</f>
        <v/>
      </c>
    </row>
    <row r="292">
      <c r="A292" s="13" t="str">
        <f>IFERROR(__xludf.DUMMYFUNCTION("""COMPUTED_VALUE"""),"Realms Of Ancient War")</f>
        <v>Realms Of Ancient War</v>
      </c>
      <c r="B292" s="15" t="str">
        <f>IFERROR(__xludf.DUMMYFUNCTION("""COMPUTED_VALUE"""),"PS5/PS4")</f>
        <v>PS5/PS4</v>
      </c>
      <c r="C292" s="16" t="str">
        <f>IFERROR(__xludf.DUMMYFUNCTION("""COMPUTED_VALUE"""),"Premium (Streaming Only)")</f>
        <v>Premium (Streaming Only)</v>
      </c>
      <c r="D292" s="15" t="str">
        <f>IFERROR(__xludf.DUMMYFUNCTION("""COMPUTED_VALUE"""),"Active")</f>
        <v>Active</v>
      </c>
      <c r="E292" s="17">
        <f>IFERROR(__xludf.DUMMYFUNCTION("""COMPUTED_VALUE"""),42017.0)</f>
        <v>42017</v>
      </c>
      <c r="F292" s="54"/>
      <c r="G292" s="19">
        <f>IFERROR(__xludf.DUMMYFUNCTION("""COMPUTED_VALUE"""),140.76666666666668)</f>
        <v>140.7666667</v>
      </c>
      <c r="H292" s="17">
        <f>IFERROR(__xludf.DUMMYFUNCTION("""COMPUTED_VALUE"""),41153.0)</f>
        <v>41153</v>
      </c>
      <c r="I292" s="19">
        <f>IFERROR(__xludf.DUMMYFUNCTION("""COMPUTED_VALUE"""),2.3666666666666667)</f>
        <v>2.366666667</v>
      </c>
      <c r="J292" s="21">
        <f>IFERROR(__xludf.DUMMYFUNCTION("""COMPUTED_VALUE"""),52.0)</f>
        <v>52</v>
      </c>
      <c r="K292" s="23">
        <f>IFERROR(__xludf.DUMMYFUNCTION("""COMPUTED_VALUE"""),6.9)</f>
        <v>6.9</v>
      </c>
      <c r="L292" s="24">
        <f>IFERROR(__xludf.DUMMYFUNCTION("""COMPUTED_VALUE"""),15.0)</f>
        <v>15</v>
      </c>
      <c r="M292" s="25" t="str">
        <f>IFERROR(__xludf.DUMMYFUNCTION("""COMPUTED_VALUE"""),"RPG")</f>
        <v>RPG</v>
      </c>
      <c r="N292" s="25" t="str">
        <f>IFERROR(__xludf.DUMMYFUNCTION("""COMPUTED_VALUE"""),"PS3")</f>
        <v>PS3</v>
      </c>
      <c r="O292" s="26" t="str">
        <f>IFERROR(__xludf.DUMMYFUNCTION("""COMPUTED_VALUE"""),"Yes")</f>
        <v>Yes</v>
      </c>
      <c r="P292" s="26" t="str">
        <f>IFERROR(__xludf.DUMMYFUNCTION("""COMPUTED_VALUE"""),"")</f>
        <v/>
      </c>
    </row>
    <row r="293">
      <c r="A293" s="13" t="str">
        <f>IFERROR(__xludf.DUMMYFUNCTION("""COMPUTED_VALUE"""),"Carmageddon: Max Damage")</f>
        <v>Carmageddon: Max Damage</v>
      </c>
      <c r="B293" s="15" t="str">
        <f>IFERROR(__xludf.DUMMYFUNCTION("""COMPUTED_VALUE"""),"PS5/PS4")</f>
        <v>PS5/PS4</v>
      </c>
      <c r="C293" s="16" t="str">
        <f>IFERROR(__xludf.DUMMYFUNCTION("""COMPUTED_VALUE"""),"Premium (Streaming Only)")</f>
        <v>Premium (Streaming Only)</v>
      </c>
      <c r="D293" s="15" t="str">
        <f>IFERROR(__xludf.DUMMYFUNCTION("""COMPUTED_VALUE"""),"Active")</f>
        <v>Active</v>
      </c>
      <c r="E293" s="17">
        <f>IFERROR(__xludf.DUMMYFUNCTION("""COMPUTED_VALUE"""),43378.0)</f>
        <v>43378</v>
      </c>
      <c r="F293" s="54"/>
      <c r="G293" s="19">
        <f>IFERROR(__xludf.DUMMYFUNCTION("""COMPUTED_VALUE"""),96.03333333333333)</f>
        <v>96.03333333</v>
      </c>
      <c r="H293" s="17">
        <f>IFERROR(__xludf.DUMMYFUNCTION("""COMPUTED_VALUE"""),42552.0)</f>
        <v>42552</v>
      </c>
      <c r="I293" s="19">
        <f>IFERROR(__xludf.DUMMYFUNCTION("""COMPUTED_VALUE"""),2.261111111111111)</f>
        <v>2.261111111</v>
      </c>
      <c r="J293" s="21">
        <f>IFERROR(__xludf.DUMMYFUNCTION("""COMPUTED_VALUE"""),51.0)</f>
        <v>51</v>
      </c>
      <c r="K293" s="23">
        <f>IFERROR(__xludf.DUMMYFUNCTION("""COMPUTED_VALUE"""),5.3)</f>
        <v>5.3</v>
      </c>
      <c r="L293" s="24"/>
      <c r="M293" s="25" t="str">
        <f>IFERROR(__xludf.DUMMYFUNCTION("""COMPUTED_VALUE"""),"Racing")</f>
        <v>Racing</v>
      </c>
      <c r="N293" s="25" t="str">
        <f>IFERROR(__xludf.DUMMYFUNCTION("""COMPUTED_VALUE"""),"PS3")</f>
        <v>PS3</v>
      </c>
      <c r="O293" s="26" t="str">
        <f>IFERROR(__xludf.DUMMYFUNCTION("""COMPUTED_VALUE"""),"Yes")</f>
        <v>Yes</v>
      </c>
      <c r="P293" s="26" t="str">
        <f>IFERROR(__xludf.DUMMYFUNCTION("""COMPUTED_VALUE"""),"")</f>
        <v/>
      </c>
    </row>
    <row r="294">
      <c r="A294" s="13" t="str">
        <f>IFERROR(__xludf.DUMMYFUNCTION("""COMPUTED_VALUE"""),"Air Conflicts: Secret Wars")</f>
        <v>Air Conflicts: Secret Wars</v>
      </c>
      <c r="B294" s="15" t="str">
        <f>IFERROR(__xludf.DUMMYFUNCTION("""COMPUTED_VALUE"""),"PS5/PS4")</f>
        <v>PS5/PS4</v>
      </c>
      <c r="C294" s="16" t="str">
        <f>IFERROR(__xludf.DUMMYFUNCTION("""COMPUTED_VALUE"""),"Premium (Streaming Only)")</f>
        <v>Premium (Streaming Only)</v>
      </c>
      <c r="D294" s="15" t="str">
        <f>IFERROR(__xludf.DUMMYFUNCTION("""COMPUTED_VALUE"""),"Active")</f>
        <v>Active</v>
      </c>
      <c r="E294" s="17">
        <f>IFERROR(__xludf.DUMMYFUNCTION("""COMPUTED_VALUE"""),42528.0)</f>
        <v>42528</v>
      </c>
      <c r="F294" s="54"/>
      <c r="G294" s="19">
        <f>IFERROR(__xludf.DUMMYFUNCTION("""COMPUTED_VALUE"""),123.96666666666667)</f>
        <v>123.9666667</v>
      </c>
      <c r="H294" s="17">
        <f>IFERROR(__xludf.DUMMYFUNCTION("""COMPUTED_VALUE"""),40724.0)</f>
        <v>40724</v>
      </c>
      <c r="I294" s="19">
        <f>IFERROR(__xludf.DUMMYFUNCTION("""COMPUTED_VALUE"""),4.936111111111111)</f>
        <v>4.936111111</v>
      </c>
      <c r="J294" s="21">
        <f>IFERROR(__xludf.DUMMYFUNCTION("""COMPUTED_VALUE"""),51.0)</f>
        <v>51</v>
      </c>
      <c r="K294" s="23">
        <f>IFERROR(__xludf.DUMMYFUNCTION("""COMPUTED_VALUE"""),4.8)</f>
        <v>4.8</v>
      </c>
      <c r="L294" s="24">
        <f>IFERROR(__xludf.DUMMYFUNCTION("""COMPUTED_VALUE"""),7.0)</f>
        <v>7</v>
      </c>
      <c r="M294" s="25" t="str">
        <f>IFERROR(__xludf.DUMMYFUNCTION("""COMPUTED_VALUE"""),"Shooter")</f>
        <v>Shooter</v>
      </c>
      <c r="N294" s="25" t="str">
        <f>IFERROR(__xludf.DUMMYFUNCTION("""COMPUTED_VALUE"""),"PS3")</f>
        <v>PS3</v>
      </c>
      <c r="O294" s="26" t="str">
        <f>IFERROR(__xludf.DUMMYFUNCTION("""COMPUTED_VALUE"""),"Yes")</f>
        <v>Yes</v>
      </c>
      <c r="P294" s="26" t="str">
        <f>IFERROR(__xludf.DUMMYFUNCTION("""COMPUTED_VALUE"""),"")</f>
        <v/>
      </c>
    </row>
    <row r="295">
      <c r="A295" s="13" t="str">
        <f>IFERROR(__xludf.DUMMYFUNCTION("""COMPUTED_VALUE"""),"Duke Nukem: Forever")</f>
        <v>Duke Nukem: Forever</v>
      </c>
      <c r="B295" s="15" t="str">
        <f>IFERROR(__xludf.DUMMYFUNCTION("""COMPUTED_VALUE"""),"PS5/PS4")</f>
        <v>PS5/PS4</v>
      </c>
      <c r="C295" s="16" t="str">
        <f>IFERROR(__xludf.DUMMYFUNCTION("""COMPUTED_VALUE"""),"Premium (Streaming Only)")</f>
        <v>Premium (Streaming Only)</v>
      </c>
      <c r="D295" s="15" t="str">
        <f>IFERROR(__xludf.DUMMYFUNCTION("""COMPUTED_VALUE"""),"Active")</f>
        <v>Active</v>
      </c>
      <c r="E295" s="17">
        <f>IFERROR(__xludf.DUMMYFUNCTION("""COMPUTED_VALUE"""),42528.0)</f>
        <v>42528</v>
      </c>
      <c r="F295" s="54"/>
      <c r="G295" s="19">
        <f>IFERROR(__xludf.DUMMYFUNCTION("""COMPUTED_VALUE"""),123.96666666666667)</f>
        <v>123.9666667</v>
      </c>
      <c r="H295" s="17">
        <f>IFERROR(__xludf.DUMMYFUNCTION("""COMPUTED_VALUE"""),40695.0)</f>
        <v>40695</v>
      </c>
      <c r="I295" s="19">
        <f>IFERROR(__xludf.DUMMYFUNCTION("""COMPUTED_VALUE"""),5.016666666666667)</f>
        <v>5.016666667</v>
      </c>
      <c r="J295" s="21">
        <f>IFERROR(__xludf.DUMMYFUNCTION("""COMPUTED_VALUE"""),51.0)</f>
        <v>51</v>
      </c>
      <c r="K295" s="23">
        <f>IFERROR(__xludf.DUMMYFUNCTION("""COMPUTED_VALUE"""),3.2)</f>
        <v>3.2</v>
      </c>
      <c r="L295" s="24">
        <f>IFERROR(__xludf.DUMMYFUNCTION("""COMPUTED_VALUE"""),10.0)</f>
        <v>10</v>
      </c>
      <c r="M295" s="25" t="str">
        <f>IFERROR(__xludf.DUMMYFUNCTION("""COMPUTED_VALUE"""),"Shooter")</f>
        <v>Shooter</v>
      </c>
      <c r="N295" s="25" t="str">
        <f>IFERROR(__xludf.DUMMYFUNCTION("""COMPUTED_VALUE"""),"PS3")</f>
        <v>PS3</v>
      </c>
      <c r="O295" s="26" t="str">
        <f>IFERROR(__xludf.DUMMYFUNCTION("""COMPUTED_VALUE"""),"Yes")</f>
        <v>Yes</v>
      </c>
      <c r="P295" s="26" t="str">
        <f>IFERROR(__xludf.DUMMYFUNCTION("""COMPUTED_VALUE"""),"")</f>
        <v/>
      </c>
    </row>
    <row r="296">
      <c r="A296" s="13" t="str">
        <f>IFERROR(__xludf.DUMMYFUNCTION("""COMPUTED_VALUE"""),"Fuel Overdose")</f>
        <v>Fuel Overdose</v>
      </c>
      <c r="B296" s="15" t="str">
        <f>IFERROR(__xludf.DUMMYFUNCTION("""COMPUTED_VALUE"""),"PS5/PS4")</f>
        <v>PS5/PS4</v>
      </c>
      <c r="C296" s="16" t="str">
        <f>IFERROR(__xludf.DUMMYFUNCTION("""COMPUTED_VALUE"""),"Premium (Streaming Only)")</f>
        <v>Premium (Streaming Only)</v>
      </c>
      <c r="D296" s="15" t="str">
        <f>IFERROR(__xludf.DUMMYFUNCTION("""COMPUTED_VALUE"""),"Active")</f>
        <v>Active</v>
      </c>
      <c r="E296" s="17">
        <f>IFERROR(__xludf.DUMMYFUNCTION("""COMPUTED_VALUE"""),42311.0)</f>
        <v>42311</v>
      </c>
      <c r="F296" s="54"/>
      <c r="G296" s="19">
        <f>IFERROR(__xludf.DUMMYFUNCTION("""COMPUTED_VALUE"""),131.10000000000002)</f>
        <v>131.1</v>
      </c>
      <c r="H296" s="17">
        <f>IFERROR(__xludf.DUMMYFUNCTION("""COMPUTED_VALUE"""),41334.0)</f>
        <v>41334</v>
      </c>
      <c r="I296" s="19">
        <f>IFERROR(__xludf.DUMMYFUNCTION("""COMPUTED_VALUE"""),2.672222222222222)</f>
        <v>2.672222222</v>
      </c>
      <c r="J296" s="21">
        <f>IFERROR(__xludf.DUMMYFUNCTION("""COMPUTED_VALUE"""),51.0)</f>
        <v>51</v>
      </c>
      <c r="K296" s="23">
        <f>IFERROR(__xludf.DUMMYFUNCTION("""COMPUTED_VALUE"""),5.2)</f>
        <v>5.2</v>
      </c>
      <c r="L296" s="24"/>
      <c r="M296" s="25" t="str">
        <f>IFERROR(__xludf.DUMMYFUNCTION("""COMPUTED_VALUE"""),"Racing")</f>
        <v>Racing</v>
      </c>
      <c r="N296" s="25" t="str">
        <f>IFERROR(__xludf.DUMMYFUNCTION("""COMPUTED_VALUE"""),"PS3")</f>
        <v>PS3</v>
      </c>
      <c r="O296" s="26" t="str">
        <f>IFERROR(__xludf.DUMMYFUNCTION("""COMPUTED_VALUE"""),"Yes")</f>
        <v>Yes</v>
      </c>
      <c r="P296" s="26" t="str">
        <f>IFERROR(__xludf.DUMMYFUNCTION("""COMPUTED_VALUE"""),"")</f>
        <v/>
      </c>
    </row>
    <row r="297">
      <c r="A297" s="13" t="str">
        <f>IFERROR(__xludf.DUMMYFUNCTION("""COMPUTED_VALUE"""),"Eat Lead: The Return of Matt Hazard")</f>
        <v>Eat Lead: The Return of Matt Hazard</v>
      </c>
      <c r="B297" s="15" t="str">
        <f>IFERROR(__xludf.DUMMYFUNCTION("""COMPUTED_VALUE"""),"PS5/PS4")</f>
        <v>PS5/PS4</v>
      </c>
      <c r="C297" s="16" t="str">
        <f>IFERROR(__xludf.DUMMYFUNCTION("""COMPUTED_VALUE"""),"Premium (Streaming Only)")</f>
        <v>Premium (Streaming Only)</v>
      </c>
      <c r="D297" s="15" t="str">
        <f>IFERROR(__xludf.DUMMYFUNCTION("""COMPUTED_VALUE"""),"Active")</f>
        <v>Active</v>
      </c>
      <c r="E297" s="17">
        <f>IFERROR(__xludf.DUMMYFUNCTION("""COMPUTED_VALUE"""),42017.0)</f>
        <v>42017</v>
      </c>
      <c r="F297" s="54"/>
      <c r="G297" s="19">
        <f>IFERROR(__xludf.DUMMYFUNCTION("""COMPUTED_VALUE"""),140.76666666666668)</f>
        <v>140.7666667</v>
      </c>
      <c r="H297" s="17">
        <f>IFERROR(__xludf.DUMMYFUNCTION("""COMPUTED_VALUE"""),39845.0)</f>
        <v>39845</v>
      </c>
      <c r="I297" s="19">
        <f>IFERROR(__xludf.DUMMYFUNCTION("""COMPUTED_VALUE"""),5.95)</f>
        <v>5.95</v>
      </c>
      <c r="J297" s="21">
        <f>IFERROR(__xludf.DUMMYFUNCTION("""COMPUTED_VALUE"""),51.0)</f>
        <v>51</v>
      </c>
      <c r="K297" s="23">
        <f>IFERROR(__xludf.DUMMYFUNCTION("""COMPUTED_VALUE"""),5.6)</f>
        <v>5.6</v>
      </c>
      <c r="L297" s="24">
        <f>IFERROR(__xludf.DUMMYFUNCTION("""COMPUTED_VALUE"""),7.0)</f>
        <v>7</v>
      </c>
      <c r="M297" s="25" t="str">
        <f>IFERROR(__xludf.DUMMYFUNCTION("""COMPUTED_VALUE"""),"Shooter")</f>
        <v>Shooter</v>
      </c>
      <c r="N297" s="25" t="str">
        <f>IFERROR(__xludf.DUMMYFUNCTION("""COMPUTED_VALUE"""),"PS3")</f>
        <v>PS3</v>
      </c>
      <c r="O297" s="26" t="str">
        <f>IFERROR(__xludf.DUMMYFUNCTION("""COMPUTED_VALUE"""),"Yes")</f>
        <v>Yes</v>
      </c>
      <c r="P297" s="26" t="str">
        <f>IFERROR(__xludf.DUMMYFUNCTION("""COMPUTED_VALUE"""),"")</f>
        <v/>
      </c>
    </row>
    <row r="298">
      <c r="A298" s="13" t="str">
        <f>IFERROR(__xludf.DUMMYFUNCTION("""COMPUTED_VALUE"""),"Invizimals: The Lost Kingdom")</f>
        <v>Invizimals: The Lost Kingdom</v>
      </c>
      <c r="B298" s="15" t="str">
        <f>IFERROR(__xludf.DUMMYFUNCTION("""COMPUTED_VALUE"""),"PS5/PS4")</f>
        <v>PS5/PS4</v>
      </c>
      <c r="C298" s="16" t="str">
        <f>IFERROR(__xludf.DUMMYFUNCTION("""COMPUTED_VALUE"""),"Premium (Streaming Only)")</f>
        <v>Premium (Streaming Only)</v>
      </c>
      <c r="D298" s="15" t="str">
        <f>IFERROR(__xludf.DUMMYFUNCTION("""COMPUTED_VALUE"""),"Active")</f>
        <v>Active</v>
      </c>
      <c r="E298" s="17">
        <f>IFERROR(__xludf.DUMMYFUNCTION("""COMPUTED_VALUE"""),42374.0)</f>
        <v>42374</v>
      </c>
      <c r="F298" s="54"/>
      <c r="G298" s="19">
        <f>IFERROR(__xludf.DUMMYFUNCTION("""COMPUTED_VALUE"""),129.03333333333333)</f>
        <v>129.0333333</v>
      </c>
      <c r="H298" s="17">
        <f>IFERROR(__xludf.DUMMYFUNCTION("""COMPUTED_VALUE"""),41883.0)</f>
        <v>41883</v>
      </c>
      <c r="I298" s="19">
        <f>IFERROR(__xludf.DUMMYFUNCTION("""COMPUTED_VALUE"""),1.3444444444444446)</f>
        <v>1.344444444</v>
      </c>
      <c r="J298" s="21">
        <f>IFERROR(__xludf.DUMMYFUNCTION("""COMPUTED_VALUE"""),50.0)</f>
        <v>50</v>
      </c>
      <c r="K298" s="23">
        <f>IFERROR(__xludf.DUMMYFUNCTION("""COMPUTED_VALUE"""),6.2)</f>
        <v>6.2</v>
      </c>
      <c r="L298" s="24">
        <f>IFERROR(__xludf.DUMMYFUNCTION("""COMPUTED_VALUE"""),8.0)</f>
        <v>8</v>
      </c>
      <c r="M298" s="25" t="str">
        <f>IFERROR(__xludf.DUMMYFUNCTION("""COMPUTED_VALUE"""),"Action-Adventure")</f>
        <v>Action-Adventure</v>
      </c>
      <c r="N298" s="25" t="str">
        <f>IFERROR(__xludf.DUMMYFUNCTION("""COMPUTED_VALUE"""),"PS3")</f>
        <v>PS3</v>
      </c>
      <c r="O298" s="26" t="str">
        <f>IFERROR(__xludf.DUMMYFUNCTION("""COMPUTED_VALUE"""),"Yes")</f>
        <v>Yes</v>
      </c>
      <c r="P298" s="26" t="str">
        <f>IFERROR(__xludf.DUMMYFUNCTION("""COMPUTED_VALUE"""),"")</f>
        <v/>
      </c>
    </row>
    <row r="299">
      <c r="A299" s="13" t="str">
        <f>IFERROR(__xludf.DUMMYFUNCTION("""COMPUTED_VALUE"""),"Record of Agarest War Zero")</f>
        <v>Record of Agarest War Zero</v>
      </c>
      <c r="B299" s="15" t="str">
        <f>IFERROR(__xludf.DUMMYFUNCTION("""COMPUTED_VALUE"""),"PS5/PS4")</f>
        <v>PS5/PS4</v>
      </c>
      <c r="C299" s="16" t="str">
        <f>IFERROR(__xludf.DUMMYFUNCTION("""COMPUTED_VALUE"""),"Premium (Streaming Only)")</f>
        <v>Premium (Streaming Only)</v>
      </c>
      <c r="D299" s="15" t="str">
        <f>IFERROR(__xludf.DUMMYFUNCTION("""COMPUTED_VALUE"""),"Active")</f>
        <v>Active</v>
      </c>
      <c r="E299" s="17">
        <f>IFERROR(__xludf.DUMMYFUNCTION("""COMPUTED_VALUE"""),42017.0)</f>
        <v>42017</v>
      </c>
      <c r="F299" s="54"/>
      <c r="G299" s="19">
        <f>IFERROR(__xludf.DUMMYFUNCTION("""COMPUTED_VALUE"""),140.76666666666668)</f>
        <v>140.7666667</v>
      </c>
      <c r="H299" s="17">
        <f>IFERROR(__xludf.DUMMYFUNCTION("""COMPUTED_VALUE"""),40695.0)</f>
        <v>40695</v>
      </c>
      <c r="I299" s="19">
        <f>IFERROR(__xludf.DUMMYFUNCTION("""COMPUTED_VALUE"""),3.6166666666666667)</f>
        <v>3.616666667</v>
      </c>
      <c r="J299" s="21">
        <f>IFERROR(__xludf.DUMMYFUNCTION("""COMPUTED_VALUE"""),50.0)</f>
        <v>50</v>
      </c>
      <c r="K299" s="23">
        <f>IFERROR(__xludf.DUMMYFUNCTION("""COMPUTED_VALUE"""),6.9)</f>
        <v>6.9</v>
      </c>
      <c r="L299" s="24">
        <f>IFERROR(__xludf.DUMMYFUNCTION("""COMPUTED_VALUE"""),55.0)</f>
        <v>55</v>
      </c>
      <c r="M299" s="25" t="str">
        <f>IFERROR(__xludf.DUMMYFUNCTION("""COMPUTED_VALUE"""),"RPG")</f>
        <v>RPG</v>
      </c>
      <c r="N299" s="25" t="str">
        <f>IFERROR(__xludf.DUMMYFUNCTION("""COMPUTED_VALUE"""),"PS3")</f>
        <v>PS3</v>
      </c>
      <c r="O299" s="26" t="str">
        <f>IFERROR(__xludf.DUMMYFUNCTION("""COMPUTED_VALUE"""),"Yes")</f>
        <v>Yes</v>
      </c>
      <c r="P299" s="26" t="str">
        <f>IFERROR(__xludf.DUMMYFUNCTION("""COMPUTED_VALUE"""),"")</f>
        <v/>
      </c>
    </row>
    <row r="300">
      <c r="A300" s="13" t="str">
        <f>IFERROR(__xludf.DUMMYFUNCTION("""COMPUTED_VALUE"""),"Red Faction: Battlegrounds")</f>
        <v>Red Faction: Battlegrounds</v>
      </c>
      <c r="B300" s="15" t="str">
        <f>IFERROR(__xludf.DUMMYFUNCTION("""COMPUTED_VALUE"""),"PS5/PS4")</f>
        <v>PS5/PS4</v>
      </c>
      <c r="C300" s="16" t="str">
        <f>IFERROR(__xludf.DUMMYFUNCTION("""COMPUTED_VALUE"""),"Premium (Streaming Only)")</f>
        <v>Premium (Streaming Only)</v>
      </c>
      <c r="D300" s="15" t="str">
        <f>IFERROR(__xludf.DUMMYFUNCTION("""COMPUTED_VALUE"""),"Active")</f>
        <v>Active</v>
      </c>
      <c r="E300" s="17">
        <f>IFERROR(__xludf.DUMMYFUNCTION("""COMPUTED_VALUE"""),42374.0)</f>
        <v>42374</v>
      </c>
      <c r="F300" s="54"/>
      <c r="G300" s="19">
        <f>IFERROR(__xludf.DUMMYFUNCTION("""COMPUTED_VALUE"""),129.03333333333333)</f>
        <v>129.0333333</v>
      </c>
      <c r="H300" s="17">
        <f>IFERROR(__xludf.DUMMYFUNCTION("""COMPUTED_VALUE"""),40634.0)</f>
        <v>40634</v>
      </c>
      <c r="I300" s="19">
        <f>IFERROR(__xludf.DUMMYFUNCTION("""COMPUTED_VALUE"""),4.761111111111111)</f>
        <v>4.761111111</v>
      </c>
      <c r="J300" s="21">
        <f>IFERROR(__xludf.DUMMYFUNCTION("""COMPUTED_VALUE"""),49.0)</f>
        <v>49</v>
      </c>
      <c r="K300" s="23">
        <f>IFERROR(__xludf.DUMMYFUNCTION("""COMPUTED_VALUE"""),5.9)</f>
        <v>5.9</v>
      </c>
      <c r="L300" s="24">
        <f>IFERROR(__xludf.DUMMYFUNCTION("""COMPUTED_VALUE"""),3.0)</f>
        <v>3</v>
      </c>
      <c r="M300" s="25" t="str">
        <f>IFERROR(__xludf.DUMMYFUNCTION("""COMPUTED_VALUE"""),"Shooter")</f>
        <v>Shooter</v>
      </c>
      <c r="N300" s="25" t="str">
        <f>IFERROR(__xludf.DUMMYFUNCTION("""COMPUTED_VALUE"""),"PS3")</f>
        <v>PS3</v>
      </c>
      <c r="O300" s="26" t="str">
        <f>IFERROR(__xludf.DUMMYFUNCTION("""COMPUTED_VALUE"""),"Yes")</f>
        <v>Yes</v>
      </c>
      <c r="P300" s="26" t="str">
        <f>IFERROR(__xludf.DUMMYFUNCTION("""COMPUTED_VALUE"""),"")</f>
        <v/>
      </c>
    </row>
    <row r="301">
      <c r="A301" s="13" t="str">
        <f>IFERROR(__xludf.DUMMYFUNCTION("""COMPUTED_VALUE"""),"Slender: The Arrival")</f>
        <v>Slender: The Arrival</v>
      </c>
      <c r="B301" s="15" t="str">
        <f>IFERROR(__xludf.DUMMYFUNCTION("""COMPUTED_VALUE"""),"PS5/PS4")</f>
        <v>PS5/PS4</v>
      </c>
      <c r="C301" s="16" t="str">
        <f>IFERROR(__xludf.DUMMYFUNCTION("""COMPUTED_VALUE"""),"Premium (Streaming Only)")</f>
        <v>Premium (Streaming Only)</v>
      </c>
      <c r="D301" s="15" t="str">
        <f>IFERROR(__xludf.DUMMYFUNCTION("""COMPUTED_VALUE"""),"Active")</f>
        <v>Active</v>
      </c>
      <c r="E301" s="17">
        <f>IFERROR(__xludf.DUMMYFUNCTION("""COMPUTED_VALUE"""),42374.0)</f>
        <v>42374</v>
      </c>
      <c r="F301" s="54"/>
      <c r="G301" s="19">
        <f>IFERROR(__xludf.DUMMYFUNCTION("""COMPUTED_VALUE"""),129.03333333333333)</f>
        <v>129.0333333</v>
      </c>
      <c r="H301" s="17">
        <f>IFERROR(__xludf.DUMMYFUNCTION("""COMPUTED_VALUE"""),42064.0)</f>
        <v>42064</v>
      </c>
      <c r="I301" s="19">
        <f>IFERROR(__xludf.DUMMYFUNCTION("""COMPUTED_VALUE"""),0.8444444444444444)</f>
        <v>0.8444444444</v>
      </c>
      <c r="J301" s="21">
        <f>IFERROR(__xludf.DUMMYFUNCTION("""COMPUTED_VALUE"""),48.0)</f>
        <v>48</v>
      </c>
      <c r="K301" s="23">
        <f>IFERROR(__xludf.DUMMYFUNCTION("""COMPUTED_VALUE"""),6.4)</f>
        <v>6.4</v>
      </c>
      <c r="L301" s="24">
        <f>IFERROR(__xludf.DUMMYFUNCTION("""COMPUTED_VALUE"""),3.0)</f>
        <v>3</v>
      </c>
      <c r="M301" s="25" t="str">
        <f>IFERROR(__xludf.DUMMYFUNCTION("""COMPUTED_VALUE"""),"Horror")</f>
        <v>Horror</v>
      </c>
      <c r="N301" s="25" t="str">
        <f>IFERROR(__xludf.DUMMYFUNCTION("""COMPUTED_VALUE"""),"PS3")</f>
        <v>PS3</v>
      </c>
      <c r="O301" s="26" t="str">
        <f>IFERROR(__xludf.DUMMYFUNCTION("""COMPUTED_VALUE"""),"Yes")</f>
        <v>Yes</v>
      </c>
      <c r="P301" s="26" t="str">
        <f>IFERROR(__xludf.DUMMYFUNCTION("""COMPUTED_VALUE"""),"")</f>
        <v/>
      </c>
    </row>
    <row r="302">
      <c r="A302" s="13" t="str">
        <f>IFERROR(__xludf.DUMMYFUNCTION("""COMPUTED_VALUE"""),"Champion Jockey: G1 Jockey &amp; Gallop Racer")</f>
        <v>Champion Jockey: G1 Jockey &amp; Gallop Racer</v>
      </c>
      <c r="B302" s="15" t="str">
        <f>IFERROR(__xludf.DUMMYFUNCTION("""COMPUTED_VALUE"""),"PS5/PS4")</f>
        <v>PS5/PS4</v>
      </c>
      <c r="C302" s="16" t="str">
        <f>IFERROR(__xludf.DUMMYFUNCTION("""COMPUTED_VALUE"""),"Premium (Streaming Only)")</f>
        <v>Premium (Streaming Only)</v>
      </c>
      <c r="D302" s="15" t="str">
        <f>IFERROR(__xludf.DUMMYFUNCTION("""COMPUTED_VALUE"""),"Active")</f>
        <v>Active</v>
      </c>
      <c r="E302" s="17">
        <f>IFERROR(__xludf.DUMMYFUNCTION("""COMPUTED_VALUE"""),42190.0)</f>
        <v>42190</v>
      </c>
      <c r="F302" s="54"/>
      <c r="G302" s="19">
        <f>IFERROR(__xludf.DUMMYFUNCTION("""COMPUTED_VALUE"""),135.03333333333333)</f>
        <v>135.0333333</v>
      </c>
      <c r="H302" s="17">
        <f>IFERROR(__xludf.DUMMYFUNCTION("""COMPUTED_VALUE"""),40808.0)</f>
        <v>40808</v>
      </c>
      <c r="I302" s="19">
        <f>IFERROR(__xludf.DUMMYFUNCTION("""COMPUTED_VALUE"""),3.786111111111111)</f>
        <v>3.786111111</v>
      </c>
      <c r="J302" s="21">
        <f>IFERROR(__xludf.DUMMYFUNCTION("""COMPUTED_VALUE"""),48.0)</f>
        <v>48</v>
      </c>
      <c r="K302" s="23"/>
      <c r="L302" s="24"/>
      <c r="M302" s="25" t="str">
        <f>IFERROR(__xludf.DUMMYFUNCTION("""COMPUTED_VALUE"""),"Sports")</f>
        <v>Sports</v>
      </c>
      <c r="N302" s="25" t="str">
        <f>IFERROR(__xludf.DUMMYFUNCTION("""COMPUTED_VALUE"""),"PS3")</f>
        <v>PS3</v>
      </c>
      <c r="O302" s="26" t="str">
        <f>IFERROR(__xludf.DUMMYFUNCTION("""COMPUTED_VALUE"""),"Yes")</f>
        <v>Yes</v>
      </c>
      <c r="P302" s="26" t="str">
        <f>IFERROR(__xludf.DUMMYFUNCTION("""COMPUTED_VALUE"""),"")</f>
        <v/>
      </c>
    </row>
    <row r="303">
      <c r="A303" s="13" t="str">
        <f>IFERROR(__xludf.DUMMYFUNCTION("""COMPUTED_VALUE"""),"Interpol: The Trail of Dr. Chaos")</f>
        <v>Interpol: The Trail of Dr. Chaos</v>
      </c>
      <c r="B303" s="15" t="str">
        <f>IFERROR(__xludf.DUMMYFUNCTION("""COMPUTED_VALUE"""),"PS5/PS4")</f>
        <v>PS5/PS4</v>
      </c>
      <c r="C303" s="16" t="str">
        <f>IFERROR(__xludf.DUMMYFUNCTION("""COMPUTED_VALUE"""),"Premium (Streaming Only)")</f>
        <v>Premium (Streaming Only)</v>
      </c>
      <c r="D303" s="15" t="str">
        <f>IFERROR(__xludf.DUMMYFUNCTION("""COMPUTED_VALUE"""),"Active")</f>
        <v>Active</v>
      </c>
      <c r="E303" s="17">
        <f>IFERROR(__xludf.DUMMYFUNCTION("""COMPUTED_VALUE"""),42017.0)</f>
        <v>42017</v>
      </c>
      <c r="F303" s="54"/>
      <c r="G303" s="19">
        <f>IFERROR(__xludf.DUMMYFUNCTION("""COMPUTED_VALUE"""),140.76666666666668)</f>
        <v>140.7666667</v>
      </c>
      <c r="H303" s="17">
        <f>IFERROR(__xludf.DUMMYFUNCTION("""COMPUTED_VALUE"""),39814.0)</f>
        <v>39814</v>
      </c>
      <c r="I303" s="19">
        <f>IFERROR(__xludf.DUMMYFUNCTION("""COMPUTED_VALUE"""),6.033333333333333)</f>
        <v>6.033333333</v>
      </c>
      <c r="J303" s="21">
        <f>IFERROR(__xludf.DUMMYFUNCTION("""COMPUTED_VALUE"""),48.0)</f>
        <v>48</v>
      </c>
      <c r="K303" s="23">
        <f>IFERROR(__xludf.DUMMYFUNCTION("""COMPUTED_VALUE"""),7.2)</f>
        <v>7.2</v>
      </c>
      <c r="L303" s="24">
        <f>IFERROR(__xludf.DUMMYFUNCTION("""COMPUTED_VALUE"""),3.0)</f>
        <v>3</v>
      </c>
      <c r="M303" s="25" t="str">
        <f>IFERROR(__xludf.DUMMYFUNCTION("""COMPUTED_VALUE"""),"Puzzle")</f>
        <v>Puzzle</v>
      </c>
      <c r="N303" s="25" t="str">
        <f>IFERROR(__xludf.DUMMYFUNCTION("""COMPUTED_VALUE"""),"PS3")</f>
        <v>PS3</v>
      </c>
      <c r="O303" s="26" t="str">
        <f>IFERROR(__xludf.DUMMYFUNCTION("""COMPUTED_VALUE"""),"Yes")</f>
        <v>Yes</v>
      </c>
      <c r="P303" s="26" t="str">
        <f>IFERROR(__xludf.DUMMYFUNCTION("""COMPUTED_VALUE"""),"")</f>
        <v/>
      </c>
    </row>
    <row r="304">
      <c r="A304" s="13" t="str">
        <f>IFERROR(__xludf.DUMMYFUNCTION("""COMPUTED_VALUE"""),"Dragon's Lair")</f>
        <v>Dragon's Lair</v>
      </c>
      <c r="B304" s="15" t="str">
        <f>IFERROR(__xludf.DUMMYFUNCTION("""COMPUTED_VALUE"""),"PS5/PS4")</f>
        <v>PS5/PS4</v>
      </c>
      <c r="C304" s="16" t="str">
        <f>IFERROR(__xludf.DUMMYFUNCTION("""COMPUTED_VALUE"""),"Premium (Streaming Only)")</f>
        <v>Premium (Streaming Only)</v>
      </c>
      <c r="D304" s="15" t="str">
        <f>IFERROR(__xludf.DUMMYFUNCTION("""COMPUTED_VALUE"""),"Active")</f>
        <v>Active</v>
      </c>
      <c r="E304" s="17">
        <f>IFERROR(__xludf.DUMMYFUNCTION("""COMPUTED_VALUE"""),42311.0)</f>
        <v>42311</v>
      </c>
      <c r="F304" s="54"/>
      <c r="G304" s="19">
        <f>IFERROR(__xludf.DUMMYFUNCTION("""COMPUTED_VALUE"""),131.10000000000002)</f>
        <v>131.1</v>
      </c>
      <c r="H304" s="17">
        <f>IFERROR(__xludf.DUMMYFUNCTION("""COMPUTED_VALUE"""),41030.0)</f>
        <v>41030</v>
      </c>
      <c r="I304" s="19">
        <f>IFERROR(__xludf.DUMMYFUNCTION("""COMPUTED_VALUE"""),3.5055555555555555)</f>
        <v>3.505555556</v>
      </c>
      <c r="J304" s="21">
        <f>IFERROR(__xludf.DUMMYFUNCTION("""COMPUTED_VALUE"""),47.0)</f>
        <v>47</v>
      </c>
      <c r="K304" s="23">
        <f>IFERROR(__xludf.DUMMYFUNCTION("""COMPUTED_VALUE"""),6.2)</f>
        <v>6.2</v>
      </c>
      <c r="L304" s="24">
        <f>IFERROR(__xludf.DUMMYFUNCTION("""COMPUTED_VALUE"""),1.0)</f>
        <v>1</v>
      </c>
      <c r="M304" s="25" t="str">
        <f>IFERROR(__xludf.DUMMYFUNCTION("""COMPUTED_VALUE"""),"Action-Adventure")</f>
        <v>Action-Adventure</v>
      </c>
      <c r="N304" s="25" t="str">
        <f>IFERROR(__xludf.DUMMYFUNCTION("""COMPUTED_VALUE"""),"PS3")</f>
        <v>PS3</v>
      </c>
      <c r="O304" s="26" t="str">
        <f>IFERROR(__xludf.DUMMYFUNCTION("""COMPUTED_VALUE"""),"Yes")</f>
        <v>Yes</v>
      </c>
      <c r="P304" s="26" t="str">
        <f>IFERROR(__xludf.DUMMYFUNCTION("""COMPUTED_VALUE"""),"")</f>
        <v/>
      </c>
    </row>
    <row r="305">
      <c r="A305" s="13" t="str">
        <f>IFERROR(__xludf.DUMMYFUNCTION("""COMPUTED_VALUE"""),"Alien Rage")</f>
        <v>Alien Rage</v>
      </c>
      <c r="B305" s="15" t="str">
        <f>IFERROR(__xludf.DUMMYFUNCTION("""COMPUTED_VALUE"""),"PS5/PS4")</f>
        <v>PS5/PS4</v>
      </c>
      <c r="C305" s="16" t="str">
        <f>IFERROR(__xludf.DUMMYFUNCTION("""COMPUTED_VALUE"""),"Premium (Streaming Only)")</f>
        <v>Premium (Streaming Only)</v>
      </c>
      <c r="D305" s="15" t="str">
        <f>IFERROR(__xludf.DUMMYFUNCTION("""COMPUTED_VALUE"""),"Active")</f>
        <v>Active</v>
      </c>
      <c r="E305" s="17">
        <f>IFERROR(__xludf.DUMMYFUNCTION("""COMPUTED_VALUE"""),42682.0)</f>
        <v>42682</v>
      </c>
      <c r="F305" s="54"/>
      <c r="G305" s="19">
        <f>IFERROR(__xludf.DUMMYFUNCTION("""COMPUTED_VALUE"""),118.93333333333334)</f>
        <v>118.9333333</v>
      </c>
      <c r="H305" s="17">
        <f>IFERROR(__xludf.DUMMYFUNCTION("""COMPUTED_VALUE"""),41548.0)</f>
        <v>41548</v>
      </c>
      <c r="I305" s="19">
        <f>IFERROR(__xludf.DUMMYFUNCTION("""COMPUTED_VALUE"""),3.102777777777778)</f>
        <v>3.102777778</v>
      </c>
      <c r="J305" s="21">
        <f>IFERROR(__xludf.DUMMYFUNCTION("""COMPUTED_VALUE"""),46.0)</f>
        <v>46</v>
      </c>
      <c r="K305" s="23">
        <f>IFERROR(__xludf.DUMMYFUNCTION("""COMPUTED_VALUE"""),5.4)</f>
        <v>5.4</v>
      </c>
      <c r="L305" s="24">
        <f>IFERROR(__xludf.DUMMYFUNCTION("""COMPUTED_VALUE"""),5.0)</f>
        <v>5</v>
      </c>
      <c r="M305" s="25" t="str">
        <f>IFERROR(__xludf.DUMMYFUNCTION("""COMPUTED_VALUE"""),"Shooter")</f>
        <v>Shooter</v>
      </c>
      <c r="N305" s="25" t="str">
        <f>IFERROR(__xludf.DUMMYFUNCTION("""COMPUTED_VALUE"""),"PS3")</f>
        <v>PS3</v>
      </c>
      <c r="O305" s="26" t="str">
        <f>IFERROR(__xludf.DUMMYFUNCTION("""COMPUTED_VALUE"""),"Yes")</f>
        <v>Yes</v>
      </c>
      <c r="P305" s="26" t="str">
        <f>IFERROR(__xludf.DUMMYFUNCTION("""COMPUTED_VALUE"""),"")</f>
        <v/>
      </c>
    </row>
    <row r="306">
      <c r="A306" s="13" t="str">
        <f>IFERROR(__xludf.DUMMYFUNCTION("""COMPUTED_VALUE"""),"Greg Hastings Paintball 2")</f>
        <v>Greg Hastings Paintball 2</v>
      </c>
      <c r="B306" s="15" t="str">
        <f>IFERROR(__xludf.DUMMYFUNCTION("""COMPUTED_VALUE"""),"PS5/PS4")</f>
        <v>PS5/PS4</v>
      </c>
      <c r="C306" s="16" t="str">
        <f>IFERROR(__xludf.DUMMYFUNCTION("""COMPUTED_VALUE"""),"Premium (Streaming Only)")</f>
        <v>Premium (Streaming Only)</v>
      </c>
      <c r="D306" s="15" t="str">
        <f>IFERROR(__xludf.DUMMYFUNCTION("""COMPUTED_VALUE"""),"Active")</f>
        <v>Active</v>
      </c>
      <c r="E306" s="17">
        <f>IFERROR(__xludf.DUMMYFUNCTION("""COMPUTED_VALUE"""),42682.0)</f>
        <v>42682</v>
      </c>
      <c r="F306" s="54"/>
      <c r="G306" s="19">
        <f>IFERROR(__xludf.DUMMYFUNCTION("""COMPUTED_VALUE"""),118.93333333333334)</f>
        <v>118.9333333</v>
      </c>
      <c r="H306" s="17">
        <f>IFERROR(__xludf.DUMMYFUNCTION("""COMPUTED_VALUE"""),40695.0)</f>
        <v>40695</v>
      </c>
      <c r="I306" s="19">
        <f>IFERROR(__xludf.DUMMYFUNCTION("""COMPUTED_VALUE"""),5.436111111111111)</f>
        <v>5.436111111</v>
      </c>
      <c r="J306" s="21">
        <f>IFERROR(__xludf.DUMMYFUNCTION("""COMPUTED_VALUE"""),46.0)</f>
        <v>46</v>
      </c>
      <c r="K306" s="23">
        <f>IFERROR(__xludf.DUMMYFUNCTION("""COMPUTED_VALUE"""),6.8)</f>
        <v>6.8</v>
      </c>
      <c r="L306" s="24">
        <f>IFERROR(__xludf.DUMMYFUNCTION("""COMPUTED_VALUE"""),7.0)</f>
        <v>7</v>
      </c>
      <c r="M306" s="25" t="str">
        <f>IFERROR(__xludf.DUMMYFUNCTION("""COMPUTED_VALUE"""),"Shooter")</f>
        <v>Shooter</v>
      </c>
      <c r="N306" s="25" t="str">
        <f>IFERROR(__xludf.DUMMYFUNCTION("""COMPUTED_VALUE"""),"PS3")</f>
        <v>PS3</v>
      </c>
      <c r="O306" s="26" t="str">
        <f>IFERROR(__xludf.DUMMYFUNCTION("""COMPUTED_VALUE"""),"Yes")</f>
        <v>Yes</v>
      </c>
      <c r="P306" s="26" t="str">
        <f>IFERROR(__xludf.DUMMYFUNCTION("""COMPUTED_VALUE"""),"")</f>
        <v/>
      </c>
    </row>
    <row r="307">
      <c r="A307" s="13" t="str">
        <f>IFERROR(__xludf.DUMMYFUNCTION("""COMPUTED_VALUE"""),".detuned")</f>
        <v>.detuned</v>
      </c>
      <c r="B307" s="15" t="str">
        <f>IFERROR(__xludf.DUMMYFUNCTION("""COMPUTED_VALUE"""),"PS5/PS4")</f>
        <v>PS5/PS4</v>
      </c>
      <c r="C307" s="16" t="str">
        <f>IFERROR(__xludf.DUMMYFUNCTION("""COMPUTED_VALUE"""),"Premium (Streaming Only)")</f>
        <v>Premium (Streaming Only)</v>
      </c>
      <c r="D307" s="15" t="str">
        <f>IFERROR(__xludf.DUMMYFUNCTION("""COMPUTED_VALUE"""),"Active")</f>
        <v>Active</v>
      </c>
      <c r="E307" s="17">
        <f>IFERROR(__xludf.DUMMYFUNCTION("""COMPUTED_VALUE"""),42374.0)</f>
        <v>42374</v>
      </c>
      <c r="F307" s="54"/>
      <c r="G307" s="19">
        <f>IFERROR(__xludf.DUMMYFUNCTION("""COMPUTED_VALUE"""),129.03333333333333)</f>
        <v>129.0333333</v>
      </c>
      <c r="H307" s="17">
        <f>IFERROR(__xludf.DUMMYFUNCTION("""COMPUTED_VALUE"""),40087.0)</f>
        <v>40087</v>
      </c>
      <c r="I307" s="19">
        <f>IFERROR(__xludf.DUMMYFUNCTION("""COMPUTED_VALUE"""),6.261111111111111)</f>
        <v>6.261111111</v>
      </c>
      <c r="J307" s="21">
        <f>IFERROR(__xludf.DUMMYFUNCTION("""COMPUTED_VALUE"""),46.0)</f>
        <v>46</v>
      </c>
      <c r="K307" s="23">
        <f>IFERROR(__xludf.DUMMYFUNCTION("""COMPUTED_VALUE"""),3.5)</f>
        <v>3.5</v>
      </c>
      <c r="L307" s="24"/>
      <c r="M307" s="25" t="str">
        <f>IFERROR(__xludf.DUMMYFUNCTION("""COMPUTED_VALUE"""),"Rhythm")</f>
        <v>Rhythm</v>
      </c>
      <c r="N307" s="25" t="str">
        <f>IFERROR(__xludf.DUMMYFUNCTION("""COMPUTED_VALUE"""),"PS3")</f>
        <v>PS3</v>
      </c>
      <c r="O307" s="26" t="str">
        <f>IFERROR(__xludf.DUMMYFUNCTION("""COMPUTED_VALUE"""),"Yes")</f>
        <v>Yes</v>
      </c>
      <c r="P307" s="26" t="str">
        <f>IFERROR(__xludf.DUMMYFUNCTION("""COMPUTED_VALUE"""),"")</f>
        <v/>
      </c>
    </row>
    <row r="308">
      <c r="A308" s="13" t="str">
        <f>IFERROR(__xludf.DUMMYFUNCTION("""COMPUTED_VALUE"""),"Ricochet HD")</f>
        <v>Ricochet HD</v>
      </c>
      <c r="B308" s="15" t="str">
        <f>IFERROR(__xludf.DUMMYFUNCTION("""COMPUTED_VALUE"""),"PS5/PS4")</f>
        <v>PS5/PS4</v>
      </c>
      <c r="C308" s="16" t="str">
        <f>IFERROR(__xludf.DUMMYFUNCTION("""COMPUTED_VALUE"""),"Premium (Streaming Only)")</f>
        <v>Premium (Streaming Only)</v>
      </c>
      <c r="D308" s="15" t="str">
        <f>IFERROR(__xludf.DUMMYFUNCTION("""COMPUTED_VALUE"""),"Active")</f>
        <v>Active</v>
      </c>
      <c r="E308" s="17">
        <f>IFERROR(__xludf.DUMMYFUNCTION("""COMPUTED_VALUE"""),42374.0)</f>
        <v>42374</v>
      </c>
      <c r="F308" s="54"/>
      <c r="G308" s="19">
        <f>IFERROR(__xludf.DUMMYFUNCTION("""COMPUTED_VALUE"""),129.03333333333333)</f>
        <v>129.0333333</v>
      </c>
      <c r="H308" s="17">
        <f>IFERROR(__xludf.DUMMYFUNCTION("""COMPUTED_VALUE"""),40544.0)</f>
        <v>40544</v>
      </c>
      <c r="I308" s="19">
        <f>IFERROR(__xludf.DUMMYFUNCTION("""COMPUTED_VALUE"""),5.011111111111111)</f>
        <v>5.011111111</v>
      </c>
      <c r="J308" s="21">
        <f>IFERROR(__xludf.DUMMYFUNCTION("""COMPUTED_VALUE"""),45.0)</f>
        <v>45</v>
      </c>
      <c r="K308" s="23">
        <f>IFERROR(__xludf.DUMMYFUNCTION("""COMPUTED_VALUE"""),6.6)</f>
        <v>6.6</v>
      </c>
      <c r="L308" s="24">
        <f>IFERROR(__xludf.DUMMYFUNCTION("""COMPUTED_VALUE"""),3.0)</f>
        <v>3</v>
      </c>
      <c r="M308" s="25" t="str">
        <f>IFERROR(__xludf.DUMMYFUNCTION("""COMPUTED_VALUE"""),"Arcade")</f>
        <v>Arcade</v>
      </c>
      <c r="N308" s="25" t="str">
        <f>IFERROR(__xludf.DUMMYFUNCTION("""COMPUTED_VALUE"""),"PS3")</f>
        <v>PS3</v>
      </c>
      <c r="O308" s="26" t="str">
        <f>IFERROR(__xludf.DUMMYFUNCTION("""COMPUTED_VALUE"""),"Yes")</f>
        <v>Yes</v>
      </c>
      <c r="P308" s="26" t="str">
        <f>IFERROR(__xludf.DUMMYFUNCTION("""COMPUTED_VALUE"""),"")</f>
        <v/>
      </c>
    </row>
    <row r="309">
      <c r="A309" s="13" t="str">
        <f>IFERROR(__xludf.DUMMYFUNCTION("""COMPUTED_VALUE"""),"Warriors: Legends of Troy")</f>
        <v>Warriors: Legends of Troy</v>
      </c>
      <c r="B309" s="15" t="str">
        <f>IFERROR(__xludf.DUMMYFUNCTION("""COMPUTED_VALUE"""),"PS5/PS4")</f>
        <v>PS5/PS4</v>
      </c>
      <c r="C309" s="16" t="str">
        <f>IFERROR(__xludf.DUMMYFUNCTION("""COMPUTED_VALUE"""),"Premium (Streaming Only)")</f>
        <v>Premium (Streaming Only)</v>
      </c>
      <c r="D309" s="15" t="str">
        <f>IFERROR(__xludf.DUMMYFUNCTION("""COMPUTED_VALUE"""),"Active")</f>
        <v>Active</v>
      </c>
      <c r="E309" s="17">
        <f>IFERROR(__xludf.DUMMYFUNCTION("""COMPUTED_VALUE"""),42773.0)</f>
        <v>42773</v>
      </c>
      <c r="F309" s="54"/>
      <c r="G309" s="19">
        <f>IFERROR(__xludf.DUMMYFUNCTION("""COMPUTED_VALUE"""),115.96666666666667)</f>
        <v>115.9666667</v>
      </c>
      <c r="H309" s="17">
        <f>IFERROR(__xludf.DUMMYFUNCTION("""COMPUTED_VALUE"""),40603.0)</f>
        <v>40603</v>
      </c>
      <c r="I309" s="19">
        <f>IFERROR(__xludf.DUMMYFUNCTION("""COMPUTED_VALUE"""),5.933333333333334)</f>
        <v>5.933333333</v>
      </c>
      <c r="J309" s="21">
        <f>IFERROR(__xludf.DUMMYFUNCTION("""COMPUTED_VALUE"""),44.0)</f>
        <v>44</v>
      </c>
      <c r="K309" s="23">
        <f>IFERROR(__xludf.DUMMYFUNCTION("""COMPUTED_VALUE"""),6.5)</f>
        <v>6.5</v>
      </c>
      <c r="L309" s="24">
        <f>IFERROR(__xludf.DUMMYFUNCTION("""COMPUTED_VALUE"""),12.0)</f>
        <v>12</v>
      </c>
      <c r="M309" s="25" t="str">
        <f>IFERROR(__xludf.DUMMYFUNCTION("""COMPUTED_VALUE"""),"Action-Adventure")</f>
        <v>Action-Adventure</v>
      </c>
      <c r="N309" s="25" t="str">
        <f>IFERROR(__xludf.DUMMYFUNCTION("""COMPUTED_VALUE"""),"PS3")</f>
        <v>PS3</v>
      </c>
      <c r="O309" s="26" t="str">
        <f>IFERROR(__xludf.DUMMYFUNCTION("""COMPUTED_VALUE"""),"Yes")</f>
        <v>Yes</v>
      </c>
      <c r="P309" s="26" t="str">
        <f>IFERROR(__xludf.DUMMYFUNCTION("""COMPUTED_VALUE"""),"")</f>
        <v/>
      </c>
    </row>
    <row r="310">
      <c r="A310" s="13" t="str">
        <f>IFERROR(__xludf.DUMMYFUNCTION("""COMPUTED_VALUE"""),"Bellator MMA Onslaught")</f>
        <v>Bellator MMA Onslaught</v>
      </c>
      <c r="B310" s="15" t="str">
        <f>IFERROR(__xludf.DUMMYFUNCTION("""COMPUTED_VALUE"""),"PS5/PS4")</f>
        <v>PS5/PS4</v>
      </c>
      <c r="C310" s="16" t="str">
        <f>IFERROR(__xludf.DUMMYFUNCTION("""COMPUTED_VALUE"""),"Premium (Streaming Only)")</f>
        <v>Premium (Streaming Only)</v>
      </c>
      <c r="D310" s="15" t="str">
        <f>IFERROR(__xludf.DUMMYFUNCTION("""COMPUTED_VALUE"""),"Active")</f>
        <v>Active</v>
      </c>
      <c r="E310" s="17">
        <f>IFERROR(__xludf.DUMMYFUNCTION("""COMPUTED_VALUE"""),42556.0)</f>
        <v>42556</v>
      </c>
      <c r="F310" s="54"/>
      <c r="G310" s="19">
        <f>IFERROR(__xludf.DUMMYFUNCTION("""COMPUTED_VALUE"""),123.03333333333333)</f>
        <v>123.0333333</v>
      </c>
      <c r="H310" s="17">
        <f>IFERROR(__xludf.DUMMYFUNCTION("""COMPUTED_VALUE"""),41079.0)</f>
        <v>41079</v>
      </c>
      <c r="I310" s="19">
        <f>IFERROR(__xludf.DUMMYFUNCTION("""COMPUTED_VALUE"""),4.044444444444444)</f>
        <v>4.044444444</v>
      </c>
      <c r="J310" s="21">
        <f>IFERROR(__xludf.DUMMYFUNCTION("""COMPUTED_VALUE"""),44.0)</f>
        <v>44</v>
      </c>
      <c r="K310" s="23">
        <f>IFERROR(__xludf.DUMMYFUNCTION("""COMPUTED_VALUE"""),5.4)</f>
        <v>5.4</v>
      </c>
      <c r="L310" s="24"/>
      <c r="M310" s="25" t="str">
        <f>IFERROR(__xludf.DUMMYFUNCTION("""COMPUTED_VALUE"""),"Fighting")</f>
        <v>Fighting</v>
      </c>
      <c r="N310" s="25" t="str">
        <f>IFERROR(__xludf.DUMMYFUNCTION("""COMPUTED_VALUE"""),"PS3")</f>
        <v>PS3</v>
      </c>
      <c r="O310" s="26" t="str">
        <f>IFERROR(__xludf.DUMMYFUNCTION("""COMPUTED_VALUE"""),"Yes")</f>
        <v>Yes</v>
      </c>
      <c r="P310" s="26" t="str">
        <f>IFERROR(__xludf.DUMMYFUNCTION("""COMPUTED_VALUE"""),"")</f>
        <v/>
      </c>
    </row>
    <row r="311">
      <c r="A311" s="13" t="str">
        <f>IFERROR(__xludf.DUMMYFUNCTION("""COMPUTED_VALUE"""),"Ethan: Meteor Hunter")</f>
        <v>Ethan: Meteor Hunter</v>
      </c>
      <c r="B311" s="15" t="str">
        <f>IFERROR(__xludf.DUMMYFUNCTION("""COMPUTED_VALUE"""),"PS5/PS4")</f>
        <v>PS5/PS4</v>
      </c>
      <c r="C311" s="16" t="str">
        <f>IFERROR(__xludf.DUMMYFUNCTION("""COMPUTED_VALUE"""),"Premium (Streaming Only)")</f>
        <v>Premium (Streaming Only)</v>
      </c>
      <c r="D311" s="15" t="str">
        <f>IFERROR(__xludf.DUMMYFUNCTION("""COMPUTED_VALUE"""),"Active")</f>
        <v>Active</v>
      </c>
      <c r="E311" s="17">
        <f>IFERROR(__xludf.DUMMYFUNCTION("""COMPUTED_VALUE"""),42311.0)</f>
        <v>42311</v>
      </c>
      <c r="F311" s="54"/>
      <c r="G311" s="19">
        <f>IFERROR(__xludf.DUMMYFUNCTION("""COMPUTED_VALUE"""),131.10000000000002)</f>
        <v>131.1</v>
      </c>
      <c r="H311" s="17">
        <f>IFERROR(__xludf.DUMMYFUNCTION("""COMPUTED_VALUE"""),41548.0)</f>
        <v>41548</v>
      </c>
      <c r="I311" s="19">
        <f>IFERROR(__xludf.DUMMYFUNCTION("""COMPUTED_VALUE"""),2.088888888888889)</f>
        <v>2.088888889</v>
      </c>
      <c r="J311" s="21">
        <f>IFERROR(__xludf.DUMMYFUNCTION("""COMPUTED_VALUE"""),44.0)</f>
        <v>44</v>
      </c>
      <c r="K311" s="23">
        <f>IFERROR(__xludf.DUMMYFUNCTION("""COMPUTED_VALUE"""),6.6)</f>
        <v>6.6</v>
      </c>
      <c r="L311" s="24">
        <f>IFERROR(__xludf.DUMMYFUNCTION("""COMPUTED_VALUE"""),5.0)</f>
        <v>5</v>
      </c>
      <c r="M311" s="25" t="str">
        <f>IFERROR(__xludf.DUMMYFUNCTION("""COMPUTED_VALUE"""),"Platformer")</f>
        <v>Platformer</v>
      </c>
      <c r="N311" s="25" t="str">
        <f>IFERROR(__xludf.DUMMYFUNCTION("""COMPUTED_VALUE"""),"PS3")</f>
        <v>PS3</v>
      </c>
      <c r="O311" s="26" t="str">
        <f>IFERROR(__xludf.DUMMYFUNCTION("""COMPUTED_VALUE"""),"Yes")</f>
        <v>Yes</v>
      </c>
      <c r="P311" s="26" t="str">
        <f>IFERROR(__xludf.DUMMYFUNCTION("""COMPUTED_VALUE"""),"")</f>
        <v/>
      </c>
    </row>
    <row r="312">
      <c r="A312" s="13" t="str">
        <f>IFERROR(__xludf.DUMMYFUNCTION("""COMPUTED_VALUE"""),"Frogger Returns")</f>
        <v>Frogger Returns</v>
      </c>
      <c r="B312" s="15" t="str">
        <f>IFERROR(__xludf.DUMMYFUNCTION("""COMPUTED_VALUE"""),"PS5/PS4")</f>
        <v>PS5/PS4</v>
      </c>
      <c r="C312" s="16" t="str">
        <f>IFERROR(__xludf.DUMMYFUNCTION("""COMPUTED_VALUE"""),"Premium (Streaming Only)")</f>
        <v>Premium (Streaming Only)</v>
      </c>
      <c r="D312" s="15" t="str">
        <f>IFERROR(__xludf.DUMMYFUNCTION("""COMPUTED_VALUE"""),"Active")</f>
        <v>Active</v>
      </c>
      <c r="E312" s="17">
        <f>IFERROR(__xludf.DUMMYFUNCTION("""COMPUTED_VALUE"""),42311.0)</f>
        <v>42311</v>
      </c>
      <c r="F312" s="54"/>
      <c r="G312" s="19">
        <f>IFERROR(__xludf.DUMMYFUNCTION("""COMPUTED_VALUE"""),131.10000000000002)</f>
        <v>131.1</v>
      </c>
      <c r="H312" s="17">
        <f>IFERROR(__xludf.DUMMYFUNCTION("""COMPUTED_VALUE"""),40148.0)</f>
        <v>40148</v>
      </c>
      <c r="I312" s="19">
        <f>IFERROR(__xludf.DUMMYFUNCTION("""COMPUTED_VALUE"""),5.9222222222222225)</f>
        <v>5.922222222</v>
      </c>
      <c r="J312" s="21">
        <f>IFERROR(__xludf.DUMMYFUNCTION("""COMPUTED_VALUE"""),44.0)</f>
        <v>44</v>
      </c>
      <c r="K312" s="23">
        <f>IFERROR(__xludf.DUMMYFUNCTION("""COMPUTED_VALUE"""),4.4)</f>
        <v>4.4</v>
      </c>
      <c r="L312" s="24">
        <f>IFERROR(__xludf.DUMMYFUNCTION("""COMPUTED_VALUE"""),2.0)</f>
        <v>2</v>
      </c>
      <c r="M312" s="75" t="str">
        <f>IFERROR(__xludf.DUMMYFUNCTION("""COMPUTED_VALUE"""),"Arcade")</f>
        <v>Arcade</v>
      </c>
      <c r="N312" s="25" t="str">
        <f>IFERROR(__xludf.DUMMYFUNCTION("""COMPUTED_VALUE"""),"PS3")</f>
        <v>PS3</v>
      </c>
      <c r="O312" s="26" t="str">
        <f>IFERROR(__xludf.DUMMYFUNCTION("""COMPUTED_VALUE"""),"Yes")</f>
        <v>Yes</v>
      </c>
      <c r="P312" s="26" t="str">
        <f>IFERROR(__xludf.DUMMYFUNCTION("""COMPUTED_VALUE"""),"")</f>
        <v/>
      </c>
    </row>
    <row r="313">
      <c r="A313" s="13" t="str">
        <f>IFERROR(__xludf.DUMMYFUNCTION("""COMPUTED_VALUE"""),"Last Rebellion")</f>
        <v>Last Rebellion</v>
      </c>
      <c r="B313" s="15" t="str">
        <f>IFERROR(__xludf.DUMMYFUNCTION("""COMPUTED_VALUE"""),"PS5/PS4")</f>
        <v>PS5/PS4</v>
      </c>
      <c r="C313" s="16" t="str">
        <f>IFERROR(__xludf.DUMMYFUNCTION("""COMPUTED_VALUE"""),"Premium (Streaming Only)")</f>
        <v>Premium (Streaming Only)</v>
      </c>
      <c r="D313" s="15" t="str">
        <f>IFERROR(__xludf.DUMMYFUNCTION("""COMPUTED_VALUE"""),"Active")</f>
        <v>Active</v>
      </c>
      <c r="E313" s="17">
        <f>IFERROR(__xludf.DUMMYFUNCTION("""COMPUTED_VALUE"""),42017.0)</f>
        <v>42017</v>
      </c>
      <c r="F313" s="54"/>
      <c r="G313" s="19">
        <f>IFERROR(__xludf.DUMMYFUNCTION("""COMPUTED_VALUE"""),140.76666666666668)</f>
        <v>140.7666667</v>
      </c>
      <c r="H313" s="17">
        <f>IFERROR(__xludf.DUMMYFUNCTION("""COMPUTED_VALUE"""),40179.0)</f>
        <v>40179</v>
      </c>
      <c r="I313" s="19">
        <f>IFERROR(__xludf.DUMMYFUNCTION("""COMPUTED_VALUE"""),5.033333333333333)</f>
        <v>5.033333333</v>
      </c>
      <c r="J313" s="21">
        <f>IFERROR(__xludf.DUMMYFUNCTION("""COMPUTED_VALUE"""),44.0)</f>
        <v>44</v>
      </c>
      <c r="K313" s="23">
        <f>IFERROR(__xludf.DUMMYFUNCTION("""COMPUTED_VALUE"""),5.7)</f>
        <v>5.7</v>
      </c>
      <c r="L313" s="24">
        <f>IFERROR(__xludf.DUMMYFUNCTION("""COMPUTED_VALUE"""),17.0)</f>
        <v>17</v>
      </c>
      <c r="M313" s="25" t="str">
        <f>IFERROR(__xludf.DUMMYFUNCTION("""COMPUTED_VALUE"""),"RPG")</f>
        <v>RPG</v>
      </c>
      <c r="N313" s="25" t="str">
        <f>IFERROR(__xludf.DUMMYFUNCTION("""COMPUTED_VALUE"""),"PS3")</f>
        <v>PS3</v>
      </c>
      <c r="O313" s="26" t="str">
        <f>IFERROR(__xludf.DUMMYFUNCTION("""COMPUTED_VALUE"""),"Yes")</f>
        <v>Yes</v>
      </c>
      <c r="P313" s="26" t="str">
        <f>IFERROR(__xludf.DUMMYFUNCTION("""COMPUTED_VALUE"""),"")</f>
        <v/>
      </c>
    </row>
    <row r="314">
      <c r="A314" s="13" t="str">
        <f>IFERROR(__xludf.DUMMYFUNCTION("""COMPUTED_VALUE"""),"QUANTUM THEORY")</f>
        <v>QUANTUM THEORY</v>
      </c>
      <c r="B314" s="15" t="str">
        <f>IFERROR(__xludf.DUMMYFUNCTION("""COMPUTED_VALUE"""),"PS5/PS4")</f>
        <v>PS5/PS4</v>
      </c>
      <c r="C314" s="16" t="str">
        <f>IFERROR(__xludf.DUMMYFUNCTION("""COMPUTED_VALUE"""),"Premium (Streaming Only)")</f>
        <v>Premium (Streaming Only)</v>
      </c>
      <c r="D314" s="15" t="str">
        <f>IFERROR(__xludf.DUMMYFUNCTION("""COMPUTED_VALUE"""),"Active")</f>
        <v>Active</v>
      </c>
      <c r="E314" s="17">
        <f>IFERROR(__xludf.DUMMYFUNCTION("""COMPUTED_VALUE"""),42773.0)</f>
        <v>42773</v>
      </c>
      <c r="F314" s="54"/>
      <c r="G314" s="19">
        <f>IFERROR(__xludf.DUMMYFUNCTION("""COMPUTED_VALUE"""),115.96666666666667)</f>
        <v>115.9666667</v>
      </c>
      <c r="H314" s="17">
        <f>IFERROR(__xludf.DUMMYFUNCTION("""COMPUTED_VALUE"""),40422.0)</f>
        <v>40422</v>
      </c>
      <c r="I314" s="19">
        <f>IFERROR(__xludf.DUMMYFUNCTION("""COMPUTED_VALUE"""),6.433333333333334)</f>
        <v>6.433333333</v>
      </c>
      <c r="J314" s="21">
        <f>IFERROR(__xludf.DUMMYFUNCTION("""COMPUTED_VALUE"""),43.0)</f>
        <v>43</v>
      </c>
      <c r="K314" s="23">
        <f>IFERROR(__xludf.DUMMYFUNCTION("""COMPUTED_VALUE"""),5.5)</f>
        <v>5.5</v>
      </c>
      <c r="L314" s="24">
        <f>IFERROR(__xludf.DUMMYFUNCTION("""COMPUTED_VALUE"""),7.0)</f>
        <v>7</v>
      </c>
      <c r="M314" s="25" t="str">
        <f>IFERROR(__xludf.DUMMYFUNCTION("""COMPUTED_VALUE"""),"Shooter")</f>
        <v>Shooter</v>
      </c>
      <c r="N314" s="25" t="str">
        <f>IFERROR(__xludf.DUMMYFUNCTION("""COMPUTED_VALUE"""),"PS3")</f>
        <v>PS3</v>
      </c>
      <c r="O314" s="26" t="str">
        <f>IFERROR(__xludf.DUMMYFUNCTION("""COMPUTED_VALUE"""),"Yes")</f>
        <v>Yes</v>
      </c>
      <c r="P314" s="26" t="str">
        <f>IFERROR(__xludf.DUMMYFUNCTION("""COMPUTED_VALUE"""),"")</f>
        <v/>
      </c>
    </row>
    <row r="315">
      <c r="A315" s="13" t="str">
        <f>IFERROR(__xludf.DUMMYFUNCTION("""COMPUTED_VALUE"""),"YAIBA: NINJA GAIDEN Z")</f>
        <v>YAIBA: NINJA GAIDEN Z</v>
      </c>
      <c r="B315" s="15" t="str">
        <f>IFERROR(__xludf.DUMMYFUNCTION("""COMPUTED_VALUE"""),"PS5/PS4")</f>
        <v>PS5/PS4</v>
      </c>
      <c r="C315" s="16" t="str">
        <f>IFERROR(__xludf.DUMMYFUNCTION("""COMPUTED_VALUE"""),"Premium (Streaming Only)")</f>
        <v>Premium (Streaming Only)</v>
      </c>
      <c r="D315" s="15" t="str">
        <f>IFERROR(__xludf.DUMMYFUNCTION("""COMPUTED_VALUE"""),"Active")</f>
        <v>Active</v>
      </c>
      <c r="E315" s="17">
        <f>IFERROR(__xludf.DUMMYFUNCTION("""COMPUTED_VALUE"""),42773.0)</f>
        <v>42773</v>
      </c>
      <c r="F315" s="54"/>
      <c r="G315" s="19">
        <f>IFERROR(__xludf.DUMMYFUNCTION("""COMPUTED_VALUE"""),115.96666666666667)</f>
        <v>115.9666667</v>
      </c>
      <c r="H315" s="17">
        <f>IFERROR(__xludf.DUMMYFUNCTION("""COMPUTED_VALUE"""),41699.0)</f>
        <v>41699</v>
      </c>
      <c r="I315" s="19">
        <f>IFERROR(__xludf.DUMMYFUNCTION("""COMPUTED_VALUE"""),2.933333333333333)</f>
        <v>2.933333333</v>
      </c>
      <c r="J315" s="21">
        <f>IFERROR(__xludf.DUMMYFUNCTION("""COMPUTED_VALUE"""),43.0)</f>
        <v>43</v>
      </c>
      <c r="K315" s="23">
        <f>IFERROR(__xludf.DUMMYFUNCTION("""COMPUTED_VALUE"""),6.1)</f>
        <v>6.1</v>
      </c>
      <c r="L315" s="24">
        <f>IFERROR(__xludf.DUMMYFUNCTION("""COMPUTED_VALUE"""),8.0)</f>
        <v>8</v>
      </c>
      <c r="M315" s="25" t="str">
        <f>IFERROR(__xludf.DUMMYFUNCTION("""COMPUTED_VALUE"""),"Action-Adventure")</f>
        <v>Action-Adventure</v>
      </c>
      <c r="N315" s="25" t="str">
        <f>IFERROR(__xludf.DUMMYFUNCTION("""COMPUTED_VALUE"""),"PS3")</f>
        <v>PS3</v>
      </c>
      <c r="O315" s="26" t="str">
        <f>IFERROR(__xludf.DUMMYFUNCTION("""COMPUTED_VALUE"""),"Yes")</f>
        <v>Yes</v>
      </c>
      <c r="P315" s="26" t="str">
        <f>IFERROR(__xludf.DUMMYFUNCTION("""COMPUTED_VALUE"""),"")</f>
        <v/>
      </c>
    </row>
    <row r="316">
      <c r="A316" s="13" t="str">
        <f>IFERROR(__xludf.DUMMYFUNCTION("""COMPUTED_VALUE"""),"Enemy Front")</f>
        <v>Enemy Front</v>
      </c>
      <c r="B316" s="15" t="str">
        <f>IFERROR(__xludf.DUMMYFUNCTION("""COMPUTED_VALUE"""),"PS5/PS4")</f>
        <v>PS5/PS4</v>
      </c>
      <c r="C316" s="16" t="str">
        <f>IFERROR(__xludf.DUMMYFUNCTION("""COMPUTED_VALUE"""),"Premium (Streaming Only)")</f>
        <v>Premium (Streaming Only)</v>
      </c>
      <c r="D316" s="15" t="str">
        <f>IFERROR(__xludf.DUMMYFUNCTION("""COMPUTED_VALUE"""),"Active")</f>
        <v>Active</v>
      </c>
      <c r="E316" s="17">
        <f>IFERROR(__xludf.DUMMYFUNCTION("""COMPUTED_VALUE"""),42682.0)</f>
        <v>42682</v>
      </c>
      <c r="F316" s="54"/>
      <c r="G316" s="19">
        <f>IFERROR(__xludf.DUMMYFUNCTION("""COMPUTED_VALUE"""),118.93333333333334)</f>
        <v>118.9333333</v>
      </c>
      <c r="H316" s="17">
        <f>IFERROR(__xludf.DUMMYFUNCTION("""COMPUTED_VALUE"""),41791.0)</f>
        <v>41791</v>
      </c>
      <c r="I316" s="19">
        <f>IFERROR(__xludf.DUMMYFUNCTION("""COMPUTED_VALUE"""),2.436111111111111)</f>
        <v>2.436111111</v>
      </c>
      <c r="J316" s="21">
        <f>IFERROR(__xludf.DUMMYFUNCTION("""COMPUTED_VALUE"""),43.0)</f>
        <v>43</v>
      </c>
      <c r="K316" s="23">
        <f>IFERROR(__xludf.DUMMYFUNCTION("""COMPUTED_VALUE"""),5.7)</f>
        <v>5.7</v>
      </c>
      <c r="L316" s="24">
        <f>IFERROR(__xludf.DUMMYFUNCTION("""COMPUTED_VALUE"""),7.0)</f>
        <v>7</v>
      </c>
      <c r="M316" s="25" t="str">
        <f>IFERROR(__xludf.DUMMYFUNCTION("""COMPUTED_VALUE"""),"Shooter")</f>
        <v>Shooter</v>
      </c>
      <c r="N316" s="25" t="str">
        <f>IFERROR(__xludf.DUMMYFUNCTION("""COMPUTED_VALUE"""),"PS3")</f>
        <v>PS3</v>
      </c>
      <c r="O316" s="26" t="str">
        <f>IFERROR(__xludf.DUMMYFUNCTION("""COMPUTED_VALUE"""),"Yes")</f>
        <v>Yes</v>
      </c>
      <c r="P316" s="26" t="str">
        <f>IFERROR(__xludf.DUMMYFUNCTION("""COMPUTED_VALUE"""),"")</f>
        <v/>
      </c>
    </row>
    <row r="317">
      <c r="A317" s="13" t="str">
        <f>IFERROR(__xludf.DUMMYFUNCTION("""COMPUTED_VALUE"""),"XBLAZE Code: Embryo")</f>
        <v>XBLAZE Code: Embryo</v>
      </c>
      <c r="B317" s="15" t="str">
        <f>IFERROR(__xludf.DUMMYFUNCTION("""COMPUTED_VALUE"""),"PS5/PS4")</f>
        <v>PS5/PS4</v>
      </c>
      <c r="C317" s="16" t="str">
        <f>IFERROR(__xludf.DUMMYFUNCTION("""COMPUTED_VALUE"""),"Premium (Streaming Only)")</f>
        <v>Premium (Streaming Only)</v>
      </c>
      <c r="D317" s="15" t="str">
        <f>IFERROR(__xludf.DUMMYFUNCTION("""COMPUTED_VALUE"""),"Active")</f>
        <v>Active</v>
      </c>
      <c r="E317" s="17">
        <f>IFERROR(__xludf.DUMMYFUNCTION("""COMPUTED_VALUE"""),42374.0)</f>
        <v>42374</v>
      </c>
      <c r="F317" s="54"/>
      <c r="G317" s="19">
        <f>IFERROR(__xludf.DUMMYFUNCTION("""COMPUTED_VALUE"""),129.03333333333333)</f>
        <v>129.0333333</v>
      </c>
      <c r="H317" s="17">
        <f>IFERROR(__xludf.DUMMYFUNCTION("""COMPUTED_VALUE"""),41791.0)</f>
        <v>41791</v>
      </c>
      <c r="I317" s="19">
        <f>IFERROR(__xludf.DUMMYFUNCTION("""COMPUTED_VALUE"""),1.5944444444444446)</f>
        <v>1.594444444</v>
      </c>
      <c r="J317" s="21">
        <f>IFERROR(__xludf.DUMMYFUNCTION("""COMPUTED_VALUE"""),43.0)</f>
        <v>43</v>
      </c>
      <c r="K317" s="23">
        <f>IFERROR(__xludf.DUMMYFUNCTION("""COMPUTED_VALUE"""),6.7)</f>
        <v>6.7</v>
      </c>
      <c r="L317" s="24">
        <f>IFERROR(__xludf.DUMMYFUNCTION("""COMPUTED_VALUE"""),15.0)</f>
        <v>15</v>
      </c>
      <c r="M317" s="25" t="str">
        <f>IFERROR(__xludf.DUMMYFUNCTION("""COMPUTED_VALUE"""),"Visual Novel")</f>
        <v>Visual Novel</v>
      </c>
      <c r="N317" s="25" t="str">
        <f>IFERROR(__xludf.DUMMYFUNCTION("""COMPUTED_VALUE"""),"PS3")</f>
        <v>PS3</v>
      </c>
      <c r="O317" s="26" t="str">
        <f>IFERROR(__xludf.DUMMYFUNCTION("""COMPUTED_VALUE"""),"Yes")</f>
        <v>Yes</v>
      </c>
      <c r="P317" s="26" t="str">
        <f>IFERROR(__xludf.DUMMYFUNCTION("""COMPUTED_VALUE"""),"")</f>
        <v/>
      </c>
    </row>
    <row r="318">
      <c r="A318" s="13" t="str">
        <f>IFERROR(__xludf.DUMMYFUNCTION("""COMPUTED_VALUE"""),"Blood Knights")</f>
        <v>Blood Knights</v>
      </c>
      <c r="B318" s="15" t="str">
        <f>IFERROR(__xludf.DUMMYFUNCTION("""COMPUTED_VALUE"""),"PS5/PS4")</f>
        <v>PS5/PS4</v>
      </c>
      <c r="C318" s="16" t="str">
        <f>IFERROR(__xludf.DUMMYFUNCTION("""COMPUTED_VALUE"""),"Premium (Streaming Only)")</f>
        <v>Premium (Streaming Only)</v>
      </c>
      <c r="D318" s="15" t="str">
        <f>IFERROR(__xludf.DUMMYFUNCTION("""COMPUTED_VALUE"""),"Active")</f>
        <v>Active</v>
      </c>
      <c r="E318" s="17">
        <f>IFERROR(__xludf.DUMMYFUNCTION("""COMPUTED_VALUE"""),42017.0)</f>
        <v>42017</v>
      </c>
      <c r="F318" s="54"/>
      <c r="G318" s="19">
        <f>IFERROR(__xludf.DUMMYFUNCTION("""COMPUTED_VALUE"""),140.76666666666668)</f>
        <v>140.7666667</v>
      </c>
      <c r="H318" s="17">
        <f>IFERROR(__xludf.DUMMYFUNCTION("""COMPUTED_VALUE"""),41579.0)</f>
        <v>41579</v>
      </c>
      <c r="I318" s="19">
        <f>IFERROR(__xludf.DUMMYFUNCTION("""COMPUTED_VALUE"""),1.2)</f>
        <v>1.2</v>
      </c>
      <c r="J318" s="21">
        <f>IFERROR(__xludf.DUMMYFUNCTION("""COMPUTED_VALUE"""),43.0)</f>
        <v>43</v>
      </c>
      <c r="K318" s="23">
        <f>IFERROR(__xludf.DUMMYFUNCTION("""COMPUTED_VALUE"""),5.6)</f>
        <v>5.6</v>
      </c>
      <c r="L318" s="24">
        <f>IFERROR(__xludf.DUMMYFUNCTION("""COMPUTED_VALUE"""),5.0)</f>
        <v>5</v>
      </c>
      <c r="M318" s="25" t="str">
        <f>IFERROR(__xludf.DUMMYFUNCTION("""COMPUTED_VALUE"""),"Action-Adventure")</f>
        <v>Action-Adventure</v>
      </c>
      <c r="N318" s="25" t="str">
        <f>IFERROR(__xludf.DUMMYFUNCTION("""COMPUTED_VALUE"""),"PS3")</f>
        <v>PS3</v>
      </c>
      <c r="O318" s="26" t="str">
        <f>IFERROR(__xludf.DUMMYFUNCTION("""COMPUTED_VALUE"""),"Yes")</f>
        <v>Yes</v>
      </c>
      <c r="P318" s="26" t="str">
        <f>IFERROR(__xludf.DUMMYFUNCTION("""COMPUTED_VALUE"""),"Yes")</f>
        <v>Yes</v>
      </c>
    </row>
    <row r="319">
      <c r="A319" s="13" t="str">
        <f>IFERROR(__xludf.DUMMYFUNCTION("""COMPUTED_VALUE"""),"Ghostbusters: Sanctum of Slime")</f>
        <v>Ghostbusters: Sanctum of Slime</v>
      </c>
      <c r="B319" s="15" t="str">
        <f>IFERROR(__xludf.DUMMYFUNCTION("""COMPUTED_VALUE"""),"PS5/PS4")</f>
        <v>PS5/PS4</v>
      </c>
      <c r="C319" s="16" t="str">
        <f>IFERROR(__xludf.DUMMYFUNCTION("""COMPUTED_VALUE"""),"Premium (Streaming Only)")</f>
        <v>Premium (Streaming Only)</v>
      </c>
      <c r="D319" s="15" t="str">
        <f>IFERROR(__xludf.DUMMYFUNCTION("""COMPUTED_VALUE"""),"Active")</f>
        <v>Active</v>
      </c>
      <c r="E319" s="17">
        <f>IFERROR(__xludf.DUMMYFUNCTION("""COMPUTED_VALUE"""),42017.0)</f>
        <v>42017</v>
      </c>
      <c r="F319" s="54"/>
      <c r="G319" s="19">
        <f>IFERROR(__xludf.DUMMYFUNCTION("""COMPUTED_VALUE"""),140.76666666666668)</f>
        <v>140.7666667</v>
      </c>
      <c r="H319" s="17">
        <f>IFERROR(__xludf.DUMMYFUNCTION("""COMPUTED_VALUE"""),40603.0)</f>
        <v>40603</v>
      </c>
      <c r="I319" s="19">
        <f>IFERROR(__xludf.DUMMYFUNCTION("""COMPUTED_VALUE"""),3.8666666666666667)</f>
        <v>3.866666667</v>
      </c>
      <c r="J319" s="21">
        <f>IFERROR(__xludf.DUMMYFUNCTION("""COMPUTED_VALUE"""),42.0)</f>
        <v>42</v>
      </c>
      <c r="K319" s="23">
        <f>IFERROR(__xludf.DUMMYFUNCTION("""COMPUTED_VALUE"""),3.6)</f>
        <v>3.6</v>
      </c>
      <c r="L319" s="24">
        <f>IFERROR(__xludf.DUMMYFUNCTION("""COMPUTED_VALUE"""),4.0)</f>
        <v>4</v>
      </c>
      <c r="M319" s="25" t="str">
        <f>IFERROR(__xludf.DUMMYFUNCTION("""COMPUTED_VALUE"""),"Action-Adventure")</f>
        <v>Action-Adventure</v>
      </c>
      <c r="N319" s="25" t="str">
        <f>IFERROR(__xludf.DUMMYFUNCTION("""COMPUTED_VALUE"""),"PS3")</f>
        <v>PS3</v>
      </c>
      <c r="O319" s="26" t="str">
        <f>IFERROR(__xludf.DUMMYFUNCTION("""COMPUTED_VALUE"""),"Yes")</f>
        <v>Yes</v>
      </c>
      <c r="P319" s="26" t="str">
        <f>IFERROR(__xludf.DUMMYFUNCTION("""COMPUTED_VALUE"""),"")</f>
        <v/>
      </c>
    </row>
    <row r="320">
      <c r="A320" s="13" t="str">
        <f>IFERROR(__xludf.DUMMYFUNCTION("""COMPUTED_VALUE"""),"Escape Dead Island")</f>
        <v>Escape Dead Island</v>
      </c>
      <c r="B320" s="15" t="str">
        <f>IFERROR(__xludf.DUMMYFUNCTION("""COMPUTED_VALUE"""),"PS5/PS4")</f>
        <v>PS5/PS4</v>
      </c>
      <c r="C320" s="16" t="str">
        <f>IFERROR(__xludf.DUMMYFUNCTION("""COMPUTED_VALUE"""),"Premium (Streaming Only)")</f>
        <v>Premium (Streaming Only)</v>
      </c>
      <c r="D320" s="15" t="str">
        <f>IFERROR(__xludf.DUMMYFUNCTION("""COMPUTED_VALUE"""),"Active")</f>
        <v>Active</v>
      </c>
      <c r="E320" s="17">
        <f>IFERROR(__xludf.DUMMYFUNCTION("""COMPUTED_VALUE"""),42402.0)</f>
        <v>42402</v>
      </c>
      <c r="F320" s="54"/>
      <c r="G320" s="19">
        <f>IFERROR(__xludf.DUMMYFUNCTION("""COMPUTED_VALUE"""),128.13333333333333)</f>
        <v>128.1333333</v>
      </c>
      <c r="H320" s="17">
        <f>IFERROR(__xludf.DUMMYFUNCTION("""COMPUTED_VALUE"""),41944.0)</f>
        <v>41944</v>
      </c>
      <c r="I320" s="19">
        <f>IFERROR(__xludf.DUMMYFUNCTION("""COMPUTED_VALUE"""),1.2527777777777778)</f>
        <v>1.252777778</v>
      </c>
      <c r="J320" s="21">
        <f>IFERROR(__xludf.DUMMYFUNCTION("""COMPUTED_VALUE"""),40.0)</f>
        <v>40</v>
      </c>
      <c r="K320" s="23">
        <f>IFERROR(__xludf.DUMMYFUNCTION("""COMPUTED_VALUE"""),4.9)</f>
        <v>4.9</v>
      </c>
      <c r="L320" s="24">
        <f>IFERROR(__xludf.DUMMYFUNCTION("""COMPUTED_VALUE"""),8.0)</f>
        <v>8</v>
      </c>
      <c r="M320" s="25" t="str">
        <f>IFERROR(__xludf.DUMMYFUNCTION("""COMPUTED_VALUE"""),"Action-Adventure")</f>
        <v>Action-Adventure</v>
      </c>
      <c r="N320" s="25" t="str">
        <f>IFERROR(__xludf.DUMMYFUNCTION("""COMPUTED_VALUE"""),"PS3")</f>
        <v>PS3</v>
      </c>
      <c r="O320" s="26" t="str">
        <f>IFERROR(__xludf.DUMMYFUNCTION("""COMPUTED_VALUE"""),"Yes")</f>
        <v>Yes</v>
      </c>
      <c r="P320" s="26" t="str">
        <f>IFERROR(__xludf.DUMMYFUNCTION("""COMPUTED_VALUE"""),"")</f>
        <v/>
      </c>
    </row>
    <row r="321">
      <c r="A321" s="13" t="str">
        <f>IFERROR(__xludf.DUMMYFUNCTION("""COMPUTED_VALUE"""),"Class of Heroes 2G")</f>
        <v>Class of Heroes 2G</v>
      </c>
      <c r="B321" s="15" t="str">
        <f>IFERROR(__xludf.DUMMYFUNCTION("""COMPUTED_VALUE"""),"PS5/PS4")</f>
        <v>PS5/PS4</v>
      </c>
      <c r="C321" s="16" t="str">
        <f>IFERROR(__xludf.DUMMYFUNCTION("""COMPUTED_VALUE"""),"Premium (Streaming Only)")</f>
        <v>Premium (Streaming Only)</v>
      </c>
      <c r="D321" s="15" t="str">
        <f>IFERROR(__xludf.DUMMYFUNCTION("""COMPUTED_VALUE"""),"Active")</f>
        <v>Active</v>
      </c>
      <c r="E321" s="17">
        <f>IFERROR(__xludf.DUMMYFUNCTION("""COMPUTED_VALUE"""),42374.0)</f>
        <v>42374</v>
      </c>
      <c r="F321" s="54"/>
      <c r="G321" s="19">
        <f>IFERROR(__xludf.DUMMYFUNCTION("""COMPUTED_VALUE"""),129.03333333333333)</f>
        <v>129.0333333</v>
      </c>
      <c r="H321" s="17">
        <f>IFERROR(__xludf.DUMMYFUNCTION("""COMPUTED_VALUE"""),41974.0)</f>
        <v>41974</v>
      </c>
      <c r="I321" s="19">
        <f>IFERROR(__xludf.DUMMYFUNCTION("""COMPUTED_VALUE"""),1.0944444444444446)</f>
        <v>1.094444444</v>
      </c>
      <c r="J321" s="21">
        <f>IFERROR(__xludf.DUMMYFUNCTION("""COMPUTED_VALUE"""),40.0)</f>
        <v>40</v>
      </c>
      <c r="K321" s="23">
        <f>IFERROR(__xludf.DUMMYFUNCTION("""COMPUTED_VALUE"""),7.2)</f>
        <v>7.2</v>
      </c>
      <c r="L321" s="24">
        <f>IFERROR(__xludf.DUMMYFUNCTION("""COMPUTED_VALUE"""),45.0)</f>
        <v>45</v>
      </c>
      <c r="M321" s="25" t="str">
        <f>IFERROR(__xludf.DUMMYFUNCTION("""COMPUTED_VALUE"""),"RPG")</f>
        <v>RPG</v>
      </c>
      <c r="N321" s="25" t="str">
        <f>IFERROR(__xludf.DUMMYFUNCTION("""COMPUTED_VALUE"""),"PS3")</f>
        <v>PS3</v>
      </c>
      <c r="O321" s="26" t="str">
        <f>IFERROR(__xludf.DUMMYFUNCTION("""COMPUTED_VALUE"""),"Yes")</f>
        <v>Yes</v>
      </c>
      <c r="P321" s="26" t="str">
        <f>IFERROR(__xludf.DUMMYFUNCTION("""COMPUTED_VALUE"""),"Yes")</f>
        <v>Yes</v>
      </c>
    </row>
    <row r="322">
      <c r="A322" s="13" t="str">
        <f>IFERROR(__xludf.DUMMYFUNCTION("""COMPUTED_VALUE"""),"Heavy Fire: Afghanistan")</f>
        <v>Heavy Fire: Afghanistan</v>
      </c>
      <c r="B322" s="15" t="str">
        <f>IFERROR(__xludf.DUMMYFUNCTION("""COMPUTED_VALUE"""),"PS5/PS4")</f>
        <v>PS5/PS4</v>
      </c>
      <c r="C322" s="16" t="str">
        <f>IFERROR(__xludf.DUMMYFUNCTION("""COMPUTED_VALUE"""),"Premium (Streaming Only)")</f>
        <v>Premium (Streaming Only)</v>
      </c>
      <c r="D322" s="15" t="str">
        <f>IFERROR(__xludf.DUMMYFUNCTION("""COMPUTED_VALUE"""),"Active")</f>
        <v>Active</v>
      </c>
      <c r="E322" s="17">
        <f>IFERROR(__xludf.DUMMYFUNCTION("""COMPUTED_VALUE"""),42017.0)</f>
        <v>42017</v>
      </c>
      <c r="F322" s="54"/>
      <c r="G322" s="19">
        <f>IFERROR(__xludf.DUMMYFUNCTION("""COMPUTED_VALUE"""),140.76666666666668)</f>
        <v>140.7666667</v>
      </c>
      <c r="H322" s="17">
        <f>IFERROR(__xludf.DUMMYFUNCTION("""COMPUTED_VALUE"""),40848.0)</f>
        <v>40848</v>
      </c>
      <c r="I322" s="19">
        <f>IFERROR(__xludf.DUMMYFUNCTION("""COMPUTED_VALUE"""),3.2)</f>
        <v>3.2</v>
      </c>
      <c r="J322" s="21">
        <f>IFERROR(__xludf.DUMMYFUNCTION("""COMPUTED_VALUE"""),39.0)</f>
        <v>39</v>
      </c>
      <c r="K322" s="23">
        <f>IFERROR(__xludf.DUMMYFUNCTION("""COMPUTED_VALUE"""),3.8)</f>
        <v>3.8</v>
      </c>
      <c r="L322" s="24">
        <f>IFERROR(__xludf.DUMMYFUNCTION("""COMPUTED_VALUE"""),3.0)</f>
        <v>3</v>
      </c>
      <c r="M322" s="25" t="str">
        <f>IFERROR(__xludf.DUMMYFUNCTION("""COMPUTED_VALUE"""),"Shooter")</f>
        <v>Shooter</v>
      </c>
      <c r="N322" s="25" t="str">
        <f>IFERROR(__xludf.DUMMYFUNCTION("""COMPUTED_VALUE"""),"PS3")</f>
        <v>PS3</v>
      </c>
      <c r="O322" s="26" t="str">
        <f>IFERROR(__xludf.DUMMYFUNCTION("""COMPUTED_VALUE"""),"Yes")</f>
        <v>Yes</v>
      </c>
      <c r="P322" s="26" t="str">
        <f>IFERROR(__xludf.DUMMYFUNCTION("""COMPUTED_VALUE"""),"")</f>
        <v/>
      </c>
    </row>
    <row r="323">
      <c r="A323" s="13" t="str">
        <f>IFERROR(__xludf.DUMMYFUNCTION("""COMPUTED_VALUE"""),"Heavy Fire: Shattered Spear")</f>
        <v>Heavy Fire: Shattered Spear</v>
      </c>
      <c r="B323" s="15" t="str">
        <f>IFERROR(__xludf.DUMMYFUNCTION("""COMPUTED_VALUE"""),"PS5/PS4")</f>
        <v>PS5/PS4</v>
      </c>
      <c r="C323" s="16" t="str">
        <f>IFERROR(__xludf.DUMMYFUNCTION("""COMPUTED_VALUE"""),"Premium (Streaming Only)")</f>
        <v>Premium (Streaming Only)</v>
      </c>
      <c r="D323" s="15" t="str">
        <f>IFERROR(__xludf.DUMMYFUNCTION("""COMPUTED_VALUE"""),"Active")</f>
        <v>Active</v>
      </c>
      <c r="E323" s="17">
        <f>IFERROR(__xludf.DUMMYFUNCTION("""COMPUTED_VALUE"""),42017.0)</f>
        <v>42017</v>
      </c>
      <c r="F323" s="54"/>
      <c r="G323" s="19">
        <f>IFERROR(__xludf.DUMMYFUNCTION("""COMPUTED_VALUE"""),140.76666666666668)</f>
        <v>140.7666667</v>
      </c>
      <c r="H323" s="17">
        <f>IFERROR(__xludf.DUMMYFUNCTION("""COMPUTED_VALUE"""),41303.0)</f>
        <v>41303</v>
      </c>
      <c r="I323" s="19">
        <f>IFERROR(__xludf.DUMMYFUNCTION("""COMPUTED_VALUE"""),1.9555555555555555)</f>
        <v>1.955555556</v>
      </c>
      <c r="J323" s="21">
        <f>IFERROR(__xludf.DUMMYFUNCTION("""COMPUTED_VALUE"""),38.0)</f>
        <v>38</v>
      </c>
      <c r="K323" s="23">
        <f>IFERROR(__xludf.DUMMYFUNCTION("""COMPUTED_VALUE"""),4.8)</f>
        <v>4.8</v>
      </c>
      <c r="L323" s="24">
        <f>IFERROR(__xludf.DUMMYFUNCTION("""COMPUTED_VALUE"""),3.0)</f>
        <v>3</v>
      </c>
      <c r="M323" s="25" t="str">
        <f>IFERROR(__xludf.DUMMYFUNCTION("""COMPUTED_VALUE"""),"Shooter")</f>
        <v>Shooter</v>
      </c>
      <c r="N323" s="25" t="str">
        <f>IFERROR(__xludf.DUMMYFUNCTION("""COMPUTED_VALUE"""),"PS3")</f>
        <v>PS3</v>
      </c>
      <c r="O323" s="26" t="str">
        <f>IFERROR(__xludf.DUMMYFUNCTION("""COMPUTED_VALUE"""),"Yes")</f>
        <v>Yes</v>
      </c>
      <c r="P323" s="26" t="str">
        <f>IFERROR(__xludf.DUMMYFUNCTION("""COMPUTED_VALUE"""),"")</f>
        <v/>
      </c>
    </row>
    <row r="324">
      <c r="A324" s="13" t="str">
        <f>IFERROR(__xludf.DUMMYFUNCTION("""COMPUTED_VALUE"""),"Star Raiders")</f>
        <v>Star Raiders</v>
      </c>
      <c r="B324" s="15" t="str">
        <f>IFERROR(__xludf.DUMMYFUNCTION("""COMPUTED_VALUE"""),"PS5/PS4")</f>
        <v>PS5/PS4</v>
      </c>
      <c r="C324" s="16" t="str">
        <f>IFERROR(__xludf.DUMMYFUNCTION("""COMPUTED_VALUE"""),"Premium (Streaming Only)")</f>
        <v>Premium (Streaming Only)</v>
      </c>
      <c r="D324" s="15" t="str">
        <f>IFERROR(__xludf.DUMMYFUNCTION("""COMPUTED_VALUE"""),"Active")</f>
        <v>Active</v>
      </c>
      <c r="E324" s="17">
        <f>IFERROR(__xludf.DUMMYFUNCTION("""COMPUTED_VALUE"""),44725.0)</f>
        <v>44725</v>
      </c>
      <c r="F324" s="54"/>
      <c r="G324" s="19">
        <f>IFERROR(__xludf.DUMMYFUNCTION("""COMPUTED_VALUE"""),51.766666666666666)</f>
        <v>51.76666667</v>
      </c>
      <c r="H324" s="17">
        <f>IFERROR(__xludf.DUMMYFUNCTION("""COMPUTED_VALUE"""),40664.0)</f>
        <v>40664</v>
      </c>
      <c r="I324" s="19">
        <f>IFERROR(__xludf.DUMMYFUNCTION("""COMPUTED_VALUE"""),11.116666666666667)</f>
        <v>11.11666667</v>
      </c>
      <c r="J324" s="21">
        <f>IFERROR(__xludf.DUMMYFUNCTION("""COMPUTED_VALUE"""),35.0)</f>
        <v>35</v>
      </c>
      <c r="K324" s="23">
        <f>IFERROR(__xludf.DUMMYFUNCTION("""COMPUTED_VALUE"""),5.7)</f>
        <v>5.7</v>
      </c>
      <c r="L324" s="24">
        <f>IFERROR(__xludf.DUMMYFUNCTION("""COMPUTED_VALUE"""),5.0)</f>
        <v>5</v>
      </c>
      <c r="M324" s="25" t="str">
        <f>IFERROR(__xludf.DUMMYFUNCTION("""COMPUTED_VALUE"""),"Shooter")</f>
        <v>Shooter</v>
      </c>
      <c r="N324" s="25" t="str">
        <f>IFERROR(__xludf.DUMMYFUNCTION("""COMPUTED_VALUE"""),"PS3")</f>
        <v>PS3</v>
      </c>
      <c r="O324" s="26" t="str">
        <f>IFERROR(__xludf.DUMMYFUNCTION("""COMPUTED_VALUE"""),"Yes")</f>
        <v>Yes</v>
      </c>
      <c r="P324" s="26" t="str">
        <f>IFERROR(__xludf.DUMMYFUNCTION("""COMPUTED_VALUE"""),"")</f>
        <v/>
      </c>
    </row>
    <row r="325">
      <c r="A325" s="13" t="str">
        <f>IFERROR(__xludf.DUMMYFUNCTION("""COMPUTED_VALUE"""),"Disney/PIXAR Toy Story Mania!")</f>
        <v>Disney/PIXAR Toy Story Mania!</v>
      </c>
      <c r="B325" s="15" t="str">
        <f>IFERROR(__xludf.DUMMYFUNCTION("""COMPUTED_VALUE"""),"PS5/PS4")</f>
        <v>PS5/PS4</v>
      </c>
      <c r="C325" s="16" t="str">
        <f>IFERROR(__xludf.DUMMYFUNCTION("""COMPUTED_VALUE"""),"Premium (Streaming Only)")</f>
        <v>Premium (Streaming Only)</v>
      </c>
      <c r="D325" s="15" t="str">
        <f>IFERROR(__xludf.DUMMYFUNCTION("""COMPUTED_VALUE"""),"Active")</f>
        <v>Active</v>
      </c>
      <c r="E325" s="17">
        <f>IFERROR(__xludf.DUMMYFUNCTION("""COMPUTED_VALUE"""),42895.0)</f>
        <v>42895</v>
      </c>
      <c r="F325" s="54"/>
      <c r="G325" s="19">
        <f>IFERROR(__xludf.DUMMYFUNCTION("""COMPUTED_VALUE"""),111.89999999999999)</f>
        <v>111.9</v>
      </c>
      <c r="H325" s="17">
        <f>IFERROR(__xludf.DUMMYFUNCTION("""COMPUTED_VALUE"""),41913.0)</f>
        <v>41913</v>
      </c>
      <c r="I325" s="19">
        <f>IFERROR(__xludf.DUMMYFUNCTION("""COMPUTED_VALUE"""),2.688888888888889)</f>
        <v>2.688888889</v>
      </c>
      <c r="J325" s="21">
        <f>IFERROR(__xludf.DUMMYFUNCTION("""COMPUTED_VALUE"""),33.0)</f>
        <v>33</v>
      </c>
      <c r="K325" s="23">
        <f>IFERROR(__xludf.DUMMYFUNCTION("""COMPUTED_VALUE"""),6.7)</f>
        <v>6.7</v>
      </c>
      <c r="L325" s="24">
        <f>IFERROR(__xludf.DUMMYFUNCTION("""COMPUTED_VALUE"""),3.0)</f>
        <v>3</v>
      </c>
      <c r="M325" s="25" t="str">
        <f>IFERROR(__xludf.DUMMYFUNCTION("""COMPUTED_VALUE"""),"Party")</f>
        <v>Party</v>
      </c>
      <c r="N325" s="25" t="str">
        <f>IFERROR(__xludf.DUMMYFUNCTION("""COMPUTED_VALUE"""),"PS3")</f>
        <v>PS3</v>
      </c>
      <c r="O325" s="26" t="str">
        <f>IFERROR(__xludf.DUMMYFUNCTION("""COMPUTED_VALUE"""),"Yes")</f>
        <v>Yes</v>
      </c>
      <c r="P325" s="26" t="str">
        <f>IFERROR(__xludf.DUMMYFUNCTION("""COMPUTED_VALUE"""),"")</f>
        <v/>
      </c>
    </row>
    <row r="326">
      <c r="A326" s="13" t="str">
        <f>IFERROR(__xludf.DUMMYFUNCTION("""COMPUTED_VALUE"""),"Space Ace")</f>
        <v>Space Ace</v>
      </c>
      <c r="B326" s="15" t="str">
        <f>IFERROR(__xludf.DUMMYFUNCTION("""COMPUTED_VALUE"""),"PS5/PS4")</f>
        <v>PS5/PS4</v>
      </c>
      <c r="C326" s="16" t="str">
        <f>IFERROR(__xludf.DUMMYFUNCTION("""COMPUTED_VALUE"""),"Premium (Streaming Only)")</f>
        <v>Premium (Streaming Only)</v>
      </c>
      <c r="D326" s="15" t="str">
        <f>IFERROR(__xludf.DUMMYFUNCTION("""COMPUTED_VALUE"""),"Active")</f>
        <v>Active</v>
      </c>
      <c r="E326" s="17">
        <f>IFERROR(__xludf.DUMMYFUNCTION("""COMPUTED_VALUE"""),42311.0)</f>
        <v>42311</v>
      </c>
      <c r="F326" s="54"/>
      <c r="G326" s="19">
        <f>IFERROR(__xludf.DUMMYFUNCTION("""COMPUTED_VALUE"""),131.10000000000002)</f>
        <v>131.1</v>
      </c>
      <c r="H326" s="17">
        <f>IFERROR(__xludf.DUMMYFUNCTION("""COMPUTED_VALUE"""),41579.0)</f>
        <v>41579</v>
      </c>
      <c r="I326" s="19">
        <f>IFERROR(__xludf.DUMMYFUNCTION("""COMPUTED_VALUE"""),2.0055555555555555)</f>
        <v>2.005555556</v>
      </c>
      <c r="J326" s="21">
        <f>IFERROR(__xludf.DUMMYFUNCTION("""COMPUTED_VALUE"""),33.0)</f>
        <v>33</v>
      </c>
      <c r="K326" s="23"/>
      <c r="L326" s="24">
        <f>IFERROR(__xludf.DUMMYFUNCTION("""COMPUTED_VALUE"""),1.0)</f>
        <v>1</v>
      </c>
      <c r="M326" s="25" t="str">
        <f>IFERROR(__xludf.DUMMYFUNCTION("""COMPUTED_VALUE"""),"Adventure")</f>
        <v>Adventure</v>
      </c>
      <c r="N326" s="25" t="str">
        <f>IFERROR(__xludf.DUMMYFUNCTION("""COMPUTED_VALUE"""),"PS3")</f>
        <v>PS3</v>
      </c>
      <c r="O326" s="26" t="str">
        <f>IFERROR(__xludf.DUMMYFUNCTION("""COMPUTED_VALUE"""),"Yes")</f>
        <v>Yes</v>
      </c>
      <c r="P326" s="26" t="str">
        <f>IFERROR(__xludf.DUMMYFUNCTION("""COMPUTED_VALUE"""),"")</f>
        <v/>
      </c>
    </row>
    <row r="327">
      <c r="A327" s="13" t="str">
        <f>IFERROR(__xludf.DUMMYFUNCTION("""COMPUTED_VALUE"""),"Magus")</f>
        <v>Magus</v>
      </c>
      <c r="B327" s="15" t="str">
        <f>IFERROR(__xludf.DUMMYFUNCTION("""COMPUTED_VALUE"""),"PS5/PS4")</f>
        <v>PS5/PS4</v>
      </c>
      <c r="C327" s="16" t="str">
        <f>IFERROR(__xludf.DUMMYFUNCTION("""COMPUTED_VALUE"""),"Premium (Streaming Only)")</f>
        <v>Premium (Streaming Only)</v>
      </c>
      <c r="D327" s="15" t="str">
        <f>IFERROR(__xludf.DUMMYFUNCTION("""COMPUTED_VALUE"""),"Active")</f>
        <v>Active</v>
      </c>
      <c r="E327" s="17">
        <f>IFERROR(__xludf.DUMMYFUNCTION("""COMPUTED_VALUE"""),42374.0)</f>
        <v>42374</v>
      </c>
      <c r="F327" s="54"/>
      <c r="G327" s="19">
        <f>IFERROR(__xludf.DUMMYFUNCTION("""COMPUTED_VALUE"""),129.03333333333333)</f>
        <v>129.0333333</v>
      </c>
      <c r="H327" s="17">
        <f>IFERROR(__xludf.DUMMYFUNCTION("""COMPUTED_VALUE"""),41671.0)</f>
        <v>41671</v>
      </c>
      <c r="I327" s="19">
        <f>IFERROR(__xludf.DUMMYFUNCTION("""COMPUTED_VALUE"""),1.9277777777777778)</f>
        <v>1.927777778</v>
      </c>
      <c r="J327" s="21">
        <f>IFERROR(__xludf.DUMMYFUNCTION("""COMPUTED_VALUE"""),32.0)</f>
        <v>32</v>
      </c>
      <c r="K327" s="23">
        <f>IFERROR(__xludf.DUMMYFUNCTION("""COMPUTED_VALUE"""),4.0)</f>
        <v>4</v>
      </c>
      <c r="L327" s="24">
        <f>IFERROR(__xludf.DUMMYFUNCTION("""COMPUTED_VALUE"""),10.0)</f>
        <v>10</v>
      </c>
      <c r="M327" s="25" t="str">
        <f>IFERROR(__xludf.DUMMYFUNCTION("""COMPUTED_VALUE"""),"RPG")</f>
        <v>RPG</v>
      </c>
      <c r="N327" s="25" t="str">
        <f>IFERROR(__xludf.DUMMYFUNCTION("""COMPUTED_VALUE"""),"PS3")</f>
        <v>PS3</v>
      </c>
      <c r="O327" s="26" t="str">
        <f>IFERROR(__xludf.DUMMYFUNCTION("""COMPUTED_VALUE"""),"Yes")</f>
        <v>Yes</v>
      </c>
      <c r="P327" s="26" t="str">
        <f>IFERROR(__xludf.DUMMYFUNCTION("""COMPUTED_VALUE"""),"")</f>
        <v/>
      </c>
    </row>
    <row r="328">
      <c r="A328" s="13" t="str">
        <f>IFERROR(__xludf.DUMMYFUNCTION("""COMPUTED_VALUE"""),"Air Conflicts: Vietnam")</f>
        <v>Air Conflicts: Vietnam</v>
      </c>
      <c r="B328" s="15" t="str">
        <f>IFERROR(__xludf.DUMMYFUNCTION("""COMPUTED_VALUE"""),"PS5/PS4")</f>
        <v>PS5/PS4</v>
      </c>
      <c r="C328" s="16" t="str">
        <f>IFERROR(__xludf.DUMMYFUNCTION("""COMPUTED_VALUE"""),"Premium (Streaming Only)")</f>
        <v>Premium (Streaming Only)</v>
      </c>
      <c r="D328" s="15" t="str">
        <f>IFERROR(__xludf.DUMMYFUNCTION("""COMPUTED_VALUE"""),"Active")</f>
        <v>Active</v>
      </c>
      <c r="E328" s="17">
        <f>IFERROR(__xludf.DUMMYFUNCTION("""COMPUTED_VALUE"""),42528.0)</f>
        <v>42528</v>
      </c>
      <c r="F328" s="54"/>
      <c r="G328" s="19">
        <f>IFERROR(__xludf.DUMMYFUNCTION("""COMPUTED_VALUE"""),123.96666666666667)</f>
        <v>123.9666667</v>
      </c>
      <c r="H328" s="17">
        <f>IFERROR(__xludf.DUMMYFUNCTION("""COMPUTED_VALUE"""),41549.0)</f>
        <v>41549</v>
      </c>
      <c r="I328" s="19">
        <f>IFERROR(__xludf.DUMMYFUNCTION("""COMPUTED_VALUE"""),2.6805555555555554)</f>
        <v>2.680555556</v>
      </c>
      <c r="J328" s="21">
        <f>IFERROR(__xludf.DUMMYFUNCTION("""COMPUTED_VALUE"""),30.0)</f>
        <v>30</v>
      </c>
      <c r="K328" s="23">
        <f>IFERROR(__xludf.DUMMYFUNCTION("""COMPUTED_VALUE"""),4.8)</f>
        <v>4.8</v>
      </c>
      <c r="L328" s="24">
        <f>IFERROR(__xludf.DUMMYFUNCTION("""COMPUTED_VALUE"""),7.0)</f>
        <v>7</v>
      </c>
      <c r="M328" s="25" t="str">
        <f>IFERROR(__xludf.DUMMYFUNCTION("""COMPUTED_VALUE"""),"Shooter")</f>
        <v>Shooter</v>
      </c>
      <c r="N328" s="25" t="str">
        <f>IFERROR(__xludf.DUMMYFUNCTION("""COMPUTED_VALUE"""),"PS3")</f>
        <v>PS3</v>
      </c>
      <c r="O328" s="26" t="str">
        <f>IFERROR(__xludf.DUMMYFUNCTION("""COMPUTED_VALUE"""),"Yes")</f>
        <v>Yes</v>
      </c>
      <c r="P328" s="26" t="str">
        <f>IFERROR(__xludf.DUMMYFUNCTION("""COMPUTED_VALUE"""),"")</f>
        <v/>
      </c>
    </row>
    <row r="329">
      <c r="A329" s="13" t="str">
        <f>IFERROR(__xludf.DUMMYFUNCTION("""COMPUTED_VALUE"""),"Rogue Warrior")</f>
        <v>Rogue Warrior</v>
      </c>
      <c r="B329" s="15" t="str">
        <f>IFERROR(__xludf.DUMMYFUNCTION("""COMPUTED_VALUE"""),"PS5/PS4")</f>
        <v>PS5/PS4</v>
      </c>
      <c r="C329" s="16" t="str">
        <f>IFERROR(__xludf.DUMMYFUNCTION("""COMPUTED_VALUE"""),"Premium (Streaming Only)")</f>
        <v>Premium (Streaming Only)</v>
      </c>
      <c r="D329" s="15" t="str">
        <f>IFERROR(__xludf.DUMMYFUNCTION("""COMPUTED_VALUE"""),"Active")</f>
        <v>Active</v>
      </c>
      <c r="E329" s="17">
        <f>IFERROR(__xludf.DUMMYFUNCTION("""COMPUTED_VALUE"""),42311.0)</f>
        <v>42311</v>
      </c>
      <c r="F329" s="54"/>
      <c r="G329" s="19">
        <f>IFERROR(__xludf.DUMMYFUNCTION("""COMPUTED_VALUE"""),131.10000000000002)</f>
        <v>131.1</v>
      </c>
      <c r="H329" s="17">
        <f>IFERROR(__xludf.DUMMYFUNCTION("""COMPUTED_VALUE"""),40148.0)</f>
        <v>40148</v>
      </c>
      <c r="I329" s="19">
        <f>IFERROR(__xludf.DUMMYFUNCTION("""COMPUTED_VALUE"""),5.9222222222222225)</f>
        <v>5.922222222</v>
      </c>
      <c r="J329" s="21">
        <f>IFERROR(__xludf.DUMMYFUNCTION("""COMPUTED_VALUE"""),27.0)</f>
        <v>27</v>
      </c>
      <c r="K329" s="23">
        <f>IFERROR(__xludf.DUMMYFUNCTION("""COMPUTED_VALUE"""),4.0)</f>
        <v>4</v>
      </c>
      <c r="L329" s="24">
        <f>IFERROR(__xludf.DUMMYFUNCTION("""COMPUTED_VALUE"""),3.0)</f>
        <v>3</v>
      </c>
      <c r="M329" s="25" t="str">
        <f>IFERROR(__xludf.DUMMYFUNCTION("""COMPUTED_VALUE"""),"Shooter")</f>
        <v>Shooter</v>
      </c>
      <c r="N329" s="25" t="str">
        <f>IFERROR(__xludf.DUMMYFUNCTION("""COMPUTED_VALUE"""),"PS3")</f>
        <v>PS3</v>
      </c>
      <c r="O329" s="26" t="str">
        <f>IFERROR(__xludf.DUMMYFUNCTION("""COMPUTED_VALUE"""),"Yes")</f>
        <v>Yes</v>
      </c>
      <c r="P329" s="26" t="str">
        <f>IFERROR(__xludf.DUMMYFUNCTION("""COMPUTED_VALUE"""),"")</f>
        <v/>
      </c>
    </row>
    <row r="330">
      <c r="A330" s="13" t="str">
        <f>IFERROR(__xludf.DUMMYFUNCTION("""COMPUTED_VALUE"""),"Go! Sports Ski")</f>
        <v>Go! Sports Ski</v>
      </c>
      <c r="B330" s="15" t="str">
        <f>IFERROR(__xludf.DUMMYFUNCTION("""COMPUTED_VALUE"""),"PS5/PS4")</f>
        <v>PS5/PS4</v>
      </c>
      <c r="C330" s="16" t="str">
        <f>IFERROR(__xludf.DUMMYFUNCTION("""COMPUTED_VALUE"""),"Premium (Streaming Only)")</f>
        <v>Premium (Streaming Only)</v>
      </c>
      <c r="D330" s="15" t="str">
        <f>IFERROR(__xludf.DUMMYFUNCTION("""COMPUTED_VALUE"""),"Active")</f>
        <v>Active</v>
      </c>
      <c r="E330" s="17">
        <f>IFERROR(__xludf.DUMMYFUNCTION("""COMPUTED_VALUE"""),42682.0)</f>
        <v>42682</v>
      </c>
      <c r="F330" s="54"/>
      <c r="G330" s="19">
        <f>IFERROR(__xludf.DUMMYFUNCTION("""COMPUTED_VALUE"""),118.93333333333334)</f>
        <v>118.9333333</v>
      </c>
      <c r="H330" s="17">
        <f>IFERROR(__xludf.DUMMYFUNCTION("""COMPUTED_VALUE"""),39356.0)</f>
        <v>39356</v>
      </c>
      <c r="I330" s="19">
        <f>IFERROR(__xludf.DUMMYFUNCTION("""COMPUTED_VALUE"""),9.102777777777778)</f>
        <v>9.102777778</v>
      </c>
      <c r="J330" s="21">
        <f>IFERROR(__xludf.DUMMYFUNCTION("""COMPUTED_VALUE"""),25.0)</f>
        <v>25</v>
      </c>
      <c r="K330" s="23">
        <f>IFERROR(__xludf.DUMMYFUNCTION("""COMPUTED_VALUE"""),6.7)</f>
        <v>6.7</v>
      </c>
      <c r="L330" s="24">
        <f>IFERROR(__xludf.DUMMYFUNCTION("""COMPUTED_VALUE"""),3.0)</f>
        <v>3</v>
      </c>
      <c r="M330" s="25" t="str">
        <f>IFERROR(__xludf.DUMMYFUNCTION("""COMPUTED_VALUE"""),"Sports")</f>
        <v>Sports</v>
      </c>
      <c r="N330" s="25" t="str">
        <f>IFERROR(__xludf.DUMMYFUNCTION("""COMPUTED_VALUE"""),"PS3")</f>
        <v>PS3</v>
      </c>
      <c r="O330" s="26" t="str">
        <f>IFERROR(__xludf.DUMMYFUNCTION("""COMPUTED_VALUE"""),"Yes")</f>
        <v>Yes</v>
      </c>
      <c r="P330" s="26" t="str">
        <f>IFERROR(__xludf.DUMMYFUNCTION("""COMPUTED_VALUE"""),"")</f>
        <v/>
      </c>
    </row>
    <row r="331">
      <c r="A331" s="13" t="str">
        <f>IFERROR(__xludf.DUMMYFUNCTION("""COMPUTED_VALUE"""),"SAMURAI WARRIORS 2: Empires - HD Version")</f>
        <v>SAMURAI WARRIORS 2: Empires - HD Version</v>
      </c>
      <c r="B331" s="15" t="str">
        <f>IFERROR(__xludf.DUMMYFUNCTION("""COMPUTED_VALUE"""),"PS5/PS4")</f>
        <v>PS5/PS4</v>
      </c>
      <c r="C331" s="16" t="str">
        <f>IFERROR(__xludf.DUMMYFUNCTION("""COMPUTED_VALUE"""),"Premium (Streaming Only)")</f>
        <v>Premium (Streaming Only)</v>
      </c>
      <c r="D331" s="15" t="str">
        <f>IFERROR(__xludf.DUMMYFUNCTION("""COMPUTED_VALUE"""),"Active")</f>
        <v>Active</v>
      </c>
      <c r="E331" s="17">
        <f>IFERROR(__xludf.DUMMYFUNCTION("""COMPUTED_VALUE"""),42773.0)</f>
        <v>42773</v>
      </c>
      <c r="F331" s="54"/>
      <c r="G331" s="19">
        <f>IFERROR(__xludf.DUMMYFUNCTION("""COMPUTED_VALUE"""),115.96666666666667)</f>
        <v>115.9666667</v>
      </c>
      <c r="H331" s="17">
        <f>IFERROR(__xludf.DUMMYFUNCTION("""COMPUTED_VALUE"""),42059.0)</f>
        <v>42059</v>
      </c>
      <c r="I331" s="19">
        <f>IFERROR(__xludf.DUMMYFUNCTION("""COMPUTED_VALUE"""),1.9527777777777777)</f>
        <v>1.952777778</v>
      </c>
      <c r="J331" s="21"/>
      <c r="K331" s="23"/>
      <c r="L331" s="24">
        <f>IFERROR(__xludf.DUMMYFUNCTION("""COMPUTED_VALUE"""),20.0)</f>
        <v>20</v>
      </c>
      <c r="M331" s="25" t="str">
        <f>IFERROR(__xludf.DUMMYFUNCTION("""COMPUTED_VALUE"""),"Action-Adventure")</f>
        <v>Action-Adventure</v>
      </c>
      <c r="N331" s="25" t="str">
        <f>IFERROR(__xludf.DUMMYFUNCTION("""COMPUTED_VALUE"""),"PS3")</f>
        <v>PS3</v>
      </c>
      <c r="O331" s="26" t="str">
        <f>IFERROR(__xludf.DUMMYFUNCTION("""COMPUTED_VALUE"""),"Yes")</f>
        <v>Yes</v>
      </c>
      <c r="P331" s="26" t="str">
        <f>IFERROR(__xludf.DUMMYFUNCTION("""COMPUTED_VALUE"""),"")</f>
        <v/>
      </c>
    </row>
    <row r="332">
      <c r="A332" s="13" t="str">
        <f>IFERROR(__xludf.DUMMYFUNCTION("""COMPUTED_VALUE"""),"SAMURAI WARRIORS 3: Empires")</f>
        <v>SAMURAI WARRIORS 3: Empires</v>
      </c>
      <c r="B332" s="15" t="str">
        <f>IFERROR(__xludf.DUMMYFUNCTION("""COMPUTED_VALUE"""),"PS5/PS4")</f>
        <v>PS5/PS4</v>
      </c>
      <c r="C332" s="16" t="str">
        <f>IFERROR(__xludf.DUMMYFUNCTION("""COMPUTED_VALUE"""),"Premium (Streaming Only)")</f>
        <v>Premium (Streaming Only)</v>
      </c>
      <c r="D332" s="15" t="str">
        <f>IFERROR(__xludf.DUMMYFUNCTION("""COMPUTED_VALUE"""),"Active")</f>
        <v>Active</v>
      </c>
      <c r="E332" s="17">
        <f>IFERROR(__xludf.DUMMYFUNCTION("""COMPUTED_VALUE"""),42773.0)</f>
        <v>42773</v>
      </c>
      <c r="F332" s="54"/>
      <c r="G332" s="19">
        <f>IFERROR(__xludf.DUMMYFUNCTION("""COMPUTED_VALUE"""),115.96666666666667)</f>
        <v>115.9666667</v>
      </c>
      <c r="H332" s="17">
        <f>IFERROR(__xludf.DUMMYFUNCTION("""COMPUTED_VALUE"""),42045.0)</f>
        <v>42045</v>
      </c>
      <c r="I332" s="19">
        <f>IFERROR(__xludf.DUMMYFUNCTION("""COMPUTED_VALUE"""),1.9916666666666667)</f>
        <v>1.991666667</v>
      </c>
      <c r="J332" s="21"/>
      <c r="K332" s="23"/>
      <c r="L332" s="24">
        <f>IFERROR(__xludf.DUMMYFUNCTION("""COMPUTED_VALUE"""),25.0)</f>
        <v>25</v>
      </c>
      <c r="M332" s="25" t="str">
        <f>IFERROR(__xludf.DUMMYFUNCTION("""COMPUTED_VALUE"""),"Action-Adventure")</f>
        <v>Action-Adventure</v>
      </c>
      <c r="N332" s="25" t="str">
        <f>IFERROR(__xludf.DUMMYFUNCTION("""COMPUTED_VALUE"""),"PS3")</f>
        <v>PS3</v>
      </c>
      <c r="O332" s="26" t="str">
        <f>IFERROR(__xludf.DUMMYFUNCTION("""COMPUTED_VALUE"""),"Yes")</f>
        <v>Yes</v>
      </c>
      <c r="P332" s="26" t="str">
        <f>IFERROR(__xludf.DUMMYFUNCTION("""COMPUTED_VALUE"""),"")</f>
        <v/>
      </c>
    </row>
    <row r="333">
      <c r="A333" s="13" t="str">
        <f>IFERROR(__xludf.DUMMYFUNCTION("""COMPUTED_VALUE"""),"BATTLE OF TILES EX")</f>
        <v>BATTLE OF TILES EX</v>
      </c>
      <c r="B333" s="15" t="str">
        <f>IFERROR(__xludf.DUMMYFUNCTION("""COMPUTED_VALUE"""),"PS5/PS4")</f>
        <v>PS5/PS4</v>
      </c>
      <c r="C333" s="16" t="str">
        <f>IFERROR(__xludf.DUMMYFUNCTION("""COMPUTED_VALUE"""),"Premium (Streaming Only)")</f>
        <v>Premium (Streaming Only)</v>
      </c>
      <c r="D333" s="15" t="str">
        <f>IFERROR(__xludf.DUMMYFUNCTION("""COMPUTED_VALUE"""),"Active")</f>
        <v>Active</v>
      </c>
      <c r="E333" s="17">
        <f>IFERROR(__xludf.DUMMYFUNCTION("""COMPUTED_VALUE"""),42528.0)</f>
        <v>42528</v>
      </c>
      <c r="F333" s="54"/>
      <c r="G333" s="19">
        <f>IFERROR(__xludf.DUMMYFUNCTION("""COMPUTED_VALUE"""),123.96666666666667)</f>
        <v>123.9666667</v>
      </c>
      <c r="H333" s="17">
        <f>IFERROR(__xludf.DUMMYFUNCTION("""COMPUTED_VALUE"""),41486.0)</f>
        <v>41486</v>
      </c>
      <c r="I333" s="19">
        <f>IFERROR(__xludf.DUMMYFUNCTION("""COMPUTED_VALUE"""),2.852777777777778)</f>
        <v>2.852777778</v>
      </c>
      <c r="J333" s="21"/>
      <c r="K333" s="23">
        <f>IFERROR(__xludf.DUMMYFUNCTION("""COMPUTED_VALUE"""),6.7)</f>
        <v>6.7</v>
      </c>
      <c r="L333" s="24"/>
      <c r="M333" s="25" t="str">
        <f>IFERROR(__xludf.DUMMYFUNCTION("""COMPUTED_VALUE"""),"Strategy")</f>
        <v>Strategy</v>
      </c>
      <c r="N333" s="25" t="str">
        <f>IFERROR(__xludf.DUMMYFUNCTION("""COMPUTED_VALUE"""),"PS3")</f>
        <v>PS3</v>
      </c>
      <c r="O333" s="26" t="str">
        <f>IFERROR(__xludf.DUMMYFUNCTION("""COMPUTED_VALUE"""),"Yes")</f>
        <v>Yes</v>
      </c>
      <c r="P333" s="26" t="str">
        <f>IFERROR(__xludf.DUMMYFUNCTION("""COMPUTED_VALUE"""),"")</f>
        <v/>
      </c>
    </row>
    <row r="334">
      <c r="A334" s="13" t="str">
        <f>IFERROR(__xludf.DUMMYFUNCTION("""COMPUTED_VALUE"""),"Prismatic Solid")</f>
        <v>Prismatic Solid</v>
      </c>
      <c r="B334" s="15" t="str">
        <f>IFERROR(__xludf.DUMMYFUNCTION("""COMPUTED_VALUE"""),"PS5/PS4")</f>
        <v>PS5/PS4</v>
      </c>
      <c r="C334" s="16" t="str">
        <f>IFERROR(__xludf.DUMMYFUNCTION("""COMPUTED_VALUE"""),"Premium (Streaming Only)")</f>
        <v>Premium (Streaming Only)</v>
      </c>
      <c r="D334" s="15" t="str">
        <f>IFERROR(__xludf.DUMMYFUNCTION("""COMPUTED_VALUE"""),"Active")</f>
        <v>Active</v>
      </c>
      <c r="E334" s="17">
        <f>IFERROR(__xludf.DUMMYFUNCTION("""COMPUTED_VALUE"""),42374.0)</f>
        <v>42374</v>
      </c>
      <c r="F334" s="54"/>
      <c r="G334" s="19">
        <f>IFERROR(__xludf.DUMMYFUNCTION("""COMPUTED_VALUE"""),129.03333333333333)</f>
        <v>129.0333333</v>
      </c>
      <c r="H334" s="17">
        <f>IFERROR(__xludf.DUMMYFUNCTION("""COMPUTED_VALUE"""),40891.0)</f>
        <v>40891</v>
      </c>
      <c r="I334" s="19">
        <f>IFERROR(__xludf.DUMMYFUNCTION("""COMPUTED_VALUE"""),4.058333333333334)</f>
        <v>4.058333333</v>
      </c>
      <c r="J334" s="21"/>
      <c r="K334" s="23">
        <f>IFERROR(__xludf.DUMMYFUNCTION("""COMPUTED_VALUE"""),4.8)</f>
        <v>4.8</v>
      </c>
      <c r="L334" s="24">
        <f>IFERROR(__xludf.DUMMYFUNCTION("""COMPUTED_VALUE"""),1.0)</f>
        <v>1</v>
      </c>
      <c r="M334" s="25" t="str">
        <f>IFERROR(__xludf.DUMMYFUNCTION("""COMPUTED_VALUE"""),"Shooter")</f>
        <v>Shooter</v>
      </c>
      <c r="N334" s="25" t="str">
        <f>IFERROR(__xludf.DUMMYFUNCTION("""COMPUTED_VALUE"""),"PS3")</f>
        <v>PS3</v>
      </c>
      <c r="O334" s="26" t="str">
        <f>IFERROR(__xludf.DUMMYFUNCTION("""COMPUTED_VALUE"""),"Yes")</f>
        <v>Yes</v>
      </c>
      <c r="P334" s="26" t="str">
        <f>IFERROR(__xludf.DUMMYFUNCTION("""COMPUTED_VALUE"""),"")</f>
        <v/>
      </c>
    </row>
    <row r="335">
      <c r="A335" s="13" t="str">
        <f>IFERROR(__xludf.DUMMYFUNCTION("""COMPUTED_VALUE"""),"Spelunker Collection")</f>
        <v>Spelunker Collection</v>
      </c>
      <c r="B335" s="15" t="str">
        <f>IFERROR(__xludf.DUMMYFUNCTION("""COMPUTED_VALUE"""),"PS5/PS4")</f>
        <v>PS5/PS4</v>
      </c>
      <c r="C335" s="16" t="str">
        <f>IFERROR(__xludf.DUMMYFUNCTION("""COMPUTED_VALUE"""),"Premium (Streaming Only)")</f>
        <v>Premium (Streaming Only)</v>
      </c>
      <c r="D335" s="15" t="str">
        <f>IFERROR(__xludf.DUMMYFUNCTION("""COMPUTED_VALUE"""),"Active")</f>
        <v>Active</v>
      </c>
      <c r="E335" s="17">
        <f>IFERROR(__xludf.DUMMYFUNCTION("""COMPUTED_VALUE"""),42374.0)</f>
        <v>42374</v>
      </c>
      <c r="F335" s="54"/>
      <c r="G335" s="19">
        <f>IFERROR(__xludf.DUMMYFUNCTION("""COMPUTED_VALUE"""),129.03333333333333)</f>
        <v>129.0333333</v>
      </c>
      <c r="H335" s="17">
        <f>IFERROR(__xludf.DUMMYFUNCTION("""COMPUTED_VALUE"""),41485.0)</f>
        <v>41485</v>
      </c>
      <c r="I335" s="19">
        <f>IFERROR(__xludf.DUMMYFUNCTION("""COMPUTED_VALUE"""),2.4305555555555554)</f>
        <v>2.430555556</v>
      </c>
      <c r="J335" s="21"/>
      <c r="K335" s="23"/>
      <c r="L335" s="24">
        <f>IFERROR(__xludf.DUMMYFUNCTION("""COMPUTED_VALUE"""),5.0)</f>
        <v>5</v>
      </c>
      <c r="M335" s="25" t="str">
        <f>IFERROR(__xludf.DUMMYFUNCTION("""COMPUTED_VALUE"""),"Platformer")</f>
        <v>Platformer</v>
      </c>
      <c r="N335" s="25" t="str">
        <f>IFERROR(__xludf.DUMMYFUNCTION("""COMPUTED_VALUE"""),"PS3")</f>
        <v>PS3</v>
      </c>
      <c r="O335" s="26" t="str">
        <f>IFERROR(__xludf.DUMMYFUNCTION("""COMPUTED_VALUE"""),"Yes")</f>
        <v>Yes</v>
      </c>
      <c r="P335" s="26" t="str">
        <f>IFERROR(__xludf.DUMMYFUNCTION("""COMPUTED_VALUE"""),"")</f>
        <v/>
      </c>
    </row>
    <row r="336">
      <c r="A336" s="13" t="str">
        <f>IFERROR(__xludf.DUMMYFUNCTION("""COMPUTED_VALUE"""),"CAPCOM ARCADE CABINET: ALL-IN-ONE PACK")</f>
        <v>CAPCOM ARCADE CABINET: ALL-IN-ONE PACK</v>
      </c>
      <c r="B336" s="15" t="str">
        <f>IFERROR(__xludf.DUMMYFUNCTION("""COMPUTED_VALUE"""),"PS5/PS4")</f>
        <v>PS5/PS4</v>
      </c>
      <c r="C336" s="16" t="str">
        <f>IFERROR(__xludf.DUMMYFUNCTION("""COMPUTED_VALUE"""),"Premium (Streaming Only)")</f>
        <v>Premium (Streaming Only)</v>
      </c>
      <c r="D336" s="15" t="str">
        <f>IFERROR(__xludf.DUMMYFUNCTION("""COMPUTED_VALUE"""),"Active")</f>
        <v>Active</v>
      </c>
      <c r="E336" s="17">
        <f>IFERROR(__xludf.DUMMYFUNCTION("""COMPUTED_VALUE"""),42311.0)</f>
        <v>42311</v>
      </c>
      <c r="F336" s="54"/>
      <c r="G336" s="19">
        <f>IFERROR(__xludf.DUMMYFUNCTION("""COMPUTED_VALUE"""),131.10000000000002)</f>
        <v>131.1</v>
      </c>
      <c r="H336" s="17">
        <f>IFERROR(__xludf.DUMMYFUNCTION("""COMPUTED_VALUE"""),41324.0)</f>
        <v>41324</v>
      </c>
      <c r="I336" s="19">
        <f>IFERROR(__xludf.DUMMYFUNCTION("""COMPUTED_VALUE"""),2.7055555555555557)</f>
        <v>2.705555556</v>
      </c>
      <c r="J336" s="21"/>
      <c r="K336" s="23"/>
      <c r="L336" s="24"/>
      <c r="M336" s="25" t="str">
        <f>IFERROR(__xludf.DUMMYFUNCTION("""COMPUTED_VALUE"""),"Compilation")</f>
        <v>Compilation</v>
      </c>
      <c r="N336" s="25" t="str">
        <f>IFERROR(__xludf.DUMMYFUNCTION("""COMPUTED_VALUE"""),"PS3")</f>
        <v>PS3</v>
      </c>
      <c r="O336" s="26" t="str">
        <f>IFERROR(__xludf.DUMMYFUNCTION("""COMPUTED_VALUE"""),"Yes")</f>
        <v>Yes</v>
      </c>
      <c r="P336" s="26" t="str">
        <f>IFERROR(__xludf.DUMMYFUNCTION("""COMPUTED_VALUE"""),"")</f>
        <v/>
      </c>
    </row>
    <row r="337">
      <c r="A337" s="13" t="str">
        <f>IFERROR(__xludf.DUMMYFUNCTION("""COMPUTED_VALUE"""),"Comet Crash: Bionic Bundle")</f>
        <v>Comet Crash: Bionic Bundle</v>
      </c>
      <c r="B337" s="15" t="str">
        <f>IFERROR(__xludf.DUMMYFUNCTION("""COMPUTED_VALUE"""),"PS5/PS4")</f>
        <v>PS5/PS4</v>
      </c>
      <c r="C337" s="16" t="str">
        <f>IFERROR(__xludf.DUMMYFUNCTION("""COMPUTED_VALUE"""),"Premium (Streaming Only)")</f>
        <v>Premium (Streaming Only)</v>
      </c>
      <c r="D337" s="15" t="str">
        <f>IFERROR(__xludf.DUMMYFUNCTION("""COMPUTED_VALUE"""),"Active")</f>
        <v>Active</v>
      </c>
      <c r="E337" s="17">
        <f>IFERROR(__xludf.DUMMYFUNCTION("""COMPUTED_VALUE"""),42311.0)</f>
        <v>42311</v>
      </c>
      <c r="F337" s="54"/>
      <c r="G337" s="19">
        <f>IFERROR(__xludf.DUMMYFUNCTION("""COMPUTED_VALUE"""),131.10000000000002)</f>
        <v>131.1</v>
      </c>
      <c r="H337" s="17">
        <f>IFERROR(__xludf.DUMMYFUNCTION("""COMPUTED_VALUE"""),41492.0)</f>
        <v>41492</v>
      </c>
      <c r="I337" s="19">
        <f>IFERROR(__xludf.DUMMYFUNCTION("""COMPUTED_VALUE"""),2.2416666666666667)</f>
        <v>2.241666667</v>
      </c>
      <c r="J337" s="21"/>
      <c r="K337" s="23"/>
      <c r="L337" s="24"/>
      <c r="M337" s="25" t="str">
        <f>IFERROR(__xludf.DUMMYFUNCTION("""COMPUTED_VALUE"""),"Strategy")</f>
        <v>Strategy</v>
      </c>
      <c r="N337" s="25" t="str">
        <f>IFERROR(__xludf.DUMMYFUNCTION("""COMPUTED_VALUE"""),"PS3")</f>
        <v>PS3</v>
      </c>
      <c r="O337" s="26" t="str">
        <f>IFERROR(__xludf.DUMMYFUNCTION("""COMPUTED_VALUE"""),"Yes")</f>
        <v>Yes</v>
      </c>
      <c r="P337" s="26" t="str">
        <f>IFERROR(__xludf.DUMMYFUNCTION("""COMPUTED_VALUE"""),"Yes")</f>
        <v>Yes</v>
      </c>
    </row>
    <row r="338">
      <c r="A338" s="62"/>
      <c r="B338" s="15"/>
      <c r="C338" s="16"/>
      <c r="D338" s="15"/>
      <c r="E338" s="17"/>
      <c r="F338" s="18"/>
      <c r="G338" s="19"/>
      <c r="H338" s="17"/>
      <c r="I338" s="19"/>
      <c r="J338" s="21"/>
      <c r="K338" s="57"/>
      <c r="L338" s="24"/>
      <c r="M338" s="25"/>
      <c r="N338" s="25"/>
      <c r="O338" s="26"/>
      <c r="P338" s="26"/>
    </row>
    <row r="339">
      <c r="A339" s="52"/>
      <c r="B339" s="15"/>
      <c r="C339" s="16"/>
      <c r="D339" s="15"/>
      <c r="E339" s="17"/>
      <c r="F339" s="54"/>
      <c r="G339" s="19"/>
      <c r="H339" s="17"/>
      <c r="I339" s="19"/>
      <c r="J339" s="21"/>
      <c r="K339" s="57"/>
      <c r="L339" s="24"/>
      <c r="M339" s="25"/>
      <c r="N339" s="25"/>
      <c r="O339" s="26"/>
      <c r="P339" s="26"/>
    </row>
    <row r="340">
      <c r="A340" s="52"/>
      <c r="B340" s="15"/>
      <c r="C340" s="16"/>
      <c r="D340" s="15"/>
      <c r="E340" s="17"/>
      <c r="F340" s="54"/>
      <c r="G340" s="19"/>
      <c r="H340" s="17"/>
      <c r="I340" s="19"/>
      <c r="J340" s="21"/>
      <c r="K340" s="57"/>
      <c r="L340" s="24"/>
      <c r="M340" s="25"/>
      <c r="N340" s="25"/>
      <c r="O340" s="26"/>
      <c r="P340" s="26"/>
    </row>
    <row r="341">
      <c r="A341" s="52"/>
      <c r="B341" s="15"/>
      <c r="C341" s="16"/>
      <c r="D341" s="15"/>
      <c r="E341" s="17"/>
      <c r="F341" s="54"/>
      <c r="G341" s="19"/>
      <c r="H341" s="17"/>
      <c r="I341" s="19"/>
      <c r="J341" s="21"/>
      <c r="K341" s="57"/>
      <c r="L341" s="24"/>
      <c r="M341" s="25"/>
      <c r="N341" s="25"/>
      <c r="O341" s="26"/>
      <c r="P341" s="26"/>
    </row>
    <row r="342">
      <c r="A342" s="52"/>
      <c r="B342" s="15"/>
      <c r="C342" s="16"/>
      <c r="D342" s="15"/>
      <c r="E342" s="17"/>
      <c r="F342" s="54"/>
      <c r="G342" s="19"/>
      <c r="H342" s="17"/>
      <c r="I342" s="19"/>
      <c r="J342" s="21"/>
      <c r="K342" s="57"/>
      <c r="L342" s="24"/>
      <c r="M342" s="25"/>
      <c r="N342" s="25"/>
      <c r="O342" s="26"/>
      <c r="P342" s="26"/>
    </row>
    <row r="343">
      <c r="A343" s="52"/>
      <c r="B343" s="15"/>
      <c r="C343" s="16"/>
      <c r="D343" s="15"/>
      <c r="E343" s="17"/>
      <c r="F343" s="54"/>
      <c r="G343" s="19"/>
      <c r="H343" s="17"/>
      <c r="I343" s="19"/>
      <c r="J343" s="21"/>
      <c r="K343" s="57"/>
      <c r="L343" s="24"/>
      <c r="M343" s="25"/>
      <c r="N343" s="25"/>
      <c r="O343" s="26"/>
      <c r="P343" s="26"/>
    </row>
    <row r="344">
      <c r="A344" s="52"/>
      <c r="B344" s="15"/>
      <c r="C344" s="16"/>
      <c r="D344" s="15"/>
      <c r="E344" s="17"/>
      <c r="F344" s="54"/>
      <c r="G344" s="19"/>
      <c r="H344" s="17"/>
      <c r="I344" s="19"/>
      <c r="J344" s="21"/>
      <c r="K344" s="57"/>
      <c r="L344" s="24"/>
      <c r="M344" s="25"/>
      <c r="N344" s="25"/>
      <c r="O344" s="26"/>
      <c r="P344" s="26"/>
    </row>
    <row r="345">
      <c r="A345" s="52"/>
      <c r="B345" s="15"/>
      <c r="C345" s="16"/>
      <c r="D345" s="15"/>
      <c r="E345" s="17"/>
      <c r="F345" s="54"/>
      <c r="G345" s="19"/>
      <c r="H345" s="17"/>
      <c r="I345" s="19"/>
      <c r="J345" s="21"/>
      <c r="K345" s="57"/>
      <c r="L345" s="24"/>
      <c r="M345" s="25"/>
      <c r="N345" s="25"/>
      <c r="O345" s="26"/>
      <c r="P345" s="26"/>
    </row>
    <row r="346">
      <c r="A346" s="52"/>
      <c r="B346" s="15"/>
      <c r="C346" s="16"/>
      <c r="D346" s="15"/>
      <c r="E346" s="17"/>
      <c r="F346" s="54"/>
      <c r="G346" s="19"/>
      <c r="H346" s="17"/>
      <c r="I346" s="19"/>
      <c r="J346" s="21"/>
      <c r="K346" s="57"/>
      <c r="L346" s="24"/>
      <c r="M346" s="25"/>
      <c r="N346" s="25"/>
      <c r="O346" s="26"/>
      <c r="P346" s="26"/>
    </row>
    <row r="347">
      <c r="A347" s="52"/>
      <c r="B347" s="15"/>
      <c r="C347" s="16"/>
      <c r="D347" s="15"/>
      <c r="E347" s="17"/>
      <c r="F347" s="54"/>
      <c r="G347" s="19"/>
      <c r="H347" s="17"/>
      <c r="I347" s="19"/>
      <c r="J347" s="21"/>
      <c r="K347" s="57"/>
      <c r="L347" s="24"/>
      <c r="M347" s="25"/>
      <c r="N347" s="25"/>
      <c r="O347" s="26"/>
      <c r="P347" s="26"/>
    </row>
    <row r="348">
      <c r="A348" s="52"/>
      <c r="B348" s="15"/>
      <c r="C348" s="16"/>
      <c r="D348" s="15"/>
      <c r="E348" s="17"/>
      <c r="F348" s="54"/>
      <c r="G348" s="19"/>
      <c r="H348" s="17"/>
      <c r="I348" s="19"/>
      <c r="J348" s="21"/>
      <c r="K348" s="57"/>
      <c r="L348" s="24"/>
      <c r="M348" s="25"/>
      <c r="N348" s="25"/>
      <c r="O348" s="26"/>
      <c r="P348" s="26"/>
    </row>
    <row r="349">
      <c r="A349" s="52"/>
      <c r="B349" s="15"/>
      <c r="C349" s="16"/>
      <c r="D349" s="15"/>
      <c r="E349" s="17"/>
      <c r="F349" s="54"/>
      <c r="G349" s="19"/>
      <c r="H349" s="17"/>
      <c r="I349" s="19"/>
      <c r="J349" s="21"/>
      <c r="K349" s="57"/>
      <c r="L349" s="24"/>
      <c r="M349" s="25"/>
      <c r="N349" s="25"/>
      <c r="O349" s="26"/>
      <c r="P349" s="26"/>
    </row>
    <row r="350">
      <c r="A350" s="52"/>
      <c r="B350" s="15"/>
      <c r="C350" s="16"/>
      <c r="D350" s="15"/>
      <c r="E350" s="17"/>
      <c r="F350" s="54"/>
      <c r="G350" s="19"/>
      <c r="H350" s="17"/>
      <c r="I350" s="19"/>
      <c r="J350" s="21"/>
      <c r="K350" s="57"/>
      <c r="L350" s="24"/>
      <c r="M350" s="25"/>
      <c r="N350" s="25"/>
      <c r="O350" s="26"/>
      <c r="P350" s="26"/>
    </row>
    <row r="351">
      <c r="A351" s="52"/>
      <c r="B351" s="15"/>
      <c r="C351" s="16"/>
      <c r="D351" s="15"/>
      <c r="E351" s="17"/>
      <c r="F351" s="54"/>
      <c r="G351" s="19"/>
      <c r="H351" s="17"/>
      <c r="I351" s="19"/>
      <c r="J351" s="21"/>
      <c r="K351" s="57"/>
      <c r="L351" s="24"/>
      <c r="M351" s="25"/>
      <c r="N351" s="25"/>
      <c r="O351" s="26"/>
      <c r="P351" s="26"/>
    </row>
    <row r="352">
      <c r="A352" s="52"/>
      <c r="B352" s="15"/>
      <c r="C352" s="16"/>
      <c r="D352" s="15"/>
      <c r="E352" s="17"/>
      <c r="F352" s="54"/>
      <c r="G352" s="19"/>
      <c r="H352" s="17"/>
      <c r="I352" s="19"/>
      <c r="J352" s="21"/>
      <c r="K352" s="57"/>
      <c r="L352" s="24"/>
      <c r="M352" s="25"/>
      <c r="N352" s="25"/>
      <c r="O352" s="26"/>
      <c r="P352" s="26"/>
    </row>
    <row r="353">
      <c r="A353" s="52"/>
      <c r="B353" s="15"/>
      <c r="C353" s="16"/>
      <c r="D353" s="15"/>
      <c r="E353" s="17"/>
      <c r="F353" s="54"/>
      <c r="G353" s="19"/>
      <c r="H353" s="17"/>
      <c r="I353" s="19"/>
      <c r="J353" s="21"/>
      <c r="K353" s="57"/>
      <c r="L353" s="24"/>
      <c r="M353" s="25"/>
      <c r="N353" s="25"/>
      <c r="O353" s="26"/>
      <c r="P353" s="26"/>
    </row>
    <row r="354">
      <c r="A354" s="52"/>
      <c r="B354" s="15"/>
      <c r="C354" s="16"/>
      <c r="D354" s="15"/>
      <c r="E354" s="17"/>
      <c r="F354" s="18"/>
      <c r="G354" s="19"/>
      <c r="H354" s="17"/>
      <c r="I354" s="19"/>
      <c r="J354" s="21"/>
      <c r="K354" s="57"/>
      <c r="L354" s="24"/>
      <c r="M354" s="25"/>
      <c r="N354" s="25"/>
      <c r="O354" s="26"/>
      <c r="P354" s="26"/>
    </row>
    <row r="355">
      <c r="A355" s="52"/>
      <c r="B355" s="15"/>
      <c r="C355" s="16"/>
      <c r="D355" s="15"/>
      <c r="E355" s="17"/>
      <c r="F355" s="54"/>
      <c r="G355" s="19"/>
      <c r="H355" s="17"/>
      <c r="I355" s="19"/>
      <c r="J355" s="21"/>
      <c r="K355" s="57"/>
      <c r="L355" s="24"/>
      <c r="M355" s="25"/>
      <c r="N355" s="25"/>
      <c r="O355" s="26"/>
      <c r="P355" s="26"/>
    </row>
    <row r="356">
      <c r="A356" s="52"/>
      <c r="B356" s="15"/>
      <c r="C356" s="16"/>
      <c r="D356" s="15"/>
      <c r="E356" s="17"/>
      <c r="F356" s="18"/>
      <c r="G356" s="19"/>
      <c r="H356" s="17"/>
      <c r="I356" s="19"/>
      <c r="J356" s="21"/>
      <c r="K356" s="57"/>
      <c r="L356" s="24"/>
      <c r="M356" s="25"/>
      <c r="N356" s="25"/>
      <c r="O356" s="26"/>
      <c r="P356" s="26"/>
    </row>
    <row r="357">
      <c r="A357" s="52"/>
      <c r="B357" s="15"/>
      <c r="C357" s="16"/>
      <c r="D357" s="15"/>
      <c r="E357" s="17"/>
      <c r="F357" s="54"/>
      <c r="G357" s="19"/>
      <c r="H357" s="17"/>
      <c r="I357" s="19"/>
      <c r="J357" s="21"/>
      <c r="K357" s="57"/>
      <c r="L357" s="24"/>
      <c r="M357" s="25"/>
      <c r="N357" s="25"/>
      <c r="O357" s="26"/>
      <c r="P357" s="26"/>
    </row>
    <row r="358">
      <c r="A358" s="52"/>
      <c r="B358" s="15"/>
      <c r="C358" s="16"/>
      <c r="D358" s="15"/>
      <c r="E358" s="17"/>
      <c r="F358" s="54"/>
      <c r="G358" s="19"/>
      <c r="H358" s="17"/>
      <c r="I358" s="19"/>
      <c r="J358" s="21"/>
      <c r="K358" s="57"/>
      <c r="L358" s="24"/>
      <c r="M358" s="25"/>
      <c r="N358" s="25"/>
      <c r="O358" s="26"/>
      <c r="P358" s="26"/>
    </row>
    <row r="359">
      <c r="A359" s="52"/>
      <c r="B359" s="15"/>
      <c r="C359" s="16"/>
      <c r="D359" s="15"/>
      <c r="E359" s="17"/>
      <c r="F359" s="54"/>
      <c r="G359" s="19"/>
      <c r="H359" s="17"/>
      <c r="I359" s="19"/>
      <c r="J359" s="21"/>
      <c r="K359" s="57"/>
      <c r="L359" s="24"/>
      <c r="M359" s="25"/>
      <c r="N359" s="25"/>
      <c r="O359" s="26"/>
      <c r="P359" s="26"/>
    </row>
    <row r="360">
      <c r="A360" s="52"/>
      <c r="B360" s="15"/>
      <c r="C360" s="16"/>
      <c r="D360" s="15"/>
      <c r="E360" s="17"/>
      <c r="F360" s="18"/>
      <c r="G360" s="19"/>
      <c r="H360" s="17"/>
      <c r="I360" s="19"/>
      <c r="J360" s="21"/>
      <c r="K360" s="57"/>
      <c r="L360" s="24"/>
      <c r="M360" s="25"/>
      <c r="N360" s="25"/>
      <c r="O360" s="26"/>
      <c r="P360" s="26"/>
    </row>
    <row r="361">
      <c r="A361" s="52"/>
      <c r="B361" s="15"/>
      <c r="C361" s="16"/>
      <c r="D361" s="15"/>
      <c r="E361" s="17"/>
      <c r="F361" s="54"/>
      <c r="G361" s="19"/>
      <c r="H361" s="17"/>
      <c r="I361" s="19"/>
      <c r="J361" s="21"/>
      <c r="K361" s="57"/>
      <c r="L361" s="24"/>
      <c r="M361" s="25"/>
      <c r="N361" s="25"/>
      <c r="O361" s="26"/>
      <c r="P361" s="26"/>
    </row>
    <row r="362">
      <c r="A362" s="52"/>
      <c r="B362" s="15"/>
      <c r="C362" s="16"/>
      <c r="D362" s="15"/>
      <c r="E362" s="17"/>
      <c r="F362" s="54"/>
      <c r="G362" s="19"/>
      <c r="H362" s="17"/>
      <c r="I362" s="19"/>
      <c r="J362" s="21"/>
      <c r="K362" s="57"/>
      <c r="L362" s="24"/>
      <c r="M362" s="25"/>
      <c r="N362" s="25"/>
      <c r="O362" s="26"/>
      <c r="P362" s="26"/>
    </row>
    <row r="363">
      <c r="A363" s="52"/>
      <c r="B363" s="15"/>
      <c r="C363" s="16"/>
      <c r="D363" s="15"/>
      <c r="E363" s="17"/>
      <c r="F363" s="54"/>
      <c r="G363" s="19"/>
      <c r="H363" s="17"/>
      <c r="I363" s="19"/>
      <c r="J363" s="21"/>
      <c r="K363" s="57"/>
      <c r="L363" s="24"/>
      <c r="M363" s="25"/>
      <c r="N363" s="25"/>
      <c r="O363" s="26"/>
      <c r="P363" s="26"/>
    </row>
    <row r="364">
      <c r="A364" s="52"/>
      <c r="B364" s="15"/>
      <c r="C364" s="16"/>
      <c r="D364" s="15"/>
      <c r="E364" s="17"/>
      <c r="F364" s="54"/>
      <c r="G364" s="19"/>
      <c r="H364" s="17"/>
      <c r="I364" s="19"/>
      <c r="J364" s="21"/>
      <c r="K364" s="57"/>
      <c r="L364" s="24"/>
      <c r="M364" s="25"/>
      <c r="N364" s="25"/>
      <c r="O364" s="26"/>
      <c r="P364" s="26"/>
    </row>
    <row r="365">
      <c r="A365" s="52"/>
      <c r="B365" s="15"/>
      <c r="C365" s="16"/>
      <c r="D365" s="15"/>
      <c r="E365" s="17"/>
      <c r="F365" s="54"/>
      <c r="G365" s="19"/>
      <c r="H365" s="17"/>
      <c r="I365" s="19"/>
      <c r="J365" s="21"/>
      <c r="K365" s="57"/>
      <c r="L365" s="24"/>
      <c r="M365" s="25"/>
      <c r="N365" s="25"/>
      <c r="O365" s="26"/>
      <c r="P365" s="26"/>
    </row>
    <row r="366">
      <c r="A366" s="52"/>
      <c r="B366" s="15"/>
      <c r="C366" s="16"/>
      <c r="D366" s="15"/>
      <c r="E366" s="17"/>
      <c r="F366" s="54"/>
      <c r="G366" s="19"/>
      <c r="H366" s="17"/>
      <c r="I366" s="19"/>
      <c r="J366" s="21"/>
      <c r="K366" s="57"/>
      <c r="L366" s="24"/>
      <c r="M366" s="25"/>
      <c r="N366" s="25"/>
      <c r="O366" s="26"/>
      <c r="P366" s="26"/>
    </row>
    <row r="367">
      <c r="A367" s="52"/>
      <c r="B367" s="15"/>
      <c r="C367" s="16"/>
      <c r="D367" s="15"/>
      <c r="E367" s="17"/>
      <c r="F367" s="54"/>
      <c r="G367" s="19"/>
      <c r="H367" s="17"/>
      <c r="I367" s="19"/>
      <c r="J367" s="21"/>
      <c r="K367" s="57"/>
      <c r="L367" s="24"/>
      <c r="M367" s="25"/>
      <c r="N367" s="25"/>
      <c r="O367" s="26"/>
      <c r="P367" s="26"/>
    </row>
    <row r="368">
      <c r="A368" s="52"/>
      <c r="B368" s="15"/>
      <c r="C368" s="16"/>
      <c r="D368" s="15"/>
      <c r="E368" s="17"/>
      <c r="F368" s="54"/>
      <c r="G368" s="19"/>
      <c r="H368" s="17"/>
      <c r="I368" s="19"/>
      <c r="J368" s="21"/>
      <c r="K368" s="57"/>
      <c r="L368" s="24"/>
      <c r="M368" s="25"/>
      <c r="N368" s="25"/>
      <c r="O368" s="26"/>
      <c r="P368" s="26"/>
    </row>
    <row r="369">
      <c r="A369" s="52"/>
      <c r="B369" s="15"/>
      <c r="C369" s="16"/>
      <c r="D369" s="15"/>
      <c r="E369" s="17"/>
      <c r="F369" s="54"/>
      <c r="G369" s="19"/>
      <c r="H369" s="17"/>
      <c r="I369" s="19"/>
      <c r="J369" s="21"/>
      <c r="K369" s="57"/>
      <c r="L369" s="24"/>
      <c r="M369" s="25"/>
      <c r="N369" s="25"/>
      <c r="O369" s="26"/>
      <c r="P369" s="26"/>
    </row>
    <row r="370">
      <c r="A370" s="52"/>
      <c r="B370" s="15"/>
      <c r="C370" s="16"/>
      <c r="D370" s="15"/>
      <c r="E370" s="17"/>
      <c r="F370" s="54"/>
      <c r="G370" s="19"/>
      <c r="H370" s="17"/>
      <c r="I370" s="19"/>
      <c r="J370" s="21"/>
      <c r="K370" s="57"/>
      <c r="L370" s="24"/>
      <c r="M370" s="25"/>
      <c r="N370" s="25"/>
      <c r="O370" s="26"/>
      <c r="P370" s="26"/>
    </row>
    <row r="371">
      <c r="A371" s="52"/>
      <c r="B371" s="15"/>
      <c r="C371" s="16"/>
      <c r="D371" s="15"/>
      <c r="E371" s="17"/>
      <c r="F371" s="54"/>
      <c r="G371" s="19"/>
      <c r="H371" s="17"/>
      <c r="I371" s="19"/>
      <c r="J371" s="21"/>
      <c r="K371" s="57"/>
      <c r="L371" s="24"/>
      <c r="M371" s="25"/>
      <c r="N371" s="25"/>
      <c r="O371" s="26"/>
      <c r="P371" s="26"/>
    </row>
    <row r="372">
      <c r="A372" s="52"/>
      <c r="B372" s="15"/>
      <c r="C372" s="16"/>
      <c r="D372" s="15"/>
      <c r="E372" s="17"/>
      <c r="F372" s="54"/>
      <c r="G372" s="19"/>
      <c r="H372" s="17"/>
      <c r="I372" s="19"/>
      <c r="J372" s="21"/>
      <c r="K372" s="57"/>
      <c r="L372" s="24"/>
      <c r="M372" s="25"/>
      <c r="N372" s="25"/>
      <c r="O372" s="26"/>
      <c r="P372" s="26"/>
    </row>
    <row r="373">
      <c r="A373" s="52"/>
      <c r="B373" s="15"/>
      <c r="C373" s="16"/>
      <c r="D373" s="15"/>
      <c r="E373" s="17"/>
      <c r="F373" s="54"/>
      <c r="G373" s="19"/>
      <c r="H373" s="17"/>
      <c r="I373" s="19"/>
      <c r="J373" s="21"/>
      <c r="K373" s="57"/>
      <c r="L373" s="24"/>
      <c r="M373" s="25"/>
      <c r="N373" s="25"/>
      <c r="O373" s="26"/>
      <c r="P373" s="26"/>
    </row>
    <row r="374">
      <c r="A374" s="52"/>
      <c r="B374" s="15"/>
      <c r="C374" s="16"/>
      <c r="D374" s="15"/>
      <c r="E374" s="17"/>
      <c r="F374" s="54"/>
      <c r="G374" s="19"/>
      <c r="H374" s="17"/>
      <c r="I374" s="19"/>
      <c r="J374" s="21"/>
      <c r="K374" s="57"/>
      <c r="L374" s="24"/>
      <c r="M374" s="25"/>
      <c r="N374" s="25"/>
      <c r="O374" s="26"/>
      <c r="P374" s="26"/>
    </row>
    <row r="375">
      <c r="A375" s="52"/>
      <c r="B375" s="15"/>
      <c r="C375" s="16"/>
      <c r="D375" s="15"/>
      <c r="E375" s="17"/>
      <c r="F375" s="54"/>
      <c r="G375" s="19"/>
      <c r="H375" s="17"/>
      <c r="I375" s="19"/>
      <c r="J375" s="21"/>
      <c r="K375" s="57"/>
      <c r="L375" s="24"/>
      <c r="M375" s="25"/>
      <c r="N375" s="25"/>
      <c r="O375" s="26"/>
      <c r="P375" s="26"/>
    </row>
    <row r="376">
      <c r="A376" s="52"/>
      <c r="B376" s="15"/>
      <c r="C376" s="16"/>
      <c r="D376" s="15"/>
      <c r="E376" s="17"/>
      <c r="F376" s="54"/>
      <c r="G376" s="19"/>
      <c r="H376" s="17"/>
      <c r="I376" s="19"/>
      <c r="J376" s="21"/>
      <c r="K376" s="57"/>
      <c r="L376" s="24"/>
      <c r="M376" s="25"/>
      <c r="N376" s="25"/>
      <c r="O376" s="26"/>
      <c r="P376" s="26"/>
    </row>
    <row r="377">
      <c r="A377" s="52"/>
      <c r="B377" s="15"/>
      <c r="C377" s="16"/>
      <c r="D377" s="15"/>
      <c r="E377" s="17"/>
      <c r="F377" s="54"/>
      <c r="G377" s="19"/>
      <c r="H377" s="17"/>
      <c r="I377" s="19"/>
      <c r="J377" s="21"/>
      <c r="K377" s="57"/>
      <c r="L377" s="24"/>
      <c r="M377" s="25"/>
      <c r="N377" s="25"/>
      <c r="O377" s="26"/>
      <c r="P377" s="26"/>
    </row>
    <row r="378">
      <c r="A378" s="52"/>
      <c r="B378" s="15"/>
      <c r="C378" s="16"/>
      <c r="D378" s="15"/>
      <c r="E378" s="17"/>
      <c r="F378" s="54"/>
      <c r="G378" s="19"/>
      <c r="H378" s="17"/>
      <c r="I378" s="19"/>
      <c r="J378" s="21"/>
      <c r="K378" s="57"/>
      <c r="L378" s="24"/>
      <c r="M378" s="25"/>
      <c r="N378" s="25"/>
      <c r="O378" s="26"/>
      <c r="P378" s="26"/>
    </row>
    <row r="379">
      <c r="A379" s="52"/>
      <c r="B379" s="15"/>
      <c r="C379" s="16"/>
      <c r="D379" s="15"/>
      <c r="E379" s="17"/>
      <c r="F379" s="54"/>
      <c r="G379" s="19"/>
      <c r="H379" s="17"/>
      <c r="I379" s="19"/>
      <c r="J379" s="21"/>
      <c r="K379" s="57"/>
      <c r="L379" s="24"/>
      <c r="M379" s="25"/>
      <c r="N379" s="25"/>
      <c r="O379" s="26"/>
      <c r="P379" s="26"/>
    </row>
    <row r="380">
      <c r="A380" s="52"/>
      <c r="B380" s="15"/>
      <c r="C380" s="16"/>
      <c r="D380" s="15"/>
      <c r="E380" s="17"/>
      <c r="F380" s="54"/>
      <c r="G380" s="19"/>
      <c r="H380" s="17"/>
      <c r="I380" s="19"/>
      <c r="J380" s="21"/>
      <c r="K380" s="57"/>
      <c r="L380" s="24"/>
      <c r="M380" s="25"/>
      <c r="N380" s="25"/>
      <c r="O380" s="26"/>
      <c r="P380" s="26"/>
    </row>
    <row r="381">
      <c r="A381" s="52"/>
      <c r="B381" s="15"/>
      <c r="C381" s="16"/>
      <c r="D381" s="15"/>
      <c r="E381" s="17"/>
      <c r="F381" s="54"/>
      <c r="G381" s="19"/>
      <c r="H381" s="17"/>
      <c r="I381" s="19"/>
      <c r="J381" s="21"/>
      <c r="K381" s="57"/>
      <c r="L381" s="24"/>
      <c r="M381" s="25"/>
      <c r="N381" s="25"/>
      <c r="O381" s="26"/>
      <c r="P381" s="26"/>
    </row>
    <row r="382">
      <c r="A382" s="52"/>
      <c r="B382" s="15"/>
      <c r="C382" s="16"/>
      <c r="D382" s="15"/>
      <c r="E382" s="17"/>
      <c r="F382" s="54"/>
      <c r="G382" s="19"/>
      <c r="H382" s="17"/>
      <c r="I382" s="19"/>
      <c r="J382" s="21"/>
      <c r="K382" s="57"/>
      <c r="L382" s="24"/>
      <c r="M382" s="25"/>
      <c r="N382" s="25"/>
      <c r="O382" s="26"/>
      <c r="P382" s="26"/>
    </row>
    <row r="383">
      <c r="A383" s="52"/>
      <c r="B383" s="15"/>
      <c r="C383" s="16"/>
      <c r="D383" s="15"/>
      <c r="E383" s="17"/>
      <c r="F383" s="54"/>
      <c r="G383" s="19"/>
      <c r="H383" s="17"/>
      <c r="I383" s="19"/>
      <c r="J383" s="21"/>
      <c r="K383" s="57"/>
      <c r="L383" s="24"/>
      <c r="M383" s="25"/>
      <c r="N383" s="25"/>
      <c r="O383" s="26"/>
      <c r="P383" s="26"/>
    </row>
    <row r="384">
      <c r="A384" s="52"/>
      <c r="B384" s="15"/>
      <c r="C384" s="16"/>
      <c r="D384" s="15"/>
      <c r="E384" s="17"/>
      <c r="F384" s="54"/>
      <c r="G384" s="19"/>
      <c r="H384" s="17"/>
      <c r="I384" s="19"/>
      <c r="J384" s="21"/>
      <c r="K384" s="57"/>
      <c r="L384" s="24"/>
      <c r="M384" s="25"/>
      <c r="N384" s="25"/>
      <c r="O384" s="26"/>
      <c r="P384" s="26"/>
    </row>
    <row r="385">
      <c r="A385" s="52"/>
      <c r="B385" s="15"/>
      <c r="C385" s="16"/>
      <c r="D385" s="15"/>
      <c r="E385" s="17"/>
      <c r="F385" s="54"/>
      <c r="G385" s="19"/>
      <c r="H385" s="17"/>
      <c r="I385" s="19"/>
      <c r="J385" s="21"/>
      <c r="K385" s="57"/>
      <c r="L385" s="24"/>
      <c r="M385" s="25"/>
      <c r="N385" s="25"/>
      <c r="O385" s="26"/>
      <c r="P385" s="26"/>
    </row>
    <row r="386">
      <c r="A386" s="52"/>
      <c r="B386" s="15"/>
      <c r="C386" s="16"/>
      <c r="D386" s="15"/>
      <c r="E386" s="17"/>
      <c r="F386" s="54"/>
      <c r="G386" s="19"/>
      <c r="H386" s="17"/>
      <c r="I386" s="19"/>
      <c r="J386" s="21"/>
      <c r="K386" s="57"/>
      <c r="L386" s="24"/>
      <c r="M386" s="25"/>
      <c r="N386" s="25"/>
      <c r="O386" s="26"/>
      <c r="P386" s="26"/>
    </row>
    <row r="387">
      <c r="A387" s="52"/>
      <c r="B387" s="15"/>
      <c r="C387" s="16"/>
      <c r="D387" s="15"/>
      <c r="E387" s="17"/>
      <c r="F387" s="54"/>
      <c r="G387" s="19"/>
      <c r="H387" s="17"/>
      <c r="I387" s="19"/>
      <c r="J387" s="21"/>
      <c r="K387" s="57"/>
      <c r="L387" s="24"/>
      <c r="M387" s="25"/>
      <c r="N387" s="25"/>
      <c r="O387" s="26"/>
      <c r="P387" s="26"/>
    </row>
    <row r="388">
      <c r="A388" s="52"/>
      <c r="B388" s="15"/>
      <c r="C388" s="16"/>
      <c r="D388" s="15"/>
      <c r="E388" s="17"/>
      <c r="F388" s="54"/>
      <c r="G388" s="19"/>
      <c r="H388" s="17"/>
      <c r="I388" s="19"/>
      <c r="J388" s="21"/>
      <c r="K388" s="57"/>
      <c r="L388" s="24"/>
      <c r="M388" s="25"/>
      <c r="N388" s="25"/>
      <c r="O388" s="26"/>
      <c r="P388" s="26"/>
    </row>
    <row r="389">
      <c r="A389" s="52"/>
      <c r="B389" s="15"/>
      <c r="C389" s="16"/>
      <c r="D389" s="15"/>
      <c r="E389" s="17"/>
      <c r="F389" s="54"/>
      <c r="G389" s="19"/>
      <c r="H389" s="17"/>
      <c r="I389" s="19"/>
      <c r="J389" s="21"/>
      <c r="K389" s="57"/>
      <c r="L389" s="24"/>
      <c r="M389" s="25"/>
      <c r="N389" s="25"/>
      <c r="O389" s="26"/>
      <c r="P389" s="26"/>
    </row>
    <row r="390">
      <c r="A390" s="52"/>
      <c r="B390" s="15"/>
      <c r="C390" s="16"/>
      <c r="D390" s="15"/>
      <c r="E390" s="17"/>
      <c r="F390" s="54"/>
      <c r="G390" s="19"/>
      <c r="H390" s="17"/>
      <c r="I390" s="19"/>
      <c r="J390" s="21"/>
      <c r="K390" s="57"/>
      <c r="L390" s="24"/>
      <c r="M390" s="25"/>
      <c r="N390" s="25"/>
      <c r="O390" s="26"/>
      <c r="P390" s="26"/>
    </row>
    <row r="391">
      <c r="A391" s="52"/>
      <c r="B391" s="15"/>
      <c r="C391" s="16"/>
      <c r="D391" s="15"/>
      <c r="E391" s="17"/>
      <c r="F391" s="54"/>
      <c r="G391" s="19"/>
      <c r="H391" s="17"/>
      <c r="I391" s="19"/>
      <c r="J391" s="21"/>
      <c r="K391" s="57"/>
      <c r="L391" s="24"/>
      <c r="M391" s="25"/>
      <c r="N391" s="25"/>
      <c r="O391" s="26"/>
      <c r="P391" s="26"/>
    </row>
    <row r="392">
      <c r="A392" s="52"/>
      <c r="B392" s="15"/>
      <c r="C392" s="16"/>
      <c r="D392" s="15"/>
      <c r="E392" s="17"/>
      <c r="F392" s="54"/>
      <c r="G392" s="19"/>
      <c r="H392" s="17"/>
      <c r="I392" s="19"/>
      <c r="J392" s="21"/>
      <c r="K392" s="57"/>
      <c r="L392" s="24"/>
      <c r="M392" s="25"/>
      <c r="N392" s="25"/>
      <c r="O392" s="26"/>
      <c r="P392" s="26"/>
    </row>
    <row r="393">
      <c r="A393" s="52"/>
      <c r="B393" s="15"/>
      <c r="C393" s="16"/>
      <c r="D393" s="15"/>
      <c r="E393" s="17"/>
      <c r="F393" s="54"/>
      <c r="G393" s="19"/>
      <c r="H393" s="17"/>
      <c r="I393" s="19"/>
      <c r="J393" s="21"/>
      <c r="K393" s="57"/>
      <c r="L393" s="24"/>
      <c r="M393" s="25"/>
      <c r="N393" s="25"/>
      <c r="O393" s="26"/>
      <c r="P393" s="26"/>
    </row>
    <row r="394">
      <c r="A394" s="52"/>
      <c r="B394" s="15"/>
      <c r="C394" s="16"/>
      <c r="D394" s="15"/>
      <c r="E394" s="17"/>
      <c r="F394" s="54"/>
      <c r="G394" s="19"/>
      <c r="H394" s="17"/>
      <c r="I394" s="19"/>
      <c r="J394" s="21"/>
      <c r="K394" s="57"/>
      <c r="L394" s="24"/>
      <c r="M394" s="25"/>
      <c r="N394" s="25"/>
      <c r="O394" s="26"/>
      <c r="P394" s="26"/>
    </row>
    <row r="395">
      <c r="A395" s="52"/>
      <c r="B395" s="15"/>
      <c r="C395" s="16"/>
      <c r="D395" s="15"/>
      <c r="E395" s="17"/>
      <c r="F395" s="54"/>
      <c r="G395" s="19"/>
      <c r="H395" s="17"/>
      <c r="I395" s="19"/>
      <c r="J395" s="21"/>
      <c r="K395" s="57"/>
      <c r="L395" s="24"/>
      <c r="M395" s="25"/>
      <c r="N395" s="25"/>
      <c r="O395" s="26"/>
      <c r="P395" s="26"/>
    </row>
    <row r="396">
      <c r="A396" s="52"/>
      <c r="B396" s="15"/>
      <c r="C396" s="16"/>
      <c r="D396" s="15"/>
      <c r="E396" s="17"/>
      <c r="F396" s="54"/>
      <c r="G396" s="19"/>
      <c r="H396" s="17"/>
      <c r="I396" s="19"/>
      <c r="J396" s="21"/>
      <c r="K396" s="57"/>
      <c r="L396" s="24"/>
      <c r="M396" s="25"/>
      <c r="N396" s="25"/>
      <c r="O396" s="26"/>
      <c r="P396" s="26"/>
    </row>
    <row r="397">
      <c r="A397" s="52"/>
      <c r="B397" s="15"/>
      <c r="C397" s="16"/>
      <c r="D397" s="15"/>
      <c r="E397" s="17"/>
      <c r="F397" s="54"/>
      <c r="G397" s="19"/>
      <c r="H397" s="17"/>
      <c r="I397" s="19"/>
      <c r="J397" s="21"/>
      <c r="K397" s="57"/>
      <c r="L397" s="24"/>
      <c r="M397" s="25"/>
      <c r="N397" s="25"/>
      <c r="O397" s="26"/>
      <c r="P397" s="26"/>
    </row>
    <row r="398">
      <c r="A398" s="52"/>
      <c r="B398" s="15"/>
      <c r="C398" s="16"/>
      <c r="D398" s="15"/>
      <c r="E398" s="17"/>
      <c r="F398" s="54"/>
      <c r="G398" s="19"/>
      <c r="H398" s="17"/>
      <c r="I398" s="19"/>
      <c r="J398" s="21"/>
      <c r="K398" s="57"/>
      <c r="L398" s="24"/>
      <c r="M398" s="25"/>
      <c r="N398" s="25"/>
      <c r="O398" s="26"/>
      <c r="P398" s="26"/>
    </row>
    <row r="399">
      <c r="A399" s="52"/>
      <c r="B399" s="15"/>
      <c r="C399" s="16"/>
      <c r="D399" s="15"/>
      <c r="E399" s="17"/>
      <c r="F399" s="54"/>
      <c r="G399" s="19"/>
      <c r="H399" s="17"/>
      <c r="I399" s="19"/>
      <c r="J399" s="21"/>
      <c r="K399" s="57"/>
      <c r="L399" s="24"/>
      <c r="M399" s="25"/>
      <c r="N399" s="25"/>
      <c r="O399" s="26"/>
      <c r="P399" s="26"/>
    </row>
    <row r="400">
      <c r="A400" s="52"/>
      <c r="B400" s="15"/>
      <c r="C400" s="16"/>
      <c r="D400" s="15"/>
      <c r="E400" s="17"/>
      <c r="F400" s="54"/>
      <c r="G400" s="19"/>
      <c r="H400" s="17"/>
      <c r="I400" s="19"/>
      <c r="J400" s="21"/>
      <c r="K400" s="57"/>
      <c r="L400" s="24"/>
      <c r="M400" s="25"/>
      <c r="N400" s="25"/>
      <c r="O400" s="26"/>
      <c r="P400" s="26"/>
    </row>
    <row r="401">
      <c r="A401" s="52"/>
      <c r="B401" s="15"/>
      <c r="C401" s="16"/>
      <c r="D401" s="15"/>
      <c r="E401" s="17"/>
      <c r="F401" s="54"/>
      <c r="G401" s="19"/>
      <c r="H401" s="17"/>
      <c r="I401" s="19"/>
      <c r="J401" s="21"/>
      <c r="K401" s="57"/>
      <c r="L401" s="24"/>
      <c r="M401" s="25"/>
      <c r="N401" s="25"/>
      <c r="O401" s="26"/>
      <c r="P401" s="26"/>
    </row>
    <row r="402">
      <c r="A402" s="52"/>
      <c r="B402" s="15"/>
      <c r="C402" s="16"/>
      <c r="D402" s="15"/>
      <c r="E402" s="17"/>
      <c r="F402" s="54"/>
      <c r="G402" s="19"/>
      <c r="H402" s="17"/>
      <c r="I402" s="19"/>
      <c r="J402" s="21"/>
      <c r="K402" s="57"/>
      <c r="L402" s="24"/>
      <c r="M402" s="25"/>
      <c r="N402" s="25"/>
      <c r="O402" s="26"/>
      <c r="P402" s="26"/>
    </row>
    <row r="403">
      <c r="A403" s="52"/>
      <c r="B403" s="15"/>
      <c r="C403" s="16"/>
      <c r="D403" s="15"/>
      <c r="E403" s="17"/>
      <c r="F403" s="54"/>
      <c r="G403" s="19"/>
      <c r="H403" s="17"/>
      <c r="I403" s="19"/>
      <c r="J403" s="21"/>
      <c r="K403" s="57"/>
      <c r="L403" s="24"/>
      <c r="M403" s="25"/>
      <c r="N403" s="25"/>
      <c r="O403" s="26"/>
      <c r="P403" s="26"/>
    </row>
    <row r="404">
      <c r="A404" s="52"/>
      <c r="B404" s="15"/>
      <c r="C404" s="16"/>
      <c r="D404" s="15"/>
      <c r="E404" s="17"/>
      <c r="F404" s="54"/>
      <c r="G404" s="19"/>
      <c r="H404" s="17"/>
      <c r="I404" s="19"/>
      <c r="J404" s="21"/>
      <c r="K404" s="57"/>
      <c r="L404" s="24"/>
      <c r="M404" s="25"/>
      <c r="N404" s="25"/>
      <c r="O404" s="26"/>
      <c r="P404" s="26"/>
    </row>
    <row r="405">
      <c r="A405" s="52"/>
      <c r="B405" s="15"/>
      <c r="C405" s="16"/>
      <c r="D405" s="15"/>
      <c r="E405" s="17"/>
      <c r="F405" s="54"/>
      <c r="G405" s="19"/>
      <c r="H405" s="17"/>
      <c r="I405" s="19"/>
      <c r="J405" s="21"/>
      <c r="K405" s="57"/>
      <c r="L405" s="24"/>
      <c r="M405" s="25"/>
      <c r="N405" s="25"/>
      <c r="O405" s="26"/>
      <c r="P405" s="26"/>
    </row>
    <row r="406">
      <c r="A406" s="52"/>
      <c r="B406" s="15"/>
      <c r="C406" s="16"/>
      <c r="D406" s="15"/>
      <c r="E406" s="17"/>
      <c r="F406" s="54"/>
      <c r="G406" s="19"/>
      <c r="H406" s="17"/>
      <c r="I406" s="19"/>
      <c r="J406" s="21"/>
      <c r="K406" s="57"/>
      <c r="L406" s="24"/>
      <c r="M406" s="25"/>
      <c r="N406" s="25"/>
      <c r="O406" s="26"/>
      <c r="P406" s="26"/>
    </row>
    <row r="407">
      <c r="A407" s="52"/>
      <c r="B407" s="15"/>
      <c r="C407" s="16"/>
      <c r="D407" s="15"/>
      <c r="E407" s="17"/>
      <c r="F407" s="54"/>
      <c r="G407" s="19"/>
      <c r="H407" s="17"/>
      <c r="I407" s="19"/>
      <c r="J407" s="21"/>
      <c r="K407" s="57"/>
      <c r="L407" s="24"/>
      <c r="M407" s="25"/>
      <c r="N407" s="25"/>
      <c r="O407" s="26"/>
      <c r="P407" s="26"/>
    </row>
    <row r="408">
      <c r="A408" s="52"/>
      <c r="B408" s="15"/>
      <c r="C408" s="16"/>
      <c r="D408" s="15"/>
      <c r="E408" s="17"/>
      <c r="F408" s="54"/>
      <c r="G408" s="19"/>
      <c r="H408" s="17"/>
      <c r="I408" s="19"/>
      <c r="J408" s="21"/>
      <c r="K408" s="57"/>
      <c r="L408" s="24"/>
      <c r="M408" s="25"/>
      <c r="N408" s="25"/>
      <c r="O408" s="26"/>
      <c r="P408" s="26"/>
    </row>
    <row r="409">
      <c r="A409" s="52"/>
      <c r="B409" s="15"/>
      <c r="C409" s="16"/>
      <c r="D409" s="15"/>
      <c r="E409" s="17"/>
      <c r="F409" s="54"/>
      <c r="G409" s="19"/>
      <c r="H409" s="17"/>
      <c r="I409" s="19"/>
      <c r="J409" s="21"/>
      <c r="K409" s="57"/>
      <c r="L409" s="24"/>
      <c r="M409" s="25"/>
      <c r="N409" s="25"/>
      <c r="O409" s="26"/>
      <c r="P409" s="26"/>
    </row>
    <row r="410">
      <c r="A410" s="52"/>
      <c r="B410" s="15"/>
      <c r="C410" s="16"/>
      <c r="D410" s="15"/>
      <c r="E410" s="17"/>
      <c r="F410" s="54"/>
      <c r="G410" s="19"/>
      <c r="H410" s="17"/>
      <c r="I410" s="19"/>
      <c r="J410" s="21"/>
      <c r="K410" s="57"/>
      <c r="L410" s="24"/>
      <c r="M410" s="25"/>
      <c r="N410" s="25"/>
      <c r="O410" s="26"/>
      <c r="P410" s="26"/>
    </row>
    <row r="411">
      <c r="A411" s="52"/>
      <c r="B411" s="15"/>
      <c r="C411" s="16"/>
      <c r="D411" s="15"/>
      <c r="E411" s="17"/>
      <c r="F411" s="54"/>
      <c r="G411" s="19"/>
      <c r="H411" s="17"/>
      <c r="I411" s="19"/>
      <c r="J411" s="21"/>
      <c r="K411" s="57"/>
      <c r="L411" s="24"/>
      <c r="M411" s="25"/>
      <c r="N411" s="25"/>
      <c r="O411" s="26"/>
      <c r="P411" s="26"/>
    </row>
    <row r="412">
      <c r="A412" s="52"/>
      <c r="B412" s="15"/>
      <c r="C412" s="16"/>
      <c r="D412" s="15"/>
      <c r="E412" s="17"/>
      <c r="F412" s="54"/>
      <c r="G412" s="19"/>
      <c r="H412" s="17"/>
      <c r="I412" s="19"/>
      <c r="J412" s="21"/>
      <c r="K412" s="57"/>
      <c r="L412" s="24"/>
      <c r="M412" s="25"/>
      <c r="N412" s="25"/>
      <c r="O412" s="26"/>
      <c r="P412" s="26"/>
    </row>
    <row r="413">
      <c r="A413" s="52"/>
      <c r="B413" s="15"/>
      <c r="C413" s="16"/>
      <c r="D413" s="15"/>
      <c r="E413" s="17"/>
      <c r="F413" s="54"/>
      <c r="G413" s="19"/>
      <c r="H413" s="17"/>
      <c r="I413" s="19"/>
      <c r="J413" s="21"/>
      <c r="K413" s="57"/>
      <c r="L413" s="24"/>
      <c r="M413" s="25"/>
      <c r="N413" s="25"/>
      <c r="O413" s="26"/>
      <c r="P413" s="26"/>
    </row>
    <row r="414">
      <c r="A414" s="52"/>
      <c r="B414" s="15"/>
      <c r="C414" s="16"/>
      <c r="D414" s="15"/>
      <c r="E414" s="17"/>
      <c r="F414" s="54"/>
      <c r="G414" s="19"/>
      <c r="H414" s="17"/>
      <c r="I414" s="19"/>
      <c r="J414" s="21"/>
      <c r="K414" s="57"/>
      <c r="L414" s="24"/>
      <c r="M414" s="25"/>
      <c r="N414" s="25"/>
      <c r="O414" s="26"/>
      <c r="P414" s="26"/>
    </row>
    <row r="415">
      <c r="A415" s="52"/>
      <c r="B415" s="15"/>
      <c r="C415" s="16"/>
      <c r="D415" s="15"/>
      <c r="E415" s="17"/>
      <c r="F415" s="54"/>
      <c r="G415" s="19"/>
      <c r="H415" s="17"/>
      <c r="I415" s="19"/>
      <c r="J415" s="21"/>
      <c r="K415" s="57"/>
      <c r="L415" s="24"/>
      <c r="M415" s="25"/>
      <c r="N415" s="25"/>
      <c r="O415" s="26"/>
      <c r="P415" s="26"/>
    </row>
    <row r="416">
      <c r="A416" s="52"/>
      <c r="B416" s="15"/>
      <c r="C416" s="16"/>
      <c r="D416" s="15"/>
      <c r="E416" s="17"/>
      <c r="F416" s="54"/>
      <c r="G416" s="19"/>
      <c r="H416" s="17"/>
      <c r="I416" s="19"/>
      <c r="J416" s="21"/>
      <c r="K416" s="57"/>
      <c r="L416" s="24"/>
      <c r="M416" s="25"/>
      <c r="N416" s="25"/>
      <c r="O416" s="26"/>
      <c r="P416" s="26"/>
    </row>
    <row r="417">
      <c r="A417" s="52"/>
      <c r="B417" s="15"/>
      <c r="C417" s="16"/>
      <c r="D417" s="15"/>
      <c r="E417" s="17"/>
      <c r="F417" s="54"/>
      <c r="G417" s="19"/>
      <c r="H417" s="17"/>
      <c r="I417" s="19"/>
      <c r="J417" s="21"/>
      <c r="K417" s="57"/>
      <c r="L417" s="24"/>
      <c r="M417" s="25"/>
      <c r="N417" s="25"/>
      <c r="O417" s="26"/>
      <c r="P417" s="26"/>
    </row>
    <row r="418">
      <c r="A418" s="52"/>
      <c r="B418" s="15"/>
      <c r="C418" s="16"/>
      <c r="D418" s="15"/>
      <c r="E418" s="17"/>
      <c r="F418" s="54"/>
      <c r="G418" s="19"/>
      <c r="H418" s="17"/>
      <c r="I418" s="19"/>
      <c r="J418" s="21"/>
      <c r="K418" s="57"/>
      <c r="L418" s="24"/>
      <c r="M418" s="25"/>
      <c r="N418" s="25"/>
      <c r="O418" s="26"/>
      <c r="P418" s="26"/>
    </row>
    <row r="419">
      <c r="A419" s="52"/>
      <c r="B419" s="15"/>
      <c r="C419" s="16"/>
      <c r="D419" s="15"/>
      <c r="E419" s="17"/>
      <c r="F419" s="54"/>
      <c r="G419" s="19"/>
      <c r="H419" s="17"/>
      <c r="I419" s="19"/>
      <c r="J419" s="21"/>
      <c r="K419" s="57"/>
      <c r="L419" s="24"/>
      <c r="M419" s="25"/>
      <c r="N419" s="25"/>
      <c r="O419" s="26"/>
      <c r="P419" s="26"/>
    </row>
    <row r="420">
      <c r="A420" s="52"/>
      <c r="B420" s="15"/>
      <c r="C420" s="16"/>
      <c r="D420" s="15"/>
      <c r="E420" s="17"/>
      <c r="F420" s="54"/>
      <c r="G420" s="19"/>
      <c r="H420" s="17"/>
      <c r="I420" s="19"/>
      <c r="J420" s="21"/>
      <c r="K420" s="57"/>
      <c r="L420" s="24"/>
      <c r="M420" s="25"/>
      <c r="N420" s="25"/>
      <c r="O420" s="26"/>
      <c r="P420" s="26"/>
    </row>
    <row r="421">
      <c r="A421" s="52"/>
      <c r="B421" s="15"/>
      <c r="C421" s="16"/>
      <c r="D421" s="15"/>
      <c r="E421" s="17"/>
      <c r="F421" s="54"/>
      <c r="G421" s="19"/>
      <c r="H421" s="17"/>
      <c r="I421" s="19"/>
      <c r="J421" s="21"/>
      <c r="K421" s="57"/>
      <c r="L421" s="24"/>
      <c r="M421" s="25"/>
      <c r="N421" s="25"/>
      <c r="O421" s="26"/>
      <c r="P421" s="26"/>
    </row>
    <row r="422">
      <c r="A422" s="52"/>
      <c r="B422" s="15"/>
      <c r="C422" s="16"/>
      <c r="D422" s="15"/>
      <c r="E422" s="17"/>
      <c r="F422" s="54"/>
      <c r="G422" s="19"/>
      <c r="H422" s="17"/>
      <c r="I422" s="19"/>
      <c r="J422" s="21"/>
      <c r="K422" s="57"/>
      <c r="L422" s="24"/>
      <c r="M422" s="25"/>
      <c r="N422" s="25"/>
      <c r="O422" s="26"/>
      <c r="P422" s="26"/>
    </row>
    <row r="423">
      <c r="A423" s="52"/>
      <c r="B423" s="15"/>
      <c r="C423" s="16"/>
      <c r="D423" s="15"/>
      <c r="E423" s="17"/>
      <c r="F423" s="54"/>
      <c r="G423" s="19"/>
      <c r="H423" s="17"/>
      <c r="I423" s="19"/>
      <c r="J423" s="21"/>
      <c r="K423" s="57"/>
      <c r="L423" s="24"/>
      <c r="M423" s="25"/>
      <c r="N423" s="25"/>
      <c r="O423" s="26"/>
      <c r="P423" s="26"/>
    </row>
    <row r="424">
      <c r="A424" s="52"/>
      <c r="B424" s="15"/>
      <c r="C424" s="16"/>
      <c r="D424" s="15"/>
      <c r="E424" s="17"/>
      <c r="F424" s="54"/>
      <c r="G424" s="19"/>
      <c r="H424" s="17"/>
      <c r="I424" s="19"/>
      <c r="J424" s="21"/>
      <c r="K424" s="57"/>
      <c r="L424" s="24"/>
      <c r="M424" s="25"/>
      <c r="N424" s="25"/>
      <c r="O424" s="26"/>
      <c r="P424" s="26"/>
    </row>
    <row r="425">
      <c r="A425" s="52"/>
      <c r="B425" s="15"/>
      <c r="C425" s="16"/>
      <c r="D425" s="15"/>
      <c r="E425" s="17"/>
      <c r="F425" s="54"/>
      <c r="G425" s="19"/>
      <c r="H425" s="17"/>
      <c r="I425" s="19"/>
      <c r="J425" s="21"/>
      <c r="K425" s="57"/>
      <c r="L425" s="24"/>
      <c r="M425" s="25"/>
      <c r="N425" s="25"/>
      <c r="O425" s="26"/>
      <c r="P425" s="26"/>
    </row>
    <row r="426">
      <c r="A426" s="52"/>
      <c r="B426" s="15"/>
      <c r="C426" s="16"/>
      <c r="D426" s="15"/>
      <c r="E426" s="17"/>
      <c r="F426" s="54"/>
      <c r="G426" s="19"/>
      <c r="H426" s="17"/>
      <c r="I426" s="19"/>
      <c r="J426" s="21"/>
      <c r="K426" s="57"/>
      <c r="L426" s="24"/>
      <c r="M426" s="25"/>
      <c r="N426" s="25"/>
      <c r="O426" s="26"/>
      <c r="P426" s="26"/>
    </row>
    <row r="427">
      <c r="A427" s="52"/>
      <c r="B427" s="15"/>
      <c r="C427" s="16"/>
      <c r="D427" s="15"/>
      <c r="E427" s="17"/>
      <c r="F427" s="54"/>
      <c r="G427" s="19"/>
      <c r="H427" s="17"/>
      <c r="I427" s="19"/>
      <c r="J427" s="21"/>
      <c r="K427" s="57"/>
      <c r="L427" s="24"/>
      <c r="M427" s="25"/>
      <c r="N427" s="25"/>
      <c r="O427" s="26"/>
      <c r="P427" s="26"/>
    </row>
    <row r="428">
      <c r="A428" s="52"/>
      <c r="B428" s="15"/>
      <c r="C428" s="16"/>
      <c r="D428" s="15"/>
      <c r="E428" s="17"/>
      <c r="F428" s="54"/>
      <c r="G428" s="19"/>
      <c r="H428" s="17"/>
      <c r="I428" s="19"/>
      <c r="J428" s="21"/>
      <c r="K428" s="57"/>
      <c r="L428" s="24"/>
      <c r="M428" s="25"/>
      <c r="N428" s="25"/>
      <c r="O428" s="26"/>
      <c r="P428" s="26"/>
    </row>
    <row r="429">
      <c r="A429" s="52"/>
      <c r="B429" s="15"/>
      <c r="C429" s="16"/>
      <c r="D429" s="15"/>
      <c r="E429" s="17"/>
      <c r="F429" s="54"/>
      <c r="G429" s="19"/>
      <c r="H429" s="17"/>
      <c r="I429" s="19"/>
      <c r="J429" s="21"/>
      <c r="K429" s="57"/>
      <c r="L429" s="24"/>
      <c r="M429" s="25"/>
      <c r="N429" s="25"/>
      <c r="O429" s="26"/>
      <c r="P429" s="26"/>
    </row>
    <row r="430">
      <c r="A430" s="52"/>
      <c r="B430" s="15"/>
      <c r="C430" s="16"/>
      <c r="D430" s="15"/>
      <c r="E430" s="17"/>
      <c r="F430" s="54"/>
      <c r="G430" s="19"/>
      <c r="H430" s="17"/>
      <c r="I430" s="19"/>
      <c r="J430" s="21"/>
      <c r="K430" s="57"/>
      <c r="L430" s="24"/>
      <c r="M430" s="25"/>
      <c r="N430" s="25"/>
      <c r="O430" s="26"/>
      <c r="P430" s="26"/>
    </row>
    <row r="431">
      <c r="A431" s="52"/>
      <c r="B431" s="15"/>
      <c r="C431" s="16"/>
      <c r="D431" s="15"/>
      <c r="E431" s="17"/>
      <c r="F431" s="54"/>
      <c r="G431" s="19"/>
      <c r="H431" s="17"/>
      <c r="I431" s="19"/>
      <c r="J431" s="21"/>
      <c r="K431" s="57"/>
      <c r="L431" s="24"/>
      <c r="M431" s="25"/>
      <c r="N431" s="25"/>
      <c r="O431" s="26"/>
      <c r="P431" s="26"/>
    </row>
    <row r="432">
      <c r="A432" s="52"/>
      <c r="B432" s="15"/>
      <c r="C432" s="16"/>
      <c r="D432" s="15"/>
      <c r="E432" s="17"/>
      <c r="F432" s="54"/>
      <c r="G432" s="19"/>
      <c r="H432" s="17"/>
      <c r="I432" s="19"/>
      <c r="J432" s="21"/>
      <c r="K432" s="57"/>
      <c r="L432" s="24"/>
      <c r="M432" s="25"/>
      <c r="N432" s="25"/>
      <c r="O432" s="26"/>
      <c r="P432" s="26"/>
    </row>
    <row r="433">
      <c r="A433" s="52"/>
      <c r="B433" s="15"/>
      <c r="C433" s="16"/>
      <c r="D433" s="15"/>
      <c r="E433" s="17"/>
      <c r="F433" s="54"/>
      <c r="G433" s="19"/>
      <c r="H433" s="17"/>
      <c r="I433" s="19"/>
      <c r="J433" s="21"/>
      <c r="K433" s="57"/>
      <c r="L433" s="24"/>
      <c r="M433" s="25"/>
      <c r="N433" s="25"/>
      <c r="O433" s="26"/>
      <c r="P433" s="26"/>
    </row>
    <row r="434">
      <c r="A434" s="52"/>
      <c r="B434" s="15"/>
      <c r="C434" s="16"/>
      <c r="D434" s="15"/>
      <c r="E434" s="17"/>
      <c r="F434" s="54"/>
      <c r="G434" s="19"/>
      <c r="H434" s="17"/>
      <c r="I434" s="19"/>
      <c r="J434" s="21"/>
      <c r="K434" s="57"/>
      <c r="L434" s="24"/>
      <c r="M434" s="25"/>
      <c r="N434" s="25"/>
      <c r="O434" s="26"/>
      <c r="P434" s="26"/>
    </row>
    <row r="435">
      <c r="A435" s="52"/>
      <c r="B435" s="15"/>
      <c r="C435" s="16"/>
      <c r="D435" s="15"/>
      <c r="E435" s="17"/>
      <c r="F435" s="54"/>
      <c r="G435" s="19"/>
      <c r="H435" s="17"/>
      <c r="I435" s="19"/>
      <c r="J435" s="21"/>
      <c r="K435" s="57"/>
      <c r="L435" s="24"/>
      <c r="M435" s="25"/>
      <c r="N435" s="25"/>
      <c r="O435" s="26"/>
      <c r="P435" s="26"/>
    </row>
    <row r="436">
      <c r="A436" s="52"/>
      <c r="B436" s="15"/>
      <c r="C436" s="16"/>
      <c r="D436" s="15"/>
      <c r="E436" s="17"/>
      <c r="F436" s="54"/>
      <c r="G436" s="19"/>
      <c r="H436" s="17"/>
      <c r="I436" s="19"/>
      <c r="J436" s="21"/>
      <c r="K436" s="57"/>
      <c r="L436" s="24"/>
      <c r="M436" s="25"/>
      <c r="N436" s="25"/>
      <c r="O436" s="26"/>
      <c r="P436" s="26"/>
    </row>
    <row r="437">
      <c r="A437" s="52"/>
      <c r="B437" s="15"/>
      <c r="C437" s="16"/>
      <c r="D437" s="15"/>
      <c r="E437" s="17"/>
      <c r="F437" s="54"/>
      <c r="G437" s="19"/>
      <c r="H437" s="17"/>
      <c r="I437" s="19"/>
      <c r="J437" s="21"/>
      <c r="K437" s="57"/>
      <c r="L437" s="24"/>
      <c r="M437" s="25"/>
      <c r="N437" s="25"/>
      <c r="O437" s="26"/>
      <c r="P437" s="26"/>
    </row>
    <row r="438">
      <c r="A438" s="52"/>
      <c r="B438" s="15"/>
      <c r="C438" s="16"/>
      <c r="D438" s="15"/>
      <c r="E438" s="17"/>
      <c r="F438" s="54"/>
      <c r="G438" s="19"/>
      <c r="H438" s="17"/>
      <c r="I438" s="19"/>
      <c r="J438" s="21"/>
      <c r="K438" s="57"/>
      <c r="L438" s="24"/>
      <c r="M438" s="25"/>
      <c r="N438" s="25"/>
      <c r="O438" s="26"/>
      <c r="P438" s="26"/>
    </row>
    <row r="439">
      <c r="A439" s="52"/>
      <c r="B439" s="15"/>
      <c r="C439" s="16"/>
      <c r="D439" s="15"/>
      <c r="E439" s="17"/>
      <c r="F439" s="54"/>
      <c r="G439" s="19"/>
      <c r="H439" s="17"/>
      <c r="I439" s="19"/>
      <c r="J439" s="21"/>
      <c r="K439" s="57"/>
      <c r="L439" s="24"/>
      <c r="M439" s="25"/>
      <c r="N439" s="25"/>
      <c r="O439" s="26"/>
      <c r="P439" s="26"/>
    </row>
    <row r="440">
      <c r="A440" s="52"/>
      <c r="B440" s="15"/>
      <c r="C440" s="16"/>
      <c r="D440" s="15"/>
      <c r="E440" s="17"/>
      <c r="F440" s="54"/>
      <c r="G440" s="19"/>
      <c r="H440" s="17"/>
      <c r="I440" s="19"/>
      <c r="J440" s="21"/>
      <c r="K440" s="57"/>
      <c r="L440" s="24"/>
      <c r="M440" s="25"/>
      <c r="N440" s="25"/>
      <c r="O440" s="26"/>
      <c r="P440" s="26"/>
    </row>
    <row r="441">
      <c r="A441" s="52"/>
      <c r="B441" s="15"/>
      <c r="C441" s="16"/>
      <c r="D441" s="15"/>
      <c r="E441" s="17"/>
      <c r="F441" s="54"/>
      <c r="G441" s="19"/>
      <c r="H441" s="17"/>
      <c r="I441" s="19"/>
      <c r="J441" s="21"/>
      <c r="K441" s="57"/>
      <c r="L441" s="24"/>
      <c r="M441" s="25"/>
      <c r="N441" s="25"/>
      <c r="O441" s="26"/>
      <c r="P441" s="26"/>
    </row>
    <row r="442">
      <c r="A442" s="52"/>
      <c r="B442" s="15"/>
      <c r="C442" s="16"/>
      <c r="D442" s="15"/>
      <c r="E442" s="17"/>
      <c r="F442" s="54"/>
      <c r="G442" s="19"/>
      <c r="H442" s="17"/>
      <c r="I442" s="19"/>
      <c r="J442" s="21"/>
      <c r="K442" s="57"/>
      <c r="L442" s="24"/>
      <c r="M442" s="25"/>
      <c r="N442" s="25"/>
      <c r="O442" s="26"/>
      <c r="P442" s="26"/>
    </row>
    <row r="443">
      <c r="A443" s="52"/>
      <c r="B443" s="15"/>
      <c r="C443" s="16"/>
      <c r="D443" s="15"/>
      <c r="E443" s="17"/>
      <c r="F443" s="54"/>
      <c r="G443" s="19"/>
      <c r="H443" s="17"/>
      <c r="I443" s="19"/>
      <c r="J443" s="21"/>
      <c r="K443" s="57"/>
      <c r="L443" s="24"/>
      <c r="M443" s="25"/>
      <c r="N443" s="25"/>
      <c r="O443" s="26"/>
      <c r="P443" s="26"/>
    </row>
    <row r="444">
      <c r="A444" s="52"/>
      <c r="B444" s="15"/>
      <c r="C444" s="16"/>
      <c r="D444" s="15"/>
      <c r="E444" s="17"/>
      <c r="F444" s="54"/>
      <c r="G444" s="19"/>
      <c r="H444" s="17"/>
      <c r="I444" s="19"/>
      <c r="J444" s="21"/>
      <c r="K444" s="57"/>
      <c r="L444" s="24"/>
      <c r="M444" s="25"/>
      <c r="N444" s="25"/>
      <c r="O444" s="26"/>
      <c r="P444" s="26"/>
    </row>
    <row r="445">
      <c r="A445" s="52"/>
      <c r="B445" s="15"/>
      <c r="C445" s="16"/>
      <c r="D445" s="15"/>
      <c r="E445" s="17"/>
      <c r="F445" s="54"/>
      <c r="G445" s="19"/>
      <c r="H445" s="17"/>
      <c r="I445" s="19"/>
      <c r="J445" s="21"/>
      <c r="K445" s="57"/>
      <c r="L445" s="24"/>
      <c r="M445" s="25"/>
      <c r="N445" s="25"/>
      <c r="O445" s="26"/>
      <c r="P445" s="26"/>
    </row>
    <row r="446">
      <c r="A446" s="52"/>
      <c r="B446" s="15"/>
      <c r="C446" s="16"/>
      <c r="D446" s="15"/>
      <c r="E446" s="17"/>
      <c r="F446" s="54"/>
      <c r="G446" s="19"/>
      <c r="H446" s="17"/>
      <c r="I446" s="19"/>
      <c r="J446" s="21"/>
      <c r="K446" s="57"/>
      <c r="L446" s="24"/>
      <c r="M446" s="25"/>
      <c r="N446" s="25"/>
      <c r="O446" s="26"/>
      <c r="P446" s="26"/>
    </row>
    <row r="447">
      <c r="A447" s="52"/>
      <c r="B447" s="15"/>
      <c r="C447" s="16"/>
      <c r="D447" s="15"/>
      <c r="E447" s="17"/>
      <c r="F447" s="54"/>
      <c r="G447" s="19"/>
      <c r="H447" s="17"/>
      <c r="I447" s="19"/>
      <c r="J447" s="21"/>
      <c r="K447" s="57"/>
      <c r="L447" s="24"/>
      <c r="M447" s="25"/>
      <c r="N447" s="25"/>
      <c r="O447" s="26"/>
      <c r="P447" s="26"/>
    </row>
    <row r="448">
      <c r="A448" s="52"/>
      <c r="B448" s="15"/>
      <c r="C448" s="16"/>
      <c r="D448" s="15"/>
      <c r="E448" s="17"/>
      <c r="F448" s="54"/>
      <c r="G448" s="19"/>
      <c r="H448" s="17"/>
      <c r="I448" s="19"/>
      <c r="J448" s="21"/>
      <c r="K448" s="57"/>
      <c r="L448" s="24"/>
      <c r="M448" s="25"/>
      <c r="N448" s="25"/>
      <c r="O448" s="26"/>
      <c r="P448" s="26"/>
    </row>
    <row r="449">
      <c r="A449" s="52"/>
      <c r="B449" s="15"/>
      <c r="C449" s="16"/>
      <c r="D449" s="15"/>
      <c r="E449" s="17"/>
      <c r="F449" s="54"/>
      <c r="G449" s="19"/>
      <c r="H449" s="17"/>
      <c r="I449" s="19"/>
      <c r="J449" s="21"/>
      <c r="K449" s="57"/>
      <c r="L449" s="24"/>
      <c r="M449" s="25"/>
      <c r="N449" s="25"/>
      <c r="O449" s="26"/>
      <c r="P449" s="26"/>
    </row>
    <row r="450">
      <c r="A450" s="52"/>
      <c r="B450" s="15"/>
      <c r="C450" s="16"/>
      <c r="D450" s="15"/>
      <c r="E450" s="17"/>
      <c r="F450" s="54"/>
      <c r="G450" s="19"/>
      <c r="H450" s="17"/>
      <c r="I450" s="19"/>
      <c r="J450" s="21"/>
      <c r="K450" s="57"/>
      <c r="L450" s="24"/>
      <c r="M450" s="25"/>
      <c r="N450" s="25"/>
      <c r="O450" s="26"/>
      <c r="P450" s="26"/>
    </row>
    <row r="451">
      <c r="A451" s="52"/>
      <c r="B451" s="15"/>
      <c r="C451" s="16"/>
      <c r="D451" s="15"/>
      <c r="E451" s="17"/>
      <c r="F451" s="54"/>
      <c r="G451" s="19"/>
      <c r="H451" s="17"/>
      <c r="I451" s="19"/>
      <c r="J451" s="21"/>
      <c r="K451" s="57"/>
      <c r="L451" s="24"/>
      <c r="M451" s="25"/>
      <c r="N451" s="25"/>
      <c r="O451" s="26"/>
      <c r="P451" s="26"/>
    </row>
    <row r="452">
      <c r="A452" s="52"/>
      <c r="B452" s="15"/>
      <c r="C452" s="16"/>
      <c r="D452" s="15"/>
      <c r="E452" s="17"/>
      <c r="F452" s="54"/>
      <c r="G452" s="19"/>
      <c r="H452" s="17"/>
      <c r="I452" s="19"/>
      <c r="J452" s="21"/>
      <c r="K452" s="57"/>
      <c r="L452" s="24"/>
      <c r="M452" s="25"/>
      <c r="N452" s="25"/>
      <c r="O452" s="26"/>
      <c r="P452" s="26"/>
    </row>
    <row r="453">
      <c r="A453" s="52"/>
      <c r="B453" s="15"/>
      <c r="C453" s="16"/>
      <c r="D453" s="15"/>
      <c r="E453" s="17"/>
      <c r="F453" s="54"/>
      <c r="G453" s="19"/>
      <c r="H453" s="17"/>
      <c r="I453" s="19"/>
      <c r="J453" s="21"/>
      <c r="K453" s="57"/>
      <c r="L453" s="24"/>
      <c r="M453" s="25"/>
      <c r="N453" s="25"/>
      <c r="O453" s="26"/>
      <c r="P453" s="26"/>
    </row>
    <row r="454">
      <c r="A454" s="52"/>
      <c r="B454" s="15"/>
      <c r="C454" s="16"/>
      <c r="D454" s="15"/>
      <c r="E454" s="17"/>
      <c r="F454" s="54"/>
      <c r="G454" s="19"/>
      <c r="H454" s="17"/>
      <c r="I454" s="19"/>
      <c r="J454" s="21"/>
      <c r="K454" s="57"/>
      <c r="L454" s="24"/>
      <c r="M454" s="25"/>
      <c r="N454" s="25"/>
      <c r="O454" s="26"/>
      <c r="P454" s="26"/>
    </row>
    <row r="455">
      <c r="A455" s="52"/>
      <c r="B455" s="15"/>
      <c r="C455" s="16"/>
      <c r="D455" s="15"/>
      <c r="E455" s="17"/>
      <c r="F455" s="54"/>
      <c r="G455" s="19"/>
      <c r="H455" s="17"/>
      <c r="I455" s="19"/>
      <c r="J455" s="21"/>
      <c r="K455" s="57"/>
      <c r="L455" s="24"/>
      <c r="M455" s="25"/>
      <c r="N455" s="25"/>
      <c r="O455" s="26"/>
      <c r="P455" s="26"/>
    </row>
    <row r="456">
      <c r="A456" s="52"/>
      <c r="B456" s="15"/>
      <c r="C456" s="16"/>
      <c r="D456" s="15"/>
      <c r="E456" s="17"/>
      <c r="F456" s="54"/>
      <c r="G456" s="19"/>
      <c r="H456" s="17"/>
      <c r="I456" s="19"/>
      <c r="J456" s="21"/>
      <c r="K456" s="57"/>
      <c r="L456" s="24"/>
      <c r="M456" s="25"/>
      <c r="N456" s="25"/>
      <c r="O456" s="26"/>
      <c r="P456" s="26"/>
    </row>
    <row r="457">
      <c r="A457" s="52"/>
      <c r="B457" s="15"/>
      <c r="C457" s="16"/>
      <c r="D457" s="15"/>
      <c r="E457" s="17"/>
      <c r="F457" s="54"/>
      <c r="G457" s="19"/>
      <c r="H457" s="17"/>
      <c r="I457" s="19"/>
      <c r="J457" s="21"/>
      <c r="K457" s="57"/>
      <c r="L457" s="24"/>
      <c r="M457" s="25"/>
      <c r="N457" s="25"/>
      <c r="O457" s="26"/>
      <c r="P457" s="26"/>
    </row>
    <row r="458">
      <c r="A458" s="52"/>
      <c r="B458" s="15"/>
      <c r="C458" s="16"/>
      <c r="D458" s="15"/>
      <c r="E458" s="17"/>
      <c r="F458" s="54"/>
      <c r="G458" s="19"/>
      <c r="H458" s="17"/>
      <c r="I458" s="19"/>
      <c r="J458" s="21"/>
      <c r="K458" s="57"/>
      <c r="L458" s="24"/>
      <c r="M458" s="25"/>
      <c r="N458" s="25"/>
      <c r="O458" s="26"/>
      <c r="P458" s="26"/>
    </row>
    <row r="459">
      <c r="A459" s="52"/>
      <c r="B459" s="15"/>
      <c r="C459" s="16"/>
      <c r="D459" s="15"/>
      <c r="E459" s="17"/>
      <c r="F459" s="54"/>
      <c r="G459" s="19"/>
      <c r="H459" s="17"/>
      <c r="I459" s="19"/>
      <c r="J459" s="21"/>
      <c r="K459" s="57"/>
      <c r="L459" s="24"/>
      <c r="M459" s="25"/>
      <c r="N459" s="25"/>
      <c r="O459" s="26"/>
      <c r="P459" s="26"/>
    </row>
    <row r="460">
      <c r="A460" s="52"/>
      <c r="B460" s="15"/>
      <c r="C460" s="16"/>
      <c r="D460" s="15"/>
      <c r="E460" s="17"/>
      <c r="F460" s="54"/>
      <c r="G460" s="19"/>
      <c r="H460" s="17"/>
      <c r="I460" s="19"/>
      <c r="J460" s="21"/>
      <c r="K460" s="57"/>
      <c r="L460" s="24"/>
      <c r="M460" s="25"/>
      <c r="N460" s="25"/>
      <c r="O460" s="26"/>
      <c r="P460" s="26"/>
    </row>
    <row r="461">
      <c r="A461" s="52"/>
      <c r="B461" s="15"/>
      <c r="C461" s="16"/>
      <c r="D461" s="15"/>
      <c r="E461" s="17"/>
      <c r="F461" s="54"/>
      <c r="G461" s="19"/>
      <c r="H461" s="17"/>
      <c r="I461" s="19"/>
      <c r="J461" s="21"/>
      <c r="K461" s="57"/>
      <c r="L461" s="24"/>
      <c r="M461" s="25"/>
      <c r="N461" s="25"/>
      <c r="O461" s="26"/>
      <c r="P461" s="26"/>
    </row>
    <row r="462">
      <c r="A462" s="52"/>
      <c r="B462" s="15"/>
      <c r="C462" s="16"/>
      <c r="D462" s="15"/>
      <c r="E462" s="17"/>
      <c r="F462" s="54"/>
      <c r="G462" s="19"/>
      <c r="H462" s="17"/>
      <c r="I462" s="19"/>
      <c r="J462" s="21"/>
      <c r="K462" s="57"/>
      <c r="L462" s="24"/>
      <c r="M462" s="25"/>
      <c r="N462" s="25"/>
      <c r="O462" s="26"/>
      <c r="P462" s="26"/>
    </row>
    <row r="463">
      <c r="A463" s="52"/>
      <c r="B463" s="15"/>
      <c r="C463" s="16"/>
      <c r="D463" s="15"/>
      <c r="E463" s="17"/>
      <c r="F463" s="54"/>
      <c r="G463" s="19"/>
      <c r="H463" s="17"/>
      <c r="I463" s="19"/>
      <c r="J463" s="21"/>
      <c r="K463" s="57"/>
      <c r="L463" s="24"/>
      <c r="M463" s="25"/>
      <c r="N463" s="25"/>
      <c r="O463" s="26"/>
      <c r="P463" s="26"/>
    </row>
    <row r="464">
      <c r="A464" s="52"/>
      <c r="B464" s="15"/>
      <c r="C464" s="16"/>
      <c r="D464" s="15"/>
      <c r="E464" s="17"/>
      <c r="F464" s="54"/>
      <c r="G464" s="19"/>
      <c r="H464" s="17"/>
      <c r="I464" s="19"/>
      <c r="J464" s="21"/>
      <c r="K464" s="57"/>
      <c r="L464" s="24"/>
      <c r="M464" s="25"/>
      <c r="N464" s="25"/>
      <c r="O464" s="26"/>
      <c r="P464" s="26"/>
    </row>
    <row r="465">
      <c r="A465" s="52"/>
      <c r="B465" s="15"/>
      <c r="C465" s="16"/>
      <c r="D465" s="15"/>
      <c r="E465" s="17"/>
      <c r="F465" s="54"/>
      <c r="G465" s="19"/>
      <c r="H465" s="17"/>
      <c r="I465" s="19"/>
      <c r="J465" s="21"/>
      <c r="K465" s="57"/>
      <c r="L465" s="24"/>
      <c r="M465" s="25"/>
      <c r="N465" s="25"/>
      <c r="O465" s="26"/>
      <c r="P465" s="26"/>
    </row>
    <row r="466">
      <c r="A466" s="52"/>
      <c r="B466" s="15"/>
      <c r="C466" s="16"/>
      <c r="D466" s="15"/>
      <c r="E466" s="17"/>
      <c r="F466" s="54"/>
      <c r="G466" s="19"/>
      <c r="H466" s="17"/>
      <c r="I466" s="19"/>
      <c r="J466" s="21"/>
      <c r="K466" s="57"/>
      <c r="L466" s="24"/>
      <c r="M466" s="25"/>
      <c r="N466" s="25"/>
      <c r="O466" s="26"/>
      <c r="P466" s="26"/>
    </row>
    <row r="467">
      <c r="A467" s="52"/>
      <c r="B467" s="15"/>
      <c r="C467" s="16"/>
      <c r="D467" s="15"/>
      <c r="E467" s="17"/>
      <c r="F467" s="54"/>
      <c r="G467" s="19"/>
      <c r="H467" s="17"/>
      <c r="I467" s="19"/>
      <c r="J467" s="21"/>
      <c r="K467" s="57"/>
      <c r="L467" s="24"/>
      <c r="M467" s="25"/>
      <c r="N467" s="25"/>
      <c r="O467" s="26"/>
      <c r="P467" s="26"/>
    </row>
    <row r="468">
      <c r="A468" s="52"/>
      <c r="B468" s="15"/>
      <c r="C468" s="16"/>
      <c r="D468" s="15"/>
      <c r="E468" s="17"/>
      <c r="F468" s="54"/>
      <c r="G468" s="19"/>
      <c r="H468" s="17"/>
      <c r="I468" s="19"/>
      <c r="J468" s="21"/>
      <c r="K468" s="57"/>
      <c r="L468" s="24"/>
      <c r="M468" s="25"/>
      <c r="N468" s="25"/>
      <c r="O468" s="26"/>
      <c r="P468" s="26"/>
    </row>
    <row r="469">
      <c r="A469" s="52"/>
      <c r="B469" s="15"/>
      <c r="C469" s="16"/>
      <c r="D469" s="15"/>
      <c r="E469" s="17"/>
      <c r="F469" s="54"/>
      <c r="G469" s="19"/>
      <c r="H469" s="17"/>
      <c r="I469" s="19"/>
      <c r="J469" s="21"/>
      <c r="K469" s="57"/>
      <c r="L469" s="24"/>
      <c r="M469" s="25"/>
      <c r="N469" s="25"/>
      <c r="O469" s="26"/>
      <c r="P469" s="26"/>
    </row>
    <row r="470">
      <c r="A470" s="52"/>
      <c r="B470" s="15"/>
      <c r="C470" s="16"/>
      <c r="D470" s="15"/>
      <c r="E470" s="17"/>
      <c r="F470" s="54"/>
      <c r="G470" s="19"/>
      <c r="H470" s="17"/>
      <c r="I470" s="19"/>
      <c r="J470" s="21"/>
      <c r="K470" s="57"/>
      <c r="L470" s="24"/>
      <c r="M470" s="25"/>
      <c r="N470" s="25"/>
      <c r="O470" s="26"/>
      <c r="P470" s="26"/>
    </row>
    <row r="471">
      <c r="A471" s="52"/>
      <c r="B471" s="15"/>
      <c r="C471" s="16"/>
      <c r="D471" s="15"/>
      <c r="E471" s="17"/>
      <c r="F471" s="54"/>
      <c r="G471" s="19"/>
      <c r="H471" s="17"/>
      <c r="I471" s="19"/>
      <c r="J471" s="21"/>
      <c r="K471" s="57"/>
      <c r="L471" s="24"/>
      <c r="M471" s="25"/>
      <c r="N471" s="25"/>
      <c r="O471" s="26"/>
      <c r="P471" s="26"/>
    </row>
    <row r="472">
      <c r="A472" s="52"/>
      <c r="B472" s="15"/>
      <c r="C472" s="16"/>
      <c r="D472" s="15"/>
      <c r="E472" s="17"/>
      <c r="F472" s="54"/>
      <c r="G472" s="19"/>
      <c r="H472" s="17"/>
      <c r="I472" s="19"/>
      <c r="J472" s="21"/>
      <c r="K472" s="57"/>
      <c r="L472" s="24"/>
      <c r="M472" s="25"/>
      <c r="N472" s="25"/>
      <c r="O472" s="26"/>
      <c r="P472" s="26"/>
    </row>
    <row r="473">
      <c r="A473" s="52"/>
      <c r="B473" s="15"/>
      <c r="C473" s="16"/>
      <c r="D473" s="15"/>
      <c r="E473" s="17"/>
      <c r="F473" s="54"/>
      <c r="G473" s="19"/>
      <c r="H473" s="17"/>
      <c r="I473" s="19"/>
      <c r="J473" s="21"/>
      <c r="K473" s="57"/>
      <c r="L473" s="24"/>
      <c r="M473" s="25"/>
      <c r="N473" s="25"/>
      <c r="O473" s="26"/>
      <c r="P473" s="26"/>
    </row>
    <row r="474">
      <c r="A474" s="52"/>
      <c r="B474" s="15"/>
      <c r="C474" s="16"/>
      <c r="D474" s="15"/>
      <c r="E474" s="17"/>
      <c r="F474" s="54"/>
      <c r="G474" s="19"/>
      <c r="H474" s="17"/>
      <c r="I474" s="19"/>
      <c r="J474" s="21"/>
      <c r="K474" s="57"/>
      <c r="L474" s="24"/>
      <c r="M474" s="25"/>
      <c r="N474" s="25"/>
      <c r="O474" s="26"/>
      <c r="P474" s="26"/>
    </row>
    <row r="475">
      <c r="A475" s="52"/>
      <c r="B475" s="15"/>
      <c r="C475" s="16"/>
      <c r="D475" s="15"/>
      <c r="E475" s="17"/>
      <c r="F475" s="54"/>
      <c r="G475" s="19"/>
      <c r="H475" s="17"/>
      <c r="I475" s="19"/>
      <c r="J475" s="21"/>
      <c r="K475" s="57"/>
      <c r="L475" s="24"/>
      <c r="M475" s="25"/>
      <c r="N475" s="25"/>
      <c r="O475" s="26"/>
      <c r="P475" s="26"/>
    </row>
    <row r="476">
      <c r="A476" s="52"/>
      <c r="B476" s="15"/>
      <c r="C476" s="16"/>
      <c r="D476" s="15"/>
      <c r="E476" s="17"/>
      <c r="F476" s="54"/>
      <c r="G476" s="19"/>
      <c r="H476" s="17"/>
      <c r="I476" s="19"/>
      <c r="J476" s="21"/>
      <c r="K476" s="57"/>
      <c r="L476" s="24"/>
      <c r="M476" s="25"/>
      <c r="N476" s="25"/>
      <c r="O476" s="26"/>
      <c r="P476" s="26"/>
    </row>
    <row r="477">
      <c r="A477" s="52"/>
      <c r="B477" s="15"/>
      <c r="C477" s="16"/>
      <c r="D477" s="15"/>
      <c r="E477" s="17"/>
      <c r="F477" s="54"/>
      <c r="G477" s="19"/>
      <c r="H477" s="17"/>
      <c r="I477" s="19"/>
      <c r="J477" s="21"/>
      <c r="K477" s="57"/>
      <c r="L477" s="24"/>
      <c r="M477" s="25"/>
      <c r="N477" s="25"/>
      <c r="O477" s="26"/>
      <c r="P477" s="26"/>
    </row>
    <row r="478">
      <c r="A478" s="52"/>
      <c r="B478" s="15"/>
      <c r="C478" s="16"/>
      <c r="D478" s="15"/>
      <c r="E478" s="17"/>
      <c r="F478" s="54"/>
      <c r="G478" s="19"/>
      <c r="H478" s="17"/>
      <c r="I478" s="19"/>
      <c r="J478" s="21"/>
      <c r="K478" s="57"/>
      <c r="L478" s="24"/>
      <c r="M478" s="25"/>
      <c r="N478" s="25"/>
      <c r="O478" s="26"/>
      <c r="P478" s="26"/>
    </row>
    <row r="479">
      <c r="A479" s="52"/>
      <c r="B479" s="15"/>
      <c r="C479" s="16"/>
      <c r="D479" s="15"/>
      <c r="E479" s="17"/>
      <c r="F479" s="54"/>
      <c r="G479" s="19"/>
      <c r="H479" s="17"/>
      <c r="I479" s="19"/>
      <c r="J479" s="21"/>
      <c r="K479" s="57"/>
      <c r="L479" s="24"/>
      <c r="M479" s="25"/>
      <c r="N479" s="25"/>
      <c r="O479" s="26"/>
      <c r="P479" s="26"/>
    </row>
    <row r="480">
      <c r="A480" s="52"/>
      <c r="B480" s="15"/>
      <c r="C480" s="16"/>
      <c r="D480" s="15"/>
      <c r="E480" s="17"/>
      <c r="F480" s="54"/>
      <c r="G480" s="19"/>
      <c r="H480" s="17"/>
      <c r="I480" s="19"/>
      <c r="J480" s="21"/>
      <c r="K480" s="57"/>
      <c r="L480" s="24"/>
      <c r="M480" s="25"/>
      <c r="N480" s="25"/>
      <c r="O480" s="26"/>
      <c r="P480" s="26"/>
    </row>
    <row r="481">
      <c r="A481" s="52"/>
      <c r="B481" s="15"/>
      <c r="C481" s="16"/>
      <c r="D481" s="15"/>
      <c r="E481" s="17"/>
      <c r="F481" s="54"/>
      <c r="G481" s="19"/>
      <c r="H481" s="17"/>
      <c r="I481" s="19"/>
      <c r="J481" s="21"/>
      <c r="K481" s="57"/>
      <c r="L481" s="24"/>
      <c r="M481" s="25"/>
      <c r="N481" s="25"/>
      <c r="O481" s="26"/>
      <c r="P481" s="26"/>
    </row>
    <row r="482">
      <c r="A482" s="52"/>
      <c r="B482" s="15"/>
      <c r="C482" s="16"/>
      <c r="D482" s="15"/>
      <c r="E482" s="17"/>
      <c r="F482" s="54"/>
      <c r="G482" s="19"/>
      <c r="H482" s="17"/>
      <c r="I482" s="19"/>
      <c r="J482" s="21"/>
      <c r="K482" s="57"/>
      <c r="L482" s="24"/>
      <c r="M482" s="25"/>
      <c r="N482" s="25"/>
      <c r="O482" s="26"/>
      <c r="P482" s="26"/>
    </row>
    <row r="483">
      <c r="A483" s="52"/>
      <c r="B483" s="15"/>
      <c r="C483" s="16"/>
      <c r="D483" s="15"/>
      <c r="E483" s="17"/>
      <c r="F483" s="54"/>
      <c r="G483" s="19"/>
      <c r="H483" s="17"/>
      <c r="I483" s="19"/>
      <c r="J483" s="21"/>
      <c r="K483" s="57"/>
      <c r="L483" s="24"/>
      <c r="M483" s="25"/>
      <c r="N483" s="25"/>
      <c r="O483" s="26"/>
      <c r="P483" s="26"/>
    </row>
    <row r="484">
      <c r="A484" s="52"/>
      <c r="B484" s="15"/>
      <c r="C484" s="16"/>
      <c r="D484" s="15"/>
      <c r="E484" s="17"/>
      <c r="F484" s="54"/>
      <c r="G484" s="19"/>
      <c r="H484" s="17"/>
      <c r="I484" s="19"/>
      <c r="J484" s="21"/>
      <c r="K484" s="57"/>
      <c r="L484" s="24"/>
      <c r="M484" s="25"/>
      <c r="N484" s="25"/>
      <c r="O484" s="26"/>
      <c r="P484" s="26"/>
    </row>
    <row r="485">
      <c r="A485" s="52"/>
      <c r="B485" s="15"/>
      <c r="C485" s="16"/>
      <c r="D485" s="15"/>
      <c r="E485" s="17"/>
      <c r="F485" s="54"/>
      <c r="G485" s="19"/>
      <c r="H485" s="17"/>
      <c r="I485" s="19"/>
      <c r="J485" s="21"/>
      <c r="K485" s="57"/>
      <c r="L485" s="24"/>
      <c r="M485" s="25"/>
      <c r="N485" s="25"/>
      <c r="O485" s="26"/>
      <c r="P485" s="26"/>
    </row>
    <row r="486">
      <c r="A486" s="52"/>
      <c r="B486" s="15"/>
      <c r="C486" s="16"/>
      <c r="D486" s="15"/>
      <c r="E486" s="17"/>
      <c r="F486" s="54"/>
      <c r="G486" s="19"/>
      <c r="H486" s="17"/>
      <c r="I486" s="19"/>
      <c r="J486" s="21"/>
      <c r="K486" s="57"/>
      <c r="L486" s="24"/>
      <c r="M486" s="25"/>
      <c r="N486" s="25"/>
      <c r="O486" s="26"/>
      <c r="P486" s="26"/>
    </row>
    <row r="487">
      <c r="A487" s="52"/>
      <c r="B487" s="15"/>
      <c r="C487" s="16"/>
      <c r="D487" s="15"/>
      <c r="E487" s="17"/>
      <c r="F487" s="54"/>
      <c r="G487" s="19"/>
      <c r="H487" s="17"/>
      <c r="I487" s="19"/>
      <c r="J487" s="21"/>
      <c r="K487" s="57"/>
      <c r="L487" s="24"/>
      <c r="M487" s="25"/>
      <c r="N487" s="25"/>
      <c r="O487" s="26"/>
      <c r="P487" s="26"/>
    </row>
    <row r="488">
      <c r="A488" s="52"/>
      <c r="B488" s="15"/>
      <c r="C488" s="16"/>
      <c r="D488" s="15"/>
      <c r="E488" s="17"/>
      <c r="F488" s="54"/>
      <c r="G488" s="19"/>
      <c r="H488" s="17"/>
      <c r="I488" s="19"/>
      <c r="J488" s="21"/>
      <c r="K488" s="57"/>
      <c r="L488" s="24"/>
      <c r="M488" s="25"/>
      <c r="N488" s="25"/>
      <c r="O488" s="26"/>
      <c r="P488" s="26"/>
    </row>
    <row r="489">
      <c r="A489" s="52"/>
      <c r="B489" s="15"/>
      <c r="C489" s="16"/>
      <c r="D489" s="15"/>
      <c r="E489" s="17"/>
      <c r="F489" s="54"/>
      <c r="G489" s="19"/>
      <c r="H489" s="17"/>
      <c r="I489" s="19"/>
      <c r="J489" s="21"/>
      <c r="K489" s="57"/>
      <c r="L489" s="24"/>
      <c r="M489" s="25"/>
      <c r="N489" s="25"/>
      <c r="O489" s="26"/>
      <c r="P489" s="26"/>
    </row>
    <row r="490">
      <c r="A490" s="52"/>
      <c r="B490" s="15"/>
      <c r="C490" s="16"/>
      <c r="D490" s="15"/>
      <c r="E490" s="17"/>
      <c r="F490" s="54"/>
      <c r="G490" s="19"/>
      <c r="H490" s="17"/>
      <c r="I490" s="19"/>
      <c r="J490" s="21"/>
      <c r="K490" s="57"/>
      <c r="L490" s="24"/>
      <c r="M490" s="25"/>
      <c r="N490" s="25"/>
      <c r="O490" s="26"/>
      <c r="P490" s="26"/>
    </row>
    <row r="491">
      <c r="A491" s="52"/>
      <c r="B491" s="15"/>
      <c r="C491" s="16"/>
      <c r="D491" s="15"/>
      <c r="E491" s="17"/>
      <c r="F491" s="54"/>
      <c r="G491" s="19"/>
      <c r="H491" s="17"/>
      <c r="I491" s="19"/>
      <c r="J491" s="21"/>
      <c r="K491" s="57"/>
      <c r="L491" s="24"/>
      <c r="M491" s="25"/>
      <c r="N491" s="25"/>
      <c r="O491" s="26"/>
      <c r="P491" s="26"/>
    </row>
    <row r="492">
      <c r="A492" s="52"/>
      <c r="B492" s="15"/>
      <c r="C492" s="16"/>
      <c r="D492" s="15"/>
      <c r="E492" s="17"/>
      <c r="F492" s="54"/>
      <c r="G492" s="19"/>
      <c r="H492" s="17"/>
      <c r="I492" s="19"/>
      <c r="J492" s="21"/>
      <c r="K492" s="57"/>
      <c r="L492" s="24"/>
      <c r="M492" s="25"/>
      <c r="N492" s="25"/>
      <c r="O492" s="26"/>
      <c r="P492" s="26"/>
    </row>
    <row r="493">
      <c r="A493" s="52"/>
      <c r="B493" s="15"/>
      <c r="C493" s="16"/>
      <c r="D493" s="15"/>
      <c r="E493" s="17"/>
      <c r="F493" s="54"/>
      <c r="G493" s="19"/>
      <c r="H493" s="17"/>
      <c r="I493" s="19"/>
      <c r="J493" s="21"/>
      <c r="K493" s="57"/>
      <c r="L493" s="24"/>
      <c r="M493" s="25"/>
      <c r="N493" s="25"/>
      <c r="O493" s="26"/>
      <c r="P493" s="26"/>
    </row>
    <row r="494">
      <c r="A494" s="52"/>
      <c r="B494" s="15"/>
      <c r="C494" s="16"/>
      <c r="D494" s="15"/>
      <c r="E494" s="17"/>
      <c r="F494" s="54"/>
      <c r="G494" s="19"/>
      <c r="H494" s="17"/>
      <c r="I494" s="19"/>
      <c r="J494" s="21"/>
      <c r="K494" s="57"/>
      <c r="L494" s="24"/>
      <c r="M494" s="25"/>
      <c r="N494" s="25"/>
      <c r="O494" s="26"/>
      <c r="P494" s="26"/>
    </row>
    <row r="495">
      <c r="A495" s="52"/>
      <c r="B495" s="15"/>
      <c r="C495" s="16"/>
      <c r="D495" s="15"/>
      <c r="E495" s="17"/>
      <c r="F495" s="54"/>
      <c r="G495" s="19"/>
      <c r="H495" s="17"/>
      <c r="I495" s="19"/>
      <c r="J495" s="21"/>
      <c r="K495" s="57"/>
      <c r="L495" s="24"/>
      <c r="M495" s="25"/>
      <c r="N495" s="25"/>
      <c r="O495" s="26"/>
      <c r="P495" s="26"/>
    </row>
    <row r="496">
      <c r="A496" s="52"/>
      <c r="B496" s="15"/>
      <c r="C496" s="16"/>
      <c r="D496" s="15"/>
      <c r="E496" s="17"/>
      <c r="F496" s="54"/>
      <c r="G496" s="19"/>
      <c r="H496" s="17"/>
      <c r="I496" s="19"/>
      <c r="J496" s="21"/>
      <c r="K496" s="57"/>
      <c r="L496" s="24"/>
      <c r="M496" s="25"/>
      <c r="N496" s="25"/>
      <c r="O496" s="26"/>
      <c r="P496" s="26"/>
    </row>
    <row r="497">
      <c r="A497" s="52"/>
      <c r="B497" s="15"/>
      <c r="C497" s="16"/>
      <c r="D497" s="15"/>
      <c r="E497" s="17"/>
      <c r="F497" s="54"/>
      <c r="G497" s="19"/>
      <c r="H497" s="17"/>
      <c r="I497" s="19"/>
      <c r="J497" s="21"/>
      <c r="K497" s="57"/>
      <c r="L497" s="24"/>
      <c r="M497" s="25"/>
      <c r="N497" s="25"/>
      <c r="O497" s="26"/>
      <c r="P497" s="26"/>
    </row>
    <row r="498">
      <c r="A498" s="52"/>
      <c r="B498" s="15"/>
      <c r="C498" s="16"/>
      <c r="D498" s="15"/>
      <c r="E498" s="17"/>
      <c r="F498" s="54"/>
      <c r="G498" s="19"/>
      <c r="H498" s="17"/>
      <c r="I498" s="19"/>
      <c r="J498" s="21"/>
      <c r="K498" s="57"/>
      <c r="L498" s="24"/>
      <c r="M498" s="25"/>
      <c r="N498" s="25"/>
      <c r="O498" s="26"/>
      <c r="P498" s="26"/>
    </row>
    <row r="499">
      <c r="A499" s="52"/>
      <c r="B499" s="15"/>
      <c r="C499" s="16"/>
      <c r="D499" s="15"/>
      <c r="E499" s="17"/>
      <c r="F499" s="54"/>
      <c r="G499" s="19"/>
      <c r="H499" s="17"/>
      <c r="I499" s="19"/>
      <c r="J499" s="21"/>
      <c r="K499" s="57"/>
      <c r="L499" s="24"/>
      <c r="M499" s="25"/>
      <c r="N499" s="25"/>
      <c r="O499" s="26"/>
      <c r="P499" s="26"/>
    </row>
    <row r="500">
      <c r="A500" s="52"/>
      <c r="B500" s="15"/>
      <c r="C500" s="16"/>
      <c r="D500" s="15"/>
      <c r="E500" s="17"/>
      <c r="F500" s="54"/>
      <c r="G500" s="19"/>
      <c r="H500" s="17"/>
      <c r="I500" s="19"/>
      <c r="J500" s="21"/>
      <c r="K500" s="57"/>
      <c r="L500" s="24"/>
      <c r="M500" s="25"/>
      <c r="N500" s="25"/>
      <c r="O500" s="26"/>
      <c r="P500" s="26"/>
    </row>
    <row r="501">
      <c r="A501" s="52"/>
      <c r="B501" s="15"/>
      <c r="C501" s="16"/>
      <c r="D501" s="15"/>
      <c r="E501" s="17"/>
      <c r="F501" s="54"/>
      <c r="G501" s="19"/>
      <c r="H501" s="17"/>
      <c r="I501" s="19"/>
      <c r="J501" s="21"/>
      <c r="K501" s="57"/>
      <c r="L501" s="24"/>
      <c r="M501" s="25"/>
      <c r="N501" s="25"/>
      <c r="O501" s="26"/>
      <c r="P501" s="26"/>
    </row>
    <row r="502">
      <c r="A502" s="52"/>
      <c r="B502" s="15"/>
      <c r="C502" s="16"/>
      <c r="D502" s="15"/>
      <c r="E502" s="17"/>
      <c r="F502" s="54"/>
      <c r="G502" s="19"/>
      <c r="H502" s="17"/>
      <c r="I502" s="19"/>
      <c r="J502" s="21"/>
      <c r="K502" s="57"/>
      <c r="L502" s="24"/>
      <c r="M502" s="25"/>
      <c r="N502" s="25"/>
      <c r="O502" s="26"/>
      <c r="P502" s="26"/>
    </row>
    <row r="503">
      <c r="A503" s="52"/>
      <c r="B503" s="15"/>
      <c r="C503" s="16"/>
      <c r="D503" s="15"/>
      <c r="E503" s="17"/>
      <c r="F503" s="54"/>
      <c r="G503" s="19"/>
      <c r="H503" s="17"/>
      <c r="I503" s="19"/>
      <c r="J503" s="21"/>
      <c r="K503" s="57"/>
      <c r="L503" s="24"/>
      <c r="M503" s="25"/>
      <c r="N503" s="25"/>
      <c r="O503" s="26"/>
      <c r="P503" s="26"/>
    </row>
    <row r="504">
      <c r="A504" s="52"/>
      <c r="B504" s="15"/>
      <c r="C504" s="16"/>
      <c r="D504" s="15"/>
      <c r="E504" s="17"/>
      <c r="F504" s="54"/>
      <c r="G504" s="19"/>
      <c r="H504" s="17"/>
      <c r="I504" s="19"/>
      <c r="J504" s="21"/>
      <c r="K504" s="57"/>
      <c r="L504" s="24"/>
      <c r="M504" s="25"/>
      <c r="N504" s="25"/>
      <c r="O504" s="26"/>
      <c r="P504" s="26"/>
    </row>
    <row r="505">
      <c r="A505" s="52"/>
      <c r="B505" s="15"/>
      <c r="C505" s="16"/>
      <c r="D505" s="15"/>
      <c r="E505" s="17"/>
      <c r="F505" s="54"/>
      <c r="G505" s="19"/>
      <c r="H505" s="17"/>
      <c r="I505" s="19"/>
      <c r="J505" s="21"/>
      <c r="K505" s="57"/>
      <c r="L505" s="24"/>
      <c r="M505" s="25"/>
      <c r="N505" s="25"/>
      <c r="O505" s="26"/>
      <c r="P505" s="26"/>
    </row>
    <row r="506">
      <c r="A506" s="52"/>
      <c r="B506" s="15"/>
      <c r="C506" s="16"/>
      <c r="D506" s="15"/>
      <c r="E506" s="17"/>
      <c r="F506" s="54"/>
      <c r="G506" s="19"/>
      <c r="H506" s="17"/>
      <c r="I506" s="19"/>
      <c r="J506" s="21"/>
      <c r="K506" s="57"/>
      <c r="L506" s="24"/>
      <c r="M506" s="25"/>
      <c r="N506" s="25"/>
      <c r="O506" s="26"/>
      <c r="P506" s="26"/>
    </row>
    <row r="507">
      <c r="A507" s="52"/>
      <c r="B507" s="15"/>
      <c r="C507" s="16"/>
      <c r="D507" s="15"/>
      <c r="E507" s="17"/>
      <c r="F507" s="54"/>
      <c r="G507" s="19"/>
      <c r="H507" s="17"/>
      <c r="I507" s="19"/>
      <c r="J507" s="21"/>
      <c r="K507" s="57"/>
      <c r="L507" s="24"/>
      <c r="M507" s="25"/>
      <c r="N507" s="25"/>
      <c r="O507" s="26"/>
      <c r="P507" s="26"/>
    </row>
    <row r="508">
      <c r="A508" s="52"/>
      <c r="B508" s="15"/>
      <c r="C508" s="16"/>
      <c r="D508" s="15"/>
      <c r="E508" s="17"/>
      <c r="F508" s="54"/>
      <c r="G508" s="19"/>
      <c r="H508" s="17"/>
      <c r="I508" s="19"/>
      <c r="J508" s="21"/>
      <c r="K508" s="57"/>
      <c r="L508" s="24"/>
      <c r="M508" s="25"/>
      <c r="N508" s="25"/>
      <c r="O508" s="26"/>
      <c r="P508" s="26"/>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0</v>
      </c>
      <c r="B1" s="2">
        <f>COUNTIF(D2:D1281,"Active")+COUNTIF(D2:D1281,"Leaving Soon")</f>
        <v>0</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52" t="str">
        <f>IFERROR(__xludf.DUMMYFUNCTION("SORT(FILTER('Master List'!A1281:P1646, NOT(REGEXMATCH('Master List'!O1281:O1646, ""No"")), NOT(REGEXMATCH('Master List'!D1281:D1646, ""Removed"")) ), 5, false)"),"#N/A")</f>
        <v>#N/A</v>
      </c>
      <c r="B3" s="15"/>
      <c r="C3" s="16"/>
      <c r="D3" s="15"/>
      <c r="E3" s="17"/>
      <c r="F3" s="18"/>
      <c r="G3" s="19"/>
      <c r="H3" s="17"/>
      <c r="I3" s="19"/>
      <c r="J3" s="21"/>
      <c r="K3" s="57"/>
      <c r="L3" s="24"/>
      <c r="M3" s="25"/>
      <c r="N3" s="25"/>
      <c r="O3" s="26"/>
      <c r="P3" s="26"/>
    </row>
    <row r="4">
      <c r="A4" s="74"/>
      <c r="B4" s="15"/>
      <c r="C4" s="16"/>
      <c r="D4" s="15"/>
      <c r="E4" s="17"/>
      <c r="F4" s="18"/>
      <c r="G4" s="19"/>
      <c r="H4" s="17"/>
      <c r="I4" s="19"/>
      <c r="J4" s="21"/>
      <c r="K4" s="57"/>
      <c r="L4" s="24"/>
      <c r="M4" s="25"/>
      <c r="N4" s="25"/>
      <c r="O4" s="26"/>
      <c r="P4" s="26"/>
    </row>
    <row r="5">
      <c r="A5" s="52"/>
      <c r="B5" s="15"/>
      <c r="C5" s="16"/>
      <c r="D5" s="15"/>
      <c r="E5" s="17"/>
      <c r="F5" s="18"/>
      <c r="G5" s="19"/>
      <c r="H5" s="17"/>
      <c r="I5" s="19"/>
      <c r="J5" s="21"/>
      <c r="K5" s="57"/>
      <c r="L5" s="24"/>
      <c r="M5" s="25"/>
      <c r="N5" s="25"/>
      <c r="O5" s="26"/>
      <c r="P5" s="26"/>
    </row>
    <row r="6">
      <c r="A6" s="52"/>
      <c r="B6" s="15"/>
      <c r="C6" s="16"/>
      <c r="D6" s="15"/>
      <c r="E6" s="17"/>
      <c r="F6" s="18"/>
      <c r="G6" s="19"/>
      <c r="H6" s="17"/>
      <c r="I6" s="19"/>
      <c r="J6" s="21"/>
      <c r="K6" s="57"/>
      <c r="L6" s="24"/>
      <c r="M6" s="25"/>
      <c r="N6" s="25"/>
      <c r="O6" s="26"/>
      <c r="P6" s="26"/>
    </row>
    <row r="7">
      <c r="A7" s="52"/>
      <c r="B7" s="15"/>
      <c r="C7" s="16"/>
      <c r="D7" s="15"/>
      <c r="E7" s="17"/>
      <c r="F7" s="18"/>
      <c r="G7" s="19"/>
      <c r="H7" s="17"/>
      <c r="I7" s="19"/>
      <c r="J7" s="21"/>
      <c r="K7" s="57"/>
      <c r="L7" s="24"/>
      <c r="M7" s="25"/>
      <c r="N7" s="25"/>
      <c r="O7" s="26"/>
      <c r="P7" s="26"/>
    </row>
    <row r="8">
      <c r="A8" s="52"/>
      <c r="B8" s="15"/>
      <c r="C8" s="16"/>
      <c r="D8" s="15"/>
      <c r="E8" s="17"/>
      <c r="F8" s="18"/>
      <c r="G8" s="19"/>
      <c r="H8" s="17"/>
      <c r="I8" s="19"/>
      <c r="J8" s="21"/>
      <c r="K8" s="57"/>
      <c r="L8" s="24"/>
      <c r="M8" s="25"/>
      <c r="N8" s="25"/>
      <c r="O8" s="26"/>
      <c r="P8" s="26"/>
    </row>
    <row r="9">
      <c r="A9" s="74"/>
      <c r="B9" s="15"/>
      <c r="C9" s="16"/>
      <c r="D9" s="15"/>
      <c r="E9" s="17"/>
      <c r="F9" s="18"/>
      <c r="G9" s="19"/>
      <c r="H9" s="17"/>
      <c r="I9" s="19"/>
      <c r="J9" s="21"/>
      <c r="K9" s="57"/>
      <c r="L9" s="24"/>
      <c r="M9" s="25"/>
      <c r="N9" s="25"/>
      <c r="O9" s="26"/>
      <c r="P9" s="26"/>
    </row>
    <row r="10">
      <c r="A10" s="52"/>
      <c r="B10" s="15"/>
      <c r="C10" s="16"/>
      <c r="D10" s="15"/>
      <c r="E10" s="17"/>
      <c r="F10" s="18"/>
      <c r="G10" s="19"/>
      <c r="H10" s="17"/>
      <c r="I10" s="19"/>
      <c r="J10" s="21"/>
      <c r="K10" s="57"/>
      <c r="L10" s="24"/>
      <c r="M10" s="25"/>
      <c r="N10" s="25"/>
      <c r="O10" s="26"/>
      <c r="P10" s="26"/>
    </row>
    <row r="11">
      <c r="A11" s="52"/>
      <c r="B11" s="15"/>
      <c r="C11" s="16"/>
      <c r="D11" s="15"/>
      <c r="E11" s="17"/>
      <c r="F11" s="18"/>
      <c r="G11" s="19"/>
      <c r="H11" s="17"/>
      <c r="I11" s="19"/>
      <c r="J11" s="21"/>
      <c r="K11" s="57"/>
      <c r="L11" s="24"/>
      <c r="M11" s="25"/>
      <c r="N11" s="25"/>
      <c r="O11" s="26"/>
      <c r="P11" s="26"/>
    </row>
    <row r="12">
      <c r="A12" s="52"/>
      <c r="B12" s="15"/>
      <c r="C12" s="16"/>
      <c r="D12" s="15"/>
      <c r="E12" s="53"/>
      <c r="F12" s="54"/>
      <c r="G12" s="19"/>
      <c r="H12" s="17"/>
      <c r="I12" s="19"/>
      <c r="J12" s="21"/>
      <c r="K12" s="57"/>
      <c r="L12" s="24"/>
      <c r="M12" s="25"/>
      <c r="N12" s="25"/>
      <c r="O12" s="26"/>
      <c r="P12" s="26"/>
    </row>
    <row r="13">
      <c r="A13" s="52"/>
      <c r="B13" s="15"/>
      <c r="C13" s="16"/>
      <c r="D13" s="15"/>
      <c r="E13" s="17"/>
      <c r="F13" s="54"/>
      <c r="G13" s="19"/>
      <c r="H13" s="17"/>
      <c r="I13" s="19"/>
      <c r="J13" s="21"/>
      <c r="K13" s="57"/>
      <c r="L13" s="24"/>
      <c r="M13" s="25"/>
      <c r="N13" s="25"/>
      <c r="O13" s="26"/>
      <c r="P13" s="26"/>
    </row>
    <row r="14">
      <c r="A14" s="52"/>
      <c r="B14" s="15"/>
      <c r="C14" s="16"/>
      <c r="D14" s="15"/>
      <c r="E14" s="17"/>
      <c r="F14" s="54"/>
      <c r="G14" s="19"/>
      <c r="H14" s="17"/>
      <c r="I14" s="19"/>
      <c r="J14" s="21"/>
      <c r="K14" s="57"/>
      <c r="L14" s="24"/>
      <c r="M14" s="25"/>
      <c r="N14" s="25"/>
      <c r="O14" s="26"/>
      <c r="P14" s="26"/>
    </row>
    <row r="15">
      <c r="A15" s="52"/>
      <c r="B15" s="15"/>
      <c r="C15" s="16"/>
      <c r="D15" s="15"/>
      <c r="E15" s="17"/>
      <c r="F15" s="54"/>
      <c r="G15" s="19"/>
      <c r="H15" s="17"/>
      <c r="I15" s="19"/>
      <c r="J15" s="21"/>
      <c r="K15" s="57"/>
      <c r="L15" s="24"/>
      <c r="M15" s="25"/>
      <c r="N15" s="25"/>
      <c r="O15" s="26"/>
      <c r="P15" s="26"/>
    </row>
    <row r="16">
      <c r="A16" s="52"/>
      <c r="B16" s="15"/>
      <c r="C16" s="16"/>
      <c r="D16" s="15"/>
      <c r="E16" s="17"/>
      <c r="F16" s="54"/>
      <c r="G16" s="19"/>
      <c r="H16" s="17"/>
      <c r="I16" s="19"/>
      <c r="J16" s="21"/>
      <c r="K16" s="57"/>
      <c r="L16" s="24"/>
      <c r="M16" s="25"/>
      <c r="N16" s="25"/>
      <c r="O16" s="26"/>
      <c r="P16" s="26"/>
    </row>
    <row r="17">
      <c r="A17" s="52"/>
      <c r="B17" s="15"/>
      <c r="C17" s="16"/>
      <c r="D17" s="15"/>
      <c r="E17" s="17"/>
      <c r="F17" s="54"/>
      <c r="G17" s="19"/>
      <c r="H17" s="17"/>
      <c r="I17" s="19"/>
      <c r="J17" s="21"/>
      <c r="K17" s="57"/>
      <c r="L17" s="24"/>
      <c r="M17" s="25"/>
      <c r="N17" s="25"/>
      <c r="O17" s="26"/>
      <c r="P17" s="26"/>
    </row>
    <row r="18">
      <c r="A18" s="52"/>
      <c r="B18" s="15"/>
      <c r="C18" s="16"/>
      <c r="D18" s="15"/>
      <c r="E18" s="17"/>
      <c r="F18" s="54"/>
      <c r="G18" s="19"/>
      <c r="H18" s="17"/>
      <c r="I18" s="19"/>
      <c r="J18" s="21"/>
      <c r="K18" s="57"/>
      <c r="L18" s="24"/>
      <c r="M18" s="25"/>
      <c r="N18" s="25"/>
      <c r="O18" s="26"/>
      <c r="P18" s="26"/>
    </row>
    <row r="19">
      <c r="A19" s="52"/>
      <c r="B19" s="15"/>
      <c r="C19" s="16"/>
      <c r="D19" s="15"/>
      <c r="E19" s="17"/>
      <c r="F19" s="54"/>
      <c r="G19" s="19"/>
      <c r="H19" s="17"/>
      <c r="I19" s="19"/>
      <c r="J19" s="21"/>
      <c r="K19" s="57"/>
      <c r="L19" s="24"/>
      <c r="M19" s="25"/>
      <c r="N19" s="25"/>
      <c r="O19" s="26"/>
      <c r="P19" s="26"/>
    </row>
    <row r="20">
      <c r="A20" s="52"/>
      <c r="B20" s="15"/>
      <c r="C20" s="16"/>
      <c r="D20" s="15"/>
      <c r="E20" s="17"/>
      <c r="F20" s="54"/>
      <c r="G20" s="19"/>
      <c r="H20" s="17"/>
      <c r="I20" s="19"/>
      <c r="J20" s="21"/>
      <c r="K20" s="57"/>
      <c r="L20" s="24"/>
      <c r="M20" s="25"/>
      <c r="N20" s="25"/>
      <c r="O20" s="26"/>
      <c r="P20" s="26"/>
    </row>
    <row r="21">
      <c r="A21" s="52"/>
      <c r="B21" s="15"/>
      <c r="C21" s="16"/>
      <c r="D21" s="15"/>
      <c r="E21" s="17"/>
      <c r="F21" s="18"/>
      <c r="G21" s="19"/>
      <c r="H21" s="17"/>
      <c r="I21" s="19"/>
      <c r="J21" s="21"/>
      <c r="K21" s="57"/>
      <c r="L21" s="24"/>
      <c r="M21" s="25"/>
      <c r="N21" s="25"/>
      <c r="O21" s="26"/>
      <c r="P21" s="26"/>
    </row>
    <row r="22">
      <c r="A22" s="52"/>
      <c r="B22" s="15"/>
      <c r="C22" s="16"/>
      <c r="D22" s="15"/>
      <c r="E22" s="17"/>
      <c r="F22" s="54"/>
      <c r="G22" s="19"/>
      <c r="H22" s="17"/>
      <c r="I22" s="19"/>
      <c r="J22" s="21"/>
      <c r="K22" s="57"/>
      <c r="L22" s="24"/>
      <c r="M22" s="25"/>
      <c r="N22" s="25"/>
      <c r="O22" s="26"/>
      <c r="P22" s="26"/>
    </row>
    <row r="23">
      <c r="A23" s="52"/>
      <c r="B23" s="15"/>
      <c r="C23" s="16"/>
      <c r="D23" s="15"/>
      <c r="E23" s="17"/>
      <c r="F23" s="18"/>
      <c r="G23" s="19"/>
      <c r="H23" s="17"/>
      <c r="I23" s="19"/>
      <c r="J23" s="21"/>
      <c r="K23" s="57"/>
      <c r="L23" s="24"/>
      <c r="M23" s="25"/>
      <c r="N23" s="25"/>
      <c r="O23" s="26"/>
      <c r="P23" s="26"/>
    </row>
    <row r="24">
      <c r="A24" s="62"/>
      <c r="B24" s="15"/>
      <c r="C24" s="16"/>
      <c r="D24" s="15"/>
      <c r="E24" s="17"/>
      <c r="F24" s="18"/>
      <c r="G24" s="19"/>
      <c r="H24" s="17"/>
      <c r="I24" s="19"/>
      <c r="J24" s="21"/>
      <c r="K24" s="57"/>
      <c r="L24" s="24"/>
      <c r="M24" s="25"/>
      <c r="N24" s="25"/>
      <c r="O24" s="26"/>
      <c r="P24" s="26"/>
    </row>
    <row r="25">
      <c r="A25" s="52"/>
      <c r="B25" s="15"/>
      <c r="C25" s="16"/>
      <c r="D25" s="15"/>
      <c r="E25" s="17"/>
      <c r="F25" s="54"/>
      <c r="G25" s="19"/>
      <c r="H25" s="17"/>
      <c r="I25" s="19"/>
      <c r="J25" s="21"/>
      <c r="K25" s="57"/>
      <c r="L25" s="24"/>
      <c r="M25" s="25"/>
      <c r="N25" s="25"/>
      <c r="O25" s="26"/>
      <c r="P25" s="26"/>
    </row>
    <row r="26">
      <c r="A26" s="52"/>
      <c r="B26" s="15"/>
      <c r="C26" s="16"/>
      <c r="D26" s="15"/>
      <c r="E26" s="17"/>
      <c r="F26" s="54"/>
      <c r="G26" s="19"/>
      <c r="H26" s="17"/>
      <c r="I26" s="19"/>
      <c r="J26" s="21"/>
      <c r="K26" s="57"/>
      <c r="L26" s="24"/>
      <c r="M26" s="25"/>
      <c r="N26" s="25"/>
      <c r="O26" s="26"/>
      <c r="P26" s="26"/>
    </row>
    <row r="27">
      <c r="A27" s="52"/>
      <c r="B27" s="15"/>
      <c r="C27" s="16"/>
      <c r="D27" s="15"/>
      <c r="E27" s="17"/>
      <c r="F27" s="54"/>
      <c r="G27" s="19"/>
      <c r="H27" s="17"/>
      <c r="I27" s="19"/>
      <c r="J27" s="21"/>
      <c r="K27" s="57"/>
      <c r="L27" s="24"/>
      <c r="M27" s="25"/>
      <c r="N27" s="25"/>
      <c r="O27" s="26"/>
      <c r="P27" s="26"/>
    </row>
    <row r="28">
      <c r="A28" s="52"/>
      <c r="B28" s="15"/>
      <c r="C28" s="16"/>
      <c r="D28" s="15"/>
      <c r="E28" s="17"/>
      <c r="F28" s="54"/>
      <c r="G28" s="19"/>
      <c r="H28" s="17"/>
      <c r="I28" s="19"/>
      <c r="J28" s="21"/>
      <c r="K28" s="57"/>
      <c r="L28" s="24"/>
      <c r="M28" s="25"/>
      <c r="N28" s="25"/>
      <c r="O28" s="26"/>
      <c r="P28" s="26"/>
    </row>
    <row r="29">
      <c r="A29" s="52"/>
      <c r="B29" s="15"/>
      <c r="C29" s="16"/>
      <c r="D29" s="15"/>
      <c r="E29" s="17"/>
      <c r="F29" s="54"/>
      <c r="G29" s="19"/>
      <c r="H29" s="17"/>
      <c r="I29" s="19"/>
      <c r="J29" s="21"/>
      <c r="K29" s="57"/>
      <c r="L29" s="24"/>
      <c r="M29" s="25"/>
      <c r="N29" s="25"/>
      <c r="O29" s="26"/>
      <c r="P29" s="26"/>
    </row>
    <row r="30">
      <c r="A30" s="52"/>
      <c r="B30" s="15"/>
      <c r="C30" s="16"/>
      <c r="D30" s="15"/>
      <c r="E30" s="17"/>
      <c r="F30" s="54"/>
      <c r="G30" s="19"/>
      <c r="H30" s="17"/>
      <c r="I30" s="19"/>
      <c r="J30" s="21"/>
      <c r="K30" s="57"/>
      <c r="L30" s="24"/>
      <c r="M30" s="25"/>
      <c r="N30" s="25"/>
      <c r="O30" s="26"/>
      <c r="P30" s="26"/>
    </row>
    <row r="31">
      <c r="A31" s="52"/>
      <c r="B31" s="15"/>
      <c r="C31" s="16"/>
      <c r="D31" s="15"/>
      <c r="E31" s="17"/>
      <c r="F31" s="54"/>
      <c r="G31" s="19"/>
      <c r="H31" s="17"/>
      <c r="I31" s="19"/>
      <c r="J31" s="21"/>
      <c r="K31" s="57"/>
      <c r="L31" s="24"/>
      <c r="M31" s="25"/>
      <c r="N31" s="25"/>
      <c r="O31" s="26"/>
      <c r="P31" s="26"/>
    </row>
    <row r="32">
      <c r="A32" s="52"/>
      <c r="B32" s="15"/>
      <c r="C32" s="16"/>
      <c r="D32" s="15"/>
      <c r="E32" s="17"/>
      <c r="F32" s="54"/>
      <c r="G32" s="19"/>
      <c r="H32" s="17"/>
      <c r="I32" s="19"/>
      <c r="J32" s="21"/>
      <c r="K32" s="57"/>
      <c r="L32" s="24"/>
      <c r="M32" s="25"/>
      <c r="N32" s="25"/>
      <c r="O32" s="26"/>
      <c r="P32" s="26"/>
    </row>
    <row r="33">
      <c r="A33" s="52"/>
      <c r="B33" s="15"/>
      <c r="C33" s="16"/>
      <c r="D33" s="15"/>
      <c r="E33" s="17"/>
      <c r="F33" s="54"/>
      <c r="G33" s="19"/>
      <c r="H33" s="17"/>
      <c r="I33" s="19"/>
      <c r="J33" s="21"/>
      <c r="K33" s="57"/>
      <c r="L33" s="24"/>
      <c r="M33" s="25"/>
      <c r="N33" s="25"/>
      <c r="O33" s="26"/>
      <c r="P33" s="26"/>
    </row>
    <row r="34">
      <c r="A34" s="52"/>
      <c r="B34" s="15"/>
      <c r="C34" s="16"/>
      <c r="D34" s="15"/>
      <c r="E34" s="17"/>
      <c r="F34" s="54"/>
      <c r="G34" s="19"/>
      <c r="H34" s="17"/>
      <c r="I34" s="19"/>
      <c r="J34" s="21"/>
      <c r="K34" s="57"/>
      <c r="L34" s="24"/>
      <c r="M34" s="25"/>
      <c r="N34" s="25"/>
      <c r="O34" s="26"/>
      <c r="P34" s="26"/>
    </row>
    <row r="35">
      <c r="A35" s="52"/>
      <c r="B35" s="15"/>
      <c r="C35" s="16"/>
      <c r="D35" s="15"/>
      <c r="E35" s="17"/>
      <c r="F35" s="54"/>
      <c r="G35" s="19"/>
      <c r="H35" s="17"/>
      <c r="I35" s="19"/>
      <c r="J35" s="21"/>
      <c r="K35" s="57"/>
      <c r="L35" s="24"/>
      <c r="M35" s="25"/>
      <c r="N35" s="25"/>
      <c r="O35" s="26"/>
      <c r="P35" s="26"/>
    </row>
    <row r="36">
      <c r="A36" s="52"/>
      <c r="B36" s="15"/>
      <c r="C36" s="16"/>
      <c r="D36" s="15"/>
      <c r="E36" s="17"/>
      <c r="F36" s="54"/>
      <c r="G36" s="19"/>
      <c r="H36" s="17"/>
      <c r="I36" s="19"/>
      <c r="J36" s="21"/>
      <c r="K36" s="57"/>
      <c r="L36" s="24"/>
      <c r="M36" s="25"/>
      <c r="N36" s="25"/>
      <c r="O36" s="26"/>
      <c r="P36" s="26"/>
    </row>
    <row r="37">
      <c r="A37" s="52"/>
      <c r="B37" s="15"/>
      <c r="C37" s="16"/>
      <c r="D37" s="15"/>
      <c r="E37" s="17"/>
      <c r="F37" s="54"/>
      <c r="G37" s="19"/>
      <c r="H37" s="17"/>
      <c r="I37" s="19"/>
      <c r="J37" s="21"/>
      <c r="K37" s="57"/>
      <c r="L37" s="24"/>
      <c r="M37" s="25"/>
      <c r="N37" s="25"/>
      <c r="O37" s="26"/>
      <c r="P37" s="26"/>
    </row>
    <row r="38">
      <c r="A38" s="52"/>
      <c r="B38" s="15"/>
      <c r="C38" s="16"/>
      <c r="D38" s="15"/>
      <c r="E38" s="17"/>
      <c r="F38" s="54"/>
      <c r="G38" s="19"/>
      <c r="H38" s="17"/>
      <c r="I38" s="19"/>
      <c r="J38" s="21"/>
      <c r="K38" s="57"/>
      <c r="L38" s="24"/>
      <c r="M38" s="25"/>
      <c r="N38" s="25"/>
      <c r="O38" s="26"/>
      <c r="P38" s="26"/>
    </row>
    <row r="39">
      <c r="A39" s="52"/>
      <c r="B39" s="15"/>
      <c r="C39" s="16"/>
      <c r="D39" s="15"/>
      <c r="E39" s="17"/>
      <c r="F39" s="54"/>
      <c r="G39" s="19"/>
      <c r="H39" s="17"/>
      <c r="I39" s="19"/>
      <c r="J39" s="21"/>
      <c r="K39" s="57"/>
      <c r="L39" s="24"/>
      <c r="M39" s="25"/>
      <c r="N39" s="25"/>
      <c r="O39" s="26"/>
      <c r="P39" s="26"/>
    </row>
    <row r="40">
      <c r="A40" s="52"/>
      <c r="B40" s="15"/>
      <c r="C40" s="16"/>
      <c r="D40" s="15"/>
      <c r="E40" s="17"/>
      <c r="F40" s="54"/>
      <c r="G40" s="19"/>
      <c r="H40" s="17"/>
      <c r="I40" s="19"/>
      <c r="J40" s="21"/>
      <c r="K40" s="57"/>
      <c r="L40" s="24"/>
      <c r="M40" s="25"/>
      <c r="N40" s="25"/>
      <c r="O40" s="26"/>
      <c r="P40" s="26"/>
    </row>
    <row r="41">
      <c r="A41" s="52"/>
      <c r="B41" s="15"/>
      <c r="C41" s="16"/>
      <c r="D41" s="15"/>
      <c r="E41" s="17"/>
      <c r="F41" s="54"/>
      <c r="G41" s="19"/>
      <c r="H41" s="17"/>
      <c r="I41" s="19"/>
      <c r="J41" s="21"/>
      <c r="K41" s="57"/>
      <c r="L41" s="24"/>
      <c r="M41" s="25"/>
      <c r="N41" s="25"/>
      <c r="O41" s="26"/>
      <c r="P41" s="26"/>
    </row>
    <row r="42">
      <c r="A42" s="52"/>
      <c r="B42" s="15"/>
      <c r="C42" s="16"/>
      <c r="D42" s="15"/>
      <c r="E42" s="17"/>
      <c r="F42" s="54"/>
      <c r="G42" s="19"/>
      <c r="H42" s="17"/>
      <c r="I42" s="19"/>
      <c r="J42" s="21"/>
      <c r="K42" s="57"/>
      <c r="L42" s="24"/>
      <c r="M42" s="25"/>
      <c r="N42" s="25"/>
      <c r="O42" s="26"/>
      <c r="P42" s="26"/>
    </row>
    <row r="43">
      <c r="A43" s="52"/>
      <c r="B43" s="15"/>
      <c r="C43" s="16"/>
      <c r="D43" s="15"/>
      <c r="E43" s="17"/>
      <c r="F43" s="54"/>
      <c r="G43" s="19"/>
      <c r="H43" s="17"/>
      <c r="I43" s="19"/>
      <c r="J43" s="21"/>
      <c r="K43" s="57"/>
      <c r="L43" s="24"/>
      <c r="M43" s="25"/>
      <c r="N43" s="25"/>
      <c r="O43" s="26"/>
      <c r="P43" s="26"/>
    </row>
    <row r="44">
      <c r="A44" s="52"/>
      <c r="B44" s="15"/>
      <c r="C44" s="16"/>
      <c r="D44" s="15"/>
      <c r="E44" s="17"/>
      <c r="F44" s="54"/>
      <c r="G44" s="19"/>
      <c r="H44" s="17"/>
      <c r="I44" s="19"/>
      <c r="J44" s="21"/>
      <c r="K44" s="57"/>
      <c r="L44" s="24"/>
      <c r="M44" s="25"/>
      <c r="N44" s="25"/>
      <c r="O44" s="26"/>
      <c r="P44" s="26"/>
    </row>
    <row r="45">
      <c r="A45" s="52"/>
      <c r="B45" s="15"/>
      <c r="C45" s="16"/>
      <c r="D45" s="15"/>
      <c r="E45" s="17"/>
      <c r="F45" s="54"/>
      <c r="G45" s="19"/>
      <c r="H45" s="17"/>
      <c r="I45" s="19"/>
      <c r="J45" s="21"/>
      <c r="K45" s="57"/>
      <c r="L45" s="24"/>
      <c r="M45" s="25"/>
      <c r="N45" s="25"/>
      <c r="O45" s="26"/>
      <c r="P45" s="26"/>
    </row>
    <row r="46">
      <c r="A46" s="52"/>
      <c r="B46" s="15"/>
      <c r="C46" s="16"/>
      <c r="D46" s="15"/>
      <c r="E46" s="17"/>
      <c r="F46" s="54"/>
      <c r="G46" s="19"/>
      <c r="H46" s="17"/>
      <c r="I46" s="19"/>
      <c r="J46" s="21"/>
      <c r="K46" s="57"/>
      <c r="L46" s="24"/>
      <c r="M46" s="25"/>
      <c r="N46" s="25"/>
      <c r="O46" s="26"/>
      <c r="P46" s="26"/>
    </row>
    <row r="47">
      <c r="A47" s="52"/>
      <c r="B47" s="15"/>
      <c r="C47" s="16"/>
      <c r="D47" s="15"/>
      <c r="E47" s="17"/>
      <c r="F47" s="54"/>
      <c r="G47" s="19"/>
      <c r="H47" s="17"/>
      <c r="I47" s="19"/>
      <c r="J47" s="21"/>
      <c r="K47" s="57"/>
      <c r="L47" s="24"/>
      <c r="M47" s="25"/>
      <c r="N47" s="25"/>
      <c r="O47" s="26"/>
      <c r="P47" s="26"/>
    </row>
    <row r="48">
      <c r="A48" s="52"/>
      <c r="B48" s="15"/>
      <c r="C48" s="16"/>
      <c r="D48" s="15"/>
      <c r="E48" s="17"/>
      <c r="F48" s="18"/>
      <c r="G48" s="19"/>
      <c r="H48" s="17"/>
      <c r="I48" s="19"/>
      <c r="J48" s="21"/>
      <c r="K48" s="57"/>
      <c r="L48" s="24"/>
      <c r="M48" s="25"/>
      <c r="N48" s="25"/>
      <c r="O48" s="26"/>
      <c r="P48" s="26"/>
    </row>
    <row r="49">
      <c r="A49" s="52"/>
      <c r="B49" s="15"/>
      <c r="C49" s="16"/>
      <c r="D49" s="15"/>
      <c r="E49" s="17"/>
      <c r="F49" s="18"/>
      <c r="G49" s="19"/>
      <c r="H49" s="17"/>
      <c r="I49" s="19"/>
      <c r="J49" s="21"/>
      <c r="K49" s="57"/>
      <c r="L49" s="24"/>
      <c r="M49" s="25"/>
      <c r="N49" s="25"/>
      <c r="O49" s="26"/>
      <c r="P49" s="26"/>
    </row>
    <row r="50">
      <c r="A50" s="52"/>
      <c r="B50" s="15"/>
      <c r="C50" s="16"/>
      <c r="D50" s="15"/>
      <c r="E50" s="17"/>
      <c r="F50" s="54"/>
      <c r="G50" s="19"/>
      <c r="H50" s="17"/>
      <c r="I50" s="19"/>
      <c r="J50" s="21"/>
      <c r="K50" s="57"/>
      <c r="L50" s="24"/>
      <c r="M50" s="25"/>
      <c r="N50" s="25"/>
      <c r="O50" s="26"/>
      <c r="P50" s="26"/>
    </row>
    <row r="51">
      <c r="A51" s="52"/>
      <c r="B51" s="15"/>
      <c r="C51" s="16"/>
      <c r="D51" s="15"/>
      <c r="E51" s="17"/>
      <c r="F51" s="54"/>
      <c r="G51" s="19"/>
      <c r="H51" s="17"/>
      <c r="I51" s="19"/>
      <c r="J51" s="21"/>
      <c r="K51" s="57"/>
      <c r="L51" s="24"/>
      <c r="M51" s="25"/>
      <c r="N51" s="25"/>
      <c r="O51" s="26"/>
      <c r="P51" s="26"/>
    </row>
    <row r="52">
      <c r="A52" s="52"/>
      <c r="B52" s="15"/>
      <c r="C52" s="16"/>
      <c r="D52" s="15"/>
      <c r="E52" s="17"/>
      <c r="F52" s="54"/>
      <c r="G52" s="19"/>
      <c r="H52" s="17"/>
      <c r="I52" s="19"/>
      <c r="J52" s="21"/>
      <c r="K52" s="57"/>
      <c r="L52" s="24"/>
      <c r="M52" s="25"/>
      <c r="N52" s="25"/>
      <c r="O52" s="26"/>
      <c r="P52" s="26"/>
    </row>
    <row r="53">
      <c r="A53" s="52"/>
      <c r="B53" s="15"/>
      <c r="C53" s="16"/>
      <c r="D53" s="15"/>
      <c r="E53" s="17"/>
      <c r="F53" s="54"/>
      <c r="G53" s="19"/>
      <c r="H53" s="17"/>
      <c r="I53" s="19"/>
      <c r="J53" s="21"/>
      <c r="K53" s="57"/>
      <c r="L53" s="24"/>
      <c r="M53" s="25"/>
      <c r="N53" s="25"/>
      <c r="O53" s="26"/>
      <c r="P53" s="26"/>
    </row>
    <row r="54">
      <c r="A54" s="52"/>
      <c r="B54" s="15"/>
      <c r="C54" s="16"/>
      <c r="D54" s="15"/>
      <c r="E54" s="17"/>
      <c r="F54" s="54"/>
      <c r="G54" s="19"/>
      <c r="H54" s="17"/>
      <c r="I54" s="19"/>
      <c r="J54" s="21"/>
      <c r="K54" s="57"/>
      <c r="L54" s="24"/>
      <c r="M54" s="25"/>
      <c r="N54" s="25"/>
      <c r="O54" s="26"/>
      <c r="P54" s="26"/>
    </row>
    <row r="55">
      <c r="A55" s="52"/>
      <c r="B55" s="15"/>
      <c r="C55" s="16"/>
      <c r="D55" s="15"/>
      <c r="E55" s="17"/>
      <c r="F55" s="54"/>
      <c r="G55" s="19"/>
      <c r="H55" s="17"/>
      <c r="I55" s="19"/>
      <c r="J55" s="21"/>
      <c r="K55" s="57"/>
      <c r="L55" s="24"/>
      <c r="M55" s="25"/>
      <c r="N55" s="25"/>
      <c r="O55" s="26"/>
      <c r="P55" s="26"/>
    </row>
    <row r="56">
      <c r="A56" s="52"/>
      <c r="B56" s="15"/>
      <c r="C56" s="16"/>
      <c r="D56" s="15"/>
      <c r="E56" s="17"/>
      <c r="F56" s="54"/>
      <c r="G56" s="19"/>
      <c r="H56" s="17"/>
      <c r="I56" s="19"/>
      <c r="J56" s="21"/>
      <c r="K56" s="57"/>
      <c r="L56" s="24"/>
      <c r="M56" s="25"/>
      <c r="N56" s="25"/>
      <c r="O56" s="26"/>
      <c r="P56" s="26"/>
    </row>
    <row r="57">
      <c r="A57" s="52"/>
      <c r="B57" s="15"/>
      <c r="C57" s="16"/>
      <c r="D57" s="15"/>
      <c r="E57" s="17"/>
      <c r="F57" s="54"/>
      <c r="G57" s="19"/>
      <c r="H57" s="17"/>
      <c r="I57" s="19"/>
      <c r="J57" s="21"/>
      <c r="K57" s="57"/>
      <c r="L57" s="24"/>
      <c r="M57" s="25"/>
      <c r="N57" s="25"/>
      <c r="O57" s="26"/>
      <c r="P57" s="26"/>
    </row>
    <row r="58">
      <c r="A58" s="52"/>
      <c r="B58" s="15"/>
      <c r="C58" s="16"/>
      <c r="D58" s="15"/>
      <c r="E58" s="17"/>
      <c r="F58" s="54"/>
      <c r="G58" s="19"/>
      <c r="H58" s="17"/>
      <c r="I58" s="19"/>
      <c r="J58" s="21"/>
      <c r="K58" s="57"/>
      <c r="L58" s="24"/>
      <c r="M58" s="25"/>
      <c r="N58" s="25"/>
      <c r="O58" s="26"/>
      <c r="P58" s="26"/>
    </row>
    <row r="59">
      <c r="A59" s="52"/>
      <c r="B59" s="15"/>
      <c r="C59" s="16"/>
      <c r="D59" s="15"/>
      <c r="E59" s="17"/>
      <c r="F59" s="54"/>
      <c r="G59" s="19"/>
      <c r="H59" s="17"/>
      <c r="I59" s="19"/>
      <c r="J59" s="21"/>
      <c r="K59" s="57"/>
      <c r="L59" s="24"/>
      <c r="M59" s="25"/>
      <c r="N59" s="25"/>
      <c r="O59" s="26"/>
      <c r="P59" s="26"/>
    </row>
    <row r="60">
      <c r="A60" s="52"/>
      <c r="B60" s="15"/>
      <c r="C60" s="16"/>
      <c r="D60" s="15"/>
      <c r="E60" s="17"/>
      <c r="F60" s="54"/>
      <c r="G60" s="19"/>
      <c r="H60" s="17"/>
      <c r="I60" s="19"/>
      <c r="J60" s="21"/>
      <c r="K60" s="57"/>
      <c r="L60" s="24"/>
      <c r="M60" s="25"/>
      <c r="N60" s="25"/>
      <c r="O60" s="26"/>
      <c r="P60" s="26"/>
    </row>
    <row r="61">
      <c r="A61" s="52"/>
      <c r="B61" s="15"/>
      <c r="C61" s="16"/>
      <c r="D61" s="15"/>
      <c r="E61" s="17"/>
      <c r="F61" s="54"/>
      <c r="G61" s="19"/>
      <c r="H61" s="17"/>
      <c r="I61" s="19"/>
      <c r="J61" s="21"/>
      <c r="K61" s="57"/>
      <c r="L61" s="24"/>
      <c r="M61" s="25"/>
      <c r="N61" s="25"/>
      <c r="O61" s="26"/>
      <c r="P61" s="26"/>
    </row>
    <row r="62">
      <c r="A62" s="52"/>
      <c r="B62" s="15"/>
      <c r="C62" s="16"/>
      <c r="D62" s="15"/>
      <c r="E62" s="17"/>
      <c r="F62" s="54"/>
      <c r="G62" s="19"/>
      <c r="H62" s="17"/>
      <c r="I62" s="19"/>
      <c r="J62" s="21"/>
      <c r="K62" s="57"/>
      <c r="L62" s="24"/>
      <c r="M62" s="25"/>
      <c r="N62" s="25"/>
      <c r="O62" s="26"/>
      <c r="P62" s="26"/>
    </row>
    <row r="63">
      <c r="A63" s="52"/>
      <c r="B63" s="15"/>
      <c r="C63" s="16"/>
      <c r="D63" s="15"/>
      <c r="E63" s="17"/>
      <c r="F63" s="54"/>
      <c r="G63" s="19"/>
      <c r="H63" s="17"/>
      <c r="I63" s="19"/>
      <c r="J63" s="21"/>
      <c r="K63" s="57"/>
      <c r="L63" s="24"/>
      <c r="M63" s="25"/>
      <c r="N63" s="25"/>
      <c r="O63" s="26"/>
      <c r="P63" s="26"/>
    </row>
    <row r="64">
      <c r="A64" s="52"/>
      <c r="B64" s="15"/>
      <c r="C64" s="16"/>
      <c r="D64" s="15"/>
      <c r="E64" s="17"/>
      <c r="F64" s="54"/>
      <c r="G64" s="19"/>
      <c r="H64" s="17"/>
      <c r="I64" s="19"/>
      <c r="J64" s="21"/>
      <c r="K64" s="57"/>
      <c r="L64" s="24"/>
      <c r="M64" s="25"/>
      <c r="N64" s="25"/>
      <c r="O64" s="26"/>
      <c r="P64" s="26"/>
    </row>
    <row r="65">
      <c r="A65" s="52"/>
      <c r="B65" s="15"/>
      <c r="C65" s="16"/>
      <c r="D65" s="15"/>
      <c r="E65" s="17"/>
      <c r="F65" s="54"/>
      <c r="G65" s="19"/>
      <c r="H65" s="17"/>
      <c r="I65" s="19"/>
      <c r="J65" s="21"/>
      <c r="K65" s="57"/>
      <c r="L65" s="24"/>
      <c r="M65" s="25"/>
      <c r="N65" s="25"/>
      <c r="O65" s="26"/>
      <c r="P65" s="26"/>
    </row>
    <row r="66">
      <c r="A66" s="52"/>
      <c r="B66" s="15"/>
      <c r="C66" s="16"/>
      <c r="D66" s="15"/>
      <c r="E66" s="17"/>
      <c r="F66" s="54"/>
      <c r="G66" s="19"/>
      <c r="H66" s="17"/>
      <c r="I66" s="19"/>
      <c r="J66" s="21"/>
      <c r="K66" s="57"/>
      <c r="L66" s="24"/>
      <c r="M66" s="25"/>
      <c r="N66" s="25"/>
      <c r="O66" s="26"/>
      <c r="P66" s="26"/>
    </row>
    <row r="67">
      <c r="A67" s="52"/>
      <c r="B67" s="15"/>
      <c r="C67" s="16"/>
      <c r="D67" s="15"/>
      <c r="E67" s="17"/>
      <c r="F67" s="54"/>
      <c r="G67" s="19"/>
      <c r="H67" s="17"/>
      <c r="I67" s="19"/>
      <c r="J67" s="21"/>
      <c r="K67" s="57"/>
      <c r="L67" s="24"/>
      <c r="M67" s="25"/>
      <c r="N67" s="25"/>
      <c r="O67" s="26"/>
      <c r="P67" s="26"/>
    </row>
    <row r="68">
      <c r="A68" s="52"/>
      <c r="B68" s="15"/>
      <c r="C68" s="16"/>
      <c r="D68" s="15"/>
      <c r="E68" s="17"/>
      <c r="F68" s="54"/>
      <c r="G68" s="19"/>
      <c r="H68" s="17"/>
      <c r="I68" s="19"/>
      <c r="J68" s="21"/>
      <c r="K68" s="57"/>
      <c r="L68" s="24"/>
      <c r="M68" s="25"/>
      <c r="N68" s="25"/>
      <c r="O68" s="26"/>
      <c r="P68" s="26"/>
    </row>
    <row r="69">
      <c r="A69" s="52"/>
      <c r="B69" s="15"/>
      <c r="C69" s="16"/>
      <c r="D69" s="15"/>
      <c r="E69" s="17"/>
      <c r="F69" s="54"/>
      <c r="G69" s="19"/>
      <c r="H69" s="17"/>
      <c r="I69" s="19"/>
      <c r="J69" s="21"/>
      <c r="K69" s="57"/>
      <c r="L69" s="24"/>
      <c r="M69" s="25"/>
      <c r="N69" s="25"/>
      <c r="O69" s="26"/>
      <c r="P69" s="26"/>
    </row>
    <row r="70">
      <c r="A70" s="52"/>
      <c r="B70" s="15"/>
      <c r="C70" s="16"/>
      <c r="D70" s="15"/>
      <c r="E70" s="17"/>
      <c r="F70" s="54"/>
      <c r="G70" s="19"/>
      <c r="H70" s="17"/>
      <c r="I70" s="19"/>
      <c r="J70" s="21"/>
      <c r="K70" s="57"/>
      <c r="L70" s="24"/>
      <c r="M70" s="25"/>
      <c r="N70" s="25"/>
      <c r="O70" s="26"/>
      <c r="P70" s="26"/>
    </row>
    <row r="71">
      <c r="A71" s="52"/>
      <c r="B71" s="15"/>
      <c r="C71" s="16"/>
      <c r="D71" s="15"/>
      <c r="E71" s="17"/>
      <c r="F71" s="54"/>
      <c r="G71" s="19"/>
      <c r="H71" s="17"/>
      <c r="I71" s="19"/>
      <c r="J71" s="21"/>
      <c r="K71" s="57"/>
      <c r="L71" s="24"/>
      <c r="M71" s="26"/>
      <c r="N71" s="25"/>
      <c r="O71" s="26"/>
      <c r="P71" s="26"/>
    </row>
    <row r="72">
      <c r="A72" s="52"/>
      <c r="B72" s="15"/>
      <c r="C72" s="16"/>
      <c r="D72" s="15"/>
      <c r="E72" s="17"/>
      <c r="F72" s="54"/>
      <c r="G72" s="19"/>
      <c r="H72" s="17"/>
      <c r="I72" s="19"/>
      <c r="J72" s="21"/>
      <c r="K72" s="57"/>
      <c r="L72" s="24"/>
      <c r="M72" s="25"/>
      <c r="N72" s="25"/>
      <c r="O72" s="26"/>
      <c r="P72" s="26"/>
    </row>
    <row r="73">
      <c r="A73" s="52"/>
      <c r="B73" s="15"/>
      <c r="C73" s="16"/>
      <c r="D73" s="15"/>
      <c r="E73" s="17"/>
      <c r="F73" s="54"/>
      <c r="G73" s="19"/>
      <c r="H73" s="17"/>
      <c r="I73" s="19"/>
      <c r="J73" s="21"/>
      <c r="K73" s="57"/>
      <c r="L73" s="24"/>
      <c r="M73" s="25"/>
      <c r="N73" s="25"/>
      <c r="O73" s="26"/>
      <c r="P73" s="26"/>
    </row>
    <row r="74">
      <c r="A74" s="52"/>
      <c r="B74" s="15"/>
      <c r="C74" s="16"/>
      <c r="D74" s="15"/>
      <c r="E74" s="17"/>
      <c r="F74" s="54"/>
      <c r="G74" s="19"/>
      <c r="H74" s="17"/>
      <c r="I74" s="19"/>
      <c r="J74" s="21"/>
      <c r="K74" s="57"/>
      <c r="L74" s="24"/>
      <c r="M74" s="25"/>
      <c r="N74" s="25"/>
      <c r="O74" s="26"/>
      <c r="P74" s="26"/>
    </row>
    <row r="75">
      <c r="A75" s="52"/>
      <c r="B75" s="15"/>
      <c r="C75" s="16"/>
      <c r="D75" s="15"/>
      <c r="E75" s="17"/>
      <c r="F75" s="54"/>
      <c r="G75" s="19"/>
      <c r="H75" s="17"/>
      <c r="I75" s="19"/>
      <c r="J75" s="21"/>
      <c r="K75" s="57"/>
      <c r="L75" s="24"/>
      <c r="M75" s="25"/>
      <c r="N75" s="25"/>
      <c r="O75" s="26"/>
      <c r="P75" s="26"/>
    </row>
    <row r="76">
      <c r="A76" s="52"/>
      <c r="B76" s="15"/>
      <c r="C76" s="16"/>
      <c r="D76" s="15"/>
      <c r="E76" s="17"/>
      <c r="F76" s="54"/>
      <c r="G76" s="19"/>
      <c r="H76" s="17"/>
      <c r="I76" s="19"/>
      <c r="J76" s="21"/>
      <c r="K76" s="57"/>
      <c r="L76" s="24"/>
      <c r="M76" s="25"/>
      <c r="N76" s="25"/>
      <c r="O76" s="26"/>
      <c r="P76" s="26"/>
    </row>
    <row r="77">
      <c r="A77" s="52"/>
      <c r="B77" s="15"/>
      <c r="C77" s="16"/>
      <c r="D77" s="15"/>
      <c r="E77" s="17"/>
      <c r="F77" s="54"/>
      <c r="G77" s="19"/>
      <c r="H77" s="17"/>
      <c r="I77" s="19"/>
      <c r="J77" s="21"/>
      <c r="K77" s="57"/>
      <c r="L77" s="24"/>
      <c r="M77" s="25"/>
      <c r="N77" s="25"/>
      <c r="O77" s="26"/>
      <c r="P77" s="26"/>
    </row>
    <row r="78">
      <c r="A78" s="52"/>
      <c r="B78" s="15"/>
      <c r="C78" s="16"/>
      <c r="D78" s="15"/>
      <c r="E78" s="17"/>
      <c r="F78" s="54"/>
      <c r="G78" s="19"/>
      <c r="H78" s="17"/>
      <c r="I78" s="19"/>
      <c r="J78" s="21"/>
      <c r="K78" s="57"/>
      <c r="L78" s="24"/>
      <c r="M78" s="25"/>
      <c r="N78" s="25"/>
      <c r="O78" s="26"/>
      <c r="P78" s="26"/>
    </row>
    <row r="79">
      <c r="A79" s="52"/>
      <c r="B79" s="15"/>
      <c r="C79" s="16"/>
      <c r="D79" s="15"/>
      <c r="E79" s="17"/>
      <c r="F79" s="54"/>
      <c r="G79" s="19"/>
      <c r="H79" s="17"/>
      <c r="I79" s="19"/>
      <c r="J79" s="21"/>
      <c r="K79" s="57"/>
      <c r="L79" s="24"/>
      <c r="M79" s="25"/>
      <c r="N79" s="25"/>
      <c r="O79" s="26"/>
      <c r="P79" s="26"/>
    </row>
    <row r="80">
      <c r="A80" s="52"/>
      <c r="B80" s="15"/>
      <c r="C80" s="16"/>
      <c r="D80" s="15"/>
      <c r="E80" s="17"/>
      <c r="F80" s="54"/>
      <c r="G80" s="19"/>
      <c r="H80" s="17"/>
      <c r="I80" s="19"/>
      <c r="J80" s="21"/>
      <c r="K80" s="57"/>
      <c r="L80" s="24"/>
      <c r="M80" s="25"/>
      <c r="N80" s="25"/>
      <c r="O80" s="26"/>
      <c r="P80" s="26"/>
    </row>
    <row r="81">
      <c r="A81" s="52"/>
      <c r="B81" s="15"/>
      <c r="C81" s="16"/>
      <c r="D81" s="15"/>
      <c r="E81" s="17"/>
      <c r="F81" s="54"/>
      <c r="G81" s="19"/>
      <c r="H81" s="17"/>
      <c r="I81" s="19"/>
      <c r="J81" s="21"/>
      <c r="K81" s="57"/>
      <c r="L81" s="24"/>
      <c r="M81" s="25"/>
      <c r="N81" s="25"/>
      <c r="O81" s="26"/>
      <c r="P81" s="26"/>
    </row>
    <row r="82">
      <c r="A82" s="52"/>
      <c r="B82" s="15"/>
      <c r="C82" s="16"/>
      <c r="D82" s="15"/>
      <c r="E82" s="17"/>
      <c r="F82" s="54"/>
      <c r="G82" s="19"/>
      <c r="H82" s="17"/>
      <c r="I82" s="19"/>
      <c r="J82" s="21"/>
      <c r="K82" s="57"/>
      <c r="L82" s="24"/>
      <c r="M82" s="25"/>
      <c r="N82" s="25"/>
      <c r="O82" s="26"/>
      <c r="P82" s="26"/>
    </row>
    <row r="83">
      <c r="A83" s="52"/>
      <c r="B83" s="15"/>
      <c r="C83" s="16"/>
      <c r="D83" s="15"/>
      <c r="E83" s="17"/>
      <c r="F83" s="54"/>
      <c r="G83" s="19"/>
      <c r="H83" s="17"/>
      <c r="I83" s="19"/>
      <c r="J83" s="21"/>
      <c r="K83" s="57"/>
      <c r="L83" s="24"/>
      <c r="M83" s="25"/>
      <c r="N83" s="25"/>
      <c r="O83" s="26"/>
      <c r="P83" s="26"/>
    </row>
    <row r="84">
      <c r="A84" s="52"/>
      <c r="B84" s="15"/>
      <c r="C84" s="16"/>
      <c r="D84" s="15"/>
      <c r="E84" s="17"/>
      <c r="F84" s="54"/>
      <c r="G84" s="19"/>
      <c r="H84" s="17"/>
      <c r="I84" s="19"/>
      <c r="J84" s="21"/>
      <c r="K84" s="57"/>
      <c r="L84" s="24"/>
      <c r="M84" s="25"/>
      <c r="N84" s="25"/>
      <c r="O84" s="26"/>
      <c r="P84" s="26"/>
    </row>
    <row r="85">
      <c r="A85" s="52"/>
      <c r="B85" s="15"/>
      <c r="C85" s="16"/>
      <c r="D85" s="15"/>
      <c r="E85" s="17"/>
      <c r="F85" s="54"/>
      <c r="G85" s="19"/>
      <c r="H85" s="17"/>
      <c r="I85" s="19"/>
      <c r="J85" s="21"/>
      <c r="K85" s="57"/>
      <c r="L85" s="24"/>
      <c r="M85" s="25"/>
      <c r="N85" s="25"/>
      <c r="O85" s="26"/>
      <c r="P85" s="26"/>
    </row>
    <row r="86">
      <c r="A86" s="52"/>
      <c r="B86" s="15"/>
      <c r="C86" s="16"/>
      <c r="D86" s="15"/>
      <c r="E86" s="17"/>
      <c r="F86" s="54"/>
      <c r="G86" s="19"/>
      <c r="H86" s="17"/>
      <c r="I86" s="19"/>
      <c r="J86" s="21"/>
      <c r="K86" s="57"/>
      <c r="L86" s="24"/>
      <c r="M86" s="25"/>
      <c r="N86" s="25"/>
      <c r="O86" s="26"/>
      <c r="P86" s="26"/>
    </row>
    <row r="87">
      <c r="A87" s="52"/>
      <c r="B87" s="15"/>
      <c r="C87" s="16"/>
      <c r="D87" s="15"/>
      <c r="E87" s="17"/>
      <c r="F87" s="54"/>
      <c r="G87" s="19"/>
      <c r="H87" s="17"/>
      <c r="I87" s="19"/>
      <c r="J87" s="21"/>
      <c r="K87" s="57"/>
      <c r="L87" s="24"/>
      <c r="M87" s="25"/>
      <c r="N87" s="25"/>
      <c r="O87" s="26"/>
      <c r="P87" s="26"/>
    </row>
    <row r="88">
      <c r="A88" s="52"/>
      <c r="B88" s="15"/>
      <c r="C88" s="16"/>
      <c r="D88" s="15"/>
      <c r="E88" s="17"/>
      <c r="F88" s="54"/>
      <c r="G88" s="19"/>
      <c r="H88" s="17"/>
      <c r="I88" s="19"/>
      <c r="J88" s="21"/>
      <c r="K88" s="57"/>
      <c r="L88" s="24"/>
      <c r="M88" s="25"/>
      <c r="N88" s="25"/>
      <c r="O88" s="26"/>
      <c r="P88" s="26"/>
    </row>
    <row r="89">
      <c r="A89" s="52"/>
      <c r="B89" s="15"/>
      <c r="C89" s="16"/>
      <c r="D89" s="15"/>
      <c r="E89" s="17"/>
      <c r="F89" s="54"/>
      <c r="G89" s="19"/>
      <c r="H89" s="17"/>
      <c r="I89" s="19"/>
      <c r="J89" s="21"/>
      <c r="K89" s="57"/>
      <c r="L89" s="24"/>
      <c r="M89" s="25"/>
      <c r="N89" s="25"/>
      <c r="O89" s="26"/>
      <c r="P89" s="26"/>
    </row>
    <row r="90">
      <c r="A90" s="52"/>
      <c r="B90" s="15"/>
      <c r="C90" s="16"/>
      <c r="D90" s="15"/>
      <c r="E90" s="17"/>
      <c r="F90" s="54"/>
      <c r="G90" s="19"/>
      <c r="H90" s="17"/>
      <c r="I90" s="19"/>
      <c r="J90" s="21"/>
      <c r="K90" s="57"/>
      <c r="L90" s="24"/>
      <c r="M90" s="25"/>
      <c r="N90" s="25"/>
      <c r="O90" s="26"/>
      <c r="P90" s="26"/>
    </row>
    <row r="91">
      <c r="A91" s="52"/>
      <c r="B91" s="15"/>
      <c r="C91" s="16"/>
      <c r="D91" s="15"/>
      <c r="E91" s="17"/>
      <c r="F91" s="54"/>
      <c r="G91" s="19"/>
      <c r="H91" s="17"/>
      <c r="I91" s="19"/>
      <c r="J91" s="21"/>
      <c r="K91" s="57"/>
      <c r="L91" s="24"/>
      <c r="M91" s="25"/>
      <c r="N91" s="25"/>
      <c r="O91" s="26"/>
      <c r="P91" s="26"/>
    </row>
    <row r="92">
      <c r="A92" s="52"/>
      <c r="B92" s="15"/>
      <c r="C92" s="16"/>
      <c r="D92" s="15"/>
      <c r="E92" s="17"/>
      <c r="F92" s="54"/>
      <c r="G92" s="19"/>
      <c r="H92" s="17"/>
      <c r="I92" s="19"/>
      <c r="J92" s="21"/>
      <c r="K92" s="57"/>
      <c r="L92" s="24"/>
      <c r="M92" s="25"/>
      <c r="N92" s="25"/>
      <c r="O92" s="26"/>
      <c r="P92" s="26"/>
    </row>
    <row r="93">
      <c r="A93" s="52"/>
      <c r="B93" s="15"/>
      <c r="C93" s="16"/>
      <c r="D93" s="15"/>
      <c r="E93" s="17"/>
      <c r="F93" s="18"/>
      <c r="G93" s="19"/>
      <c r="H93" s="17"/>
      <c r="I93" s="19"/>
      <c r="J93" s="21"/>
      <c r="K93" s="57"/>
      <c r="L93" s="17"/>
      <c r="M93" s="25"/>
      <c r="N93" s="25"/>
      <c r="O93" s="26"/>
      <c r="P93" s="26"/>
    </row>
    <row r="94">
      <c r="A94" s="52"/>
      <c r="B94" s="15"/>
      <c r="C94" s="16"/>
      <c r="D94" s="15"/>
      <c r="E94" s="17"/>
      <c r="F94" s="18"/>
      <c r="G94" s="19"/>
      <c r="H94" s="17"/>
      <c r="I94" s="19"/>
      <c r="J94" s="21"/>
      <c r="K94" s="57"/>
      <c r="L94" s="24"/>
      <c r="M94" s="25"/>
      <c r="N94" s="25"/>
      <c r="O94" s="26"/>
      <c r="P94" s="26"/>
    </row>
    <row r="95">
      <c r="A95" s="52"/>
      <c r="B95" s="15"/>
      <c r="C95" s="16"/>
      <c r="D95" s="15"/>
      <c r="E95" s="17"/>
      <c r="F95" s="18"/>
      <c r="G95" s="19"/>
      <c r="H95" s="17"/>
      <c r="I95" s="19"/>
      <c r="J95" s="21"/>
      <c r="K95" s="57"/>
      <c r="L95" s="24"/>
      <c r="M95" s="25"/>
      <c r="N95" s="25"/>
      <c r="O95" s="26"/>
      <c r="P95" s="26"/>
    </row>
    <row r="96">
      <c r="A96" s="52"/>
      <c r="B96" s="15"/>
      <c r="C96" s="16"/>
      <c r="D96" s="15"/>
      <c r="E96" s="17"/>
      <c r="F96" s="54"/>
      <c r="G96" s="19"/>
      <c r="H96" s="17"/>
      <c r="I96" s="19"/>
      <c r="J96" s="21"/>
      <c r="K96" s="57"/>
      <c r="L96" s="24"/>
      <c r="M96" s="25"/>
      <c r="N96" s="25"/>
      <c r="O96" s="26"/>
      <c r="P96" s="26"/>
    </row>
    <row r="97">
      <c r="A97" s="52"/>
      <c r="B97" s="15"/>
      <c r="C97" s="16"/>
      <c r="D97" s="15"/>
      <c r="E97" s="17"/>
      <c r="F97" s="54"/>
      <c r="G97" s="19"/>
      <c r="H97" s="17"/>
      <c r="I97" s="19"/>
      <c r="J97" s="21"/>
      <c r="K97" s="57"/>
      <c r="L97" s="24"/>
      <c r="M97" s="25"/>
      <c r="N97" s="25"/>
      <c r="O97" s="26"/>
      <c r="P97" s="26"/>
    </row>
    <row r="98">
      <c r="A98" s="52"/>
      <c r="B98" s="15"/>
      <c r="C98" s="16"/>
      <c r="D98" s="15"/>
      <c r="E98" s="17"/>
      <c r="F98" s="54"/>
      <c r="G98" s="19"/>
      <c r="H98" s="17"/>
      <c r="I98" s="19"/>
      <c r="J98" s="21"/>
      <c r="K98" s="57"/>
      <c r="L98" s="24"/>
      <c r="M98" s="25"/>
      <c r="N98" s="25"/>
      <c r="O98" s="26"/>
      <c r="P98" s="26"/>
    </row>
    <row r="99">
      <c r="A99" s="52"/>
      <c r="B99" s="15"/>
      <c r="C99" s="16"/>
      <c r="D99" s="15"/>
      <c r="E99" s="17"/>
      <c r="F99" s="54"/>
      <c r="G99" s="19"/>
      <c r="H99" s="17"/>
      <c r="I99" s="19"/>
      <c r="J99" s="21"/>
      <c r="K99" s="57"/>
      <c r="L99" s="24"/>
      <c r="M99" s="25"/>
      <c r="N99" s="25"/>
      <c r="O99" s="26"/>
      <c r="P99" s="26"/>
    </row>
    <row r="100">
      <c r="A100" s="52"/>
      <c r="B100" s="15"/>
      <c r="C100" s="16"/>
      <c r="D100" s="15"/>
      <c r="E100" s="17"/>
      <c r="F100" s="54"/>
      <c r="G100" s="19"/>
      <c r="H100" s="17"/>
      <c r="I100" s="19"/>
      <c r="J100" s="21"/>
      <c r="K100" s="57"/>
      <c r="L100" s="24"/>
      <c r="M100" s="25"/>
      <c r="N100" s="25"/>
      <c r="O100" s="26"/>
      <c r="P100" s="26"/>
    </row>
    <row r="101">
      <c r="A101" s="52"/>
      <c r="B101" s="15"/>
      <c r="C101" s="16"/>
      <c r="D101" s="15"/>
      <c r="E101" s="17"/>
      <c r="F101" s="54"/>
      <c r="G101" s="19"/>
      <c r="H101" s="17"/>
      <c r="I101" s="19"/>
      <c r="J101" s="21"/>
      <c r="K101" s="57"/>
      <c r="L101" s="24"/>
      <c r="M101" s="25"/>
      <c r="N101" s="25"/>
      <c r="O101" s="26"/>
      <c r="P101" s="26"/>
    </row>
    <row r="102">
      <c r="A102" s="52"/>
      <c r="B102" s="15"/>
      <c r="C102" s="16"/>
      <c r="D102" s="15"/>
      <c r="E102" s="17"/>
      <c r="F102" s="54"/>
      <c r="G102" s="19"/>
      <c r="H102" s="17"/>
      <c r="I102" s="19"/>
      <c r="J102" s="21"/>
      <c r="K102" s="57"/>
      <c r="L102" s="24"/>
      <c r="M102" s="25"/>
      <c r="N102" s="25"/>
      <c r="O102" s="26"/>
      <c r="P102" s="26"/>
    </row>
    <row r="103">
      <c r="A103" s="52"/>
      <c r="B103" s="15"/>
      <c r="C103" s="16"/>
      <c r="D103" s="15"/>
      <c r="E103" s="17"/>
      <c r="F103" s="54"/>
      <c r="G103" s="19"/>
      <c r="H103" s="17"/>
      <c r="I103" s="19"/>
      <c r="J103" s="21"/>
      <c r="K103" s="57"/>
      <c r="L103" s="24"/>
      <c r="M103" s="25"/>
      <c r="N103" s="25"/>
      <c r="O103" s="26"/>
      <c r="P103" s="26"/>
    </row>
    <row r="104">
      <c r="A104" s="52"/>
      <c r="B104" s="15"/>
      <c r="C104" s="16"/>
      <c r="D104" s="15"/>
      <c r="E104" s="17"/>
      <c r="F104" s="54"/>
      <c r="G104" s="19"/>
      <c r="H104" s="17"/>
      <c r="I104" s="19"/>
      <c r="J104" s="21"/>
      <c r="K104" s="57"/>
      <c r="L104" s="24"/>
      <c r="M104" s="25"/>
      <c r="N104" s="25"/>
      <c r="O104" s="26"/>
      <c r="P104" s="26"/>
    </row>
    <row r="105">
      <c r="A105" s="52"/>
      <c r="B105" s="15"/>
      <c r="C105" s="16"/>
      <c r="D105" s="15"/>
      <c r="E105" s="17"/>
      <c r="F105" s="18"/>
      <c r="G105" s="19"/>
      <c r="H105" s="17"/>
      <c r="I105" s="19"/>
      <c r="J105" s="21"/>
      <c r="K105" s="57"/>
      <c r="L105" s="24"/>
      <c r="M105" s="25"/>
      <c r="N105" s="25"/>
      <c r="O105" s="26"/>
      <c r="P105" s="26"/>
    </row>
    <row r="106">
      <c r="A106" s="52"/>
      <c r="B106" s="15"/>
      <c r="C106" s="16"/>
      <c r="D106" s="15"/>
      <c r="E106" s="17"/>
      <c r="F106" s="54"/>
      <c r="G106" s="19"/>
      <c r="H106" s="17"/>
      <c r="I106" s="19"/>
      <c r="J106" s="21"/>
      <c r="K106" s="57"/>
      <c r="L106" s="24"/>
      <c r="M106" s="25"/>
      <c r="N106" s="25"/>
      <c r="O106" s="26"/>
      <c r="P106" s="26"/>
    </row>
    <row r="107">
      <c r="A107" s="52"/>
      <c r="B107" s="15"/>
      <c r="C107" s="16"/>
      <c r="D107" s="15"/>
      <c r="E107" s="17"/>
      <c r="F107" s="54"/>
      <c r="G107" s="19"/>
      <c r="H107" s="17"/>
      <c r="I107" s="19"/>
      <c r="J107" s="21"/>
      <c r="K107" s="57"/>
      <c r="L107" s="24"/>
      <c r="M107" s="25"/>
      <c r="N107" s="25"/>
      <c r="O107" s="26"/>
      <c r="P107" s="26"/>
    </row>
    <row r="108">
      <c r="A108" s="52"/>
      <c r="B108" s="15"/>
      <c r="C108" s="16"/>
      <c r="D108" s="15"/>
      <c r="E108" s="17"/>
      <c r="F108" s="54"/>
      <c r="G108" s="19"/>
      <c r="H108" s="17"/>
      <c r="I108" s="19"/>
      <c r="J108" s="21"/>
      <c r="K108" s="57"/>
      <c r="L108" s="24"/>
      <c r="M108" s="25"/>
      <c r="N108" s="25"/>
      <c r="O108" s="26"/>
      <c r="P108" s="26"/>
    </row>
    <row r="109">
      <c r="A109" s="52"/>
      <c r="B109" s="15"/>
      <c r="C109" s="16"/>
      <c r="D109" s="15"/>
      <c r="E109" s="17"/>
      <c r="F109" s="54"/>
      <c r="G109" s="19"/>
      <c r="H109" s="17"/>
      <c r="I109" s="19"/>
      <c r="J109" s="21"/>
      <c r="K109" s="57"/>
      <c r="L109" s="24"/>
      <c r="M109" s="25"/>
      <c r="N109" s="25"/>
      <c r="O109" s="26"/>
      <c r="P109" s="26"/>
    </row>
    <row r="110">
      <c r="A110" s="52"/>
      <c r="B110" s="15"/>
      <c r="C110" s="16"/>
      <c r="D110" s="15"/>
      <c r="E110" s="17"/>
      <c r="F110" s="54"/>
      <c r="G110" s="19"/>
      <c r="H110" s="17"/>
      <c r="I110" s="19"/>
      <c r="J110" s="21"/>
      <c r="K110" s="57"/>
      <c r="L110" s="24"/>
      <c r="M110" s="25"/>
      <c r="N110" s="25"/>
      <c r="O110" s="26"/>
      <c r="P110" s="26"/>
    </row>
    <row r="111">
      <c r="A111" s="52"/>
      <c r="B111" s="15"/>
      <c r="C111" s="16"/>
      <c r="D111" s="15"/>
      <c r="E111" s="17"/>
      <c r="F111" s="54"/>
      <c r="G111" s="19"/>
      <c r="H111" s="17"/>
      <c r="I111" s="19"/>
      <c r="J111" s="21"/>
      <c r="K111" s="57"/>
      <c r="L111" s="24"/>
      <c r="M111" s="25"/>
      <c r="N111" s="25"/>
      <c r="O111" s="26"/>
      <c r="P111" s="26"/>
    </row>
    <row r="112">
      <c r="A112" s="52"/>
      <c r="B112" s="15"/>
      <c r="C112" s="16"/>
      <c r="D112" s="15"/>
      <c r="E112" s="17"/>
      <c r="F112" s="54"/>
      <c r="G112" s="19"/>
      <c r="H112" s="17"/>
      <c r="I112" s="19"/>
      <c r="J112" s="21"/>
      <c r="K112" s="57"/>
      <c r="L112" s="24"/>
      <c r="M112" s="25"/>
      <c r="N112" s="25"/>
      <c r="O112" s="26"/>
      <c r="P112" s="26"/>
    </row>
    <row r="113">
      <c r="A113" s="52"/>
      <c r="B113" s="15"/>
      <c r="C113" s="16"/>
      <c r="D113" s="15"/>
      <c r="E113" s="17"/>
      <c r="F113" s="54"/>
      <c r="G113" s="19"/>
      <c r="H113" s="17"/>
      <c r="I113" s="19"/>
      <c r="J113" s="21"/>
      <c r="K113" s="57"/>
      <c r="L113" s="24"/>
      <c r="M113" s="25"/>
      <c r="N113" s="25"/>
      <c r="O113" s="26"/>
      <c r="P113" s="26"/>
    </row>
    <row r="114">
      <c r="A114" s="52"/>
      <c r="B114" s="15"/>
      <c r="C114" s="16"/>
      <c r="D114" s="15"/>
      <c r="E114" s="17"/>
      <c r="F114" s="54"/>
      <c r="G114" s="19"/>
      <c r="H114" s="17"/>
      <c r="I114" s="19"/>
      <c r="J114" s="21"/>
      <c r="K114" s="57"/>
      <c r="L114" s="24"/>
      <c r="M114" s="25"/>
      <c r="N114" s="25"/>
      <c r="O114" s="26"/>
      <c r="P114" s="26"/>
    </row>
    <row r="115">
      <c r="A115" s="52"/>
      <c r="B115" s="15"/>
      <c r="C115" s="16"/>
      <c r="D115" s="15"/>
      <c r="E115" s="17"/>
      <c r="F115" s="54"/>
      <c r="G115" s="19"/>
      <c r="H115" s="17"/>
      <c r="I115" s="19"/>
      <c r="J115" s="21"/>
      <c r="K115" s="57"/>
      <c r="L115" s="24"/>
      <c r="M115" s="25"/>
      <c r="N115" s="25"/>
      <c r="O115" s="26"/>
      <c r="P115" s="26"/>
    </row>
    <row r="116">
      <c r="A116" s="52"/>
      <c r="B116" s="15"/>
      <c r="C116" s="16"/>
      <c r="D116" s="15"/>
      <c r="E116" s="17"/>
      <c r="F116" s="54"/>
      <c r="G116" s="19"/>
      <c r="H116" s="17"/>
      <c r="I116" s="19"/>
      <c r="J116" s="21"/>
      <c r="K116" s="57"/>
      <c r="L116" s="24"/>
      <c r="M116" s="25"/>
      <c r="N116" s="25"/>
      <c r="O116" s="26"/>
      <c r="P116" s="26"/>
    </row>
    <row r="117">
      <c r="A117" s="52"/>
      <c r="B117" s="15"/>
      <c r="C117" s="16"/>
      <c r="D117" s="15"/>
      <c r="E117" s="17"/>
      <c r="F117" s="54"/>
      <c r="G117" s="19"/>
      <c r="H117" s="17"/>
      <c r="I117" s="19"/>
      <c r="J117" s="21"/>
      <c r="K117" s="57"/>
      <c r="L117" s="24"/>
      <c r="M117" s="25"/>
      <c r="N117" s="25"/>
      <c r="O117" s="26"/>
      <c r="P117" s="26"/>
    </row>
    <row r="118">
      <c r="A118" s="52"/>
      <c r="B118" s="15"/>
      <c r="C118" s="16"/>
      <c r="D118" s="15"/>
      <c r="E118" s="17"/>
      <c r="F118" s="54"/>
      <c r="G118" s="19"/>
      <c r="H118" s="17"/>
      <c r="I118" s="19"/>
      <c r="J118" s="21"/>
      <c r="K118" s="57"/>
      <c r="L118" s="24"/>
      <c r="M118" s="25"/>
      <c r="N118" s="25"/>
      <c r="O118" s="26"/>
      <c r="P118" s="26"/>
    </row>
    <row r="119">
      <c r="A119" s="52"/>
      <c r="B119" s="15"/>
      <c r="C119" s="16"/>
      <c r="D119" s="15"/>
      <c r="E119" s="17"/>
      <c r="F119" s="54"/>
      <c r="G119" s="19"/>
      <c r="H119" s="17"/>
      <c r="I119" s="19"/>
      <c r="J119" s="21"/>
      <c r="K119" s="57"/>
      <c r="L119" s="24"/>
      <c r="M119" s="25"/>
      <c r="N119" s="25"/>
      <c r="O119" s="26"/>
      <c r="P119" s="26"/>
    </row>
    <row r="120">
      <c r="A120" s="52"/>
      <c r="B120" s="15"/>
      <c r="C120" s="16"/>
      <c r="D120" s="15"/>
      <c r="E120" s="17"/>
      <c r="F120" s="54"/>
      <c r="G120" s="19"/>
      <c r="H120" s="17"/>
      <c r="I120" s="19"/>
      <c r="J120" s="21"/>
      <c r="K120" s="57"/>
      <c r="L120" s="24"/>
      <c r="M120" s="25"/>
      <c r="N120" s="25"/>
      <c r="O120" s="26"/>
      <c r="P120" s="26"/>
    </row>
    <row r="121">
      <c r="A121" s="52"/>
      <c r="B121" s="15"/>
      <c r="C121" s="16"/>
      <c r="D121" s="15"/>
      <c r="E121" s="17"/>
      <c r="F121" s="54"/>
      <c r="G121" s="19"/>
      <c r="H121" s="17"/>
      <c r="I121" s="19"/>
      <c r="J121" s="21"/>
      <c r="K121" s="57"/>
      <c r="L121" s="24"/>
      <c r="M121" s="25"/>
      <c r="N121" s="25"/>
      <c r="O121" s="26"/>
      <c r="P121" s="26"/>
    </row>
    <row r="122">
      <c r="A122" s="52"/>
      <c r="B122" s="15"/>
      <c r="C122" s="16"/>
      <c r="D122" s="15"/>
      <c r="E122" s="17"/>
      <c r="F122" s="54"/>
      <c r="G122" s="19"/>
      <c r="H122" s="17"/>
      <c r="I122" s="19"/>
      <c r="J122" s="21"/>
      <c r="K122" s="57"/>
      <c r="L122" s="24"/>
      <c r="M122" s="25"/>
      <c r="N122" s="25"/>
      <c r="O122" s="26"/>
      <c r="P122" s="26"/>
    </row>
    <row r="123">
      <c r="A123" s="52"/>
      <c r="B123" s="15"/>
      <c r="C123" s="16"/>
      <c r="D123" s="15"/>
      <c r="E123" s="17"/>
      <c r="F123" s="54"/>
      <c r="G123" s="19"/>
      <c r="H123" s="17"/>
      <c r="I123" s="19"/>
      <c r="J123" s="21"/>
      <c r="K123" s="57"/>
      <c r="L123" s="24"/>
      <c r="M123" s="25"/>
      <c r="N123" s="25"/>
      <c r="O123" s="26"/>
      <c r="P123" s="26"/>
    </row>
    <row r="124">
      <c r="A124" s="52"/>
      <c r="B124" s="15"/>
      <c r="C124" s="16"/>
      <c r="D124" s="15"/>
      <c r="E124" s="17"/>
      <c r="F124" s="54"/>
      <c r="G124" s="19"/>
      <c r="H124" s="17"/>
      <c r="I124" s="19"/>
      <c r="J124" s="21"/>
      <c r="K124" s="57"/>
      <c r="L124" s="24"/>
      <c r="M124" s="25"/>
      <c r="N124" s="25"/>
      <c r="O124" s="26"/>
      <c r="P124" s="26"/>
    </row>
    <row r="125">
      <c r="A125" s="52"/>
      <c r="B125" s="15"/>
      <c r="C125" s="16"/>
      <c r="D125" s="15"/>
      <c r="E125" s="17"/>
      <c r="F125" s="54"/>
      <c r="G125" s="19"/>
      <c r="H125" s="17"/>
      <c r="I125" s="19"/>
      <c r="J125" s="21"/>
      <c r="K125" s="57"/>
      <c r="L125" s="24"/>
      <c r="M125" s="25"/>
      <c r="N125" s="25"/>
      <c r="O125" s="26"/>
      <c r="P125" s="26"/>
    </row>
    <row r="126">
      <c r="A126" s="52"/>
      <c r="B126" s="15"/>
      <c r="C126" s="16"/>
      <c r="D126" s="15"/>
      <c r="E126" s="17"/>
      <c r="F126" s="54"/>
      <c r="G126" s="19"/>
      <c r="H126" s="17"/>
      <c r="I126" s="19"/>
      <c r="J126" s="21"/>
      <c r="K126" s="57"/>
      <c r="L126" s="24"/>
      <c r="M126" s="25"/>
      <c r="N126" s="25"/>
      <c r="O126" s="26"/>
      <c r="P126" s="26"/>
    </row>
    <row r="127">
      <c r="A127" s="52"/>
      <c r="B127" s="15"/>
      <c r="C127" s="16"/>
      <c r="D127" s="15"/>
      <c r="E127" s="17"/>
      <c r="F127" s="54"/>
      <c r="G127" s="19"/>
      <c r="H127" s="17"/>
      <c r="I127" s="19"/>
      <c r="J127" s="21"/>
      <c r="K127" s="57"/>
      <c r="L127" s="24"/>
      <c r="M127" s="25"/>
      <c r="N127" s="25"/>
      <c r="O127" s="26"/>
      <c r="P127" s="26"/>
    </row>
    <row r="128">
      <c r="A128" s="52"/>
      <c r="B128" s="15"/>
      <c r="C128" s="16"/>
      <c r="D128" s="15"/>
      <c r="E128" s="17"/>
      <c r="F128" s="54"/>
      <c r="G128" s="19"/>
      <c r="H128" s="17"/>
      <c r="I128" s="19"/>
      <c r="J128" s="21"/>
      <c r="K128" s="57"/>
      <c r="L128" s="24"/>
      <c r="M128" s="25"/>
      <c r="N128" s="25"/>
      <c r="O128" s="26"/>
      <c r="P128" s="26"/>
    </row>
    <row r="129">
      <c r="A129" s="52"/>
      <c r="B129" s="15"/>
      <c r="C129" s="16"/>
      <c r="D129" s="15"/>
      <c r="E129" s="17"/>
      <c r="F129" s="54"/>
      <c r="G129" s="19"/>
      <c r="H129" s="17"/>
      <c r="I129" s="19"/>
      <c r="J129" s="21"/>
      <c r="K129" s="57"/>
      <c r="L129" s="24"/>
      <c r="M129" s="25"/>
      <c r="N129" s="25"/>
      <c r="O129" s="26"/>
      <c r="P129" s="26"/>
    </row>
    <row r="130">
      <c r="A130" s="52"/>
      <c r="B130" s="15"/>
      <c r="C130" s="16"/>
      <c r="D130" s="15"/>
      <c r="E130" s="17"/>
      <c r="F130" s="54"/>
      <c r="G130" s="19"/>
      <c r="H130" s="17"/>
      <c r="I130" s="19"/>
      <c r="J130" s="21"/>
      <c r="K130" s="57"/>
      <c r="L130" s="24"/>
      <c r="M130" s="25"/>
      <c r="N130" s="25"/>
      <c r="O130" s="26"/>
      <c r="P130" s="26"/>
    </row>
    <row r="131">
      <c r="A131" s="52"/>
      <c r="B131" s="15"/>
      <c r="C131" s="16"/>
      <c r="D131" s="15"/>
      <c r="E131" s="17"/>
      <c r="F131" s="54"/>
      <c r="G131" s="19"/>
      <c r="H131" s="17"/>
      <c r="I131" s="19"/>
      <c r="J131" s="21"/>
      <c r="K131" s="57"/>
      <c r="L131" s="24"/>
      <c r="M131" s="25"/>
      <c r="N131" s="25"/>
      <c r="O131" s="26"/>
      <c r="P131" s="26"/>
    </row>
    <row r="132">
      <c r="A132" s="52"/>
      <c r="B132" s="15"/>
      <c r="C132" s="16"/>
      <c r="D132" s="15"/>
      <c r="E132" s="17"/>
      <c r="F132" s="54"/>
      <c r="G132" s="19"/>
      <c r="H132" s="17"/>
      <c r="I132" s="19"/>
      <c r="J132" s="21"/>
      <c r="K132" s="57"/>
      <c r="L132" s="24"/>
      <c r="M132" s="25"/>
      <c r="N132" s="25"/>
      <c r="O132" s="26"/>
      <c r="P132" s="26"/>
    </row>
    <row r="133">
      <c r="A133" s="52"/>
      <c r="B133" s="15"/>
      <c r="C133" s="16"/>
      <c r="D133" s="15"/>
      <c r="E133" s="17"/>
      <c r="F133" s="54"/>
      <c r="G133" s="19"/>
      <c r="H133" s="17"/>
      <c r="I133" s="19"/>
      <c r="J133" s="21"/>
      <c r="K133" s="57"/>
      <c r="L133" s="24"/>
      <c r="M133" s="68"/>
      <c r="N133" s="68"/>
      <c r="O133" s="69"/>
      <c r="P133" s="69"/>
    </row>
    <row r="134">
      <c r="A134" s="52"/>
      <c r="B134" s="15"/>
      <c r="C134" s="16"/>
      <c r="D134" s="15"/>
      <c r="E134" s="17"/>
      <c r="F134" s="54"/>
      <c r="G134" s="19"/>
      <c r="H134" s="17"/>
      <c r="I134" s="19"/>
      <c r="J134" s="21"/>
      <c r="K134" s="57"/>
      <c r="L134" s="24"/>
      <c r="M134" s="25"/>
      <c r="N134" s="25"/>
      <c r="O134" s="26"/>
      <c r="P134" s="26"/>
    </row>
    <row r="135">
      <c r="A135" s="52"/>
      <c r="B135" s="15"/>
      <c r="C135" s="16"/>
      <c r="D135" s="15"/>
      <c r="E135" s="17"/>
      <c r="F135" s="54"/>
      <c r="G135" s="19"/>
      <c r="H135" s="17"/>
      <c r="I135" s="19"/>
      <c r="J135" s="21"/>
      <c r="K135" s="57"/>
      <c r="L135" s="24"/>
      <c r="M135" s="25"/>
      <c r="N135" s="25"/>
      <c r="O135" s="26"/>
      <c r="P135" s="26"/>
    </row>
    <row r="136">
      <c r="A136" s="52"/>
      <c r="B136" s="15"/>
      <c r="C136" s="16"/>
      <c r="D136" s="15"/>
      <c r="E136" s="17"/>
      <c r="F136" s="54"/>
      <c r="G136" s="19"/>
      <c r="H136" s="17"/>
      <c r="I136" s="19"/>
      <c r="J136" s="21"/>
      <c r="K136" s="57"/>
      <c r="L136" s="24"/>
      <c r="M136" s="25"/>
      <c r="N136" s="25"/>
      <c r="O136" s="26"/>
      <c r="P136" s="26"/>
    </row>
    <row r="137">
      <c r="A137" s="52"/>
      <c r="B137" s="15"/>
      <c r="C137" s="16"/>
      <c r="D137" s="15"/>
      <c r="E137" s="17"/>
      <c r="F137" s="54"/>
      <c r="G137" s="19"/>
      <c r="H137" s="17"/>
      <c r="I137" s="19"/>
      <c r="J137" s="21"/>
      <c r="K137" s="57"/>
      <c r="L137" s="24"/>
      <c r="M137" s="25"/>
      <c r="N137" s="25"/>
      <c r="O137" s="26"/>
      <c r="P137" s="26"/>
    </row>
    <row r="138">
      <c r="A138" s="52"/>
      <c r="B138" s="15"/>
      <c r="C138" s="16"/>
      <c r="D138" s="15"/>
      <c r="E138" s="17"/>
      <c r="F138" s="18"/>
      <c r="G138" s="19"/>
      <c r="H138" s="17"/>
      <c r="I138" s="19"/>
      <c r="J138" s="21"/>
      <c r="K138" s="57"/>
      <c r="L138" s="24"/>
      <c r="M138" s="25"/>
      <c r="N138" s="25"/>
      <c r="O138" s="26"/>
      <c r="P138" s="26"/>
    </row>
    <row r="139">
      <c r="A139" s="52"/>
      <c r="B139" s="15"/>
      <c r="C139" s="16"/>
      <c r="D139" s="15"/>
      <c r="E139" s="17"/>
      <c r="F139" s="54"/>
      <c r="G139" s="19"/>
      <c r="H139" s="17"/>
      <c r="I139" s="19"/>
      <c r="J139" s="21"/>
      <c r="K139" s="57"/>
      <c r="L139" s="24"/>
      <c r="M139" s="25"/>
      <c r="N139" s="25"/>
      <c r="O139" s="26"/>
      <c r="P139" s="26"/>
    </row>
    <row r="140">
      <c r="A140" s="52"/>
      <c r="B140" s="15"/>
      <c r="C140" s="16"/>
      <c r="D140" s="15"/>
      <c r="E140" s="17"/>
      <c r="F140" s="18"/>
      <c r="G140" s="19"/>
      <c r="H140" s="17"/>
      <c r="I140" s="19"/>
      <c r="J140" s="21"/>
      <c r="K140" s="57"/>
      <c r="L140" s="24"/>
      <c r="M140" s="70"/>
      <c r="N140" s="25"/>
      <c r="O140" s="26"/>
      <c r="P140" s="26"/>
    </row>
    <row r="141">
      <c r="A141" s="52"/>
      <c r="B141" s="15"/>
      <c r="C141" s="16"/>
      <c r="D141" s="15"/>
      <c r="E141" s="17"/>
      <c r="F141" s="18"/>
      <c r="G141" s="19"/>
      <c r="H141" s="17"/>
      <c r="I141" s="19"/>
      <c r="J141" s="21"/>
      <c r="K141" s="57"/>
      <c r="L141" s="24"/>
      <c r="M141" s="25"/>
      <c r="N141" s="25"/>
      <c r="O141" s="26"/>
      <c r="P141" s="26"/>
    </row>
    <row r="142">
      <c r="A142" s="52"/>
      <c r="B142" s="15"/>
      <c r="C142" s="16"/>
      <c r="D142" s="15"/>
      <c r="E142" s="17"/>
      <c r="F142" s="54"/>
      <c r="G142" s="19"/>
      <c r="H142" s="17"/>
      <c r="I142" s="19"/>
      <c r="J142" s="21"/>
      <c r="K142" s="57"/>
      <c r="L142" s="24"/>
      <c r="M142" s="25"/>
      <c r="N142" s="25"/>
      <c r="O142" s="26"/>
      <c r="P142" s="26"/>
    </row>
    <row r="143">
      <c r="A143" s="52"/>
      <c r="B143" s="15"/>
      <c r="C143" s="16"/>
      <c r="D143" s="15"/>
      <c r="E143" s="17"/>
      <c r="F143" s="54"/>
      <c r="G143" s="19"/>
      <c r="H143" s="17"/>
      <c r="I143" s="19"/>
      <c r="J143" s="21"/>
      <c r="K143" s="57"/>
      <c r="L143" s="24"/>
      <c r="M143" s="25"/>
      <c r="N143" s="25"/>
      <c r="O143" s="26"/>
      <c r="P143" s="26"/>
    </row>
    <row r="144">
      <c r="A144" s="52"/>
      <c r="B144" s="15"/>
      <c r="C144" s="16"/>
      <c r="D144" s="15"/>
      <c r="E144" s="17"/>
      <c r="F144" s="54"/>
      <c r="G144" s="19"/>
      <c r="H144" s="17"/>
      <c r="I144" s="19"/>
      <c r="J144" s="21"/>
      <c r="K144" s="57"/>
      <c r="L144" s="24"/>
      <c r="M144" s="25"/>
      <c r="N144" s="25"/>
      <c r="O144" s="26"/>
      <c r="P144" s="26"/>
    </row>
    <row r="145">
      <c r="A145" s="52"/>
      <c r="B145" s="15"/>
      <c r="C145" s="16"/>
      <c r="D145" s="15"/>
      <c r="E145" s="17"/>
      <c r="F145" s="54"/>
      <c r="G145" s="19"/>
      <c r="H145" s="17"/>
      <c r="I145" s="19"/>
      <c r="J145" s="21"/>
      <c r="K145" s="57"/>
      <c r="L145" s="24"/>
      <c r="M145" s="25"/>
      <c r="N145" s="25"/>
      <c r="O145" s="26"/>
      <c r="P145" s="26"/>
    </row>
    <row r="146">
      <c r="A146" s="52"/>
      <c r="B146" s="15"/>
      <c r="C146" s="16"/>
      <c r="D146" s="15"/>
      <c r="E146" s="17"/>
      <c r="F146" s="54"/>
      <c r="G146" s="19"/>
      <c r="H146" s="17"/>
      <c r="I146" s="19"/>
      <c r="J146" s="21"/>
      <c r="K146" s="57"/>
      <c r="L146" s="24"/>
      <c r="M146" s="25"/>
      <c r="N146" s="25"/>
      <c r="O146" s="26"/>
      <c r="P146" s="26"/>
    </row>
    <row r="147">
      <c r="A147" s="52"/>
      <c r="B147" s="15"/>
      <c r="C147" s="16"/>
      <c r="D147" s="15"/>
      <c r="E147" s="17"/>
      <c r="F147" s="54"/>
      <c r="G147" s="19"/>
      <c r="H147" s="17"/>
      <c r="I147" s="19"/>
      <c r="J147" s="21"/>
      <c r="K147" s="57"/>
      <c r="L147" s="24"/>
      <c r="M147" s="25"/>
      <c r="N147" s="25"/>
      <c r="O147" s="26"/>
      <c r="P147" s="26"/>
    </row>
    <row r="148">
      <c r="A148" s="52"/>
      <c r="B148" s="15"/>
      <c r="C148" s="16"/>
      <c r="D148" s="15"/>
      <c r="E148" s="17"/>
      <c r="F148" s="54"/>
      <c r="G148" s="19"/>
      <c r="H148" s="17"/>
      <c r="I148" s="19"/>
      <c r="J148" s="21"/>
      <c r="K148" s="57"/>
      <c r="L148" s="24"/>
      <c r="M148" s="25"/>
      <c r="N148" s="25"/>
      <c r="O148" s="26"/>
      <c r="P148" s="26"/>
    </row>
    <row r="149">
      <c r="A149" s="52"/>
      <c r="B149" s="15"/>
      <c r="C149" s="16"/>
      <c r="D149" s="15"/>
      <c r="E149" s="17"/>
      <c r="F149" s="54"/>
      <c r="G149" s="19"/>
      <c r="H149" s="17"/>
      <c r="I149" s="19"/>
      <c r="J149" s="21"/>
      <c r="K149" s="57"/>
      <c r="L149" s="24"/>
      <c r="M149" s="25"/>
      <c r="N149" s="25"/>
      <c r="O149" s="26"/>
      <c r="P149" s="26"/>
    </row>
    <row r="150">
      <c r="A150" s="52"/>
      <c r="B150" s="15"/>
      <c r="C150" s="16"/>
      <c r="D150" s="15"/>
      <c r="E150" s="17"/>
      <c r="F150" s="54"/>
      <c r="G150" s="19"/>
      <c r="H150" s="17"/>
      <c r="I150" s="19"/>
      <c r="J150" s="21"/>
      <c r="K150" s="57"/>
      <c r="L150" s="24"/>
      <c r="M150" s="25"/>
      <c r="N150" s="25"/>
      <c r="O150" s="26"/>
      <c r="P150" s="26"/>
    </row>
    <row r="151">
      <c r="A151" s="52"/>
      <c r="B151" s="15"/>
      <c r="C151" s="16"/>
      <c r="D151" s="15"/>
      <c r="E151" s="17"/>
      <c r="F151" s="54"/>
      <c r="G151" s="19"/>
      <c r="H151" s="17"/>
      <c r="I151" s="19"/>
      <c r="J151" s="21"/>
      <c r="K151" s="57"/>
      <c r="L151" s="24"/>
      <c r="M151" s="25"/>
      <c r="N151" s="25"/>
      <c r="O151" s="26"/>
      <c r="P151" s="26"/>
    </row>
    <row r="152">
      <c r="A152" s="52"/>
      <c r="B152" s="15"/>
      <c r="C152" s="16"/>
      <c r="D152" s="15"/>
      <c r="E152" s="17"/>
      <c r="F152" s="54"/>
      <c r="G152" s="19"/>
      <c r="H152" s="17"/>
      <c r="I152" s="19"/>
      <c r="J152" s="21"/>
      <c r="K152" s="57"/>
      <c r="L152" s="24"/>
      <c r="M152" s="25"/>
      <c r="N152" s="25"/>
      <c r="O152" s="26"/>
      <c r="P152" s="26"/>
    </row>
    <row r="153">
      <c r="A153" s="52"/>
      <c r="B153" s="15"/>
      <c r="C153" s="16"/>
      <c r="D153" s="15"/>
      <c r="E153" s="17"/>
      <c r="F153" s="54"/>
      <c r="G153" s="19"/>
      <c r="H153" s="17"/>
      <c r="I153" s="19"/>
      <c r="J153" s="21"/>
      <c r="K153" s="57"/>
      <c r="L153" s="24"/>
      <c r="M153" s="25"/>
      <c r="N153" s="25"/>
      <c r="O153" s="26"/>
      <c r="P153" s="26"/>
    </row>
    <row r="154">
      <c r="A154" s="52"/>
      <c r="B154" s="15"/>
      <c r="C154" s="16"/>
      <c r="D154" s="15"/>
      <c r="E154" s="17"/>
      <c r="F154" s="54"/>
      <c r="G154" s="19"/>
      <c r="H154" s="17"/>
      <c r="I154" s="19"/>
      <c r="J154" s="21"/>
      <c r="K154" s="57"/>
      <c r="L154" s="24"/>
      <c r="M154" s="25"/>
      <c r="N154" s="25"/>
      <c r="O154" s="26"/>
      <c r="P154" s="26"/>
    </row>
    <row r="155">
      <c r="A155" s="52"/>
      <c r="B155" s="15"/>
      <c r="C155" s="16"/>
      <c r="D155" s="15"/>
      <c r="E155" s="17"/>
      <c r="F155" s="54"/>
      <c r="G155" s="19"/>
      <c r="H155" s="17"/>
      <c r="I155" s="19"/>
      <c r="J155" s="21"/>
      <c r="K155" s="57"/>
      <c r="L155" s="24"/>
      <c r="M155" s="25"/>
      <c r="N155" s="25"/>
      <c r="O155" s="26"/>
      <c r="P155" s="26"/>
    </row>
    <row r="156">
      <c r="A156" s="52"/>
      <c r="B156" s="15"/>
      <c r="C156" s="16"/>
      <c r="D156" s="15"/>
      <c r="E156" s="17"/>
      <c r="F156" s="54"/>
      <c r="G156" s="19"/>
      <c r="H156" s="17"/>
      <c r="I156" s="19"/>
      <c r="J156" s="21"/>
      <c r="K156" s="57"/>
      <c r="L156" s="24"/>
      <c r="M156" s="25"/>
      <c r="N156" s="25"/>
      <c r="O156" s="26"/>
      <c r="P156" s="26"/>
    </row>
    <row r="157">
      <c r="A157" s="52"/>
      <c r="B157" s="15"/>
      <c r="C157" s="16"/>
      <c r="D157" s="15"/>
      <c r="E157" s="17"/>
      <c r="F157" s="18"/>
      <c r="G157" s="19"/>
      <c r="H157" s="17"/>
      <c r="I157" s="19"/>
      <c r="J157" s="21"/>
      <c r="K157" s="57"/>
      <c r="L157" s="24"/>
      <c r="M157" s="25"/>
      <c r="N157" s="25"/>
      <c r="O157" s="26"/>
      <c r="P157" s="26"/>
    </row>
    <row r="158">
      <c r="A158" s="52"/>
      <c r="B158" s="15"/>
      <c r="C158" s="16"/>
      <c r="D158" s="15"/>
      <c r="E158" s="17"/>
      <c r="F158" s="54"/>
      <c r="G158" s="19"/>
      <c r="H158" s="17"/>
      <c r="I158" s="19"/>
      <c r="J158" s="21"/>
      <c r="K158" s="57"/>
      <c r="L158" s="24"/>
      <c r="M158" s="25"/>
      <c r="N158" s="25"/>
      <c r="O158" s="26"/>
      <c r="P158" s="26"/>
    </row>
    <row r="159">
      <c r="A159" s="52"/>
      <c r="B159" s="15"/>
      <c r="C159" s="16"/>
      <c r="D159" s="15"/>
      <c r="E159" s="17"/>
      <c r="F159" s="18"/>
      <c r="G159" s="19"/>
      <c r="H159" s="17"/>
      <c r="I159" s="19"/>
      <c r="J159" s="21"/>
      <c r="K159" s="57"/>
      <c r="L159" s="24"/>
      <c r="M159" s="25"/>
      <c r="N159" s="25"/>
      <c r="O159" s="26"/>
      <c r="P159" s="26"/>
    </row>
    <row r="160">
      <c r="A160" s="52"/>
      <c r="B160" s="15"/>
      <c r="C160" s="16"/>
      <c r="D160" s="15"/>
      <c r="E160" s="17"/>
      <c r="F160" s="54"/>
      <c r="G160" s="19"/>
      <c r="H160" s="17"/>
      <c r="I160" s="19"/>
      <c r="J160" s="21"/>
      <c r="K160" s="57"/>
      <c r="L160" s="24"/>
      <c r="M160" s="25"/>
      <c r="N160" s="25"/>
      <c r="O160" s="26"/>
      <c r="P160" s="26"/>
    </row>
    <row r="161">
      <c r="A161" s="52"/>
      <c r="B161" s="15"/>
      <c r="C161" s="16"/>
      <c r="D161" s="15"/>
      <c r="E161" s="17"/>
      <c r="F161" s="54"/>
      <c r="G161" s="19"/>
      <c r="H161" s="17"/>
      <c r="I161" s="19"/>
      <c r="J161" s="21"/>
      <c r="K161" s="57"/>
      <c r="L161" s="24"/>
      <c r="M161" s="25"/>
      <c r="N161" s="25"/>
      <c r="O161" s="26"/>
      <c r="P161" s="26"/>
    </row>
    <row r="162">
      <c r="A162" s="52"/>
      <c r="B162" s="15"/>
      <c r="C162" s="16"/>
      <c r="D162" s="15"/>
      <c r="E162" s="17"/>
      <c r="F162" s="54"/>
      <c r="G162" s="19"/>
      <c r="H162" s="17"/>
      <c r="I162" s="19"/>
      <c r="J162" s="21"/>
      <c r="K162" s="57"/>
      <c r="L162" s="24"/>
      <c r="M162" s="25"/>
      <c r="N162" s="25"/>
      <c r="O162" s="26"/>
      <c r="P162" s="26"/>
    </row>
    <row r="163">
      <c r="A163" s="52"/>
      <c r="B163" s="15"/>
      <c r="C163" s="16"/>
      <c r="D163" s="15"/>
      <c r="E163" s="17"/>
      <c r="F163" s="54"/>
      <c r="G163" s="19"/>
      <c r="H163" s="17"/>
      <c r="I163" s="19"/>
      <c r="J163" s="21"/>
      <c r="K163" s="57"/>
      <c r="L163" s="24"/>
      <c r="M163" s="25"/>
      <c r="N163" s="25"/>
      <c r="O163" s="26"/>
      <c r="P163" s="26"/>
    </row>
    <row r="164">
      <c r="A164" s="52"/>
      <c r="B164" s="15"/>
      <c r="C164" s="16"/>
      <c r="D164" s="15"/>
      <c r="E164" s="17"/>
      <c r="F164" s="54"/>
      <c r="G164" s="19"/>
      <c r="H164" s="17"/>
      <c r="I164" s="19"/>
      <c r="J164" s="21"/>
      <c r="K164" s="57"/>
      <c r="L164" s="24"/>
      <c r="M164" s="25"/>
      <c r="N164" s="25"/>
      <c r="O164" s="26"/>
      <c r="P164" s="26"/>
    </row>
    <row r="165">
      <c r="A165" s="52"/>
      <c r="B165" s="15"/>
      <c r="C165" s="16"/>
      <c r="D165" s="15"/>
      <c r="E165" s="17"/>
      <c r="F165" s="54"/>
      <c r="G165" s="19"/>
      <c r="H165" s="17"/>
      <c r="I165" s="19"/>
      <c r="J165" s="21"/>
      <c r="K165" s="57"/>
      <c r="L165" s="24"/>
      <c r="M165" s="25"/>
      <c r="N165" s="25"/>
      <c r="O165" s="26"/>
      <c r="P165" s="26"/>
    </row>
    <row r="166">
      <c r="A166" s="52"/>
      <c r="B166" s="15"/>
      <c r="C166" s="16"/>
      <c r="D166" s="15"/>
      <c r="E166" s="17"/>
      <c r="F166" s="54"/>
      <c r="G166" s="19"/>
      <c r="H166" s="17"/>
      <c r="I166" s="19"/>
      <c r="J166" s="21"/>
      <c r="K166" s="57"/>
      <c r="L166" s="24"/>
      <c r="M166" s="25"/>
      <c r="N166" s="25"/>
      <c r="O166" s="26"/>
      <c r="P166" s="26"/>
    </row>
    <row r="167">
      <c r="A167" s="52"/>
      <c r="B167" s="15"/>
      <c r="C167" s="16"/>
      <c r="D167" s="15"/>
      <c r="E167" s="17"/>
      <c r="F167" s="54"/>
      <c r="G167" s="19"/>
      <c r="H167" s="17"/>
      <c r="I167" s="19"/>
      <c r="J167" s="21"/>
      <c r="K167" s="57"/>
      <c r="L167" s="24"/>
      <c r="M167" s="25"/>
      <c r="N167" s="25"/>
      <c r="O167" s="26"/>
      <c r="P167" s="26"/>
    </row>
    <row r="168">
      <c r="A168" s="52"/>
      <c r="B168" s="15"/>
      <c r="C168" s="16"/>
      <c r="D168" s="15"/>
      <c r="E168" s="17"/>
      <c r="F168" s="54"/>
      <c r="G168" s="19"/>
      <c r="H168" s="17"/>
      <c r="I168" s="19"/>
      <c r="J168" s="21"/>
      <c r="K168" s="57"/>
      <c r="L168" s="24"/>
      <c r="M168" s="25"/>
      <c r="N168" s="25"/>
      <c r="O168" s="26"/>
      <c r="P168" s="26"/>
    </row>
    <row r="169">
      <c r="A169" s="52"/>
      <c r="B169" s="15"/>
      <c r="C169" s="16"/>
      <c r="D169" s="15"/>
      <c r="E169" s="17"/>
      <c r="F169" s="54"/>
      <c r="G169" s="19"/>
      <c r="H169" s="17"/>
      <c r="I169" s="19"/>
      <c r="J169" s="21"/>
      <c r="K169" s="57"/>
      <c r="L169" s="24"/>
      <c r="M169" s="25"/>
      <c r="N169" s="25"/>
      <c r="O169" s="26"/>
      <c r="P169" s="26"/>
    </row>
    <row r="170">
      <c r="A170" s="52"/>
      <c r="B170" s="15"/>
      <c r="C170" s="16"/>
      <c r="D170" s="15"/>
      <c r="E170" s="17"/>
      <c r="F170" s="54"/>
      <c r="G170" s="19"/>
      <c r="H170" s="17"/>
      <c r="I170" s="19"/>
      <c r="J170" s="21"/>
      <c r="K170" s="57"/>
      <c r="L170" s="24"/>
      <c r="M170" s="25"/>
      <c r="N170" s="25"/>
      <c r="O170" s="26"/>
      <c r="P170" s="26"/>
    </row>
    <row r="171">
      <c r="A171" s="52"/>
      <c r="B171" s="15"/>
      <c r="C171" s="16"/>
      <c r="D171" s="15"/>
      <c r="E171" s="17"/>
      <c r="F171" s="54"/>
      <c r="G171" s="19"/>
      <c r="H171" s="17"/>
      <c r="I171" s="19"/>
      <c r="J171" s="21"/>
      <c r="K171" s="57"/>
      <c r="L171" s="24"/>
      <c r="M171" s="25"/>
      <c r="N171" s="25"/>
      <c r="O171" s="26"/>
      <c r="P171" s="26"/>
    </row>
    <row r="172">
      <c r="A172" s="52"/>
      <c r="B172" s="15"/>
      <c r="C172" s="16"/>
      <c r="D172" s="15"/>
      <c r="E172" s="17"/>
      <c r="F172" s="54"/>
      <c r="G172" s="19"/>
      <c r="H172" s="17"/>
      <c r="I172" s="19"/>
      <c r="J172" s="21"/>
      <c r="K172" s="57"/>
      <c r="L172" s="24"/>
      <c r="M172" s="25"/>
      <c r="N172" s="25"/>
      <c r="O172" s="26"/>
      <c r="P172" s="26"/>
    </row>
    <row r="173">
      <c r="A173" s="52"/>
      <c r="B173" s="15"/>
      <c r="C173" s="16"/>
      <c r="D173" s="15"/>
      <c r="E173" s="17"/>
      <c r="F173" s="71"/>
      <c r="G173" s="19"/>
      <c r="H173" s="17"/>
      <c r="I173" s="19"/>
      <c r="J173" s="21"/>
      <c r="K173" s="57"/>
      <c r="L173" s="24"/>
      <c r="M173" s="25"/>
      <c r="N173" s="25"/>
      <c r="O173" s="26"/>
      <c r="P173" s="26"/>
    </row>
    <row r="174">
      <c r="A174" s="52"/>
      <c r="B174" s="15"/>
      <c r="C174" s="16"/>
      <c r="D174" s="15"/>
      <c r="E174" s="17"/>
      <c r="F174" s="71"/>
      <c r="G174" s="19"/>
      <c r="H174" s="17"/>
      <c r="I174" s="19"/>
      <c r="J174" s="21"/>
      <c r="K174" s="57"/>
      <c r="L174" s="24"/>
      <c r="M174" s="25"/>
      <c r="N174" s="25"/>
      <c r="O174" s="26"/>
      <c r="P174" s="26"/>
    </row>
    <row r="175">
      <c r="A175" s="52"/>
      <c r="B175" s="15"/>
      <c r="C175" s="16"/>
      <c r="D175" s="15"/>
      <c r="E175" s="17"/>
      <c r="F175" s="54"/>
      <c r="G175" s="19"/>
      <c r="H175" s="17"/>
      <c r="I175" s="19"/>
      <c r="J175" s="21"/>
      <c r="K175" s="57"/>
      <c r="L175" s="24"/>
      <c r="M175" s="25"/>
      <c r="N175" s="25"/>
      <c r="O175" s="26"/>
      <c r="P175" s="26"/>
    </row>
    <row r="176">
      <c r="A176" s="52"/>
      <c r="B176" s="15"/>
      <c r="C176" s="16"/>
      <c r="D176" s="15"/>
      <c r="E176" s="17"/>
      <c r="F176" s="54"/>
      <c r="G176" s="19"/>
      <c r="H176" s="17"/>
      <c r="I176" s="19"/>
      <c r="J176" s="21"/>
      <c r="K176" s="57"/>
      <c r="L176" s="24"/>
      <c r="M176" s="25"/>
      <c r="N176" s="25"/>
      <c r="O176" s="26"/>
      <c r="P176" s="26"/>
    </row>
    <row r="177">
      <c r="A177" s="52"/>
      <c r="B177" s="15"/>
      <c r="C177" s="16"/>
      <c r="D177" s="15"/>
      <c r="E177" s="17"/>
      <c r="F177" s="54"/>
      <c r="G177" s="19"/>
      <c r="H177" s="17"/>
      <c r="I177" s="19"/>
      <c r="J177" s="21"/>
      <c r="K177" s="57"/>
      <c r="L177" s="24"/>
      <c r="M177" s="25"/>
      <c r="N177" s="25"/>
      <c r="O177" s="26"/>
      <c r="P177" s="26"/>
    </row>
    <row r="178">
      <c r="A178" s="52"/>
      <c r="B178" s="15"/>
      <c r="C178" s="16"/>
      <c r="D178" s="15"/>
      <c r="E178" s="17"/>
      <c r="F178" s="54"/>
      <c r="G178" s="19"/>
      <c r="H178" s="17"/>
      <c r="I178" s="19"/>
      <c r="J178" s="21"/>
      <c r="K178" s="57"/>
      <c r="L178" s="24"/>
      <c r="M178" s="25"/>
      <c r="N178" s="25"/>
      <c r="O178" s="26"/>
      <c r="P178" s="26"/>
    </row>
    <row r="179">
      <c r="A179" s="52"/>
      <c r="B179" s="15"/>
      <c r="C179" s="16"/>
      <c r="D179" s="15"/>
      <c r="E179" s="17"/>
      <c r="F179" s="54"/>
      <c r="G179" s="19"/>
      <c r="H179" s="17"/>
      <c r="I179" s="19"/>
      <c r="J179" s="21"/>
      <c r="K179" s="57"/>
      <c r="L179" s="24"/>
      <c r="M179" s="25"/>
      <c r="N179" s="25"/>
      <c r="O179" s="26"/>
      <c r="P179" s="26"/>
    </row>
    <row r="180">
      <c r="A180" s="52"/>
      <c r="B180" s="15"/>
      <c r="C180" s="16"/>
      <c r="D180" s="15"/>
      <c r="E180" s="17"/>
      <c r="F180" s="54"/>
      <c r="G180" s="19"/>
      <c r="H180" s="17"/>
      <c r="I180" s="19"/>
      <c r="J180" s="21"/>
      <c r="K180" s="57"/>
      <c r="L180" s="24"/>
      <c r="M180" s="25"/>
      <c r="N180" s="25"/>
      <c r="O180" s="26"/>
      <c r="P180" s="26"/>
    </row>
    <row r="181">
      <c r="A181" s="52"/>
      <c r="B181" s="15"/>
      <c r="C181" s="16"/>
      <c r="D181" s="15"/>
      <c r="E181" s="17"/>
      <c r="F181" s="54"/>
      <c r="G181" s="19"/>
      <c r="H181" s="17"/>
      <c r="I181" s="19"/>
      <c r="J181" s="21"/>
      <c r="K181" s="57"/>
      <c r="L181" s="24"/>
      <c r="M181" s="25"/>
      <c r="N181" s="25"/>
      <c r="O181" s="26"/>
      <c r="P181" s="26"/>
    </row>
    <row r="182">
      <c r="A182" s="52"/>
      <c r="B182" s="15"/>
      <c r="C182" s="16"/>
      <c r="D182" s="15"/>
      <c r="E182" s="17"/>
      <c r="F182" s="54"/>
      <c r="G182" s="19"/>
      <c r="H182" s="17"/>
      <c r="I182" s="19"/>
      <c r="J182" s="21"/>
      <c r="K182" s="57"/>
      <c r="L182" s="24"/>
      <c r="M182" s="25"/>
      <c r="N182" s="25"/>
      <c r="O182" s="26"/>
      <c r="P182" s="26"/>
    </row>
    <row r="183">
      <c r="A183" s="52"/>
      <c r="B183" s="15"/>
      <c r="C183" s="16"/>
      <c r="D183" s="15"/>
      <c r="E183" s="17"/>
      <c r="F183" s="54"/>
      <c r="G183" s="19"/>
      <c r="H183" s="17"/>
      <c r="I183" s="19"/>
      <c r="J183" s="21"/>
      <c r="K183" s="57"/>
      <c r="L183" s="24"/>
      <c r="M183" s="25"/>
      <c r="N183" s="25"/>
      <c r="O183" s="26"/>
      <c r="P183" s="26"/>
    </row>
    <row r="184">
      <c r="A184" s="52"/>
      <c r="B184" s="15"/>
      <c r="C184" s="16"/>
      <c r="D184" s="15"/>
      <c r="E184" s="17"/>
      <c r="F184" s="54"/>
      <c r="G184" s="19"/>
      <c r="H184" s="17"/>
      <c r="I184" s="19"/>
      <c r="J184" s="21"/>
      <c r="K184" s="57"/>
      <c r="L184" s="24"/>
      <c r="M184" s="25"/>
      <c r="N184" s="25"/>
      <c r="O184" s="26"/>
      <c r="P184" s="26"/>
    </row>
    <row r="185">
      <c r="A185" s="52"/>
      <c r="B185" s="15"/>
      <c r="C185" s="16"/>
      <c r="D185" s="15"/>
      <c r="E185" s="17"/>
      <c r="F185" s="54"/>
      <c r="G185" s="19"/>
      <c r="H185" s="17"/>
      <c r="I185" s="19"/>
      <c r="J185" s="21"/>
      <c r="K185" s="57"/>
      <c r="L185" s="24"/>
      <c r="M185" s="25"/>
      <c r="N185" s="25"/>
      <c r="O185" s="26"/>
      <c r="P185" s="26"/>
    </row>
    <row r="186">
      <c r="A186" s="62"/>
      <c r="B186" s="15"/>
      <c r="C186" s="16"/>
      <c r="D186" s="15"/>
      <c r="E186" s="17"/>
      <c r="F186" s="71"/>
      <c r="G186" s="19"/>
      <c r="H186" s="17"/>
      <c r="I186" s="19"/>
      <c r="J186" s="21"/>
      <c r="K186" s="57"/>
      <c r="L186" s="24"/>
      <c r="M186" s="25"/>
      <c r="N186" s="25"/>
      <c r="O186" s="26"/>
      <c r="P186" s="26"/>
    </row>
    <row r="187">
      <c r="A187" s="52"/>
      <c r="B187" s="15"/>
      <c r="C187" s="16"/>
      <c r="D187" s="15"/>
      <c r="E187" s="17"/>
      <c r="F187" s="54"/>
      <c r="G187" s="19"/>
      <c r="H187" s="17"/>
      <c r="I187" s="19"/>
      <c r="J187" s="21"/>
      <c r="K187" s="57"/>
      <c r="L187" s="24"/>
      <c r="M187" s="25"/>
      <c r="N187" s="25"/>
      <c r="O187" s="26"/>
      <c r="P187" s="26"/>
    </row>
    <row r="188">
      <c r="A188" s="52"/>
      <c r="B188" s="15"/>
      <c r="C188" s="16"/>
      <c r="D188" s="15"/>
      <c r="E188" s="17"/>
      <c r="F188" s="54"/>
      <c r="G188" s="19"/>
      <c r="H188" s="17"/>
      <c r="I188" s="19"/>
      <c r="J188" s="21"/>
      <c r="K188" s="57"/>
      <c r="L188" s="24"/>
      <c r="M188" s="25"/>
      <c r="N188" s="25"/>
      <c r="O188" s="26"/>
      <c r="P188" s="26"/>
    </row>
    <row r="189">
      <c r="A189" s="52"/>
      <c r="B189" s="15"/>
      <c r="C189" s="16"/>
      <c r="D189" s="15"/>
      <c r="E189" s="17"/>
      <c r="F189" s="54"/>
      <c r="G189" s="19"/>
      <c r="H189" s="17"/>
      <c r="I189" s="19"/>
      <c r="J189" s="21"/>
      <c r="K189" s="57"/>
      <c r="L189" s="24"/>
      <c r="M189" s="25"/>
      <c r="N189" s="25"/>
      <c r="O189" s="26"/>
      <c r="P189" s="26"/>
    </row>
    <row r="190">
      <c r="A190" s="52"/>
      <c r="B190" s="15"/>
      <c r="C190" s="16"/>
      <c r="D190" s="15"/>
      <c r="E190" s="17"/>
      <c r="F190" s="54"/>
      <c r="G190" s="19"/>
      <c r="H190" s="17"/>
      <c r="I190" s="19"/>
      <c r="J190" s="21"/>
      <c r="K190" s="57"/>
      <c r="L190" s="24"/>
      <c r="M190" s="25"/>
      <c r="N190" s="25"/>
      <c r="O190" s="26"/>
      <c r="P190" s="26"/>
    </row>
    <row r="191">
      <c r="A191" s="52"/>
      <c r="B191" s="15"/>
      <c r="C191" s="16"/>
      <c r="D191" s="15"/>
      <c r="E191" s="17"/>
      <c r="F191" s="54"/>
      <c r="G191" s="19"/>
      <c r="H191" s="17"/>
      <c r="I191" s="19"/>
      <c r="J191" s="21"/>
      <c r="K191" s="57"/>
      <c r="L191" s="24"/>
      <c r="M191" s="25"/>
      <c r="N191" s="25"/>
      <c r="O191" s="26"/>
      <c r="P191" s="26"/>
    </row>
    <row r="192">
      <c r="A192" s="52"/>
      <c r="B192" s="15"/>
      <c r="C192" s="16"/>
      <c r="D192" s="15"/>
      <c r="E192" s="17"/>
      <c r="F192" s="54"/>
      <c r="G192" s="19"/>
      <c r="H192" s="17"/>
      <c r="I192" s="19"/>
      <c r="J192" s="21"/>
      <c r="K192" s="57"/>
      <c r="L192" s="24"/>
      <c r="M192" s="25"/>
      <c r="N192" s="25"/>
      <c r="O192" s="26"/>
      <c r="P192" s="26"/>
    </row>
    <row r="193">
      <c r="A193" s="52"/>
      <c r="B193" s="15"/>
      <c r="C193" s="16"/>
      <c r="D193" s="15"/>
      <c r="E193" s="17"/>
      <c r="F193" s="54"/>
      <c r="G193" s="19"/>
      <c r="H193" s="17"/>
      <c r="I193" s="19"/>
      <c r="J193" s="21"/>
      <c r="K193" s="57"/>
      <c r="L193" s="24"/>
      <c r="M193" s="25"/>
      <c r="N193" s="25"/>
      <c r="O193" s="26"/>
      <c r="P193" s="26"/>
    </row>
    <row r="194">
      <c r="A194" s="52"/>
      <c r="B194" s="15"/>
      <c r="C194" s="16"/>
      <c r="D194" s="15"/>
      <c r="E194" s="17"/>
      <c r="F194" s="54"/>
      <c r="G194" s="19"/>
      <c r="H194" s="17"/>
      <c r="I194" s="19"/>
      <c r="J194" s="21"/>
      <c r="K194" s="57"/>
      <c r="L194" s="24"/>
      <c r="M194" s="25"/>
      <c r="N194" s="25"/>
      <c r="O194" s="26"/>
      <c r="P194" s="26"/>
    </row>
    <row r="195">
      <c r="A195" s="52"/>
      <c r="B195" s="15"/>
      <c r="C195" s="16"/>
      <c r="D195" s="15"/>
      <c r="E195" s="17"/>
      <c r="F195" s="18"/>
      <c r="G195" s="19"/>
      <c r="H195" s="17"/>
      <c r="I195" s="19"/>
      <c r="J195" s="21"/>
      <c r="K195" s="57"/>
      <c r="L195" s="24"/>
      <c r="M195" s="25"/>
      <c r="N195" s="25"/>
      <c r="O195" s="26"/>
      <c r="P195" s="26"/>
    </row>
    <row r="196">
      <c r="A196" s="62"/>
      <c r="B196" s="15"/>
      <c r="C196" s="16"/>
      <c r="D196" s="15"/>
      <c r="E196" s="17"/>
      <c r="F196" s="71"/>
      <c r="G196" s="19"/>
      <c r="H196" s="17"/>
      <c r="I196" s="19"/>
      <c r="J196" s="21"/>
      <c r="K196" s="57"/>
      <c r="L196" s="24"/>
      <c r="M196" s="25"/>
      <c r="N196" s="25"/>
      <c r="O196" s="26"/>
      <c r="P196" s="26"/>
    </row>
    <row r="197">
      <c r="A197" s="52"/>
      <c r="B197" s="15"/>
      <c r="C197" s="16"/>
      <c r="D197" s="15"/>
      <c r="E197" s="17"/>
      <c r="F197" s="18"/>
      <c r="G197" s="19"/>
      <c r="H197" s="17"/>
      <c r="I197" s="19"/>
      <c r="J197" s="21"/>
      <c r="K197" s="57"/>
      <c r="L197" s="24"/>
      <c r="M197" s="25"/>
      <c r="N197" s="25"/>
      <c r="O197" s="26"/>
      <c r="P197" s="26"/>
    </row>
    <row r="198">
      <c r="A198" s="52"/>
      <c r="B198" s="15"/>
      <c r="C198" s="16"/>
      <c r="D198" s="15"/>
      <c r="E198" s="17"/>
      <c r="F198" s="54"/>
      <c r="G198" s="19"/>
      <c r="H198" s="17"/>
      <c r="I198" s="19"/>
      <c r="J198" s="21"/>
      <c r="K198" s="57"/>
      <c r="L198" s="24"/>
      <c r="M198" s="25"/>
      <c r="N198" s="25"/>
      <c r="O198" s="26"/>
      <c r="P198" s="26"/>
    </row>
    <row r="199">
      <c r="A199" s="52"/>
      <c r="B199" s="15"/>
      <c r="C199" s="16"/>
      <c r="D199" s="15"/>
      <c r="E199" s="17"/>
      <c r="F199" s="54"/>
      <c r="G199" s="19"/>
      <c r="H199" s="17"/>
      <c r="I199" s="19"/>
      <c r="J199" s="21"/>
      <c r="K199" s="57"/>
      <c r="L199" s="24"/>
      <c r="M199" s="25"/>
      <c r="N199" s="25"/>
      <c r="O199" s="26"/>
      <c r="P199" s="26"/>
    </row>
    <row r="200">
      <c r="A200" s="52"/>
      <c r="B200" s="15"/>
      <c r="C200" s="16"/>
      <c r="D200" s="15"/>
      <c r="E200" s="17"/>
      <c r="F200" s="54"/>
      <c r="G200" s="19"/>
      <c r="H200" s="17"/>
      <c r="I200" s="19"/>
      <c r="J200" s="21"/>
      <c r="K200" s="57"/>
      <c r="L200" s="24"/>
      <c r="M200" s="25"/>
      <c r="N200" s="25"/>
      <c r="O200" s="26"/>
      <c r="P200" s="26"/>
    </row>
    <row r="201">
      <c r="A201" s="52"/>
      <c r="B201" s="15"/>
      <c r="C201" s="16"/>
      <c r="D201" s="15"/>
      <c r="E201" s="17"/>
      <c r="F201" s="54"/>
      <c r="G201" s="19"/>
      <c r="H201" s="17"/>
      <c r="I201" s="19"/>
      <c r="J201" s="21"/>
      <c r="K201" s="57"/>
      <c r="L201" s="24"/>
      <c r="M201" s="25"/>
      <c r="N201" s="25"/>
      <c r="O201" s="26"/>
      <c r="P201" s="26"/>
    </row>
    <row r="202">
      <c r="A202" s="52"/>
      <c r="B202" s="15"/>
      <c r="C202" s="16"/>
      <c r="D202" s="15"/>
      <c r="E202" s="17"/>
      <c r="F202" s="54"/>
      <c r="G202" s="19"/>
      <c r="H202" s="17"/>
      <c r="I202" s="19"/>
      <c r="J202" s="21"/>
      <c r="K202" s="57"/>
      <c r="L202" s="24"/>
      <c r="M202" s="25"/>
      <c r="N202" s="25"/>
      <c r="O202" s="26"/>
      <c r="P202" s="26"/>
    </row>
    <row r="203">
      <c r="A203" s="52"/>
      <c r="B203" s="15"/>
      <c r="C203" s="16"/>
      <c r="D203" s="15"/>
      <c r="E203" s="17"/>
      <c r="F203" s="54"/>
      <c r="G203" s="19"/>
      <c r="H203" s="17"/>
      <c r="I203" s="19"/>
      <c r="J203" s="21"/>
      <c r="K203" s="57"/>
      <c r="L203" s="24"/>
      <c r="M203" s="25"/>
      <c r="N203" s="25"/>
      <c r="O203" s="26"/>
      <c r="P203" s="26"/>
    </row>
    <row r="204">
      <c r="A204" s="52"/>
      <c r="B204" s="15"/>
      <c r="C204" s="16"/>
      <c r="D204" s="15"/>
      <c r="E204" s="17"/>
      <c r="F204" s="54"/>
      <c r="G204" s="19"/>
      <c r="H204" s="17"/>
      <c r="I204" s="19"/>
      <c r="J204" s="21"/>
      <c r="K204" s="57"/>
      <c r="L204" s="24"/>
      <c r="M204" s="25"/>
      <c r="N204" s="25"/>
      <c r="O204" s="26"/>
      <c r="P204" s="26"/>
    </row>
    <row r="205">
      <c r="A205" s="52"/>
      <c r="B205" s="15"/>
      <c r="C205" s="16"/>
      <c r="D205" s="15"/>
      <c r="E205" s="17"/>
      <c r="F205" s="54"/>
      <c r="G205" s="19"/>
      <c r="H205" s="17"/>
      <c r="I205" s="19"/>
      <c r="J205" s="21"/>
      <c r="K205" s="57"/>
      <c r="L205" s="24"/>
      <c r="M205" s="25"/>
      <c r="N205" s="25"/>
      <c r="O205" s="26"/>
      <c r="P205" s="26"/>
    </row>
    <row r="206">
      <c r="A206" s="52"/>
      <c r="B206" s="15"/>
      <c r="C206" s="16"/>
      <c r="D206" s="15"/>
      <c r="E206" s="17"/>
      <c r="F206" s="54"/>
      <c r="G206" s="19"/>
      <c r="H206" s="17"/>
      <c r="I206" s="19"/>
      <c r="J206" s="21"/>
      <c r="K206" s="57"/>
      <c r="L206" s="24"/>
      <c r="M206" s="25"/>
      <c r="N206" s="25"/>
      <c r="O206" s="26"/>
      <c r="P206" s="26"/>
    </row>
    <row r="207">
      <c r="A207" s="52"/>
      <c r="B207" s="15"/>
      <c r="C207" s="16"/>
      <c r="D207" s="15"/>
      <c r="E207" s="17"/>
      <c r="F207" s="54"/>
      <c r="G207" s="19"/>
      <c r="H207" s="17"/>
      <c r="I207" s="19"/>
      <c r="J207" s="21"/>
      <c r="K207" s="57"/>
      <c r="L207" s="24"/>
      <c r="M207" s="25"/>
      <c r="N207" s="25"/>
      <c r="O207" s="26"/>
      <c r="P207" s="26"/>
    </row>
    <row r="208">
      <c r="A208" s="52"/>
      <c r="B208" s="15"/>
      <c r="C208" s="16"/>
      <c r="D208" s="15"/>
      <c r="E208" s="17"/>
      <c r="F208" s="54"/>
      <c r="G208" s="19"/>
      <c r="H208" s="17"/>
      <c r="I208" s="19"/>
      <c r="J208" s="21"/>
      <c r="K208" s="57"/>
      <c r="L208" s="24"/>
      <c r="M208" s="25"/>
      <c r="N208" s="25"/>
      <c r="O208" s="26"/>
      <c r="P208" s="26"/>
    </row>
    <row r="209">
      <c r="A209" s="52"/>
      <c r="B209" s="15"/>
      <c r="C209" s="16"/>
      <c r="D209" s="15"/>
      <c r="E209" s="17"/>
      <c r="F209" s="54"/>
      <c r="G209" s="19"/>
      <c r="H209" s="17"/>
      <c r="I209" s="19"/>
      <c r="J209" s="21"/>
      <c r="K209" s="57"/>
      <c r="L209" s="24"/>
      <c r="M209" s="25"/>
      <c r="N209" s="25"/>
      <c r="O209" s="26"/>
      <c r="P209" s="26"/>
    </row>
    <row r="210">
      <c r="A210" s="52"/>
      <c r="B210" s="15"/>
      <c r="C210" s="16"/>
      <c r="D210" s="15"/>
      <c r="E210" s="17"/>
      <c r="F210" s="54"/>
      <c r="G210" s="19"/>
      <c r="H210" s="17"/>
      <c r="I210" s="19"/>
      <c r="J210" s="21"/>
      <c r="K210" s="57"/>
      <c r="L210" s="24"/>
      <c r="M210" s="25"/>
      <c r="N210" s="25"/>
      <c r="O210" s="26"/>
      <c r="P210" s="26"/>
    </row>
    <row r="211">
      <c r="A211" s="52"/>
      <c r="B211" s="15"/>
      <c r="C211" s="16"/>
      <c r="D211" s="15"/>
      <c r="E211" s="17"/>
      <c r="F211" s="54"/>
      <c r="G211" s="19"/>
      <c r="H211" s="17"/>
      <c r="I211" s="19"/>
      <c r="J211" s="21"/>
      <c r="K211" s="57"/>
      <c r="L211" s="24"/>
      <c r="M211" s="25"/>
      <c r="N211" s="25"/>
      <c r="O211" s="26"/>
      <c r="P211" s="26"/>
    </row>
    <row r="212">
      <c r="A212" s="52"/>
      <c r="B212" s="15"/>
      <c r="C212" s="16"/>
      <c r="D212" s="15"/>
      <c r="E212" s="17"/>
      <c r="F212" s="54"/>
      <c r="G212" s="19"/>
      <c r="H212" s="17"/>
      <c r="I212" s="19"/>
      <c r="J212" s="21"/>
      <c r="K212" s="57"/>
      <c r="L212" s="24"/>
      <c r="M212" s="25"/>
      <c r="N212" s="25"/>
      <c r="O212" s="26"/>
      <c r="P212" s="26"/>
    </row>
    <row r="213">
      <c r="A213" s="52"/>
      <c r="B213" s="15"/>
      <c r="C213" s="16"/>
      <c r="D213" s="15"/>
      <c r="E213" s="17"/>
      <c r="F213" s="54"/>
      <c r="G213" s="19"/>
      <c r="H213" s="17"/>
      <c r="I213" s="19"/>
      <c r="J213" s="21"/>
      <c r="K213" s="57"/>
      <c r="L213" s="24"/>
      <c r="M213" s="25"/>
      <c r="N213" s="25"/>
      <c r="O213" s="26"/>
      <c r="P213" s="26"/>
    </row>
    <row r="214">
      <c r="A214" s="52"/>
      <c r="B214" s="15"/>
      <c r="C214" s="16"/>
      <c r="D214" s="15"/>
      <c r="E214" s="17"/>
      <c r="F214" s="54"/>
      <c r="G214" s="19"/>
      <c r="H214" s="17"/>
      <c r="I214" s="19"/>
      <c r="J214" s="21"/>
      <c r="K214" s="57"/>
      <c r="L214" s="24"/>
      <c r="M214" s="25"/>
      <c r="N214" s="25"/>
      <c r="O214" s="26"/>
      <c r="P214" s="26"/>
    </row>
    <row r="215">
      <c r="A215" s="52"/>
      <c r="B215" s="15"/>
      <c r="C215" s="16"/>
      <c r="D215" s="15"/>
      <c r="E215" s="17"/>
      <c r="F215" s="54"/>
      <c r="G215" s="19"/>
      <c r="H215" s="17"/>
      <c r="I215" s="19"/>
      <c r="J215" s="21"/>
      <c r="K215" s="57"/>
      <c r="L215" s="24"/>
      <c r="M215" s="25"/>
      <c r="N215" s="25"/>
      <c r="O215" s="26"/>
      <c r="P215" s="26"/>
    </row>
    <row r="216">
      <c r="A216" s="52"/>
      <c r="B216" s="15"/>
      <c r="C216" s="16"/>
      <c r="D216" s="15"/>
      <c r="E216" s="17"/>
      <c r="F216" s="54"/>
      <c r="G216" s="19"/>
      <c r="H216" s="17"/>
      <c r="I216" s="19"/>
      <c r="J216" s="21"/>
      <c r="K216" s="57"/>
      <c r="L216" s="24"/>
      <c r="M216" s="25"/>
      <c r="N216" s="25"/>
      <c r="O216" s="26"/>
      <c r="P216" s="26"/>
    </row>
    <row r="217">
      <c r="A217" s="52"/>
      <c r="B217" s="15"/>
      <c r="C217" s="16"/>
      <c r="D217" s="15"/>
      <c r="E217" s="17"/>
      <c r="F217" s="54"/>
      <c r="G217" s="19"/>
      <c r="H217" s="17"/>
      <c r="I217" s="19"/>
      <c r="J217" s="21"/>
      <c r="K217" s="57"/>
      <c r="L217" s="24"/>
      <c r="M217" s="25"/>
      <c r="N217" s="25"/>
      <c r="O217" s="26"/>
      <c r="P217" s="26"/>
    </row>
    <row r="218">
      <c r="A218" s="52"/>
      <c r="B218" s="15"/>
      <c r="C218" s="16"/>
      <c r="D218" s="15"/>
      <c r="E218" s="17"/>
      <c r="F218" s="54"/>
      <c r="G218" s="19"/>
      <c r="H218" s="17"/>
      <c r="I218" s="19"/>
      <c r="J218" s="21"/>
      <c r="K218" s="57"/>
      <c r="L218" s="24"/>
      <c r="M218" s="25"/>
      <c r="N218" s="25"/>
      <c r="O218" s="26"/>
      <c r="P218" s="26"/>
    </row>
    <row r="219">
      <c r="A219" s="52"/>
      <c r="B219" s="15"/>
      <c r="C219" s="16"/>
      <c r="D219" s="15"/>
      <c r="E219" s="17"/>
      <c r="F219" s="54"/>
      <c r="G219" s="19"/>
      <c r="H219" s="17"/>
      <c r="I219" s="19"/>
      <c r="J219" s="21"/>
      <c r="K219" s="57"/>
      <c r="L219" s="24"/>
      <c r="M219" s="25"/>
      <c r="N219" s="25"/>
      <c r="O219" s="26"/>
      <c r="P219" s="26"/>
    </row>
    <row r="220">
      <c r="A220" s="52"/>
      <c r="B220" s="15"/>
      <c r="C220" s="16"/>
      <c r="D220" s="15"/>
      <c r="E220" s="17"/>
      <c r="F220" s="54"/>
      <c r="G220" s="19"/>
      <c r="H220" s="17"/>
      <c r="I220" s="19"/>
      <c r="J220" s="21"/>
      <c r="K220" s="57"/>
      <c r="L220" s="24"/>
      <c r="M220" s="25"/>
      <c r="N220" s="25"/>
      <c r="O220" s="26"/>
      <c r="P220" s="26"/>
    </row>
    <row r="221">
      <c r="A221" s="52"/>
      <c r="B221" s="15"/>
      <c r="C221" s="16"/>
      <c r="D221" s="15"/>
      <c r="E221" s="17"/>
      <c r="F221" s="54"/>
      <c r="G221" s="19"/>
      <c r="H221" s="17"/>
      <c r="I221" s="19"/>
      <c r="J221" s="21"/>
      <c r="K221" s="57"/>
      <c r="L221" s="24"/>
      <c r="M221" s="25"/>
      <c r="N221" s="25"/>
      <c r="O221" s="26"/>
      <c r="P221" s="26"/>
    </row>
    <row r="222">
      <c r="A222" s="52"/>
      <c r="B222" s="15"/>
      <c r="C222" s="16"/>
      <c r="D222" s="15"/>
      <c r="E222" s="17"/>
      <c r="F222" s="54"/>
      <c r="G222" s="19"/>
      <c r="H222" s="17"/>
      <c r="I222" s="19"/>
      <c r="J222" s="21"/>
      <c r="K222" s="57"/>
      <c r="L222" s="24"/>
      <c r="M222" s="25"/>
      <c r="N222" s="25"/>
      <c r="O222" s="26"/>
      <c r="P222" s="26"/>
    </row>
    <row r="223">
      <c r="A223" s="52"/>
      <c r="B223" s="15"/>
      <c r="C223" s="16"/>
      <c r="D223" s="15"/>
      <c r="E223" s="17"/>
      <c r="F223" s="54"/>
      <c r="G223" s="19"/>
      <c r="H223" s="17"/>
      <c r="I223" s="19"/>
      <c r="J223" s="21"/>
      <c r="K223" s="57"/>
      <c r="L223" s="24"/>
      <c r="M223" s="25"/>
      <c r="N223" s="25"/>
      <c r="O223" s="26"/>
      <c r="P223" s="26"/>
    </row>
    <row r="224">
      <c r="A224" s="52"/>
      <c r="B224" s="15"/>
      <c r="C224" s="16"/>
      <c r="D224" s="15"/>
      <c r="E224" s="17"/>
      <c r="F224" s="54"/>
      <c r="G224" s="19"/>
      <c r="H224" s="17"/>
      <c r="I224" s="19"/>
      <c r="J224" s="21"/>
      <c r="K224" s="57"/>
      <c r="L224" s="24"/>
      <c r="M224" s="25"/>
      <c r="N224" s="25"/>
      <c r="O224" s="26"/>
      <c r="P224" s="26"/>
    </row>
    <row r="225">
      <c r="A225" s="52"/>
      <c r="B225" s="15"/>
      <c r="C225" s="16"/>
      <c r="D225" s="15"/>
      <c r="E225" s="17"/>
      <c r="F225" s="54"/>
      <c r="G225" s="19"/>
      <c r="H225" s="17"/>
      <c r="I225" s="19"/>
      <c r="J225" s="21"/>
      <c r="K225" s="57"/>
      <c r="L225" s="24"/>
      <c r="M225" s="25"/>
      <c r="N225" s="25"/>
      <c r="O225" s="26"/>
      <c r="P225" s="26"/>
    </row>
    <row r="226">
      <c r="A226" s="52"/>
      <c r="B226" s="15"/>
      <c r="C226" s="16"/>
      <c r="D226" s="15"/>
      <c r="E226" s="17"/>
      <c r="F226" s="18"/>
      <c r="G226" s="19"/>
      <c r="H226" s="17"/>
      <c r="I226" s="19"/>
      <c r="J226" s="21"/>
      <c r="K226" s="57"/>
      <c r="L226" s="24"/>
      <c r="M226" s="25"/>
      <c r="N226" s="25"/>
      <c r="O226" s="26"/>
      <c r="P226" s="26"/>
    </row>
    <row r="227">
      <c r="A227" s="52"/>
      <c r="B227" s="15"/>
      <c r="C227" s="16"/>
      <c r="D227" s="15"/>
      <c r="E227" s="17"/>
      <c r="F227" s="54"/>
      <c r="G227" s="19"/>
      <c r="H227" s="17"/>
      <c r="I227" s="19"/>
      <c r="J227" s="21"/>
      <c r="K227" s="57"/>
      <c r="L227" s="24"/>
      <c r="M227" s="25"/>
      <c r="N227" s="25"/>
      <c r="O227" s="26"/>
      <c r="P227" s="26"/>
    </row>
    <row r="228">
      <c r="A228" s="52"/>
      <c r="B228" s="15"/>
      <c r="C228" s="16"/>
      <c r="D228" s="15"/>
      <c r="E228" s="17"/>
      <c r="F228" s="54"/>
      <c r="G228" s="19"/>
      <c r="H228" s="17"/>
      <c r="I228" s="19"/>
      <c r="J228" s="21"/>
      <c r="K228" s="57"/>
      <c r="L228" s="24"/>
      <c r="M228" s="25"/>
      <c r="N228" s="25"/>
      <c r="O228" s="26"/>
      <c r="P228" s="26"/>
    </row>
    <row r="229">
      <c r="A229" s="52"/>
      <c r="B229" s="15"/>
      <c r="C229" s="16"/>
      <c r="D229" s="15"/>
      <c r="E229" s="17"/>
      <c r="F229" s="54"/>
      <c r="G229" s="19"/>
      <c r="H229" s="17"/>
      <c r="I229" s="19"/>
      <c r="J229" s="21"/>
      <c r="K229" s="57"/>
      <c r="L229" s="24"/>
      <c r="M229" s="25"/>
      <c r="N229" s="25"/>
      <c r="O229" s="26"/>
      <c r="P229" s="26"/>
    </row>
    <row r="230">
      <c r="A230" s="52"/>
      <c r="B230" s="15"/>
      <c r="C230" s="16"/>
      <c r="D230" s="15"/>
      <c r="E230" s="17"/>
      <c r="F230" s="54"/>
      <c r="G230" s="19"/>
      <c r="H230" s="17"/>
      <c r="I230" s="19"/>
      <c r="J230" s="21"/>
      <c r="K230" s="57"/>
      <c r="L230" s="24"/>
      <c r="M230" s="25"/>
      <c r="N230" s="25"/>
      <c r="O230" s="26"/>
      <c r="P230" s="26"/>
    </row>
    <row r="231">
      <c r="A231" s="52"/>
      <c r="B231" s="15"/>
      <c r="C231" s="16"/>
      <c r="D231" s="15"/>
      <c r="E231" s="17"/>
      <c r="F231" s="54"/>
      <c r="G231" s="19"/>
      <c r="H231" s="17"/>
      <c r="I231" s="19"/>
      <c r="J231" s="21"/>
      <c r="K231" s="57"/>
      <c r="L231" s="24"/>
      <c r="M231" s="25"/>
      <c r="N231" s="25"/>
      <c r="O231" s="26"/>
      <c r="P231" s="26"/>
    </row>
    <row r="232">
      <c r="A232" s="52"/>
      <c r="B232" s="15"/>
      <c r="C232" s="16"/>
      <c r="D232" s="15"/>
      <c r="E232" s="17"/>
      <c r="F232" s="54"/>
      <c r="G232" s="19"/>
      <c r="H232" s="17"/>
      <c r="I232" s="19"/>
      <c r="J232" s="21"/>
      <c r="K232" s="57"/>
      <c r="L232" s="24"/>
      <c r="M232" s="25"/>
      <c r="N232" s="25"/>
      <c r="O232" s="26"/>
      <c r="P232" s="26"/>
    </row>
    <row r="233">
      <c r="A233" s="52"/>
      <c r="B233" s="15"/>
      <c r="C233" s="16"/>
      <c r="D233" s="15"/>
      <c r="E233" s="17"/>
      <c r="F233" s="54"/>
      <c r="G233" s="19"/>
      <c r="H233" s="17"/>
      <c r="I233" s="19"/>
      <c r="J233" s="21"/>
      <c r="K233" s="57"/>
      <c r="L233" s="24"/>
      <c r="M233" s="25"/>
      <c r="N233" s="25"/>
      <c r="O233" s="26"/>
      <c r="P233" s="26"/>
    </row>
    <row r="234">
      <c r="A234" s="52"/>
      <c r="B234" s="15"/>
      <c r="C234" s="16"/>
      <c r="D234" s="15"/>
      <c r="E234" s="17"/>
      <c r="F234" s="54"/>
      <c r="G234" s="19"/>
      <c r="H234" s="17"/>
      <c r="I234" s="19"/>
      <c r="J234" s="21"/>
      <c r="K234" s="57"/>
      <c r="L234" s="24"/>
      <c r="M234" s="25"/>
      <c r="N234" s="25"/>
      <c r="O234" s="26"/>
      <c r="P234" s="26"/>
    </row>
    <row r="235">
      <c r="A235" s="52"/>
      <c r="B235" s="15"/>
      <c r="C235" s="16"/>
      <c r="D235" s="15"/>
      <c r="E235" s="17"/>
      <c r="F235" s="54"/>
      <c r="G235" s="19"/>
      <c r="H235" s="17"/>
      <c r="I235" s="19"/>
      <c r="J235" s="21"/>
      <c r="K235" s="57"/>
      <c r="L235" s="24"/>
      <c r="M235" s="25"/>
      <c r="N235" s="25"/>
      <c r="O235" s="26"/>
      <c r="P235" s="26"/>
    </row>
    <row r="236">
      <c r="A236" s="52"/>
      <c r="B236" s="15"/>
      <c r="C236" s="16"/>
      <c r="D236" s="15"/>
      <c r="E236" s="17"/>
      <c r="F236" s="54"/>
      <c r="G236" s="19"/>
      <c r="H236" s="17"/>
      <c r="I236" s="19"/>
      <c r="J236" s="21"/>
      <c r="K236" s="57"/>
      <c r="L236" s="24"/>
      <c r="M236" s="25"/>
      <c r="N236" s="25"/>
      <c r="O236" s="26"/>
      <c r="P236" s="26"/>
    </row>
    <row r="237">
      <c r="A237" s="52"/>
      <c r="B237" s="15"/>
      <c r="C237" s="16"/>
      <c r="D237" s="15"/>
      <c r="E237" s="17"/>
      <c r="F237" s="54"/>
      <c r="G237" s="19"/>
      <c r="H237" s="17"/>
      <c r="I237" s="19"/>
      <c r="J237" s="21"/>
      <c r="K237" s="57"/>
      <c r="L237" s="24"/>
      <c r="M237" s="25"/>
      <c r="N237" s="25"/>
      <c r="O237" s="26"/>
      <c r="P237" s="26"/>
    </row>
    <row r="238">
      <c r="A238" s="52"/>
      <c r="B238" s="15"/>
      <c r="C238" s="16"/>
      <c r="D238" s="15"/>
      <c r="E238" s="17"/>
      <c r="F238" s="54"/>
      <c r="G238" s="19"/>
      <c r="H238" s="17"/>
      <c r="I238" s="19"/>
      <c r="J238" s="21"/>
      <c r="K238" s="57"/>
      <c r="L238" s="24"/>
      <c r="M238" s="25"/>
      <c r="N238" s="25"/>
      <c r="O238" s="26"/>
      <c r="P238" s="26"/>
    </row>
    <row r="239">
      <c r="A239" s="52"/>
      <c r="B239" s="15"/>
      <c r="C239" s="16"/>
      <c r="D239" s="15"/>
      <c r="E239" s="17"/>
      <c r="F239" s="54"/>
      <c r="G239" s="19"/>
      <c r="H239" s="17"/>
      <c r="I239" s="19"/>
      <c r="J239" s="21"/>
      <c r="K239" s="57"/>
      <c r="L239" s="24"/>
      <c r="M239" s="25"/>
      <c r="N239" s="25"/>
      <c r="O239" s="26"/>
      <c r="P239" s="26"/>
    </row>
    <row r="240">
      <c r="A240" s="52"/>
      <c r="B240" s="15"/>
      <c r="C240" s="16"/>
      <c r="D240" s="15"/>
      <c r="E240" s="17"/>
      <c r="F240" s="54"/>
      <c r="G240" s="19"/>
      <c r="H240" s="17"/>
      <c r="I240" s="19"/>
      <c r="J240" s="21"/>
      <c r="K240" s="57"/>
      <c r="L240" s="24"/>
      <c r="M240" s="25"/>
      <c r="N240" s="25"/>
      <c r="O240" s="26"/>
      <c r="P240" s="26"/>
    </row>
    <row r="241">
      <c r="A241" s="52"/>
      <c r="B241" s="15"/>
      <c r="C241" s="16"/>
      <c r="D241" s="15"/>
      <c r="E241" s="17"/>
      <c r="F241" s="54"/>
      <c r="G241" s="19"/>
      <c r="H241" s="17"/>
      <c r="I241" s="19"/>
      <c r="J241" s="21"/>
      <c r="K241" s="57"/>
      <c r="L241" s="24"/>
      <c r="M241" s="25"/>
      <c r="N241" s="25"/>
      <c r="O241" s="26"/>
      <c r="P241" s="26"/>
    </row>
    <row r="242">
      <c r="A242" s="62"/>
      <c r="B242" s="15"/>
      <c r="C242" s="16"/>
      <c r="D242" s="15"/>
      <c r="E242" s="17"/>
      <c r="F242" s="71"/>
      <c r="G242" s="19"/>
      <c r="H242" s="17"/>
      <c r="I242" s="19"/>
      <c r="J242" s="21"/>
      <c r="K242" s="57"/>
      <c r="L242" s="24"/>
      <c r="M242" s="25"/>
      <c r="N242" s="25"/>
      <c r="O242" s="26"/>
      <c r="P242" s="26"/>
    </row>
    <row r="243">
      <c r="A243" s="52"/>
      <c r="B243" s="15"/>
      <c r="C243" s="16"/>
      <c r="D243" s="15"/>
      <c r="E243" s="17"/>
      <c r="F243" s="54"/>
      <c r="G243" s="19"/>
      <c r="H243" s="17"/>
      <c r="I243" s="19"/>
      <c r="J243" s="21"/>
      <c r="K243" s="57"/>
      <c r="L243" s="24"/>
      <c r="M243" s="25"/>
      <c r="N243" s="25"/>
      <c r="O243" s="26"/>
      <c r="P243" s="26"/>
    </row>
    <row r="244">
      <c r="A244" s="52"/>
      <c r="B244" s="15"/>
      <c r="C244" s="16"/>
      <c r="D244" s="15"/>
      <c r="E244" s="17"/>
      <c r="F244" s="54"/>
      <c r="G244" s="19"/>
      <c r="H244" s="17"/>
      <c r="I244" s="19"/>
      <c r="J244" s="21"/>
      <c r="K244" s="57"/>
      <c r="L244" s="24"/>
      <c r="M244" s="25"/>
      <c r="N244" s="25"/>
      <c r="O244" s="26"/>
      <c r="P244" s="26"/>
    </row>
    <row r="245">
      <c r="A245" s="52"/>
      <c r="B245" s="15"/>
      <c r="C245" s="16"/>
      <c r="D245" s="15"/>
      <c r="E245" s="17"/>
      <c r="F245" s="54"/>
      <c r="G245" s="19"/>
      <c r="H245" s="17"/>
      <c r="I245" s="19"/>
      <c r="J245" s="21"/>
      <c r="K245" s="57"/>
      <c r="L245" s="24"/>
      <c r="M245" s="25"/>
      <c r="N245" s="25"/>
      <c r="O245" s="26"/>
      <c r="P245" s="26"/>
    </row>
    <row r="246">
      <c r="A246" s="52"/>
      <c r="B246" s="15"/>
      <c r="C246" s="16"/>
      <c r="D246" s="15"/>
      <c r="E246" s="17"/>
      <c r="F246" s="54"/>
      <c r="G246" s="19"/>
      <c r="H246" s="17"/>
      <c r="I246" s="19"/>
      <c r="J246" s="21"/>
      <c r="K246" s="57"/>
      <c r="L246" s="24"/>
      <c r="M246" s="25"/>
      <c r="N246" s="25"/>
      <c r="O246" s="26"/>
      <c r="P246" s="26"/>
    </row>
    <row r="247">
      <c r="A247" s="52"/>
      <c r="B247" s="15"/>
      <c r="C247" s="16"/>
      <c r="D247" s="15"/>
      <c r="E247" s="17"/>
      <c r="F247" s="54"/>
      <c r="G247" s="19"/>
      <c r="H247" s="17"/>
      <c r="I247" s="19"/>
      <c r="J247" s="21"/>
      <c r="K247" s="57"/>
      <c r="L247" s="24"/>
      <c r="M247" s="25"/>
      <c r="N247" s="25"/>
      <c r="O247" s="26"/>
      <c r="P247" s="26"/>
    </row>
    <row r="248">
      <c r="A248" s="52"/>
      <c r="B248" s="15"/>
      <c r="C248" s="16"/>
      <c r="D248" s="15"/>
      <c r="E248" s="17"/>
      <c r="F248" s="54"/>
      <c r="G248" s="19"/>
      <c r="H248" s="17"/>
      <c r="I248" s="19"/>
      <c r="J248" s="21"/>
      <c r="K248" s="57"/>
      <c r="L248" s="24"/>
      <c r="M248" s="25"/>
      <c r="N248" s="25"/>
      <c r="O248" s="26"/>
      <c r="P248" s="26"/>
    </row>
    <row r="249">
      <c r="A249" s="52"/>
      <c r="B249" s="15"/>
      <c r="C249" s="16"/>
      <c r="D249" s="15"/>
      <c r="E249" s="17"/>
      <c r="F249" s="18"/>
      <c r="G249" s="19"/>
      <c r="H249" s="17"/>
      <c r="I249" s="19"/>
      <c r="J249" s="21"/>
      <c r="K249" s="57"/>
      <c r="L249" s="24"/>
      <c r="M249" s="25"/>
      <c r="N249" s="25"/>
      <c r="O249" s="26"/>
      <c r="P249" s="26"/>
    </row>
    <row r="250">
      <c r="A250" s="52"/>
      <c r="B250" s="15"/>
      <c r="C250" s="16"/>
      <c r="D250" s="15"/>
      <c r="E250" s="17"/>
      <c r="F250" s="54"/>
      <c r="G250" s="19"/>
      <c r="H250" s="17"/>
      <c r="I250" s="19"/>
      <c r="J250" s="21"/>
      <c r="K250" s="57"/>
      <c r="L250" s="24"/>
      <c r="M250" s="25"/>
      <c r="N250" s="25"/>
      <c r="O250" s="26"/>
      <c r="P250" s="26"/>
    </row>
    <row r="251">
      <c r="A251" s="52"/>
      <c r="B251" s="15"/>
      <c r="C251" s="16"/>
      <c r="D251" s="15"/>
      <c r="E251" s="17"/>
      <c r="F251" s="54"/>
      <c r="G251" s="19"/>
      <c r="H251" s="17"/>
      <c r="I251" s="19"/>
      <c r="J251" s="21"/>
      <c r="K251" s="57"/>
      <c r="L251" s="24"/>
      <c r="M251" s="25"/>
      <c r="N251" s="25"/>
      <c r="O251" s="26"/>
      <c r="P251" s="26"/>
    </row>
    <row r="252">
      <c r="A252" s="52"/>
      <c r="B252" s="15"/>
      <c r="C252" s="16"/>
      <c r="D252" s="15"/>
      <c r="E252" s="17"/>
      <c r="F252" s="54"/>
      <c r="G252" s="19"/>
      <c r="H252" s="17"/>
      <c r="I252" s="19"/>
      <c r="J252" s="21"/>
      <c r="K252" s="57"/>
      <c r="L252" s="24"/>
      <c r="M252" s="25"/>
      <c r="N252" s="25"/>
      <c r="O252" s="26"/>
      <c r="P252" s="26"/>
    </row>
    <row r="253">
      <c r="A253" s="52"/>
      <c r="B253" s="15"/>
      <c r="C253" s="16"/>
      <c r="D253" s="15"/>
      <c r="E253" s="17"/>
      <c r="F253" s="54"/>
      <c r="G253" s="19"/>
      <c r="H253" s="17"/>
      <c r="I253" s="19"/>
      <c r="J253" s="21"/>
      <c r="K253" s="57"/>
      <c r="L253" s="24"/>
      <c r="M253" s="25"/>
      <c r="N253" s="25"/>
      <c r="O253" s="26"/>
      <c r="P253" s="26"/>
    </row>
    <row r="254">
      <c r="A254" s="52"/>
      <c r="B254" s="15"/>
      <c r="C254" s="16"/>
      <c r="D254" s="15"/>
      <c r="E254" s="17"/>
      <c r="F254" s="54"/>
      <c r="G254" s="19"/>
      <c r="H254" s="17"/>
      <c r="I254" s="19"/>
      <c r="J254" s="21"/>
      <c r="K254" s="57"/>
      <c r="L254" s="24"/>
      <c r="M254" s="25"/>
      <c r="N254" s="25"/>
      <c r="O254" s="26"/>
      <c r="P254" s="26"/>
    </row>
    <row r="255">
      <c r="A255" s="52"/>
      <c r="B255" s="15"/>
      <c r="C255" s="16"/>
      <c r="D255" s="15"/>
      <c r="E255" s="17"/>
      <c r="F255" s="54"/>
      <c r="G255" s="19"/>
      <c r="H255" s="17"/>
      <c r="I255" s="19"/>
      <c r="J255" s="21"/>
      <c r="K255" s="57"/>
      <c r="L255" s="24"/>
      <c r="M255" s="25"/>
      <c r="N255" s="25"/>
      <c r="O255" s="26"/>
      <c r="P255" s="26"/>
    </row>
    <row r="256">
      <c r="A256" s="52"/>
      <c r="B256" s="15"/>
      <c r="C256" s="16"/>
      <c r="D256" s="15"/>
      <c r="E256" s="17"/>
      <c r="F256" s="54"/>
      <c r="G256" s="19"/>
      <c r="H256" s="17"/>
      <c r="I256" s="19"/>
      <c r="J256" s="21"/>
      <c r="K256" s="57"/>
      <c r="L256" s="24"/>
      <c r="M256" s="25"/>
      <c r="N256" s="25"/>
      <c r="O256" s="26"/>
      <c r="P256" s="26"/>
    </row>
    <row r="257">
      <c r="A257" s="52"/>
      <c r="B257" s="15"/>
      <c r="C257" s="16"/>
      <c r="D257" s="15"/>
      <c r="E257" s="17"/>
      <c r="F257" s="54"/>
      <c r="G257" s="19"/>
      <c r="H257" s="17"/>
      <c r="I257" s="19"/>
      <c r="J257" s="21"/>
      <c r="K257" s="57"/>
      <c r="L257" s="24"/>
      <c r="M257" s="25"/>
      <c r="N257" s="25"/>
      <c r="O257" s="26"/>
      <c r="P257" s="26"/>
    </row>
    <row r="258">
      <c r="A258" s="52"/>
      <c r="B258" s="15"/>
      <c r="C258" s="16"/>
      <c r="D258" s="15"/>
      <c r="E258" s="17"/>
      <c r="F258" s="54"/>
      <c r="G258" s="19"/>
      <c r="H258" s="17"/>
      <c r="I258" s="19"/>
      <c r="J258" s="21"/>
      <c r="K258" s="57"/>
      <c r="L258" s="24"/>
      <c r="M258" s="25"/>
      <c r="N258" s="25"/>
      <c r="O258" s="26"/>
      <c r="P258" s="26"/>
    </row>
    <row r="259">
      <c r="A259" s="52"/>
      <c r="B259" s="15"/>
      <c r="C259" s="16"/>
      <c r="D259" s="15"/>
      <c r="E259" s="17"/>
      <c r="F259" s="54"/>
      <c r="G259" s="19"/>
      <c r="H259" s="17"/>
      <c r="I259" s="19"/>
      <c r="J259" s="21"/>
      <c r="K259" s="57"/>
      <c r="L259" s="24"/>
      <c r="M259" s="25"/>
      <c r="N259" s="25"/>
      <c r="O259" s="26"/>
      <c r="P259" s="26"/>
    </row>
    <row r="260">
      <c r="A260" s="52"/>
      <c r="B260" s="15"/>
      <c r="C260" s="16"/>
      <c r="D260" s="15"/>
      <c r="E260" s="17"/>
      <c r="F260" s="54"/>
      <c r="G260" s="19"/>
      <c r="H260" s="17"/>
      <c r="I260" s="19"/>
      <c r="J260" s="21"/>
      <c r="K260" s="57"/>
      <c r="L260" s="24"/>
      <c r="M260" s="25"/>
      <c r="N260" s="25"/>
      <c r="O260" s="26"/>
      <c r="P260" s="26"/>
    </row>
    <row r="261">
      <c r="A261" s="52"/>
      <c r="B261" s="15"/>
      <c r="C261" s="16"/>
      <c r="D261" s="15"/>
      <c r="E261" s="17"/>
      <c r="F261" s="54"/>
      <c r="G261" s="19"/>
      <c r="H261" s="17"/>
      <c r="I261" s="19"/>
      <c r="J261" s="21"/>
      <c r="K261" s="57"/>
      <c r="L261" s="24"/>
      <c r="M261" s="72"/>
      <c r="N261" s="72"/>
      <c r="O261" s="73"/>
      <c r="P261" s="73"/>
    </row>
    <row r="262">
      <c r="A262" s="52"/>
      <c r="B262" s="15"/>
      <c r="C262" s="16"/>
      <c r="D262" s="15"/>
      <c r="E262" s="17"/>
      <c r="F262" s="74"/>
      <c r="G262" s="19"/>
      <c r="H262" s="17"/>
      <c r="I262" s="19"/>
      <c r="J262" s="21"/>
      <c r="K262" s="57"/>
      <c r="L262" s="24"/>
      <c r="M262" s="25"/>
      <c r="N262" s="25"/>
      <c r="O262" s="26"/>
      <c r="P262" s="26"/>
    </row>
    <row r="263">
      <c r="A263" s="52"/>
      <c r="B263" s="15"/>
      <c r="C263" s="16"/>
      <c r="D263" s="15"/>
      <c r="E263" s="17"/>
      <c r="F263" s="54"/>
      <c r="G263" s="19"/>
      <c r="H263" s="17"/>
      <c r="I263" s="19"/>
      <c r="J263" s="21"/>
      <c r="K263" s="57"/>
      <c r="L263" s="24"/>
      <c r="M263" s="25"/>
      <c r="N263" s="25"/>
      <c r="O263" s="26"/>
      <c r="P263" s="26"/>
    </row>
    <row r="264">
      <c r="A264" s="52"/>
      <c r="B264" s="15"/>
      <c r="C264" s="16"/>
      <c r="D264" s="15"/>
      <c r="E264" s="17"/>
      <c r="F264" s="54"/>
      <c r="G264" s="19"/>
      <c r="H264" s="17"/>
      <c r="I264" s="19"/>
      <c r="J264" s="21"/>
      <c r="K264" s="57"/>
      <c r="L264" s="24"/>
      <c r="M264" s="25"/>
      <c r="N264" s="25"/>
      <c r="O264" s="26"/>
      <c r="P264" s="26"/>
    </row>
    <row r="265">
      <c r="A265" s="52"/>
      <c r="B265" s="15"/>
      <c r="C265" s="16"/>
      <c r="D265" s="15"/>
      <c r="E265" s="17"/>
      <c r="F265" s="54"/>
      <c r="G265" s="19"/>
      <c r="H265" s="17"/>
      <c r="I265" s="19"/>
      <c r="J265" s="21"/>
      <c r="K265" s="57"/>
      <c r="L265" s="24"/>
      <c r="M265" s="25"/>
      <c r="N265" s="25"/>
      <c r="O265" s="26"/>
      <c r="P265" s="26"/>
    </row>
    <row r="266">
      <c r="A266" s="52"/>
      <c r="B266" s="15"/>
      <c r="C266" s="16"/>
      <c r="D266" s="15"/>
      <c r="E266" s="17"/>
      <c r="F266" s="54"/>
      <c r="G266" s="19"/>
      <c r="H266" s="17"/>
      <c r="I266" s="19"/>
      <c r="J266" s="21"/>
      <c r="K266" s="57"/>
      <c r="L266" s="24"/>
      <c r="M266" s="25"/>
      <c r="N266" s="25"/>
      <c r="O266" s="26"/>
      <c r="P266" s="26"/>
    </row>
    <row r="267">
      <c r="A267" s="52"/>
      <c r="B267" s="15"/>
      <c r="C267" s="16"/>
      <c r="D267" s="15"/>
      <c r="E267" s="17"/>
      <c r="F267" s="54"/>
      <c r="G267" s="19"/>
      <c r="H267" s="17"/>
      <c r="I267" s="19"/>
      <c r="J267" s="21"/>
      <c r="K267" s="57"/>
      <c r="L267" s="24"/>
      <c r="M267" s="25"/>
      <c r="N267" s="25"/>
      <c r="O267" s="26"/>
      <c r="P267" s="26"/>
    </row>
    <row r="268">
      <c r="A268" s="52"/>
      <c r="B268" s="15"/>
      <c r="C268" s="16"/>
      <c r="D268" s="15"/>
      <c r="E268" s="17"/>
      <c r="F268" s="54"/>
      <c r="G268" s="19"/>
      <c r="H268" s="17"/>
      <c r="I268" s="19"/>
      <c r="J268" s="21"/>
      <c r="K268" s="57"/>
      <c r="L268" s="24"/>
      <c r="M268" s="25"/>
      <c r="N268" s="25"/>
      <c r="O268" s="26"/>
      <c r="P268" s="26"/>
    </row>
    <row r="269">
      <c r="A269" s="52"/>
      <c r="B269" s="15"/>
      <c r="C269" s="16"/>
      <c r="D269" s="15"/>
      <c r="E269" s="17"/>
      <c r="F269" s="54"/>
      <c r="G269" s="19"/>
      <c r="H269" s="17"/>
      <c r="I269" s="19"/>
      <c r="J269" s="21"/>
      <c r="K269" s="57"/>
      <c r="L269" s="24"/>
      <c r="M269" s="25"/>
      <c r="N269" s="25"/>
      <c r="O269" s="26"/>
      <c r="P269" s="26"/>
    </row>
    <row r="270">
      <c r="A270" s="52"/>
      <c r="B270" s="15"/>
      <c r="C270" s="16"/>
      <c r="D270" s="15"/>
      <c r="E270" s="17"/>
      <c r="F270" s="54"/>
      <c r="G270" s="19"/>
      <c r="H270" s="17"/>
      <c r="I270" s="19"/>
      <c r="J270" s="21"/>
      <c r="K270" s="57"/>
      <c r="L270" s="24"/>
      <c r="M270" s="25"/>
      <c r="N270" s="25"/>
      <c r="O270" s="26"/>
      <c r="P270" s="26"/>
    </row>
    <row r="271">
      <c r="A271" s="52"/>
      <c r="B271" s="15"/>
      <c r="C271" s="16"/>
      <c r="D271" s="15"/>
      <c r="E271" s="17"/>
      <c r="F271" s="54"/>
      <c r="G271" s="19"/>
      <c r="H271" s="17"/>
      <c r="I271" s="19"/>
      <c r="J271" s="21"/>
      <c r="K271" s="57"/>
      <c r="L271" s="24"/>
      <c r="M271" s="25"/>
      <c r="N271" s="25"/>
      <c r="O271" s="26"/>
      <c r="P271" s="26"/>
    </row>
    <row r="272">
      <c r="A272" s="52"/>
      <c r="B272" s="15"/>
      <c r="C272" s="16"/>
      <c r="D272" s="15"/>
      <c r="E272" s="17"/>
      <c r="F272" s="18"/>
      <c r="G272" s="19"/>
      <c r="H272" s="17"/>
      <c r="I272" s="19"/>
      <c r="J272" s="21"/>
      <c r="K272" s="57"/>
      <c r="L272" s="24"/>
      <c r="M272" s="25"/>
      <c r="N272" s="25"/>
      <c r="O272" s="26"/>
      <c r="P272" s="26"/>
    </row>
    <row r="273">
      <c r="A273" s="52"/>
      <c r="B273" s="15"/>
      <c r="C273" s="16"/>
      <c r="D273" s="15"/>
      <c r="E273" s="17"/>
      <c r="F273" s="18"/>
      <c r="G273" s="19"/>
      <c r="H273" s="17"/>
      <c r="I273" s="19"/>
      <c r="J273" s="21"/>
      <c r="K273" s="57"/>
      <c r="L273" s="24"/>
      <c r="M273" s="25"/>
      <c r="N273" s="25"/>
      <c r="O273" s="26"/>
      <c r="P273" s="26"/>
    </row>
    <row r="274">
      <c r="A274" s="52"/>
      <c r="B274" s="15"/>
      <c r="C274" s="16"/>
      <c r="D274" s="15"/>
      <c r="E274" s="17"/>
      <c r="F274" s="54"/>
      <c r="G274" s="19"/>
      <c r="H274" s="17"/>
      <c r="I274" s="19"/>
      <c r="J274" s="21"/>
      <c r="K274" s="57"/>
      <c r="L274" s="24"/>
      <c r="M274" s="25"/>
      <c r="N274" s="25"/>
      <c r="O274" s="26"/>
      <c r="P274" s="26"/>
    </row>
    <row r="275">
      <c r="A275" s="52"/>
      <c r="B275" s="15"/>
      <c r="C275" s="16"/>
      <c r="D275" s="15"/>
      <c r="E275" s="17"/>
      <c r="F275" s="54"/>
      <c r="G275" s="19"/>
      <c r="H275" s="17"/>
      <c r="I275" s="19"/>
      <c r="J275" s="21"/>
      <c r="K275" s="57"/>
      <c r="L275" s="24"/>
      <c r="M275" s="25"/>
      <c r="N275" s="25"/>
      <c r="O275" s="26"/>
      <c r="P275" s="26"/>
    </row>
    <row r="276">
      <c r="A276" s="52"/>
      <c r="B276" s="15"/>
      <c r="C276" s="16"/>
      <c r="D276" s="15"/>
      <c r="E276" s="17"/>
      <c r="F276" s="54"/>
      <c r="G276" s="19"/>
      <c r="H276" s="17"/>
      <c r="I276" s="19"/>
      <c r="J276" s="21"/>
      <c r="K276" s="57"/>
      <c r="L276" s="24"/>
      <c r="M276" s="25"/>
      <c r="N276" s="25"/>
      <c r="O276" s="26"/>
      <c r="P276" s="26"/>
    </row>
    <row r="277">
      <c r="A277" s="52"/>
      <c r="B277" s="15"/>
      <c r="C277" s="16"/>
      <c r="D277" s="15"/>
      <c r="E277" s="17"/>
      <c r="F277" s="54"/>
      <c r="G277" s="19"/>
      <c r="H277" s="17"/>
      <c r="I277" s="19"/>
      <c r="J277" s="21"/>
      <c r="K277" s="57"/>
      <c r="L277" s="24"/>
      <c r="M277" s="26"/>
      <c r="N277" s="25"/>
      <c r="O277" s="26"/>
      <c r="P277" s="26"/>
    </row>
    <row r="278">
      <c r="A278" s="52"/>
      <c r="B278" s="15"/>
      <c r="C278" s="16"/>
      <c r="D278" s="15"/>
      <c r="E278" s="17"/>
      <c r="F278" s="54"/>
      <c r="G278" s="19"/>
      <c r="H278" s="17"/>
      <c r="I278" s="19"/>
      <c r="J278" s="21"/>
      <c r="K278" s="57"/>
      <c r="L278" s="24"/>
      <c r="M278" s="25"/>
      <c r="N278" s="25"/>
      <c r="O278" s="26"/>
      <c r="P278" s="26"/>
    </row>
    <row r="279">
      <c r="A279" s="52"/>
      <c r="B279" s="15"/>
      <c r="C279" s="16"/>
      <c r="D279" s="15"/>
      <c r="E279" s="17"/>
      <c r="F279" s="54"/>
      <c r="G279" s="19"/>
      <c r="H279" s="17"/>
      <c r="I279" s="19"/>
      <c r="J279" s="21"/>
      <c r="K279" s="57"/>
      <c r="L279" s="24"/>
      <c r="M279" s="25"/>
      <c r="N279" s="25"/>
      <c r="O279" s="26"/>
      <c r="P279" s="26"/>
    </row>
    <row r="280">
      <c r="A280" s="52"/>
      <c r="B280" s="15"/>
      <c r="C280" s="16"/>
      <c r="D280" s="15"/>
      <c r="E280" s="17"/>
      <c r="F280" s="54"/>
      <c r="G280" s="19"/>
      <c r="H280" s="17"/>
      <c r="I280" s="19"/>
      <c r="J280" s="21"/>
      <c r="K280" s="57"/>
      <c r="L280" s="24"/>
      <c r="M280" s="25"/>
      <c r="N280" s="25"/>
      <c r="O280" s="26"/>
      <c r="P280" s="26"/>
    </row>
    <row r="281">
      <c r="A281" s="52"/>
      <c r="B281" s="15"/>
      <c r="C281" s="16"/>
      <c r="D281" s="15"/>
      <c r="E281" s="17"/>
      <c r="F281" s="54"/>
      <c r="G281" s="19"/>
      <c r="H281" s="17"/>
      <c r="I281" s="19"/>
      <c r="J281" s="21"/>
      <c r="K281" s="57"/>
      <c r="L281" s="24"/>
      <c r="M281" s="25"/>
      <c r="N281" s="25"/>
      <c r="O281" s="26"/>
      <c r="P281" s="26"/>
    </row>
    <row r="282">
      <c r="A282" s="52"/>
      <c r="B282" s="15"/>
      <c r="C282" s="16"/>
      <c r="D282" s="15"/>
      <c r="E282" s="17"/>
      <c r="F282" s="18"/>
      <c r="G282" s="19"/>
      <c r="H282" s="17"/>
      <c r="I282" s="19"/>
      <c r="J282" s="21"/>
      <c r="K282" s="57"/>
      <c r="L282" s="24"/>
      <c r="M282" s="25"/>
      <c r="N282" s="25"/>
      <c r="O282" s="26"/>
      <c r="P282" s="26"/>
    </row>
    <row r="283">
      <c r="A283" s="52"/>
      <c r="B283" s="15"/>
      <c r="C283" s="16"/>
      <c r="D283" s="15"/>
      <c r="E283" s="17"/>
      <c r="F283" s="54"/>
      <c r="G283" s="19"/>
      <c r="H283" s="17"/>
      <c r="I283" s="19"/>
      <c r="J283" s="21"/>
      <c r="K283" s="57"/>
      <c r="L283" s="24"/>
      <c r="M283" s="25"/>
      <c r="N283" s="25"/>
      <c r="O283" s="26"/>
      <c r="P283" s="26"/>
    </row>
    <row r="284">
      <c r="A284" s="52"/>
      <c r="B284" s="15"/>
      <c r="C284" s="16"/>
      <c r="D284" s="15"/>
      <c r="E284" s="17"/>
      <c r="F284" s="54"/>
      <c r="G284" s="19"/>
      <c r="H284" s="17"/>
      <c r="I284" s="19"/>
      <c r="J284" s="21"/>
      <c r="K284" s="57"/>
      <c r="L284" s="24"/>
      <c r="M284" s="25"/>
      <c r="N284" s="25"/>
      <c r="O284" s="26"/>
      <c r="P284" s="26"/>
    </row>
    <row r="285">
      <c r="A285" s="52"/>
      <c r="B285" s="15"/>
      <c r="C285" s="16"/>
      <c r="D285" s="15"/>
      <c r="E285" s="17"/>
      <c r="F285" s="54"/>
      <c r="G285" s="19"/>
      <c r="H285" s="17"/>
      <c r="I285" s="19"/>
      <c r="J285" s="21"/>
      <c r="K285" s="57"/>
      <c r="L285" s="24"/>
      <c r="M285" s="25"/>
      <c r="N285" s="25"/>
      <c r="O285" s="26"/>
      <c r="P285" s="26"/>
    </row>
    <row r="286">
      <c r="A286" s="52"/>
      <c r="B286" s="15"/>
      <c r="C286" s="16"/>
      <c r="D286" s="15"/>
      <c r="E286" s="17"/>
      <c r="F286" s="54"/>
      <c r="G286" s="19"/>
      <c r="H286" s="17"/>
      <c r="I286" s="19"/>
      <c r="J286" s="21"/>
      <c r="K286" s="57"/>
      <c r="L286" s="24"/>
      <c r="M286" s="25"/>
      <c r="N286" s="25"/>
      <c r="O286" s="26"/>
      <c r="P286" s="26"/>
    </row>
    <row r="287">
      <c r="A287" s="52"/>
      <c r="B287" s="15"/>
      <c r="C287" s="16"/>
      <c r="D287" s="15"/>
      <c r="E287" s="17"/>
      <c r="F287" s="54"/>
      <c r="G287" s="19"/>
      <c r="H287" s="17"/>
      <c r="I287" s="19"/>
      <c r="J287" s="21"/>
      <c r="K287" s="57"/>
      <c r="L287" s="24"/>
      <c r="M287" s="25"/>
      <c r="N287" s="25"/>
      <c r="O287" s="26"/>
      <c r="P287" s="26"/>
    </row>
    <row r="288">
      <c r="A288" s="52"/>
      <c r="B288" s="15"/>
      <c r="C288" s="16"/>
      <c r="D288" s="15"/>
      <c r="E288" s="17"/>
      <c r="F288" s="54"/>
      <c r="G288" s="19"/>
      <c r="H288" s="17"/>
      <c r="I288" s="19"/>
      <c r="J288" s="21"/>
      <c r="K288" s="57"/>
      <c r="L288" s="24"/>
      <c r="M288" s="25"/>
      <c r="N288" s="25"/>
      <c r="O288" s="26"/>
      <c r="P288" s="26"/>
    </row>
    <row r="289">
      <c r="A289" s="52"/>
      <c r="B289" s="15"/>
      <c r="C289" s="16"/>
      <c r="D289" s="15"/>
      <c r="E289" s="17"/>
      <c r="F289" s="54"/>
      <c r="G289" s="19"/>
      <c r="H289" s="17"/>
      <c r="I289" s="19"/>
      <c r="J289" s="21"/>
      <c r="K289" s="57"/>
      <c r="L289" s="24"/>
      <c r="M289" s="25"/>
      <c r="N289" s="25"/>
      <c r="O289" s="26"/>
      <c r="P289" s="26"/>
    </row>
    <row r="290">
      <c r="A290" s="52"/>
      <c r="B290" s="15"/>
      <c r="C290" s="16"/>
      <c r="D290" s="15"/>
      <c r="E290" s="17"/>
      <c r="F290" s="54"/>
      <c r="G290" s="19"/>
      <c r="H290" s="17"/>
      <c r="I290" s="19"/>
      <c r="J290" s="21"/>
      <c r="K290" s="57"/>
      <c r="L290" s="24"/>
      <c r="M290" s="25"/>
      <c r="N290" s="25"/>
      <c r="O290" s="26"/>
      <c r="P290" s="26"/>
    </row>
    <row r="291">
      <c r="A291" s="52"/>
      <c r="B291" s="15"/>
      <c r="C291" s="16"/>
      <c r="D291" s="15"/>
      <c r="E291" s="17"/>
      <c r="F291" s="54"/>
      <c r="G291" s="19"/>
      <c r="H291" s="17"/>
      <c r="I291" s="19"/>
      <c r="J291" s="21"/>
      <c r="K291" s="57"/>
      <c r="L291" s="24"/>
      <c r="M291" s="25"/>
      <c r="N291" s="25"/>
      <c r="O291" s="26"/>
      <c r="P291" s="26"/>
    </row>
    <row r="292">
      <c r="A292" s="52"/>
      <c r="B292" s="15"/>
      <c r="C292" s="16"/>
      <c r="D292" s="15"/>
      <c r="E292" s="17"/>
      <c r="F292" s="54"/>
      <c r="G292" s="19"/>
      <c r="H292" s="17"/>
      <c r="I292" s="19"/>
      <c r="J292" s="21"/>
      <c r="K292" s="57"/>
      <c r="L292" s="24"/>
      <c r="M292" s="25"/>
      <c r="N292" s="25"/>
      <c r="O292" s="26"/>
      <c r="P292" s="26"/>
    </row>
    <row r="293">
      <c r="A293" s="52"/>
      <c r="B293" s="15"/>
      <c r="C293" s="16"/>
      <c r="D293" s="15"/>
      <c r="E293" s="17"/>
      <c r="F293" s="54"/>
      <c r="G293" s="19"/>
      <c r="H293" s="17"/>
      <c r="I293" s="19"/>
      <c r="J293" s="21"/>
      <c r="K293" s="57"/>
      <c r="L293" s="24"/>
      <c r="M293" s="25"/>
      <c r="N293" s="25"/>
      <c r="O293" s="26"/>
      <c r="P293" s="26"/>
    </row>
    <row r="294">
      <c r="A294" s="52"/>
      <c r="B294" s="15"/>
      <c r="C294" s="16"/>
      <c r="D294" s="15"/>
      <c r="E294" s="17"/>
      <c r="F294" s="54"/>
      <c r="G294" s="19"/>
      <c r="H294" s="17"/>
      <c r="I294" s="19"/>
      <c r="J294" s="21"/>
      <c r="K294" s="57"/>
      <c r="L294" s="24"/>
      <c r="M294" s="25"/>
      <c r="N294" s="25"/>
      <c r="O294" s="26"/>
      <c r="P294" s="26"/>
    </row>
    <row r="295">
      <c r="A295" s="52"/>
      <c r="B295" s="15"/>
      <c r="C295" s="16"/>
      <c r="D295" s="15"/>
      <c r="E295" s="17"/>
      <c r="F295" s="54"/>
      <c r="G295" s="19"/>
      <c r="H295" s="17"/>
      <c r="I295" s="19"/>
      <c r="J295" s="21"/>
      <c r="K295" s="57"/>
      <c r="L295" s="24"/>
      <c r="M295" s="25"/>
      <c r="N295" s="25"/>
      <c r="O295" s="26"/>
      <c r="P295" s="26"/>
    </row>
    <row r="296">
      <c r="A296" s="52"/>
      <c r="B296" s="15"/>
      <c r="C296" s="16"/>
      <c r="D296" s="15"/>
      <c r="E296" s="17"/>
      <c r="F296" s="54"/>
      <c r="G296" s="19"/>
      <c r="H296" s="17"/>
      <c r="I296" s="19"/>
      <c r="J296" s="21"/>
      <c r="K296" s="57"/>
      <c r="L296" s="24"/>
      <c r="M296" s="25"/>
      <c r="N296" s="25"/>
      <c r="O296" s="26"/>
      <c r="P296" s="26"/>
    </row>
    <row r="297">
      <c r="A297" s="52"/>
      <c r="B297" s="15"/>
      <c r="C297" s="16"/>
      <c r="D297" s="15"/>
      <c r="E297" s="17"/>
      <c r="F297" s="54"/>
      <c r="G297" s="19"/>
      <c r="H297" s="17"/>
      <c r="I297" s="19"/>
      <c r="J297" s="21"/>
      <c r="K297" s="57"/>
      <c r="L297" s="24"/>
      <c r="M297" s="25"/>
      <c r="N297" s="25"/>
      <c r="O297" s="26"/>
      <c r="P297" s="26"/>
    </row>
    <row r="298">
      <c r="A298" s="52"/>
      <c r="B298" s="15"/>
      <c r="C298" s="16"/>
      <c r="D298" s="15"/>
      <c r="E298" s="17"/>
      <c r="F298" s="54"/>
      <c r="G298" s="19"/>
      <c r="H298" s="17"/>
      <c r="I298" s="19"/>
      <c r="J298" s="21"/>
      <c r="K298" s="57"/>
      <c r="L298" s="24"/>
      <c r="M298" s="25"/>
      <c r="N298" s="25"/>
      <c r="O298" s="26"/>
      <c r="P298" s="26"/>
    </row>
    <row r="299">
      <c r="A299" s="52"/>
      <c r="B299" s="15"/>
      <c r="C299" s="16"/>
      <c r="D299" s="15"/>
      <c r="E299" s="17"/>
      <c r="F299" s="54"/>
      <c r="G299" s="19"/>
      <c r="H299" s="17"/>
      <c r="I299" s="19"/>
      <c r="J299" s="21"/>
      <c r="K299" s="57"/>
      <c r="L299" s="24"/>
      <c r="M299" s="25"/>
      <c r="N299" s="25"/>
      <c r="O299" s="26"/>
      <c r="P299" s="26"/>
    </row>
    <row r="300">
      <c r="A300" s="52"/>
      <c r="B300" s="15"/>
      <c r="C300" s="16"/>
      <c r="D300" s="15"/>
      <c r="E300" s="17"/>
      <c r="F300" s="54"/>
      <c r="G300" s="19"/>
      <c r="H300" s="17"/>
      <c r="I300" s="19"/>
      <c r="J300" s="21"/>
      <c r="K300" s="57"/>
      <c r="L300" s="24"/>
      <c r="M300" s="25"/>
      <c r="N300" s="25"/>
      <c r="O300" s="26"/>
      <c r="P300" s="26"/>
    </row>
    <row r="301">
      <c r="A301" s="52"/>
      <c r="B301" s="15"/>
      <c r="C301" s="16"/>
      <c r="D301" s="15"/>
      <c r="E301" s="17"/>
      <c r="F301" s="54"/>
      <c r="G301" s="19"/>
      <c r="H301" s="17"/>
      <c r="I301" s="19"/>
      <c r="J301" s="21"/>
      <c r="K301" s="57"/>
      <c r="L301" s="24"/>
      <c r="M301" s="25"/>
      <c r="N301" s="25"/>
      <c r="O301" s="26"/>
      <c r="P301" s="26"/>
    </row>
    <row r="302">
      <c r="A302" s="52"/>
      <c r="B302" s="15"/>
      <c r="C302" s="16"/>
      <c r="D302" s="15"/>
      <c r="E302" s="17"/>
      <c r="F302" s="54"/>
      <c r="G302" s="19"/>
      <c r="H302" s="17"/>
      <c r="I302" s="19"/>
      <c r="J302" s="21"/>
      <c r="K302" s="57"/>
      <c r="L302" s="24"/>
      <c r="M302" s="25"/>
      <c r="N302" s="25"/>
      <c r="O302" s="26"/>
      <c r="P302" s="26"/>
    </row>
    <row r="303">
      <c r="A303" s="52"/>
      <c r="B303" s="15"/>
      <c r="C303" s="16"/>
      <c r="D303" s="15"/>
      <c r="E303" s="17"/>
      <c r="F303" s="54"/>
      <c r="G303" s="19"/>
      <c r="H303" s="17"/>
      <c r="I303" s="19"/>
      <c r="J303" s="21"/>
      <c r="K303" s="57"/>
      <c r="L303" s="24"/>
      <c r="M303" s="25"/>
      <c r="N303" s="25"/>
      <c r="O303" s="26"/>
      <c r="P303" s="26"/>
    </row>
    <row r="304">
      <c r="A304" s="52"/>
      <c r="B304" s="15"/>
      <c r="C304" s="16"/>
      <c r="D304" s="15"/>
      <c r="E304" s="17"/>
      <c r="F304" s="54"/>
      <c r="G304" s="19"/>
      <c r="H304" s="17"/>
      <c r="I304" s="19"/>
      <c r="J304" s="21"/>
      <c r="K304" s="57"/>
      <c r="L304" s="24"/>
      <c r="M304" s="25"/>
      <c r="N304" s="25"/>
      <c r="O304" s="26"/>
      <c r="P304" s="26"/>
    </row>
    <row r="305">
      <c r="A305" s="52"/>
      <c r="B305" s="15"/>
      <c r="C305" s="16"/>
      <c r="D305" s="15"/>
      <c r="E305" s="17"/>
      <c r="F305" s="54"/>
      <c r="G305" s="19"/>
      <c r="H305" s="17"/>
      <c r="I305" s="19"/>
      <c r="J305" s="21"/>
      <c r="K305" s="57"/>
      <c r="L305" s="24"/>
      <c r="M305" s="25"/>
      <c r="N305" s="25"/>
      <c r="O305" s="26"/>
      <c r="P305" s="26"/>
    </row>
    <row r="306">
      <c r="A306" s="52"/>
      <c r="B306" s="15"/>
      <c r="C306" s="16"/>
      <c r="D306" s="15"/>
      <c r="E306" s="17"/>
      <c r="F306" s="54"/>
      <c r="G306" s="19"/>
      <c r="H306" s="17"/>
      <c r="I306" s="19"/>
      <c r="J306" s="21"/>
      <c r="K306" s="57"/>
      <c r="L306" s="24"/>
      <c r="M306" s="25"/>
      <c r="N306" s="25"/>
      <c r="O306" s="26"/>
      <c r="P306" s="26"/>
    </row>
    <row r="307">
      <c r="A307" s="52"/>
      <c r="B307" s="15"/>
      <c r="C307" s="16"/>
      <c r="D307" s="15"/>
      <c r="E307" s="17"/>
      <c r="F307" s="54"/>
      <c r="G307" s="19"/>
      <c r="H307" s="17"/>
      <c r="I307" s="19"/>
      <c r="J307" s="21"/>
      <c r="K307" s="57"/>
      <c r="L307" s="24"/>
      <c r="M307" s="25"/>
      <c r="N307" s="25"/>
      <c r="O307" s="26"/>
      <c r="P307" s="26"/>
    </row>
    <row r="308">
      <c r="A308" s="52"/>
      <c r="B308" s="15"/>
      <c r="C308" s="16"/>
      <c r="D308" s="15"/>
      <c r="E308" s="17"/>
      <c r="F308" s="54"/>
      <c r="G308" s="19"/>
      <c r="H308" s="17"/>
      <c r="I308" s="19"/>
      <c r="J308" s="21"/>
      <c r="K308" s="57"/>
      <c r="L308" s="24"/>
      <c r="M308" s="25"/>
      <c r="N308" s="25"/>
      <c r="O308" s="26"/>
      <c r="P308" s="26"/>
    </row>
    <row r="309">
      <c r="A309" s="52"/>
      <c r="B309" s="15"/>
      <c r="C309" s="16"/>
      <c r="D309" s="15"/>
      <c r="E309" s="17"/>
      <c r="F309" s="54"/>
      <c r="G309" s="19"/>
      <c r="H309" s="17"/>
      <c r="I309" s="19"/>
      <c r="J309" s="21"/>
      <c r="K309" s="57"/>
      <c r="L309" s="24"/>
      <c r="M309" s="25"/>
      <c r="N309" s="25"/>
      <c r="O309" s="26"/>
      <c r="P309" s="26"/>
    </row>
    <row r="310">
      <c r="A310" s="52"/>
      <c r="B310" s="15"/>
      <c r="C310" s="16"/>
      <c r="D310" s="15"/>
      <c r="E310" s="17"/>
      <c r="F310" s="54"/>
      <c r="G310" s="19"/>
      <c r="H310" s="17"/>
      <c r="I310" s="19"/>
      <c r="J310" s="21"/>
      <c r="K310" s="57"/>
      <c r="L310" s="24"/>
      <c r="M310" s="25"/>
      <c r="N310" s="25"/>
      <c r="O310" s="26"/>
      <c r="P310" s="26"/>
    </row>
    <row r="311">
      <c r="A311" s="52"/>
      <c r="B311" s="15"/>
      <c r="C311" s="16"/>
      <c r="D311" s="15"/>
      <c r="E311" s="17"/>
      <c r="F311" s="54"/>
      <c r="G311" s="19"/>
      <c r="H311" s="17"/>
      <c r="I311" s="19"/>
      <c r="J311" s="21"/>
      <c r="K311" s="57"/>
      <c r="L311" s="24"/>
      <c r="M311" s="25"/>
      <c r="N311" s="25"/>
      <c r="O311" s="26"/>
      <c r="P311" s="26"/>
    </row>
    <row r="312">
      <c r="A312" s="52"/>
      <c r="B312" s="15"/>
      <c r="C312" s="16"/>
      <c r="D312" s="15"/>
      <c r="E312" s="17"/>
      <c r="F312" s="54"/>
      <c r="G312" s="19"/>
      <c r="H312" s="17"/>
      <c r="I312" s="19"/>
      <c r="J312" s="21"/>
      <c r="K312" s="57"/>
      <c r="L312" s="24"/>
      <c r="M312" s="75"/>
      <c r="N312" s="25"/>
      <c r="O312" s="26"/>
      <c r="P312" s="26"/>
    </row>
    <row r="313">
      <c r="A313" s="52"/>
      <c r="B313" s="15"/>
      <c r="C313" s="16"/>
      <c r="D313" s="15"/>
      <c r="E313" s="17"/>
      <c r="F313" s="54"/>
      <c r="G313" s="19"/>
      <c r="H313" s="17"/>
      <c r="I313" s="19"/>
      <c r="J313" s="21"/>
      <c r="K313" s="57"/>
      <c r="L313" s="24"/>
      <c r="M313" s="25"/>
      <c r="N313" s="25"/>
      <c r="O313" s="26"/>
      <c r="P313" s="26"/>
    </row>
    <row r="314">
      <c r="A314" s="52"/>
      <c r="B314" s="15"/>
      <c r="C314" s="16"/>
      <c r="D314" s="15"/>
      <c r="E314" s="17"/>
      <c r="F314" s="54"/>
      <c r="G314" s="19"/>
      <c r="H314" s="17"/>
      <c r="I314" s="19"/>
      <c r="J314" s="21"/>
      <c r="K314" s="57"/>
      <c r="L314" s="24"/>
      <c r="M314" s="25"/>
      <c r="N314" s="25"/>
      <c r="O314" s="26"/>
      <c r="P314" s="26"/>
    </row>
    <row r="315">
      <c r="A315" s="52"/>
      <c r="B315" s="15"/>
      <c r="C315" s="16"/>
      <c r="D315" s="15"/>
      <c r="E315" s="17"/>
      <c r="F315" s="54"/>
      <c r="G315" s="19"/>
      <c r="H315" s="17"/>
      <c r="I315" s="19"/>
      <c r="J315" s="21"/>
      <c r="K315" s="57"/>
      <c r="L315" s="24"/>
      <c r="M315" s="25"/>
      <c r="N315" s="25"/>
      <c r="O315" s="26"/>
      <c r="P315" s="26"/>
    </row>
    <row r="316">
      <c r="A316" s="52"/>
      <c r="B316" s="15"/>
      <c r="C316" s="16"/>
      <c r="D316" s="15"/>
      <c r="E316" s="17"/>
      <c r="F316" s="54"/>
      <c r="G316" s="19"/>
      <c r="H316" s="17"/>
      <c r="I316" s="19"/>
      <c r="J316" s="21"/>
      <c r="K316" s="57"/>
      <c r="L316" s="24"/>
      <c r="M316" s="25"/>
      <c r="N316" s="25"/>
      <c r="O316" s="26"/>
      <c r="P316" s="26"/>
    </row>
    <row r="317">
      <c r="A317" s="52"/>
      <c r="B317" s="15"/>
      <c r="C317" s="16"/>
      <c r="D317" s="15"/>
      <c r="E317" s="17"/>
      <c r="F317" s="54"/>
      <c r="G317" s="19"/>
      <c r="H317" s="17"/>
      <c r="I317" s="19"/>
      <c r="J317" s="21"/>
      <c r="K317" s="57"/>
      <c r="L317" s="24"/>
      <c r="M317" s="25"/>
      <c r="N317" s="25"/>
      <c r="O317" s="26"/>
      <c r="P317" s="26"/>
    </row>
    <row r="318">
      <c r="A318" s="52"/>
      <c r="B318" s="15"/>
      <c r="C318" s="16"/>
      <c r="D318" s="15"/>
      <c r="E318" s="17"/>
      <c r="F318" s="54"/>
      <c r="G318" s="19"/>
      <c r="H318" s="17"/>
      <c r="I318" s="19"/>
      <c r="J318" s="21"/>
      <c r="K318" s="57"/>
      <c r="L318" s="24"/>
      <c r="M318" s="25"/>
      <c r="N318" s="25"/>
      <c r="O318" s="26"/>
      <c r="P318" s="26"/>
    </row>
    <row r="319">
      <c r="A319" s="52"/>
      <c r="B319" s="15"/>
      <c r="C319" s="16"/>
      <c r="D319" s="15"/>
      <c r="E319" s="17"/>
      <c r="F319" s="54"/>
      <c r="G319" s="19"/>
      <c r="H319" s="17"/>
      <c r="I319" s="19"/>
      <c r="J319" s="21"/>
      <c r="K319" s="57"/>
      <c r="L319" s="24"/>
      <c r="M319" s="25"/>
      <c r="N319" s="25"/>
      <c r="O319" s="26"/>
      <c r="P319" s="26"/>
    </row>
    <row r="320">
      <c r="A320" s="52"/>
      <c r="B320" s="15"/>
      <c r="C320" s="16"/>
      <c r="D320" s="15"/>
      <c r="E320" s="17"/>
      <c r="F320" s="54"/>
      <c r="G320" s="19"/>
      <c r="H320" s="17"/>
      <c r="I320" s="19"/>
      <c r="J320" s="21"/>
      <c r="K320" s="57"/>
      <c r="L320" s="24"/>
      <c r="M320" s="25"/>
      <c r="N320" s="25"/>
      <c r="O320" s="26"/>
      <c r="P320" s="26"/>
    </row>
    <row r="321">
      <c r="A321" s="52"/>
      <c r="B321" s="15"/>
      <c r="C321" s="16"/>
      <c r="D321" s="15"/>
      <c r="E321" s="17"/>
      <c r="F321" s="54"/>
      <c r="G321" s="19"/>
      <c r="H321" s="17"/>
      <c r="I321" s="19"/>
      <c r="J321" s="21"/>
      <c r="K321" s="57"/>
      <c r="L321" s="24"/>
      <c r="M321" s="25"/>
      <c r="N321" s="25"/>
      <c r="O321" s="26"/>
      <c r="P321" s="26"/>
    </row>
    <row r="322">
      <c r="A322" s="52"/>
      <c r="B322" s="15"/>
      <c r="C322" s="16"/>
      <c r="D322" s="15"/>
      <c r="E322" s="17"/>
      <c r="F322" s="54"/>
      <c r="G322" s="19"/>
      <c r="H322" s="17"/>
      <c r="I322" s="19"/>
      <c r="J322" s="21"/>
      <c r="K322" s="57"/>
      <c r="L322" s="24"/>
      <c r="M322" s="25"/>
      <c r="N322" s="25"/>
      <c r="O322" s="26"/>
      <c r="P322" s="26"/>
    </row>
    <row r="323">
      <c r="A323" s="52"/>
      <c r="B323" s="15"/>
      <c r="C323" s="16"/>
      <c r="D323" s="15"/>
      <c r="E323" s="17"/>
      <c r="F323" s="54"/>
      <c r="G323" s="19"/>
      <c r="H323" s="17"/>
      <c r="I323" s="19"/>
      <c r="J323" s="21"/>
      <c r="K323" s="57"/>
      <c r="L323" s="24"/>
      <c r="M323" s="25"/>
      <c r="N323" s="25"/>
      <c r="O323" s="26"/>
      <c r="P323" s="26"/>
    </row>
    <row r="324">
      <c r="A324" s="52"/>
      <c r="B324" s="15"/>
      <c r="C324" s="16"/>
      <c r="D324" s="15"/>
      <c r="E324" s="17"/>
      <c r="F324" s="54"/>
      <c r="G324" s="19"/>
      <c r="H324" s="17"/>
      <c r="I324" s="19"/>
      <c r="J324" s="21"/>
      <c r="K324" s="57"/>
      <c r="L324" s="24"/>
      <c r="M324" s="25"/>
      <c r="N324" s="25"/>
      <c r="O324" s="26"/>
      <c r="P324" s="26"/>
    </row>
    <row r="325">
      <c r="A325" s="52"/>
      <c r="B325" s="15"/>
      <c r="C325" s="16"/>
      <c r="D325" s="15"/>
      <c r="E325" s="17"/>
      <c r="F325" s="54"/>
      <c r="G325" s="19"/>
      <c r="H325" s="17"/>
      <c r="I325" s="19"/>
      <c r="J325" s="21"/>
      <c r="K325" s="57"/>
      <c r="L325" s="24"/>
      <c r="M325" s="25"/>
      <c r="N325" s="25"/>
      <c r="O325" s="26"/>
      <c r="P325" s="26"/>
    </row>
    <row r="326">
      <c r="A326" s="52"/>
      <c r="B326" s="15"/>
      <c r="C326" s="16"/>
      <c r="D326" s="15"/>
      <c r="E326" s="17"/>
      <c r="F326" s="54"/>
      <c r="G326" s="19"/>
      <c r="H326" s="17"/>
      <c r="I326" s="19"/>
      <c r="J326" s="21"/>
      <c r="K326" s="57"/>
      <c r="L326" s="24"/>
      <c r="M326" s="25"/>
      <c r="N326" s="25"/>
      <c r="O326" s="26"/>
      <c r="P326" s="26"/>
    </row>
    <row r="327">
      <c r="A327" s="52"/>
      <c r="B327" s="15"/>
      <c r="C327" s="16"/>
      <c r="D327" s="15"/>
      <c r="E327" s="17"/>
      <c r="F327" s="54"/>
      <c r="G327" s="19"/>
      <c r="H327" s="17"/>
      <c r="I327" s="19"/>
      <c r="J327" s="21"/>
      <c r="K327" s="57"/>
      <c r="L327" s="24"/>
      <c r="M327" s="25"/>
      <c r="N327" s="25"/>
      <c r="O327" s="26"/>
      <c r="P327" s="26"/>
    </row>
    <row r="328">
      <c r="A328" s="52"/>
      <c r="B328" s="15"/>
      <c r="C328" s="16"/>
      <c r="D328" s="15"/>
      <c r="E328" s="17"/>
      <c r="F328" s="54"/>
      <c r="G328" s="19"/>
      <c r="H328" s="17"/>
      <c r="I328" s="19"/>
      <c r="J328" s="21"/>
      <c r="K328" s="57"/>
      <c r="L328" s="24"/>
      <c r="M328" s="25"/>
      <c r="N328" s="25"/>
      <c r="O328" s="26"/>
      <c r="P328" s="26"/>
    </row>
    <row r="329">
      <c r="A329" s="52"/>
      <c r="B329" s="15"/>
      <c r="C329" s="16"/>
      <c r="D329" s="15"/>
      <c r="E329" s="17"/>
      <c r="F329" s="54"/>
      <c r="G329" s="19"/>
      <c r="H329" s="17"/>
      <c r="I329" s="19"/>
      <c r="J329" s="21"/>
      <c r="K329" s="57"/>
      <c r="L329" s="24"/>
      <c r="M329" s="25"/>
      <c r="N329" s="25"/>
      <c r="O329" s="26"/>
      <c r="P329" s="26"/>
    </row>
    <row r="330">
      <c r="A330" s="52"/>
      <c r="B330" s="15"/>
      <c r="C330" s="16"/>
      <c r="D330" s="15"/>
      <c r="E330" s="17"/>
      <c r="F330" s="54"/>
      <c r="G330" s="19"/>
      <c r="H330" s="17"/>
      <c r="I330" s="19"/>
      <c r="J330" s="21"/>
      <c r="K330" s="57"/>
      <c r="L330" s="24"/>
      <c r="M330" s="25"/>
      <c r="N330" s="25"/>
      <c r="O330" s="26"/>
      <c r="P330" s="26"/>
    </row>
    <row r="331">
      <c r="A331" s="52"/>
      <c r="B331" s="15"/>
      <c r="C331" s="16"/>
      <c r="D331" s="15"/>
      <c r="E331" s="17"/>
      <c r="F331" s="54"/>
      <c r="G331" s="19"/>
      <c r="H331" s="17"/>
      <c r="I331" s="19"/>
      <c r="J331" s="21"/>
      <c r="K331" s="57"/>
      <c r="L331" s="24"/>
      <c r="M331" s="25"/>
      <c r="N331" s="25"/>
      <c r="O331" s="26"/>
      <c r="P331" s="26"/>
    </row>
    <row r="332">
      <c r="A332" s="52"/>
      <c r="B332" s="15"/>
      <c r="C332" s="16"/>
      <c r="D332" s="15"/>
      <c r="E332" s="17"/>
      <c r="F332" s="54"/>
      <c r="G332" s="19"/>
      <c r="H332" s="17"/>
      <c r="I332" s="19"/>
      <c r="J332" s="21"/>
      <c r="K332" s="57"/>
      <c r="L332" s="24"/>
      <c r="M332" s="25"/>
      <c r="N332" s="25"/>
      <c r="O332" s="26"/>
      <c r="P332" s="26"/>
    </row>
    <row r="333">
      <c r="A333" s="52"/>
      <c r="B333" s="15"/>
      <c r="C333" s="16"/>
      <c r="D333" s="15"/>
      <c r="E333" s="17"/>
      <c r="F333" s="54"/>
      <c r="G333" s="19"/>
      <c r="H333" s="17"/>
      <c r="I333" s="19"/>
      <c r="J333" s="21"/>
      <c r="K333" s="57"/>
      <c r="L333" s="24"/>
      <c r="M333" s="25"/>
      <c r="N333" s="25"/>
      <c r="O333" s="26"/>
      <c r="P333" s="26"/>
    </row>
    <row r="334">
      <c r="A334" s="52"/>
      <c r="B334" s="15"/>
      <c r="C334" s="16"/>
      <c r="D334" s="15"/>
      <c r="E334" s="17"/>
      <c r="F334" s="54"/>
      <c r="G334" s="19"/>
      <c r="H334" s="17"/>
      <c r="I334" s="19"/>
      <c r="J334" s="21"/>
      <c r="K334" s="57"/>
      <c r="L334" s="24"/>
      <c r="M334" s="25"/>
      <c r="N334" s="25"/>
      <c r="O334" s="26"/>
      <c r="P334" s="26"/>
    </row>
    <row r="335">
      <c r="A335" s="52"/>
      <c r="B335" s="15"/>
      <c r="C335" s="16"/>
      <c r="D335" s="15"/>
      <c r="E335" s="17"/>
      <c r="F335" s="54"/>
      <c r="G335" s="19"/>
      <c r="H335" s="17"/>
      <c r="I335" s="19"/>
      <c r="J335" s="21"/>
      <c r="K335" s="57"/>
      <c r="L335" s="24"/>
      <c r="M335" s="25"/>
      <c r="N335" s="25"/>
      <c r="O335" s="26"/>
      <c r="P335" s="26"/>
    </row>
    <row r="336">
      <c r="A336" s="52"/>
      <c r="B336" s="15"/>
      <c r="C336" s="16"/>
      <c r="D336" s="15"/>
      <c r="E336" s="17"/>
      <c r="F336" s="54"/>
      <c r="G336" s="19"/>
      <c r="H336" s="17"/>
      <c r="I336" s="19"/>
      <c r="J336" s="21"/>
      <c r="K336" s="57"/>
      <c r="L336" s="24"/>
      <c r="M336" s="25"/>
      <c r="N336" s="25"/>
      <c r="O336" s="26"/>
      <c r="P336" s="26"/>
    </row>
    <row r="337">
      <c r="A337" s="52"/>
      <c r="B337" s="15"/>
      <c r="C337" s="16"/>
      <c r="D337" s="15"/>
      <c r="E337" s="17"/>
      <c r="F337" s="54"/>
      <c r="G337" s="19"/>
      <c r="H337" s="17"/>
      <c r="I337" s="19"/>
      <c r="J337" s="21"/>
      <c r="K337" s="57"/>
      <c r="L337" s="24"/>
      <c r="M337" s="25"/>
      <c r="N337" s="25"/>
      <c r="O337" s="26"/>
      <c r="P337" s="26"/>
    </row>
    <row r="338">
      <c r="A338" s="62"/>
      <c r="B338" s="15"/>
      <c r="C338" s="16"/>
      <c r="D338" s="15"/>
      <c r="E338" s="17"/>
      <c r="F338" s="18"/>
      <c r="G338" s="19"/>
      <c r="H338" s="17"/>
      <c r="I338" s="19"/>
      <c r="J338" s="21"/>
      <c r="K338" s="57"/>
      <c r="L338" s="24"/>
      <c r="M338" s="25"/>
      <c r="N338" s="25"/>
      <c r="O338" s="26"/>
      <c r="P338" s="26"/>
    </row>
    <row r="339">
      <c r="A339" s="52"/>
      <c r="B339" s="15"/>
      <c r="C339" s="16"/>
      <c r="D339" s="15"/>
      <c r="E339" s="17"/>
      <c r="F339" s="54"/>
      <c r="G339" s="19"/>
      <c r="H339" s="17"/>
      <c r="I339" s="19"/>
      <c r="J339" s="21"/>
      <c r="K339" s="57"/>
      <c r="L339" s="24"/>
      <c r="M339" s="25"/>
      <c r="N339" s="25"/>
      <c r="O339" s="26"/>
      <c r="P339" s="26"/>
    </row>
    <row r="340">
      <c r="A340" s="52"/>
      <c r="B340" s="15"/>
      <c r="C340" s="16"/>
      <c r="D340" s="15"/>
      <c r="E340" s="17"/>
      <c r="F340" s="54"/>
      <c r="G340" s="19"/>
      <c r="H340" s="17"/>
      <c r="I340" s="19"/>
      <c r="J340" s="21"/>
      <c r="K340" s="57"/>
      <c r="L340" s="24"/>
      <c r="M340" s="25"/>
      <c r="N340" s="25"/>
      <c r="O340" s="26"/>
      <c r="P340" s="26"/>
    </row>
    <row r="341">
      <c r="A341" s="52"/>
      <c r="B341" s="15"/>
      <c r="C341" s="16"/>
      <c r="D341" s="15"/>
      <c r="E341" s="17"/>
      <c r="F341" s="54"/>
      <c r="G341" s="19"/>
      <c r="H341" s="17"/>
      <c r="I341" s="19"/>
      <c r="J341" s="21"/>
      <c r="K341" s="57"/>
      <c r="L341" s="24"/>
      <c r="M341" s="25"/>
      <c r="N341" s="25"/>
      <c r="O341" s="26"/>
      <c r="P341" s="26"/>
    </row>
    <row r="342">
      <c r="A342" s="52"/>
      <c r="B342" s="15"/>
      <c r="C342" s="16"/>
      <c r="D342" s="15"/>
      <c r="E342" s="17"/>
      <c r="F342" s="54"/>
      <c r="G342" s="19"/>
      <c r="H342" s="17"/>
      <c r="I342" s="19"/>
      <c r="J342" s="21"/>
      <c r="K342" s="57"/>
      <c r="L342" s="24"/>
      <c r="M342" s="25"/>
      <c r="N342" s="25"/>
      <c r="O342" s="26"/>
      <c r="P342" s="26"/>
    </row>
    <row r="343">
      <c r="A343" s="52"/>
      <c r="B343" s="15"/>
      <c r="C343" s="16"/>
      <c r="D343" s="15"/>
      <c r="E343" s="17"/>
      <c r="F343" s="54"/>
      <c r="G343" s="19"/>
      <c r="H343" s="17"/>
      <c r="I343" s="19"/>
      <c r="J343" s="21"/>
      <c r="K343" s="57"/>
      <c r="L343" s="24"/>
      <c r="M343" s="25"/>
      <c r="N343" s="25"/>
      <c r="O343" s="26"/>
      <c r="P343" s="26"/>
    </row>
    <row r="344">
      <c r="A344" s="52"/>
      <c r="B344" s="15"/>
      <c r="C344" s="16"/>
      <c r="D344" s="15"/>
      <c r="E344" s="17"/>
      <c r="F344" s="54"/>
      <c r="G344" s="19"/>
      <c r="H344" s="17"/>
      <c r="I344" s="19"/>
      <c r="J344" s="21"/>
      <c r="K344" s="57"/>
      <c r="L344" s="24"/>
      <c r="M344" s="25"/>
      <c r="N344" s="25"/>
      <c r="O344" s="26"/>
      <c r="P344" s="26"/>
    </row>
    <row r="345">
      <c r="A345" s="52"/>
      <c r="B345" s="15"/>
      <c r="C345" s="16"/>
      <c r="D345" s="15"/>
      <c r="E345" s="17"/>
      <c r="F345" s="54"/>
      <c r="G345" s="19"/>
      <c r="H345" s="17"/>
      <c r="I345" s="19"/>
      <c r="J345" s="21"/>
      <c r="K345" s="57"/>
      <c r="L345" s="24"/>
      <c r="M345" s="25"/>
      <c r="N345" s="25"/>
      <c r="O345" s="26"/>
      <c r="P345" s="26"/>
    </row>
    <row r="346">
      <c r="A346" s="52"/>
      <c r="B346" s="15"/>
      <c r="C346" s="16"/>
      <c r="D346" s="15"/>
      <c r="E346" s="17"/>
      <c r="F346" s="54"/>
      <c r="G346" s="19"/>
      <c r="H346" s="17"/>
      <c r="I346" s="19"/>
      <c r="J346" s="21"/>
      <c r="K346" s="57"/>
      <c r="L346" s="24"/>
      <c r="M346" s="25"/>
      <c r="N346" s="25"/>
      <c r="O346" s="26"/>
      <c r="P346" s="26"/>
    </row>
    <row r="347">
      <c r="A347" s="52"/>
      <c r="B347" s="15"/>
      <c r="C347" s="16"/>
      <c r="D347" s="15"/>
      <c r="E347" s="17"/>
      <c r="F347" s="54"/>
      <c r="G347" s="19"/>
      <c r="H347" s="17"/>
      <c r="I347" s="19"/>
      <c r="J347" s="21"/>
      <c r="K347" s="57"/>
      <c r="L347" s="24"/>
      <c r="M347" s="25"/>
      <c r="N347" s="25"/>
      <c r="O347" s="26"/>
      <c r="P347" s="26"/>
    </row>
    <row r="348">
      <c r="A348" s="52"/>
      <c r="B348" s="15"/>
      <c r="C348" s="16"/>
      <c r="D348" s="15"/>
      <c r="E348" s="17"/>
      <c r="F348" s="54"/>
      <c r="G348" s="19"/>
      <c r="H348" s="17"/>
      <c r="I348" s="19"/>
      <c r="J348" s="21"/>
      <c r="K348" s="57"/>
      <c r="L348" s="24"/>
      <c r="M348" s="25"/>
      <c r="N348" s="25"/>
      <c r="O348" s="26"/>
      <c r="P348" s="26"/>
    </row>
    <row r="349">
      <c r="A349" s="52"/>
      <c r="B349" s="15"/>
      <c r="C349" s="16"/>
      <c r="D349" s="15"/>
      <c r="E349" s="17"/>
      <c r="F349" s="54"/>
      <c r="G349" s="19"/>
      <c r="H349" s="17"/>
      <c r="I349" s="19"/>
      <c r="J349" s="21"/>
      <c r="K349" s="57"/>
      <c r="L349" s="24"/>
      <c r="M349" s="25"/>
      <c r="N349" s="25"/>
      <c r="O349" s="26"/>
      <c r="P349" s="26"/>
    </row>
    <row r="350">
      <c r="A350" s="52"/>
      <c r="B350" s="15"/>
      <c r="C350" s="16"/>
      <c r="D350" s="15"/>
      <c r="E350" s="17"/>
      <c r="F350" s="54"/>
      <c r="G350" s="19"/>
      <c r="H350" s="17"/>
      <c r="I350" s="19"/>
      <c r="J350" s="21"/>
      <c r="K350" s="57"/>
      <c r="L350" s="24"/>
      <c r="M350" s="25"/>
      <c r="N350" s="25"/>
      <c r="O350" s="26"/>
      <c r="P350" s="26"/>
    </row>
    <row r="351">
      <c r="A351" s="52"/>
      <c r="B351" s="15"/>
      <c r="C351" s="16"/>
      <c r="D351" s="15"/>
      <c r="E351" s="17"/>
      <c r="F351" s="54"/>
      <c r="G351" s="19"/>
      <c r="H351" s="17"/>
      <c r="I351" s="19"/>
      <c r="J351" s="21"/>
      <c r="K351" s="57"/>
      <c r="L351" s="24"/>
      <c r="M351" s="25"/>
      <c r="N351" s="25"/>
      <c r="O351" s="26"/>
      <c r="P351" s="26"/>
    </row>
    <row r="352">
      <c r="A352" s="52"/>
      <c r="B352" s="15"/>
      <c r="C352" s="16"/>
      <c r="D352" s="15"/>
      <c r="E352" s="17"/>
      <c r="F352" s="54"/>
      <c r="G352" s="19"/>
      <c r="H352" s="17"/>
      <c r="I352" s="19"/>
      <c r="J352" s="21"/>
      <c r="K352" s="57"/>
      <c r="L352" s="24"/>
      <c r="M352" s="25"/>
      <c r="N352" s="25"/>
      <c r="O352" s="26"/>
      <c r="P352" s="26"/>
    </row>
    <row r="353">
      <c r="A353" s="52"/>
      <c r="B353" s="15"/>
      <c r="C353" s="16"/>
      <c r="D353" s="15"/>
      <c r="E353" s="17"/>
      <c r="F353" s="54"/>
      <c r="G353" s="19"/>
      <c r="H353" s="17"/>
      <c r="I353" s="19"/>
      <c r="J353" s="21"/>
      <c r="K353" s="57"/>
      <c r="L353" s="24"/>
      <c r="M353" s="25"/>
      <c r="N353" s="25"/>
      <c r="O353" s="26"/>
      <c r="P353" s="26"/>
    </row>
    <row r="354">
      <c r="A354" s="52"/>
      <c r="B354" s="15"/>
      <c r="C354" s="16"/>
      <c r="D354" s="15"/>
      <c r="E354" s="17"/>
      <c r="F354" s="18"/>
      <c r="G354" s="19"/>
      <c r="H354" s="17"/>
      <c r="I354" s="19"/>
      <c r="J354" s="21"/>
      <c r="K354" s="57"/>
      <c r="L354" s="24"/>
      <c r="M354" s="25"/>
      <c r="N354" s="25"/>
      <c r="O354" s="26"/>
      <c r="P354" s="26"/>
    </row>
    <row r="355">
      <c r="A355" s="52"/>
      <c r="B355" s="15"/>
      <c r="C355" s="16"/>
      <c r="D355" s="15"/>
      <c r="E355" s="17"/>
      <c r="F355" s="54"/>
      <c r="G355" s="19"/>
      <c r="H355" s="17"/>
      <c r="I355" s="19"/>
      <c r="J355" s="21"/>
      <c r="K355" s="57"/>
      <c r="L355" s="24"/>
      <c r="M355" s="25"/>
      <c r="N355" s="25"/>
      <c r="O355" s="26"/>
      <c r="P355" s="26"/>
    </row>
    <row r="356">
      <c r="A356" s="52"/>
      <c r="B356" s="15"/>
      <c r="C356" s="16"/>
      <c r="D356" s="15"/>
      <c r="E356" s="17"/>
      <c r="F356" s="18"/>
      <c r="G356" s="19"/>
      <c r="H356" s="17"/>
      <c r="I356" s="19"/>
      <c r="J356" s="21"/>
      <c r="K356" s="57"/>
      <c r="L356" s="24"/>
      <c r="M356" s="25"/>
      <c r="N356" s="25"/>
      <c r="O356" s="26"/>
      <c r="P356" s="26"/>
    </row>
    <row r="357">
      <c r="A357" s="52"/>
      <c r="B357" s="15"/>
      <c r="C357" s="16"/>
      <c r="D357" s="15"/>
      <c r="E357" s="17"/>
      <c r="F357" s="54"/>
      <c r="G357" s="19"/>
      <c r="H357" s="17"/>
      <c r="I357" s="19"/>
      <c r="J357" s="21"/>
      <c r="K357" s="57"/>
      <c r="L357" s="24"/>
      <c r="M357" s="25"/>
      <c r="N357" s="25"/>
      <c r="O357" s="26"/>
      <c r="P357" s="26"/>
    </row>
    <row r="358">
      <c r="A358" s="52"/>
      <c r="B358" s="15"/>
      <c r="C358" s="16"/>
      <c r="D358" s="15"/>
      <c r="E358" s="17"/>
      <c r="F358" s="54"/>
      <c r="G358" s="19"/>
      <c r="H358" s="17"/>
      <c r="I358" s="19"/>
      <c r="J358" s="21"/>
      <c r="K358" s="57"/>
      <c r="L358" s="24"/>
      <c r="M358" s="25"/>
      <c r="N358" s="25"/>
      <c r="O358" s="26"/>
      <c r="P358" s="26"/>
    </row>
    <row r="359">
      <c r="A359" s="52"/>
      <c r="B359" s="15"/>
      <c r="C359" s="16"/>
      <c r="D359" s="15"/>
      <c r="E359" s="17"/>
      <c r="F359" s="54"/>
      <c r="G359" s="19"/>
      <c r="H359" s="17"/>
      <c r="I359" s="19"/>
      <c r="J359" s="21"/>
      <c r="K359" s="57"/>
      <c r="L359" s="24"/>
      <c r="M359" s="25"/>
      <c r="N359" s="25"/>
      <c r="O359" s="26"/>
      <c r="P359" s="26"/>
    </row>
    <row r="360">
      <c r="A360" s="52"/>
      <c r="B360" s="15"/>
      <c r="C360" s="16"/>
      <c r="D360" s="15"/>
      <c r="E360" s="17"/>
      <c r="F360" s="18"/>
      <c r="G360" s="19"/>
      <c r="H360" s="17"/>
      <c r="I360" s="19"/>
      <c r="J360" s="21"/>
      <c r="K360" s="57"/>
      <c r="L360" s="24"/>
      <c r="M360" s="25"/>
      <c r="N360" s="25"/>
      <c r="O360" s="26"/>
      <c r="P360" s="26"/>
    </row>
    <row r="361">
      <c r="A361" s="52"/>
      <c r="B361" s="15"/>
      <c r="C361" s="16"/>
      <c r="D361" s="15"/>
      <c r="E361" s="17"/>
      <c r="F361" s="54"/>
      <c r="G361" s="19"/>
      <c r="H361" s="17"/>
      <c r="I361" s="19"/>
      <c r="J361" s="21"/>
      <c r="K361" s="57"/>
      <c r="L361" s="24"/>
      <c r="M361" s="25"/>
      <c r="N361" s="25"/>
      <c r="O361" s="26"/>
      <c r="P361" s="26"/>
    </row>
    <row r="362">
      <c r="A362" s="52"/>
      <c r="B362" s="15"/>
      <c r="C362" s="16"/>
      <c r="D362" s="15"/>
      <c r="E362" s="17"/>
      <c r="F362" s="54"/>
      <c r="G362" s="19"/>
      <c r="H362" s="17"/>
      <c r="I362" s="19"/>
      <c r="J362" s="21"/>
      <c r="K362" s="57"/>
      <c r="L362" s="24"/>
      <c r="M362" s="25"/>
      <c r="N362" s="25"/>
      <c r="O362" s="26"/>
      <c r="P362" s="26"/>
    </row>
    <row r="363">
      <c r="A363" s="52"/>
      <c r="B363" s="15"/>
      <c r="C363" s="16"/>
      <c r="D363" s="15"/>
      <c r="E363" s="17"/>
      <c r="F363" s="54"/>
      <c r="G363" s="19"/>
      <c r="H363" s="17"/>
      <c r="I363" s="19"/>
      <c r="J363" s="21"/>
      <c r="K363" s="57"/>
      <c r="L363" s="24"/>
      <c r="M363" s="25"/>
      <c r="N363" s="25"/>
      <c r="O363" s="26"/>
      <c r="P363" s="26"/>
    </row>
    <row r="364">
      <c r="A364" s="52"/>
      <c r="B364" s="15"/>
      <c r="C364" s="16"/>
      <c r="D364" s="15"/>
      <c r="E364" s="17"/>
      <c r="F364" s="54"/>
      <c r="G364" s="19"/>
      <c r="H364" s="17"/>
      <c r="I364" s="19"/>
      <c r="J364" s="21"/>
      <c r="K364" s="57"/>
      <c r="L364" s="24"/>
      <c r="M364" s="25"/>
      <c r="N364" s="25"/>
      <c r="O364" s="26"/>
      <c r="P364" s="26"/>
    </row>
    <row r="365">
      <c r="A365" s="52"/>
      <c r="B365" s="15"/>
      <c r="C365" s="16"/>
      <c r="D365" s="15"/>
      <c r="E365" s="17"/>
      <c r="F365" s="54"/>
      <c r="G365" s="19"/>
      <c r="H365" s="17"/>
      <c r="I365" s="19"/>
      <c r="J365" s="21"/>
      <c r="K365" s="57"/>
      <c r="L365" s="24"/>
      <c r="M365" s="25"/>
      <c r="N365" s="25"/>
      <c r="O365" s="26"/>
      <c r="P365" s="26"/>
    </row>
    <row r="366">
      <c r="A366" s="52"/>
      <c r="B366" s="15"/>
      <c r="C366" s="16"/>
      <c r="D366" s="15"/>
      <c r="E366" s="17"/>
      <c r="F366" s="54"/>
      <c r="G366" s="19"/>
      <c r="H366" s="17"/>
      <c r="I366" s="19"/>
      <c r="J366" s="21"/>
      <c r="K366" s="57"/>
      <c r="L366" s="24"/>
      <c r="M366" s="25"/>
      <c r="N366" s="25"/>
      <c r="O366" s="26"/>
      <c r="P366" s="26"/>
    </row>
    <row r="367">
      <c r="A367" s="52"/>
      <c r="B367" s="15"/>
      <c r="C367" s="16"/>
      <c r="D367" s="15"/>
      <c r="E367" s="17"/>
      <c r="F367" s="54"/>
      <c r="G367" s="19"/>
      <c r="H367" s="17"/>
      <c r="I367" s="19"/>
      <c r="J367" s="21"/>
      <c r="K367" s="57"/>
      <c r="L367" s="24"/>
      <c r="M367" s="25"/>
      <c r="N367" s="25"/>
      <c r="O367" s="26"/>
      <c r="P367" s="26"/>
    </row>
    <row r="368">
      <c r="A368" s="52"/>
      <c r="B368" s="15"/>
      <c r="C368" s="16"/>
      <c r="D368" s="15"/>
      <c r="E368" s="17"/>
      <c r="F368" s="54"/>
      <c r="G368" s="19"/>
      <c r="H368" s="17"/>
      <c r="I368" s="19"/>
      <c r="J368" s="21"/>
      <c r="K368" s="57"/>
      <c r="L368" s="24"/>
      <c r="M368" s="25"/>
      <c r="N368" s="25"/>
      <c r="O368" s="26"/>
      <c r="P368" s="26"/>
    </row>
    <row r="369">
      <c r="A369" s="52"/>
      <c r="B369" s="15"/>
      <c r="C369" s="16"/>
      <c r="D369" s="15"/>
      <c r="E369" s="17"/>
      <c r="F369" s="54"/>
      <c r="G369" s="19"/>
      <c r="H369" s="17"/>
      <c r="I369" s="19"/>
      <c r="J369" s="21"/>
      <c r="K369" s="57"/>
      <c r="L369" s="24"/>
      <c r="M369" s="25"/>
      <c r="N369" s="25"/>
      <c r="O369" s="26"/>
      <c r="P369" s="26"/>
    </row>
    <row r="370">
      <c r="A370" s="52"/>
      <c r="B370" s="15"/>
      <c r="C370" s="16"/>
      <c r="D370" s="15"/>
      <c r="E370" s="17"/>
      <c r="F370" s="54"/>
      <c r="G370" s="19"/>
      <c r="H370" s="17"/>
      <c r="I370" s="19"/>
      <c r="J370" s="21"/>
      <c r="K370" s="57"/>
      <c r="L370" s="24"/>
      <c r="M370" s="25"/>
      <c r="N370" s="25"/>
      <c r="O370" s="26"/>
      <c r="P370" s="26"/>
    </row>
    <row r="371">
      <c r="A371" s="52"/>
      <c r="B371" s="15"/>
      <c r="C371" s="16"/>
      <c r="D371" s="15"/>
      <c r="E371" s="17"/>
      <c r="F371" s="54"/>
      <c r="G371" s="19"/>
      <c r="H371" s="17"/>
      <c r="I371" s="19"/>
      <c r="J371" s="21"/>
      <c r="K371" s="57"/>
      <c r="L371" s="24"/>
      <c r="M371" s="25"/>
      <c r="N371" s="25"/>
      <c r="O371" s="26"/>
      <c r="P371" s="26"/>
    </row>
    <row r="372">
      <c r="A372" s="52"/>
      <c r="B372" s="15"/>
      <c r="C372" s="16"/>
      <c r="D372" s="15"/>
      <c r="E372" s="17"/>
      <c r="F372" s="54"/>
      <c r="G372" s="19"/>
      <c r="H372" s="17"/>
      <c r="I372" s="19"/>
      <c r="J372" s="21"/>
      <c r="K372" s="57"/>
      <c r="L372" s="24"/>
      <c r="M372" s="25"/>
      <c r="N372" s="25"/>
      <c r="O372" s="26"/>
      <c r="P372" s="26"/>
    </row>
    <row r="373">
      <c r="A373" s="52"/>
      <c r="B373" s="15"/>
      <c r="C373" s="16"/>
      <c r="D373" s="15"/>
      <c r="E373" s="17"/>
      <c r="F373" s="54"/>
      <c r="G373" s="19"/>
      <c r="H373" s="17"/>
      <c r="I373" s="19"/>
      <c r="J373" s="21"/>
      <c r="K373" s="57"/>
      <c r="L373" s="24"/>
      <c r="M373" s="25"/>
      <c r="N373" s="25"/>
      <c r="O373" s="26"/>
      <c r="P373" s="26"/>
    </row>
    <row r="374">
      <c r="A374" s="52"/>
      <c r="B374" s="15"/>
      <c r="C374" s="16"/>
      <c r="D374" s="15"/>
      <c r="E374" s="17"/>
      <c r="F374" s="54"/>
      <c r="G374" s="19"/>
      <c r="H374" s="17"/>
      <c r="I374" s="19"/>
      <c r="J374" s="21"/>
      <c r="K374" s="57"/>
      <c r="L374" s="24"/>
      <c r="M374" s="25"/>
      <c r="N374" s="25"/>
      <c r="O374" s="26"/>
      <c r="P374" s="26"/>
    </row>
    <row r="375">
      <c r="A375" s="52"/>
      <c r="B375" s="15"/>
      <c r="C375" s="16"/>
      <c r="D375" s="15"/>
      <c r="E375" s="17"/>
      <c r="F375" s="54"/>
      <c r="G375" s="19"/>
      <c r="H375" s="17"/>
      <c r="I375" s="19"/>
      <c r="J375" s="21"/>
      <c r="K375" s="57"/>
      <c r="L375" s="24"/>
      <c r="M375" s="25"/>
      <c r="N375" s="25"/>
      <c r="O375" s="26"/>
      <c r="P375" s="26"/>
    </row>
    <row r="376">
      <c r="A376" s="52"/>
      <c r="B376" s="15"/>
      <c r="C376" s="16"/>
      <c r="D376" s="15"/>
      <c r="E376" s="17"/>
      <c r="F376" s="54"/>
      <c r="G376" s="19"/>
      <c r="H376" s="17"/>
      <c r="I376" s="19"/>
      <c r="J376" s="21"/>
      <c r="K376" s="57"/>
      <c r="L376" s="24"/>
      <c r="M376" s="25"/>
      <c r="N376" s="25"/>
      <c r="O376" s="26"/>
      <c r="P376" s="26"/>
    </row>
    <row r="377">
      <c r="A377" s="52"/>
      <c r="B377" s="15"/>
      <c r="C377" s="16"/>
      <c r="D377" s="15"/>
      <c r="E377" s="17"/>
      <c r="F377" s="54"/>
      <c r="G377" s="19"/>
      <c r="H377" s="17"/>
      <c r="I377" s="19"/>
      <c r="J377" s="21"/>
      <c r="K377" s="57"/>
      <c r="L377" s="24"/>
      <c r="M377" s="25"/>
      <c r="N377" s="25"/>
      <c r="O377" s="26"/>
      <c r="P377" s="26"/>
    </row>
    <row r="378">
      <c r="A378" s="52"/>
      <c r="B378" s="15"/>
      <c r="C378" s="16"/>
      <c r="D378" s="15"/>
      <c r="E378" s="17"/>
      <c r="F378" s="54"/>
      <c r="G378" s="19"/>
      <c r="H378" s="17"/>
      <c r="I378" s="19"/>
      <c r="J378" s="21"/>
      <c r="K378" s="57"/>
      <c r="L378" s="24"/>
      <c r="M378" s="25"/>
      <c r="N378" s="25"/>
      <c r="O378" s="26"/>
      <c r="P378" s="26"/>
    </row>
    <row r="379">
      <c r="A379" s="52"/>
      <c r="B379" s="15"/>
      <c r="C379" s="16"/>
      <c r="D379" s="15"/>
      <c r="E379" s="17"/>
      <c r="F379" s="54"/>
      <c r="G379" s="19"/>
      <c r="H379" s="17"/>
      <c r="I379" s="19"/>
      <c r="J379" s="21"/>
      <c r="K379" s="57"/>
      <c r="L379" s="24"/>
      <c r="M379" s="25"/>
      <c r="N379" s="25"/>
      <c r="O379" s="26"/>
      <c r="P379" s="26"/>
    </row>
    <row r="380">
      <c r="A380" s="52"/>
      <c r="B380" s="15"/>
      <c r="C380" s="16"/>
      <c r="D380" s="15"/>
      <c r="E380" s="17"/>
      <c r="F380" s="54"/>
      <c r="G380" s="19"/>
      <c r="H380" s="17"/>
      <c r="I380" s="19"/>
      <c r="J380" s="21"/>
      <c r="K380" s="57"/>
      <c r="L380" s="24"/>
      <c r="M380" s="25"/>
      <c r="N380" s="25"/>
      <c r="O380" s="26"/>
      <c r="P380" s="26"/>
    </row>
    <row r="381">
      <c r="A381" s="52"/>
      <c r="B381" s="15"/>
      <c r="C381" s="16"/>
      <c r="D381" s="15"/>
      <c r="E381" s="17"/>
      <c r="F381" s="54"/>
      <c r="G381" s="19"/>
      <c r="H381" s="17"/>
      <c r="I381" s="19"/>
      <c r="J381" s="21"/>
      <c r="K381" s="57"/>
      <c r="L381" s="24"/>
      <c r="M381" s="25"/>
      <c r="N381" s="25"/>
      <c r="O381" s="26"/>
      <c r="P381" s="26"/>
    </row>
    <row r="382">
      <c r="A382" s="52"/>
      <c r="B382" s="15"/>
      <c r="C382" s="16"/>
      <c r="D382" s="15"/>
      <c r="E382" s="17"/>
      <c r="F382" s="54"/>
      <c r="G382" s="19"/>
      <c r="H382" s="17"/>
      <c r="I382" s="19"/>
      <c r="J382" s="21"/>
      <c r="K382" s="57"/>
      <c r="L382" s="24"/>
      <c r="M382" s="25"/>
      <c r="N382" s="25"/>
      <c r="O382" s="26"/>
      <c r="P382" s="26"/>
    </row>
    <row r="383">
      <c r="A383" s="52"/>
      <c r="B383" s="15"/>
      <c r="C383" s="16"/>
      <c r="D383" s="15"/>
      <c r="E383" s="17"/>
      <c r="F383" s="54"/>
      <c r="G383" s="19"/>
      <c r="H383" s="17"/>
      <c r="I383" s="19"/>
      <c r="J383" s="21"/>
      <c r="K383" s="57"/>
      <c r="L383" s="24"/>
      <c r="M383" s="25"/>
      <c r="N383" s="25"/>
      <c r="O383" s="26"/>
      <c r="P383" s="26"/>
    </row>
    <row r="384">
      <c r="A384" s="52"/>
      <c r="B384" s="15"/>
      <c r="C384" s="16"/>
      <c r="D384" s="15"/>
      <c r="E384" s="17"/>
      <c r="F384" s="54"/>
      <c r="G384" s="19"/>
      <c r="H384" s="17"/>
      <c r="I384" s="19"/>
      <c r="J384" s="21"/>
      <c r="K384" s="57"/>
      <c r="L384" s="24"/>
      <c r="M384" s="25"/>
      <c r="N384" s="25"/>
      <c r="O384" s="26"/>
      <c r="P384" s="26"/>
    </row>
    <row r="385">
      <c r="A385" s="52"/>
      <c r="B385" s="15"/>
      <c r="C385" s="16"/>
      <c r="D385" s="15"/>
      <c r="E385" s="17"/>
      <c r="F385" s="54"/>
      <c r="G385" s="19"/>
      <c r="H385" s="17"/>
      <c r="I385" s="19"/>
      <c r="J385" s="21"/>
      <c r="K385" s="57"/>
      <c r="L385" s="24"/>
      <c r="M385" s="25"/>
      <c r="N385" s="25"/>
      <c r="O385" s="26"/>
      <c r="P385" s="26"/>
    </row>
    <row r="386">
      <c r="A386" s="52"/>
      <c r="B386" s="15"/>
      <c r="C386" s="16"/>
      <c r="D386" s="15"/>
      <c r="E386" s="17"/>
      <c r="F386" s="54"/>
      <c r="G386" s="19"/>
      <c r="H386" s="17"/>
      <c r="I386" s="19"/>
      <c r="J386" s="21"/>
      <c r="K386" s="57"/>
      <c r="L386" s="24"/>
      <c r="M386" s="25"/>
      <c r="N386" s="25"/>
      <c r="O386" s="26"/>
      <c r="P386" s="26"/>
    </row>
    <row r="387">
      <c r="A387" s="52"/>
      <c r="B387" s="15"/>
      <c r="C387" s="16"/>
      <c r="D387" s="15"/>
      <c r="E387" s="17"/>
      <c r="F387" s="54"/>
      <c r="G387" s="19"/>
      <c r="H387" s="17"/>
      <c r="I387" s="19"/>
      <c r="J387" s="21"/>
      <c r="K387" s="57"/>
      <c r="L387" s="24"/>
      <c r="M387" s="25"/>
      <c r="N387" s="25"/>
      <c r="O387" s="26"/>
      <c r="P387" s="26"/>
    </row>
    <row r="388">
      <c r="A388" s="52"/>
      <c r="B388" s="15"/>
      <c r="C388" s="16"/>
      <c r="D388" s="15"/>
      <c r="E388" s="17"/>
      <c r="F388" s="54"/>
      <c r="G388" s="19"/>
      <c r="H388" s="17"/>
      <c r="I388" s="19"/>
      <c r="J388" s="21"/>
      <c r="K388" s="57"/>
      <c r="L388" s="24"/>
      <c r="M388" s="25"/>
      <c r="N388" s="25"/>
      <c r="O388" s="26"/>
      <c r="P388" s="26"/>
    </row>
    <row r="389">
      <c r="A389" s="52"/>
      <c r="B389" s="15"/>
      <c r="C389" s="16"/>
      <c r="D389" s="15"/>
      <c r="E389" s="17"/>
      <c r="F389" s="54"/>
      <c r="G389" s="19"/>
      <c r="H389" s="17"/>
      <c r="I389" s="19"/>
      <c r="J389" s="21"/>
      <c r="K389" s="57"/>
      <c r="L389" s="24"/>
      <c r="M389" s="25"/>
      <c r="N389" s="25"/>
      <c r="O389" s="26"/>
      <c r="P389" s="26"/>
    </row>
    <row r="390">
      <c r="A390" s="52"/>
      <c r="B390" s="15"/>
      <c r="C390" s="16"/>
      <c r="D390" s="15"/>
      <c r="E390" s="17"/>
      <c r="F390" s="54"/>
      <c r="G390" s="19"/>
      <c r="H390" s="17"/>
      <c r="I390" s="19"/>
      <c r="J390" s="21"/>
      <c r="K390" s="57"/>
      <c r="L390" s="24"/>
      <c r="M390" s="25"/>
      <c r="N390" s="25"/>
      <c r="O390" s="26"/>
      <c r="P390" s="26"/>
    </row>
    <row r="391">
      <c r="A391" s="52"/>
      <c r="B391" s="15"/>
      <c r="C391" s="16"/>
      <c r="D391" s="15"/>
      <c r="E391" s="17"/>
      <c r="F391" s="54"/>
      <c r="G391" s="19"/>
      <c r="H391" s="17"/>
      <c r="I391" s="19"/>
      <c r="J391" s="21"/>
      <c r="K391" s="57"/>
      <c r="L391" s="24"/>
      <c r="M391" s="25"/>
      <c r="N391" s="25"/>
      <c r="O391" s="26"/>
      <c r="P391" s="26"/>
    </row>
    <row r="392">
      <c r="A392" s="52"/>
      <c r="B392" s="15"/>
      <c r="C392" s="16"/>
      <c r="D392" s="15"/>
      <c r="E392" s="17"/>
      <c r="F392" s="54"/>
      <c r="G392" s="19"/>
      <c r="H392" s="17"/>
      <c r="I392" s="19"/>
      <c r="J392" s="21"/>
      <c r="K392" s="57"/>
      <c r="L392" s="24"/>
      <c r="M392" s="25"/>
      <c r="N392" s="25"/>
      <c r="O392" s="26"/>
      <c r="P392" s="26"/>
    </row>
    <row r="393">
      <c r="A393" s="52"/>
      <c r="B393" s="15"/>
      <c r="C393" s="16"/>
      <c r="D393" s="15"/>
      <c r="E393" s="17"/>
      <c r="F393" s="54"/>
      <c r="G393" s="19"/>
      <c r="H393" s="17"/>
      <c r="I393" s="19"/>
      <c r="J393" s="21"/>
      <c r="K393" s="57"/>
      <c r="L393" s="24"/>
      <c r="M393" s="25"/>
      <c r="N393" s="25"/>
      <c r="O393" s="26"/>
      <c r="P393" s="26"/>
    </row>
    <row r="394">
      <c r="A394" s="52"/>
      <c r="B394" s="15"/>
      <c r="C394" s="16"/>
      <c r="D394" s="15"/>
      <c r="E394" s="17"/>
      <c r="F394" s="54"/>
      <c r="G394" s="19"/>
      <c r="H394" s="17"/>
      <c r="I394" s="19"/>
      <c r="J394" s="21"/>
      <c r="K394" s="57"/>
      <c r="L394" s="24"/>
      <c r="M394" s="25"/>
      <c r="N394" s="25"/>
      <c r="O394" s="26"/>
      <c r="P394" s="26"/>
    </row>
    <row r="395">
      <c r="A395" s="52"/>
      <c r="B395" s="15"/>
      <c r="C395" s="16"/>
      <c r="D395" s="15"/>
      <c r="E395" s="17"/>
      <c r="F395" s="54"/>
      <c r="G395" s="19"/>
      <c r="H395" s="17"/>
      <c r="I395" s="19"/>
      <c r="J395" s="21"/>
      <c r="K395" s="57"/>
      <c r="L395" s="24"/>
      <c r="M395" s="25"/>
      <c r="N395" s="25"/>
      <c r="O395" s="26"/>
      <c r="P395" s="26"/>
    </row>
    <row r="396">
      <c r="A396" s="52"/>
      <c r="B396" s="15"/>
      <c r="C396" s="16"/>
      <c r="D396" s="15"/>
      <c r="E396" s="17"/>
      <c r="F396" s="54"/>
      <c r="G396" s="19"/>
      <c r="H396" s="17"/>
      <c r="I396" s="19"/>
      <c r="J396" s="21"/>
      <c r="K396" s="57"/>
      <c r="L396" s="24"/>
      <c r="M396" s="25"/>
      <c r="N396" s="25"/>
      <c r="O396" s="26"/>
      <c r="P396" s="26"/>
    </row>
    <row r="397">
      <c r="A397" s="52"/>
      <c r="B397" s="15"/>
      <c r="C397" s="16"/>
      <c r="D397" s="15"/>
      <c r="E397" s="17"/>
      <c r="F397" s="54"/>
      <c r="G397" s="19"/>
      <c r="H397" s="17"/>
      <c r="I397" s="19"/>
      <c r="J397" s="21"/>
      <c r="K397" s="57"/>
      <c r="L397" s="24"/>
      <c r="M397" s="25"/>
      <c r="N397" s="25"/>
      <c r="O397" s="26"/>
      <c r="P397" s="26"/>
    </row>
    <row r="398">
      <c r="A398" s="52"/>
      <c r="B398" s="15"/>
      <c r="C398" s="16"/>
      <c r="D398" s="15"/>
      <c r="E398" s="17"/>
      <c r="F398" s="54"/>
      <c r="G398" s="19"/>
      <c r="H398" s="17"/>
      <c r="I398" s="19"/>
      <c r="J398" s="21"/>
      <c r="K398" s="57"/>
      <c r="L398" s="24"/>
      <c r="M398" s="25"/>
      <c r="N398" s="25"/>
      <c r="O398" s="26"/>
      <c r="P398" s="26"/>
    </row>
    <row r="399">
      <c r="A399" s="52"/>
      <c r="B399" s="15"/>
      <c r="C399" s="16"/>
      <c r="D399" s="15"/>
      <c r="E399" s="17"/>
      <c r="F399" s="54"/>
      <c r="G399" s="19"/>
      <c r="H399" s="17"/>
      <c r="I399" s="19"/>
      <c r="J399" s="21"/>
      <c r="K399" s="57"/>
      <c r="L399" s="24"/>
      <c r="M399" s="25"/>
      <c r="N399" s="25"/>
      <c r="O399" s="26"/>
      <c r="P399" s="26"/>
    </row>
    <row r="400">
      <c r="A400" s="52"/>
      <c r="B400" s="15"/>
      <c r="C400" s="16"/>
      <c r="D400" s="15"/>
      <c r="E400" s="17"/>
      <c r="F400" s="54"/>
      <c r="G400" s="19"/>
      <c r="H400" s="17"/>
      <c r="I400" s="19"/>
      <c r="J400" s="21"/>
      <c r="K400" s="57"/>
      <c r="L400" s="24"/>
      <c r="M400" s="25"/>
      <c r="N400" s="25"/>
      <c r="O400" s="26"/>
      <c r="P400" s="26"/>
    </row>
    <row r="401">
      <c r="A401" s="52"/>
      <c r="B401" s="15"/>
      <c r="C401" s="16"/>
      <c r="D401" s="15"/>
      <c r="E401" s="17"/>
      <c r="F401" s="54"/>
      <c r="G401" s="19"/>
      <c r="H401" s="17"/>
      <c r="I401" s="19"/>
      <c r="J401" s="21"/>
      <c r="K401" s="57"/>
      <c r="L401" s="24"/>
      <c r="M401" s="25"/>
      <c r="N401" s="25"/>
      <c r="O401" s="26"/>
      <c r="P401" s="26"/>
    </row>
    <row r="402">
      <c r="A402" s="52"/>
      <c r="B402" s="15"/>
      <c r="C402" s="16"/>
      <c r="D402" s="15"/>
      <c r="E402" s="17"/>
      <c r="F402" s="54"/>
      <c r="G402" s="19"/>
      <c r="H402" s="17"/>
      <c r="I402" s="19"/>
      <c r="J402" s="21"/>
      <c r="K402" s="57"/>
      <c r="L402" s="24"/>
      <c r="M402" s="25"/>
      <c r="N402" s="25"/>
      <c r="O402" s="26"/>
      <c r="P402" s="26"/>
    </row>
    <row r="403">
      <c r="A403" s="52"/>
      <c r="B403" s="15"/>
      <c r="C403" s="16"/>
      <c r="D403" s="15"/>
      <c r="E403" s="17"/>
      <c r="F403" s="54"/>
      <c r="G403" s="19"/>
      <c r="H403" s="17"/>
      <c r="I403" s="19"/>
      <c r="J403" s="21"/>
      <c r="K403" s="57"/>
      <c r="L403" s="24"/>
      <c r="M403" s="25"/>
      <c r="N403" s="25"/>
      <c r="O403" s="26"/>
      <c r="P403" s="26"/>
    </row>
    <row r="404">
      <c r="A404" s="52"/>
      <c r="B404" s="15"/>
      <c r="C404" s="16"/>
      <c r="D404" s="15"/>
      <c r="E404" s="17"/>
      <c r="F404" s="54"/>
      <c r="G404" s="19"/>
      <c r="H404" s="17"/>
      <c r="I404" s="19"/>
      <c r="J404" s="21"/>
      <c r="K404" s="57"/>
      <c r="L404" s="24"/>
      <c r="M404" s="25"/>
      <c r="N404" s="25"/>
      <c r="O404" s="26"/>
      <c r="P404" s="26"/>
    </row>
    <row r="405">
      <c r="A405" s="52"/>
      <c r="B405" s="15"/>
      <c r="C405" s="16"/>
      <c r="D405" s="15"/>
      <c r="E405" s="17"/>
      <c r="F405" s="54"/>
      <c r="G405" s="19"/>
      <c r="H405" s="17"/>
      <c r="I405" s="19"/>
      <c r="J405" s="21"/>
      <c r="K405" s="57"/>
      <c r="L405" s="24"/>
      <c r="M405" s="25"/>
      <c r="N405" s="25"/>
      <c r="O405" s="26"/>
      <c r="P405" s="26"/>
    </row>
    <row r="406">
      <c r="A406" s="52"/>
      <c r="B406" s="15"/>
      <c r="C406" s="16"/>
      <c r="D406" s="15"/>
      <c r="E406" s="17"/>
      <c r="F406" s="54"/>
      <c r="G406" s="19"/>
      <c r="H406" s="17"/>
      <c r="I406" s="19"/>
      <c r="J406" s="21"/>
      <c r="K406" s="57"/>
      <c r="L406" s="24"/>
      <c r="M406" s="25"/>
      <c r="N406" s="25"/>
      <c r="O406" s="26"/>
      <c r="P406" s="26"/>
    </row>
    <row r="407">
      <c r="A407" s="52"/>
      <c r="B407" s="15"/>
      <c r="C407" s="16"/>
      <c r="D407" s="15"/>
      <c r="E407" s="17"/>
      <c r="F407" s="54"/>
      <c r="G407" s="19"/>
      <c r="H407" s="17"/>
      <c r="I407" s="19"/>
      <c r="J407" s="21"/>
      <c r="K407" s="57"/>
      <c r="L407" s="24"/>
      <c r="M407" s="25"/>
      <c r="N407" s="25"/>
      <c r="O407" s="26"/>
      <c r="P407" s="26"/>
    </row>
    <row r="408">
      <c r="A408" s="52"/>
      <c r="B408" s="15"/>
      <c r="C408" s="16"/>
      <c r="D408" s="15"/>
      <c r="E408" s="17"/>
      <c r="F408" s="54"/>
      <c r="G408" s="19"/>
      <c r="H408" s="17"/>
      <c r="I408" s="19"/>
      <c r="J408" s="21"/>
      <c r="K408" s="57"/>
      <c r="L408" s="24"/>
      <c r="M408" s="25"/>
      <c r="N408" s="25"/>
      <c r="O408" s="26"/>
      <c r="P408" s="26"/>
    </row>
    <row r="409">
      <c r="A409" s="52"/>
      <c r="B409" s="15"/>
      <c r="C409" s="16"/>
      <c r="D409" s="15"/>
      <c r="E409" s="17"/>
      <c r="F409" s="54"/>
      <c r="G409" s="19"/>
      <c r="H409" s="17"/>
      <c r="I409" s="19"/>
      <c r="J409" s="21"/>
      <c r="K409" s="57"/>
      <c r="L409" s="24"/>
      <c r="M409" s="25"/>
      <c r="N409" s="25"/>
      <c r="O409" s="26"/>
      <c r="P409" s="26"/>
    </row>
    <row r="410">
      <c r="A410" s="52"/>
      <c r="B410" s="15"/>
      <c r="C410" s="16"/>
      <c r="D410" s="15"/>
      <c r="E410" s="17"/>
      <c r="F410" s="54"/>
      <c r="G410" s="19"/>
      <c r="H410" s="17"/>
      <c r="I410" s="19"/>
      <c r="J410" s="21"/>
      <c r="K410" s="57"/>
      <c r="L410" s="24"/>
      <c r="M410" s="25"/>
      <c r="N410" s="25"/>
      <c r="O410" s="26"/>
      <c r="P410" s="26"/>
    </row>
    <row r="411">
      <c r="A411" s="52"/>
      <c r="B411" s="15"/>
      <c r="C411" s="16"/>
      <c r="D411" s="15"/>
      <c r="E411" s="17"/>
      <c r="F411" s="54"/>
      <c r="G411" s="19"/>
      <c r="H411" s="17"/>
      <c r="I411" s="19"/>
      <c r="J411" s="21"/>
      <c r="K411" s="57"/>
      <c r="L411" s="24"/>
      <c r="M411" s="25"/>
      <c r="N411" s="25"/>
      <c r="O411" s="26"/>
      <c r="P411" s="26"/>
    </row>
    <row r="412">
      <c r="A412" s="52"/>
      <c r="B412" s="15"/>
      <c r="C412" s="16"/>
      <c r="D412" s="15"/>
      <c r="E412" s="17"/>
      <c r="F412" s="54"/>
      <c r="G412" s="19"/>
      <c r="H412" s="17"/>
      <c r="I412" s="19"/>
      <c r="J412" s="21"/>
      <c r="K412" s="57"/>
      <c r="L412" s="24"/>
      <c r="M412" s="25"/>
      <c r="N412" s="25"/>
      <c r="O412" s="26"/>
      <c r="P412" s="26"/>
    </row>
    <row r="413">
      <c r="A413" s="52"/>
      <c r="B413" s="15"/>
      <c r="C413" s="16"/>
      <c r="D413" s="15"/>
      <c r="E413" s="17"/>
      <c r="F413" s="54"/>
      <c r="G413" s="19"/>
      <c r="H413" s="17"/>
      <c r="I413" s="19"/>
      <c r="J413" s="21"/>
      <c r="K413" s="57"/>
      <c r="L413" s="24"/>
      <c r="M413" s="25"/>
      <c r="N413" s="25"/>
      <c r="O413" s="26"/>
      <c r="P413" s="26"/>
    </row>
    <row r="414">
      <c r="A414" s="52"/>
      <c r="B414" s="15"/>
      <c r="C414" s="16"/>
      <c r="D414" s="15"/>
      <c r="E414" s="17"/>
      <c r="F414" s="54"/>
      <c r="G414" s="19"/>
      <c r="H414" s="17"/>
      <c r="I414" s="19"/>
      <c r="J414" s="21"/>
      <c r="K414" s="57"/>
      <c r="L414" s="24"/>
      <c r="M414" s="25"/>
      <c r="N414" s="25"/>
      <c r="O414" s="26"/>
      <c r="P414" s="26"/>
    </row>
    <row r="415">
      <c r="A415" s="52"/>
      <c r="B415" s="15"/>
      <c r="C415" s="16"/>
      <c r="D415" s="15"/>
      <c r="E415" s="17"/>
      <c r="F415" s="54"/>
      <c r="G415" s="19"/>
      <c r="H415" s="17"/>
      <c r="I415" s="19"/>
      <c r="J415" s="21"/>
      <c r="K415" s="57"/>
      <c r="L415" s="24"/>
      <c r="M415" s="25"/>
      <c r="N415" s="25"/>
      <c r="O415" s="26"/>
      <c r="P415" s="26"/>
    </row>
    <row r="416">
      <c r="A416" s="52"/>
      <c r="B416" s="15"/>
      <c r="C416" s="16"/>
      <c r="D416" s="15"/>
      <c r="E416" s="17"/>
      <c r="F416" s="54"/>
      <c r="G416" s="19"/>
      <c r="H416" s="17"/>
      <c r="I416" s="19"/>
      <c r="J416" s="21"/>
      <c r="K416" s="57"/>
      <c r="L416" s="24"/>
      <c r="M416" s="25"/>
      <c r="N416" s="25"/>
      <c r="O416" s="26"/>
      <c r="P416" s="26"/>
    </row>
    <row r="417">
      <c r="A417" s="52"/>
      <c r="B417" s="15"/>
      <c r="C417" s="16"/>
      <c r="D417" s="15"/>
      <c r="E417" s="17"/>
      <c r="F417" s="54"/>
      <c r="G417" s="19"/>
      <c r="H417" s="17"/>
      <c r="I417" s="19"/>
      <c r="J417" s="21"/>
      <c r="K417" s="57"/>
      <c r="L417" s="24"/>
      <c r="M417" s="25"/>
      <c r="N417" s="25"/>
      <c r="O417" s="26"/>
      <c r="P417" s="26"/>
    </row>
    <row r="418">
      <c r="A418" s="52"/>
      <c r="B418" s="15"/>
      <c r="C418" s="16"/>
      <c r="D418" s="15"/>
      <c r="E418" s="17"/>
      <c r="F418" s="54"/>
      <c r="G418" s="19"/>
      <c r="H418" s="17"/>
      <c r="I418" s="19"/>
      <c r="J418" s="21"/>
      <c r="K418" s="57"/>
      <c r="L418" s="24"/>
      <c r="M418" s="25"/>
      <c r="N418" s="25"/>
      <c r="O418" s="26"/>
      <c r="P418" s="26"/>
    </row>
    <row r="419">
      <c r="A419" s="52"/>
      <c r="B419" s="15"/>
      <c r="C419" s="16"/>
      <c r="D419" s="15"/>
      <c r="E419" s="17"/>
      <c r="F419" s="54"/>
      <c r="G419" s="19"/>
      <c r="H419" s="17"/>
      <c r="I419" s="19"/>
      <c r="J419" s="21"/>
      <c r="K419" s="57"/>
      <c r="L419" s="24"/>
      <c r="M419" s="25"/>
      <c r="N419" s="25"/>
      <c r="O419" s="26"/>
      <c r="P419" s="26"/>
    </row>
    <row r="420">
      <c r="A420" s="52"/>
      <c r="B420" s="15"/>
      <c r="C420" s="16"/>
      <c r="D420" s="15"/>
      <c r="E420" s="17"/>
      <c r="F420" s="54"/>
      <c r="G420" s="19"/>
      <c r="H420" s="17"/>
      <c r="I420" s="19"/>
      <c r="J420" s="21"/>
      <c r="K420" s="57"/>
      <c r="L420" s="24"/>
      <c r="M420" s="25"/>
      <c r="N420" s="25"/>
      <c r="O420" s="26"/>
      <c r="P420" s="26"/>
    </row>
    <row r="421">
      <c r="A421" s="52"/>
      <c r="B421" s="15"/>
      <c r="C421" s="16"/>
      <c r="D421" s="15"/>
      <c r="E421" s="17"/>
      <c r="F421" s="54"/>
      <c r="G421" s="19"/>
      <c r="H421" s="17"/>
      <c r="I421" s="19"/>
      <c r="J421" s="21"/>
      <c r="K421" s="57"/>
      <c r="L421" s="24"/>
      <c r="M421" s="25"/>
      <c r="N421" s="25"/>
      <c r="O421" s="26"/>
      <c r="P421" s="26"/>
    </row>
    <row r="422">
      <c r="A422" s="52"/>
      <c r="B422" s="15"/>
      <c r="C422" s="16"/>
      <c r="D422" s="15"/>
      <c r="E422" s="17"/>
      <c r="F422" s="54"/>
      <c r="G422" s="19"/>
      <c r="H422" s="17"/>
      <c r="I422" s="19"/>
      <c r="J422" s="21"/>
      <c r="K422" s="57"/>
      <c r="L422" s="24"/>
      <c r="M422" s="25"/>
      <c r="N422" s="25"/>
      <c r="O422" s="26"/>
      <c r="P422" s="26"/>
    </row>
    <row r="423">
      <c r="A423" s="52"/>
      <c r="B423" s="15"/>
      <c r="C423" s="16"/>
      <c r="D423" s="15"/>
      <c r="E423" s="17"/>
      <c r="F423" s="54"/>
      <c r="G423" s="19"/>
      <c r="H423" s="17"/>
      <c r="I423" s="19"/>
      <c r="J423" s="21"/>
      <c r="K423" s="57"/>
      <c r="L423" s="24"/>
      <c r="M423" s="25"/>
      <c r="N423" s="25"/>
      <c r="O423" s="26"/>
      <c r="P423" s="26"/>
    </row>
    <row r="424">
      <c r="A424" s="52"/>
      <c r="B424" s="15"/>
      <c r="C424" s="16"/>
      <c r="D424" s="15"/>
      <c r="E424" s="17"/>
      <c r="F424" s="54"/>
      <c r="G424" s="19"/>
      <c r="H424" s="17"/>
      <c r="I424" s="19"/>
      <c r="J424" s="21"/>
      <c r="K424" s="57"/>
      <c r="L424" s="24"/>
      <c r="M424" s="25"/>
      <c r="N424" s="25"/>
      <c r="O424" s="26"/>
      <c r="P424" s="26"/>
    </row>
    <row r="425">
      <c r="A425" s="52"/>
      <c r="B425" s="15"/>
      <c r="C425" s="16"/>
      <c r="D425" s="15"/>
      <c r="E425" s="17"/>
      <c r="F425" s="54"/>
      <c r="G425" s="19"/>
      <c r="H425" s="17"/>
      <c r="I425" s="19"/>
      <c r="J425" s="21"/>
      <c r="K425" s="57"/>
      <c r="L425" s="24"/>
      <c r="M425" s="25"/>
      <c r="N425" s="25"/>
      <c r="O425" s="26"/>
      <c r="P425" s="26"/>
    </row>
    <row r="426">
      <c r="A426" s="52"/>
      <c r="B426" s="15"/>
      <c r="C426" s="16"/>
      <c r="D426" s="15"/>
      <c r="E426" s="17"/>
      <c r="F426" s="54"/>
      <c r="G426" s="19"/>
      <c r="H426" s="17"/>
      <c r="I426" s="19"/>
      <c r="J426" s="21"/>
      <c r="K426" s="57"/>
      <c r="L426" s="24"/>
      <c r="M426" s="25"/>
      <c r="N426" s="25"/>
      <c r="O426" s="26"/>
      <c r="P426" s="26"/>
    </row>
    <row r="427">
      <c r="A427" s="52"/>
      <c r="B427" s="15"/>
      <c r="C427" s="16"/>
      <c r="D427" s="15"/>
      <c r="E427" s="17"/>
      <c r="F427" s="54"/>
      <c r="G427" s="19"/>
      <c r="H427" s="17"/>
      <c r="I427" s="19"/>
      <c r="J427" s="21"/>
      <c r="K427" s="57"/>
      <c r="L427" s="24"/>
      <c r="M427" s="25"/>
      <c r="N427" s="25"/>
      <c r="O427" s="26"/>
      <c r="P427" s="26"/>
    </row>
    <row r="428">
      <c r="A428" s="52"/>
      <c r="B428" s="15"/>
      <c r="C428" s="16"/>
      <c r="D428" s="15"/>
      <c r="E428" s="17"/>
      <c r="F428" s="54"/>
      <c r="G428" s="19"/>
      <c r="H428" s="17"/>
      <c r="I428" s="19"/>
      <c r="J428" s="21"/>
      <c r="K428" s="57"/>
      <c r="L428" s="24"/>
      <c r="M428" s="25"/>
      <c r="N428" s="25"/>
      <c r="O428" s="26"/>
      <c r="P428" s="26"/>
    </row>
    <row r="429">
      <c r="A429" s="52"/>
      <c r="B429" s="15"/>
      <c r="C429" s="16"/>
      <c r="D429" s="15"/>
      <c r="E429" s="17"/>
      <c r="F429" s="54"/>
      <c r="G429" s="19"/>
      <c r="H429" s="17"/>
      <c r="I429" s="19"/>
      <c r="J429" s="21"/>
      <c r="K429" s="57"/>
      <c r="L429" s="24"/>
      <c r="M429" s="25"/>
      <c r="N429" s="25"/>
      <c r="O429" s="26"/>
      <c r="P429" s="26"/>
    </row>
    <row r="430">
      <c r="A430" s="52"/>
      <c r="B430" s="15"/>
      <c r="C430" s="16"/>
      <c r="D430" s="15"/>
      <c r="E430" s="17"/>
      <c r="F430" s="54"/>
      <c r="G430" s="19"/>
      <c r="H430" s="17"/>
      <c r="I430" s="19"/>
      <c r="J430" s="21"/>
      <c r="K430" s="57"/>
      <c r="L430" s="24"/>
      <c r="M430" s="25"/>
      <c r="N430" s="25"/>
      <c r="O430" s="26"/>
      <c r="P430" s="26"/>
    </row>
    <row r="431">
      <c r="A431" s="52"/>
      <c r="B431" s="15"/>
      <c r="C431" s="16"/>
      <c r="D431" s="15"/>
      <c r="E431" s="17"/>
      <c r="F431" s="54"/>
      <c r="G431" s="19"/>
      <c r="H431" s="17"/>
      <c r="I431" s="19"/>
      <c r="J431" s="21"/>
      <c r="K431" s="57"/>
      <c r="L431" s="24"/>
      <c r="M431" s="25"/>
      <c r="N431" s="25"/>
      <c r="O431" s="26"/>
      <c r="P431" s="26"/>
    </row>
    <row r="432">
      <c r="A432" s="52"/>
      <c r="B432" s="15"/>
      <c r="C432" s="16"/>
      <c r="D432" s="15"/>
      <c r="E432" s="17"/>
      <c r="F432" s="54"/>
      <c r="G432" s="19"/>
      <c r="H432" s="17"/>
      <c r="I432" s="19"/>
      <c r="J432" s="21"/>
      <c r="K432" s="57"/>
      <c r="L432" s="24"/>
      <c r="M432" s="25"/>
      <c r="N432" s="25"/>
      <c r="O432" s="26"/>
      <c r="P432" s="26"/>
    </row>
    <row r="433">
      <c r="A433" s="52"/>
      <c r="B433" s="15"/>
      <c r="C433" s="16"/>
      <c r="D433" s="15"/>
      <c r="E433" s="17"/>
      <c r="F433" s="54"/>
      <c r="G433" s="19"/>
      <c r="H433" s="17"/>
      <c r="I433" s="19"/>
      <c r="J433" s="21"/>
      <c r="K433" s="57"/>
      <c r="L433" s="24"/>
      <c r="M433" s="25"/>
      <c r="N433" s="25"/>
      <c r="O433" s="26"/>
      <c r="P433" s="26"/>
    </row>
    <row r="434">
      <c r="A434" s="52"/>
      <c r="B434" s="15"/>
      <c r="C434" s="16"/>
      <c r="D434" s="15"/>
      <c r="E434" s="17"/>
      <c r="F434" s="54"/>
      <c r="G434" s="19"/>
      <c r="H434" s="17"/>
      <c r="I434" s="19"/>
      <c r="J434" s="21"/>
      <c r="K434" s="57"/>
      <c r="L434" s="24"/>
      <c r="M434" s="25"/>
      <c r="N434" s="25"/>
      <c r="O434" s="26"/>
      <c r="P434" s="26"/>
    </row>
    <row r="435">
      <c r="A435" s="52"/>
      <c r="B435" s="15"/>
      <c r="C435" s="16"/>
      <c r="D435" s="15"/>
      <c r="E435" s="17"/>
      <c r="F435" s="54"/>
      <c r="G435" s="19"/>
      <c r="H435" s="17"/>
      <c r="I435" s="19"/>
      <c r="J435" s="21"/>
      <c r="K435" s="57"/>
      <c r="L435" s="24"/>
      <c r="M435" s="25"/>
      <c r="N435" s="25"/>
      <c r="O435" s="26"/>
      <c r="P435" s="26"/>
    </row>
    <row r="436">
      <c r="A436" s="52"/>
      <c r="B436" s="15"/>
      <c r="C436" s="16"/>
      <c r="D436" s="15"/>
      <c r="E436" s="17"/>
      <c r="F436" s="54"/>
      <c r="G436" s="19"/>
      <c r="H436" s="17"/>
      <c r="I436" s="19"/>
      <c r="J436" s="21"/>
      <c r="K436" s="57"/>
      <c r="L436" s="24"/>
      <c r="M436" s="25"/>
      <c r="N436" s="25"/>
      <c r="O436" s="26"/>
      <c r="P436" s="26"/>
    </row>
    <row r="437">
      <c r="A437" s="52"/>
      <c r="B437" s="15"/>
      <c r="C437" s="16"/>
      <c r="D437" s="15"/>
      <c r="E437" s="17"/>
      <c r="F437" s="54"/>
      <c r="G437" s="19"/>
      <c r="H437" s="17"/>
      <c r="I437" s="19"/>
      <c r="J437" s="21"/>
      <c r="K437" s="57"/>
      <c r="L437" s="24"/>
      <c r="M437" s="25"/>
      <c r="N437" s="25"/>
      <c r="O437" s="26"/>
      <c r="P437" s="26"/>
    </row>
    <row r="438">
      <c r="A438" s="52"/>
      <c r="B438" s="15"/>
      <c r="C438" s="16"/>
      <c r="D438" s="15"/>
      <c r="E438" s="17"/>
      <c r="F438" s="54"/>
      <c r="G438" s="19"/>
      <c r="H438" s="17"/>
      <c r="I438" s="19"/>
      <c r="J438" s="21"/>
      <c r="K438" s="57"/>
      <c r="L438" s="24"/>
      <c r="M438" s="25"/>
      <c r="N438" s="25"/>
      <c r="O438" s="26"/>
      <c r="P438" s="26"/>
    </row>
    <row r="439">
      <c r="A439" s="52"/>
      <c r="B439" s="15"/>
      <c r="C439" s="16"/>
      <c r="D439" s="15"/>
      <c r="E439" s="17"/>
      <c r="F439" s="54"/>
      <c r="G439" s="19"/>
      <c r="H439" s="17"/>
      <c r="I439" s="19"/>
      <c r="J439" s="21"/>
      <c r="K439" s="57"/>
      <c r="L439" s="24"/>
      <c r="M439" s="25"/>
      <c r="N439" s="25"/>
      <c r="O439" s="26"/>
      <c r="P439" s="26"/>
    </row>
    <row r="440">
      <c r="A440" s="52"/>
      <c r="B440" s="15"/>
      <c r="C440" s="16"/>
      <c r="D440" s="15"/>
      <c r="E440" s="17"/>
      <c r="F440" s="54"/>
      <c r="G440" s="19"/>
      <c r="H440" s="17"/>
      <c r="I440" s="19"/>
      <c r="J440" s="21"/>
      <c r="K440" s="57"/>
      <c r="L440" s="24"/>
      <c r="M440" s="25"/>
      <c r="N440" s="25"/>
      <c r="O440" s="26"/>
      <c r="P440" s="26"/>
    </row>
    <row r="441">
      <c r="A441" s="52"/>
      <c r="B441" s="15"/>
      <c r="C441" s="16"/>
      <c r="D441" s="15"/>
      <c r="E441" s="17"/>
      <c r="F441" s="54"/>
      <c r="G441" s="19"/>
      <c r="H441" s="17"/>
      <c r="I441" s="19"/>
      <c r="J441" s="21"/>
      <c r="K441" s="57"/>
      <c r="L441" s="24"/>
      <c r="M441" s="25"/>
      <c r="N441" s="25"/>
      <c r="O441" s="26"/>
      <c r="P441" s="26"/>
    </row>
    <row r="442">
      <c r="A442" s="52"/>
      <c r="B442" s="15"/>
      <c r="C442" s="16"/>
      <c r="D442" s="15"/>
      <c r="E442" s="17"/>
      <c r="F442" s="54"/>
      <c r="G442" s="19"/>
      <c r="H442" s="17"/>
      <c r="I442" s="19"/>
      <c r="J442" s="21"/>
      <c r="K442" s="57"/>
      <c r="L442" s="24"/>
      <c r="M442" s="25"/>
      <c r="N442" s="25"/>
      <c r="O442" s="26"/>
      <c r="P442" s="26"/>
    </row>
    <row r="443">
      <c r="A443" s="52"/>
      <c r="B443" s="15"/>
      <c r="C443" s="16"/>
      <c r="D443" s="15"/>
      <c r="E443" s="17"/>
      <c r="F443" s="54"/>
      <c r="G443" s="19"/>
      <c r="H443" s="17"/>
      <c r="I443" s="19"/>
      <c r="J443" s="21"/>
      <c r="K443" s="57"/>
      <c r="L443" s="24"/>
      <c r="M443" s="25"/>
      <c r="N443" s="25"/>
      <c r="O443" s="26"/>
      <c r="P443" s="26"/>
    </row>
    <row r="444">
      <c r="A444" s="52"/>
      <c r="B444" s="15"/>
      <c r="C444" s="16"/>
      <c r="D444" s="15"/>
      <c r="E444" s="17"/>
      <c r="F444" s="54"/>
      <c r="G444" s="19"/>
      <c r="H444" s="17"/>
      <c r="I444" s="19"/>
      <c r="J444" s="21"/>
      <c r="K444" s="57"/>
      <c r="L444" s="24"/>
      <c r="M444" s="25"/>
      <c r="N444" s="25"/>
      <c r="O444" s="26"/>
      <c r="P444" s="26"/>
    </row>
    <row r="445">
      <c r="A445" s="52"/>
      <c r="B445" s="15"/>
      <c r="C445" s="16"/>
      <c r="D445" s="15"/>
      <c r="E445" s="17"/>
      <c r="F445" s="54"/>
      <c r="G445" s="19"/>
      <c r="H445" s="17"/>
      <c r="I445" s="19"/>
      <c r="J445" s="21"/>
      <c r="K445" s="57"/>
      <c r="L445" s="24"/>
      <c r="M445" s="25"/>
      <c r="N445" s="25"/>
      <c r="O445" s="26"/>
      <c r="P445" s="26"/>
    </row>
    <row r="446">
      <c r="A446" s="52"/>
      <c r="B446" s="15"/>
      <c r="C446" s="16"/>
      <c r="D446" s="15"/>
      <c r="E446" s="17"/>
      <c r="F446" s="54"/>
      <c r="G446" s="19"/>
      <c r="H446" s="17"/>
      <c r="I446" s="19"/>
      <c r="J446" s="21"/>
      <c r="K446" s="57"/>
      <c r="L446" s="24"/>
      <c r="M446" s="25"/>
      <c r="N446" s="25"/>
      <c r="O446" s="26"/>
      <c r="P446" s="26"/>
    </row>
    <row r="447">
      <c r="A447" s="52"/>
      <c r="B447" s="15"/>
      <c r="C447" s="16"/>
      <c r="D447" s="15"/>
      <c r="E447" s="17"/>
      <c r="F447" s="54"/>
      <c r="G447" s="19"/>
      <c r="H447" s="17"/>
      <c r="I447" s="19"/>
      <c r="J447" s="21"/>
      <c r="K447" s="57"/>
      <c r="L447" s="24"/>
      <c r="M447" s="25"/>
      <c r="N447" s="25"/>
      <c r="O447" s="26"/>
      <c r="P447" s="26"/>
    </row>
    <row r="448">
      <c r="A448" s="52"/>
      <c r="B448" s="15"/>
      <c r="C448" s="16"/>
      <c r="D448" s="15"/>
      <c r="E448" s="17"/>
      <c r="F448" s="54"/>
      <c r="G448" s="19"/>
      <c r="H448" s="17"/>
      <c r="I448" s="19"/>
      <c r="J448" s="21"/>
      <c r="K448" s="57"/>
      <c r="L448" s="24"/>
      <c r="M448" s="25"/>
      <c r="N448" s="25"/>
      <c r="O448" s="26"/>
      <c r="P448" s="26"/>
    </row>
    <row r="449">
      <c r="A449" s="52"/>
      <c r="B449" s="15"/>
      <c r="C449" s="16"/>
      <c r="D449" s="15"/>
      <c r="E449" s="17"/>
      <c r="F449" s="54"/>
      <c r="G449" s="19"/>
      <c r="H449" s="17"/>
      <c r="I449" s="19"/>
      <c r="J449" s="21"/>
      <c r="K449" s="57"/>
      <c r="L449" s="24"/>
      <c r="M449" s="25"/>
      <c r="N449" s="25"/>
      <c r="O449" s="26"/>
      <c r="P449" s="26"/>
    </row>
    <row r="450">
      <c r="A450" s="52"/>
      <c r="B450" s="15"/>
      <c r="C450" s="16"/>
      <c r="D450" s="15"/>
      <c r="E450" s="17"/>
      <c r="F450" s="54"/>
      <c r="G450" s="19"/>
      <c r="H450" s="17"/>
      <c r="I450" s="19"/>
      <c r="J450" s="21"/>
      <c r="K450" s="57"/>
      <c r="L450" s="24"/>
      <c r="M450" s="25"/>
      <c r="N450" s="25"/>
      <c r="O450" s="26"/>
      <c r="P450" s="26"/>
    </row>
    <row r="451">
      <c r="A451" s="52"/>
      <c r="B451" s="15"/>
      <c r="C451" s="16"/>
      <c r="D451" s="15"/>
      <c r="E451" s="17"/>
      <c r="F451" s="54"/>
      <c r="G451" s="19"/>
      <c r="H451" s="17"/>
      <c r="I451" s="19"/>
      <c r="J451" s="21"/>
      <c r="K451" s="57"/>
      <c r="L451" s="24"/>
      <c r="M451" s="25"/>
      <c r="N451" s="25"/>
      <c r="O451" s="26"/>
      <c r="P451" s="26"/>
    </row>
    <row r="452">
      <c r="A452" s="52"/>
      <c r="B452" s="15"/>
      <c r="C452" s="16"/>
      <c r="D452" s="15"/>
      <c r="E452" s="17"/>
      <c r="F452" s="54"/>
      <c r="G452" s="19"/>
      <c r="H452" s="17"/>
      <c r="I452" s="19"/>
      <c r="J452" s="21"/>
      <c r="K452" s="57"/>
      <c r="L452" s="24"/>
      <c r="M452" s="25"/>
      <c r="N452" s="25"/>
      <c r="O452" s="26"/>
      <c r="P452" s="26"/>
    </row>
    <row r="453">
      <c r="A453" s="52"/>
      <c r="B453" s="15"/>
      <c r="C453" s="16"/>
      <c r="D453" s="15"/>
      <c r="E453" s="17"/>
      <c r="F453" s="54"/>
      <c r="G453" s="19"/>
      <c r="H453" s="17"/>
      <c r="I453" s="19"/>
      <c r="J453" s="21"/>
      <c r="K453" s="57"/>
      <c r="L453" s="24"/>
      <c r="M453" s="25"/>
      <c r="N453" s="25"/>
      <c r="O453" s="26"/>
      <c r="P453" s="26"/>
    </row>
    <row r="454">
      <c r="A454" s="52"/>
      <c r="B454" s="15"/>
      <c r="C454" s="16"/>
      <c r="D454" s="15"/>
      <c r="E454" s="17"/>
      <c r="F454" s="54"/>
      <c r="G454" s="19"/>
      <c r="H454" s="17"/>
      <c r="I454" s="19"/>
      <c r="J454" s="21"/>
      <c r="K454" s="57"/>
      <c r="L454" s="24"/>
      <c r="M454" s="25"/>
      <c r="N454" s="25"/>
      <c r="O454" s="26"/>
      <c r="P454" s="26"/>
    </row>
    <row r="455">
      <c r="A455" s="52"/>
      <c r="B455" s="15"/>
      <c r="C455" s="16"/>
      <c r="D455" s="15"/>
      <c r="E455" s="17"/>
      <c r="F455" s="54"/>
      <c r="G455" s="19"/>
      <c r="H455" s="17"/>
      <c r="I455" s="19"/>
      <c r="J455" s="21"/>
      <c r="K455" s="57"/>
      <c r="L455" s="24"/>
      <c r="M455" s="25"/>
      <c r="N455" s="25"/>
      <c r="O455" s="26"/>
      <c r="P455" s="26"/>
    </row>
    <row r="456">
      <c r="A456" s="52"/>
      <c r="B456" s="15"/>
      <c r="C456" s="16"/>
      <c r="D456" s="15"/>
      <c r="E456" s="17"/>
      <c r="F456" s="54"/>
      <c r="G456" s="19"/>
      <c r="H456" s="17"/>
      <c r="I456" s="19"/>
      <c r="J456" s="21"/>
      <c r="K456" s="57"/>
      <c r="L456" s="24"/>
      <c r="M456" s="25"/>
      <c r="N456" s="25"/>
      <c r="O456" s="26"/>
      <c r="P456" s="26"/>
    </row>
    <row r="457">
      <c r="A457" s="52"/>
      <c r="B457" s="15"/>
      <c r="C457" s="16"/>
      <c r="D457" s="15"/>
      <c r="E457" s="17"/>
      <c r="F457" s="54"/>
      <c r="G457" s="19"/>
      <c r="H457" s="17"/>
      <c r="I457" s="19"/>
      <c r="J457" s="21"/>
      <c r="K457" s="57"/>
      <c r="L457" s="24"/>
      <c r="M457" s="25"/>
      <c r="N457" s="25"/>
      <c r="O457" s="26"/>
      <c r="P457" s="26"/>
    </row>
    <row r="458">
      <c r="A458" s="52"/>
      <c r="B458" s="15"/>
      <c r="C458" s="16"/>
      <c r="D458" s="15"/>
      <c r="E458" s="17"/>
      <c r="F458" s="54"/>
      <c r="G458" s="19"/>
      <c r="H458" s="17"/>
      <c r="I458" s="19"/>
      <c r="J458" s="21"/>
      <c r="K458" s="57"/>
      <c r="L458" s="24"/>
      <c r="M458" s="25"/>
      <c r="N458" s="25"/>
      <c r="O458" s="26"/>
      <c r="P458" s="26"/>
    </row>
    <row r="459">
      <c r="A459" s="52"/>
      <c r="B459" s="15"/>
      <c r="C459" s="16"/>
      <c r="D459" s="15"/>
      <c r="E459" s="17"/>
      <c r="F459" s="54"/>
      <c r="G459" s="19"/>
      <c r="H459" s="17"/>
      <c r="I459" s="19"/>
      <c r="J459" s="21"/>
      <c r="K459" s="57"/>
      <c r="L459" s="24"/>
      <c r="M459" s="25"/>
      <c r="N459" s="25"/>
      <c r="O459" s="26"/>
      <c r="P459" s="26"/>
    </row>
    <row r="460">
      <c r="A460" s="52"/>
      <c r="B460" s="15"/>
      <c r="C460" s="16"/>
      <c r="D460" s="15"/>
      <c r="E460" s="17"/>
      <c r="F460" s="54"/>
      <c r="G460" s="19"/>
      <c r="H460" s="17"/>
      <c r="I460" s="19"/>
      <c r="J460" s="21"/>
      <c r="K460" s="57"/>
      <c r="L460" s="24"/>
      <c r="M460" s="25"/>
      <c r="N460" s="25"/>
      <c r="O460" s="26"/>
      <c r="P460" s="26"/>
    </row>
    <row r="461">
      <c r="A461" s="52"/>
      <c r="B461" s="15"/>
      <c r="C461" s="16"/>
      <c r="D461" s="15"/>
      <c r="E461" s="17"/>
      <c r="F461" s="54"/>
      <c r="G461" s="19"/>
      <c r="H461" s="17"/>
      <c r="I461" s="19"/>
      <c r="J461" s="21"/>
      <c r="K461" s="57"/>
      <c r="L461" s="24"/>
      <c r="M461" s="25"/>
      <c r="N461" s="25"/>
      <c r="O461" s="26"/>
      <c r="P461" s="26"/>
    </row>
    <row r="462">
      <c r="A462" s="52"/>
      <c r="B462" s="15"/>
      <c r="C462" s="16"/>
      <c r="D462" s="15"/>
      <c r="E462" s="17"/>
      <c r="F462" s="54"/>
      <c r="G462" s="19"/>
      <c r="H462" s="17"/>
      <c r="I462" s="19"/>
      <c r="J462" s="21"/>
      <c r="K462" s="57"/>
      <c r="L462" s="24"/>
      <c r="M462" s="25"/>
      <c r="N462" s="25"/>
      <c r="O462" s="26"/>
      <c r="P462" s="26"/>
    </row>
    <row r="463">
      <c r="A463" s="52"/>
      <c r="B463" s="15"/>
      <c r="C463" s="16"/>
      <c r="D463" s="15"/>
      <c r="E463" s="17"/>
      <c r="F463" s="54"/>
      <c r="G463" s="19"/>
      <c r="H463" s="17"/>
      <c r="I463" s="19"/>
      <c r="J463" s="21"/>
      <c r="K463" s="57"/>
      <c r="L463" s="24"/>
      <c r="M463" s="25"/>
      <c r="N463" s="25"/>
      <c r="O463" s="26"/>
      <c r="P463" s="26"/>
    </row>
    <row r="464">
      <c r="A464" s="52"/>
      <c r="B464" s="15"/>
      <c r="C464" s="16"/>
      <c r="D464" s="15"/>
      <c r="E464" s="17"/>
      <c r="F464" s="54"/>
      <c r="G464" s="19"/>
      <c r="H464" s="17"/>
      <c r="I464" s="19"/>
      <c r="J464" s="21"/>
      <c r="K464" s="57"/>
      <c r="L464" s="24"/>
      <c r="M464" s="25"/>
      <c r="N464" s="25"/>
      <c r="O464" s="26"/>
      <c r="P464" s="26"/>
    </row>
    <row r="465">
      <c r="A465" s="52"/>
      <c r="B465" s="15"/>
      <c r="C465" s="16"/>
      <c r="D465" s="15"/>
      <c r="E465" s="17"/>
      <c r="F465" s="54"/>
      <c r="G465" s="19"/>
      <c r="H465" s="17"/>
      <c r="I465" s="19"/>
      <c r="J465" s="21"/>
      <c r="K465" s="57"/>
      <c r="L465" s="24"/>
      <c r="M465" s="25"/>
      <c r="N465" s="25"/>
      <c r="O465" s="26"/>
      <c r="P465" s="26"/>
    </row>
    <row r="466">
      <c r="A466" s="52"/>
      <c r="B466" s="15"/>
      <c r="C466" s="16"/>
      <c r="D466" s="15"/>
      <c r="E466" s="17"/>
      <c r="F466" s="54"/>
      <c r="G466" s="19"/>
      <c r="H466" s="17"/>
      <c r="I466" s="19"/>
      <c r="J466" s="21"/>
      <c r="K466" s="57"/>
      <c r="L466" s="24"/>
      <c r="M466" s="25"/>
      <c r="N466" s="25"/>
      <c r="O466" s="26"/>
      <c r="P466" s="26"/>
    </row>
    <row r="467">
      <c r="A467" s="52"/>
      <c r="B467" s="15"/>
      <c r="C467" s="16"/>
      <c r="D467" s="15"/>
      <c r="E467" s="17"/>
      <c r="F467" s="54"/>
      <c r="G467" s="19"/>
      <c r="H467" s="17"/>
      <c r="I467" s="19"/>
      <c r="J467" s="21"/>
      <c r="K467" s="57"/>
      <c r="L467" s="24"/>
      <c r="M467" s="25"/>
      <c r="N467" s="25"/>
      <c r="O467" s="26"/>
      <c r="P467" s="26"/>
    </row>
    <row r="468">
      <c r="A468" s="52"/>
      <c r="B468" s="15"/>
      <c r="C468" s="16"/>
      <c r="D468" s="15"/>
      <c r="E468" s="17"/>
      <c r="F468" s="54"/>
      <c r="G468" s="19"/>
      <c r="H468" s="17"/>
      <c r="I468" s="19"/>
      <c r="J468" s="21"/>
      <c r="K468" s="57"/>
      <c r="L468" s="24"/>
      <c r="M468" s="25"/>
      <c r="N468" s="25"/>
      <c r="O468" s="26"/>
      <c r="P468" s="26"/>
    </row>
    <row r="469">
      <c r="A469" s="52"/>
      <c r="B469" s="15"/>
      <c r="C469" s="16"/>
      <c r="D469" s="15"/>
      <c r="E469" s="17"/>
      <c r="F469" s="54"/>
      <c r="G469" s="19"/>
      <c r="H469" s="17"/>
      <c r="I469" s="19"/>
      <c r="J469" s="21"/>
      <c r="K469" s="57"/>
      <c r="L469" s="24"/>
      <c r="M469" s="25"/>
      <c r="N469" s="25"/>
      <c r="O469" s="26"/>
      <c r="P469" s="26"/>
    </row>
    <row r="470">
      <c r="A470" s="52"/>
      <c r="B470" s="15"/>
      <c r="C470" s="16"/>
      <c r="D470" s="15"/>
      <c r="E470" s="17"/>
      <c r="F470" s="54"/>
      <c r="G470" s="19"/>
      <c r="H470" s="17"/>
      <c r="I470" s="19"/>
      <c r="J470" s="21"/>
      <c r="K470" s="57"/>
      <c r="L470" s="24"/>
      <c r="M470" s="25"/>
      <c r="N470" s="25"/>
      <c r="O470" s="26"/>
      <c r="P470" s="26"/>
    </row>
    <row r="471">
      <c r="A471" s="52"/>
      <c r="B471" s="15"/>
      <c r="C471" s="16"/>
      <c r="D471" s="15"/>
      <c r="E471" s="17"/>
      <c r="F471" s="54"/>
      <c r="G471" s="19"/>
      <c r="H471" s="17"/>
      <c r="I471" s="19"/>
      <c r="J471" s="21"/>
      <c r="K471" s="57"/>
      <c r="L471" s="24"/>
      <c r="M471" s="25"/>
      <c r="N471" s="25"/>
      <c r="O471" s="26"/>
      <c r="P471" s="26"/>
    </row>
    <row r="472">
      <c r="A472" s="52"/>
      <c r="B472" s="15"/>
      <c r="C472" s="16"/>
      <c r="D472" s="15"/>
      <c r="E472" s="17"/>
      <c r="F472" s="54"/>
      <c r="G472" s="19"/>
      <c r="H472" s="17"/>
      <c r="I472" s="19"/>
      <c r="J472" s="21"/>
      <c r="K472" s="57"/>
      <c r="L472" s="24"/>
      <c r="M472" s="25"/>
      <c r="N472" s="25"/>
      <c r="O472" s="26"/>
      <c r="P472" s="26"/>
    </row>
    <row r="473">
      <c r="A473" s="52"/>
      <c r="B473" s="15"/>
      <c r="C473" s="16"/>
      <c r="D473" s="15"/>
      <c r="E473" s="17"/>
      <c r="F473" s="54"/>
      <c r="G473" s="19"/>
      <c r="H473" s="17"/>
      <c r="I473" s="19"/>
      <c r="J473" s="21"/>
      <c r="K473" s="57"/>
      <c r="L473" s="24"/>
      <c r="M473" s="25"/>
      <c r="N473" s="25"/>
      <c r="O473" s="26"/>
      <c r="P473" s="26"/>
    </row>
    <row r="474">
      <c r="A474" s="52"/>
      <c r="B474" s="15"/>
      <c r="C474" s="16"/>
      <c r="D474" s="15"/>
      <c r="E474" s="17"/>
      <c r="F474" s="54"/>
      <c r="G474" s="19"/>
      <c r="H474" s="17"/>
      <c r="I474" s="19"/>
      <c r="J474" s="21"/>
      <c r="K474" s="57"/>
      <c r="L474" s="24"/>
      <c r="M474" s="25"/>
      <c r="N474" s="25"/>
      <c r="O474" s="26"/>
      <c r="P474" s="26"/>
    </row>
    <row r="475">
      <c r="A475" s="52"/>
      <c r="B475" s="15"/>
      <c r="C475" s="16"/>
      <c r="D475" s="15"/>
      <c r="E475" s="17"/>
      <c r="F475" s="54"/>
      <c r="G475" s="19"/>
      <c r="H475" s="17"/>
      <c r="I475" s="19"/>
      <c r="J475" s="21"/>
      <c r="K475" s="57"/>
      <c r="L475" s="24"/>
      <c r="M475" s="25"/>
      <c r="N475" s="25"/>
      <c r="O475" s="26"/>
      <c r="P475" s="26"/>
    </row>
    <row r="476">
      <c r="A476" s="52"/>
      <c r="B476" s="15"/>
      <c r="C476" s="16"/>
      <c r="D476" s="15"/>
      <c r="E476" s="17"/>
      <c r="F476" s="54"/>
      <c r="G476" s="19"/>
      <c r="H476" s="17"/>
      <c r="I476" s="19"/>
      <c r="J476" s="21"/>
      <c r="K476" s="57"/>
      <c r="L476" s="24"/>
      <c r="M476" s="25"/>
      <c r="N476" s="25"/>
      <c r="O476" s="26"/>
      <c r="P476" s="26"/>
    </row>
    <row r="477">
      <c r="A477" s="52"/>
      <c r="B477" s="15"/>
      <c r="C477" s="16"/>
      <c r="D477" s="15"/>
      <c r="E477" s="17"/>
      <c r="F477" s="54"/>
      <c r="G477" s="19"/>
      <c r="H477" s="17"/>
      <c r="I477" s="19"/>
      <c r="J477" s="21"/>
      <c r="K477" s="57"/>
      <c r="L477" s="24"/>
      <c r="M477" s="25"/>
      <c r="N477" s="25"/>
      <c r="O477" s="26"/>
      <c r="P477" s="26"/>
    </row>
    <row r="478">
      <c r="A478" s="52"/>
      <c r="B478" s="15"/>
      <c r="C478" s="16"/>
      <c r="D478" s="15"/>
      <c r="E478" s="17"/>
      <c r="F478" s="54"/>
      <c r="G478" s="19"/>
      <c r="H478" s="17"/>
      <c r="I478" s="19"/>
      <c r="J478" s="21"/>
      <c r="K478" s="57"/>
      <c r="L478" s="24"/>
      <c r="M478" s="25"/>
      <c r="N478" s="25"/>
      <c r="O478" s="26"/>
      <c r="P478" s="26"/>
    </row>
    <row r="479">
      <c r="A479" s="52"/>
      <c r="B479" s="15"/>
      <c r="C479" s="16"/>
      <c r="D479" s="15"/>
      <c r="E479" s="17"/>
      <c r="F479" s="54"/>
      <c r="G479" s="19"/>
      <c r="H479" s="17"/>
      <c r="I479" s="19"/>
      <c r="J479" s="21"/>
      <c r="K479" s="57"/>
      <c r="L479" s="24"/>
      <c r="M479" s="25"/>
      <c r="N479" s="25"/>
      <c r="O479" s="26"/>
      <c r="P479" s="26"/>
    </row>
    <row r="480">
      <c r="A480" s="52"/>
      <c r="B480" s="15"/>
      <c r="C480" s="16"/>
      <c r="D480" s="15"/>
      <c r="E480" s="17"/>
      <c r="F480" s="54"/>
      <c r="G480" s="19"/>
      <c r="H480" s="17"/>
      <c r="I480" s="19"/>
      <c r="J480" s="21"/>
      <c r="K480" s="57"/>
      <c r="L480" s="24"/>
      <c r="M480" s="25"/>
      <c r="N480" s="25"/>
      <c r="O480" s="26"/>
      <c r="P480" s="26"/>
    </row>
    <row r="481">
      <c r="A481" s="52"/>
      <c r="B481" s="15"/>
      <c r="C481" s="16"/>
      <c r="D481" s="15"/>
      <c r="E481" s="17"/>
      <c r="F481" s="54"/>
      <c r="G481" s="19"/>
      <c r="H481" s="17"/>
      <c r="I481" s="19"/>
      <c r="J481" s="21"/>
      <c r="K481" s="57"/>
      <c r="L481" s="24"/>
      <c r="M481" s="25"/>
      <c r="N481" s="25"/>
      <c r="O481" s="26"/>
      <c r="P481" s="26"/>
    </row>
    <row r="482">
      <c r="A482" s="52"/>
      <c r="B482" s="15"/>
      <c r="C482" s="16"/>
      <c r="D482" s="15"/>
      <c r="E482" s="17"/>
      <c r="F482" s="54"/>
      <c r="G482" s="19"/>
      <c r="H482" s="17"/>
      <c r="I482" s="19"/>
      <c r="J482" s="21"/>
      <c r="K482" s="57"/>
      <c r="L482" s="24"/>
      <c r="M482" s="25"/>
      <c r="N482" s="25"/>
      <c r="O482" s="26"/>
      <c r="P482" s="26"/>
    </row>
    <row r="483">
      <c r="A483" s="52"/>
      <c r="B483" s="15"/>
      <c r="C483" s="16"/>
      <c r="D483" s="15"/>
      <c r="E483" s="17"/>
      <c r="F483" s="54"/>
      <c r="G483" s="19"/>
      <c r="H483" s="17"/>
      <c r="I483" s="19"/>
      <c r="J483" s="21"/>
      <c r="K483" s="57"/>
      <c r="L483" s="24"/>
      <c r="M483" s="25"/>
      <c r="N483" s="25"/>
      <c r="O483" s="26"/>
      <c r="P483" s="26"/>
    </row>
    <row r="484">
      <c r="A484" s="52"/>
      <c r="B484" s="15"/>
      <c r="C484" s="16"/>
      <c r="D484" s="15"/>
      <c r="E484" s="17"/>
      <c r="F484" s="54"/>
      <c r="G484" s="19"/>
      <c r="H484" s="17"/>
      <c r="I484" s="19"/>
      <c r="J484" s="21"/>
      <c r="K484" s="57"/>
      <c r="L484" s="24"/>
      <c r="M484" s="25"/>
      <c r="N484" s="25"/>
      <c r="O484" s="26"/>
      <c r="P484" s="26"/>
    </row>
    <row r="485">
      <c r="A485" s="52"/>
      <c r="B485" s="15"/>
      <c r="C485" s="16"/>
      <c r="D485" s="15"/>
      <c r="E485" s="17"/>
      <c r="F485" s="54"/>
      <c r="G485" s="19"/>
      <c r="H485" s="17"/>
      <c r="I485" s="19"/>
      <c r="J485" s="21"/>
      <c r="K485" s="57"/>
      <c r="L485" s="24"/>
      <c r="M485" s="25"/>
      <c r="N485" s="25"/>
      <c r="O485" s="26"/>
      <c r="P485" s="26"/>
    </row>
    <row r="486">
      <c r="A486" s="52"/>
      <c r="B486" s="15"/>
      <c r="C486" s="16"/>
      <c r="D486" s="15"/>
      <c r="E486" s="17"/>
      <c r="F486" s="54"/>
      <c r="G486" s="19"/>
      <c r="H486" s="17"/>
      <c r="I486" s="19"/>
      <c r="J486" s="21"/>
      <c r="K486" s="57"/>
      <c r="L486" s="24"/>
      <c r="M486" s="25"/>
      <c r="N486" s="25"/>
      <c r="O486" s="26"/>
      <c r="P486" s="26"/>
    </row>
    <row r="487">
      <c r="A487" s="52"/>
      <c r="B487" s="15"/>
      <c r="C487" s="16"/>
      <c r="D487" s="15"/>
      <c r="E487" s="17"/>
      <c r="F487" s="54"/>
      <c r="G487" s="19"/>
      <c r="H487" s="17"/>
      <c r="I487" s="19"/>
      <c r="J487" s="21"/>
      <c r="K487" s="57"/>
      <c r="L487" s="24"/>
      <c r="M487" s="25"/>
      <c r="N487" s="25"/>
      <c r="O487" s="26"/>
      <c r="P487" s="26"/>
    </row>
    <row r="488">
      <c r="A488" s="52"/>
      <c r="B488" s="15"/>
      <c r="C488" s="16"/>
      <c r="D488" s="15"/>
      <c r="E488" s="17"/>
      <c r="F488" s="54"/>
      <c r="G488" s="19"/>
      <c r="H488" s="17"/>
      <c r="I488" s="19"/>
      <c r="J488" s="21"/>
      <c r="K488" s="57"/>
      <c r="L488" s="24"/>
      <c r="M488" s="25"/>
      <c r="N488" s="25"/>
      <c r="O488" s="26"/>
      <c r="P488" s="26"/>
    </row>
    <row r="489">
      <c r="A489" s="52"/>
      <c r="B489" s="15"/>
      <c r="C489" s="16"/>
      <c r="D489" s="15"/>
      <c r="E489" s="17"/>
      <c r="F489" s="54"/>
      <c r="G489" s="19"/>
      <c r="H489" s="17"/>
      <c r="I489" s="19"/>
      <c r="J489" s="21"/>
      <c r="K489" s="57"/>
      <c r="L489" s="24"/>
      <c r="M489" s="25"/>
      <c r="N489" s="25"/>
      <c r="O489" s="26"/>
      <c r="P489" s="26"/>
    </row>
    <row r="490">
      <c r="A490" s="52"/>
      <c r="B490" s="15"/>
      <c r="C490" s="16"/>
      <c r="D490" s="15"/>
      <c r="E490" s="17"/>
      <c r="F490" s="54"/>
      <c r="G490" s="19"/>
      <c r="H490" s="17"/>
      <c r="I490" s="19"/>
      <c r="J490" s="21"/>
      <c r="K490" s="57"/>
      <c r="L490" s="24"/>
      <c r="M490" s="25"/>
      <c r="N490" s="25"/>
      <c r="O490" s="26"/>
      <c r="P490" s="26"/>
    </row>
    <row r="491">
      <c r="A491" s="52"/>
      <c r="B491" s="15"/>
      <c r="C491" s="16"/>
      <c r="D491" s="15"/>
      <c r="E491" s="17"/>
      <c r="F491" s="54"/>
      <c r="G491" s="19"/>
      <c r="H491" s="17"/>
      <c r="I491" s="19"/>
      <c r="J491" s="21"/>
      <c r="K491" s="57"/>
      <c r="L491" s="24"/>
      <c r="M491" s="25"/>
      <c r="N491" s="25"/>
      <c r="O491" s="26"/>
      <c r="P491" s="26"/>
    </row>
    <row r="492">
      <c r="A492" s="52"/>
      <c r="B492" s="15"/>
      <c r="C492" s="16"/>
      <c r="D492" s="15"/>
      <c r="E492" s="17"/>
      <c r="F492" s="54"/>
      <c r="G492" s="19"/>
      <c r="H492" s="17"/>
      <c r="I492" s="19"/>
      <c r="J492" s="21"/>
      <c r="K492" s="57"/>
      <c r="L492" s="24"/>
      <c r="M492" s="25"/>
      <c r="N492" s="25"/>
      <c r="O492" s="26"/>
      <c r="P492" s="26"/>
    </row>
    <row r="493">
      <c r="A493" s="52"/>
      <c r="B493" s="15"/>
      <c r="C493" s="16"/>
      <c r="D493" s="15"/>
      <c r="E493" s="17"/>
      <c r="F493" s="54"/>
      <c r="G493" s="19"/>
      <c r="H493" s="17"/>
      <c r="I493" s="19"/>
      <c r="J493" s="21"/>
      <c r="K493" s="57"/>
      <c r="L493" s="24"/>
      <c r="M493" s="25"/>
      <c r="N493" s="25"/>
      <c r="O493" s="26"/>
      <c r="P493" s="26"/>
    </row>
    <row r="494">
      <c r="A494" s="52"/>
      <c r="B494" s="15"/>
      <c r="C494" s="16"/>
      <c r="D494" s="15"/>
      <c r="E494" s="17"/>
      <c r="F494" s="54"/>
      <c r="G494" s="19"/>
      <c r="H494" s="17"/>
      <c r="I494" s="19"/>
      <c r="J494" s="21"/>
      <c r="K494" s="57"/>
      <c r="L494" s="24"/>
      <c r="M494" s="25"/>
      <c r="N494" s="25"/>
      <c r="O494" s="26"/>
      <c r="P494" s="26"/>
    </row>
    <row r="495">
      <c r="A495" s="52"/>
      <c r="B495" s="15"/>
      <c r="C495" s="16"/>
      <c r="D495" s="15"/>
      <c r="E495" s="17"/>
      <c r="F495" s="54"/>
      <c r="G495" s="19"/>
      <c r="H495" s="17"/>
      <c r="I495" s="19"/>
      <c r="J495" s="21"/>
      <c r="K495" s="57"/>
      <c r="L495" s="24"/>
      <c r="M495" s="25"/>
      <c r="N495" s="25"/>
      <c r="O495" s="26"/>
      <c r="P495" s="26"/>
    </row>
    <row r="496">
      <c r="A496" s="52"/>
      <c r="B496" s="15"/>
      <c r="C496" s="16"/>
      <c r="D496" s="15"/>
      <c r="E496" s="17"/>
      <c r="F496" s="54"/>
      <c r="G496" s="19"/>
      <c r="H496" s="17"/>
      <c r="I496" s="19"/>
      <c r="J496" s="21"/>
      <c r="K496" s="57"/>
      <c r="L496" s="24"/>
      <c r="M496" s="25"/>
      <c r="N496" s="25"/>
      <c r="O496" s="26"/>
      <c r="P496" s="26"/>
    </row>
    <row r="497">
      <c r="A497" s="52"/>
      <c r="B497" s="15"/>
      <c r="C497" s="16"/>
      <c r="D497" s="15"/>
      <c r="E497" s="17"/>
      <c r="F497" s="54"/>
      <c r="G497" s="19"/>
      <c r="H497" s="17"/>
      <c r="I497" s="19"/>
      <c r="J497" s="21"/>
      <c r="K497" s="57"/>
      <c r="L497" s="24"/>
      <c r="M497" s="25"/>
      <c r="N497" s="25"/>
      <c r="O497" s="26"/>
      <c r="P497" s="26"/>
    </row>
    <row r="498">
      <c r="A498" s="52"/>
      <c r="B498" s="15"/>
      <c r="C498" s="16"/>
      <c r="D498" s="15"/>
      <c r="E498" s="17"/>
      <c r="F498" s="54"/>
      <c r="G498" s="19"/>
      <c r="H498" s="17"/>
      <c r="I498" s="19"/>
      <c r="J498" s="21"/>
      <c r="K498" s="57"/>
      <c r="L498" s="24"/>
      <c r="M498" s="25"/>
      <c r="N498" s="25"/>
      <c r="O498" s="26"/>
      <c r="P498" s="26"/>
    </row>
    <row r="499">
      <c r="A499" s="52"/>
      <c r="B499" s="15"/>
      <c r="C499" s="16"/>
      <c r="D499" s="15"/>
      <c r="E499" s="17"/>
      <c r="F499" s="54"/>
      <c r="G499" s="19"/>
      <c r="H499" s="17"/>
      <c r="I499" s="19"/>
      <c r="J499" s="21"/>
      <c r="K499" s="57"/>
      <c r="L499" s="24"/>
      <c r="M499" s="25"/>
      <c r="N499" s="25"/>
      <c r="O499" s="26"/>
      <c r="P499" s="26"/>
    </row>
    <row r="500">
      <c r="A500" s="52"/>
      <c r="B500" s="15"/>
      <c r="C500" s="16"/>
      <c r="D500" s="15"/>
      <c r="E500" s="17"/>
      <c r="F500" s="54"/>
      <c r="G500" s="19"/>
      <c r="H500" s="17"/>
      <c r="I500" s="19"/>
      <c r="J500" s="21"/>
      <c r="K500" s="57"/>
      <c r="L500" s="24"/>
      <c r="M500" s="25"/>
      <c r="N500" s="25"/>
      <c r="O500" s="26"/>
      <c r="P500" s="26"/>
    </row>
    <row r="501">
      <c r="A501" s="52"/>
      <c r="B501" s="15"/>
      <c r="C501" s="16"/>
      <c r="D501" s="15"/>
      <c r="E501" s="17"/>
      <c r="F501" s="54"/>
      <c r="G501" s="19"/>
      <c r="H501" s="17"/>
      <c r="I501" s="19"/>
      <c r="J501" s="21"/>
      <c r="K501" s="57"/>
      <c r="L501" s="24"/>
      <c r="M501" s="25"/>
      <c r="N501" s="25"/>
      <c r="O501" s="26"/>
      <c r="P501" s="26"/>
    </row>
    <row r="502">
      <c r="A502" s="52"/>
      <c r="B502" s="15"/>
      <c r="C502" s="16"/>
      <c r="D502" s="15"/>
      <c r="E502" s="17"/>
      <c r="F502" s="54"/>
      <c r="G502" s="19"/>
      <c r="H502" s="17"/>
      <c r="I502" s="19"/>
      <c r="J502" s="21"/>
      <c r="K502" s="57"/>
      <c r="L502" s="24"/>
      <c r="M502" s="25"/>
      <c r="N502" s="25"/>
      <c r="O502" s="26"/>
      <c r="P502" s="26"/>
    </row>
    <row r="503">
      <c r="A503" s="52"/>
      <c r="B503" s="15"/>
      <c r="C503" s="16"/>
      <c r="D503" s="15"/>
      <c r="E503" s="17"/>
      <c r="F503" s="54"/>
      <c r="G503" s="19"/>
      <c r="H503" s="17"/>
      <c r="I503" s="19"/>
      <c r="J503" s="21"/>
      <c r="K503" s="57"/>
      <c r="L503" s="24"/>
      <c r="M503" s="25"/>
      <c r="N503" s="25"/>
      <c r="O503" s="26"/>
      <c r="P503" s="26"/>
    </row>
    <row r="504">
      <c r="A504" s="52"/>
      <c r="B504" s="15"/>
      <c r="C504" s="16"/>
      <c r="D504" s="15"/>
      <c r="E504" s="17"/>
      <c r="F504" s="54"/>
      <c r="G504" s="19"/>
      <c r="H504" s="17"/>
      <c r="I504" s="19"/>
      <c r="J504" s="21"/>
      <c r="K504" s="57"/>
      <c r="L504" s="24"/>
      <c r="M504" s="25"/>
      <c r="N504" s="25"/>
      <c r="O504" s="26"/>
      <c r="P504" s="26"/>
    </row>
    <row r="505">
      <c r="A505" s="52"/>
      <c r="B505" s="15"/>
      <c r="C505" s="16"/>
      <c r="D505" s="15"/>
      <c r="E505" s="17"/>
      <c r="F505" s="54"/>
      <c r="G505" s="19"/>
      <c r="H505" s="17"/>
      <c r="I505" s="19"/>
      <c r="J505" s="21"/>
      <c r="K505" s="57"/>
      <c r="L505" s="24"/>
      <c r="M505" s="25"/>
      <c r="N505" s="25"/>
      <c r="O505" s="26"/>
      <c r="P505" s="26"/>
    </row>
    <row r="506">
      <c r="A506" s="52"/>
      <c r="B506" s="15"/>
      <c r="C506" s="16"/>
      <c r="D506" s="15"/>
      <c r="E506" s="17"/>
      <c r="F506" s="54"/>
      <c r="G506" s="19"/>
      <c r="H506" s="17"/>
      <c r="I506" s="19"/>
      <c r="J506" s="21"/>
      <c r="K506" s="57"/>
      <c r="L506" s="24"/>
      <c r="M506" s="25"/>
      <c r="N506" s="25"/>
      <c r="O506" s="26"/>
      <c r="P506" s="26"/>
    </row>
    <row r="507">
      <c r="A507" s="52"/>
      <c r="B507" s="15"/>
      <c r="C507" s="16"/>
      <c r="D507" s="15"/>
      <c r="E507" s="17"/>
      <c r="F507" s="54"/>
      <c r="G507" s="19"/>
      <c r="H507" s="17"/>
      <c r="I507" s="19"/>
      <c r="J507" s="21"/>
      <c r="K507" s="57"/>
      <c r="L507" s="24"/>
      <c r="M507" s="25"/>
      <c r="N507" s="25"/>
      <c r="O507" s="26"/>
      <c r="P507" s="26"/>
    </row>
    <row r="508">
      <c r="A508" s="52"/>
      <c r="B508" s="15"/>
      <c r="C508" s="16"/>
      <c r="D508" s="15"/>
      <c r="E508" s="17"/>
      <c r="F508" s="54"/>
      <c r="G508" s="19"/>
      <c r="H508" s="17"/>
      <c r="I508" s="19"/>
      <c r="J508" s="21"/>
      <c r="K508" s="57"/>
      <c r="L508" s="24"/>
      <c r="M508" s="25"/>
      <c r="N508" s="25"/>
      <c r="O508" s="26"/>
      <c r="P508" s="26"/>
    </row>
    <row r="509">
      <c r="A509" s="52"/>
      <c r="B509" s="15"/>
      <c r="C509" s="16"/>
      <c r="D509" s="15"/>
      <c r="E509" s="17"/>
      <c r="F509" s="54"/>
      <c r="G509" s="19"/>
      <c r="H509" s="17"/>
      <c r="I509" s="19"/>
      <c r="J509" s="21"/>
      <c r="K509" s="57"/>
      <c r="L509" s="24"/>
      <c r="M509" s="25"/>
      <c r="N509" s="25"/>
      <c r="O509" s="26"/>
      <c r="P509" s="26"/>
    </row>
    <row r="510">
      <c r="A510" s="52"/>
      <c r="B510" s="15"/>
      <c r="C510" s="16"/>
      <c r="D510" s="15"/>
      <c r="E510" s="17"/>
      <c r="F510" s="54"/>
      <c r="G510" s="19"/>
      <c r="H510" s="17"/>
      <c r="I510" s="19"/>
      <c r="J510" s="21"/>
      <c r="K510" s="57"/>
      <c r="L510" s="24"/>
      <c r="M510" s="25"/>
      <c r="N510" s="25"/>
      <c r="O510" s="26"/>
      <c r="P510" s="26"/>
    </row>
    <row r="511">
      <c r="A511" s="52"/>
      <c r="B511" s="15"/>
      <c r="C511" s="16"/>
      <c r="D511" s="15"/>
      <c r="E511" s="17"/>
      <c r="F511" s="54"/>
      <c r="G511" s="19"/>
      <c r="H511" s="17"/>
      <c r="I511" s="19"/>
      <c r="J511" s="21"/>
      <c r="K511" s="57"/>
      <c r="L511" s="24"/>
      <c r="M511" s="25"/>
      <c r="N511" s="25"/>
      <c r="O511" s="26"/>
      <c r="P511" s="26"/>
    </row>
    <row r="512">
      <c r="A512" s="52"/>
      <c r="B512" s="15"/>
      <c r="C512" s="16"/>
      <c r="D512" s="15"/>
      <c r="E512" s="17"/>
      <c r="F512" s="54"/>
      <c r="G512" s="19"/>
      <c r="H512" s="17"/>
      <c r="I512" s="19"/>
      <c r="J512" s="21"/>
      <c r="K512" s="57"/>
      <c r="L512" s="24"/>
      <c r="M512" s="25"/>
      <c r="N512" s="25"/>
      <c r="O512" s="26"/>
      <c r="P512" s="26"/>
    </row>
    <row r="513">
      <c r="A513" s="52"/>
      <c r="B513" s="15"/>
      <c r="C513" s="16"/>
      <c r="D513" s="15"/>
      <c r="E513" s="17"/>
      <c r="F513" s="54"/>
      <c r="G513" s="19"/>
      <c r="H513" s="17"/>
      <c r="I513" s="19"/>
      <c r="J513" s="21"/>
      <c r="K513" s="57"/>
      <c r="L513" s="24"/>
      <c r="M513" s="25"/>
      <c r="N513" s="25"/>
      <c r="O513" s="26"/>
      <c r="P513" s="26"/>
    </row>
    <row r="514">
      <c r="A514" s="52"/>
      <c r="B514" s="15"/>
      <c r="C514" s="16"/>
      <c r="D514" s="15"/>
      <c r="E514" s="17"/>
      <c r="F514" s="54"/>
      <c r="G514" s="19"/>
      <c r="H514" s="17"/>
      <c r="I514" s="19"/>
      <c r="J514" s="21"/>
      <c r="K514" s="57"/>
      <c r="L514" s="24"/>
      <c r="M514" s="25"/>
      <c r="N514" s="25"/>
      <c r="O514" s="26"/>
      <c r="P514" s="26"/>
    </row>
    <row r="515">
      <c r="A515" s="52"/>
      <c r="B515" s="15"/>
      <c r="C515" s="16"/>
      <c r="D515" s="15"/>
      <c r="E515" s="17"/>
      <c r="F515" s="54"/>
      <c r="G515" s="19"/>
      <c r="H515" s="17"/>
      <c r="I515" s="19"/>
      <c r="J515" s="21"/>
      <c r="K515" s="57"/>
      <c r="L515" s="24"/>
      <c r="M515" s="25"/>
      <c r="N515" s="25"/>
      <c r="O515" s="26"/>
      <c r="P515" s="26"/>
    </row>
    <row r="516">
      <c r="A516" s="52"/>
      <c r="B516" s="15"/>
      <c r="C516" s="16"/>
      <c r="D516" s="15"/>
      <c r="E516" s="17"/>
      <c r="F516" s="54"/>
      <c r="G516" s="19"/>
      <c r="H516" s="17"/>
      <c r="I516" s="19"/>
      <c r="J516" s="21"/>
      <c r="K516" s="57"/>
      <c r="L516" s="24"/>
      <c r="M516" s="25"/>
      <c r="N516" s="25"/>
      <c r="O516" s="26"/>
      <c r="P516" s="26"/>
    </row>
    <row r="517">
      <c r="A517" s="52"/>
      <c r="B517" s="15"/>
      <c r="C517" s="16"/>
      <c r="D517" s="15"/>
      <c r="E517" s="17"/>
      <c r="F517" s="54"/>
      <c r="G517" s="19"/>
      <c r="H517" s="17"/>
      <c r="I517" s="19"/>
      <c r="J517" s="21"/>
      <c r="K517" s="57"/>
      <c r="L517" s="24"/>
      <c r="M517" s="25"/>
      <c r="N517" s="25"/>
      <c r="O517" s="26"/>
      <c r="P517" s="26"/>
    </row>
    <row r="518">
      <c r="A518" s="52"/>
      <c r="B518" s="15"/>
      <c r="C518" s="16"/>
      <c r="D518" s="15"/>
      <c r="E518" s="17"/>
      <c r="F518" s="54"/>
      <c r="G518" s="19"/>
      <c r="H518" s="17"/>
      <c r="I518" s="19"/>
      <c r="J518" s="21"/>
      <c r="K518" s="57"/>
      <c r="L518" s="24"/>
      <c r="M518" s="25"/>
      <c r="N518" s="25"/>
      <c r="O518" s="26"/>
      <c r="P518" s="26"/>
    </row>
    <row r="519">
      <c r="A519" s="52"/>
      <c r="B519" s="15"/>
      <c r="C519" s="16"/>
      <c r="D519" s="15"/>
      <c r="E519" s="17"/>
      <c r="F519" s="54"/>
      <c r="G519" s="19"/>
      <c r="H519" s="17"/>
      <c r="I519" s="19"/>
      <c r="J519" s="21"/>
      <c r="K519" s="57"/>
      <c r="L519" s="24"/>
      <c r="M519" s="25"/>
      <c r="N519" s="25"/>
      <c r="O519" s="26"/>
      <c r="P519" s="26"/>
    </row>
    <row r="520">
      <c r="A520" s="52"/>
      <c r="B520" s="15"/>
      <c r="C520" s="16"/>
      <c r="D520" s="15"/>
      <c r="E520" s="17"/>
      <c r="F520" s="54"/>
      <c r="G520" s="19"/>
      <c r="H520" s="17"/>
      <c r="I520" s="19"/>
      <c r="J520" s="21"/>
      <c r="K520" s="57"/>
      <c r="L520" s="24"/>
      <c r="M520" s="25"/>
      <c r="N520" s="25"/>
      <c r="O520" s="26"/>
      <c r="P520" s="26"/>
    </row>
    <row r="521">
      <c r="A521" s="52"/>
      <c r="B521" s="15"/>
      <c r="C521" s="16"/>
      <c r="D521" s="15"/>
      <c r="E521" s="17"/>
      <c r="F521" s="54"/>
      <c r="G521" s="19"/>
      <c r="H521" s="17"/>
      <c r="I521" s="19"/>
      <c r="J521" s="21"/>
      <c r="K521" s="57"/>
      <c r="L521" s="24"/>
      <c r="M521" s="25"/>
      <c r="N521" s="25"/>
      <c r="O521" s="26"/>
      <c r="P521" s="26"/>
    </row>
    <row r="522">
      <c r="A522" s="52"/>
      <c r="B522" s="15"/>
      <c r="C522" s="16"/>
      <c r="D522" s="15"/>
      <c r="E522" s="17"/>
      <c r="F522" s="54"/>
      <c r="G522" s="19"/>
      <c r="H522" s="17"/>
      <c r="I522" s="19"/>
      <c r="J522" s="21"/>
      <c r="K522" s="57"/>
      <c r="L522" s="24"/>
      <c r="M522" s="25"/>
      <c r="N522" s="25"/>
      <c r="O522" s="26"/>
      <c r="P522" s="26"/>
    </row>
    <row r="523">
      <c r="A523" s="52"/>
      <c r="B523" s="15"/>
      <c r="C523" s="16"/>
      <c r="D523" s="15"/>
      <c r="E523" s="17"/>
      <c r="F523" s="54"/>
      <c r="G523" s="19"/>
      <c r="H523" s="17"/>
      <c r="I523" s="19"/>
      <c r="J523" s="21"/>
      <c r="K523" s="57"/>
      <c r="L523" s="24"/>
      <c r="M523" s="25"/>
      <c r="N523" s="25"/>
      <c r="O523" s="26"/>
      <c r="P523" s="26"/>
    </row>
    <row r="524">
      <c r="A524" s="52"/>
      <c r="B524" s="15"/>
      <c r="C524" s="16"/>
      <c r="D524" s="15"/>
      <c r="E524" s="17"/>
      <c r="F524" s="54"/>
      <c r="G524" s="19"/>
      <c r="H524" s="17"/>
      <c r="I524" s="19"/>
      <c r="J524" s="21"/>
      <c r="K524" s="57"/>
      <c r="L524" s="24"/>
      <c r="M524" s="25"/>
      <c r="N524" s="25"/>
      <c r="O524" s="26"/>
      <c r="P524" s="26"/>
    </row>
    <row r="525">
      <c r="A525" s="52"/>
      <c r="B525" s="15"/>
      <c r="C525" s="16"/>
      <c r="D525" s="15"/>
      <c r="E525" s="17"/>
      <c r="F525" s="54"/>
      <c r="G525" s="19"/>
      <c r="H525" s="17"/>
      <c r="I525" s="19"/>
      <c r="J525" s="21"/>
      <c r="K525" s="57"/>
      <c r="L525" s="24"/>
      <c r="M525" s="25"/>
      <c r="N525" s="25"/>
      <c r="O525" s="26"/>
      <c r="P525" s="26"/>
    </row>
    <row r="526">
      <c r="A526" s="52"/>
      <c r="B526" s="15"/>
      <c r="C526" s="16"/>
      <c r="D526" s="15"/>
      <c r="E526" s="17"/>
      <c r="F526" s="54"/>
      <c r="G526" s="19"/>
      <c r="H526" s="17"/>
      <c r="I526" s="19"/>
      <c r="J526" s="21"/>
      <c r="K526" s="57"/>
      <c r="L526" s="24"/>
      <c r="M526" s="25"/>
      <c r="N526" s="25"/>
      <c r="O526" s="26"/>
      <c r="P526" s="26"/>
    </row>
    <row r="527">
      <c r="A527" s="52"/>
      <c r="B527" s="15"/>
      <c r="C527" s="16"/>
      <c r="D527" s="15"/>
      <c r="E527" s="17"/>
      <c r="F527" s="54"/>
      <c r="G527" s="19"/>
      <c r="H527" s="17"/>
      <c r="I527" s="19"/>
      <c r="J527" s="21"/>
      <c r="K527" s="57"/>
      <c r="L527" s="24"/>
      <c r="M527" s="25"/>
      <c r="N527" s="25"/>
      <c r="O527" s="26"/>
      <c r="P527" s="26"/>
    </row>
    <row r="528">
      <c r="A528" s="52"/>
      <c r="B528" s="15"/>
      <c r="C528" s="16"/>
      <c r="D528" s="15"/>
      <c r="E528" s="17"/>
      <c r="F528" s="54"/>
      <c r="G528" s="19"/>
      <c r="H528" s="17"/>
      <c r="I528" s="19"/>
      <c r="J528" s="21"/>
      <c r="K528" s="57"/>
      <c r="L528" s="24"/>
      <c r="M528" s="25"/>
      <c r="N528" s="25"/>
      <c r="O528" s="26"/>
      <c r="P528" s="26"/>
    </row>
    <row r="529">
      <c r="A529" s="52"/>
      <c r="B529" s="15"/>
      <c r="C529" s="16"/>
      <c r="D529" s="15"/>
      <c r="E529" s="17"/>
      <c r="F529" s="54"/>
      <c r="G529" s="19"/>
      <c r="H529" s="17"/>
      <c r="I529" s="19"/>
      <c r="J529" s="21"/>
      <c r="K529" s="57"/>
      <c r="L529" s="24"/>
      <c r="M529" s="25"/>
      <c r="N529" s="25"/>
      <c r="O529" s="26"/>
      <c r="P529" s="26"/>
    </row>
    <row r="530">
      <c r="A530" s="52"/>
      <c r="B530" s="15"/>
      <c r="C530" s="16"/>
      <c r="D530" s="15"/>
      <c r="E530" s="17"/>
      <c r="F530" s="54"/>
      <c r="G530" s="19"/>
      <c r="H530" s="17"/>
      <c r="I530" s="19"/>
      <c r="J530" s="21"/>
      <c r="K530" s="57"/>
      <c r="L530" s="24"/>
      <c r="M530" s="25"/>
      <c r="N530" s="25"/>
      <c r="O530" s="26"/>
      <c r="P530" s="26"/>
    </row>
    <row r="531">
      <c r="A531" s="52"/>
      <c r="B531" s="15"/>
      <c r="C531" s="16"/>
      <c r="D531" s="15"/>
      <c r="E531" s="17"/>
      <c r="F531" s="54"/>
      <c r="G531" s="19"/>
      <c r="H531" s="17"/>
      <c r="I531" s="19"/>
      <c r="J531" s="21"/>
      <c r="K531" s="57"/>
      <c r="L531" s="24"/>
      <c r="M531" s="25"/>
      <c r="N531" s="25"/>
      <c r="O531" s="26"/>
      <c r="P531" s="26"/>
    </row>
    <row r="532">
      <c r="A532" s="52"/>
      <c r="B532" s="15"/>
      <c r="C532" s="16"/>
      <c r="D532" s="15"/>
      <c r="E532" s="17"/>
      <c r="F532" s="54"/>
      <c r="G532" s="19"/>
      <c r="H532" s="17"/>
      <c r="I532" s="19"/>
      <c r="J532" s="21"/>
      <c r="K532" s="57"/>
      <c r="L532" s="24"/>
      <c r="M532" s="25"/>
      <c r="N532" s="25"/>
      <c r="O532" s="26"/>
      <c r="P532" s="26"/>
    </row>
    <row r="533">
      <c r="A533" s="52"/>
      <c r="B533" s="15"/>
      <c r="C533" s="16"/>
      <c r="D533" s="15"/>
      <c r="E533" s="17"/>
      <c r="F533" s="54"/>
      <c r="G533" s="19"/>
      <c r="H533" s="17"/>
      <c r="I533" s="19"/>
      <c r="J533" s="21"/>
      <c r="K533" s="57"/>
      <c r="L533" s="24"/>
      <c r="M533" s="25"/>
      <c r="N533" s="25"/>
      <c r="O533" s="26"/>
      <c r="P533" s="26"/>
    </row>
    <row r="534">
      <c r="A534" s="52"/>
      <c r="B534" s="15"/>
      <c r="C534" s="16"/>
      <c r="D534" s="15"/>
      <c r="E534" s="17"/>
      <c r="F534" s="54"/>
      <c r="G534" s="19"/>
      <c r="H534" s="17"/>
      <c r="I534" s="19"/>
      <c r="J534" s="21"/>
      <c r="K534" s="57"/>
      <c r="L534" s="24"/>
      <c r="M534" s="25"/>
      <c r="N534" s="25"/>
      <c r="O534" s="26"/>
      <c r="P534" s="26"/>
    </row>
    <row r="535">
      <c r="A535" s="52"/>
      <c r="B535" s="15"/>
      <c r="C535" s="16"/>
      <c r="D535" s="15"/>
      <c r="E535" s="17"/>
      <c r="F535" s="54"/>
      <c r="G535" s="19"/>
      <c r="H535" s="17"/>
      <c r="I535" s="19"/>
      <c r="J535" s="21"/>
      <c r="K535" s="57"/>
      <c r="L535" s="24"/>
      <c r="M535" s="25"/>
      <c r="N535" s="25"/>
      <c r="O535" s="26"/>
      <c r="P535" s="26"/>
    </row>
    <row r="536">
      <c r="A536" s="52"/>
      <c r="B536" s="15"/>
      <c r="C536" s="16"/>
      <c r="D536" s="15"/>
      <c r="E536" s="17"/>
      <c r="F536" s="54"/>
      <c r="G536" s="19"/>
      <c r="H536" s="17"/>
      <c r="I536" s="19"/>
      <c r="J536" s="21"/>
      <c r="K536" s="57"/>
      <c r="L536" s="24"/>
      <c r="M536" s="25"/>
      <c r="N536" s="25"/>
      <c r="O536" s="26"/>
      <c r="P536" s="26"/>
    </row>
    <row r="537">
      <c r="A537" s="52"/>
      <c r="B537" s="15"/>
      <c r="C537" s="16"/>
      <c r="D537" s="15"/>
      <c r="E537" s="17"/>
      <c r="F537" s="54"/>
      <c r="G537" s="19"/>
      <c r="H537" s="17"/>
      <c r="I537" s="19"/>
      <c r="J537" s="21"/>
      <c r="K537" s="57"/>
      <c r="L537" s="24"/>
      <c r="M537" s="25"/>
      <c r="N537" s="25"/>
      <c r="O537" s="26"/>
      <c r="P537" s="26"/>
    </row>
    <row r="538">
      <c r="A538" s="52"/>
      <c r="B538" s="15"/>
      <c r="C538" s="16"/>
      <c r="D538" s="15"/>
      <c r="E538" s="17"/>
      <c r="F538" s="54"/>
      <c r="G538" s="19"/>
      <c r="H538" s="17"/>
      <c r="I538" s="19"/>
      <c r="J538" s="21"/>
      <c r="K538" s="57"/>
      <c r="L538" s="24"/>
      <c r="M538" s="25"/>
      <c r="N538" s="25"/>
      <c r="O538" s="26"/>
      <c r="P538" s="26"/>
    </row>
    <row r="539">
      <c r="A539" s="52"/>
      <c r="B539" s="15"/>
      <c r="C539" s="16"/>
      <c r="D539" s="15"/>
      <c r="E539" s="17"/>
      <c r="F539" s="54"/>
      <c r="G539" s="19"/>
      <c r="H539" s="17"/>
      <c r="I539" s="19"/>
      <c r="J539" s="21"/>
      <c r="K539" s="57"/>
      <c r="L539" s="24"/>
      <c r="M539" s="25"/>
      <c r="N539" s="25"/>
      <c r="O539" s="26"/>
      <c r="P539" s="26"/>
    </row>
    <row r="540">
      <c r="A540" s="52"/>
      <c r="B540" s="15"/>
      <c r="C540" s="16"/>
      <c r="D540" s="15"/>
      <c r="E540" s="17"/>
      <c r="F540" s="54"/>
      <c r="G540" s="19"/>
      <c r="H540" s="17"/>
      <c r="I540" s="19"/>
      <c r="J540" s="21"/>
      <c r="K540" s="57"/>
      <c r="L540" s="24"/>
      <c r="M540" s="25"/>
      <c r="N540" s="25"/>
      <c r="O540" s="26"/>
      <c r="P540" s="26"/>
    </row>
    <row r="541">
      <c r="A541" s="52"/>
      <c r="B541" s="15"/>
      <c r="C541" s="16"/>
      <c r="D541" s="15"/>
      <c r="E541" s="17"/>
      <c r="F541" s="54"/>
      <c r="G541" s="19"/>
      <c r="H541" s="17"/>
      <c r="I541" s="19"/>
      <c r="J541" s="21"/>
      <c r="K541" s="57"/>
      <c r="L541" s="24"/>
      <c r="M541" s="25"/>
      <c r="N541" s="25"/>
      <c r="O541" s="26"/>
      <c r="P541" s="26"/>
    </row>
    <row r="542">
      <c r="A542" s="52"/>
      <c r="B542" s="15"/>
      <c r="C542" s="16"/>
      <c r="D542" s="15"/>
      <c r="E542" s="17"/>
      <c r="F542" s="54"/>
      <c r="G542" s="19"/>
      <c r="H542" s="17"/>
      <c r="I542" s="19"/>
      <c r="J542" s="21"/>
      <c r="K542" s="57"/>
      <c r="L542" s="24"/>
      <c r="M542" s="25"/>
      <c r="N542" s="25"/>
      <c r="O542" s="26"/>
      <c r="P542" s="26"/>
    </row>
    <row r="543">
      <c r="A543" s="52"/>
      <c r="B543" s="15"/>
      <c r="C543" s="16"/>
      <c r="D543" s="15"/>
      <c r="E543" s="17"/>
      <c r="F543" s="54"/>
      <c r="G543" s="19"/>
      <c r="H543" s="17"/>
      <c r="I543" s="19"/>
      <c r="J543" s="21"/>
      <c r="K543" s="57"/>
      <c r="L543" s="24"/>
      <c r="M543" s="25"/>
      <c r="N543" s="25"/>
      <c r="O543" s="26"/>
      <c r="P543" s="26"/>
    </row>
    <row r="544">
      <c r="A544" s="52"/>
      <c r="B544" s="15"/>
      <c r="C544" s="16"/>
      <c r="D544" s="15"/>
      <c r="E544" s="17"/>
      <c r="F544" s="54"/>
      <c r="G544" s="19"/>
      <c r="H544" s="17"/>
      <c r="I544" s="19"/>
      <c r="J544" s="21"/>
      <c r="K544" s="57"/>
      <c r="L544" s="24"/>
      <c r="M544" s="25"/>
      <c r="N544" s="25"/>
      <c r="O544" s="26"/>
      <c r="P544" s="26"/>
    </row>
    <row r="545">
      <c r="A545" s="52"/>
      <c r="B545" s="15"/>
      <c r="C545" s="16"/>
      <c r="D545" s="15"/>
      <c r="E545" s="17"/>
      <c r="F545" s="54"/>
      <c r="G545" s="19"/>
      <c r="H545" s="17"/>
      <c r="I545" s="19"/>
      <c r="J545" s="21"/>
      <c r="K545" s="57"/>
      <c r="L545" s="24"/>
      <c r="M545" s="25"/>
      <c r="N545" s="25"/>
      <c r="O545" s="26"/>
      <c r="P545" s="26"/>
    </row>
    <row r="546">
      <c r="A546" s="52"/>
      <c r="B546" s="15"/>
      <c r="C546" s="16"/>
      <c r="D546" s="15"/>
      <c r="E546" s="17"/>
      <c r="F546" s="54"/>
      <c r="G546" s="19"/>
      <c r="H546" s="17"/>
      <c r="I546" s="19"/>
      <c r="J546" s="21"/>
      <c r="K546" s="57"/>
      <c r="L546" s="24"/>
      <c r="M546" s="25"/>
      <c r="N546" s="25"/>
      <c r="O546" s="26"/>
      <c r="P546" s="26"/>
    </row>
    <row r="547">
      <c r="A547" s="52"/>
      <c r="B547" s="15"/>
      <c r="C547" s="16"/>
      <c r="D547" s="15"/>
      <c r="E547" s="17"/>
      <c r="F547" s="54"/>
      <c r="G547" s="19"/>
      <c r="H547" s="17"/>
      <c r="I547" s="19"/>
      <c r="J547" s="21"/>
      <c r="K547" s="57"/>
      <c r="L547" s="24"/>
      <c r="M547" s="25"/>
      <c r="N547" s="25"/>
      <c r="O547" s="26"/>
      <c r="P547" s="26"/>
    </row>
    <row r="548">
      <c r="A548" s="52"/>
      <c r="B548" s="15"/>
      <c r="C548" s="16"/>
      <c r="D548" s="15"/>
      <c r="E548" s="17"/>
      <c r="F548" s="54"/>
      <c r="G548" s="19"/>
      <c r="H548" s="17"/>
      <c r="I548" s="19"/>
      <c r="J548" s="21"/>
      <c r="K548" s="57"/>
      <c r="L548" s="24"/>
      <c r="M548" s="25"/>
      <c r="N548" s="25"/>
      <c r="O548" s="26"/>
      <c r="P548" s="26"/>
    </row>
    <row r="549">
      <c r="A549" s="52"/>
      <c r="B549" s="15"/>
      <c r="C549" s="16"/>
      <c r="D549" s="15"/>
      <c r="E549" s="17"/>
      <c r="F549" s="54"/>
      <c r="G549" s="19"/>
      <c r="H549" s="17"/>
      <c r="I549" s="19"/>
      <c r="J549" s="21"/>
      <c r="K549" s="57"/>
      <c r="L549" s="24"/>
      <c r="M549" s="25"/>
      <c r="N549" s="25"/>
      <c r="O549" s="26"/>
      <c r="P549" s="26"/>
    </row>
    <row r="550">
      <c r="A550" s="52"/>
      <c r="B550" s="15"/>
      <c r="C550" s="16"/>
      <c r="D550" s="15"/>
      <c r="E550" s="17"/>
      <c r="F550" s="54"/>
      <c r="G550" s="19"/>
      <c r="H550" s="17"/>
      <c r="I550" s="19"/>
      <c r="J550" s="21"/>
      <c r="K550" s="57"/>
      <c r="L550" s="24"/>
      <c r="M550" s="25"/>
      <c r="N550" s="25"/>
      <c r="O550" s="26"/>
      <c r="P550" s="26"/>
    </row>
    <row r="551">
      <c r="A551" s="52"/>
      <c r="B551" s="15"/>
      <c r="C551" s="16"/>
      <c r="D551" s="15"/>
      <c r="E551" s="17"/>
      <c r="F551" s="54"/>
      <c r="G551" s="19"/>
      <c r="H551" s="17"/>
      <c r="I551" s="19"/>
      <c r="J551" s="21"/>
      <c r="K551" s="57"/>
      <c r="L551" s="24"/>
      <c r="M551" s="25"/>
      <c r="N551" s="25"/>
      <c r="O551" s="26"/>
      <c r="P551" s="26"/>
    </row>
    <row r="552">
      <c r="A552" s="52"/>
      <c r="B552" s="15"/>
      <c r="C552" s="16"/>
      <c r="D552" s="15"/>
      <c r="E552" s="17"/>
      <c r="F552" s="54"/>
      <c r="G552" s="19"/>
      <c r="H552" s="17"/>
      <c r="I552" s="19"/>
      <c r="J552" s="21"/>
      <c r="K552" s="57"/>
      <c r="L552" s="24"/>
      <c r="M552" s="25"/>
      <c r="N552" s="25"/>
      <c r="O552" s="26"/>
      <c r="P552" s="26"/>
    </row>
    <row r="553">
      <c r="A553" s="52"/>
      <c r="B553" s="15"/>
      <c r="C553" s="16"/>
      <c r="D553" s="15"/>
      <c r="E553" s="17"/>
      <c r="F553" s="54"/>
      <c r="G553" s="19"/>
      <c r="H553" s="17"/>
      <c r="I553" s="19"/>
      <c r="J553" s="21"/>
      <c r="K553" s="57"/>
      <c r="L553" s="24"/>
      <c r="M553" s="25"/>
      <c r="N553" s="25"/>
      <c r="O553" s="26"/>
      <c r="P553" s="26"/>
    </row>
    <row r="554">
      <c r="A554" s="52"/>
      <c r="B554" s="15"/>
      <c r="C554" s="16"/>
      <c r="D554" s="15"/>
      <c r="E554" s="17"/>
      <c r="F554" s="54"/>
      <c r="G554" s="19"/>
      <c r="H554" s="17"/>
      <c r="I554" s="19"/>
      <c r="J554" s="21"/>
      <c r="K554" s="57"/>
      <c r="L554" s="24"/>
      <c r="M554" s="25"/>
      <c r="N554" s="25"/>
      <c r="O554" s="26"/>
      <c r="P554" s="26"/>
    </row>
    <row r="555">
      <c r="A555" s="52"/>
      <c r="B555" s="15"/>
      <c r="C555" s="16"/>
      <c r="D555" s="15"/>
      <c r="E555" s="17"/>
      <c r="F555" s="54"/>
      <c r="G555" s="19"/>
      <c r="H555" s="17"/>
      <c r="I555" s="19"/>
      <c r="J555" s="21"/>
      <c r="K555" s="57"/>
      <c r="L555" s="24"/>
      <c r="M555" s="25"/>
      <c r="N555" s="25"/>
      <c r="O555" s="26"/>
      <c r="P555" s="26"/>
    </row>
    <row r="556">
      <c r="A556" s="52"/>
      <c r="B556" s="15"/>
      <c r="C556" s="16"/>
      <c r="D556" s="15"/>
      <c r="E556" s="17"/>
      <c r="F556" s="54"/>
      <c r="G556" s="19"/>
      <c r="H556" s="17"/>
      <c r="I556" s="19"/>
      <c r="J556" s="21"/>
      <c r="K556" s="57"/>
      <c r="L556" s="24"/>
      <c r="M556" s="25"/>
      <c r="N556" s="25"/>
      <c r="O556" s="26"/>
      <c r="P556" s="26"/>
    </row>
    <row r="557">
      <c r="A557" s="52"/>
      <c r="B557" s="15"/>
      <c r="C557" s="16"/>
      <c r="D557" s="15"/>
      <c r="E557" s="17"/>
      <c r="F557" s="54"/>
      <c r="G557" s="19"/>
      <c r="H557" s="17"/>
      <c r="I557" s="19"/>
      <c r="J557" s="21"/>
      <c r="K557" s="57"/>
      <c r="L557" s="24"/>
      <c r="M557" s="25"/>
      <c r="N557" s="25"/>
      <c r="O557" s="26"/>
      <c r="P557" s="26"/>
    </row>
    <row r="558">
      <c r="A558" s="52"/>
      <c r="B558" s="15"/>
      <c r="C558" s="16"/>
      <c r="D558" s="15"/>
      <c r="E558" s="17"/>
      <c r="F558" s="54"/>
      <c r="G558" s="19"/>
      <c r="H558" s="17"/>
      <c r="I558" s="19"/>
      <c r="J558" s="21"/>
      <c r="K558" s="57"/>
      <c r="L558" s="24"/>
      <c r="M558" s="25"/>
      <c r="N558" s="25"/>
      <c r="O558" s="26"/>
      <c r="P558" s="26"/>
    </row>
    <row r="559">
      <c r="A559" s="52"/>
      <c r="B559" s="15"/>
      <c r="C559" s="16"/>
      <c r="D559" s="15"/>
      <c r="E559" s="17"/>
      <c r="F559" s="54"/>
      <c r="G559" s="19"/>
      <c r="H559" s="17"/>
      <c r="I559" s="19"/>
      <c r="J559" s="21"/>
      <c r="K559" s="57"/>
      <c r="L559" s="24"/>
      <c r="M559" s="25"/>
      <c r="N559" s="25"/>
      <c r="O559" s="26"/>
      <c r="P559" s="26"/>
    </row>
    <row r="560">
      <c r="A560" s="52"/>
      <c r="B560" s="15"/>
      <c r="C560" s="16"/>
      <c r="D560" s="15"/>
      <c r="E560" s="17"/>
      <c r="F560" s="54"/>
      <c r="G560" s="19"/>
      <c r="H560" s="17"/>
      <c r="I560" s="19"/>
      <c r="J560" s="21"/>
      <c r="K560" s="57"/>
      <c r="L560" s="24"/>
      <c r="M560" s="25"/>
      <c r="N560" s="25"/>
      <c r="O560" s="26"/>
      <c r="P560" s="26"/>
    </row>
    <row r="561">
      <c r="A561" s="52"/>
      <c r="B561" s="15"/>
      <c r="C561" s="16"/>
      <c r="D561" s="15"/>
      <c r="E561" s="17"/>
      <c r="F561" s="54"/>
      <c r="G561" s="19"/>
      <c r="H561" s="17"/>
      <c r="I561" s="19"/>
      <c r="J561" s="21"/>
      <c r="K561" s="57"/>
      <c r="L561" s="24"/>
      <c r="M561" s="25"/>
      <c r="N561" s="25"/>
      <c r="O561" s="26"/>
      <c r="P561" s="26"/>
    </row>
    <row r="562">
      <c r="A562" s="52"/>
      <c r="B562" s="15"/>
      <c r="C562" s="16"/>
      <c r="D562" s="15"/>
      <c r="E562" s="17"/>
      <c r="F562" s="54"/>
      <c r="G562" s="19"/>
      <c r="H562" s="17"/>
      <c r="I562" s="19"/>
      <c r="J562" s="21"/>
      <c r="K562" s="57"/>
      <c r="L562" s="24"/>
      <c r="M562" s="25"/>
      <c r="N562" s="25"/>
      <c r="O562" s="26"/>
      <c r="P562" s="26"/>
    </row>
    <row r="563">
      <c r="A563" s="52"/>
      <c r="B563" s="15"/>
      <c r="C563" s="16"/>
      <c r="D563" s="15"/>
      <c r="E563" s="17"/>
      <c r="F563" s="54"/>
      <c r="G563" s="19"/>
      <c r="H563" s="17"/>
      <c r="I563" s="19"/>
      <c r="J563" s="21"/>
      <c r="K563" s="57"/>
      <c r="L563" s="24"/>
      <c r="M563" s="25"/>
      <c r="N563" s="25"/>
      <c r="O563" s="26"/>
      <c r="P563" s="26"/>
    </row>
    <row r="564">
      <c r="A564" s="52"/>
      <c r="B564" s="15"/>
      <c r="C564" s="16"/>
      <c r="D564" s="15"/>
      <c r="E564" s="17"/>
      <c r="F564" s="54"/>
      <c r="G564" s="19"/>
      <c r="H564" s="17"/>
      <c r="I564" s="19"/>
      <c r="J564" s="21"/>
      <c r="K564" s="57"/>
      <c r="L564" s="24"/>
      <c r="M564" s="25"/>
      <c r="N564" s="25"/>
      <c r="O564" s="26"/>
      <c r="P564" s="26"/>
    </row>
    <row r="565">
      <c r="A565" s="52"/>
      <c r="B565" s="15"/>
      <c r="C565" s="16"/>
      <c r="D565" s="15"/>
      <c r="E565" s="17"/>
      <c r="F565" s="54"/>
      <c r="G565" s="19"/>
      <c r="H565" s="17"/>
      <c r="I565" s="19"/>
      <c r="J565" s="21"/>
      <c r="K565" s="57"/>
      <c r="L565" s="24"/>
      <c r="M565" s="25"/>
      <c r="N565" s="25"/>
      <c r="O565" s="26"/>
      <c r="P565" s="26"/>
    </row>
    <row r="566">
      <c r="A566" s="52"/>
      <c r="B566" s="15"/>
      <c r="C566" s="16"/>
      <c r="D566" s="15"/>
      <c r="E566" s="17"/>
      <c r="F566" s="54"/>
      <c r="G566" s="19"/>
      <c r="H566" s="17"/>
      <c r="I566" s="19"/>
      <c r="J566" s="21"/>
      <c r="K566" s="57"/>
      <c r="L566" s="24"/>
      <c r="M566" s="25"/>
      <c r="N566" s="25"/>
      <c r="O566" s="26"/>
      <c r="P566" s="26"/>
    </row>
    <row r="567">
      <c r="A567" s="52"/>
      <c r="B567" s="15"/>
      <c r="C567" s="16"/>
      <c r="D567" s="15"/>
      <c r="E567" s="17"/>
      <c r="F567" s="54"/>
      <c r="G567" s="19"/>
      <c r="H567" s="17"/>
      <c r="I567" s="19"/>
      <c r="J567" s="21"/>
      <c r="K567" s="57"/>
      <c r="L567" s="24"/>
      <c r="M567" s="25"/>
      <c r="N567" s="25"/>
      <c r="O567" s="26"/>
      <c r="P567" s="26"/>
    </row>
    <row r="568">
      <c r="A568" s="52"/>
      <c r="B568" s="15"/>
      <c r="C568" s="16"/>
      <c r="D568" s="15"/>
      <c r="E568" s="17"/>
      <c r="F568" s="54"/>
      <c r="G568" s="19"/>
      <c r="H568" s="17"/>
      <c r="I568" s="19"/>
      <c r="J568" s="21"/>
      <c r="K568" s="57"/>
      <c r="L568" s="24"/>
      <c r="M568" s="25"/>
      <c r="N568" s="25"/>
      <c r="O568" s="26"/>
      <c r="P568" s="26"/>
    </row>
    <row r="569">
      <c r="A569" s="52"/>
      <c r="B569" s="15"/>
      <c r="C569" s="16"/>
      <c r="D569" s="15"/>
      <c r="E569" s="17"/>
      <c r="F569" s="54"/>
      <c r="G569" s="19"/>
      <c r="H569" s="17"/>
      <c r="I569" s="19"/>
      <c r="J569" s="21"/>
      <c r="K569" s="57"/>
      <c r="L569" s="24"/>
      <c r="M569" s="25"/>
      <c r="N569" s="25"/>
      <c r="O569" s="26"/>
      <c r="P569" s="26"/>
    </row>
    <row r="570">
      <c r="A570" s="52"/>
      <c r="B570" s="15"/>
      <c r="C570" s="16"/>
      <c r="D570" s="15"/>
      <c r="E570" s="17"/>
      <c r="F570" s="54"/>
      <c r="G570" s="19"/>
      <c r="H570" s="17"/>
      <c r="I570" s="19"/>
      <c r="J570" s="21"/>
      <c r="K570" s="57"/>
      <c r="L570" s="24"/>
      <c r="M570" s="25"/>
      <c r="N570" s="25"/>
      <c r="O570" s="26"/>
      <c r="P570" s="26"/>
    </row>
    <row r="571">
      <c r="A571" s="52"/>
      <c r="B571" s="15"/>
      <c r="C571" s="16"/>
      <c r="D571" s="15"/>
      <c r="E571" s="17"/>
      <c r="F571" s="54"/>
      <c r="G571" s="19"/>
      <c r="H571" s="17"/>
      <c r="I571" s="19"/>
      <c r="J571" s="21"/>
      <c r="K571" s="57"/>
      <c r="L571" s="24"/>
      <c r="M571" s="25"/>
      <c r="N571" s="25"/>
      <c r="O571" s="26"/>
      <c r="P571" s="26"/>
    </row>
    <row r="572">
      <c r="A572" s="52"/>
      <c r="B572" s="15"/>
      <c r="C572" s="16"/>
      <c r="D572" s="15"/>
      <c r="E572" s="17"/>
      <c r="F572" s="54"/>
      <c r="G572" s="19"/>
      <c r="H572" s="17"/>
      <c r="I572" s="19"/>
      <c r="J572" s="21"/>
      <c r="K572" s="57"/>
      <c r="L572" s="24"/>
      <c r="M572" s="25"/>
      <c r="N572" s="25"/>
      <c r="O572" s="26"/>
      <c r="P572" s="26"/>
    </row>
    <row r="573">
      <c r="A573" s="52"/>
      <c r="B573" s="15"/>
      <c r="C573" s="16"/>
      <c r="D573" s="15"/>
      <c r="E573" s="17"/>
      <c r="F573" s="54"/>
      <c r="G573" s="19"/>
      <c r="H573" s="17"/>
      <c r="I573" s="19"/>
      <c r="J573" s="21"/>
      <c r="K573" s="57"/>
      <c r="L573" s="24"/>
      <c r="M573" s="25"/>
      <c r="N573" s="25"/>
      <c r="O573" s="26"/>
      <c r="P573" s="26"/>
    </row>
    <row r="574">
      <c r="A574" s="52"/>
      <c r="B574" s="15"/>
      <c r="C574" s="16"/>
      <c r="D574" s="15"/>
      <c r="E574" s="17"/>
      <c r="F574" s="54"/>
      <c r="G574" s="19"/>
      <c r="H574" s="17"/>
      <c r="I574" s="19"/>
      <c r="J574" s="21"/>
      <c r="K574" s="57"/>
      <c r="L574" s="24"/>
      <c r="M574" s="25"/>
      <c r="N574" s="25"/>
      <c r="O574" s="26"/>
      <c r="P574" s="26"/>
    </row>
    <row r="575">
      <c r="A575" s="52"/>
      <c r="B575" s="15"/>
      <c r="C575" s="16"/>
      <c r="D575" s="15"/>
      <c r="E575" s="17"/>
      <c r="F575" s="54"/>
      <c r="G575" s="19"/>
      <c r="H575" s="17"/>
      <c r="I575" s="19"/>
      <c r="J575" s="21"/>
      <c r="K575" s="57"/>
      <c r="L575" s="24"/>
      <c r="M575" s="25"/>
      <c r="N575" s="25"/>
      <c r="O575" s="26"/>
      <c r="P575" s="26"/>
    </row>
    <row r="576">
      <c r="A576" s="52"/>
      <c r="B576" s="15"/>
      <c r="C576" s="16"/>
      <c r="D576" s="15"/>
      <c r="E576" s="17"/>
      <c r="F576" s="54"/>
      <c r="G576" s="19"/>
      <c r="H576" s="17"/>
      <c r="I576" s="19"/>
      <c r="J576" s="21"/>
      <c r="K576" s="57"/>
      <c r="L576" s="24"/>
      <c r="M576" s="25"/>
      <c r="N576" s="25"/>
      <c r="O576" s="26"/>
      <c r="P576" s="26"/>
    </row>
    <row r="577">
      <c r="A577" s="52"/>
      <c r="B577" s="15"/>
      <c r="C577" s="16"/>
      <c r="D577" s="15"/>
      <c r="E577" s="17"/>
      <c r="F577" s="54"/>
      <c r="G577" s="19"/>
      <c r="H577" s="17"/>
      <c r="I577" s="19"/>
      <c r="J577" s="21"/>
      <c r="K577" s="57"/>
      <c r="L577" s="24"/>
      <c r="M577" s="25"/>
      <c r="N577" s="25"/>
      <c r="O577" s="26"/>
      <c r="P577" s="26"/>
    </row>
    <row r="578">
      <c r="A578" s="52"/>
      <c r="B578" s="15"/>
      <c r="C578" s="16"/>
      <c r="D578" s="15"/>
      <c r="E578" s="17"/>
      <c r="F578" s="54"/>
      <c r="G578" s="19"/>
      <c r="H578" s="17"/>
      <c r="I578" s="19"/>
      <c r="J578" s="21"/>
      <c r="K578" s="57"/>
      <c r="L578" s="24"/>
      <c r="M578" s="25"/>
      <c r="N578" s="25"/>
      <c r="O578" s="26"/>
      <c r="P578" s="26"/>
    </row>
    <row r="579">
      <c r="A579" s="52"/>
      <c r="B579" s="15"/>
      <c r="C579" s="16"/>
      <c r="D579" s="15"/>
      <c r="E579" s="17"/>
      <c r="F579" s="54"/>
      <c r="G579" s="19"/>
      <c r="H579" s="17"/>
      <c r="I579" s="19"/>
      <c r="J579" s="21"/>
      <c r="K579" s="57"/>
      <c r="L579" s="24"/>
      <c r="M579" s="25"/>
      <c r="N579" s="25"/>
      <c r="O579" s="26"/>
      <c r="P579" s="26"/>
    </row>
    <row r="580">
      <c r="A580" s="52"/>
      <c r="B580" s="15"/>
      <c r="C580" s="16"/>
      <c r="D580" s="15"/>
      <c r="E580" s="17"/>
      <c r="F580" s="54"/>
      <c r="G580" s="19"/>
      <c r="H580" s="17"/>
      <c r="I580" s="19"/>
      <c r="J580" s="21"/>
      <c r="K580" s="57"/>
      <c r="L580" s="24"/>
      <c r="M580" s="25"/>
      <c r="N580" s="25"/>
      <c r="O580" s="26"/>
      <c r="P580" s="26"/>
    </row>
    <row r="581">
      <c r="A581" s="52"/>
      <c r="B581" s="15"/>
      <c r="C581" s="16"/>
      <c r="D581" s="15"/>
      <c r="E581" s="17"/>
      <c r="F581" s="54"/>
      <c r="G581" s="19"/>
      <c r="H581" s="17"/>
      <c r="I581" s="19"/>
      <c r="J581" s="21"/>
      <c r="K581" s="57"/>
      <c r="L581" s="24"/>
      <c r="M581" s="25"/>
      <c r="N581" s="25"/>
      <c r="O581" s="26"/>
      <c r="P581" s="26"/>
    </row>
    <row r="582">
      <c r="A582" s="52"/>
      <c r="B582" s="15"/>
      <c r="C582" s="16"/>
      <c r="D582" s="15"/>
      <c r="E582" s="17"/>
      <c r="F582" s="54"/>
      <c r="G582" s="19"/>
      <c r="H582" s="17"/>
      <c r="I582" s="19"/>
      <c r="J582" s="21"/>
      <c r="K582" s="57"/>
      <c r="L582" s="24"/>
      <c r="M582" s="25"/>
      <c r="N582" s="25"/>
      <c r="O582" s="26"/>
      <c r="P582" s="26"/>
    </row>
    <row r="583">
      <c r="A583" s="52"/>
      <c r="B583" s="15"/>
      <c r="C583" s="16"/>
      <c r="D583" s="15"/>
      <c r="E583" s="17"/>
      <c r="F583" s="54"/>
      <c r="G583" s="19"/>
      <c r="H583" s="17"/>
      <c r="I583" s="19"/>
      <c r="J583" s="21"/>
      <c r="K583" s="57"/>
      <c r="L583" s="24"/>
      <c r="M583" s="25"/>
      <c r="N583" s="25"/>
      <c r="O583" s="26"/>
      <c r="P583" s="26"/>
    </row>
    <row r="584">
      <c r="A584" s="52"/>
      <c r="B584" s="15"/>
      <c r="C584" s="16"/>
      <c r="D584" s="15"/>
      <c r="E584" s="17"/>
      <c r="F584" s="54"/>
      <c r="G584" s="19"/>
      <c r="H584" s="17"/>
      <c r="I584" s="19"/>
      <c r="J584" s="21"/>
      <c r="K584" s="57"/>
      <c r="L584" s="24"/>
      <c r="M584" s="25"/>
      <c r="N584" s="25"/>
      <c r="O584" s="26"/>
      <c r="P584" s="26"/>
    </row>
    <row r="585">
      <c r="A585" s="52"/>
      <c r="B585" s="15"/>
      <c r="C585" s="16"/>
      <c r="D585" s="15"/>
      <c r="E585" s="17"/>
      <c r="F585" s="54"/>
      <c r="G585" s="19"/>
      <c r="H585" s="17"/>
      <c r="I585" s="19"/>
      <c r="J585" s="21"/>
      <c r="K585" s="57"/>
      <c r="L585" s="24"/>
      <c r="M585" s="25"/>
      <c r="N585" s="25"/>
      <c r="O585" s="26"/>
      <c r="P585" s="26"/>
    </row>
    <row r="586">
      <c r="A586" s="52"/>
      <c r="B586" s="15"/>
      <c r="C586" s="16"/>
      <c r="D586" s="15"/>
      <c r="E586" s="17"/>
      <c r="F586" s="54"/>
      <c r="G586" s="19"/>
      <c r="H586" s="17"/>
      <c r="I586" s="19"/>
      <c r="J586" s="21"/>
      <c r="K586" s="57"/>
      <c r="L586" s="24"/>
      <c r="M586" s="25"/>
      <c r="N586" s="25"/>
      <c r="O586" s="26"/>
      <c r="P586" s="26"/>
    </row>
    <row r="587">
      <c r="A587" s="52"/>
      <c r="B587" s="15"/>
      <c r="C587" s="16"/>
      <c r="D587" s="15"/>
      <c r="E587" s="17"/>
      <c r="F587" s="54"/>
      <c r="G587" s="19"/>
      <c r="H587" s="17"/>
      <c r="I587" s="19"/>
      <c r="J587" s="21"/>
      <c r="K587" s="57"/>
      <c r="L587" s="24"/>
      <c r="M587" s="25"/>
      <c r="N587" s="25"/>
      <c r="O587" s="26"/>
      <c r="P587" s="26"/>
    </row>
    <row r="588">
      <c r="A588" s="52"/>
      <c r="B588" s="15"/>
      <c r="C588" s="16"/>
      <c r="D588" s="15"/>
      <c r="E588" s="17"/>
      <c r="F588" s="54"/>
      <c r="G588" s="19"/>
      <c r="H588" s="17"/>
      <c r="I588" s="19"/>
      <c r="J588" s="21"/>
      <c r="K588" s="57"/>
      <c r="L588" s="24"/>
      <c r="M588" s="25"/>
      <c r="N588" s="25"/>
      <c r="O588" s="26"/>
      <c r="P588" s="26"/>
    </row>
    <row r="589">
      <c r="A589" s="52"/>
      <c r="B589" s="15"/>
      <c r="C589" s="16"/>
      <c r="D589" s="15"/>
      <c r="E589" s="17"/>
      <c r="F589" s="54"/>
      <c r="G589" s="19"/>
      <c r="H589" s="17"/>
      <c r="I589" s="19"/>
      <c r="J589" s="21"/>
      <c r="K589" s="57"/>
      <c r="L589" s="24"/>
      <c r="M589" s="25"/>
      <c r="N589" s="25"/>
      <c r="O589" s="26"/>
      <c r="P589" s="26"/>
    </row>
    <row r="590">
      <c r="A590" s="52"/>
      <c r="B590" s="15"/>
      <c r="C590" s="16"/>
      <c r="D590" s="15"/>
      <c r="E590" s="17"/>
      <c r="F590" s="54"/>
      <c r="G590" s="19"/>
      <c r="H590" s="17"/>
      <c r="I590" s="19"/>
      <c r="J590" s="21"/>
      <c r="K590" s="57"/>
      <c r="L590" s="24"/>
      <c r="M590" s="25"/>
      <c r="N590" s="25"/>
      <c r="O590" s="26"/>
      <c r="P590" s="26"/>
    </row>
    <row r="591">
      <c r="A591" s="52"/>
      <c r="B591" s="15"/>
      <c r="C591" s="16"/>
      <c r="D591" s="15"/>
      <c r="E591" s="17"/>
      <c r="F591" s="54"/>
      <c r="G591" s="19"/>
      <c r="H591" s="17"/>
      <c r="I591" s="19"/>
      <c r="J591" s="21"/>
      <c r="K591" s="57"/>
      <c r="L591" s="24"/>
      <c r="M591" s="25"/>
      <c r="N591" s="25"/>
      <c r="O591" s="26"/>
      <c r="P591" s="26"/>
    </row>
    <row r="592">
      <c r="A592" s="52"/>
      <c r="B592" s="15"/>
      <c r="C592" s="16"/>
      <c r="D592" s="15"/>
      <c r="E592" s="17"/>
      <c r="F592" s="54"/>
      <c r="G592" s="19"/>
      <c r="H592" s="17"/>
      <c r="I592" s="19"/>
      <c r="J592" s="21"/>
      <c r="K592" s="57"/>
      <c r="L592" s="24"/>
      <c r="M592" s="25"/>
      <c r="N592" s="25"/>
      <c r="O592" s="26"/>
      <c r="P592" s="26"/>
    </row>
    <row r="593">
      <c r="A593" s="52"/>
      <c r="B593" s="15"/>
      <c r="C593" s="16"/>
      <c r="D593" s="15"/>
      <c r="E593" s="17"/>
      <c r="F593" s="54"/>
      <c r="G593" s="19"/>
      <c r="H593" s="17"/>
      <c r="I593" s="19"/>
      <c r="J593" s="21"/>
      <c r="K593" s="57"/>
      <c r="L593" s="24"/>
      <c r="M593" s="25"/>
      <c r="N593" s="25"/>
      <c r="O593" s="26"/>
      <c r="P593" s="26"/>
    </row>
    <row r="594">
      <c r="A594" s="52"/>
      <c r="B594" s="15"/>
      <c r="C594" s="16"/>
      <c r="D594" s="15"/>
      <c r="E594" s="17"/>
      <c r="F594" s="54"/>
      <c r="G594" s="19"/>
      <c r="H594" s="17"/>
      <c r="I594" s="19"/>
      <c r="J594" s="21"/>
      <c r="K594" s="57"/>
      <c r="L594" s="24"/>
      <c r="M594" s="25"/>
      <c r="N594" s="25"/>
      <c r="O594" s="26"/>
      <c r="P594" s="26"/>
    </row>
    <row r="595">
      <c r="A595" s="52"/>
      <c r="B595" s="15"/>
      <c r="C595" s="16"/>
      <c r="D595" s="15"/>
      <c r="E595" s="17"/>
      <c r="F595" s="54"/>
      <c r="G595" s="19"/>
      <c r="H595" s="17"/>
      <c r="I595" s="19"/>
      <c r="J595" s="21"/>
      <c r="K595" s="57"/>
      <c r="L595" s="24"/>
      <c r="M595" s="25"/>
      <c r="N595" s="25"/>
      <c r="O595" s="26"/>
      <c r="P595" s="26"/>
    </row>
    <row r="596">
      <c r="A596" s="52"/>
      <c r="B596" s="15"/>
      <c r="C596" s="16"/>
      <c r="D596" s="15"/>
      <c r="E596" s="17"/>
      <c r="F596" s="54"/>
      <c r="G596" s="19"/>
      <c r="H596" s="17"/>
      <c r="I596" s="19"/>
      <c r="J596" s="21"/>
      <c r="K596" s="57"/>
      <c r="L596" s="24"/>
      <c r="M596" s="25"/>
      <c r="N596" s="25"/>
      <c r="O596" s="26"/>
      <c r="P596" s="26"/>
    </row>
    <row r="597">
      <c r="A597" s="52"/>
      <c r="B597" s="15"/>
      <c r="C597" s="16"/>
      <c r="D597" s="15"/>
      <c r="E597" s="17"/>
      <c r="F597" s="54"/>
      <c r="G597" s="19"/>
      <c r="H597" s="17"/>
      <c r="I597" s="19"/>
      <c r="J597" s="21"/>
      <c r="K597" s="57"/>
      <c r="L597" s="24"/>
      <c r="M597" s="25"/>
      <c r="N597" s="25"/>
      <c r="O597" s="26"/>
      <c r="P597" s="26"/>
    </row>
    <row r="598">
      <c r="A598" s="52"/>
      <c r="B598" s="15"/>
      <c r="C598" s="16"/>
      <c r="D598" s="15"/>
      <c r="E598" s="17"/>
      <c r="F598" s="54"/>
      <c r="G598" s="19"/>
      <c r="H598" s="17"/>
      <c r="I598" s="19"/>
      <c r="J598" s="21"/>
      <c r="K598" s="57"/>
      <c r="L598" s="24"/>
      <c r="M598" s="25"/>
      <c r="N598" s="25"/>
      <c r="O598" s="26"/>
      <c r="P598" s="26"/>
    </row>
    <row r="599">
      <c r="A599" s="52"/>
      <c r="B599" s="15"/>
      <c r="C599" s="16"/>
      <c r="D599" s="15"/>
      <c r="E599" s="17"/>
      <c r="F599" s="54"/>
      <c r="G599" s="19"/>
      <c r="H599" s="17"/>
      <c r="I599" s="19"/>
      <c r="J599" s="21"/>
      <c r="K599" s="57"/>
      <c r="L599" s="24"/>
      <c r="M599" s="25"/>
      <c r="N599" s="25"/>
      <c r="O599" s="26"/>
      <c r="P599" s="26"/>
    </row>
    <row r="600">
      <c r="A600" s="52"/>
      <c r="B600" s="15"/>
      <c r="C600" s="16"/>
      <c r="D600" s="15"/>
      <c r="E600" s="17"/>
      <c r="F600" s="54"/>
      <c r="G600" s="19"/>
      <c r="H600" s="17"/>
      <c r="I600" s="19"/>
      <c r="J600" s="21"/>
      <c r="K600" s="57"/>
      <c r="L600" s="24"/>
      <c r="M600" s="25"/>
      <c r="N600" s="25"/>
      <c r="O600" s="26"/>
      <c r="P600" s="26"/>
    </row>
    <row r="601">
      <c r="A601" s="52"/>
      <c r="B601" s="15"/>
      <c r="C601" s="16"/>
      <c r="D601" s="15"/>
      <c r="E601" s="17"/>
      <c r="F601" s="54"/>
      <c r="G601" s="19"/>
      <c r="H601" s="17"/>
      <c r="I601" s="19"/>
      <c r="J601" s="21"/>
      <c r="K601" s="57"/>
      <c r="L601" s="24"/>
      <c r="M601" s="25"/>
      <c r="N601" s="25"/>
      <c r="O601" s="26"/>
      <c r="P601" s="26"/>
    </row>
    <row r="602">
      <c r="A602" s="52"/>
      <c r="B602" s="15"/>
      <c r="C602" s="16"/>
      <c r="D602" s="15"/>
      <c r="E602" s="17"/>
      <c r="F602" s="54"/>
      <c r="G602" s="19"/>
      <c r="H602" s="17"/>
      <c r="I602" s="19"/>
      <c r="J602" s="21"/>
      <c r="K602" s="57"/>
      <c r="L602" s="24"/>
      <c r="M602" s="25"/>
      <c r="N602" s="25"/>
      <c r="O602" s="26"/>
      <c r="P602" s="26"/>
    </row>
    <row r="603">
      <c r="A603" s="52"/>
      <c r="B603" s="15"/>
      <c r="C603" s="16"/>
      <c r="D603" s="15"/>
      <c r="E603" s="17"/>
      <c r="F603" s="54"/>
      <c r="G603" s="19"/>
      <c r="H603" s="17"/>
      <c r="I603" s="19"/>
      <c r="J603" s="21"/>
      <c r="K603" s="57"/>
      <c r="L603" s="24"/>
      <c r="M603" s="25"/>
      <c r="N603" s="25"/>
      <c r="O603" s="26"/>
      <c r="P603" s="26"/>
    </row>
    <row r="604">
      <c r="A604" s="52"/>
      <c r="B604" s="15"/>
      <c r="C604" s="16"/>
      <c r="D604" s="15"/>
      <c r="E604" s="17"/>
      <c r="F604" s="54"/>
      <c r="G604" s="19"/>
      <c r="H604" s="17"/>
      <c r="I604" s="19"/>
      <c r="J604" s="21"/>
      <c r="K604" s="57"/>
      <c r="L604" s="24"/>
      <c r="M604" s="25"/>
      <c r="N604" s="25"/>
      <c r="O604" s="26"/>
      <c r="P604" s="26"/>
    </row>
    <row r="605">
      <c r="A605" s="52"/>
      <c r="B605" s="15"/>
      <c r="C605" s="16"/>
      <c r="D605" s="15"/>
      <c r="E605" s="17"/>
      <c r="F605" s="54"/>
      <c r="G605" s="19"/>
      <c r="H605" s="17"/>
      <c r="I605" s="19"/>
      <c r="J605" s="21"/>
      <c r="K605" s="57"/>
      <c r="L605" s="24"/>
      <c r="M605" s="25"/>
      <c r="N605" s="25"/>
      <c r="O605" s="26"/>
      <c r="P605" s="26"/>
    </row>
    <row r="606">
      <c r="A606" s="52"/>
      <c r="B606" s="15"/>
      <c r="C606" s="16"/>
      <c r="D606" s="15"/>
      <c r="E606" s="17"/>
      <c r="F606" s="54"/>
      <c r="G606" s="19"/>
      <c r="H606" s="17"/>
      <c r="I606" s="19"/>
      <c r="J606" s="21"/>
      <c r="K606" s="57"/>
      <c r="L606" s="24"/>
      <c r="M606" s="25"/>
      <c r="N606" s="25"/>
      <c r="O606" s="26"/>
      <c r="P606" s="26"/>
    </row>
    <row r="607">
      <c r="A607" s="52"/>
      <c r="B607" s="15"/>
      <c r="C607" s="16"/>
      <c r="D607" s="15"/>
      <c r="E607" s="17"/>
      <c r="F607" s="54"/>
      <c r="G607" s="19"/>
      <c r="H607" s="17"/>
      <c r="I607" s="19"/>
      <c r="J607" s="21"/>
      <c r="K607" s="57"/>
      <c r="L607" s="24"/>
      <c r="M607" s="25"/>
      <c r="N607" s="25"/>
      <c r="O607" s="26"/>
      <c r="P607" s="26"/>
    </row>
    <row r="608">
      <c r="A608" s="52"/>
      <c r="B608" s="15"/>
      <c r="C608" s="16"/>
      <c r="D608" s="15"/>
      <c r="E608" s="17"/>
      <c r="F608" s="54"/>
      <c r="G608" s="19"/>
      <c r="H608" s="17"/>
      <c r="I608" s="19"/>
      <c r="J608" s="21"/>
      <c r="K608" s="57"/>
      <c r="L608" s="24"/>
      <c r="M608" s="25"/>
      <c r="N608" s="25"/>
      <c r="O608" s="26"/>
      <c r="P608" s="26"/>
    </row>
    <row r="609">
      <c r="A609" s="52"/>
      <c r="B609" s="15"/>
      <c r="C609" s="16"/>
      <c r="D609" s="15"/>
      <c r="E609" s="17"/>
      <c r="F609" s="54"/>
      <c r="G609" s="19"/>
      <c r="H609" s="17"/>
      <c r="I609" s="19"/>
      <c r="J609" s="21"/>
      <c r="K609" s="57"/>
      <c r="L609" s="24"/>
      <c r="M609" s="25"/>
      <c r="N609" s="25"/>
      <c r="O609" s="26"/>
      <c r="P609" s="26"/>
    </row>
    <row r="610">
      <c r="A610" s="52"/>
      <c r="B610" s="15"/>
      <c r="C610" s="16"/>
      <c r="D610" s="15"/>
      <c r="E610" s="17"/>
      <c r="F610" s="54"/>
      <c r="G610" s="19"/>
      <c r="H610" s="17"/>
      <c r="I610" s="19"/>
      <c r="J610" s="21"/>
      <c r="K610" s="57"/>
      <c r="L610" s="24"/>
      <c r="M610" s="25"/>
      <c r="N610" s="25"/>
      <c r="O610" s="26"/>
      <c r="P610" s="26"/>
    </row>
    <row r="611">
      <c r="A611" s="52"/>
      <c r="B611" s="15"/>
      <c r="C611" s="16"/>
      <c r="D611" s="15"/>
      <c r="E611" s="17"/>
      <c r="F611" s="54"/>
      <c r="G611" s="19"/>
      <c r="H611" s="17"/>
      <c r="I611" s="19"/>
      <c r="J611" s="21"/>
      <c r="K611" s="57"/>
      <c r="L611" s="24"/>
      <c r="M611" s="25"/>
      <c r="N611" s="25"/>
      <c r="O611" s="26"/>
      <c r="P611" s="26"/>
    </row>
    <row r="612">
      <c r="A612" s="52"/>
      <c r="B612" s="15"/>
      <c r="C612" s="16"/>
      <c r="D612" s="15"/>
      <c r="E612" s="17"/>
      <c r="F612" s="54"/>
      <c r="G612" s="19"/>
      <c r="H612" s="17"/>
      <c r="I612" s="19"/>
      <c r="J612" s="21"/>
      <c r="K612" s="57"/>
      <c r="L612" s="24"/>
      <c r="M612" s="25"/>
      <c r="N612" s="25"/>
      <c r="O612" s="26"/>
      <c r="P612" s="26"/>
    </row>
    <row r="613">
      <c r="A613" s="52"/>
      <c r="B613" s="15"/>
      <c r="C613" s="16"/>
      <c r="D613" s="15"/>
      <c r="E613" s="17"/>
      <c r="F613" s="54"/>
      <c r="G613" s="19"/>
      <c r="H613" s="17"/>
      <c r="I613" s="19"/>
      <c r="J613" s="21"/>
      <c r="K613" s="57"/>
      <c r="L613" s="24"/>
      <c r="M613" s="25"/>
      <c r="N613" s="25"/>
      <c r="O613" s="26"/>
      <c r="P613" s="26"/>
    </row>
    <row r="614">
      <c r="A614" s="52"/>
      <c r="B614" s="15"/>
      <c r="C614" s="16"/>
      <c r="D614" s="15"/>
      <c r="E614" s="17"/>
      <c r="F614" s="54"/>
      <c r="G614" s="19"/>
      <c r="H614" s="17"/>
      <c r="I614" s="19"/>
      <c r="J614" s="21"/>
      <c r="K614" s="57"/>
      <c r="L614" s="24"/>
      <c r="M614" s="25"/>
      <c r="N614" s="25"/>
      <c r="O614" s="26"/>
      <c r="P614" s="26"/>
    </row>
    <row r="615">
      <c r="A615" s="52"/>
      <c r="B615" s="15"/>
      <c r="C615" s="16"/>
      <c r="D615" s="15"/>
      <c r="E615" s="17"/>
      <c r="F615" s="54"/>
      <c r="G615" s="19"/>
      <c r="H615" s="17"/>
      <c r="I615" s="19"/>
      <c r="J615" s="21"/>
      <c r="K615" s="57"/>
      <c r="L615" s="24"/>
      <c r="M615" s="25"/>
      <c r="N615" s="25"/>
      <c r="O615" s="26"/>
      <c r="P615" s="26"/>
    </row>
    <row r="616">
      <c r="A616" s="52"/>
      <c r="B616" s="15"/>
      <c r="C616" s="16"/>
      <c r="D616" s="15"/>
      <c r="E616" s="17"/>
      <c r="F616" s="54"/>
      <c r="G616" s="19"/>
      <c r="H616" s="17"/>
      <c r="I616" s="19"/>
      <c r="J616" s="21"/>
      <c r="K616" s="57"/>
      <c r="L616" s="24"/>
      <c r="M616" s="25"/>
      <c r="N616" s="25"/>
      <c r="O616" s="26"/>
      <c r="P616" s="26"/>
    </row>
    <row r="617">
      <c r="A617" s="52"/>
      <c r="B617" s="15"/>
      <c r="C617" s="16"/>
      <c r="D617" s="15"/>
      <c r="E617" s="17"/>
      <c r="F617" s="54"/>
      <c r="G617" s="19"/>
      <c r="H617" s="17"/>
      <c r="I617" s="19"/>
      <c r="J617" s="21"/>
      <c r="K617" s="57"/>
      <c r="L617" s="24"/>
      <c r="M617" s="25"/>
      <c r="N617" s="25"/>
      <c r="O617" s="26"/>
      <c r="P617" s="26"/>
    </row>
    <row r="618">
      <c r="A618" s="52"/>
      <c r="B618" s="15"/>
      <c r="C618" s="16"/>
      <c r="D618" s="15"/>
      <c r="E618" s="17"/>
      <c r="F618" s="54"/>
      <c r="G618" s="19"/>
      <c r="H618" s="17"/>
      <c r="I618" s="19"/>
      <c r="J618" s="21"/>
      <c r="K618" s="57"/>
      <c r="L618" s="24"/>
      <c r="M618" s="25"/>
      <c r="N618" s="25"/>
      <c r="O618" s="26"/>
      <c r="P618" s="26"/>
    </row>
    <row r="619">
      <c r="A619" s="52"/>
      <c r="B619" s="15"/>
      <c r="C619" s="16"/>
      <c r="D619" s="15"/>
      <c r="E619" s="17"/>
      <c r="F619" s="54"/>
      <c r="G619" s="19"/>
      <c r="H619" s="17"/>
      <c r="I619" s="19"/>
      <c r="J619" s="21"/>
      <c r="K619" s="57"/>
      <c r="L619" s="24"/>
      <c r="M619" s="25"/>
      <c r="N619" s="25"/>
      <c r="O619" s="26"/>
      <c r="P619" s="26"/>
    </row>
    <row r="620">
      <c r="A620" s="52"/>
      <c r="B620" s="15"/>
      <c r="C620" s="16"/>
      <c r="D620" s="15"/>
      <c r="E620" s="17"/>
      <c r="F620" s="54"/>
      <c r="G620" s="19"/>
      <c r="H620" s="17"/>
      <c r="I620" s="19"/>
      <c r="J620" s="21"/>
      <c r="K620" s="57"/>
      <c r="L620" s="24"/>
      <c r="M620" s="25"/>
      <c r="N620" s="25"/>
      <c r="O620" s="26"/>
      <c r="P620" s="26"/>
    </row>
    <row r="621">
      <c r="A621" s="52"/>
      <c r="B621" s="15"/>
      <c r="C621" s="16"/>
      <c r="D621" s="15"/>
      <c r="E621" s="17"/>
      <c r="F621" s="54"/>
      <c r="G621" s="19"/>
      <c r="H621" s="17"/>
      <c r="I621" s="19"/>
      <c r="J621" s="21"/>
      <c r="K621" s="57"/>
      <c r="L621" s="24"/>
      <c r="M621" s="25"/>
      <c r="N621" s="25"/>
      <c r="O621" s="26"/>
      <c r="P621" s="26"/>
    </row>
    <row r="622">
      <c r="A622" s="52"/>
      <c r="B622" s="15"/>
      <c r="C622" s="16"/>
      <c r="D622" s="15"/>
      <c r="E622" s="17"/>
      <c r="F622" s="54"/>
      <c r="G622" s="19"/>
      <c r="H622" s="17"/>
      <c r="I622" s="19"/>
      <c r="J622" s="21"/>
      <c r="K622" s="57"/>
      <c r="L622" s="24"/>
      <c r="M622" s="25"/>
      <c r="N622" s="25"/>
      <c r="O622" s="26"/>
      <c r="P622" s="26"/>
    </row>
    <row r="623">
      <c r="A623" s="52"/>
      <c r="B623" s="15"/>
      <c r="C623" s="16"/>
      <c r="D623" s="15"/>
      <c r="E623" s="17"/>
      <c r="F623" s="54"/>
      <c r="G623" s="19"/>
      <c r="H623" s="17"/>
      <c r="I623" s="19"/>
      <c r="J623" s="21"/>
      <c r="K623" s="57"/>
      <c r="L623" s="24"/>
      <c r="M623" s="25"/>
      <c r="N623" s="25"/>
      <c r="O623" s="26"/>
      <c r="P623" s="26"/>
    </row>
    <row r="624">
      <c r="A624" s="52"/>
      <c r="B624" s="15"/>
      <c r="C624" s="16"/>
      <c r="D624" s="15"/>
      <c r="E624" s="17"/>
      <c r="F624" s="54"/>
      <c r="G624" s="19"/>
      <c r="H624" s="17"/>
      <c r="I624" s="19"/>
      <c r="J624" s="21"/>
      <c r="K624" s="57"/>
      <c r="L624" s="24"/>
      <c r="M624" s="25"/>
      <c r="N624" s="25"/>
      <c r="O624" s="26"/>
      <c r="P624" s="26"/>
    </row>
    <row r="625">
      <c r="A625" s="52"/>
      <c r="B625" s="15"/>
      <c r="C625" s="16"/>
      <c r="D625" s="15"/>
      <c r="E625" s="17"/>
      <c r="F625" s="54"/>
      <c r="G625" s="19"/>
      <c r="H625" s="17"/>
      <c r="I625" s="19"/>
      <c r="J625" s="21"/>
      <c r="K625" s="57"/>
      <c r="L625" s="24"/>
      <c r="M625" s="25"/>
      <c r="N625" s="25"/>
      <c r="O625" s="26"/>
      <c r="P625" s="26"/>
    </row>
    <row r="626">
      <c r="A626" s="52"/>
      <c r="B626" s="15"/>
      <c r="C626" s="16"/>
      <c r="D626" s="15"/>
      <c r="E626" s="17"/>
      <c r="F626" s="54"/>
      <c r="G626" s="19"/>
      <c r="H626" s="17"/>
      <c r="I626" s="19"/>
      <c r="J626" s="21"/>
      <c r="K626" s="57"/>
      <c r="L626" s="24"/>
      <c r="M626" s="25"/>
      <c r="N626" s="25"/>
      <c r="O626" s="26"/>
      <c r="P626" s="26"/>
    </row>
    <row r="627">
      <c r="A627" s="52"/>
      <c r="B627" s="15"/>
      <c r="C627" s="16"/>
      <c r="D627" s="15"/>
      <c r="E627" s="17"/>
      <c r="F627" s="54"/>
      <c r="G627" s="19"/>
      <c r="H627" s="17"/>
      <c r="I627" s="19"/>
      <c r="J627" s="21"/>
      <c r="K627" s="57"/>
      <c r="L627" s="24"/>
      <c r="M627" s="25"/>
      <c r="N627" s="25"/>
      <c r="O627" s="26"/>
      <c r="P627" s="26"/>
    </row>
    <row r="628">
      <c r="A628" s="52"/>
      <c r="B628" s="15"/>
      <c r="C628" s="16"/>
      <c r="D628" s="15"/>
      <c r="E628" s="17"/>
      <c r="F628" s="54"/>
      <c r="G628" s="19"/>
      <c r="H628" s="17"/>
      <c r="I628" s="19"/>
      <c r="J628" s="21"/>
      <c r="K628" s="57"/>
      <c r="L628" s="24"/>
      <c r="M628" s="25"/>
      <c r="N628" s="25"/>
      <c r="O628" s="26"/>
      <c r="P628" s="26"/>
    </row>
    <row r="629">
      <c r="A629" s="52"/>
      <c r="B629" s="15"/>
      <c r="C629" s="16"/>
      <c r="D629" s="15"/>
      <c r="E629" s="17"/>
      <c r="F629" s="54"/>
      <c r="G629" s="19"/>
      <c r="H629" s="17"/>
      <c r="I629" s="19"/>
      <c r="J629" s="21"/>
      <c r="K629" s="57"/>
      <c r="L629" s="24"/>
      <c r="M629" s="25"/>
      <c r="N629" s="25"/>
      <c r="O629" s="26"/>
      <c r="P629" s="26"/>
    </row>
    <row r="630">
      <c r="A630" s="52"/>
      <c r="B630" s="15"/>
      <c r="C630" s="16"/>
      <c r="D630" s="15"/>
      <c r="E630" s="17"/>
      <c r="F630" s="54"/>
      <c r="G630" s="19"/>
      <c r="H630" s="17"/>
      <c r="I630" s="19"/>
      <c r="J630" s="21"/>
      <c r="K630" s="57"/>
      <c r="L630" s="24"/>
      <c r="M630" s="25"/>
      <c r="N630" s="25"/>
      <c r="O630" s="26"/>
      <c r="P630" s="26"/>
    </row>
    <row r="631">
      <c r="A631" s="52"/>
      <c r="B631" s="15"/>
      <c r="C631" s="16"/>
      <c r="D631" s="15"/>
      <c r="E631" s="17"/>
      <c r="F631" s="54"/>
      <c r="G631" s="19"/>
      <c r="H631" s="17"/>
      <c r="I631" s="19"/>
      <c r="J631" s="21"/>
      <c r="K631" s="57"/>
      <c r="L631" s="24"/>
      <c r="M631" s="25"/>
      <c r="N631" s="25"/>
      <c r="O631" s="26"/>
      <c r="P631" s="26"/>
    </row>
    <row r="632">
      <c r="A632" s="52"/>
      <c r="B632" s="15"/>
      <c r="C632" s="16"/>
      <c r="D632" s="15"/>
      <c r="E632" s="17"/>
      <c r="F632" s="54"/>
      <c r="G632" s="19"/>
      <c r="H632" s="17"/>
      <c r="I632" s="19"/>
      <c r="J632" s="21"/>
      <c r="K632" s="57"/>
      <c r="L632" s="24"/>
      <c r="M632" s="25"/>
      <c r="N632" s="25"/>
      <c r="O632" s="26"/>
      <c r="P632" s="26"/>
    </row>
    <row r="633">
      <c r="A633" s="52"/>
      <c r="B633" s="15"/>
      <c r="C633" s="16"/>
      <c r="D633" s="15"/>
      <c r="E633" s="17"/>
      <c r="F633" s="54"/>
      <c r="G633" s="19"/>
      <c r="H633" s="17"/>
      <c r="I633" s="19"/>
      <c r="J633" s="21"/>
      <c r="K633" s="57"/>
      <c r="L633" s="24"/>
      <c r="M633" s="25"/>
      <c r="N633" s="25"/>
      <c r="O633" s="26"/>
      <c r="P633" s="26"/>
    </row>
    <row r="634">
      <c r="A634" s="52"/>
      <c r="B634" s="15"/>
      <c r="C634" s="16"/>
      <c r="D634" s="15"/>
      <c r="E634" s="17"/>
      <c r="F634" s="54"/>
      <c r="G634" s="19"/>
      <c r="H634" s="17"/>
      <c r="I634" s="19"/>
      <c r="J634" s="21"/>
      <c r="K634" s="57"/>
      <c r="L634" s="24"/>
      <c r="M634" s="25"/>
      <c r="N634" s="25"/>
      <c r="O634" s="26"/>
      <c r="P634" s="26"/>
    </row>
    <row r="635">
      <c r="A635" s="52"/>
      <c r="B635" s="15"/>
      <c r="C635" s="16"/>
      <c r="D635" s="15"/>
      <c r="E635" s="17"/>
      <c r="F635" s="54"/>
      <c r="G635" s="19"/>
      <c r="H635" s="17"/>
      <c r="I635" s="19"/>
      <c r="J635" s="21"/>
      <c r="K635" s="57"/>
      <c r="L635" s="24"/>
      <c r="M635" s="25"/>
      <c r="N635" s="25"/>
      <c r="O635" s="26"/>
      <c r="P635" s="26"/>
    </row>
    <row r="636">
      <c r="A636" s="52"/>
      <c r="B636" s="15"/>
      <c r="C636" s="16"/>
      <c r="D636" s="15"/>
      <c r="E636" s="17"/>
      <c r="F636" s="54"/>
      <c r="G636" s="19"/>
      <c r="H636" s="17"/>
      <c r="I636" s="19"/>
      <c r="J636" s="21"/>
      <c r="K636" s="57"/>
      <c r="L636" s="24"/>
      <c r="M636" s="25"/>
      <c r="N636" s="25"/>
      <c r="O636" s="26"/>
      <c r="P636" s="26"/>
    </row>
    <row r="637">
      <c r="A637" s="52"/>
      <c r="B637" s="15"/>
      <c r="C637" s="16"/>
      <c r="D637" s="15"/>
      <c r="E637" s="17"/>
      <c r="F637" s="54"/>
      <c r="G637" s="19"/>
      <c r="H637" s="17"/>
      <c r="I637" s="19"/>
      <c r="J637" s="21"/>
      <c r="K637" s="57"/>
      <c r="L637" s="24"/>
      <c r="M637" s="25"/>
      <c r="N637" s="25"/>
      <c r="O637" s="26"/>
      <c r="P637" s="26"/>
    </row>
    <row r="638">
      <c r="A638" s="52"/>
      <c r="B638" s="15"/>
      <c r="C638" s="16"/>
      <c r="D638" s="15"/>
      <c r="E638" s="17"/>
      <c r="F638" s="54"/>
      <c r="G638" s="19"/>
      <c r="H638" s="17"/>
      <c r="I638" s="19"/>
      <c r="J638" s="21"/>
      <c r="K638" s="57"/>
      <c r="L638" s="24"/>
      <c r="M638" s="25"/>
      <c r="N638" s="25"/>
      <c r="O638" s="26"/>
      <c r="P638" s="26"/>
    </row>
    <row r="639">
      <c r="A639" s="52"/>
      <c r="B639" s="15"/>
      <c r="C639" s="16"/>
      <c r="D639" s="15"/>
      <c r="E639" s="17"/>
      <c r="F639" s="54"/>
      <c r="G639" s="19"/>
      <c r="H639" s="17"/>
      <c r="I639" s="19"/>
      <c r="J639" s="21"/>
      <c r="K639" s="57"/>
      <c r="L639" s="24"/>
      <c r="M639" s="25"/>
      <c r="N639" s="25"/>
      <c r="O639" s="26"/>
      <c r="P639" s="26"/>
    </row>
    <row r="640">
      <c r="A640" s="52"/>
      <c r="B640" s="15"/>
      <c r="C640" s="16"/>
      <c r="D640" s="15"/>
      <c r="E640" s="17"/>
      <c r="F640" s="54"/>
      <c r="G640" s="19"/>
      <c r="H640" s="17"/>
      <c r="I640" s="19"/>
      <c r="J640" s="21"/>
      <c r="K640" s="57"/>
      <c r="L640" s="24"/>
      <c r="M640" s="25"/>
      <c r="N640" s="25"/>
      <c r="O640" s="26"/>
      <c r="P640" s="26"/>
    </row>
    <row r="641">
      <c r="A641" s="52"/>
      <c r="B641" s="15"/>
      <c r="C641" s="16"/>
      <c r="D641" s="15"/>
      <c r="E641" s="17"/>
      <c r="F641" s="54"/>
      <c r="G641" s="19"/>
      <c r="H641" s="17"/>
      <c r="I641" s="19"/>
      <c r="J641" s="21"/>
      <c r="K641" s="57"/>
      <c r="L641" s="24"/>
      <c r="M641" s="25"/>
      <c r="N641" s="25"/>
      <c r="O641" s="26"/>
      <c r="P641" s="26"/>
    </row>
    <row r="642">
      <c r="A642" s="52"/>
      <c r="B642" s="15"/>
      <c r="C642" s="16"/>
      <c r="D642" s="15"/>
      <c r="E642" s="17"/>
      <c r="F642" s="54"/>
      <c r="G642" s="19"/>
      <c r="H642" s="17"/>
      <c r="I642" s="19"/>
      <c r="J642" s="21"/>
      <c r="K642" s="57"/>
      <c r="L642" s="24"/>
      <c r="M642" s="25"/>
      <c r="N642" s="25"/>
      <c r="O642" s="26"/>
      <c r="P642" s="26"/>
    </row>
    <row r="643">
      <c r="A643" s="52"/>
      <c r="B643" s="15"/>
      <c r="C643" s="16"/>
      <c r="D643" s="15"/>
      <c r="E643" s="17"/>
      <c r="F643" s="54"/>
      <c r="G643" s="19"/>
      <c r="H643" s="17"/>
      <c r="I643" s="19"/>
      <c r="J643" s="21"/>
      <c r="K643" s="57"/>
      <c r="L643" s="24"/>
      <c r="M643" s="25"/>
      <c r="N643" s="25"/>
      <c r="O643" s="26"/>
      <c r="P643" s="26"/>
    </row>
    <row r="644">
      <c r="A644" s="52"/>
      <c r="B644" s="15"/>
      <c r="C644" s="16"/>
      <c r="D644" s="15"/>
      <c r="E644" s="17"/>
      <c r="F644" s="54"/>
      <c r="G644" s="19"/>
      <c r="H644" s="17"/>
      <c r="I644" s="19"/>
      <c r="J644" s="21"/>
      <c r="K644" s="57"/>
      <c r="L644" s="24"/>
      <c r="M644" s="25"/>
      <c r="N644" s="25"/>
      <c r="O644" s="26"/>
      <c r="P644" s="26"/>
    </row>
    <row r="645">
      <c r="A645" s="52"/>
      <c r="B645" s="15"/>
      <c r="C645" s="16"/>
      <c r="D645" s="15"/>
      <c r="E645" s="17"/>
      <c r="F645" s="54"/>
      <c r="G645" s="19"/>
      <c r="H645" s="17"/>
      <c r="I645" s="19"/>
      <c r="J645" s="21"/>
      <c r="K645" s="57"/>
      <c r="L645" s="24"/>
      <c r="M645" s="25"/>
      <c r="N645" s="25"/>
      <c r="O645" s="26"/>
      <c r="P645" s="26"/>
    </row>
    <row r="646">
      <c r="A646" s="52"/>
      <c r="B646" s="15"/>
      <c r="C646" s="16"/>
      <c r="D646" s="15"/>
      <c r="E646" s="17"/>
      <c r="F646" s="54"/>
      <c r="G646" s="19"/>
      <c r="H646" s="17"/>
      <c r="I646" s="19"/>
      <c r="J646" s="21"/>
      <c r="K646" s="57"/>
      <c r="L646" s="24"/>
      <c r="M646" s="25"/>
      <c r="N646" s="25"/>
      <c r="O646" s="26"/>
      <c r="P646" s="26"/>
    </row>
    <row r="647">
      <c r="A647" s="52"/>
      <c r="B647" s="15"/>
      <c r="C647" s="16"/>
      <c r="D647" s="15"/>
      <c r="E647" s="17"/>
      <c r="F647" s="54"/>
      <c r="G647" s="19"/>
      <c r="H647" s="17"/>
      <c r="I647" s="19"/>
      <c r="J647" s="21"/>
      <c r="K647" s="57"/>
      <c r="L647" s="24"/>
      <c r="M647" s="25"/>
      <c r="N647" s="25"/>
      <c r="O647" s="26"/>
      <c r="P647" s="26"/>
    </row>
    <row r="648">
      <c r="A648" s="52"/>
      <c r="B648" s="15"/>
      <c r="C648" s="16"/>
      <c r="D648" s="15"/>
      <c r="E648" s="17"/>
      <c r="F648" s="54"/>
      <c r="G648" s="19"/>
      <c r="H648" s="17"/>
      <c r="I648" s="19"/>
      <c r="J648" s="21"/>
      <c r="K648" s="57"/>
      <c r="L648" s="24"/>
      <c r="M648" s="25"/>
      <c r="N648" s="25"/>
      <c r="O648" s="26"/>
      <c r="P648" s="26"/>
    </row>
    <row r="649">
      <c r="A649" s="52"/>
      <c r="B649" s="15"/>
      <c r="C649" s="16"/>
      <c r="D649" s="15"/>
      <c r="E649" s="17"/>
      <c r="F649" s="54"/>
      <c r="G649" s="19"/>
      <c r="H649" s="17"/>
      <c r="I649" s="19"/>
      <c r="J649" s="21"/>
      <c r="K649" s="57"/>
      <c r="L649" s="24"/>
      <c r="M649" s="25"/>
      <c r="N649" s="25"/>
      <c r="O649" s="26"/>
      <c r="P649" s="26"/>
    </row>
    <row r="650">
      <c r="A650" s="52"/>
      <c r="B650" s="15"/>
      <c r="C650" s="16"/>
      <c r="D650" s="15"/>
      <c r="E650" s="17"/>
      <c r="F650" s="54"/>
      <c r="G650" s="19"/>
      <c r="H650" s="17"/>
      <c r="I650" s="19"/>
      <c r="J650" s="21"/>
      <c r="K650" s="57"/>
      <c r="L650" s="24"/>
      <c r="M650" s="25"/>
      <c r="N650" s="25"/>
      <c r="O650" s="26"/>
      <c r="P650" s="26"/>
    </row>
    <row r="651">
      <c r="A651" s="52"/>
      <c r="B651" s="15"/>
      <c r="C651" s="16"/>
      <c r="D651" s="15"/>
      <c r="E651" s="17"/>
      <c r="F651" s="54"/>
      <c r="G651" s="19"/>
      <c r="H651" s="17"/>
      <c r="I651" s="19"/>
      <c r="J651" s="21"/>
      <c r="K651" s="57"/>
      <c r="L651" s="24"/>
      <c r="M651" s="25"/>
      <c r="N651" s="25"/>
      <c r="O651" s="26"/>
      <c r="P651" s="26"/>
    </row>
    <row r="652">
      <c r="A652" s="52"/>
      <c r="B652" s="15"/>
      <c r="C652" s="16"/>
      <c r="D652" s="15"/>
      <c r="E652" s="17"/>
      <c r="F652" s="54"/>
      <c r="G652" s="19"/>
      <c r="H652" s="17"/>
      <c r="I652" s="19"/>
      <c r="J652" s="21"/>
      <c r="K652" s="57"/>
      <c r="L652" s="24"/>
      <c r="M652" s="25"/>
      <c r="N652" s="25"/>
      <c r="O652" s="26"/>
      <c r="P652" s="26"/>
    </row>
    <row r="653">
      <c r="A653" s="52"/>
      <c r="B653" s="15"/>
      <c r="C653" s="16"/>
      <c r="D653" s="15"/>
      <c r="E653" s="17"/>
      <c r="F653" s="54"/>
      <c r="G653" s="19"/>
      <c r="H653" s="17"/>
      <c r="I653" s="19"/>
      <c r="J653" s="21"/>
      <c r="K653" s="57"/>
      <c r="L653" s="24"/>
      <c r="M653" s="25"/>
      <c r="N653" s="25"/>
      <c r="O653" s="26"/>
      <c r="P653" s="26"/>
    </row>
    <row r="654">
      <c r="A654" s="52"/>
      <c r="B654" s="15"/>
      <c r="C654" s="16"/>
      <c r="D654" s="15"/>
      <c r="E654" s="17"/>
      <c r="F654" s="54"/>
      <c r="G654" s="19"/>
      <c r="H654" s="17"/>
      <c r="I654" s="19"/>
      <c r="J654" s="21"/>
      <c r="K654" s="57"/>
      <c r="L654" s="24"/>
      <c r="M654" s="25"/>
      <c r="N654" s="25"/>
      <c r="O654" s="26"/>
      <c r="P654" s="26"/>
    </row>
    <row r="655">
      <c r="A655" s="52"/>
      <c r="B655" s="15"/>
      <c r="C655" s="16"/>
      <c r="D655" s="15"/>
      <c r="E655" s="17"/>
      <c r="F655" s="54"/>
      <c r="G655" s="19"/>
      <c r="H655" s="17"/>
      <c r="I655" s="19"/>
      <c r="J655" s="21"/>
      <c r="K655" s="57"/>
      <c r="L655" s="24"/>
      <c r="M655" s="25"/>
      <c r="N655" s="25"/>
      <c r="O655" s="26"/>
      <c r="P655" s="26"/>
    </row>
    <row r="656">
      <c r="A656" s="52"/>
      <c r="B656" s="15"/>
      <c r="C656" s="16"/>
      <c r="D656" s="15"/>
      <c r="E656" s="17"/>
      <c r="F656" s="54"/>
      <c r="G656" s="19"/>
      <c r="H656" s="17"/>
      <c r="I656" s="19"/>
      <c r="J656" s="21"/>
      <c r="K656" s="57"/>
      <c r="L656" s="24"/>
      <c r="M656" s="25"/>
      <c r="N656" s="25"/>
      <c r="O656" s="26"/>
      <c r="P656" s="26"/>
    </row>
    <row r="657">
      <c r="A657" s="52"/>
      <c r="B657" s="15"/>
      <c r="C657" s="16"/>
      <c r="D657" s="15"/>
      <c r="E657" s="17"/>
      <c r="F657" s="54"/>
      <c r="G657" s="19"/>
      <c r="H657" s="17"/>
      <c r="I657" s="19"/>
      <c r="J657" s="21"/>
      <c r="K657" s="57"/>
      <c r="L657" s="24"/>
      <c r="M657" s="25"/>
      <c r="N657" s="25"/>
      <c r="O657" s="26"/>
      <c r="P657" s="26"/>
    </row>
    <row r="658">
      <c r="A658" s="52"/>
      <c r="B658" s="15"/>
      <c r="C658" s="16"/>
      <c r="D658" s="15"/>
      <c r="E658" s="17"/>
      <c r="F658" s="54"/>
      <c r="G658" s="19"/>
      <c r="H658" s="17"/>
      <c r="I658" s="19"/>
      <c r="J658" s="21"/>
      <c r="K658" s="57"/>
      <c r="L658" s="24"/>
      <c r="M658" s="25"/>
      <c r="N658" s="25"/>
      <c r="O658" s="26"/>
      <c r="P658" s="26"/>
    </row>
    <row r="659">
      <c r="A659" s="52"/>
      <c r="B659" s="15"/>
      <c r="C659" s="16"/>
      <c r="D659" s="15"/>
      <c r="E659" s="17"/>
      <c r="F659" s="54"/>
      <c r="G659" s="19"/>
      <c r="H659" s="17"/>
      <c r="I659" s="19"/>
      <c r="J659" s="21"/>
      <c r="K659" s="57"/>
      <c r="L659" s="24"/>
      <c r="M659" s="25"/>
      <c r="N659" s="25"/>
      <c r="O659" s="26"/>
      <c r="P659" s="26"/>
    </row>
    <row r="660">
      <c r="A660" s="52"/>
      <c r="B660" s="15"/>
      <c r="C660" s="16"/>
      <c r="D660" s="15"/>
      <c r="E660" s="17"/>
      <c r="F660" s="54"/>
      <c r="G660" s="19"/>
      <c r="H660" s="17"/>
      <c r="I660" s="19"/>
      <c r="J660" s="21"/>
      <c r="K660" s="57"/>
      <c r="L660" s="24"/>
      <c r="M660" s="25"/>
      <c r="N660" s="25"/>
      <c r="O660" s="26"/>
      <c r="P660" s="26"/>
    </row>
    <row r="661">
      <c r="A661" s="52"/>
      <c r="B661" s="15"/>
      <c r="C661" s="16"/>
      <c r="D661" s="15"/>
      <c r="E661" s="17"/>
      <c r="F661" s="54"/>
      <c r="G661" s="19"/>
      <c r="H661" s="17"/>
      <c r="I661" s="19"/>
      <c r="J661" s="21"/>
      <c r="K661" s="57"/>
      <c r="L661" s="24"/>
      <c r="M661" s="25"/>
      <c r="N661" s="25"/>
      <c r="O661" s="26"/>
      <c r="P661" s="26"/>
    </row>
    <row r="662">
      <c r="A662" s="52"/>
      <c r="B662" s="15"/>
      <c r="C662" s="16"/>
      <c r="D662" s="15"/>
      <c r="E662" s="17"/>
      <c r="F662" s="54"/>
      <c r="G662" s="19"/>
      <c r="H662" s="17"/>
      <c r="I662" s="19"/>
      <c r="J662" s="21"/>
      <c r="K662" s="57"/>
      <c r="L662" s="24"/>
      <c r="M662" s="25"/>
      <c r="N662" s="25"/>
      <c r="O662" s="26"/>
      <c r="P662" s="26"/>
    </row>
    <row r="663">
      <c r="A663" s="52"/>
      <c r="B663" s="15"/>
      <c r="C663" s="16"/>
      <c r="D663" s="15"/>
      <c r="E663" s="17"/>
      <c r="F663" s="54"/>
      <c r="G663" s="19"/>
      <c r="H663" s="17"/>
      <c r="I663" s="19"/>
      <c r="J663" s="21"/>
      <c r="K663" s="57"/>
      <c r="L663" s="24"/>
      <c r="M663" s="25"/>
      <c r="N663" s="25"/>
      <c r="O663" s="26"/>
      <c r="P663" s="26"/>
    </row>
    <row r="664">
      <c r="A664" s="52"/>
      <c r="B664" s="15"/>
      <c r="C664" s="16"/>
      <c r="D664" s="15"/>
      <c r="E664" s="17"/>
      <c r="F664" s="54"/>
      <c r="G664" s="19"/>
      <c r="H664" s="17"/>
      <c r="I664" s="19"/>
      <c r="J664" s="21"/>
      <c r="K664" s="57"/>
      <c r="L664" s="24"/>
      <c r="M664" s="25"/>
      <c r="N664" s="25"/>
      <c r="O664" s="26"/>
      <c r="P664" s="26"/>
    </row>
    <row r="665">
      <c r="A665" s="52"/>
      <c r="B665" s="15"/>
      <c r="C665" s="16"/>
      <c r="D665" s="15"/>
      <c r="E665" s="17"/>
      <c r="F665" s="54"/>
      <c r="G665" s="19"/>
      <c r="H665" s="17"/>
      <c r="I665" s="19"/>
      <c r="J665" s="21"/>
      <c r="K665" s="57"/>
      <c r="L665" s="24"/>
      <c r="M665" s="25"/>
      <c r="N665" s="25"/>
      <c r="O665" s="26"/>
      <c r="P665" s="26"/>
    </row>
    <row r="666">
      <c r="A666" s="52"/>
      <c r="B666" s="15"/>
      <c r="C666" s="16"/>
      <c r="D666" s="15"/>
      <c r="E666" s="17"/>
      <c r="F666" s="54"/>
      <c r="G666" s="19"/>
      <c r="H666" s="17"/>
      <c r="I666" s="19"/>
      <c r="J666" s="21"/>
      <c r="K666" s="57"/>
      <c r="L666" s="24"/>
      <c r="M666" s="25"/>
      <c r="N666" s="25"/>
      <c r="O666" s="26"/>
      <c r="P666" s="26"/>
    </row>
    <row r="667">
      <c r="A667" s="52"/>
      <c r="B667" s="15"/>
      <c r="C667" s="16"/>
      <c r="D667" s="15"/>
      <c r="E667" s="17"/>
      <c r="F667" s="54"/>
      <c r="G667" s="19"/>
      <c r="H667" s="17"/>
      <c r="I667" s="19"/>
      <c r="J667" s="21"/>
      <c r="K667" s="57"/>
      <c r="L667" s="24"/>
      <c r="M667" s="25"/>
      <c r="N667" s="25"/>
      <c r="O667" s="26"/>
      <c r="P667" s="26"/>
    </row>
    <row r="668">
      <c r="A668" s="52"/>
      <c r="B668" s="15"/>
      <c r="C668" s="16"/>
      <c r="D668" s="15"/>
      <c r="E668" s="17"/>
      <c r="F668" s="54"/>
      <c r="G668" s="19"/>
      <c r="H668" s="17"/>
      <c r="I668" s="19"/>
      <c r="J668" s="21"/>
      <c r="K668" s="57"/>
      <c r="L668" s="24"/>
      <c r="M668" s="25"/>
      <c r="N668" s="25"/>
      <c r="O668" s="26"/>
      <c r="P668" s="26"/>
    </row>
    <row r="669">
      <c r="A669" s="52"/>
      <c r="B669" s="15"/>
      <c r="C669" s="16"/>
      <c r="D669" s="15"/>
      <c r="E669" s="17"/>
      <c r="F669" s="54"/>
      <c r="G669" s="19"/>
      <c r="H669" s="17"/>
      <c r="I669" s="19"/>
      <c r="J669" s="21"/>
      <c r="K669" s="57"/>
      <c r="L669" s="24"/>
      <c r="M669" s="25"/>
      <c r="N669" s="25"/>
      <c r="O669" s="26"/>
      <c r="P669" s="26"/>
    </row>
    <row r="670">
      <c r="A670" s="52"/>
      <c r="B670" s="15"/>
      <c r="C670" s="16"/>
      <c r="D670" s="15"/>
      <c r="E670" s="17"/>
      <c r="F670" s="54"/>
      <c r="G670" s="19"/>
      <c r="H670" s="17"/>
      <c r="I670" s="19"/>
      <c r="J670" s="21"/>
      <c r="K670" s="57"/>
      <c r="L670" s="24"/>
      <c r="M670" s="25"/>
      <c r="N670" s="25"/>
      <c r="O670" s="26"/>
      <c r="P670" s="26"/>
    </row>
    <row r="671">
      <c r="A671" s="52"/>
      <c r="B671" s="15"/>
      <c r="C671" s="16"/>
      <c r="D671" s="15"/>
      <c r="E671" s="17"/>
      <c r="F671" s="54"/>
      <c r="G671" s="19"/>
      <c r="H671" s="17"/>
      <c r="I671" s="19"/>
      <c r="J671" s="21"/>
      <c r="K671" s="57"/>
      <c r="L671" s="24"/>
      <c r="M671" s="25"/>
      <c r="N671" s="25"/>
      <c r="O671" s="26"/>
      <c r="P671" s="26"/>
    </row>
    <row r="672">
      <c r="A672" s="52"/>
      <c r="B672" s="15"/>
      <c r="C672" s="16"/>
      <c r="D672" s="15"/>
      <c r="E672" s="17"/>
      <c r="F672" s="54"/>
      <c r="G672" s="19"/>
      <c r="H672" s="17"/>
      <c r="I672" s="19"/>
      <c r="J672" s="21"/>
      <c r="K672" s="57"/>
      <c r="L672" s="24"/>
      <c r="M672" s="25"/>
      <c r="N672" s="25"/>
      <c r="O672" s="26"/>
      <c r="P672" s="26"/>
    </row>
    <row r="673">
      <c r="A673" s="52"/>
      <c r="B673" s="15"/>
      <c r="C673" s="16"/>
      <c r="D673" s="15"/>
      <c r="E673" s="17"/>
      <c r="F673" s="54"/>
      <c r="G673" s="19"/>
      <c r="H673" s="17"/>
      <c r="I673" s="19"/>
      <c r="J673" s="21"/>
      <c r="K673" s="57"/>
      <c r="L673" s="24"/>
      <c r="M673" s="25"/>
      <c r="N673" s="25"/>
      <c r="O673" s="26"/>
      <c r="P673" s="26"/>
    </row>
    <row r="674">
      <c r="A674" s="52"/>
      <c r="B674" s="15"/>
      <c r="C674" s="16"/>
      <c r="D674" s="15"/>
      <c r="E674" s="17"/>
      <c r="F674" s="54"/>
      <c r="G674" s="19"/>
      <c r="H674" s="17"/>
      <c r="I674" s="19"/>
      <c r="J674" s="21"/>
      <c r="K674" s="57"/>
      <c r="L674" s="24"/>
      <c r="M674" s="25"/>
      <c r="N674" s="25"/>
      <c r="O674" s="26"/>
      <c r="P674" s="26"/>
    </row>
    <row r="675">
      <c r="A675" s="52"/>
      <c r="B675" s="15"/>
      <c r="C675" s="16"/>
      <c r="D675" s="15"/>
      <c r="E675" s="17"/>
      <c r="F675" s="54"/>
      <c r="G675" s="19"/>
      <c r="H675" s="17"/>
      <c r="I675" s="19"/>
      <c r="J675" s="21"/>
      <c r="K675" s="57"/>
      <c r="L675" s="24"/>
      <c r="M675" s="25"/>
      <c r="N675" s="25"/>
      <c r="O675" s="26"/>
      <c r="P675" s="26"/>
    </row>
    <row r="676">
      <c r="A676" s="52"/>
      <c r="B676" s="15"/>
      <c r="C676" s="16"/>
      <c r="D676" s="15"/>
      <c r="E676" s="17"/>
      <c r="F676" s="54"/>
      <c r="G676" s="19"/>
      <c r="H676" s="17"/>
      <c r="I676" s="19"/>
      <c r="J676" s="21"/>
      <c r="K676" s="57"/>
      <c r="L676" s="24"/>
      <c r="M676" s="25"/>
      <c r="N676" s="25"/>
      <c r="O676" s="26"/>
      <c r="P676" s="26"/>
    </row>
    <row r="677">
      <c r="A677" s="52"/>
      <c r="B677" s="15"/>
      <c r="C677" s="16"/>
      <c r="D677" s="15"/>
      <c r="E677" s="17"/>
      <c r="F677" s="54"/>
      <c r="G677" s="19"/>
      <c r="H677" s="17"/>
      <c r="I677" s="19"/>
      <c r="J677" s="21"/>
      <c r="K677" s="57"/>
      <c r="L677" s="24"/>
      <c r="M677" s="25"/>
      <c r="N677" s="25"/>
      <c r="O677" s="26"/>
      <c r="P677" s="26"/>
    </row>
    <row r="678">
      <c r="A678" s="52"/>
      <c r="B678" s="15"/>
      <c r="C678" s="16"/>
      <c r="D678" s="15"/>
      <c r="E678" s="17"/>
      <c r="F678" s="54"/>
      <c r="G678" s="19"/>
      <c r="H678" s="17"/>
      <c r="I678" s="19"/>
      <c r="J678" s="21"/>
      <c r="K678" s="57"/>
      <c r="L678" s="24"/>
      <c r="M678" s="25"/>
      <c r="N678" s="25"/>
      <c r="O678" s="26"/>
      <c r="P678" s="26"/>
    </row>
    <row r="679">
      <c r="A679" s="52"/>
      <c r="B679" s="15"/>
      <c r="C679" s="16"/>
      <c r="D679" s="15"/>
      <c r="E679" s="17"/>
      <c r="F679" s="54"/>
      <c r="G679" s="19"/>
      <c r="H679" s="17"/>
      <c r="I679" s="19"/>
      <c r="J679" s="21"/>
      <c r="K679" s="57"/>
      <c r="L679" s="24"/>
      <c r="M679" s="25"/>
      <c r="N679" s="25"/>
      <c r="O679" s="26"/>
      <c r="P679" s="26"/>
    </row>
    <row r="680">
      <c r="A680" s="52"/>
      <c r="B680" s="15"/>
      <c r="C680" s="16"/>
      <c r="D680" s="15"/>
      <c r="E680" s="17"/>
      <c r="F680" s="54"/>
      <c r="G680" s="19"/>
      <c r="H680" s="17"/>
      <c r="I680" s="19"/>
      <c r="J680" s="21"/>
      <c r="K680" s="57"/>
      <c r="L680" s="24"/>
      <c r="M680" s="25"/>
      <c r="N680" s="25"/>
      <c r="O680" s="26"/>
      <c r="P680" s="26"/>
    </row>
    <row r="681">
      <c r="A681" s="52"/>
      <c r="B681" s="15"/>
      <c r="C681" s="16"/>
      <c r="D681" s="15"/>
      <c r="E681" s="17"/>
      <c r="F681" s="54"/>
      <c r="G681" s="19"/>
      <c r="H681" s="17"/>
      <c r="I681" s="19"/>
      <c r="J681" s="21"/>
      <c r="K681" s="57"/>
      <c r="L681" s="24"/>
      <c r="M681" s="25"/>
      <c r="N681" s="25"/>
      <c r="O681" s="26"/>
      <c r="P681" s="26"/>
    </row>
    <row r="682">
      <c r="A682" s="52"/>
      <c r="B682" s="15"/>
      <c r="C682" s="16"/>
      <c r="D682" s="15"/>
      <c r="E682" s="17"/>
      <c r="F682" s="54"/>
      <c r="G682" s="19"/>
      <c r="H682" s="17"/>
      <c r="I682" s="19"/>
      <c r="J682" s="21"/>
      <c r="K682" s="57"/>
      <c r="L682" s="24"/>
      <c r="M682" s="25"/>
      <c r="N682" s="25"/>
      <c r="O682" s="26"/>
      <c r="P682" s="26"/>
    </row>
    <row r="683">
      <c r="A683" s="52"/>
      <c r="B683" s="15"/>
      <c r="C683" s="16"/>
      <c r="D683" s="15"/>
      <c r="E683" s="17"/>
      <c r="F683" s="54"/>
      <c r="G683" s="19"/>
      <c r="H683" s="17"/>
      <c r="I683" s="19"/>
      <c r="J683" s="21"/>
      <c r="K683" s="57"/>
      <c r="L683" s="24"/>
      <c r="M683" s="25"/>
      <c r="N683" s="25"/>
      <c r="O683" s="26"/>
      <c r="P683" s="26"/>
    </row>
    <row r="684">
      <c r="A684" s="52"/>
      <c r="B684" s="15"/>
      <c r="C684" s="16"/>
      <c r="D684" s="15"/>
      <c r="E684" s="17"/>
      <c r="F684" s="54"/>
      <c r="G684" s="19"/>
      <c r="H684" s="17"/>
      <c r="I684" s="19"/>
      <c r="J684" s="21"/>
      <c r="K684" s="57"/>
      <c r="L684" s="24"/>
      <c r="M684" s="25"/>
      <c r="N684" s="25"/>
      <c r="O684" s="26"/>
      <c r="P684" s="26"/>
    </row>
    <row r="685">
      <c r="A685" s="52"/>
      <c r="B685" s="15"/>
      <c r="C685" s="16"/>
      <c r="D685" s="15"/>
      <c r="E685" s="17"/>
      <c r="F685" s="54"/>
      <c r="G685" s="19"/>
      <c r="H685" s="17"/>
      <c r="I685" s="19"/>
      <c r="J685" s="21"/>
      <c r="K685" s="57"/>
      <c r="L685" s="24"/>
      <c r="M685" s="25"/>
      <c r="N685" s="25"/>
      <c r="O685" s="26"/>
      <c r="P685" s="26"/>
    </row>
    <row r="686">
      <c r="A686" s="52"/>
      <c r="B686" s="15"/>
      <c r="C686" s="16"/>
      <c r="D686" s="15"/>
      <c r="E686" s="17"/>
      <c r="F686" s="54"/>
      <c r="G686" s="19"/>
      <c r="H686" s="17"/>
      <c r="I686" s="19"/>
      <c r="J686" s="21"/>
      <c r="K686" s="57"/>
      <c r="L686" s="24"/>
      <c r="M686" s="25"/>
      <c r="N686" s="25"/>
      <c r="O686" s="26"/>
      <c r="P686" s="26"/>
    </row>
    <row r="687">
      <c r="A687" s="52"/>
      <c r="B687" s="15"/>
      <c r="C687" s="16"/>
      <c r="D687" s="15"/>
      <c r="E687" s="17"/>
      <c r="F687" s="54"/>
      <c r="G687" s="19"/>
      <c r="H687" s="17"/>
      <c r="I687" s="19"/>
      <c r="J687" s="21"/>
      <c r="K687" s="57"/>
      <c r="L687" s="24"/>
      <c r="M687" s="25"/>
      <c r="N687" s="25"/>
      <c r="O687" s="26"/>
      <c r="P687" s="26"/>
    </row>
    <row r="688">
      <c r="A688" s="52"/>
      <c r="B688" s="15"/>
      <c r="C688" s="16"/>
      <c r="D688" s="15"/>
      <c r="E688" s="17"/>
      <c r="F688" s="54"/>
      <c r="G688" s="19"/>
      <c r="H688" s="17"/>
      <c r="I688" s="19"/>
      <c r="J688" s="21"/>
      <c r="K688" s="57"/>
      <c r="L688" s="24"/>
      <c r="M688" s="25"/>
      <c r="N688" s="25"/>
      <c r="O688" s="26"/>
      <c r="P688" s="26"/>
    </row>
    <row r="689">
      <c r="A689" s="52"/>
      <c r="B689" s="15"/>
      <c r="C689" s="16"/>
      <c r="D689" s="15"/>
      <c r="E689" s="17"/>
      <c r="F689" s="54"/>
      <c r="G689" s="19"/>
      <c r="H689" s="17"/>
      <c r="I689" s="19"/>
      <c r="J689" s="21"/>
      <c r="K689" s="57"/>
      <c r="L689" s="24"/>
      <c r="M689" s="25"/>
      <c r="N689" s="25"/>
      <c r="O689" s="26"/>
      <c r="P689" s="26"/>
    </row>
    <row r="690">
      <c r="A690" s="52"/>
      <c r="B690" s="15"/>
      <c r="C690" s="16"/>
      <c r="D690" s="15"/>
      <c r="E690" s="17"/>
      <c r="F690" s="54"/>
      <c r="G690" s="19"/>
      <c r="H690" s="17"/>
      <c r="I690" s="19"/>
      <c r="J690" s="21"/>
      <c r="K690" s="57"/>
      <c r="L690" s="24"/>
      <c r="M690" s="25"/>
      <c r="N690" s="25"/>
      <c r="O690" s="26"/>
      <c r="P690" s="26"/>
    </row>
    <row r="691">
      <c r="A691" s="52"/>
      <c r="B691" s="15"/>
      <c r="C691" s="16"/>
      <c r="D691" s="15"/>
      <c r="E691" s="17"/>
      <c r="F691" s="54"/>
      <c r="G691" s="19"/>
      <c r="H691" s="17"/>
      <c r="I691" s="19"/>
      <c r="J691" s="21"/>
      <c r="K691" s="57"/>
      <c r="L691" s="24"/>
      <c r="M691" s="25"/>
      <c r="N691" s="25"/>
      <c r="O691" s="26"/>
      <c r="P691" s="26"/>
    </row>
    <row r="692">
      <c r="A692" s="52"/>
      <c r="B692" s="15"/>
      <c r="C692" s="16"/>
      <c r="D692" s="15"/>
      <c r="E692" s="17"/>
      <c r="F692" s="54"/>
      <c r="G692" s="19"/>
      <c r="H692" s="17"/>
      <c r="I692" s="19"/>
      <c r="J692" s="21"/>
      <c r="K692" s="57"/>
      <c r="L692" s="24"/>
      <c r="M692" s="25"/>
      <c r="N692" s="25"/>
      <c r="O692" s="26"/>
      <c r="P692" s="26"/>
    </row>
    <row r="693">
      <c r="A693" s="52"/>
      <c r="B693" s="15"/>
      <c r="C693" s="16"/>
      <c r="D693" s="15"/>
      <c r="E693" s="17"/>
      <c r="F693" s="54"/>
      <c r="G693" s="19"/>
      <c r="H693" s="17"/>
      <c r="I693" s="19"/>
      <c r="J693" s="21"/>
      <c r="K693" s="57"/>
      <c r="L693" s="24"/>
      <c r="M693" s="25"/>
      <c r="N693" s="25"/>
      <c r="O693" s="26"/>
      <c r="P693" s="26"/>
    </row>
    <row r="694">
      <c r="A694" s="52"/>
      <c r="B694" s="15"/>
      <c r="C694" s="16"/>
      <c r="D694" s="15"/>
      <c r="E694" s="17"/>
      <c r="F694" s="54"/>
      <c r="G694" s="19"/>
      <c r="H694" s="17"/>
      <c r="I694" s="19"/>
      <c r="J694" s="21"/>
      <c r="K694" s="57"/>
      <c r="L694" s="24"/>
      <c r="M694" s="25"/>
      <c r="N694" s="25"/>
      <c r="O694" s="26"/>
      <c r="P694" s="26"/>
    </row>
    <row r="695">
      <c r="A695" s="52"/>
      <c r="B695" s="15"/>
      <c r="C695" s="16"/>
      <c r="D695" s="15"/>
      <c r="E695" s="17"/>
      <c r="F695" s="54"/>
      <c r="G695" s="19"/>
      <c r="H695" s="17"/>
      <c r="I695" s="19"/>
      <c r="J695" s="21"/>
      <c r="K695" s="57"/>
      <c r="L695" s="24"/>
      <c r="M695" s="25"/>
      <c r="N695" s="25"/>
      <c r="O695" s="26"/>
      <c r="P695" s="26"/>
    </row>
    <row r="696">
      <c r="A696" s="52"/>
      <c r="B696" s="15"/>
      <c r="C696" s="16"/>
      <c r="D696" s="15"/>
      <c r="E696" s="17"/>
      <c r="F696" s="54"/>
      <c r="G696" s="19"/>
      <c r="H696" s="17"/>
      <c r="I696" s="19"/>
      <c r="J696" s="21"/>
      <c r="K696" s="57"/>
      <c r="L696" s="24"/>
      <c r="M696" s="25"/>
      <c r="N696" s="25"/>
      <c r="O696" s="26"/>
      <c r="P696" s="26"/>
    </row>
    <row r="697">
      <c r="A697" s="52"/>
      <c r="B697" s="15"/>
      <c r="C697" s="16"/>
      <c r="D697" s="15"/>
      <c r="E697" s="17"/>
      <c r="F697" s="54"/>
      <c r="G697" s="19"/>
      <c r="H697" s="17"/>
      <c r="I697" s="19"/>
      <c r="J697" s="21"/>
      <c r="K697" s="57"/>
      <c r="L697" s="24"/>
      <c r="M697" s="25"/>
      <c r="N697" s="25"/>
      <c r="O697" s="26"/>
      <c r="P697" s="26"/>
    </row>
    <row r="698">
      <c r="A698" s="52"/>
      <c r="B698" s="15"/>
      <c r="C698" s="16"/>
      <c r="D698" s="15"/>
      <c r="E698" s="17"/>
      <c r="F698" s="54"/>
      <c r="G698" s="19"/>
      <c r="H698" s="17"/>
      <c r="I698" s="19"/>
      <c r="J698" s="21"/>
      <c r="K698" s="57"/>
      <c r="L698" s="24"/>
      <c r="M698" s="25"/>
      <c r="N698" s="25"/>
      <c r="O698" s="26"/>
      <c r="P698" s="26"/>
    </row>
    <row r="699">
      <c r="A699" s="52"/>
      <c r="B699" s="15"/>
      <c r="C699" s="16"/>
      <c r="D699" s="15"/>
      <c r="E699" s="17"/>
      <c r="F699" s="54"/>
      <c r="G699" s="19"/>
      <c r="H699" s="17"/>
      <c r="I699" s="19"/>
      <c r="J699" s="21"/>
      <c r="K699" s="57"/>
      <c r="L699" s="24"/>
      <c r="M699" s="25"/>
      <c r="N699" s="25"/>
      <c r="O699" s="26"/>
      <c r="P699" s="26"/>
    </row>
    <row r="700">
      <c r="A700" s="52"/>
      <c r="B700" s="15"/>
      <c r="C700" s="16"/>
      <c r="D700" s="15"/>
      <c r="E700" s="17"/>
      <c r="F700" s="54"/>
      <c r="G700" s="19"/>
      <c r="H700" s="17"/>
      <c r="I700" s="19"/>
      <c r="J700" s="21"/>
      <c r="K700" s="57"/>
      <c r="L700" s="24"/>
      <c r="M700" s="25"/>
      <c r="N700" s="25"/>
      <c r="O700" s="26"/>
      <c r="P700" s="26"/>
    </row>
    <row r="701">
      <c r="A701" s="52"/>
      <c r="B701" s="15"/>
      <c r="C701" s="16"/>
      <c r="D701" s="15"/>
      <c r="E701" s="17"/>
      <c r="F701" s="54"/>
      <c r="G701" s="19"/>
      <c r="H701" s="17"/>
      <c r="I701" s="19"/>
      <c r="J701" s="21"/>
      <c r="K701" s="57"/>
      <c r="L701" s="24"/>
      <c r="M701" s="25"/>
      <c r="N701" s="25"/>
      <c r="O701" s="26"/>
      <c r="P701" s="26"/>
    </row>
    <row r="702">
      <c r="A702" s="52"/>
      <c r="B702" s="15"/>
      <c r="C702" s="16"/>
      <c r="D702" s="15"/>
      <c r="E702" s="17"/>
      <c r="F702" s="54"/>
      <c r="G702" s="19"/>
      <c r="H702" s="17"/>
      <c r="I702" s="19"/>
      <c r="J702" s="21"/>
      <c r="K702" s="57"/>
      <c r="L702" s="24"/>
      <c r="M702" s="25"/>
      <c r="N702" s="25"/>
      <c r="O702" s="26"/>
      <c r="P702" s="26"/>
    </row>
    <row r="703">
      <c r="A703" s="52"/>
      <c r="B703" s="15"/>
      <c r="C703" s="16"/>
      <c r="D703" s="15"/>
      <c r="E703" s="17"/>
      <c r="F703" s="54"/>
      <c r="G703" s="19"/>
      <c r="H703" s="17"/>
      <c r="I703" s="19"/>
      <c r="J703" s="21"/>
      <c r="K703" s="57"/>
      <c r="L703" s="24"/>
      <c r="M703" s="25"/>
      <c r="N703" s="25"/>
      <c r="O703" s="26"/>
      <c r="P703" s="26"/>
    </row>
    <row r="704">
      <c r="A704" s="52"/>
      <c r="B704" s="15"/>
      <c r="C704" s="16"/>
      <c r="D704" s="15"/>
      <c r="E704" s="17"/>
      <c r="F704" s="54"/>
      <c r="G704" s="19"/>
      <c r="H704" s="17"/>
      <c r="I704" s="19"/>
      <c r="J704" s="21"/>
      <c r="K704" s="57"/>
      <c r="L704" s="24"/>
      <c r="M704" s="25"/>
      <c r="N704" s="25"/>
      <c r="O704" s="26"/>
      <c r="P704" s="26"/>
    </row>
    <row r="705">
      <c r="A705" s="52"/>
      <c r="B705" s="15"/>
      <c r="C705" s="16"/>
      <c r="D705" s="15"/>
      <c r="E705" s="17"/>
      <c r="F705" s="54"/>
      <c r="G705" s="19"/>
      <c r="H705" s="17"/>
      <c r="I705" s="19"/>
      <c r="J705" s="21"/>
      <c r="K705" s="57"/>
      <c r="L705" s="24"/>
      <c r="M705" s="25"/>
      <c r="N705" s="25"/>
      <c r="O705" s="26"/>
      <c r="P705" s="26"/>
    </row>
    <row r="706">
      <c r="A706" s="52"/>
      <c r="B706" s="15"/>
      <c r="C706" s="16"/>
      <c r="D706" s="15"/>
      <c r="E706" s="17"/>
      <c r="F706" s="54"/>
      <c r="G706" s="19"/>
      <c r="H706" s="17"/>
      <c r="I706" s="19"/>
      <c r="J706" s="21"/>
      <c r="K706" s="57"/>
      <c r="L706" s="24"/>
      <c r="M706" s="25"/>
      <c r="N706" s="25"/>
      <c r="O706" s="26"/>
      <c r="P706" s="26"/>
    </row>
    <row r="707">
      <c r="A707" s="52"/>
      <c r="B707" s="15"/>
      <c r="C707" s="16"/>
      <c r="D707" s="15"/>
      <c r="E707" s="17"/>
      <c r="F707" s="54"/>
      <c r="G707" s="19"/>
      <c r="H707" s="17"/>
      <c r="I707" s="19"/>
      <c r="J707" s="21"/>
      <c r="K707" s="57"/>
      <c r="L707" s="24"/>
      <c r="M707" s="25"/>
      <c r="N707" s="25"/>
      <c r="O707" s="26"/>
      <c r="P707" s="26"/>
    </row>
    <row r="708">
      <c r="A708" s="52"/>
      <c r="B708" s="15"/>
      <c r="C708" s="16"/>
      <c r="D708" s="15"/>
      <c r="E708" s="17"/>
      <c r="F708" s="54"/>
      <c r="G708" s="19"/>
      <c r="H708" s="17"/>
      <c r="I708" s="19"/>
      <c r="J708" s="21"/>
      <c r="K708" s="57"/>
      <c r="L708" s="24"/>
      <c r="M708" s="25"/>
      <c r="N708" s="25"/>
      <c r="O708" s="26"/>
      <c r="P708" s="26"/>
    </row>
    <row r="709">
      <c r="A709" s="52"/>
      <c r="B709" s="15"/>
      <c r="C709" s="16"/>
      <c r="D709" s="15"/>
      <c r="E709" s="17"/>
      <c r="F709" s="54"/>
      <c r="G709" s="19"/>
      <c r="H709" s="17"/>
      <c r="I709" s="19"/>
      <c r="J709" s="21"/>
      <c r="K709" s="57"/>
      <c r="L709" s="24"/>
      <c r="M709" s="25"/>
      <c r="N709" s="25"/>
      <c r="O709" s="26"/>
      <c r="P709" s="26"/>
    </row>
    <row r="710">
      <c r="A710" s="52"/>
      <c r="B710" s="15"/>
      <c r="C710" s="16"/>
      <c r="D710" s="15"/>
      <c r="E710" s="17"/>
      <c r="F710" s="54"/>
      <c r="G710" s="19"/>
      <c r="H710" s="17"/>
      <c r="I710" s="19"/>
      <c r="J710" s="21"/>
      <c r="K710" s="57"/>
      <c r="L710" s="24"/>
      <c r="M710" s="25"/>
      <c r="N710" s="25"/>
      <c r="O710" s="26"/>
      <c r="P710" s="26"/>
    </row>
    <row r="711">
      <c r="A711" s="52"/>
      <c r="B711" s="15"/>
      <c r="C711" s="16"/>
      <c r="D711" s="15"/>
      <c r="E711" s="17"/>
      <c r="F711" s="54"/>
      <c r="G711" s="19"/>
      <c r="H711" s="17"/>
      <c r="I711" s="19"/>
      <c r="J711" s="21"/>
      <c r="K711" s="57"/>
      <c r="L711" s="24"/>
      <c r="M711" s="25"/>
      <c r="N711" s="25"/>
      <c r="O711" s="26"/>
      <c r="P711" s="26"/>
    </row>
    <row r="712">
      <c r="A712" s="52"/>
      <c r="B712" s="15"/>
      <c r="C712" s="16"/>
      <c r="D712" s="15"/>
      <c r="E712" s="17"/>
      <c r="F712" s="54"/>
      <c r="G712" s="19"/>
      <c r="H712" s="17"/>
      <c r="I712" s="19"/>
      <c r="J712" s="21"/>
      <c r="K712" s="57"/>
      <c r="L712" s="24"/>
      <c r="M712" s="25"/>
      <c r="N712" s="25"/>
      <c r="O712" s="26"/>
      <c r="P712" s="26"/>
    </row>
    <row r="713">
      <c r="A713" s="52"/>
      <c r="B713" s="15"/>
      <c r="C713" s="16"/>
      <c r="D713" s="15"/>
      <c r="E713" s="17"/>
      <c r="F713" s="54"/>
      <c r="G713" s="19"/>
      <c r="H713" s="17"/>
      <c r="I713" s="19"/>
      <c r="J713" s="21"/>
      <c r="K713" s="57"/>
      <c r="L713" s="24"/>
      <c r="M713" s="25"/>
      <c r="N713" s="25"/>
      <c r="O713" s="26"/>
      <c r="P713" s="26"/>
    </row>
    <row r="714">
      <c r="A714" s="52"/>
      <c r="B714" s="15"/>
      <c r="C714" s="16"/>
      <c r="D714" s="15"/>
      <c r="E714" s="17"/>
      <c r="F714" s="54"/>
      <c r="G714" s="19"/>
      <c r="H714" s="17"/>
      <c r="I714" s="19"/>
      <c r="J714" s="21"/>
      <c r="K714" s="57"/>
      <c r="L714" s="24"/>
      <c r="M714" s="25"/>
      <c r="N714" s="25"/>
      <c r="O714" s="26"/>
      <c r="P714" s="26"/>
    </row>
    <row r="715">
      <c r="A715" s="52"/>
      <c r="B715" s="15"/>
      <c r="C715" s="16"/>
      <c r="D715" s="15"/>
      <c r="E715" s="17"/>
      <c r="F715" s="54"/>
      <c r="G715" s="19"/>
      <c r="H715" s="17"/>
      <c r="I715" s="19"/>
      <c r="J715" s="21"/>
      <c r="K715" s="57"/>
      <c r="L715" s="24"/>
      <c r="M715" s="25"/>
      <c r="N715" s="25"/>
      <c r="O715" s="26"/>
      <c r="P715" s="26"/>
    </row>
    <row r="716">
      <c r="A716" s="52"/>
      <c r="B716" s="15"/>
      <c r="C716" s="16"/>
      <c r="D716" s="15"/>
      <c r="E716" s="17"/>
      <c r="F716" s="54"/>
      <c r="G716" s="19"/>
      <c r="H716" s="17"/>
      <c r="I716" s="19"/>
      <c r="J716" s="21"/>
      <c r="K716" s="57"/>
      <c r="L716" s="24"/>
      <c r="M716" s="25"/>
      <c r="N716" s="25"/>
      <c r="O716" s="26"/>
      <c r="P716" s="26"/>
    </row>
    <row r="717">
      <c r="A717" s="52"/>
      <c r="B717" s="15"/>
      <c r="C717" s="16"/>
      <c r="D717" s="15"/>
      <c r="E717" s="17"/>
      <c r="F717" s="54"/>
      <c r="G717" s="19"/>
      <c r="H717" s="17"/>
      <c r="I717" s="19"/>
      <c r="J717" s="21"/>
      <c r="K717" s="57"/>
      <c r="L717" s="24"/>
      <c r="M717" s="25"/>
      <c r="N717" s="25"/>
      <c r="O717" s="26"/>
      <c r="P717" s="26"/>
    </row>
    <row r="718">
      <c r="A718" s="52"/>
      <c r="B718" s="15"/>
      <c r="C718" s="16"/>
      <c r="D718" s="15"/>
      <c r="E718" s="17"/>
      <c r="F718" s="54"/>
      <c r="G718" s="19"/>
      <c r="H718" s="17"/>
      <c r="I718" s="19"/>
      <c r="J718" s="21"/>
      <c r="K718" s="57"/>
      <c r="L718" s="24"/>
      <c r="M718" s="25"/>
      <c r="N718" s="25"/>
      <c r="O718" s="26"/>
      <c r="P718" s="26"/>
    </row>
    <row r="719">
      <c r="A719" s="52"/>
      <c r="B719" s="15"/>
      <c r="C719" s="16"/>
      <c r="D719" s="15"/>
      <c r="E719" s="17"/>
      <c r="F719" s="54"/>
      <c r="G719" s="19"/>
      <c r="H719" s="17"/>
      <c r="I719" s="19"/>
      <c r="J719" s="21"/>
      <c r="K719" s="57"/>
      <c r="L719" s="24"/>
      <c r="M719" s="25"/>
      <c r="N719" s="25"/>
      <c r="O719" s="26"/>
      <c r="P719" s="26"/>
    </row>
    <row r="720">
      <c r="A720" s="52"/>
      <c r="B720" s="15"/>
      <c r="C720" s="16"/>
      <c r="D720" s="15"/>
      <c r="E720" s="17"/>
      <c r="F720" s="54"/>
      <c r="G720" s="19"/>
      <c r="H720" s="17"/>
      <c r="I720" s="19"/>
      <c r="J720" s="21"/>
      <c r="K720" s="57"/>
      <c r="L720" s="24"/>
      <c r="M720" s="25"/>
      <c r="N720" s="25"/>
      <c r="O720" s="26"/>
      <c r="P720" s="26"/>
    </row>
    <row r="721">
      <c r="A721" s="52"/>
      <c r="B721" s="15"/>
      <c r="C721" s="16"/>
      <c r="D721" s="15"/>
      <c r="E721" s="17"/>
      <c r="F721" s="54"/>
      <c r="G721" s="19"/>
      <c r="H721" s="17"/>
      <c r="I721" s="19"/>
      <c r="J721" s="21"/>
      <c r="K721" s="57"/>
      <c r="L721" s="24"/>
      <c r="M721" s="25"/>
      <c r="N721" s="25"/>
      <c r="O721" s="26"/>
      <c r="P721" s="26"/>
    </row>
    <row r="722">
      <c r="A722" s="52"/>
      <c r="B722" s="15"/>
      <c r="C722" s="16"/>
      <c r="D722" s="15"/>
      <c r="E722" s="17"/>
      <c r="F722" s="54"/>
      <c r="G722" s="19"/>
      <c r="H722" s="17"/>
      <c r="I722" s="19"/>
      <c r="J722" s="21"/>
      <c r="K722" s="57"/>
      <c r="L722" s="24"/>
      <c r="M722" s="25"/>
      <c r="N722" s="25"/>
      <c r="O722" s="26"/>
      <c r="P722" s="26"/>
    </row>
    <row r="723">
      <c r="A723" s="52"/>
      <c r="B723" s="15"/>
      <c r="C723" s="16"/>
      <c r="D723" s="15"/>
      <c r="E723" s="17"/>
      <c r="F723" s="54"/>
      <c r="G723" s="19"/>
      <c r="H723" s="17"/>
      <c r="I723" s="19"/>
      <c r="J723" s="21"/>
      <c r="K723" s="57"/>
      <c r="L723" s="24"/>
      <c r="M723" s="25"/>
      <c r="N723" s="25"/>
      <c r="O723" s="26"/>
      <c r="P723" s="26"/>
    </row>
    <row r="724">
      <c r="A724" s="52"/>
      <c r="B724" s="15"/>
      <c r="C724" s="16"/>
      <c r="D724" s="15"/>
      <c r="E724" s="17"/>
      <c r="F724" s="54"/>
      <c r="G724" s="19"/>
      <c r="H724" s="17"/>
      <c r="I724" s="19"/>
      <c r="J724" s="21"/>
      <c r="K724" s="57"/>
      <c r="L724" s="24"/>
      <c r="M724" s="25"/>
      <c r="N724" s="25"/>
      <c r="O724" s="26"/>
      <c r="P724" s="26"/>
    </row>
    <row r="725">
      <c r="A725" s="52"/>
      <c r="B725" s="15"/>
      <c r="C725" s="16"/>
      <c r="D725" s="15"/>
      <c r="E725" s="17"/>
      <c r="F725" s="54"/>
      <c r="G725" s="19"/>
      <c r="H725" s="17"/>
      <c r="I725" s="19"/>
      <c r="J725" s="21"/>
      <c r="K725" s="57"/>
      <c r="L725" s="24"/>
      <c r="M725" s="25"/>
      <c r="N725" s="25"/>
      <c r="O725" s="26"/>
      <c r="P725" s="26"/>
    </row>
    <row r="726">
      <c r="A726" s="52"/>
      <c r="B726" s="15"/>
      <c r="C726" s="16"/>
      <c r="D726" s="15"/>
      <c r="E726" s="17"/>
      <c r="F726" s="54"/>
      <c r="G726" s="19"/>
      <c r="H726" s="17"/>
      <c r="I726" s="19"/>
      <c r="J726" s="21"/>
      <c r="K726" s="57"/>
      <c r="L726" s="24"/>
      <c r="M726" s="25"/>
      <c r="N726" s="25"/>
      <c r="O726" s="26"/>
      <c r="P726" s="26"/>
    </row>
    <row r="727">
      <c r="A727" s="52"/>
      <c r="B727" s="15"/>
      <c r="C727" s="16"/>
      <c r="D727" s="15"/>
      <c r="E727" s="17"/>
      <c r="F727" s="54"/>
      <c r="G727" s="19"/>
      <c r="H727" s="17"/>
      <c r="I727" s="19"/>
      <c r="J727" s="21"/>
      <c r="K727" s="57"/>
      <c r="L727" s="24"/>
      <c r="M727" s="25"/>
      <c r="N727" s="25"/>
      <c r="O727" s="26"/>
      <c r="P727" s="26"/>
    </row>
    <row r="728">
      <c r="A728" s="52"/>
      <c r="B728" s="15"/>
      <c r="C728" s="16"/>
      <c r="D728" s="15"/>
      <c r="E728" s="17"/>
      <c r="F728" s="54"/>
      <c r="G728" s="19"/>
      <c r="H728" s="17"/>
      <c r="I728" s="19"/>
      <c r="J728" s="21"/>
      <c r="K728" s="57"/>
      <c r="L728" s="24"/>
      <c r="M728" s="25"/>
      <c r="N728" s="25"/>
      <c r="O728" s="26"/>
      <c r="P728" s="26"/>
    </row>
    <row r="729">
      <c r="A729" s="52"/>
      <c r="B729" s="15"/>
      <c r="C729" s="16"/>
      <c r="D729" s="15"/>
      <c r="E729" s="17"/>
      <c r="F729" s="54"/>
      <c r="G729" s="19"/>
      <c r="H729" s="17"/>
      <c r="I729" s="19"/>
      <c r="J729" s="21"/>
      <c r="K729" s="57"/>
      <c r="L729" s="24"/>
      <c r="M729" s="25"/>
      <c r="N729" s="25"/>
      <c r="O729" s="26"/>
      <c r="P729" s="26"/>
    </row>
    <row r="730">
      <c r="A730" s="52"/>
      <c r="B730" s="15"/>
      <c r="C730" s="16"/>
      <c r="D730" s="15"/>
      <c r="E730" s="17"/>
      <c r="F730" s="54"/>
      <c r="G730" s="19"/>
      <c r="H730" s="17"/>
      <c r="I730" s="19"/>
      <c r="J730" s="21"/>
      <c r="K730" s="57"/>
      <c r="L730" s="24"/>
      <c r="M730" s="25"/>
      <c r="N730" s="25"/>
      <c r="O730" s="26"/>
      <c r="P730" s="26"/>
    </row>
    <row r="731">
      <c r="A731" s="52"/>
      <c r="B731" s="15"/>
      <c r="C731" s="16"/>
      <c r="D731" s="15"/>
      <c r="E731" s="17"/>
      <c r="F731" s="54"/>
      <c r="G731" s="19"/>
      <c r="H731" s="17"/>
      <c r="I731" s="19"/>
      <c r="J731" s="21"/>
      <c r="K731" s="57"/>
      <c r="L731" s="24"/>
      <c r="M731" s="25"/>
      <c r="N731" s="25"/>
      <c r="O731" s="26"/>
      <c r="P731" s="26"/>
    </row>
    <row r="732">
      <c r="A732" s="52"/>
      <c r="B732" s="15"/>
      <c r="C732" s="16"/>
      <c r="D732" s="15"/>
      <c r="E732" s="17"/>
      <c r="F732" s="54"/>
      <c r="G732" s="19"/>
      <c r="H732" s="17"/>
      <c r="I732" s="19"/>
      <c r="J732" s="21"/>
      <c r="K732" s="57"/>
      <c r="L732" s="24"/>
      <c r="M732" s="25"/>
      <c r="N732" s="25"/>
      <c r="O732" s="26"/>
      <c r="P732" s="26"/>
    </row>
    <row r="733">
      <c r="A733" s="52"/>
      <c r="B733" s="15"/>
      <c r="C733" s="16"/>
      <c r="D733" s="15"/>
      <c r="E733" s="17"/>
      <c r="F733" s="54"/>
      <c r="G733" s="19"/>
      <c r="H733" s="17"/>
      <c r="I733" s="19"/>
      <c r="J733" s="21"/>
      <c r="K733" s="57"/>
      <c r="L733" s="24"/>
      <c r="M733" s="25"/>
      <c r="N733" s="25"/>
      <c r="O733" s="26"/>
      <c r="P733" s="26"/>
    </row>
    <row r="734">
      <c r="A734" s="52"/>
      <c r="B734" s="15"/>
      <c r="C734" s="16"/>
      <c r="D734" s="15"/>
      <c r="E734" s="17"/>
      <c r="F734" s="54"/>
      <c r="G734" s="19"/>
      <c r="H734" s="17"/>
      <c r="I734" s="19"/>
      <c r="J734" s="21"/>
      <c r="K734" s="57"/>
      <c r="L734" s="24"/>
      <c r="M734" s="25"/>
      <c r="N734" s="25"/>
      <c r="O734" s="26"/>
      <c r="P734" s="26"/>
    </row>
    <row r="735">
      <c r="A735" s="52"/>
      <c r="B735" s="15"/>
      <c r="C735" s="16"/>
      <c r="D735" s="15"/>
      <c r="E735" s="17"/>
      <c r="F735" s="54"/>
      <c r="G735" s="19"/>
      <c r="H735" s="17"/>
      <c r="I735" s="19"/>
      <c r="J735" s="21"/>
      <c r="K735" s="57"/>
      <c r="L735" s="24"/>
      <c r="M735" s="25"/>
      <c r="N735" s="25"/>
      <c r="O735" s="26"/>
      <c r="P735" s="26"/>
    </row>
    <row r="736">
      <c r="A736" s="52"/>
      <c r="B736" s="15"/>
      <c r="C736" s="16"/>
      <c r="D736" s="15"/>
      <c r="E736" s="17"/>
      <c r="F736" s="54"/>
      <c r="G736" s="19"/>
      <c r="H736" s="17"/>
      <c r="I736" s="19"/>
      <c r="J736" s="21"/>
      <c r="K736" s="57"/>
      <c r="L736" s="24"/>
      <c r="M736" s="25"/>
      <c r="N736" s="25"/>
      <c r="O736" s="26"/>
      <c r="P736" s="26"/>
    </row>
    <row r="737">
      <c r="A737" s="52"/>
      <c r="B737" s="15"/>
      <c r="C737" s="16"/>
      <c r="D737" s="15"/>
      <c r="E737" s="17"/>
      <c r="F737" s="54"/>
      <c r="G737" s="19"/>
      <c r="H737" s="17"/>
      <c r="I737" s="19"/>
      <c r="J737" s="21"/>
      <c r="K737" s="57"/>
      <c r="L737" s="24"/>
      <c r="M737" s="25"/>
      <c r="N737" s="25"/>
      <c r="O737" s="26"/>
      <c r="P737" s="26"/>
    </row>
    <row r="738">
      <c r="A738" s="52"/>
      <c r="B738" s="15"/>
      <c r="C738" s="16"/>
      <c r="D738" s="15"/>
      <c r="E738" s="17"/>
      <c r="F738" s="54"/>
      <c r="G738" s="19"/>
      <c r="H738" s="17"/>
      <c r="I738" s="19"/>
      <c r="J738" s="21"/>
      <c r="K738" s="57"/>
      <c r="L738" s="24"/>
      <c r="M738" s="25"/>
      <c r="N738" s="25"/>
      <c r="O738" s="26"/>
      <c r="P738" s="26"/>
    </row>
    <row r="739">
      <c r="A739" s="52"/>
      <c r="B739" s="15"/>
      <c r="C739" s="16"/>
      <c r="D739" s="15"/>
      <c r="E739" s="17"/>
      <c r="F739" s="54"/>
      <c r="G739" s="19"/>
      <c r="H739" s="17"/>
      <c r="I739" s="19"/>
      <c r="J739" s="21"/>
      <c r="K739" s="57"/>
      <c r="L739" s="24"/>
      <c r="M739" s="25"/>
      <c r="N739" s="25"/>
      <c r="O739" s="26"/>
      <c r="P739" s="26"/>
    </row>
    <row r="740">
      <c r="A740" s="52"/>
      <c r="B740" s="15"/>
      <c r="C740" s="16"/>
      <c r="D740" s="15"/>
      <c r="E740" s="17"/>
      <c r="F740" s="54"/>
      <c r="G740" s="19"/>
      <c r="H740" s="17"/>
      <c r="I740" s="19"/>
      <c r="J740" s="21"/>
      <c r="K740" s="57"/>
      <c r="L740" s="24"/>
      <c r="M740" s="25"/>
      <c r="N740" s="25"/>
      <c r="O740" s="26"/>
      <c r="P740" s="26"/>
    </row>
    <row r="741">
      <c r="A741" s="52"/>
      <c r="B741" s="15"/>
      <c r="C741" s="16"/>
      <c r="D741" s="15"/>
      <c r="E741" s="17"/>
      <c r="F741" s="54"/>
      <c r="G741" s="19"/>
      <c r="H741" s="17"/>
      <c r="I741" s="19"/>
      <c r="J741" s="21"/>
      <c r="K741" s="57"/>
      <c r="L741" s="24"/>
      <c r="M741" s="25"/>
      <c r="N741" s="25"/>
      <c r="O741" s="26"/>
      <c r="P741" s="26"/>
    </row>
    <row r="742">
      <c r="A742" s="52"/>
      <c r="B742" s="15"/>
      <c r="C742" s="16"/>
      <c r="D742" s="15"/>
      <c r="E742" s="17"/>
      <c r="F742" s="54"/>
      <c r="G742" s="19"/>
      <c r="H742" s="17"/>
      <c r="I742" s="19"/>
      <c r="J742" s="21"/>
      <c r="K742" s="57"/>
      <c r="L742" s="24"/>
      <c r="M742" s="25"/>
      <c r="N742" s="25"/>
      <c r="O742" s="26"/>
      <c r="P742" s="26"/>
    </row>
    <row r="743">
      <c r="A743" s="52"/>
      <c r="B743" s="15"/>
      <c r="C743" s="16"/>
      <c r="D743" s="15"/>
      <c r="E743" s="17"/>
      <c r="F743" s="54"/>
      <c r="G743" s="19"/>
      <c r="H743" s="17"/>
      <c r="I743" s="19"/>
      <c r="J743" s="21"/>
      <c r="K743" s="57"/>
      <c r="L743" s="24"/>
      <c r="M743" s="25"/>
      <c r="N743" s="25"/>
      <c r="O743" s="26"/>
      <c r="P743" s="26"/>
    </row>
    <row r="744">
      <c r="A744" s="52"/>
      <c r="B744" s="15"/>
      <c r="C744" s="16"/>
      <c r="D744" s="15"/>
      <c r="E744" s="17"/>
      <c r="F744" s="54"/>
      <c r="G744" s="19"/>
      <c r="H744" s="17"/>
      <c r="I744" s="19"/>
      <c r="J744" s="21"/>
      <c r="K744" s="57"/>
      <c r="L744" s="24"/>
      <c r="M744" s="25"/>
      <c r="N744" s="25"/>
      <c r="O744" s="26"/>
      <c r="P744" s="26"/>
    </row>
    <row r="745">
      <c r="A745" s="52"/>
      <c r="B745" s="15"/>
      <c r="C745" s="16"/>
      <c r="D745" s="15"/>
      <c r="E745" s="17"/>
      <c r="F745" s="54"/>
      <c r="G745" s="19"/>
      <c r="H745" s="17"/>
      <c r="I745" s="19"/>
      <c r="J745" s="21"/>
      <c r="K745" s="57"/>
      <c r="L745" s="24"/>
      <c r="M745" s="25"/>
      <c r="N745" s="25"/>
      <c r="O745" s="26"/>
      <c r="P745" s="26"/>
    </row>
    <row r="746">
      <c r="A746" s="52"/>
      <c r="B746" s="15"/>
      <c r="C746" s="16"/>
      <c r="D746" s="15"/>
      <c r="E746" s="17"/>
      <c r="F746" s="54"/>
      <c r="G746" s="19"/>
      <c r="H746" s="17"/>
      <c r="I746" s="19"/>
      <c r="J746" s="21"/>
      <c r="K746" s="57"/>
      <c r="L746" s="24"/>
      <c r="M746" s="25"/>
      <c r="N746" s="25"/>
      <c r="O746" s="26"/>
      <c r="P746" s="26"/>
    </row>
    <row r="747">
      <c r="A747" s="74"/>
      <c r="B747" s="15"/>
      <c r="C747" s="16"/>
      <c r="D747" s="15"/>
      <c r="E747" s="17"/>
      <c r="F747" s="54"/>
      <c r="G747" s="19"/>
      <c r="H747" s="17"/>
      <c r="I747" s="19"/>
      <c r="J747" s="21"/>
      <c r="K747" s="57"/>
      <c r="L747" s="24"/>
      <c r="M747" s="25"/>
      <c r="N747" s="25"/>
      <c r="O747" s="26"/>
      <c r="P747" s="26"/>
    </row>
    <row r="748">
      <c r="A748" s="74"/>
      <c r="B748" s="15"/>
      <c r="C748" s="16"/>
      <c r="D748" s="15"/>
      <c r="E748" s="17"/>
      <c r="F748" s="54"/>
      <c r="G748" s="19"/>
      <c r="H748" s="17"/>
      <c r="I748" s="19"/>
      <c r="J748" s="21"/>
      <c r="K748" s="57"/>
      <c r="L748" s="24"/>
      <c r="M748" s="25"/>
      <c r="N748" s="25"/>
      <c r="O748" s="26"/>
      <c r="P748" s="26"/>
    </row>
    <row r="749">
      <c r="A749" s="74"/>
      <c r="B749" s="15"/>
      <c r="C749" s="16"/>
      <c r="D749" s="15"/>
      <c r="E749" s="17"/>
      <c r="F749" s="54"/>
      <c r="G749" s="19"/>
      <c r="H749" s="17"/>
      <c r="I749" s="19"/>
      <c r="J749" s="21"/>
      <c r="K749" s="57"/>
      <c r="L749" s="24"/>
      <c r="M749" s="25"/>
      <c r="N749" s="25"/>
      <c r="O749" s="26"/>
      <c r="P749" s="26"/>
    </row>
    <row r="750">
      <c r="A750" s="74"/>
      <c r="B750" s="15"/>
      <c r="C750" s="16"/>
      <c r="D750" s="15"/>
      <c r="E750" s="17"/>
      <c r="F750" s="54"/>
      <c r="G750" s="19"/>
      <c r="H750" s="17"/>
      <c r="I750" s="19"/>
      <c r="J750" s="21"/>
      <c r="K750" s="57"/>
      <c r="L750" s="24"/>
      <c r="M750" s="25"/>
      <c r="N750" s="25"/>
      <c r="O750" s="26"/>
      <c r="P750" s="26"/>
    </row>
    <row r="751">
      <c r="A751" s="52"/>
      <c r="B751" s="15"/>
      <c r="C751" s="16"/>
      <c r="D751" s="15"/>
      <c r="E751" s="17"/>
      <c r="F751" s="54"/>
      <c r="G751" s="19"/>
      <c r="H751" s="17"/>
      <c r="I751" s="19"/>
      <c r="J751" s="21"/>
      <c r="K751" s="57"/>
      <c r="L751" s="24"/>
      <c r="M751" s="25"/>
      <c r="N751" s="25"/>
      <c r="O751" s="26"/>
      <c r="P751" s="26"/>
    </row>
    <row r="752">
      <c r="A752" s="52"/>
      <c r="B752" s="15"/>
      <c r="C752" s="16"/>
      <c r="D752" s="15"/>
      <c r="E752" s="17"/>
      <c r="F752" s="54"/>
      <c r="G752" s="19"/>
      <c r="H752" s="17"/>
      <c r="I752" s="19"/>
      <c r="J752" s="21"/>
      <c r="K752" s="57"/>
      <c r="L752" s="24"/>
      <c r="M752" s="25"/>
      <c r="N752" s="25"/>
      <c r="O752" s="26"/>
      <c r="P752" s="26"/>
    </row>
    <row r="753">
      <c r="A753" s="52"/>
      <c r="B753" s="15"/>
      <c r="C753" s="16"/>
      <c r="D753" s="15"/>
      <c r="E753" s="17"/>
      <c r="F753" s="54"/>
      <c r="G753" s="19"/>
      <c r="H753" s="17"/>
      <c r="I753" s="19"/>
      <c r="J753" s="21"/>
      <c r="K753" s="57"/>
      <c r="L753" s="24"/>
      <c r="M753" s="25"/>
      <c r="N753" s="25"/>
      <c r="O753" s="26"/>
      <c r="P753" s="26"/>
    </row>
    <row r="754">
      <c r="A754" s="52"/>
      <c r="B754" s="15"/>
      <c r="C754" s="16"/>
      <c r="D754" s="15"/>
      <c r="E754" s="17"/>
      <c r="F754" s="54"/>
      <c r="G754" s="19"/>
      <c r="H754" s="17"/>
      <c r="I754" s="19"/>
      <c r="J754" s="21"/>
      <c r="K754" s="57"/>
      <c r="L754" s="24"/>
      <c r="M754" s="25"/>
      <c r="N754" s="25"/>
      <c r="O754" s="26"/>
      <c r="P754" s="26"/>
    </row>
    <row r="755">
      <c r="A755" s="52"/>
      <c r="B755" s="15"/>
      <c r="C755" s="16"/>
      <c r="D755" s="15"/>
      <c r="E755" s="17"/>
      <c r="F755" s="54"/>
      <c r="G755" s="19"/>
      <c r="H755" s="17"/>
      <c r="I755" s="19"/>
      <c r="J755" s="21"/>
      <c r="K755" s="57"/>
      <c r="L755" s="24"/>
      <c r="M755" s="25"/>
      <c r="N755" s="25"/>
      <c r="O755" s="26"/>
      <c r="P755" s="26"/>
    </row>
    <row r="756">
      <c r="A756" s="52"/>
      <c r="B756" s="15"/>
      <c r="C756" s="16"/>
      <c r="D756" s="15"/>
      <c r="E756" s="17"/>
      <c r="F756" s="54"/>
      <c r="G756" s="19"/>
      <c r="H756" s="17"/>
      <c r="I756" s="19"/>
      <c r="J756" s="21"/>
      <c r="K756" s="57"/>
      <c r="L756" s="24"/>
      <c r="M756" s="25"/>
      <c r="N756" s="25"/>
      <c r="O756" s="26"/>
      <c r="P756" s="26"/>
    </row>
    <row r="757">
      <c r="A757" s="52"/>
      <c r="B757" s="15"/>
      <c r="C757" s="16"/>
      <c r="D757" s="15"/>
      <c r="E757" s="17"/>
      <c r="F757" s="54"/>
      <c r="G757" s="19"/>
      <c r="H757" s="17"/>
      <c r="I757" s="19"/>
      <c r="J757" s="21"/>
      <c r="K757" s="57"/>
      <c r="L757" s="24"/>
      <c r="M757" s="25"/>
      <c r="N757" s="25"/>
      <c r="O757" s="26"/>
      <c r="P757" s="26"/>
    </row>
    <row r="758">
      <c r="A758" s="52"/>
      <c r="B758" s="15"/>
      <c r="C758" s="16"/>
      <c r="D758" s="15"/>
      <c r="E758" s="17"/>
      <c r="F758" s="54"/>
      <c r="G758" s="19"/>
      <c r="H758" s="17"/>
      <c r="I758" s="19"/>
      <c r="J758" s="21"/>
      <c r="K758" s="57"/>
      <c r="L758" s="24"/>
      <c r="M758" s="25"/>
      <c r="N758" s="25"/>
      <c r="O758" s="26"/>
      <c r="P758" s="26"/>
    </row>
    <row r="759">
      <c r="A759" s="52"/>
      <c r="B759" s="15"/>
      <c r="C759" s="16"/>
      <c r="D759" s="15"/>
      <c r="E759" s="17"/>
      <c r="F759" s="54"/>
      <c r="G759" s="19"/>
      <c r="H759" s="17"/>
      <c r="I759" s="19"/>
      <c r="J759" s="21"/>
      <c r="K759" s="57"/>
      <c r="L759" s="24"/>
      <c r="M759" s="25"/>
      <c r="N759" s="25"/>
      <c r="O759" s="26"/>
      <c r="P759" s="26"/>
    </row>
    <row r="760">
      <c r="A760" s="52"/>
      <c r="B760" s="15"/>
      <c r="C760" s="16"/>
      <c r="D760" s="15"/>
      <c r="E760" s="17"/>
      <c r="F760" s="54"/>
      <c r="G760" s="19"/>
      <c r="H760" s="17"/>
      <c r="I760" s="19"/>
      <c r="J760" s="21"/>
      <c r="K760" s="57"/>
      <c r="L760" s="24"/>
      <c r="M760" s="25"/>
      <c r="N760" s="25"/>
      <c r="O760" s="26"/>
      <c r="P760" s="26"/>
    </row>
    <row r="761">
      <c r="A761" s="52"/>
      <c r="B761" s="15"/>
      <c r="C761" s="16"/>
      <c r="D761" s="15"/>
      <c r="E761" s="17"/>
      <c r="F761" s="54"/>
      <c r="G761" s="19"/>
      <c r="H761" s="17"/>
      <c r="I761" s="19"/>
      <c r="J761" s="21"/>
      <c r="K761" s="57"/>
      <c r="L761" s="24"/>
      <c r="M761" s="25"/>
      <c r="N761" s="25"/>
      <c r="O761" s="26"/>
      <c r="P761" s="26"/>
    </row>
    <row r="762">
      <c r="A762" s="52"/>
      <c r="B762" s="15"/>
      <c r="C762" s="16"/>
      <c r="D762" s="15"/>
      <c r="E762" s="17"/>
      <c r="F762" s="54"/>
      <c r="G762" s="19"/>
      <c r="H762" s="17"/>
      <c r="I762" s="19"/>
      <c r="J762" s="21"/>
      <c r="K762" s="57"/>
      <c r="L762" s="24"/>
      <c r="M762" s="25"/>
      <c r="N762" s="25"/>
      <c r="O762" s="26"/>
      <c r="P762" s="26"/>
    </row>
    <row r="763">
      <c r="A763" s="52"/>
      <c r="B763" s="15"/>
      <c r="C763" s="16"/>
      <c r="D763" s="15"/>
      <c r="E763" s="17"/>
      <c r="F763" s="54"/>
      <c r="G763" s="19"/>
      <c r="H763" s="17"/>
      <c r="I763" s="19"/>
      <c r="J763" s="21"/>
      <c r="K763" s="57"/>
      <c r="L763" s="24"/>
      <c r="M763" s="25"/>
      <c r="N763" s="25"/>
      <c r="O763" s="26"/>
      <c r="P763" s="26"/>
    </row>
    <row r="764">
      <c r="A764" s="52"/>
      <c r="B764" s="15"/>
      <c r="C764" s="16"/>
      <c r="D764" s="15"/>
      <c r="E764" s="17"/>
      <c r="F764" s="54"/>
      <c r="G764" s="19"/>
      <c r="H764" s="17"/>
      <c r="I764" s="19"/>
      <c r="J764" s="21"/>
      <c r="K764" s="57"/>
      <c r="L764" s="24"/>
      <c r="M764" s="25"/>
      <c r="N764" s="25"/>
      <c r="O764" s="26"/>
      <c r="P764" s="26"/>
    </row>
    <row r="765">
      <c r="A765" s="52"/>
      <c r="B765" s="15"/>
      <c r="C765" s="16"/>
      <c r="D765" s="15"/>
      <c r="E765" s="17"/>
      <c r="F765" s="54"/>
      <c r="G765" s="19"/>
      <c r="H765" s="17"/>
      <c r="I765" s="19"/>
      <c r="J765" s="21"/>
      <c r="K765" s="57"/>
      <c r="L765" s="24"/>
      <c r="M765" s="25"/>
      <c r="N765" s="25"/>
      <c r="O765" s="26"/>
      <c r="P765" s="26"/>
    </row>
    <row r="766">
      <c r="A766" s="52"/>
      <c r="B766" s="15"/>
      <c r="C766" s="16"/>
      <c r="D766" s="15"/>
      <c r="E766" s="17"/>
      <c r="F766" s="54"/>
      <c r="G766" s="19"/>
      <c r="H766" s="17"/>
      <c r="I766" s="19"/>
      <c r="J766" s="21"/>
      <c r="K766" s="57"/>
      <c r="L766" s="24"/>
      <c r="M766" s="25"/>
      <c r="N766" s="25"/>
      <c r="O766" s="26"/>
      <c r="P766" s="26"/>
    </row>
    <row r="767">
      <c r="A767" s="52"/>
      <c r="B767" s="15"/>
      <c r="C767" s="16"/>
      <c r="D767" s="15"/>
      <c r="E767" s="17"/>
      <c r="F767" s="54"/>
      <c r="G767" s="19"/>
      <c r="H767" s="17"/>
      <c r="I767" s="19"/>
      <c r="J767" s="21"/>
      <c r="K767" s="57"/>
      <c r="L767" s="24"/>
      <c r="M767" s="25"/>
      <c r="N767" s="25"/>
      <c r="O767" s="26"/>
      <c r="P767" s="26"/>
    </row>
    <row r="768">
      <c r="A768" s="52"/>
      <c r="B768" s="15"/>
      <c r="C768" s="16"/>
      <c r="D768" s="15"/>
      <c r="E768" s="17"/>
      <c r="F768" s="54"/>
      <c r="G768" s="19"/>
      <c r="H768" s="17"/>
      <c r="I768" s="19"/>
      <c r="J768" s="21"/>
      <c r="K768" s="57"/>
      <c r="L768" s="24"/>
      <c r="M768" s="25"/>
      <c r="N768" s="25"/>
      <c r="O768" s="26"/>
      <c r="P768" s="26"/>
    </row>
    <row r="769">
      <c r="A769" s="52"/>
      <c r="B769" s="15"/>
      <c r="C769" s="16"/>
      <c r="D769" s="15"/>
      <c r="E769" s="17"/>
      <c r="F769" s="54"/>
      <c r="G769" s="19"/>
      <c r="H769" s="17"/>
      <c r="I769" s="19"/>
      <c r="J769" s="21"/>
      <c r="K769" s="57"/>
      <c r="L769" s="24"/>
      <c r="M769" s="25"/>
      <c r="N769" s="25"/>
      <c r="O769" s="26"/>
      <c r="P769" s="26"/>
    </row>
    <row r="770">
      <c r="A770" s="52"/>
      <c r="B770" s="15"/>
      <c r="C770" s="16"/>
      <c r="D770" s="15"/>
      <c r="E770" s="17"/>
      <c r="F770" s="54"/>
      <c r="G770" s="19"/>
      <c r="H770" s="17"/>
      <c r="I770" s="19"/>
      <c r="J770" s="21"/>
      <c r="K770" s="57"/>
      <c r="L770" s="24"/>
      <c r="M770" s="25"/>
      <c r="N770" s="25"/>
      <c r="O770" s="26"/>
      <c r="P770" s="26"/>
    </row>
    <row r="771">
      <c r="A771" s="52"/>
      <c r="B771" s="15"/>
      <c r="C771" s="16"/>
      <c r="D771" s="15"/>
      <c r="E771" s="17"/>
      <c r="F771" s="54"/>
      <c r="G771" s="19"/>
      <c r="H771" s="17"/>
      <c r="I771" s="19"/>
      <c r="J771" s="21"/>
      <c r="K771" s="57"/>
      <c r="L771" s="24"/>
      <c r="M771" s="25"/>
      <c r="N771" s="25"/>
      <c r="O771" s="26"/>
      <c r="P771" s="26"/>
    </row>
    <row r="772">
      <c r="A772" s="52"/>
      <c r="B772" s="15"/>
      <c r="C772" s="16"/>
      <c r="D772" s="15"/>
      <c r="E772" s="17"/>
      <c r="F772" s="54"/>
      <c r="G772" s="19"/>
      <c r="H772" s="17"/>
      <c r="I772" s="19"/>
      <c r="J772" s="21"/>
      <c r="K772" s="57"/>
      <c r="L772" s="24"/>
      <c r="M772" s="25"/>
      <c r="N772" s="25"/>
      <c r="O772" s="26"/>
      <c r="P772" s="26"/>
    </row>
    <row r="773">
      <c r="A773" s="52"/>
      <c r="B773" s="15"/>
      <c r="C773" s="16"/>
      <c r="D773" s="15"/>
      <c r="E773" s="17"/>
      <c r="F773" s="54"/>
      <c r="G773" s="19"/>
      <c r="H773" s="17"/>
      <c r="I773" s="19"/>
      <c r="J773" s="21"/>
      <c r="K773" s="57"/>
      <c r="L773" s="24"/>
      <c r="M773" s="25"/>
      <c r="N773" s="25"/>
      <c r="O773" s="26"/>
      <c r="P773" s="26"/>
    </row>
    <row r="774">
      <c r="A774" s="52"/>
      <c r="B774" s="15"/>
      <c r="C774" s="16"/>
      <c r="D774" s="15"/>
      <c r="E774" s="17"/>
      <c r="F774" s="54"/>
      <c r="G774" s="19"/>
      <c r="H774" s="17"/>
      <c r="I774" s="19"/>
      <c r="J774" s="21"/>
      <c r="K774" s="57"/>
      <c r="L774" s="24"/>
      <c r="M774" s="25"/>
      <c r="N774" s="25"/>
      <c r="O774" s="26"/>
      <c r="P774" s="26"/>
    </row>
    <row r="775">
      <c r="A775" s="52"/>
      <c r="B775" s="15"/>
      <c r="C775" s="16"/>
      <c r="D775" s="15"/>
      <c r="E775" s="17"/>
      <c r="F775" s="54"/>
      <c r="G775" s="19"/>
      <c r="H775" s="17"/>
      <c r="I775" s="19"/>
      <c r="J775" s="21"/>
      <c r="K775" s="57"/>
      <c r="L775" s="24"/>
      <c r="M775" s="25"/>
      <c r="N775" s="25"/>
      <c r="O775" s="26"/>
      <c r="P775" s="26"/>
    </row>
    <row r="776">
      <c r="A776" s="52"/>
      <c r="B776" s="15"/>
      <c r="C776" s="16"/>
      <c r="D776" s="15"/>
      <c r="E776" s="17"/>
      <c r="F776" s="54"/>
      <c r="G776" s="19"/>
      <c r="H776" s="17"/>
      <c r="I776" s="19"/>
      <c r="J776" s="21"/>
      <c r="K776" s="57"/>
      <c r="L776" s="24"/>
      <c r="M776" s="25"/>
      <c r="N776" s="25"/>
      <c r="O776" s="26"/>
      <c r="P776" s="26"/>
    </row>
    <row r="777">
      <c r="A777" s="52"/>
      <c r="B777" s="15"/>
      <c r="C777" s="16"/>
      <c r="D777" s="15"/>
      <c r="E777" s="17"/>
      <c r="F777" s="54"/>
      <c r="G777" s="19"/>
      <c r="H777" s="17"/>
      <c r="I777" s="19"/>
      <c r="J777" s="21"/>
      <c r="K777" s="57"/>
      <c r="L777" s="24"/>
      <c r="M777" s="25"/>
      <c r="N777" s="25"/>
      <c r="O777" s="26"/>
      <c r="P777" s="26"/>
    </row>
    <row r="778">
      <c r="A778" s="52"/>
      <c r="B778" s="15"/>
      <c r="C778" s="16"/>
      <c r="D778" s="15"/>
      <c r="E778" s="17"/>
      <c r="F778" s="54"/>
      <c r="G778" s="19"/>
      <c r="H778" s="17"/>
      <c r="I778" s="19"/>
      <c r="J778" s="21"/>
      <c r="K778" s="57"/>
      <c r="L778" s="24"/>
      <c r="M778" s="25"/>
      <c r="N778" s="25"/>
      <c r="O778" s="26"/>
      <c r="P778" s="26"/>
    </row>
    <row r="779">
      <c r="A779" s="52"/>
      <c r="B779" s="15"/>
      <c r="C779" s="16"/>
      <c r="D779" s="15"/>
      <c r="E779" s="17"/>
      <c r="F779" s="54"/>
      <c r="G779" s="19"/>
      <c r="H779" s="17"/>
      <c r="I779" s="19"/>
      <c r="J779" s="21"/>
      <c r="K779" s="57"/>
      <c r="L779" s="24"/>
      <c r="M779" s="25"/>
      <c r="N779" s="25"/>
      <c r="O779" s="26"/>
      <c r="P779" s="26"/>
    </row>
    <row r="780">
      <c r="A780" s="90"/>
      <c r="B780" s="82"/>
      <c r="C780" s="83"/>
      <c r="D780" s="82"/>
      <c r="E780" s="84"/>
      <c r="F780" s="85"/>
      <c r="G780" s="86"/>
      <c r="H780" s="84"/>
      <c r="I780" s="86"/>
      <c r="J780" s="87"/>
      <c r="K780" s="91"/>
      <c r="L780" s="89"/>
      <c r="M780" s="26"/>
      <c r="N780" s="26"/>
      <c r="O780" s="26"/>
      <c r="P780" s="26"/>
    </row>
    <row r="781">
      <c r="A781" s="90"/>
      <c r="B781" s="82"/>
      <c r="C781" s="83"/>
      <c r="D781" s="82"/>
      <c r="E781" s="84"/>
      <c r="F781" s="85"/>
      <c r="G781" s="86"/>
      <c r="H781" s="84"/>
      <c r="I781" s="86"/>
      <c r="J781" s="87"/>
      <c r="K781" s="91"/>
      <c r="L781" s="89"/>
      <c r="M781" s="26"/>
      <c r="N781" s="26"/>
      <c r="O781" s="26"/>
      <c r="P781" s="26"/>
    </row>
    <row r="782">
      <c r="A782" s="90"/>
      <c r="B782" s="82"/>
      <c r="C782" s="83"/>
      <c r="D782" s="82"/>
      <c r="E782" s="84"/>
      <c r="F782" s="85"/>
      <c r="G782" s="86"/>
      <c r="H782" s="84"/>
      <c r="I782" s="86"/>
      <c r="J782" s="87"/>
      <c r="K782" s="91"/>
      <c r="L782" s="89"/>
      <c r="M782" s="26"/>
      <c r="N782" s="26"/>
      <c r="O782" s="26"/>
      <c r="P782" s="26"/>
    </row>
    <row r="783">
      <c r="A783" s="90"/>
      <c r="B783" s="82"/>
      <c r="C783" s="83"/>
      <c r="D783" s="82"/>
      <c r="E783" s="84"/>
      <c r="F783" s="85"/>
      <c r="G783" s="86"/>
      <c r="H783" s="84"/>
      <c r="I783" s="86"/>
      <c r="J783" s="87"/>
      <c r="K783" s="91"/>
      <c r="L783" s="89"/>
      <c r="M783" s="26"/>
      <c r="N783" s="26"/>
      <c r="O783" s="26"/>
      <c r="P783" s="26"/>
    </row>
    <row r="784">
      <c r="A784" s="90"/>
      <c r="B784" s="82"/>
      <c r="C784" s="83"/>
      <c r="D784" s="82"/>
      <c r="E784" s="84"/>
      <c r="F784" s="85"/>
      <c r="G784" s="86"/>
      <c r="H784" s="84"/>
      <c r="I784" s="86"/>
      <c r="J784" s="87"/>
      <c r="K784" s="91"/>
      <c r="L784" s="89"/>
      <c r="M784" s="26"/>
      <c r="N784" s="26"/>
      <c r="O784" s="26"/>
      <c r="P784" s="26"/>
    </row>
    <row r="785">
      <c r="A785" s="90"/>
      <c r="B785" s="82"/>
      <c r="C785" s="83"/>
      <c r="D785" s="82"/>
      <c r="E785" s="84"/>
      <c r="F785" s="85"/>
      <c r="G785" s="86"/>
      <c r="H785" s="84"/>
      <c r="I785" s="86"/>
      <c r="J785" s="87"/>
      <c r="K785" s="91"/>
      <c r="L785" s="89"/>
      <c r="M785" s="26"/>
      <c r="N785" s="26"/>
      <c r="O785" s="26"/>
      <c r="P785" s="26"/>
    </row>
    <row r="786">
      <c r="A786" s="90"/>
      <c r="B786" s="82"/>
      <c r="C786" s="83"/>
      <c r="D786" s="82"/>
      <c r="E786" s="84"/>
      <c r="F786" s="85"/>
      <c r="G786" s="86"/>
      <c r="H786" s="84"/>
      <c r="I786" s="86"/>
      <c r="J786" s="87"/>
      <c r="K786" s="91"/>
      <c r="L786" s="89"/>
      <c r="M786" s="26"/>
      <c r="N786" s="26"/>
      <c r="O786" s="26"/>
      <c r="P786" s="26"/>
    </row>
    <row r="787">
      <c r="A787" s="90"/>
      <c r="B787" s="82"/>
      <c r="C787" s="83"/>
      <c r="D787" s="82"/>
      <c r="E787" s="84"/>
      <c r="F787" s="85"/>
      <c r="G787" s="86"/>
      <c r="H787" s="84"/>
      <c r="I787" s="86"/>
      <c r="J787" s="87"/>
      <c r="K787" s="91"/>
      <c r="L787" s="89"/>
      <c r="M787" s="26"/>
      <c r="N787" s="26"/>
      <c r="O787" s="26"/>
      <c r="P787" s="26"/>
    </row>
    <row r="788">
      <c r="A788" s="90"/>
      <c r="B788" s="82"/>
      <c r="C788" s="83"/>
      <c r="D788" s="82"/>
      <c r="E788" s="84"/>
      <c r="F788" s="85"/>
      <c r="G788" s="86"/>
      <c r="H788" s="84"/>
      <c r="I788" s="86"/>
      <c r="J788" s="87"/>
      <c r="K788" s="91"/>
      <c r="L788" s="89"/>
      <c r="M788" s="26"/>
      <c r="N788" s="26"/>
      <c r="O788" s="26"/>
      <c r="P788" s="26"/>
    </row>
    <row r="789">
      <c r="A789" s="90"/>
      <c r="B789" s="82"/>
      <c r="C789" s="83"/>
      <c r="D789" s="82"/>
      <c r="E789" s="84"/>
      <c r="F789" s="85"/>
      <c r="G789" s="86"/>
      <c r="H789" s="84"/>
      <c r="I789" s="86"/>
      <c r="J789" s="87"/>
      <c r="K789" s="91"/>
      <c r="L789" s="89"/>
      <c r="M789" s="26"/>
      <c r="N789" s="26"/>
      <c r="O789" s="26"/>
      <c r="P789" s="26"/>
    </row>
    <row r="790">
      <c r="A790" s="90"/>
      <c r="B790" s="82"/>
      <c r="C790" s="83"/>
      <c r="D790" s="82"/>
      <c r="E790" s="84"/>
      <c r="F790" s="85"/>
      <c r="G790" s="86"/>
      <c r="H790" s="84"/>
      <c r="I790" s="86"/>
      <c r="J790" s="87"/>
      <c r="K790" s="91"/>
      <c r="L790" s="89"/>
      <c r="M790" s="26"/>
      <c r="N790" s="26"/>
      <c r="O790" s="26"/>
      <c r="P790" s="26"/>
    </row>
    <row r="791">
      <c r="A791" s="90"/>
      <c r="B791" s="82"/>
      <c r="C791" s="83"/>
      <c r="D791" s="82"/>
      <c r="E791" s="84"/>
      <c r="F791" s="85"/>
      <c r="G791" s="86"/>
      <c r="H791" s="84"/>
      <c r="I791" s="86"/>
      <c r="J791" s="87"/>
      <c r="K791" s="91"/>
      <c r="L791" s="89"/>
      <c r="M791" s="26"/>
      <c r="N791" s="26"/>
      <c r="O791" s="26"/>
      <c r="P791" s="26"/>
    </row>
    <row r="792">
      <c r="A792" s="90"/>
      <c r="B792" s="82"/>
      <c r="C792" s="83"/>
      <c r="D792" s="82"/>
      <c r="E792" s="84"/>
      <c r="F792" s="85"/>
      <c r="G792" s="86"/>
      <c r="H792" s="84"/>
      <c r="I792" s="86"/>
      <c r="J792" s="87"/>
      <c r="K792" s="91"/>
      <c r="L792" s="89"/>
      <c r="M792" s="26"/>
      <c r="N792" s="26"/>
      <c r="O792" s="26"/>
      <c r="P792" s="26"/>
    </row>
    <row r="793">
      <c r="A793" s="90"/>
      <c r="B793" s="82"/>
      <c r="C793" s="83"/>
      <c r="D793" s="82"/>
      <c r="E793" s="84"/>
      <c r="F793" s="85"/>
      <c r="G793" s="86"/>
      <c r="H793" s="84"/>
      <c r="I793" s="86"/>
      <c r="J793" s="87"/>
      <c r="K793" s="91"/>
      <c r="L793" s="89"/>
      <c r="M793" s="26"/>
      <c r="N793" s="26"/>
      <c r="O793" s="26"/>
      <c r="P793" s="26"/>
    </row>
    <row r="794">
      <c r="A794" s="90"/>
      <c r="B794" s="82"/>
      <c r="C794" s="83"/>
      <c r="D794" s="82"/>
      <c r="E794" s="84"/>
      <c r="F794" s="85"/>
      <c r="G794" s="86"/>
      <c r="H794" s="84"/>
      <c r="I794" s="86"/>
      <c r="J794" s="87"/>
      <c r="K794" s="91"/>
      <c r="L794" s="89"/>
      <c r="M794" s="26"/>
      <c r="N794" s="26"/>
      <c r="O794" s="26"/>
      <c r="P794" s="26"/>
    </row>
    <row r="795">
      <c r="A795" s="90"/>
      <c r="B795" s="82"/>
      <c r="C795" s="83"/>
      <c r="D795" s="82"/>
      <c r="E795" s="84"/>
      <c r="F795" s="85"/>
      <c r="G795" s="86"/>
      <c r="H795" s="84"/>
      <c r="I795" s="86"/>
      <c r="J795" s="87"/>
      <c r="K795" s="91"/>
      <c r="L795" s="89"/>
      <c r="M795" s="26"/>
      <c r="N795" s="26"/>
      <c r="O795" s="26"/>
      <c r="P795" s="26"/>
    </row>
    <row r="796">
      <c r="A796" s="90"/>
      <c r="B796" s="82"/>
      <c r="C796" s="83"/>
      <c r="D796" s="82"/>
      <c r="E796" s="84"/>
      <c r="F796" s="85"/>
      <c r="G796" s="86"/>
      <c r="H796" s="84"/>
      <c r="I796" s="86"/>
      <c r="J796" s="87"/>
      <c r="K796" s="91"/>
      <c r="L796" s="89"/>
      <c r="M796" s="26"/>
      <c r="N796" s="26"/>
      <c r="O796" s="26"/>
      <c r="P796" s="26"/>
    </row>
    <row r="797">
      <c r="A797" s="90"/>
      <c r="B797" s="82"/>
      <c r="C797" s="83"/>
      <c r="D797" s="82"/>
      <c r="E797" s="84"/>
      <c r="F797" s="85"/>
      <c r="G797" s="86"/>
      <c r="H797" s="84"/>
      <c r="I797" s="86"/>
      <c r="J797" s="87"/>
      <c r="K797" s="91"/>
      <c r="L797" s="89"/>
      <c r="M797" s="26"/>
      <c r="N797" s="26"/>
      <c r="O797" s="26"/>
      <c r="P797" s="26"/>
    </row>
    <row r="798">
      <c r="A798" s="90"/>
      <c r="B798" s="82"/>
      <c r="C798" s="83"/>
      <c r="D798" s="82"/>
      <c r="E798" s="84"/>
      <c r="F798" s="85"/>
      <c r="G798" s="86"/>
      <c r="H798" s="84"/>
      <c r="I798" s="86"/>
      <c r="J798" s="87"/>
      <c r="K798" s="91"/>
      <c r="L798" s="89"/>
      <c r="M798" s="26"/>
      <c r="N798" s="26"/>
      <c r="O798" s="26"/>
      <c r="P798" s="26"/>
    </row>
    <row r="799">
      <c r="A799" s="90"/>
      <c r="B799" s="82"/>
      <c r="C799" s="83"/>
      <c r="D799" s="82"/>
      <c r="E799" s="84"/>
      <c r="F799" s="85"/>
      <c r="G799" s="86"/>
      <c r="H799" s="84"/>
      <c r="I799" s="86"/>
      <c r="J799" s="87"/>
      <c r="K799" s="91"/>
      <c r="L799" s="89"/>
      <c r="M799" s="26"/>
      <c r="N799" s="26"/>
      <c r="O799" s="26"/>
      <c r="P799" s="26"/>
    </row>
    <row r="800">
      <c r="A800" s="90"/>
      <c r="B800" s="82"/>
      <c r="C800" s="83"/>
      <c r="D800" s="82"/>
      <c r="E800" s="84"/>
      <c r="F800" s="85"/>
      <c r="G800" s="86"/>
      <c r="H800" s="84"/>
      <c r="I800" s="86"/>
      <c r="J800" s="87"/>
      <c r="K800" s="91"/>
      <c r="L800" s="89"/>
      <c r="M800" s="26"/>
      <c r="N800" s="26"/>
      <c r="O800" s="26"/>
      <c r="P800" s="26"/>
    </row>
    <row r="801">
      <c r="A801" s="90"/>
      <c r="B801" s="82"/>
      <c r="C801" s="83"/>
      <c r="D801" s="82"/>
      <c r="E801" s="84"/>
      <c r="F801" s="85"/>
      <c r="G801" s="86"/>
      <c r="H801" s="84"/>
      <c r="I801" s="86"/>
      <c r="J801" s="87"/>
      <c r="K801" s="91"/>
      <c r="L801" s="89"/>
      <c r="M801" s="26"/>
      <c r="N801" s="26"/>
      <c r="O801" s="26"/>
      <c r="P801" s="26"/>
    </row>
    <row r="802">
      <c r="A802" s="90"/>
      <c r="B802" s="82"/>
      <c r="C802" s="83"/>
      <c r="D802" s="82"/>
      <c r="E802" s="84"/>
      <c r="F802" s="85"/>
      <c r="G802" s="86"/>
      <c r="H802" s="84"/>
      <c r="I802" s="86"/>
      <c r="J802" s="87"/>
      <c r="K802" s="91"/>
      <c r="L802" s="89"/>
      <c r="M802" s="26"/>
      <c r="N802" s="26"/>
      <c r="O802" s="26"/>
      <c r="P802" s="26"/>
    </row>
    <row r="803">
      <c r="A803" s="90"/>
      <c r="B803" s="82"/>
      <c r="C803" s="83"/>
      <c r="D803" s="82"/>
      <c r="E803" s="84"/>
      <c r="F803" s="85"/>
      <c r="G803" s="86"/>
      <c r="H803" s="84"/>
      <c r="I803" s="86"/>
      <c r="J803" s="87"/>
      <c r="K803" s="91"/>
      <c r="L803" s="89"/>
      <c r="M803" s="26"/>
      <c r="N803" s="26"/>
      <c r="O803" s="26"/>
      <c r="P803" s="26"/>
    </row>
    <row r="804">
      <c r="A804" s="90"/>
      <c r="B804" s="82"/>
      <c r="C804" s="83"/>
      <c r="D804" s="82"/>
      <c r="E804" s="84"/>
      <c r="F804" s="85"/>
      <c r="G804" s="86"/>
      <c r="H804" s="84"/>
      <c r="I804" s="86"/>
      <c r="J804" s="87"/>
      <c r="K804" s="91"/>
      <c r="L804" s="89"/>
      <c r="M804" s="26"/>
      <c r="N804" s="26"/>
      <c r="O804" s="26"/>
      <c r="P804" s="26"/>
    </row>
    <row r="805">
      <c r="A805" s="90"/>
      <c r="B805" s="82"/>
      <c r="C805" s="83"/>
      <c r="D805" s="82"/>
      <c r="E805" s="84"/>
      <c r="F805" s="85"/>
      <c r="G805" s="86"/>
      <c r="H805" s="84"/>
      <c r="I805" s="86"/>
      <c r="J805" s="87"/>
      <c r="K805" s="91"/>
      <c r="L805" s="89"/>
      <c r="M805" s="26"/>
      <c r="N805" s="26"/>
      <c r="O805" s="26"/>
      <c r="P805" s="26"/>
    </row>
    <row r="806">
      <c r="A806" s="90"/>
      <c r="B806" s="82"/>
      <c r="C806" s="83"/>
      <c r="D806" s="82"/>
      <c r="E806" s="84"/>
      <c r="F806" s="85"/>
      <c r="G806" s="86"/>
      <c r="H806" s="84"/>
      <c r="I806" s="86"/>
      <c r="J806" s="87"/>
      <c r="K806" s="91"/>
      <c r="L806" s="89"/>
      <c r="M806" s="26"/>
      <c r="N806" s="26"/>
      <c r="O806" s="26"/>
      <c r="P806" s="26"/>
    </row>
    <row r="807">
      <c r="A807" s="90"/>
      <c r="B807" s="82"/>
      <c r="C807" s="83"/>
      <c r="D807" s="82"/>
      <c r="E807" s="84"/>
      <c r="F807" s="85"/>
      <c r="G807" s="86"/>
      <c r="H807" s="84"/>
      <c r="I807" s="86"/>
      <c r="J807" s="87"/>
      <c r="K807" s="91"/>
      <c r="L807" s="89"/>
      <c r="M807" s="26"/>
      <c r="N807" s="26"/>
      <c r="O807" s="26"/>
      <c r="P807" s="26"/>
    </row>
    <row r="808">
      <c r="A808" s="90"/>
      <c r="B808" s="82"/>
      <c r="C808" s="83"/>
      <c r="D808" s="82"/>
      <c r="E808" s="84"/>
      <c r="F808" s="85"/>
      <c r="G808" s="86"/>
      <c r="H808" s="84"/>
      <c r="I808" s="86"/>
      <c r="J808" s="87"/>
      <c r="K808" s="91"/>
      <c r="L808" s="89"/>
      <c r="M808" s="26"/>
      <c r="N808" s="26"/>
      <c r="O808" s="26"/>
      <c r="P808" s="26"/>
    </row>
    <row r="809">
      <c r="A809" s="90"/>
      <c r="B809" s="82"/>
      <c r="C809" s="83"/>
      <c r="D809" s="82"/>
      <c r="E809" s="84"/>
      <c r="F809" s="85"/>
      <c r="G809" s="86"/>
      <c r="H809" s="84"/>
      <c r="I809" s="86"/>
      <c r="J809" s="87"/>
      <c r="K809" s="91"/>
      <c r="L809" s="89"/>
      <c r="M809" s="26"/>
      <c r="N809" s="26"/>
      <c r="O809" s="26"/>
      <c r="P809" s="26"/>
    </row>
    <row r="810">
      <c r="A810" s="90"/>
      <c r="B810" s="82"/>
      <c r="C810" s="83"/>
      <c r="D810" s="82"/>
      <c r="E810" s="84"/>
      <c r="F810" s="85"/>
      <c r="G810" s="86"/>
      <c r="H810" s="84"/>
      <c r="I810" s="86"/>
      <c r="J810" s="87"/>
      <c r="K810" s="91"/>
      <c r="L810" s="89"/>
      <c r="M810" s="26"/>
      <c r="N810" s="26"/>
      <c r="O810" s="26"/>
      <c r="P810" s="26"/>
    </row>
    <row r="811">
      <c r="A811" s="90"/>
      <c r="B811" s="82"/>
      <c r="C811" s="83"/>
      <c r="D811" s="82"/>
      <c r="E811" s="84"/>
      <c r="F811" s="85"/>
      <c r="G811" s="86"/>
      <c r="H811" s="84"/>
      <c r="I811" s="86"/>
      <c r="J811" s="87"/>
      <c r="K811" s="91"/>
      <c r="L811" s="89"/>
      <c r="M811" s="26"/>
      <c r="N811" s="26"/>
      <c r="O811" s="26"/>
      <c r="P811" s="26"/>
    </row>
    <row r="812">
      <c r="A812" s="90"/>
      <c r="B812" s="82"/>
      <c r="C812" s="83"/>
      <c r="D812" s="82"/>
      <c r="E812" s="84"/>
      <c r="F812" s="85"/>
      <c r="G812" s="86"/>
      <c r="H812" s="84"/>
      <c r="I812" s="86"/>
      <c r="J812" s="87"/>
      <c r="K812" s="91"/>
      <c r="L812" s="89"/>
      <c r="M812" s="26"/>
      <c r="N812" s="26"/>
      <c r="O812" s="26"/>
      <c r="P812" s="26"/>
    </row>
    <row r="813">
      <c r="A813" s="90"/>
      <c r="B813" s="82"/>
      <c r="C813" s="83"/>
      <c r="D813" s="82"/>
      <c r="E813" s="84"/>
      <c r="F813" s="85"/>
      <c r="G813" s="86"/>
      <c r="H813" s="84"/>
      <c r="I813" s="86"/>
      <c r="J813" s="87"/>
      <c r="K813" s="91"/>
      <c r="L813" s="89"/>
      <c r="M813" s="26"/>
      <c r="N813" s="26"/>
      <c r="O813" s="26"/>
      <c r="P813" s="26"/>
    </row>
    <row r="814">
      <c r="A814" s="90"/>
      <c r="B814" s="82"/>
      <c r="C814" s="83"/>
      <c r="D814" s="82"/>
      <c r="E814" s="84"/>
      <c r="F814" s="85"/>
      <c r="G814" s="86"/>
      <c r="H814" s="84"/>
      <c r="I814" s="86"/>
      <c r="J814" s="87"/>
      <c r="K814" s="91"/>
      <c r="L814" s="89"/>
      <c r="M814" s="26"/>
      <c r="N814" s="26"/>
      <c r="O814" s="26"/>
      <c r="P814" s="26"/>
    </row>
    <row r="815">
      <c r="A815" s="90"/>
      <c r="B815" s="82"/>
      <c r="C815" s="83"/>
      <c r="D815" s="82"/>
      <c r="E815" s="84"/>
      <c r="F815" s="85"/>
      <c r="G815" s="86"/>
      <c r="H815" s="84"/>
      <c r="I815" s="86"/>
      <c r="J815" s="87"/>
      <c r="K815" s="91"/>
      <c r="L815" s="89"/>
      <c r="M815" s="26"/>
      <c r="N815" s="26"/>
      <c r="O815" s="26"/>
      <c r="P815" s="26"/>
    </row>
    <row r="816">
      <c r="A816" s="90"/>
      <c r="B816" s="82"/>
      <c r="C816" s="83"/>
      <c r="D816" s="82"/>
      <c r="E816" s="84"/>
      <c r="F816" s="85"/>
      <c r="G816" s="86"/>
      <c r="H816" s="84"/>
      <c r="I816" s="86"/>
      <c r="J816" s="87"/>
      <c r="K816" s="91"/>
      <c r="L816" s="89"/>
      <c r="M816" s="26"/>
      <c r="N816" s="26"/>
      <c r="O816" s="26"/>
      <c r="P816" s="26"/>
    </row>
    <row r="817">
      <c r="A817" s="90"/>
      <c r="B817" s="82"/>
      <c r="C817" s="83"/>
      <c r="D817" s="82"/>
      <c r="E817" s="84"/>
      <c r="F817" s="85"/>
      <c r="G817" s="86"/>
      <c r="H817" s="84"/>
      <c r="I817" s="86"/>
      <c r="J817" s="87"/>
      <c r="K817" s="91"/>
      <c r="L817" s="89"/>
      <c r="M817" s="26"/>
      <c r="N817" s="26"/>
      <c r="O817" s="26"/>
      <c r="P817" s="26"/>
    </row>
    <row r="818">
      <c r="A818" s="90"/>
      <c r="B818" s="82"/>
      <c r="C818" s="83"/>
      <c r="D818" s="82"/>
      <c r="E818" s="84"/>
      <c r="F818" s="85"/>
      <c r="G818" s="86"/>
      <c r="H818" s="84"/>
      <c r="I818" s="86"/>
      <c r="J818" s="87"/>
      <c r="K818" s="91"/>
      <c r="L818" s="89"/>
      <c r="M818" s="26"/>
      <c r="N818" s="26"/>
      <c r="O818" s="26"/>
      <c r="P818" s="26"/>
    </row>
    <row r="819">
      <c r="A819" s="90"/>
      <c r="B819" s="82"/>
      <c r="C819" s="83"/>
      <c r="D819" s="82"/>
      <c r="E819" s="84"/>
      <c r="F819" s="85"/>
      <c r="G819" s="86"/>
      <c r="H819" s="84"/>
      <c r="I819" s="86"/>
      <c r="J819" s="87"/>
      <c r="K819" s="91"/>
      <c r="L819" s="89"/>
      <c r="M819" s="26"/>
      <c r="N819" s="26"/>
      <c r="O819" s="26"/>
      <c r="P819" s="26"/>
    </row>
    <row r="820">
      <c r="A820" s="90"/>
      <c r="B820" s="82"/>
      <c r="C820" s="83"/>
      <c r="D820" s="82"/>
      <c r="E820" s="84"/>
      <c r="F820" s="85"/>
      <c r="G820" s="86"/>
      <c r="H820" s="84"/>
      <c r="I820" s="86"/>
      <c r="J820" s="87"/>
      <c r="K820" s="91"/>
      <c r="L820" s="89"/>
      <c r="M820" s="26"/>
      <c r="N820" s="26"/>
      <c r="O820" s="26"/>
      <c r="P820" s="26"/>
    </row>
    <row r="821">
      <c r="A821" s="90"/>
      <c r="B821" s="82"/>
      <c r="C821" s="83"/>
      <c r="D821" s="82"/>
      <c r="E821" s="84"/>
      <c r="F821" s="85"/>
      <c r="G821" s="86"/>
      <c r="H821" s="84"/>
      <c r="I821" s="86"/>
      <c r="J821" s="87"/>
      <c r="K821" s="91"/>
      <c r="L821" s="89"/>
      <c r="M821" s="26"/>
      <c r="N821" s="26"/>
      <c r="O821" s="26"/>
      <c r="P821" s="26"/>
    </row>
    <row r="822">
      <c r="A822" s="90"/>
      <c r="B822" s="82"/>
      <c r="C822" s="83"/>
      <c r="D822" s="82"/>
      <c r="E822" s="84"/>
      <c r="F822" s="85"/>
      <c r="G822" s="86"/>
      <c r="H822" s="84"/>
      <c r="I822" s="86"/>
      <c r="J822" s="87"/>
      <c r="K822" s="91"/>
      <c r="L822" s="89"/>
      <c r="M822" s="26"/>
      <c r="N822" s="26"/>
      <c r="O822" s="26"/>
      <c r="P822" s="26"/>
    </row>
    <row r="823">
      <c r="A823" s="90"/>
      <c r="B823" s="82"/>
      <c r="C823" s="83"/>
      <c r="D823" s="82"/>
      <c r="E823" s="84"/>
      <c r="F823" s="85"/>
      <c r="G823" s="86"/>
      <c r="H823" s="84"/>
      <c r="I823" s="86"/>
      <c r="J823" s="87"/>
      <c r="K823" s="91"/>
      <c r="L823" s="89"/>
      <c r="M823" s="26"/>
      <c r="N823" s="26"/>
      <c r="O823" s="26"/>
      <c r="P823" s="26"/>
    </row>
    <row r="824">
      <c r="A824" s="90"/>
      <c r="B824" s="82"/>
      <c r="C824" s="83"/>
      <c r="D824" s="82"/>
      <c r="E824" s="84"/>
      <c r="F824" s="85"/>
      <c r="G824" s="86"/>
      <c r="H824" s="84"/>
      <c r="I824" s="86"/>
      <c r="J824" s="87"/>
      <c r="K824" s="91"/>
      <c r="L824" s="89"/>
      <c r="M824" s="26"/>
      <c r="N824" s="26"/>
      <c r="O824" s="26"/>
      <c r="P824" s="26"/>
    </row>
    <row r="825">
      <c r="A825" s="90"/>
      <c r="B825" s="82"/>
      <c r="C825" s="83"/>
      <c r="D825" s="82"/>
      <c r="E825" s="84"/>
      <c r="F825" s="85"/>
      <c r="G825" s="86"/>
      <c r="H825" s="84"/>
      <c r="I825" s="86"/>
      <c r="J825" s="87"/>
      <c r="K825" s="91"/>
      <c r="L825" s="89"/>
      <c r="M825" s="26"/>
      <c r="N825" s="26"/>
      <c r="O825" s="26"/>
      <c r="P825" s="26"/>
    </row>
    <row r="826">
      <c r="A826" s="90"/>
      <c r="B826" s="82"/>
      <c r="C826" s="83"/>
      <c r="D826" s="82"/>
      <c r="E826" s="84"/>
      <c r="F826" s="85"/>
      <c r="G826" s="86"/>
      <c r="H826" s="84"/>
      <c r="I826" s="86"/>
      <c r="J826" s="87"/>
      <c r="K826" s="91"/>
      <c r="L826" s="89"/>
      <c r="M826" s="26"/>
      <c r="N826" s="26"/>
      <c r="O826" s="26"/>
      <c r="P826" s="26"/>
    </row>
    <row r="827">
      <c r="A827" s="90"/>
      <c r="B827" s="82"/>
      <c r="C827" s="83"/>
      <c r="D827" s="82"/>
      <c r="E827" s="84"/>
      <c r="F827" s="85"/>
      <c r="G827" s="86"/>
      <c r="H827" s="84"/>
      <c r="I827" s="86"/>
      <c r="J827" s="87"/>
      <c r="K827" s="91"/>
      <c r="L827" s="89"/>
      <c r="M827" s="26"/>
      <c r="N827" s="26"/>
      <c r="O827" s="26"/>
      <c r="P827" s="26"/>
    </row>
    <row r="828">
      <c r="A828" s="90"/>
      <c r="B828" s="82"/>
      <c r="C828" s="83"/>
      <c r="D828" s="82"/>
      <c r="E828" s="84"/>
      <c r="F828" s="85"/>
      <c r="G828" s="86"/>
      <c r="H828" s="84"/>
      <c r="I828" s="86"/>
      <c r="J828" s="87"/>
      <c r="K828" s="91"/>
      <c r="L828" s="89"/>
      <c r="M828" s="26"/>
      <c r="N828" s="26"/>
      <c r="O828" s="26"/>
      <c r="P828" s="26"/>
    </row>
    <row r="829">
      <c r="A829" s="90"/>
      <c r="B829" s="82"/>
      <c r="C829" s="83"/>
      <c r="D829" s="82"/>
      <c r="E829" s="84"/>
      <c r="F829" s="85"/>
      <c r="G829" s="86"/>
      <c r="H829" s="84"/>
      <c r="I829" s="86"/>
      <c r="J829" s="87"/>
      <c r="K829" s="91"/>
      <c r="L829" s="89"/>
      <c r="M829" s="26"/>
      <c r="N829" s="26"/>
      <c r="O829" s="26"/>
      <c r="P829" s="26"/>
    </row>
    <row r="830">
      <c r="A830" s="90"/>
      <c r="B830" s="82"/>
      <c r="C830" s="83"/>
      <c r="D830" s="82"/>
      <c r="E830" s="84"/>
      <c r="F830" s="85"/>
      <c r="G830" s="86"/>
      <c r="H830" s="84"/>
      <c r="I830" s="86"/>
      <c r="J830" s="87"/>
      <c r="K830" s="91"/>
      <c r="L830" s="89"/>
      <c r="M830" s="26"/>
      <c r="N830" s="26"/>
      <c r="O830" s="26"/>
      <c r="P830" s="26"/>
    </row>
    <row r="831">
      <c r="A831" s="90"/>
      <c r="B831" s="82"/>
      <c r="C831" s="83"/>
      <c r="D831" s="82"/>
      <c r="E831" s="84"/>
      <c r="F831" s="85"/>
      <c r="G831" s="86"/>
      <c r="H831" s="84"/>
      <c r="I831" s="86"/>
      <c r="J831" s="87"/>
      <c r="K831" s="91"/>
      <c r="L831" s="89"/>
      <c r="M831" s="26"/>
      <c r="N831" s="26"/>
      <c r="O831" s="26"/>
      <c r="P831" s="26"/>
    </row>
    <row r="832">
      <c r="A832" s="90"/>
      <c r="B832" s="82"/>
      <c r="C832" s="83"/>
      <c r="D832" s="82"/>
      <c r="E832" s="84"/>
      <c r="F832" s="85"/>
      <c r="G832" s="86"/>
      <c r="H832" s="84"/>
      <c r="I832" s="86"/>
      <c r="J832" s="87"/>
      <c r="K832" s="91"/>
      <c r="L832" s="89"/>
      <c r="M832" s="26"/>
      <c r="N832" s="26"/>
      <c r="O832" s="26"/>
      <c r="P832" s="26"/>
    </row>
    <row r="833">
      <c r="A833" s="90"/>
      <c r="B833" s="82"/>
      <c r="C833" s="83"/>
      <c r="D833" s="82"/>
      <c r="E833" s="84"/>
      <c r="F833" s="85"/>
      <c r="G833" s="86"/>
      <c r="H833" s="84"/>
      <c r="I833" s="86"/>
      <c r="J833" s="87"/>
      <c r="K833" s="91"/>
      <c r="L833" s="89"/>
      <c r="M833" s="26"/>
      <c r="N833" s="26"/>
      <c r="O833" s="26"/>
      <c r="P833" s="26"/>
    </row>
    <row r="834">
      <c r="A834" s="90"/>
      <c r="B834" s="82"/>
      <c r="C834" s="83"/>
      <c r="D834" s="82"/>
      <c r="E834" s="84"/>
      <c r="F834" s="85"/>
      <c r="G834" s="86"/>
      <c r="H834" s="84"/>
      <c r="I834" s="86"/>
      <c r="J834" s="87"/>
      <c r="K834" s="91"/>
      <c r="L834" s="89"/>
      <c r="M834" s="26"/>
      <c r="N834" s="26"/>
      <c r="O834" s="26"/>
      <c r="P834" s="26"/>
    </row>
    <row r="835">
      <c r="A835" s="90"/>
      <c r="B835" s="82"/>
      <c r="C835" s="83"/>
      <c r="D835" s="82"/>
      <c r="E835" s="84"/>
      <c r="F835" s="85"/>
      <c r="G835" s="86"/>
      <c r="H835" s="84"/>
      <c r="I835" s="86"/>
      <c r="J835" s="87"/>
      <c r="K835" s="91"/>
      <c r="L835" s="89"/>
      <c r="M835" s="26"/>
      <c r="N835" s="26"/>
      <c r="O835" s="26"/>
      <c r="P835" s="26"/>
    </row>
    <row r="836">
      <c r="A836" s="90"/>
      <c r="B836" s="82"/>
      <c r="C836" s="83"/>
      <c r="D836" s="82"/>
      <c r="E836" s="84"/>
      <c r="F836" s="85"/>
      <c r="G836" s="86"/>
      <c r="H836" s="84"/>
      <c r="I836" s="86"/>
      <c r="J836" s="87"/>
      <c r="K836" s="91"/>
      <c r="L836" s="89"/>
      <c r="M836" s="26"/>
      <c r="N836" s="26"/>
      <c r="O836" s="26"/>
      <c r="P836" s="26"/>
    </row>
    <row r="837">
      <c r="A837" s="90"/>
      <c r="B837" s="82"/>
      <c r="C837" s="83"/>
      <c r="D837" s="82"/>
      <c r="E837" s="84"/>
      <c r="F837" s="85"/>
      <c r="G837" s="86"/>
      <c r="H837" s="84"/>
      <c r="I837" s="86"/>
      <c r="J837" s="87"/>
      <c r="K837" s="91"/>
      <c r="L837" s="89"/>
      <c r="M837" s="26"/>
      <c r="N837" s="26"/>
      <c r="O837" s="26"/>
      <c r="P837" s="26"/>
    </row>
    <row r="838">
      <c r="A838" s="90"/>
      <c r="B838" s="82"/>
      <c r="C838" s="83"/>
      <c r="D838" s="82"/>
      <c r="E838" s="84"/>
      <c r="F838" s="85"/>
      <c r="G838" s="86"/>
      <c r="H838" s="84"/>
      <c r="I838" s="86"/>
      <c r="J838" s="87"/>
      <c r="K838" s="91"/>
      <c r="L838" s="89"/>
      <c r="M838" s="26"/>
      <c r="N838" s="26"/>
      <c r="O838" s="26"/>
      <c r="P838" s="26"/>
    </row>
    <row r="839">
      <c r="A839" s="90"/>
      <c r="B839" s="82"/>
      <c r="C839" s="83"/>
      <c r="D839" s="82"/>
      <c r="E839" s="84"/>
      <c r="F839" s="85"/>
      <c r="G839" s="86"/>
      <c r="H839" s="84"/>
      <c r="I839" s="86"/>
      <c r="J839" s="87"/>
      <c r="K839" s="91"/>
      <c r="L839" s="89"/>
      <c r="M839" s="26"/>
      <c r="N839" s="26"/>
      <c r="O839" s="26"/>
      <c r="P839" s="26"/>
    </row>
    <row r="840">
      <c r="A840" s="90"/>
      <c r="B840" s="82"/>
      <c r="C840" s="83"/>
      <c r="D840" s="82"/>
      <c r="E840" s="84"/>
      <c r="F840" s="85"/>
      <c r="G840" s="86"/>
      <c r="H840" s="84"/>
      <c r="I840" s="86"/>
      <c r="J840" s="87"/>
      <c r="K840" s="91"/>
      <c r="L840" s="89"/>
      <c r="M840" s="26"/>
      <c r="N840" s="26"/>
      <c r="O840" s="26"/>
      <c r="P840" s="26"/>
    </row>
    <row r="841">
      <c r="A841" s="90"/>
      <c r="B841" s="82"/>
      <c r="C841" s="83"/>
      <c r="D841" s="82"/>
      <c r="E841" s="84"/>
      <c r="F841" s="85"/>
      <c r="G841" s="86"/>
      <c r="H841" s="84"/>
      <c r="I841" s="86"/>
      <c r="J841" s="87"/>
      <c r="K841" s="91"/>
      <c r="L841" s="89"/>
      <c r="M841" s="26"/>
      <c r="N841" s="26"/>
      <c r="O841" s="26"/>
      <c r="P841" s="26"/>
    </row>
    <row r="842">
      <c r="A842" s="90"/>
      <c r="B842" s="82"/>
      <c r="C842" s="83"/>
      <c r="D842" s="82"/>
      <c r="E842" s="84"/>
      <c r="F842" s="85"/>
      <c r="G842" s="86"/>
      <c r="H842" s="84"/>
      <c r="I842" s="86"/>
      <c r="J842" s="87"/>
      <c r="K842" s="91"/>
      <c r="L842" s="89"/>
      <c r="M842" s="26"/>
      <c r="N842" s="26"/>
      <c r="O842" s="26"/>
      <c r="P842" s="26"/>
    </row>
    <row r="843">
      <c r="A843" s="90"/>
      <c r="B843" s="82"/>
      <c r="C843" s="83"/>
      <c r="D843" s="82"/>
      <c r="E843" s="84"/>
      <c r="F843" s="85"/>
      <c r="G843" s="86"/>
      <c r="H843" s="84"/>
      <c r="I843" s="86"/>
      <c r="J843" s="87"/>
      <c r="K843" s="91"/>
      <c r="L843" s="89"/>
      <c r="M843" s="26"/>
      <c r="N843" s="26"/>
      <c r="O843" s="26"/>
      <c r="P843" s="26"/>
    </row>
    <row r="844">
      <c r="A844" s="90"/>
      <c r="B844" s="82"/>
      <c r="C844" s="83"/>
      <c r="D844" s="82"/>
      <c r="E844" s="84"/>
      <c r="F844" s="85"/>
      <c r="G844" s="86"/>
      <c r="H844" s="84"/>
      <c r="I844" s="86"/>
      <c r="J844" s="87"/>
      <c r="K844" s="91"/>
      <c r="L844" s="89"/>
      <c r="M844" s="26"/>
      <c r="N844" s="26"/>
      <c r="O844" s="26"/>
      <c r="P844" s="26"/>
    </row>
    <row r="845">
      <c r="A845" s="90"/>
      <c r="B845" s="82"/>
      <c r="C845" s="83"/>
      <c r="D845" s="82"/>
      <c r="E845" s="84"/>
      <c r="F845" s="85"/>
      <c r="G845" s="86"/>
      <c r="H845" s="84"/>
      <c r="I845" s="86"/>
      <c r="J845" s="87"/>
      <c r="K845" s="91"/>
      <c r="L845" s="89"/>
      <c r="M845" s="26"/>
      <c r="N845" s="26"/>
      <c r="O845" s="26"/>
      <c r="P845" s="26"/>
    </row>
    <row r="846">
      <c r="A846" s="90"/>
      <c r="B846" s="82"/>
      <c r="C846" s="83"/>
      <c r="D846" s="82"/>
      <c r="E846" s="84"/>
      <c r="F846" s="85"/>
      <c r="G846" s="86"/>
      <c r="H846" s="84"/>
      <c r="I846" s="86"/>
      <c r="J846" s="87"/>
      <c r="K846" s="91"/>
      <c r="L846" s="89"/>
      <c r="M846" s="26"/>
      <c r="N846" s="26"/>
      <c r="O846" s="26"/>
      <c r="P846" s="26"/>
    </row>
    <row r="847">
      <c r="A847" s="90"/>
      <c r="B847" s="82"/>
      <c r="C847" s="83"/>
      <c r="D847" s="82"/>
      <c r="E847" s="84"/>
      <c r="F847" s="85"/>
      <c r="G847" s="86"/>
      <c r="H847" s="84"/>
      <c r="I847" s="86"/>
      <c r="J847" s="87"/>
      <c r="K847" s="91"/>
      <c r="L847" s="89"/>
      <c r="M847" s="26"/>
      <c r="N847" s="26"/>
      <c r="O847" s="26"/>
      <c r="P847" s="26"/>
    </row>
    <row r="848">
      <c r="A848" s="90"/>
      <c r="B848" s="82"/>
      <c r="C848" s="83"/>
      <c r="D848" s="82"/>
      <c r="E848" s="84"/>
      <c r="F848" s="85"/>
      <c r="G848" s="86"/>
      <c r="H848" s="84"/>
      <c r="I848" s="86"/>
      <c r="J848" s="87"/>
      <c r="K848" s="91"/>
      <c r="L848" s="89"/>
      <c r="M848" s="26"/>
      <c r="N848" s="26"/>
      <c r="O848" s="26"/>
      <c r="P848" s="26"/>
    </row>
    <row r="849">
      <c r="A849" s="90"/>
      <c r="B849" s="82"/>
      <c r="C849" s="83"/>
      <c r="D849" s="82"/>
      <c r="E849" s="84"/>
      <c r="F849" s="85"/>
      <c r="G849" s="86"/>
      <c r="H849" s="84"/>
      <c r="I849" s="86"/>
      <c r="J849" s="87"/>
      <c r="K849" s="91"/>
      <c r="L849" s="89"/>
      <c r="M849" s="26"/>
      <c r="N849" s="26"/>
      <c r="O849" s="26"/>
      <c r="P849" s="26"/>
    </row>
    <row r="850">
      <c r="A850" s="90"/>
      <c r="B850" s="82"/>
      <c r="C850" s="83"/>
      <c r="D850" s="82"/>
      <c r="E850" s="84"/>
      <c r="F850" s="85"/>
      <c r="G850" s="86"/>
      <c r="H850" s="84"/>
      <c r="I850" s="86"/>
      <c r="J850" s="87"/>
      <c r="K850" s="91"/>
      <c r="L850" s="89"/>
      <c r="M850" s="26"/>
      <c r="N850" s="26"/>
      <c r="O850" s="26"/>
      <c r="P850" s="26"/>
    </row>
    <row r="851">
      <c r="A851" s="90"/>
      <c r="B851" s="82"/>
      <c r="C851" s="83"/>
      <c r="D851" s="82"/>
      <c r="E851" s="84"/>
      <c r="F851" s="85"/>
      <c r="G851" s="86"/>
      <c r="H851" s="84"/>
      <c r="I851" s="86"/>
      <c r="J851" s="87"/>
      <c r="K851" s="91"/>
      <c r="L851" s="89"/>
      <c r="M851" s="26"/>
      <c r="N851" s="26"/>
      <c r="O851" s="26"/>
      <c r="P851" s="26"/>
    </row>
    <row r="852">
      <c r="A852" s="90"/>
      <c r="B852" s="82"/>
      <c r="C852" s="83"/>
      <c r="D852" s="82"/>
      <c r="E852" s="84"/>
      <c r="F852" s="85"/>
      <c r="G852" s="86"/>
      <c r="H852" s="84"/>
      <c r="I852" s="86"/>
      <c r="J852" s="87"/>
      <c r="K852" s="91"/>
      <c r="L852" s="89"/>
      <c r="M852" s="26"/>
      <c r="N852" s="26"/>
      <c r="O852" s="26"/>
      <c r="P852" s="26"/>
    </row>
    <row r="853">
      <c r="A853" s="90"/>
      <c r="B853" s="82"/>
      <c r="C853" s="83"/>
      <c r="D853" s="82"/>
      <c r="E853" s="84"/>
      <c r="F853" s="85"/>
      <c r="G853" s="86"/>
      <c r="H853" s="84"/>
      <c r="I853" s="86"/>
      <c r="J853" s="87"/>
      <c r="K853" s="91"/>
      <c r="L853" s="89"/>
      <c r="M853" s="26"/>
      <c r="N853" s="26"/>
      <c r="O853" s="26"/>
      <c r="P853" s="26"/>
    </row>
    <row r="854">
      <c r="A854" s="90"/>
      <c r="B854" s="82"/>
      <c r="C854" s="83"/>
      <c r="D854" s="82"/>
      <c r="E854" s="84"/>
      <c r="F854" s="85"/>
      <c r="G854" s="86"/>
      <c r="H854" s="84"/>
      <c r="I854" s="86"/>
      <c r="J854" s="87"/>
      <c r="K854" s="91"/>
      <c r="L854" s="89"/>
      <c r="M854" s="26"/>
      <c r="N854" s="26"/>
      <c r="O854" s="26"/>
      <c r="P854" s="26"/>
    </row>
    <row r="855">
      <c r="A855" s="90"/>
      <c r="B855" s="82"/>
      <c r="C855" s="83"/>
      <c r="D855" s="82"/>
      <c r="E855" s="84"/>
      <c r="F855" s="85"/>
      <c r="G855" s="86"/>
      <c r="H855" s="84"/>
      <c r="I855" s="86"/>
      <c r="J855" s="87"/>
      <c r="K855" s="91"/>
      <c r="L855" s="89"/>
      <c r="M855" s="26"/>
      <c r="N855" s="26"/>
      <c r="O855" s="26"/>
      <c r="P855" s="26"/>
    </row>
    <row r="856">
      <c r="A856" s="90"/>
      <c r="B856" s="82"/>
      <c r="C856" s="83"/>
      <c r="D856" s="82"/>
      <c r="E856" s="84"/>
      <c r="F856" s="85"/>
      <c r="G856" s="86"/>
      <c r="H856" s="84"/>
      <c r="I856" s="86"/>
      <c r="J856" s="87"/>
      <c r="K856" s="91"/>
      <c r="L856" s="89"/>
      <c r="M856" s="26"/>
      <c r="N856" s="26"/>
      <c r="O856" s="26"/>
      <c r="P856" s="26"/>
    </row>
    <row r="857">
      <c r="A857" s="90"/>
      <c r="B857" s="82"/>
      <c r="C857" s="83"/>
      <c r="D857" s="82"/>
      <c r="E857" s="84"/>
      <c r="F857" s="85"/>
      <c r="G857" s="86"/>
      <c r="H857" s="84"/>
      <c r="I857" s="86"/>
      <c r="J857" s="87"/>
      <c r="K857" s="91"/>
      <c r="L857" s="89"/>
      <c r="M857" s="26"/>
      <c r="N857" s="26"/>
      <c r="O857" s="26"/>
      <c r="P857" s="26"/>
    </row>
    <row r="858">
      <c r="A858" s="90"/>
      <c r="B858" s="82"/>
      <c r="C858" s="83"/>
      <c r="D858" s="82"/>
      <c r="E858" s="84"/>
      <c r="F858" s="85"/>
      <c r="G858" s="86"/>
      <c r="H858" s="84"/>
      <c r="I858" s="86"/>
      <c r="J858" s="87"/>
      <c r="K858" s="91"/>
      <c r="L858" s="89"/>
      <c r="M858" s="26"/>
      <c r="N858" s="26"/>
      <c r="O858" s="26"/>
      <c r="P858" s="26"/>
    </row>
    <row r="859">
      <c r="A859" s="90"/>
      <c r="B859" s="82"/>
      <c r="C859" s="83"/>
      <c r="D859" s="82"/>
      <c r="E859" s="84"/>
      <c r="F859" s="85"/>
      <c r="G859" s="86"/>
      <c r="H859" s="84"/>
      <c r="I859" s="86"/>
      <c r="J859" s="87"/>
      <c r="K859" s="91"/>
      <c r="L859" s="89"/>
      <c r="M859" s="26"/>
      <c r="N859" s="26"/>
      <c r="O859" s="26"/>
      <c r="P859" s="26"/>
    </row>
    <row r="860">
      <c r="A860" s="90"/>
      <c r="B860" s="82"/>
      <c r="C860" s="83"/>
      <c r="D860" s="82"/>
      <c r="E860" s="84"/>
      <c r="F860" s="85"/>
      <c r="G860" s="86"/>
      <c r="H860" s="84"/>
      <c r="I860" s="86"/>
      <c r="J860" s="87"/>
      <c r="K860" s="91"/>
      <c r="L860" s="89"/>
      <c r="M860" s="26"/>
      <c r="N860" s="26"/>
      <c r="O860" s="26"/>
      <c r="P860" s="26"/>
    </row>
    <row r="861">
      <c r="A861" s="90"/>
      <c r="B861" s="82"/>
      <c r="C861" s="83"/>
      <c r="D861" s="82"/>
      <c r="E861" s="84"/>
      <c r="F861" s="85"/>
      <c r="G861" s="86"/>
      <c r="H861" s="84"/>
      <c r="I861" s="86"/>
      <c r="J861" s="87"/>
      <c r="K861" s="91"/>
      <c r="L861" s="89"/>
      <c r="M861" s="26"/>
      <c r="N861" s="26"/>
      <c r="O861" s="26"/>
      <c r="P861" s="26"/>
    </row>
    <row r="862">
      <c r="A862" s="90"/>
      <c r="B862" s="82"/>
      <c r="C862" s="83"/>
      <c r="D862" s="82"/>
      <c r="E862" s="84"/>
      <c r="F862" s="85"/>
      <c r="G862" s="86"/>
      <c r="H862" s="84"/>
      <c r="I862" s="86"/>
      <c r="J862" s="87"/>
      <c r="K862" s="91"/>
      <c r="L862" s="89"/>
      <c r="M862" s="26"/>
      <c r="N862" s="26"/>
      <c r="O862" s="26"/>
      <c r="P862" s="26"/>
    </row>
    <row r="863">
      <c r="A863" s="90"/>
      <c r="B863" s="82"/>
      <c r="C863" s="83"/>
      <c r="D863" s="82"/>
      <c r="E863" s="84"/>
      <c r="F863" s="85"/>
      <c r="G863" s="86"/>
      <c r="H863" s="84"/>
      <c r="I863" s="86"/>
      <c r="J863" s="87"/>
      <c r="K863" s="91"/>
      <c r="L863" s="89"/>
      <c r="M863" s="26"/>
      <c r="N863" s="26"/>
      <c r="O863" s="26"/>
      <c r="P863" s="26"/>
    </row>
    <row r="864">
      <c r="A864" s="90"/>
      <c r="B864" s="82"/>
      <c r="C864" s="83"/>
      <c r="D864" s="82"/>
      <c r="E864" s="84"/>
      <c r="F864" s="85"/>
      <c r="G864" s="86"/>
      <c r="H864" s="84"/>
      <c r="I864" s="86"/>
      <c r="J864" s="87"/>
      <c r="K864" s="91"/>
      <c r="L864" s="89"/>
      <c r="M864" s="26"/>
      <c r="N864" s="26"/>
      <c r="O864" s="26"/>
      <c r="P864" s="26"/>
    </row>
    <row r="865">
      <c r="A865" s="90"/>
      <c r="B865" s="82"/>
      <c r="C865" s="83"/>
      <c r="D865" s="82"/>
      <c r="E865" s="84"/>
      <c r="F865" s="85"/>
      <c r="G865" s="86"/>
      <c r="H865" s="84"/>
      <c r="I865" s="86"/>
      <c r="J865" s="87"/>
      <c r="K865" s="91"/>
      <c r="L865" s="89"/>
      <c r="M865" s="26"/>
      <c r="N865" s="26"/>
      <c r="O865" s="26"/>
      <c r="P865" s="26"/>
    </row>
    <row r="866">
      <c r="A866" s="90"/>
      <c r="B866" s="82"/>
      <c r="C866" s="83"/>
      <c r="D866" s="82"/>
      <c r="E866" s="84"/>
      <c r="F866" s="85"/>
      <c r="G866" s="86"/>
      <c r="H866" s="84"/>
      <c r="I866" s="86"/>
      <c r="J866" s="87"/>
      <c r="K866" s="91"/>
      <c r="L866" s="89"/>
      <c r="M866" s="26"/>
      <c r="N866" s="26"/>
      <c r="O866" s="26"/>
      <c r="P866" s="26"/>
    </row>
    <row r="867">
      <c r="A867" s="90"/>
      <c r="B867" s="82"/>
      <c r="C867" s="83"/>
      <c r="D867" s="82"/>
      <c r="E867" s="84"/>
      <c r="F867" s="85"/>
      <c r="G867" s="86"/>
      <c r="H867" s="84"/>
      <c r="I867" s="86"/>
      <c r="J867" s="87"/>
      <c r="K867" s="91"/>
      <c r="L867" s="89"/>
      <c r="M867" s="26"/>
      <c r="N867" s="26"/>
      <c r="O867" s="26"/>
      <c r="P867" s="26"/>
    </row>
    <row r="868">
      <c r="A868" s="90"/>
      <c r="B868" s="82"/>
      <c r="C868" s="83"/>
      <c r="D868" s="82"/>
      <c r="E868" s="84"/>
      <c r="F868" s="85"/>
      <c r="G868" s="86"/>
      <c r="H868" s="84"/>
      <c r="I868" s="86"/>
      <c r="J868" s="87"/>
      <c r="K868" s="91"/>
      <c r="L868" s="89"/>
      <c r="M868" s="26"/>
      <c r="N868" s="26"/>
      <c r="O868" s="26"/>
      <c r="P868" s="26"/>
    </row>
    <row r="869">
      <c r="A869" s="90"/>
      <c r="B869" s="82"/>
      <c r="C869" s="83"/>
      <c r="D869" s="82"/>
      <c r="E869" s="84"/>
      <c r="F869" s="85"/>
      <c r="G869" s="86"/>
      <c r="H869" s="84"/>
      <c r="I869" s="86"/>
      <c r="J869" s="87"/>
      <c r="K869" s="91"/>
      <c r="L869" s="89"/>
      <c r="M869" s="26"/>
      <c r="N869" s="26"/>
      <c r="O869" s="26"/>
      <c r="P869" s="26"/>
    </row>
    <row r="870">
      <c r="A870" s="90"/>
      <c r="B870" s="82"/>
      <c r="C870" s="83"/>
      <c r="D870" s="82"/>
      <c r="E870" s="84"/>
      <c r="F870" s="85"/>
      <c r="G870" s="86"/>
      <c r="H870" s="84"/>
      <c r="I870" s="86"/>
      <c r="J870" s="87"/>
      <c r="K870" s="91"/>
      <c r="L870" s="89"/>
      <c r="M870" s="26"/>
      <c r="N870" s="26"/>
      <c r="O870" s="26"/>
      <c r="P870" s="26"/>
    </row>
    <row r="871">
      <c r="A871" s="90"/>
      <c r="B871" s="82"/>
      <c r="C871" s="83"/>
      <c r="D871" s="82"/>
      <c r="E871" s="84"/>
      <c r="F871" s="85"/>
      <c r="G871" s="86"/>
      <c r="H871" s="84"/>
      <c r="I871" s="86"/>
      <c r="J871" s="87"/>
      <c r="K871" s="91"/>
      <c r="L871" s="89"/>
      <c r="M871" s="26"/>
      <c r="N871" s="26"/>
      <c r="O871" s="26"/>
      <c r="P871" s="26"/>
    </row>
    <row r="872">
      <c r="A872" s="90"/>
      <c r="B872" s="82"/>
      <c r="C872" s="83"/>
      <c r="D872" s="82"/>
      <c r="E872" s="84"/>
      <c r="F872" s="85"/>
      <c r="G872" s="86"/>
      <c r="H872" s="84"/>
      <c r="I872" s="86"/>
      <c r="J872" s="87"/>
      <c r="K872" s="91"/>
      <c r="L872" s="89"/>
      <c r="M872" s="26"/>
      <c r="N872" s="26"/>
      <c r="O872" s="26"/>
      <c r="P872" s="26"/>
    </row>
    <row r="873">
      <c r="A873" s="90"/>
      <c r="B873" s="82"/>
      <c r="C873" s="83"/>
      <c r="D873" s="82"/>
      <c r="E873" s="84"/>
      <c r="F873" s="85"/>
      <c r="G873" s="86"/>
      <c r="H873" s="84"/>
      <c r="I873" s="86"/>
      <c r="J873" s="87"/>
      <c r="K873" s="91"/>
      <c r="L873" s="89"/>
      <c r="M873" s="26"/>
      <c r="N873" s="26"/>
      <c r="O873" s="26"/>
      <c r="P873" s="26"/>
    </row>
    <row r="874">
      <c r="A874" s="90"/>
      <c r="B874" s="82"/>
      <c r="C874" s="83"/>
      <c r="D874" s="82"/>
      <c r="E874" s="84"/>
      <c r="F874" s="85"/>
      <c r="G874" s="86"/>
      <c r="H874" s="84"/>
      <c r="I874" s="86"/>
      <c r="J874" s="87"/>
      <c r="K874" s="91"/>
      <c r="L874" s="89"/>
      <c r="M874" s="26"/>
      <c r="N874" s="26"/>
      <c r="O874" s="26"/>
      <c r="P874" s="26"/>
    </row>
    <row r="875">
      <c r="A875" s="90"/>
      <c r="B875" s="82"/>
      <c r="C875" s="83"/>
      <c r="D875" s="82"/>
      <c r="E875" s="84"/>
      <c r="F875" s="85"/>
      <c r="G875" s="86"/>
      <c r="H875" s="84"/>
      <c r="I875" s="86"/>
      <c r="J875" s="87"/>
      <c r="K875" s="91"/>
      <c r="L875" s="89"/>
      <c r="M875" s="26"/>
      <c r="N875" s="26"/>
      <c r="O875" s="26"/>
      <c r="P875" s="26"/>
    </row>
    <row r="876">
      <c r="A876" s="90"/>
      <c r="B876" s="82"/>
      <c r="C876" s="83"/>
      <c r="D876" s="82"/>
      <c r="E876" s="84"/>
      <c r="F876" s="85"/>
      <c r="G876" s="86"/>
      <c r="H876" s="84"/>
      <c r="I876" s="86"/>
      <c r="J876" s="87"/>
      <c r="K876" s="91"/>
      <c r="L876" s="89"/>
      <c r="M876" s="26"/>
      <c r="N876" s="26"/>
      <c r="O876" s="26"/>
      <c r="P876" s="26"/>
    </row>
    <row r="877">
      <c r="A877" s="90"/>
      <c r="B877" s="82"/>
      <c r="C877" s="83"/>
      <c r="D877" s="82"/>
      <c r="E877" s="84"/>
      <c r="F877" s="85"/>
      <c r="G877" s="86"/>
      <c r="H877" s="84"/>
      <c r="I877" s="86"/>
      <c r="J877" s="87"/>
      <c r="K877" s="91"/>
      <c r="L877" s="89"/>
      <c r="M877" s="26"/>
      <c r="N877" s="26"/>
      <c r="O877" s="26"/>
      <c r="P877" s="26"/>
    </row>
    <row r="878">
      <c r="A878" s="90"/>
      <c r="B878" s="82"/>
      <c r="C878" s="83"/>
      <c r="D878" s="82"/>
      <c r="E878" s="84"/>
      <c r="F878" s="85"/>
      <c r="G878" s="86"/>
      <c r="H878" s="84"/>
      <c r="I878" s="86"/>
      <c r="J878" s="87"/>
      <c r="K878" s="91"/>
      <c r="L878" s="89"/>
      <c r="M878" s="26"/>
      <c r="N878" s="26"/>
      <c r="O878" s="26"/>
      <c r="P878" s="26"/>
    </row>
    <row r="879">
      <c r="A879" s="90"/>
      <c r="B879" s="82"/>
      <c r="C879" s="83"/>
      <c r="D879" s="82"/>
      <c r="E879" s="84"/>
      <c r="F879" s="85"/>
      <c r="G879" s="86"/>
      <c r="H879" s="84"/>
      <c r="I879" s="86"/>
      <c r="J879" s="87"/>
      <c r="K879" s="91"/>
      <c r="L879" s="89"/>
      <c r="M879" s="26"/>
      <c r="N879" s="26"/>
      <c r="O879" s="26"/>
      <c r="P879" s="26"/>
    </row>
    <row r="880">
      <c r="A880" s="90"/>
      <c r="B880" s="82"/>
      <c r="C880" s="83"/>
      <c r="D880" s="82"/>
      <c r="E880" s="84"/>
      <c r="F880" s="85"/>
      <c r="G880" s="86"/>
      <c r="H880" s="84"/>
      <c r="I880" s="86"/>
      <c r="J880" s="87"/>
      <c r="K880" s="91"/>
      <c r="L880" s="89"/>
      <c r="M880" s="26"/>
      <c r="N880" s="26"/>
      <c r="O880" s="26"/>
      <c r="P880" s="26"/>
    </row>
    <row r="881">
      <c r="A881" s="90"/>
      <c r="B881" s="82"/>
      <c r="C881" s="83"/>
      <c r="D881" s="82"/>
      <c r="E881" s="84"/>
      <c r="F881" s="85"/>
      <c r="G881" s="86"/>
      <c r="H881" s="84"/>
      <c r="I881" s="86"/>
      <c r="J881" s="87"/>
      <c r="K881" s="91"/>
      <c r="L881" s="89"/>
      <c r="M881" s="26"/>
      <c r="N881" s="26"/>
      <c r="O881" s="26"/>
      <c r="P881" s="26"/>
    </row>
    <row r="882">
      <c r="A882" s="90"/>
      <c r="B882" s="82"/>
      <c r="C882" s="83"/>
      <c r="D882" s="82"/>
      <c r="E882" s="84"/>
      <c r="F882" s="85"/>
      <c r="G882" s="86"/>
      <c r="H882" s="84"/>
      <c r="I882" s="86"/>
      <c r="J882" s="87"/>
      <c r="K882" s="91"/>
      <c r="L882" s="89"/>
      <c r="M882" s="26"/>
      <c r="N882" s="26"/>
      <c r="O882" s="26"/>
      <c r="P882" s="26"/>
    </row>
    <row r="883">
      <c r="A883" s="90"/>
      <c r="B883" s="82"/>
      <c r="C883" s="83"/>
      <c r="D883" s="82"/>
      <c r="E883" s="84"/>
      <c r="F883" s="85"/>
      <c r="G883" s="86"/>
      <c r="H883" s="84"/>
      <c r="I883" s="86"/>
      <c r="J883" s="87"/>
      <c r="K883" s="91"/>
      <c r="L883" s="89"/>
      <c r="M883" s="26"/>
      <c r="N883" s="26"/>
      <c r="O883" s="26"/>
      <c r="P883" s="26"/>
    </row>
    <row r="884">
      <c r="A884" s="90"/>
      <c r="B884" s="82"/>
      <c r="C884" s="83"/>
      <c r="D884" s="82"/>
      <c r="E884" s="84"/>
      <c r="F884" s="85"/>
      <c r="G884" s="86"/>
      <c r="H884" s="84"/>
      <c r="I884" s="86"/>
      <c r="J884" s="87"/>
      <c r="K884" s="91"/>
      <c r="L884" s="89"/>
      <c r="M884" s="26"/>
      <c r="N884" s="26"/>
      <c r="O884" s="26"/>
      <c r="P884" s="26"/>
    </row>
    <row r="885">
      <c r="A885" s="90"/>
      <c r="B885" s="82"/>
      <c r="C885" s="83"/>
      <c r="D885" s="82"/>
      <c r="E885" s="84"/>
      <c r="F885" s="85"/>
      <c r="G885" s="86"/>
      <c r="H885" s="84"/>
      <c r="I885" s="86"/>
      <c r="J885" s="87"/>
      <c r="K885" s="91"/>
      <c r="L885" s="89"/>
      <c r="M885" s="26"/>
      <c r="N885" s="26"/>
      <c r="O885" s="26"/>
      <c r="P885" s="26"/>
    </row>
    <row r="886">
      <c r="A886" s="90"/>
      <c r="B886" s="82"/>
      <c r="C886" s="83"/>
      <c r="D886" s="82"/>
      <c r="E886" s="84"/>
      <c r="F886" s="85"/>
      <c r="G886" s="86"/>
      <c r="H886" s="84"/>
      <c r="I886" s="86"/>
      <c r="J886" s="87"/>
      <c r="K886" s="91"/>
      <c r="L886" s="89"/>
      <c r="M886" s="26"/>
      <c r="N886" s="26"/>
      <c r="O886" s="26"/>
      <c r="P886" s="26"/>
    </row>
    <row r="887">
      <c r="A887" s="90"/>
      <c r="B887" s="82"/>
      <c r="C887" s="83"/>
      <c r="D887" s="82"/>
      <c r="E887" s="84"/>
      <c r="F887" s="85"/>
      <c r="G887" s="86"/>
      <c r="H887" s="84"/>
      <c r="I887" s="86"/>
      <c r="J887" s="87"/>
      <c r="K887" s="91"/>
      <c r="L887" s="89"/>
      <c r="M887" s="26"/>
      <c r="N887" s="26"/>
      <c r="O887" s="26"/>
      <c r="P887" s="26"/>
    </row>
    <row r="888">
      <c r="A888" s="90"/>
      <c r="B888" s="82"/>
      <c r="C888" s="83"/>
      <c r="D888" s="82"/>
      <c r="E888" s="84"/>
      <c r="F888" s="85"/>
      <c r="G888" s="86"/>
      <c r="H888" s="84"/>
      <c r="I888" s="86"/>
      <c r="J888" s="87"/>
      <c r="K888" s="91"/>
      <c r="L888" s="89"/>
      <c r="M888" s="26"/>
      <c r="N888" s="26"/>
      <c r="O888" s="26"/>
      <c r="P888" s="26"/>
    </row>
    <row r="889">
      <c r="A889" s="90"/>
      <c r="B889" s="82"/>
      <c r="C889" s="83"/>
      <c r="D889" s="82"/>
      <c r="E889" s="84"/>
      <c r="F889" s="85"/>
      <c r="G889" s="86"/>
      <c r="H889" s="84"/>
      <c r="I889" s="86"/>
      <c r="J889" s="87"/>
      <c r="K889" s="91"/>
      <c r="L889" s="89"/>
      <c r="M889" s="26"/>
      <c r="N889" s="26"/>
      <c r="O889" s="26"/>
      <c r="P889" s="26"/>
    </row>
    <row r="890">
      <c r="A890" s="90"/>
      <c r="B890" s="82"/>
      <c r="C890" s="83"/>
      <c r="D890" s="82"/>
      <c r="E890" s="84"/>
      <c r="F890" s="85"/>
      <c r="G890" s="86"/>
      <c r="H890" s="84"/>
      <c r="I890" s="86"/>
      <c r="J890" s="87"/>
      <c r="K890" s="91"/>
      <c r="L890" s="89"/>
      <c r="M890" s="26"/>
      <c r="N890" s="26"/>
      <c r="O890" s="26"/>
      <c r="P890" s="26"/>
    </row>
    <row r="891">
      <c r="A891" s="90"/>
      <c r="B891" s="82"/>
      <c r="C891" s="83"/>
      <c r="D891" s="82"/>
      <c r="E891" s="84"/>
      <c r="F891" s="85"/>
      <c r="G891" s="86"/>
      <c r="H891" s="84"/>
      <c r="I891" s="86"/>
      <c r="J891" s="87"/>
      <c r="K891" s="91"/>
      <c r="L891" s="89"/>
      <c r="M891" s="26"/>
      <c r="N891" s="26"/>
      <c r="O891" s="26"/>
      <c r="P891" s="26"/>
    </row>
    <row r="892">
      <c r="A892" s="90"/>
      <c r="B892" s="82"/>
      <c r="C892" s="83"/>
      <c r="D892" s="82"/>
      <c r="E892" s="84"/>
      <c r="F892" s="85"/>
      <c r="G892" s="86"/>
      <c r="H892" s="84"/>
      <c r="I892" s="86"/>
      <c r="J892" s="87"/>
      <c r="K892" s="91"/>
      <c r="L892" s="89"/>
      <c r="M892" s="26"/>
      <c r="N892" s="26"/>
      <c r="O892" s="26"/>
      <c r="P892" s="26"/>
    </row>
    <row r="893">
      <c r="A893" s="90"/>
      <c r="B893" s="82"/>
      <c r="C893" s="83"/>
      <c r="D893" s="82"/>
      <c r="E893" s="84"/>
      <c r="F893" s="85"/>
      <c r="G893" s="86"/>
      <c r="H893" s="84"/>
      <c r="I893" s="86"/>
      <c r="J893" s="87"/>
      <c r="K893" s="91"/>
      <c r="L893" s="89"/>
      <c r="M893" s="26"/>
      <c r="N893" s="26"/>
      <c r="O893" s="26"/>
      <c r="P893" s="26"/>
    </row>
    <row r="894">
      <c r="A894" s="90"/>
      <c r="B894" s="82"/>
      <c r="C894" s="83"/>
      <c r="D894" s="82"/>
      <c r="E894" s="84"/>
      <c r="F894" s="85"/>
      <c r="G894" s="86"/>
      <c r="H894" s="84"/>
      <c r="I894" s="86"/>
      <c r="J894" s="87"/>
      <c r="K894" s="91"/>
      <c r="L894" s="89"/>
      <c r="M894" s="26"/>
      <c r="N894" s="26"/>
      <c r="O894" s="26"/>
      <c r="P894" s="26"/>
    </row>
    <row r="895">
      <c r="A895" s="90"/>
      <c r="B895" s="82"/>
      <c r="C895" s="83"/>
      <c r="D895" s="82"/>
      <c r="E895" s="84"/>
      <c r="F895" s="85"/>
      <c r="G895" s="86"/>
      <c r="H895" s="84"/>
      <c r="I895" s="86"/>
      <c r="J895" s="87"/>
      <c r="K895" s="91"/>
      <c r="L895" s="89"/>
      <c r="M895" s="26"/>
      <c r="N895" s="26"/>
      <c r="O895" s="26"/>
      <c r="P895" s="26"/>
    </row>
    <row r="896">
      <c r="A896" s="90"/>
      <c r="B896" s="82"/>
      <c r="C896" s="83"/>
      <c r="D896" s="82"/>
      <c r="E896" s="84"/>
      <c r="F896" s="85"/>
      <c r="G896" s="86"/>
      <c r="H896" s="84"/>
      <c r="I896" s="86"/>
      <c r="J896" s="87"/>
      <c r="K896" s="91"/>
      <c r="L896" s="89"/>
      <c r="M896" s="26"/>
      <c r="N896" s="26"/>
      <c r="O896" s="26"/>
      <c r="P896" s="26"/>
    </row>
    <row r="897">
      <c r="A897" s="90"/>
      <c r="B897" s="82"/>
      <c r="C897" s="83"/>
      <c r="D897" s="82"/>
      <c r="E897" s="84"/>
      <c r="F897" s="85"/>
      <c r="G897" s="86"/>
      <c r="H897" s="84"/>
      <c r="I897" s="86"/>
      <c r="J897" s="87"/>
      <c r="K897" s="91"/>
      <c r="L897" s="89"/>
      <c r="M897" s="26"/>
      <c r="N897" s="26"/>
      <c r="O897" s="26"/>
      <c r="P897" s="26"/>
    </row>
    <row r="898">
      <c r="A898" s="90"/>
      <c r="B898" s="82"/>
      <c r="C898" s="83"/>
      <c r="D898" s="82"/>
      <c r="E898" s="84"/>
      <c r="F898" s="85"/>
      <c r="G898" s="86"/>
      <c r="H898" s="84"/>
      <c r="I898" s="86"/>
      <c r="J898" s="87"/>
      <c r="K898" s="91"/>
      <c r="L898" s="89"/>
      <c r="M898" s="26"/>
      <c r="N898" s="26"/>
      <c r="O898" s="26"/>
      <c r="P898" s="26"/>
    </row>
    <row r="899">
      <c r="A899" s="90"/>
      <c r="B899" s="82"/>
      <c r="C899" s="83"/>
      <c r="D899" s="82"/>
      <c r="E899" s="84"/>
      <c r="F899" s="85"/>
      <c r="G899" s="86"/>
      <c r="H899" s="84"/>
      <c r="I899" s="86"/>
      <c r="J899" s="87"/>
      <c r="K899" s="91"/>
      <c r="L899" s="89"/>
      <c r="M899" s="26"/>
      <c r="N899" s="26"/>
      <c r="O899" s="26"/>
      <c r="P899" s="26"/>
    </row>
    <row r="900">
      <c r="A900" s="90"/>
      <c r="B900" s="82"/>
      <c r="C900" s="83"/>
      <c r="D900" s="82"/>
      <c r="E900" s="84"/>
      <c r="F900" s="85"/>
      <c r="G900" s="86"/>
      <c r="H900" s="84"/>
      <c r="I900" s="86"/>
      <c r="J900" s="87"/>
      <c r="K900" s="91"/>
      <c r="L900" s="89"/>
      <c r="M900" s="26"/>
      <c r="N900" s="26"/>
      <c r="O900" s="26"/>
      <c r="P900" s="26"/>
    </row>
    <row r="901">
      <c r="A901" s="90"/>
      <c r="B901" s="82"/>
      <c r="C901" s="83"/>
      <c r="D901" s="82"/>
      <c r="E901" s="84"/>
      <c r="F901" s="85"/>
      <c r="G901" s="86"/>
      <c r="H901" s="84"/>
      <c r="I901" s="86"/>
      <c r="J901" s="87"/>
      <c r="K901" s="91"/>
      <c r="L901" s="89"/>
      <c r="M901" s="26"/>
      <c r="N901" s="26"/>
      <c r="O901" s="26"/>
      <c r="P901" s="26"/>
    </row>
    <row r="902">
      <c r="A902" s="90"/>
      <c r="B902" s="82"/>
      <c r="C902" s="83"/>
      <c r="D902" s="82"/>
      <c r="E902" s="84"/>
      <c r="F902" s="85"/>
      <c r="G902" s="86"/>
      <c r="H902" s="84"/>
      <c r="I902" s="86"/>
      <c r="J902" s="87"/>
      <c r="K902" s="91"/>
      <c r="L902" s="89"/>
      <c r="M902" s="26"/>
      <c r="N902" s="26"/>
      <c r="O902" s="26"/>
      <c r="P902" s="26"/>
    </row>
    <row r="903">
      <c r="A903" s="90"/>
      <c r="B903" s="82"/>
      <c r="C903" s="83"/>
      <c r="D903" s="82"/>
      <c r="E903" s="84"/>
      <c r="F903" s="85"/>
      <c r="G903" s="86"/>
      <c r="H903" s="84"/>
      <c r="I903" s="86"/>
      <c r="J903" s="87"/>
      <c r="K903" s="91"/>
      <c r="L903" s="89"/>
      <c r="M903" s="26"/>
      <c r="N903" s="26"/>
      <c r="O903" s="26"/>
      <c r="P903" s="26"/>
    </row>
    <row r="904">
      <c r="A904" s="90"/>
      <c r="B904" s="82"/>
      <c r="C904" s="83"/>
      <c r="D904" s="82"/>
      <c r="E904" s="84"/>
      <c r="F904" s="85"/>
      <c r="G904" s="86"/>
      <c r="H904" s="84"/>
      <c r="I904" s="86"/>
      <c r="J904" s="87"/>
      <c r="K904" s="91"/>
      <c r="L904" s="89"/>
      <c r="M904" s="26"/>
      <c r="N904" s="26"/>
      <c r="O904" s="26"/>
      <c r="P904" s="26"/>
    </row>
    <row r="905">
      <c r="A905" s="90"/>
      <c r="B905" s="82"/>
      <c r="C905" s="83"/>
      <c r="D905" s="82"/>
      <c r="E905" s="84"/>
      <c r="F905" s="85"/>
      <c r="G905" s="86"/>
      <c r="H905" s="84"/>
      <c r="I905" s="86"/>
      <c r="J905" s="87"/>
      <c r="K905" s="91"/>
      <c r="L905" s="89"/>
      <c r="M905" s="26"/>
      <c r="N905" s="26"/>
      <c r="O905" s="26"/>
      <c r="P905" s="26"/>
    </row>
    <row r="906">
      <c r="A906" s="90"/>
      <c r="B906" s="82"/>
      <c r="C906" s="83"/>
      <c r="D906" s="82"/>
      <c r="E906" s="84"/>
      <c r="F906" s="85"/>
      <c r="G906" s="86"/>
      <c r="H906" s="84"/>
      <c r="I906" s="86"/>
      <c r="J906" s="87"/>
      <c r="K906" s="91"/>
      <c r="L906" s="89"/>
      <c r="M906" s="26"/>
      <c r="N906" s="26"/>
      <c r="O906" s="26"/>
      <c r="P906" s="26"/>
    </row>
    <row r="907">
      <c r="A907" s="90"/>
      <c r="B907" s="82"/>
      <c r="C907" s="83"/>
      <c r="D907" s="82"/>
      <c r="E907" s="84"/>
      <c r="F907" s="85"/>
      <c r="G907" s="86"/>
      <c r="H907" s="84"/>
      <c r="I907" s="86"/>
      <c r="J907" s="87"/>
      <c r="K907" s="91"/>
      <c r="L907" s="89"/>
      <c r="M907" s="26"/>
      <c r="N907" s="26"/>
      <c r="O907" s="26"/>
      <c r="P907" s="26"/>
    </row>
    <row r="908">
      <c r="A908" s="90"/>
      <c r="B908" s="82"/>
      <c r="C908" s="83"/>
      <c r="D908" s="82"/>
      <c r="E908" s="84"/>
      <c r="F908" s="85"/>
      <c r="G908" s="86"/>
      <c r="H908" s="84"/>
      <c r="I908" s="86"/>
      <c r="J908" s="87"/>
      <c r="K908" s="91"/>
      <c r="L908" s="89"/>
      <c r="M908" s="26"/>
      <c r="N908" s="26"/>
      <c r="O908" s="26"/>
      <c r="P908" s="26"/>
    </row>
    <row r="909">
      <c r="A909" s="90"/>
      <c r="B909" s="82"/>
      <c r="C909" s="83"/>
      <c r="D909" s="82"/>
      <c r="E909" s="84"/>
      <c r="F909" s="85"/>
      <c r="G909" s="86"/>
      <c r="H909" s="84"/>
      <c r="I909" s="86"/>
      <c r="J909" s="87"/>
      <c r="K909" s="91"/>
      <c r="L909" s="89"/>
      <c r="M909" s="26"/>
      <c r="N909" s="26"/>
      <c r="O909" s="26"/>
      <c r="P909" s="26"/>
    </row>
    <row r="910">
      <c r="A910" s="90"/>
      <c r="B910" s="82"/>
      <c r="C910" s="83"/>
      <c r="D910" s="82"/>
      <c r="E910" s="84"/>
      <c r="F910" s="85"/>
      <c r="G910" s="86"/>
      <c r="H910" s="84"/>
      <c r="I910" s="86"/>
      <c r="J910" s="87"/>
      <c r="K910" s="91"/>
      <c r="L910" s="89"/>
      <c r="M910" s="26"/>
      <c r="N910" s="26"/>
      <c r="O910" s="26"/>
      <c r="P910" s="26"/>
    </row>
    <row r="911">
      <c r="A911" s="90"/>
      <c r="B911" s="82"/>
      <c r="C911" s="83"/>
      <c r="D911" s="82"/>
      <c r="E911" s="84"/>
      <c r="F911" s="85"/>
      <c r="G911" s="86"/>
      <c r="H911" s="84"/>
      <c r="I911" s="86"/>
      <c r="J911" s="87"/>
      <c r="K911" s="91"/>
      <c r="L911" s="89"/>
      <c r="M911" s="26"/>
      <c r="N911" s="26"/>
      <c r="O911" s="26"/>
      <c r="P911" s="26"/>
    </row>
    <row r="912">
      <c r="A912" s="90"/>
      <c r="B912" s="82"/>
      <c r="C912" s="83"/>
      <c r="D912" s="82"/>
      <c r="E912" s="84"/>
      <c r="F912" s="85"/>
      <c r="G912" s="86"/>
      <c r="H912" s="84"/>
      <c r="I912" s="86"/>
      <c r="J912" s="87"/>
      <c r="K912" s="91"/>
      <c r="L912" s="89"/>
      <c r="M912" s="26"/>
      <c r="N912" s="26"/>
      <c r="O912" s="26"/>
      <c r="P912" s="26"/>
    </row>
    <row r="913">
      <c r="A913" s="90"/>
      <c r="B913" s="82"/>
      <c r="C913" s="83"/>
      <c r="D913" s="82"/>
      <c r="E913" s="84"/>
      <c r="F913" s="85"/>
      <c r="G913" s="86"/>
      <c r="H913" s="84"/>
      <c r="I913" s="86"/>
      <c r="J913" s="87"/>
      <c r="K913" s="91"/>
      <c r="L913" s="89"/>
      <c r="M913" s="26"/>
      <c r="N913" s="26"/>
      <c r="O913" s="26"/>
      <c r="P913" s="26"/>
    </row>
    <row r="914">
      <c r="A914" s="90"/>
      <c r="B914" s="82"/>
      <c r="C914" s="83"/>
      <c r="D914" s="82"/>
      <c r="E914" s="84"/>
      <c r="F914" s="85"/>
      <c r="G914" s="86"/>
      <c r="H914" s="84"/>
      <c r="I914" s="86"/>
      <c r="J914" s="87"/>
      <c r="K914" s="91"/>
      <c r="L914" s="89"/>
      <c r="M914" s="26"/>
      <c r="N914" s="26"/>
      <c r="O914" s="26"/>
      <c r="P914" s="26"/>
    </row>
    <row r="915">
      <c r="A915" s="90"/>
      <c r="B915" s="82"/>
      <c r="C915" s="83"/>
      <c r="D915" s="82"/>
      <c r="E915" s="84"/>
      <c r="F915" s="85"/>
      <c r="G915" s="86"/>
      <c r="H915" s="84"/>
      <c r="I915" s="86"/>
      <c r="J915" s="87"/>
      <c r="K915" s="91"/>
      <c r="L915" s="89"/>
      <c r="M915" s="26"/>
      <c r="N915" s="26"/>
      <c r="O915" s="26"/>
      <c r="P915" s="26"/>
    </row>
    <row r="916">
      <c r="A916" s="90"/>
      <c r="B916" s="82"/>
      <c r="C916" s="83"/>
      <c r="D916" s="82"/>
      <c r="E916" s="84"/>
      <c r="F916" s="85"/>
      <c r="G916" s="86"/>
      <c r="H916" s="84"/>
      <c r="I916" s="86"/>
      <c r="J916" s="87"/>
      <c r="K916" s="91"/>
      <c r="L916" s="89"/>
      <c r="M916" s="26"/>
      <c r="N916" s="26"/>
      <c r="O916" s="26"/>
      <c r="P916" s="26"/>
    </row>
    <row r="917">
      <c r="A917" s="90"/>
      <c r="B917" s="82"/>
      <c r="C917" s="83"/>
      <c r="D917" s="82"/>
      <c r="E917" s="84"/>
      <c r="F917" s="85"/>
      <c r="G917" s="86"/>
      <c r="H917" s="84"/>
      <c r="I917" s="86"/>
      <c r="J917" s="87"/>
      <c r="K917" s="91"/>
      <c r="L917" s="89"/>
      <c r="M917" s="26"/>
      <c r="N917" s="26"/>
      <c r="O917" s="26"/>
      <c r="P917" s="26"/>
    </row>
    <row r="918">
      <c r="A918" s="90"/>
      <c r="B918" s="82"/>
      <c r="C918" s="83"/>
      <c r="D918" s="82"/>
      <c r="E918" s="84"/>
      <c r="F918" s="85"/>
      <c r="G918" s="86"/>
      <c r="H918" s="84"/>
      <c r="I918" s="86"/>
      <c r="J918" s="87"/>
      <c r="K918" s="91"/>
      <c r="L918" s="89"/>
      <c r="M918" s="26"/>
      <c r="N918" s="26"/>
      <c r="O918" s="26"/>
      <c r="P918" s="26"/>
    </row>
    <row r="919">
      <c r="A919" s="90"/>
      <c r="B919" s="82"/>
      <c r="C919" s="83"/>
      <c r="D919" s="82"/>
      <c r="E919" s="84"/>
      <c r="F919" s="85"/>
      <c r="G919" s="86"/>
      <c r="H919" s="84"/>
      <c r="I919" s="86"/>
      <c r="J919" s="87"/>
      <c r="K919" s="91"/>
      <c r="L919" s="89"/>
      <c r="M919" s="26"/>
      <c r="N919" s="26"/>
      <c r="O919" s="26"/>
      <c r="P919" s="26"/>
    </row>
    <row r="920">
      <c r="A920" s="90"/>
      <c r="B920" s="82"/>
      <c r="C920" s="83"/>
      <c r="D920" s="82"/>
      <c r="E920" s="84"/>
      <c r="F920" s="85"/>
      <c r="G920" s="86"/>
      <c r="H920" s="84"/>
      <c r="I920" s="86"/>
      <c r="J920" s="87"/>
      <c r="K920" s="91"/>
      <c r="L920" s="89"/>
      <c r="M920" s="26"/>
      <c r="N920" s="26"/>
      <c r="O920" s="26"/>
      <c r="P920" s="26"/>
    </row>
    <row r="921">
      <c r="A921" s="90"/>
      <c r="B921" s="82"/>
      <c r="C921" s="83"/>
      <c r="D921" s="82"/>
      <c r="E921" s="84"/>
      <c r="F921" s="85"/>
      <c r="G921" s="86"/>
      <c r="H921" s="84"/>
      <c r="I921" s="86"/>
      <c r="J921" s="87"/>
      <c r="K921" s="91"/>
      <c r="L921" s="89"/>
      <c r="M921" s="26"/>
      <c r="N921" s="26"/>
      <c r="O921" s="26"/>
      <c r="P921" s="26"/>
    </row>
    <row r="922">
      <c r="A922" s="90"/>
      <c r="B922" s="82"/>
      <c r="C922" s="83"/>
      <c r="D922" s="82"/>
      <c r="E922" s="84"/>
      <c r="F922" s="85"/>
      <c r="G922" s="86"/>
      <c r="H922" s="84"/>
      <c r="I922" s="86"/>
      <c r="J922" s="87"/>
      <c r="K922" s="91"/>
      <c r="L922" s="89"/>
      <c r="M922" s="26"/>
      <c r="N922" s="26"/>
      <c r="O922" s="26"/>
      <c r="P922" s="26"/>
    </row>
    <row r="923">
      <c r="A923" s="90"/>
      <c r="B923" s="82"/>
      <c r="C923" s="83"/>
      <c r="D923" s="82"/>
      <c r="E923" s="84"/>
      <c r="F923" s="85"/>
      <c r="G923" s="86"/>
      <c r="H923" s="84"/>
      <c r="I923" s="86"/>
      <c r="J923" s="87"/>
      <c r="K923" s="91"/>
      <c r="L923" s="89"/>
      <c r="M923" s="26"/>
      <c r="N923" s="26"/>
      <c r="O923" s="26"/>
      <c r="P923" s="26"/>
    </row>
    <row r="924">
      <c r="A924" s="90"/>
      <c r="B924" s="82"/>
      <c r="C924" s="83"/>
      <c r="D924" s="82"/>
      <c r="E924" s="84"/>
      <c r="F924" s="85"/>
      <c r="G924" s="86"/>
      <c r="H924" s="84"/>
      <c r="I924" s="86"/>
      <c r="J924" s="87"/>
      <c r="K924" s="91"/>
      <c r="L924" s="89"/>
      <c r="M924" s="26"/>
      <c r="N924" s="26"/>
      <c r="O924" s="26"/>
      <c r="P924" s="26"/>
    </row>
    <row r="925">
      <c r="A925" s="90"/>
      <c r="B925" s="82"/>
      <c r="C925" s="83"/>
      <c r="D925" s="82"/>
      <c r="E925" s="84"/>
      <c r="F925" s="85"/>
      <c r="G925" s="86"/>
      <c r="H925" s="84"/>
      <c r="I925" s="86"/>
      <c r="J925" s="87"/>
      <c r="K925" s="91"/>
      <c r="L925" s="89"/>
      <c r="M925" s="26"/>
      <c r="N925" s="26"/>
      <c r="O925" s="26"/>
      <c r="P925" s="26"/>
    </row>
    <row r="926">
      <c r="A926" s="90"/>
      <c r="B926" s="82"/>
      <c r="C926" s="83"/>
      <c r="D926" s="82"/>
      <c r="E926" s="84"/>
      <c r="F926" s="85"/>
      <c r="G926" s="86"/>
      <c r="H926" s="84"/>
      <c r="I926" s="86"/>
      <c r="J926" s="87"/>
      <c r="K926" s="91"/>
      <c r="L926" s="89"/>
      <c r="M926" s="26"/>
      <c r="N926" s="26"/>
      <c r="O926" s="26"/>
      <c r="P926" s="26"/>
    </row>
    <row r="927">
      <c r="A927" s="90"/>
      <c r="B927" s="82"/>
      <c r="C927" s="83"/>
      <c r="D927" s="82"/>
      <c r="E927" s="84"/>
      <c r="F927" s="85"/>
      <c r="G927" s="86"/>
      <c r="H927" s="84"/>
      <c r="I927" s="86"/>
      <c r="J927" s="87"/>
      <c r="K927" s="91"/>
      <c r="L927" s="89"/>
      <c r="M927" s="26"/>
      <c r="N927" s="26"/>
      <c r="O927" s="26"/>
      <c r="P927" s="26"/>
    </row>
    <row r="928">
      <c r="A928" s="90"/>
      <c r="B928" s="82"/>
      <c r="C928" s="83"/>
      <c r="D928" s="82"/>
      <c r="E928" s="84"/>
      <c r="F928" s="85"/>
      <c r="G928" s="86"/>
      <c r="H928" s="84"/>
      <c r="I928" s="86"/>
      <c r="J928" s="87"/>
      <c r="K928" s="91"/>
      <c r="L928" s="89"/>
      <c r="M928" s="26"/>
      <c r="N928" s="26"/>
      <c r="O928" s="26"/>
      <c r="P928" s="26"/>
    </row>
    <row r="929">
      <c r="A929" s="90"/>
      <c r="B929" s="82"/>
      <c r="C929" s="83"/>
      <c r="D929" s="82"/>
      <c r="E929" s="84"/>
      <c r="F929" s="85"/>
      <c r="G929" s="86"/>
      <c r="H929" s="84"/>
      <c r="I929" s="86"/>
      <c r="J929" s="87"/>
      <c r="K929" s="91"/>
      <c r="L929" s="89"/>
      <c r="M929" s="26"/>
      <c r="N929" s="26"/>
      <c r="O929" s="26"/>
      <c r="P929" s="26"/>
    </row>
    <row r="930">
      <c r="A930" s="90"/>
      <c r="B930" s="82"/>
      <c r="C930" s="83"/>
      <c r="D930" s="82"/>
      <c r="E930" s="84"/>
      <c r="F930" s="85"/>
      <c r="G930" s="86"/>
      <c r="H930" s="84"/>
      <c r="I930" s="86"/>
      <c r="J930" s="87"/>
      <c r="K930" s="91"/>
      <c r="L930" s="89"/>
      <c r="M930" s="26"/>
      <c r="N930" s="26"/>
      <c r="O930" s="26"/>
      <c r="P930" s="26"/>
    </row>
    <row r="931">
      <c r="A931" s="90"/>
      <c r="B931" s="82"/>
      <c r="C931" s="83"/>
      <c r="D931" s="82"/>
      <c r="E931" s="84"/>
      <c r="F931" s="85"/>
      <c r="G931" s="86"/>
      <c r="H931" s="84"/>
      <c r="I931" s="86"/>
      <c r="J931" s="87"/>
      <c r="K931" s="91"/>
      <c r="L931" s="89"/>
      <c r="M931" s="26"/>
      <c r="N931" s="26"/>
      <c r="O931" s="26"/>
      <c r="P931" s="26"/>
    </row>
    <row r="932">
      <c r="A932" s="90"/>
      <c r="B932" s="82"/>
      <c r="C932" s="83"/>
      <c r="D932" s="82"/>
      <c r="E932" s="84"/>
      <c r="F932" s="85"/>
      <c r="G932" s="86"/>
      <c r="H932" s="84"/>
      <c r="I932" s="86"/>
      <c r="J932" s="87"/>
      <c r="K932" s="91"/>
      <c r="L932" s="89"/>
      <c r="M932" s="26"/>
      <c r="N932" s="26"/>
      <c r="O932" s="26"/>
      <c r="P932" s="26"/>
    </row>
    <row r="933">
      <c r="A933" s="90"/>
      <c r="B933" s="82"/>
      <c r="C933" s="83"/>
      <c r="D933" s="82"/>
      <c r="E933" s="84"/>
      <c r="F933" s="85"/>
      <c r="G933" s="86"/>
      <c r="H933" s="84"/>
      <c r="I933" s="86"/>
      <c r="J933" s="87"/>
      <c r="K933" s="91"/>
      <c r="L933" s="89"/>
      <c r="M933" s="26"/>
      <c r="N933" s="26"/>
      <c r="O933" s="26"/>
      <c r="P933" s="26"/>
    </row>
    <row r="934">
      <c r="A934" s="90"/>
      <c r="B934" s="82"/>
      <c r="C934" s="83"/>
      <c r="D934" s="82"/>
      <c r="E934" s="84"/>
      <c r="F934" s="85"/>
      <c r="G934" s="86"/>
      <c r="H934" s="84"/>
      <c r="I934" s="86"/>
      <c r="J934" s="87"/>
      <c r="K934" s="91"/>
      <c r="L934" s="89"/>
      <c r="M934" s="26"/>
      <c r="N934" s="26"/>
      <c r="O934" s="26"/>
      <c r="P934" s="26"/>
    </row>
    <row r="935">
      <c r="A935" s="90"/>
      <c r="B935" s="82"/>
      <c r="C935" s="83"/>
      <c r="D935" s="82"/>
      <c r="E935" s="84"/>
      <c r="F935" s="85"/>
      <c r="G935" s="86"/>
      <c r="H935" s="84"/>
      <c r="I935" s="86"/>
      <c r="J935" s="87"/>
      <c r="K935" s="91"/>
      <c r="L935" s="89"/>
      <c r="M935" s="26"/>
      <c r="N935" s="26"/>
      <c r="O935" s="26"/>
      <c r="P935" s="26"/>
    </row>
    <row r="936">
      <c r="A936" s="90"/>
      <c r="B936" s="82"/>
      <c r="C936" s="83"/>
      <c r="D936" s="82"/>
      <c r="E936" s="84"/>
      <c r="F936" s="85"/>
      <c r="G936" s="86"/>
      <c r="H936" s="84"/>
      <c r="I936" s="86"/>
      <c r="J936" s="87"/>
      <c r="K936" s="91"/>
      <c r="L936" s="89"/>
      <c r="M936" s="26"/>
      <c r="N936" s="26"/>
      <c r="O936" s="26"/>
      <c r="P936" s="26"/>
    </row>
    <row r="937">
      <c r="A937" s="90"/>
      <c r="B937" s="82"/>
      <c r="C937" s="83"/>
      <c r="D937" s="82"/>
      <c r="E937" s="84"/>
      <c r="F937" s="85"/>
      <c r="G937" s="86"/>
      <c r="H937" s="84"/>
      <c r="I937" s="86"/>
      <c r="J937" s="87"/>
      <c r="K937" s="91"/>
      <c r="L937" s="89"/>
      <c r="M937" s="26"/>
      <c r="N937" s="26"/>
      <c r="O937" s="26"/>
      <c r="P937" s="26"/>
    </row>
    <row r="938">
      <c r="A938" s="90"/>
      <c r="B938" s="82"/>
      <c r="C938" s="83"/>
      <c r="D938" s="82"/>
      <c r="E938" s="84"/>
      <c r="F938" s="85"/>
      <c r="G938" s="86"/>
      <c r="H938" s="84"/>
      <c r="I938" s="86"/>
      <c r="J938" s="87"/>
      <c r="K938" s="91"/>
      <c r="L938" s="89"/>
      <c r="M938" s="26"/>
      <c r="N938" s="26"/>
      <c r="O938" s="26"/>
      <c r="P938" s="26"/>
    </row>
    <row r="939">
      <c r="A939" s="90"/>
      <c r="B939" s="82"/>
      <c r="C939" s="83"/>
      <c r="D939" s="82"/>
      <c r="E939" s="84"/>
      <c r="F939" s="85"/>
      <c r="G939" s="86"/>
      <c r="H939" s="84"/>
      <c r="I939" s="86"/>
      <c r="J939" s="87"/>
      <c r="K939" s="91"/>
      <c r="L939" s="89"/>
      <c r="M939" s="26"/>
      <c r="N939" s="26"/>
      <c r="O939" s="26"/>
      <c r="P939" s="26"/>
    </row>
    <row r="940">
      <c r="A940" s="90"/>
      <c r="B940" s="82"/>
      <c r="C940" s="83"/>
      <c r="D940" s="82"/>
      <c r="E940" s="84"/>
      <c r="F940" s="85"/>
      <c r="G940" s="86"/>
      <c r="H940" s="84"/>
      <c r="I940" s="86"/>
      <c r="J940" s="87"/>
      <c r="K940" s="91"/>
      <c r="L940" s="89"/>
      <c r="M940" s="26"/>
      <c r="N940" s="26"/>
      <c r="O940" s="26"/>
      <c r="P940" s="26"/>
    </row>
    <row r="941">
      <c r="A941" s="90"/>
      <c r="B941" s="82"/>
      <c r="C941" s="83"/>
      <c r="D941" s="82"/>
      <c r="E941" s="84"/>
      <c r="F941" s="85"/>
      <c r="G941" s="86"/>
      <c r="H941" s="84"/>
      <c r="I941" s="86"/>
      <c r="J941" s="87"/>
      <c r="K941" s="91"/>
      <c r="L941" s="89"/>
      <c r="M941" s="26"/>
      <c r="N941" s="26"/>
      <c r="O941" s="26"/>
      <c r="P941" s="26"/>
    </row>
    <row r="942">
      <c r="A942" s="90"/>
      <c r="B942" s="82"/>
      <c r="C942" s="83"/>
      <c r="D942" s="82"/>
      <c r="E942" s="84"/>
      <c r="F942" s="85"/>
      <c r="G942" s="86"/>
      <c r="H942" s="84"/>
      <c r="I942" s="86"/>
      <c r="J942" s="87"/>
      <c r="K942" s="91"/>
      <c r="L942" s="89"/>
      <c r="M942" s="26"/>
      <c r="N942" s="26"/>
      <c r="O942" s="26"/>
      <c r="P942" s="26"/>
    </row>
    <row r="943">
      <c r="A943" s="90"/>
      <c r="B943" s="82"/>
      <c r="C943" s="83"/>
      <c r="D943" s="82"/>
      <c r="E943" s="84"/>
      <c r="F943" s="85"/>
      <c r="G943" s="86"/>
      <c r="H943" s="84"/>
      <c r="I943" s="86"/>
      <c r="J943" s="87"/>
      <c r="K943" s="91"/>
      <c r="L943" s="89"/>
      <c r="M943" s="26"/>
      <c r="N943" s="26"/>
      <c r="O943" s="26"/>
      <c r="P943" s="26"/>
    </row>
    <row r="944">
      <c r="A944" s="90"/>
      <c r="B944" s="82"/>
      <c r="C944" s="83"/>
      <c r="D944" s="82"/>
      <c r="E944" s="84"/>
      <c r="F944" s="85"/>
      <c r="G944" s="86"/>
      <c r="H944" s="84"/>
      <c r="I944" s="86"/>
      <c r="J944" s="87"/>
      <c r="K944" s="91"/>
      <c r="L944" s="89"/>
      <c r="M944" s="26"/>
      <c r="N944" s="26"/>
      <c r="O944" s="26"/>
      <c r="P944" s="26"/>
    </row>
    <row r="945">
      <c r="A945" s="90"/>
      <c r="B945" s="82"/>
      <c r="C945" s="83"/>
      <c r="D945" s="82"/>
      <c r="E945" s="84"/>
      <c r="F945" s="85"/>
      <c r="G945" s="86"/>
      <c r="H945" s="84"/>
      <c r="I945" s="86"/>
      <c r="J945" s="87"/>
      <c r="K945" s="91"/>
      <c r="L945" s="89"/>
      <c r="M945" s="26"/>
      <c r="N945" s="26"/>
      <c r="O945" s="26"/>
      <c r="P945" s="26"/>
    </row>
    <row r="946">
      <c r="A946" s="90"/>
      <c r="B946" s="82"/>
      <c r="C946" s="83"/>
      <c r="D946" s="82"/>
      <c r="E946" s="84"/>
      <c r="F946" s="85"/>
      <c r="G946" s="86"/>
      <c r="H946" s="84"/>
      <c r="I946" s="86"/>
      <c r="J946" s="87"/>
      <c r="K946" s="91"/>
      <c r="L946" s="89"/>
      <c r="M946" s="26"/>
      <c r="N946" s="26"/>
      <c r="O946" s="26"/>
      <c r="P946" s="26"/>
    </row>
    <row r="947">
      <c r="A947" s="90"/>
      <c r="B947" s="82"/>
      <c r="C947" s="83"/>
      <c r="D947" s="82"/>
      <c r="E947" s="84"/>
      <c r="F947" s="85"/>
      <c r="G947" s="86"/>
      <c r="H947" s="84"/>
      <c r="I947" s="86"/>
      <c r="J947" s="87"/>
      <c r="K947" s="91"/>
      <c r="L947" s="89"/>
      <c r="M947" s="26"/>
      <c r="N947" s="26"/>
      <c r="O947" s="26"/>
      <c r="P947" s="26"/>
    </row>
    <row r="948">
      <c r="A948" s="90"/>
      <c r="B948" s="82"/>
      <c r="C948" s="83"/>
      <c r="D948" s="82"/>
      <c r="E948" s="84"/>
      <c r="F948" s="85"/>
      <c r="G948" s="86"/>
      <c r="H948" s="84"/>
      <c r="I948" s="86"/>
      <c r="J948" s="87"/>
      <c r="K948" s="91"/>
      <c r="L948" s="89"/>
      <c r="M948" s="26"/>
      <c r="N948" s="26"/>
      <c r="O948" s="26"/>
      <c r="P948" s="26"/>
    </row>
    <row r="949">
      <c r="A949" s="90"/>
      <c r="B949" s="82"/>
      <c r="C949" s="83"/>
      <c r="D949" s="82"/>
      <c r="E949" s="84"/>
      <c r="F949" s="85"/>
      <c r="G949" s="86"/>
      <c r="H949" s="84"/>
      <c r="I949" s="86"/>
      <c r="J949" s="87"/>
      <c r="K949" s="91"/>
      <c r="L949" s="89"/>
      <c r="M949" s="26"/>
      <c r="N949" s="26"/>
      <c r="O949" s="26"/>
      <c r="P949" s="26"/>
    </row>
    <row r="950">
      <c r="A950" s="90"/>
      <c r="B950" s="82"/>
      <c r="C950" s="83"/>
      <c r="D950" s="82"/>
      <c r="E950" s="84"/>
      <c r="F950" s="85"/>
      <c r="G950" s="86"/>
      <c r="H950" s="84"/>
      <c r="I950" s="86"/>
      <c r="J950" s="87"/>
      <c r="K950" s="91"/>
      <c r="L950" s="89"/>
      <c r="M950" s="26"/>
      <c r="N950" s="26"/>
      <c r="O950" s="26"/>
      <c r="P950" s="26"/>
    </row>
    <row r="951">
      <c r="A951" s="90"/>
      <c r="B951" s="82"/>
      <c r="C951" s="83"/>
      <c r="D951" s="82"/>
      <c r="E951" s="84"/>
      <c r="F951" s="85"/>
      <c r="G951" s="86"/>
      <c r="H951" s="84"/>
      <c r="I951" s="86"/>
      <c r="J951" s="87"/>
      <c r="K951" s="91"/>
      <c r="L951" s="89"/>
      <c r="M951" s="26"/>
      <c r="N951" s="26"/>
      <c r="O951" s="26"/>
      <c r="P951" s="26"/>
    </row>
    <row r="952">
      <c r="A952" s="90"/>
      <c r="B952" s="82"/>
      <c r="C952" s="83"/>
      <c r="D952" s="82"/>
      <c r="E952" s="84"/>
      <c r="F952" s="85"/>
      <c r="G952" s="86"/>
      <c r="H952" s="84"/>
      <c r="I952" s="86"/>
      <c r="J952" s="87"/>
      <c r="K952" s="91"/>
      <c r="L952" s="89"/>
      <c r="M952" s="26"/>
      <c r="N952" s="26"/>
      <c r="O952" s="26"/>
      <c r="P952" s="26"/>
    </row>
    <row r="953">
      <c r="A953" s="90"/>
      <c r="B953" s="82"/>
      <c r="C953" s="83"/>
      <c r="D953" s="82"/>
      <c r="E953" s="84"/>
      <c r="F953" s="85"/>
      <c r="G953" s="86"/>
      <c r="H953" s="84"/>
      <c r="I953" s="86"/>
      <c r="J953" s="87"/>
      <c r="K953" s="91"/>
      <c r="L953" s="89"/>
      <c r="M953" s="26"/>
      <c r="N953" s="26"/>
      <c r="O953" s="26"/>
      <c r="P953" s="26"/>
    </row>
    <row r="954">
      <c r="A954" s="90"/>
      <c r="B954" s="82"/>
      <c r="C954" s="83"/>
      <c r="D954" s="82"/>
      <c r="E954" s="84"/>
      <c r="F954" s="85"/>
      <c r="G954" s="86"/>
      <c r="H954" s="84"/>
      <c r="I954" s="86"/>
      <c r="J954" s="87"/>
      <c r="K954" s="91"/>
      <c r="L954" s="89"/>
      <c r="M954" s="26"/>
      <c r="N954" s="26"/>
      <c r="O954" s="26"/>
      <c r="P954" s="26"/>
    </row>
    <row r="955">
      <c r="A955" s="90"/>
      <c r="B955" s="82"/>
      <c r="C955" s="83"/>
      <c r="D955" s="82"/>
      <c r="E955" s="84"/>
      <c r="F955" s="85"/>
      <c r="G955" s="86"/>
      <c r="H955" s="84"/>
      <c r="I955" s="86"/>
      <c r="J955" s="87"/>
      <c r="K955" s="91"/>
      <c r="L955" s="89"/>
      <c r="M955" s="26"/>
      <c r="N955" s="26"/>
      <c r="O955" s="26"/>
      <c r="P955" s="26"/>
    </row>
    <row r="956">
      <c r="A956" s="90"/>
      <c r="B956" s="82"/>
      <c r="C956" s="83"/>
      <c r="D956" s="82"/>
      <c r="E956" s="84"/>
      <c r="F956" s="85"/>
      <c r="G956" s="86"/>
      <c r="H956" s="84"/>
      <c r="I956" s="86"/>
      <c r="J956" s="87"/>
      <c r="K956" s="91"/>
      <c r="L956" s="89"/>
      <c r="M956" s="26"/>
      <c r="N956" s="26"/>
      <c r="O956" s="26"/>
      <c r="P956" s="26"/>
    </row>
    <row r="957">
      <c r="A957" s="90"/>
      <c r="B957" s="82"/>
      <c r="C957" s="83"/>
      <c r="D957" s="82"/>
      <c r="E957" s="84"/>
      <c r="F957" s="85"/>
      <c r="G957" s="86"/>
      <c r="H957" s="84"/>
      <c r="I957" s="86"/>
      <c r="J957" s="87"/>
      <c r="K957" s="91"/>
      <c r="L957" s="89"/>
      <c r="M957" s="26"/>
      <c r="N957" s="26"/>
      <c r="O957" s="26"/>
      <c r="P957" s="26"/>
    </row>
    <row r="958">
      <c r="A958" s="90"/>
      <c r="B958" s="82"/>
      <c r="C958" s="83"/>
      <c r="D958" s="82"/>
      <c r="E958" s="84"/>
      <c r="F958" s="85"/>
      <c r="G958" s="86"/>
      <c r="H958" s="84"/>
      <c r="I958" s="86"/>
      <c r="J958" s="87"/>
      <c r="K958" s="91"/>
      <c r="L958" s="89"/>
      <c r="M958" s="26"/>
      <c r="N958" s="26"/>
      <c r="O958" s="26"/>
      <c r="P958" s="26"/>
    </row>
    <row r="959">
      <c r="A959" s="90"/>
      <c r="B959" s="82"/>
      <c r="C959" s="83"/>
      <c r="D959" s="82"/>
      <c r="E959" s="84"/>
      <c r="F959" s="85"/>
      <c r="G959" s="86"/>
      <c r="H959" s="84"/>
      <c r="I959" s="86"/>
      <c r="J959" s="87"/>
      <c r="K959" s="91"/>
      <c r="L959" s="89"/>
      <c r="M959" s="26"/>
      <c r="N959" s="26"/>
      <c r="O959" s="26"/>
      <c r="P959" s="26"/>
    </row>
    <row r="960">
      <c r="A960" s="90"/>
      <c r="B960" s="82"/>
      <c r="C960" s="83"/>
      <c r="D960" s="82"/>
      <c r="E960" s="84"/>
      <c r="F960" s="85"/>
      <c r="G960" s="86"/>
      <c r="H960" s="84"/>
      <c r="I960" s="86"/>
      <c r="J960" s="87"/>
      <c r="K960" s="91"/>
      <c r="L960" s="89"/>
      <c r="M960" s="26"/>
      <c r="N960" s="26"/>
      <c r="O960" s="26"/>
      <c r="P960" s="26"/>
    </row>
    <row r="961">
      <c r="A961" s="90"/>
      <c r="B961" s="82"/>
      <c r="C961" s="83"/>
      <c r="D961" s="82"/>
      <c r="E961" s="84"/>
      <c r="F961" s="85"/>
      <c r="G961" s="86"/>
      <c r="H961" s="84"/>
      <c r="I961" s="86"/>
      <c r="J961" s="87"/>
      <c r="K961" s="91"/>
      <c r="L961" s="89"/>
      <c r="M961" s="26"/>
      <c r="N961" s="26"/>
      <c r="O961" s="26"/>
      <c r="P961" s="26"/>
    </row>
    <row r="962">
      <c r="A962" s="90"/>
      <c r="B962" s="82"/>
      <c r="C962" s="83"/>
      <c r="D962" s="82"/>
      <c r="E962" s="84"/>
      <c r="F962" s="85"/>
      <c r="G962" s="86"/>
      <c r="H962" s="84"/>
      <c r="I962" s="86"/>
      <c r="J962" s="87"/>
      <c r="K962" s="91"/>
      <c r="L962" s="89"/>
      <c r="M962" s="26"/>
      <c r="N962" s="26"/>
      <c r="O962" s="26"/>
      <c r="P962" s="26"/>
    </row>
    <row r="963">
      <c r="A963" s="90"/>
      <c r="B963" s="82"/>
      <c r="C963" s="83"/>
      <c r="D963" s="82"/>
      <c r="E963" s="84"/>
      <c r="F963" s="85"/>
      <c r="G963" s="86"/>
      <c r="H963" s="84"/>
      <c r="I963" s="86"/>
      <c r="J963" s="87"/>
      <c r="K963" s="91"/>
      <c r="L963" s="89"/>
      <c r="M963" s="26"/>
      <c r="N963" s="26"/>
      <c r="O963" s="26"/>
      <c r="P963" s="26"/>
    </row>
    <row r="964">
      <c r="A964" s="90"/>
      <c r="B964" s="82"/>
      <c r="C964" s="83"/>
      <c r="D964" s="82"/>
      <c r="E964" s="84"/>
      <c r="F964" s="85"/>
      <c r="G964" s="86"/>
      <c r="H964" s="84"/>
      <c r="I964" s="86"/>
      <c r="J964" s="87"/>
      <c r="K964" s="91"/>
      <c r="L964" s="89"/>
      <c r="M964" s="26"/>
      <c r="N964" s="26"/>
      <c r="O964" s="26"/>
      <c r="P964" s="26"/>
    </row>
    <row r="965">
      <c r="A965" s="90"/>
      <c r="B965" s="82"/>
      <c r="C965" s="83"/>
      <c r="D965" s="82"/>
      <c r="E965" s="84"/>
      <c r="F965" s="85"/>
      <c r="G965" s="86"/>
      <c r="H965" s="84"/>
      <c r="I965" s="86"/>
      <c r="J965" s="87"/>
      <c r="K965" s="91"/>
      <c r="L965" s="89"/>
      <c r="M965" s="26"/>
      <c r="N965" s="26"/>
      <c r="O965" s="26"/>
      <c r="P965" s="26"/>
    </row>
    <row r="966">
      <c r="A966" s="90"/>
      <c r="B966" s="82"/>
      <c r="C966" s="83"/>
      <c r="D966" s="82"/>
      <c r="E966" s="84"/>
      <c r="F966" s="85"/>
      <c r="G966" s="86"/>
      <c r="H966" s="84"/>
      <c r="I966" s="86"/>
      <c r="J966" s="87"/>
      <c r="K966" s="91"/>
      <c r="L966" s="89"/>
      <c r="M966" s="26"/>
      <c r="N966" s="26"/>
      <c r="O966" s="26"/>
      <c r="P966" s="26"/>
    </row>
    <row r="967">
      <c r="A967" s="90"/>
      <c r="B967" s="82"/>
      <c r="C967" s="83"/>
      <c r="D967" s="82"/>
      <c r="E967" s="84"/>
      <c r="F967" s="85"/>
      <c r="G967" s="86"/>
      <c r="H967" s="84"/>
      <c r="I967" s="86"/>
      <c r="J967" s="87"/>
      <c r="K967" s="91"/>
      <c r="L967" s="89"/>
      <c r="M967" s="26"/>
      <c r="N967" s="26"/>
      <c r="O967" s="26"/>
      <c r="P967" s="26"/>
    </row>
    <row r="968">
      <c r="A968" s="90"/>
      <c r="B968" s="82"/>
      <c r="C968" s="83"/>
      <c r="D968" s="82"/>
      <c r="E968" s="84"/>
      <c r="F968" s="85"/>
      <c r="G968" s="86"/>
      <c r="H968" s="84"/>
      <c r="I968" s="86"/>
      <c r="J968" s="87"/>
      <c r="K968" s="91"/>
      <c r="L968" s="89"/>
      <c r="M968" s="26"/>
      <c r="N968" s="26"/>
      <c r="O968" s="26"/>
      <c r="P968" s="26"/>
    </row>
    <row r="969">
      <c r="A969" s="90"/>
      <c r="B969" s="82"/>
      <c r="C969" s="83"/>
      <c r="D969" s="82"/>
      <c r="E969" s="84"/>
      <c r="F969" s="85"/>
      <c r="G969" s="86"/>
      <c r="H969" s="84"/>
      <c r="I969" s="86"/>
      <c r="J969" s="87"/>
      <c r="K969" s="91"/>
      <c r="L969" s="89"/>
      <c r="M969" s="26"/>
      <c r="N969" s="26"/>
      <c r="O969" s="26"/>
      <c r="P969" s="26"/>
    </row>
    <row r="970">
      <c r="A970" s="90"/>
      <c r="B970" s="82"/>
      <c r="C970" s="83"/>
      <c r="D970" s="82"/>
      <c r="E970" s="84"/>
      <c r="F970" s="85"/>
      <c r="G970" s="86"/>
      <c r="H970" s="84"/>
      <c r="I970" s="86"/>
      <c r="J970" s="87"/>
      <c r="K970" s="91"/>
      <c r="L970" s="89"/>
      <c r="M970" s="26"/>
      <c r="N970" s="26"/>
      <c r="O970" s="26"/>
      <c r="P970" s="26"/>
    </row>
    <row r="971">
      <c r="A971" s="90"/>
      <c r="B971" s="82"/>
      <c r="C971" s="83"/>
      <c r="D971" s="82"/>
      <c r="E971" s="84"/>
      <c r="F971" s="85"/>
      <c r="G971" s="86"/>
      <c r="H971" s="84"/>
      <c r="I971" s="86"/>
      <c r="J971" s="87"/>
      <c r="K971" s="91"/>
      <c r="L971" s="89"/>
      <c r="M971" s="26"/>
      <c r="N971" s="26"/>
      <c r="O971" s="26"/>
      <c r="P971" s="26"/>
    </row>
    <row r="972">
      <c r="A972" s="90"/>
      <c r="B972" s="82"/>
      <c r="C972" s="83"/>
      <c r="D972" s="82"/>
      <c r="E972" s="84"/>
      <c r="F972" s="85"/>
      <c r="G972" s="86"/>
      <c r="H972" s="84"/>
      <c r="I972" s="86"/>
      <c r="J972" s="87"/>
      <c r="K972" s="91"/>
      <c r="L972" s="89"/>
      <c r="M972" s="26"/>
      <c r="N972" s="26"/>
      <c r="O972" s="26"/>
      <c r="P972" s="26"/>
    </row>
    <row r="973">
      <c r="A973" s="90"/>
      <c r="B973" s="82"/>
      <c r="C973" s="83"/>
      <c r="D973" s="82"/>
      <c r="E973" s="84"/>
      <c r="F973" s="85"/>
      <c r="G973" s="86"/>
      <c r="H973" s="84"/>
      <c r="I973" s="86"/>
      <c r="J973" s="87"/>
      <c r="K973" s="91"/>
      <c r="L973" s="89"/>
      <c r="M973" s="26"/>
      <c r="N973" s="26"/>
      <c r="O973" s="26"/>
      <c r="P973" s="26"/>
    </row>
    <row r="974">
      <c r="A974" s="90"/>
      <c r="B974" s="82"/>
      <c r="C974" s="83"/>
      <c r="D974" s="82"/>
      <c r="E974" s="84"/>
      <c r="F974" s="85"/>
      <c r="G974" s="86"/>
      <c r="H974" s="84"/>
      <c r="I974" s="86"/>
      <c r="J974" s="87"/>
      <c r="K974" s="91"/>
      <c r="L974" s="89"/>
      <c r="M974" s="26"/>
      <c r="N974" s="26"/>
      <c r="O974" s="26"/>
      <c r="P974" s="26"/>
    </row>
    <row r="975">
      <c r="A975" s="90"/>
      <c r="B975" s="82"/>
      <c r="C975" s="83"/>
      <c r="D975" s="82"/>
      <c r="E975" s="84"/>
      <c r="F975" s="85"/>
      <c r="G975" s="86"/>
      <c r="H975" s="84"/>
      <c r="I975" s="86"/>
      <c r="J975" s="87"/>
      <c r="K975" s="91"/>
      <c r="L975" s="89"/>
      <c r="M975" s="26"/>
      <c r="N975" s="26"/>
      <c r="O975" s="26"/>
      <c r="P975" s="26"/>
    </row>
    <row r="976">
      <c r="A976" s="90"/>
      <c r="B976" s="82"/>
      <c r="C976" s="83"/>
      <c r="D976" s="82"/>
      <c r="E976" s="84"/>
      <c r="F976" s="85"/>
      <c r="G976" s="86"/>
      <c r="H976" s="84"/>
      <c r="I976" s="86"/>
      <c r="J976" s="87"/>
      <c r="K976" s="91"/>
      <c r="L976" s="89"/>
      <c r="M976" s="26"/>
      <c r="N976" s="26"/>
      <c r="O976" s="26"/>
      <c r="P976" s="26"/>
    </row>
    <row r="977">
      <c r="A977" s="90"/>
      <c r="B977" s="82"/>
      <c r="C977" s="83"/>
      <c r="D977" s="82"/>
      <c r="E977" s="84"/>
      <c r="F977" s="85"/>
      <c r="G977" s="86"/>
      <c r="H977" s="84"/>
      <c r="I977" s="86"/>
      <c r="J977" s="87"/>
      <c r="K977" s="91"/>
      <c r="L977" s="89"/>
      <c r="M977" s="26"/>
      <c r="N977" s="26"/>
      <c r="O977" s="26"/>
      <c r="P977" s="26"/>
    </row>
    <row r="978">
      <c r="A978" s="90"/>
      <c r="B978" s="82"/>
      <c r="C978" s="83"/>
      <c r="D978" s="82"/>
      <c r="E978" s="84"/>
      <c r="F978" s="85"/>
      <c r="G978" s="86"/>
      <c r="H978" s="84"/>
      <c r="I978" s="86"/>
      <c r="J978" s="87"/>
      <c r="K978" s="91"/>
      <c r="L978" s="89"/>
      <c r="M978" s="26"/>
      <c r="N978" s="26"/>
      <c r="O978" s="26"/>
      <c r="P978" s="26"/>
    </row>
    <row r="979">
      <c r="A979" s="90"/>
      <c r="B979" s="82"/>
      <c r="C979" s="83"/>
      <c r="D979" s="82"/>
      <c r="E979" s="84"/>
      <c r="F979" s="85"/>
      <c r="G979" s="86"/>
      <c r="H979" s="84"/>
      <c r="I979" s="86"/>
      <c r="J979" s="87"/>
      <c r="K979" s="91"/>
      <c r="L979" s="89"/>
      <c r="M979" s="26"/>
      <c r="N979" s="26"/>
      <c r="O979" s="26"/>
      <c r="P979" s="26"/>
    </row>
    <row r="980">
      <c r="A980" s="90"/>
      <c r="B980" s="82"/>
      <c r="C980" s="83"/>
      <c r="D980" s="82"/>
      <c r="E980" s="84"/>
      <c r="F980" s="85"/>
      <c r="G980" s="86"/>
      <c r="H980" s="84"/>
      <c r="I980" s="86"/>
      <c r="J980" s="87"/>
      <c r="K980" s="91"/>
      <c r="L980" s="89"/>
      <c r="M980" s="26"/>
      <c r="N980" s="26"/>
      <c r="O980" s="26"/>
      <c r="P980" s="26"/>
    </row>
    <row r="981">
      <c r="A981" s="90"/>
      <c r="B981" s="82"/>
      <c r="C981" s="83"/>
      <c r="D981" s="82"/>
      <c r="E981" s="84"/>
      <c r="F981" s="85"/>
      <c r="G981" s="86"/>
      <c r="H981" s="84"/>
      <c r="I981" s="86"/>
      <c r="J981" s="87"/>
      <c r="K981" s="91"/>
      <c r="L981" s="89"/>
      <c r="M981" s="26"/>
      <c r="N981" s="26"/>
      <c r="O981" s="26"/>
      <c r="P981" s="26"/>
    </row>
    <row r="982">
      <c r="A982" s="90"/>
      <c r="B982" s="82"/>
      <c r="C982" s="83"/>
      <c r="D982" s="82"/>
      <c r="E982" s="84"/>
      <c r="F982" s="85"/>
      <c r="G982" s="86"/>
      <c r="H982" s="84"/>
      <c r="I982" s="86"/>
      <c r="J982" s="87"/>
      <c r="K982" s="91"/>
      <c r="L982" s="89"/>
      <c r="M982" s="26"/>
      <c r="N982" s="26"/>
      <c r="O982" s="26"/>
      <c r="P982" s="26"/>
    </row>
    <row r="983">
      <c r="A983" s="90"/>
      <c r="B983" s="82"/>
      <c r="C983" s="83"/>
      <c r="D983" s="82"/>
      <c r="E983" s="84"/>
      <c r="F983" s="85"/>
      <c r="G983" s="86"/>
      <c r="H983" s="84"/>
      <c r="I983" s="86"/>
      <c r="J983" s="87"/>
      <c r="K983" s="91"/>
      <c r="L983" s="89"/>
      <c r="M983" s="26"/>
      <c r="N983" s="26"/>
      <c r="O983" s="26"/>
      <c r="P983" s="26"/>
    </row>
    <row r="984">
      <c r="A984" s="90"/>
      <c r="B984" s="82"/>
      <c r="C984" s="83"/>
      <c r="D984" s="82"/>
      <c r="E984" s="84"/>
      <c r="F984" s="85"/>
      <c r="G984" s="86"/>
      <c r="H984" s="84"/>
      <c r="I984" s="86"/>
      <c r="J984" s="87"/>
      <c r="K984" s="91"/>
      <c r="L984" s="89"/>
      <c r="M984" s="26"/>
      <c r="N984" s="26"/>
      <c r="O984" s="26"/>
      <c r="P984" s="26"/>
    </row>
    <row r="985">
      <c r="A985" s="90"/>
      <c r="B985" s="82"/>
      <c r="C985" s="83"/>
      <c r="D985" s="82"/>
      <c r="E985" s="84"/>
      <c r="F985" s="85"/>
      <c r="G985" s="86"/>
      <c r="H985" s="84"/>
      <c r="I985" s="86"/>
      <c r="J985" s="87"/>
      <c r="K985" s="91"/>
      <c r="L985" s="89"/>
      <c r="M985" s="26"/>
      <c r="N985" s="26"/>
      <c r="O985" s="26"/>
      <c r="P985" s="26"/>
    </row>
    <row r="986">
      <c r="A986" s="90"/>
      <c r="B986" s="82"/>
      <c r="C986" s="83"/>
      <c r="D986" s="82"/>
      <c r="E986" s="84"/>
      <c r="F986" s="85"/>
      <c r="G986" s="86"/>
      <c r="H986" s="84"/>
      <c r="I986" s="86"/>
      <c r="J986" s="87"/>
      <c r="K986" s="91"/>
      <c r="L986" s="89"/>
      <c r="M986" s="26"/>
      <c r="N986" s="26"/>
      <c r="O986" s="26"/>
      <c r="P986" s="26"/>
    </row>
    <row r="987">
      <c r="A987" s="90"/>
      <c r="B987" s="82"/>
      <c r="C987" s="83"/>
      <c r="D987" s="82"/>
      <c r="E987" s="84"/>
      <c r="F987" s="85"/>
      <c r="G987" s="86"/>
      <c r="H987" s="84"/>
      <c r="I987" s="86"/>
      <c r="J987" s="87"/>
      <c r="K987" s="91"/>
      <c r="L987" s="89"/>
      <c r="M987" s="26"/>
      <c r="N987" s="26"/>
      <c r="O987" s="26"/>
      <c r="P987" s="26"/>
    </row>
    <row r="988">
      <c r="A988" s="90"/>
      <c r="B988" s="82"/>
      <c r="C988" s="83"/>
      <c r="D988" s="82"/>
      <c r="E988" s="84"/>
      <c r="F988" s="85"/>
      <c r="G988" s="86"/>
      <c r="H988" s="84"/>
      <c r="I988" s="86"/>
      <c r="J988" s="87"/>
      <c r="K988" s="91"/>
      <c r="L988" s="89"/>
      <c r="M988" s="26"/>
      <c r="N988" s="26"/>
      <c r="O988" s="26"/>
      <c r="P988" s="26"/>
    </row>
    <row r="989">
      <c r="A989" s="90"/>
      <c r="B989" s="82"/>
      <c r="C989" s="83"/>
      <c r="D989" s="82"/>
      <c r="E989" s="84"/>
      <c r="F989" s="85"/>
      <c r="G989" s="86"/>
      <c r="H989" s="84"/>
      <c r="I989" s="86"/>
      <c r="J989" s="87"/>
      <c r="K989" s="91"/>
      <c r="L989" s="89"/>
      <c r="M989" s="26"/>
      <c r="N989" s="26"/>
      <c r="O989" s="26"/>
      <c r="P989" s="26"/>
    </row>
    <row r="990">
      <c r="A990" s="90"/>
      <c r="B990" s="82"/>
      <c r="C990" s="83"/>
      <c r="D990" s="82"/>
      <c r="E990" s="84"/>
      <c r="F990" s="85"/>
      <c r="G990" s="86"/>
      <c r="H990" s="84"/>
      <c r="I990" s="86"/>
      <c r="J990" s="87"/>
      <c r="K990" s="91"/>
      <c r="L990" s="89"/>
      <c r="M990" s="26"/>
      <c r="N990" s="26"/>
      <c r="O990" s="26"/>
      <c r="P990" s="26"/>
    </row>
    <row r="991">
      <c r="A991" s="90"/>
      <c r="B991" s="82"/>
      <c r="C991" s="83"/>
      <c r="D991" s="82"/>
      <c r="E991" s="84"/>
      <c r="F991" s="85"/>
      <c r="G991" s="86"/>
      <c r="H991" s="84"/>
      <c r="I991" s="86"/>
      <c r="J991" s="87"/>
      <c r="K991" s="91"/>
      <c r="L991" s="89"/>
      <c r="M991" s="26"/>
      <c r="N991" s="26"/>
      <c r="O991" s="26"/>
      <c r="P991" s="26"/>
    </row>
    <row r="992">
      <c r="A992" s="90"/>
      <c r="B992" s="82"/>
      <c r="C992" s="83"/>
      <c r="D992" s="82"/>
      <c r="E992" s="84"/>
      <c r="F992" s="85"/>
      <c r="G992" s="86"/>
      <c r="H992" s="84"/>
      <c r="I992" s="86"/>
      <c r="J992" s="87"/>
      <c r="K992" s="91"/>
      <c r="L992" s="89"/>
      <c r="M992" s="26"/>
      <c r="N992" s="26"/>
      <c r="O992" s="26"/>
      <c r="P992" s="26"/>
    </row>
    <row r="993">
      <c r="A993" s="90"/>
      <c r="B993" s="82"/>
      <c r="C993" s="83"/>
      <c r="D993" s="82"/>
      <c r="E993" s="84"/>
      <c r="F993" s="85"/>
      <c r="G993" s="86"/>
      <c r="H993" s="84"/>
      <c r="I993" s="86"/>
      <c r="J993" s="87"/>
      <c r="K993" s="91"/>
      <c r="L993" s="89"/>
      <c r="M993" s="26"/>
      <c r="N993" s="26"/>
      <c r="O993" s="26"/>
      <c r="P993" s="26"/>
    </row>
    <row r="994">
      <c r="A994" s="90"/>
      <c r="B994" s="82"/>
      <c r="C994" s="83"/>
      <c r="D994" s="82"/>
      <c r="E994" s="84"/>
      <c r="F994" s="85"/>
      <c r="G994" s="86"/>
      <c r="H994" s="84"/>
      <c r="I994" s="86"/>
      <c r="J994" s="87"/>
      <c r="K994" s="91"/>
      <c r="L994" s="89"/>
      <c r="M994" s="26"/>
      <c r="N994" s="26"/>
      <c r="O994" s="26"/>
      <c r="P994" s="26"/>
    </row>
    <row r="995">
      <c r="A995" s="90"/>
      <c r="B995" s="82"/>
      <c r="C995" s="83"/>
      <c r="D995" s="82"/>
      <c r="E995" s="84"/>
      <c r="F995" s="85"/>
      <c r="G995" s="86"/>
      <c r="H995" s="84"/>
      <c r="I995" s="86"/>
      <c r="J995" s="87"/>
      <c r="K995" s="91"/>
      <c r="L995" s="89"/>
      <c r="M995" s="26"/>
      <c r="N995" s="26"/>
      <c r="O995" s="26"/>
      <c r="P995" s="26"/>
    </row>
    <row r="996">
      <c r="A996" s="90"/>
      <c r="B996" s="82"/>
      <c r="C996" s="83"/>
      <c r="D996" s="82"/>
      <c r="E996" s="84"/>
      <c r="F996" s="85"/>
      <c r="G996" s="86"/>
      <c r="H996" s="84"/>
      <c r="I996" s="86"/>
      <c r="J996" s="87"/>
      <c r="K996" s="91"/>
      <c r="L996" s="89"/>
      <c r="M996" s="26"/>
      <c r="N996" s="26"/>
      <c r="O996" s="26"/>
      <c r="P996" s="26"/>
    </row>
    <row r="997">
      <c r="A997" s="90"/>
      <c r="B997" s="82"/>
      <c r="C997" s="83"/>
      <c r="D997" s="82"/>
      <c r="E997" s="84"/>
      <c r="F997" s="85"/>
      <c r="G997" s="86"/>
      <c r="H997" s="84"/>
      <c r="I997" s="86"/>
      <c r="J997" s="87"/>
      <c r="K997" s="91"/>
      <c r="L997" s="89"/>
      <c r="M997" s="26"/>
      <c r="N997" s="26"/>
      <c r="O997" s="26"/>
      <c r="P997" s="26"/>
    </row>
    <row r="998">
      <c r="A998" s="90"/>
      <c r="B998" s="82"/>
      <c r="C998" s="83"/>
      <c r="D998" s="82"/>
      <c r="E998" s="84"/>
      <c r="F998" s="85"/>
      <c r="G998" s="86"/>
      <c r="H998" s="84"/>
      <c r="I998" s="86"/>
      <c r="J998" s="87"/>
      <c r="K998" s="91"/>
      <c r="L998" s="89"/>
      <c r="M998" s="26"/>
      <c r="N998" s="26"/>
      <c r="O998" s="26"/>
      <c r="P998" s="26"/>
    </row>
    <row r="999">
      <c r="A999" s="90"/>
      <c r="B999" s="82"/>
      <c r="C999" s="83"/>
      <c r="D999" s="82"/>
      <c r="E999" s="84"/>
      <c r="F999" s="85"/>
      <c r="G999" s="86"/>
      <c r="H999" s="84"/>
      <c r="I999" s="86"/>
      <c r="J999" s="87"/>
      <c r="K999" s="91"/>
      <c r="L999" s="89"/>
      <c r="M999" s="26"/>
      <c r="N999" s="26"/>
      <c r="O999" s="26"/>
      <c r="P999" s="26"/>
    </row>
    <row r="1000">
      <c r="A1000" s="90"/>
      <c r="B1000" s="82"/>
      <c r="C1000" s="83"/>
      <c r="D1000" s="82"/>
      <c r="E1000" s="84"/>
      <c r="F1000" s="85"/>
      <c r="G1000" s="86"/>
      <c r="H1000" s="84"/>
      <c r="I1000" s="86"/>
      <c r="J1000" s="87"/>
      <c r="K1000" s="91"/>
      <c r="L1000" s="89"/>
      <c r="M1000" s="26"/>
      <c r="N1000" s="26"/>
      <c r="O1000" s="26"/>
      <c r="P1000" s="26"/>
    </row>
    <row r="1001">
      <c r="A1001" s="90"/>
      <c r="B1001" s="82"/>
      <c r="C1001" s="83"/>
      <c r="D1001" s="82"/>
      <c r="E1001" s="84"/>
      <c r="F1001" s="85"/>
      <c r="G1001" s="86"/>
      <c r="H1001" s="84"/>
      <c r="I1001" s="86"/>
      <c r="J1001" s="87"/>
      <c r="K1001" s="91"/>
      <c r="L1001" s="89"/>
      <c r="M1001" s="26"/>
      <c r="N1001" s="26"/>
      <c r="O1001" s="26"/>
      <c r="P1001" s="26"/>
    </row>
    <row r="1002">
      <c r="A1002" s="90"/>
      <c r="B1002" s="82"/>
      <c r="C1002" s="83"/>
      <c r="D1002" s="82"/>
      <c r="E1002" s="84"/>
      <c r="F1002" s="85"/>
      <c r="G1002" s="86"/>
      <c r="H1002" s="84"/>
      <c r="I1002" s="86"/>
      <c r="J1002" s="87"/>
      <c r="K1002" s="91"/>
      <c r="L1002" s="89"/>
      <c r="M1002" s="26"/>
      <c r="N1002" s="26"/>
      <c r="O1002" s="26"/>
      <c r="P1002" s="26"/>
    </row>
    <row r="1003">
      <c r="A1003" s="90"/>
      <c r="B1003" s="82"/>
      <c r="C1003" s="83"/>
      <c r="D1003" s="82"/>
      <c r="E1003" s="84"/>
      <c r="F1003" s="85"/>
      <c r="G1003" s="86"/>
      <c r="H1003" s="84"/>
      <c r="I1003" s="86"/>
      <c r="J1003" s="87"/>
      <c r="K1003" s="91"/>
      <c r="L1003" s="89"/>
      <c r="M1003" s="26"/>
      <c r="N1003" s="26"/>
      <c r="O1003" s="26"/>
      <c r="P1003" s="26"/>
    </row>
    <row r="1004">
      <c r="A1004" s="90"/>
      <c r="B1004" s="82"/>
      <c r="C1004" s="83"/>
      <c r="D1004" s="82"/>
      <c r="E1004" s="84"/>
      <c r="F1004" s="85"/>
      <c r="G1004" s="86"/>
      <c r="H1004" s="84"/>
      <c r="I1004" s="86"/>
      <c r="J1004" s="87"/>
      <c r="K1004" s="91"/>
      <c r="L1004" s="89"/>
      <c r="M1004" s="26"/>
      <c r="N1004" s="26"/>
      <c r="O1004" s="26"/>
      <c r="P1004" s="26"/>
    </row>
    <row r="1005">
      <c r="A1005" s="90"/>
      <c r="B1005" s="82"/>
      <c r="C1005" s="83"/>
      <c r="D1005" s="82"/>
      <c r="E1005" s="84"/>
      <c r="F1005" s="85"/>
      <c r="G1005" s="86"/>
      <c r="H1005" s="84"/>
      <c r="I1005" s="86"/>
      <c r="J1005" s="87"/>
      <c r="K1005" s="91"/>
      <c r="L1005" s="89"/>
      <c r="M1005" s="26"/>
      <c r="N1005" s="26"/>
      <c r="O1005" s="26"/>
      <c r="P1005" s="26"/>
    </row>
    <row r="1006">
      <c r="A1006" s="90"/>
      <c r="B1006" s="82"/>
      <c r="C1006" s="83"/>
      <c r="D1006" s="82"/>
      <c r="E1006" s="84"/>
      <c r="F1006" s="85"/>
      <c r="G1006" s="86"/>
      <c r="H1006" s="84"/>
      <c r="I1006" s="86"/>
      <c r="J1006" s="87"/>
      <c r="K1006" s="91"/>
      <c r="L1006" s="89"/>
      <c r="M1006" s="26"/>
      <c r="N1006" s="26"/>
      <c r="O1006" s="26"/>
      <c r="P1006" s="26"/>
    </row>
    <row r="1007">
      <c r="A1007" s="90"/>
      <c r="B1007" s="82"/>
      <c r="C1007" s="83"/>
      <c r="D1007" s="82"/>
      <c r="E1007" s="84"/>
      <c r="F1007" s="85"/>
      <c r="G1007" s="86"/>
      <c r="H1007" s="84"/>
      <c r="I1007" s="86"/>
      <c r="J1007" s="87"/>
      <c r="K1007" s="91"/>
      <c r="L1007" s="89"/>
      <c r="M1007" s="26"/>
      <c r="N1007" s="26"/>
      <c r="O1007" s="26"/>
      <c r="P1007" s="26"/>
    </row>
    <row r="1008">
      <c r="A1008" s="90"/>
      <c r="B1008" s="82"/>
      <c r="C1008" s="83"/>
      <c r="D1008" s="82"/>
      <c r="E1008" s="84"/>
      <c r="F1008" s="85"/>
      <c r="G1008" s="86"/>
      <c r="H1008" s="84"/>
      <c r="I1008" s="86"/>
      <c r="J1008" s="87"/>
      <c r="K1008" s="91"/>
      <c r="L1008" s="89"/>
      <c r="M1008" s="26"/>
      <c r="N1008" s="26"/>
      <c r="O1008" s="26"/>
      <c r="P1008" s="26"/>
    </row>
    <row r="1009">
      <c r="A1009" s="90"/>
      <c r="B1009" s="82"/>
      <c r="C1009" s="83"/>
      <c r="D1009" s="82"/>
      <c r="E1009" s="84"/>
      <c r="F1009" s="85"/>
      <c r="G1009" s="86"/>
      <c r="H1009" s="84"/>
      <c r="I1009" s="86"/>
      <c r="J1009" s="87"/>
      <c r="K1009" s="91"/>
      <c r="L1009" s="89"/>
      <c r="M1009" s="26"/>
      <c r="N1009" s="26"/>
      <c r="O1009" s="26"/>
      <c r="P1009" s="26"/>
    </row>
    <row r="1010">
      <c r="A1010" s="90"/>
      <c r="B1010" s="82"/>
      <c r="C1010" s="83"/>
      <c r="D1010" s="82"/>
      <c r="E1010" s="84"/>
      <c r="F1010" s="85"/>
      <c r="G1010" s="86"/>
      <c r="H1010" s="84"/>
      <c r="I1010" s="86"/>
      <c r="J1010" s="87"/>
      <c r="K1010" s="91"/>
      <c r="L1010" s="89"/>
      <c r="M1010" s="26"/>
      <c r="N1010" s="26"/>
      <c r="O1010" s="26"/>
      <c r="P1010" s="26"/>
    </row>
    <row r="1011">
      <c r="A1011" s="90"/>
      <c r="B1011" s="82"/>
      <c r="C1011" s="83"/>
      <c r="D1011" s="82"/>
      <c r="E1011" s="84"/>
      <c r="F1011" s="85"/>
      <c r="G1011" s="86"/>
      <c r="H1011" s="84"/>
      <c r="I1011" s="86"/>
      <c r="J1011" s="87"/>
      <c r="K1011" s="91"/>
      <c r="L1011" s="89"/>
      <c r="M1011" s="26"/>
      <c r="N1011" s="26"/>
      <c r="O1011" s="26"/>
      <c r="P1011" s="26"/>
    </row>
    <row r="1012">
      <c r="A1012" s="90"/>
      <c r="B1012" s="82"/>
      <c r="C1012" s="83"/>
      <c r="D1012" s="82"/>
      <c r="E1012" s="84"/>
      <c r="F1012" s="85"/>
      <c r="G1012" s="86"/>
      <c r="H1012" s="84"/>
      <c r="I1012" s="86"/>
      <c r="J1012" s="87"/>
      <c r="K1012" s="91"/>
      <c r="L1012" s="89"/>
      <c r="M1012" s="26"/>
      <c r="N1012" s="26"/>
      <c r="O1012" s="26"/>
      <c r="P1012" s="26"/>
    </row>
    <row r="1013">
      <c r="A1013" s="90"/>
      <c r="B1013" s="82"/>
      <c r="C1013" s="83"/>
      <c r="D1013" s="82"/>
      <c r="E1013" s="84"/>
      <c r="F1013" s="85"/>
      <c r="G1013" s="86"/>
      <c r="H1013" s="84"/>
      <c r="I1013" s="86"/>
      <c r="J1013" s="87"/>
      <c r="K1013" s="91"/>
      <c r="L1013" s="89"/>
      <c r="M1013" s="26"/>
      <c r="N1013" s="26"/>
      <c r="O1013" s="26"/>
      <c r="P1013" s="26"/>
    </row>
    <row r="1014">
      <c r="A1014" s="90"/>
      <c r="B1014" s="82"/>
      <c r="C1014" s="83"/>
      <c r="D1014" s="82"/>
      <c r="E1014" s="84"/>
      <c r="F1014" s="85"/>
      <c r="G1014" s="86"/>
      <c r="H1014" s="84"/>
      <c r="I1014" s="86"/>
      <c r="J1014" s="87"/>
      <c r="K1014" s="91"/>
      <c r="L1014" s="89"/>
      <c r="M1014" s="26"/>
      <c r="N1014" s="26"/>
      <c r="O1014" s="26"/>
      <c r="P1014" s="26"/>
    </row>
    <row r="1015">
      <c r="A1015" s="90"/>
      <c r="B1015" s="82"/>
      <c r="C1015" s="83"/>
      <c r="D1015" s="82"/>
      <c r="E1015" s="84"/>
      <c r="F1015" s="85"/>
      <c r="G1015" s="86"/>
      <c r="H1015" s="84"/>
      <c r="I1015" s="86"/>
      <c r="J1015" s="87"/>
      <c r="K1015" s="91"/>
      <c r="L1015" s="89"/>
      <c r="M1015" s="26"/>
      <c r="N1015" s="26"/>
      <c r="O1015" s="26"/>
      <c r="P1015" s="26"/>
    </row>
    <row r="1016">
      <c r="A1016" s="90"/>
      <c r="B1016" s="82"/>
      <c r="C1016" s="83"/>
      <c r="D1016" s="82"/>
      <c r="E1016" s="84"/>
      <c r="F1016" s="85"/>
      <c r="G1016" s="86"/>
      <c r="H1016" s="84"/>
      <c r="I1016" s="86"/>
      <c r="J1016" s="87"/>
      <c r="K1016" s="91"/>
      <c r="L1016" s="89"/>
      <c r="M1016" s="26"/>
      <c r="N1016" s="26"/>
      <c r="O1016" s="26"/>
      <c r="P1016" s="26"/>
    </row>
    <row r="1017">
      <c r="A1017" s="90"/>
      <c r="B1017" s="82"/>
      <c r="C1017" s="83"/>
      <c r="D1017" s="82"/>
      <c r="E1017" s="84"/>
      <c r="F1017" s="85"/>
      <c r="G1017" s="86"/>
      <c r="H1017" s="84"/>
      <c r="I1017" s="86"/>
      <c r="J1017" s="87"/>
      <c r="K1017" s="91"/>
      <c r="L1017" s="89"/>
      <c r="M1017" s="26"/>
      <c r="N1017" s="26"/>
      <c r="O1017" s="26"/>
      <c r="P1017" s="26"/>
    </row>
    <row r="1018">
      <c r="A1018" s="90"/>
      <c r="B1018" s="82"/>
      <c r="C1018" s="83"/>
      <c r="D1018" s="82"/>
      <c r="E1018" s="84"/>
      <c r="F1018" s="85"/>
      <c r="G1018" s="86"/>
      <c r="H1018" s="84"/>
      <c r="I1018" s="86"/>
      <c r="J1018" s="87"/>
      <c r="K1018" s="91"/>
      <c r="L1018" s="89"/>
      <c r="M1018" s="26"/>
      <c r="N1018" s="26"/>
      <c r="O1018" s="26"/>
      <c r="P1018" s="26"/>
    </row>
    <row r="1019">
      <c r="A1019" s="90"/>
      <c r="B1019" s="82"/>
      <c r="C1019" s="83"/>
      <c r="D1019" s="82"/>
      <c r="E1019" s="84"/>
      <c r="F1019" s="85"/>
      <c r="G1019" s="86"/>
      <c r="H1019" s="84"/>
      <c r="I1019" s="86"/>
      <c r="J1019" s="87"/>
      <c r="K1019" s="91"/>
      <c r="L1019" s="89"/>
      <c r="M1019" s="26"/>
      <c r="N1019" s="26"/>
      <c r="O1019" s="26"/>
      <c r="P1019" s="26"/>
    </row>
    <row r="1020">
      <c r="A1020" s="90"/>
      <c r="B1020" s="82"/>
      <c r="C1020" s="83"/>
      <c r="D1020" s="82"/>
      <c r="E1020" s="84"/>
      <c r="F1020" s="85"/>
      <c r="G1020" s="86"/>
      <c r="H1020" s="84"/>
      <c r="I1020" s="86"/>
      <c r="J1020" s="87"/>
      <c r="K1020" s="91"/>
      <c r="L1020" s="89"/>
      <c r="M1020" s="26"/>
      <c r="N1020" s="26"/>
      <c r="O1020" s="26"/>
      <c r="P1020" s="26"/>
    </row>
    <row r="1021">
      <c r="A1021" s="90"/>
      <c r="B1021" s="82"/>
      <c r="C1021" s="83"/>
      <c r="D1021" s="82"/>
      <c r="E1021" s="84"/>
      <c r="F1021" s="85"/>
      <c r="G1021" s="86"/>
      <c r="H1021" s="84"/>
      <c r="I1021" s="86"/>
      <c r="J1021" s="87"/>
      <c r="K1021" s="91"/>
      <c r="L1021" s="89"/>
      <c r="M1021" s="26"/>
      <c r="N1021" s="26"/>
      <c r="O1021" s="26"/>
      <c r="P1021" s="26"/>
    </row>
    <row r="1022">
      <c r="A1022" s="90"/>
      <c r="B1022" s="82"/>
      <c r="C1022" s="83"/>
      <c r="D1022" s="82"/>
      <c r="E1022" s="84"/>
      <c r="F1022" s="85"/>
      <c r="G1022" s="86"/>
      <c r="H1022" s="84"/>
      <c r="I1022" s="86"/>
      <c r="J1022" s="87"/>
      <c r="K1022" s="91"/>
      <c r="L1022" s="89"/>
      <c r="M1022" s="26"/>
      <c r="N1022" s="26"/>
      <c r="O1022" s="26"/>
      <c r="P1022" s="26"/>
    </row>
    <row r="1023">
      <c r="A1023" s="90"/>
      <c r="B1023" s="82"/>
      <c r="C1023" s="83"/>
      <c r="D1023" s="82"/>
      <c r="E1023" s="84"/>
      <c r="F1023" s="85"/>
      <c r="G1023" s="86"/>
      <c r="H1023" s="84"/>
      <c r="I1023" s="86"/>
      <c r="J1023" s="87"/>
      <c r="K1023" s="91"/>
      <c r="L1023" s="89"/>
      <c r="M1023" s="26"/>
      <c r="N1023" s="26"/>
      <c r="O1023" s="26"/>
      <c r="P1023" s="26"/>
    </row>
    <row r="1024">
      <c r="A1024" s="90"/>
      <c r="B1024" s="82"/>
      <c r="C1024" s="83"/>
      <c r="D1024" s="82"/>
      <c r="E1024" s="84"/>
      <c r="F1024" s="85"/>
      <c r="G1024" s="86"/>
      <c r="H1024" s="84"/>
      <c r="I1024" s="86"/>
      <c r="J1024" s="87"/>
      <c r="K1024" s="91"/>
      <c r="L1024" s="89"/>
      <c r="M1024" s="26"/>
      <c r="N1024" s="26"/>
      <c r="O1024" s="26"/>
      <c r="P1024" s="26"/>
    </row>
    <row r="1025">
      <c r="A1025" s="90"/>
      <c r="B1025" s="82"/>
      <c r="C1025" s="83"/>
      <c r="D1025" s="82"/>
      <c r="E1025" s="84"/>
      <c r="F1025" s="85"/>
      <c r="G1025" s="86"/>
      <c r="H1025" s="84"/>
      <c r="I1025" s="86"/>
      <c r="J1025" s="87"/>
      <c r="K1025" s="91"/>
      <c r="L1025" s="89"/>
      <c r="M1025" s="26"/>
      <c r="N1025" s="26"/>
      <c r="O1025" s="26"/>
      <c r="P1025" s="26"/>
    </row>
    <row r="1026">
      <c r="A1026" s="90"/>
      <c r="B1026" s="82"/>
      <c r="C1026" s="83"/>
      <c r="D1026" s="82"/>
      <c r="E1026" s="84"/>
      <c r="F1026" s="85"/>
      <c r="G1026" s="86"/>
      <c r="H1026" s="84"/>
      <c r="I1026" s="86"/>
      <c r="J1026" s="87"/>
      <c r="K1026" s="91"/>
      <c r="L1026" s="89"/>
      <c r="M1026" s="26"/>
      <c r="N1026" s="26"/>
      <c r="O1026" s="26"/>
      <c r="P1026" s="26"/>
    </row>
    <row r="1027">
      <c r="A1027" s="90"/>
      <c r="B1027" s="82"/>
      <c r="C1027" s="83"/>
      <c r="D1027" s="82"/>
      <c r="E1027" s="84"/>
      <c r="F1027" s="85"/>
      <c r="G1027" s="86"/>
      <c r="H1027" s="84"/>
      <c r="I1027" s="86"/>
      <c r="J1027" s="87"/>
      <c r="K1027" s="91"/>
      <c r="L1027" s="89"/>
      <c r="M1027" s="26"/>
      <c r="N1027" s="26"/>
      <c r="O1027" s="26"/>
      <c r="P1027" s="26"/>
    </row>
    <row r="1028">
      <c r="A1028" s="90"/>
      <c r="B1028" s="82"/>
      <c r="C1028" s="83"/>
      <c r="D1028" s="82"/>
      <c r="E1028" s="84"/>
      <c r="F1028" s="85"/>
      <c r="G1028" s="86"/>
      <c r="H1028" s="84"/>
      <c r="I1028" s="86"/>
      <c r="J1028" s="87"/>
      <c r="K1028" s="91"/>
      <c r="L1028" s="89"/>
      <c r="M1028" s="26"/>
      <c r="N1028" s="26"/>
      <c r="O1028" s="26"/>
      <c r="P1028" s="26"/>
    </row>
    <row r="1029">
      <c r="A1029" s="90"/>
      <c r="B1029" s="82"/>
      <c r="C1029" s="83"/>
      <c r="D1029" s="82"/>
      <c r="E1029" s="84"/>
      <c r="F1029" s="85"/>
      <c r="G1029" s="86"/>
      <c r="H1029" s="84"/>
      <c r="I1029" s="86"/>
      <c r="J1029" s="87"/>
      <c r="K1029" s="91"/>
      <c r="L1029" s="89"/>
      <c r="M1029" s="26"/>
      <c r="N1029" s="26"/>
      <c r="O1029" s="26"/>
      <c r="P1029" s="26"/>
    </row>
    <row r="1030">
      <c r="A1030" s="90"/>
      <c r="B1030" s="82"/>
      <c r="C1030" s="83"/>
      <c r="D1030" s="82"/>
      <c r="E1030" s="84"/>
      <c r="F1030" s="85"/>
      <c r="G1030" s="86"/>
      <c r="H1030" s="84"/>
      <c r="I1030" s="86"/>
      <c r="J1030" s="87"/>
      <c r="K1030" s="91"/>
      <c r="L1030" s="89"/>
      <c r="M1030" s="26"/>
      <c r="N1030" s="26"/>
      <c r="O1030" s="26"/>
      <c r="P1030" s="26"/>
    </row>
    <row r="1031">
      <c r="A1031" s="90"/>
      <c r="B1031" s="82"/>
      <c r="C1031" s="83"/>
      <c r="D1031" s="82"/>
      <c r="E1031" s="84"/>
      <c r="F1031" s="85"/>
      <c r="G1031" s="86"/>
      <c r="H1031" s="84"/>
      <c r="I1031" s="86"/>
      <c r="J1031" s="87"/>
      <c r="K1031" s="91"/>
      <c r="L1031" s="89"/>
      <c r="M1031" s="26"/>
      <c r="N1031" s="26"/>
      <c r="O1031" s="26"/>
      <c r="P1031" s="26"/>
    </row>
    <row r="1032">
      <c r="A1032" s="90"/>
      <c r="B1032" s="82"/>
      <c r="C1032" s="83"/>
      <c r="D1032" s="82"/>
      <c r="E1032" s="84"/>
      <c r="F1032" s="85"/>
      <c r="G1032" s="86"/>
      <c r="H1032" s="84"/>
      <c r="I1032" s="86"/>
      <c r="J1032" s="87"/>
      <c r="K1032" s="91"/>
      <c r="L1032" s="89"/>
      <c r="M1032" s="26"/>
      <c r="N1032" s="26"/>
      <c r="O1032" s="26"/>
      <c r="P1032" s="26"/>
    </row>
    <row r="1033">
      <c r="A1033" s="90"/>
      <c r="B1033" s="82"/>
      <c r="C1033" s="83"/>
      <c r="D1033" s="82"/>
      <c r="E1033" s="84"/>
      <c r="F1033" s="85"/>
      <c r="G1033" s="86"/>
      <c r="H1033" s="84"/>
      <c r="I1033" s="86"/>
      <c r="J1033" s="87"/>
      <c r="K1033" s="91"/>
      <c r="L1033" s="89"/>
      <c r="M1033" s="26"/>
      <c r="N1033" s="26"/>
      <c r="O1033" s="26"/>
      <c r="P1033" s="26"/>
    </row>
    <row r="1034">
      <c r="A1034" s="90"/>
      <c r="B1034" s="82"/>
      <c r="C1034" s="83"/>
      <c r="D1034" s="82"/>
      <c r="E1034" s="84"/>
      <c r="F1034" s="85"/>
      <c r="G1034" s="86"/>
      <c r="H1034" s="84"/>
      <c r="I1034" s="86"/>
      <c r="J1034" s="87"/>
      <c r="K1034" s="91"/>
      <c r="L1034" s="89"/>
      <c r="M1034" s="26"/>
      <c r="N1034" s="26"/>
      <c r="O1034" s="26"/>
      <c r="P1034" s="26"/>
    </row>
    <row r="1035">
      <c r="A1035" s="90"/>
      <c r="B1035" s="82"/>
      <c r="C1035" s="83"/>
      <c r="D1035" s="82"/>
      <c r="E1035" s="84"/>
      <c r="F1035" s="85"/>
      <c r="G1035" s="86"/>
      <c r="H1035" s="84"/>
      <c r="I1035" s="86"/>
      <c r="J1035" s="87"/>
      <c r="K1035" s="91"/>
      <c r="L1035" s="89"/>
      <c r="M1035" s="26"/>
      <c r="N1035" s="26"/>
      <c r="O1035" s="26"/>
      <c r="P1035" s="26"/>
    </row>
    <row r="1036">
      <c r="A1036" s="90"/>
      <c r="B1036" s="82"/>
      <c r="C1036" s="83"/>
      <c r="D1036" s="82"/>
      <c r="E1036" s="84"/>
      <c r="F1036" s="85"/>
      <c r="G1036" s="86"/>
      <c r="H1036" s="84"/>
      <c r="I1036" s="86"/>
      <c r="J1036" s="87"/>
      <c r="K1036" s="91"/>
      <c r="L1036" s="89"/>
      <c r="M1036" s="26"/>
      <c r="N1036" s="26"/>
      <c r="O1036" s="26"/>
      <c r="P1036" s="26"/>
    </row>
    <row r="1037">
      <c r="A1037" s="90"/>
      <c r="B1037" s="82"/>
      <c r="C1037" s="83"/>
      <c r="D1037" s="82"/>
      <c r="E1037" s="84"/>
      <c r="F1037" s="85"/>
      <c r="G1037" s="86"/>
      <c r="H1037" s="84"/>
      <c r="I1037" s="86"/>
      <c r="J1037" s="87"/>
      <c r="K1037" s="91"/>
      <c r="L1037" s="89"/>
      <c r="M1037" s="26"/>
      <c r="N1037" s="26"/>
      <c r="O1037" s="26"/>
      <c r="P1037" s="26"/>
    </row>
    <row r="1038">
      <c r="A1038" s="90"/>
      <c r="B1038" s="82"/>
      <c r="C1038" s="83"/>
      <c r="D1038" s="82"/>
      <c r="E1038" s="84"/>
      <c r="F1038" s="85"/>
      <c r="G1038" s="86"/>
      <c r="H1038" s="84"/>
      <c r="I1038" s="86"/>
      <c r="J1038" s="87"/>
      <c r="K1038" s="91"/>
      <c r="L1038" s="89"/>
      <c r="M1038" s="26"/>
      <c r="N1038" s="26"/>
      <c r="O1038" s="26"/>
      <c r="P1038" s="26"/>
    </row>
    <row r="1039">
      <c r="A1039" s="90"/>
      <c r="B1039" s="82"/>
      <c r="C1039" s="83"/>
      <c r="D1039" s="82"/>
      <c r="E1039" s="84"/>
      <c r="F1039" s="85"/>
      <c r="G1039" s="86"/>
      <c r="H1039" s="84"/>
      <c r="I1039" s="86"/>
      <c r="J1039" s="87"/>
      <c r="K1039" s="91"/>
      <c r="L1039" s="89"/>
      <c r="M1039" s="26"/>
      <c r="N1039" s="26"/>
      <c r="O1039" s="26"/>
      <c r="P1039" s="26"/>
    </row>
    <row r="1040">
      <c r="A1040" s="90"/>
      <c r="B1040" s="82"/>
      <c r="C1040" s="83"/>
      <c r="D1040" s="82"/>
      <c r="E1040" s="84"/>
      <c r="F1040" s="85"/>
      <c r="G1040" s="86"/>
      <c r="H1040" s="84"/>
      <c r="I1040" s="86"/>
      <c r="J1040" s="87"/>
      <c r="K1040" s="91"/>
      <c r="L1040" s="89"/>
      <c r="M1040" s="26"/>
      <c r="N1040" s="26"/>
      <c r="O1040" s="26"/>
      <c r="P1040" s="26"/>
    </row>
    <row r="1041">
      <c r="A1041" s="90"/>
      <c r="B1041" s="82"/>
      <c r="C1041" s="83"/>
      <c r="D1041" s="82"/>
      <c r="E1041" s="84"/>
      <c r="F1041" s="85"/>
      <c r="G1041" s="86"/>
      <c r="H1041" s="84"/>
      <c r="I1041" s="86"/>
      <c r="J1041" s="87"/>
      <c r="K1041" s="91"/>
      <c r="L1041" s="89"/>
      <c r="M1041" s="26"/>
      <c r="N1041" s="26"/>
      <c r="O1041" s="26"/>
      <c r="P1041" s="26"/>
    </row>
    <row r="1042">
      <c r="A1042" s="90"/>
      <c r="B1042" s="82"/>
      <c r="C1042" s="83"/>
      <c r="D1042" s="82"/>
      <c r="E1042" s="84"/>
      <c r="F1042" s="85"/>
      <c r="G1042" s="86"/>
      <c r="H1042" s="84"/>
      <c r="I1042" s="86"/>
      <c r="J1042" s="87"/>
      <c r="K1042" s="91"/>
      <c r="L1042" s="89"/>
      <c r="M1042" s="26"/>
      <c r="N1042" s="26"/>
      <c r="O1042" s="26"/>
      <c r="P1042" s="26"/>
    </row>
    <row r="1043">
      <c r="A1043" s="90"/>
      <c r="B1043" s="82"/>
      <c r="C1043" s="83"/>
      <c r="D1043" s="82"/>
      <c r="E1043" s="84"/>
      <c r="F1043" s="85"/>
      <c r="G1043" s="86"/>
      <c r="H1043" s="84"/>
      <c r="I1043" s="86"/>
      <c r="J1043" s="87"/>
      <c r="K1043" s="91"/>
      <c r="L1043" s="89"/>
      <c r="M1043" s="26"/>
      <c r="N1043" s="26"/>
      <c r="O1043" s="26"/>
      <c r="P1043" s="26"/>
    </row>
    <row r="1044">
      <c r="A1044" s="90"/>
      <c r="B1044" s="82"/>
      <c r="C1044" s="83"/>
      <c r="D1044" s="82"/>
      <c r="E1044" s="84"/>
      <c r="F1044" s="85"/>
      <c r="G1044" s="86"/>
      <c r="H1044" s="84"/>
      <c r="I1044" s="86"/>
      <c r="J1044" s="87"/>
      <c r="K1044" s="91"/>
      <c r="L1044" s="89"/>
      <c r="M1044" s="26"/>
      <c r="N1044" s="26"/>
      <c r="O1044" s="26"/>
      <c r="P1044" s="26"/>
    </row>
    <row r="1045">
      <c r="A1045" s="90"/>
      <c r="B1045" s="82"/>
      <c r="C1045" s="83"/>
      <c r="D1045" s="82"/>
      <c r="E1045" s="84"/>
      <c r="F1045" s="85"/>
      <c r="G1045" s="86"/>
      <c r="H1045" s="84"/>
      <c r="I1045" s="86"/>
      <c r="J1045" s="87"/>
      <c r="K1045" s="91"/>
      <c r="L1045" s="89"/>
      <c r="M1045" s="26"/>
      <c r="N1045" s="26"/>
      <c r="O1045" s="26"/>
      <c r="P1045" s="26"/>
    </row>
    <row r="1046">
      <c r="A1046" s="90"/>
      <c r="B1046" s="82"/>
      <c r="C1046" s="83"/>
      <c r="D1046" s="82"/>
      <c r="E1046" s="84"/>
      <c r="F1046" s="85"/>
      <c r="G1046" s="86"/>
      <c r="H1046" s="84"/>
      <c r="I1046" s="86"/>
      <c r="J1046" s="87"/>
      <c r="K1046" s="91"/>
      <c r="L1046" s="89"/>
      <c r="M1046" s="26"/>
      <c r="N1046" s="26"/>
      <c r="O1046" s="26"/>
      <c r="P1046" s="26"/>
    </row>
    <row r="1047">
      <c r="A1047" s="90"/>
      <c r="B1047" s="82"/>
      <c r="C1047" s="83"/>
      <c r="D1047" s="82"/>
      <c r="E1047" s="84"/>
      <c r="F1047" s="85"/>
      <c r="G1047" s="86"/>
      <c r="H1047" s="84"/>
      <c r="I1047" s="86"/>
      <c r="J1047" s="87"/>
      <c r="K1047" s="91"/>
      <c r="L1047" s="89"/>
      <c r="M1047" s="26"/>
      <c r="N1047" s="26"/>
      <c r="O1047" s="26"/>
      <c r="P1047" s="26"/>
    </row>
    <row r="1048">
      <c r="A1048" s="90"/>
      <c r="B1048" s="82"/>
      <c r="C1048" s="83"/>
      <c r="D1048" s="82"/>
      <c r="E1048" s="84"/>
      <c r="F1048" s="85"/>
      <c r="G1048" s="86"/>
      <c r="H1048" s="84"/>
      <c r="I1048" s="86"/>
      <c r="J1048" s="87"/>
      <c r="K1048" s="91"/>
      <c r="L1048" s="89"/>
      <c r="M1048" s="26"/>
      <c r="N1048" s="26"/>
      <c r="O1048" s="26"/>
      <c r="P1048" s="26"/>
    </row>
    <row r="1049">
      <c r="A1049" s="90"/>
      <c r="B1049" s="82"/>
      <c r="C1049" s="83"/>
      <c r="D1049" s="82"/>
      <c r="E1049" s="84"/>
      <c r="F1049" s="85"/>
      <c r="G1049" s="86"/>
      <c r="H1049" s="84"/>
      <c r="I1049" s="86"/>
      <c r="J1049" s="87"/>
      <c r="K1049" s="91"/>
      <c r="L1049" s="89"/>
      <c r="M1049" s="26"/>
      <c r="N1049" s="26"/>
      <c r="O1049" s="26"/>
      <c r="P1049" s="26"/>
    </row>
    <row r="1050">
      <c r="A1050" s="90"/>
      <c r="B1050" s="82"/>
      <c r="C1050" s="83"/>
      <c r="D1050" s="82"/>
      <c r="E1050" s="84"/>
      <c r="F1050" s="85"/>
      <c r="G1050" s="86"/>
      <c r="H1050" s="84"/>
      <c r="I1050" s="86"/>
      <c r="J1050" s="87"/>
      <c r="K1050" s="91"/>
      <c r="L1050" s="89"/>
      <c r="M1050" s="26"/>
      <c r="N1050" s="26"/>
      <c r="O1050" s="26"/>
      <c r="P1050" s="26"/>
    </row>
    <row r="1051">
      <c r="A1051" s="90"/>
      <c r="B1051" s="82"/>
      <c r="C1051" s="83"/>
      <c r="D1051" s="82"/>
      <c r="E1051" s="84"/>
      <c r="F1051" s="85"/>
      <c r="G1051" s="86"/>
      <c r="H1051" s="84"/>
      <c r="I1051" s="86"/>
      <c r="J1051" s="87"/>
      <c r="K1051" s="91"/>
      <c r="L1051" s="89"/>
      <c r="M1051" s="26"/>
      <c r="N1051" s="26"/>
      <c r="O1051" s="26"/>
      <c r="P1051" s="26"/>
    </row>
    <row r="1052">
      <c r="A1052" s="90"/>
      <c r="B1052" s="82"/>
      <c r="C1052" s="83"/>
      <c r="D1052" s="82"/>
      <c r="E1052" s="84"/>
      <c r="F1052" s="85"/>
      <c r="G1052" s="86"/>
      <c r="H1052" s="84"/>
      <c r="I1052" s="86"/>
      <c r="J1052" s="87"/>
      <c r="K1052" s="91"/>
      <c r="L1052" s="89"/>
      <c r="M1052" s="26"/>
      <c r="N1052" s="26"/>
      <c r="O1052" s="26"/>
      <c r="P1052" s="26"/>
    </row>
    <row r="1053">
      <c r="A1053" s="90"/>
      <c r="B1053" s="82"/>
      <c r="C1053" s="83"/>
      <c r="D1053" s="82"/>
      <c r="E1053" s="84"/>
      <c r="F1053" s="85"/>
      <c r="G1053" s="86"/>
      <c r="H1053" s="84"/>
      <c r="I1053" s="86"/>
      <c r="J1053" s="87"/>
      <c r="K1053" s="91"/>
      <c r="L1053" s="89"/>
      <c r="M1053" s="26"/>
      <c r="N1053" s="26"/>
      <c r="O1053" s="26"/>
      <c r="P1053" s="26"/>
    </row>
    <row r="1054">
      <c r="A1054" s="90"/>
      <c r="B1054" s="82"/>
      <c r="C1054" s="83"/>
      <c r="D1054" s="82"/>
      <c r="E1054" s="84"/>
      <c r="F1054" s="85"/>
      <c r="G1054" s="86"/>
      <c r="H1054" s="84"/>
      <c r="I1054" s="86"/>
      <c r="J1054" s="87"/>
      <c r="K1054" s="91"/>
      <c r="L1054" s="89"/>
      <c r="M1054" s="26"/>
      <c r="N1054" s="26"/>
      <c r="O1054" s="26"/>
      <c r="P1054" s="26"/>
    </row>
    <row r="1055">
      <c r="A1055" s="90"/>
      <c r="B1055" s="82"/>
      <c r="C1055" s="83"/>
      <c r="D1055" s="82"/>
      <c r="E1055" s="84"/>
      <c r="F1055" s="85"/>
      <c r="G1055" s="86"/>
      <c r="H1055" s="84"/>
      <c r="I1055" s="86"/>
      <c r="J1055" s="87"/>
      <c r="K1055" s="91"/>
      <c r="L1055" s="89"/>
      <c r="M1055" s="26"/>
      <c r="N1055" s="26"/>
      <c r="O1055" s="26"/>
      <c r="P1055" s="26"/>
    </row>
    <row r="1056">
      <c r="A1056" s="90"/>
      <c r="B1056" s="82"/>
      <c r="C1056" s="83"/>
      <c r="D1056" s="82"/>
      <c r="E1056" s="84"/>
      <c r="F1056" s="85"/>
      <c r="G1056" s="86"/>
      <c r="H1056" s="84"/>
      <c r="I1056" s="86"/>
      <c r="J1056" s="87"/>
      <c r="K1056" s="91"/>
      <c r="L1056" s="89"/>
      <c r="M1056" s="26"/>
      <c r="N1056" s="26"/>
      <c r="O1056" s="26"/>
      <c r="P1056" s="26"/>
    </row>
    <row r="1057">
      <c r="A1057" s="90"/>
      <c r="B1057" s="82"/>
      <c r="C1057" s="83"/>
      <c r="D1057" s="82"/>
      <c r="E1057" s="84"/>
      <c r="F1057" s="85"/>
      <c r="G1057" s="86"/>
      <c r="H1057" s="84"/>
      <c r="I1057" s="86"/>
      <c r="J1057" s="87"/>
      <c r="K1057" s="91"/>
      <c r="L1057" s="89"/>
      <c r="M1057" s="26"/>
      <c r="N1057" s="26"/>
      <c r="O1057" s="26"/>
      <c r="P1057" s="26"/>
    </row>
    <row r="1058">
      <c r="A1058" s="90"/>
      <c r="B1058" s="82"/>
      <c r="C1058" s="83"/>
      <c r="D1058" s="82"/>
      <c r="E1058" s="84"/>
      <c r="F1058" s="85"/>
      <c r="G1058" s="86"/>
      <c r="H1058" s="84"/>
      <c r="I1058" s="86"/>
      <c r="J1058" s="87"/>
      <c r="K1058" s="91"/>
      <c r="L1058" s="89"/>
      <c r="M1058" s="26"/>
      <c r="N1058" s="26"/>
      <c r="O1058" s="26"/>
      <c r="P1058" s="26"/>
    </row>
    <row r="1059">
      <c r="A1059" s="90"/>
      <c r="B1059" s="82"/>
      <c r="C1059" s="83"/>
      <c r="D1059" s="82"/>
      <c r="E1059" s="84"/>
      <c r="F1059" s="85"/>
      <c r="G1059" s="86"/>
      <c r="H1059" s="84"/>
      <c r="I1059" s="86"/>
      <c r="J1059" s="87"/>
      <c r="K1059" s="91"/>
      <c r="L1059" s="89"/>
      <c r="M1059" s="26"/>
      <c r="N1059" s="26"/>
      <c r="O1059" s="26"/>
      <c r="P1059" s="26"/>
    </row>
    <row r="1060">
      <c r="A1060" s="90"/>
      <c r="B1060" s="82"/>
      <c r="C1060" s="83"/>
      <c r="D1060" s="82"/>
      <c r="E1060" s="84"/>
      <c r="F1060" s="85"/>
      <c r="G1060" s="86"/>
      <c r="H1060" s="84"/>
      <c r="I1060" s="86"/>
      <c r="J1060" s="87"/>
      <c r="K1060" s="91"/>
      <c r="L1060" s="89"/>
      <c r="M1060" s="26"/>
      <c r="N1060" s="26"/>
      <c r="O1060" s="26"/>
      <c r="P1060" s="26"/>
    </row>
    <row r="1061">
      <c r="A1061" s="90"/>
      <c r="B1061" s="82"/>
      <c r="C1061" s="83"/>
      <c r="D1061" s="82"/>
      <c r="E1061" s="84"/>
      <c r="F1061" s="85"/>
      <c r="G1061" s="86"/>
      <c r="H1061" s="84"/>
      <c r="I1061" s="86"/>
      <c r="J1061" s="87"/>
      <c r="K1061" s="91"/>
      <c r="L1061" s="89"/>
      <c r="M1061" s="26"/>
      <c r="N1061" s="26"/>
      <c r="O1061" s="26"/>
      <c r="P1061" s="26"/>
    </row>
    <row r="1062">
      <c r="A1062" s="90"/>
      <c r="B1062" s="82"/>
      <c r="C1062" s="83"/>
      <c r="D1062" s="82"/>
      <c r="E1062" s="84"/>
      <c r="F1062" s="85"/>
      <c r="G1062" s="86"/>
      <c r="H1062" s="84"/>
      <c r="I1062" s="86"/>
      <c r="J1062" s="87"/>
      <c r="K1062" s="91"/>
      <c r="L1062" s="89"/>
      <c r="M1062" s="26"/>
      <c r="N1062" s="26"/>
      <c r="O1062" s="26"/>
      <c r="P1062" s="26"/>
    </row>
    <row r="1063">
      <c r="A1063" s="90"/>
      <c r="B1063" s="82"/>
      <c r="C1063" s="83"/>
      <c r="D1063" s="82"/>
      <c r="E1063" s="84"/>
      <c r="F1063" s="85"/>
      <c r="G1063" s="86"/>
      <c r="H1063" s="84"/>
      <c r="I1063" s="86"/>
      <c r="J1063" s="87"/>
      <c r="K1063" s="91"/>
      <c r="L1063" s="89"/>
      <c r="M1063" s="26"/>
      <c r="N1063" s="26"/>
      <c r="O1063" s="26"/>
      <c r="P1063" s="26"/>
    </row>
    <row r="1064">
      <c r="A1064" s="90"/>
      <c r="B1064" s="82"/>
      <c r="C1064" s="83"/>
      <c r="D1064" s="82"/>
      <c r="E1064" s="84"/>
      <c r="F1064" s="85"/>
      <c r="G1064" s="86"/>
      <c r="H1064" s="84"/>
      <c r="I1064" s="86"/>
      <c r="J1064" s="87"/>
      <c r="K1064" s="91"/>
      <c r="L1064" s="89"/>
      <c r="M1064" s="26"/>
      <c r="N1064" s="26"/>
      <c r="O1064" s="26"/>
      <c r="P1064" s="26"/>
    </row>
    <row r="1065">
      <c r="A1065" s="90"/>
      <c r="B1065" s="82"/>
      <c r="C1065" s="83"/>
      <c r="D1065" s="82"/>
      <c r="E1065" s="84"/>
      <c r="F1065" s="85"/>
      <c r="G1065" s="86"/>
      <c r="H1065" s="84"/>
      <c r="I1065" s="86"/>
      <c r="J1065" s="87"/>
      <c r="K1065" s="91"/>
      <c r="L1065" s="89"/>
      <c r="M1065" s="26"/>
      <c r="N1065" s="26"/>
      <c r="O1065" s="26"/>
      <c r="P1065" s="26"/>
    </row>
    <row r="1066">
      <c r="A1066" s="90"/>
      <c r="B1066" s="82"/>
      <c r="C1066" s="83"/>
      <c r="D1066" s="82"/>
      <c r="E1066" s="84"/>
      <c r="F1066" s="85"/>
      <c r="G1066" s="86"/>
      <c r="H1066" s="84"/>
      <c r="I1066" s="86"/>
      <c r="J1066" s="87"/>
      <c r="K1066" s="91"/>
      <c r="L1066" s="89"/>
      <c r="M1066" s="26"/>
      <c r="N1066" s="26"/>
      <c r="O1066" s="26"/>
      <c r="P1066" s="26"/>
    </row>
    <row r="1067">
      <c r="A1067" s="90"/>
      <c r="B1067" s="82"/>
      <c r="C1067" s="83"/>
      <c r="D1067" s="82"/>
      <c r="E1067" s="84"/>
      <c r="F1067" s="85"/>
      <c r="G1067" s="86"/>
      <c r="H1067" s="84"/>
      <c r="I1067" s="86"/>
      <c r="J1067" s="87"/>
      <c r="K1067" s="91"/>
      <c r="L1067" s="89"/>
      <c r="M1067" s="26"/>
      <c r="N1067" s="26"/>
      <c r="O1067" s="26"/>
      <c r="P1067" s="26"/>
    </row>
    <row r="1068">
      <c r="A1068" s="90"/>
      <c r="B1068" s="82"/>
      <c r="C1068" s="83"/>
      <c r="D1068" s="82"/>
      <c r="E1068" s="84"/>
      <c r="F1068" s="85"/>
      <c r="G1068" s="86"/>
      <c r="H1068" s="84"/>
      <c r="I1068" s="86"/>
      <c r="J1068" s="87"/>
      <c r="K1068" s="91"/>
      <c r="L1068" s="89"/>
      <c r="M1068" s="26"/>
      <c r="N1068" s="26"/>
      <c r="O1068" s="26"/>
      <c r="P1068" s="26"/>
    </row>
    <row r="1069">
      <c r="A1069" s="90"/>
      <c r="B1069" s="82"/>
      <c r="C1069" s="83"/>
      <c r="D1069" s="82"/>
      <c r="E1069" s="84"/>
      <c r="F1069" s="85"/>
      <c r="G1069" s="86"/>
      <c r="H1069" s="84"/>
      <c r="I1069" s="86"/>
      <c r="J1069" s="87"/>
      <c r="K1069" s="91"/>
      <c r="L1069" s="89"/>
      <c r="M1069" s="26"/>
      <c r="N1069" s="26"/>
      <c r="O1069" s="26"/>
      <c r="P1069" s="26"/>
    </row>
    <row r="1070">
      <c r="A1070" s="90"/>
      <c r="B1070" s="82"/>
      <c r="C1070" s="83"/>
      <c r="D1070" s="82"/>
      <c r="E1070" s="84"/>
      <c r="F1070" s="85"/>
      <c r="G1070" s="86"/>
      <c r="H1070" s="84"/>
      <c r="I1070" s="86"/>
      <c r="J1070" s="87"/>
      <c r="K1070" s="91"/>
      <c r="L1070" s="89"/>
      <c r="M1070" s="26"/>
      <c r="N1070" s="26"/>
      <c r="O1070" s="26"/>
      <c r="P1070" s="26"/>
    </row>
    <row r="1071">
      <c r="A1071" s="90"/>
      <c r="B1071" s="82"/>
      <c r="C1071" s="83"/>
      <c r="D1071" s="82"/>
      <c r="E1071" s="84"/>
      <c r="F1071" s="85"/>
      <c r="G1071" s="86"/>
      <c r="H1071" s="84"/>
      <c r="I1071" s="86"/>
      <c r="J1071" s="87"/>
      <c r="K1071" s="91"/>
      <c r="L1071" s="89"/>
      <c r="M1071" s="26"/>
      <c r="N1071" s="26"/>
      <c r="O1071" s="26"/>
      <c r="P1071" s="26"/>
    </row>
    <row r="1072">
      <c r="A1072" s="90"/>
      <c r="B1072" s="82"/>
      <c r="C1072" s="83"/>
      <c r="D1072" s="82"/>
      <c r="E1072" s="84"/>
      <c r="F1072" s="85"/>
      <c r="G1072" s="86"/>
      <c r="H1072" s="84"/>
      <c r="I1072" s="86"/>
      <c r="J1072" s="87"/>
      <c r="K1072" s="91"/>
      <c r="L1072" s="89"/>
      <c r="M1072" s="26"/>
      <c r="N1072" s="26"/>
      <c r="O1072" s="26"/>
      <c r="P1072" s="26"/>
    </row>
    <row r="1073">
      <c r="A1073" s="90"/>
      <c r="B1073" s="82"/>
      <c r="C1073" s="83"/>
      <c r="D1073" s="82"/>
      <c r="E1073" s="84"/>
      <c r="F1073" s="85"/>
      <c r="G1073" s="86"/>
      <c r="H1073" s="84"/>
      <c r="I1073" s="86"/>
      <c r="J1073" s="87"/>
      <c r="K1073" s="91"/>
      <c r="L1073" s="89"/>
      <c r="M1073" s="26"/>
      <c r="N1073" s="26"/>
      <c r="O1073" s="26"/>
      <c r="P1073" s="26"/>
    </row>
    <row r="1074">
      <c r="A1074" s="90"/>
      <c r="B1074" s="82"/>
      <c r="C1074" s="83"/>
      <c r="D1074" s="82"/>
      <c r="E1074" s="84"/>
      <c r="F1074" s="85"/>
      <c r="G1074" s="86"/>
      <c r="H1074" s="84"/>
      <c r="I1074" s="86"/>
      <c r="J1074" s="87"/>
      <c r="K1074" s="91"/>
      <c r="L1074" s="89"/>
      <c r="M1074" s="26"/>
      <c r="N1074" s="26"/>
      <c r="O1074" s="26"/>
      <c r="P1074" s="26"/>
    </row>
    <row r="1075">
      <c r="A1075" s="90"/>
      <c r="B1075" s="82"/>
      <c r="C1075" s="83"/>
      <c r="D1075" s="82"/>
      <c r="E1075" s="84"/>
      <c r="F1075" s="85"/>
      <c r="G1075" s="86"/>
      <c r="H1075" s="84"/>
      <c r="I1075" s="86"/>
      <c r="J1075" s="87"/>
      <c r="K1075" s="91"/>
      <c r="L1075" s="89"/>
      <c r="M1075" s="26"/>
      <c r="N1075" s="26"/>
      <c r="O1075" s="26"/>
      <c r="P1075" s="26"/>
    </row>
    <row r="1076">
      <c r="A1076" s="90"/>
      <c r="B1076" s="82"/>
      <c r="C1076" s="83"/>
      <c r="D1076" s="82"/>
      <c r="E1076" s="84"/>
      <c r="F1076" s="85"/>
      <c r="G1076" s="86"/>
      <c r="H1076" s="84"/>
      <c r="I1076" s="86"/>
      <c r="J1076" s="87"/>
      <c r="K1076" s="91"/>
      <c r="L1076" s="89"/>
      <c r="M1076" s="26"/>
      <c r="N1076" s="26"/>
      <c r="O1076" s="26"/>
      <c r="P1076" s="26"/>
    </row>
    <row r="1077">
      <c r="A1077" s="90"/>
      <c r="B1077" s="82"/>
      <c r="C1077" s="83"/>
      <c r="D1077" s="82"/>
      <c r="E1077" s="84"/>
      <c r="F1077" s="85"/>
      <c r="G1077" s="86"/>
      <c r="H1077" s="84"/>
      <c r="I1077" s="86"/>
      <c r="J1077" s="87"/>
      <c r="K1077" s="91"/>
      <c r="L1077" s="89"/>
      <c r="M1077" s="26"/>
      <c r="N1077" s="26"/>
      <c r="O1077" s="26"/>
      <c r="P1077" s="26"/>
    </row>
    <row r="1078">
      <c r="A1078" s="90"/>
      <c r="B1078" s="82"/>
      <c r="C1078" s="83"/>
      <c r="D1078" s="82"/>
      <c r="E1078" s="84"/>
      <c r="F1078" s="85"/>
      <c r="G1078" s="86"/>
      <c r="H1078" s="84"/>
      <c r="I1078" s="86"/>
      <c r="J1078" s="87"/>
      <c r="K1078" s="91"/>
      <c r="L1078" s="89"/>
      <c r="M1078" s="26"/>
      <c r="N1078" s="26"/>
      <c r="O1078" s="26"/>
      <c r="P1078" s="26"/>
    </row>
    <row r="1079">
      <c r="A1079" s="90"/>
      <c r="B1079" s="82"/>
      <c r="C1079" s="83"/>
      <c r="D1079" s="82"/>
      <c r="E1079" s="84"/>
      <c r="F1079" s="85"/>
      <c r="G1079" s="86"/>
      <c r="H1079" s="84"/>
      <c r="I1079" s="86"/>
      <c r="J1079" s="87"/>
      <c r="K1079" s="91"/>
      <c r="L1079" s="89"/>
      <c r="M1079" s="26"/>
      <c r="N1079" s="26"/>
      <c r="O1079" s="26"/>
      <c r="P1079" s="26"/>
    </row>
    <row r="1080">
      <c r="A1080" s="90"/>
      <c r="B1080" s="82"/>
      <c r="C1080" s="83"/>
      <c r="D1080" s="82"/>
      <c r="E1080" s="84"/>
      <c r="F1080" s="85"/>
      <c r="G1080" s="86"/>
      <c r="H1080" s="84"/>
      <c r="I1080" s="86"/>
      <c r="J1080" s="87"/>
      <c r="K1080" s="91"/>
      <c r="L1080" s="89"/>
      <c r="M1080" s="26"/>
      <c r="N1080" s="26"/>
      <c r="O1080" s="26"/>
      <c r="P1080" s="26"/>
    </row>
    <row r="1081">
      <c r="A1081" s="90"/>
      <c r="B1081" s="82"/>
      <c r="C1081" s="83"/>
      <c r="D1081" s="82"/>
      <c r="E1081" s="84"/>
      <c r="F1081" s="85"/>
      <c r="G1081" s="86"/>
      <c r="H1081" s="84"/>
      <c r="I1081" s="86"/>
      <c r="J1081" s="87"/>
      <c r="K1081" s="91"/>
      <c r="L1081" s="89"/>
      <c r="M1081" s="26"/>
      <c r="N1081" s="26"/>
      <c r="O1081" s="26"/>
      <c r="P1081" s="26"/>
    </row>
    <row r="1082">
      <c r="A1082" s="90"/>
      <c r="B1082" s="82"/>
      <c r="C1082" s="83"/>
      <c r="D1082" s="82"/>
      <c r="E1082" s="84"/>
      <c r="F1082" s="85"/>
      <c r="G1082" s="86"/>
      <c r="H1082" s="84"/>
      <c r="I1082" s="86"/>
      <c r="J1082" s="87"/>
      <c r="K1082" s="91"/>
      <c r="L1082" s="89"/>
      <c r="M1082" s="26"/>
      <c r="N1082" s="26"/>
      <c r="O1082" s="26"/>
      <c r="P1082" s="26"/>
    </row>
    <row r="1083">
      <c r="A1083" s="90"/>
      <c r="B1083" s="82"/>
      <c r="C1083" s="83"/>
      <c r="D1083" s="82"/>
      <c r="E1083" s="84"/>
      <c r="F1083" s="85"/>
      <c r="G1083" s="86"/>
      <c r="H1083" s="84"/>
      <c r="I1083" s="86"/>
      <c r="J1083" s="87"/>
      <c r="K1083" s="91"/>
      <c r="L1083" s="89"/>
      <c r="M1083" s="26"/>
      <c r="N1083" s="26"/>
      <c r="O1083" s="26"/>
      <c r="P1083" s="26"/>
    </row>
    <row r="1084">
      <c r="A1084" s="90"/>
      <c r="B1084" s="82"/>
      <c r="C1084" s="83"/>
      <c r="D1084" s="82"/>
      <c r="E1084" s="84"/>
      <c r="F1084" s="85"/>
      <c r="G1084" s="86"/>
      <c r="H1084" s="84"/>
      <c r="I1084" s="86"/>
      <c r="J1084" s="87"/>
      <c r="K1084" s="91"/>
      <c r="L1084" s="89"/>
      <c r="M1084" s="26"/>
      <c r="N1084" s="26"/>
      <c r="O1084" s="26"/>
      <c r="P1084" s="26"/>
    </row>
    <row r="1085">
      <c r="A1085" s="90"/>
      <c r="B1085" s="82"/>
      <c r="C1085" s="83"/>
      <c r="D1085" s="82"/>
      <c r="E1085" s="84"/>
      <c r="F1085" s="85"/>
      <c r="G1085" s="86"/>
      <c r="H1085" s="84"/>
      <c r="I1085" s="86"/>
      <c r="J1085" s="87"/>
      <c r="K1085" s="91"/>
      <c r="L1085" s="89"/>
      <c r="M1085" s="26"/>
      <c r="N1085" s="26"/>
      <c r="O1085" s="26"/>
      <c r="P1085" s="26"/>
    </row>
    <row r="1086">
      <c r="A1086" s="90"/>
      <c r="B1086" s="82"/>
      <c r="C1086" s="83"/>
      <c r="D1086" s="82"/>
      <c r="E1086" s="84"/>
      <c r="F1086" s="85"/>
      <c r="G1086" s="86"/>
      <c r="H1086" s="84"/>
      <c r="I1086" s="86"/>
      <c r="J1086" s="87"/>
      <c r="K1086" s="91"/>
      <c r="L1086" s="89"/>
      <c r="M1086" s="26"/>
      <c r="N1086" s="26"/>
      <c r="O1086" s="26"/>
      <c r="P1086" s="26"/>
    </row>
    <row r="1087">
      <c r="A1087" s="90"/>
      <c r="B1087" s="82"/>
      <c r="C1087" s="83"/>
      <c r="D1087" s="82"/>
      <c r="E1087" s="84"/>
      <c r="F1087" s="85"/>
      <c r="G1087" s="86"/>
      <c r="H1087" s="84"/>
      <c r="I1087" s="86"/>
      <c r="J1087" s="87"/>
      <c r="K1087" s="91"/>
      <c r="L1087" s="89"/>
      <c r="M1087" s="26"/>
      <c r="N1087" s="26"/>
      <c r="O1087" s="26"/>
      <c r="P1087" s="26"/>
    </row>
    <row r="1088">
      <c r="A1088" s="90"/>
      <c r="B1088" s="82"/>
      <c r="C1088" s="83"/>
      <c r="D1088" s="82"/>
      <c r="E1088" s="84"/>
      <c r="F1088" s="85"/>
      <c r="G1088" s="86"/>
      <c r="H1088" s="84"/>
      <c r="I1088" s="86"/>
      <c r="J1088" s="87"/>
      <c r="K1088" s="91"/>
      <c r="L1088" s="89"/>
      <c r="M1088" s="26"/>
      <c r="N1088" s="26"/>
      <c r="O1088" s="26"/>
      <c r="P1088" s="26"/>
    </row>
    <row r="1089">
      <c r="A1089" s="90"/>
      <c r="B1089" s="82"/>
      <c r="C1089" s="83"/>
      <c r="D1089" s="82"/>
      <c r="E1089" s="84"/>
      <c r="F1089" s="85"/>
      <c r="G1089" s="86"/>
      <c r="H1089" s="84"/>
      <c r="I1089" s="86"/>
      <c r="J1089" s="87"/>
      <c r="K1089" s="91"/>
      <c r="L1089" s="89"/>
      <c r="M1089" s="26"/>
      <c r="N1089" s="26"/>
      <c r="O1089" s="26"/>
      <c r="P1089" s="26"/>
    </row>
    <row r="1090">
      <c r="A1090" s="90"/>
      <c r="B1090" s="82"/>
      <c r="C1090" s="83"/>
      <c r="D1090" s="82"/>
      <c r="E1090" s="84"/>
      <c r="F1090" s="85"/>
      <c r="G1090" s="86"/>
      <c r="H1090" s="84"/>
      <c r="I1090" s="86"/>
      <c r="J1090" s="87"/>
      <c r="K1090" s="91"/>
      <c r="L1090" s="89"/>
      <c r="M1090" s="26"/>
      <c r="N1090" s="26"/>
      <c r="O1090" s="26"/>
      <c r="P1090" s="26"/>
    </row>
    <row r="1091">
      <c r="A1091" s="90"/>
      <c r="B1091" s="82"/>
      <c r="C1091" s="83"/>
      <c r="D1091" s="82"/>
      <c r="E1091" s="84"/>
      <c r="F1091" s="85"/>
      <c r="G1091" s="86"/>
      <c r="H1091" s="84"/>
      <c r="I1091" s="86"/>
      <c r="J1091" s="87"/>
      <c r="K1091" s="91"/>
      <c r="L1091" s="89"/>
      <c r="M1091" s="26"/>
      <c r="N1091" s="26"/>
      <c r="O1091" s="26"/>
      <c r="P1091" s="26"/>
    </row>
    <row r="1092">
      <c r="A1092" s="90"/>
      <c r="B1092" s="82"/>
      <c r="C1092" s="83"/>
      <c r="D1092" s="82"/>
      <c r="E1092" s="84"/>
      <c r="F1092" s="85"/>
      <c r="G1092" s="86"/>
      <c r="H1092" s="84"/>
      <c r="I1092" s="86"/>
      <c r="J1092" s="87"/>
      <c r="K1092" s="91"/>
      <c r="L1092" s="89"/>
      <c r="M1092" s="26"/>
      <c r="N1092" s="26"/>
      <c r="O1092" s="26"/>
      <c r="P1092" s="26"/>
    </row>
    <row r="1093">
      <c r="A1093" s="90"/>
      <c r="B1093" s="82"/>
      <c r="C1093" s="83"/>
      <c r="D1093" s="82"/>
      <c r="E1093" s="84"/>
      <c r="F1093" s="85"/>
      <c r="G1093" s="86"/>
      <c r="H1093" s="84"/>
      <c r="I1093" s="86"/>
      <c r="J1093" s="87"/>
      <c r="K1093" s="91"/>
      <c r="L1093" s="89"/>
      <c r="M1093" s="26"/>
      <c r="N1093" s="26"/>
      <c r="O1093" s="26"/>
      <c r="P1093" s="26"/>
    </row>
    <row r="1094">
      <c r="A1094" s="90"/>
      <c r="B1094" s="82"/>
      <c r="C1094" s="83"/>
      <c r="D1094" s="82"/>
      <c r="E1094" s="84"/>
      <c r="F1094" s="85"/>
      <c r="G1094" s="86"/>
      <c r="H1094" s="84"/>
      <c r="I1094" s="86"/>
      <c r="J1094" s="87"/>
      <c r="K1094" s="91"/>
      <c r="L1094" s="89"/>
      <c r="M1094" s="26"/>
      <c r="N1094" s="26"/>
      <c r="O1094" s="26"/>
      <c r="P1094" s="26"/>
    </row>
    <row r="1095">
      <c r="A1095" s="90"/>
      <c r="B1095" s="82"/>
      <c r="C1095" s="83"/>
      <c r="D1095" s="82"/>
      <c r="E1095" s="84"/>
      <c r="F1095" s="85"/>
      <c r="G1095" s="86"/>
      <c r="H1095" s="84"/>
      <c r="I1095" s="86"/>
      <c r="J1095" s="87"/>
      <c r="K1095" s="91"/>
      <c r="L1095" s="89"/>
      <c r="M1095" s="26"/>
      <c r="N1095" s="26"/>
      <c r="O1095" s="26"/>
      <c r="P1095" s="26"/>
    </row>
    <row r="1096">
      <c r="A1096" s="90"/>
      <c r="B1096" s="82"/>
      <c r="C1096" s="83"/>
      <c r="D1096" s="82"/>
      <c r="E1096" s="84"/>
      <c r="F1096" s="85"/>
      <c r="G1096" s="86"/>
      <c r="H1096" s="84"/>
      <c r="I1096" s="86"/>
      <c r="J1096" s="87"/>
      <c r="K1096" s="91"/>
      <c r="L1096" s="89"/>
      <c r="M1096" s="26"/>
      <c r="N1096" s="26"/>
      <c r="O1096" s="26"/>
      <c r="P1096" s="26"/>
    </row>
    <row r="1097">
      <c r="A1097" s="90"/>
      <c r="B1097" s="82"/>
      <c r="C1097" s="83"/>
      <c r="D1097" s="82"/>
      <c r="E1097" s="84"/>
      <c r="F1097" s="85"/>
      <c r="G1097" s="86"/>
      <c r="H1097" s="84"/>
      <c r="I1097" s="86"/>
      <c r="J1097" s="87"/>
      <c r="K1097" s="91"/>
      <c r="L1097" s="89"/>
      <c r="M1097" s="26"/>
      <c r="N1097" s="26"/>
      <c r="O1097" s="26"/>
      <c r="P1097" s="26"/>
    </row>
    <row r="1098">
      <c r="A1098" s="90"/>
      <c r="B1098" s="82"/>
      <c r="C1098" s="83"/>
      <c r="D1098" s="82"/>
      <c r="E1098" s="84"/>
      <c r="F1098" s="85"/>
      <c r="G1098" s="86"/>
      <c r="H1098" s="84"/>
      <c r="I1098" s="86"/>
      <c r="J1098" s="87"/>
      <c r="K1098" s="91"/>
      <c r="L1098" s="89"/>
      <c r="M1098" s="26"/>
      <c r="N1098" s="26"/>
      <c r="O1098" s="26"/>
      <c r="P1098" s="26"/>
    </row>
    <row r="1099">
      <c r="A1099" s="90"/>
      <c r="B1099" s="82"/>
      <c r="C1099" s="83"/>
      <c r="D1099" s="82"/>
      <c r="E1099" s="84"/>
      <c r="F1099" s="85"/>
      <c r="G1099" s="86"/>
      <c r="H1099" s="84"/>
      <c r="I1099" s="86"/>
      <c r="J1099" s="87"/>
      <c r="K1099" s="91"/>
      <c r="L1099" s="89"/>
      <c r="M1099" s="26"/>
      <c r="N1099" s="26"/>
      <c r="O1099" s="26"/>
      <c r="P1099" s="26"/>
    </row>
    <row r="1100">
      <c r="A1100" s="90"/>
      <c r="B1100" s="82"/>
      <c r="C1100" s="83"/>
      <c r="D1100" s="82"/>
      <c r="E1100" s="84"/>
      <c r="F1100" s="85"/>
      <c r="G1100" s="86"/>
      <c r="H1100" s="84"/>
      <c r="I1100" s="86"/>
      <c r="J1100" s="87"/>
      <c r="K1100" s="91"/>
      <c r="L1100" s="89"/>
      <c r="M1100" s="26"/>
      <c r="N1100" s="26"/>
      <c r="O1100" s="26"/>
      <c r="P1100" s="26"/>
    </row>
    <row r="1101">
      <c r="A1101" s="90"/>
      <c r="B1101" s="82"/>
      <c r="C1101" s="83"/>
      <c r="D1101" s="82"/>
      <c r="E1101" s="84"/>
      <c r="F1101" s="85"/>
      <c r="G1101" s="86"/>
      <c r="H1101" s="84"/>
      <c r="I1101" s="86"/>
      <c r="J1101" s="87"/>
      <c r="K1101" s="91"/>
      <c r="L1101" s="89"/>
      <c r="M1101" s="26"/>
      <c r="N1101" s="26"/>
      <c r="O1101" s="26"/>
      <c r="P1101" s="26"/>
    </row>
    <row r="1102">
      <c r="A1102" s="90"/>
      <c r="B1102" s="82"/>
      <c r="C1102" s="83"/>
      <c r="D1102" s="82"/>
      <c r="E1102" s="84"/>
      <c r="F1102" s="85"/>
      <c r="G1102" s="86"/>
      <c r="H1102" s="84"/>
      <c r="I1102" s="86"/>
      <c r="J1102" s="87"/>
      <c r="K1102" s="91"/>
      <c r="L1102" s="89"/>
      <c r="M1102" s="26"/>
      <c r="N1102" s="26"/>
      <c r="O1102" s="26"/>
      <c r="P1102" s="26"/>
    </row>
    <row r="1103">
      <c r="A1103" s="90"/>
      <c r="B1103" s="82"/>
      <c r="C1103" s="83"/>
      <c r="D1103" s="82"/>
      <c r="E1103" s="84"/>
      <c r="F1103" s="85"/>
      <c r="G1103" s="86"/>
      <c r="H1103" s="84"/>
      <c r="I1103" s="86"/>
      <c r="J1103" s="87"/>
      <c r="K1103" s="91"/>
      <c r="L1103" s="89"/>
      <c r="M1103" s="26"/>
      <c r="N1103" s="26"/>
      <c r="O1103" s="26"/>
      <c r="P1103" s="26"/>
    </row>
    <row r="1104">
      <c r="A1104" s="90"/>
      <c r="B1104" s="82"/>
      <c r="C1104" s="83"/>
      <c r="D1104" s="82"/>
      <c r="E1104" s="84"/>
      <c r="F1104" s="85"/>
      <c r="G1104" s="86"/>
      <c r="H1104" s="84"/>
      <c r="I1104" s="86"/>
      <c r="J1104" s="87"/>
      <c r="K1104" s="91"/>
      <c r="L1104" s="89"/>
      <c r="M1104" s="26"/>
      <c r="N1104" s="26"/>
      <c r="O1104" s="26"/>
      <c r="P1104" s="26"/>
    </row>
    <row r="1105">
      <c r="A1105" s="90"/>
      <c r="B1105" s="82"/>
      <c r="C1105" s="83"/>
      <c r="D1105" s="82"/>
      <c r="E1105" s="84"/>
      <c r="F1105" s="85"/>
      <c r="G1105" s="86"/>
      <c r="H1105" s="84"/>
      <c r="I1105" s="86"/>
      <c r="J1105" s="87"/>
      <c r="K1105" s="91"/>
      <c r="L1105" s="89"/>
      <c r="M1105" s="26"/>
      <c r="N1105" s="26"/>
      <c r="O1105" s="26"/>
      <c r="P1105" s="26"/>
    </row>
    <row r="1106">
      <c r="A1106" s="90"/>
      <c r="B1106" s="82"/>
      <c r="C1106" s="83"/>
      <c r="D1106" s="82"/>
      <c r="E1106" s="84"/>
      <c r="F1106" s="85"/>
      <c r="G1106" s="86"/>
      <c r="H1106" s="84"/>
      <c r="I1106" s="86"/>
      <c r="J1106" s="87"/>
      <c r="K1106" s="91"/>
      <c r="L1106" s="89"/>
      <c r="M1106" s="26"/>
      <c r="N1106" s="26"/>
      <c r="O1106" s="26"/>
      <c r="P1106" s="26"/>
    </row>
    <row r="1107">
      <c r="A1107" s="90"/>
      <c r="B1107" s="82"/>
      <c r="C1107" s="83"/>
      <c r="D1107" s="82"/>
      <c r="E1107" s="84"/>
      <c r="F1107" s="85"/>
      <c r="G1107" s="86"/>
      <c r="H1107" s="84"/>
      <c r="I1107" s="86"/>
      <c r="J1107" s="87"/>
      <c r="K1107" s="91"/>
      <c r="L1107" s="89"/>
      <c r="M1107" s="26"/>
      <c r="N1107" s="26"/>
      <c r="O1107" s="26"/>
      <c r="P1107" s="26"/>
    </row>
    <row r="1108">
      <c r="A1108" s="90"/>
      <c r="B1108" s="82"/>
      <c r="C1108" s="83"/>
      <c r="D1108" s="82"/>
      <c r="E1108" s="84"/>
      <c r="F1108" s="85"/>
      <c r="G1108" s="86"/>
      <c r="H1108" s="84"/>
      <c r="I1108" s="86"/>
      <c r="J1108" s="87"/>
      <c r="K1108" s="91"/>
      <c r="L1108" s="89"/>
      <c r="M1108" s="26"/>
      <c r="N1108" s="26"/>
      <c r="O1108" s="26"/>
      <c r="P1108" s="26"/>
    </row>
    <row r="1109">
      <c r="A1109" s="90"/>
      <c r="B1109" s="82"/>
      <c r="C1109" s="83"/>
      <c r="D1109" s="82"/>
      <c r="E1109" s="84"/>
      <c r="F1109" s="85"/>
      <c r="G1109" s="86"/>
      <c r="H1109" s="84"/>
      <c r="I1109" s="86"/>
      <c r="J1109" s="87"/>
      <c r="K1109" s="91"/>
      <c r="L1109" s="89"/>
      <c r="M1109" s="26"/>
      <c r="N1109" s="26"/>
      <c r="O1109" s="26"/>
      <c r="P1109" s="26"/>
    </row>
    <row r="1110">
      <c r="A1110" s="90"/>
      <c r="B1110" s="82"/>
      <c r="C1110" s="83"/>
      <c r="D1110" s="82"/>
      <c r="E1110" s="84"/>
      <c r="F1110" s="85"/>
      <c r="G1110" s="86"/>
      <c r="H1110" s="84"/>
      <c r="I1110" s="86"/>
      <c r="J1110" s="87"/>
      <c r="K1110" s="91"/>
      <c r="L1110" s="89"/>
      <c r="M1110" s="26"/>
      <c r="N1110" s="26"/>
      <c r="O1110" s="26"/>
      <c r="P1110" s="26"/>
    </row>
    <row r="1111">
      <c r="A1111" s="90"/>
      <c r="B1111" s="82"/>
      <c r="C1111" s="83"/>
      <c r="D1111" s="82"/>
      <c r="E1111" s="84"/>
      <c r="F1111" s="85"/>
      <c r="G1111" s="86"/>
      <c r="H1111" s="84"/>
      <c r="I1111" s="86"/>
      <c r="J1111" s="87"/>
      <c r="K1111" s="91"/>
      <c r="L1111" s="89"/>
      <c r="M1111" s="26"/>
      <c r="N1111" s="26"/>
      <c r="O1111" s="26"/>
      <c r="P1111" s="26"/>
    </row>
    <row r="1112">
      <c r="A1112" s="90"/>
      <c r="B1112" s="82"/>
      <c r="C1112" s="83"/>
      <c r="D1112" s="82"/>
      <c r="E1112" s="84"/>
      <c r="F1112" s="85"/>
      <c r="G1112" s="86"/>
      <c r="H1112" s="84"/>
      <c r="I1112" s="86"/>
      <c r="J1112" s="87"/>
      <c r="K1112" s="91"/>
      <c r="L1112" s="89"/>
      <c r="M1112" s="26"/>
      <c r="N1112" s="26"/>
      <c r="O1112" s="26"/>
      <c r="P1112" s="26"/>
    </row>
    <row r="1113">
      <c r="A1113" s="90"/>
      <c r="B1113" s="82"/>
      <c r="C1113" s="83"/>
      <c r="D1113" s="82"/>
      <c r="E1113" s="84"/>
      <c r="F1113" s="85"/>
      <c r="G1113" s="86"/>
      <c r="H1113" s="84"/>
      <c r="I1113" s="86"/>
      <c r="J1113" s="87"/>
      <c r="K1113" s="91"/>
      <c r="L1113" s="89"/>
      <c r="M1113" s="26"/>
      <c r="N1113" s="26"/>
      <c r="O1113" s="26"/>
      <c r="P1113" s="26"/>
    </row>
    <row r="1114">
      <c r="A1114" s="90"/>
      <c r="B1114" s="82"/>
      <c r="C1114" s="83"/>
      <c r="D1114" s="82"/>
      <c r="E1114" s="84"/>
      <c r="F1114" s="85"/>
      <c r="G1114" s="86"/>
      <c r="H1114" s="84"/>
      <c r="I1114" s="86"/>
      <c r="J1114" s="87"/>
      <c r="K1114" s="91"/>
      <c r="L1114" s="89"/>
      <c r="M1114" s="26"/>
      <c r="N1114" s="26"/>
      <c r="O1114" s="26"/>
      <c r="P1114" s="26"/>
    </row>
    <row r="1115">
      <c r="A1115" s="90"/>
      <c r="B1115" s="82"/>
      <c r="C1115" s="83"/>
      <c r="D1115" s="82"/>
      <c r="E1115" s="84"/>
      <c r="F1115" s="85"/>
      <c r="G1115" s="86"/>
      <c r="H1115" s="84"/>
      <c r="I1115" s="86"/>
      <c r="J1115" s="87"/>
      <c r="K1115" s="91"/>
      <c r="L1115" s="89"/>
      <c r="M1115" s="26"/>
      <c r="N1115" s="26"/>
      <c r="O1115" s="26"/>
      <c r="P1115" s="26"/>
    </row>
    <row r="1116">
      <c r="A1116" s="90"/>
      <c r="B1116" s="82"/>
      <c r="C1116" s="83"/>
      <c r="D1116" s="82"/>
      <c r="E1116" s="84"/>
      <c r="F1116" s="85"/>
      <c r="G1116" s="86"/>
      <c r="H1116" s="84"/>
      <c r="I1116" s="86"/>
      <c r="J1116" s="87"/>
      <c r="K1116" s="91"/>
      <c r="L1116" s="89"/>
      <c r="M1116" s="26"/>
      <c r="N1116" s="26"/>
      <c r="O1116" s="26"/>
      <c r="P1116" s="26"/>
    </row>
    <row r="1117">
      <c r="A1117" s="90"/>
      <c r="B1117" s="82"/>
      <c r="C1117" s="83"/>
      <c r="D1117" s="82"/>
      <c r="E1117" s="84"/>
      <c r="F1117" s="85"/>
      <c r="G1117" s="86"/>
      <c r="H1117" s="84"/>
      <c r="I1117" s="86"/>
      <c r="J1117" s="87"/>
      <c r="K1117" s="91"/>
      <c r="L1117" s="89"/>
      <c r="M1117" s="26"/>
      <c r="N1117" s="26"/>
      <c r="O1117" s="26"/>
      <c r="P1117" s="26"/>
    </row>
    <row r="1118">
      <c r="A1118" s="90"/>
      <c r="B1118" s="82"/>
      <c r="C1118" s="83"/>
      <c r="D1118" s="82"/>
      <c r="E1118" s="84"/>
      <c r="F1118" s="85"/>
      <c r="G1118" s="86"/>
      <c r="H1118" s="84"/>
      <c r="I1118" s="86"/>
      <c r="J1118" s="87"/>
      <c r="K1118" s="91"/>
      <c r="L1118" s="89"/>
      <c r="M1118" s="26"/>
      <c r="N1118" s="26"/>
      <c r="O1118" s="26"/>
      <c r="P1118" s="26"/>
    </row>
    <row r="1119">
      <c r="A1119" s="90"/>
      <c r="B1119" s="82"/>
      <c r="C1119" s="83"/>
      <c r="D1119" s="82"/>
      <c r="E1119" s="84"/>
      <c r="F1119" s="85"/>
      <c r="G1119" s="86"/>
      <c r="H1119" s="84"/>
      <c r="I1119" s="86"/>
      <c r="J1119" s="87"/>
      <c r="K1119" s="91"/>
      <c r="L1119" s="89"/>
      <c r="M1119" s="26"/>
      <c r="N1119" s="26"/>
      <c r="O1119" s="26"/>
      <c r="P1119" s="26"/>
    </row>
    <row r="1120">
      <c r="A1120" s="90"/>
      <c r="B1120" s="82"/>
      <c r="C1120" s="83"/>
      <c r="D1120" s="82"/>
      <c r="E1120" s="84"/>
      <c r="F1120" s="85"/>
      <c r="G1120" s="86"/>
      <c r="H1120" s="84"/>
      <c r="I1120" s="86"/>
      <c r="J1120" s="87"/>
      <c r="K1120" s="91"/>
      <c r="L1120" s="89"/>
      <c r="M1120" s="26"/>
      <c r="N1120" s="26"/>
      <c r="O1120" s="26"/>
      <c r="P1120" s="26"/>
    </row>
    <row r="1121">
      <c r="A1121" s="90"/>
      <c r="B1121" s="82"/>
      <c r="C1121" s="83"/>
      <c r="D1121" s="82"/>
      <c r="E1121" s="84"/>
      <c r="F1121" s="85"/>
      <c r="G1121" s="86"/>
      <c r="H1121" s="84"/>
      <c r="I1121" s="86"/>
      <c r="J1121" s="87"/>
      <c r="K1121" s="91"/>
      <c r="L1121" s="89"/>
      <c r="M1121" s="26"/>
      <c r="N1121" s="26"/>
      <c r="O1121" s="26"/>
      <c r="P1121" s="26"/>
    </row>
    <row r="1122">
      <c r="A1122" s="90"/>
      <c r="B1122" s="82"/>
      <c r="C1122" s="83"/>
      <c r="D1122" s="82"/>
      <c r="E1122" s="84"/>
      <c r="F1122" s="85"/>
      <c r="G1122" s="86"/>
      <c r="H1122" s="84"/>
      <c r="I1122" s="86"/>
      <c r="J1122" s="87"/>
      <c r="K1122" s="91"/>
      <c r="L1122" s="89"/>
      <c r="M1122" s="26"/>
      <c r="N1122" s="26"/>
      <c r="O1122" s="26"/>
      <c r="P1122" s="26"/>
    </row>
    <row r="1123">
      <c r="A1123" s="90"/>
      <c r="B1123" s="82"/>
      <c r="C1123" s="83"/>
      <c r="D1123" s="82"/>
      <c r="E1123" s="84"/>
      <c r="F1123" s="85"/>
      <c r="G1123" s="86"/>
      <c r="H1123" s="84"/>
      <c r="I1123" s="86"/>
      <c r="J1123" s="87"/>
      <c r="K1123" s="91"/>
      <c r="L1123" s="89"/>
      <c r="M1123" s="26"/>
      <c r="N1123" s="26"/>
      <c r="O1123" s="26"/>
      <c r="P1123" s="26"/>
    </row>
    <row r="1124">
      <c r="A1124" s="90"/>
      <c r="B1124" s="82"/>
      <c r="C1124" s="83"/>
      <c r="D1124" s="82"/>
      <c r="E1124" s="84"/>
      <c r="F1124" s="85"/>
      <c r="G1124" s="86"/>
      <c r="H1124" s="84"/>
      <c r="I1124" s="86"/>
      <c r="J1124" s="87"/>
      <c r="K1124" s="91"/>
      <c r="L1124" s="89"/>
      <c r="M1124" s="26"/>
      <c r="N1124" s="26"/>
      <c r="O1124" s="26"/>
      <c r="P1124" s="26"/>
    </row>
    <row r="1125">
      <c r="A1125" s="90"/>
      <c r="B1125" s="82"/>
      <c r="C1125" s="83"/>
      <c r="D1125" s="82"/>
      <c r="E1125" s="84"/>
      <c r="F1125" s="85"/>
      <c r="G1125" s="86"/>
      <c r="H1125" s="84"/>
      <c r="I1125" s="86"/>
      <c r="J1125" s="87"/>
      <c r="K1125" s="91"/>
      <c r="L1125" s="89"/>
      <c r="M1125" s="26"/>
      <c r="N1125" s="26"/>
      <c r="O1125" s="26"/>
      <c r="P1125" s="26"/>
    </row>
    <row r="1126">
      <c r="A1126" s="90"/>
      <c r="B1126" s="82"/>
      <c r="C1126" s="83"/>
      <c r="D1126" s="82"/>
      <c r="E1126" s="84"/>
      <c r="F1126" s="85"/>
      <c r="G1126" s="86"/>
      <c r="H1126" s="84"/>
      <c r="I1126" s="86"/>
      <c r="J1126" s="87"/>
      <c r="K1126" s="91"/>
      <c r="L1126" s="89"/>
      <c r="M1126" s="26"/>
      <c r="N1126" s="26"/>
      <c r="O1126" s="26"/>
      <c r="P1126" s="26"/>
    </row>
    <row r="1127">
      <c r="A1127" s="90"/>
      <c r="B1127" s="82"/>
      <c r="C1127" s="83"/>
      <c r="D1127" s="82"/>
      <c r="E1127" s="84"/>
      <c r="F1127" s="85"/>
      <c r="G1127" s="86"/>
      <c r="H1127" s="84"/>
      <c r="I1127" s="86"/>
      <c r="J1127" s="87"/>
      <c r="K1127" s="91"/>
      <c r="L1127" s="89"/>
      <c r="M1127" s="26"/>
      <c r="N1127" s="26"/>
      <c r="O1127" s="26"/>
      <c r="P1127" s="26"/>
    </row>
    <row r="1128">
      <c r="A1128" s="90"/>
      <c r="B1128" s="82"/>
      <c r="C1128" s="83"/>
      <c r="D1128" s="82"/>
      <c r="E1128" s="84"/>
      <c r="F1128" s="85"/>
      <c r="G1128" s="86"/>
      <c r="H1128" s="84"/>
      <c r="I1128" s="86"/>
      <c r="J1128" s="87"/>
      <c r="K1128" s="91"/>
      <c r="L1128" s="89"/>
      <c r="M1128" s="26"/>
      <c r="N1128" s="26"/>
      <c r="O1128" s="26"/>
      <c r="P1128" s="26"/>
    </row>
    <row r="1129">
      <c r="A1129" s="90"/>
      <c r="B1129" s="82"/>
      <c r="C1129" s="83"/>
      <c r="D1129" s="82"/>
      <c r="E1129" s="84"/>
      <c r="F1129" s="85"/>
      <c r="G1129" s="86"/>
      <c r="H1129" s="84"/>
      <c r="I1129" s="86"/>
      <c r="J1129" s="87"/>
      <c r="K1129" s="91"/>
      <c r="L1129" s="89"/>
      <c r="M1129" s="26"/>
      <c r="N1129" s="26"/>
      <c r="O1129" s="26"/>
      <c r="P1129" s="26"/>
    </row>
    <row r="1130">
      <c r="A1130" s="90"/>
      <c r="B1130" s="82"/>
      <c r="C1130" s="83"/>
      <c r="D1130" s="82"/>
      <c r="E1130" s="84"/>
      <c r="F1130" s="85"/>
      <c r="G1130" s="86"/>
      <c r="H1130" s="84"/>
      <c r="I1130" s="86"/>
      <c r="J1130" s="87"/>
      <c r="K1130" s="91"/>
      <c r="L1130" s="89"/>
      <c r="M1130" s="26"/>
      <c r="N1130" s="26"/>
      <c r="O1130" s="26"/>
      <c r="P1130" s="26"/>
    </row>
    <row r="1131">
      <c r="A1131" s="90"/>
      <c r="B1131" s="82"/>
      <c r="C1131" s="83"/>
      <c r="D1131" s="82"/>
      <c r="E1131" s="84"/>
      <c r="F1131" s="85"/>
      <c r="G1131" s="86"/>
      <c r="H1131" s="84"/>
      <c r="I1131" s="86"/>
      <c r="J1131" s="87"/>
      <c r="K1131" s="91"/>
      <c r="L1131" s="89"/>
      <c r="M1131" s="26"/>
      <c r="N1131" s="26"/>
      <c r="O1131" s="26"/>
      <c r="P1131" s="26"/>
    </row>
    <row r="1132">
      <c r="A1132" s="90"/>
      <c r="B1132" s="82"/>
      <c r="C1132" s="83"/>
      <c r="D1132" s="82"/>
      <c r="E1132" s="84"/>
      <c r="F1132" s="85"/>
      <c r="G1132" s="86"/>
      <c r="H1132" s="84"/>
      <c r="I1132" s="86"/>
      <c r="J1132" s="87"/>
      <c r="K1132" s="91"/>
      <c r="L1132" s="89"/>
      <c r="M1132" s="26"/>
      <c r="N1132" s="26"/>
      <c r="O1132" s="26"/>
      <c r="P1132" s="26"/>
    </row>
    <row r="1133">
      <c r="A1133" s="90"/>
      <c r="B1133" s="82"/>
      <c r="C1133" s="83"/>
      <c r="D1133" s="82"/>
      <c r="E1133" s="84"/>
      <c r="F1133" s="85"/>
      <c r="G1133" s="86"/>
      <c r="H1133" s="84"/>
      <c r="I1133" s="86"/>
      <c r="J1133" s="87"/>
      <c r="K1133" s="91"/>
      <c r="L1133" s="89"/>
      <c r="M1133" s="26"/>
      <c r="N1133" s="26"/>
      <c r="O1133" s="26"/>
      <c r="P1133" s="26"/>
    </row>
    <row r="1134">
      <c r="A1134" s="90"/>
      <c r="B1134" s="82"/>
      <c r="C1134" s="83"/>
      <c r="D1134" s="82"/>
      <c r="E1134" s="84"/>
      <c r="F1134" s="85"/>
      <c r="G1134" s="86"/>
      <c r="H1134" s="84"/>
      <c r="I1134" s="86"/>
      <c r="J1134" s="87"/>
      <c r="K1134" s="91"/>
      <c r="L1134" s="89"/>
      <c r="M1134" s="26"/>
      <c r="N1134" s="26"/>
      <c r="O1134" s="26"/>
      <c r="P1134" s="26"/>
    </row>
    <row r="1135">
      <c r="A1135" s="90"/>
      <c r="B1135" s="82"/>
      <c r="C1135" s="83"/>
      <c r="D1135" s="82"/>
      <c r="E1135" s="84"/>
      <c r="F1135" s="85"/>
      <c r="G1135" s="86"/>
      <c r="H1135" s="84"/>
      <c r="I1135" s="86"/>
      <c r="J1135" s="87"/>
      <c r="K1135" s="91"/>
      <c r="L1135" s="89"/>
      <c r="M1135" s="26"/>
      <c r="N1135" s="26"/>
      <c r="O1135" s="26"/>
      <c r="P1135" s="26"/>
    </row>
    <row r="1136">
      <c r="A1136" s="90"/>
      <c r="B1136" s="82"/>
      <c r="C1136" s="83"/>
      <c r="D1136" s="82"/>
      <c r="E1136" s="84"/>
      <c r="F1136" s="85"/>
      <c r="G1136" s="86"/>
      <c r="H1136" s="84"/>
      <c r="I1136" s="86"/>
      <c r="J1136" s="87"/>
      <c r="K1136" s="91"/>
      <c r="L1136" s="89"/>
      <c r="M1136" s="26"/>
      <c r="N1136" s="26"/>
      <c r="O1136" s="26"/>
      <c r="P1136" s="26"/>
    </row>
    <row r="1137">
      <c r="A1137" s="90"/>
      <c r="B1137" s="82"/>
      <c r="C1137" s="83"/>
      <c r="D1137" s="82"/>
      <c r="E1137" s="84"/>
      <c r="F1137" s="85"/>
      <c r="G1137" s="86"/>
      <c r="H1137" s="84"/>
      <c r="I1137" s="86"/>
      <c r="J1137" s="87"/>
      <c r="K1137" s="91"/>
      <c r="L1137" s="89"/>
      <c r="M1137" s="26"/>
      <c r="N1137" s="26"/>
      <c r="O1137" s="26"/>
      <c r="P1137" s="26"/>
    </row>
    <row r="1138">
      <c r="A1138" s="90"/>
      <c r="B1138" s="82"/>
      <c r="C1138" s="83"/>
      <c r="D1138" s="82"/>
      <c r="E1138" s="84"/>
      <c r="F1138" s="85"/>
      <c r="G1138" s="86"/>
      <c r="H1138" s="84"/>
      <c r="I1138" s="86"/>
      <c r="J1138" s="87"/>
      <c r="K1138" s="91"/>
      <c r="L1138" s="89"/>
      <c r="M1138" s="26"/>
      <c r="N1138" s="26"/>
      <c r="O1138" s="26"/>
      <c r="P1138" s="26"/>
    </row>
    <row r="1139">
      <c r="A1139" s="90"/>
      <c r="B1139" s="82"/>
      <c r="C1139" s="83"/>
      <c r="D1139" s="82"/>
      <c r="E1139" s="84"/>
      <c r="F1139" s="85"/>
      <c r="G1139" s="86"/>
      <c r="H1139" s="84"/>
      <c r="I1139" s="86"/>
      <c r="J1139" s="87"/>
      <c r="K1139" s="91"/>
      <c r="L1139" s="89"/>
      <c r="M1139" s="26"/>
      <c r="N1139" s="26"/>
      <c r="O1139" s="26"/>
      <c r="P1139" s="26"/>
    </row>
    <row r="1140">
      <c r="A1140" s="90"/>
      <c r="B1140" s="82"/>
      <c r="C1140" s="83"/>
      <c r="D1140" s="82"/>
      <c r="E1140" s="84"/>
      <c r="F1140" s="85"/>
      <c r="G1140" s="86"/>
      <c r="H1140" s="84"/>
      <c r="I1140" s="86"/>
      <c r="J1140" s="87"/>
      <c r="K1140" s="91"/>
      <c r="L1140" s="89"/>
      <c r="M1140" s="26"/>
      <c r="N1140" s="26"/>
      <c r="O1140" s="26"/>
      <c r="P1140" s="26"/>
    </row>
    <row r="1141">
      <c r="A1141" s="90"/>
      <c r="B1141" s="82"/>
      <c r="C1141" s="83"/>
      <c r="D1141" s="82"/>
      <c r="E1141" s="84"/>
      <c r="F1141" s="85"/>
      <c r="G1141" s="86"/>
      <c r="H1141" s="84"/>
      <c r="I1141" s="86"/>
      <c r="J1141" s="87"/>
      <c r="K1141" s="91"/>
      <c r="L1141" s="89"/>
      <c r="M1141" s="26"/>
      <c r="N1141" s="26"/>
      <c r="O1141" s="26"/>
      <c r="P1141" s="26"/>
    </row>
    <row r="1142">
      <c r="A1142" s="90"/>
      <c r="B1142" s="82"/>
      <c r="C1142" s="83"/>
      <c r="D1142" s="82"/>
      <c r="E1142" s="84"/>
      <c r="F1142" s="85"/>
      <c r="G1142" s="86"/>
      <c r="H1142" s="84"/>
      <c r="I1142" s="86"/>
      <c r="J1142" s="87"/>
      <c r="K1142" s="91"/>
      <c r="L1142" s="89"/>
      <c r="M1142" s="26"/>
      <c r="N1142" s="26"/>
      <c r="O1142" s="26"/>
      <c r="P1142" s="26"/>
    </row>
    <row r="1143">
      <c r="A1143" s="90"/>
      <c r="B1143" s="82"/>
      <c r="C1143" s="83"/>
      <c r="D1143" s="82"/>
      <c r="E1143" s="84"/>
      <c r="F1143" s="85"/>
      <c r="G1143" s="86"/>
      <c r="H1143" s="84"/>
      <c r="I1143" s="86"/>
      <c r="J1143" s="87"/>
      <c r="K1143" s="91"/>
      <c r="L1143" s="89"/>
      <c r="M1143" s="26"/>
      <c r="N1143" s="26"/>
      <c r="O1143" s="26"/>
      <c r="P1143" s="26"/>
    </row>
    <row r="1144">
      <c r="A1144" s="90"/>
      <c r="B1144" s="82"/>
      <c r="C1144" s="83"/>
      <c r="D1144" s="82"/>
      <c r="E1144" s="84"/>
      <c r="F1144" s="85"/>
      <c r="G1144" s="86"/>
      <c r="H1144" s="84"/>
      <c r="I1144" s="86"/>
      <c r="J1144" s="87"/>
      <c r="K1144" s="91"/>
      <c r="L1144" s="89"/>
      <c r="M1144" s="26"/>
      <c r="N1144" s="26"/>
      <c r="O1144" s="26"/>
      <c r="P1144" s="26"/>
    </row>
    <row r="1145">
      <c r="A1145" s="90"/>
      <c r="B1145" s="82"/>
      <c r="C1145" s="83"/>
      <c r="D1145" s="82"/>
      <c r="E1145" s="84"/>
      <c r="F1145" s="85"/>
      <c r="G1145" s="86"/>
      <c r="H1145" s="84"/>
      <c r="I1145" s="86"/>
      <c r="J1145" s="87"/>
      <c r="K1145" s="91"/>
      <c r="L1145" s="89"/>
      <c r="M1145" s="26"/>
      <c r="N1145" s="26"/>
      <c r="O1145" s="26"/>
      <c r="P1145" s="26"/>
    </row>
    <row r="1146">
      <c r="A1146" s="90"/>
      <c r="B1146" s="82"/>
      <c r="C1146" s="83"/>
      <c r="D1146" s="82"/>
      <c r="E1146" s="84"/>
      <c r="F1146" s="85"/>
      <c r="G1146" s="86"/>
      <c r="H1146" s="84"/>
      <c r="I1146" s="86"/>
      <c r="J1146" s="87"/>
      <c r="K1146" s="91"/>
      <c r="L1146" s="89"/>
      <c r="M1146" s="26"/>
      <c r="N1146" s="26"/>
      <c r="O1146" s="26"/>
      <c r="P1146" s="26"/>
    </row>
    <row r="1147">
      <c r="A1147" s="90"/>
      <c r="B1147" s="82"/>
      <c r="C1147" s="83"/>
      <c r="D1147" s="82"/>
      <c r="E1147" s="84"/>
      <c r="F1147" s="85"/>
      <c r="G1147" s="86"/>
      <c r="H1147" s="84"/>
      <c r="I1147" s="86"/>
      <c r="J1147" s="87"/>
      <c r="K1147" s="91"/>
      <c r="L1147" s="89"/>
      <c r="M1147" s="26"/>
      <c r="N1147" s="26"/>
      <c r="O1147" s="26"/>
      <c r="P1147" s="26"/>
    </row>
    <row r="1148">
      <c r="A1148" s="90"/>
      <c r="B1148" s="82"/>
      <c r="C1148" s="83"/>
      <c r="D1148" s="82"/>
      <c r="E1148" s="84"/>
      <c r="F1148" s="85"/>
      <c r="G1148" s="86"/>
      <c r="H1148" s="84"/>
      <c r="I1148" s="86"/>
      <c r="J1148" s="87"/>
      <c r="K1148" s="91"/>
      <c r="L1148" s="89"/>
      <c r="M1148" s="26"/>
      <c r="N1148" s="26"/>
      <c r="O1148" s="26"/>
      <c r="P1148" s="26"/>
    </row>
    <row r="1149">
      <c r="A1149" s="90"/>
      <c r="B1149" s="82"/>
      <c r="C1149" s="83"/>
      <c r="D1149" s="82"/>
      <c r="E1149" s="84"/>
      <c r="F1149" s="85"/>
      <c r="G1149" s="86"/>
      <c r="H1149" s="84"/>
      <c r="I1149" s="86"/>
      <c r="J1149" s="87"/>
      <c r="K1149" s="91"/>
      <c r="L1149" s="89"/>
      <c r="M1149" s="26"/>
      <c r="N1149" s="26"/>
      <c r="O1149" s="26"/>
      <c r="P1149" s="26"/>
    </row>
    <row r="1150">
      <c r="A1150" s="90"/>
      <c r="B1150" s="82"/>
      <c r="C1150" s="83"/>
      <c r="D1150" s="82"/>
      <c r="E1150" s="84"/>
      <c r="F1150" s="85"/>
      <c r="G1150" s="86"/>
      <c r="H1150" s="84"/>
      <c r="I1150" s="86"/>
      <c r="J1150" s="87"/>
      <c r="K1150" s="91"/>
      <c r="L1150" s="89"/>
      <c r="M1150" s="26"/>
      <c r="N1150" s="26"/>
      <c r="O1150" s="26"/>
      <c r="P1150" s="26"/>
    </row>
    <row r="1151">
      <c r="A1151" s="90"/>
      <c r="B1151" s="82"/>
      <c r="C1151" s="83"/>
      <c r="D1151" s="82"/>
      <c r="E1151" s="84"/>
      <c r="F1151" s="85"/>
      <c r="G1151" s="86"/>
      <c r="H1151" s="84"/>
      <c r="I1151" s="86"/>
      <c r="J1151" s="87"/>
      <c r="K1151" s="91"/>
      <c r="L1151" s="89"/>
      <c r="M1151" s="26"/>
      <c r="N1151" s="26"/>
      <c r="O1151" s="26"/>
      <c r="P1151" s="26"/>
    </row>
    <row r="1152">
      <c r="A1152" s="90"/>
      <c r="B1152" s="82"/>
      <c r="C1152" s="83"/>
      <c r="D1152" s="82"/>
      <c r="E1152" s="84"/>
      <c r="F1152" s="85"/>
      <c r="G1152" s="86"/>
      <c r="H1152" s="84"/>
      <c r="I1152" s="86"/>
      <c r="J1152" s="87"/>
      <c r="K1152" s="91"/>
      <c r="L1152" s="89"/>
      <c r="M1152" s="26"/>
      <c r="N1152" s="26"/>
      <c r="O1152" s="26"/>
      <c r="P1152" s="26"/>
    </row>
    <row r="1153">
      <c r="A1153" s="90"/>
      <c r="B1153" s="82"/>
      <c r="C1153" s="83"/>
      <c r="D1153" s="82"/>
      <c r="E1153" s="84"/>
      <c r="F1153" s="85"/>
      <c r="G1153" s="86"/>
      <c r="H1153" s="84"/>
      <c r="I1153" s="86"/>
      <c r="J1153" s="87"/>
      <c r="K1153" s="91"/>
      <c r="L1153" s="89"/>
      <c r="M1153" s="26"/>
      <c r="N1153" s="26"/>
      <c r="O1153" s="26"/>
      <c r="P1153" s="26"/>
    </row>
    <row r="1154">
      <c r="A1154" s="90"/>
      <c r="B1154" s="82"/>
      <c r="C1154" s="83"/>
      <c r="D1154" s="82"/>
      <c r="E1154" s="84"/>
      <c r="F1154" s="85"/>
      <c r="G1154" s="86"/>
      <c r="H1154" s="84"/>
      <c r="I1154" s="86"/>
      <c r="J1154" s="87"/>
      <c r="K1154" s="91"/>
      <c r="L1154" s="89"/>
      <c r="M1154" s="26"/>
      <c r="N1154" s="26"/>
      <c r="O1154" s="26"/>
      <c r="P1154" s="26"/>
    </row>
    <row r="1155">
      <c r="A1155" s="90"/>
      <c r="B1155" s="82"/>
      <c r="C1155" s="83"/>
      <c r="D1155" s="82"/>
      <c r="E1155" s="84"/>
      <c r="F1155" s="85"/>
      <c r="G1155" s="86"/>
      <c r="H1155" s="84"/>
      <c r="I1155" s="86"/>
      <c r="J1155" s="87"/>
      <c r="K1155" s="91"/>
      <c r="L1155" s="89"/>
      <c r="M1155" s="26"/>
      <c r="N1155" s="26"/>
      <c r="O1155" s="26"/>
      <c r="P1155" s="26"/>
    </row>
    <row r="1156">
      <c r="A1156" s="90"/>
      <c r="B1156" s="82"/>
      <c r="C1156" s="83"/>
      <c r="D1156" s="82"/>
      <c r="E1156" s="84"/>
      <c r="F1156" s="85"/>
      <c r="G1156" s="86"/>
      <c r="H1156" s="84"/>
      <c r="I1156" s="86"/>
      <c r="J1156" s="87"/>
      <c r="K1156" s="91"/>
      <c r="L1156" s="89"/>
      <c r="M1156" s="26"/>
      <c r="N1156" s="26"/>
      <c r="O1156" s="26"/>
      <c r="P1156" s="26"/>
    </row>
    <row r="1157">
      <c r="A1157" s="90"/>
      <c r="B1157" s="82"/>
      <c r="C1157" s="83"/>
      <c r="D1157" s="82"/>
      <c r="E1157" s="84"/>
      <c r="F1157" s="85"/>
      <c r="G1157" s="86"/>
      <c r="H1157" s="84"/>
      <c r="I1157" s="86"/>
      <c r="J1157" s="87"/>
      <c r="K1157" s="91"/>
      <c r="L1157" s="89"/>
      <c r="M1157" s="26"/>
      <c r="N1157" s="26"/>
      <c r="O1157" s="26"/>
      <c r="P1157" s="26"/>
    </row>
    <row r="1158">
      <c r="A1158" s="90"/>
      <c r="B1158" s="82"/>
      <c r="C1158" s="83"/>
      <c r="D1158" s="82"/>
      <c r="E1158" s="84"/>
      <c r="F1158" s="85"/>
      <c r="G1158" s="86"/>
      <c r="H1158" s="84"/>
      <c r="I1158" s="86"/>
      <c r="J1158" s="87"/>
      <c r="K1158" s="91"/>
      <c r="L1158" s="89"/>
      <c r="M1158" s="26"/>
      <c r="N1158" s="26"/>
      <c r="O1158" s="26"/>
      <c r="P1158" s="26"/>
    </row>
    <row r="1159">
      <c r="A1159" s="90"/>
      <c r="B1159" s="82"/>
      <c r="C1159" s="83"/>
      <c r="D1159" s="82"/>
      <c r="E1159" s="84"/>
      <c r="F1159" s="85"/>
      <c r="G1159" s="86"/>
      <c r="H1159" s="84"/>
      <c r="I1159" s="86"/>
      <c r="J1159" s="87"/>
      <c r="K1159" s="91"/>
      <c r="L1159" s="89"/>
      <c r="M1159" s="26"/>
      <c r="N1159" s="26"/>
      <c r="O1159" s="26"/>
      <c r="P1159" s="26"/>
    </row>
    <row r="1160">
      <c r="A1160" s="90"/>
      <c r="B1160" s="82"/>
      <c r="C1160" s="83"/>
      <c r="D1160" s="82"/>
      <c r="E1160" s="84"/>
      <c r="F1160" s="85"/>
      <c r="G1160" s="86"/>
      <c r="H1160" s="84"/>
      <c r="I1160" s="86"/>
      <c r="J1160" s="87"/>
      <c r="K1160" s="91"/>
      <c r="L1160" s="89"/>
      <c r="M1160" s="26"/>
      <c r="N1160" s="26"/>
      <c r="O1160" s="26"/>
      <c r="P1160" s="26"/>
    </row>
    <row r="1161">
      <c r="A1161" s="90"/>
      <c r="B1161" s="82"/>
      <c r="C1161" s="83"/>
      <c r="D1161" s="82"/>
      <c r="E1161" s="84"/>
      <c r="F1161" s="85"/>
      <c r="G1161" s="86"/>
      <c r="H1161" s="84"/>
      <c r="I1161" s="86"/>
      <c r="J1161" s="87"/>
      <c r="K1161" s="91"/>
      <c r="L1161" s="89"/>
      <c r="M1161" s="26"/>
      <c r="N1161" s="26"/>
      <c r="O1161" s="26"/>
      <c r="P1161" s="26"/>
    </row>
    <row r="1162">
      <c r="A1162" s="90"/>
      <c r="B1162" s="82"/>
      <c r="C1162" s="83"/>
      <c r="D1162" s="82"/>
      <c r="E1162" s="84"/>
      <c r="F1162" s="85"/>
      <c r="G1162" s="86"/>
      <c r="H1162" s="84"/>
      <c r="I1162" s="86"/>
      <c r="J1162" s="87"/>
      <c r="K1162" s="91"/>
      <c r="L1162" s="89"/>
      <c r="M1162" s="26"/>
      <c r="N1162" s="26"/>
      <c r="O1162" s="26"/>
      <c r="P1162" s="26"/>
    </row>
    <row r="1163">
      <c r="A1163" s="90"/>
      <c r="B1163" s="82"/>
      <c r="C1163" s="83"/>
      <c r="D1163" s="82"/>
      <c r="E1163" s="84"/>
      <c r="F1163" s="85"/>
      <c r="G1163" s="86"/>
      <c r="H1163" s="84"/>
      <c r="I1163" s="86"/>
      <c r="J1163" s="87"/>
      <c r="K1163" s="91"/>
      <c r="L1163" s="89"/>
      <c r="M1163" s="26"/>
      <c r="N1163" s="26"/>
      <c r="O1163" s="26"/>
      <c r="P1163" s="26"/>
    </row>
    <row r="1164">
      <c r="A1164" s="90"/>
      <c r="B1164" s="82"/>
      <c r="C1164" s="83"/>
      <c r="D1164" s="82"/>
      <c r="E1164" s="84"/>
      <c r="F1164" s="85"/>
      <c r="G1164" s="86"/>
      <c r="H1164" s="84"/>
      <c r="I1164" s="86"/>
      <c r="J1164" s="87"/>
      <c r="K1164" s="91"/>
      <c r="L1164" s="89"/>
      <c r="M1164" s="26"/>
      <c r="N1164" s="26"/>
      <c r="O1164" s="26"/>
      <c r="P1164" s="26"/>
    </row>
    <row r="1165">
      <c r="A1165" s="90"/>
      <c r="B1165" s="82"/>
      <c r="C1165" s="83"/>
      <c r="D1165" s="82"/>
      <c r="E1165" s="84"/>
      <c r="F1165" s="85"/>
      <c r="G1165" s="86"/>
      <c r="H1165" s="84"/>
      <c r="I1165" s="86"/>
      <c r="J1165" s="87"/>
      <c r="K1165" s="91"/>
      <c r="L1165" s="89"/>
      <c r="M1165" s="26"/>
      <c r="N1165" s="26"/>
      <c r="O1165" s="26"/>
      <c r="P1165" s="26"/>
    </row>
    <row r="1166">
      <c r="A1166" s="90"/>
      <c r="B1166" s="82"/>
      <c r="C1166" s="83"/>
      <c r="D1166" s="82"/>
      <c r="E1166" s="84"/>
      <c r="F1166" s="85"/>
      <c r="G1166" s="86"/>
      <c r="H1166" s="84"/>
      <c r="I1166" s="86"/>
      <c r="J1166" s="87"/>
      <c r="K1166" s="91"/>
      <c r="L1166" s="89"/>
      <c r="M1166" s="26"/>
      <c r="N1166" s="26"/>
      <c r="O1166" s="26"/>
      <c r="P1166" s="26"/>
    </row>
    <row r="1167">
      <c r="A1167" s="90"/>
      <c r="B1167" s="82"/>
      <c r="C1167" s="83"/>
      <c r="D1167" s="82"/>
      <c r="E1167" s="84"/>
      <c r="F1167" s="85"/>
      <c r="G1167" s="86"/>
      <c r="H1167" s="84"/>
      <c r="I1167" s="86"/>
      <c r="J1167" s="87"/>
      <c r="K1167" s="91"/>
      <c r="L1167" s="89"/>
      <c r="M1167" s="26"/>
      <c r="N1167" s="26"/>
      <c r="O1167" s="26"/>
      <c r="P1167" s="26"/>
    </row>
    <row r="1168">
      <c r="A1168" s="90"/>
      <c r="B1168" s="82"/>
      <c r="C1168" s="83"/>
      <c r="D1168" s="82"/>
      <c r="E1168" s="84"/>
      <c r="F1168" s="85"/>
      <c r="G1168" s="86"/>
      <c r="H1168" s="84"/>
      <c r="I1168" s="86"/>
      <c r="J1168" s="87"/>
      <c r="K1168" s="91"/>
      <c r="L1168" s="89"/>
      <c r="M1168" s="26"/>
      <c r="N1168" s="26"/>
      <c r="O1168" s="26"/>
      <c r="P1168" s="26"/>
    </row>
    <row r="1169">
      <c r="A1169" s="90"/>
      <c r="B1169" s="82"/>
      <c r="C1169" s="83"/>
      <c r="D1169" s="82"/>
      <c r="E1169" s="84"/>
      <c r="F1169" s="85"/>
      <c r="G1169" s="86"/>
      <c r="H1169" s="84"/>
      <c r="I1169" s="86"/>
      <c r="J1169" s="87"/>
      <c r="K1169" s="91"/>
      <c r="L1169" s="89"/>
      <c r="M1169" s="26"/>
      <c r="N1169" s="26"/>
      <c r="O1169" s="26"/>
      <c r="P1169" s="26"/>
    </row>
    <row r="1170">
      <c r="A1170" s="90"/>
      <c r="B1170" s="82"/>
      <c r="C1170" s="83"/>
      <c r="D1170" s="82"/>
      <c r="E1170" s="84"/>
      <c r="F1170" s="85"/>
      <c r="G1170" s="86"/>
      <c r="H1170" s="84"/>
      <c r="I1170" s="86"/>
      <c r="J1170" s="87"/>
      <c r="K1170" s="91"/>
      <c r="L1170" s="89"/>
      <c r="M1170" s="26"/>
      <c r="N1170" s="26"/>
      <c r="O1170" s="26"/>
      <c r="P1170" s="26"/>
    </row>
    <row r="1171">
      <c r="A1171" s="90"/>
      <c r="B1171" s="82"/>
      <c r="C1171" s="83"/>
      <c r="D1171" s="82"/>
      <c r="E1171" s="84"/>
      <c r="F1171" s="85"/>
      <c r="G1171" s="86"/>
      <c r="H1171" s="84"/>
      <c r="I1171" s="86"/>
      <c r="J1171" s="87"/>
      <c r="K1171" s="91"/>
      <c r="L1171" s="89"/>
      <c r="M1171" s="26"/>
      <c r="N1171" s="26"/>
      <c r="O1171" s="26"/>
      <c r="P1171" s="26"/>
    </row>
    <row r="1172">
      <c r="A1172" s="90"/>
      <c r="B1172" s="82"/>
      <c r="C1172" s="83"/>
      <c r="D1172" s="82"/>
      <c r="E1172" s="84"/>
      <c r="F1172" s="85"/>
      <c r="G1172" s="86"/>
      <c r="H1172" s="84"/>
      <c r="I1172" s="86"/>
      <c r="J1172" s="87"/>
      <c r="K1172" s="91"/>
      <c r="L1172" s="89"/>
      <c r="M1172" s="26"/>
      <c r="N1172" s="26"/>
      <c r="O1172" s="26"/>
      <c r="P1172" s="26"/>
    </row>
    <row r="1173">
      <c r="A1173" s="90"/>
      <c r="B1173" s="82"/>
      <c r="C1173" s="83"/>
      <c r="D1173" s="82"/>
      <c r="E1173" s="84"/>
      <c r="F1173" s="85"/>
      <c r="G1173" s="86"/>
      <c r="H1173" s="84"/>
      <c r="I1173" s="86"/>
      <c r="J1173" s="87"/>
      <c r="K1173" s="91"/>
      <c r="L1173" s="89"/>
      <c r="M1173" s="26"/>
      <c r="N1173" s="26"/>
      <c r="O1173" s="26"/>
      <c r="P1173" s="26"/>
    </row>
    <row r="1174">
      <c r="A1174" s="90"/>
      <c r="B1174" s="82"/>
      <c r="C1174" s="83"/>
      <c r="D1174" s="82"/>
      <c r="E1174" s="84"/>
      <c r="F1174" s="85"/>
      <c r="G1174" s="86"/>
      <c r="H1174" s="84"/>
      <c r="I1174" s="86"/>
      <c r="J1174" s="87"/>
      <c r="K1174" s="91"/>
      <c r="L1174" s="89"/>
      <c r="M1174" s="26"/>
      <c r="N1174" s="26"/>
      <c r="O1174" s="26"/>
      <c r="P1174" s="26"/>
    </row>
    <row r="1175">
      <c r="A1175" s="90"/>
      <c r="B1175" s="82"/>
      <c r="C1175" s="83"/>
      <c r="D1175" s="82"/>
      <c r="E1175" s="84"/>
      <c r="F1175" s="85"/>
      <c r="G1175" s="86"/>
      <c r="H1175" s="84"/>
      <c r="I1175" s="86"/>
      <c r="J1175" s="87"/>
      <c r="K1175" s="91"/>
      <c r="L1175" s="89"/>
      <c r="M1175" s="26"/>
      <c r="N1175" s="26"/>
      <c r="O1175" s="26"/>
      <c r="P1175" s="26"/>
    </row>
    <row r="1176">
      <c r="A1176" s="90"/>
      <c r="B1176" s="82"/>
      <c r="C1176" s="83"/>
      <c r="D1176" s="82"/>
      <c r="E1176" s="84"/>
      <c r="F1176" s="85"/>
      <c r="G1176" s="86"/>
      <c r="H1176" s="84"/>
      <c r="I1176" s="86"/>
      <c r="J1176" s="87"/>
      <c r="K1176" s="91"/>
      <c r="L1176" s="89"/>
      <c r="M1176" s="26"/>
      <c r="N1176" s="26"/>
      <c r="O1176" s="26"/>
      <c r="P1176" s="26"/>
    </row>
    <row r="1177">
      <c r="A1177" s="90"/>
      <c r="B1177" s="82"/>
      <c r="C1177" s="83"/>
      <c r="D1177" s="82"/>
      <c r="E1177" s="84"/>
      <c r="F1177" s="85"/>
      <c r="G1177" s="86"/>
      <c r="H1177" s="84"/>
      <c r="I1177" s="86"/>
      <c r="J1177" s="87"/>
      <c r="K1177" s="91"/>
      <c r="L1177" s="89"/>
      <c r="M1177" s="26"/>
      <c r="N1177" s="26"/>
      <c r="O1177" s="26"/>
      <c r="P1177" s="26"/>
    </row>
    <row r="1178">
      <c r="A1178" s="90"/>
      <c r="B1178" s="82"/>
      <c r="C1178" s="83"/>
      <c r="D1178" s="82"/>
      <c r="E1178" s="84"/>
      <c r="F1178" s="85"/>
      <c r="G1178" s="86"/>
      <c r="H1178" s="84"/>
      <c r="I1178" s="86"/>
      <c r="J1178" s="87"/>
      <c r="K1178" s="91"/>
      <c r="L1178" s="89"/>
      <c r="M1178" s="26"/>
      <c r="N1178" s="26"/>
      <c r="O1178" s="26"/>
      <c r="P1178" s="26"/>
    </row>
    <row r="1179">
      <c r="A1179" s="90"/>
      <c r="B1179" s="82"/>
      <c r="C1179" s="83"/>
      <c r="D1179" s="82"/>
      <c r="E1179" s="84"/>
      <c r="F1179" s="85"/>
      <c r="G1179" s="86"/>
      <c r="H1179" s="84"/>
      <c r="I1179" s="86"/>
      <c r="J1179" s="87"/>
      <c r="K1179" s="91"/>
      <c r="L1179" s="89"/>
      <c r="M1179" s="26"/>
      <c r="N1179" s="26"/>
      <c r="O1179" s="26"/>
      <c r="P1179" s="26"/>
    </row>
    <row r="1180">
      <c r="A1180" s="90"/>
      <c r="B1180" s="82"/>
      <c r="C1180" s="83"/>
      <c r="D1180" s="82"/>
      <c r="E1180" s="84"/>
      <c r="F1180" s="85"/>
      <c r="G1180" s="86"/>
      <c r="H1180" s="84"/>
      <c r="I1180" s="86"/>
      <c r="J1180" s="87"/>
      <c r="K1180" s="91"/>
      <c r="L1180" s="89"/>
      <c r="M1180" s="26"/>
      <c r="N1180" s="26"/>
      <c r="O1180" s="26"/>
      <c r="P1180" s="26"/>
    </row>
    <row r="1181">
      <c r="A1181" s="90"/>
      <c r="B1181" s="82"/>
      <c r="C1181" s="83"/>
      <c r="D1181" s="82"/>
      <c r="E1181" s="84"/>
      <c r="F1181" s="85"/>
      <c r="G1181" s="86"/>
      <c r="H1181" s="84"/>
      <c r="I1181" s="86"/>
      <c r="J1181" s="87"/>
      <c r="K1181" s="91"/>
      <c r="L1181" s="89"/>
      <c r="M1181" s="26"/>
      <c r="N1181" s="26"/>
      <c r="O1181" s="26"/>
      <c r="P1181" s="26"/>
    </row>
    <row r="1182">
      <c r="A1182" s="90"/>
      <c r="B1182" s="82"/>
      <c r="C1182" s="83"/>
      <c r="D1182" s="82"/>
      <c r="E1182" s="84"/>
      <c r="F1182" s="85"/>
      <c r="G1182" s="86"/>
      <c r="H1182" s="84"/>
      <c r="I1182" s="86"/>
      <c r="J1182" s="87"/>
      <c r="K1182" s="91"/>
      <c r="L1182" s="89"/>
      <c r="M1182" s="26"/>
      <c r="N1182" s="26"/>
      <c r="O1182" s="26"/>
      <c r="P1182" s="26"/>
    </row>
    <row r="1183">
      <c r="A1183" s="90"/>
      <c r="B1183" s="82"/>
      <c r="C1183" s="83"/>
      <c r="D1183" s="82"/>
      <c r="E1183" s="84"/>
      <c r="F1183" s="85"/>
      <c r="G1183" s="86"/>
      <c r="H1183" s="84"/>
      <c r="I1183" s="86"/>
      <c r="J1183" s="87"/>
      <c r="K1183" s="91"/>
      <c r="L1183" s="89"/>
      <c r="M1183" s="26"/>
      <c r="N1183" s="26"/>
      <c r="O1183" s="26"/>
      <c r="P1183" s="26"/>
    </row>
    <row r="1184">
      <c r="A1184" s="90"/>
      <c r="B1184" s="82"/>
      <c r="C1184" s="83"/>
      <c r="D1184" s="82"/>
      <c r="E1184" s="84"/>
      <c r="F1184" s="85"/>
      <c r="G1184" s="86"/>
      <c r="H1184" s="84"/>
      <c r="I1184" s="86"/>
      <c r="J1184" s="87"/>
      <c r="K1184" s="91"/>
      <c r="L1184" s="89"/>
      <c r="M1184" s="26"/>
      <c r="N1184" s="26"/>
      <c r="O1184" s="26"/>
      <c r="P1184" s="26"/>
    </row>
    <row r="1185">
      <c r="A1185" s="90"/>
      <c r="B1185" s="82"/>
      <c r="C1185" s="83"/>
      <c r="D1185" s="82"/>
      <c r="E1185" s="84"/>
      <c r="F1185" s="85"/>
      <c r="G1185" s="86"/>
      <c r="H1185" s="84"/>
      <c r="I1185" s="86"/>
      <c r="J1185" s="87"/>
      <c r="K1185" s="91"/>
      <c r="L1185" s="89"/>
      <c r="M1185" s="26"/>
      <c r="N1185" s="26"/>
      <c r="O1185" s="26"/>
      <c r="P1185" s="26"/>
    </row>
    <row r="1186">
      <c r="A1186" s="90"/>
      <c r="B1186" s="82"/>
      <c r="C1186" s="83"/>
      <c r="D1186" s="82"/>
      <c r="E1186" s="84"/>
      <c r="F1186" s="85"/>
      <c r="G1186" s="86"/>
      <c r="H1186" s="84"/>
      <c r="I1186" s="86"/>
      <c r="J1186" s="87"/>
      <c r="K1186" s="91"/>
      <c r="L1186" s="89"/>
      <c r="M1186" s="26"/>
      <c r="N1186" s="26"/>
      <c r="O1186" s="26"/>
      <c r="P1186" s="26"/>
    </row>
    <row r="1187">
      <c r="A1187" s="90"/>
      <c r="B1187" s="82"/>
      <c r="C1187" s="83"/>
      <c r="D1187" s="82"/>
      <c r="E1187" s="84"/>
      <c r="F1187" s="85"/>
      <c r="G1187" s="86"/>
      <c r="H1187" s="84"/>
      <c r="I1187" s="86"/>
      <c r="J1187" s="87"/>
      <c r="K1187" s="91"/>
      <c r="L1187" s="89"/>
      <c r="M1187" s="26"/>
      <c r="N1187" s="26"/>
      <c r="O1187" s="26"/>
      <c r="P1187" s="26"/>
    </row>
    <row r="1188">
      <c r="A1188" s="90"/>
      <c r="B1188" s="82"/>
      <c r="C1188" s="83"/>
      <c r="D1188" s="82"/>
      <c r="E1188" s="84"/>
      <c r="F1188" s="85"/>
      <c r="G1188" s="86"/>
      <c r="H1188" s="84"/>
      <c r="I1188" s="86"/>
      <c r="J1188" s="87"/>
      <c r="K1188" s="91"/>
      <c r="L1188" s="89"/>
      <c r="M1188" s="26"/>
      <c r="N1188" s="26"/>
      <c r="O1188" s="26"/>
      <c r="P1188" s="26"/>
    </row>
    <row r="1189">
      <c r="A1189" s="90"/>
      <c r="B1189" s="82"/>
      <c r="C1189" s="83"/>
      <c r="D1189" s="82"/>
      <c r="E1189" s="84"/>
      <c r="F1189" s="85"/>
      <c r="G1189" s="86"/>
      <c r="H1189" s="84"/>
      <c r="I1189" s="86"/>
      <c r="J1189" s="87"/>
      <c r="K1189" s="91"/>
      <c r="L1189" s="89"/>
      <c r="M1189" s="26"/>
      <c r="N1189" s="26"/>
      <c r="O1189" s="26"/>
      <c r="P1189" s="26"/>
    </row>
    <row r="1190">
      <c r="A1190" s="90"/>
      <c r="B1190" s="82"/>
      <c r="C1190" s="83"/>
      <c r="D1190" s="82"/>
      <c r="E1190" s="84"/>
      <c r="F1190" s="85"/>
      <c r="G1190" s="86"/>
      <c r="H1190" s="84"/>
      <c r="I1190" s="86"/>
      <c r="J1190" s="87"/>
      <c r="K1190" s="91"/>
      <c r="L1190" s="89"/>
      <c r="M1190" s="26"/>
      <c r="N1190" s="26"/>
      <c r="O1190" s="26"/>
      <c r="P1190" s="26"/>
    </row>
    <row r="1191">
      <c r="A1191" s="90"/>
      <c r="B1191" s="82"/>
      <c r="C1191" s="83"/>
      <c r="D1191" s="82"/>
      <c r="E1191" s="84"/>
      <c r="F1191" s="85"/>
      <c r="G1191" s="86"/>
      <c r="H1191" s="84"/>
      <c r="I1191" s="86"/>
      <c r="J1191" s="87"/>
      <c r="K1191" s="91"/>
      <c r="L1191" s="89"/>
      <c r="M1191" s="26"/>
      <c r="N1191" s="26"/>
      <c r="O1191" s="26"/>
      <c r="P1191" s="26"/>
    </row>
    <row r="1192">
      <c r="A1192" s="90"/>
      <c r="B1192" s="82"/>
      <c r="C1192" s="83"/>
      <c r="D1192" s="82"/>
      <c r="E1192" s="84"/>
      <c r="F1192" s="85"/>
      <c r="G1192" s="86"/>
      <c r="H1192" s="84"/>
      <c r="I1192" s="86"/>
      <c r="J1192" s="87"/>
      <c r="K1192" s="91"/>
      <c r="L1192" s="89"/>
      <c r="M1192" s="26"/>
      <c r="N1192" s="26"/>
      <c r="O1192" s="26"/>
      <c r="P1192" s="26"/>
    </row>
    <row r="1193">
      <c r="A1193" s="90"/>
      <c r="B1193" s="82"/>
      <c r="C1193" s="83"/>
      <c r="D1193" s="82"/>
      <c r="E1193" s="84"/>
      <c r="F1193" s="85"/>
      <c r="G1193" s="86"/>
      <c r="H1193" s="84"/>
      <c r="I1193" s="86"/>
      <c r="J1193" s="87"/>
      <c r="K1193" s="91"/>
      <c r="L1193" s="89"/>
      <c r="M1193" s="26"/>
      <c r="N1193" s="26"/>
      <c r="O1193" s="26"/>
      <c r="P1193" s="26"/>
    </row>
    <row r="1194">
      <c r="A1194" s="90"/>
      <c r="B1194" s="82"/>
      <c r="C1194" s="83"/>
      <c r="D1194" s="82"/>
      <c r="E1194" s="84"/>
      <c r="F1194" s="85"/>
      <c r="G1194" s="86"/>
      <c r="H1194" s="84"/>
      <c r="I1194" s="86"/>
      <c r="J1194" s="87"/>
      <c r="K1194" s="91"/>
      <c r="L1194" s="89"/>
      <c r="M1194" s="26"/>
      <c r="N1194" s="26"/>
      <c r="O1194" s="26"/>
      <c r="P1194" s="26"/>
    </row>
    <row r="1195">
      <c r="A1195" s="90"/>
      <c r="B1195" s="82"/>
      <c r="C1195" s="83"/>
      <c r="D1195" s="82"/>
      <c r="E1195" s="84"/>
      <c r="F1195" s="85"/>
      <c r="G1195" s="86"/>
      <c r="H1195" s="84"/>
      <c r="I1195" s="86"/>
      <c r="J1195" s="87"/>
      <c r="K1195" s="91"/>
      <c r="L1195" s="89"/>
      <c r="M1195" s="26"/>
      <c r="N1195" s="26"/>
      <c r="O1195" s="26"/>
      <c r="P1195" s="26"/>
    </row>
    <row r="1196">
      <c r="A1196" s="90"/>
      <c r="B1196" s="82"/>
      <c r="C1196" s="83"/>
      <c r="D1196" s="82"/>
      <c r="E1196" s="84"/>
      <c r="F1196" s="85"/>
      <c r="G1196" s="86"/>
      <c r="H1196" s="84"/>
      <c r="I1196" s="86"/>
      <c r="J1196" s="87"/>
      <c r="K1196" s="91"/>
      <c r="L1196" s="89"/>
      <c r="M1196" s="26"/>
      <c r="N1196" s="26"/>
      <c r="O1196" s="26"/>
      <c r="P1196" s="26"/>
    </row>
    <row r="1197">
      <c r="A1197" s="90"/>
      <c r="B1197" s="82"/>
      <c r="C1197" s="83"/>
      <c r="D1197" s="82"/>
      <c r="E1197" s="84"/>
      <c r="F1197" s="85"/>
      <c r="G1197" s="86"/>
      <c r="H1197" s="84"/>
      <c r="I1197" s="86"/>
      <c r="J1197" s="87"/>
      <c r="K1197" s="91"/>
      <c r="L1197" s="89"/>
      <c r="M1197" s="26"/>
      <c r="N1197" s="26"/>
      <c r="O1197" s="26"/>
      <c r="P1197" s="26"/>
    </row>
    <row r="1198">
      <c r="A1198" s="90"/>
      <c r="B1198" s="82"/>
      <c r="C1198" s="83"/>
      <c r="D1198" s="82"/>
      <c r="E1198" s="84"/>
      <c r="F1198" s="85"/>
      <c r="G1198" s="86"/>
      <c r="H1198" s="84"/>
      <c r="I1198" s="86"/>
      <c r="J1198" s="87"/>
      <c r="K1198" s="91"/>
      <c r="L1198" s="89"/>
      <c r="M1198" s="26"/>
      <c r="N1198" s="26"/>
      <c r="O1198" s="26"/>
      <c r="P1198" s="26"/>
    </row>
    <row r="1199">
      <c r="A1199" s="90"/>
      <c r="B1199" s="82"/>
      <c r="C1199" s="83"/>
      <c r="D1199" s="82"/>
      <c r="E1199" s="84"/>
      <c r="F1199" s="85"/>
      <c r="G1199" s="86"/>
      <c r="H1199" s="84"/>
      <c r="I1199" s="86"/>
      <c r="J1199" s="87"/>
      <c r="K1199" s="91"/>
      <c r="L1199" s="89"/>
      <c r="M1199" s="26"/>
      <c r="N1199" s="26"/>
      <c r="O1199" s="26"/>
      <c r="P1199" s="26"/>
    </row>
    <row r="1200">
      <c r="A1200" s="90"/>
      <c r="B1200" s="82"/>
      <c r="C1200" s="83"/>
      <c r="D1200" s="82"/>
      <c r="E1200" s="84"/>
      <c r="F1200" s="85"/>
      <c r="G1200" s="86"/>
      <c r="H1200" s="84"/>
      <c r="I1200" s="86"/>
      <c r="J1200" s="87"/>
      <c r="K1200" s="91"/>
      <c r="L1200" s="89"/>
      <c r="M1200" s="26"/>
      <c r="N1200" s="26"/>
      <c r="O1200" s="26"/>
      <c r="P1200" s="26"/>
    </row>
    <row r="1201">
      <c r="A1201" s="90"/>
      <c r="B1201" s="82"/>
      <c r="C1201" s="83"/>
      <c r="D1201" s="82"/>
      <c r="E1201" s="84"/>
      <c r="F1201" s="85"/>
      <c r="G1201" s="86"/>
      <c r="H1201" s="84"/>
      <c r="I1201" s="86"/>
      <c r="J1201" s="87"/>
      <c r="K1201" s="91"/>
      <c r="L1201" s="89"/>
      <c r="M1201" s="26"/>
      <c r="N1201" s="26"/>
      <c r="O1201" s="26"/>
      <c r="P1201" s="26"/>
    </row>
    <row r="1202">
      <c r="A1202" s="90"/>
      <c r="B1202" s="82"/>
      <c r="C1202" s="83"/>
      <c r="D1202" s="82"/>
      <c r="E1202" s="84"/>
      <c r="F1202" s="85"/>
      <c r="G1202" s="86"/>
      <c r="H1202" s="84"/>
      <c r="I1202" s="86"/>
      <c r="J1202" s="87"/>
      <c r="K1202" s="91"/>
      <c r="L1202" s="89"/>
      <c r="M1202" s="26"/>
      <c r="N1202" s="26"/>
      <c r="O1202" s="26"/>
      <c r="P1202" s="26"/>
    </row>
    <row r="1203">
      <c r="A1203" s="90"/>
      <c r="B1203" s="82"/>
      <c r="C1203" s="83"/>
      <c r="D1203" s="82"/>
      <c r="E1203" s="84"/>
      <c r="F1203" s="85"/>
      <c r="G1203" s="86"/>
      <c r="H1203" s="84"/>
      <c r="I1203" s="86"/>
      <c r="J1203" s="87"/>
      <c r="K1203" s="91"/>
      <c r="L1203" s="89"/>
      <c r="M1203" s="26"/>
      <c r="N1203" s="26"/>
      <c r="O1203" s="26"/>
      <c r="P1203" s="26"/>
    </row>
    <row r="1204">
      <c r="A1204" s="90"/>
      <c r="B1204" s="82"/>
      <c r="C1204" s="83"/>
      <c r="D1204" s="82"/>
      <c r="E1204" s="84"/>
      <c r="F1204" s="85"/>
      <c r="G1204" s="86"/>
      <c r="H1204" s="84"/>
      <c r="I1204" s="86"/>
      <c r="J1204" s="87"/>
      <c r="K1204" s="91"/>
      <c r="L1204" s="89"/>
      <c r="M1204" s="26"/>
      <c r="N1204" s="26"/>
      <c r="O1204" s="26"/>
      <c r="P1204" s="26"/>
    </row>
    <row r="1205">
      <c r="A1205" s="90"/>
      <c r="B1205" s="82"/>
      <c r="C1205" s="83"/>
      <c r="D1205" s="82"/>
      <c r="E1205" s="84"/>
      <c r="F1205" s="85"/>
      <c r="G1205" s="86"/>
      <c r="H1205" s="84"/>
      <c r="I1205" s="86"/>
      <c r="J1205" s="87"/>
      <c r="K1205" s="91"/>
      <c r="L1205" s="89"/>
      <c r="M1205" s="26"/>
      <c r="N1205" s="26"/>
      <c r="O1205" s="26"/>
      <c r="P1205" s="26"/>
    </row>
    <row r="1206">
      <c r="A1206" s="90"/>
      <c r="B1206" s="82"/>
      <c r="C1206" s="83"/>
      <c r="D1206" s="82"/>
      <c r="E1206" s="84"/>
      <c r="F1206" s="85"/>
      <c r="G1206" s="86"/>
      <c r="H1206" s="84"/>
      <c r="I1206" s="86"/>
      <c r="J1206" s="87"/>
      <c r="K1206" s="91"/>
      <c r="L1206" s="89"/>
      <c r="M1206" s="26"/>
      <c r="N1206" s="26"/>
      <c r="O1206" s="26"/>
      <c r="P1206" s="26"/>
    </row>
    <row r="1207">
      <c r="A1207" s="90"/>
      <c r="B1207" s="82"/>
      <c r="C1207" s="83"/>
      <c r="D1207" s="82"/>
      <c r="E1207" s="84"/>
      <c r="F1207" s="85"/>
      <c r="G1207" s="86"/>
      <c r="H1207" s="84"/>
      <c r="I1207" s="86"/>
      <c r="J1207" s="87"/>
      <c r="K1207" s="91"/>
      <c r="L1207" s="89"/>
      <c r="M1207" s="26"/>
      <c r="N1207" s="26"/>
      <c r="O1207" s="26"/>
      <c r="P1207" s="26"/>
    </row>
    <row r="1208">
      <c r="A1208" s="90"/>
      <c r="B1208" s="82"/>
      <c r="C1208" s="83"/>
      <c r="D1208" s="82"/>
      <c r="E1208" s="84"/>
      <c r="F1208" s="85"/>
      <c r="G1208" s="86"/>
      <c r="H1208" s="84"/>
      <c r="I1208" s="86"/>
      <c r="J1208" s="87"/>
      <c r="K1208" s="91"/>
      <c r="L1208" s="89"/>
      <c r="M1208" s="26"/>
      <c r="N1208" s="26"/>
      <c r="O1208" s="26"/>
      <c r="P1208" s="26"/>
    </row>
    <row r="1209">
      <c r="A1209" s="90"/>
      <c r="B1209" s="82"/>
      <c r="C1209" s="83"/>
      <c r="D1209" s="82"/>
      <c r="E1209" s="84"/>
      <c r="F1209" s="85"/>
      <c r="G1209" s="86"/>
      <c r="H1209" s="84"/>
      <c r="I1209" s="86"/>
      <c r="J1209" s="87"/>
      <c r="K1209" s="91"/>
      <c r="L1209" s="89"/>
      <c r="M1209" s="26"/>
      <c r="N1209" s="26"/>
      <c r="O1209" s="26"/>
      <c r="P1209" s="26"/>
    </row>
    <row r="1210">
      <c r="A1210" s="90"/>
      <c r="B1210" s="82"/>
      <c r="C1210" s="83"/>
      <c r="D1210" s="82"/>
      <c r="E1210" s="84"/>
      <c r="F1210" s="85"/>
      <c r="G1210" s="86"/>
      <c r="H1210" s="84"/>
      <c r="I1210" s="86"/>
      <c r="J1210" s="87"/>
      <c r="K1210" s="91"/>
      <c r="L1210" s="89"/>
      <c r="M1210" s="26"/>
      <c r="N1210" s="26"/>
      <c r="O1210" s="26"/>
      <c r="P1210" s="26"/>
    </row>
    <row r="1211">
      <c r="A1211" s="90"/>
      <c r="B1211" s="82"/>
      <c r="C1211" s="83"/>
      <c r="D1211" s="82"/>
      <c r="E1211" s="84"/>
      <c r="F1211" s="85"/>
      <c r="G1211" s="86"/>
      <c r="H1211" s="84"/>
      <c r="I1211" s="86"/>
      <c r="J1211" s="87"/>
      <c r="K1211" s="91"/>
      <c r="L1211" s="89"/>
      <c r="M1211" s="26"/>
      <c r="N1211" s="26"/>
      <c r="O1211" s="26"/>
      <c r="P1211" s="26"/>
    </row>
    <row r="1212">
      <c r="A1212" s="90"/>
      <c r="B1212" s="82"/>
      <c r="C1212" s="83"/>
      <c r="D1212" s="82"/>
      <c r="E1212" s="84"/>
      <c r="F1212" s="85"/>
      <c r="G1212" s="86"/>
      <c r="H1212" s="84"/>
      <c r="I1212" s="86"/>
      <c r="J1212" s="87"/>
      <c r="K1212" s="91"/>
      <c r="L1212" s="89"/>
      <c r="M1212" s="26"/>
      <c r="N1212" s="26"/>
      <c r="O1212" s="26"/>
      <c r="P1212" s="26"/>
    </row>
    <row r="1213">
      <c r="A1213" s="90"/>
      <c r="B1213" s="82"/>
      <c r="C1213" s="83"/>
      <c r="D1213" s="82"/>
      <c r="E1213" s="84"/>
      <c r="F1213" s="85"/>
      <c r="G1213" s="86"/>
      <c r="H1213" s="84"/>
      <c r="I1213" s="86"/>
      <c r="J1213" s="87"/>
      <c r="K1213" s="91"/>
      <c r="L1213" s="89"/>
      <c r="M1213" s="26"/>
      <c r="N1213" s="26"/>
      <c r="O1213" s="26"/>
      <c r="P1213" s="26"/>
    </row>
    <row r="1214">
      <c r="A1214" s="90"/>
      <c r="B1214" s="82"/>
      <c r="C1214" s="83"/>
      <c r="D1214" s="82"/>
      <c r="E1214" s="84"/>
      <c r="F1214" s="85"/>
      <c r="G1214" s="86"/>
      <c r="H1214" s="84"/>
      <c r="I1214" s="86"/>
      <c r="J1214" s="87"/>
      <c r="K1214" s="91"/>
      <c r="L1214" s="89"/>
      <c r="M1214" s="26"/>
      <c r="N1214" s="26"/>
      <c r="O1214" s="26"/>
      <c r="P1214" s="26"/>
    </row>
    <row r="1215">
      <c r="A1215" s="90"/>
      <c r="B1215" s="82"/>
      <c r="C1215" s="83"/>
      <c r="D1215" s="82"/>
      <c r="E1215" s="84"/>
      <c r="F1215" s="85"/>
      <c r="G1215" s="86"/>
      <c r="H1215" s="84"/>
      <c r="I1215" s="86"/>
      <c r="J1215" s="87"/>
      <c r="K1215" s="91"/>
      <c r="L1215" s="89"/>
      <c r="M1215" s="26"/>
      <c r="N1215" s="26"/>
      <c r="O1215" s="26"/>
      <c r="P1215" s="26"/>
    </row>
    <row r="1216">
      <c r="A1216" s="90"/>
      <c r="B1216" s="82"/>
      <c r="C1216" s="83"/>
      <c r="D1216" s="82"/>
      <c r="E1216" s="84"/>
      <c r="F1216" s="85"/>
      <c r="G1216" s="86"/>
      <c r="H1216" s="84"/>
      <c r="I1216" s="86"/>
      <c r="J1216" s="87"/>
      <c r="K1216" s="91"/>
      <c r="L1216" s="89"/>
      <c r="M1216" s="26"/>
      <c r="N1216" s="26"/>
      <c r="O1216" s="26"/>
      <c r="P1216" s="26"/>
    </row>
    <row r="1217">
      <c r="A1217" s="90"/>
      <c r="B1217" s="82"/>
      <c r="C1217" s="83"/>
      <c r="D1217" s="82"/>
      <c r="E1217" s="84"/>
      <c r="F1217" s="85"/>
      <c r="G1217" s="86"/>
      <c r="H1217" s="84"/>
      <c r="I1217" s="86"/>
      <c r="J1217" s="87"/>
      <c r="K1217" s="91"/>
      <c r="L1217" s="89"/>
      <c r="M1217" s="26"/>
      <c r="N1217" s="26"/>
      <c r="O1217" s="26"/>
      <c r="P1217" s="26"/>
    </row>
    <row r="1218">
      <c r="A1218" s="90"/>
      <c r="B1218" s="82"/>
      <c r="C1218" s="83"/>
      <c r="D1218" s="82"/>
      <c r="E1218" s="84"/>
      <c r="F1218" s="85"/>
      <c r="G1218" s="86"/>
      <c r="H1218" s="84"/>
      <c r="I1218" s="86"/>
      <c r="J1218" s="87"/>
      <c r="K1218" s="91"/>
      <c r="L1218" s="89"/>
      <c r="M1218" s="26"/>
      <c r="N1218" s="26"/>
      <c r="O1218" s="26"/>
      <c r="P1218" s="26"/>
    </row>
    <row r="1219">
      <c r="A1219" s="90"/>
      <c r="B1219" s="82"/>
      <c r="C1219" s="83"/>
      <c r="D1219" s="82"/>
      <c r="E1219" s="84"/>
      <c r="F1219" s="85"/>
      <c r="G1219" s="86"/>
      <c r="H1219" s="84"/>
      <c r="I1219" s="86"/>
      <c r="J1219" s="87"/>
      <c r="K1219" s="91"/>
      <c r="L1219" s="89"/>
      <c r="M1219" s="26"/>
      <c r="N1219" s="26"/>
      <c r="O1219" s="26"/>
      <c r="P1219" s="26"/>
    </row>
    <row r="1220">
      <c r="A1220" s="90"/>
      <c r="B1220" s="82"/>
      <c r="C1220" s="83"/>
      <c r="D1220" s="82"/>
      <c r="E1220" s="84"/>
      <c r="F1220" s="85"/>
      <c r="G1220" s="86"/>
      <c r="H1220" s="84"/>
      <c r="I1220" s="86"/>
      <c r="J1220" s="87"/>
      <c r="K1220" s="91"/>
      <c r="L1220" s="89"/>
      <c r="M1220" s="26"/>
      <c r="N1220" s="26"/>
      <c r="O1220" s="26"/>
      <c r="P1220" s="26"/>
    </row>
    <row r="1221">
      <c r="A1221" s="90"/>
      <c r="B1221" s="82"/>
      <c r="C1221" s="83"/>
      <c r="D1221" s="82"/>
      <c r="E1221" s="84"/>
      <c r="F1221" s="85"/>
      <c r="G1221" s="86"/>
      <c r="H1221" s="84"/>
      <c r="I1221" s="86"/>
      <c r="J1221" s="87"/>
      <c r="K1221" s="91"/>
      <c r="L1221" s="89"/>
      <c r="M1221" s="26"/>
      <c r="N1221" s="26"/>
      <c r="O1221" s="26"/>
      <c r="P1221" s="26"/>
    </row>
    <row r="1222">
      <c r="A1222" s="90"/>
      <c r="B1222" s="82"/>
      <c r="C1222" s="83"/>
      <c r="D1222" s="82"/>
      <c r="E1222" s="84"/>
      <c r="F1222" s="85"/>
      <c r="G1222" s="86"/>
      <c r="H1222" s="84"/>
      <c r="I1222" s="86"/>
      <c r="J1222" s="87"/>
      <c r="K1222" s="91"/>
      <c r="L1222" s="89"/>
      <c r="M1222" s="26"/>
      <c r="N1222" s="26"/>
      <c r="O1222" s="26"/>
      <c r="P1222" s="26"/>
    </row>
    <row r="1223">
      <c r="A1223" s="90"/>
      <c r="B1223" s="82"/>
      <c r="C1223" s="83"/>
      <c r="D1223" s="82"/>
      <c r="E1223" s="84"/>
      <c r="F1223" s="85"/>
      <c r="G1223" s="86"/>
      <c r="H1223" s="84"/>
      <c r="I1223" s="86"/>
      <c r="J1223" s="87"/>
      <c r="K1223" s="91"/>
      <c r="L1223" s="89"/>
      <c r="M1223" s="26"/>
      <c r="N1223" s="26"/>
      <c r="O1223" s="26"/>
      <c r="P1223" s="26"/>
    </row>
    <row r="1224">
      <c r="A1224" s="90"/>
      <c r="B1224" s="82"/>
      <c r="C1224" s="83"/>
      <c r="D1224" s="82"/>
      <c r="E1224" s="84"/>
      <c r="F1224" s="85"/>
      <c r="G1224" s="86"/>
      <c r="H1224" s="84"/>
      <c r="I1224" s="86"/>
      <c r="J1224" s="87"/>
      <c r="K1224" s="91"/>
      <c r="L1224" s="89"/>
      <c r="M1224" s="26"/>
      <c r="N1224" s="26"/>
      <c r="O1224" s="26"/>
      <c r="P1224" s="26"/>
    </row>
    <row r="1225">
      <c r="A1225" s="90"/>
      <c r="B1225" s="82"/>
      <c r="C1225" s="83"/>
      <c r="D1225" s="82"/>
      <c r="E1225" s="84"/>
      <c r="F1225" s="85"/>
      <c r="G1225" s="86"/>
      <c r="H1225" s="84"/>
      <c r="I1225" s="86"/>
      <c r="J1225" s="87"/>
      <c r="K1225" s="91"/>
      <c r="L1225" s="89"/>
      <c r="M1225" s="26"/>
      <c r="N1225" s="26"/>
      <c r="O1225" s="26"/>
      <c r="P1225" s="26"/>
    </row>
    <row r="1226">
      <c r="A1226" s="90"/>
      <c r="B1226" s="82"/>
      <c r="C1226" s="83"/>
      <c r="D1226" s="82"/>
      <c r="E1226" s="84"/>
      <c r="F1226" s="85"/>
      <c r="G1226" s="86"/>
      <c r="H1226" s="84"/>
      <c r="I1226" s="86"/>
      <c r="J1226" s="87"/>
      <c r="K1226" s="91"/>
      <c r="L1226" s="89"/>
      <c r="M1226" s="26"/>
      <c r="N1226" s="26"/>
      <c r="O1226" s="26"/>
      <c r="P1226" s="26"/>
    </row>
    <row r="1227">
      <c r="A1227" s="90"/>
      <c r="B1227" s="82"/>
      <c r="C1227" s="83"/>
      <c r="D1227" s="82"/>
      <c r="E1227" s="84"/>
      <c r="F1227" s="85"/>
      <c r="G1227" s="86"/>
      <c r="H1227" s="84"/>
      <c r="I1227" s="86"/>
      <c r="J1227" s="87"/>
      <c r="K1227" s="91"/>
      <c r="L1227" s="89"/>
      <c r="M1227" s="26"/>
      <c r="N1227" s="26"/>
      <c r="O1227" s="26"/>
      <c r="P1227" s="26"/>
    </row>
    <row r="1228">
      <c r="A1228" s="90"/>
      <c r="B1228" s="82"/>
      <c r="C1228" s="83"/>
      <c r="D1228" s="82"/>
      <c r="E1228" s="84"/>
      <c r="F1228" s="85"/>
      <c r="G1228" s="86"/>
      <c r="H1228" s="84"/>
      <c r="I1228" s="86"/>
      <c r="J1228" s="87"/>
      <c r="K1228" s="91"/>
      <c r="L1228" s="89"/>
      <c r="M1228" s="26"/>
      <c r="N1228" s="26"/>
      <c r="O1228" s="26"/>
      <c r="P1228" s="26"/>
    </row>
    <row r="1229">
      <c r="A1229" s="90"/>
      <c r="B1229" s="82"/>
      <c r="C1229" s="83"/>
      <c r="D1229" s="82"/>
      <c r="E1229" s="84"/>
      <c r="F1229" s="85"/>
      <c r="G1229" s="86"/>
      <c r="H1229" s="84"/>
      <c r="I1229" s="86"/>
      <c r="J1229" s="87"/>
      <c r="K1229" s="91"/>
      <c r="L1229" s="89"/>
      <c r="M1229" s="26"/>
      <c r="N1229" s="26"/>
      <c r="O1229" s="26"/>
      <c r="P1229" s="26"/>
    </row>
    <row r="1230">
      <c r="A1230" s="90"/>
      <c r="B1230" s="82"/>
      <c r="C1230" s="83"/>
      <c r="D1230" s="82"/>
      <c r="E1230" s="84"/>
      <c r="F1230" s="85"/>
      <c r="G1230" s="86"/>
      <c r="H1230" s="84"/>
      <c r="I1230" s="86"/>
      <c r="J1230" s="87"/>
      <c r="K1230" s="91"/>
      <c r="L1230" s="89"/>
      <c r="M1230" s="26"/>
      <c r="N1230" s="26"/>
      <c r="O1230" s="26"/>
      <c r="P1230" s="26"/>
    </row>
    <row r="1231">
      <c r="A1231" s="90"/>
      <c r="B1231" s="82"/>
      <c r="C1231" s="83"/>
      <c r="D1231" s="82"/>
      <c r="E1231" s="84"/>
      <c r="F1231" s="85"/>
      <c r="G1231" s="86"/>
      <c r="H1231" s="84"/>
      <c r="I1231" s="86"/>
      <c r="J1231" s="87"/>
      <c r="K1231" s="91"/>
      <c r="L1231" s="89"/>
      <c r="M1231" s="26"/>
      <c r="N1231" s="26"/>
      <c r="O1231" s="26"/>
      <c r="P1231" s="26"/>
    </row>
    <row r="1232">
      <c r="A1232" s="90"/>
      <c r="B1232" s="82"/>
      <c r="C1232" s="83"/>
      <c r="D1232" s="82"/>
      <c r="E1232" s="84"/>
      <c r="F1232" s="85"/>
      <c r="G1232" s="86"/>
      <c r="H1232" s="84"/>
      <c r="I1232" s="86"/>
      <c r="J1232" s="87"/>
      <c r="K1232" s="91"/>
      <c r="L1232" s="89"/>
      <c r="M1232" s="26"/>
      <c r="N1232" s="26"/>
      <c r="O1232" s="26"/>
      <c r="P1232" s="26"/>
    </row>
    <row r="1233">
      <c r="A1233" s="90"/>
      <c r="B1233" s="82"/>
      <c r="C1233" s="83"/>
      <c r="D1233" s="82"/>
      <c r="E1233" s="84"/>
      <c r="F1233" s="85"/>
      <c r="G1233" s="86"/>
      <c r="H1233" s="84"/>
      <c r="I1233" s="86"/>
      <c r="J1233" s="87"/>
      <c r="K1233" s="91"/>
      <c r="L1233" s="89"/>
      <c r="M1233" s="26"/>
      <c r="N1233" s="26"/>
      <c r="O1233" s="26"/>
      <c r="P1233" s="26"/>
    </row>
    <row r="1234">
      <c r="A1234" s="90"/>
      <c r="B1234" s="82"/>
      <c r="C1234" s="83"/>
      <c r="D1234" s="82"/>
      <c r="E1234" s="84"/>
      <c r="F1234" s="85"/>
      <c r="G1234" s="86"/>
      <c r="H1234" s="84"/>
      <c r="I1234" s="86"/>
      <c r="J1234" s="87"/>
      <c r="K1234" s="91"/>
      <c r="L1234" s="89"/>
      <c r="M1234" s="26"/>
      <c r="N1234" s="26"/>
      <c r="O1234" s="26"/>
      <c r="P1234" s="26"/>
    </row>
    <row r="1235">
      <c r="A1235" s="90"/>
      <c r="B1235" s="82"/>
      <c r="C1235" s="83"/>
      <c r="D1235" s="82"/>
      <c r="E1235" s="84"/>
      <c r="F1235" s="85"/>
      <c r="G1235" s="86"/>
      <c r="H1235" s="84"/>
      <c r="I1235" s="86"/>
      <c r="J1235" s="87"/>
      <c r="K1235" s="91"/>
      <c r="L1235" s="89"/>
      <c r="M1235" s="26"/>
      <c r="N1235" s="26"/>
      <c r="O1235" s="26"/>
      <c r="P1235" s="26"/>
    </row>
    <row r="1236">
      <c r="A1236" s="90"/>
      <c r="B1236" s="82"/>
      <c r="C1236" s="83"/>
      <c r="D1236" s="82"/>
      <c r="E1236" s="84"/>
      <c r="F1236" s="85"/>
      <c r="G1236" s="86"/>
      <c r="H1236" s="84"/>
      <c r="I1236" s="86"/>
      <c r="J1236" s="87"/>
      <c r="K1236" s="91"/>
      <c r="L1236" s="89"/>
      <c r="M1236" s="26"/>
      <c r="N1236" s="26"/>
      <c r="O1236" s="26"/>
      <c r="P1236" s="26"/>
    </row>
    <row r="1237">
      <c r="A1237" s="90"/>
      <c r="B1237" s="82"/>
      <c r="C1237" s="83"/>
      <c r="D1237" s="82"/>
      <c r="E1237" s="84"/>
      <c r="F1237" s="85"/>
      <c r="G1237" s="86"/>
      <c r="H1237" s="84"/>
      <c r="I1237" s="86"/>
      <c r="J1237" s="87"/>
      <c r="K1237" s="91"/>
      <c r="L1237" s="89"/>
      <c r="M1237" s="26"/>
      <c r="N1237" s="26"/>
      <c r="O1237" s="26"/>
      <c r="P1237" s="26"/>
    </row>
    <row r="1238">
      <c r="A1238" s="90"/>
      <c r="B1238" s="82"/>
      <c r="C1238" s="83"/>
      <c r="D1238" s="82"/>
      <c r="E1238" s="84"/>
      <c r="F1238" s="85"/>
      <c r="G1238" s="86"/>
      <c r="H1238" s="84"/>
      <c r="I1238" s="86"/>
      <c r="J1238" s="87"/>
      <c r="K1238" s="91"/>
      <c r="L1238" s="89"/>
      <c r="M1238" s="26"/>
      <c r="N1238" s="26"/>
      <c r="O1238" s="26"/>
      <c r="P1238" s="26"/>
    </row>
    <row r="1239">
      <c r="A1239" s="90"/>
      <c r="B1239" s="82"/>
      <c r="C1239" s="83"/>
      <c r="D1239" s="82"/>
      <c r="E1239" s="84"/>
      <c r="F1239" s="85"/>
      <c r="G1239" s="86"/>
      <c r="H1239" s="84"/>
      <c r="I1239" s="86"/>
      <c r="J1239" s="87"/>
      <c r="K1239" s="91"/>
      <c r="L1239" s="89"/>
      <c r="M1239" s="26"/>
      <c r="N1239" s="26"/>
      <c r="O1239" s="26"/>
      <c r="P1239" s="26"/>
    </row>
    <row r="1240">
      <c r="A1240" s="90"/>
      <c r="B1240" s="82"/>
      <c r="C1240" s="83"/>
      <c r="D1240" s="82"/>
      <c r="E1240" s="84"/>
      <c r="F1240" s="85"/>
      <c r="G1240" s="86"/>
      <c r="H1240" s="84"/>
      <c r="I1240" s="86"/>
      <c r="J1240" s="87"/>
      <c r="K1240" s="91"/>
      <c r="L1240" s="89"/>
      <c r="M1240" s="26"/>
      <c r="N1240" s="26"/>
      <c r="O1240" s="26"/>
      <c r="P1240" s="26"/>
    </row>
    <row r="1241">
      <c r="A1241" s="90"/>
      <c r="B1241" s="82"/>
      <c r="C1241" s="83"/>
      <c r="D1241" s="82"/>
      <c r="E1241" s="84"/>
      <c r="F1241" s="85"/>
      <c r="G1241" s="86"/>
      <c r="H1241" s="84"/>
      <c r="I1241" s="86"/>
      <c r="J1241" s="87"/>
      <c r="K1241" s="91"/>
      <c r="L1241" s="89"/>
      <c r="M1241" s="26"/>
      <c r="N1241" s="26"/>
      <c r="O1241" s="26"/>
      <c r="P1241" s="26"/>
    </row>
    <row r="1242">
      <c r="A1242" s="90"/>
      <c r="B1242" s="82"/>
      <c r="C1242" s="83"/>
      <c r="D1242" s="82"/>
      <c r="E1242" s="84"/>
      <c r="F1242" s="85"/>
      <c r="G1242" s="86"/>
      <c r="H1242" s="84"/>
      <c r="I1242" s="86"/>
      <c r="J1242" s="87"/>
      <c r="K1242" s="91"/>
      <c r="L1242" s="89"/>
      <c r="M1242" s="26"/>
      <c r="N1242" s="26"/>
      <c r="O1242" s="26"/>
      <c r="P1242" s="26"/>
    </row>
    <row r="1243">
      <c r="A1243" s="90"/>
      <c r="B1243" s="82"/>
      <c r="C1243" s="83"/>
      <c r="D1243" s="82"/>
      <c r="E1243" s="84"/>
      <c r="F1243" s="85"/>
      <c r="G1243" s="86"/>
      <c r="H1243" s="84"/>
      <c r="I1243" s="86"/>
      <c r="J1243" s="87"/>
      <c r="K1243" s="91"/>
      <c r="L1243" s="89"/>
      <c r="M1243" s="26"/>
      <c r="N1243" s="26"/>
      <c r="O1243" s="26"/>
      <c r="P1243" s="26"/>
    </row>
    <row r="1244">
      <c r="A1244" s="90"/>
      <c r="B1244" s="82"/>
      <c r="C1244" s="83"/>
      <c r="D1244" s="82"/>
      <c r="E1244" s="84"/>
      <c r="F1244" s="85"/>
      <c r="G1244" s="86"/>
      <c r="H1244" s="84"/>
      <c r="I1244" s="86"/>
      <c r="J1244" s="87"/>
      <c r="K1244" s="91"/>
      <c r="L1244" s="89"/>
      <c r="M1244" s="26"/>
      <c r="N1244" s="26"/>
      <c r="O1244" s="26"/>
      <c r="P1244" s="26"/>
    </row>
    <row r="1245">
      <c r="A1245" s="90"/>
      <c r="B1245" s="82"/>
      <c r="C1245" s="83"/>
      <c r="D1245" s="82"/>
      <c r="E1245" s="84"/>
      <c r="F1245" s="85"/>
      <c r="G1245" s="86"/>
      <c r="H1245" s="84"/>
      <c r="I1245" s="86"/>
      <c r="J1245" s="87"/>
      <c r="K1245" s="91"/>
      <c r="L1245" s="89"/>
      <c r="M1245" s="26"/>
      <c r="N1245" s="26"/>
      <c r="O1245" s="26"/>
      <c r="P1245" s="26"/>
    </row>
    <row r="1246">
      <c r="A1246" s="90"/>
      <c r="B1246" s="82"/>
      <c r="C1246" s="83"/>
      <c r="D1246" s="82"/>
      <c r="E1246" s="84"/>
      <c r="F1246" s="85"/>
      <c r="G1246" s="86"/>
      <c r="H1246" s="84"/>
      <c r="I1246" s="86"/>
      <c r="J1246" s="87"/>
      <c r="K1246" s="91"/>
      <c r="L1246" s="89"/>
      <c r="M1246" s="26"/>
      <c r="N1246" s="26"/>
      <c r="O1246" s="26"/>
      <c r="P1246" s="26"/>
    </row>
    <row r="1247">
      <c r="A1247" s="90"/>
      <c r="B1247" s="82"/>
      <c r="C1247" s="83"/>
      <c r="D1247" s="82"/>
      <c r="E1247" s="84"/>
      <c r="F1247" s="85"/>
      <c r="G1247" s="86"/>
      <c r="H1247" s="84"/>
      <c r="I1247" s="86"/>
      <c r="J1247" s="87"/>
      <c r="K1247" s="91"/>
      <c r="L1247" s="89"/>
      <c r="M1247" s="26"/>
      <c r="N1247" s="26"/>
      <c r="O1247" s="26"/>
      <c r="P1247" s="26"/>
    </row>
    <row r="1248">
      <c r="A1248" s="90"/>
      <c r="B1248" s="82"/>
      <c r="C1248" s="83"/>
      <c r="D1248" s="82"/>
      <c r="E1248" s="84"/>
      <c r="F1248" s="85"/>
      <c r="G1248" s="86"/>
      <c r="H1248" s="84"/>
      <c r="I1248" s="86"/>
      <c r="J1248" s="87"/>
      <c r="K1248" s="91"/>
      <c r="L1248" s="89"/>
      <c r="M1248" s="26"/>
      <c r="N1248" s="26"/>
      <c r="O1248" s="26"/>
      <c r="P1248" s="26"/>
    </row>
    <row r="1249">
      <c r="A1249" s="90"/>
      <c r="B1249" s="82"/>
      <c r="C1249" s="83"/>
      <c r="D1249" s="82"/>
      <c r="E1249" s="84"/>
      <c r="F1249" s="85"/>
      <c r="G1249" s="86"/>
      <c r="H1249" s="84"/>
      <c r="I1249" s="86"/>
      <c r="J1249" s="87"/>
      <c r="K1249" s="91"/>
      <c r="L1249" s="89"/>
      <c r="M1249" s="26"/>
      <c r="N1249" s="26"/>
      <c r="O1249" s="26"/>
      <c r="P1249" s="26"/>
    </row>
    <row r="1250">
      <c r="A1250" s="90"/>
      <c r="B1250" s="82"/>
      <c r="C1250" s="83"/>
      <c r="D1250" s="82"/>
      <c r="E1250" s="84"/>
      <c r="F1250" s="85"/>
      <c r="G1250" s="86"/>
      <c r="H1250" s="84"/>
      <c r="I1250" s="86"/>
      <c r="J1250" s="87"/>
      <c r="K1250" s="91"/>
      <c r="L1250" s="89"/>
      <c r="M1250" s="26"/>
      <c r="N1250" s="26"/>
      <c r="O1250" s="26"/>
      <c r="P1250" s="26"/>
    </row>
    <row r="1251">
      <c r="A1251" s="90"/>
      <c r="B1251" s="82"/>
      <c r="C1251" s="83"/>
      <c r="D1251" s="82"/>
      <c r="E1251" s="84"/>
      <c r="F1251" s="85"/>
      <c r="G1251" s="86"/>
      <c r="H1251" s="84"/>
      <c r="I1251" s="86"/>
      <c r="J1251" s="87"/>
      <c r="K1251" s="91"/>
      <c r="L1251" s="89"/>
      <c r="M1251" s="26"/>
      <c r="N1251" s="26"/>
      <c r="O1251" s="26"/>
      <c r="P1251" s="26"/>
    </row>
    <row r="1252">
      <c r="A1252" s="90"/>
      <c r="B1252" s="82"/>
      <c r="C1252" s="83"/>
      <c r="D1252" s="82"/>
      <c r="E1252" s="84"/>
      <c r="F1252" s="85"/>
      <c r="G1252" s="86"/>
      <c r="H1252" s="84"/>
      <c r="I1252" s="86"/>
      <c r="J1252" s="87"/>
      <c r="K1252" s="91"/>
      <c r="L1252" s="89"/>
      <c r="M1252" s="26"/>
      <c r="N1252" s="26"/>
      <c r="O1252" s="26"/>
      <c r="P1252" s="26"/>
    </row>
    <row r="1253">
      <c r="A1253" s="90"/>
      <c r="B1253" s="82"/>
      <c r="C1253" s="83"/>
      <c r="D1253" s="82"/>
      <c r="E1253" s="84"/>
      <c r="F1253" s="85"/>
      <c r="G1253" s="86"/>
      <c r="H1253" s="84"/>
      <c r="I1253" s="86"/>
      <c r="J1253" s="87"/>
      <c r="K1253" s="91"/>
      <c r="L1253" s="89"/>
      <c r="M1253" s="26"/>
      <c r="N1253" s="26"/>
      <c r="O1253" s="26"/>
      <c r="P1253" s="26"/>
    </row>
    <row r="1254">
      <c r="A1254" s="90"/>
      <c r="B1254" s="82"/>
      <c r="C1254" s="83"/>
      <c r="D1254" s="82"/>
      <c r="E1254" s="84"/>
      <c r="F1254" s="85"/>
      <c r="G1254" s="86"/>
      <c r="H1254" s="84"/>
      <c r="I1254" s="86"/>
      <c r="J1254" s="87"/>
      <c r="K1254" s="91"/>
      <c r="L1254" s="89"/>
      <c r="M1254" s="26"/>
      <c r="N1254" s="26"/>
      <c r="O1254" s="26"/>
      <c r="P1254" s="26"/>
    </row>
    <row r="1255">
      <c r="A1255" s="90"/>
      <c r="B1255" s="82"/>
      <c r="C1255" s="83"/>
      <c r="D1255" s="82"/>
      <c r="E1255" s="84"/>
      <c r="F1255" s="85"/>
      <c r="G1255" s="86"/>
      <c r="H1255" s="84"/>
      <c r="I1255" s="86"/>
      <c r="J1255" s="87"/>
      <c r="K1255" s="91"/>
      <c r="L1255" s="89"/>
      <c r="M1255" s="26"/>
      <c r="N1255" s="26"/>
      <c r="O1255" s="26"/>
      <c r="P1255" s="26"/>
    </row>
    <row r="1256">
      <c r="A1256" s="90"/>
      <c r="B1256" s="82"/>
      <c r="C1256" s="83"/>
      <c r="D1256" s="82"/>
      <c r="E1256" s="84"/>
      <c r="F1256" s="85"/>
      <c r="G1256" s="86"/>
      <c r="H1256" s="84"/>
      <c r="I1256" s="86"/>
      <c r="J1256" s="87"/>
      <c r="K1256" s="91"/>
      <c r="L1256" s="89"/>
      <c r="M1256" s="26"/>
      <c r="N1256" s="26"/>
      <c r="O1256" s="26"/>
      <c r="P1256" s="26"/>
    </row>
    <row r="1257">
      <c r="A1257" s="90"/>
      <c r="B1257" s="82"/>
      <c r="C1257" s="83"/>
      <c r="D1257" s="82"/>
      <c r="E1257" s="84"/>
      <c r="F1257" s="85"/>
      <c r="G1257" s="86"/>
      <c r="H1257" s="84"/>
      <c r="I1257" s="86"/>
      <c r="J1257" s="87"/>
      <c r="K1257" s="91"/>
      <c r="L1257" s="89"/>
      <c r="M1257" s="26"/>
      <c r="N1257" s="26"/>
      <c r="O1257" s="26"/>
      <c r="P1257" s="26"/>
    </row>
    <row r="1258">
      <c r="A1258" s="90"/>
      <c r="B1258" s="82"/>
      <c r="C1258" s="83"/>
      <c r="D1258" s="82"/>
      <c r="E1258" s="84"/>
      <c r="F1258" s="85"/>
      <c r="G1258" s="86"/>
      <c r="H1258" s="84"/>
      <c r="I1258" s="86"/>
      <c r="J1258" s="87"/>
      <c r="K1258" s="91"/>
      <c r="L1258" s="89"/>
      <c r="M1258" s="26"/>
      <c r="N1258" s="26"/>
      <c r="O1258" s="26"/>
      <c r="P1258" s="26"/>
    </row>
    <row r="1259">
      <c r="A1259" s="90"/>
      <c r="B1259" s="82"/>
      <c r="C1259" s="83"/>
      <c r="D1259" s="82"/>
      <c r="E1259" s="84"/>
      <c r="F1259" s="85"/>
      <c r="G1259" s="86"/>
      <c r="H1259" s="84"/>
      <c r="I1259" s="86"/>
      <c r="J1259" s="87"/>
      <c r="K1259" s="91"/>
      <c r="L1259" s="89"/>
      <c r="M1259" s="26"/>
      <c r="N1259" s="26"/>
      <c r="O1259" s="26"/>
      <c r="P1259" s="26"/>
    </row>
    <row r="1260">
      <c r="A1260" s="90"/>
      <c r="B1260" s="82"/>
      <c r="C1260" s="83"/>
      <c r="D1260" s="82"/>
      <c r="E1260" s="84"/>
      <c r="F1260" s="85"/>
      <c r="G1260" s="86"/>
      <c r="H1260" s="84"/>
      <c r="I1260" s="86"/>
      <c r="J1260" s="87"/>
      <c r="K1260" s="91"/>
      <c r="L1260" s="89"/>
      <c r="M1260" s="26"/>
      <c r="N1260" s="26"/>
      <c r="O1260" s="26"/>
      <c r="P1260" s="26"/>
    </row>
    <row r="1261">
      <c r="A1261" s="90"/>
      <c r="B1261" s="82"/>
      <c r="C1261" s="83"/>
      <c r="D1261" s="82"/>
      <c r="E1261" s="84"/>
      <c r="F1261" s="85"/>
      <c r="G1261" s="86"/>
      <c r="H1261" s="84"/>
      <c r="I1261" s="86"/>
      <c r="J1261" s="87"/>
      <c r="K1261" s="91"/>
      <c r="L1261" s="89"/>
      <c r="M1261" s="26"/>
      <c r="N1261" s="26"/>
      <c r="O1261" s="26"/>
      <c r="P1261" s="26"/>
    </row>
    <row r="1262">
      <c r="A1262" s="90"/>
      <c r="B1262" s="82"/>
      <c r="C1262" s="83"/>
      <c r="D1262" s="82"/>
      <c r="E1262" s="84"/>
      <c r="F1262" s="85"/>
      <c r="G1262" s="86"/>
      <c r="H1262" s="84"/>
      <c r="I1262" s="86"/>
      <c r="J1262" s="87"/>
      <c r="K1262" s="91"/>
      <c r="L1262" s="89"/>
      <c r="M1262" s="26"/>
      <c r="N1262" s="26"/>
      <c r="O1262" s="26"/>
      <c r="P1262" s="26"/>
    </row>
    <row r="1263">
      <c r="A1263" s="90"/>
      <c r="B1263" s="82"/>
      <c r="C1263" s="83"/>
      <c r="D1263" s="82"/>
      <c r="E1263" s="84"/>
      <c r="F1263" s="85"/>
      <c r="G1263" s="86"/>
      <c r="H1263" s="84"/>
      <c r="I1263" s="86"/>
      <c r="J1263" s="87"/>
      <c r="K1263" s="91"/>
      <c r="L1263" s="89"/>
      <c r="M1263" s="26"/>
      <c r="N1263" s="26"/>
      <c r="O1263" s="26"/>
      <c r="P1263" s="26"/>
    </row>
    <row r="1264">
      <c r="A1264" s="90"/>
      <c r="B1264" s="82"/>
      <c r="C1264" s="83"/>
      <c r="D1264" s="82"/>
      <c r="E1264" s="84"/>
      <c r="F1264" s="85"/>
      <c r="G1264" s="86"/>
      <c r="H1264" s="84"/>
      <c r="I1264" s="86"/>
      <c r="J1264" s="87"/>
      <c r="K1264" s="91"/>
      <c r="L1264" s="89"/>
      <c r="M1264" s="26"/>
      <c r="N1264" s="26"/>
      <c r="O1264" s="26"/>
      <c r="P1264" s="26"/>
    </row>
    <row r="1265">
      <c r="A1265" s="90"/>
      <c r="B1265" s="82"/>
      <c r="C1265" s="83"/>
      <c r="D1265" s="82"/>
      <c r="E1265" s="84"/>
      <c r="F1265" s="85"/>
      <c r="G1265" s="86"/>
      <c r="H1265" s="84"/>
      <c r="I1265" s="86"/>
      <c r="J1265" s="87"/>
      <c r="K1265" s="91"/>
      <c r="L1265" s="89"/>
      <c r="M1265" s="26"/>
      <c r="N1265" s="26"/>
      <c r="O1265" s="26"/>
      <c r="P1265" s="26"/>
    </row>
    <row r="1266">
      <c r="A1266" s="90"/>
      <c r="B1266" s="82"/>
      <c r="C1266" s="83"/>
      <c r="D1266" s="82"/>
      <c r="E1266" s="84"/>
      <c r="F1266" s="85"/>
      <c r="G1266" s="86"/>
      <c r="H1266" s="84"/>
      <c r="I1266" s="86"/>
      <c r="J1266" s="87"/>
      <c r="K1266" s="91"/>
      <c r="L1266" s="89"/>
      <c r="M1266" s="26"/>
      <c r="N1266" s="26"/>
      <c r="O1266" s="26"/>
      <c r="P1266" s="26"/>
    </row>
    <row r="1267">
      <c r="A1267" s="90"/>
      <c r="B1267" s="82"/>
      <c r="C1267" s="83"/>
      <c r="D1267" s="82"/>
      <c r="E1267" s="84"/>
      <c r="F1267" s="85"/>
      <c r="G1267" s="86"/>
      <c r="H1267" s="84"/>
      <c r="I1267" s="86"/>
      <c r="J1267" s="87"/>
      <c r="K1267" s="91"/>
      <c r="L1267" s="89"/>
      <c r="M1267" s="26"/>
      <c r="N1267" s="26"/>
      <c r="O1267" s="26"/>
      <c r="P1267" s="26"/>
    </row>
    <row r="1268">
      <c r="A1268" s="90"/>
      <c r="B1268" s="82"/>
      <c r="C1268" s="83"/>
      <c r="D1268" s="82"/>
      <c r="E1268" s="84"/>
      <c r="F1268" s="85"/>
      <c r="G1268" s="86"/>
      <c r="H1268" s="84"/>
      <c r="I1268" s="86"/>
      <c r="J1268" s="87"/>
      <c r="K1268" s="91"/>
      <c r="L1268" s="89"/>
      <c r="M1268" s="26"/>
      <c r="N1268" s="26"/>
      <c r="O1268" s="26"/>
      <c r="P1268" s="26"/>
    </row>
    <row r="1269">
      <c r="A1269" s="90"/>
      <c r="B1269" s="82"/>
      <c r="C1269" s="83"/>
      <c r="D1269" s="82"/>
      <c r="E1269" s="84"/>
      <c r="F1269" s="85"/>
      <c r="G1269" s="86"/>
      <c r="H1269" s="84"/>
      <c r="I1269" s="86"/>
      <c r="J1269" s="87"/>
      <c r="K1269" s="91"/>
      <c r="L1269" s="89"/>
      <c r="M1269" s="26"/>
      <c r="N1269" s="26"/>
      <c r="O1269" s="26"/>
      <c r="P1269" s="26"/>
    </row>
    <row r="1270">
      <c r="A1270" s="90"/>
      <c r="B1270" s="82"/>
      <c r="C1270" s="83"/>
      <c r="D1270" s="82"/>
      <c r="E1270" s="84"/>
      <c r="F1270" s="85"/>
      <c r="G1270" s="86"/>
      <c r="H1270" s="84"/>
      <c r="I1270" s="86"/>
      <c r="J1270" s="87"/>
      <c r="K1270" s="91"/>
      <c r="L1270" s="89"/>
      <c r="M1270" s="26"/>
      <c r="N1270" s="26"/>
      <c r="O1270" s="26"/>
      <c r="P1270" s="26"/>
    </row>
    <row r="1271">
      <c r="A1271" s="90"/>
      <c r="B1271" s="82"/>
      <c r="C1271" s="83"/>
      <c r="D1271" s="82"/>
      <c r="E1271" s="84"/>
      <c r="F1271" s="85"/>
      <c r="G1271" s="86"/>
      <c r="H1271" s="84"/>
      <c r="I1271" s="86"/>
      <c r="J1271" s="87"/>
      <c r="K1271" s="91"/>
      <c r="L1271" s="89"/>
      <c r="M1271" s="26"/>
      <c r="N1271" s="26"/>
      <c r="O1271" s="26"/>
      <c r="P1271" s="26"/>
    </row>
    <row r="1272">
      <c r="A1272" s="90"/>
      <c r="B1272" s="82"/>
      <c r="C1272" s="83"/>
      <c r="D1272" s="82"/>
      <c r="E1272" s="84"/>
      <c r="F1272" s="85"/>
      <c r="G1272" s="86"/>
      <c r="H1272" s="84"/>
      <c r="I1272" s="86"/>
      <c r="J1272" s="87"/>
      <c r="K1272" s="91"/>
      <c r="L1272" s="89"/>
      <c r="M1272" s="26"/>
      <c r="N1272" s="26"/>
      <c r="O1272" s="26"/>
      <c r="P1272" s="26"/>
    </row>
    <row r="1273">
      <c r="A1273" s="90"/>
      <c r="B1273" s="82"/>
      <c r="C1273" s="83"/>
      <c r="D1273" s="82"/>
      <c r="E1273" s="84"/>
      <c r="F1273" s="85"/>
      <c r="G1273" s="86"/>
      <c r="H1273" s="84"/>
      <c r="I1273" s="86"/>
      <c r="J1273" s="87"/>
      <c r="K1273" s="91"/>
      <c r="L1273" s="89"/>
      <c r="M1273" s="26"/>
      <c r="N1273" s="26"/>
      <c r="O1273" s="26"/>
      <c r="P1273" s="26"/>
    </row>
    <row r="1274">
      <c r="A1274" s="90"/>
      <c r="B1274" s="82"/>
      <c r="C1274" s="83"/>
      <c r="D1274" s="82"/>
      <c r="E1274" s="84"/>
      <c r="F1274" s="85"/>
      <c r="G1274" s="86"/>
      <c r="H1274" s="84"/>
      <c r="I1274" s="86"/>
      <c r="J1274" s="87"/>
      <c r="K1274" s="91"/>
      <c r="L1274" s="89"/>
      <c r="M1274" s="26"/>
      <c r="N1274" s="26"/>
      <c r="O1274" s="26"/>
      <c r="P1274" s="26"/>
    </row>
    <row r="1275">
      <c r="A1275" s="90"/>
      <c r="B1275" s="82"/>
      <c r="C1275" s="83"/>
      <c r="D1275" s="82"/>
      <c r="E1275" s="84"/>
      <c r="F1275" s="85"/>
      <c r="G1275" s="86"/>
      <c r="H1275" s="84"/>
      <c r="I1275" s="86"/>
      <c r="J1275" s="87"/>
      <c r="K1275" s="91"/>
      <c r="L1275" s="89"/>
      <c r="M1275" s="26"/>
      <c r="N1275" s="26"/>
      <c r="O1275" s="26"/>
      <c r="P1275" s="26"/>
    </row>
    <row r="1276">
      <c r="A1276" s="90"/>
      <c r="B1276" s="82"/>
      <c r="C1276" s="83"/>
      <c r="D1276" s="82"/>
      <c r="E1276" s="84"/>
      <c r="F1276" s="85"/>
      <c r="G1276" s="86"/>
      <c r="H1276" s="84"/>
      <c r="I1276" s="86"/>
      <c r="J1276" s="87"/>
      <c r="K1276" s="91"/>
      <c r="L1276" s="89"/>
      <c r="M1276" s="26"/>
      <c r="N1276" s="26"/>
      <c r="O1276" s="26"/>
      <c r="P1276" s="26"/>
    </row>
    <row r="1277">
      <c r="A1277" s="90"/>
      <c r="B1277" s="82"/>
      <c r="C1277" s="83"/>
      <c r="D1277" s="82"/>
      <c r="E1277" s="84"/>
      <c r="F1277" s="85"/>
      <c r="G1277" s="86"/>
      <c r="H1277" s="84"/>
      <c r="I1277" s="86"/>
      <c r="J1277" s="87"/>
      <c r="K1277" s="91"/>
      <c r="L1277" s="89"/>
      <c r="M1277" s="26"/>
      <c r="N1277" s="26"/>
      <c r="O1277" s="26"/>
      <c r="P1277" s="26"/>
    </row>
    <row r="1278">
      <c r="A1278" s="90"/>
      <c r="B1278" s="82"/>
      <c r="C1278" s="83"/>
      <c r="D1278" s="82"/>
      <c r="E1278" s="84"/>
      <c r="F1278" s="85"/>
      <c r="G1278" s="86"/>
      <c r="H1278" s="84"/>
      <c r="I1278" s="86"/>
      <c r="J1278" s="87"/>
      <c r="K1278" s="91"/>
      <c r="L1278" s="89"/>
      <c r="M1278" s="26"/>
      <c r="N1278" s="26"/>
      <c r="O1278" s="26"/>
      <c r="P1278" s="26"/>
    </row>
    <row r="1279">
      <c r="A1279" s="90"/>
      <c r="B1279" s="82"/>
      <c r="C1279" s="83"/>
      <c r="D1279" s="82"/>
      <c r="E1279" s="84"/>
      <c r="F1279" s="85"/>
      <c r="G1279" s="86"/>
      <c r="H1279" s="84"/>
      <c r="I1279" s="86"/>
      <c r="J1279" s="87"/>
      <c r="K1279" s="91"/>
      <c r="L1279" s="89"/>
      <c r="M1279" s="26"/>
      <c r="N1279" s="26"/>
      <c r="O1279" s="26"/>
      <c r="P1279" s="26"/>
    </row>
    <row r="1280">
      <c r="A1280" s="90"/>
      <c r="B1280" s="82"/>
      <c r="C1280" s="83"/>
      <c r="D1280" s="82"/>
      <c r="E1280" s="84"/>
      <c r="F1280" s="85"/>
      <c r="G1280" s="86"/>
      <c r="H1280" s="84"/>
      <c r="I1280" s="86"/>
      <c r="J1280" s="87"/>
      <c r="K1280" s="91"/>
      <c r="L1280" s="89"/>
      <c r="M1280" s="26"/>
      <c r="N1280" s="26"/>
      <c r="O1280" s="26"/>
      <c r="P1280" s="26"/>
    </row>
    <row r="1281">
      <c r="A1281" s="90"/>
      <c r="B1281" s="82"/>
      <c r="C1281" s="83"/>
      <c r="D1281" s="82"/>
      <c r="E1281" s="84"/>
      <c r="F1281" s="85"/>
      <c r="G1281" s="86"/>
      <c r="H1281" s="84"/>
      <c r="I1281" s="86"/>
      <c r="J1281" s="87"/>
      <c r="K1281" s="91"/>
      <c r="L1281" s="89"/>
      <c r="M1281" s="26"/>
      <c r="N1281" s="26"/>
      <c r="O1281" s="26"/>
      <c r="P1281" s="26"/>
    </row>
  </sheetData>
  <autoFilter ref="$A$2:$N$779"/>
  <conditionalFormatting sqref="B1">
    <cfRule type="cellIs" dxfId="1" priority="1" operator="equal">
      <formula>"Xbox"</formula>
    </cfRule>
  </conditionalFormatting>
  <conditionalFormatting sqref="A3:A1281">
    <cfRule type="expression" dxfId="2" priority="2">
      <formula>MATCH(A3,INDIRECT("'Xbox Game Studios'!A:A"),0)</formula>
    </cfRule>
  </conditionalFormatting>
  <conditionalFormatting sqref="A3:A1281">
    <cfRule type="expression" dxfId="3" priority="3">
      <formula>MATCH(A3,INDIRECT("'EA Play'!A:A"),0)</formula>
    </cfRule>
  </conditionalFormatting>
  <conditionalFormatting sqref="A3:A1281 D3:D1281">
    <cfRule type="expression" dxfId="4" priority="4">
      <formula>$D3="Coming Soon"</formula>
    </cfRule>
  </conditionalFormatting>
  <conditionalFormatting sqref="A3:A1281 D3:D1281">
    <cfRule type="expression" dxfId="5" priority="5">
      <formula>$D3="Removed"</formula>
    </cfRule>
  </conditionalFormatting>
  <conditionalFormatting sqref="A3:A1281 D3:D1281">
    <cfRule type="expression" dxfId="6" priority="6">
      <formula>$D3="Leaving Soon"</formula>
    </cfRule>
  </conditionalFormatting>
  <conditionalFormatting sqref="E3:E1281 I3:I1281">
    <cfRule type="expression" dxfId="1" priority="7">
      <formula>AND($E3&lt;&gt;"",(($E3-$H3)/365*12)&lt;1)</formula>
    </cfRule>
  </conditionalFormatting>
  <conditionalFormatting sqref="J3:J1281">
    <cfRule type="cellIs" dxfId="3" priority="8" operator="between">
      <formula>75</formula>
      <formula>90</formula>
    </cfRule>
  </conditionalFormatting>
  <conditionalFormatting sqref="J3:J1281">
    <cfRule type="cellIs" dxfId="2" priority="9" operator="between">
      <formula>50</formula>
      <formula>75</formula>
    </cfRule>
  </conditionalFormatting>
  <conditionalFormatting sqref="J3:J1281">
    <cfRule type="cellIs" dxfId="5" priority="10" operator="between">
      <formula>1</formula>
      <formula>50</formula>
    </cfRule>
  </conditionalFormatting>
  <conditionalFormatting sqref="B3:B1281">
    <cfRule type="expression" dxfId="7" priority="11">
      <formula>AND(MATCH(A3,INDIRECT("'Cross Play'!D2:D"),0),MATCH(A3,INDIRECT("'Cross Play'!A2:A"),0))</formula>
    </cfRule>
  </conditionalFormatting>
  <conditionalFormatting sqref="B3:B1281">
    <cfRule type="expression" dxfId="8" priority="12">
      <formula>MATCH(A3,INDIRECT("'Cross Play'!A2:A"),0)</formula>
    </cfRule>
  </conditionalFormatting>
  <conditionalFormatting sqref="B3:B1281">
    <cfRule type="expression" dxfId="9" priority="13">
      <formula>MATCH(A3,INDIRECT("'Cross Play'!D2:D"),0)</formula>
    </cfRule>
  </conditionalFormatting>
  <conditionalFormatting sqref="I3:I1281">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1281">
    <cfRule type="cellIs" dxfId="10" priority="16" operator="between">
      <formula>90</formula>
      <formula>100</formula>
    </cfRule>
  </conditionalFormatting>
  <conditionalFormatting sqref="G3:G1281">
    <cfRule type="expression" dxfId="11" priority="17">
      <formula>MATCH(A3,INDIRECT("'Xbox Game Studios'!A:A"),0)</formula>
    </cfRule>
  </conditionalFormatting>
  <conditionalFormatting sqref="G3:G1281">
    <cfRule type="expression" dxfId="11" priority="18">
      <formula>MATCH(A3,INDIRECT("'EA Play'!A:A"),0)</formula>
    </cfRule>
  </conditionalFormatting>
  <conditionalFormatting sqref="G3:G1281">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0</v>
      </c>
      <c r="B1" s="2">
        <f>COUNTIF(D2:D779,"Active")+COUNTIF(D2:D779,"Leaving Soon")</f>
        <v>141</v>
      </c>
      <c r="C1" s="3"/>
      <c r="D1" s="1"/>
      <c r="E1" s="1"/>
      <c r="F1" s="1"/>
      <c r="G1" s="1"/>
      <c r="H1" s="1"/>
      <c r="I1" s="1"/>
      <c r="J1" s="2"/>
      <c r="K1" s="1"/>
      <c r="L1" s="2"/>
      <c r="M1" s="4"/>
      <c r="N1" s="4"/>
      <c r="O1" s="4"/>
      <c r="P1" s="4"/>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c r="A3" s="13" t="str">
        <f>IFERROR(__xludf.DUMMYFUNCTION("SORT(FILTER('Master List'!A2:P779, REGEXMATCH('Master List'!O2:O779, ""No""), NOT(REGEXMATCH('Master List'!D2:D779, ""Removed"")) ), 5, false)"),"F1 25")</f>
        <v>F1 25</v>
      </c>
      <c r="B3" s="15" t="str">
        <f>IFERROR(__xludf.DUMMYFUNCTION("""COMPUTED_VALUE"""),"PS5")</f>
        <v>PS5</v>
      </c>
      <c r="C3" s="16" t="str">
        <f>IFERROR(__xludf.DUMMYFUNCTION("""COMPUTED_VALUE"""),"Essential")</f>
        <v>Essential</v>
      </c>
      <c r="D3" s="15" t="str">
        <f>IFERROR(__xludf.DUMMYFUNCTION("""COMPUTED_VALUE"""),"Leaving Soon")</f>
        <v>Leaving Soon</v>
      </c>
      <c r="E3" s="17">
        <f>IFERROR(__xludf.DUMMYFUNCTION("""COMPUTED_VALUE"""),46301.0)</f>
        <v>46301</v>
      </c>
      <c r="F3" s="18">
        <f>IFERROR(__xludf.DUMMYFUNCTION("""COMPUTED_VALUE"""),46328.0)</f>
        <v>46328</v>
      </c>
      <c r="G3" s="19">
        <f>IFERROR(__xludf.DUMMYFUNCTION("""COMPUTED_VALUE"""),0.8666666666666666)</f>
        <v>0.8666666667</v>
      </c>
      <c r="H3" s="17">
        <f>IFERROR(__xludf.DUMMYFUNCTION("""COMPUTED_VALUE"""),45807.0)</f>
        <v>45807</v>
      </c>
      <c r="I3" s="19">
        <f>IFERROR(__xludf.DUMMYFUNCTION("""COMPUTED_VALUE"""),1.35)</f>
        <v>1.35</v>
      </c>
      <c r="J3" s="21">
        <f>IFERROR(__xludf.DUMMYFUNCTION("""COMPUTED_VALUE"""),80.0)</f>
        <v>80</v>
      </c>
      <c r="K3" s="23">
        <f>IFERROR(__xludf.DUMMYFUNCTION("""COMPUTED_VALUE"""),7.3)</f>
        <v>7.3</v>
      </c>
      <c r="L3" s="24">
        <f>IFERROR(__xludf.DUMMYFUNCTION("""COMPUTED_VALUE"""),6.0)</f>
        <v>6</v>
      </c>
      <c r="M3" s="25" t="str">
        <f>IFERROR(__xludf.DUMMYFUNCTION("""COMPUTED_VALUE"""),"Racing")</f>
        <v>Racing</v>
      </c>
      <c r="N3" s="25"/>
      <c r="O3" s="25" t="str">
        <f>IFERROR(__xludf.DUMMYFUNCTION("""COMPUTED_VALUE"""),"No")</f>
        <v>No</v>
      </c>
      <c r="P3" s="25"/>
    </row>
    <row r="4">
      <c r="A4" s="13" t="str">
        <f>IFERROR(__xludf.DUMMYFUNCTION("""COMPUTED_VALUE"""),"Hunt: Showdown 1896")</f>
        <v>Hunt: Showdown 1896</v>
      </c>
      <c r="B4" s="15" t="str">
        <f>IFERROR(__xludf.DUMMYFUNCTION("""COMPUTED_VALUE"""),"PS5")</f>
        <v>PS5</v>
      </c>
      <c r="C4" s="16" t="str">
        <f>IFERROR(__xludf.DUMMYFUNCTION("""COMPUTED_VALUE"""),"Essential")</f>
        <v>Essential</v>
      </c>
      <c r="D4" s="15" t="str">
        <f>IFERROR(__xludf.DUMMYFUNCTION("""COMPUTED_VALUE"""),"Leaving Soon")</f>
        <v>Leaving Soon</v>
      </c>
      <c r="E4" s="17">
        <f>IFERROR(__xludf.DUMMYFUNCTION("""COMPUTED_VALUE"""),46301.0)</f>
        <v>46301</v>
      </c>
      <c r="F4" s="18">
        <f>IFERROR(__xludf.DUMMYFUNCTION("""COMPUTED_VALUE"""),46328.0)</f>
        <v>46328</v>
      </c>
      <c r="G4" s="19">
        <f>IFERROR(__xludf.DUMMYFUNCTION("""COMPUTED_VALUE"""),0.8666666666666666)</f>
        <v>0.8666666667</v>
      </c>
      <c r="H4" s="17">
        <f>IFERROR(__xludf.DUMMYFUNCTION("""COMPUTED_VALUE"""),45519.0)</f>
        <v>45519</v>
      </c>
      <c r="I4" s="19">
        <f>IFERROR(__xludf.DUMMYFUNCTION("""COMPUTED_VALUE"""),2.1416666666666666)</f>
        <v>2.141666667</v>
      </c>
      <c r="J4" s="21">
        <f>IFERROR(__xludf.DUMMYFUNCTION("""COMPUTED_VALUE"""),80.0)</f>
        <v>80</v>
      </c>
      <c r="K4" s="23">
        <f>IFERROR(__xludf.DUMMYFUNCTION("""COMPUTED_VALUE"""),7.6)</f>
        <v>7.6</v>
      </c>
      <c r="L4" s="24">
        <f>IFERROR(__xludf.DUMMYFUNCTION("""COMPUTED_VALUE"""),58.5)</f>
        <v>58.5</v>
      </c>
      <c r="M4" s="25" t="str">
        <f>IFERROR(__xludf.DUMMYFUNCTION("""COMPUTED_VALUE"""),"Shooter")</f>
        <v>Shooter</v>
      </c>
      <c r="N4" s="25"/>
      <c r="O4" s="25" t="str">
        <f>IFERROR(__xludf.DUMMYFUNCTION("""COMPUTED_VALUE"""),"No")</f>
        <v>No</v>
      </c>
      <c r="P4" s="25"/>
    </row>
    <row r="5">
      <c r="A5" s="13" t="str">
        <f>IFERROR(__xludf.DUMMYFUNCTION("""COMPUTED_VALUE"""),"Earth Defense Force: World Brothers 2")</f>
        <v>Earth Defense Force: World Brothers 2</v>
      </c>
      <c r="B5" s="15" t="str">
        <f>IFERROR(__xludf.DUMMYFUNCTION("""COMPUTED_VALUE"""),"PS5/PS4")</f>
        <v>PS5/PS4</v>
      </c>
      <c r="C5" s="16" t="str">
        <f>IFERROR(__xludf.DUMMYFUNCTION("""COMPUTED_VALUE"""),"Essential")</f>
        <v>Essential</v>
      </c>
      <c r="D5" s="15" t="str">
        <f>IFERROR(__xludf.DUMMYFUNCTION("""COMPUTED_VALUE"""),"Leaving Soon")</f>
        <v>Leaving Soon</v>
      </c>
      <c r="E5" s="17">
        <f>IFERROR(__xludf.DUMMYFUNCTION("""COMPUTED_VALUE"""),46301.0)</f>
        <v>46301</v>
      </c>
      <c r="F5" s="18">
        <f>IFERROR(__xludf.DUMMYFUNCTION("""COMPUTED_VALUE"""),46328.0)</f>
        <v>46328</v>
      </c>
      <c r="G5" s="19">
        <f>IFERROR(__xludf.DUMMYFUNCTION("""COMPUTED_VALUE"""),0.8666666666666666)</f>
        <v>0.8666666667</v>
      </c>
      <c r="H5" s="17">
        <f>IFERROR(__xludf.DUMMYFUNCTION("""COMPUTED_VALUE"""),45561.0)</f>
        <v>45561</v>
      </c>
      <c r="I5" s="19">
        <f>IFERROR(__xludf.DUMMYFUNCTION("""COMPUTED_VALUE"""),2.0277777777777777)</f>
        <v>2.027777778</v>
      </c>
      <c r="J5" s="21">
        <f>IFERROR(__xludf.DUMMYFUNCTION("""COMPUTED_VALUE"""),81.0)</f>
        <v>81</v>
      </c>
      <c r="K5" s="23">
        <f>IFERROR(__xludf.DUMMYFUNCTION("""COMPUTED_VALUE"""),7.5)</f>
        <v>7.5</v>
      </c>
      <c r="L5" s="24">
        <f>IFERROR(__xludf.DUMMYFUNCTION("""COMPUTED_VALUE"""),21.0)</f>
        <v>21</v>
      </c>
      <c r="M5" s="25" t="str">
        <f>IFERROR(__xludf.DUMMYFUNCTION("""COMPUTED_VALUE"""),"Shooter")</f>
        <v>Shooter</v>
      </c>
      <c r="N5" s="25"/>
      <c r="O5" s="25" t="str">
        <f>IFERROR(__xludf.DUMMYFUNCTION("""COMPUTED_VALUE"""),"No")</f>
        <v>No</v>
      </c>
      <c r="P5" s="25"/>
    </row>
    <row r="6">
      <c r="A6" s="13" t="str">
        <f>IFERROR(__xludf.DUMMYFUNCTION("""COMPUTED_VALUE"""),"Ball x Pit")</f>
        <v>Ball x Pit</v>
      </c>
      <c r="B6" s="15" t="str">
        <f>IFERROR(__xludf.DUMMYFUNCTION("""COMPUTED_VALUE"""),"PS5")</f>
        <v>PS5</v>
      </c>
      <c r="C6" s="16" t="str">
        <f>IFERROR(__xludf.DUMMYFUNCTION("""COMPUTED_VALUE"""),"Extra")</f>
        <v>Extra</v>
      </c>
      <c r="D6" s="15" t="str">
        <f>IFERROR(__xludf.DUMMYFUNCTION("""COMPUTED_VALUE"""),"Active")</f>
        <v>Active</v>
      </c>
      <c r="E6" s="17">
        <f>IFERROR(__xludf.DUMMYFUNCTION("""COMPUTED_VALUE"""),46287.0)</f>
        <v>46287</v>
      </c>
      <c r="F6" s="18"/>
      <c r="G6" s="19">
        <f>IFERROR(__xludf.DUMMYFUNCTION("""COMPUTED_VALUE"""),0.4666666666666667)</f>
        <v>0.4666666667</v>
      </c>
      <c r="H6" s="17">
        <f>IFERROR(__xludf.DUMMYFUNCTION("""COMPUTED_VALUE"""),45945.0)</f>
        <v>45945</v>
      </c>
      <c r="I6" s="19">
        <f>IFERROR(__xludf.DUMMYFUNCTION("""COMPUTED_VALUE"""),0.9361111111111111)</f>
        <v>0.9361111111</v>
      </c>
      <c r="J6" s="21">
        <f>IFERROR(__xludf.DUMMYFUNCTION("""COMPUTED_VALUE"""),84.0)</f>
        <v>84</v>
      </c>
      <c r="K6" s="23">
        <f>IFERROR(__xludf.DUMMYFUNCTION("""COMPUTED_VALUE"""),8.2)</f>
        <v>8.2</v>
      </c>
      <c r="L6" s="24">
        <f>IFERROR(__xludf.DUMMYFUNCTION("""COMPUTED_VALUE"""),19.0)</f>
        <v>19</v>
      </c>
      <c r="M6" s="25" t="str">
        <f>IFERROR(__xludf.DUMMYFUNCTION("""COMPUTED_VALUE"""),"Shooter")</f>
        <v>Shooter</v>
      </c>
      <c r="N6" s="25"/>
      <c r="O6" s="25" t="str">
        <f>IFERROR(__xludf.DUMMYFUNCTION("""COMPUTED_VALUE"""),"No")</f>
        <v>No</v>
      </c>
      <c r="P6" s="25"/>
    </row>
    <row r="7">
      <c r="A7" s="13" t="str">
        <f>IFERROR(__xludf.DUMMYFUNCTION("""COMPUTED_VALUE"""),"RuneScape: Dragonwilds")</f>
        <v>RuneScape: Dragonwilds</v>
      </c>
      <c r="B7" s="15" t="str">
        <f>IFERROR(__xludf.DUMMYFUNCTION("""COMPUTED_VALUE"""),"PS5")</f>
        <v>PS5</v>
      </c>
      <c r="C7" s="16" t="str">
        <f>IFERROR(__xludf.DUMMYFUNCTION("""COMPUTED_VALUE"""),"Extra")</f>
        <v>Extra</v>
      </c>
      <c r="D7" s="15" t="str">
        <f>IFERROR(__xludf.DUMMYFUNCTION("""COMPUTED_VALUE"""),"Active")</f>
        <v>Active</v>
      </c>
      <c r="E7" s="17">
        <f>IFERROR(__xludf.DUMMYFUNCTION("""COMPUTED_VALUE"""),46280.0)</f>
        <v>46280</v>
      </c>
      <c r="F7" s="18"/>
      <c r="G7" s="19">
        <f>IFERROR(__xludf.DUMMYFUNCTION("""COMPUTED_VALUE"""),0.7)</f>
        <v>0.7</v>
      </c>
      <c r="H7" s="17">
        <f>IFERROR(__xludf.DUMMYFUNCTION("""COMPUTED_VALUE"""),46280.0)</f>
        <v>46280</v>
      </c>
      <c r="I7" s="19">
        <f>IFERROR(__xludf.DUMMYFUNCTION("""COMPUTED_VALUE"""),0.0)</f>
        <v>0</v>
      </c>
      <c r="J7" s="21"/>
      <c r="K7" s="23"/>
      <c r="L7" s="24">
        <f>IFERROR(__xludf.DUMMYFUNCTION("""COMPUTED_VALUE"""),20.0)</f>
        <v>20</v>
      </c>
      <c r="M7" s="25" t="str">
        <f>IFERROR(__xludf.DUMMYFUNCTION("""COMPUTED_VALUE"""),"Action-Adventure")</f>
        <v>Action-Adventure</v>
      </c>
      <c r="N7" s="25"/>
      <c r="O7" s="25" t="str">
        <f>IFERROR(__xludf.DUMMYFUNCTION("""COMPUTED_VALUE"""),"No")</f>
        <v>No</v>
      </c>
      <c r="P7" s="25"/>
    </row>
    <row r="8">
      <c r="A8" s="13" t="str">
        <f>IFERROR(__xludf.DUMMYFUNCTION("""COMPUTED_VALUE"""),"WWE 2K26")</f>
        <v>WWE 2K26</v>
      </c>
      <c r="B8" s="15" t="str">
        <f>IFERROR(__xludf.DUMMYFUNCTION("""COMPUTED_VALUE"""),"PS5")</f>
        <v>PS5</v>
      </c>
      <c r="C8" s="16" t="str">
        <f>IFERROR(__xludf.DUMMYFUNCTION("""COMPUTED_VALUE"""),"Extra")</f>
        <v>Extra</v>
      </c>
      <c r="D8" s="15" t="str">
        <f>IFERROR(__xludf.DUMMYFUNCTION("""COMPUTED_VALUE"""),"Active")</f>
        <v>Active</v>
      </c>
      <c r="E8" s="17">
        <f>IFERROR(__xludf.DUMMYFUNCTION("""COMPUTED_VALUE"""),46280.0)</f>
        <v>46280</v>
      </c>
      <c r="F8" s="18"/>
      <c r="G8" s="19">
        <f>IFERROR(__xludf.DUMMYFUNCTION("""COMPUTED_VALUE"""),0.7)</f>
        <v>0.7</v>
      </c>
      <c r="H8" s="17">
        <f>IFERROR(__xludf.DUMMYFUNCTION("""COMPUTED_VALUE"""),46094.0)</f>
        <v>46094</v>
      </c>
      <c r="I8" s="19">
        <f>IFERROR(__xludf.DUMMYFUNCTION("""COMPUTED_VALUE"""),0.5055555555555555)</f>
        <v>0.5055555556</v>
      </c>
      <c r="J8" s="21">
        <f>IFERROR(__xludf.DUMMYFUNCTION("""COMPUTED_VALUE"""),78.0)</f>
        <v>78</v>
      </c>
      <c r="K8" s="23">
        <f>IFERROR(__xludf.DUMMYFUNCTION("""COMPUTED_VALUE"""),3.5)</f>
        <v>3.5</v>
      </c>
      <c r="L8" s="24">
        <f>IFERROR(__xludf.DUMMYFUNCTION("""COMPUTED_VALUE"""),14.5)</f>
        <v>14.5</v>
      </c>
      <c r="M8" s="25" t="str">
        <f>IFERROR(__xludf.DUMMYFUNCTION("""COMPUTED_VALUE"""),"Wrestling")</f>
        <v>Wrestling</v>
      </c>
      <c r="N8" s="25"/>
      <c r="O8" s="25" t="str">
        <f>IFERROR(__xludf.DUMMYFUNCTION("""COMPUTED_VALUE"""),"No")</f>
        <v>No</v>
      </c>
      <c r="P8" s="25"/>
    </row>
    <row r="9">
      <c r="A9" s="35" t="str">
        <f>IFERROR(__xludf.DUMMYFUNCTION("""COMPUTED_VALUE"""),"Date Everything!")</f>
        <v>Date Everything!</v>
      </c>
      <c r="B9" s="15" t="str">
        <f>IFERROR(__xludf.DUMMYFUNCTION("""COMPUTED_VALUE"""),"PS5")</f>
        <v>PS5</v>
      </c>
      <c r="C9" s="16" t="str">
        <f>IFERROR(__xludf.DUMMYFUNCTION("""COMPUTED_VALUE"""),"Extra")</f>
        <v>Extra</v>
      </c>
      <c r="D9" s="15" t="str">
        <f>IFERROR(__xludf.DUMMYFUNCTION("""COMPUTED_VALUE"""),"Active")</f>
        <v>Active</v>
      </c>
      <c r="E9" s="17">
        <f>IFERROR(__xludf.DUMMYFUNCTION("""COMPUTED_VALUE"""),46275.0)</f>
        <v>46275</v>
      </c>
      <c r="F9" s="18"/>
      <c r="G9" s="19">
        <f>IFERROR(__xludf.DUMMYFUNCTION("""COMPUTED_VALUE"""),0.8666666666666666)</f>
        <v>0.8666666667</v>
      </c>
      <c r="H9" s="17">
        <f>IFERROR(__xludf.DUMMYFUNCTION("""COMPUTED_VALUE"""),45825.0)</f>
        <v>45825</v>
      </c>
      <c r="I9" s="19">
        <f>IFERROR(__xludf.DUMMYFUNCTION("""COMPUTED_VALUE"""),1.2305555555555556)</f>
        <v>1.230555556</v>
      </c>
      <c r="J9" s="21">
        <f>IFERROR(__xludf.DUMMYFUNCTION("""COMPUTED_VALUE"""),78.0)</f>
        <v>78</v>
      </c>
      <c r="K9" s="23">
        <f>IFERROR(__xludf.DUMMYFUNCTION("""COMPUTED_VALUE"""),6.7)</f>
        <v>6.7</v>
      </c>
      <c r="L9" s="24">
        <f>IFERROR(__xludf.DUMMYFUNCTION("""COMPUTED_VALUE"""),19.5)</f>
        <v>19.5</v>
      </c>
      <c r="M9" s="25" t="str">
        <f>IFERROR(__xludf.DUMMYFUNCTION("""COMPUTED_VALUE"""),"Action-Adventure")</f>
        <v>Action-Adventure</v>
      </c>
      <c r="N9" s="25"/>
      <c r="O9" s="25" t="str">
        <f>IFERROR(__xludf.DUMMYFUNCTION("""COMPUTED_VALUE"""),"No")</f>
        <v>No</v>
      </c>
      <c r="P9" s="25"/>
    </row>
    <row r="10">
      <c r="A10" s="13" t="str">
        <f>IFERROR(__xludf.DUMMYFUNCTION("""COMPUTED_VALUE"""),"Hell is Us")</f>
        <v>Hell is Us</v>
      </c>
      <c r="B10" s="15" t="str">
        <f>IFERROR(__xludf.DUMMYFUNCTION("""COMPUTED_VALUE"""),"PS5")</f>
        <v>PS5</v>
      </c>
      <c r="C10" s="16" t="str">
        <f>IFERROR(__xludf.DUMMYFUNCTION("""COMPUTED_VALUE"""),"Extra")</f>
        <v>Extra</v>
      </c>
      <c r="D10" s="15" t="str">
        <f>IFERROR(__xludf.DUMMYFUNCTION("""COMPUTED_VALUE"""),"Active")</f>
        <v>Active</v>
      </c>
      <c r="E10" s="17">
        <f>IFERROR(__xludf.DUMMYFUNCTION("""COMPUTED_VALUE"""),46259.0)</f>
        <v>46259</v>
      </c>
      <c r="F10" s="18"/>
      <c r="G10" s="19">
        <f>IFERROR(__xludf.DUMMYFUNCTION("""COMPUTED_VALUE"""),1.3666666666666667)</f>
        <v>1.366666667</v>
      </c>
      <c r="H10" s="17">
        <f>IFERROR(__xludf.DUMMYFUNCTION("""COMPUTED_VALUE"""),45904.0)</f>
        <v>45904</v>
      </c>
      <c r="I10" s="19">
        <f>IFERROR(__xludf.DUMMYFUNCTION("""COMPUTED_VALUE"""),0.975)</f>
        <v>0.975</v>
      </c>
      <c r="J10" s="21">
        <f>IFERROR(__xludf.DUMMYFUNCTION("""COMPUTED_VALUE"""),77.0)</f>
        <v>77</v>
      </c>
      <c r="K10" s="23">
        <f>IFERROR(__xludf.DUMMYFUNCTION("""COMPUTED_VALUE"""),7.8)</f>
        <v>7.8</v>
      </c>
      <c r="L10" s="24">
        <f>IFERROR(__xludf.DUMMYFUNCTION("""COMPUTED_VALUE"""),21.0)</f>
        <v>21</v>
      </c>
      <c r="M10" s="25" t="str">
        <f>IFERROR(__xludf.DUMMYFUNCTION("""COMPUTED_VALUE"""),"Action-Adventure")</f>
        <v>Action-Adventure</v>
      </c>
      <c r="N10" s="25"/>
      <c r="O10" s="25" t="str">
        <f>IFERROR(__xludf.DUMMYFUNCTION("""COMPUTED_VALUE"""),"No")</f>
        <v>No</v>
      </c>
      <c r="P10" s="25"/>
    </row>
    <row r="11">
      <c r="A11" s="13" t="str">
        <f>IFERROR(__xludf.DUMMYFUNCTION("""COMPUTED_VALUE"""),"Two Point Museum")</f>
        <v>Two Point Museum</v>
      </c>
      <c r="B11" s="15" t="str">
        <f>IFERROR(__xludf.DUMMYFUNCTION("""COMPUTED_VALUE"""),"PS5")</f>
        <v>PS5</v>
      </c>
      <c r="C11" s="16" t="str">
        <f>IFERROR(__xludf.DUMMYFUNCTION("""COMPUTED_VALUE"""),"Extra")</f>
        <v>Extra</v>
      </c>
      <c r="D11" s="15" t="str">
        <f>IFERROR(__xludf.DUMMYFUNCTION("""COMPUTED_VALUE"""),"Active")</f>
        <v>Active</v>
      </c>
      <c r="E11" s="17">
        <f>IFERROR(__xludf.DUMMYFUNCTION("""COMPUTED_VALUE"""),46259.0)</f>
        <v>46259</v>
      </c>
      <c r="F11" s="18"/>
      <c r="G11" s="19">
        <f>IFERROR(__xludf.DUMMYFUNCTION("""COMPUTED_VALUE"""),1.3666666666666667)</f>
        <v>1.366666667</v>
      </c>
      <c r="H11" s="17">
        <f>IFERROR(__xludf.DUMMYFUNCTION("""COMPUTED_VALUE"""),45720.0)</f>
        <v>45720</v>
      </c>
      <c r="I11" s="19">
        <f>IFERROR(__xludf.DUMMYFUNCTION("""COMPUTED_VALUE"""),1.475)</f>
        <v>1.475</v>
      </c>
      <c r="J11" s="21">
        <f>IFERROR(__xludf.DUMMYFUNCTION("""COMPUTED_VALUE"""),84.0)</f>
        <v>84</v>
      </c>
      <c r="K11" s="23">
        <f>IFERROR(__xludf.DUMMYFUNCTION("""COMPUTED_VALUE"""),8.1)</f>
        <v>8.1</v>
      </c>
      <c r="L11" s="24">
        <f>IFERROR(__xludf.DUMMYFUNCTION("""COMPUTED_VALUE"""),47.0)</f>
        <v>47</v>
      </c>
      <c r="M11" s="25" t="str">
        <f>IFERROR(__xludf.DUMMYFUNCTION("""COMPUTED_VALUE"""),"Tycoon")</f>
        <v>Tycoon</v>
      </c>
      <c r="N11" s="25"/>
      <c r="O11" s="25" t="str">
        <f>IFERROR(__xludf.DUMMYFUNCTION("""COMPUTED_VALUE"""),"No")</f>
        <v>No</v>
      </c>
      <c r="P11" s="25"/>
    </row>
    <row r="12">
      <c r="A12" s="13" t="str">
        <f>IFERROR(__xludf.DUMMYFUNCTION("""COMPUTED_VALUE"""),"Kingdom Come: Deliverance II")</f>
        <v>Kingdom Come: Deliverance II</v>
      </c>
      <c r="B12" s="15" t="str">
        <f>IFERROR(__xludf.DUMMYFUNCTION("""COMPUTED_VALUE"""),"PS5")</f>
        <v>PS5</v>
      </c>
      <c r="C12" s="16" t="str">
        <f>IFERROR(__xludf.DUMMYFUNCTION("""COMPUTED_VALUE"""),"Extra")</f>
        <v>Extra</v>
      </c>
      <c r="D12" s="15" t="str">
        <f>IFERROR(__xludf.DUMMYFUNCTION("""COMPUTED_VALUE"""),"Active")</f>
        <v>Active</v>
      </c>
      <c r="E12" s="53">
        <f>IFERROR(__xludf.DUMMYFUNCTION("""COMPUTED_VALUE"""),46252.0)</f>
        <v>46252</v>
      </c>
      <c r="F12" s="54"/>
      <c r="G12" s="19">
        <f>IFERROR(__xludf.DUMMYFUNCTION("""COMPUTED_VALUE"""),1.6)</f>
        <v>1.6</v>
      </c>
      <c r="H12" s="17">
        <f>IFERROR(__xludf.DUMMYFUNCTION("""COMPUTED_VALUE"""),45692.0)</f>
        <v>45692</v>
      </c>
      <c r="I12" s="19">
        <f>IFERROR(__xludf.DUMMYFUNCTION("""COMPUTED_VALUE"""),1.538888888888889)</f>
        <v>1.538888889</v>
      </c>
      <c r="J12" s="21">
        <f>IFERROR(__xludf.DUMMYFUNCTION("""COMPUTED_VALUE"""),89.0)</f>
        <v>89</v>
      </c>
      <c r="K12" s="23">
        <f>IFERROR(__xludf.DUMMYFUNCTION("""COMPUTED_VALUE"""),8.7)</f>
        <v>8.7</v>
      </c>
      <c r="L12" s="24">
        <f>IFERROR(__xludf.DUMMYFUNCTION("""COMPUTED_VALUE"""),55.0)</f>
        <v>55</v>
      </c>
      <c r="M12" s="25" t="str">
        <f>IFERROR(__xludf.DUMMYFUNCTION("""COMPUTED_VALUE"""),"RPG")</f>
        <v>RPG</v>
      </c>
      <c r="N12" s="25"/>
      <c r="O12" s="25" t="str">
        <f>IFERROR(__xludf.DUMMYFUNCTION("""COMPUTED_VALUE"""),"No")</f>
        <v>No</v>
      </c>
      <c r="P12" s="25"/>
    </row>
    <row r="13">
      <c r="A13" s="13" t="str">
        <f>IFERROR(__xludf.DUMMYFUNCTION("""COMPUTED_VALUE"""),"Helldivers 2")</f>
        <v>Helldivers 2</v>
      </c>
      <c r="B13" s="15" t="str">
        <f>IFERROR(__xludf.DUMMYFUNCTION("""COMPUTED_VALUE"""),"PS5")</f>
        <v>PS5</v>
      </c>
      <c r="C13" s="16" t="str">
        <f>IFERROR(__xludf.DUMMYFUNCTION("""COMPUTED_VALUE"""),"Extra")</f>
        <v>Extra</v>
      </c>
      <c r="D13" s="15" t="str">
        <f>IFERROR(__xludf.DUMMYFUNCTION("""COMPUTED_VALUE"""),"Active")</f>
        <v>Active</v>
      </c>
      <c r="E13" s="17">
        <f>IFERROR(__xludf.DUMMYFUNCTION("""COMPUTED_VALUE"""),46246.0)</f>
        <v>46246</v>
      </c>
      <c r="F13" s="54"/>
      <c r="G13" s="19">
        <f>IFERROR(__xludf.DUMMYFUNCTION("""COMPUTED_VALUE"""),1.7999999999999998)</f>
        <v>1.8</v>
      </c>
      <c r="H13" s="17">
        <f>IFERROR(__xludf.DUMMYFUNCTION("""COMPUTED_VALUE"""),45330.0)</f>
        <v>45330</v>
      </c>
      <c r="I13" s="19">
        <f>IFERROR(__xludf.DUMMYFUNCTION("""COMPUTED_VALUE"""),2.511111111111111)</f>
        <v>2.511111111</v>
      </c>
      <c r="J13" s="21">
        <f>IFERROR(__xludf.DUMMYFUNCTION("""COMPUTED_VALUE"""),82.0)</f>
        <v>82</v>
      </c>
      <c r="K13" s="23">
        <f>IFERROR(__xludf.DUMMYFUNCTION("""COMPUTED_VALUE"""),7.5)</f>
        <v>7.5</v>
      </c>
      <c r="L13" s="24">
        <f>IFERROR(__xludf.DUMMYFUNCTION("""COMPUTED_VALUE"""),32.0)</f>
        <v>32</v>
      </c>
      <c r="M13" s="25" t="str">
        <f>IFERROR(__xludf.DUMMYFUNCTION("""COMPUTED_VALUE"""),"Shooter")</f>
        <v>Shooter</v>
      </c>
      <c r="N13" s="25"/>
      <c r="O13" s="25" t="str">
        <f>IFERROR(__xludf.DUMMYFUNCTION("""COMPUTED_VALUE"""),"No")</f>
        <v>No</v>
      </c>
      <c r="P13" s="25"/>
    </row>
    <row r="14">
      <c r="A14" s="13" t="str">
        <f>IFERROR(__xludf.DUMMYFUNCTION("""COMPUTED_VALUE"""),"Citizen Sleeper 2: Starward Vector")</f>
        <v>Citizen Sleeper 2: Starward Vector</v>
      </c>
      <c r="B14" s="15" t="str">
        <f>IFERROR(__xludf.DUMMYFUNCTION("""COMPUTED_VALUE"""),"PS5")</f>
        <v>PS5</v>
      </c>
      <c r="C14" s="16" t="str">
        <f>IFERROR(__xludf.DUMMYFUNCTION("""COMPUTED_VALUE"""),"Extra")</f>
        <v>Extra</v>
      </c>
      <c r="D14" s="15" t="str">
        <f>IFERROR(__xludf.DUMMYFUNCTION("""COMPUTED_VALUE"""),"Active")</f>
        <v>Active</v>
      </c>
      <c r="E14" s="17">
        <f>IFERROR(__xludf.DUMMYFUNCTION("""COMPUTED_VALUE"""),46231.0)</f>
        <v>46231</v>
      </c>
      <c r="F14" s="54"/>
      <c r="G14" s="19">
        <f>IFERROR(__xludf.DUMMYFUNCTION("""COMPUTED_VALUE"""),2.2666666666666666)</f>
        <v>2.266666667</v>
      </c>
      <c r="H14" s="17">
        <f>IFERROR(__xludf.DUMMYFUNCTION("""COMPUTED_VALUE"""),45688.0)</f>
        <v>45688</v>
      </c>
      <c r="I14" s="19">
        <f>IFERROR(__xludf.DUMMYFUNCTION("""COMPUTED_VALUE"""),1.4944444444444445)</f>
        <v>1.494444444</v>
      </c>
      <c r="J14" s="21">
        <f>IFERROR(__xludf.DUMMYFUNCTION("""COMPUTED_VALUE"""),86.0)</f>
        <v>86</v>
      </c>
      <c r="K14" s="23">
        <f>IFERROR(__xludf.DUMMYFUNCTION("""COMPUTED_VALUE"""),8.3)</f>
        <v>8.3</v>
      </c>
      <c r="L14" s="24">
        <f>IFERROR(__xludf.DUMMYFUNCTION("""COMPUTED_VALUE"""),12.0)</f>
        <v>12</v>
      </c>
      <c r="M14" s="25" t="str">
        <f>IFERROR(__xludf.DUMMYFUNCTION("""COMPUTED_VALUE"""),"RPG")</f>
        <v>RPG</v>
      </c>
      <c r="N14" s="25"/>
      <c r="O14" s="25" t="str">
        <f>IFERROR(__xludf.DUMMYFUNCTION("""COMPUTED_VALUE"""),"No")</f>
        <v>No</v>
      </c>
      <c r="P14" s="25"/>
    </row>
    <row r="15">
      <c r="A15" s="13" t="str">
        <f>IFERROR(__xludf.DUMMYFUNCTION("""COMPUTED_VALUE"""),"Snow Bros. Wonderland")</f>
        <v>Snow Bros. Wonderland</v>
      </c>
      <c r="B15" s="15" t="str">
        <f>IFERROR(__xludf.DUMMYFUNCTION("""COMPUTED_VALUE"""),"PS5")</f>
        <v>PS5</v>
      </c>
      <c r="C15" s="16" t="str">
        <f>IFERROR(__xludf.DUMMYFUNCTION("""COMPUTED_VALUE"""),"Extra")</f>
        <v>Extra</v>
      </c>
      <c r="D15" s="15" t="str">
        <f>IFERROR(__xludf.DUMMYFUNCTION("""COMPUTED_VALUE"""),"Active")</f>
        <v>Active</v>
      </c>
      <c r="E15" s="17">
        <f>IFERROR(__xludf.DUMMYFUNCTION("""COMPUTED_VALUE"""),46231.0)</f>
        <v>46231</v>
      </c>
      <c r="F15" s="54"/>
      <c r="G15" s="19">
        <f>IFERROR(__xludf.DUMMYFUNCTION("""COMPUTED_VALUE"""),2.2666666666666666)</f>
        <v>2.266666667</v>
      </c>
      <c r="H15" s="17">
        <f>IFERROR(__xludf.DUMMYFUNCTION("""COMPUTED_VALUE"""),45624.0)</f>
        <v>45624</v>
      </c>
      <c r="I15" s="19">
        <f>IFERROR(__xludf.DUMMYFUNCTION("""COMPUTED_VALUE"""),1.6666666666666667)</f>
        <v>1.666666667</v>
      </c>
      <c r="J15" s="21">
        <f>IFERROR(__xludf.DUMMYFUNCTION("""COMPUTED_VALUE"""),84.0)</f>
        <v>84</v>
      </c>
      <c r="K15" s="23">
        <f>IFERROR(__xludf.DUMMYFUNCTION("""COMPUTED_VALUE"""),7.8)</f>
        <v>7.8</v>
      </c>
      <c r="L15" s="24">
        <f>IFERROR(__xludf.DUMMYFUNCTION("""COMPUTED_VALUE"""),4.0)</f>
        <v>4</v>
      </c>
      <c r="M15" s="25" t="str">
        <f>IFERROR(__xludf.DUMMYFUNCTION("""COMPUTED_VALUE"""),"Action")</f>
        <v>Action</v>
      </c>
      <c r="N15" s="25"/>
      <c r="O15" s="25" t="str">
        <f>IFERROR(__xludf.DUMMYFUNCTION("""COMPUTED_VALUE"""),"No")</f>
        <v>No</v>
      </c>
      <c r="P15" s="25"/>
    </row>
    <row r="16">
      <c r="A16" s="13" t="str">
        <f>IFERROR(__xludf.DUMMYFUNCTION("""COMPUTED_VALUE"""),"Avatar: Frontiers of Pandora")</f>
        <v>Avatar: Frontiers of Pandora</v>
      </c>
      <c r="B16" s="15" t="str">
        <f>IFERROR(__xludf.DUMMYFUNCTION("""COMPUTED_VALUE"""),"PS5")</f>
        <v>PS5</v>
      </c>
      <c r="C16" s="16" t="str">
        <f>IFERROR(__xludf.DUMMYFUNCTION("""COMPUTED_VALUE"""),"Extra")</f>
        <v>Extra</v>
      </c>
      <c r="D16" s="15" t="str">
        <f>IFERROR(__xludf.DUMMYFUNCTION("""COMPUTED_VALUE"""),"Active")</f>
        <v>Active</v>
      </c>
      <c r="E16" s="17">
        <f>IFERROR(__xludf.DUMMYFUNCTION("""COMPUTED_VALUE"""),46224.0)</f>
        <v>46224</v>
      </c>
      <c r="F16" s="54"/>
      <c r="G16" s="19">
        <f>IFERROR(__xludf.DUMMYFUNCTION("""COMPUTED_VALUE"""),2.5)</f>
        <v>2.5</v>
      </c>
      <c r="H16" s="17">
        <f>IFERROR(__xludf.DUMMYFUNCTION("""COMPUTED_VALUE"""),45267.0)</f>
        <v>45267</v>
      </c>
      <c r="I16" s="19">
        <f>IFERROR(__xludf.DUMMYFUNCTION("""COMPUTED_VALUE"""),2.6222222222222222)</f>
        <v>2.622222222</v>
      </c>
      <c r="J16" s="21">
        <f>IFERROR(__xludf.DUMMYFUNCTION("""COMPUTED_VALUE"""),72.0)</f>
        <v>72</v>
      </c>
      <c r="K16" s="23">
        <f>IFERROR(__xludf.DUMMYFUNCTION("""COMPUTED_VALUE"""),7.1)</f>
        <v>7.1</v>
      </c>
      <c r="L16" s="24">
        <f>IFERROR(__xludf.DUMMYFUNCTION("""COMPUTED_VALUE"""),21.0)</f>
        <v>21</v>
      </c>
      <c r="M16" s="25" t="str">
        <f>IFERROR(__xludf.DUMMYFUNCTION("""COMPUTED_VALUE"""),"Action-Adventure")</f>
        <v>Action-Adventure</v>
      </c>
      <c r="N16" s="25"/>
      <c r="O16" s="25" t="str">
        <f>IFERROR(__xludf.DUMMYFUNCTION("""COMPUTED_VALUE"""),"No")</f>
        <v>No</v>
      </c>
      <c r="P16" s="25"/>
    </row>
    <row r="17">
      <c r="A17" s="13" t="str">
        <f>IFERROR(__xludf.DUMMYFUNCTION("""COMPUTED_VALUE"""),"Firefighting Simulator: Ignite")</f>
        <v>Firefighting Simulator: Ignite</v>
      </c>
      <c r="B17" s="15" t="str">
        <f>IFERROR(__xludf.DUMMYFUNCTION("""COMPUTED_VALUE"""),"PS5")</f>
        <v>PS5</v>
      </c>
      <c r="C17" s="16" t="str">
        <f>IFERROR(__xludf.DUMMYFUNCTION("""COMPUTED_VALUE"""),"Extra")</f>
        <v>Extra</v>
      </c>
      <c r="D17" s="15" t="str">
        <f>IFERROR(__xludf.DUMMYFUNCTION("""COMPUTED_VALUE"""),"Active")</f>
        <v>Active</v>
      </c>
      <c r="E17" s="17">
        <f>IFERROR(__xludf.DUMMYFUNCTION("""COMPUTED_VALUE"""),46224.0)</f>
        <v>46224</v>
      </c>
      <c r="F17" s="54"/>
      <c r="G17" s="19">
        <f>IFERROR(__xludf.DUMMYFUNCTION("""COMPUTED_VALUE"""),2.5)</f>
        <v>2.5</v>
      </c>
      <c r="H17" s="17">
        <f>IFERROR(__xludf.DUMMYFUNCTION("""COMPUTED_VALUE"""),45909.0)</f>
        <v>45909</v>
      </c>
      <c r="I17" s="19">
        <f>IFERROR(__xludf.DUMMYFUNCTION("""COMPUTED_VALUE"""),0.8666666666666667)</f>
        <v>0.8666666667</v>
      </c>
      <c r="J17" s="21">
        <f>IFERROR(__xludf.DUMMYFUNCTION("""COMPUTED_VALUE"""),78.0)</f>
        <v>78</v>
      </c>
      <c r="K17" s="23">
        <f>IFERROR(__xludf.DUMMYFUNCTION("""COMPUTED_VALUE"""),7.6)</f>
        <v>7.6</v>
      </c>
      <c r="L17" s="24">
        <f>IFERROR(__xludf.DUMMYFUNCTION("""COMPUTED_VALUE"""),15.0)</f>
        <v>15</v>
      </c>
      <c r="M17" s="25" t="str">
        <f>IFERROR(__xludf.DUMMYFUNCTION("""COMPUTED_VALUE"""),"Simulation")</f>
        <v>Simulation</v>
      </c>
      <c r="N17" s="25"/>
      <c r="O17" s="25" t="str">
        <f>IFERROR(__xludf.DUMMYFUNCTION("""COMPUTED_VALUE"""),"No")</f>
        <v>No</v>
      </c>
      <c r="P17" s="25"/>
    </row>
    <row r="18">
      <c r="A18" s="13" t="str">
        <f>IFERROR(__xludf.DUMMYFUNCTION("""COMPUTED_VALUE"""),"Rise of the Ronin")</f>
        <v>Rise of the Ronin</v>
      </c>
      <c r="B18" s="15" t="str">
        <f>IFERROR(__xludf.DUMMYFUNCTION("""COMPUTED_VALUE"""),"PS5")</f>
        <v>PS5</v>
      </c>
      <c r="C18" s="16" t="str">
        <f>IFERROR(__xludf.DUMMYFUNCTION("""COMPUTED_VALUE"""),"Extra")</f>
        <v>Extra</v>
      </c>
      <c r="D18" s="15" t="str">
        <f>IFERROR(__xludf.DUMMYFUNCTION("""COMPUTED_VALUE"""),"Active")</f>
        <v>Active</v>
      </c>
      <c r="E18" s="17">
        <f>IFERROR(__xludf.DUMMYFUNCTION("""COMPUTED_VALUE"""),46219.0)</f>
        <v>46219</v>
      </c>
      <c r="F18" s="54"/>
      <c r="G18" s="19">
        <f>IFERROR(__xludf.DUMMYFUNCTION("""COMPUTED_VALUE"""),2.6666666666666665)</f>
        <v>2.666666667</v>
      </c>
      <c r="H18" s="17">
        <f>IFERROR(__xludf.DUMMYFUNCTION("""COMPUTED_VALUE"""),45373.0)</f>
        <v>45373</v>
      </c>
      <c r="I18" s="19">
        <f>IFERROR(__xludf.DUMMYFUNCTION("""COMPUTED_VALUE"""),2.316666666666667)</f>
        <v>2.316666667</v>
      </c>
      <c r="J18" s="21">
        <f>IFERROR(__xludf.DUMMYFUNCTION("""COMPUTED_VALUE"""),76.0)</f>
        <v>76</v>
      </c>
      <c r="K18" s="23">
        <f>IFERROR(__xludf.DUMMYFUNCTION("""COMPUTED_VALUE"""),7.9)</f>
        <v>7.9</v>
      </c>
      <c r="L18" s="24">
        <f>IFERROR(__xludf.DUMMYFUNCTION("""COMPUTED_VALUE"""),25.0)</f>
        <v>25</v>
      </c>
      <c r="M18" s="25" t="str">
        <f>IFERROR(__xludf.DUMMYFUNCTION("""COMPUTED_VALUE"""),"RPG")</f>
        <v>RPG</v>
      </c>
      <c r="N18" s="25"/>
      <c r="O18" s="25" t="str">
        <f>IFERROR(__xludf.DUMMYFUNCTION("""COMPUTED_VALUE"""),"No")</f>
        <v>No</v>
      </c>
      <c r="P18" s="25"/>
    </row>
    <row r="19">
      <c r="A19" s="13" t="str">
        <f>IFERROR(__xludf.DUMMYFUNCTION("""COMPUTED_VALUE"""),"Final Fantasy XVI")</f>
        <v>Final Fantasy XVI</v>
      </c>
      <c r="B19" s="15" t="str">
        <f>IFERROR(__xludf.DUMMYFUNCTION("""COMPUTED_VALUE"""),"PS5")</f>
        <v>PS5</v>
      </c>
      <c r="C19" s="16" t="str">
        <f>IFERROR(__xludf.DUMMYFUNCTION("""COMPUTED_VALUE"""),"Extra")</f>
        <v>Extra</v>
      </c>
      <c r="D19" s="15" t="str">
        <f>IFERROR(__xludf.DUMMYFUNCTION("""COMPUTED_VALUE"""),"Active")</f>
        <v>Active</v>
      </c>
      <c r="E19" s="17">
        <f>IFERROR(__xludf.DUMMYFUNCTION("""COMPUTED_VALUE"""),46189.0)</f>
        <v>46189</v>
      </c>
      <c r="F19" s="54"/>
      <c r="G19" s="19">
        <f>IFERROR(__xludf.DUMMYFUNCTION("""COMPUTED_VALUE"""),3.666666666666667)</f>
        <v>3.666666667</v>
      </c>
      <c r="H19" s="17">
        <f>IFERROR(__xludf.DUMMYFUNCTION("""COMPUTED_VALUE"""),45099.0)</f>
        <v>45099</v>
      </c>
      <c r="I19" s="19">
        <f>IFERROR(__xludf.DUMMYFUNCTION("""COMPUTED_VALUE"""),2.9833333333333334)</f>
        <v>2.983333333</v>
      </c>
      <c r="J19" s="21">
        <f>IFERROR(__xludf.DUMMYFUNCTION("""COMPUTED_VALUE"""),87.0)</f>
        <v>87</v>
      </c>
      <c r="K19" s="23">
        <f>IFERROR(__xludf.DUMMYFUNCTION("""COMPUTED_VALUE"""),8.4)</f>
        <v>8.4</v>
      </c>
      <c r="L19" s="24">
        <f>IFERROR(__xludf.DUMMYFUNCTION("""COMPUTED_VALUE"""),34.0)</f>
        <v>34</v>
      </c>
      <c r="M19" s="25" t="str">
        <f>IFERROR(__xludf.DUMMYFUNCTION("""COMPUTED_VALUE"""),"RPG")</f>
        <v>RPG</v>
      </c>
      <c r="N19" s="25"/>
      <c r="O19" s="25" t="str">
        <f>IFERROR(__xludf.DUMMYFUNCTION("""COMPUTED_VALUE"""),"No")</f>
        <v>No</v>
      </c>
      <c r="P19" s="25"/>
    </row>
    <row r="20">
      <c r="A20" s="13" t="str">
        <f>IFERROR(__xludf.DUMMYFUNCTION("""COMPUTED_VALUE"""),"Life is Strange: Double Exposure")</f>
        <v>Life is Strange: Double Exposure</v>
      </c>
      <c r="B20" s="15" t="str">
        <f>IFERROR(__xludf.DUMMYFUNCTION("""COMPUTED_VALUE"""),"PS5")</f>
        <v>PS5</v>
      </c>
      <c r="C20" s="16" t="str">
        <f>IFERROR(__xludf.DUMMYFUNCTION("""COMPUTED_VALUE"""),"Extra")</f>
        <v>Extra</v>
      </c>
      <c r="D20" s="15" t="str">
        <f>IFERROR(__xludf.DUMMYFUNCTION("""COMPUTED_VALUE"""),"Active")</f>
        <v>Active</v>
      </c>
      <c r="E20" s="17">
        <f>IFERROR(__xludf.DUMMYFUNCTION("""COMPUTED_VALUE"""),46189.0)</f>
        <v>46189</v>
      </c>
      <c r="F20" s="54"/>
      <c r="G20" s="19">
        <f>IFERROR(__xludf.DUMMYFUNCTION("""COMPUTED_VALUE"""),3.666666666666667)</f>
        <v>3.666666667</v>
      </c>
      <c r="H20" s="17">
        <f>IFERROR(__xludf.DUMMYFUNCTION("""COMPUTED_VALUE"""),45594.0)</f>
        <v>45594</v>
      </c>
      <c r="I20" s="19">
        <f>IFERROR(__xludf.DUMMYFUNCTION("""COMPUTED_VALUE"""),1.6305555555555555)</f>
        <v>1.630555556</v>
      </c>
      <c r="J20" s="21">
        <f>IFERROR(__xludf.DUMMYFUNCTION("""COMPUTED_VALUE"""),73.0)</f>
        <v>73</v>
      </c>
      <c r="K20" s="23">
        <f>IFERROR(__xludf.DUMMYFUNCTION("""COMPUTED_VALUE"""),4.7)</f>
        <v>4.7</v>
      </c>
      <c r="L20" s="24">
        <f>IFERROR(__xludf.DUMMYFUNCTION("""COMPUTED_VALUE"""),13.0)</f>
        <v>13</v>
      </c>
      <c r="M20" s="25" t="str">
        <f>IFERROR(__xludf.DUMMYFUNCTION("""COMPUTED_VALUE"""),"Action-Adventure")</f>
        <v>Action-Adventure</v>
      </c>
      <c r="N20" s="25"/>
      <c r="O20" s="25" t="str">
        <f>IFERROR(__xludf.DUMMYFUNCTION("""COMPUTED_VALUE"""),"No")</f>
        <v>No</v>
      </c>
      <c r="P20" s="25"/>
    </row>
    <row r="21">
      <c r="A21" s="13" t="str">
        <f>IFERROR(__xludf.DUMMYFUNCTION("""COMPUTED_VALUE"""),"Farming Simulator 25")</f>
        <v>Farming Simulator 25</v>
      </c>
      <c r="B21" s="15" t="str">
        <f>IFERROR(__xludf.DUMMYFUNCTION("""COMPUTED_VALUE"""),"PS5")</f>
        <v>PS5</v>
      </c>
      <c r="C21" s="16" t="str">
        <f>IFERROR(__xludf.DUMMYFUNCTION("""COMPUTED_VALUE"""),"Extra")</f>
        <v>Extra</v>
      </c>
      <c r="D21" s="15" t="str">
        <f>IFERROR(__xludf.DUMMYFUNCTION("""COMPUTED_VALUE"""),"Active")</f>
        <v>Active</v>
      </c>
      <c r="E21" s="17">
        <f>IFERROR(__xludf.DUMMYFUNCTION("""COMPUTED_VALUE"""),46189.0)</f>
        <v>46189</v>
      </c>
      <c r="F21" s="18"/>
      <c r="G21" s="19">
        <f>IFERROR(__xludf.DUMMYFUNCTION("""COMPUTED_VALUE"""),3.666666666666667)</f>
        <v>3.666666667</v>
      </c>
      <c r="H21" s="17">
        <f>IFERROR(__xludf.DUMMYFUNCTION("""COMPUTED_VALUE"""),45608.0)</f>
        <v>45608</v>
      </c>
      <c r="I21" s="19">
        <f>IFERROR(__xludf.DUMMYFUNCTION("""COMPUTED_VALUE"""),1.5944444444444446)</f>
        <v>1.594444444</v>
      </c>
      <c r="J21" s="21">
        <f>IFERROR(__xludf.DUMMYFUNCTION("""COMPUTED_VALUE"""),75.0)</f>
        <v>75</v>
      </c>
      <c r="K21" s="23">
        <f>IFERROR(__xludf.DUMMYFUNCTION("""COMPUTED_VALUE"""),5.3)</f>
        <v>5.3</v>
      </c>
      <c r="L21" s="24">
        <f>IFERROR(__xludf.DUMMYFUNCTION("""COMPUTED_VALUE"""),37.0)</f>
        <v>37</v>
      </c>
      <c r="M21" s="25" t="str">
        <f>IFERROR(__xludf.DUMMYFUNCTION("""COMPUTED_VALUE"""),"Simulation")</f>
        <v>Simulation</v>
      </c>
      <c r="N21" s="25"/>
      <c r="O21" s="25" t="str">
        <f>IFERROR(__xludf.DUMMYFUNCTION("""COMPUTED_VALUE"""),"No")</f>
        <v>No</v>
      </c>
      <c r="P21" s="25"/>
    </row>
    <row r="22">
      <c r="A22" s="13" t="str">
        <f>IFERROR(__xludf.DUMMYFUNCTION("""COMPUTED_VALUE"""),"Blades of Fire")</f>
        <v>Blades of Fire</v>
      </c>
      <c r="B22" s="15" t="str">
        <f>IFERROR(__xludf.DUMMYFUNCTION("""COMPUTED_VALUE"""),"PS5")</f>
        <v>PS5</v>
      </c>
      <c r="C22" s="16" t="str">
        <f>IFERROR(__xludf.DUMMYFUNCTION("""COMPUTED_VALUE"""),"Extra")</f>
        <v>Extra</v>
      </c>
      <c r="D22" s="15" t="str">
        <f>IFERROR(__xludf.DUMMYFUNCTION("""COMPUTED_VALUE"""),"Active")</f>
        <v>Active</v>
      </c>
      <c r="E22" s="17">
        <f>IFERROR(__xludf.DUMMYFUNCTION("""COMPUTED_VALUE"""),46189.0)</f>
        <v>46189</v>
      </c>
      <c r="F22" s="54"/>
      <c r="G22" s="19">
        <f>IFERROR(__xludf.DUMMYFUNCTION("""COMPUTED_VALUE"""),3.666666666666667)</f>
        <v>3.666666667</v>
      </c>
      <c r="H22" s="17">
        <f>IFERROR(__xludf.DUMMYFUNCTION("""COMPUTED_VALUE"""),45799.0)</f>
        <v>45799</v>
      </c>
      <c r="I22" s="19">
        <f>IFERROR(__xludf.DUMMYFUNCTION("""COMPUTED_VALUE"""),1.0666666666666667)</f>
        <v>1.066666667</v>
      </c>
      <c r="J22" s="21">
        <f>IFERROR(__xludf.DUMMYFUNCTION("""COMPUTED_VALUE"""),79.0)</f>
        <v>79</v>
      </c>
      <c r="K22" s="23">
        <f>IFERROR(__xludf.DUMMYFUNCTION("""COMPUTED_VALUE"""),8.2)</f>
        <v>8.2</v>
      </c>
      <c r="L22" s="24">
        <f>IFERROR(__xludf.DUMMYFUNCTION("""COMPUTED_VALUE"""),19.0)</f>
        <v>19</v>
      </c>
      <c r="M22" s="25" t="str">
        <f>IFERROR(__xludf.DUMMYFUNCTION("""COMPUTED_VALUE"""),"RPG")</f>
        <v>RPG</v>
      </c>
      <c r="N22" s="25"/>
      <c r="O22" s="25" t="str">
        <f>IFERROR(__xludf.DUMMYFUNCTION("""COMPUTED_VALUE"""),"No")</f>
        <v>No</v>
      </c>
      <c r="P22" s="25"/>
    </row>
    <row r="23">
      <c r="A23" s="13" t="str">
        <f>IFERROR(__xludf.DUMMYFUNCTION("""COMPUTED_VALUE"""),"Black Desert")</f>
        <v>Black Desert</v>
      </c>
      <c r="B23" s="15" t="str">
        <f>IFERROR(__xludf.DUMMYFUNCTION("""COMPUTED_VALUE"""),"PS5")</f>
        <v>PS5</v>
      </c>
      <c r="C23" s="16" t="str">
        <f>IFERROR(__xludf.DUMMYFUNCTION("""COMPUTED_VALUE"""),"Extra")</f>
        <v>Extra</v>
      </c>
      <c r="D23" s="15" t="str">
        <f>IFERROR(__xludf.DUMMYFUNCTION("""COMPUTED_VALUE"""),"Active")</f>
        <v>Active</v>
      </c>
      <c r="E23" s="17">
        <f>IFERROR(__xludf.DUMMYFUNCTION("""COMPUTED_VALUE"""),46189.0)</f>
        <v>46189</v>
      </c>
      <c r="F23" s="18"/>
      <c r="G23" s="19">
        <f>IFERROR(__xludf.DUMMYFUNCTION("""COMPUTED_VALUE"""),3.666666666666667)</f>
        <v>3.666666667</v>
      </c>
      <c r="H23" s="17">
        <f>IFERROR(__xludf.DUMMYFUNCTION("""COMPUTED_VALUE"""),43528.0)</f>
        <v>43528</v>
      </c>
      <c r="I23" s="19">
        <f>IFERROR(__xludf.DUMMYFUNCTION("""COMPUTED_VALUE"""),7.283333333333333)</f>
        <v>7.283333333</v>
      </c>
      <c r="J23" s="21">
        <f>IFERROR(__xludf.DUMMYFUNCTION("""COMPUTED_VALUE"""),75.0)</f>
        <v>75</v>
      </c>
      <c r="K23" s="23">
        <f>IFERROR(__xludf.DUMMYFUNCTION("""COMPUTED_VALUE"""),6.2)</f>
        <v>6.2</v>
      </c>
      <c r="L23" s="24">
        <f>IFERROR(__xludf.DUMMYFUNCTION("""COMPUTED_VALUE"""),34.0)</f>
        <v>34</v>
      </c>
      <c r="M23" s="25" t="str">
        <f>IFERROR(__xludf.DUMMYFUNCTION("""COMPUTED_VALUE"""),"RPG")</f>
        <v>RPG</v>
      </c>
      <c r="N23" s="25"/>
      <c r="O23" s="25" t="str">
        <f>IFERROR(__xludf.DUMMYFUNCTION("""COMPUTED_VALUE"""),"No")</f>
        <v>No</v>
      </c>
      <c r="P23" s="25"/>
    </row>
    <row r="24">
      <c r="A24" s="13" t="str">
        <f>IFERROR(__xludf.DUMMYFUNCTION("""COMPUTED_VALUE"""),"Star Wars Outlaws")</f>
        <v>Star Wars Outlaws</v>
      </c>
      <c r="B24" s="15" t="str">
        <f>IFERROR(__xludf.DUMMYFUNCTION("""COMPUTED_VALUE"""),"PS5")</f>
        <v>PS5</v>
      </c>
      <c r="C24" s="16" t="str">
        <f>IFERROR(__xludf.DUMMYFUNCTION("""COMPUTED_VALUE"""),"Extra")</f>
        <v>Extra</v>
      </c>
      <c r="D24" s="15" t="str">
        <f>IFERROR(__xludf.DUMMYFUNCTION("""COMPUTED_VALUE"""),"Active")</f>
        <v>Active</v>
      </c>
      <c r="E24" s="17">
        <f>IFERROR(__xludf.DUMMYFUNCTION("""COMPUTED_VALUE"""),46161.0)</f>
        <v>46161</v>
      </c>
      <c r="F24" s="18"/>
      <c r="G24" s="19">
        <f>IFERROR(__xludf.DUMMYFUNCTION("""COMPUTED_VALUE"""),4.566666666666666)</f>
        <v>4.566666667</v>
      </c>
      <c r="H24" s="17">
        <f>IFERROR(__xludf.DUMMYFUNCTION("""COMPUTED_VALUE"""),45531.0)</f>
        <v>45531</v>
      </c>
      <c r="I24" s="19">
        <f>IFERROR(__xludf.DUMMYFUNCTION("""COMPUTED_VALUE"""),1.7277777777777779)</f>
        <v>1.727777778</v>
      </c>
      <c r="J24" s="21">
        <f>IFERROR(__xludf.DUMMYFUNCTION("""COMPUTED_VALUE"""),75.0)</f>
        <v>75</v>
      </c>
      <c r="K24" s="23">
        <f>IFERROR(__xludf.DUMMYFUNCTION("""COMPUTED_VALUE"""),5.6)</f>
        <v>5.6</v>
      </c>
      <c r="L24" s="24">
        <f>IFERROR(__xludf.DUMMYFUNCTION("""COMPUTED_VALUE"""),18.5)</f>
        <v>18.5</v>
      </c>
      <c r="M24" s="25" t="str">
        <f>IFERROR(__xludf.DUMMYFUNCTION("""COMPUTED_VALUE"""),"Action-Adventure")</f>
        <v>Action-Adventure</v>
      </c>
      <c r="N24" s="25"/>
      <c r="O24" s="25" t="str">
        <f>IFERROR(__xludf.DUMMYFUNCTION("""COMPUTED_VALUE"""),"No")</f>
        <v>No</v>
      </c>
      <c r="P24" s="25"/>
    </row>
    <row r="25">
      <c r="A25" s="13" t="str">
        <f>IFERROR(__xludf.DUMMYFUNCTION("""COMPUTED_VALUE"""),"The Thaumaturge")</f>
        <v>The Thaumaturge</v>
      </c>
      <c r="B25" s="15" t="str">
        <f>IFERROR(__xludf.DUMMYFUNCTION("""COMPUTED_VALUE"""),"PS5")</f>
        <v>PS5</v>
      </c>
      <c r="C25" s="16" t="str">
        <f>IFERROR(__xludf.DUMMYFUNCTION("""COMPUTED_VALUE"""),"Extra")</f>
        <v>Extra</v>
      </c>
      <c r="D25" s="15" t="str">
        <f>IFERROR(__xludf.DUMMYFUNCTION("""COMPUTED_VALUE"""),"Active")</f>
        <v>Active</v>
      </c>
      <c r="E25" s="17">
        <f>IFERROR(__xludf.DUMMYFUNCTION("""COMPUTED_VALUE"""),46161.0)</f>
        <v>46161</v>
      </c>
      <c r="F25" s="54"/>
      <c r="G25" s="19">
        <f>IFERROR(__xludf.DUMMYFUNCTION("""COMPUTED_VALUE"""),4.566666666666666)</f>
        <v>4.566666667</v>
      </c>
      <c r="H25" s="17">
        <f>IFERROR(__xludf.DUMMYFUNCTION("""COMPUTED_VALUE"""),45355.0)</f>
        <v>45355</v>
      </c>
      <c r="I25" s="19">
        <f>IFERROR(__xludf.DUMMYFUNCTION("""COMPUTED_VALUE"""),2.2083333333333335)</f>
        <v>2.208333333</v>
      </c>
      <c r="J25" s="21">
        <f>IFERROR(__xludf.DUMMYFUNCTION("""COMPUTED_VALUE"""),74.0)</f>
        <v>74</v>
      </c>
      <c r="K25" s="23">
        <f>IFERROR(__xludf.DUMMYFUNCTION("""COMPUTED_VALUE"""),7.1)</f>
        <v>7.1</v>
      </c>
      <c r="L25" s="24">
        <f>IFERROR(__xludf.DUMMYFUNCTION("""COMPUTED_VALUE"""),21.0)</f>
        <v>21</v>
      </c>
      <c r="M25" s="25" t="str">
        <f>IFERROR(__xludf.DUMMYFUNCTION("""COMPUTED_VALUE"""),"RPG")</f>
        <v>RPG</v>
      </c>
      <c r="N25" s="25"/>
      <c r="O25" s="25" t="str">
        <f>IFERROR(__xludf.DUMMYFUNCTION("""COMPUTED_VALUE"""),"No")</f>
        <v>No</v>
      </c>
      <c r="P25" s="25"/>
    </row>
    <row r="26">
      <c r="A26" s="13" t="str">
        <f>IFERROR(__xludf.DUMMYFUNCTION("""COMPUTED_VALUE"""),"Flintlock: The Siege of Dawn")</f>
        <v>Flintlock: The Siege of Dawn</v>
      </c>
      <c r="B26" s="15" t="str">
        <f>IFERROR(__xludf.DUMMYFUNCTION("""COMPUTED_VALUE"""),"PS5")</f>
        <v>PS5</v>
      </c>
      <c r="C26" s="16" t="str">
        <f>IFERROR(__xludf.DUMMYFUNCTION("""COMPUTED_VALUE"""),"Extra")</f>
        <v>Extra</v>
      </c>
      <c r="D26" s="15" t="str">
        <f>IFERROR(__xludf.DUMMYFUNCTION("""COMPUTED_VALUE"""),"Active")</f>
        <v>Active</v>
      </c>
      <c r="E26" s="17">
        <f>IFERROR(__xludf.DUMMYFUNCTION("""COMPUTED_VALUE"""),46161.0)</f>
        <v>46161</v>
      </c>
      <c r="F26" s="54"/>
      <c r="G26" s="19">
        <f>IFERROR(__xludf.DUMMYFUNCTION("""COMPUTED_VALUE"""),4.566666666666666)</f>
        <v>4.566666667</v>
      </c>
      <c r="H26" s="17">
        <f>IFERROR(__xludf.DUMMYFUNCTION("""COMPUTED_VALUE"""),45490.0)</f>
        <v>45490</v>
      </c>
      <c r="I26" s="19">
        <f>IFERROR(__xludf.DUMMYFUNCTION("""COMPUTED_VALUE"""),1.8388888888888888)</f>
        <v>1.838888889</v>
      </c>
      <c r="J26" s="21">
        <f>IFERROR(__xludf.DUMMYFUNCTION("""COMPUTED_VALUE"""),71.0)</f>
        <v>71</v>
      </c>
      <c r="K26" s="23">
        <f>IFERROR(__xludf.DUMMYFUNCTION("""COMPUTED_VALUE"""),5.8)</f>
        <v>5.8</v>
      </c>
      <c r="L26" s="24">
        <f>IFERROR(__xludf.DUMMYFUNCTION("""COMPUTED_VALUE"""),10.0)</f>
        <v>10</v>
      </c>
      <c r="M26" s="25" t="str">
        <f>IFERROR(__xludf.DUMMYFUNCTION("""COMPUTED_VALUE"""),"RPG")</f>
        <v>RPG</v>
      </c>
      <c r="N26" s="25"/>
      <c r="O26" s="25" t="str">
        <f>IFERROR(__xludf.DUMMYFUNCTION("""COMPUTED_VALUE"""),"No")</f>
        <v>No</v>
      </c>
      <c r="P26" s="25"/>
    </row>
    <row r="27">
      <c r="A27" s="13" t="str">
        <f>IFERROR(__xludf.DUMMYFUNCTION("""COMPUTED_VALUE"""),"Time Crisis")</f>
        <v>Time Crisis</v>
      </c>
      <c r="B27" s="15" t="str">
        <f>IFERROR(__xludf.DUMMYFUNCTION("""COMPUTED_VALUE"""),"PS5/PS4")</f>
        <v>PS5/PS4</v>
      </c>
      <c r="C27" s="16" t="str">
        <f>IFERROR(__xludf.DUMMYFUNCTION("""COMPUTED_VALUE"""),"Premium (Classics)")</f>
        <v>Premium (Classics)</v>
      </c>
      <c r="D27" s="15" t="str">
        <f>IFERROR(__xludf.DUMMYFUNCTION("""COMPUTED_VALUE"""),"Active")</f>
        <v>Active</v>
      </c>
      <c r="E27" s="17">
        <f>IFERROR(__xludf.DUMMYFUNCTION("""COMPUTED_VALUE"""),46161.0)</f>
        <v>46161</v>
      </c>
      <c r="F27" s="54"/>
      <c r="G27" s="19">
        <f>IFERROR(__xludf.DUMMYFUNCTION("""COMPUTED_VALUE"""),4.566666666666666)</f>
        <v>4.566666667</v>
      </c>
      <c r="H27" s="17">
        <f>IFERROR(__xludf.DUMMYFUNCTION("""COMPUTED_VALUE"""),34973.0)</f>
        <v>34973</v>
      </c>
      <c r="I27" s="19">
        <f>IFERROR(__xludf.DUMMYFUNCTION("""COMPUTED_VALUE"""),30.633333333333333)</f>
        <v>30.63333333</v>
      </c>
      <c r="J27" s="21">
        <f>IFERROR(__xludf.DUMMYFUNCTION("""COMPUTED_VALUE"""),70.0)</f>
        <v>70</v>
      </c>
      <c r="K27" s="23">
        <f>IFERROR(__xludf.DUMMYFUNCTION("""COMPUTED_VALUE"""),7.5)</f>
        <v>7.5</v>
      </c>
      <c r="L27" s="24">
        <f>IFERROR(__xludf.DUMMYFUNCTION("""COMPUTED_VALUE"""),1.0)</f>
        <v>1</v>
      </c>
      <c r="M27" s="25" t="str">
        <f>IFERROR(__xludf.DUMMYFUNCTION("""COMPUTED_VALUE"""),"Shooter")</f>
        <v>Shooter</v>
      </c>
      <c r="N27" s="25" t="str">
        <f>IFERROR(__xludf.DUMMYFUNCTION("""COMPUTED_VALUE"""),"PS1")</f>
        <v>PS1</v>
      </c>
      <c r="O27" s="25" t="str">
        <f>IFERROR(__xludf.DUMMYFUNCTION("""COMPUTED_VALUE"""),"No")</f>
        <v>No</v>
      </c>
      <c r="P27" s="25"/>
    </row>
    <row r="28">
      <c r="A28" s="13" t="str">
        <f>IFERROR(__xludf.DUMMYFUNCTION("""COMPUTED_VALUE"""),"Football Manager 26")</f>
        <v>Football Manager 26</v>
      </c>
      <c r="B28" s="15" t="str">
        <f>IFERROR(__xludf.DUMMYFUNCTION("""COMPUTED_VALUE"""),"PS5")</f>
        <v>PS5</v>
      </c>
      <c r="C28" s="16" t="str">
        <f>IFERROR(__xludf.DUMMYFUNCTION("""COMPUTED_VALUE"""),"Extra")</f>
        <v>Extra</v>
      </c>
      <c r="D28" s="15" t="str">
        <f>IFERROR(__xludf.DUMMYFUNCTION("""COMPUTED_VALUE"""),"Active")</f>
        <v>Active</v>
      </c>
      <c r="E28" s="17">
        <f>IFERROR(__xludf.DUMMYFUNCTION("""COMPUTED_VALUE"""),46133.0)</f>
        <v>46133</v>
      </c>
      <c r="F28" s="54"/>
      <c r="G28" s="19">
        <f>IFERROR(__xludf.DUMMYFUNCTION("""COMPUTED_VALUE"""),5.5)</f>
        <v>5.5</v>
      </c>
      <c r="H28" s="17">
        <f>IFERROR(__xludf.DUMMYFUNCTION("""COMPUTED_VALUE"""),45965.0)</f>
        <v>45965</v>
      </c>
      <c r="I28" s="19">
        <f>IFERROR(__xludf.DUMMYFUNCTION("""COMPUTED_VALUE"""),0.4638888888888889)</f>
        <v>0.4638888889</v>
      </c>
      <c r="J28" s="21">
        <f>IFERROR(__xludf.DUMMYFUNCTION("""COMPUTED_VALUE"""),68.0)</f>
        <v>68</v>
      </c>
      <c r="K28" s="23">
        <f>IFERROR(__xludf.DUMMYFUNCTION("""COMPUTED_VALUE"""),2.8)</f>
        <v>2.8</v>
      </c>
      <c r="L28" s="24">
        <f>IFERROR(__xludf.DUMMYFUNCTION("""COMPUTED_VALUE"""),87.0)</f>
        <v>87</v>
      </c>
      <c r="M28" s="25" t="str">
        <f>IFERROR(__xludf.DUMMYFUNCTION("""COMPUTED_VALUE"""),"Simulation")</f>
        <v>Simulation</v>
      </c>
      <c r="N28" s="25"/>
      <c r="O28" s="25" t="str">
        <f>IFERROR(__xludf.DUMMYFUNCTION("""COMPUTED_VALUE"""),"No")</f>
        <v>No</v>
      </c>
      <c r="P28" s="25"/>
    </row>
    <row r="29">
      <c r="A29" s="13" t="str">
        <f>IFERROR(__xludf.DUMMYFUNCTION("""COMPUTED_VALUE"""),"Squirrel with a Gun")</f>
        <v>Squirrel with a Gun</v>
      </c>
      <c r="B29" s="15" t="str">
        <f>IFERROR(__xludf.DUMMYFUNCTION("""COMPUTED_VALUE"""),"PS5")</f>
        <v>PS5</v>
      </c>
      <c r="C29" s="16" t="str">
        <f>IFERROR(__xludf.DUMMYFUNCTION("""COMPUTED_VALUE"""),"Extra")</f>
        <v>Extra</v>
      </c>
      <c r="D29" s="15" t="str">
        <f>IFERROR(__xludf.DUMMYFUNCTION("""COMPUTED_VALUE"""),"Active")</f>
        <v>Active</v>
      </c>
      <c r="E29" s="17">
        <f>IFERROR(__xludf.DUMMYFUNCTION("""COMPUTED_VALUE"""),46133.0)</f>
        <v>46133</v>
      </c>
      <c r="F29" s="54"/>
      <c r="G29" s="19">
        <f>IFERROR(__xludf.DUMMYFUNCTION("""COMPUTED_VALUE"""),5.5)</f>
        <v>5.5</v>
      </c>
      <c r="H29" s="17">
        <f>IFERROR(__xludf.DUMMYFUNCTION("""COMPUTED_VALUE"""),45533.0)</f>
        <v>45533</v>
      </c>
      <c r="I29" s="19">
        <f>IFERROR(__xludf.DUMMYFUNCTION("""COMPUTED_VALUE"""),1.6444444444444444)</f>
        <v>1.644444444</v>
      </c>
      <c r="J29" s="21">
        <f>IFERROR(__xludf.DUMMYFUNCTION("""COMPUTED_VALUE"""),63.0)</f>
        <v>63</v>
      </c>
      <c r="K29" s="23">
        <f>IFERROR(__xludf.DUMMYFUNCTION("""COMPUTED_VALUE"""),6.4)</f>
        <v>6.4</v>
      </c>
      <c r="L29" s="24">
        <f>IFERROR(__xludf.DUMMYFUNCTION("""COMPUTED_VALUE"""),6.0)</f>
        <v>6</v>
      </c>
      <c r="M29" s="25" t="str">
        <f>IFERROR(__xludf.DUMMYFUNCTION("""COMPUTED_VALUE"""),"Shooter")</f>
        <v>Shooter</v>
      </c>
      <c r="N29" s="25"/>
      <c r="O29" s="25" t="str">
        <f>IFERROR(__xludf.DUMMYFUNCTION("""COMPUTED_VALUE"""),"No")</f>
        <v>No</v>
      </c>
      <c r="P29" s="25"/>
    </row>
    <row r="30">
      <c r="A30" s="13" t="str">
        <f>IFERROR(__xludf.DUMMYFUNCTION("""COMPUTED_VALUE"""),"The Casting of Frank Stone")</f>
        <v>The Casting of Frank Stone</v>
      </c>
      <c r="B30" s="15" t="str">
        <f>IFERROR(__xludf.DUMMYFUNCTION("""COMPUTED_VALUE"""),"PS5")</f>
        <v>PS5</v>
      </c>
      <c r="C30" s="16" t="str">
        <f>IFERROR(__xludf.DUMMYFUNCTION("""COMPUTED_VALUE"""),"Extra")</f>
        <v>Extra</v>
      </c>
      <c r="D30" s="15" t="str">
        <f>IFERROR(__xludf.DUMMYFUNCTION("""COMPUTED_VALUE"""),"Active")</f>
        <v>Active</v>
      </c>
      <c r="E30" s="17">
        <f>IFERROR(__xludf.DUMMYFUNCTION("""COMPUTED_VALUE"""),46133.0)</f>
        <v>46133</v>
      </c>
      <c r="F30" s="54"/>
      <c r="G30" s="19">
        <f>IFERROR(__xludf.DUMMYFUNCTION("""COMPUTED_VALUE"""),5.5)</f>
        <v>5.5</v>
      </c>
      <c r="H30" s="17">
        <f>IFERROR(__xludf.DUMMYFUNCTION("""COMPUTED_VALUE"""),45538.0)</f>
        <v>45538</v>
      </c>
      <c r="I30" s="19">
        <f>IFERROR(__xludf.DUMMYFUNCTION("""COMPUTED_VALUE"""),1.6333333333333333)</f>
        <v>1.633333333</v>
      </c>
      <c r="J30" s="21">
        <f>IFERROR(__xludf.DUMMYFUNCTION("""COMPUTED_VALUE"""),71.0)</f>
        <v>71</v>
      </c>
      <c r="K30" s="23">
        <f>IFERROR(__xludf.DUMMYFUNCTION("""COMPUTED_VALUE"""),6.7)</f>
        <v>6.7</v>
      </c>
      <c r="L30" s="24">
        <f>IFERROR(__xludf.DUMMYFUNCTION("""COMPUTED_VALUE"""),7.0)</f>
        <v>7</v>
      </c>
      <c r="M30" s="25" t="str">
        <f>IFERROR(__xludf.DUMMYFUNCTION("""COMPUTED_VALUE"""),"Action-Adventure")</f>
        <v>Action-Adventure</v>
      </c>
      <c r="N30" s="25"/>
      <c r="O30" s="25" t="str">
        <f>IFERROR(__xludf.DUMMYFUNCTION("""COMPUTED_VALUE"""),"No")</f>
        <v>No</v>
      </c>
      <c r="P30" s="25"/>
    </row>
    <row r="31">
      <c r="A31" s="13" t="str">
        <f>IFERROR(__xludf.DUMMYFUNCTION("""COMPUTED_VALUE"""),"Monster Train")</f>
        <v>Monster Train</v>
      </c>
      <c r="B31" s="15" t="str">
        <f>IFERROR(__xludf.DUMMYFUNCTION("""COMPUTED_VALUE"""),"PS5")</f>
        <v>PS5</v>
      </c>
      <c r="C31" s="16" t="str">
        <f>IFERROR(__xludf.DUMMYFUNCTION("""COMPUTED_VALUE"""),"Extra")</f>
        <v>Extra</v>
      </c>
      <c r="D31" s="15" t="str">
        <f>IFERROR(__xludf.DUMMYFUNCTION("""COMPUTED_VALUE"""),"Active")</f>
        <v>Active</v>
      </c>
      <c r="E31" s="17">
        <f>IFERROR(__xludf.DUMMYFUNCTION("""COMPUTED_VALUE"""),46133.0)</f>
        <v>46133</v>
      </c>
      <c r="F31" s="54"/>
      <c r="G31" s="19">
        <f>IFERROR(__xludf.DUMMYFUNCTION("""COMPUTED_VALUE"""),5.5)</f>
        <v>5.5</v>
      </c>
      <c r="H31" s="17">
        <f>IFERROR(__xludf.DUMMYFUNCTION("""COMPUTED_VALUE"""),43972.0)</f>
        <v>43972</v>
      </c>
      <c r="I31" s="19">
        <f>IFERROR(__xludf.DUMMYFUNCTION("""COMPUTED_VALUE"""),5.916666666666667)</f>
        <v>5.916666667</v>
      </c>
      <c r="J31" s="21">
        <f>IFERROR(__xludf.DUMMYFUNCTION("""COMPUTED_VALUE"""),86.0)</f>
        <v>86</v>
      </c>
      <c r="K31" s="23">
        <f>IFERROR(__xludf.DUMMYFUNCTION("""COMPUTED_VALUE"""),7.8)</f>
        <v>7.8</v>
      </c>
      <c r="L31" s="24">
        <f>IFERROR(__xludf.DUMMYFUNCTION("""COMPUTED_VALUE"""),12.0)</f>
        <v>12</v>
      </c>
      <c r="M31" s="25" t="str">
        <f>IFERROR(__xludf.DUMMYFUNCTION("""COMPUTED_VALUE"""),"Strategy")</f>
        <v>Strategy</v>
      </c>
      <c r="N31" s="25"/>
      <c r="O31" s="25" t="str">
        <f>IFERROR(__xludf.DUMMYFUNCTION("""COMPUTED_VALUE"""),"No")</f>
        <v>No</v>
      </c>
      <c r="P31" s="25"/>
    </row>
    <row r="32">
      <c r="A32" s="13" t="str">
        <f>IFERROR(__xludf.DUMMYFUNCTION("""COMPUTED_VALUE"""),"Warhammer 40,000: Space Marine II")</f>
        <v>Warhammer 40,000: Space Marine II</v>
      </c>
      <c r="B32" s="15" t="str">
        <f>IFERROR(__xludf.DUMMYFUNCTION("""COMPUTED_VALUE"""),"PS5")</f>
        <v>PS5</v>
      </c>
      <c r="C32" s="16" t="str">
        <f>IFERROR(__xludf.DUMMYFUNCTION("""COMPUTED_VALUE"""),"Extra")</f>
        <v>Extra</v>
      </c>
      <c r="D32" s="15" t="str">
        <f>IFERROR(__xludf.DUMMYFUNCTION("""COMPUTED_VALUE"""),"Active")</f>
        <v>Active</v>
      </c>
      <c r="E32" s="17">
        <f>IFERROR(__xludf.DUMMYFUNCTION("""COMPUTED_VALUE"""),46098.0)</f>
        <v>46098</v>
      </c>
      <c r="F32" s="54"/>
      <c r="G32" s="19">
        <f>IFERROR(__xludf.DUMMYFUNCTION("""COMPUTED_VALUE"""),6.633333333333334)</f>
        <v>6.633333333</v>
      </c>
      <c r="H32" s="17">
        <f>IFERROR(__xludf.DUMMYFUNCTION("""COMPUTED_VALUE"""),45540.0)</f>
        <v>45540</v>
      </c>
      <c r="I32" s="19">
        <f>IFERROR(__xludf.DUMMYFUNCTION("""COMPUTED_VALUE"""),1.5333333333333334)</f>
        <v>1.533333333</v>
      </c>
      <c r="J32" s="21">
        <f>IFERROR(__xludf.DUMMYFUNCTION("""COMPUTED_VALUE"""),82.0)</f>
        <v>82</v>
      </c>
      <c r="K32" s="23">
        <f>IFERROR(__xludf.DUMMYFUNCTION("""COMPUTED_VALUE"""),8.0)</f>
        <v>8</v>
      </c>
      <c r="L32" s="24">
        <f>IFERROR(__xludf.DUMMYFUNCTION("""COMPUTED_VALUE"""),9.0)</f>
        <v>9</v>
      </c>
      <c r="M32" s="25" t="str">
        <f>IFERROR(__xludf.DUMMYFUNCTION("""COMPUTED_VALUE"""),"Shooter")</f>
        <v>Shooter</v>
      </c>
      <c r="N32" s="25"/>
      <c r="O32" s="25" t="str">
        <f>IFERROR(__xludf.DUMMYFUNCTION("""COMPUTED_VALUE"""),"No")</f>
        <v>No</v>
      </c>
      <c r="P32" s="25"/>
    </row>
    <row r="33">
      <c r="A33" s="13" t="str">
        <f>IFERROR(__xludf.DUMMYFUNCTION("""COMPUTED_VALUE"""),"Metal Eden")</f>
        <v>Metal Eden</v>
      </c>
      <c r="B33" s="15" t="str">
        <f>IFERROR(__xludf.DUMMYFUNCTION("""COMPUTED_VALUE"""),"PS5")</f>
        <v>PS5</v>
      </c>
      <c r="C33" s="16" t="str">
        <f>IFERROR(__xludf.DUMMYFUNCTION("""COMPUTED_VALUE"""),"Extra")</f>
        <v>Extra</v>
      </c>
      <c r="D33" s="15" t="str">
        <f>IFERROR(__xludf.DUMMYFUNCTION("""COMPUTED_VALUE"""),"Active")</f>
        <v>Active</v>
      </c>
      <c r="E33" s="17">
        <f>IFERROR(__xludf.DUMMYFUNCTION("""COMPUTED_VALUE"""),46098.0)</f>
        <v>46098</v>
      </c>
      <c r="F33" s="54"/>
      <c r="G33" s="19">
        <f>IFERROR(__xludf.DUMMYFUNCTION("""COMPUTED_VALUE"""),6.633333333333334)</f>
        <v>6.633333333</v>
      </c>
      <c r="H33" s="17">
        <f>IFERROR(__xludf.DUMMYFUNCTION("""COMPUTED_VALUE"""),45783.0)</f>
        <v>45783</v>
      </c>
      <c r="I33" s="19">
        <f>IFERROR(__xludf.DUMMYFUNCTION("""COMPUTED_VALUE"""),0.8638888888888889)</f>
        <v>0.8638888889</v>
      </c>
      <c r="J33" s="21">
        <f>IFERROR(__xludf.DUMMYFUNCTION("""COMPUTED_VALUE"""),73.0)</f>
        <v>73</v>
      </c>
      <c r="K33" s="23">
        <f>IFERROR(__xludf.DUMMYFUNCTION("""COMPUTED_VALUE"""),7.4)</f>
        <v>7.4</v>
      </c>
      <c r="L33" s="24">
        <f>IFERROR(__xludf.DUMMYFUNCTION("""COMPUTED_VALUE"""),6.0)</f>
        <v>6</v>
      </c>
      <c r="M33" s="25" t="str">
        <f>IFERROR(__xludf.DUMMYFUNCTION("""COMPUTED_VALUE"""),"Shooter")</f>
        <v>Shooter</v>
      </c>
      <c r="N33" s="25"/>
      <c r="O33" s="25" t="str">
        <f>IFERROR(__xludf.DUMMYFUNCTION("""COMPUTED_VALUE"""),"No")</f>
        <v>No</v>
      </c>
      <c r="P33" s="25"/>
    </row>
    <row r="34">
      <c r="A34" s="13" t="str">
        <f>IFERROR(__xludf.DUMMYFUNCTION("""COMPUTED_VALUE"""),"Lord of the Rings: Return to Moria")</f>
        <v>Lord of the Rings: Return to Moria</v>
      </c>
      <c r="B34" s="15" t="str">
        <f>IFERROR(__xludf.DUMMYFUNCTION("""COMPUTED_VALUE"""),"PS5")</f>
        <v>PS5</v>
      </c>
      <c r="C34" s="16" t="str">
        <f>IFERROR(__xludf.DUMMYFUNCTION("""COMPUTED_VALUE"""),"Extra")</f>
        <v>Extra</v>
      </c>
      <c r="D34" s="15" t="str">
        <f>IFERROR(__xludf.DUMMYFUNCTION("""COMPUTED_VALUE"""),"Active")</f>
        <v>Active</v>
      </c>
      <c r="E34" s="17">
        <f>IFERROR(__xludf.DUMMYFUNCTION("""COMPUTED_VALUE"""),46098.0)</f>
        <v>46098</v>
      </c>
      <c r="F34" s="54"/>
      <c r="G34" s="19">
        <f>IFERROR(__xludf.DUMMYFUNCTION("""COMPUTED_VALUE"""),6.633333333333334)</f>
        <v>6.633333333</v>
      </c>
      <c r="H34" s="17">
        <f>IFERROR(__xludf.DUMMYFUNCTION("""COMPUTED_VALUE"""),45223.0)</f>
        <v>45223</v>
      </c>
      <c r="I34" s="19">
        <f>IFERROR(__xludf.DUMMYFUNCTION("""COMPUTED_VALUE"""),2.397222222222222)</f>
        <v>2.397222222</v>
      </c>
      <c r="J34" s="21">
        <f>IFERROR(__xludf.DUMMYFUNCTION("""COMPUTED_VALUE"""),74.0)</f>
        <v>74</v>
      </c>
      <c r="K34" s="23">
        <f>IFERROR(__xludf.DUMMYFUNCTION("""COMPUTED_VALUE"""),6.7)</f>
        <v>6.7</v>
      </c>
      <c r="L34" s="24">
        <f>IFERROR(__xludf.DUMMYFUNCTION("""COMPUTED_VALUE"""),25.0)</f>
        <v>25</v>
      </c>
      <c r="M34" s="25" t="str">
        <f>IFERROR(__xludf.DUMMYFUNCTION("""COMPUTED_VALUE"""),"Action-Adventure")</f>
        <v>Action-Adventure</v>
      </c>
      <c r="N34" s="25"/>
      <c r="O34" s="25" t="str">
        <f>IFERROR(__xludf.DUMMYFUNCTION("""COMPUTED_VALUE"""),"No")</f>
        <v>No</v>
      </c>
      <c r="P34" s="25"/>
    </row>
    <row r="35">
      <c r="A35" s="13" t="str">
        <f>IFERROR(__xludf.DUMMYFUNCTION("""COMPUTED_VALUE"""),"Marvel’s Spider-Man 2")</f>
        <v>Marvel’s Spider-Man 2</v>
      </c>
      <c r="B35" s="15" t="str">
        <f>IFERROR(__xludf.DUMMYFUNCTION("""COMPUTED_VALUE"""),"PS5")</f>
        <v>PS5</v>
      </c>
      <c r="C35" s="16" t="str">
        <f>IFERROR(__xludf.DUMMYFUNCTION("""COMPUTED_VALUE"""),"Extra")</f>
        <v>Extra</v>
      </c>
      <c r="D35" s="15" t="str">
        <f>IFERROR(__xludf.DUMMYFUNCTION("""COMPUTED_VALUE"""),"Active")</f>
        <v>Active</v>
      </c>
      <c r="E35" s="17">
        <f>IFERROR(__xludf.DUMMYFUNCTION("""COMPUTED_VALUE"""),46070.0)</f>
        <v>46070</v>
      </c>
      <c r="F35" s="54"/>
      <c r="G35" s="19">
        <f>IFERROR(__xludf.DUMMYFUNCTION("""COMPUTED_VALUE"""),7.633333333333333)</f>
        <v>7.633333333</v>
      </c>
      <c r="H35" s="17">
        <f>IFERROR(__xludf.DUMMYFUNCTION("""COMPUTED_VALUE"""),45219.0)</f>
        <v>45219</v>
      </c>
      <c r="I35" s="19">
        <f>IFERROR(__xludf.DUMMYFUNCTION("""COMPUTED_VALUE"""),2.325)</f>
        <v>2.325</v>
      </c>
      <c r="J35" s="21">
        <f>IFERROR(__xludf.DUMMYFUNCTION("""COMPUTED_VALUE"""),90.0)</f>
        <v>90</v>
      </c>
      <c r="K35" s="23">
        <f>IFERROR(__xludf.DUMMYFUNCTION("""COMPUTED_VALUE"""),8.7)</f>
        <v>8.7</v>
      </c>
      <c r="L35" s="24">
        <f>IFERROR(__xludf.DUMMYFUNCTION("""COMPUTED_VALUE"""),17.0)</f>
        <v>17</v>
      </c>
      <c r="M35" s="25" t="str">
        <f>IFERROR(__xludf.DUMMYFUNCTION("""COMPUTED_VALUE"""),"Action-Adventure")</f>
        <v>Action-Adventure</v>
      </c>
      <c r="N35" s="25"/>
      <c r="O35" s="25" t="str">
        <f>IFERROR(__xludf.DUMMYFUNCTION("""COMPUTED_VALUE"""),"No")</f>
        <v>No</v>
      </c>
      <c r="P35" s="25"/>
    </row>
    <row r="36">
      <c r="A36" s="13" t="str">
        <f>IFERROR(__xludf.DUMMYFUNCTION("""COMPUTED_VALUE"""),"Test Drive Unlimited: Solar Crown")</f>
        <v>Test Drive Unlimited: Solar Crown</v>
      </c>
      <c r="B36" s="15" t="str">
        <f>IFERROR(__xludf.DUMMYFUNCTION("""COMPUTED_VALUE"""),"PS5")</f>
        <v>PS5</v>
      </c>
      <c r="C36" s="16" t="str">
        <f>IFERROR(__xludf.DUMMYFUNCTION("""COMPUTED_VALUE"""),"Extra")</f>
        <v>Extra</v>
      </c>
      <c r="D36" s="15" t="str">
        <f>IFERROR(__xludf.DUMMYFUNCTION("""COMPUTED_VALUE"""),"Active")</f>
        <v>Active</v>
      </c>
      <c r="E36" s="17">
        <f>IFERROR(__xludf.DUMMYFUNCTION("""COMPUTED_VALUE"""),46070.0)</f>
        <v>46070</v>
      </c>
      <c r="F36" s="54"/>
      <c r="G36" s="19">
        <f>IFERROR(__xludf.DUMMYFUNCTION("""COMPUTED_VALUE"""),7.633333333333333)</f>
        <v>7.633333333</v>
      </c>
      <c r="H36" s="17">
        <f>IFERROR(__xludf.DUMMYFUNCTION("""COMPUTED_VALUE"""),45547.0)</f>
        <v>45547</v>
      </c>
      <c r="I36" s="19">
        <f>IFERROR(__xludf.DUMMYFUNCTION("""COMPUTED_VALUE"""),1.4305555555555556)</f>
        <v>1.430555556</v>
      </c>
      <c r="J36" s="21">
        <f>IFERROR(__xludf.DUMMYFUNCTION("""COMPUTED_VALUE"""),53.0)</f>
        <v>53</v>
      </c>
      <c r="K36" s="23">
        <f>IFERROR(__xludf.DUMMYFUNCTION("""COMPUTED_VALUE"""),4.0)</f>
        <v>4</v>
      </c>
      <c r="L36" s="24">
        <f>IFERROR(__xludf.DUMMYFUNCTION("""COMPUTED_VALUE"""),27.0)</f>
        <v>27</v>
      </c>
      <c r="M36" s="25" t="str">
        <f>IFERROR(__xludf.DUMMYFUNCTION("""COMPUTED_VALUE"""),"Racing")</f>
        <v>Racing</v>
      </c>
      <c r="N36" s="25"/>
      <c r="O36" s="25" t="str">
        <f>IFERROR(__xludf.DUMMYFUNCTION("""COMPUTED_VALUE"""),"No")</f>
        <v>No</v>
      </c>
      <c r="P36" s="25"/>
    </row>
    <row r="37">
      <c r="A37" s="13" t="str">
        <f>IFERROR(__xludf.DUMMYFUNCTION("""COMPUTED_VALUE"""),"Venba")</f>
        <v>Venba</v>
      </c>
      <c r="B37" s="15" t="str">
        <f>IFERROR(__xludf.DUMMYFUNCTION("""COMPUTED_VALUE"""),"PS5")</f>
        <v>PS5</v>
      </c>
      <c r="C37" s="16" t="str">
        <f>IFERROR(__xludf.DUMMYFUNCTION("""COMPUTED_VALUE"""),"Extra")</f>
        <v>Extra</v>
      </c>
      <c r="D37" s="15" t="str">
        <f>IFERROR(__xludf.DUMMYFUNCTION("""COMPUTED_VALUE"""),"Active")</f>
        <v>Active</v>
      </c>
      <c r="E37" s="17">
        <f>IFERROR(__xludf.DUMMYFUNCTION("""COMPUTED_VALUE"""),46070.0)</f>
        <v>46070</v>
      </c>
      <c r="F37" s="54"/>
      <c r="G37" s="19">
        <f>IFERROR(__xludf.DUMMYFUNCTION("""COMPUTED_VALUE"""),7.633333333333333)</f>
        <v>7.633333333</v>
      </c>
      <c r="H37" s="17">
        <f>IFERROR(__xludf.DUMMYFUNCTION("""COMPUTED_VALUE"""),45138.0)</f>
        <v>45138</v>
      </c>
      <c r="I37" s="19">
        <f>IFERROR(__xludf.DUMMYFUNCTION("""COMPUTED_VALUE"""),2.547222222222222)</f>
        <v>2.547222222</v>
      </c>
      <c r="J37" s="21">
        <f>IFERROR(__xludf.DUMMYFUNCTION("""COMPUTED_VALUE"""),81.0)</f>
        <v>81</v>
      </c>
      <c r="K37" s="23">
        <f>IFERROR(__xludf.DUMMYFUNCTION("""COMPUTED_VALUE"""),7.7)</f>
        <v>7.7</v>
      </c>
      <c r="L37" s="24">
        <f>IFERROR(__xludf.DUMMYFUNCTION("""COMPUTED_VALUE"""),2.0)</f>
        <v>2</v>
      </c>
      <c r="M37" s="25" t="str">
        <f>IFERROR(__xludf.DUMMYFUNCTION("""COMPUTED_VALUE"""),"Adventure")</f>
        <v>Adventure</v>
      </c>
      <c r="N37" s="25"/>
      <c r="O37" s="25" t="str">
        <f>IFERROR(__xludf.DUMMYFUNCTION("""COMPUTED_VALUE"""),"No")</f>
        <v>No</v>
      </c>
      <c r="P37" s="25"/>
    </row>
    <row r="38">
      <c r="A38" s="13" t="str">
        <f>IFERROR(__xludf.DUMMYFUNCTION("""COMPUTED_VALUE"""),"Echoes of the End: Enhanced Edition")</f>
        <v>Echoes of the End: Enhanced Edition</v>
      </c>
      <c r="B38" s="15" t="str">
        <f>IFERROR(__xludf.DUMMYFUNCTION("""COMPUTED_VALUE"""),"PS5")</f>
        <v>PS5</v>
      </c>
      <c r="C38" s="16" t="str">
        <f>IFERROR(__xludf.DUMMYFUNCTION("""COMPUTED_VALUE"""),"Extra")</f>
        <v>Extra</v>
      </c>
      <c r="D38" s="15" t="str">
        <f>IFERROR(__xludf.DUMMYFUNCTION("""COMPUTED_VALUE"""),"Active")</f>
        <v>Active</v>
      </c>
      <c r="E38" s="17">
        <f>IFERROR(__xludf.DUMMYFUNCTION("""COMPUTED_VALUE"""),46070.0)</f>
        <v>46070</v>
      </c>
      <c r="F38" s="54"/>
      <c r="G38" s="19">
        <f>IFERROR(__xludf.DUMMYFUNCTION("""COMPUTED_VALUE"""),7.633333333333333)</f>
        <v>7.633333333</v>
      </c>
      <c r="H38" s="17">
        <f>IFERROR(__xludf.DUMMYFUNCTION("""COMPUTED_VALUE"""),45881.0)</f>
        <v>45881</v>
      </c>
      <c r="I38" s="19">
        <f>IFERROR(__xludf.DUMMYFUNCTION("""COMPUTED_VALUE"""),0.5138888888888888)</f>
        <v>0.5138888889</v>
      </c>
      <c r="J38" s="21">
        <f>IFERROR(__xludf.DUMMYFUNCTION("""COMPUTED_VALUE"""),66.0)</f>
        <v>66</v>
      </c>
      <c r="K38" s="23">
        <f>IFERROR(__xludf.DUMMYFUNCTION("""COMPUTED_VALUE"""),6.9)</f>
        <v>6.9</v>
      </c>
      <c r="L38" s="24">
        <f>IFERROR(__xludf.DUMMYFUNCTION("""COMPUTED_VALUE"""),11.0)</f>
        <v>11</v>
      </c>
      <c r="M38" s="25" t="str">
        <f>IFERROR(__xludf.DUMMYFUNCTION("""COMPUTED_VALUE"""),"Action-Adventure")</f>
        <v>Action-Adventure</v>
      </c>
      <c r="N38" s="25"/>
      <c r="O38" s="25" t="str">
        <f>IFERROR(__xludf.DUMMYFUNCTION("""COMPUTED_VALUE"""),"No")</f>
        <v>No</v>
      </c>
      <c r="P38" s="25"/>
    </row>
    <row r="39">
      <c r="A39" s="13" t="str">
        <f>IFERROR(__xludf.DUMMYFUNCTION("""COMPUTED_VALUE"""),"A Quiet Place: The Road Ahead")</f>
        <v>A Quiet Place: The Road Ahead</v>
      </c>
      <c r="B39" s="15" t="str">
        <f>IFERROR(__xludf.DUMMYFUNCTION("""COMPUTED_VALUE"""),"PS5")</f>
        <v>PS5</v>
      </c>
      <c r="C39" s="16" t="str">
        <f>IFERROR(__xludf.DUMMYFUNCTION("""COMPUTED_VALUE"""),"Extra")</f>
        <v>Extra</v>
      </c>
      <c r="D39" s="15" t="str">
        <f>IFERROR(__xludf.DUMMYFUNCTION("""COMPUTED_VALUE"""),"Active")</f>
        <v>Active</v>
      </c>
      <c r="E39" s="17">
        <f>IFERROR(__xludf.DUMMYFUNCTION("""COMPUTED_VALUE"""),46042.0)</f>
        <v>46042</v>
      </c>
      <c r="F39" s="54"/>
      <c r="G39" s="19">
        <f>IFERROR(__xludf.DUMMYFUNCTION("""COMPUTED_VALUE"""),8.533333333333333)</f>
        <v>8.533333333</v>
      </c>
      <c r="H39" s="17">
        <f>IFERROR(__xludf.DUMMYFUNCTION("""COMPUTED_VALUE"""),45582.0)</f>
        <v>45582</v>
      </c>
      <c r="I39" s="19">
        <f>IFERROR(__xludf.DUMMYFUNCTION("""COMPUTED_VALUE"""),1.2583333333333333)</f>
        <v>1.258333333</v>
      </c>
      <c r="J39" s="21">
        <f>IFERROR(__xludf.DUMMYFUNCTION("""COMPUTED_VALUE"""),67.0)</f>
        <v>67</v>
      </c>
      <c r="K39" s="23">
        <f>IFERROR(__xludf.DUMMYFUNCTION("""COMPUTED_VALUE"""),6.9)</f>
        <v>6.9</v>
      </c>
      <c r="L39" s="24">
        <f>IFERROR(__xludf.DUMMYFUNCTION("""COMPUTED_VALUE"""),7.0)</f>
        <v>7</v>
      </c>
      <c r="M39" s="25" t="str">
        <f>IFERROR(__xludf.DUMMYFUNCTION("""COMPUTED_VALUE"""),"Action-Adventure")</f>
        <v>Action-Adventure</v>
      </c>
      <c r="N39" s="25"/>
      <c r="O39" s="25" t="str">
        <f>IFERROR(__xludf.DUMMYFUNCTION("""COMPUTED_VALUE"""),"No")</f>
        <v>No</v>
      </c>
      <c r="P39" s="25"/>
    </row>
    <row r="40">
      <c r="A40" s="13" t="str">
        <f>IFERROR(__xludf.DUMMYFUNCTION("""COMPUTED_VALUE"""),"Planet Coaster 2")</f>
        <v>Planet Coaster 2</v>
      </c>
      <c r="B40" s="15" t="str">
        <f>IFERROR(__xludf.DUMMYFUNCTION("""COMPUTED_VALUE"""),"PS5")</f>
        <v>PS5</v>
      </c>
      <c r="C40" s="16" t="str">
        <f>IFERROR(__xludf.DUMMYFUNCTION("""COMPUTED_VALUE"""),"Extra")</f>
        <v>Extra</v>
      </c>
      <c r="D40" s="15" t="str">
        <f>IFERROR(__xludf.DUMMYFUNCTION("""COMPUTED_VALUE"""),"Active")</f>
        <v>Active</v>
      </c>
      <c r="E40" s="17">
        <f>IFERROR(__xludf.DUMMYFUNCTION("""COMPUTED_VALUE"""),46007.0)</f>
        <v>46007</v>
      </c>
      <c r="F40" s="54"/>
      <c r="G40" s="19">
        <f>IFERROR(__xludf.DUMMYFUNCTION("""COMPUTED_VALUE"""),9.666666666666668)</f>
        <v>9.666666667</v>
      </c>
      <c r="H40" s="17">
        <f>IFERROR(__xludf.DUMMYFUNCTION("""COMPUTED_VALUE"""),45602.0)</f>
        <v>45602</v>
      </c>
      <c r="I40" s="19">
        <f>IFERROR(__xludf.DUMMYFUNCTION("""COMPUTED_VALUE"""),1.1111111111111112)</f>
        <v>1.111111111</v>
      </c>
      <c r="J40" s="21">
        <f>IFERROR(__xludf.DUMMYFUNCTION("""COMPUTED_VALUE"""),76.0)</f>
        <v>76</v>
      </c>
      <c r="K40" s="23">
        <f>IFERROR(__xludf.DUMMYFUNCTION("""COMPUTED_VALUE"""),5.8)</f>
        <v>5.8</v>
      </c>
      <c r="L40" s="24">
        <f>IFERROR(__xludf.DUMMYFUNCTION("""COMPUTED_VALUE"""),58.0)</f>
        <v>58</v>
      </c>
      <c r="M40" s="25" t="str">
        <f>IFERROR(__xludf.DUMMYFUNCTION("""COMPUTED_VALUE"""),"Simulation")</f>
        <v>Simulation</v>
      </c>
      <c r="N40" s="25"/>
      <c r="O40" s="25" t="str">
        <f>IFERROR(__xludf.DUMMYFUNCTION("""COMPUTED_VALUE"""),"No")</f>
        <v>No</v>
      </c>
      <c r="P40" s="25"/>
    </row>
    <row r="41">
      <c r="A41" s="13" t="str">
        <f>IFERROR(__xludf.DUMMYFUNCTION("""COMPUTED_VALUE"""),"Lego Horizon Adventures")</f>
        <v>Lego Horizon Adventures</v>
      </c>
      <c r="B41" s="15" t="str">
        <f>IFERROR(__xludf.DUMMYFUNCTION("""COMPUTED_VALUE"""),"PS5")</f>
        <v>PS5</v>
      </c>
      <c r="C41" s="16" t="str">
        <f>IFERROR(__xludf.DUMMYFUNCTION("""COMPUTED_VALUE"""),"Extra")</f>
        <v>Extra</v>
      </c>
      <c r="D41" s="15" t="str">
        <f>IFERROR(__xludf.DUMMYFUNCTION("""COMPUTED_VALUE"""),"Active")</f>
        <v>Active</v>
      </c>
      <c r="E41" s="17">
        <f>IFERROR(__xludf.DUMMYFUNCTION("""COMPUTED_VALUE"""),46007.0)</f>
        <v>46007</v>
      </c>
      <c r="F41" s="54"/>
      <c r="G41" s="19">
        <f>IFERROR(__xludf.DUMMYFUNCTION("""COMPUTED_VALUE"""),9.666666666666668)</f>
        <v>9.666666667</v>
      </c>
      <c r="H41" s="17">
        <f>IFERROR(__xludf.DUMMYFUNCTION("""COMPUTED_VALUE"""),45610.0)</f>
        <v>45610</v>
      </c>
      <c r="I41" s="19">
        <f>IFERROR(__xludf.DUMMYFUNCTION("""COMPUTED_VALUE"""),1.0888888888888888)</f>
        <v>1.088888889</v>
      </c>
      <c r="J41" s="21">
        <f>IFERROR(__xludf.DUMMYFUNCTION("""COMPUTED_VALUE"""),70.0)</f>
        <v>70</v>
      </c>
      <c r="K41" s="23">
        <f>IFERROR(__xludf.DUMMYFUNCTION("""COMPUTED_VALUE"""),5.8)</f>
        <v>5.8</v>
      </c>
      <c r="L41" s="24">
        <f>IFERROR(__xludf.DUMMYFUNCTION("""COMPUTED_VALUE"""),7.0)</f>
        <v>7</v>
      </c>
      <c r="M41" s="25" t="str">
        <f>IFERROR(__xludf.DUMMYFUNCTION("""COMPUTED_VALUE"""),"Action-Adventure")</f>
        <v>Action-Adventure</v>
      </c>
      <c r="N41" s="25"/>
      <c r="O41" s="25" t="str">
        <f>IFERROR(__xludf.DUMMYFUNCTION("""COMPUTED_VALUE"""),"No")</f>
        <v>No</v>
      </c>
      <c r="P41" s="25"/>
    </row>
    <row r="42">
      <c r="A42" s="13" t="str">
        <f>IFERROR(__xludf.DUMMYFUNCTION("""COMPUTED_VALUE"""),"Pacific Drive")</f>
        <v>Pacific Drive</v>
      </c>
      <c r="B42" s="15" t="str">
        <f>IFERROR(__xludf.DUMMYFUNCTION("""COMPUTED_VALUE"""),"PS5")</f>
        <v>PS5</v>
      </c>
      <c r="C42" s="16" t="str">
        <f>IFERROR(__xludf.DUMMYFUNCTION("""COMPUTED_VALUE"""),"Extra")</f>
        <v>Extra</v>
      </c>
      <c r="D42" s="15" t="str">
        <f>IFERROR(__xludf.DUMMYFUNCTION("""COMPUTED_VALUE"""),"Active")</f>
        <v>Active</v>
      </c>
      <c r="E42" s="17">
        <f>IFERROR(__xludf.DUMMYFUNCTION("""COMPUTED_VALUE"""),45979.0)</f>
        <v>45979</v>
      </c>
      <c r="F42" s="54"/>
      <c r="G42" s="19">
        <f>IFERROR(__xludf.DUMMYFUNCTION("""COMPUTED_VALUE"""),10.6)</f>
        <v>10.6</v>
      </c>
      <c r="H42" s="17">
        <f>IFERROR(__xludf.DUMMYFUNCTION("""COMPUTED_VALUE"""),45343.0)</f>
        <v>45343</v>
      </c>
      <c r="I42" s="19">
        <f>IFERROR(__xludf.DUMMYFUNCTION("""COMPUTED_VALUE"""),1.7416666666666667)</f>
        <v>1.741666667</v>
      </c>
      <c r="J42" s="21">
        <f>IFERROR(__xludf.DUMMYFUNCTION("""COMPUTED_VALUE"""),80.0)</f>
        <v>80</v>
      </c>
      <c r="K42" s="23">
        <f>IFERROR(__xludf.DUMMYFUNCTION("""COMPUTED_VALUE"""),6.2)</f>
        <v>6.2</v>
      </c>
      <c r="L42" s="24" t="str">
        <f>IFERROR(__xludf.DUMMYFUNCTION("""COMPUTED_VALUE"""),"30")</f>
        <v>30</v>
      </c>
      <c r="M42" s="25" t="str">
        <f>IFERROR(__xludf.DUMMYFUNCTION("""COMPUTED_VALUE"""),"Survival")</f>
        <v>Survival</v>
      </c>
      <c r="N42" s="25"/>
      <c r="O42" s="25" t="str">
        <f>IFERROR(__xludf.DUMMYFUNCTION("""COMPUTED_VALUE"""),"No")</f>
        <v>No</v>
      </c>
      <c r="P42" s="25"/>
    </row>
    <row r="43">
      <c r="A43" s="13" t="str">
        <f>IFERROR(__xludf.DUMMYFUNCTION("""COMPUTED_VALUE"""),"Still Wakes the Deep")</f>
        <v>Still Wakes the Deep</v>
      </c>
      <c r="B43" s="15" t="str">
        <f>IFERROR(__xludf.DUMMYFUNCTION("""COMPUTED_VALUE"""),"PS5")</f>
        <v>PS5</v>
      </c>
      <c r="C43" s="16" t="str">
        <f>IFERROR(__xludf.DUMMYFUNCTION("""COMPUTED_VALUE"""),"Extra")</f>
        <v>Extra</v>
      </c>
      <c r="D43" s="15" t="str">
        <f>IFERROR(__xludf.DUMMYFUNCTION("""COMPUTED_VALUE"""),"Active")</f>
        <v>Active</v>
      </c>
      <c r="E43" s="17">
        <f>IFERROR(__xludf.DUMMYFUNCTION("""COMPUTED_VALUE"""),45979.0)</f>
        <v>45979</v>
      </c>
      <c r="F43" s="54"/>
      <c r="G43" s="19">
        <f>IFERROR(__xludf.DUMMYFUNCTION("""COMPUTED_VALUE"""),10.6)</f>
        <v>10.6</v>
      </c>
      <c r="H43" s="17">
        <f>IFERROR(__xludf.DUMMYFUNCTION("""COMPUTED_VALUE"""),45461.0)</f>
        <v>45461</v>
      </c>
      <c r="I43" s="19">
        <f>IFERROR(__xludf.DUMMYFUNCTION("""COMPUTED_VALUE"""),1.4166666666666667)</f>
        <v>1.416666667</v>
      </c>
      <c r="J43" s="21">
        <f>IFERROR(__xludf.DUMMYFUNCTION("""COMPUTED_VALUE"""),83.0)</f>
        <v>83</v>
      </c>
      <c r="K43" s="23">
        <f>IFERROR(__xludf.DUMMYFUNCTION("""COMPUTED_VALUE"""),7.5)</f>
        <v>7.5</v>
      </c>
      <c r="L43" s="24" t="str">
        <f>IFERROR(__xludf.DUMMYFUNCTION("""COMPUTED_VALUE"""),"4 ")</f>
        <v>4 </v>
      </c>
      <c r="M43" s="25" t="str">
        <f>IFERROR(__xludf.DUMMYFUNCTION("""COMPUTED_VALUE"""),"Survival (horror)")</f>
        <v>Survival (horror)</v>
      </c>
      <c r="N43" s="25"/>
      <c r="O43" s="25" t="str">
        <f>IFERROR(__xludf.DUMMYFUNCTION("""COMPUTED_VALUE"""),"No")</f>
        <v>No</v>
      </c>
      <c r="P43" s="25"/>
    </row>
    <row r="44">
      <c r="A44" s="13" t="str">
        <f>IFERROR(__xludf.DUMMYFUNCTION("""COMPUTED_VALUE"""),"The Talos Principle 2")</f>
        <v>The Talos Principle 2</v>
      </c>
      <c r="B44" s="15" t="str">
        <f>IFERROR(__xludf.DUMMYFUNCTION("""COMPUTED_VALUE"""),"PS5")</f>
        <v>PS5</v>
      </c>
      <c r="C44" s="16" t="str">
        <f>IFERROR(__xludf.DUMMYFUNCTION("""COMPUTED_VALUE"""),"Extra")</f>
        <v>Extra</v>
      </c>
      <c r="D44" s="15" t="str">
        <f>IFERROR(__xludf.DUMMYFUNCTION("""COMPUTED_VALUE"""),"Active")</f>
        <v>Active</v>
      </c>
      <c r="E44" s="17">
        <f>IFERROR(__xludf.DUMMYFUNCTION("""COMPUTED_VALUE"""),45979.0)</f>
        <v>45979</v>
      </c>
      <c r="F44" s="54"/>
      <c r="G44" s="19">
        <f>IFERROR(__xludf.DUMMYFUNCTION("""COMPUTED_VALUE"""),10.6)</f>
        <v>10.6</v>
      </c>
      <c r="H44" s="17">
        <f>IFERROR(__xludf.DUMMYFUNCTION("""COMPUTED_VALUE"""),45232.0)</f>
        <v>45232</v>
      </c>
      <c r="I44" s="19">
        <f>IFERROR(__xludf.DUMMYFUNCTION("""COMPUTED_VALUE"""),2.0444444444444443)</f>
        <v>2.044444444</v>
      </c>
      <c r="J44" s="21">
        <f>IFERROR(__xludf.DUMMYFUNCTION("""COMPUTED_VALUE"""),88.0)</f>
        <v>88</v>
      </c>
      <c r="K44" s="23">
        <f>IFERROR(__xludf.DUMMYFUNCTION("""COMPUTED_VALUE"""),8.5)</f>
        <v>8.5</v>
      </c>
      <c r="L44" s="24" t="str">
        <f>IFERROR(__xludf.DUMMYFUNCTION("""COMPUTED_VALUE"""),"27")</f>
        <v>27</v>
      </c>
      <c r="M44" s="25" t="str">
        <f>IFERROR(__xludf.DUMMYFUNCTION("""COMPUTED_VALUE"""),"Action-Adventure")</f>
        <v>Action-Adventure</v>
      </c>
      <c r="N44" s="25"/>
      <c r="O44" s="25" t="str">
        <f>IFERROR(__xludf.DUMMYFUNCTION("""COMPUTED_VALUE"""),"No")</f>
        <v>No</v>
      </c>
      <c r="P44" s="25"/>
    </row>
    <row r="45">
      <c r="A45" s="13" t="str">
        <f>IFERROR(__xludf.DUMMYFUNCTION("""COMPUTED_VALUE"""),"Tomb Raider: Anniversary")</f>
        <v>Tomb Raider: Anniversary</v>
      </c>
      <c r="B45" s="15" t="str">
        <f>IFERROR(__xludf.DUMMYFUNCTION("""COMPUTED_VALUE"""),"PS5/PS4")</f>
        <v>PS5/PS4</v>
      </c>
      <c r="C45" s="16" t="str">
        <f>IFERROR(__xludf.DUMMYFUNCTION("""COMPUTED_VALUE"""),"Premium (Classics)")</f>
        <v>Premium (Classics)</v>
      </c>
      <c r="D45" s="15" t="str">
        <f>IFERROR(__xludf.DUMMYFUNCTION("""COMPUTED_VALUE"""),"Active")</f>
        <v>Active</v>
      </c>
      <c r="E45" s="17">
        <f>IFERROR(__xludf.DUMMYFUNCTION("""COMPUTED_VALUE"""),45979.0)</f>
        <v>45979</v>
      </c>
      <c r="F45" s="54"/>
      <c r="G45" s="19">
        <f>IFERROR(__xludf.DUMMYFUNCTION("""COMPUTED_VALUE"""),10.6)</f>
        <v>10.6</v>
      </c>
      <c r="H45" s="17">
        <f>IFERROR(__xludf.DUMMYFUNCTION("""COMPUTED_VALUE"""),39378.0)</f>
        <v>39378</v>
      </c>
      <c r="I45" s="19">
        <f>IFERROR(__xludf.DUMMYFUNCTION("""COMPUTED_VALUE"""),18.069444444444443)</f>
        <v>18.06944444</v>
      </c>
      <c r="J45" s="21">
        <f>IFERROR(__xludf.DUMMYFUNCTION("""COMPUTED_VALUE"""),77.0)</f>
        <v>77</v>
      </c>
      <c r="K45" s="23">
        <f>IFERROR(__xludf.DUMMYFUNCTION("""COMPUTED_VALUE"""),7.9)</f>
        <v>7.9</v>
      </c>
      <c r="L45" s="24">
        <f>IFERROR(__xludf.DUMMYFUNCTION("""COMPUTED_VALUE"""),13.0)</f>
        <v>13</v>
      </c>
      <c r="M45" s="25" t="str">
        <f>IFERROR(__xludf.DUMMYFUNCTION("""COMPUTED_VALUE"""),"Action-Adventure")</f>
        <v>Action-Adventure</v>
      </c>
      <c r="N45" s="25" t="str">
        <f>IFERROR(__xludf.DUMMYFUNCTION("""COMPUTED_VALUE"""),"PS2")</f>
        <v>PS2</v>
      </c>
      <c r="O45" s="25" t="str">
        <f>IFERROR(__xludf.DUMMYFUNCTION("""COMPUTED_VALUE"""),"No")</f>
        <v>No</v>
      </c>
      <c r="P45" s="25"/>
    </row>
    <row r="46">
      <c r="A46" s="13" t="str">
        <f>IFERROR(__xludf.DUMMYFUNCTION("""COMPUTED_VALUE"""),"Until Dawn (2024)")</f>
        <v>Until Dawn (2024)</v>
      </c>
      <c r="B46" s="15" t="str">
        <f>IFERROR(__xludf.DUMMYFUNCTION("""COMPUTED_VALUE"""),"PS5")</f>
        <v>PS5</v>
      </c>
      <c r="C46" s="16" t="str">
        <f>IFERROR(__xludf.DUMMYFUNCTION("""COMPUTED_VALUE"""),"Extra")</f>
        <v>Extra</v>
      </c>
      <c r="D46" s="15" t="str">
        <f>IFERROR(__xludf.DUMMYFUNCTION("""COMPUTED_VALUE"""),"Active")</f>
        <v>Active</v>
      </c>
      <c r="E46" s="17">
        <f>IFERROR(__xludf.DUMMYFUNCTION("""COMPUTED_VALUE"""),45951.0)</f>
        <v>45951</v>
      </c>
      <c r="F46" s="54"/>
      <c r="G46" s="19">
        <f>IFERROR(__xludf.DUMMYFUNCTION("""COMPUTED_VALUE"""),11.5)</f>
        <v>11.5</v>
      </c>
      <c r="H46" s="17">
        <f>IFERROR(__xludf.DUMMYFUNCTION("""COMPUTED_VALUE"""),45569.0)</f>
        <v>45569</v>
      </c>
      <c r="I46" s="19">
        <f>IFERROR(__xludf.DUMMYFUNCTION("""COMPUTED_VALUE"""),1.0472222222222223)</f>
        <v>1.047222222</v>
      </c>
      <c r="J46" s="21">
        <f>IFERROR(__xludf.DUMMYFUNCTION("""COMPUTED_VALUE"""),70.0)</f>
        <v>70</v>
      </c>
      <c r="K46" s="23">
        <f>IFERROR(__xludf.DUMMYFUNCTION("""COMPUTED_VALUE"""),6.6)</f>
        <v>6.6</v>
      </c>
      <c r="L46" s="24">
        <f>IFERROR(__xludf.DUMMYFUNCTION("""COMPUTED_VALUE"""),8.0)</f>
        <v>8</v>
      </c>
      <c r="M46" s="25" t="str">
        <f>IFERROR(__xludf.DUMMYFUNCTION("""COMPUTED_VALUE"""),"Action-Adventure")</f>
        <v>Action-Adventure</v>
      </c>
      <c r="N46" s="25"/>
      <c r="O46" s="25" t="str">
        <f>IFERROR(__xludf.DUMMYFUNCTION("""COMPUTED_VALUE"""),"No")</f>
        <v>No</v>
      </c>
      <c r="P46" s="25"/>
    </row>
    <row r="47">
      <c r="A47" s="13" t="str">
        <f>IFERROR(__xludf.DUMMYFUNCTION("""COMPUTED_VALUE"""),"V Rising")</f>
        <v>V Rising</v>
      </c>
      <c r="B47" s="15" t="str">
        <f>IFERROR(__xludf.DUMMYFUNCTION("""COMPUTED_VALUE"""),"PS5")</f>
        <v>PS5</v>
      </c>
      <c r="C47" s="16" t="str">
        <f>IFERROR(__xludf.DUMMYFUNCTION("""COMPUTED_VALUE"""),"Extra")</f>
        <v>Extra</v>
      </c>
      <c r="D47" s="15" t="str">
        <f>IFERROR(__xludf.DUMMYFUNCTION("""COMPUTED_VALUE"""),"Active")</f>
        <v>Active</v>
      </c>
      <c r="E47" s="17">
        <f>IFERROR(__xludf.DUMMYFUNCTION("""COMPUTED_VALUE"""),45951.0)</f>
        <v>45951</v>
      </c>
      <c r="F47" s="54"/>
      <c r="G47" s="19">
        <f>IFERROR(__xludf.DUMMYFUNCTION("""COMPUTED_VALUE"""),11.5)</f>
        <v>11.5</v>
      </c>
      <c r="H47" s="17">
        <f>IFERROR(__xludf.DUMMYFUNCTION("""COMPUTED_VALUE"""),45420.0)</f>
        <v>45420</v>
      </c>
      <c r="I47" s="19">
        <f>IFERROR(__xludf.DUMMYFUNCTION("""COMPUTED_VALUE"""),1.4527777777777777)</f>
        <v>1.452777778</v>
      </c>
      <c r="J47" s="21">
        <f>IFERROR(__xludf.DUMMYFUNCTION("""COMPUTED_VALUE"""),83.0)</f>
        <v>83</v>
      </c>
      <c r="K47" s="23">
        <f>IFERROR(__xludf.DUMMYFUNCTION("""COMPUTED_VALUE"""),7.0)</f>
        <v>7</v>
      </c>
      <c r="L47" s="24">
        <f>IFERROR(__xludf.DUMMYFUNCTION("""COMPUTED_VALUE"""),47.0)</f>
        <v>47</v>
      </c>
      <c r="M47" s="25" t="str">
        <f>IFERROR(__xludf.DUMMYFUNCTION("""COMPUTED_VALUE"""),"Action-Adventure")</f>
        <v>Action-Adventure</v>
      </c>
      <c r="N47" s="25"/>
      <c r="O47" s="25" t="str">
        <f>IFERROR(__xludf.DUMMYFUNCTION("""COMPUTED_VALUE"""),"No")</f>
        <v>No</v>
      </c>
      <c r="P47" s="25"/>
    </row>
    <row r="48">
      <c r="A48" s="13" t="str">
        <f>IFERROR(__xludf.DUMMYFUNCTION("""COMPUTED_VALUE"""),"Wizard with a Gun")</f>
        <v>Wizard with a Gun</v>
      </c>
      <c r="B48" s="15" t="str">
        <f>IFERROR(__xludf.DUMMYFUNCTION("""COMPUTED_VALUE"""),"PS5")</f>
        <v>PS5</v>
      </c>
      <c r="C48" s="16" t="str">
        <f>IFERROR(__xludf.DUMMYFUNCTION("""COMPUTED_VALUE"""),"Extra")</f>
        <v>Extra</v>
      </c>
      <c r="D48" s="15" t="str">
        <f>IFERROR(__xludf.DUMMYFUNCTION("""COMPUTED_VALUE"""),"Active")</f>
        <v>Active</v>
      </c>
      <c r="E48" s="17">
        <f>IFERROR(__xludf.DUMMYFUNCTION("""COMPUTED_VALUE"""),45951.0)</f>
        <v>45951</v>
      </c>
      <c r="F48" s="18"/>
      <c r="G48" s="19">
        <f>IFERROR(__xludf.DUMMYFUNCTION("""COMPUTED_VALUE"""),11.5)</f>
        <v>11.5</v>
      </c>
      <c r="H48" s="17">
        <f>IFERROR(__xludf.DUMMYFUNCTION("""COMPUTED_VALUE"""),45215.0)</f>
        <v>45215</v>
      </c>
      <c r="I48" s="19">
        <f>IFERROR(__xludf.DUMMYFUNCTION("""COMPUTED_VALUE"""),2.013888888888889)</f>
        <v>2.013888889</v>
      </c>
      <c r="J48" s="21">
        <f>IFERROR(__xludf.DUMMYFUNCTION("""COMPUTED_VALUE"""),72.0)</f>
        <v>72</v>
      </c>
      <c r="K48" s="23">
        <f>IFERROR(__xludf.DUMMYFUNCTION("""COMPUTED_VALUE"""),5.3)</f>
        <v>5.3</v>
      </c>
      <c r="L48" s="24">
        <f>IFERROR(__xludf.DUMMYFUNCTION("""COMPUTED_VALUE"""),14.0)</f>
        <v>14</v>
      </c>
      <c r="M48" s="25" t="str">
        <f>IFERROR(__xludf.DUMMYFUNCTION("""COMPUTED_VALUE"""),"Sandbox")</f>
        <v>Sandbox</v>
      </c>
      <c r="N48" s="25"/>
      <c r="O48" s="25" t="str">
        <f>IFERROR(__xludf.DUMMYFUNCTION("""COMPUTED_VALUE"""),"No")</f>
        <v>No</v>
      </c>
      <c r="P48" s="25"/>
    </row>
    <row r="49">
      <c r="A49" s="13" t="str">
        <f>IFERROR(__xludf.DUMMYFUNCTION("""COMPUTED_VALUE"""),"Silent Hill 2 (2024)")</f>
        <v>Silent Hill 2 (2024)</v>
      </c>
      <c r="B49" s="15" t="str">
        <f>IFERROR(__xludf.DUMMYFUNCTION("""COMPUTED_VALUE"""),"PS5")</f>
        <v>PS5</v>
      </c>
      <c r="C49" s="16" t="str">
        <f>IFERROR(__xludf.DUMMYFUNCTION("""COMPUTED_VALUE"""),"Extra")</f>
        <v>Extra</v>
      </c>
      <c r="D49" s="15" t="str">
        <f>IFERROR(__xludf.DUMMYFUNCTION("""COMPUTED_VALUE"""),"Leaving Soon")</f>
        <v>Leaving Soon</v>
      </c>
      <c r="E49" s="17">
        <f>IFERROR(__xludf.DUMMYFUNCTION("""COMPUTED_VALUE"""),45951.0)</f>
        <v>45951</v>
      </c>
      <c r="F49" s="18">
        <f>IFERROR(__xludf.DUMMYFUNCTION("""COMPUTED_VALUE"""),46314.0)</f>
        <v>46314</v>
      </c>
      <c r="G49" s="19">
        <f>IFERROR(__xludf.DUMMYFUNCTION("""COMPUTED_VALUE"""),11.933333333333334)</f>
        <v>11.93333333</v>
      </c>
      <c r="H49" s="17">
        <f>IFERROR(__xludf.DUMMYFUNCTION("""COMPUTED_VALUE"""),45573.0)</f>
        <v>45573</v>
      </c>
      <c r="I49" s="19">
        <f>IFERROR(__xludf.DUMMYFUNCTION("""COMPUTED_VALUE"""),1.0361111111111112)</f>
        <v>1.036111111</v>
      </c>
      <c r="J49" s="21">
        <f>IFERROR(__xludf.DUMMYFUNCTION("""COMPUTED_VALUE"""),86.0)</f>
        <v>86</v>
      </c>
      <c r="K49" s="23">
        <f>IFERROR(__xludf.DUMMYFUNCTION("""COMPUTED_VALUE"""),9.1)</f>
        <v>9.1</v>
      </c>
      <c r="L49" s="24">
        <f>IFERROR(__xludf.DUMMYFUNCTION("""COMPUTED_VALUE"""),16.0)</f>
        <v>16</v>
      </c>
      <c r="M49" s="25" t="str">
        <f>IFERROR(__xludf.DUMMYFUNCTION("""COMPUTED_VALUE"""),"Survival")</f>
        <v>Survival</v>
      </c>
      <c r="N49" s="25"/>
      <c r="O49" s="25" t="str">
        <f>IFERROR(__xludf.DUMMYFUNCTION("""COMPUTED_VALUE"""),"No")</f>
        <v>No</v>
      </c>
      <c r="P49" s="25"/>
    </row>
    <row r="50">
      <c r="A50" s="13" t="str">
        <f>IFERROR(__xludf.DUMMYFUNCTION("""COMPUTED_VALUE"""),"The Last of Us: Part 2 Remastered")</f>
        <v>The Last of Us: Part 2 Remastered</v>
      </c>
      <c r="B50" s="15" t="str">
        <f>IFERROR(__xludf.DUMMYFUNCTION("""COMPUTED_VALUE"""),"PS5")</f>
        <v>PS5</v>
      </c>
      <c r="C50" s="16" t="str">
        <f>IFERROR(__xludf.DUMMYFUNCTION("""COMPUTED_VALUE"""),"Extra")</f>
        <v>Extra</v>
      </c>
      <c r="D50" s="15" t="str">
        <f>IFERROR(__xludf.DUMMYFUNCTION("""COMPUTED_VALUE"""),"Active")</f>
        <v>Active</v>
      </c>
      <c r="E50" s="17">
        <f>IFERROR(__xludf.DUMMYFUNCTION("""COMPUTED_VALUE"""),45926.0)</f>
        <v>45926</v>
      </c>
      <c r="F50" s="54"/>
      <c r="G50" s="19">
        <f>IFERROR(__xludf.DUMMYFUNCTION("""COMPUTED_VALUE"""),12.333333333333332)</f>
        <v>12.33333333</v>
      </c>
      <c r="H50" s="17">
        <f>IFERROR(__xludf.DUMMYFUNCTION("""COMPUTED_VALUE"""),45310.0)</f>
        <v>45310</v>
      </c>
      <c r="I50" s="19">
        <f>IFERROR(__xludf.DUMMYFUNCTION("""COMPUTED_VALUE"""),1.6861111111111111)</f>
        <v>1.686111111</v>
      </c>
      <c r="J50" s="21">
        <f>IFERROR(__xludf.DUMMYFUNCTION("""COMPUTED_VALUE"""),90.0)</f>
        <v>90</v>
      </c>
      <c r="K50" s="23">
        <f>IFERROR(__xludf.DUMMYFUNCTION("""COMPUTED_VALUE"""),7.5)</f>
        <v>7.5</v>
      </c>
      <c r="L50" s="24">
        <f>IFERROR(__xludf.DUMMYFUNCTION("""COMPUTED_VALUE"""),23.0)</f>
        <v>23</v>
      </c>
      <c r="M50" s="25" t="str">
        <f>IFERROR(__xludf.DUMMYFUNCTION("""COMPUTED_VALUE"""),"Survival")</f>
        <v>Survival</v>
      </c>
      <c r="N50" s="25"/>
      <c r="O50" s="25" t="str">
        <f>IFERROR(__xludf.DUMMYFUNCTION("""COMPUTED_VALUE"""),"No")</f>
        <v>No</v>
      </c>
      <c r="P50" s="25"/>
    </row>
    <row r="51">
      <c r="A51" s="13" t="str">
        <f>IFERROR(__xludf.DUMMYFUNCTION("""COMPUTED_VALUE"""),"The Invincible")</f>
        <v>The Invincible</v>
      </c>
      <c r="B51" s="15" t="str">
        <f>IFERROR(__xludf.DUMMYFUNCTION("""COMPUTED_VALUE"""),"PS5")</f>
        <v>PS5</v>
      </c>
      <c r="C51" s="16" t="str">
        <f>IFERROR(__xludf.DUMMYFUNCTION("""COMPUTED_VALUE"""),"Extra")</f>
        <v>Extra</v>
      </c>
      <c r="D51" s="15" t="str">
        <f>IFERROR(__xludf.DUMMYFUNCTION("""COMPUTED_VALUE"""),"Active")</f>
        <v>Active</v>
      </c>
      <c r="E51" s="17">
        <f>IFERROR(__xludf.DUMMYFUNCTION("""COMPUTED_VALUE"""),45916.0)</f>
        <v>45916</v>
      </c>
      <c r="F51" s="54"/>
      <c r="G51" s="19">
        <f>IFERROR(__xludf.DUMMYFUNCTION("""COMPUTED_VALUE"""),12.666666666666668)</f>
        <v>12.66666667</v>
      </c>
      <c r="H51" s="17">
        <f>IFERROR(__xludf.DUMMYFUNCTION("""COMPUTED_VALUE"""),45236.0)</f>
        <v>45236</v>
      </c>
      <c r="I51" s="19">
        <f>IFERROR(__xludf.DUMMYFUNCTION("""COMPUTED_VALUE"""),1.8611111111111112)</f>
        <v>1.861111111</v>
      </c>
      <c r="J51" s="21">
        <f>IFERROR(__xludf.DUMMYFUNCTION("""COMPUTED_VALUE"""),72.0)</f>
        <v>72</v>
      </c>
      <c r="K51" s="23">
        <f>IFERROR(__xludf.DUMMYFUNCTION("""COMPUTED_VALUE"""),7.9)</f>
        <v>7.9</v>
      </c>
      <c r="L51" s="24">
        <f>IFERROR(__xludf.DUMMYFUNCTION("""COMPUTED_VALUE"""),7.0)</f>
        <v>7</v>
      </c>
      <c r="M51" s="25" t="str">
        <f>IFERROR(__xludf.DUMMYFUNCTION("""COMPUTED_VALUE"""),"Action-Adventure")</f>
        <v>Action-Adventure</v>
      </c>
      <c r="N51" s="25"/>
      <c r="O51" s="25" t="str">
        <f>IFERROR(__xludf.DUMMYFUNCTION("""COMPUTED_VALUE"""),"No")</f>
        <v>No</v>
      </c>
      <c r="P51" s="25"/>
    </row>
    <row r="52">
      <c r="A52" s="13" t="str">
        <f>IFERROR(__xludf.DUMMYFUNCTION("""COMPUTED_VALUE"""),"Conscript")</f>
        <v>Conscript</v>
      </c>
      <c r="B52" s="15" t="str">
        <f>IFERROR(__xludf.DUMMYFUNCTION("""COMPUTED_VALUE"""),"PS5")</f>
        <v>PS5</v>
      </c>
      <c r="C52" s="16" t="str">
        <f>IFERROR(__xludf.DUMMYFUNCTION("""COMPUTED_VALUE"""),"Extra")</f>
        <v>Extra</v>
      </c>
      <c r="D52" s="15" t="str">
        <f>IFERROR(__xludf.DUMMYFUNCTION("""COMPUTED_VALUE"""),"Active")</f>
        <v>Active</v>
      </c>
      <c r="E52" s="17">
        <f>IFERROR(__xludf.DUMMYFUNCTION("""COMPUTED_VALUE"""),45916.0)</f>
        <v>45916</v>
      </c>
      <c r="F52" s="54"/>
      <c r="G52" s="19">
        <f>IFERROR(__xludf.DUMMYFUNCTION("""COMPUTED_VALUE"""),12.666666666666668)</f>
        <v>12.66666667</v>
      </c>
      <c r="H52" s="17">
        <f>IFERROR(__xludf.DUMMYFUNCTION("""COMPUTED_VALUE"""),45496.0)</f>
        <v>45496</v>
      </c>
      <c r="I52" s="19">
        <f>IFERROR(__xludf.DUMMYFUNCTION("""COMPUTED_VALUE"""),1.1472222222222221)</f>
        <v>1.147222222</v>
      </c>
      <c r="J52" s="21">
        <f>IFERROR(__xludf.DUMMYFUNCTION("""COMPUTED_VALUE"""),80.0)</f>
        <v>80</v>
      </c>
      <c r="K52" s="23">
        <f>IFERROR(__xludf.DUMMYFUNCTION("""COMPUTED_VALUE"""),8.3)</f>
        <v>8.3</v>
      </c>
      <c r="L52" s="24">
        <f>IFERROR(__xludf.DUMMYFUNCTION("""COMPUTED_VALUE"""),12.0)</f>
        <v>12</v>
      </c>
      <c r="M52" s="25" t="str">
        <f>IFERROR(__xludf.DUMMYFUNCTION("""COMPUTED_VALUE"""),"Survival")</f>
        <v>Survival</v>
      </c>
      <c r="N52" s="25"/>
      <c r="O52" s="25" t="str">
        <f>IFERROR(__xludf.DUMMYFUNCTION("""COMPUTED_VALUE"""),"No")</f>
        <v>No</v>
      </c>
      <c r="P52" s="25"/>
    </row>
    <row r="53">
      <c r="A53" s="13" t="str">
        <f>IFERROR(__xludf.DUMMYFUNCTION("""COMPUTED_VALUE"""),"Mortal Kombat 1")</f>
        <v>Mortal Kombat 1</v>
      </c>
      <c r="B53" s="15" t="str">
        <f>IFERROR(__xludf.DUMMYFUNCTION("""COMPUTED_VALUE"""),"PS5")</f>
        <v>PS5</v>
      </c>
      <c r="C53" s="16" t="str">
        <f>IFERROR(__xludf.DUMMYFUNCTION("""COMPUTED_VALUE"""),"Extra")</f>
        <v>Extra</v>
      </c>
      <c r="D53" s="15" t="str">
        <f>IFERROR(__xludf.DUMMYFUNCTION("""COMPUTED_VALUE"""),"Active")</f>
        <v>Active</v>
      </c>
      <c r="E53" s="17">
        <f>IFERROR(__xludf.DUMMYFUNCTION("""COMPUTED_VALUE"""),45888.0)</f>
        <v>45888</v>
      </c>
      <c r="F53" s="54"/>
      <c r="G53" s="19">
        <f>IFERROR(__xludf.DUMMYFUNCTION("""COMPUTED_VALUE"""),13.566666666666666)</f>
        <v>13.56666667</v>
      </c>
      <c r="H53" s="17">
        <f>IFERROR(__xludf.DUMMYFUNCTION("""COMPUTED_VALUE"""),45188.0)</f>
        <v>45188</v>
      </c>
      <c r="I53" s="19">
        <f>IFERROR(__xludf.DUMMYFUNCTION("""COMPUTED_VALUE"""),1.9166666666666667)</f>
        <v>1.916666667</v>
      </c>
      <c r="J53" s="21">
        <f>IFERROR(__xludf.DUMMYFUNCTION("""COMPUTED_VALUE"""),83.0)</f>
        <v>83</v>
      </c>
      <c r="K53" s="23">
        <f>IFERROR(__xludf.DUMMYFUNCTION("""COMPUTED_VALUE"""),6.5)</f>
        <v>6.5</v>
      </c>
      <c r="L53" s="24">
        <f>IFERROR(__xludf.DUMMYFUNCTION("""COMPUTED_VALUE"""),7.0)</f>
        <v>7</v>
      </c>
      <c r="M53" s="25" t="str">
        <f>IFERROR(__xludf.DUMMYFUNCTION("""COMPUTED_VALUE"""),"Fighting")</f>
        <v>Fighting</v>
      </c>
      <c r="N53" s="25"/>
      <c r="O53" s="25" t="str">
        <f>IFERROR(__xludf.DUMMYFUNCTION("""COMPUTED_VALUE"""),"No")</f>
        <v>No</v>
      </c>
      <c r="P53" s="25"/>
    </row>
    <row r="54">
      <c r="A54" s="13" t="str">
        <f>IFERROR(__xludf.DUMMYFUNCTION("""COMPUTED_VALUE"""),"Sword of the Sea")</f>
        <v>Sword of the Sea</v>
      </c>
      <c r="B54" s="15" t="str">
        <f>IFERROR(__xludf.DUMMYFUNCTION("""COMPUTED_VALUE"""),"PS5")</f>
        <v>PS5</v>
      </c>
      <c r="C54" s="16" t="str">
        <f>IFERROR(__xludf.DUMMYFUNCTION("""COMPUTED_VALUE"""),"Extra")</f>
        <v>Extra</v>
      </c>
      <c r="D54" s="15" t="str">
        <f>IFERROR(__xludf.DUMMYFUNCTION("""COMPUTED_VALUE"""),"Active")</f>
        <v>Active</v>
      </c>
      <c r="E54" s="17">
        <f>IFERROR(__xludf.DUMMYFUNCTION("""COMPUTED_VALUE"""),45888.0)</f>
        <v>45888</v>
      </c>
      <c r="F54" s="54"/>
      <c r="G54" s="19">
        <f>IFERROR(__xludf.DUMMYFUNCTION("""COMPUTED_VALUE"""),13.566666666666666)</f>
        <v>13.56666667</v>
      </c>
      <c r="H54" s="17">
        <f>IFERROR(__xludf.DUMMYFUNCTION("""COMPUTED_VALUE"""),45888.0)</f>
        <v>45888</v>
      </c>
      <c r="I54" s="19">
        <f>IFERROR(__xludf.DUMMYFUNCTION("""COMPUTED_VALUE"""),0.0)</f>
        <v>0</v>
      </c>
      <c r="J54" s="21">
        <f>IFERROR(__xludf.DUMMYFUNCTION("""COMPUTED_VALUE"""),87.0)</f>
        <v>87</v>
      </c>
      <c r="K54" s="23">
        <f>IFERROR(__xludf.DUMMYFUNCTION("""COMPUTED_VALUE"""),8.7)</f>
        <v>8.7</v>
      </c>
      <c r="L54" s="24">
        <f>IFERROR(__xludf.DUMMYFUNCTION("""COMPUTED_VALUE"""),3.0)</f>
        <v>3</v>
      </c>
      <c r="M54" s="25" t="str">
        <f>IFERROR(__xludf.DUMMYFUNCTION("""COMPUTED_VALUE"""),"Action-Adventure")</f>
        <v>Action-Adventure</v>
      </c>
      <c r="N54" s="25"/>
      <c r="O54" s="25" t="str">
        <f>IFERROR(__xludf.DUMMYFUNCTION("""COMPUTED_VALUE"""),"No")</f>
        <v>No</v>
      </c>
      <c r="P54" s="25"/>
    </row>
    <row r="55">
      <c r="A55" s="13" t="str">
        <f>IFERROR(__xludf.DUMMYFUNCTION("""COMPUTED_VALUE"""),"INDIKA")</f>
        <v>INDIKA</v>
      </c>
      <c r="B55" s="15" t="str">
        <f>IFERROR(__xludf.DUMMYFUNCTION("""COMPUTED_VALUE"""),"PS5")</f>
        <v>PS5</v>
      </c>
      <c r="C55" s="16" t="str">
        <f>IFERROR(__xludf.DUMMYFUNCTION("""COMPUTED_VALUE"""),"Extra")</f>
        <v>Extra</v>
      </c>
      <c r="D55" s="15" t="str">
        <f>IFERROR(__xludf.DUMMYFUNCTION("""COMPUTED_VALUE"""),"Active")</f>
        <v>Active</v>
      </c>
      <c r="E55" s="17">
        <f>IFERROR(__xludf.DUMMYFUNCTION("""COMPUTED_VALUE"""),45888.0)</f>
        <v>45888</v>
      </c>
      <c r="F55" s="54"/>
      <c r="G55" s="19">
        <f>IFERROR(__xludf.DUMMYFUNCTION("""COMPUTED_VALUE"""),13.566666666666666)</f>
        <v>13.56666667</v>
      </c>
      <c r="H55" s="17">
        <f>IFERROR(__xludf.DUMMYFUNCTION("""COMPUTED_VALUE"""),45414.0)</f>
        <v>45414</v>
      </c>
      <c r="I55" s="19">
        <f>IFERROR(__xludf.DUMMYFUNCTION("""COMPUTED_VALUE"""),1.2972222222222223)</f>
        <v>1.297222222</v>
      </c>
      <c r="J55" s="21">
        <f>IFERROR(__xludf.DUMMYFUNCTION("""COMPUTED_VALUE"""),80.0)</f>
        <v>80</v>
      </c>
      <c r="K55" s="23">
        <f>IFERROR(__xludf.DUMMYFUNCTION("""COMPUTED_VALUE"""),7.1)</f>
        <v>7.1</v>
      </c>
      <c r="L55" s="24">
        <f>IFERROR(__xludf.DUMMYFUNCTION("""COMPUTED_VALUE"""),4.0)</f>
        <v>4</v>
      </c>
      <c r="M55" s="25" t="str">
        <f>IFERROR(__xludf.DUMMYFUNCTION("""COMPUTED_VALUE"""),"Action-Adventure")</f>
        <v>Action-Adventure</v>
      </c>
      <c r="N55" s="25"/>
      <c r="O55" s="25" t="str">
        <f>IFERROR(__xludf.DUMMYFUNCTION("""COMPUTED_VALUE"""),"No")</f>
        <v>No</v>
      </c>
      <c r="P55" s="25"/>
    </row>
    <row r="56">
      <c r="A56" s="13" t="str">
        <f>IFERROR(__xludf.DUMMYFUNCTION("""COMPUTED_VALUE"""),"Coral Island")</f>
        <v>Coral Island</v>
      </c>
      <c r="B56" s="15" t="str">
        <f>IFERROR(__xludf.DUMMYFUNCTION("""COMPUTED_VALUE"""),"PS5")</f>
        <v>PS5</v>
      </c>
      <c r="C56" s="16" t="str">
        <f>IFERROR(__xludf.DUMMYFUNCTION("""COMPUTED_VALUE"""),"Extra")</f>
        <v>Extra</v>
      </c>
      <c r="D56" s="15" t="str">
        <f>IFERROR(__xludf.DUMMYFUNCTION("""COMPUTED_VALUE"""),"Active")</f>
        <v>Active</v>
      </c>
      <c r="E56" s="17">
        <f>IFERROR(__xludf.DUMMYFUNCTION("""COMPUTED_VALUE"""),45888.0)</f>
        <v>45888</v>
      </c>
      <c r="F56" s="54"/>
      <c r="G56" s="19">
        <f>IFERROR(__xludf.DUMMYFUNCTION("""COMPUTED_VALUE"""),13.566666666666666)</f>
        <v>13.56666667</v>
      </c>
      <c r="H56" s="17">
        <f>IFERROR(__xludf.DUMMYFUNCTION("""COMPUTED_VALUE"""),45244.0)</f>
        <v>45244</v>
      </c>
      <c r="I56" s="19">
        <f>IFERROR(__xludf.DUMMYFUNCTION("""COMPUTED_VALUE"""),1.7638888888888888)</f>
        <v>1.763888889</v>
      </c>
      <c r="J56" s="21">
        <f>IFERROR(__xludf.DUMMYFUNCTION("""COMPUTED_VALUE"""),82.0)</f>
        <v>82</v>
      </c>
      <c r="K56" s="23">
        <f>IFERROR(__xludf.DUMMYFUNCTION("""COMPUTED_VALUE"""),6.5)</f>
        <v>6.5</v>
      </c>
      <c r="L56" s="24">
        <f>IFERROR(__xludf.DUMMYFUNCTION("""COMPUTED_VALUE"""),57.0)</f>
        <v>57</v>
      </c>
      <c r="M56" s="25" t="str">
        <f>IFERROR(__xludf.DUMMYFUNCTION("""COMPUTED_VALUE"""),"Virtual Life")</f>
        <v>Virtual Life</v>
      </c>
      <c r="N56" s="25"/>
      <c r="O56" s="25" t="str">
        <f>IFERROR(__xludf.DUMMYFUNCTION("""COMPUTED_VALUE"""),"No")</f>
        <v>No</v>
      </c>
      <c r="P56" s="25"/>
    </row>
    <row r="57">
      <c r="A57" s="13" t="str">
        <f>IFERROR(__xludf.DUMMYFUNCTION("""COMPUTED_VALUE"""),"Abiotic Factor")</f>
        <v>Abiotic Factor</v>
      </c>
      <c r="B57" s="15" t="str">
        <f>IFERROR(__xludf.DUMMYFUNCTION("""COMPUTED_VALUE"""),"PS5")</f>
        <v>PS5</v>
      </c>
      <c r="C57" s="16" t="str">
        <f>IFERROR(__xludf.DUMMYFUNCTION("""COMPUTED_VALUE"""),"Extra")</f>
        <v>Extra</v>
      </c>
      <c r="D57" s="15" t="str">
        <f>IFERROR(__xludf.DUMMYFUNCTION("""COMPUTED_VALUE"""),"Active")</f>
        <v>Active</v>
      </c>
      <c r="E57" s="17">
        <f>IFERROR(__xludf.DUMMYFUNCTION("""COMPUTED_VALUE"""),45860.0)</f>
        <v>45860</v>
      </c>
      <c r="F57" s="54"/>
      <c r="G57" s="19">
        <f>IFERROR(__xludf.DUMMYFUNCTION("""COMPUTED_VALUE"""),14.466666666666665)</f>
        <v>14.46666667</v>
      </c>
      <c r="H57" s="17">
        <f>IFERROR(__xludf.DUMMYFUNCTION("""COMPUTED_VALUE"""),45860.0)</f>
        <v>45860</v>
      </c>
      <c r="I57" s="19">
        <f>IFERROR(__xludf.DUMMYFUNCTION("""COMPUTED_VALUE"""),0.0)</f>
        <v>0</v>
      </c>
      <c r="J57" s="21">
        <f>IFERROR(__xludf.DUMMYFUNCTION("""COMPUTED_VALUE"""),88.0)</f>
        <v>88</v>
      </c>
      <c r="K57" s="23">
        <f>IFERROR(__xludf.DUMMYFUNCTION("""COMPUTED_VALUE"""),8.4)</f>
        <v>8.4</v>
      </c>
      <c r="L57" s="24">
        <f>IFERROR(__xludf.DUMMYFUNCTION("""COMPUTED_VALUE"""),33.0)</f>
        <v>33</v>
      </c>
      <c r="M57" s="25" t="str">
        <f>IFERROR(__xludf.DUMMYFUNCTION("""COMPUTED_VALUE"""),"Survival")</f>
        <v>Survival</v>
      </c>
      <c r="N57" s="25"/>
      <c r="O57" s="25" t="str">
        <f>IFERROR(__xludf.DUMMYFUNCTION("""COMPUTED_VALUE"""),"No")</f>
        <v>No</v>
      </c>
      <c r="P57" s="25"/>
    </row>
    <row r="58">
      <c r="A58" s="13" t="str">
        <f>IFERROR(__xludf.DUMMYFUNCTION("""COMPUTED_VALUE"""),"Banishers: Ghosts of New Eden")</f>
        <v>Banishers: Ghosts of New Eden</v>
      </c>
      <c r="B58" s="15" t="str">
        <f>IFERROR(__xludf.DUMMYFUNCTION("""COMPUTED_VALUE"""),"PS5")</f>
        <v>PS5</v>
      </c>
      <c r="C58" s="16" t="str">
        <f>IFERROR(__xludf.DUMMYFUNCTION("""COMPUTED_VALUE"""),"Extra")</f>
        <v>Extra</v>
      </c>
      <c r="D58" s="15" t="str">
        <f>IFERROR(__xludf.DUMMYFUNCTION("""COMPUTED_VALUE"""),"Active")</f>
        <v>Active</v>
      </c>
      <c r="E58" s="17">
        <f>IFERROR(__xludf.DUMMYFUNCTION("""COMPUTED_VALUE"""),45853.0)</f>
        <v>45853</v>
      </c>
      <c r="F58" s="54"/>
      <c r="G58" s="19">
        <f>IFERROR(__xludf.DUMMYFUNCTION("""COMPUTED_VALUE"""),14.700000000000001)</f>
        <v>14.7</v>
      </c>
      <c r="H58" s="17">
        <f>IFERROR(__xludf.DUMMYFUNCTION("""COMPUTED_VALUE"""),45335.0)</f>
        <v>45335</v>
      </c>
      <c r="I58" s="19">
        <f>IFERROR(__xludf.DUMMYFUNCTION("""COMPUTED_VALUE"""),1.4222222222222223)</f>
        <v>1.422222222</v>
      </c>
      <c r="J58" s="21">
        <f>IFERROR(__xludf.DUMMYFUNCTION("""COMPUTED_VALUE"""),78.0)</f>
        <v>78</v>
      </c>
      <c r="K58" s="23">
        <f>IFERROR(__xludf.DUMMYFUNCTION("""COMPUTED_VALUE"""),7.8)</f>
        <v>7.8</v>
      </c>
      <c r="L58" s="24">
        <f>IFERROR(__xludf.DUMMYFUNCTION("""COMPUTED_VALUE"""),22.0)</f>
        <v>22</v>
      </c>
      <c r="M58" s="25" t="str">
        <f>IFERROR(__xludf.DUMMYFUNCTION("""COMPUTED_VALUE"""),"Action-Adventure")</f>
        <v>Action-Adventure</v>
      </c>
      <c r="N58" s="25"/>
      <c r="O58" s="25" t="str">
        <f>IFERROR(__xludf.DUMMYFUNCTION("""COMPUTED_VALUE"""),"No")</f>
        <v>No</v>
      </c>
      <c r="P58" s="25"/>
    </row>
    <row r="59">
      <c r="A59" s="13" t="str">
        <f>IFERROR(__xludf.DUMMYFUNCTION("""COMPUTED_VALUE"""),"Planet Zoo")</f>
        <v>Planet Zoo</v>
      </c>
      <c r="B59" s="15" t="str">
        <f>IFERROR(__xludf.DUMMYFUNCTION("""COMPUTED_VALUE"""),"PS5")</f>
        <v>PS5</v>
      </c>
      <c r="C59" s="16" t="str">
        <f>IFERROR(__xludf.DUMMYFUNCTION("""COMPUTED_VALUE"""),"Extra")</f>
        <v>Extra</v>
      </c>
      <c r="D59" s="15" t="str">
        <f>IFERROR(__xludf.DUMMYFUNCTION("""COMPUTED_VALUE"""),"Active")</f>
        <v>Active</v>
      </c>
      <c r="E59" s="17">
        <f>IFERROR(__xludf.DUMMYFUNCTION("""COMPUTED_VALUE"""),45853.0)</f>
        <v>45853</v>
      </c>
      <c r="F59" s="54"/>
      <c r="G59" s="19">
        <f>IFERROR(__xludf.DUMMYFUNCTION("""COMPUTED_VALUE"""),14.700000000000001)</f>
        <v>14.7</v>
      </c>
      <c r="H59" s="17">
        <f>IFERROR(__xludf.DUMMYFUNCTION("""COMPUTED_VALUE"""),43774.0)</f>
        <v>43774</v>
      </c>
      <c r="I59" s="19">
        <f>IFERROR(__xludf.DUMMYFUNCTION("""COMPUTED_VALUE"""),5.694444444444445)</f>
        <v>5.694444444</v>
      </c>
      <c r="J59" s="21">
        <f>IFERROR(__xludf.DUMMYFUNCTION("""COMPUTED_VALUE"""),81.0)</f>
        <v>81</v>
      </c>
      <c r="K59" s="23">
        <f>IFERROR(__xludf.DUMMYFUNCTION("""COMPUTED_VALUE"""),7.9)</f>
        <v>7.9</v>
      </c>
      <c r="L59" s="24">
        <f>IFERROR(__xludf.DUMMYFUNCTION("""COMPUTED_VALUE"""),34.0)</f>
        <v>34</v>
      </c>
      <c r="M59" s="25" t="str">
        <f>IFERROR(__xludf.DUMMYFUNCTION("""COMPUTED_VALUE"""),"Tycoon")</f>
        <v>Tycoon</v>
      </c>
      <c r="N59" s="25"/>
      <c r="O59" s="25" t="str">
        <f>IFERROR(__xludf.DUMMYFUNCTION("""COMPUTED_VALUE"""),"No")</f>
        <v>No</v>
      </c>
      <c r="P59" s="25"/>
    </row>
    <row r="60">
      <c r="A60" s="13" t="str">
        <f>IFERROR(__xludf.DUMMYFUNCTION("""COMPUTED_VALUE"""),"FBC: Firebreak")</f>
        <v>FBC: Firebreak</v>
      </c>
      <c r="B60" s="15" t="str">
        <f>IFERROR(__xludf.DUMMYFUNCTION("""COMPUTED_VALUE"""),"PS5")</f>
        <v>PS5</v>
      </c>
      <c r="C60" s="16" t="str">
        <f>IFERROR(__xludf.DUMMYFUNCTION("""COMPUTED_VALUE"""),"Extra")</f>
        <v>Extra</v>
      </c>
      <c r="D60" s="15" t="str">
        <f>IFERROR(__xludf.DUMMYFUNCTION("""COMPUTED_VALUE"""),"Active")</f>
        <v>Active</v>
      </c>
      <c r="E60" s="17">
        <f>IFERROR(__xludf.DUMMYFUNCTION("""COMPUTED_VALUE"""),45825.0)</f>
        <v>45825</v>
      </c>
      <c r="F60" s="54"/>
      <c r="G60" s="19">
        <f>IFERROR(__xludf.DUMMYFUNCTION("""COMPUTED_VALUE"""),15.633333333333333)</f>
        <v>15.63333333</v>
      </c>
      <c r="H60" s="17">
        <f>IFERROR(__xludf.DUMMYFUNCTION("""COMPUTED_VALUE"""),45825.0)</f>
        <v>45825</v>
      </c>
      <c r="I60" s="19">
        <f>IFERROR(__xludf.DUMMYFUNCTION("""COMPUTED_VALUE"""),0.0)</f>
        <v>0</v>
      </c>
      <c r="J60" s="21">
        <f>IFERROR(__xludf.DUMMYFUNCTION("""COMPUTED_VALUE"""),65.0)</f>
        <v>65</v>
      </c>
      <c r="K60" s="23">
        <f>IFERROR(__xludf.DUMMYFUNCTION("""COMPUTED_VALUE"""),5.1)</f>
        <v>5.1</v>
      </c>
      <c r="L60" s="24">
        <f>IFERROR(__xludf.DUMMYFUNCTION("""COMPUTED_VALUE"""),6.0)</f>
        <v>6</v>
      </c>
      <c r="M60" s="25" t="str">
        <f>IFERROR(__xludf.DUMMYFUNCTION("""COMPUTED_VALUE"""),"Shooter")</f>
        <v>Shooter</v>
      </c>
      <c r="N60" s="25"/>
      <c r="O60" s="25" t="str">
        <f>IFERROR(__xludf.DUMMYFUNCTION("""COMPUTED_VALUE"""),"No")</f>
        <v>No</v>
      </c>
      <c r="P60" s="25"/>
    </row>
    <row r="61">
      <c r="A61" s="13" t="str">
        <f>IFERROR(__xludf.DUMMYFUNCTION("""COMPUTED_VALUE"""),"Five Nights at Freddy's: Help Wanted 2")</f>
        <v>Five Nights at Freddy's: Help Wanted 2</v>
      </c>
      <c r="B61" s="15" t="str">
        <f>IFERROR(__xludf.DUMMYFUNCTION("""COMPUTED_VALUE"""),"PS5")</f>
        <v>PS5</v>
      </c>
      <c r="C61" s="16" t="str">
        <f>IFERROR(__xludf.DUMMYFUNCTION("""COMPUTED_VALUE"""),"Extra")</f>
        <v>Extra</v>
      </c>
      <c r="D61" s="15" t="str">
        <f>IFERROR(__xludf.DUMMYFUNCTION("""COMPUTED_VALUE"""),"Active")</f>
        <v>Active</v>
      </c>
      <c r="E61" s="17">
        <f>IFERROR(__xludf.DUMMYFUNCTION("""COMPUTED_VALUE"""),45825.0)</f>
        <v>45825</v>
      </c>
      <c r="F61" s="54"/>
      <c r="G61" s="19">
        <f>IFERROR(__xludf.DUMMYFUNCTION("""COMPUTED_VALUE"""),15.633333333333333)</f>
        <v>15.63333333</v>
      </c>
      <c r="H61" s="17">
        <f>IFERROR(__xludf.DUMMYFUNCTION("""COMPUTED_VALUE"""),43613.0)</f>
        <v>43613</v>
      </c>
      <c r="I61" s="19">
        <f>IFERROR(__xludf.DUMMYFUNCTION("""COMPUTED_VALUE"""),6.052777777777778)</f>
        <v>6.052777778</v>
      </c>
      <c r="J61" s="21">
        <f>IFERROR(__xludf.DUMMYFUNCTION("""COMPUTED_VALUE"""),80.0)</f>
        <v>80</v>
      </c>
      <c r="K61" s="23">
        <f>IFERROR(__xludf.DUMMYFUNCTION("""COMPUTED_VALUE"""),8.2)</f>
        <v>8.2</v>
      </c>
      <c r="L61" s="24">
        <f>IFERROR(__xludf.DUMMYFUNCTION("""COMPUTED_VALUE"""),9.0)</f>
        <v>9</v>
      </c>
      <c r="M61" s="25" t="str">
        <f>IFERROR(__xludf.DUMMYFUNCTION("""COMPUTED_VALUE"""),"Survival")</f>
        <v>Survival</v>
      </c>
      <c r="N61" s="25"/>
      <c r="O61" s="25" t="str">
        <f>IFERROR(__xludf.DUMMYFUNCTION("""COMPUTED_VALUE"""),"No")</f>
        <v>No</v>
      </c>
      <c r="P61" s="25"/>
    </row>
    <row r="62">
      <c r="A62" s="13" t="str">
        <f>IFERROR(__xludf.DUMMYFUNCTION("""COMPUTED_VALUE"""),"Skull and Bones")</f>
        <v>Skull and Bones</v>
      </c>
      <c r="B62" s="15" t="str">
        <f>IFERROR(__xludf.DUMMYFUNCTION("""COMPUTED_VALUE"""),"PS5")</f>
        <v>PS5</v>
      </c>
      <c r="C62" s="16" t="str">
        <f>IFERROR(__xludf.DUMMYFUNCTION("""COMPUTED_VALUE"""),"Extra (Ubisoft+ Classics)")</f>
        <v>Extra (Ubisoft+ Classics)</v>
      </c>
      <c r="D62" s="15" t="str">
        <f>IFERROR(__xludf.DUMMYFUNCTION("""COMPUTED_VALUE"""),"Active")</f>
        <v>Active</v>
      </c>
      <c r="E62" s="17">
        <f>IFERROR(__xludf.DUMMYFUNCTION("""COMPUTED_VALUE"""),45810.0)</f>
        <v>45810</v>
      </c>
      <c r="F62" s="54"/>
      <c r="G62" s="19">
        <f>IFERROR(__xludf.DUMMYFUNCTION("""COMPUTED_VALUE"""),16.133333333333333)</f>
        <v>16.13333333</v>
      </c>
      <c r="H62" s="17">
        <f>IFERROR(__xludf.DUMMYFUNCTION("""COMPUTED_VALUE"""),45338.0)</f>
        <v>45338</v>
      </c>
      <c r="I62" s="19">
        <f>IFERROR(__xludf.DUMMYFUNCTION("""COMPUTED_VALUE"""),1.2944444444444445)</f>
        <v>1.294444444</v>
      </c>
      <c r="J62" s="21">
        <f>IFERROR(__xludf.DUMMYFUNCTION("""COMPUTED_VALUE"""),59.0)</f>
        <v>59</v>
      </c>
      <c r="K62" s="23">
        <f>IFERROR(__xludf.DUMMYFUNCTION("""COMPUTED_VALUE"""),3.3)</f>
        <v>3.3</v>
      </c>
      <c r="L62" s="24">
        <f>IFERROR(__xludf.DUMMYFUNCTION("""COMPUTED_VALUE"""),32.0)</f>
        <v>32</v>
      </c>
      <c r="M62" s="25" t="str">
        <f>IFERROR(__xludf.DUMMYFUNCTION("""COMPUTED_VALUE"""),"Action-Adventure")</f>
        <v>Action-Adventure</v>
      </c>
      <c r="N62" s="25"/>
      <c r="O62" s="25" t="str">
        <f>IFERROR(__xludf.DUMMYFUNCTION("""COMPUTED_VALUE"""),"No")</f>
        <v>No</v>
      </c>
      <c r="P62" s="25"/>
    </row>
    <row r="63">
      <c r="A63" s="13" t="str">
        <f>IFERROR(__xludf.DUMMYFUNCTION("""COMPUTED_VALUE"""),"Another Crab's Treasure")</f>
        <v>Another Crab's Treasure</v>
      </c>
      <c r="B63" s="15" t="str">
        <f>IFERROR(__xludf.DUMMYFUNCTION("""COMPUTED_VALUE"""),"PS5")</f>
        <v>PS5</v>
      </c>
      <c r="C63" s="16" t="str">
        <f>IFERROR(__xludf.DUMMYFUNCTION("""COMPUTED_VALUE"""),"Extra")</f>
        <v>Extra</v>
      </c>
      <c r="D63" s="15" t="str">
        <f>IFERROR(__xludf.DUMMYFUNCTION("""COMPUTED_VALUE"""),"Active")</f>
        <v>Active</v>
      </c>
      <c r="E63" s="17">
        <f>IFERROR(__xludf.DUMMYFUNCTION("""COMPUTED_VALUE"""),45806.0)</f>
        <v>45806</v>
      </c>
      <c r="F63" s="54"/>
      <c r="G63" s="19">
        <f>IFERROR(__xludf.DUMMYFUNCTION("""COMPUTED_VALUE"""),16.233333333333334)</f>
        <v>16.23333333</v>
      </c>
      <c r="H63" s="17">
        <f>IFERROR(__xludf.DUMMYFUNCTION("""COMPUTED_VALUE"""),45407.0)</f>
        <v>45407</v>
      </c>
      <c r="I63" s="19">
        <f>IFERROR(__xludf.DUMMYFUNCTION("""COMPUTED_VALUE"""),1.0944444444444446)</f>
        <v>1.094444444</v>
      </c>
      <c r="J63" s="21">
        <f>IFERROR(__xludf.DUMMYFUNCTION("""COMPUTED_VALUE"""),78.0)</f>
        <v>78</v>
      </c>
      <c r="K63" s="23">
        <f>IFERROR(__xludf.DUMMYFUNCTION("""COMPUTED_VALUE"""),7.6)</f>
        <v>7.6</v>
      </c>
      <c r="L63" s="24">
        <f>IFERROR(__xludf.DUMMYFUNCTION("""COMPUTED_VALUE"""),14.0)</f>
        <v>14</v>
      </c>
      <c r="M63" s="25" t="str">
        <f>IFERROR(__xludf.DUMMYFUNCTION("""COMPUTED_VALUE"""),"Action-Adventure")</f>
        <v>Action-Adventure</v>
      </c>
      <c r="N63" s="25"/>
      <c r="O63" s="25" t="str">
        <f>IFERROR(__xludf.DUMMYFUNCTION("""COMPUTED_VALUE"""),"No")</f>
        <v>No</v>
      </c>
      <c r="P63" s="25"/>
    </row>
    <row r="64">
      <c r="A64" s="13" t="str">
        <f>IFERROR(__xludf.DUMMYFUNCTION("""COMPUTED_VALUE"""),"Story of Seasons: A Wonderful Life")</f>
        <v>Story of Seasons: A Wonderful Life</v>
      </c>
      <c r="B64" s="15" t="str">
        <f>IFERROR(__xludf.DUMMYFUNCTION("""COMPUTED_VALUE"""),"PS5")</f>
        <v>PS5</v>
      </c>
      <c r="C64" s="16" t="str">
        <f>IFERROR(__xludf.DUMMYFUNCTION("""COMPUTED_VALUE"""),"Extra")</f>
        <v>Extra</v>
      </c>
      <c r="D64" s="15" t="str">
        <f>IFERROR(__xludf.DUMMYFUNCTION("""COMPUTED_VALUE"""),"Active")</f>
        <v>Active</v>
      </c>
      <c r="E64" s="17">
        <f>IFERROR(__xludf.DUMMYFUNCTION("""COMPUTED_VALUE"""),45797.0)</f>
        <v>45797</v>
      </c>
      <c r="F64" s="54"/>
      <c r="G64" s="19">
        <f>IFERROR(__xludf.DUMMYFUNCTION("""COMPUTED_VALUE"""),16.53333333333333)</f>
        <v>16.53333333</v>
      </c>
      <c r="H64" s="17">
        <f>IFERROR(__xludf.DUMMYFUNCTION("""COMPUTED_VALUE"""),45104.0)</f>
        <v>45104</v>
      </c>
      <c r="I64" s="19">
        <f>IFERROR(__xludf.DUMMYFUNCTION("""COMPUTED_VALUE"""),1.8972222222222221)</f>
        <v>1.897222222</v>
      </c>
      <c r="J64" s="21">
        <f>IFERROR(__xludf.DUMMYFUNCTION("""COMPUTED_VALUE"""),72.0)</f>
        <v>72</v>
      </c>
      <c r="K64" s="23">
        <f>IFERROR(__xludf.DUMMYFUNCTION("""COMPUTED_VALUE"""),7.5)</f>
        <v>7.5</v>
      </c>
      <c r="L64" s="24">
        <f>IFERROR(__xludf.DUMMYFUNCTION("""COMPUTED_VALUE"""),24.0)</f>
        <v>24</v>
      </c>
      <c r="M64" s="25" t="str">
        <f>IFERROR(__xludf.DUMMYFUNCTION("""COMPUTED_VALUE"""),"Virtual Life")</f>
        <v>Virtual Life</v>
      </c>
      <c r="N64" s="25"/>
      <c r="O64" s="25" t="str">
        <f>IFERROR(__xludf.DUMMYFUNCTION("""COMPUTED_VALUE"""),"No")</f>
        <v>No</v>
      </c>
      <c r="P64" s="25"/>
    </row>
    <row r="65">
      <c r="A65" s="13" t="str">
        <f>IFERROR(__xludf.DUMMYFUNCTION("""COMPUTED_VALUE"""),"Blue Prince")</f>
        <v>Blue Prince</v>
      </c>
      <c r="B65" s="15" t="str">
        <f>IFERROR(__xludf.DUMMYFUNCTION("""COMPUTED_VALUE"""),"PS5")</f>
        <v>PS5</v>
      </c>
      <c r="C65" s="16" t="str">
        <f>IFERROR(__xludf.DUMMYFUNCTION("""COMPUTED_VALUE"""),"Extra")</f>
        <v>Extra</v>
      </c>
      <c r="D65" s="15" t="str">
        <f>IFERROR(__xludf.DUMMYFUNCTION("""COMPUTED_VALUE"""),"Active")</f>
        <v>Active</v>
      </c>
      <c r="E65" s="17">
        <f>IFERROR(__xludf.DUMMYFUNCTION("""COMPUTED_VALUE"""),45757.0)</f>
        <v>45757</v>
      </c>
      <c r="F65" s="54"/>
      <c r="G65" s="19">
        <f>IFERROR(__xludf.DUMMYFUNCTION("""COMPUTED_VALUE"""),17.866666666666667)</f>
        <v>17.86666667</v>
      </c>
      <c r="H65" s="17">
        <f>IFERROR(__xludf.DUMMYFUNCTION("""COMPUTED_VALUE"""),45757.0)</f>
        <v>45757</v>
      </c>
      <c r="I65" s="19">
        <f>IFERROR(__xludf.DUMMYFUNCTION("""COMPUTED_VALUE"""),0.0)</f>
        <v>0</v>
      </c>
      <c r="J65" s="21">
        <f>IFERROR(__xludf.DUMMYFUNCTION("""COMPUTED_VALUE"""),92.0)</f>
        <v>92</v>
      </c>
      <c r="K65" s="23">
        <f>IFERROR(__xludf.DUMMYFUNCTION("""COMPUTED_VALUE"""),7.8)</f>
        <v>7.8</v>
      </c>
      <c r="L65" s="24">
        <f>IFERROR(__xludf.DUMMYFUNCTION("""COMPUTED_VALUE"""),18.0)</f>
        <v>18</v>
      </c>
      <c r="M65" s="25" t="str">
        <f>IFERROR(__xludf.DUMMYFUNCTION("""COMPUTED_VALUE"""),"Action-Adventure")</f>
        <v>Action-Adventure</v>
      </c>
      <c r="N65" s="25"/>
      <c r="O65" s="25" t="str">
        <f>IFERROR(__xludf.DUMMYFUNCTION("""COMPUTED_VALUE"""),"No")</f>
        <v>No</v>
      </c>
      <c r="P65" s="25"/>
    </row>
    <row r="66">
      <c r="A66" s="13" t="str">
        <f>IFERROR(__xludf.DUMMYFUNCTION("""COMPUTED_VALUE"""),"Prince of Persia: The Lost Crown")</f>
        <v>Prince of Persia: The Lost Crown</v>
      </c>
      <c r="B66" s="15" t="str">
        <f>IFERROR(__xludf.DUMMYFUNCTION("""COMPUTED_VALUE"""),"PS5/PS4")</f>
        <v>PS5/PS4</v>
      </c>
      <c r="C66" s="16" t="str">
        <f>IFERROR(__xludf.DUMMYFUNCTION("""COMPUTED_VALUE"""),"Extra")</f>
        <v>Extra</v>
      </c>
      <c r="D66" s="15" t="str">
        <f>IFERROR(__xludf.DUMMYFUNCTION("""COMPUTED_VALUE"""),"Active")</f>
        <v>Active</v>
      </c>
      <c r="E66" s="17">
        <f>IFERROR(__xludf.DUMMYFUNCTION("""COMPUTED_VALUE"""),45734.0)</f>
        <v>45734</v>
      </c>
      <c r="F66" s="54"/>
      <c r="G66" s="19">
        <f>IFERROR(__xludf.DUMMYFUNCTION("""COMPUTED_VALUE"""),18.6)</f>
        <v>18.6</v>
      </c>
      <c r="H66" s="17">
        <f>IFERROR(__xludf.DUMMYFUNCTION("""COMPUTED_VALUE"""),45309.0)</f>
        <v>45309</v>
      </c>
      <c r="I66" s="19">
        <f>IFERROR(__xludf.DUMMYFUNCTION("""COMPUTED_VALUE"""),1.1666666666666667)</f>
        <v>1.166666667</v>
      </c>
      <c r="J66" s="21">
        <f>IFERROR(__xludf.DUMMYFUNCTION("""COMPUTED_VALUE"""),86.0)</f>
        <v>86</v>
      </c>
      <c r="K66" s="23">
        <f>IFERROR(__xludf.DUMMYFUNCTION("""COMPUTED_VALUE"""),8.5)</f>
        <v>8.5</v>
      </c>
      <c r="L66" s="24">
        <f>IFERROR(__xludf.DUMMYFUNCTION("""COMPUTED_VALUE"""),17.0)</f>
        <v>17</v>
      </c>
      <c r="M66" s="25" t="str">
        <f>IFERROR(__xludf.DUMMYFUNCTION("""COMPUTED_VALUE"""),"Metroidvania")</f>
        <v>Metroidvania</v>
      </c>
      <c r="N66" s="25"/>
      <c r="O66" s="25" t="str">
        <f>IFERROR(__xludf.DUMMYFUNCTION("""COMPUTED_VALUE"""),"No")</f>
        <v>No</v>
      </c>
      <c r="P66" s="25"/>
    </row>
    <row r="67">
      <c r="A67" s="13" t="str">
        <f>IFERROR(__xludf.DUMMYFUNCTION("""COMPUTED_VALUE"""),"You Suck at Parking")</f>
        <v>You Suck at Parking</v>
      </c>
      <c r="B67" s="15" t="str">
        <f>IFERROR(__xludf.DUMMYFUNCTION("""COMPUTED_VALUE"""),"PS5/PS4")</f>
        <v>PS5/PS4</v>
      </c>
      <c r="C67" s="16" t="str">
        <f>IFERROR(__xludf.DUMMYFUNCTION("""COMPUTED_VALUE"""),"Extra")</f>
        <v>Extra</v>
      </c>
      <c r="D67" s="15" t="str">
        <f>IFERROR(__xludf.DUMMYFUNCTION("""COMPUTED_VALUE"""),"Active")</f>
        <v>Active</v>
      </c>
      <c r="E67" s="17">
        <f>IFERROR(__xludf.DUMMYFUNCTION("""COMPUTED_VALUE"""),45734.0)</f>
        <v>45734</v>
      </c>
      <c r="F67" s="54"/>
      <c r="G67" s="19">
        <f>IFERROR(__xludf.DUMMYFUNCTION("""COMPUTED_VALUE"""),18.6)</f>
        <v>18.6</v>
      </c>
      <c r="H67" s="17">
        <f>IFERROR(__xludf.DUMMYFUNCTION("""COMPUTED_VALUE"""),44818.0)</f>
        <v>44818</v>
      </c>
      <c r="I67" s="19">
        <f>IFERROR(__xludf.DUMMYFUNCTION("""COMPUTED_VALUE"""),2.511111111111111)</f>
        <v>2.511111111</v>
      </c>
      <c r="J67" s="21">
        <f>IFERROR(__xludf.DUMMYFUNCTION("""COMPUTED_VALUE"""),74.0)</f>
        <v>74</v>
      </c>
      <c r="K67" s="23">
        <f>IFERROR(__xludf.DUMMYFUNCTION("""COMPUTED_VALUE"""),5.3)</f>
        <v>5.3</v>
      </c>
      <c r="L67" s="24">
        <f>IFERROR(__xludf.DUMMYFUNCTION("""COMPUTED_VALUE"""),8.0)</f>
        <v>8</v>
      </c>
      <c r="M67" s="25" t="str">
        <f>IFERROR(__xludf.DUMMYFUNCTION("""COMPUTED_VALUE"""),"Racing ")</f>
        <v>Racing </v>
      </c>
      <c r="N67" s="25"/>
      <c r="O67" s="25" t="str">
        <f>IFERROR(__xludf.DUMMYFUNCTION("""COMPUTED_VALUE"""),"No")</f>
        <v>No</v>
      </c>
      <c r="P67" s="25"/>
    </row>
    <row r="68">
      <c r="A68" s="13" t="str">
        <f>IFERROR(__xludf.DUMMYFUNCTION("""COMPUTED_VALUE"""),"Syberia: The World Before")</f>
        <v>Syberia: The World Before</v>
      </c>
      <c r="B68" s="15" t="str">
        <f>IFERROR(__xludf.DUMMYFUNCTION("""COMPUTED_VALUE"""),"PS5/PS4")</f>
        <v>PS5/PS4</v>
      </c>
      <c r="C68" s="16" t="str">
        <f>IFERROR(__xludf.DUMMYFUNCTION("""COMPUTED_VALUE"""),"Extra")</f>
        <v>Extra</v>
      </c>
      <c r="D68" s="15" t="str">
        <f>IFERROR(__xludf.DUMMYFUNCTION("""COMPUTED_VALUE"""),"Active")</f>
        <v>Active</v>
      </c>
      <c r="E68" s="17">
        <f>IFERROR(__xludf.DUMMYFUNCTION("""COMPUTED_VALUE"""),45734.0)</f>
        <v>45734</v>
      </c>
      <c r="F68" s="54"/>
      <c r="G68" s="19">
        <f>IFERROR(__xludf.DUMMYFUNCTION("""COMPUTED_VALUE"""),18.6)</f>
        <v>18.6</v>
      </c>
      <c r="H68" s="17">
        <f>IFERROR(__xludf.DUMMYFUNCTION("""COMPUTED_VALUE"""),44638.0)</f>
        <v>44638</v>
      </c>
      <c r="I68" s="19">
        <f>IFERROR(__xludf.DUMMYFUNCTION("""COMPUTED_VALUE"""),3.0)</f>
        <v>3</v>
      </c>
      <c r="J68" s="21">
        <f>IFERROR(__xludf.DUMMYFUNCTION("""COMPUTED_VALUE"""),81.0)</f>
        <v>81</v>
      </c>
      <c r="K68" s="23">
        <f>IFERROR(__xludf.DUMMYFUNCTION("""COMPUTED_VALUE"""),8.5)</f>
        <v>8.5</v>
      </c>
      <c r="L68" s="24">
        <f>IFERROR(__xludf.DUMMYFUNCTION("""COMPUTED_VALUE"""),14.0)</f>
        <v>14</v>
      </c>
      <c r="M68" s="25" t="str">
        <f>IFERROR(__xludf.DUMMYFUNCTION("""COMPUTED_VALUE"""),"Point-and-Click ")</f>
        <v>Point-and-Click </v>
      </c>
      <c r="N68" s="25"/>
      <c r="O68" s="25" t="str">
        <f>IFERROR(__xludf.DUMMYFUNCTION("""COMPUTED_VALUE"""),"No")</f>
        <v>No</v>
      </c>
      <c r="P68" s="25"/>
    </row>
    <row r="69">
      <c r="A69" s="13" t="str">
        <f>IFERROR(__xludf.DUMMYFUNCTION("""COMPUTED_VALUE"""),"Somerville")</f>
        <v>Somerville</v>
      </c>
      <c r="B69" s="15" t="str">
        <f>IFERROR(__xludf.DUMMYFUNCTION("""COMPUTED_VALUE"""),"PS5/PS4")</f>
        <v>PS5/PS4</v>
      </c>
      <c r="C69" s="16" t="str">
        <f>IFERROR(__xludf.DUMMYFUNCTION("""COMPUTED_VALUE"""),"Extra")</f>
        <v>Extra</v>
      </c>
      <c r="D69" s="15" t="str">
        <f>IFERROR(__xludf.DUMMYFUNCTION("""COMPUTED_VALUE"""),"Active")</f>
        <v>Active</v>
      </c>
      <c r="E69" s="17">
        <f>IFERROR(__xludf.DUMMYFUNCTION("""COMPUTED_VALUE"""),45705.0)</f>
        <v>45705</v>
      </c>
      <c r="F69" s="54"/>
      <c r="G69" s="19">
        <f>IFERROR(__xludf.DUMMYFUNCTION("""COMPUTED_VALUE"""),19.633333333333333)</f>
        <v>19.63333333</v>
      </c>
      <c r="H69" s="17">
        <f>IFERROR(__xludf.DUMMYFUNCTION("""COMPUTED_VALUE"""),44880.0)</f>
        <v>44880</v>
      </c>
      <c r="I69" s="19">
        <f>IFERROR(__xludf.DUMMYFUNCTION("""COMPUTED_VALUE"""),2.2555555555555555)</f>
        <v>2.255555556</v>
      </c>
      <c r="J69" s="21">
        <f>IFERROR(__xludf.DUMMYFUNCTION("""COMPUTED_VALUE"""),71.0)</f>
        <v>71</v>
      </c>
      <c r="K69" s="23">
        <f>IFERROR(__xludf.DUMMYFUNCTION("""COMPUTED_VALUE"""),5.5)</f>
        <v>5.5</v>
      </c>
      <c r="L69" s="24">
        <f>IFERROR(__xludf.DUMMYFUNCTION("""COMPUTED_VALUE"""),4.21)</f>
        <v>4.21</v>
      </c>
      <c r="M69" s="25" t="str">
        <f>IFERROR(__xludf.DUMMYFUNCTION("""COMPUTED_VALUE"""),"Action-Adventure")</f>
        <v>Action-Adventure</v>
      </c>
      <c r="N69" s="25"/>
      <c r="O69" s="25" t="str">
        <f>IFERROR(__xludf.DUMMYFUNCTION("""COMPUTED_VALUE"""),"No")</f>
        <v>No</v>
      </c>
      <c r="P69" s="25"/>
    </row>
    <row r="70">
      <c r="A70" s="13" t="str">
        <f>IFERROR(__xludf.DUMMYFUNCTION("""COMPUTED_VALUE"""),"Tin Hearts")</f>
        <v>Tin Hearts</v>
      </c>
      <c r="B70" s="15" t="str">
        <f>IFERROR(__xludf.DUMMYFUNCTION("""COMPUTED_VALUE"""),"PS5/PSVR2")</f>
        <v>PS5/PSVR2</v>
      </c>
      <c r="C70" s="16" t="str">
        <f>IFERROR(__xludf.DUMMYFUNCTION("""COMPUTED_VALUE"""),"Extra")</f>
        <v>Extra</v>
      </c>
      <c r="D70" s="15" t="str">
        <f>IFERROR(__xludf.DUMMYFUNCTION("""COMPUTED_VALUE"""),"Active")</f>
        <v>Active</v>
      </c>
      <c r="E70" s="17">
        <f>IFERROR(__xludf.DUMMYFUNCTION("""COMPUTED_VALUE"""),45705.0)</f>
        <v>45705</v>
      </c>
      <c r="F70" s="54"/>
      <c r="G70" s="19">
        <f>IFERROR(__xludf.DUMMYFUNCTION("""COMPUTED_VALUE"""),19.633333333333333)</f>
        <v>19.63333333</v>
      </c>
      <c r="H70" s="17">
        <f>IFERROR(__xludf.DUMMYFUNCTION("""COMPUTED_VALUE"""),45062.0)</f>
        <v>45062</v>
      </c>
      <c r="I70" s="19">
        <f>IFERROR(__xludf.DUMMYFUNCTION("""COMPUTED_VALUE"""),1.7527777777777778)</f>
        <v>1.752777778</v>
      </c>
      <c r="J70" s="21">
        <f>IFERROR(__xludf.DUMMYFUNCTION("""COMPUTED_VALUE"""),66.0)</f>
        <v>66</v>
      </c>
      <c r="K70" s="23">
        <f>IFERROR(__xludf.DUMMYFUNCTION("""COMPUTED_VALUE"""),8.3)</f>
        <v>8.3</v>
      </c>
      <c r="L70" s="24">
        <f>IFERROR(__xludf.DUMMYFUNCTION("""COMPUTED_VALUE"""),16.0)</f>
        <v>16</v>
      </c>
      <c r="M70" s="25" t="str">
        <f>IFERROR(__xludf.DUMMYFUNCTION("""COMPUTED_VALUE"""),"Puzzle")</f>
        <v>Puzzle</v>
      </c>
      <c r="N70" s="25"/>
      <c r="O70" s="25" t="str">
        <f>IFERROR(__xludf.DUMMYFUNCTION("""COMPUTED_VALUE"""),"No")</f>
        <v>No</v>
      </c>
      <c r="P70" s="25"/>
    </row>
    <row r="71">
      <c r="A71" s="13" t="str">
        <f>IFERROR(__xludf.DUMMYFUNCTION("""COMPUTED_VALUE"""),"Atlas Fallen: Reign Of Sand")</f>
        <v>Atlas Fallen: Reign Of Sand</v>
      </c>
      <c r="B71" s="15" t="str">
        <f>IFERROR(__xludf.DUMMYFUNCTION("""COMPUTED_VALUE"""),"PS5")</f>
        <v>PS5</v>
      </c>
      <c r="C71" s="16" t="str">
        <f>IFERROR(__xludf.DUMMYFUNCTION("""COMPUTED_VALUE"""),"Extra")</f>
        <v>Extra</v>
      </c>
      <c r="D71" s="15" t="str">
        <f>IFERROR(__xludf.DUMMYFUNCTION("""COMPUTED_VALUE"""),"Active")</f>
        <v>Active</v>
      </c>
      <c r="E71" s="17">
        <f>IFERROR(__xludf.DUMMYFUNCTION("""COMPUTED_VALUE"""),45678.0)</f>
        <v>45678</v>
      </c>
      <c r="F71" s="54"/>
      <c r="G71" s="19">
        <f>IFERROR(__xludf.DUMMYFUNCTION("""COMPUTED_VALUE"""),20.5)</f>
        <v>20.5</v>
      </c>
      <c r="H71" s="17">
        <f>IFERROR(__xludf.DUMMYFUNCTION("""COMPUTED_VALUE"""),45510.0)</f>
        <v>45510</v>
      </c>
      <c r="I71" s="19">
        <f>IFERROR(__xludf.DUMMYFUNCTION("""COMPUTED_VALUE"""),0.4583333333333333)</f>
        <v>0.4583333333</v>
      </c>
      <c r="J71" s="21">
        <f>IFERROR(__xludf.DUMMYFUNCTION("""COMPUTED_VALUE"""),80.0)</f>
        <v>80</v>
      </c>
      <c r="K71" s="23">
        <f>IFERROR(__xludf.DUMMYFUNCTION("""COMPUTED_VALUE"""),7.1)</f>
        <v>7.1</v>
      </c>
      <c r="L71" s="24">
        <f>IFERROR(__xludf.DUMMYFUNCTION("""COMPUTED_VALUE"""),11.0)</f>
        <v>11</v>
      </c>
      <c r="M71" s="26" t="str">
        <f>IFERROR(__xludf.DUMMYFUNCTION("""COMPUTED_VALUE"""),"RPG")</f>
        <v>RPG</v>
      </c>
      <c r="N71" s="25"/>
      <c r="O71" s="25" t="str">
        <f>IFERROR(__xludf.DUMMYFUNCTION("""COMPUTED_VALUE"""),"No")</f>
        <v>No</v>
      </c>
      <c r="P71" s="25"/>
    </row>
    <row r="72">
      <c r="A72" s="13" t="str">
        <f>IFERROR(__xludf.DUMMYFUNCTION("""COMPUTED_VALUE"""),"Poker Club")</f>
        <v>Poker Club</v>
      </c>
      <c r="B72" s="15" t="str">
        <f>IFERROR(__xludf.DUMMYFUNCTION("""COMPUTED_VALUE"""),"PS4")</f>
        <v>PS4</v>
      </c>
      <c r="C72" s="16" t="str">
        <f>IFERROR(__xludf.DUMMYFUNCTION("""COMPUTED_VALUE"""),"Extra")</f>
        <v>Extra</v>
      </c>
      <c r="D72" s="15" t="str">
        <f>IFERROR(__xludf.DUMMYFUNCTION("""COMPUTED_VALUE"""),"Active")</f>
        <v>Active</v>
      </c>
      <c r="E72" s="17">
        <f>IFERROR(__xludf.DUMMYFUNCTION("""COMPUTED_VALUE"""),45678.0)</f>
        <v>45678</v>
      </c>
      <c r="F72" s="54"/>
      <c r="G72" s="19">
        <f>IFERROR(__xludf.DUMMYFUNCTION("""COMPUTED_VALUE"""),20.5)</f>
        <v>20.5</v>
      </c>
      <c r="H72" s="17">
        <f>IFERROR(__xludf.DUMMYFUNCTION("""COMPUTED_VALUE"""),44524.0)</f>
        <v>44524</v>
      </c>
      <c r="I72" s="19">
        <f>IFERROR(__xludf.DUMMYFUNCTION("""COMPUTED_VALUE"""),3.158333333333333)</f>
        <v>3.158333333</v>
      </c>
      <c r="J72" s="21">
        <f>IFERROR(__xludf.DUMMYFUNCTION("""COMPUTED_VALUE"""),50.0)</f>
        <v>50</v>
      </c>
      <c r="K72" s="23">
        <f>IFERROR(__xludf.DUMMYFUNCTION("""COMPUTED_VALUE"""),5.3)</f>
        <v>5.3</v>
      </c>
      <c r="L72" s="24">
        <f>IFERROR(__xludf.DUMMYFUNCTION("""COMPUTED_VALUE"""),1.5)</f>
        <v>1.5</v>
      </c>
      <c r="M72" s="25" t="str">
        <f>IFERROR(__xludf.DUMMYFUNCTION("""COMPUTED_VALUE"""),"Gambling")</f>
        <v>Gambling</v>
      </c>
      <c r="N72" s="25"/>
      <c r="O72" s="25" t="str">
        <f>IFERROR(__xludf.DUMMYFUNCTION("""COMPUTED_VALUE"""),"No")</f>
        <v>No</v>
      </c>
      <c r="P72" s="25"/>
    </row>
    <row r="73">
      <c r="A73" s="13" t="str">
        <f>IFERROR(__xludf.DUMMYFUNCTION("""COMPUTED_VALUE"""),"WRC Generations")</f>
        <v>WRC Generations</v>
      </c>
      <c r="B73" s="15" t="str">
        <f>IFERROR(__xludf.DUMMYFUNCTION("""COMPUTED_VALUE"""),"PS5/PS4")</f>
        <v>PS5/PS4</v>
      </c>
      <c r="C73" s="16" t="str">
        <f>IFERROR(__xludf.DUMMYFUNCTION("""COMPUTED_VALUE"""),"Extra")</f>
        <v>Extra</v>
      </c>
      <c r="D73" s="15" t="str">
        <f>IFERROR(__xludf.DUMMYFUNCTION("""COMPUTED_VALUE"""),"Active")</f>
        <v>Active</v>
      </c>
      <c r="E73" s="17">
        <f>IFERROR(__xludf.DUMMYFUNCTION("""COMPUTED_VALUE"""),45643.0)</f>
        <v>45643</v>
      </c>
      <c r="F73" s="54"/>
      <c r="G73" s="19">
        <f>IFERROR(__xludf.DUMMYFUNCTION("""COMPUTED_VALUE"""),21.633333333333333)</f>
        <v>21.63333333</v>
      </c>
      <c r="H73" s="17">
        <f>IFERROR(__xludf.DUMMYFUNCTION("""COMPUTED_VALUE"""),44868.0)</f>
        <v>44868</v>
      </c>
      <c r="I73" s="19">
        <f>IFERROR(__xludf.DUMMYFUNCTION("""COMPUTED_VALUE"""),2.1222222222222222)</f>
        <v>2.122222222</v>
      </c>
      <c r="J73" s="21">
        <f>IFERROR(__xludf.DUMMYFUNCTION("""COMPUTED_VALUE"""),74.0)</f>
        <v>74</v>
      </c>
      <c r="K73" s="23">
        <f>IFERROR(__xludf.DUMMYFUNCTION("""COMPUTED_VALUE"""),7.2)</f>
        <v>7.2</v>
      </c>
      <c r="L73" s="24">
        <f>IFERROR(__xludf.DUMMYFUNCTION("""COMPUTED_VALUE"""),15.0)</f>
        <v>15</v>
      </c>
      <c r="M73" s="25" t="str">
        <f>IFERROR(__xludf.DUMMYFUNCTION("""COMPUTED_VALUE"""),"Racing")</f>
        <v>Racing</v>
      </c>
      <c r="N73" s="25"/>
      <c r="O73" s="25" t="str">
        <f>IFERROR(__xludf.DUMMYFUNCTION("""COMPUTED_VALUE"""),"No")</f>
        <v>No</v>
      </c>
      <c r="P73" s="25"/>
    </row>
    <row r="74">
      <c r="A74" s="13" t="str">
        <f>IFERROR(__xludf.DUMMYFUNCTION("""COMPUTED_VALUE"""),"PHOGS!")</f>
        <v>PHOGS!</v>
      </c>
      <c r="B74" s="15" t="str">
        <f>IFERROR(__xludf.DUMMYFUNCTION("""COMPUTED_VALUE"""),"PS5/PS4")</f>
        <v>PS5/PS4</v>
      </c>
      <c r="C74" s="16" t="str">
        <f>IFERROR(__xludf.DUMMYFUNCTION("""COMPUTED_VALUE"""),"Extra")</f>
        <v>Extra</v>
      </c>
      <c r="D74" s="15" t="str">
        <f>IFERROR(__xludf.DUMMYFUNCTION("""COMPUTED_VALUE"""),"Active")</f>
        <v>Active</v>
      </c>
      <c r="E74" s="17">
        <f>IFERROR(__xludf.DUMMYFUNCTION("""COMPUTED_VALUE"""),45643.0)</f>
        <v>45643</v>
      </c>
      <c r="F74" s="54"/>
      <c r="G74" s="19">
        <f>IFERROR(__xludf.DUMMYFUNCTION("""COMPUTED_VALUE"""),21.633333333333333)</f>
        <v>21.63333333</v>
      </c>
      <c r="H74" s="17">
        <f>IFERROR(__xludf.DUMMYFUNCTION("""COMPUTED_VALUE"""),44168.0)</f>
        <v>44168</v>
      </c>
      <c r="I74" s="19">
        <f>IFERROR(__xludf.DUMMYFUNCTION("""COMPUTED_VALUE"""),4.038888888888889)</f>
        <v>4.038888889</v>
      </c>
      <c r="J74" s="21">
        <f>IFERROR(__xludf.DUMMYFUNCTION("""COMPUTED_VALUE"""),78.0)</f>
        <v>78</v>
      </c>
      <c r="K74" s="23">
        <f>IFERROR(__xludf.DUMMYFUNCTION("""COMPUTED_VALUE"""),7.5)</f>
        <v>7.5</v>
      </c>
      <c r="L74" s="24">
        <f>IFERROR(__xludf.DUMMYFUNCTION("""COMPUTED_VALUE"""),8.0)</f>
        <v>8</v>
      </c>
      <c r="M74" s="25" t="str">
        <f>IFERROR(__xludf.DUMMYFUNCTION("""COMPUTED_VALUE"""),"Action-Adventure")</f>
        <v>Action-Adventure</v>
      </c>
      <c r="N74" s="25"/>
      <c r="O74" s="25" t="str">
        <f>IFERROR(__xludf.DUMMYFUNCTION("""COMPUTED_VALUE"""),"No")</f>
        <v>No</v>
      </c>
      <c r="P74" s="25"/>
    </row>
    <row r="75">
      <c r="A75" s="13" t="str">
        <f>IFERROR(__xludf.DUMMYFUNCTION("""COMPUTED_VALUE"""),"Rabbids: Party of Legends")</f>
        <v>Rabbids: Party of Legends</v>
      </c>
      <c r="B75" s="15" t="str">
        <f>IFERROR(__xludf.DUMMYFUNCTION("""COMPUTED_VALUE"""),"PS4")</f>
        <v>PS4</v>
      </c>
      <c r="C75" s="16" t="str">
        <f>IFERROR(__xludf.DUMMYFUNCTION("""COMPUTED_VALUE"""),"Extra (Ubisoft+ Classics)")</f>
        <v>Extra (Ubisoft+ Classics)</v>
      </c>
      <c r="D75" s="15" t="str">
        <f>IFERROR(__xludf.DUMMYFUNCTION("""COMPUTED_VALUE"""),"Active")</f>
        <v>Active</v>
      </c>
      <c r="E75" s="17">
        <f>IFERROR(__xludf.DUMMYFUNCTION("""COMPUTED_VALUE"""),45643.0)</f>
        <v>45643</v>
      </c>
      <c r="F75" s="54"/>
      <c r="G75" s="19">
        <f>IFERROR(__xludf.DUMMYFUNCTION("""COMPUTED_VALUE"""),21.633333333333333)</f>
        <v>21.63333333</v>
      </c>
      <c r="H75" s="17">
        <f>IFERROR(__xludf.DUMMYFUNCTION("""COMPUTED_VALUE"""),44742.0)</f>
        <v>44742</v>
      </c>
      <c r="I75" s="19">
        <f>IFERROR(__xludf.DUMMYFUNCTION("""COMPUTED_VALUE"""),2.463888888888889)</f>
        <v>2.463888889</v>
      </c>
      <c r="J75" s="21">
        <f>IFERROR(__xludf.DUMMYFUNCTION("""COMPUTED_VALUE"""),69.0)</f>
        <v>69</v>
      </c>
      <c r="K75" s="23">
        <f>IFERROR(__xludf.DUMMYFUNCTION("""COMPUTED_VALUE"""),5.8)</f>
        <v>5.8</v>
      </c>
      <c r="L75" s="24">
        <f>IFERROR(__xludf.DUMMYFUNCTION("""COMPUTED_VALUE"""),3.0)</f>
        <v>3</v>
      </c>
      <c r="M75" s="25" t="str">
        <f>IFERROR(__xludf.DUMMYFUNCTION("""COMPUTED_VALUE"""),"Party")</f>
        <v>Party</v>
      </c>
      <c r="N75" s="25"/>
      <c r="O75" s="25" t="str">
        <f>IFERROR(__xludf.DUMMYFUNCTION("""COMPUTED_VALUE"""),"No")</f>
        <v>No</v>
      </c>
      <c r="P75" s="25"/>
    </row>
    <row r="76">
      <c r="A76" s="13" t="str">
        <f>IFERROR(__xludf.DUMMYFUNCTION("""COMPUTED_VALUE"""),"Stick Fight: The Game")</f>
        <v>Stick Fight: The Game</v>
      </c>
      <c r="B76" s="15" t="str">
        <f>IFERROR(__xludf.DUMMYFUNCTION("""COMPUTED_VALUE"""),"PS4")</f>
        <v>PS4</v>
      </c>
      <c r="C76" s="16" t="str">
        <f>IFERROR(__xludf.DUMMYFUNCTION("""COMPUTED_VALUE"""),"Extra")</f>
        <v>Extra</v>
      </c>
      <c r="D76" s="15" t="str">
        <f>IFERROR(__xludf.DUMMYFUNCTION("""COMPUTED_VALUE"""),"Active")</f>
        <v>Active</v>
      </c>
      <c r="E76" s="17">
        <f>IFERROR(__xludf.DUMMYFUNCTION("""COMPUTED_VALUE"""),45615.0)</f>
        <v>45615</v>
      </c>
      <c r="F76" s="54"/>
      <c r="G76" s="19">
        <f>IFERROR(__xludf.DUMMYFUNCTION("""COMPUTED_VALUE"""),22.566666666666666)</f>
        <v>22.56666667</v>
      </c>
      <c r="H76" s="17">
        <f>IFERROR(__xludf.DUMMYFUNCTION("""COMPUTED_VALUE"""),44287.0)</f>
        <v>44287</v>
      </c>
      <c r="I76" s="19">
        <f>IFERROR(__xludf.DUMMYFUNCTION("""COMPUTED_VALUE"""),3.6333333333333333)</f>
        <v>3.633333333</v>
      </c>
      <c r="J76" s="21">
        <f>IFERROR(__xludf.DUMMYFUNCTION("""COMPUTED_VALUE"""),83.0)</f>
        <v>83</v>
      </c>
      <c r="K76" s="23">
        <f>IFERROR(__xludf.DUMMYFUNCTION("""COMPUTED_VALUE"""),7.8)</f>
        <v>7.8</v>
      </c>
      <c r="L76" s="24">
        <f>IFERROR(__xludf.DUMMYFUNCTION("""COMPUTED_VALUE"""),8.0)</f>
        <v>8</v>
      </c>
      <c r="M76" s="25" t="str">
        <f>IFERROR(__xludf.DUMMYFUNCTION("""COMPUTED_VALUE"""),"Platformer")</f>
        <v>Platformer</v>
      </c>
      <c r="N76" s="25"/>
      <c r="O76" s="25" t="str">
        <f>IFERROR(__xludf.DUMMYFUNCTION("""COMPUTED_VALUE"""),"No")</f>
        <v>No</v>
      </c>
      <c r="P76" s="25"/>
    </row>
    <row r="77">
      <c r="A77" s="13" t="str">
        <f>IFERROR(__xludf.DUMMYFUNCTION("""COMPUTED_VALUE"""),"R-Type Dimensions EX")</f>
        <v>R-Type Dimensions EX</v>
      </c>
      <c r="B77" s="15" t="str">
        <f>IFERROR(__xludf.DUMMYFUNCTION("""COMPUTED_VALUE"""),"PS4")</f>
        <v>PS4</v>
      </c>
      <c r="C77" s="16" t="str">
        <f>IFERROR(__xludf.DUMMYFUNCTION("""COMPUTED_VALUE"""),"Premium (Classics)")</f>
        <v>Premium (Classics)</v>
      </c>
      <c r="D77" s="15" t="str">
        <f>IFERROR(__xludf.DUMMYFUNCTION("""COMPUTED_VALUE"""),"Active")</f>
        <v>Active</v>
      </c>
      <c r="E77" s="17">
        <f>IFERROR(__xludf.DUMMYFUNCTION("""COMPUTED_VALUE"""),45580.0)</f>
        <v>45580</v>
      </c>
      <c r="F77" s="54"/>
      <c r="G77" s="19">
        <f>IFERROR(__xludf.DUMMYFUNCTION("""COMPUTED_VALUE"""),23.700000000000003)</f>
        <v>23.7</v>
      </c>
      <c r="H77" s="17">
        <f>IFERROR(__xludf.DUMMYFUNCTION("""COMPUTED_VALUE"""),39848.0)</f>
        <v>39848</v>
      </c>
      <c r="I77" s="19">
        <f>IFERROR(__xludf.DUMMYFUNCTION("""COMPUTED_VALUE"""),15.697222222222223)</f>
        <v>15.69722222</v>
      </c>
      <c r="J77" s="21">
        <f>IFERROR(__xludf.DUMMYFUNCTION("""COMPUTED_VALUE"""),76.0)</f>
        <v>76</v>
      </c>
      <c r="K77" s="23">
        <f>IFERROR(__xludf.DUMMYFUNCTION("""COMPUTED_VALUE"""),7.5)</f>
        <v>7.5</v>
      </c>
      <c r="L77" s="24">
        <f>IFERROR(__xludf.DUMMYFUNCTION("""COMPUTED_VALUE"""),1.0)</f>
        <v>1</v>
      </c>
      <c r="M77" s="25" t="str">
        <f>IFERROR(__xludf.DUMMYFUNCTION("""COMPUTED_VALUE"""),"Compilation")</f>
        <v>Compilation</v>
      </c>
      <c r="N77" s="25" t="str">
        <f>IFERROR(__xludf.DUMMYFUNCTION("""COMPUTED_VALUE"""),"Arcade")</f>
        <v>Arcade</v>
      </c>
      <c r="O77" s="25" t="str">
        <f>IFERROR(__xludf.DUMMYFUNCTION("""COMPUTED_VALUE"""),"No")</f>
        <v>No</v>
      </c>
      <c r="P77" s="25"/>
    </row>
    <row r="78">
      <c r="A78" s="13" t="str">
        <f>IFERROR(__xludf.DUMMYFUNCTION("""COMPUTED_VALUE"""),"Wild Card Football")</f>
        <v>Wild Card Football</v>
      </c>
      <c r="B78" s="15" t="str">
        <f>IFERROR(__xludf.DUMMYFUNCTION("""COMPUTED_VALUE"""),"PS5/PS4")</f>
        <v>PS5/PS4</v>
      </c>
      <c r="C78" s="16" t="str">
        <f>IFERROR(__xludf.DUMMYFUNCTION("""COMPUTED_VALUE"""),"Extra")</f>
        <v>Extra</v>
      </c>
      <c r="D78" s="15" t="str">
        <f>IFERROR(__xludf.DUMMYFUNCTION("""COMPUTED_VALUE"""),"Active")</f>
        <v>Active</v>
      </c>
      <c r="E78" s="17">
        <f>IFERROR(__xludf.DUMMYFUNCTION("""COMPUTED_VALUE"""),45552.0)</f>
        <v>45552</v>
      </c>
      <c r="F78" s="54"/>
      <c r="G78" s="19">
        <f>IFERROR(__xludf.DUMMYFUNCTION("""COMPUTED_VALUE"""),24.633333333333333)</f>
        <v>24.63333333</v>
      </c>
      <c r="H78" s="17">
        <f>IFERROR(__xludf.DUMMYFUNCTION("""COMPUTED_VALUE"""),45209.0)</f>
        <v>45209</v>
      </c>
      <c r="I78" s="19">
        <f>IFERROR(__xludf.DUMMYFUNCTION("""COMPUTED_VALUE"""),0.9361111111111111)</f>
        <v>0.9361111111</v>
      </c>
      <c r="J78" s="21">
        <f>IFERROR(__xludf.DUMMYFUNCTION("""COMPUTED_VALUE"""),72.0)</f>
        <v>72</v>
      </c>
      <c r="K78" s="23">
        <f>IFERROR(__xludf.DUMMYFUNCTION("""COMPUTED_VALUE"""),8.3)</f>
        <v>8.3</v>
      </c>
      <c r="L78" s="24">
        <f>IFERROR(__xludf.DUMMYFUNCTION("""COMPUTED_VALUE"""),12.0)</f>
        <v>12</v>
      </c>
      <c r="M78" s="25" t="str">
        <f>IFERROR(__xludf.DUMMYFUNCTION("""COMPUTED_VALUE"""),"Sports")</f>
        <v>Sports</v>
      </c>
      <c r="N78" s="25"/>
      <c r="O78" s="25" t="str">
        <f>IFERROR(__xludf.DUMMYFUNCTION("""COMPUTED_VALUE"""),"No")</f>
        <v>No</v>
      </c>
      <c r="P78" s="25"/>
    </row>
    <row r="79">
      <c r="A79" s="13" t="str">
        <f>IFERROR(__xludf.DUMMYFUNCTION("""COMPUTED_VALUE"""),"Space Engineers")</f>
        <v>Space Engineers</v>
      </c>
      <c r="B79" s="15" t="str">
        <f>IFERROR(__xludf.DUMMYFUNCTION("""COMPUTED_VALUE"""),"PS5/PS4")</f>
        <v>PS5/PS4</v>
      </c>
      <c r="C79" s="16" t="str">
        <f>IFERROR(__xludf.DUMMYFUNCTION("""COMPUTED_VALUE"""),"Extra")</f>
        <v>Extra</v>
      </c>
      <c r="D79" s="15" t="str">
        <f>IFERROR(__xludf.DUMMYFUNCTION("""COMPUTED_VALUE"""),"Active")</f>
        <v>Active</v>
      </c>
      <c r="E79" s="17">
        <f>IFERROR(__xludf.DUMMYFUNCTION("""COMPUTED_VALUE"""),45552.0)</f>
        <v>45552</v>
      </c>
      <c r="F79" s="54"/>
      <c r="G79" s="19">
        <f>IFERROR(__xludf.DUMMYFUNCTION("""COMPUTED_VALUE"""),24.633333333333333)</f>
        <v>24.63333333</v>
      </c>
      <c r="H79" s="17">
        <f>IFERROR(__xludf.DUMMYFUNCTION("""COMPUTED_VALUE"""),43936.0)</f>
        <v>43936</v>
      </c>
      <c r="I79" s="19">
        <f>IFERROR(__xludf.DUMMYFUNCTION("""COMPUTED_VALUE"""),4.4222222222222225)</f>
        <v>4.422222222</v>
      </c>
      <c r="J79" s="21">
        <f>IFERROR(__xludf.DUMMYFUNCTION("""COMPUTED_VALUE"""),68.0)</f>
        <v>68</v>
      </c>
      <c r="K79" s="23">
        <f>IFERROR(__xludf.DUMMYFUNCTION("""COMPUTED_VALUE"""),4.7)</f>
        <v>4.7</v>
      </c>
      <c r="L79" s="24">
        <f>IFERROR(__xludf.DUMMYFUNCTION("""COMPUTED_VALUE"""),20.0)</f>
        <v>20</v>
      </c>
      <c r="M79" s="25" t="str">
        <f>IFERROR(__xludf.DUMMYFUNCTION("""COMPUTED_VALUE"""),"Sandbox")</f>
        <v>Sandbox</v>
      </c>
      <c r="N79" s="25"/>
      <c r="O79" s="25" t="str">
        <f>IFERROR(__xludf.DUMMYFUNCTION("""COMPUTED_VALUE"""),"No")</f>
        <v>No</v>
      </c>
      <c r="P79" s="25"/>
    </row>
    <row r="80">
      <c r="A80" s="13" t="str">
        <f>IFERROR(__xludf.DUMMYFUNCTION("""COMPUTED_VALUE"""),"DOOM + DOOM II: Enhanced")</f>
        <v>DOOM + DOOM II: Enhanced</v>
      </c>
      <c r="B80" s="15" t="str">
        <f>IFERROR(__xludf.DUMMYFUNCTION("""COMPUTED_VALUE"""),"PS4")</f>
        <v>PS4</v>
      </c>
      <c r="C80" s="16" t="str">
        <f>IFERROR(__xludf.DUMMYFUNCTION("""COMPUTED_VALUE"""),"Premium (Remasters)")</f>
        <v>Premium (Remasters)</v>
      </c>
      <c r="D80" s="15" t="str">
        <f>IFERROR(__xludf.DUMMYFUNCTION("""COMPUTED_VALUE"""),"Active")</f>
        <v>Active</v>
      </c>
      <c r="E80" s="17">
        <f>IFERROR(__xludf.DUMMYFUNCTION("""COMPUTED_VALUE"""),45538.0)</f>
        <v>45538</v>
      </c>
      <c r="F80" s="54"/>
      <c r="G80" s="19">
        <f>IFERROR(__xludf.DUMMYFUNCTION("""COMPUTED_VALUE"""),25.1)</f>
        <v>25.1</v>
      </c>
      <c r="H80" s="17">
        <f>IFERROR(__xludf.DUMMYFUNCTION("""COMPUTED_VALUE"""),45512.0)</f>
        <v>45512</v>
      </c>
      <c r="I80" s="19">
        <f>IFERROR(__xludf.DUMMYFUNCTION("""COMPUTED_VALUE"""),0.06944444444444445)</f>
        <v>0.06944444444</v>
      </c>
      <c r="J80" s="21">
        <f>IFERROR(__xludf.DUMMYFUNCTION("""COMPUTED_VALUE"""),82.0)</f>
        <v>82</v>
      </c>
      <c r="K80" s="23">
        <f>IFERROR(__xludf.DUMMYFUNCTION("""COMPUTED_VALUE"""),9.5)</f>
        <v>9.5</v>
      </c>
      <c r="L80" s="24">
        <f>IFERROR(__xludf.DUMMYFUNCTION("""COMPUTED_VALUE"""),12.0)</f>
        <v>12</v>
      </c>
      <c r="M80" s="25" t="str">
        <f>IFERROR(__xludf.DUMMYFUNCTION("""COMPUTED_VALUE"""),"Shooter")</f>
        <v>Shooter</v>
      </c>
      <c r="N80" s="25" t="str">
        <f>IFERROR(__xludf.DUMMYFUNCTION("""COMPUTED_VALUE"""),"MS-DOS")</f>
        <v>MS-DOS</v>
      </c>
      <c r="O80" s="25" t="str">
        <f>IFERROR(__xludf.DUMMYFUNCTION("""COMPUTED_VALUE"""),"No")</f>
        <v>No</v>
      </c>
      <c r="P80" s="25"/>
    </row>
    <row r="81">
      <c r="A81" s="13" t="str">
        <f>IFERROR(__xludf.DUMMYFUNCTION("""COMPUTED_VALUE"""),"Far Cry 4")</f>
        <v>Far Cry 4</v>
      </c>
      <c r="B81" s="15" t="str">
        <f>IFERROR(__xludf.DUMMYFUNCTION("""COMPUTED_VALUE"""),"PS4")</f>
        <v>PS4</v>
      </c>
      <c r="C81" s="16" t="str">
        <f>IFERROR(__xludf.DUMMYFUNCTION("""COMPUTED_VALUE"""),"Extra")</f>
        <v>Extra</v>
      </c>
      <c r="D81" s="15" t="str">
        <f>IFERROR(__xludf.DUMMYFUNCTION("""COMPUTED_VALUE"""),"Active")</f>
        <v>Active</v>
      </c>
      <c r="E81" s="17">
        <f>IFERROR(__xludf.DUMMYFUNCTION("""COMPUTED_VALUE"""),45461.0)</f>
        <v>45461</v>
      </c>
      <c r="F81" s="54"/>
      <c r="G81" s="19">
        <f>IFERROR(__xludf.DUMMYFUNCTION("""COMPUTED_VALUE"""),27.599999999999998)</f>
        <v>27.6</v>
      </c>
      <c r="H81" s="17">
        <f>IFERROR(__xludf.DUMMYFUNCTION("""COMPUTED_VALUE"""),41961.0)</f>
        <v>41961</v>
      </c>
      <c r="I81" s="19">
        <f>IFERROR(__xludf.DUMMYFUNCTION("""COMPUTED_VALUE"""),9.583333333333334)</f>
        <v>9.583333333</v>
      </c>
      <c r="J81" s="21">
        <f>IFERROR(__xludf.DUMMYFUNCTION("""COMPUTED_VALUE"""),85.0)</f>
        <v>85</v>
      </c>
      <c r="K81" s="23">
        <f>IFERROR(__xludf.DUMMYFUNCTION("""COMPUTED_VALUE"""),7.7)</f>
        <v>7.7</v>
      </c>
      <c r="L81" s="24">
        <f>IFERROR(__xludf.DUMMYFUNCTION("""COMPUTED_VALUE"""),18.0)</f>
        <v>18</v>
      </c>
      <c r="M81" s="25" t="str">
        <f>IFERROR(__xludf.DUMMYFUNCTION("""COMPUTED_VALUE"""),"Shooter")</f>
        <v>Shooter</v>
      </c>
      <c r="N81" s="25"/>
      <c r="O81" s="25" t="str">
        <f>IFERROR(__xludf.DUMMYFUNCTION("""COMPUTED_VALUE"""),"No")</f>
        <v>No</v>
      </c>
      <c r="P81" s="25"/>
    </row>
    <row r="82">
      <c r="A82" s="13" t="str">
        <f>IFERROR(__xludf.DUMMYFUNCTION("""COMPUTED_VALUE"""),"Star Wars: The Clone Wars")</f>
        <v>Star Wars: The Clone Wars</v>
      </c>
      <c r="B82" s="15" t="str">
        <f>IFERROR(__xludf.DUMMYFUNCTION("""COMPUTED_VALUE"""),"PS4")</f>
        <v>PS4</v>
      </c>
      <c r="C82" s="16" t="str">
        <f>IFERROR(__xludf.DUMMYFUNCTION("""COMPUTED_VALUE"""),"Premium (Classics)")</f>
        <v>Premium (Classics)</v>
      </c>
      <c r="D82" s="15" t="str">
        <f>IFERROR(__xludf.DUMMYFUNCTION("""COMPUTED_VALUE"""),"Active")</f>
        <v>Active</v>
      </c>
      <c r="E82" s="17">
        <f>IFERROR(__xludf.DUMMYFUNCTION("""COMPUTED_VALUE"""),45454.0)</f>
        <v>45454</v>
      </c>
      <c r="F82" s="54"/>
      <c r="G82" s="19">
        <f>IFERROR(__xludf.DUMMYFUNCTION("""COMPUTED_VALUE"""),27.833333333333336)</f>
        <v>27.83333333</v>
      </c>
      <c r="H82" s="17">
        <f>IFERROR(__xludf.DUMMYFUNCTION("""COMPUTED_VALUE"""),37557.0)</f>
        <v>37557</v>
      </c>
      <c r="I82" s="19">
        <f>IFERROR(__xludf.DUMMYFUNCTION("""COMPUTED_VALUE"""),21.619444444444444)</f>
        <v>21.61944444</v>
      </c>
      <c r="J82" s="21">
        <f>IFERROR(__xludf.DUMMYFUNCTION("""COMPUTED_VALUE"""),73.0)</f>
        <v>73</v>
      </c>
      <c r="K82" s="23">
        <f>IFERROR(__xludf.DUMMYFUNCTION("""COMPUTED_VALUE"""),6.8)</f>
        <v>6.8</v>
      </c>
      <c r="L82" s="24">
        <f>IFERROR(__xludf.DUMMYFUNCTION("""COMPUTED_VALUE"""),6.0)</f>
        <v>6</v>
      </c>
      <c r="M82" s="25" t="str">
        <f>IFERROR(__xludf.DUMMYFUNCTION("""COMPUTED_VALUE"""),"Shooter")</f>
        <v>Shooter</v>
      </c>
      <c r="N82" s="25" t="str">
        <f>IFERROR(__xludf.DUMMYFUNCTION("""COMPUTED_VALUE"""),"PS2")</f>
        <v>PS2</v>
      </c>
      <c r="O82" s="25" t="str">
        <f>IFERROR(__xludf.DUMMYFUNCTION("""COMPUTED_VALUE"""),"No")</f>
        <v>No</v>
      </c>
      <c r="P82" s="25"/>
    </row>
    <row r="83">
      <c r="A83" s="13" t="str">
        <f>IFERROR(__xludf.DUMMYFUNCTION("""COMPUTED_VALUE"""),"The Settlers: New Allies")</f>
        <v>The Settlers: New Allies</v>
      </c>
      <c r="B83" s="15" t="str">
        <f>IFERROR(__xludf.DUMMYFUNCTION("""COMPUTED_VALUE"""),"PS4")</f>
        <v>PS4</v>
      </c>
      <c r="C83" s="16" t="str">
        <f>IFERROR(__xludf.DUMMYFUNCTION("""COMPUTED_VALUE"""),"Extra (Ubisoft+ Classics)")</f>
        <v>Extra (Ubisoft+ Classics)</v>
      </c>
      <c r="D83" s="15" t="str">
        <f>IFERROR(__xludf.DUMMYFUNCTION("""COMPUTED_VALUE"""),"Active")</f>
        <v>Active</v>
      </c>
      <c r="E83" s="17">
        <f>IFERROR(__xludf.DUMMYFUNCTION("""COMPUTED_VALUE"""),45433.0)</f>
        <v>45433</v>
      </c>
      <c r="F83" s="54"/>
      <c r="G83" s="19">
        <f>IFERROR(__xludf.DUMMYFUNCTION("""COMPUTED_VALUE"""),28.5)</f>
        <v>28.5</v>
      </c>
      <c r="H83" s="17">
        <f>IFERROR(__xludf.DUMMYFUNCTION("""COMPUTED_VALUE"""),44974.0)</f>
        <v>44974</v>
      </c>
      <c r="I83" s="19">
        <f>IFERROR(__xludf.DUMMYFUNCTION("""COMPUTED_VALUE"""),1.261111111111111)</f>
        <v>1.261111111</v>
      </c>
      <c r="J83" s="21">
        <f>IFERROR(__xludf.DUMMYFUNCTION("""COMPUTED_VALUE"""),54.0)</f>
        <v>54</v>
      </c>
      <c r="K83" s="23">
        <f>IFERROR(__xludf.DUMMYFUNCTION("""COMPUTED_VALUE"""),3.3)</f>
        <v>3.3</v>
      </c>
      <c r="L83" s="24">
        <f>IFERROR(__xludf.DUMMYFUNCTION("""COMPUTED_VALUE"""),35.0)</f>
        <v>35</v>
      </c>
      <c r="M83" s="25" t="str">
        <f>IFERROR(__xludf.DUMMYFUNCTION("""COMPUTED_VALUE"""),"Management")</f>
        <v>Management</v>
      </c>
      <c r="N83" s="25"/>
      <c r="O83" s="25" t="str">
        <f>IFERROR(__xludf.DUMMYFUNCTION("""COMPUTED_VALUE"""),"No")</f>
        <v>No</v>
      </c>
      <c r="P83" s="25"/>
    </row>
    <row r="84">
      <c r="A84" s="13" t="str">
        <f>IFERROR(__xludf.DUMMYFUNCTION("""COMPUTED_VALUE"""),"Lego Ninjago Movie Videogame")</f>
        <v>Lego Ninjago Movie Videogame</v>
      </c>
      <c r="B84" s="15" t="str">
        <f>IFERROR(__xludf.DUMMYFUNCTION("""COMPUTED_VALUE"""),"PS4")</f>
        <v>PS4</v>
      </c>
      <c r="C84" s="16" t="str">
        <f>IFERROR(__xludf.DUMMYFUNCTION("""COMPUTED_VALUE"""),"Extra")</f>
        <v>Extra</v>
      </c>
      <c r="D84" s="15" t="str">
        <f>IFERROR(__xludf.DUMMYFUNCTION("""COMPUTED_VALUE"""),"Active")</f>
        <v>Active</v>
      </c>
      <c r="E84" s="17">
        <f>IFERROR(__xludf.DUMMYFUNCTION("""COMPUTED_VALUE"""),45398.0)</f>
        <v>45398</v>
      </c>
      <c r="F84" s="54"/>
      <c r="G84" s="19">
        <f>IFERROR(__xludf.DUMMYFUNCTION("""COMPUTED_VALUE"""),29.666666666666668)</f>
        <v>29.66666667</v>
      </c>
      <c r="H84" s="17">
        <f>IFERROR(__xludf.DUMMYFUNCTION("""COMPUTED_VALUE"""),43000.0)</f>
        <v>43000</v>
      </c>
      <c r="I84" s="19">
        <f>IFERROR(__xludf.DUMMYFUNCTION("""COMPUTED_VALUE"""),6.566666666666666)</f>
        <v>6.566666667</v>
      </c>
      <c r="J84" s="21">
        <f>IFERROR(__xludf.DUMMYFUNCTION("""COMPUTED_VALUE"""),67.0)</f>
        <v>67</v>
      </c>
      <c r="K84" s="23">
        <f>IFERROR(__xludf.DUMMYFUNCTION("""COMPUTED_VALUE"""),5.9)</f>
        <v>5.9</v>
      </c>
      <c r="L84" s="24">
        <f>IFERROR(__xludf.DUMMYFUNCTION("""COMPUTED_VALUE"""),7.0)</f>
        <v>7</v>
      </c>
      <c r="M84" s="25" t="str">
        <f>IFERROR(__xludf.DUMMYFUNCTION("""COMPUTED_VALUE"""),"Action-Adventure")</f>
        <v>Action-Adventure</v>
      </c>
      <c r="N84" s="25"/>
      <c r="O84" s="25" t="str">
        <f>IFERROR(__xludf.DUMMYFUNCTION("""COMPUTED_VALUE"""),"No")</f>
        <v>No</v>
      </c>
      <c r="P84" s="25"/>
    </row>
    <row r="85">
      <c r="A85" s="13" t="str">
        <f>IFERROR(__xludf.DUMMYFUNCTION("""COMPUTED_VALUE"""),"Oddballers")</f>
        <v>Oddballers</v>
      </c>
      <c r="B85" s="15" t="str">
        <f>IFERROR(__xludf.DUMMYFUNCTION("""COMPUTED_VALUE"""),"PS4")</f>
        <v>PS4</v>
      </c>
      <c r="C85" s="16" t="str">
        <f>IFERROR(__xludf.DUMMYFUNCTION("""COMPUTED_VALUE"""),"Extra")</f>
        <v>Extra</v>
      </c>
      <c r="D85" s="15" t="str">
        <f>IFERROR(__xludf.DUMMYFUNCTION("""COMPUTED_VALUE"""),"Active")</f>
        <v>Active</v>
      </c>
      <c r="E85" s="17">
        <f>IFERROR(__xludf.DUMMYFUNCTION("""COMPUTED_VALUE"""),45398.0)</f>
        <v>45398</v>
      </c>
      <c r="F85" s="54"/>
      <c r="G85" s="19">
        <f>IFERROR(__xludf.DUMMYFUNCTION("""COMPUTED_VALUE"""),29.666666666666668)</f>
        <v>29.66666667</v>
      </c>
      <c r="H85" s="17">
        <f>IFERROR(__xludf.DUMMYFUNCTION("""COMPUTED_VALUE"""),44952.0)</f>
        <v>44952</v>
      </c>
      <c r="I85" s="19">
        <f>IFERROR(__xludf.DUMMYFUNCTION("""COMPUTED_VALUE"""),1.2222222222222223)</f>
        <v>1.222222222</v>
      </c>
      <c r="J85" s="21">
        <f>IFERROR(__xludf.DUMMYFUNCTION("""COMPUTED_VALUE"""),71.0)</f>
        <v>71</v>
      </c>
      <c r="K85" s="23">
        <f>IFERROR(__xludf.DUMMYFUNCTION("""COMPUTED_VALUE"""),5.8)</f>
        <v>5.8</v>
      </c>
      <c r="L85" s="24">
        <f>IFERROR(__xludf.DUMMYFUNCTION("""COMPUTED_VALUE"""),3.0)</f>
        <v>3</v>
      </c>
      <c r="M85" s="25" t="str">
        <f>IFERROR(__xludf.DUMMYFUNCTION("""COMPUTED_VALUE"""),"Party")</f>
        <v>Party</v>
      </c>
      <c r="N85" s="25"/>
      <c r="O85" s="25" t="str">
        <f>IFERROR(__xludf.DUMMYFUNCTION("""COMPUTED_VALUE"""),"No")</f>
        <v>No</v>
      </c>
      <c r="P85" s="25"/>
    </row>
    <row r="86">
      <c r="A86" s="13" t="str">
        <f>IFERROR(__xludf.DUMMYFUNCTION("""COMPUTED_VALUE"""),"The Crew 2")</f>
        <v>The Crew 2</v>
      </c>
      <c r="B86" s="15" t="str">
        <f>IFERROR(__xludf.DUMMYFUNCTION("""COMPUTED_VALUE"""),"PS4")</f>
        <v>PS4</v>
      </c>
      <c r="C86" s="16" t="str">
        <f>IFERROR(__xludf.DUMMYFUNCTION("""COMPUTED_VALUE"""),"Extra")</f>
        <v>Extra</v>
      </c>
      <c r="D86" s="15" t="str">
        <f>IFERROR(__xludf.DUMMYFUNCTION("""COMPUTED_VALUE"""),"Active")</f>
        <v>Active</v>
      </c>
      <c r="E86" s="17">
        <f>IFERROR(__xludf.DUMMYFUNCTION("""COMPUTED_VALUE"""),45398.0)</f>
        <v>45398</v>
      </c>
      <c r="F86" s="54"/>
      <c r="G86" s="19">
        <f>IFERROR(__xludf.DUMMYFUNCTION("""COMPUTED_VALUE"""),29.666666666666668)</f>
        <v>29.66666667</v>
      </c>
      <c r="H86" s="17">
        <f>IFERROR(__xludf.DUMMYFUNCTION("""COMPUTED_VALUE"""),43277.0)</f>
        <v>43277</v>
      </c>
      <c r="I86" s="19">
        <f>IFERROR(__xludf.DUMMYFUNCTION("""COMPUTED_VALUE"""),5.805555555555555)</f>
        <v>5.805555556</v>
      </c>
      <c r="J86" s="21">
        <f>IFERROR(__xludf.DUMMYFUNCTION("""COMPUTED_VALUE"""),64.0)</f>
        <v>64</v>
      </c>
      <c r="K86" s="23">
        <f>IFERROR(__xludf.DUMMYFUNCTION("""COMPUTED_VALUE"""),5.8)</f>
        <v>5.8</v>
      </c>
      <c r="L86" s="24">
        <f>IFERROR(__xludf.DUMMYFUNCTION("""COMPUTED_VALUE"""),20.0)</f>
        <v>20</v>
      </c>
      <c r="M86" s="25" t="str">
        <f>IFERROR(__xludf.DUMMYFUNCTION("""COMPUTED_VALUE"""),"Racing")</f>
        <v>Racing</v>
      </c>
      <c r="N86" s="25"/>
      <c r="O86" s="25" t="str">
        <f>IFERROR(__xludf.DUMMYFUNCTION("""COMPUTED_VALUE"""),"No")</f>
        <v>No</v>
      </c>
      <c r="P86" s="25"/>
    </row>
    <row r="87">
      <c r="A87" s="13" t="str">
        <f>IFERROR(__xludf.DUMMYFUNCTION("""COMPUTED_VALUE"""),"Thrillville: Off the Rails")</f>
        <v>Thrillville: Off the Rails</v>
      </c>
      <c r="B87" s="15" t="str">
        <f>IFERROR(__xludf.DUMMYFUNCTION("""COMPUTED_VALUE"""),"PS5/PS4")</f>
        <v>PS5/PS4</v>
      </c>
      <c r="C87" s="16" t="str">
        <f>IFERROR(__xludf.DUMMYFUNCTION("""COMPUTED_VALUE"""),"Premium (Classics)")</f>
        <v>Premium (Classics)</v>
      </c>
      <c r="D87" s="15" t="str">
        <f>IFERROR(__xludf.DUMMYFUNCTION("""COMPUTED_VALUE"""),"Active")</f>
        <v>Active</v>
      </c>
      <c r="E87" s="17">
        <f>IFERROR(__xludf.DUMMYFUNCTION("""COMPUTED_VALUE"""),45279.0)</f>
        <v>45279</v>
      </c>
      <c r="F87" s="54"/>
      <c r="G87" s="19">
        <f>IFERROR(__xludf.DUMMYFUNCTION("""COMPUTED_VALUE"""),33.56666666666666)</f>
        <v>33.56666667</v>
      </c>
      <c r="H87" s="17">
        <f>IFERROR(__xludf.DUMMYFUNCTION("""COMPUTED_VALUE"""),39364.0)</f>
        <v>39364</v>
      </c>
      <c r="I87" s="19">
        <f>IFERROR(__xludf.DUMMYFUNCTION("""COMPUTED_VALUE"""),16.194444444444443)</f>
        <v>16.19444444</v>
      </c>
      <c r="J87" s="21">
        <f>IFERROR(__xludf.DUMMYFUNCTION("""COMPUTED_VALUE"""),70.0)</f>
        <v>70</v>
      </c>
      <c r="K87" s="23">
        <f>IFERROR(__xludf.DUMMYFUNCTION("""COMPUTED_VALUE"""),2.9)</f>
        <v>2.9</v>
      </c>
      <c r="L87" s="24">
        <f>IFERROR(__xludf.DUMMYFUNCTION("""COMPUTED_VALUE"""),7.0)</f>
        <v>7</v>
      </c>
      <c r="M87" s="25" t="str">
        <f>IFERROR(__xludf.DUMMYFUNCTION("""COMPUTED_VALUE"""),"Strategy")</f>
        <v>Strategy</v>
      </c>
      <c r="N87" s="25" t="str">
        <f>IFERROR(__xludf.DUMMYFUNCTION("""COMPUTED_VALUE"""),"PS2")</f>
        <v>PS2</v>
      </c>
      <c r="O87" s="25" t="str">
        <f>IFERROR(__xludf.DUMMYFUNCTION("""COMPUTED_VALUE"""),"No")</f>
        <v>No</v>
      </c>
      <c r="P87" s="25"/>
    </row>
    <row r="88">
      <c r="A88" s="13" t="str">
        <f>IFERROR(__xludf.DUMMYFUNCTION("""COMPUTED_VALUE"""),"IQ Final")</f>
        <v>IQ Final</v>
      </c>
      <c r="B88" s="15" t="str">
        <f>IFERROR(__xludf.DUMMYFUNCTION("""COMPUTED_VALUE"""),"PS5/PS4")</f>
        <v>PS5/PS4</v>
      </c>
      <c r="C88" s="16" t="str">
        <f>IFERROR(__xludf.DUMMYFUNCTION("""COMPUTED_VALUE"""),"Premium (Classics)")</f>
        <v>Premium (Classics)</v>
      </c>
      <c r="D88" s="15" t="str">
        <f>IFERROR(__xludf.DUMMYFUNCTION("""COMPUTED_VALUE"""),"Active")</f>
        <v>Active</v>
      </c>
      <c r="E88" s="17">
        <f>IFERROR(__xludf.DUMMYFUNCTION("""COMPUTED_VALUE"""),45216.0)</f>
        <v>45216</v>
      </c>
      <c r="F88" s="54"/>
      <c r="G88" s="19">
        <f>IFERROR(__xludf.DUMMYFUNCTION("""COMPUTED_VALUE"""),35.63333333333333)</f>
        <v>35.63333333</v>
      </c>
      <c r="H88" s="17">
        <f>IFERROR(__xludf.DUMMYFUNCTION("""COMPUTED_VALUE"""),36152.0)</f>
        <v>36152</v>
      </c>
      <c r="I88" s="19">
        <f>IFERROR(__xludf.DUMMYFUNCTION("""COMPUTED_VALUE"""),24.816666666666666)</f>
        <v>24.81666667</v>
      </c>
      <c r="J88" s="21"/>
      <c r="K88" s="23"/>
      <c r="L88" s="24">
        <f>IFERROR(__xludf.DUMMYFUNCTION("""COMPUTED_VALUE"""),2.0)</f>
        <v>2</v>
      </c>
      <c r="M88" s="25" t="str">
        <f>IFERROR(__xludf.DUMMYFUNCTION("""COMPUTED_VALUE"""),"Puzzle")</f>
        <v>Puzzle</v>
      </c>
      <c r="N88" s="25" t="str">
        <f>IFERROR(__xludf.DUMMYFUNCTION("""COMPUTED_VALUE"""),"PSP")</f>
        <v>PSP</v>
      </c>
      <c r="O88" s="25" t="str">
        <f>IFERROR(__xludf.DUMMYFUNCTION("""COMPUTED_VALUE"""),"No")</f>
        <v>No</v>
      </c>
      <c r="P88" s="25"/>
    </row>
    <row r="89">
      <c r="A89" s="13" t="str">
        <f>IFERROR(__xludf.DUMMYFUNCTION("""COMPUTED_VALUE"""),"Destiny 2: The Witch Queen")</f>
        <v>Destiny 2: The Witch Queen</v>
      </c>
      <c r="B89" s="15" t="str">
        <f>IFERROR(__xludf.DUMMYFUNCTION("""COMPUTED_VALUE"""),"PS5/PS4")</f>
        <v>PS5/PS4</v>
      </c>
      <c r="C89" s="16" t="str">
        <f>IFERROR(__xludf.DUMMYFUNCTION("""COMPUTED_VALUE"""),"Extra")</f>
        <v>Extra</v>
      </c>
      <c r="D89" s="15" t="str">
        <f>IFERROR(__xludf.DUMMYFUNCTION("""COMPUTED_VALUE"""),"Active")</f>
        <v>Active</v>
      </c>
      <c r="E89" s="17">
        <f>IFERROR(__xludf.DUMMYFUNCTION("""COMPUTED_VALUE"""),45153.0)</f>
        <v>45153</v>
      </c>
      <c r="F89" s="54"/>
      <c r="G89" s="19">
        <f>IFERROR(__xludf.DUMMYFUNCTION("""COMPUTED_VALUE"""),37.7)</f>
        <v>37.7</v>
      </c>
      <c r="H89" s="17">
        <f>IFERROR(__xludf.DUMMYFUNCTION("""COMPUTED_VALUE"""),44614.0)</f>
        <v>44614</v>
      </c>
      <c r="I89" s="19">
        <f>IFERROR(__xludf.DUMMYFUNCTION("""COMPUTED_VALUE"""),1.4805555555555556)</f>
        <v>1.480555556</v>
      </c>
      <c r="J89" s="21">
        <f>IFERROR(__xludf.DUMMYFUNCTION("""COMPUTED_VALUE"""),87.0)</f>
        <v>87</v>
      </c>
      <c r="K89" s="23">
        <f>IFERROR(__xludf.DUMMYFUNCTION("""COMPUTED_VALUE"""),7.9)</f>
        <v>7.9</v>
      </c>
      <c r="L89" s="24">
        <f>IFERROR(__xludf.DUMMYFUNCTION("""COMPUTED_VALUE"""),12.0)</f>
        <v>12</v>
      </c>
      <c r="M89" s="25" t="str">
        <f>IFERROR(__xludf.DUMMYFUNCTION("""COMPUTED_VALUE"""),"Shooter")</f>
        <v>Shooter</v>
      </c>
      <c r="N89" s="25"/>
      <c r="O89" s="25" t="str">
        <f>IFERROR(__xludf.DUMMYFUNCTION("""COMPUTED_VALUE"""),"No")</f>
        <v>No</v>
      </c>
      <c r="P89" s="25"/>
    </row>
    <row r="90">
      <c r="A90" s="13" t="str">
        <f>IFERROR(__xludf.DUMMYFUNCTION("""COMPUTED_VALUE"""),"Bassmaster Fishing")</f>
        <v>Bassmaster Fishing</v>
      </c>
      <c r="B90" s="15" t="str">
        <f>IFERROR(__xludf.DUMMYFUNCTION("""COMPUTED_VALUE"""),"PS5/PS4")</f>
        <v>PS5/PS4</v>
      </c>
      <c r="C90" s="16" t="str">
        <f>IFERROR(__xludf.DUMMYFUNCTION("""COMPUTED_VALUE"""),"Extra")</f>
        <v>Extra</v>
      </c>
      <c r="D90" s="15" t="str">
        <f>IFERROR(__xludf.DUMMYFUNCTION("""COMPUTED_VALUE"""),"Active")</f>
        <v>Active</v>
      </c>
      <c r="E90" s="17">
        <f>IFERROR(__xludf.DUMMYFUNCTION("""COMPUTED_VALUE"""),45034.0)</f>
        <v>45034</v>
      </c>
      <c r="F90" s="54"/>
      <c r="G90" s="19">
        <f>IFERROR(__xludf.DUMMYFUNCTION("""COMPUTED_VALUE"""),41.6)</f>
        <v>41.6</v>
      </c>
      <c r="H90" s="17">
        <f>IFERROR(__xludf.DUMMYFUNCTION("""COMPUTED_VALUE"""),35122.0)</f>
        <v>35122</v>
      </c>
      <c r="I90" s="19">
        <f>IFERROR(__xludf.DUMMYFUNCTION("""COMPUTED_VALUE"""),27.141666666666666)</f>
        <v>27.14166667</v>
      </c>
      <c r="J90" s="21"/>
      <c r="K90" s="23">
        <f>IFERROR(__xludf.DUMMYFUNCTION("""COMPUTED_VALUE"""),4.0)</f>
        <v>4</v>
      </c>
      <c r="L90" s="24"/>
      <c r="M90" s="25" t="str">
        <f>IFERROR(__xludf.DUMMYFUNCTION("""COMPUTED_VALUE"""),"Sports")</f>
        <v>Sports</v>
      </c>
      <c r="N90" s="25"/>
      <c r="O90" s="25" t="str">
        <f>IFERROR(__xludf.DUMMYFUNCTION("""COMPUTED_VALUE"""),"No")</f>
        <v>No</v>
      </c>
      <c r="P90" s="25"/>
    </row>
    <row r="91">
      <c r="A91" s="13" t="str">
        <f>IFERROR(__xludf.DUMMYFUNCTION("""COMPUTED_VALUE"""),"Ys VIII: Lacrimosa of DANA")</f>
        <v>Ys VIII: Lacrimosa of DANA</v>
      </c>
      <c r="B91" s="15" t="str">
        <f>IFERROR(__xludf.DUMMYFUNCTION("""COMPUTED_VALUE"""),"PS5/PS4")</f>
        <v>PS5/PS4</v>
      </c>
      <c r="C91" s="16" t="str">
        <f>IFERROR(__xludf.DUMMYFUNCTION("""COMPUTED_VALUE"""),"Extra")</f>
        <v>Extra</v>
      </c>
      <c r="D91" s="15" t="str">
        <f>IFERROR(__xludf.DUMMYFUNCTION("""COMPUTED_VALUE"""),"Active")</f>
        <v>Active</v>
      </c>
      <c r="E91" s="17">
        <f>IFERROR(__xludf.DUMMYFUNCTION("""COMPUTED_VALUE"""),44880.0)</f>
        <v>44880</v>
      </c>
      <c r="F91" s="54"/>
      <c r="G91" s="19">
        <f>IFERROR(__xludf.DUMMYFUNCTION("""COMPUTED_VALUE"""),46.7)</f>
        <v>46.7</v>
      </c>
      <c r="H91" s="17">
        <f>IFERROR(__xludf.DUMMYFUNCTION("""COMPUTED_VALUE"""),42572.0)</f>
        <v>42572</v>
      </c>
      <c r="I91" s="19">
        <f>IFERROR(__xludf.DUMMYFUNCTION("""COMPUTED_VALUE"""),6.316666666666666)</f>
        <v>6.316666667</v>
      </c>
      <c r="J91" s="21">
        <f>IFERROR(__xludf.DUMMYFUNCTION("""COMPUTED_VALUE"""),85.0)</f>
        <v>85</v>
      </c>
      <c r="K91" s="23">
        <f>IFERROR(__xludf.DUMMYFUNCTION("""COMPUTED_VALUE"""),8.6)</f>
        <v>8.6</v>
      </c>
      <c r="L91" s="24">
        <f>IFERROR(__xludf.DUMMYFUNCTION("""COMPUTED_VALUE"""),37.0)</f>
        <v>37</v>
      </c>
      <c r="M91" s="25" t="str">
        <f>IFERROR(__xludf.DUMMYFUNCTION("""COMPUTED_VALUE"""),"RPG")</f>
        <v>RPG</v>
      </c>
      <c r="N91" s="25"/>
      <c r="O91" s="25" t="str">
        <f>IFERROR(__xludf.DUMMYFUNCTION("""COMPUTED_VALUE"""),"No")</f>
        <v>No</v>
      </c>
      <c r="P91" s="25"/>
    </row>
    <row r="92">
      <c r="A92" s="13" t="str">
        <f>IFERROR(__xludf.DUMMYFUNCTION("""COMPUTED_VALUE"""),"Rabbids Invasion: The Interactive TV Show")</f>
        <v>Rabbids Invasion: The Interactive TV Show</v>
      </c>
      <c r="B92" s="15" t="str">
        <f>IFERROR(__xludf.DUMMYFUNCTION("""COMPUTED_VALUE"""),"PS4")</f>
        <v>PS4</v>
      </c>
      <c r="C92" s="16" t="str">
        <f>IFERROR(__xludf.DUMMYFUNCTION("""COMPUTED_VALUE"""),"Extra")</f>
        <v>Extra</v>
      </c>
      <c r="D92" s="15" t="str">
        <f>IFERROR(__xludf.DUMMYFUNCTION("""COMPUTED_VALUE"""),"Active")</f>
        <v>Active</v>
      </c>
      <c r="E92" s="17">
        <f>IFERROR(__xludf.DUMMYFUNCTION("""COMPUTED_VALUE"""),44824.0)</f>
        <v>44824</v>
      </c>
      <c r="F92" s="54"/>
      <c r="G92" s="19">
        <f>IFERROR(__xludf.DUMMYFUNCTION("""COMPUTED_VALUE"""),48.53333333333333)</f>
        <v>48.53333333</v>
      </c>
      <c r="H92" s="17">
        <f>IFERROR(__xludf.DUMMYFUNCTION("""COMPUTED_VALUE"""),41961.0)</f>
        <v>41961</v>
      </c>
      <c r="I92" s="19">
        <f>IFERROR(__xludf.DUMMYFUNCTION("""COMPUTED_VALUE"""),7.838888888888889)</f>
        <v>7.838888889</v>
      </c>
      <c r="J92" s="21">
        <f>IFERROR(__xludf.DUMMYFUNCTION("""COMPUTED_VALUE"""),53.0)</f>
        <v>53</v>
      </c>
      <c r="K92" s="23">
        <f>IFERROR(__xludf.DUMMYFUNCTION("""COMPUTED_VALUE"""),4.3)</f>
        <v>4.3</v>
      </c>
      <c r="L92" s="24">
        <f>IFERROR(__xludf.DUMMYFUNCTION("""COMPUTED_VALUE"""),10.0)</f>
        <v>10</v>
      </c>
      <c r="M92" s="25" t="str">
        <f>IFERROR(__xludf.DUMMYFUNCTION("""COMPUTED_VALUE"""),"Action-Adventure")</f>
        <v>Action-Adventure</v>
      </c>
      <c r="N92" s="25"/>
      <c r="O92" s="25" t="str">
        <f>IFERROR(__xludf.DUMMYFUNCTION("""COMPUTED_VALUE"""),"No")</f>
        <v>No</v>
      </c>
      <c r="P92" s="25"/>
    </row>
    <row r="93">
      <c r="A93" s="13" t="str">
        <f>IFERROR(__xludf.DUMMYFUNCTION("""COMPUTED_VALUE"""),"No Heroes Allowed: No Puzzles Either!")</f>
        <v>No Heroes Allowed: No Puzzles Either!</v>
      </c>
      <c r="B93" s="15" t="str">
        <f>IFERROR(__xludf.DUMMYFUNCTION("""COMPUTED_VALUE"""),"PS5")</f>
        <v>PS5</v>
      </c>
      <c r="C93" s="16" t="str">
        <f>IFERROR(__xludf.DUMMYFUNCTION("""COMPUTED_VALUE"""),"Premium (Classics)")</f>
        <v>Premium (Classics)</v>
      </c>
      <c r="D93" s="15" t="str">
        <f>IFERROR(__xludf.DUMMYFUNCTION("""COMPUTED_VALUE"""),"Active")</f>
        <v>Active</v>
      </c>
      <c r="E93" s="17">
        <f>IFERROR(__xludf.DUMMYFUNCTION("""COMPUTED_VALUE"""),44761.0)</f>
        <v>44761</v>
      </c>
      <c r="F93" s="18"/>
      <c r="G93" s="19">
        <f>IFERROR(__xludf.DUMMYFUNCTION("""COMPUTED_VALUE"""),50.56666666666666)</f>
        <v>50.56666667</v>
      </c>
      <c r="H93" s="17">
        <f>IFERROR(__xludf.DUMMYFUNCTION("""COMPUTED_VALUE"""),40290.0)</f>
        <v>40290</v>
      </c>
      <c r="I93" s="19">
        <f>IFERROR(__xludf.DUMMYFUNCTION("""COMPUTED_VALUE"""),12.241666666666667)</f>
        <v>12.24166667</v>
      </c>
      <c r="J93" s="21">
        <f>IFERROR(__xludf.DUMMYFUNCTION("""COMPUTED_VALUE"""),71.0)</f>
        <v>71</v>
      </c>
      <c r="K93" s="23">
        <f>IFERROR(__xludf.DUMMYFUNCTION("""COMPUTED_VALUE"""),6.7)</f>
        <v>6.7</v>
      </c>
      <c r="L93" s="17">
        <f>IFERROR(__xludf.DUMMYFUNCTION("""COMPUTED_VALUE"""),6.0)</f>
        <v>6</v>
      </c>
      <c r="M93" s="25" t="str">
        <f>IFERROR(__xludf.DUMMYFUNCTION("""COMPUTED_VALUE"""),"Puzzle")</f>
        <v>Puzzle</v>
      </c>
      <c r="N93" s="25" t="str">
        <f>IFERROR(__xludf.DUMMYFUNCTION("""COMPUTED_VALUE"""),"PSP")</f>
        <v>PSP</v>
      </c>
      <c r="O93" s="25" t="str">
        <f>IFERROR(__xludf.DUMMYFUNCTION("""COMPUTED_VALUE"""),"No")</f>
        <v>No</v>
      </c>
      <c r="P93" s="25"/>
    </row>
    <row r="94">
      <c r="A94" s="13" t="str">
        <f>IFERROR(__xludf.DUMMYFUNCTION("""COMPUTED_VALUE"""),"LocoRoco Midnight Carnival")</f>
        <v>LocoRoco Midnight Carnival</v>
      </c>
      <c r="B94" s="15" t="str">
        <f>IFERROR(__xludf.DUMMYFUNCTION("""COMPUTED_VALUE"""),"PS5")</f>
        <v>PS5</v>
      </c>
      <c r="C94" s="16" t="str">
        <f>IFERROR(__xludf.DUMMYFUNCTION("""COMPUTED_VALUE"""),"Premium (Classics)")</f>
        <v>Premium (Classics)</v>
      </c>
      <c r="D94" s="15" t="str">
        <f>IFERROR(__xludf.DUMMYFUNCTION("""COMPUTED_VALUE"""),"Active")</f>
        <v>Active</v>
      </c>
      <c r="E94" s="17">
        <f>IFERROR(__xludf.DUMMYFUNCTION("""COMPUTED_VALUE"""),44761.0)</f>
        <v>44761</v>
      </c>
      <c r="F94" s="18"/>
      <c r="G94" s="19">
        <f>IFERROR(__xludf.DUMMYFUNCTION("""COMPUTED_VALUE"""),50.56666666666666)</f>
        <v>50.56666667</v>
      </c>
      <c r="H94" s="17">
        <f>IFERROR(__xludf.DUMMYFUNCTION("""COMPUTED_VALUE"""),40115.0)</f>
        <v>40115</v>
      </c>
      <c r="I94" s="19">
        <f>IFERROR(__xludf.DUMMYFUNCTION("""COMPUTED_VALUE"""),12.722222222222221)</f>
        <v>12.72222222</v>
      </c>
      <c r="J94" s="21">
        <f>IFERROR(__xludf.DUMMYFUNCTION("""COMPUTED_VALUE"""),73.0)</f>
        <v>73</v>
      </c>
      <c r="K94" s="23">
        <f>IFERROR(__xludf.DUMMYFUNCTION("""COMPUTED_VALUE"""),7.7)</f>
        <v>7.7</v>
      </c>
      <c r="L94" s="24">
        <f>IFERROR(__xludf.DUMMYFUNCTION("""COMPUTED_VALUE"""),3.5)</f>
        <v>3.5</v>
      </c>
      <c r="M94" s="25" t="str">
        <f>IFERROR(__xludf.DUMMYFUNCTION("""COMPUTED_VALUE"""),"Puzzle")</f>
        <v>Puzzle</v>
      </c>
      <c r="N94" s="25" t="str">
        <f>IFERROR(__xludf.DUMMYFUNCTION("""COMPUTED_VALUE"""),"PSP")</f>
        <v>PSP</v>
      </c>
      <c r="O94" s="25" t="str">
        <f>IFERROR(__xludf.DUMMYFUNCTION("""COMPUTED_VALUE"""),"No")</f>
        <v>No</v>
      </c>
      <c r="P94" s="25"/>
    </row>
    <row r="95">
      <c r="A95" s="13" t="str">
        <f>IFERROR(__xludf.DUMMYFUNCTION("""COMPUTED_VALUE"""),"Returnal")</f>
        <v>Returnal</v>
      </c>
      <c r="B95" s="15" t="str">
        <f>IFERROR(__xludf.DUMMYFUNCTION("""COMPUTED_VALUE"""),"PS5")</f>
        <v>PS5</v>
      </c>
      <c r="C95" s="16" t="str">
        <f>IFERROR(__xludf.DUMMYFUNCTION("""COMPUTED_VALUE"""),"Extra")</f>
        <v>Extra</v>
      </c>
      <c r="D95" s="15" t="str">
        <f>IFERROR(__xludf.DUMMYFUNCTION("""COMPUTED_VALUE"""),"Active")</f>
        <v>Active</v>
      </c>
      <c r="E95" s="17">
        <f>IFERROR(__xludf.DUMMYFUNCTION("""COMPUTED_VALUE"""),44725.0)</f>
        <v>44725</v>
      </c>
      <c r="F95" s="18"/>
      <c r="G95" s="19">
        <f>IFERROR(__xludf.DUMMYFUNCTION("""COMPUTED_VALUE"""),51.766666666666666)</f>
        <v>51.76666667</v>
      </c>
      <c r="H95" s="17">
        <f>IFERROR(__xludf.DUMMYFUNCTION("""COMPUTED_VALUE"""),44316.0)</f>
        <v>44316</v>
      </c>
      <c r="I95" s="19">
        <f>IFERROR(__xludf.DUMMYFUNCTION("""COMPUTED_VALUE"""),1.1194444444444445)</f>
        <v>1.119444444</v>
      </c>
      <c r="J95" s="21">
        <f>IFERROR(__xludf.DUMMYFUNCTION("""COMPUTED_VALUE"""),86.0)</f>
        <v>86</v>
      </c>
      <c r="K95" s="23">
        <f>IFERROR(__xludf.DUMMYFUNCTION("""COMPUTED_VALUE"""),7.3)</f>
        <v>7.3</v>
      </c>
      <c r="L95" s="24">
        <f>IFERROR(__xludf.DUMMYFUNCTION("""COMPUTED_VALUE"""),20.5)</f>
        <v>20.5</v>
      </c>
      <c r="M95" s="25" t="str">
        <f>IFERROR(__xludf.DUMMYFUNCTION("""COMPUTED_VALUE"""),"Shooter")</f>
        <v>Shooter</v>
      </c>
      <c r="N95" s="25"/>
      <c r="O95" s="25" t="str">
        <f>IFERROR(__xludf.DUMMYFUNCTION("""COMPUTED_VALUE"""),"No")</f>
        <v>No</v>
      </c>
      <c r="P95" s="25"/>
    </row>
    <row r="96">
      <c r="A96" s="13" t="str">
        <f>IFERROR(__xludf.DUMMYFUNCTION("""COMPUTED_VALUE"""),"Skate")</f>
        <v>Skate</v>
      </c>
      <c r="B96" s="15" t="str">
        <f>IFERROR(__xludf.DUMMYFUNCTION("""COMPUTED_VALUE"""),"PS4/PSVR")</f>
        <v>PS4/PSVR</v>
      </c>
      <c r="C96" s="16" t="str">
        <f>IFERROR(__xludf.DUMMYFUNCTION("""COMPUTED_VALUE"""),"Extra")</f>
        <v>Extra</v>
      </c>
      <c r="D96" s="15" t="str">
        <f>IFERROR(__xludf.DUMMYFUNCTION("""COMPUTED_VALUE"""),"Active")</f>
        <v>Active</v>
      </c>
      <c r="E96" s="17">
        <f>IFERROR(__xludf.DUMMYFUNCTION("""COMPUTED_VALUE"""),44725.0)</f>
        <v>44725</v>
      </c>
      <c r="F96" s="54"/>
      <c r="G96" s="19">
        <f>IFERROR(__xludf.DUMMYFUNCTION("""COMPUTED_VALUE"""),51.766666666666666)</f>
        <v>51.76666667</v>
      </c>
      <c r="H96" s="17">
        <f>IFERROR(__xludf.DUMMYFUNCTION("""COMPUTED_VALUE"""),42583.0)</f>
        <v>42583</v>
      </c>
      <c r="I96" s="19">
        <f>IFERROR(__xludf.DUMMYFUNCTION("""COMPUTED_VALUE"""),5.866666666666666)</f>
        <v>5.866666667</v>
      </c>
      <c r="J96" s="21">
        <f>IFERROR(__xludf.DUMMYFUNCTION("""COMPUTED_VALUE"""),72.0)</f>
        <v>72</v>
      </c>
      <c r="K96" s="23">
        <f>IFERROR(__xludf.DUMMYFUNCTION("""COMPUTED_VALUE"""),8.0)</f>
        <v>8</v>
      </c>
      <c r="L96" s="24">
        <f>IFERROR(__xludf.DUMMYFUNCTION("""COMPUTED_VALUE"""),2.0)</f>
        <v>2</v>
      </c>
      <c r="M96" s="25" t="str">
        <f>IFERROR(__xludf.DUMMYFUNCTION("""COMPUTED_VALUE"""),"Platformer")</f>
        <v>Platformer</v>
      </c>
      <c r="N96" s="25"/>
      <c r="O96" s="25" t="str">
        <f>IFERROR(__xludf.DUMMYFUNCTION("""COMPUTED_VALUE"""),"No")</f>
        <v>No</v>
      </c>
      <c r="P96" s="25"/>
    </row>
    <row r="97">
      <c r="A97" s="13" t="str">
        <f>IFERROR(__xludf.DUMMYFUNCTION("""COMPUTED_VALUE"""),"Tetris Effect: Connected")</f>
        <v>Tetris Effect: Connected</v>
      </c>
      <c r="B97" s="15" t="str">
        <f>IFERROR(__xludf.DUMMYFUNCTION("""COMPUTED_VALUE"""),"PS4/PSVR")</f>
        <v>PS4/PSVR</v>
      </c>
      <c r="C97" s="16" t="str">
        <f>IFERROR(__xludf.DUMMYFUNCTION("""COMPUTED_VALUE"""),"Extra")</f>
        <v>Extra</v>
      </c>
      <c r="D97" s="15" t="str">
        <f>IFERROR(__xludf.DUMMYFUNCTION("""COMPUTED_VALUE"""),"Active")</f>
        <v>Active</v>
      </c>
      <c r="E97" s="17">
        <f>IFERROR(__xludf.DUMMYFUNCTION("""COMPUTED_VALUE"""),44725.0)</f>
        <v>44725</v>
      </c>
      <c r="F97" s="54"/>
      <c r="G97" s="19">
        <f>IFERROR(__xludf.DUMMYFUNCTION("""COMPUTED_VALUE"""),51.766666666666666)</f>
        <v>51.76666667</v>
      </c>
      <c r="H97" s="17">
        <f>IFERROR(__xludf.DUMMYFUNCTION("""COMPUTED_VALUE"""),44145.0)</f>
        <v>44145</v>
      </c>
      <c r="I97" s="19">
        <f>IFERROR(__xludf.DUMMYFUNCTION("""COMPUTED_VALUE"""),1.5916666666666666)</f>
        <v>1.591666667</v>
      </c>
      <c r="J97" s="21">
        <f>IFERROR(__xludf.DUMMYFUNCTION("""COMPUTED_VALUE"""),90.0)</f>
        <v>90</v>
      </c>
      <c r="K97" s="23">
        <f>IFERROR(__xludf.DUMMYFUNCTION("""COMPUTED_VALUE"""),7.4)</f>
        <v>7.4</v>
      </c>
      <c r="L97" s="24">
        <f>IFERROR(__xludf.DUMMYFUNCTION("""COMPUTED_VALUE"""),3.0)</f>
        <v>3</v>
      </c>
      <c r="M97" s="25" t="str">
        <f>IFERROR(__xludf.DUMMYFUNCTION("""COMPUTED_VALUE"""),"Puzzle")</f>
        <v>Puzzle</v>
      </c>
      <c r="N97" s="25"/>
      <c r="O97" s="25" t="str">
        <f>IFERROR(__xludf.DUMMYFUNCTION("""COMPUTED_VALUE"""),"No")</f>
        <v>No</v>
      </c>
      <c r="P97" s="25" t="str">
        <f>IFERROR(__xludf.DUMMYFUNCTION("""COMPUTED_VALUE"""),"Yes")</f>
        <v>Yes</v>
      </c>
    </row>
    <row r="98">
      <c r="A98" s="13" t="str">
        <f>IFERROR(__xludf.DUMMYFUNCTION("""COMPUTED_VALUE"""),"Death end re;Quest")</f>
        <v>Death end re;Quest</v>
      </c>
      <c r="B98" s="15" t="str">
        <f>IFERROR(__xludf.DUMMYFUNCTION("""COMPUTED_VALUE"""),"PS4")</f>
        <v>PS4</v>
      </c>
      <c r="C98" s="16" t="str">
        <f>IFERROR(__xludf.DUMMYFUNCTION("""COMPUTED_VALUE"""),"Extra")</f>
        <v>Extra</v>
      </c>
      <c r="D98" s="15" t="str">
        <f>IFERROR(__xludf.DUMMYFUNCTION("""COMPUTED_VALUE"""),"Active")</f>
        <v>Active</v>
      </c>
      <c r="E98" s="17">
        <f>IFERROR(__xludf.DUMMYFUNCTION("""COMPUTED_VALUE"""),44725.0)</f>
        <v>44725</v>
      </c>
      <c r="F98" s="54"/>
      <c r="G98" s="19">
        <f>IFERROR(__xludf.DUMMYFUNCTION("""COMPUTED_VALUE"""),51.766666666666666)</f>
        <v>51.76666667</v>
      </c>
      <c r="H98" s="17">
        <f>IFERROR(__xludf.DUMMYFUNCTION("""COMPUTED_VALUE"""),43202.0)</f>
        <v>43202</v>
      </c>
      <c r="I98" s="19">
        <f>IFERROR(__xludf.DUMMYFUNCTION("""COMPUTED_VALUE"""),4.169444444444444)</f>
        <v>4.169444444</v>
      </c>
      <c r="J98" s="21">
        <f>IFERROR(__xludf.DUMMYFUNCTION("""COMPUTED_VALUE"""),71.0)</f>
        <v>71</v>
      </c>
      <c r="K98" s="23">
        <f>IFERROR(__xludf.DUMMYFUNCTION("""COMPUTED_VALUE"""),7.4)</f>
        <v>7.4</v>
      </c>
      <c r="L98" s="24">
        <f>IFERROR(__xludf.DUMMYFUNCTION("""COMPUTED_VALUE"""),24.5)</f>
        <v>24.5</v>
      </c>
      <c r="M98" s="25" t="str">
        <f>IFERROR(__xludf.DUMMYFUNCTION("""COMPUTED_VALUE"""),"RPG")</f>
        <v>RPG</v>
      </c>
      <c r="N98" s="25"/>
      <c r="O98" s="25" t="str">
        <f>IFERROR(__xludf.DUMMYFUNCTION("""COMPUTED_VALUE"""),"No")</f>
        <v>No</v>
      </c>
      <c r="P98" s="25"/>
    </row>
    <row r="99">
      <c r="A99" s="13" t="str">
        <f>IFERROR(__xludf.DUMMYFUNCTION("""COMPUTED_VALUE"""),"Dragon Star Varnir")</f>
        <v>Dragon Star Varnir</v>
      </c>
      <c r="B99" s="15" t="str">
        <f>IFERROR(__xludf.DUMMYFUNCTION("""COMPUTED_VALUE"""),"PS4")</f>
        <v>PS4</v>
      </c>
      <c r="C99" s="16" t="str">
        <f>IFERROR(__xludf.DUMMYFUNCTION("""COMPUTED_VALUE"""),"Extra")</f>
        <v>Extra</v>
      </c>
      <c r="D99" s="15" t="str">
        <f>IFERROR(__xludf.DUMMYFUNCTION("""COMPUTED_VALUE"""),"Active")</f>
        <v>Active</v>
      </c>
      <c r="E99" s="17">
        <f>IFERROR(__xludf.DUMMYFUNCTION("""COMPUTED_VALUE"""),44725.0)</f>
        <v>44725</v>
      </c>
      <c r="F99" s="54"/>
      <c r="G99" s="19">
        <f>IFERROR(__xludf.DUMMYFUNCTION("""COMPUTED_VALUE"""),51.766666666666666)</f>
        <v>51.76666667</v>
      </c>
      <c r="H99" s="17">
        <f>IFERROR(__xludf.DUMMYFUNCTION("""COMPUTED_VALUE"""),43384.0)</f>
        <v>43384</v>
      </c>
      <c r="I99" s="19">
        <f>IFERROR(__xludf.DUMMYFUNCTION("""COMPUTED_VALUE"""),3.672222222222222)</f>
        <v>3.672222222</v>
      </c>
      <c r="J99" s="21">
        <f>IFERROR(__xludf.DUMMYFUNCTION("""COMPUTED_VALUE"""),75.0)</f>
        <v>75</v>
      </c>
      <c r="K99" s="23">
        <f>IFERROR(__xludf.DUMMYFUNCTION("""COMPUTED_VALUE"""),7.1)</f>
        <v>7.1</v>
      </c>
      <c r="L99" s="24">
        <f>IFERROR(__xludf.DUMMYFUNCTION("""COMPUTED_VALUE"""),16.5)</f>
        <v>16.5</v>
      </c>
      <c r="M99" s="25" t="str">
        <f>IFERROR(__xludf.DUMMYFUNCTION("""COMPUTED_VALUE"""),"RPG")</f>
        <v>RPG</v>
      </c>
      <c r="N99" s="25"/>
      <c r="O99" s="25" t="str">
        <f>IFERROR(__xludf.DUMMYFUNCTION("""COMPUTED_VALUE"""),"No")</f>
        <v>No</v>
      </c>
      <c r="P99" s="25"/>
    </row>
    <row r="100">
      <c r="A100" s="13" t="str">
        <f>IFERROR(__xludf.DUMMYFUNCTION("""COMPUTED_VALUE"""),"Dynasty Warriors 8: Empires")</f>
        <v>Dynasty Warriors 8: Empires</v>
      </c>
      <c r="B100" s="15" t="str">
        <f>IFERROR(__xludf.DUMMYFUNCTION("""COMPUTED_VALUE"""),"PS4")</f>
        <v>PS4</v>
      </c>
      <c r="C100" s="16" t="str">
        <f>IFERROR(__xludf.DUMMYFUNCTION("""COMPUTED_VALUE"""),"Extra")</f>
        <v>Extra</v>
      </c>
      <c r="D100" s="15" t="str">
        <f>IFERROR(__xludf.DUMMYFUNCTION("""COMPUTED_VALUE"""),"Active")</f>
        <v>Active</v>
      </c>
      <c r="E100" s="17">
        <f>IFERROR(__xludf.DUMMYFUNCTION("""COMPUTED_VALUE"""),44725.0)</f>
        <v>44725</v>
      </c>
      <c r="F100" s="54"/>
      <c r="G100" s="19">
        <f>IFERROR(__xludf.DUMMYFUNCTION("""COMPUTED_VALUE"""),51.766666666666666)</f>
        <v>51.76666667</v>
      </c>
      <c r="H100" s="17">
        <f>IFERROR(__xludf.DUMMYFUNCTION("""COMPUTED_VALUE"""),41963.0)</f>
        <v>41963</v>
      </c>
      <c r="I100" s="19">
        <f>IFERROR(__xludf.DUMMYFUNCTION("""COMPUTED_VALUE"""),7.563888888888889)</f>
        <v>7.563888889</v>
      </c>
      <c r="J100" s="21">
        <f>IFERROR(__xludf.DUMMYFUNCTION("""COMPUTED_VALUE"""),68.0)</f>
        <v>68</v>
      </c>
      <c r="K100" s="23">
        <f>IFERROR(__xludf.DUMMYFUNCTION("""COMPUTED_VALUE"""),6.9)</f>
        <v>6.9</v>
      </c>
      <c r="L100" s="24">
        <f>IFERROR(__xludf.DUMMYFUNCTION("""COMPUTED_VALUE"""),12.5)</f>
        <v>12.5</v>
      </c>
      <c r="M100" s="25" t="str">
        <f>IFERROR(__xludf.DUMMYFUNCTION("""COMPUTED_VALUE"""),"Action-Adventure")</f>
        <v>Action-Adventure</v>
      </c>
      <c r="N100" s="25"/>
      <c r="O100" s="25" t="str">
        <f>IFERROR(__xludf.DUMMYFUNCTION("""COMPUTED_VALUE"""),"No")</f>
        <v>No</v>
      </c>
      <c r="P100" s="25" t="str">
        <f>IFERROR(__xludf.DUMMYFUNCTION("""COMPUTED_VALUE"""),"Yes")</f>
        <v>Yes</v>
      </c>
    </row>
    <row r="101">
      <c r="A101" s="13" t="str">
        <f>IFERROR(__xludf.DUMMYFUNCTION("""COMPUTED_VALUE"""),"Harvest Moon: Mad Dash")</f>
        <v>Harvest Moon: Mad Dash</v>
      </c>
      <c r="B101" s="15" t="str">
        <f>IFERROR(__xludf.DUMMYFUNCTION("""COMPUTED_VALUE"""),"PS4")</f>
        <v>PS4</v>
      </c>
      <c r="C101" s="16" t="str">
        <f>IFERROR(__xludf.DUMMYFUNCTION("""COMPUTED_VALUE"""),"Extra")</f>
        <v>Extra</v>
      </c>
      <c r="D101" s="15" t="str">
        <f>IFERROR(__xludf.DUMMYFUNCTION("""COMPUTED_VALUE"""),"Active")</f>
        <v>Active</v>
      </c>
      <c r="E101" s="17">
        <f>IFERROR(__xludf.DUMMYFUNCTION("""COMPUTED_VALUE"""),44725.0)</f>
        <v>44725</v>
      </c>
      <c r="F101" s="54"/>
      <c r="G101" s="19">
        <f>IFERROR(__xludf.DUMMYFUNCTION("""COMPUTED_VALUE"""),51.766666666666666)</f>
        <v>51.76666667</v>
      </c>
      <c r="H101" s="17">
        <f>IFERROR(__xludf.DUMMYFUNCTION("""COMPUTED_VALUE"""),43767.0)</f>
        <v>43767</v>
      </c>
      <c r="I101" s="19">
        <f>IFERROR(__xludf.DUMMYFUNCTION("""COMPUTED_VALUE"""),2.6222222222222222)</f>
        <v>2.622222222</v>
      </c>
      <c r="J101" s="21">
        <f>IFERROR(__xludf.DUMMYFUNCTION("""COMPUTED_VALUE"""),37.0)</f>
        <v>37</v>
      </c>
      <c r="K101" s="23">
        <f>IFERROR(__xludf.DUMMYFUNCTION("""COMPUTED_VALUE"""),6.2)</f>
        <v>6.2</v>
      </c>
      <c r="L101" s="24">
        <f>IFERROR(__xludf.DUMMYFUNCTION("""COMPUTED_VALUE"""),9.0)</f>
        <v>9</v>
      </c>
      <c r="M101" s="25" t="str">
        <f>IFERROR(__xludf.DUMMYFUNCTION("""COMPUTED_VALUE"""),"Puzzle")</f>
        <v>Puzzle</v>
      </c>
      <c r="N101" s="25"/>
      <c r="O101" s="25" t="str">
        <f>IFERROR(__xludf.DUMMYFUNCTION("""COMPUTED_VALUE"""),"No")</f>
        <v>No</v>
      </c>
      <c r="P101" s="25" t="str">
        <f>IFERROR(__xludf.DUMMYFUNCTION("""COMPUTED_VALUE"""),"Yes")</f>
        <v>Yes</v>
      </c>
    </row>
    <row r="102">
      <c r="A102" s="13" t="str">
        <f>IFERROR(__xludf.DUMMYFUNCTION("""COMPUTED_VALUE"""),"Hotline Miami 2: Wrong Number")</f>
        <v>Hotline Miami 2: Wrong Number</v>
      </c>
      <c r="B102" s="15" t="str">
        <f>IFERROR(__xludf.DUMMYFUNCTION("""COMPUTED_VALUE"""),"PS5/PS4")</f>
        <v>PS5/PS4</v>
      </c>
      <c r="C102" s="16" t="str">
        <f>IFERROR(__xludf.DUMMYFUNCTION("""COMPUTED_VALUE"""),"Extra")</f>
        <v>Extra</v>
      </c>
      <c r="D102" s="15" t="str">
        <f>IFERROR(__xludf.DUMMYFUNCTION("""COMPUTED_VALUE"""),"Active")</f>
        <v>Active</v>
      </c>
      <c r="E102" s="17">
        <f>IFERROR(__xludf.DUMMYFUNCTION("""COMPUTED_VALUE"""),44725.0)</f>
        <v>44725</v>
      </c>
      <c r="F102" s="54"/>
      <c r="G102" s="19">
        <f>IFERROR(__xludf.DUMMYFUNCTION("""COMPUTED_VALUE"""),51.766666666666666)</f>
        <v>51.76666667</v>
      </c>
      <c r="H102" s="17">
        <f>IFERROR(__xludf.DUMMYFUNCTION("""COMPUTED_VALUE"""),42073.0)</f>
        <v>42073</v>
      </c>
      <c r="I102" s="19">
        <f>IFERROR(__xludf.DUMMYFUNCTION("""COMPUTED_VALUE"""),7.258333333333334)</f>
        <v>7.258333333</v>
      </c>
      <c r="J102" s="21">
        <f>IFERROR(__xludf.DUMMYFUNCTION("""COMPUTED_VALUE"""),74.0)</f>
        <v>74</v>
      </c>
      <c r="K102" s="23">
        <f>IFERROR(__xludf.DUMMYFUNCTION("""COMPUTED_VALUE"""),7.7)</f>
        <v>7.7</v>
      </c>
      <c r="L102" s="24">
        <f>IFERROR(__xludf.DUMMYFUNCTION("""COMPUTED_VALUE"""),8.5)</f>
        <v>8.5</v>
      </c>
      <c r="M102" s="25" t="str">
        <f>IFERROR(__xludf.DUMMYFUNCTION("""COMPUTED_VALUE"""),"Action-Adventure")</f>
        <v>Action-Adventure</v>
      </c>
      <c r="N102" s="25"/>
      <c r="O102" s="25" t="str">
        <f>IFERROR(__xludf.DUMMYFUNCTION("""COMPUTED_VALUE"""),"No")</f>
        <v>No</v>
      </c>
      <c r="P102" s="25"/>
    </row>
    <row r="103">
      <c r="A103" s="13" t="str">
        <f>IFERROR(__xludf.DUMMYFUNCTION("""COMPUTED_VALUE"""),"Megadimension Neptunia VII")</f>
        <v>Megadimension Neptunia VII</v>
      </c>
      <c r="B103" s="15" t="str">
        <f>IFERROR(__xludf.DUMMYFUNCTION("""COMPUTED_VALUE"""),"PS4")</f>
        <v>PS4</v>
      </c>
      <c r="C103" s="16" t="str">
        <f>IFERROR(__xludf.DUMMYFUNCTION("""COMPUTED_VALUE"""),"Extra")</f>
        <v>Extra</v>
      </c>
      <c r="D103" s="15" t="str">
        <f>IFERROR(__xludf.DUMMYFUNCTION("""COMPUTED_VALUE"""),"Active")</f>
        <v>Active</v>
      </c>
      <c r="E103" s="17">
        <f>IFERROR(__xludf.DUMMYFUNCTION("""COMPUTED_VALUE"""),44725.0)</f>
        <v>44725</v>
      </c>
      <c r="F103" s="54"/>
      <c r="G103" s="19">
        <f>IFERROR(__xludf.DUMMYFUNCTION("""COMPUTED_VALUE"""),51.766666666666666)</f>
        <v>51.76666667</v>
      </c>
      <c r="H103" s="17">
        <f>IFERROR(__xludf.DUMMYFUNCTION("""COMPUTED_VALUE"""),42402.0)</f>
        <v>42402</v>
      </c>
      <c r="I103" s="19">
        <f>IFERROR(__xludf.DUMMYFUNCTION("""COMPUTED_VALUE"""),6.363888888888889)</f>
        <v>6.363888889</v>
      </c>
      <c r="J103" s="21">
        <f>IFERROR(__xludf.DUMMYFUNCTION("""COMPUTED_VALUE"""),73.0)</f>
        <v>73</v>
      </c>
      <c r="K103" s="23">
        <f>IFERROR(__xludf.DUMMYFUNCTION("""COMPUTED_VALUE"""),7.9)</f>
        <v>7.9</v>
      </c>
      <c r="L103" s="24">
        <f>IFERROR(__xludf.DUMMYFUNCTION("""COMPUTED_VALUE"""),36.0)</f>
        <v>36</v>
      </c>
      <c r="M103" s="25" t="str">
        <f>IFERROR(__xludf.DUMMYFUNCTION("""COMPUTED_VALUE"""),"RPG")</f>
        <v>RPG</v>
      </c>
      <c r="N103" s="25"/>
      <c r="O103" s="25" t="str">
        <f>IFERROR(__xludf.DUMMYFUNCTION("""COMPUTED_VALUE"""),"No")</f>
        <v>No</v>
      </c>
      <c r="P103" s="25"/>
    </row>
    <row r="104">
      <c r="A104" s="13" t="str">
        <f>IFERROR(__xludf.DUMMYFUNCTION("""COMPUTED_VALUE"""),"Rock of Ages 3: Make &amp; Break")</f>
        <v>Rock of Ages 3: Make &amp; Break</v>
      </c>
      <c r="B104" s="15" t="str">
        <f>IFERROR(__xludf.DUMMYFUNCTION("""COMPUTED_VALUE"""),"PS4")</f>
        <v>PS4</v>
      </c>
      <c r="C104" s="16" t="str">
        <f>IFERROR(__xludf.DUMMYFUNCTION("""COMPUTED_VALUE"""),"Extra")</f>
        <v>Extra</v>
      </c>
      <c r="D104" s="15" t="str">
        <f>IFERROR(__xludf.DUMMYFUNCTION("""COMPUTED_VALUE"""),"Active")</f>
        <v>Active</v>
      </c>
      <c r="E104" s="17">
        <f>IFERROR(__xludf.DUMMYFUNCTION("""COMPUTED_VALUE"""),44725.0)</f>
        <v>44725</v>
      </c>
      <c r="F104" s="54"/>
      <c r="G104" s="19">
        <f>IFERROR(__xludf.DUMMYFUNCTION("""COMPUTED_VALUE"""),51.766666666666666)</f>
        <v>51.76666667</v>
      </c>
      <c r="H104" s="17">
        <f>IFERROR(__xludf.DUMMYFUNCTION("""COMPUTED_VALUE"""),44033.0)</f>
        <v>44033</v>
      </c>
      <c r="I104" s="19">
        <f>IFERROR(__xludf.DUMMYFUNCTION("""COMPUTED_VALUE"""),1.8944444444444444)</f>
        <v>1.894444444</v>
      </c>
      <c r="J104" s="21">
        <f>IFERROR(__xludf.DUMMYFUNCTION("""COMPUTED_VALUE"""),71.0)</f>
        <v>71</v>
      </c>
      <c r="K104" s="23">
        <f>IFERROR(__xludf.DUMMYFUNCTION("""COMPUTED_VALUE"""),6.9)</f>
        <v>6.9</v>
      </c>
      <c r="L104" s="24">
        <f>IFERROR(__xludf.DUMMYFUNCTION("""COMPUTED_VALUE"""),8.0)</f>
        <v>8</v>
      </c>
      <c r="M104" s="25" t="str">
        <f>IFERROR(__xludf.DUMMYFUNCTION("""COMPUTED_VALUE"""),"Strategy")</f>
        <v>Strategy</v>
      </c>
      <c r="N104" s="25"/>
      <c r="O104" s="25" t="str">
        <f>IFERROR(__xludf.DUMMYFUNCTION("""COMPUTED_VALUE"""),"No")</f>
        <v>No</v>
      </c>
      <c r="P104" s="25" t="str">
        <f>IFERROR(__xludf.DUMMYFUNCTION("""COMPUTED_VALUE"""),"Yes")</f>
        <v>Yes</v>
      </c>
    </row>
    <row r="105">
      <c r="A105" s="13" t="str">
        <f>IFERROR(__xludf.DUMMYFUNCTION("""COMPUTED_VALUE"""),"Secret Neighbor")</f>
        <v>Secret Neighbor</v>
      </c>
      <c r="B105" s="15" t="str">
        <f>IFERROR(__xludf.DUMMYFUNCTION("""COMPUTED_VALUE"""),"PS4")</f>
        <v>PS4</v>
      </c>
      <c r="C105" s="16" t="str">
        <f>IFERROR(__xludf.DUMMYFUNCTION("""COMPUTED_VALUE"""),"Extra")</f>
        <v>Extra</v>
      </c>
      <c r="D105" s="15" t="str">
        <f>IFERROR(__xludf.DUMMYFUNCTION("""COMPUTED_VALUE"""),"Active")</f>
        <v>Active</v>
      </c>
      <c r="E105" s="17">
        <f>IFERROR(__xludf.DUMMYFUNCTION("""COMPUTED_VALUE"""),44725.0)</f>
        <v>44725</v>
      </c>
      <c r="F105" s="18"/>
      <c r="G105" s="19">
        <f>IFERROR(__xludf.DUMMYFUNCTION("""COMPUTED_VALUE"""),51.766666666666666)</f>
        <v>51.76666667</v>
      </c>
      <c r="H105" s="17">
        <f>IFERROR(__xludf.DUMMYFUNCTION("""COMPUTED_VALUE"""),43762.0)</f>
        <v>43762</v>
      </c>
      <c r="I105" s="19">
        <f>IFERROR(__xludf.DUMMYFUNCTION("""COMPUTED_VALUE"""),2.636111111111111)</f>
        <v>2.636111111</v>
      </c>
      <c r="J105" s="21">
        <f>IFERROR(__xludf.DUMMYFUNCTION("""COMPUTED_VALUE"""),54.0)</f>
        <v>54</v>
      </c>
      <c r="K105" s="23">
        <f>IFERROR(__xludf.DUMMYFUNCTION("""COMPUTED_VALUE"""),5.7)</f>
        <v>5.7</v>
      </c>
      <c r="L105" s="24"/>
      <c r="M105" s="25" t="str">
        <f>IFERROR(__xludf.DUMMYFUNCTION("""COMPUTED_VALUE"""),"Horror")</f>
        <v>Horror</v>
      </c>
      <c r="N105" s="25"/>
      <c r="O105" s="25" t="str">
        <f>IFERROR(__xludf.DUMMYFUNCTION("""COMPUTED_VALUE"""),"No")</f>
        <v>No</v>
      </c>
      <c r="P105" s="25" t="str">
        <f>IFERROR(__xludf.DUMMYFUNCTION("""COMPUTED_VALUE"""),"Yes")</f>
        <v>Yes</v>
      </c>
    </row>
    <row r="106">
      <c r="A106" s="13" t="str">
        <f>IFERROR(__xludf.DUMMYFUNCTION("""COMPUTED_VALUE"""),"Ys IX: Monstrum Nox")</f>
        <v>Ys IX: Monstrum Nox</v>
      </c>
      <c r="B106" s="15" t="str">
        <f>IFERROR(__xludf.DUMMYFUNCTION("""COMPUTED_VALUE"""),"PS4")</f>
        <v>PS4</v>
      </c>
      <c r="C106" s="16" t="str">
        <f>IFERROR(__xludf.DUMMYFUNCTION("""COMPUTED_VALUE"""),"Extra")</f>
        <v>Extra</v>
      </c>
      <c r="D106" s="15" t="str">
        <f>IFERROR(__xludf.DUMMYFUNCTION("""COMPUTED_VALUE"""),"Active")</f>
        <v>Active</v>
      </c>
      <c r="E106" s="17">
        <f>IFERROR(__xludf.DUMMYFUNCTION("""COMPUTED_VALUE"""),44725.0)</f>
        <v>44725</v>
      </c>
      <c r="F106" s="54"/>
      <c r="G106" s="19">
        <f>IFERROR(__xludf.DUMMYFUNCTION("""COMPUTED_VALUE"""),51.766666666666666)</f>
        <v>51.76666667</v>
      </c>
      <c r="H106" s="17">
        <f>IFERROR(__xludf.DUMMYFUNCTION("""COMPUTED_VALUE"""),44229.0)</f>
        <v>44229</v>
      </c>
      <c r="I106" s="19">
        <f>IFERROR(__xludf.DUMMYFUNCTION("""COMPUTED_VALUE"""),1.363888888888889)</f>
        <v>1.363888889</v>
      </c>
      <c r="J106" s="21">
        <f>IFERROR(__xludf.DUMMYFUNCTION("""COMPUTED_VALUE"""),75.0)</f>
        <v>75</v>
      </c>
      <c r="K106" s="23">
        <f>IFERROR(__xludf.DUMMYFUNCTION("""COMPUTED_VALUE"""),7.8)</f>
        <v>7.8</v>
      </c>
      <c r="L106" s="24">
        <f>IFERROR(__xludf.DUMMYFUNCTION("""COMPUTED_VALUE"""),40.0)</f>
        <v>40</v>
      </c>
      <c r="M106" s="25" t="str">
        <f>IFERROR(__xludf.DUMMYFUNCTION("""COMPUTED_VALUE"""),"RPG")</f>
        <v>RPG</v>
      </c>
      <c r="N106" s="25"/>
      <c r="O106" s="25" t="str">
        <f>IFERROR(__xludf.DUMMYFUNCTION("""COMPUTED_VALUE"""),"No")</f>
        <v>No</v>
      </c>
      <c r="P106" s="25"/>
    </row>
    <row r="107">
      <c r="A107" s="13" t="str">
        <f>IFERROR(__xludf.DUMMYFUNCTION("""COMPUTED_VALUE"""),"Ys VIII: Lacrimosa of DANA")</f>
        <v>Ys VIII: Lacrimosa of DANA</v>
      </c>
      <c r="B107" s="15" t="str">
        <f>IFERROR(__xludf.DUMMYFUNCTION("""COMPUTED_VALUE"""),"PS4")</f>
        <v>PS4</v>
      </c>
      <c r="C107" s="16" t="str">
        <f>IFERROR(__xludf.DUMMYFUNCTION("""COMPUTED_VALUE"""),"Extra")</f>
        <v>Extra</v>
      </c>
      <c r="D107" s="15" t="str">
        <f>IFERROR(__xludf.DUMMYFUNCTION("""COMPUTED_VALUE"""),"Active")</f>
        <v>Active</v>
      </c>
      <c r="E107" s="17">
        <f>IFERROR(__xludf.DUMMYFUNCTION("""COMPUTED_VALUE"""),44725.0)</f>
        <v>44725</v>
      </c>
      <c r="F107" s="54"/>
      <c r="G107" s="19">
        <f>IFERROR(__xludf.DUMMYFUNCTION("""COMPUTED_VALUE"""),51.766666666666666)</f>
        <v>51.76666667</v>
      </c>
      <c r="H107" s="17">
        <f>IFERROR(__xludf.DUMMYFUNCTION("""COMPUTED_VALUE"""),42990.0)</f>
        <v>42990</v>
      </c>
      <c r="I107" s="19">
        <f>IFERROR(__xludf.DUMMYFUNCTION("""COMPUTED_VALUE"""),4.752777777777778)</f>
        <v>4.752777778</v>
      </c>
      <c r="J107" s="21">
        <f>IFERROR(__xludf.DUMMYFUNCTION("""COMPUTED_VALUE"""),85.0)</f>
        <v>85</v>
      </c>
      <c r="K107" s="23">
        <f>IFERROR(__xludf.DUMMYFUNCTION("""COMPUTED_VALUE"""),8.4)</f>
        <v>8.4</v>
      </c>
      <c r="L107" s="24">
        <f>IFERROR(__xludf.DUMMYFUNCTION("""COMPUTED_VALUE"""),37.0)</f>
        <v>37</v>
      </c>
      <c r="M107" s="25" t="str">
        <f>IFERROR(__xludf.DUMMYFUNCTION("""COMPUTED_VALUE"""),"RPG")</f>
        <v>RPG</v>
      </c>
      <c r="N107" s="25"/>
      <c r="O107" s="25" t="str">
        <f>IFERROR(__xludf.DUMMYFUNCTION("""COMPUTED_VALUE"""),"No")</f>
        <v>No</v>
      </c>
      <c r="P107" s="25"/>
    </row>
    <row r="108">
      <c r="A108" s="13" t="str">
        <f>IFERROR(__xludf.DUMMYFUNCTION("""COMPUTED_VALUE"""),"Matterfall")</f>
        <v>Matterfall</v>
      </c>
      <c r="B108" s="15" t="str">
        <f>IFERROR(__xludf.DUMMYFUNCTION("""COMPUTED_VALUE"""),"PS4")</f>
        <v>PS4</v>
      </c>
      <c r="C108" s="16" t="str">
        <f>IFERROR(__xludf.DUMMYFUNCTION("""COMPUTED_VALUE"""),"Extra")</f>
        <v>Extra</v>
      </c>
      <c r="D108" s="15" t="str">
        <f>IFERROR(__xludf.DUMMYFUNCTION("""COMPUTED_VALUE"""),"Active")</f>
        <v>Active</v>
      </c>
      <c r="E108" s="17">
        <f>IFERROR(__xludf.DUMMYFUNCTION("""COMPUTED_VALUE"""),44725.0)</f>
        <v>44725</v>
      </c>
      <c r="F108" s="54"/>
      <c r="G108" s="19">
        <f>IFERROR(__xludf.DUMMYFUNCTION("""COMPUTED_VALUE"""),51.766666666666666)</f>
        <v>51.76666667</v>
      </c>
      <c r="H108" s="17">
        <f>IFERROR(__xludf.DUMMYFUNCTION("""COMPUTED_VALUE"""),42962.0)</f>
        <v>42962</v>
      </c>
      <c r="I108" s="19">
        <f>IFERROR(__xludf.DUMMYFUNCTION("""COMPUTED_VALUE"""),4.8277777777777775)</f>
        <v>4.827777778</v>
      </c>
      <c r="J108" s="21">
        <f>IFERROR(__xludf.DUMMYFUNCTION("""COMPUTED_VALUE"""),74.0)</f>
        <v>74</v>
      </c>
      <c r="K108" s="23">
        <f>IFERROR(__xludf.DUMMYFUNCTION("""COMPUTED_VALUE"""),6.7)</f>
        <v>6.7</v>
      </c>
      <c r="L108" s="24">
        <f>IFERROR(__xludf.DUMMYFUNCTION("""COMPUTED_VALUE"""),4.0)</f>
        <v>4</v>
      </c>
      <c r="M108" s="25" t="str">
        <f>IFERROR(__xludf.DUMMYFUNCTION("""COMPUTED_VALUE"""),"Platformer")</f>
        <v>Platformer</v>
      </c>
      <c r="N108" s="25"/>
      <c r="O108" s="25" t="str">
        <f>IFERROR(__xludf.DUMMYFUNCTION("""COMPUTED_VALUE"""),"No")</f>
        <v>No</v>
      </c>
      <c r="P108" s="25"/>
    </row>
    <row r="109">
      <c r="A109" s="13" t="str">
        <f>IFERROR(__xludf.DUMMYFUNCTION("""COMPUTED_VALUE"""),"Space Junkies")</f>
        <v>Space Junkies</v>
      </c>
      <c r="B109" s="15" t="str">
        <f>IFERROR(__xludf.DUMMYFUNCTION("""COMPUTED_VALUE"""),"PS4/PSVR")</f>
        <v>PS4/PSVR</v>
      </c>
      <c r="C109" s="16" t="str">
        <f>IFERROR(__xludf.DUMMYFUNCTION("""COMPUTED_VALUE"""),"Extra (Ubisoft+ Classics)")</f>
        <v>Extra (Ubisoft+ Classics)</v>
      </c>
      <c r="D109" s="15" t="str">
        <f>IFERROR(__xludf.DUMMYFUNCTION("""COMPUTED_VALUE"""),"Active")</f>
        <v>Active</v>
      </c>
      <c r="E109" s="17">
        <f>IFERROR(__xludf.DUMMYFUNCTION("""COMPUTED_VALUE"""),44725.0)</f>
        <v>44725</v>
      </c>
      <c r="F109" s="54"/>
      <c r="G109" s="19">
        <f>IFERROR(__xludf.DUMMYFUNCTION("""COMPUTED_VALUE"""),51.766666666666666)</f>
        <v>51.76666667</v>
      </c>
      <c r="H109" s="17">
        <f>IFERROR(__xludf.DUMMYFUNCTION("""COMPUTED_VALUE"""),43557.0)</f>
        <v>43557</v>
      </c>
      <c r="I109" s="19">
        <f>IFERROR(__xludf.DUMMYFUNCTION("""COMPUTED_VALUE"""),3.1972222222222224)</f>
        <v>3.197222222</v>
      </c>
      <c r="J109" s="21">
        <f>IFERROR(__xludf.DUMMYFUNCTION("""COMPUTED_VALUE"""),66.0)</f>
        <v>66</v>
      </c>
      <c r="K109" s="23">
        <f>IFERROR(__xludf.DUMMYFUNCTION("""COMPUTED_VALUE"""),6.5)</f>
        <v>6.5</v>
      </c>
      <c r="L109" s="24"/>
      <c r="M109" s="25" t="str">
        <f>IFERROR(__xludf.DUMMYFUNCTION("""COMPUTED_VALUE"""),"Shooter")</f>
        <v>Shooter</v>
      </c>
      <c r="N109" s="25"/>
      <c r="O109" s="25" t="str">
        <f>IFERROR(__xludf.DUMMYFUNCTION("""COMPUTED_VALUE"""),"No")</f>
        <v>No</v>
      </c>
      <c r="P109" s="25"/>
    </row>
    <row r="110">
      <c r="A110" s="13" t="str">
        <f>IFERROR(__xludf.DUMMYFUNCTION("""COMPUTED_VALUE"""),"Transference")</f>
        <v>Transference</v>
      </c>
      <c r="B110" s="15" t="str">
        <f>IFERROR(__xludf.DUMMYFUNCTION("""COMPUTED_VALUE"""),"PS4/PSVR")</f>
        <v>PS4/PSVR</v>
      </c>
      <c r="C110" s="16" t="str">
        <f>IFERROR(__xludf.DUMMYFUNCTION("""COMPUTED_VALUE"""),"Extra (Ubisoft+ Classics)")</f>
        <v>Extra (Ubisoft+ Classics)</v>
      </c>
      <c r="D110" s="15" t="str">
        <f>IFERROR(__xludf.DUMMYFUNCTION("""COMPUTED_VALUE"""),"Active")</f>
        <v>Active</v>
      </c>
      <c r="E110" s="17">
        <f>IFERROR(__xludf.DUMMYFUNCTION("""COMPUTED_VALUE"""),44725.0)</f>
        <v>44725</v>
      </c>
      <c r="F110" s="54"/>
      <c r="G110" s="19">
        <f>IFERROR(__xludf.DUMMYFUNCTION("""COMPUTED_VALUE"""),51.766666666666666)</f>
        <v>51.76666667</v>
      </c>
      <c r="H110" s="17">
        <f>IFERROR(__xludf.DUMMYFUNCTION("""COMPUTED_VALUE"""),43361.0)</f>
        <v>43361</v>
      </c>
      <c r="I110" s="19">
        <f>IFERROR(__xludf.DUMMYFUNCTION("""COMPUTED_VALUE"""),3.736111111111111)</f>
        <v>3.736111111</v>
      </c>
      <c r="J110" s="21">
        <f>IFERROR(__xludf.DUMMYFUNCTION("""COMPUTED_VALUE"""),69.0)</f>
        <v>69</v>
      </c>
      <c r="K110" s="23">
        <f>IFERROR(__xludf.DUMMYFUNCTION("""COMPUTED_VALUE"""),7.0)</f>
        <v>7</v>
      </c>
      <c r="L110" s="24">
        <f>IFERROR(__xludf.DUMMYFUNCTION("""COMPUTED_VALUE"""),4.0)</f>
        <v>4</v>
      </c>
      <c r="M110" s="25" t="str">
        <f>IFERROR(__xludf.DUMMYFUNCTION("""COMPUTED_VALUE"""),"Horror")</f>
        <v>Horror</v>
      </c>
      <c r="N110" s="25"/>
      <c r="O110" s="25" t="str">
        <f>IFERROR(__xludf.DUMMYFUNCTION("""COMPUTED_VALUE"""),"No")</f>
        <v>No</v>
      </c>
      <c r="P110" s="25"/>
    </row>
    <row r="111">
      <c r="A111" s="13" t="str">
        <f>IFERROR(__xludf.DUMMYFUNCTION("""COMPUTED_VALUE"""),"Eagle Flight")</f>
        <v>Eagle Flight</v>
      </c>
      <c r="B111" s="15" t="str">
        <f>IFERROR(__xludf.DUMMYFUNCTION("""COMPUTED_VALUE"""),"PS4/PSVR")</f>
        <v>PS4/PSVR</v>
      </c>
      <c r="C111" s="16" t="str">
        <f>IFERROR(__xludf.DUMMYFUNCTION("""COMPUTED_VALUE"""),"Extra (Ubisoft+ Classics)")</f>
        <v>Extra (Ubisoft+ Classics)</v>
      </c>
      <c r="D111" s="15" t="str">
        <f>IFERROR(__xludf.DUMMYFUNCTION("""COMPUTED_VALUE"""),"Active")</f>
        <v>Active</v>
      </c>
      <c r="E111" s="17">
        <f>IFERROR(__xludf.DUMMYFUNCTION("""COMPUTED_VALUE"""),44725.0)</f>
        <v>44725</v>
      </c>
      <c r="F111" s="54"/>
      <c r="G111" s="19">
        <f>IFERROR(__xludf.DUMMYFUNCTION("""COMPUTED_VALUE"""),51.766666666666666)</f>
        <v>51.76666667</v>
      </c>
      <c r="H111" s="17">
        <f>IFERROR(__xludf.DUMMYFUNCTION("""COMPUTED_VALUE"""),42682.0)</f>
        <v>42682</v>
      </c>
      <c r="I111" s="19">
        <f>IFERROR(__xludf.DUMMYFUNCTION("""COMPUTED_VALUE"""),5.597222222222222)</f>
        <v>5.597222222</v>
      </c>
      <c r="J111" s="21">
        <f>IFERROR(__xludf.DUMMYFUNCTION("""COMPUTED_VALUE"""),69.0)</f>
        <v>69</v>
      </c>
      <c r="K111" s="23">
        <f>IFERROR(__xludf.DUMMYFUNCTION("""COMPUTED_VALUE"""),6.6)</f>
        <v>6.6</v>
      </c>
      <c r="L111" s="24">
        <f>IFERROR(__xludf.DUMMYFUNCTION("""COMPUTED_VALUE"""),3.0)</f>
        <v>3</v>
      </c>
      <c r="M111" s="25" t="str">
        <f>IFERROR(__xludf.DUMMYFUNCTION("""COMPUTED_VALUE"""),"Simulation")</f>
        <v>Simulation</v>
      </c>
      <c r="N111" s="25"/>
      <c r="O111" s="25" t="str">
        <f>IFERROR(__xludf.DUMMYFUNCTION("""COMPUTED_VALUE"""),"No")</f>
        <v>No</v>
      </c>
      <c r="P111" s="25" t="str">
        <f>IFERROR(__xludf.DUMMYFUNCTION("""COMPUTED_VALUE"""),"Yes")</f>
        <v>Yes</v>
      </c>
    </row>
    <row r="112">
      <c r="A112" s="13" t="str">
        <f>IFERROR(__xludf.DUMMYFUNCTION("""COMPUTED_VALUE"""),"Werewolves Within")</f>
        <v>Werewolves Within</v>
      </c>
      <c r="B112" s="15" t="str">
        <f>IFERROR(__xludf.DUMMYFUNCTION("""COMPUTED_VALUE"""),"PS4/PSVR")</f>
        <v>PS4/PSVR</v>
      </c>
      <c r="C112" s="16" t="str">
        <f>IFERROR(__xludf.DUMMYFUNCTION("""COMPUTED_VALUE"""),"Extra (Ubisoft+ Classics)")</f>
        <v>Extra (Ubisoft+ Classics)</v>
      </c>
      <c r="D112" s="15" t="str">
        <f>IFERROR(__xludf.DUMMYFUNCTION("""COMPUTED_VALUE"""),"Active")</f>
        <v>Active</v>
      </c>
      <c r="E112" s="17">
        <f>IFERROR(__xludf.DUMMYFUNCTION("""COMPUTED_VALUE"""),44725.0)</f>
        <v>44725</v>
      </c>
      <c r="F112" s="54"/>
      <c r="G112" s="19">
        <f>IFERROR(__xludf.DUMMYFUNCTION("""COMPUTED_VALUE"""),51.766666666666666)</f>
        <v>51.76666667</v>
      </c>
      <c r="H112" s="17">
        <f>IFERROR(__xludf.DUMMYFUNCTION("""COMPUTED_VALUE"""),42710.0)</f>
        <v>42710</v>
      </c>
      <c r="I112" s="19">
        <f>IFERROR(__xludf.DUMMYFUNCTION("""COMPUTED_VALUE"""),5.519444444444445)</f>
        <v>5.519444444</v>
      </c>
      <c r="J112" s="21">
        <f>IFERROR(__xludf.DUMMYFUNCTION("""COMPUTED_VALUE"""),66.0)</f>
        <v>66</v>
      </c>
      <c r="K112" s="23">
        <f>IFERROR(__xludf.DUMMYFUNCTION("""COMPUTED_VALUE"""),7.1)</f>
        <v>7.1</v>
      </c>
      <c r="L112" s="24">
        <f>IFERROR(__xludf.DUMMYFUNCTION("""COMPUTED_VALUE"""),2.0)</f>
        <v>2</v>
      </c>
      <c r="M112" s="25" t="str">
        <f>IFERROR(__xludf.DUMMYFUNCTION("""COMPUTED_VALUE"""),"Party")</f>
        <v>Party</v>
      </c>
      <c r="N112" s="25"/>
      <c r="O112" s="25" t="str">
        <f>IFERROR(__xludf.DUMMYFUNCTION("""COMPUTED_VALUE"""),"No")</f>
        <v>No</v>
      </c>
      <c r="P112" s="25"/>
    </row>
    <row r="113">
      <c r="A113" s="13" t="str">
        <f>IFERROR(__xludf.DUMMYFUNCTION("""COMPUTED_VALUE"""),"Trials of The Blood Dragon")</f>
        <v>Trials of The Blood Dragon</v>
      </c>
      <c r="B113" s="15" t="str">
        <f>IFERROR(__xludf.DUMMYFUNCTION("""COMPUTED_VALUE"""),"PS4")</f>
        <v>PS4</v>
      </c>
      <c r="C113" s="16" t="str">
        <f>IFERROR(__xludf.DUMMYFUNCTION("""COMPUTED_VALUE"""),"Extra (Ubisoft+ Classics)")</f>
        <v>Extra (Ubisoft+ Classics)</v>
      </c>
      <c r="D113" s="15" t="str">
        <f>IFERROR(__xludf.DUMMYFUNCTION("""COMPUTED_VALUE"""),"Active")</f>
        <v>Active</v>
      </c>
      <c r="E113" s="17">
        <f>IFERROR(__xludf.DUMMYFUNCTION("""COMPUTED_VALUE"""),44725.0)</f>
        <v>44725</v>
      </c>
      <c r="F113" s="54"/>
      <c r="G113" s="19">
        <f>IFERROR(__xludf.DUMMYFUNCTION("""COMPUTED_VALUE"""),51.766666666666666)</f>
        <v>51.76666667</v>
      </c>
      <c r="H113" s="17">
        <f>IFERROR(__xludf.DUMMYFUNCTION("""COMPUTED_VALUE"""),42535.0)</f>
        <v>42535</v>
      </c>
      <c r="I113" s="19">
        <f>IFERROR(__xludf.DUMMYFUNCTION("""COMPUTED_VALUE"""),5.997222222222222)</f>
        <v>5.997222222</v>
      </c>
      <c r="J113" s="21">
        <f>IFERROR(__xludf.DUMMYFUNCTION("""COMPUTED_VALUE"""),66.0)</f>
        <v>66</v>
      </c>
      <c r="K113" s="23">
        <f>IFERROR(__xludf.DUMMYFUNCTION("""COMPUTED_VALUE"""),6.1)</f>
        <v>6.1</v>
      </c>
      <c r="L113" s="24">
        <f>IFERROR(__xludf.DUMMYFUNCTION("""COMPUTED_VALUE"""),6.0)</f>
        <v>6</v>
      </c>
      <c r="M113" s="25" t="str">
        <f>IFERROR(__xludf.DUMMYFUNCTION("""COMPUTED_VALUE"""),"Racing")</f>
        <v>Racing</v>
      </c>
      <c r="N113" s="25"/>
      <c r="O113" s="25" t="str">
        <f>IFERROR(__xludf.DUMMYFUNCTION("""COMPUTED_VALUE"""),"No")</f>
        <v>No</v>
      </c>
      <c r="P113" s="25"/>
    </row>
    <row r="114">
      <c r="A114" s="13" t="str">
        <f>IFERROR(__xludf.DUMMYFUNCTION("""COMPUTED_VALUE"""),"Super Stardust Portable")</f>
        <v>Super Stardust Portable</v>
      </c>
      <c r="B114" s="15" t="str">
        <f>IFERROR(__xludf.DUMMYFUNCTION("""COMPUTED_VALUE"""),"PS5/PS4")</f>
        <v>PS5/PS4</v>
      </c>
      <c r="C114" s="16" t="str">
        <f>IFERROR(__xludf.DUMMYFUNCTION("""COMPUTED_VALUE"""),"Premium (Classics)")</f>
        <v>Premium (Classics)</v>
      </c>
      <c r="D114" s="15" t="str">
        <f>IFERROR(__xludf.DUMMYFUNCTION("""COMPUTED_VALUE"""),"Active")</f>
        <v>Active</v>
      </c>
      <c r="E114" s="17">
        <f>IFERROR(__xludf.DUMMYFUNCTION("""COMPUTED_VALUE"""),44725.0)</f>
        <v>44725</v>
      </c>
      <c r="F114" s="54"/>
      <c r="G114" s="19">
        <f>IFERROR(__xludf.DUMMYFUNCTION("""COMPUTED_VALUE"""),51.766666666666666)</f>
        <v>51.76666667</v>
      </c>
      <c r="H114" s="17">
        <f>IFERROR(__xludf.DUMMYFUNCTION("""COMPUTED_VALUE"""),39261.0)</f>
        <v>39261</v>
      </c>
      <c r="I114" s="19">
        <f>IFERROR(__xludf.DUMMYFUNCTION("""COMPUTED_VALUE"""),14.958333333333334)</f>
        <v>14.95833333</v>
      </c>
      <c r="J114" s="21">
        <f>IFERROR(__xludf.DUMMYFUNCTION("""COMPUTED_VALUE"""),69.0)</f>
        <v>69</v>
      </c>
      <c r="K114" s="23">
        <f>IFERROR(__xludf.DUMMYFUNCTION("""COMPUTED_VALUE"""),5.6)</f>
        <v>5.6</v>
      </c>
      <c r="L114" s="24">
        <f>IFERROR(__xludf.DUMMYFUNCTION("""COMPUTED_VALUE"""),3.0)</f>
        <v>3</v>
      </c>
      <c r="M114" s="25" t="str">
        <f>IFERROR(__xludf.DUMMYFUNCTION("""COMPUTED_VALUE"""),"Shooter")</f>
        <v>Shooter</v>
      </c>
      <c r="N114" s="25" t="str">
        <f>IFERROR(__xludf.DUMMYFUNCTION("""COMPUTED_VALUE"""),"PSP, PS4 version added 1/24 after PS5 version came 6/23/22")</f>
        <v>PSP, PS4 version added 1/24 after PS5 version came 6/23/22</v>
      </c>
      <c r="O114" s="25" t="str">
        <f>IFERROR(__xludf.DUMMYFUNCTION("""COMPUTED_VALUE"""),"No")</f>
        <v>No</v>
      </c>
      <c r="P114" s="25" t="str">
        <f>IFERROR(__xludf.DUMMYFUNCTION("""COMPUTED_VALUE"""),"")</f>
        <v/>
      </c>
    </row>
    <row r="115">
      <c r="A115" s="13" t="str">
        <f>IFERROR(__xludf.DUMMYFUNCTION("""COMPUTED_VALUE"""),"Jumping Flash!")</f>
        <v>Jumping Flash!</v>
      </c>
      <c r="B115" s="15" t="str">
        <f>IFERROR(__xludf.DUMMYFUNCTION("""COMPUTED_VALUE"""),"PS5/PS4")</f>
        <v>PS5/PS4</v>
      </c>
      <c r="C115" s="16" t="str">
        <f>IFERROR(__xludf.DUMMYFUNCTION("""COMPUTED_VALUE"""),"Premium (Classics)")</f>
        <v>Premium (Classics)</v>
      </c>
      <c r="D115" s="15" t="str">
        <f>IFERROR(__xludf.DUMMYFUNCTION("""COMPUTED_VALUE"""),"Active")</f>
        <v>Active</v>
      </c>
      <c r="E115" s="17">
        <f>IFERROR(__xludf.DUMMYFUNCTION("""COMPUTED_VALUE"""),44725.0)</f>
        <v>44725</v>
      </c>
      <c r="F115" s="54"/>
      <c r="G115" s="19">
        <f>IFERROR(__xludf.DUMMYFUNCTION("""COMPUTED_VALUE"""),51.766666666666666)</f>
        <v>51.76666667</v>
      </c>
      <c r="H115" s="17">
        <f>IFERROR(__xludf.DUMMYFUNCTION("""COMPUTED_VALUE"""),35004.0)</f>
        <v>35004</v>
      </c>
      <c r="I115" s="19">
        <f>IFERROR(__xludf.DUMMYFUNCTION("""COMPUTED_VALUE"""),26.616666666666667)</f>
        <v>26.61666667</v>
      </c>
      <c r="J115" s="21">
        <f>IFERROR(__xludf.DUMMYFUNCTION("""COMPUTED_VALUE"""),70.0)</f>
        <v>70</v>
      </c>
      <c r="K115" s="23">
        <f>IFERROR(__xludf.DUMMYFUNCTION("""COMPUTED_VALUE"""),7.9)</f>
        <v>7.9</v>
      </c>
      <c r="L115" s="24">
        <f>IFERROR(__xludf.DUMMYFUNCTION("""COMPUTED_VALUE"""),4.0)</f>
        <v>4</v>
      </c>
      <c r="M115" s="25" t="str">
        <f>IFERROR(__xludf.DUMMYFUNCTION("""COMPUTED_VALUE"""),"Platformer")</f>
        <v>Platformer</v>
      </c>
      <c r="N115" s="25" t="str">
        <f>IFERROR(__xludf.DUMMYFUNCTION("""COMPUTED_VALUE"""),"PS1")</f>
        <v>PS1</v>
      </c>
      <c r="O115" s="25" t="str">
        <f>IFERROR(__xludf.DUMMYFUNCTION("""COMPUTED_VALUE"""),"No")</f>
        <v>No</v>
      </c>
      <c r="P115" s="25" t="str">
        <f>IFERROR(__xludf.DUMMYFUNCTION("""COMPUTED_VALUE"""),"")</f>
        <v/>
      </c>
    </row>
    <row r="116">
      <c r="A116" s="13" t="str">
        <f>IFERROR(__xludf.DUMMYFUNCTION("""COMPUTED_VALUE"""),"Mr. Driller")</f>
        <v>Mr. Driller</v>
      </c>
      <c r="B116" s="15" t="str">
        <f>IFERROR(__xludf.DUMMYFUNCTION("""COMPUTED_VALUE"""),"PS5/PS4")</f>
        <v>PS5/PS4</v>
      </c>
      <c r="C116" s="16" t="str">
        <f>IFERROR(__xludf.DUMMYFUNCTION("""COMPUTED_VALUE"""),"Premium (Classics)")</f>
        <v>Premium (Classics)</v>
      </c>
      <c r="D116" s="15" t="str">
        <f>IFERROR(__xludf.DUMMYFUNCTION("""COMPUTED_VALUE"""),"Active")</f>
        <v>Active</v>
      </c>
      <c r="E116" s="17">
        <f>IFERROR(__xludf.DUMMYFUNCTION("""COMPUTED_VALUE"""),44725.0)</f>
        <v>44725</v>
      </c>
      <c r="F116" s="54"/>
      <c r="G116" s="19">
        <f>IFERROR(__xludf.DUMMYFUNCTION("""COMPUTED_VALUE"""),51.766666666666666)</f>
        <v>51.76666667</v>
      </c>
      <c r="H116" s="17">
        <f>IFERROR(__xludf.DUMMYFUNCTION("""COMPUTED_VALUE"""),36699.0)</f>
        <v>36699</v>
      </c>
      <c r="I116" s="19">
        <f>IFERROR(__xludf.DUMMYFUNCTION("""COMPUTED_VALUE"""),21.975)</f>
        <v>21.975</v>
      </c>
      <c r="J116" s="21">
        <f>IFERROR(__xludf.DUMMYFUNCTION("""COMPUTED_VALUE"""),80.0)</f>
        <v>80</v>
      </c>
      <c r="K116" s="23">
        <f>IFERROR(__xludf.DUMMYFUNCTION("""COMPUTED_VALUE"""),8.1)</f>
        <v>8.1</v>
      </c>
      <c r="L116" s="24"/>
      <c r="M116" s="25" t="str">
        <f>IFERROR(__xludf.DUMMYFUNCTION("""COMPUTED_VALUE"""),"Puzzle")</f>
        <v>Puzzle</v>
      </c>
      <c r="N116" s="25" t="str">
        <f>IFERROR(__xludf.DUMMYFUNCTION("""COMPUTED_VALUE"""),"PS1")</f>
        <v>PS1</v>
      </c>
      <c r="O116" s="25" t="str">
        <f>IFERROR(__xludf.DUMMYFUNCTION("""COMPUTED_VALUE"""),"No")</f>
        <v>No</v>
      </c>
      <c r="P116" s="25" t="str">
        <f>IFERROR(__xludf.DUMMYFUNCTION("""COMPUTED_VALUE"""),"")</f>
        <v/>
      </c>
    </row>
    <row r="117">
      <c r="A117" s="13" t="str">
        <f>IFERROR(__xludf.DUMMYFUNCTION("""COMPUTED_VALUE"""),"Oddworld: Abe's Oddysee")</f>
        <v>Oddworld: Abe's Oddysee</v>
      </c>
      <c r="B117" s="15" t="str">
        <f>IFERROR(__xludf.DUMMYFUNCTION("""COMPUTED_VALUE"""),"PS5/PS4")</f>
        <v>PS5/PS4</v>
      </c>
      <c r="C117" s="16" t="str">
        <f>IFERROR(__xludf.DUMMYFUNCTION("""COMPUTED_VALUE"""),"Premium (Classics)")</f>
        <v>Premium (Classics)</v>
      </c>
      <c r="D117" s="15" t="str">
        <f>IFERROR(__xludf.DUMMYFUNCTION("""COMPUTED_VALUE"""),"Active")</f>
        <v>Active</v>
      </c>
      <c r="E117" s="17">
        <f>IFERROR(__xludf.DUMMYFUNCTION("""COMPUTED_VALUE"""),44725.0)</f>
        <v>44725</v>
      </c>
      <c r="F117" s="54"/>
      <c r="G117" s="19">
        <f>IFERROR(__xludf.DUMMYFUNCTION("""COMPUTED_VALUE"""),51.766666666666666)</f>
        <v>51.76666667</v>
      </c>
      <c r="H117" s="17">
        <f>IFERROR(__xludf.DUMMYFUNCTION("""COMPUTED_VALUE"""),35674.0)</f>
        <v>35674</v>
      </c>
      <c r="I117" s="19">
        <f>IFERROR(__xludf.DUMMYFUNCTION("""COMPUTED_VALUE"""),24.783333333333335)</f>
        <v>24.78333333</v>
      </c>
      <c r="J117" s="21">
        <f>IFERROR(__xludf.DUMMYFUNCTION("""COMPUTED_VALUE"""),85.0)</f>
        <v>85</v>
      </c>
      <c r="K117" s="23">
        <f>IFERROR(__xludf.DUMMYFUNCTION("""COMPUTED_VALUE"""),8.7)</f>
        <v>8.7</v>
      </c>
      <c r="L117" s="24">
        <f>IFERROR(__xludf.DUMMYFUNCTION("""COMPUTED_VALUE"""),7.0)</f>
        <v>7</v>
      </c>
      <c r="M117" s="25" t="str">
        <f>IFERROR(__xludf.DUMMYFUNCTION("""COMPUTED_VALUE"""),"Platformer")</f>
        <v>Platformer</v>
      </c>
      <c r="N117" s="25" t="str">
        <f>IFERROR(__xludf.DUMMYFUNCTION("""COMPUTED_VALUE"""),"PS1")</f>
        <v>PS1</v>
      </c>
      <c r="O117" s="25" t="str">
        <f>IFERROR(__xludf.DUMMYFUNCTION("""COMPUTED_VALUE"""),"No")</f>
        <v>No</v>
      </c>
      <c r="P117" s="25" t="str">
        <f>IFERROR(__xludf.DUMMYFUNCTION("""COMPUTED_VALUE"""),"")</f>
        <v/>
      </c>
    </row>
    <row r="118">
      <c r="A118" s="13" t="str">
        <f>IFERROR(__xludf.DUMMYFUNCTION("""COMPUTED_VALUE"""),"Resident Evil: Director's Cut")</f>
        <v>Resident Evil: Director's Cut</v>
      </c>
      <c r="B118" s="15" t="str">
        <f>IFERROR(__xludf.DUMMYFUNCTION("""COMPUTED_VALUE"""),"PS5/PS4")</f>
        <v>PS5/PS4</v>
      </c>
      <c r="C118" s="16" t="str">
        <f>IFERROR(__xludf.DUMMYFUNCTION("""COMPUTED_VALUE"""),"Premium (Classics)")</f>
        <v>Premium (Classics)</v>
      </c>
      <c r="D118" s="15" t="str">
        <f>IFERROR(__xludf.DUMMYFUNCTION("""COMPUTED_VALUE"""),"Active")</f>
        <v>Active</v>
      </c>
      <c r="E118" s="17">
        <f>IFERROR(__xludf.DUMMYFUNCTION("""COMPUTED_VALUE"""),44725.0)</f>
        <v>44725</v>
      </c>
      <c r="F118" s="54"/>
      <c r="G118" s="19">
        <f>IFERROR(__xludf.DUMMYFUNCTION("""COMPUTED_VALUE"""),51.766666666666666)</f>
        <v>51.76666667</v>
      </c>
      <c r="H118" s="17">
        <f>IFERROR(__xludf.DUMMYFUNCTION("""COMPUTED_VALUE"""),35125.0)</f>
        <v>35125</v>
      </c>
      <c r="I118" s="19">
        <f>IFERROR(__xludf.DUMMYFUNCTION("""COMPUTED_VALUE"""),26.283333333333335)</f>
        <v>26.28333333</v>
      </c>
      <c r="J118" s="21">
        <f>IFERROR(__xludf.DUMMYFUNCTION("""COMPUTED_VALUE"""),80.0)</f>
        <v>80</v>
      </c>
      <c r="K118" s="23">
        <f>IFERROR(__xludf.DUMMYFUNCTION("""COMPUTED_VALUE"""),8.0)</f>
        <v>8</v>
      </c>
      <c r="L118" s="24">
        <f>IFERROR(__xludf.DUMMYFUNCTION("""COMPUTED_VALUE"""),10.0)</f>
        <v>10</v>
      </c>
      <c r="M118" s="25" t="str">
        <f>IFERROR(__xludf.DUMMYFUNCTION("""COMPUTED_VALUE"""),"Survival")</f>
        <v>Survival</v>
      </c>
      <c r="N118" s="25" t="str">
        <f>IFERROR(__xludf.DUMMYFUNCTION("""COMPUTED_VALUE"""),"PS1")</f>
        <v>PS1</v>
      </c>
      <c r="O118" s="25" t="str">
        <f>IFERROR(__xludf.DUMMYFUNCTION("""COMPUTED_VALUE"""),"No")</f>
        <v>No</v>
      </c>
      <c r="P118" s="25" t="str">
        <f>IFERROR(__xludf.DUMMYFUNCTION("""COMPUTED_VALUE"""),"")</f>
        <v/>
      </c>
    </row>
    <row r="119">
      <c r="A119" s="13" t="str">
        <f>IFERROR(__xludf.DUMMYFUNCTION("""COMPUTED_VALUE"""),"Tekken 2")</f>
        <v>Tekken 2</v>
      </c>
      <c r="B119" s="15" t="str">
        <f>IFERROR(__xludf.DUMMYFUNCTION("""COMPUTED_VALUE"""),"PS5/PS4")</f>
        <v>PS5/PS4</v>
      </c>
      <c r="C119" s="16" t="str">
        <f>IFERROR(__xludf.DUMMYFUNCTION("""COMPUTED_VALUE"""),"Premium (Classics)")</f>
        <v>Premium (Classics)</v>
      </c>
      <c r="D119" s="15" t="str">
        <f>IFERROR(__xludf.DUMMYFUNCTION("""COMPUTED_VALUE"""),"Active")</f>
        <v>Active</v>
      </c>
      <c r="E119" s="17">
        <f>IFERROR(__xludf.DUMMYFUNCTION("""COMPUTED_VALUE"""),44725.0)</f>
        <v>44725</v>
      </c>
      <c r="F119" s="54"/>
      <c r="G119" s="19">
        <f>IFERROR(__xludf.DUMMYFUNCTION("""COMPUTED_VALUE"""),51.766666666666666)</f>
        <v>51.76666667</v>
      </c>
      <c r="H119" s="17">
        <f>IFERROR(__xludf.DUMMYFUNCTION("""COMPUTED_VALUE"""),34912.0)</f>
        <v>34912</v>
      </c>
      <c r="I119" s="19">
        <f>IFERROR(__xludf.DUMMYFUNCTION("""COMPUTED_VALUE"""),26.866666666666667)</f>
        <v>26.86666667</v>
      </c>
      <c r="J119" s="21">
        <f>IFERROR(__xludf.DUMMYFUNCTION("""COMPUTED_VALUE"""),89.0)</f>
        <v>89</v>
      </c>
      <c r="K119" s="23">
        <f>IFERROR(__xludf.DUMMYFUNCTION("""COMPUTED_VALUE"""),7.8)</f>
        <v>7.8</v>
      </c>
      <c r="L119" s="24"/>
      <c r="M119" s="25" t="str">
        <f>IFERROR(__xludf.DUMMYFUNCTION("""COMPUTED_VALUE"""),"Fighting")</f>
        <v>Fighting</v>
      </c>
      <c r="N119" s="25" t="str">
        <f>IFERROR(__xludf.DUMMYFUNCTION("""COMPUTED_VALUE"""),"PS1")</f>
        <v>PS1</v>
      </c>
      <c r="O119" s="25" t="str">
        <f>IFERROR(__xludf.DUMMYFUNCTION("""COMPUTED_VALUE"""),"No")</f>
        <v>No</v>
      </c>
      <c r="P119" s="25" t="str">
        <f>IFERROR(__xludf.DUMMYFUNCTION("""COMPUTED_VALUE"""),"")</f>
        <v/>
      </c>
    </row>
    <row r="120">
      <c r="A120" s="13" t="str">
        <f>IFERROR(__xludf.DUMMYFUNCTION("""COMPUTED_VALUE"""),"Wild Arms")</f>
        <v>Wild Arms</v>
      </c>
      <c r="B120" s="15" t="str">
        <f>IFERROR(__xludf.DUMMYFUNCTION("""COMPUTED_VALUE"""),"PS5/PS4")</f>
        <v>PS5/PS4</v>
      </c>
      <c r="C120" s="16" t="str">
        <f>IFERROR(__xludf.DUMMYFUNCTION("""COMPUTED_VALUE"""),"Premium (Classics)")</f>
        <v>Premium (Classics)</v>
      </c>
      <c r="D120" s="15" t="str">
        <f>IFERROR(__xludf.DUMMYFUNCTION("""COMPUTED_VALUE"""),"Active")</f>
        <v>Active</v>
      </c>
      <c r="E120" s="17">
        <f>IFERROR(__xludf.DUMMYFUNCTION("""COMPUTED_VALUE"""),44725.0)</f>
        <v>44725</v>
      </c>
      <c r="F120" s="54"/>
      <c r="G120" s="19">
        <f>IFERROR(__xludf.DUMMYFUNCTION("""COMPUTED_VALUE"""),51.766666666666666)</f>
        <v>51.76666667</v>
      </c>
      <c r="H120" s="17">
        <f>IFERROR(__xludf.DUMMYFUNCTION("""COMPUTED_VALUE"""),35550.0)</f>
        <v>35550</v>
      </c>
      <c r="I120" s="19">
        <f>IFERROR(__xludf.DUMMYFUNCTION("""COMPUTED_VALUE"""),25.119444444444444)</f>
        <v>25.11944444</v>
      </c>
      <c r="J120" s="21">
        <f>IFERROR(__xludf.DUMMYFUNCTION("""COMPUTED_VALUE"""),78.0)</f>
        <v>78</v>
      </c>
      <c r="K120" s="23">
        <f>IFERROR(__xludf.DUMMYFUNCTION("""COMPUTED_VALUE"""),8.7)</f>
        <v>8.7</v>
      </c>
      <c r="L120" s="24">
        <f>IFERROR(__xludf.DUMMYFUNCTION("""COMPUTED_VALUE"""),28.0)</f>
        <v>28</v>
      </c>
      <c r="M120" s="25" t="str">
        <f>IFERROR(__xludf.DUMMYFUNCTION("""COMPUTED_VALUE"""),"RPG")</f>
        <v>RPG</v>
      </c>
      <c r="N120" s="25" t="str">
        <f>IFERROR(__xludf.DUMMYFUNCTION("""COMPUTED_VALUE"""),"PS1")</f>
        <v>PS1</v>
      </c>
      <c r="O120" s="25" t="str">
        <f>IFERROR(__xludf.DUMMYFUNCTION("""COMPUTED_VALUE"""),"No")</f>
        <v>No</v>
      </c>
      <c r="P120" s="25" t="str">
        <f>IFERROR(__xludf.DUMMYFUNCTION("""COMPUTED_VALUE"""),"")</f>
        <v/>
      </c>
    </row>
    <row r="121">
      <c r="A121" s="13" t="str">
        <f>IFERROR(__xludf.DUMMYFUNCTION("""COMPUTED_VALUE"""),"Worms Armageddon")</f>
        <v>Worms Armageddon</v>
      </c>
      <c r="B121" s="15" t="str">
        <f>IFERROR(__xludf.DUMMYFUNCTION("""COMPUTED_VALUE"""),"PS5/PS4")</f>
        <v>PS5/PS4</v>
      </c>
      <c r="C121" s="16" t="str">
        <f>IFERROR(__xludf.DUMMYFUNCTION("""COMPUTED_VALUE"""),"Premium (Classics)")</f>
        <v>Premium (Classics)</v>
      </c>
      <c r="D121" s="15" t="str">
        <f>IFERROR(__xludf.DUMMYFUNCTION("""COMPUTED_VALUE"""),"Active")</f>
        <v>Active</v>
      </c>
      <c r="E121" s="17">
        <f>IFERROR(__xludf.DUMMYFUNCTION("""COMPUTED_VALUE"""),44725.0)</f>
        <v>44725</v>
      </c>
      <c r="F121" s="54"/>
      <c r="G121" s="19">
        <f>IFERROR(__xludf.DUMMYFUNCTION("""COMPUTED_VALUE"""),51.766666666666666)</f>
        <v>51.76666667</v>
      </c>
      <c r="H121" s="17">
        <f>IFERROR(__xludf.DUMMYFUNCTION("""COMPUTED_VALUE"""),36311.0)</f>
        <v>36311</v>
      </c>
      <c r="I121" s="19">
        <f>IFERROR(__xludf.DUMMYFUNCTION("""COMPUTED_VALUE"""),23.03611111111111)</f>
        <v>23.03611111</v>
      </c>
      <c r="J121" s="21">
        <f>IFERROR(__xludf.DUMMYFUNCTION("""COMPUTED_VALUE"""),86.0)</f>
        <v>86</v>
      </c>
      <c r="K121" s="23">
        <f>IFERROR(__xludf.DUMMYFUNCTION("""COMPUTED_VALUE"""),8.8)</f>
        <v>8.8</v>
      </c>
      <c r="L121" s="24"/>
      <c r="M121" s="25" t="str">
        <f>IFERROR(__xludf.DUMMYFUNCTION("""COMPUTED_VALUE"""),"Strategy")</f>
        <v>Strategy</v>
      </c>
      <c r="N121" s="25" t="str">
        <f>IFERROR(__xludf.DUMMYFUNCTION("""COMPUTED_VALUE"""),"PS1")</f>
        <v>PS1</v>
      </c>
      <c r="O121" s="25" t="str">
        <f>IFERROR(__xludf.DUMMYFUNCTION("""COMPUTED_VALUE"""),"No")</f>
        <v>No</v>
      </c>
      <c r="P121" s="25" t="str">
        <f>IFERROR(__xludf.DUMMYFUNCTION("""COMPUTED_VALUE"""),"")</f>
        <v/>
      </c>
    </row>
    <row r="122">
      <c r="A122" s="13" t="str">
        <f>IFERROR(__xludf.DUMMYFUNCTION("""COMPUTED_VALUE"""),"Worms World Party")</f>
        <v>Worms World Party</v>
      </c>
      <c r="B122" s="15" t="str">
        <f>IFERROR(__xludf.DUMMYFUNCTION("""COMPUTED_VALUE"""),"PS5/PS4")</f>
        <v>PS5/PS4</v>
      </c>
      <c r="C122" s="16" t="str">
        <f>IFERROR(__xludf.DUMMYFUNCTION("""COMPUTED_VALUE"""),"Premium (Classics)")</f>
        <v>Premium (Classics)</v>
      </c>
      <c r="D122" s="15" t="str">
        <f>IFERROR(__xludf.DUMMYFUNCTION("""COMPUTED_VALUE"""),"Active")</f>
        <v>Active</v>
      </c>
      <c r="E122" s="17">
        <f>IFERROR(__xludf.DUMMYFUNCTION("""COMPUTED_VALUE"""),44725.0)</f>
        <v>44725</v>
      </c>
      <c r="F122" s="54"/>
      <c r="G122" s="19">
        <f>IFERROR(__xludf.DUMMYFUNCTION("""COMPUTED_VALUE"""),51.766666666666666)</f>
        <v>51.76666667</v>
      </c>
      <c r="H122" s="17">
        <f>IFERROR(__xludf.DUMMYFUNCTION("""COMPUTED_VALUE"""),37134.0)</f>
        <v>37134</v>
      </c>
      <c r="I122" s="19">
        <f>IFERROR(__xludf.DUMMYFUNCTION("""COMPUTED_VALUE"""),20.78611111111111)</f>
        <v>20.78611111</v>
      </c>
      <c r="J122" s="21">
        <f>IFERROR(__xludf.DUMMYFUNCTION("""COMPUTED_VALUE"""),81.0)</f>
        <v>81</v>
      </c>
      <c r="K122" s="23">
        <f>IFERROR(__xludf.DUMMYFUNCTION("""COMPUTED_VALUE"""),8.4)</f>
        <v>8.4</v>
      </c>
      <c r="L122" s="24">
        <f>IFERROR(__xludf.DUMMYFUNCTION("""COMPUTED_VALUE"""),9.0)</f>
        <v>9</v>
      </c>
      <c r="M122" s="25" t="str">
        <f>IFERROR(__xludf.DUMMYFUNCTION("""COMPUTED_VALUE"""),"Strategy")</f>
        <v>Strategy</v>
      </c>
      <c r="N122" s="25" t="str">
        <f>IFERROR(__xludf.DUMMYFUNCTION("""COMPUTED_VALUE"""),"PS1")</f>
        <v>PS1</v>
      </c>
      <c r="O122" s="25" t="str">
        <f>IFERROR(__xludf.DUMMYFUNCTION("""COMPUTED_VALUE"""),"No")</f>
        <v>No</v>
      </c>
      <c r="P122" s="25" t="str">
        <f>IFERROR(__xludf.DUMMYFUNCTION("""COMPUTED_VALUE"""),"")</f>
        <v/>
      </c>
    </row>
    <row r="123">
      <c r="A123" s="13" t="str">
        <f>IFERROR(__xludf.DUMMYFUNCTION("""COMPUTED_VALUE"""),"echochrome")</f>
        <v>echochrome</v>
      </c>
      <c r="B123" s="15" t="str">
        <f>IFERROR(__xludf.DUMMYFUNCTION("""COMPUTED_VALUE"""),"PS5/PS4")</f>
        <v>PS5/PS4</v>
      </c>
      <c r="C123" s="16" t="str">
        <f>IFERROR(__xludf.DUMMYFUNCTION("""COMPUTED_VALUE"""),"Premium (Classics)")</f>
        <v>Premium (Classics)</v>
      </c>
      <c r="D123" s="15" t="str">
        <f>IFERROR(__xludf.DUMMYFUNCTION("""COMPUTED_VALUE"""),"Active")</f>
        <v>Active</v>
      </c>
      <c r="E123" s="17">
        <f>IFERROR(__xludf.DUMMYFUNCTION("""COMPUTED_VALUE"""),44725.0)</f>
        <v>44725</v>
      </c>
      <c r="F123" s="54"/>
      <c r="G123" s="19">
        <f>IFERROR(__xludf.DUMMYFUNCTION("""COMPUTED_VALUE"""),51.766666666666666)</f>
        <v>51.76666667</v>
      </c>
      <c r="H123" s="17">
        <f>IFERROR(__xludf.DUMMYFUNCTION("""COMPUTED_VALUE"""),39569.0)</f>
        <v>39569</v>
      </c>
      <c r="I123" s="19">
        <f>IFERROR(__xludf.DUMMYFUNCTION("""COMPUTED_VALUE"""),14.116666666666667)</f>
        <v>14.11666667</v>
      </c>
      <c r="J123" s="21">
        <f>IFERROR(__xludf.DUMMYFUNCTION("""COMPUTED_VALUE"""),79.0)</f>
        <v>79</v>
      </c>
      <c r="K123" s="23">
        <f>IFERROR(__xludf.DUMMYFUNCTION("""COMPUTED_VALUE"""),7.4)</f>
        <v>7.4</v>
      </c>
      <c r="L123" s="24">
        <f>IFERROR(__xludf.DUMMYFUNCTION("""COMPUTED_VALUE"""),4.0)</f>
        <v>4</v>
      </c>
      <c r="M123" s="25" t="str">
        <f>IFERROR(__xludf.DUMMYFUNCTION("""COMPUTED_VALUE"""),"Puzzle")</f>
        <v>Puzzle</v>
      </c>
      <c r="N123" s="25" t="str">
        <f>IFERROR(__xludf.DUMMYFUNCTION("""COMPUTED_VALUE"""),"PSP")</f>
        <v>PSP</v>
      </c>
      <c r="O123" s="25" t="str">
        <f>IFERROR(__xludf.DUMMYFUNCTION("""COMPUTED_VALUE"""),"No")</f>
        <v>No</v>
      </c>
      <c r="P123" s="25" t="str">
        <f>IFERROR(__xludf.DUMMYFUNCTION("""COMPUTED_VALUE"""),"")</f>
        <v/>
      </c>
    </row>
    <row r="124">
      <c r="A124" s="13" t="str">
        <f>IFERROR(__xludf.DUMMYFUNCTION("""COMPUTED_VALUE"""),"Jak and Daxter: The Precursor Legacy")</f>
        <v>Jak and Daxter: The Precursor Legacy</v>
      </c>
      <c r="B124" s="15" t="str">
        <f>IFERROR(__xludf.DUMMYFUNCTION("""COMPUTED_VALUE"""),"PS4")</f>
        <v>PS4</v>
      </c>
      <c r="C124" s="16" t="str">
        <f>IFERROR(__xludf.DUMMYFUNCTION("""COMPUTED_VALUE"""),"Premium (Classics)")</f>
        <v>Premium (Classics)</v>
      </c>
      <c r="D124" s="15" t="str">
        <f>IFERROR(__xludf.DUMMYFUNCTION("""COMPUTED_VALUE"""),"Active")</f>
        <v>Active</v>
      </c>
      <c r="E124" s="17">
        <f>IFERROR(__xludf.DUMMYFUNCTION("""COMPUTED_VALUE"""),44725.0)</f>
        <v>44725</v>
      </c>
      <c r="F124" s="54"/>
      <c r="G124" s="19">
        <f>IFERROR(__xludf.DUMMYFUNCTION("""COMPUTED_VALUE"""),51.766666666666666)</f>
        <v>51.76666667</v>
      </c>
      <c r="H124" s="17">
        <f>IFERROR(__xludf.DUMMYFUNCTION("""COMPUTED_VALUE"""),37226.0)</f>
        <v>37226</v>
      </c>
      <c r="I124" s="19">
        <f>IFERROR(__xludf.DUMMYFUNCTION("""COMPUTED_VALUE"""),20.533333333333335)</f>
        <v>20.53333333</v>
      </c>
      <c r="J124" s="21">
        <f>IFERROR(__xludf.DUMMYFUNCTION("""COMPUTED_VALUE"""),90.0)</f>
        <v>90</v>
      </c>
      <c r="K124" s="23">
        <f>IFERROR(__xludf.DUMMYFUNCTION("""COMPUTED_VALUE"""),8.8)</f>
        <v>8.8</v>
      </c>
      <c r="L124" s="24">
        <f>IFERROR(__xludf.DUMMYFUNCTION("""COMPUTED_VALUE"""),12.0)</f>
        <v>12</v>
      </c>
      <c r="M124" s="25" t="str">
        <f>IFERROR(__xludf.DUMMYFUNCTION("""COMPUTED_VALUE"""),"Platformer")</f>
        <v>Platformer</v>
      </c>
      <c r="N124" s="25" t="str">
        <f>IFERROR(__xludf.DUMMYFUNCTION("""COMPUTED_VALUE"""),"PS2")</f>
        <v>PS2</v>
      </c>
      <c r="O124" s="25" t="str">
        <f>IFERROR(__xludf.DUMMYFUNCTION("""COMPUTED_VALUE"""),"No")</f>
        <v>No</v>
      </c>
      <c r="P124" s="25" t="str">
        <f>IFERROR(__xludf.DUMMYFUNCTION("""COMPUTED_VALUE"""),"")</f>
        <v/>
      </c>
    </row>
    <row r="125">
      <c r="A125" s="13" t="str">
        <f>IFERROR(__xludf.DUMMYFUNCTION("""COMPUTED_VALUE"""),"Jak II")</f>
        <v>Jak II</v>
      </c>
      <c r="B125" s="15" t="str">
        <f>IFERROR(__xludf.DUMMYFUNCTION("""COMPUTED_VALUE"""),"PS4")</f>
        <v>PS4</v>
      </c>
      <c r="C125" s="16" t="str">
        <f>IFERROR(__xludf.DUMMYFUNCTION("""COMPUTED_VALUE"""),"Premium (Classics)")</f>
        <v>Premium (Classics)</v>
      </c>
      <c r="D125" s="15" t="str">
        <f>IFERROR(__xludf.DUMMYFUNCTION("""COMPUTED_VALUE"""),"Active")</f>
        <v>Active</v>
      </c>
      <c r="E125" s="17">
        <f>IFERROR(__xludf.DUMMYFUNCTION("""COMPUTED_VALUE"""),44725.0)</f>
        <v>44725</v>
      </c>
      <c r="F125" s="54"/>
      <c r="G125" s="19">
        <f>IFERROR(__xludf.DUMMYFUNCTION("""COMPUTED_VALUE"""),51.766666666666666)</f>
        <v>51.76666667</v>
      </c>
      <c r="H125" s="17">
        <f>IFERROR(__xludf.DUMMYFUNCTION("""COMPUTED_VALUE"""),37895.0)</f>
        <v>37895</v>
      </c>
      <c r="I125" s="19">
        <f>IFERROR(__xludf.DUMMYFUNCTION("""COMPUTED_VALUE"""),18.7)</f>
        <v>18.7</v>
      </c>
      <c r="J125" s="21">
        <f>IFERROR(__xludf.DUMMYFUNCTION("""COMPUTED_VALUE"""),87.0)</f>
        <v>87</v>
      </c>
      <c r="K125" s="23">
        <f>IFERROR(__xludf.DUMMYFUNCTION("""COMPUTED_VALUE"""),8.3)</f>
        <v>8.3</v>
      </c>
      <c r="L125" s="24">
        <f>IFERROR(__xludf.DUMMYFUNCTION("""COMPUTED_VALUE"""),18.0)</f>
        <v>18</v>
      </c>
      <c r="M125" s="25" t="str">
        <f>IFERROR(__xludf.DUMMYFUNCTION("""COMPUTED_VALUE"""),"Platformer")</f>
        <v>Platformer</v>
      </c>
      <c r="N125" s="25" t="str">
        <f>IFERROR(__xludf.DUMMYFUNCTION("""COMPUTED_VALUE"""),"PS2")</f>
        <v>PS2</v>
      </c>
      <c r="O125" s="25" t="str">
        <f>IFERROR(__xludf.DUMMYFUNCTION("""COMPUTED_VALUE"""),"No")</f>
        <v>No</v>
      </c>
      <c r="P125" s="25" t="str">
        <f>IFERROR(__xludf.DUMMYFUNCTION("""COMPUTED_VALUE"""),"")</f>
        <v/>
      </c>
    </row>
    <row r="126">
      <c r="A126" s="13" t="str">
        <f>IFERROR(__xludf.DUMMYFUNCTION("""COMPUTED_VALUE"""),"Jak X: Combat Racing")</f>
        <v>Jak X: Combat Racing</v>
      </c>
      <c r="B126" s="15" t="str">
        <f>IFERROR(__xludf.DUMMYFUNCTION("""COMPUTED_VALUE"""),"PS4")</f>
        <v>PS4</v>
      </c>
      <c r="C126" s="16" t="str">
        <f>IFERROR(__xludf.DUMMYFUNCTION("""COMPUTED_VALUE"""),"Premium (Classics)")</f>
        <v>Premium (Classics)</v>
      </c>
      <c r="D126" s="15" t="str">
        <f>IFERROR(__xludf.DUMMYFUNCTION("""COMPUTED_VALUE"""),"Active")</f>
        <v>Active</v>
      </c>
      <c r="E126" s="17">
        <f>IFERROR(__xludf.DUMMYFUNCTION("""COMPUTED_VALUE"""),44725.0)</f>
        <v>44725</v>
      </c>
      <c r="F126" s="54"/>
      <c r="G126" s="19">
        <f>IFERROR(__xludf.DUMMYFUNCTION("""COMPUTED_VALUE"""),51.766666666666666)</f>
        <v>51.76666667</v>
      </c>
      <c r="H126" s="17">
        <f>IFERROR(__xludf.DUMMYFUNCTION("""COMPUTED_VALUE"""),38626.0)</f>
        <v>38626</v>
      </c>
      <c r="I126" s="19">
        <f>IFERROR(__xludf.DUMMYFUNCTION("""COMPUTED_VALUE"""),16.7)</f>
        <v>16.7</v>
      </c>
      <c r="J126" s="21">
        <f>IFERROR(__xludf.DUMMYFUNCTION("""COMPUTED_VALUE"""),76.0)</f>
        <v>76</v>
      </c>
      <c r="K126" s="23">
        <f>IFERROR(__xludf.DUMMYFUNCTION("""COMPUTED_VALUE"""),8.0)</f>
        <v>8</v>
      </c>
      <c r="L126" s="24">
        <f>IFERROR(__xludf.DUMMYFUNCTION("""COMPUTED_VALUE"""),12.0)</f>
        <v>12</v>
      </c>
      <c r="M126" s="25" t="str">
        <f>IFERROR(__xludf.DUMMYFUNCTION("""COMPUTED_VALUE"""),"Racing")</f>
        <v>Racing</v>
      </c>
      <c r="N126" s="25" t="str">
        <f>IFERROR(__xludf.DUMMYFUNCTION("""COMPUTED_VALUE"""),"PS2")</f>
        <v>PS2</v>
      </c>
      <c r="O126" s="25" t="str">
        <f>IFERROR(__xludf.DUMMYFUNCTION("""COMPUTED_VALUE"""),"No")</f>
        <v>No</v>
      </c>
      <c r="P126" s="25" t="str">
        <f>IFERROR(__xludf.DUMMYFUNCTION("""COMPUTED_VALUE"""),"")</f>
        <v/>
      </c>
    </row>
    <row r="127">
      <c r="A127" s="13" t="str">
        <f>IFERROR(__xludf.DUMMYFUNCTION("""COMPUTED_VALUE"""),"Rise of the Kasai")</f>
        <v>Rise of the Kasai</v>
      </c>
      <c r="B127" s="15" t="str">
        <f>IFERROR(__xludf.DUMMYFUNCTION("""COMPUTED_VALUE"""),"PS4")</f>
        <v>PS4</v>
      </c>
      <c r="C127" s="16" t="str">
        <f>IFERROR(__xludf.DUMMYFUNCTION("""COMPUTED_VALUE"""),"Premium (Classics)")</f>
        <v>Premium (Classics)</v>
      </c>
      <c r="D127" s="15" t="str">
        <f>IFERROR(__xludf.DUMMYFUNCTION("""COMPUTED_VALUE"""),"Active")</f>
        <v>Active</v>
      </c>
      <c r="E127" s="17">
        <f>IFERROR(__xludf.DUMMYFUNCTION("""COMPUTED_VALUE"""),44725.0)</f>
        <v>44725</v>
      </c>
      <c r="F127" s="54"/>
      <c r="G127" s="19">
        <f>IFERROR(__xludf.DUMMYFUNCTION("""COMPUTED_VALUE"""),51.766666666666666)</f>
        <v>51.76666667</v>
      </c>
      <c r="H127" s="17">
        <f>IFERROR(__xludf.DUMMYFUNCTION("""COMPUTED_VALUE"""),38443.0)</f>
        <v>38443</v>
      </c>
      <c r="I127" s="19">
        <f>IFERROR(__xludf.DUMMYFUNCTION("""COMPUTED_VALUE"""),17.2)</f>
        <v>17.2</v>
      </c>
      <c r="J127" s="21">
        <f>IFERROR(__xludf.DUMMYFUNCTION("""COMPUTED_VALUE"""),68.0)</f>
        <v>68</v>
      </c>
      <c r="K127" s="23">
        <f>IFERROR(__xludf.DUMMYFUNCTION("""COMPUTED_VALUE"""),7.5)</f>
        <v>7.5</v>
      </c>
      <c r="L127" s="24">
        <f>IFERROR(__xludf.DUMMYFUNCTION("""COMPUTED_VALUE"""),12.0)</f>
        <v>12</v>
      </c>
      <c r="M127" s="25" t="str">
        <f>IFERROR(__xludf.DUMMYFUNCTION("""COMPUTED_VALUE"""),"Action-Adventure")</f>
        <v>Action-Adventure</v>
      </c>
      <c r="N127" s="25" t="str">
        <f>IFERROR(__xludf.DUMMYFUNCTION("""COMPUTED_VALUE"""),"PS2")</f>
        <v>PS2</v>
      </c>
      <c r="O127" s="25" t="str">
        <f>IFERROR(__xludf.DUMMYFUNCTION("""COMPUTED_VALUE"""),"No")</f>
        <v>No</v>
      </c>
      <c r="P127" s="25" t="str">
        <f>IFERROR(__xludf.DUMMYFUNCTION("""COMPUTED_VALUE"""),"")</f>
        <v/>
      </c>
    </row>
    <row r="128">
      <c r="A128" s="13" t="str">
        <f>IFERROR(__xludf.DUMMYFUNCTION("""COMPUTED_VALUE"""),"The Mark of Kri")</f>
        <v>The Mark of Kri</v>
      </c>
      <c r="B128" s="15" t="str">
        <f>IFERROR(__xludf.DUMMYFUNCTION("""COMPUTED_VALUE"""),"PS4")</f>
        <v>PS4</v>
      </c>
      <c r="C128" s="16" t="str">
        <f>IFERROR(__xludf.DUMMYFUNCTION("""COMPUTED_VALUE"""),"Premium (Classics)")</f>
        <v>Premium (Classics)</v>
      </c>
      <c r="D128" s="15" t="str">
        <f>IFERROR(__xludf.DUMMYFUNCTION("""COMPUTED_VALUE"""),"Active")</f>
        <v>Active</v>
      </c>
      <c r="E128" s="17">
        <f>IFERROR(__xludf.DUMMYFUNCTION("""COMPUTED_VALUE"""),44725.0)</f>
        <v>44725</v>
      </c>
      <c r="F128" s="54"/>
      <c r="G128" s="19">
        <f>IFERROR(__xludf.DUMMYFUNCTION("""COMPUTED_VALUE"""),51.766666666666666)</f>
        <v>51.76666667</v>
      </c>
      <c r="H128" s="17">
        <f>IFERROR(__xludf.DUMMYFUNCTION("""COMPUTED_VALUE"""),37438.0)</f>
        <v>37438</v>
      </c>
      <c r="I128" s="19">
        <f>IFERROR(__xludf.DUMMYFUNCTION("""COMPUTED_VALUE"""),19.95)</f>
        <v>19.95</v>
      </c>
      <c r="J128" s="21">
        <f>IFERROR(__xludf.DUMMYFUNCTION("""COMPUTED_VALUE"""),80.0)</f>
        <v>80</v>
      </c>
      <c r="K128" s="23">
        <f>IFERROR(__xludf.DUMMYFUNCTION("""COMPUTED_VALUE"""),6.6)</f>
        <v>6.6</v>
      </c>
      <c r="L128" s="24">
        <f>IFERROR(__xludf.DUMMYFUNCTION("""COMPUTED_VALUE"""),9.0)</f>
        <v>9</v>
      </c>
      <c r="M128" s="25" t="str">
        <f>IFERROR(__xludf.DUMMYFUNCTION("""COMPUTED_VALUE"""),"Action-Adventure")</f>
        <v>Action-Adventure</v>
      </c>
      <c r="N128" s="25" t="str">
        <f>IFERROR(__xludf.DUMMYFUNCTION("""COMPUTED_VALUE"""),"PS2")</f>
        <v>PS2</v>
      </c>
      <c r="O128" s="25" t="str">
        <f>IFERROR(__xludf.DUMMYFUNCTION("""COMPUTED_VALUE"""),"No")</f>
        <v>No</v>
      </c>
      <c r="P128" s="25" t="str">
        <f>IFERROR(__xludf.DUMMYFUNCTION("""COMPUTED_VALUE"""),"")</f>
        <v/>
      </c>
    </row>
    <row r="129">
      <c r="A129" s="13" t="str">
        <f>IFERROR(__xludf.DUMMYFUNCTION("""COMPUTED_VALUE"""),"War of the Monsters")</f>
        <v>War of the Monsters</v>
      </c>
      <c r="B129" s="15" t="str">
        <f>IFERROR(__xludf.DUMMYFUNCTION("""COMPUTED_VALUE"""),"PS4")</f>
        <v>PS4</v>
      </c>
      <c r="C129" s="16" t="str">
        <f>IFERROR(__xludf.DUMMYFUNCTION("""COMPUTED_VALUE"""),"Premium (Classics)")</f>
        <v>Premium (Classics)</v>
      </c>
      <c r="D129" s="15" t="str">
        <f>IFERROR(__xludf.DUMMYFUNCTION("""COMPUTED_VALUE"""),"Active")</f>
        <v>Active</v>
      </c>
      <c r="E129" s="17">
        <f>IFERROR(__xludf.DUMMYFUNCTION("""COMPUTED_VALUE"""),44725.0)</f>
        <v>44725</v>
      </c>
      <c r="F129" s="54"/>
      <c r="G129" s="19">
        <f>IFERROR(__xludf.DUMMYFUNCTION("""COMPUTED_VALUE"""),51.766666666666666)</f>
        <v>51.76666667</v>
      </c>
      <c r="H129" s="17">
        <f>IFERROR(__xludf.DUMMYFUNCTION("""COMPUTED_VALUE"""),37622.0)</f>
        <v>37622</v>
      </c>
      <c r="I129" s="19">
        <f>IFERROR(__xludf.DUMMYFUNCTION("""COMPUTED_VALUE"""),19.45)</f>
        <v>19.45</v>
      </c>
      <c r="J129" s="21">
        <f>IFERROR(__xludf.DUMMYFUNCTION("""COMPUTED_VALUE"""),80.0)</f>
        <v>80</v>
      </c>
      <c r="K129" s="23">
        <f>IFERROR(__xludf.DUMMYFUNCTION("""COMPUTED_VALUE"""),8.2)</f>
        <v>8.2</v>
      </c>
      <c r="L129" s="24">
        <f>IFERROR(__xludf.DUMMYFUNCTION("""COMPUTED_VALUE"""),6.0)</f>
        <v>6</v>
      </c>
      <c r="M129" s="25" t="str">
        <f>IFERROR(__xludf.DUMMYFUNCTION("""COMPUTED_VALUE"""),"Fighting")</f>
        <v>Fighting</v>
      </c>
      <c r="N129" s="25" t="str">
        <f>IFERROR(__xludf.DUMMYFUNCTION("""COMPUTED_VALUE"""),"PS2")</f>
        <v>PS2</v>
      </c>
      <c r="O129" s="25" t="str">
        <f>IFERROR(__xludf.DUMMYFUNCTION("""COMPUTED_VALUE"""),"No")</f>
        <v>No</v>
      </c>
      <c r="P129" s="25" t="str">
        <f>IFERROR(__xludf.DUMMYFUNCTION("""COMPUTED_VALUE"""),"")</f>
        <v/>
      </c>
    </row>
    <row r="130">
      <c r="A130" s="13" t="str">
        <f>IFERROR(__xludf.DUMMYFUNCTION("""COMPUTED_VALUE"""),"LocoRoco 2: Remastered")</f>
        <v>LocoRoco 2: Remastered</v>
      </c>
      <c r="B130" s="15" t="str">
        <f>IFERROR(__xludf.DUMMYFUNCTION("""COMPUTED_VALUE"""),"PS4")</f>
        <v>PS4</v>
      </c>
      <c r="C130" s="16" t="str">
        <f>IFERROR(__xludf.DUMMYFUNCTION("""COMPUTED_VALUE"""),"Premium (Remasters)")</f>
        <v>Premium (Remasters)</v>
      </c>
      <c r="D130" s="15" t="str">
        <f>IFERROR(__xludf.DUMMYFUNCTION("""COMPUTED_VALUE"""),"Active")</f>
        <v>Active</v>
      </c>
      <c r="E130" s="17">
        <f>IFERROR(__xludf.DUMMYFUNCTION("""COMPUTED_VALUE"""),44725.0)</f>
        <v>44725</v>
      </c>
      <c r="F130" s="54"/>
      <c r="G130" s="19">
        <f>IFERROR(__xludf.DUMMYFUNCTION("""COMPUTED_VALUE"""),51.766666666666666)</f>
        <v>51.76666667</v>
      </c>
      <c r="H130" s="17">
        <f>IFERROR(__xludf.DUMMYFUNCTION("""COMPUTED_VALUE"""),43070.0)</f>
        <v>43070</v>
      </c>
      <c r="I130" s="19">
        <f>IFERROR(__xludf.DUMMYFUNCTION("""COMPUTED_VALUE"""),4.533333333333333)</f>
        <v>4.533333333</v>
      </c>
      <c r="J130" s="21">
        <f>IFERROR(__xludf.DUMMYFUNCTION("""COMPUTED_VALUE"""),79.0)</f>
        <v>79</v>
      </c>
      <c r="K130" s="23">
        <f>IFERROR(__xludf.DUMMYFUNCTION("""COMPUTED_VALUE"""),7.5)</f>
        <v>7.5</v>
      </c>
      <c r="L130" s="24">
        <f>IFERROR(__xludf.DUMMYFUNCTION("""COMPUTED_VALUE"""),7.0)</f>
        <v>7</v>
      </c>
      <c r="M130" s="25" t="str">
        <f>IFERROR(__xludf.DUMMYFUNCTION("""COMPUTED_VALUE"""),"Platformer")</f>
        <v>Platformer</v>
      </c>
      <c r="N130" s="25" t="str">
        <f>IFERROR(__xludf.DUMMYFUNCTION("""COMPUTED_VALUE"""),"PSP")</f>
        <v>PSP</v>
      </c>
      <c r="O130" s="25" t="str">
        <f>IFERROR(__xludf.DUMMYFUNCTION("""COMPUTED_VALUE"""),"No")</f>
        <v>No</v>
      </c>
      <c r="P130" s="25"/>
    </row>
    <row r="131">
      <c r="A131" s="13" t="str">
        <f>IFERROR(__xludf.DUMMYFUNCTION("""COMPUTED_VALUE"""),"Lumines: Remastered")</f>
        <v>Lumines: Remastered</v>
      </c>
      <c r="B131" s="15" t="str">
        <f>IFERROR(__xludf.DUMMYFUNCTION("""COMPUTED_VALUE"""),"PS4")</f>
        <v>PS4</v>
      </c>
      <c r="C131" s="16" t="str">
        <f>IFERROR(__xludf.DUMMYFUNCTION("""COMPUTED_VALUE"""),"Premium (Remasters)")</f>
        <v>Premium (Remasters)</v>
      </c>
      <c r="D131" s="15" t="str">
        <f>IFERROR(__xludf.DUMMYFUNCTION("""COMPUTED_VALUE"""),"Active")</f>
        <v>Active</v>
      </c>
      <c r="E131" s="17">
        <f>IFERROR(__xludf.DUMMYFUNCTION("""COMPUTED_VALUE"""),44725.0)</f>
        <v>44725</v>
      </c>
      <c r="F131" s="54"/>
      <c r="G131" s="19">
        <f>IFERROR(__xludf.DUMMYFUNCTION("""COMPUTED_VALUE"""),51.766666666666666)</f>
        <v>51.76666667</v>
      </c>
      <c r="H131" s="17">
        <f>IFERROR(__xludf.DUMMYFUNCTION("""COMPUTED_VALUE"""),43252.0)</f>
        <v>43252</v>
      </c>
      <c r="I131" s="19">
        <f>IFERROR(__xludf.DUMMYFUNCTION("""COMPUTED_VALUE"""),4.033333333333333)</f>
        <v>4.033333333</v>
      </c>
      <c r="J131" s="21">
        <f>IFERROR(__xludf.DUMMYFUNCTION("""COMPUTED_VALUE"""),80.0)</f>
        <v>80</v>
      </c>
      <c r="K131" s="23">
        <f>IFERROR(__xludf.DUMMYFUNCTION("""COMPUTED_VALUE"""),7.6)</f>
        <v>7.6</v>
      </c>
      <c r="L131" s="24">
        <f>IFERROR(__xludf.DUMMYFUNCTION("""COMPUTED_VALUE"""),5.0)</f>
        <v>5</v>
      </c>
      <c r="M131" s="25" t="str">
        <f>IFERROR(__xludf.DUMMYFUNCTION("""COMPUTED_VALUE"""),"Puzzle")</f>
        <v>Puzzle</v>
      </c>
      <c r="N131" s="25" t="str">
        <f>IFERROR(__xludf.DUMMYFUNCTION("""COMPUTED_VALUE"""),"PSP")</f>
        <v>PSP</v>
      </c>
      <c r="O131" s="25" t="str">
        <f>IFERROR(__xludf.DUMMYFUNCTION("""COMPUTED_VALUE"""),"No")</f>
        <v>No</v>
      </c>
      <c r="P131" s="25" t="str">
        <f>IFERROR(__xludf.DUMMYFUNCTION("""COMPUTED_VALUE"""),"Yes")</f>
        <v>Yes</v>
      </c>
    </row>
    <row r="132">
      <c r="A132" s="13" t="str">
        <f>IFERROR(__xludf.DUMMYFUNCTION("""COMPUTED_VALUE"""),"Patapon: Remastered")</f>
        <v>Patapon: Remastered</v>
      </c>
      <c r="B132" s="15" t="str">
        <f>IFERROR(__xludf.DUMMYFUNCTION("""COMPUTED_VALUE"""),"PS4")</f>
        <v>PS4</v>
      </c>
      <c r="C132" s="16" t="str">
        <f>IFERROR(__xludf.DUMMYFUNCTION("""COMPUTED_VALUE"""),"Premium (Remasters)")</f>
        <v>Premium (Remasters)</v>
      </c>
      <c r="D132" s="15" t="str">
        <f>IFERROR(__xludf.DUMMYFUNCTION("""COMPUTED_VALUE"""),"Active")</f>
        <v>Active</v>
      </c>
      <c r="E132" s="17">
        <f>IFERROR(__xludf.DUMMYFUNCTION("""COMPUTED_VALUE"""),44725.0)</f>
        <v>44725</v>
      </c>
      <c r="F132" s="54"/>
      <c r="G132" s="19">
        <f>IFERROR(__xludf.DUMMYFUNCTION("""COMPUTED_VALUE"""),51.766666666666666)</f>
        <v>51.76666667</v>
      </c>
      <c r="H132" s="17">
        <f>IFERROR(__xludf.DUMMYFUNCTION("""COMPUTED_VALUE"""),42948.0)</f>
        <v>42948</v>
      </c>
      <c r="I132" s="19">
        <f>IFERROR(__xludf.DUMMYFUNCTION("""COMPUTED_VALUE"""),4.866666666666666)</f>
        <v>4.866666667</v>
      </c>
      <c r="J132" s="21">
        <f>IFERROR(__xludf.DUMMYFUNCTION("""COMPUTED_VALUE"""),72.0)</f>
        <v>72</v>
      </c>
      <c r="K132" s="23">
        <f>IFERROR(__xludf.DUMMYFUNCTION("""COMPUTED_VALUE"""),7.9)</f>
        <v>7.9</v>
      </c>
      <c r="L132" s="24">
        <f>IFERROR(__xludf.DUMMYFUNCTION("""COMPUTED_VALUE"""),7.0)</f>
        <v>7</v>
      </c>
      <c r="M132" s="25" t="str">
        <f>IFERROR(__xludf.DUMMYFUNCTION("""COMPUTED_VALUE"""),"Rhythm")</f>
        <v>Rhythm</v>
      </c>
      <c r="N132" s="25" t="str">
        <f>IFERROR(__xludf.DUMMYFUNCTION("""COMPUTED_VALUE"""),"PSP")</f>
        <v>PSP</v>
      </c>
      <c r="O132" s="25" t="str">
        <f>IFERROR(__xludf.DUMMYFUNCTION("""COMPUTED_VALUE"""),"No")</f>
        <v>No</v>
      </c>
      <c r="P132" s="25"/>
    </row>
    <row r="133">
      <c r="A133" s="13" t="str">
        <f>IFERROR(__xludf.DUMMYFUNCTION("""COMPUTED_VALUE"""),"UNCHARTED: The Nathan Drake Collection")</f>
        <v>UNCHARTED: The Nathan Drake Collection</v>
      </c>
      <c r="B133" s="15" t="str">
        <f>IFERROR(__xludf.DUMMYFUNCTION("""COMPUTED_VALUE"""),"PS4")</f>
        <v>PS4</v>
      </c>
      <c r="C133" s="16" t="str">
        <f>IFERROR(__xludf.DUMMYFUNCTION("""COMPUTED_VALUE"""),"Premium (Remasters)")</f>
        <v>Premium (Remasters)</v>
      </c>
      <c r="D133" s="15" t="str">
        <f>IFERROR(__xludf.DUMMYFUNCTION("""COMPUTED_VALUE"""),"Active")</f>
        <v>Active</v>
      </c>
      <c r="E133" s="17">
        <f>IFERROR(__xludf.DUMMYFUNCTION("""COMPUTED_VALUE"""),44725.0)</f>
        <v>44725</v>
      </c>
      <c r="F133" s="54"/>
      <c r="G133" s="19">
        <f>IFERROR(__xludf.DUMMYFUNCTION("""COMPUTED_VALUE"""),51.766666666666666)</f>
        <v>51.76666667</v>
      </c>
      <c r="H133" s="17">
        <f>IFERROR(__xludf.DUMMYFUNCTION("""COMPUTED_VALUE"""),42278.0)</f>
        <v>42278</v>
      </c>
      <c r="I133" s="19">
        <f>IFERROR(__xludf.DUMMYFUNCTION("""COMPUTED_VALUE"""),6.7)</f>
        <v>6.7</v>
      </c>
      <c r="J133" s="21">
        <f>IFERROR(__xludf.DUMMYFUNCTION("""COMPUTED_VALUE"""),86.0)</f>
        <v>86</v>
      </c>
      <c r="K133" s="23">
        <f>IFERROR(__xludf.DUMMYFUNCTION("""COMPUTED_VALUE"""),8.6)</f>
        <v>8.6</v>
      </c>
      <c r="L133" s="24">
        <f>IFERROR(__xludf.DUMMYFUNCTION("""COMPUTED_VALUE"""),34.0)</f>
        <v>34</v>
      </c>
      <c r="M133" s="68" t="str">
        <f>IFERROR(__xludf.DUMMYFUNCTION("""COMPUTED_VALUE"""),"Action-Adventure")</f>
        <v>Action-Adventure</v>
      </c>
      <c r="N133" s="68" t="str">
        <f>IFERROR(__xludf.DUMMYFUNCTION("""COMPUTED_VALUE"""),"PS3")</f>
        <v>PS3</v>
      </c>
      <c r="O133" s="68" t="str">
        <f>IFERROR(__xludf.DUMMYFUNCTION("""COMPUTED_VALUE"""),"No")</f>
        <v>No</v>
      </c>
      <c r="P133" s="68"/>
    </row>
    <row r="134">
      <c r="A134" s="13" t="str">
        <f>IFERROR(__xludf.DUMMYFUNCTION("""COMPUTED_VALUE"""),"Harvest Moon: Light of Hope - Special Edition")</f>
        <v>Harvest Moon: Light of Hope - Special Edition</v>
      </c>
      <c r="B134" s="15" t="str">
        <f>IFERROR(__xludf.DUMMYFUNCTION("""COMPUTED_VALUE"""),"PS4")</f>
        <v>PS4</v>
      </c>
      <c r="C134" s="16" t="str">
        <f>IFERROR(__xludf.DUMMYFUNCTION("""COMPUTED_VALUE"""),"Extra")</f>
        <v>Extra</v>
      </c>
      <c r="D134" s="15" t="str">
        <f>IFERROR(__xludf.DUMMYFUNCTION("""COMPUTED_VALUE"""),"Leaving Soon")</f>
        <v>Leaving Soon</v>
      </c>
      <c r="E134" s="17">
        <f>IFERROR(__xludf.DUMMYFUNCTION("""COMPUTED_VALUE"""),44725.0)</f>
        <v>44725</v>
      </c>
      <c r="F134" s="54">
        <f>IFERROR(__xludf.DUMMYFUNCTION("""COMPUTED_VALUE"""),46314.0)</f>
        <v>46314</v>
      </c>
      <c r="G134" s="19">
        <f>IFERROR(__xludf.DUMMYFUNCTION("""COMPUTED_VALUE"""),52.199999999999996)</f>
        <v>52.2</v>
      </c>
      <c r="H134" s="17">
        <f>IFERROR(__xludf.DUMMYFUNCTION("""COMPUTED_VALUE"""),43053.0)</f>
        <v>43053</v>
      </c>
      <c r="I134" s="19">
        <f>IFERROR(__xludf.DUMMYFUNCTION("""COMPUTED_VALUE"""),4.580555555555556)</f>
        <v>4.580555556</v>
      </c>
      <c r="J134" s="21">
        <f>IFERROR(__xludf.DUMMYFUNCTION("""COMPUTED_VALUE"""),80.0)</f>
        <v>80</v>
      </c>
      <c r="K134" s="23">
        <f>IFERROR(__xludf.DUMMYFUNCTION("""COMPUTED_VALUE"""),6.2)</f>
        <v>6.2</v>
      </c>
      <c r="L134" s="24">
        <f>IFERROR(__xludf.DUMMYFUNCTION("""COMPUTED_VALUE"""),18.5)</f>
        <v>18.5</v>
      </c>
      <c r="M134" s="25" t="str">
        <f>IFERROR(__xludf.DUMMYFUNCTION("""COMPUTED_VALUE"""),"Strategy")</f>
        <v>Strategy</v>
      </c>
      <c r="N134" s="25"/>
      <c r="O134" s="25" t="str">
        <f>IFERROR(__xludf.DUMMYFUNCTION("""COMPUTED_VALUE"""),"No")</f>
        <v>No</v>
      </c>
      <c r="P134" s="25"/>
    </row>
    <row r="135">
      <c r="A135" s="13" t="str">
        <f>IFERROR(__xludf.DUMMYFUNCTION("""COMPUTED_VALUE"""),"Harvest Moon: One World")</f>
        <v>Harvest Moon: One World</v>
      </c>
      <c r="B135" s="15" t="str">
        <f>IFERROR(__xludf.DUMMYFUNCTION("""COMPUTED_VALUE"""),"PS4")</f>
        <v>PS4</v>
      </c>
      <c r="C135" s="16" t="str">
        <f>IFERROR(__xludf.DUMMYFUNCTION("""COMPUTED_VALUE"""),"Extra")</f>
        <v>Extra</v>
      </c>
      <c r="D135" s="15" t="str">
        <f>IFERROR(__xludf.DUMMYFUNCTION("""COMPUTED_VALUE"""),"Leaving Soon")</f>
        <v>Leaving Soon</v>
      </c>
      <c r="E135" s="17">
        <f>IFERROR(__xludf.DUMMYFUNCTION("""COMPUTED_VALUE"""),44725.0)</f>
        <v>44725</v>
      </c>
      <c r="F135" s="54">
        <f>IFERROR(__xludf.DUMMYFUNCTION("""COMPUTED_VALUE"""),46314.0)</f>
        <v>46314</v>
      </c>
      <c r="G135" s="19">
        <f>IFERROR(__xludf.DUMMYFUNCTION("""COMPUTED_VALUE"""),52.199999999999996)</f>
        <v>52.2</v>
      </c>
      <c r="H135" s="17">
        <f>IFERROR(__xludf.DUMMYFUNCTION("""COMPUTED_VALUE"""),44258.0)</f>
        <v>44258</v>
      </c>
      <c r="I135" s="19">
        <f>IFERROR(__xludf.DUMMYFUNCTION("""COMPUTED_VALUE"""),1.2777777777777777)</f>
        <v>1.277777778</v>
      </c>
      <c r="J135" s="21">
        <f>IFERROR(__xludf.DUMMYFUNCTION("""COMPUTED_VALUE"""),51.0)</f>
        <v>51</v>
      </c>
      <c r="K135" s="23">
        <f>IFERROR(__xludf.DUMMYFUNCTION("""COMPUTED_VALUE"""),5.1)</f>
        <v>5.1</v>
      </c>
      <c r="L135" s="24">
        <f>IFERROR(__xludf.DUMMYFUNCTION("""COMPUTED_VALUE"""),19.5)</f>
        <v>19.5</v>
      </c>
      <c r="M135" s="25" t="str">
        <f>IFERROR(__xludf.DUMMYFUNCTION("""COMPUTED_VALUE"""),"Simulation")</f>
        <v>Simulation</v>
      </c>
      <c r="N135" s="25"/>
      <c r="O135" s="25" t="str">
        <f>IFERROR(__xludf.DUMMYFUNCTION("""COMPUTED_VALUE"""),"No")</f>
        <v>No</v>
      </c>
      <c r="P135" s="25"/>
    </row>
    <row r="136">
      <c r="A136" s="13" t="str">
        <f>IFERROR(__xludf.DUMMYFUNCTION("""COMPUTED_VALUE"""),"Totally Reliable Delivery Service")</f>
        <v>Totally Reliable Delivery Service</v>
      </c>
      <c r="B136" s="15" t="str">
        <f>IFERROR(__xludf.DUMMYFUNCTION("""COMPUTED_VALUE"""),"PS4")</f>
        <v>PS4</v>
      </c>
      <c r="C136" s="16" t="str">
        <f>IFERROR(__xludf.DUMMYFUNCTION("""COMPUTED_VALUE"""),"Extra")</f>
        <v>Extra</v>
      </c>
      <c r="D136" s="15" t="str">
        <f>IFERROR(__xludf.DUMMYFUNCTION("""COMPUTED_VALUE"""),"Active")</f>
        <v>Active</v>
      </c>
      <c r="E136" s="17">
        <f>IFERROR(__xludf.DUMMYFUNCTION("""COMPUTED_VALUE"""),44502.0)</f>
        <v>44502</v>
      </c>
      <c r="F136" s="54"/>
      <c r="G136" s="19">
        <f>IFERROR(__xludf.DUMMYFUNCTION("""COMPUTED_VALUE"""),59.13333333333334)</f>
        <v>59.13333333</v>
      </c>
      <c r="H136" s="17">
        <f>IFERROR(__xludf.DUMMYFUNCTION("""COMPUTED_VALUE"""),43922.0)</f>
        <v>43922</v>
      </c>
      <c r="I136" s="19">
        <f>IFERROR(__xludf.DUMMYFUNCTION("""COMPUTED_VALUE"""),1.586111111111111)</f>
        <v>1.586111111</v>
      </c>
      <c r="J136" s="21">
        <f>IFERROR(__xludf.DUMMYFUNCTION("""COMPUTED_VALUE"""),62.0)</f>
        <v>62</v>
      </c>
      <c r="K136" s="23">
        <f>IFERROR(__xludf.DUMMYFUNCTION("""COMPUTED_VALUE"""),6.0)</f>
        <v>6</v>
      </c>
      <c r="L136" s="24">
        <f>IFERROR(__xludf.DUMMYFUNCTION("""COMPUTED_VALUE"""),4.0)</f>
        <v>4</v>
      </c>
      <c r="M136" s="25" t="str">
        <f>IFERROR(__xludf.DUMMYFUNCTION("""COMPUTED_VALUE"""),"Platformer")</f>
        <v>Platformer</v>
      </c>
      <c r="N136" s="25"/>
      <c r="O136" s="25" t="str">
        <f>IFERROR(__xludf.DUMMYFUNCTION("""COMPUTED_VALUE"""),"No")</f>
        <v>No</v>
      </c>
      <c r="P136" s="25" t="str">
        <f>IFERROR(__xludf.DUMMYFUNCTION("""COMPUTED_VALUE"""),"Yes")</f>
        <v>Yes</v>
      </c>
    </row>
    <row r="137">
      <c r="A137" s="13" t="str">
        <f>IFERROR(__xludf.DUMMYFUNCTION("""COMPUTED_VALUE"""),"UNCHARTED: The Lost Legacy")</f>
        <v>UNCHARTED: The Lost Legacy</v>
      </c>
      <c r="B137" s="15" t="str">
        <f>IFERROR(__xludf.DUMMYFUNCTION("""COMPUTED_VALUE"""),"PS4")</f>
        <v>PS4</v>
      </c>
      <c r="C137" s="16" t="str">
        <f>IFERROR(__xludf.DUMMYFUNCTION("""COMPUTED_VALUE"""),"Extra")</f>
        <v>Extra</v>
      </c>
      <c r="D137" s="15" t="str">
        <f>IFERROR(__xludf.DUMMYFUNCTION("""COMPUTED_VALUE"""),"Active")</f>
        <v>Active</v>
      </c>
      <c r="E137" s="17">
        <f>IFERROR(__xludf.DUMMYFUNCTION("""COMPUTED_VALUE"""),43928.0)</f>
        <v>43928</v>
      </c>
      <c r="F137" s="54"/>
      <c r="G137" s="19">
        <f>IFERROR(__xludf.DUMMYFUNCTION("""COMPUTED_VALUE"""),77.96666666666667)</f>
        <v>77.96666667</v>
      </c>
      <c r="H137" s="17">
        <f>IFERROR(__xludf.DUMMYFUNCTION("""COMPUTED_VALUE"""),42969.0)</f>
        <v>42969</v>
      </c>
      <c r="I137" s="19">
        <f>IFERROR(__xludf.DUMMYFUNCTION("""COMPUTED_VALUE"""),2.625)</f>
        <v>2.625</v>
      </c>
      <c r="J137" s="21">
        <f>IFERROR(__xludf.DUMMYFUNCTION("""COMPUTED_VALUE"""),84.0)</f>
        <v>84</v>
      </c>
      <c r="K137" s="23">
        <f>IFERROR(__xludf.DUMMYFUNCTION("""COMPUTED_VALUE"""),7.8)</f>
        <v>7.8</v>
      </c>
      <c r="L137" s="24">
        <f>IFERROR(__xludf.DUMMYFUNCTION("""COMPUTED_VALUE"""),8.0)</f>
        <v>8</v>
      </c>
      <c r="M137" s="25" t="str">
        <f>IFERROR(__xludf.DUMMYFUNCTION("""COMPUTED_VALUE"""),"Action-Adventure")</f>
        <v>Action-Adventure</v>
      </c>
      <c r="N137" s="25"/>
      <c r="O137" s="25" t="str">
        <f>IFERROR(__xludf.DUMMYFUNCTION("""COMPUTED_VALUE"""),"No")</f>
        <v>No</v>
      </c>
      <c r="P137" s="25"/>
    </row>
    <row r="138">
      <c r="A138" s="13" t="str">
        <f>IFERROR(__xludf.DUMMYFUNCTION("""COMPUTED_VALUE"""),"WipEout: Omega Collection")</f>
        <v>WipEout: Omega Collection</v>
      </c>
      <c r="B138" s="15" t="str">
        <f>IFERROR(__xludf.DUMMYFUNCTION("""COMPUTED_VALUE"""),"PS4/PSVR")</f>
        <v>PS4/PSVR</v>
      </c>
      <c r="C138" s="16" t="str">
        <f>IFERROR(__xludf.DUMMYFUNCTION("""COMPUTED_VALUE"""),"Premium (Remasters)")</f>
        <v>Premium (Remasters)</v>
      </c>
      <c r="D138" s="15" t="str">
        <f>IFERROR(__xludf.DUMMYFUNCTION("""COMPUTED_VALUE"""),"Active")</f>
        <v>Active</v>
      </c>
      <c r="E138" s="17">
        <f>IFERROR(__xludf.DUMMYFUNCTION("""COMPUTED_VALUE"""),43683.0)</f>
        <v>43683</v>
      </c>
      <c r="F138" s="18"/>
      <c r="G138" s="19">
        <f>IFERROR(__xludf.DUMMYFUNCTION("""COMPUTED_VALUE"""),86.0)</f>
        <v>86</v>
      </c>
      <c r="H138" s="17">
        <f>IFERROR(__xludf.DUMMYFUNCTION("""COMPUTED_VALUE"""),41365.0)</f>
        <v>41365</v>
      </c>
      <c r="I138" s="19">
        <f>IFERROR(__xludf.DUMMYFUNCTION("""COMPUTED_VALUE"""),6.347222222222222)</f>
        <v>6.347222222</v>
      </c>
      <c r="J138" s="21">
        <f>IFERROR(__xludf.DUMMYFUNCTION("""COMPUTED_VALUE"""),85.0)</f>
        <v>85</v>
      </c>
      <c r="K138" s="23">
        <f>IFERROR(__xludf.DUMMYFUNCTION("""COMPUTED_VALUE"""),8.2)</f>
        <v>8.2</v>
      </c>
      <c r="L138" s="24">
        <f>IFERROR(__xludf.DUMMYFUNCTION("""COMPUTED_VALUE"""),8.0)</f>
        <v>8</v>
      </c>
      <c r="M138" s="25" t="str">
        <f>IFERROR(__xludf.DUMMYFUNCTION("""COMPUTED_VALUE"""),"Racing")</f>
        <v>Racing</v>
      </c>
      <c r="N138" s="25" t="str">
        <f>IFERROR(__xludf.DUMMYFUNCTION("""COMPUTED_VALUE"""),"PS3")</f>
        <v>PS3</v>
      </c>
      <c r="O138" s="25" t="str">
        <f>IFERROR(__xludf.DUMMYFUNCTION("""COMPUTED_VALUE"""),"No")</f>
        <v>No</v>
      </c>
      <c r="P138" s="25" t="str">
        <f>IFERROR(__xludf.DUMMYFUNCTION("""COMPUTED_VALUE"""),"Yes")</f>
        <v>Yes</v>
      </c>
    </row>
    <row r="139">
      <c r="A139" s="13" t="str">
        <f>IFERROR(__xludf.DUMMYFUNCTION("""COMPUTED_VALUE"""),"Nightmares From the Deep 2: The Siren's Call")</f>
        <v>Nightmares From the Deep 2: The Siren's Call</v>
      </c>
      <c r="B139" s="15" t="str">
        <f>IFERROR(__xludf.DUMMYFUNCTION("""COMPUTED_VALUE"""),"PS5/PS4")</f>
        <v>PS5/PS4</v>
      </c>
      <c r="C139" s="16" t="str">
        <f>IFERROR(__xludf.DUMMYFUNCTION("""COMPUTED_VALUE"""),"Extra")</f>
        <v>Extra</v>
      </c>
      <c r="D139" s="15" t="str">
        <f>IFERROR(__xludf.DUMMYFUNCTION("""COMPUTED_VALUE"""),"Active")</f>
        <v>Active</v>
      </c>
      <c r="E139" s="17">
        <f>IFERROR(__xludf.DUMMYFUNCTION("""COMPUTED_VALUE"""),43648.0)</f>
        <v>43648</v>
      </c>
      <c r="F139" s="54"/>
      <c r="G139" s="19">
        <f>IFERROR(__xludf.DUMMYFUNCTION("""COMPUTED_VALUE"""),87.13333333333333)</f>
        <v>87.13333333</v>
      </c>
      <c r="H139" s="17">
        <f>IFERROR(__xludf.DUMMYFUNCTION("""COMPUTED_VALUE"""),42608.0)</f>
        <v>42608</v>
      </c>
      <c r="I139" s="19">
        <f>IFERROR(__xludf.DUMMYFUNCTION("""COMPUTED_VALUE"""),2.85)</f>
        <v>2.85</v>
      </c>
      <c r="J139" s="21">
        <f>IFERROR(__xludf.DUMMYFUNCTION("""COMPUTED_VALUE"""),69.0)</f>
        <v>69</v>
      </c>
      <c r="K139" s="23">
        <f>IFERROR(__xludf.DUMMYFUNCTION("""COMPUTED_VALUE"""),8.3)</f>
        <v>8.3</v>
      </c>
      <c r="L139" s="24">
        <f>IFERROR(__xludf.DUMMYFUNCTION("""COMPUTED_VALUE"""),4.0)</f>
        <v>4</v>
      </c>
      <c r="M139" s="25" t="str">
        <f>IFERROR(__xludf.DUMMYFUNCTION("""COMPUTED_VALUE"""),"Hidden Object")</f>
        <v>Hidden Object</v>
      </c>
      <c r="N139" s="25"/>
      <c r="O139" s="25" t="str">
        <f>IFERROR(__xludf.DUMMYFUNCTION("""COMPUTED_VALUE"""),"No")</f>
        <v>No</v>
      </c>
      <c r="P139" s="25"/>
    </row>
    <row r="140">
      <c r="A140" s="13" t="str">
        <f>IFERROR(__xludf.DUMMYFUNCTION("""COMPUTED_VALUE"""),"For Honor")</f>
        <v>For Honor</v>
      </c>
      <c r="B140" s="15" t="str">
        <f>IFERROR(__xludf.DUMMYFUNCTION("""COMPUTED_VALUE"""),"PS4")</f>
        <v>PS4</v>
      </c>
      <c r="C140" s="16" t="str">
        <f>IFERROR(__xludf.DUMMYFUNCTION("""COMPUTED_VALUE"""),"Extra (Ubisoft+ Classics)")</f>
        <v>Extra (Ubisoft+ Classics)</v>
      </c>
      <c r="D140" s="15" t="str">
        <f>IFERROR(__xludf.DUMMYFUNCTION("""COMPUTED_VALUE"""),"Active")</f>
        <v>Active</v>
      </c>
      <c r="E140" s="17">
        <f>IFERROR(__xludf.DUMMYFUNCTION("""COMPUTED_VALUE"""),43438.0)</f>
        <v>43438</v>
      </c>
      <c r="F140" s="18"/>
      <c r="G140" s="19">
        <f>IFERROR(__xludf.DUMMYFUNCTION("""COMPUTED_VALUE"""),94.06666666666666)</f>
        <v>94.06666667</v>
      </c>
      <c r="H140" s="17">
        <f>IFERROR(__xludf.DUMMYFUNCTION("""COMPUTED_VALUE"""),42780.0)</f>
        <v>42780</v>
      </c>
      <c r="I140" s="19">
        <f>IFERROR(__xludf.DUMMYFUNCTION("""COMPUTED_VALUE"""),1.8055555555555556)</f>
        <v>1.805555556</v>
      </c>
      <c r="J140" s="21">
        <f>IFERROR(__xludf.DUMMYFUNCTION("""COMPUTED_VALUE"""),76.0)</f>
        <v>76</v>
      </c>
      <c r="K140" s="23">
        <f>IFERROR(__xludf.DUMMYFUNCTION("""COMPUTED_VALUE"""),7.0)</f>
        <v>7</v>
      </c>
      <c r="L140" s="24">
        <f>IFERROR(__xludf.DUMMYFUNCTION("""COMPUTED_VALUE"""),7.0)</f>
        <v>7</v>
      </c>
      <c r="M140" s="70" t="str">
        <f>IFERROR(__xludf.DUMMYFUNCTION("""COMPUTED_VALUE"""),"Fighting")</f>
        <v>Fighting</v>
      </c>
      <c r="N140" s="25" t="str">
        <f>IFERROR(__xludf.DUMMYFUNCTION("""COMPUTED_VALUE"""),"Removed from streaming")</f>
        <v>Removed from streaming</v>
      </c>
      <c r="O140" s="25" t="str">
        <f>IFERROR(__xludf.DUMMYFUNCTION("""COMPUTED_VALUE"""),"No")</f>
        <v>No</v>
      </c>
      <c r="P140" s="25" t="str">
        <f>IFERROR(__xludf.DUMMYFUNCTION("""COMPUTED_VALUE"""),"Yes")</f>
        <v>Yes</v>
      </c>
    </row>
    <row r="141">
      <c r="A141" s="13" t="str">
        <f>IFERROR(__xludf.DUMMYFUNCTION("""COMPUTED_VALUE"""),"Everybody's Golf")</f>
        <v>Everybody's Golf</v>
      </c>
      <c r="B141" s="15" t="str">
        <f>IFERROR(__xludf.DUMMYFUNCTION("""COMPUTED_VALUE"""),"PS4")</f>
        <v>PS4</v>
      </c>
      <c r="C141" s="16" t="str">
        <f>IFERROR(__xludf.DUMMYFUNCTION("""COMPUTED_VALUE"""),"Extra")</f>
        <v>Extra</v>
      </c>
      <c r="D141" s="15" t="str">
        <f>IFERROR(__xludf.DUMMYFUNCTION("""COMPUTED_VALUE"""),"Active")</f>
        <v>Active</v>
      </c>
      <c r="E141" s="17">
        <f>IFERROR(__xludf.DUMMYFUNCTION("""COMPUTED_VALUE"""),43109.0)</f>
        <v>43109</v>
      </c>
      <c r="F141" s="18"/>
      <c r="G141" s="19">
        <f>IFERROR(__xludf.DUMMYFUNCTION("""COMPUTED_VALUE"""),104.9)</f>
        <v>104.9</v>
      </c>
      <c r="H141" s="17">
        <f>IFERROR(__xludf.DUMMYFUNCTION("""COMPUTED_VALUE"""),42976.0)</f>
        <v>42976</v>
      </c>
      <c r="I141" s="19">
        <f>IFERROR(__xludf.DUMMYFUNCTION("""COMPUTED_VALUE"""),0.3611111111111111)</f>
        <v>0.3611111111</v>
      </c>
      <c r="J141" s="21">
        <f>IFERROR(__xludf.DUMMYFUNCTION("""COMPUTED_VALUE"""),79.0)</f>
        <v>79</v>
      </c>
      <c r="K141" s="23">
        <f>IFERROR(__xludf.DUMMYFUNCTION("""COMPUTED_VALUE"""),7.8)</f>
        <v>7.8</v>
      </c>
      <c r="L141" s="24">
        <f>IFERROR(__xludf.DUMMYFUNCTION("""COMPUTED_VALUE"""),16.0)</f>
        <v>16</v>
      </c>
      <c r="M141" s="25" t="str">
        <f>IFERROR(__xludf.DUMMYFUNCTION("""COMPUTED_VALUE"""),"Sports")</f>
        <v>Sports</v>
      </c>
      <c r="N141" s="25"/>
      <c r="O141" s="25" t="str">
        <f>IFERROR(__xludf.DUMMYFUNCTION("""COMPUTED_VALUE"""),"No")</f>
        <v>No</v>
      </c>
      <c r="P141" s="25" t="str">
        <f>IFERROR(__xludf.DUMMYFUNCTION("""COMPUTED_VALUE"""),"Yes")</f>
        <v>Yes</v>
      </c>
    </row>
    <row r="142">
      <c r="A142" s="13" t="str">
        <f>IFERROR(__xludf.DUMMYFUNCTION("""COMPUTED_VALUE"""),"Hotline Miami")</f>
        <v>Hotline Miami</v>
      </c>
      <c r="B142" s="15" t="str">
        <f>IFERROR(__xludf.DUMMYFUNCTION("""COMPUTED_VALUE"""),"PS5/PS4")</f>
        <v>PS5/PS4</v>
      </c>
      <c r="C142" s="16" t="str">
        <f>IFERROR(__xludf.DUMMYFUNCTION("""COMPUTED_VALUE"""),"Extra")</f>
        <v>Extra</v>
      </c>
      <c r="D142" s="15" t="str">
        <f>IFERROR(__xludf.DUMMYFUNCTION("""COMPUTED_VALUE"""),"Active")</f>
        <v>Active</v>
      </c>
      <c r="E142" s="17">
        <f>IFERROR(__xludf.DUMMYFUNCTION("""COMPUTED_VALUE"""),42017.0)</f>
        <v>42017</v>
      </c>
      <c r="F142" s="54"/>
      <c r="G142" s="19">
        <f>IFERROR(__xludf.DUMMYFUNCTION("""COMPUTED_VALUE"""),140.76666666666668)</f>
        <v>140.7666667</v>
      </c>
      <c r="H142" s="17">
        <f>IFERROR(__xludf.DUMMYFUNCTION("""COMPUTED_VALUE"""),41205.0)</f>
        <v>41205</v>
      </c>
      <c r="I142" s="19">
        <f>IFERROR(__xludf.DUMMYFUNCTION("""COMPUTED_VALUE"""),2.2222222222222223)</f>
        <v>2.222222222</v>
      </c>
      <c r="J142" s="21">
        <f>IFERROR(__xludf.DUMMYFUNCTION("""COMPUTED_VALUE"""),87.0)</f>
        <v>87</v>
      </c>
      <c r="K142" s="23">
        <f>IFERROR(__xludf.DUMMYFUNCTION("""COMPUTED_VALUE"""),8.4)</f>
        <v>8.4</v>
      </c>
      <c r="L142" s="24">
        <f>IFERROR(__xludf.DUMMYFUNCTION("""COMPUTED_VALUE"""),5.0)</f>
        <v>5</v>
      </c>
      <c r="M142" s="25" t="str">
        <f>IFERROR(__xludf.DUMMYFUNCTION("""COMPUTED_VALUE"""),"Action-Adventure")</f>
        <v>Action-Adventure</v>
      </c>
      <c r="N142" s="25"/>
      <c r="O142" s="25" t="str">
        <f>IFERROR(__xludf.DUMMYFUNCTION("""COMPUTED_VALUE"""),"No")</f>
        <v>No</v>
      </c>
      <c r="P142" s="25"/>
    </row>
    <row r="143">
      <c r="A143" s="13" t="str">
        <f>IFERROR(__xludf.DUMMYFUNCTION("""COMPUTED_VALUE"""),"echochrome")</f>
        <v>echochrome</v>
      </c>
      <c r="B143" s="15" t="str">
        <f>IFERROR(__xludf.DUMMYFUNCTION("""COMPUTED_VALUE"""),"PS5/PS4")</f>
        <v>PS5/PS4</v>
      </c>
      <c r="C143" s="16" t="str">
        <f>IFERROR(__xludf.DUMMYFUNCTION("""COMPUTED_VALUE"""),"Premium (Streaming Only)")</f>
        <v>Premium (Streaming Only)</v>
      </c>
      <c r="D143" s="15" t="str">
        <f>IFERROR(__xludf.DUMMYFUNCTION("""COMPUTED_VALUE"""),"Active")</f>
        <v>Active</v>
      </c>
      <c r="E143" s="17">
        <f>IFERROR(__xludf.DUMMYFUNCTION("""COMPUTED_VALUE"""),42017.0)</f>
        <v>42017</v>
      </c>
      <c r="F143" s="54"/>
      <c r="G143" s="19">
        <f>IFERROR(__xludf.DUMMYFUNCTION("""COMPUTED_VALUE"""),140.76666666666668)</f>
        <v>140.7666667</v>
      </c>
      <c r="H143" s="17">
        <f>IFERROR(__xludf.DUMMYFUNCTION("""COMPUTED_VALUE"""),39569.0)</f>
        <v>39569</v>
      </c>
      <c r="I143" s="19">
        <f>IFERROR(__xludf.DUMMYFUNCTION("""COMPUTED_VALUE"""),6.7)</f>
        <v>6.7</v>
      </c>
      <c r="J143" s="21">
        <f>IFERROR(__xludf.DUMMYFUNCTION("""COMPUTED_VALUE"""),81.0)</f>
        <v>81</v>
      </c>
      <c r="K143" s="23">
        <f>IFERROR(__xludf.DUMMYFUNCTION("""COMPUTED_VALUE"""),7.4)</f>
        <v>7.4</v>
      </c>
      <c r="L143" s="24">
        <f>IFERROR(__xludf.DUMMYFUNCTION("""COMPUTED_VALUE"""),4.0)</f>
        <v>4</v>
      </c>
      <c r="M143" s="25" t="str">
        <f>IFERROR(__xludf.DUMMYFUNCTION("""COMPUTED_VALUE"""),"Puzzle")</f>
        <v>Puzzle</v>
      </c>
      <c r="N143" s="25" t="str">
        <f>IFERROR(__xludf.DUMMYFUNCTION("""COMPUTED_VALUE"""),"PS3")</f>
        <v>PS3</v>
      </c>
      <c r="O143" s="25" t="str">
        <f>IFERROR(__xludf.DUMMYFUNCTION("""COMPUTED_VALUE"""),"No")</f>
        <v>No</v>
      </c>
      <c r="P143" s="25" t="str">
        <f>IFERROR(__xludf.DUMMYFUNCTION("""COMPUTED_VALUE"""),"")</f>
        <v/>
      </c>
    </row>
    <row r="144">
      <c r="A144" s="52"/>
      <c r="B144" s="15"/>
      <c r="C144" s="16"/>
      <c r="D144" s="15"/>
      <c r="E144" s="17"/>
      <c r="F144" s="54"/>
      <c r="G144" s="19"/>
      <c r="H144" s="17"/>
      <c r="I144" s="19"/>
      <c r="J144" s="21"/>
      <c r="K144" s="57"/>
      <c r="L144" s="24"/>
      <c r="M144" s="25"/>
      <c r="N144" s="25"/>
      <c r="O144" s="25"/>
      <c r="P144" s="25"/>
    </row>
    <row r="145">
      <c r="A145" s="52"/>
      <c r="B145" s="15"/>
      <c r="C145" s="16"/>
      <c r="D145" s="15"/>
      <c r="E145" s="17"/>
      <c r="F145" s="54"/>
      <c r="G145" s="19"/>
      <c r="H145" s="17"/>
      <c r="I145" s="19"/>
      <c r="J145" s="21"/>
      <c r="K145" s="57"/>
      <c r="L145" s="24"/>
      <c r="M145" s="25"/>
      <c r="N145" s="25"/>
      <c r="O145" s="25"/>
      <c r="P145" s="25"/>
    </row>
    <row r="146">
      <c r="A146" s="52"/>
      <c r="B146" s="15"/>
      <c r="C146" s="16"/>
      <c r="D146" s="15"/>
      <c r="E146" s="17"/>
      <c r="F146" s="54"/>
      <c r="G146" s="19"/>
      <c r="H146" s="17"/>
      <c r="I146" s="19"/>
      <c r="J146" s="21"/>
      <c r="K146" s="57"/>
      <c r="L146" s="24"/>
      <c r="M146" s="25"/>
      <c r="N146" s="25"/>
      <c r="O146" s="25"/>
      <c r="P146" s="25"/>
    </row>
    <row r="147">
      <c r="A147" s="52"/>
      <c r="B147" s="15"/>
      <c r="C147" s="16"/>
      <c r="D147" s="15"/>
      <c r="E147" s="17"/>
      <c r="F147" s="54"/>
      <c r="G147" s="19"/>
      <c r="H147" s="17"/>
      <c r="I147" s="19"/>
      <c r="J147" s="21"/>
      <c r="K147" s="57"/>
      <c r="L147" s="24"/>
      <c r="M147" s="25"/>
      <c r="N147" s="25"/>
      <c r="O147" s="25"/>
      <c r="P147" s="25"/>
    </row>
    <row r="148">
      <c r="A148" s="52"/>
      <c r="B148" s="15"/>
      <c r="C148" s="16"/>
      <c r="D148" s="15"/>
      <c r="E148" s="17"/>
      <c r="F148" s="54"/>
      <c r="G148" s="19"/>
      <c r="H148" s="17"/>
      <c r="I148" s="19"/>
      <c r="J148" s="21"/>
      <c r="K148" s="57"/>
      <c r="L148" s="24"/>
      <c r="M148" s="25"/>
      <c r="N148" s="25"/>
      <c r="O148" s="25"/>
      <c r="P148" s="25"/>
    </row>
    <row r="149">
      <c r="A149" s="52"/>
      <c r="B149" s="15"/>
      <c r="C149" s="16"/>
      <c r="D149" s="15"/>
      <c r="E149" s="17"/>
      <c r="F149" s="54"/>
      <c r="G149" s="19"/>
      <c r="H149" s="17"/>
      <c r="I149" s="19"/>
      <c r="J149" s="21"/>
      <c r="K149" s="57"/>
      <c r="L149" s="24"/>
      <c r="M149" s="25"/>
      <c r="N149" s="25"/>
      <c r="O149" s="25"/>
      <c r="P149" s="25"/>
    </row>
    <row r="150">
      <c r="A150" s="52"/>
      <c r="B150" s="15"/>
      <c r="C150" s="16"/>
      <c r="D150" s="15"/>
      <c r="E150" s="17"/>
      <c r="F150" s="54"/>
      <c r="G150" s="19"/>
      <c r="H150" s="17"/>
      <c r="I150" s="19"/>
      <c r="J150" s="21"/>
      <c r="K150" s="57"/>
      <c r="L150" s="24"/>
      <c r="M150" s="25"/>
      <c r="N150" s="25"/>
      <c r="O150" s="25"/>
      <c r="P150" s="25"/>
    </row>
    <row r="151">
      <c r="A151" s="52"/>
      <c r="B151" s="15"/>
      <c r="C151" s="16"/>
      <c r="D151" s="15"/>
      <c r="E151" s="17"/>
      <c r="F151" s="54"/>
      <c r="G151" s="19"/>
      <c r="H151" s="17"/>
      <c r="I151" s="19"/>
      <c r="J151" s="21"/>
      <c r="K151" s="57"/>
      <c r="L151" s="24"/>
      <c r="M151" s="25"/>
      <c r="N151" s="25"/>
      <c r="O151" s="25"/>
      <c r="P151" s="25"/>
    </row>
    <row r="152">
      <c r="A152" s="52"/>
      <c r="B152" s="15"/>
      <c r="C152" s="16"/>
      <c r="D152" s="15"/>
      <c r="E152" s="17"/>
      <c r="F152" s="54"/>
      <c r="G152" s="19"/>
      <c r="H152" s="17"/>
      <c r="I152" s="19"/>
      <c r="J152" s="21"/>
      <c r="K152" s="57"/>
      <c r="L152" s="24"/>
      <c r="M152" s="25"/>
      <c r="N152" s="25"/>
      <c r="O152" s="25"/>
      <c r="P152" s="25"/>
    </row>
    <row r="153">
      <c r="A153" s="52"/>
      <c r="B153" s="15"/>
      <c r="C153" s="16"/>
      <c r="D153" s="15"/>
      <c r="E153" s="17"/>
      <c r="F153" s="54"/>
      <c r="G153" s="19"/>
      <c r="H153" s="17"/>
      <c r="I153" s="19"/>
      <c r="J153" s="21"/>
      <c r="K153" s="57"/>
      <c r="L153" s="24"/>
      <c r="M153" s="25"/>
      <c r="N153" s="25"/>
      <c r="O153" s="25"/>
      <c r="P153" s="25"/>
    </row>
    <row r="154">
      <c r="A154" s="52"/>
      <c r="B154" s="15"/>
      <c r="C154" s="16"/>
      <c r="D154" s="15"/>
      <c r="E154" s="17"/>
      <c r="F154" s="54"/>
      <c r="G154" s="19"/>
      <c r="H154" s="17"/>
      <c r="I154" s="19"/>
      <c r="J154" s="21"/>
      <c r="K154" s="57"/>
      <c r="L154" s="24"/>
      <c r="M154" s="25"/>
      <c r="N154" s="25"/>
      <c r="O154" s="25"/>
      <c r="P154" s="25"/>
    </row>
    <row r="155">
      <c r="A155" s="52"/>
      <c r="B155" s="15"/>
      <c r="C155" s="16"/>
      <c r="D155" s="15"/>
      <c r="E155" s="17"/>
      <c r="F155" s="54"/>
      <c r="G155" s="19"/>
      <c r="H155" s="17"/>
      <c r="I155" s="19"/>
      <c r="J155" s="21"/>
      <c r="K155" s="57"/>
      <c r="L155" s="24"/>
      <c r="M155" s="25"/>
      <c r="N155" s="25"/>
      <c r="O155" s="25"/>
      <c r="P155" s="25"/>
    </row>
    <row r="156">
      <c r="A156" s="52"/>
      <c r="B156" s="15"/>
      <c r="C156" s="16"/>
      <c r="D156" s="15"/>
      <c r="E156" s="17"/>
      <c r="F156" s="54"/>
      <c r="G156" s="19"/>
      <c r="H156" s="17"/>
      <c r="I156" s="19"/>
      <c r="J156" s="21"/>
      <c r="K156" s="57"/>
      <c r="L156" s="24"/>
      <c r="M156" s="25"/>
      <c r="N156" s="25"/>
      <c r="O156" s="25"/>
      <c r="P156" s="25"/>
    </row>
    <row r="157">
      <c r="A157" s="52"/>
      <c r="B157" s="15"/>
      <c r="C157" s="16"/>
      <c r="D157" s="15"/>
      <c r="E157" s="17"/>
      <c r="F157" s="18"/>
      <c r="G157" s="19"/>
      <c r="H157" s="17"/>
      <c r="I157" s="19"/>
      <c r="J157" s="21"/>
      <c r="K157" s="57"/>
      <c r="L157" s="24"/>
      <c r="M157" s="25"/>
      <c r="N157" s="25"/>
      <c r="O157" s="25"/>
      <c r="P157" s="25"/>
    </row>
    <row r="158">
      <c r="A158" s="52"/>
      <c r="B158" s="15"/>
      <c r="C158" s="16"/>
      <c r="D158" s="15"/>
      <c r="E158" s="17"/>
      <c r="F158" s="54"/>
      <c r="G158" s="19"/>
      <c r="H158" s="17"/>
      <c r="I158" s="19"/>
      <c r="J158" s="21"/>
      <c r="K158" s="57"/>
      <c r="L158" s="24"/>
      <c r="M158" s="25"/>
      <c r="N158" s="25"/>
      <c r="O158" s="25"/>
      <c r="P158" s="25"/>
    </row>
    <row r="159">
      <c r="A159" s="52"/>
      <c r="B159" s="15"/>
      <c r="C159" s="16"/>
      <c r="D159" s="15"/>
      <c r="E159" s="17"/>
      <c r="F159" s="18"/>
      <c r="G159" s="19"/>
      <c r="H159" s="17"/>
      <c r="I159" s="19"/>
      <c r="J159" s="21"/>
      <c r="K159" s="57"/>
      <c r="L159" s="24"/>
      <c r="M159" s="25"/>
      <c r="N159" s="25"/>
      <c r="O159" s="25"/>
      <c r="P159" s="25"/>
    </row>
    <row r="160">
      <c r="A160" s="52"/>
      <c r="B160" s="15"/>
      <c r="C160" s="16"/>
      <c r="D160" s="15"/>
      <c r="E160" s="17"/>
      <c r="F160" s="54"/>
      <c r="G160" s="19"/>
      <c r="H160" s="17"/>
      <c r="I160" s="19"/>
      <c r="J160" s="21"/>
      <c r="K160" s="57"/>
      <c r="L160" s="24"/>
      <c r="M160" s="25"/>
      <c r="N160" s="25"/>
      <c r="O160" s="25"/>
      <c r="P160" s="25"/>
    </row>
    <row r="161">
      <c r="A161" s="52"/>
      <c r="B161" s="15"/>
      <c r="C161" s="16"/>
      <c r="D161" s="15"/>
      <c r="E161" s="17"/>
      <c r="F161" s="54"/>
      <c r="G161" s="19"/>
      <c r="H161" s="17"/>
      <c r="I161" s="19"/>
      <c r="J161" s="21"/>
      <c r="K161" s="57"/>
      <c r="L161" s="24"/>
      <c r="M161" s="25"/>
      <c r="N161" s="25"/>
      <c r="O161" s="25"/>
      <c r="P161" s="25"/>
    </row>
    <row r="162">
      <c r="A162" s="52"/>
      <c r="B162" s="15"/>
      <c r="C162" s="16"/>
      <c r="D162" s="15"/>
      <c r="E162" s="17"/>
      <c r="F162" s="54"/>
      <c r="G162" s="19"/>
      <c r="H162" s="17"/>
      <c r="I162" s="19"/>
      <c r="J162" s="21"/>
      <c r="K162" s="57"/>
      <c r="L162" s="24"/>
      <c r="M162" s="25"/>
      <c r="N162" s="25"/>
      <c r="O162" s="25"/>
      <c r="P162" s="25"/>
    </row>
    <row r="163">
      <c r="A163" s="52"/>
      <c r="B163" s="15"/>
      <c r="C163" s="16"/>
      <c r="D163" s="15"/>
      <c r="E163" s="17"/>
      <c r="F163" s="54"/>
      <c r="G163" s="19"/>
      <c r="H163" s="17"/>
      <c r="I163" s="19"/>
      <c r="J163" s="21"/>
      <c r="K163" s="57"/>
      <c r="L163" s="24"/>
      <c r="M163" s="25"/>
      <c r="N163" s="25"/>
      <c r="O163" s="25"/>
      <c r="P163" s="25"/>
    </row>
    <row r="164">
      <c r="A164" s="52"/>
      <c r="B164" s="15"/>
      <c r="C164" s="16"/>
      <c r="D164" s="15"/>
      <c r="E164" s="17"/>
      <c r="F164" s="54"/>
      <c r="G164" s="19"/>
      <c r="H164" s="17"/>
      <c r="I164" s="19"/>
      <c r="J164" s="21"/>
      <c r="K164" s="57"/>
      <c r="L164" s="24"/>
      <c r="M164" s="25"/>
      <c r="N164" s="25"/>
      <c r="O164" s="25"/>
      <c r="P164" s="25"/>
    </row>
    <row r="165">
      <c r="A165" s="52"/>
      <c r="B165" s="15"/>
      <c r="C165" s="16"/>
      <c r="D165" s="15"/>
      <c r="E165" s="17"/>
      <c r="F165" s="54"/>
      <c r="G165" s="19"/>
      <c r="H165" s="17"/>
      <c r="I165" s="19"/>
      <c r="J165" s="21"/>
      <c r="K165" s="57"/>
      <c r="L165" s="24"/>
      <c r="M165" s="25"/>
      <c r="N165" s="25"/>
      <c r="O165" s="25"/>
      <c r="P165" s="25"/>
    </row>
    <row r="166">
      <c r="A166" s="52"/>
      <c r="B166" s="15"/>
      <c r="C166" s="16"/>
      <c r="D166" s="15"/>
      <c r="E166" s="17"/>
      <c r="F166" s="54"/>
      <c r="G166" s="19"/>
      <c r="H166" s="17"/>
      <c r="I166" s="19"/>
      <c r="J166" s="21"/>
      <c r="K166" s="57"/>
      <c r="L166" s="24"/>
      <c r="M166" s="25"/>
      <c r="N166" s="25"/>
      <c r="O166" s="25"/>
      <c r="P166" s="25"/>
    </row>
    <row r="167">
      <c r="A167" s="52"/>
      <c r="B167" s="15"/>
      <c r="C167" s="16"/>
      <c r="D167" s="15"/>
      <c r="E167" s="17"/>
      <c r="F167" s="54"/>
      <c r="G167" s="19"/>
      <c r="H167" s="17"/>
      <c r="I167" s="19"/>
      <c r="J167" s="21"/>
      <c r="K167" s="57"/>
      <c r="L167" s="24"/>
      <c r="M167" s="25"/>
      <c r="N167" s="25"/>
      <c r="O167" s="25"/>
      <c r="P167" s="25"/>
    </row>
    <row r="168">
      <c r="A168" s="52"/>
      <c r="B168" s="15"/>
      <c r="C168" s="16"/>
      <c r="D168" s="15"/>
      <c r="E168" s="17"/>
      <c r="F168" s="54"/>
      <c r="G168" s="19"/>
      <c r="H168" s="17"/>
      <c r="I168" s="19"/>
      <c r="J168" s="21"/>
      <c r="K168" s="57"/>
      <c r="L168" s="24"/>
      <c r="M168" s="25"/>
      <c r="N168" s="25"/>
      <c r="O168" s="25"/>
      <c r="P168" s="25"/>
    </row>
    <row r="169">
      <c r="A169" s="52"/>
      <c r="B169" s="15"/>
      <c r="C169" s="16"/>
      <c r="D169" s="15"/>
      <c r="E169" s="17"/>
      <c r="F169" s="54"/>
      <c r="G169" s="19"/>
      <c r="H169" s="17"/>
      <c r="I169" s="19"/>
      <c r="J169" s="21"/>
      <c r="K169" s="57"/>
      <c r="L169" s="24"/>
      <c r="M169" s="25"/>
      <c r="N169" s="25"/>
      <c r="O169" s="25"/>
      <c r="P169" s="25"/>
    </row>
    <row r="170">
      <c r="A170" s="52"/>
      <c r="B170" s="15"/>
      <c r="C170" s="16"/>
      <c r="D170" s="15"/>
      <c r="E170" s="17"/>
      <c r="F170" s="54"/>
      <c r="G170" s="19"/>
      <c r="H170" s="17"/>
      <c r="I170" s="19"/>
      <c r="J170" s="21"/>
      <c r="K170" s="57"/>
      <c r="L170" s="24"/>
      <c r="M170" s="25"/>
      <c r="N170" s="25"/>
      <c r="O170" s="25"/>
      <c r="P170" s="25"/>
    </row>
    <row r="171">
      <c r="A171" s="52"/>
      <c r="B171" s="15"/>
      <c r="C171" s="16"/>
      <c r="D171" s="15"/>
      <c r="E171" s="17"/>
      <c r="F171" s="54"/>
      <c r="G171" s="19"/>
      <c r="H171" s="17"/>
      <c r="I171" s="19"/>
      <c r="J171" s="21"/>
      <c r="K171" s="57"/>
      <c r="L171" s="24"/>
      <c r="M171" s="25"/>
      <c r="N171" s="25"/>
      <c r="O171" s="25"/>
      <c r="P171" s="25"/>
    </row>
    <row r="172">
      <c r="A172" s="52"/>
      <c r="B172" s="15"/>
      <c r="C172" s="16"/>
      <c r="D172" s="15"/>
      <c r="E172" s="17"/>
      <c r="F172" s="54"/>
      <c r="G172" s="19"/>
      <c r="H172" s="17"/>
      <c r="I172" s="19"/>
      <c r="J172" s="21"/>
      <c r="K172" s="57"/>
      <c r="L172" s="24"/>
      <c r="M172" s="25"/>
      <c r="N172" s="25"/>
      <c r="O172" s="25"/>
      <c r="P172" s="25"/>
    </row>
    <row r="173">
      <c r="A173" s="52"/>
      <c r="B173" s="15"/>
      <c r="C173" s="16"/>
      <c r="D173" s="15"/>
      <c r="E173" s="17"/>
      <c r="F173" s="71"/>
      <c r="G173" s="19"/>
      <c r="H173" s="17"/>
      <c r="I173" s="19"/>
      <c r="J173" s="21"/>
      <c r="K173" s="57"/>
      <c r="L173" s="24"/>
      <c r="M173" s="25"/>
      <c r="N173" s="25"/>
      <c r="O173" s="25"/>
      <c r="P173" s="25"/>
    </row>
    <row r="174">
      <c r="A174" s="52"/>
      <c r="B174" s="15"/>
      <c r="C174" s="16"/>
      <c r="D174" s="15"/>
      <c r="E174" s="17"/>
      <c r="F174" s="71"/>
      <c r="G174" s="19"/>
      <c r="H174" s="17"/>
      <c r="I174" s="19"/>
      <c r="J174" s="21"/>
      <c r="K174" s="57"/>
      <c r="L174" s="24"/>
      <c r="M174" s="25"/>
      <c r="N174" s="25"/>
      <c r="O174" s="25"/>
      <c r="P174" s="25"/>
    </row>
    <row r="175">
      <c r="A175" s="52"/>
      <c r="B175" s="15"/>
      <c r="C175" s="16"/>
      <c r="D175" s="15"/>
      <c r="E175" s="17"/>
      <c r="F175" s="54"/>
      <c r="G175" s="19"/>
      <c r="H175" s="17"/>
      <c r="I175" s="19"/>
      <c r="J175" s="21"/>
      <c r="K175" s="57"/>
      <c r="L175" s="24"/>
      <c r="M175" s="25"/>
      <c r="N175" s="25"/>
      <c r="O175" s="25"/>
      <c r="P175" s="25"/>
    </row>
    <row r="176">
      <c r="A176" s="52"/>
      <c r="B176" s="15"/>
      <c r="C176" s="16"/>
      <c r="D176" s="15"/>
      <c r="E176" s="17"/>
      <c r="F176" s="54"/>
      <c r="G176" s="19"/>
      <c r="H176" s="17"/>
      <c r="I176" s="19"/>
      <c r="J176" s="21"/>
      <c r="K176" s="57"/>
      <c r="L176" s="24"/>
      <c r="M176" s="25"/>
      <c r="N176" s="25"/>
      <c r="O176" s="25"/>
      <c r="P176" s="25"/>
    </row>
    <row r="177">
      <c r="A177" s="52"/>
      <c r="B177" s="15"/>
      <c r="C177" s="16"/>
      <c r="D177" s="15"/>
      <c r="E177" s="17"/>
      <c r="F177" s="54"/>
      <c r="G177" s="19"/>
      <c r="H177" s="17"/>
      <c r="I177" s="19"/>
      <c r="J177" s="21"/>
      <c r="K177" s="57"/>
      <c r="L177" s="24"/>
      <c r="M177" s="25"/>
      <c r="N177" s="25"/>
      <c r="O177" s="25"/>
      <c r="P177" s="25"/>
    </row>
    <row r="178">
      <c r="A178" s="52"/>
      <c r="B178" s="15"/>
      <c r="C178" s="16"/>
      <c r="D178" s="15"/>
      <c r="E178" s="17"/>
      <c r="F178" s="54"/>
      <c r="G178" s="19"/>
      <c r="H178" s="17"/>
      <c r="I178" s="19"/>
      <c r="J178" s="21"/>
      <c r="K178" s="57"/>
      <c r="L178" s="24"/>
      <c r="M178" s="25"/>
      <c r="N178" s="25"/>
      <c r="O178" s="25"/>
      <c r="P178" s="25"/>
    </row>
    <row r="179">
      <c r="A179" s="52"/>
      <c r="B179" s="15"/>
      <c r="C179" s="16"/>
      <c r="D179" s="15"/>
      <c r="E179" s="17"/>
      <c r="F179" s="54"/>
      <c r="G179" s="19"/>
      <c r="H179" s="17"/>
      <c r="I179" s="19"/>
      <c r="J179" s="21"/>
      <c r="K179" s="57"/>
      <c r="L179" s="24"/>
      <c r="M179" s="25"/>
      <c r="N179" s="25"/>
      <c r="O179" s="25"/>
      <c r="P179" s="25"/>
    </row>
    <row r="180">
      <c r="A180" s="52"/>
      <c r="B180" s="15"/>
      <c r="C180" s="16"/>
      <c r="D180" s="15"/>
      <c r="E180" s="17"/>
      <c r="F180" s="54"/>
      <c r="G180" s="19"/>
      <c r="H180" s="17"/>
      <c r="I180" s="19"/>
      <c r="J180" s="21"/>
      <c r="K180" s="57"/>
      <c r="L180" s="24"/>
      <c r="M180" s="25"/>
      <c r="N180" s="25"/>
      <c r="O180" s="25"/>
      <c r="P180" s="25"/>
    </row>
    <row r="181">
      <c r="A181" s="52"/>
      <c r="B181" s="15"/>
      <c r="C181" s="16"/>
      <c r="D181" s="15"/>
      <c r="E181" s="17"/>
      <c r="F181" s="54"/>
      <c r="G181" s="19"/>
      <c r="H181" s="17"/>
      <c r="I181" s="19"/>
      <c r="J181" s="21"/>
      <c r="K181" s="57"/>
      <c r="L181" s="24"/>
      <c r="M181" s="25"/>
      <c r="N181" s="25"/>
      <c r="O181" s="25"/>
      <c r="P181" s="25"/>
    </row>
    <row r="182">
      <c r="A182" s="52"/>
      <c r="B182" s="15"/>
      <c r="C182" s="16"/>
      <c r="D182" s="15"/>
      <c r="E182" s="17"/>
      <c r="F182" s="54"/>
      <c r="G182" s="19"/>
      <c r="H182" s="17"/>
      <c r="I182" s="19"/>
      <c r="J182" s="21"/>
      <c r="K182" s="57"/>
      <c r="L182" s="24"/>
      <c r="M182" s="25"/>
      <c r="N182" s="25"/>
      <c r="O182" s="25"/>
      <c r="P182" s="25"/>
    </row>
    <row r="183">
      <c r="A183" s="52"/>
      <c r="B183" s="15"/>
      <c r="C183" s="16"/>
      <c r="D183" s="15"/>
      <c r="E183" s="17"/>
      <c r="F183" s="54"/>
      <c r="G183" s="19"/>
      <c r="H183" s="17"/>
      <c r="I183" s="19"/>
      <c r="J183" s="21"/>
      <c r="K183" s="57"/>
      <c r="L183" s="24"/>
      <c r="M183" s="25"/>
      <c r="N183" s="25"/>
      <c r="O183" s="25"/>
      <c r="P183" s="25"/>
    </row>
    <row r="184">
      <c r="A184" s="52"/>
      <c r="B184" s="15"/>
      <c r="C184" s="16"/>
      <c r="D184" s="15"/>
      <c r="E184" s="17"/>
      <c r="F184" s="54"/>
      <c r="G184" s="19"/>
      <c r="H184" s="17"/>
      <c r="I184" s="19"/>
      <c r="J184" s="21"/>
      <c r="K184" s="57"/>
      <c r="L184" s="24"/>
      <c r="M184" s="25"/>
      <c r="N184" s="25"/>
      <c r="O184" s="25"/>
      <c r="P184" s="25"/>
    </row>
    <row r="185">
      <c r="A185" s="52"/>
      <c r="B185" s="15"/>
      <c r="C185" s="16"/>
      <c r="D185" s="15"/>
      <c r="E185" s="17"/>
      <c r="F185" s="54"/>
      <c r="G185" s="19"/>
      <c r="H185" s="17"/>
      <c r="I185" s="19"/>
      <c r="J185" s="21"/>
      <c r="K185" s="57"/>
      <c r="L185" s="24"/>
      <c r="M185" s="25"/>
      <c r="N185" s="25"/>
      <c r="O185" s="25"/>
      <c r="P185" s="25"/>
    </row>
    <row r="186">
      <c r="A186" s="62"/>
      <c r="B186" s="15"/>
      <c r="C186" s="16"/>
      <c r="D186" s="15"/>
      <c r="E186" s="17"/>
      <c r="F186" s="71"/>
      <c r="G186" s="19"/>
      <c r="H186" s="17"/>
      <c r="I186" s="19"/>
      <c r="J186" s="21"/>
      <c r="K186" s="57"/>
      <c r="L186" s="24"/>
      <c r="M186" s="25"/>
      <c r="N186" s="25"/>
      <c r="O186" s="25"/>
      <c r="P186" s="25"/>
    </row>
    <row r="187">
      <c r="A187" s="52"/>
      <c r="B187" s="15"/>
      <c r="C187" s="16"/>
      <c r="D187" s="15"/>
      <c r="E187" s="17"/>
      <c r="F187" s="54"/>
      <c r="G187" s="19"/>
      <c r="H187" s="17"/>
      <c r="I187" s="19"/>
      <c r="J187" s="21"/>
      <c r="K187" s="57"/>
      <c r="L187" s="24"/>
      <c r="M187" s="25"/>
      <c r="N187" s="25"/>
      <c r="O187" s="25"/>
      <c r="P187" s="25"/>
    </row>
    <row r="188">
      <c r="A188" s="52"/>
      <c r="B188" s="15"/>
      <c r="C188" s="16"/>
      <c r="D188" s="15"/>
      <c r="E188" s="17"/>
      <c r="F188" s="54"/>
      <c r="G188" s="19"/>
      <c r="H188" s="17"/>
      <c r="I188" s="19"/>
      <c r="J188" s="21"/>
      <c r="K188" s="57"/>
      <c r="L188" s="24"/>
      <c r="M188" s="25"/>
      <c r="N188" s="25"/>
      <c r="O188" s="25"/>
      <c r="P188" s="25"/>
    </row>
    <row r="189">
      <c r="A189" s="52"/>
      <c r="B189" s="15"/>
      <c r="C189" s="16"/>
      <c r="D189" s="15"/>
      <c r="E189" s="17"/>
      <c r="F189" s="54"/>
      <c r="G189" s="19"/>
      <c r="H189" s="17"/>
      <c r="I189" s="19"/>
      <c r="J189" s="21"/>
      <c r="K189" s="57"/>
      <c r="L189" s="24"/>
      <c r="M189" s="25"/>
      <c r="N189" s="25"/>
      <c r="O189" s="25"/>
      <c r="P189" s="25"/>
    </row>
    <row r="190">
      <c r="A190" s="52"/>
      <c r="B190" s="15"/>
      <c r="C190" s="16"/>
      <c r="D190" s="15"/>
      <c r="E190" s="17"/>
      <c r="F190" s="54"/>
      <c r="G190" s="19"/>
      <c r="H190" s="17"/>
      <c r="I190" s="19"/>
      <c r="J190" s="21"/>
      <c r="K190" s="57"/>
      <c r="L190" s="24"/>
      <c r="M190" s="25"/>
      <c r="N190" s="25"/>
      <c r="O190" s="25"/>
      <c r="P190" s="25"/>
    </row>
    <row r="191">
      <c r="A191" s="52"/>
      <c r="B191" s="15"/>
      <c r="C191" s="16"/>
      <c r="D191" s="15"/>
      <c r="E191" s="17"/>
      <c r="F191" s="54"/>
      <c r="G191" s="19"/>
      <c r="H191" s="17"/>
      <c r="I191" s="19"/>
      <c r="J191" s="21"/>
      <c r="K191" s="57"/>
      <c r="L191" s="24"/>
      <c r="M191" s="25"/>
      <c r="N191" s="25"/>
      <c r="O191" s="25"/>
      <c r="P191" s="25"/>
    </row>
    <row r="192">
      <c r="A192" s="52"/>
      <c r="B192" s="15"/>
      <c r="C192" s="16"/>
      <c r="D192" s="15"/>
      <c r="E192" s="17"/>
      <c r="F192" s="54"/>
      <c r="G192" s="19"/>
      <c r="H192" s="17"/>
      <c r="I192" s="19"/>
      <c r="J192" s="21"/>
      <c r="K192" s="57"/>
      <c r="L192" s="24"/>
      <c r="M192" s="25"/>
      <c r="N192" s="25"/>
      <c r="O192" s="25"/>
      <c r="P192" s="25"/>
    </row>
    <row r="193">
      <c r="A193" s="52"/>
      <c r="B193" s="15"/>
      <c r="C193" s="16"/>
      <c r="D193" s="15"/>
      <c r="E193" s="17"/>
      <c r="F193" s="54"/>
      <c r="G193" s="19"/>
      <c r="H193" s="17"/>
      <c r="I193" s="19"/>
      <c r="J193" s="21"/>
      <c r="K193" s="57"/>
      <c r="L193" s="24"/>
      <c r="M193" s="25"/>
      <c r="N193" s="25"/>
      <c r="O193" s="25"/>
      <c r="P193" s="25"/>
    </row>
    <row r="194">
      <c r="A194" s="52"/>
      <c r="B194" s="15"/>
      <c r="C194" s="16"/>
      <c r="D194" s="15"/>
      <c r="E194" s="17"/>
      <c r="F194" s="54"/>
      <c r="G194" s="19"/>
      <c r="H194" s="17"/>
      <c r="I194" s="19"/>
      <c r="J194" s="21"/>
      <c r="K194" s="57"/>
      <c r="L194" s="24"/>
      <c r="M194" s="25"/>
      <c r="N194" s="25"/>
      <c r="O194" s="25"/>
      <c r="P194" s="25"/>
    </row>
    <row r="195">
      <c r="A195" s="52"/>
      <c r="B195" s="15"/>
      <c r="C195" s="16"/>
      <c r="D195" s="15"/>
      <c r="E195" s="17"/>
      <c r="F195" s="18"/>
      <c r="G195" s="19"/>
      <c r="H195" s="17"/>
      <c r="I195" s="19"/>
      <c r="J195" s="21"/>
      <c r="K195" s="57"/>
      <c r="L195" s="24"/>
      <c r="M195" s="25"/>
      <c r="N195" s="25"/>
      <c r="O195" s="25"/>
      <c r="P195" s="25"/>
    </row>
    <row r="196">
      <c r="A196" s="62"/>
      <c r="B196" s="15"/>
      <c r="C196" s="16"/>
      <c r="D196" s="15"/>
      <c r="E196" s="17"/>
      <c r="F196" s="71"/>
      <c r="G196" s="19"/>
      <c r="H196" s="17"/>
      <c r="I196" s="19"/>
      <c r="J196" s="21"/>
      <c r="K196" s="57"/>
      <c r="L196" s="24"/>
      <c r="M196" s="25"/>
      <c r="N196" s="25"/>
      <c r="O196" s="25"/>
      <c r="P196" s="25"/>
    </row>
    <row r="197">
      <c r="A197" s="52"/>
      <c r="B197" s="15"/>
      <c r="C197" s="16"/>
      <c r="D197" s="15"/>
      <c r="E197" s="17"/>
      <c r="F197" s="18"/>
      <c r="G197" s="19"/>
      <c r="H197" s="17"/>
      <c r="I197" s="19"/>
      <c r="J197" s="21"/>
      <c r="K197" s="57"/>
      <c r="L197" s="24"/>
      <c r="M197" s="25"/>
      <c r="N197" s="25"/>
      <c r="O197" s="25"/>
      <c r="P197" s="25"/>
    </row>
    <row r="198">
      <c r="A198" s="52"/>
      <c r="B198" s="15"/>
      <c r="C198" s="16"/>
      <c r="D198" s="15"/>
      <c r="E198" s="17"/>
      <c r="F198" s="54"/>
      <c r="G198" s="19"/>
      <c r="H198" s="17"/>
      <c r="I198" s="19"/>
      <c r="J198" s="21"/>
      <c r="K198" s="57"/>
      <c r="L198" s="24"/>
      <c r="M198" s="25"/>
      <c r="N198" s="25"/>
      <c r="O198" s="25"/>
      <c r="P198" s="25"/>
    </row>
    <row r="199">
      <c r="A199" s="52"/>
      <c r="B199" s="15"/>
      <c r="C199" s="16"/>
      <c r="D199" s="15"/>
      <c r="E199" s="17"/>
      <c r="F199" s="54"/>
      <c r="G199" s="19"/>
      <c r="H199" s="17"/>
      <c r="I199" s="19"/>
      <c r="J199" s="21"/>
      <c r="K199" s="57"/>
      <c r="L199" s="24"/>
      <c r="M199" s="25"/>
      <c r="N199" s="25"/>
      <c r="O199" s="25"/>
      <c r="P199" s="25"/>
    </row>
    <row r="200">
      <c r="A200" s="52"/>
      <c r="B200" s="15"/>
      <c r="C200" s="16"/>
      <c r="D200" s="15"/>
      <c r="E200" s="17"/>
      <c r="F200" s="54"/>
      <c r="G200" s="19"/>
      <c r="H200" s="17"/>
      <c r="I200" s="19"/>
      <c r="J200" s="21"/>
      <c r="K200" s="57"/>
      <c r="L200" s="24"/>
      <c r="M200" s="25"/>
      <c r="N200" s="25"/>
      <c r="O200" s="25"/>
      <c r="P200" s="25"/>
    </row>
    <row r="201">
      <c r="A201" s="52"/>
      <c r="B201" s="15"/>
      <c r="C201" s="16"/>
      <c r="D201" s="15"/>
      <c r="E201" s="17"/>
      <c r="F201" s="54"/>
      <c r="G201" s="19"/>
      <c r="H201" s="17"/>
      <c r="I201" s="19"/>
      <c r="J201" s="21"/>
      <c r="K201" s="57"/>
      <c r="L201" s="24"/>
      <c r="M201" s="25"/>
      <c r="N201" s="25"/>
      <c r="O201" s="25"/>
      <c r="P201" s="25"/>
    </row>
    <row r="202">
      <c r="A202" s="52"/>
      <c r="B202" s="15"/>
      <c r="C202" s="16"/>
      <c r="D202" s="15"/>
      <c r="E202" s="17"/>
      <c r="F202" s="54"/>
      <c r="G202" s="19"/>
      <c r="H202" s="17"/>
      <c r="I202" s="19"/>
      <c r="J202" s="21"/>
      <c r="K202" s="57"/>
      <c r="L202" s="24"/>
      <c r="M202" s="25"/>
      <c r="N202" s="25"/>
      <c r="O202" s="25"/>
      <c r="P202" s="25"/>
    </row>
    <row r="203">
      <c r="A203" s="52"/>
      <c r="B203" s="15"/>
      <c r="C203" s="16"/>
      <c r="D203" s="15"/>
      <c r="E203" s="17"/>
      <c r="F203" s="54"/>
      <c r="G203" s="19"/>
      <c r="H203" s="17"/>
      <c r="I203" s="19"/>
      <c r="J203" s="21"/>
      <c r="K203" s="57"/>
      <c r="L203" s="24"/>
      <c r="M203" s="25"/>
      <c r="N203" s="25"/>
      <c r="O203" s="25"/>
      <c r="P203" s="25"/>
    </row>
    <row r="204">
      <c r="A204" s="52"/>
      <c r="B204" s="15"/>
      <c r="C204" s="16"/>
      <c r="D204" s="15"/>
      <c r="E204" s="17"/>
      <c r="F204" s="54"/>
      <c r="G204" s="19"/>
      <c r="H204" s="17"/>
      <c r="I204" s="19"/>
      <c r="J204" s="21"/>
      <c r="K204" s="57"/>
      <c r="L204" s="24"/>
      <c r="M204" s="25"/>
      <c r="N204" s="25"/>
      <c r="O204" s="25"/>
      <c r="P204" s="25"/>
    </row>
    <row r="205">
      <c r="A205" s="52"/>
      <c r="B205" s="15"/>
      <c r="C205" s="16"/>
      <c r="D205" s="15"/>
      <c r="E205" s="17"/>
      <c r="F205" s="54"/>
      <c r="G205" s="19"/>
      <c r="H205" s="17"/>
      <c r="I205" s="19"/>
      <c r="J205" s="21"/>
      <c r="K205" s="57"/>
      <c r="L205" s="24"/>
      <c r="M205" s="25"/>
      <c r="N205" s="25"/>
      <c r="O205" s="25"/>
      <c r="P205" s="25"/>
    </row>
    <row r="206">
      <c r="A206" s="52"/>
      <c r="B206" s="15"/>
      <c r="C206" s="16"/>
      <c r="D206" s="15"/>
      <c r="E206" s="17"/>
      <c r="F206" s="54"/>
      <c r="G206" s="19"/>
      <c r="H206" s="17"/>
      <c r="I206" s="19"/>
      <c r="J206" s="21"/>
      <c r="K206" s="57"/>
      <c r="L206" s="24"/>
      <c r="M206" s="25"/>
      <c r="N206" s="25"/>
      <c r="O206" s="25"/>
      <c r="P206" s="25"/>
    </row>
    <row r="207">
      <c r="A207" s="52"/>
      <c r="B207" s="15"/>
      <c r="C207" s="16"/>
      <c r="D207" s="15"/>
      <c r="E207" s="17"/>
      <c r="F207" s="54"/>
      <c r="G207" s="19"/>
      <c r="H207" s="17"/>
      <c r="I207" s="19"/>
      <c r="J207" s="21"/>
      <c r="K207" s="57"/>
      <c r="L207" s="24"/>
      <c r="M207" s="25"/>
      <c r="N207" s="25"/>
      <c r="O207" s="25"/>
      <c r="P207" s="25"/>
    </row>
    <row r="208">
      <c r="A208" s="52"/>
      <c r="B208" s="15"/>
      <c r="C208" s="16"/>
      <c r="D208" s="15"/>
      <c r="E208" s="17"/>
      <c r="F208" s="54"/>
      <c r="G208" s="19"/>
      <c r="H208" s="17"/>
      <c r="I208" s="19"/>
      <c r="J208" s="21"/>
      <c r="K208" s="57"/>
      <c r="L208" s="24"/>
      <c r="M208" s="25"/>
      <c r="N208" s="25"/>
      <c r="O208" s="25"/>
      <c r="P208" s="25"/>
    </row>
    <row r="209">
      <c r="A209" s="52"/>
      <c r="B209" s="15"/>
      <c r="C209" s="16"/>
      <c r="D209" s="15"/>
      <c r="E209" s="17"/>
      <c r="F209" s="54"/>
      <c r="G209" s="19"/>
      <c r="H209" s="17"/>
      <c r="I209" s="19"/>
      <c r="J209" s="21"/>
      <c r="K209" s="57"/>
      <c r="L209" s="24"/>
      <c r="M209" s="25"/>
      <c r="N209" s="25"/>
      <c r="O209" s="25"/>
      <c r="P209" s="25"/>
    </row>
    <row r="210">
      <c r="A210" s="52"/>
      <c r="B210" s="15"/>
      <c r="C210" s="16"/>
      <c r="D210" s="15"/>
      <c r="E210" s="17"/>
      <c r="F210" s="54"/>
      <c r="G210" s="19"/>
      <c r="H210" s="17"/>
      <c r="I210" s="19"/>
      <c r="J210" s="21"/>
      <c r="K210" s="57"/>
      <c r="L210" s="24"/>
      <c r="M210" s="25"/>
      <c r="N210" s="25"/>
      <c r="O210" s="25"/>
      <c r="P210" s="25"/>
    </row>
    <row r="211">
      <c r="A211" s="52"/>
      <c r="B211" s="15"/>
      <c r="C211" s="16"/>
      <c r="D211" s="15"/>
      <c r="E211" s="17"/>
      <c r="F211" s="54"/>
      <c r="G211" s="19"/>
      <c r="H211" s="17"/>
      <c r="I211" s="19"/>
      <c r="J211" s="21"/>
      <c r="K211" s="57"/>
      <c r="L211" s="24"/>
      <c r="M211" s="25"/>
      <c r="N211" s="25"/>
      <c r="O211" s="25"/>
      <c r="P211" s="25"/>
    </row>
    <row r="212">
      <c r="A212" s="52"/>
      <c r="B212" s="15"/>
      <c r="C212" s="16"/>
      <c r="D212" s="15"/>
      <c r="E212" s="17"/>
      <c r="F212" s="54"/>
      <c r="G212" s="19"/>
      <c r="H212" s="17"/>
      <c r="I212" s="19"/>
      <c r="J212" s="21"/>
      <c r="K212" s="57"/>
      <c r="L212" s="24"/>
      <c r="M212" s="25"/>
      <c r="N212" s="25"/>
      <c r="O212" s="25"/>
      <c r="P212" s="25"/>
    </row>
    <row r="213">
      <c r="A213" s="52"/>
      <c r="B213" s="15"/>
      <c r="C213" s="16"/>
      <c r="D213" s="15"/>
      <c r="E213" s="17"/>
      <c r="F213" s="54"/>
      <c r="G213" s="19"/>
      <c r="H213" s="17"/>
      <c r="I213" s="19"/>
      <c r="J213" s="21"/>
      <c r="K213" s="57"/>
      <c r="L213" s="24"/>
      <c r="M213" s="25"/>
      <c r="N213" s="25"/>
      <c r="O213" s="25"/>
      <c r="P213" s="25"/>
    </row>
    <row r="214">
      <c r="A214" s="52"/>
      <c r="B214" s="15"/>
      <c r="C214" s="16"/>
      <c r="D214" s="15"/>
      <c r="E214" s="17"/>
      <c r="F214" s="54"/>
      <c r="G214" s="19"/>
      <c r="H214" s="17"/>
      <c r="I214" s="19"/>
      <c r="J214" s="21"/>
      <c r="K214" s="57"/>
      <c r="L214" s="24"/>
      <c r="M214" s="25"/>
      <c r="N214" s="25"/>
      <c r="O214" s="25"/>
      <c r="P214" s="25"/>
    </row>
    <row r="215">
      <c r="A215" s="52"/>
      <c r="B215" s="15"/>
      <c r="C215" s="16"/>
      <c r="D215" s="15"/>
      <c r="E215" s="17"/>
      <c r="F215" s="54"/>
      <c r="G215" s="19"/>
      <c r="H215" s="17"/>
      <c r="I215" s="19"/>
      <c r="J215" s="21"/>
      <c r="K215" s="57"/>
      <c r="L215" s="24"/>
      <c r="M215" s="25"/>
      <c r="N215" s="25"/>
      <c r="O215" s="25"/>
      <c r="P215" s="25"/>
    </row>
    <row r="216">
      <c r="A216" s="52"/>
      <c r="B216" s="15"/>
      <c r="C216" s="16"/>
      <c r="D216" s="15"/>
      <c r="E216" s="17"/>
      <c r="F216" s="54"/>
      <c r="G216" s="19"/>
      <c r="H216" s="17"/>
      <c r="I216" s="19"/>
      <c r="J216" s="21"/>
      <c r="K216" s="57"/>
      <c r="L216" s="24"/>
      <c r="M216" s="25"/>
      <c r="N216" s="25"/>
      <c r="O216" s="25"/>
      <c r="P216" s="25"/>
    </row>
    <row r="217">
      <c r="A217" s="52"/>
      <c r="B217" s="15"/>
      <c r="C217" s="16"/>
      <c r="D217" s="15"/>
      <c r="E217" s="17"/>
      <c r="F217" s="54"/>
      <c r="G217" s="19"/>
      <c r="H217" s="17"/>
      <c r="I217" s="19"/>
      <c r="J217" s="21"/>
      <c r="K217" s="57"/>
      <c r="L217" s="24"/>
      <c r="M217" s="25"/>
      <c r="N217" s="25"/>
      <c r="O217" s="25"/>
      <c r="P217" s="25"/>
    </row>
    <row r="218">
      <c r="A218" s="52"/>
      <c r="B218" s="15"/>
      <c r="C218" s="16"/>
      <c r="D218" s="15"/>
      <c r="E218" s="17"/>
      <c r="F218" s="54"/>
      <c r="G218" s="19"/>
      <c r="H218" s="17"/>
      <c r="I218" s="19"/>
      <c r="J218" s="21"/>
      <c r="K218" s="57"/>
      <c r="L218" s="24"/>
      <c r="M218" s="25"/>
      <c r="N218" s="25"/>
      <c r="O218" s="25"/>
      <c r="P218" s="25"/>
    </row>
    <row r="219">
      <c r="A219" s="52"/>
      <c r="B219" s="15"/>
      <c r="C219" s="16"/>
      <c r="D219" s="15"/>
      <c r="E219" s="17"/>
      <c r="F219" s="54"/>
      <c r="G219" s="19"/>
      <c r="H219" s="17"/>
      <c r="I219" s="19"/>
      <c r="J219" s="21"/>
      <c r="K219" s="57"/>
      <c r="L219" s="24"/>
      <c r="M219" s="25"/>
      <c r="N219" s="25"/>
      <c r="O219" s="25"/>
      <c r="P219" s="25"/>
    </row>
    <row r="220">
      <c r="A220" s="52"/>
      <c r="B220" s="15"/>
      <c r="C220" s="16"/>
      <c r="D220" s="15"/>
      <c r="E220" s="17"/>
      <c r="F220" s="54"/>
      <c r="G220" s="19"/>
      <c r="H220" s="17"/>
      <c r="I220" s="19"/>
      <c r="J220" s="21"/>
      <c r="K220" s="57"/>
      <c r="L220" s="24"/>
      <c r="M220" s="25"/>
      <c r="N220" s="25"/>
      <c r="O220" s="25"/>
      <c r="P220" s="25"/>
    </row>
    <row r="221">
      <c r="A221" s="52"/>
      <c r="B221" s="15"/>
      <c r="C221" s="16"/>
      <c r="D221" s="15"/>
      <c r="E221" s="17"/>
      <c r="F221" s="54"/>
      <c r="G221" s="19"/>
      <c r="H221" s="17"/>
      <c r="I221" s="19"/>
      <c r="J221" s="21"/>
      <c r="K221" s="57"/>
      <c r="L221" s="24"/>
      <c r="M221" s="25"/>
      <c r="N221" s="25"/>
      <c r="O221" s="25"/>
      <c r="P221" s="25"/>
    </row>
    <row r="222">
      <c r="A222" s="52"/>
      <c r="B222" s="15"/>
      <c r="C222" s="16"/>
      <c r="D222" s="15"/>
      <c r="E222" s="17"/>
      <c r="F222" s="54"/>
      <c r="G222" s="19"/>
      <c r="H222" s="17"/>
      <c r="I222" s="19"/>
      <c r="J222" s="21"/>
      <c r="K222" s="57"/>
      <c r="L222" s="24"/>
      <c r="M222" s="25"/>
      <c r="N222" s="25"/>
      <c r="O222" s="25"/>
      <c r="P222" s="25"/>
    </row>
    <row r="223">
      <c r="A223" s="52"/>
      <c r="B223" s="15"/>
      <c r="C223" s="16"/>
      <c r="D223" s="15"/>
      <c r="E223" s="17"/>
      <c r="F223" s="54"/>
      <c r="G223" s="19"/>
      <c r="H223" s="17"/>
      <c r="I223" s="19"/>
      <c r="J223" s="21"/>
      <c r="K223" s="57"/>
      <c r="L223" s="24"/>
      <c r="M223" s="25"/>
      <c r="N223" s="25"/>
      <c r="O223" s="25"/>
      <c r="P223" s="25"/>
    </row>
    <row r="224">
      <c r="A224" s="52"/>
      <c r="B224" s="15"/>
      <c r="C224" s="16"/>
      <c r="D224" s="15"/>
      <c r="E224" s="17"/>
      <c r="F224" s="54"/>
      <c r="G224" s="19"/>
      <c r="H224" s="17"/>
      <c r="I224" s="19"/>
      <c r="J224" s="21"/>
      <c r="K224" s="57"/>
      <c r="L224" s="24"/>
      <c r="M224" s="25"/>
      <c r="N224" s="25"/>
      <c r="O224" s="25"/>
      <c r="P224" s="25"/>
    </row>
    <row r="225">
      <c r="A225" s="52"/>
      <c r="B225" s="15"/>
      <c r="C225" s="16"/>
      <c r="D225" s="15"/>
      <c r="E225" s="17"/>
      <c r="F225" s="54"/>
      <c r="G225" s="19"/>
      <c r="H225" s="17"/>
      <c r="I225" s="19"/>
      <c r="J225" s="21"/>
      <c r="K225" s="57"/>
      <c r="L225" s="24"/>
      <c r="M225" s="25"/>
      <c r="N225" s="25"/>
      <c r="O225" s="25"/>
      <c r="P225" s="25"/>
    </row>
    <row r="226">
      <c r="A226" s="52"/>
      <c r="B226" s="15"/>
      <c r="C226" s="16"/>
      <c r="D226" s="15"/>
      <c r="E226" s="17"/>
      <c r="F226" s="18"/>
      <c r="G226" s="19"/>
      <c r="H226" s="17"/>
      <c r="I226" s="19"/>
      <c r="J226" s="21"/>
      <c r="K226" s="57"/>
      <c r="L226" s="24"/>
      <c r="M226" s="25"/>
      <c r="N226" s="25"/>
      <c r="O226" s="25"/>
      <c r="P226" s="25"/>
    </row>
    <row r="227">
      <c r="A227" s="52"/>
      <c r="B227" s="15"/>
      <c r="C227" s="16"/>
      <c r="D227" s="15"/>
      <c r="E227" s="17"/>
      <c r="F227" s="54"/>
      <c r="G227" s="19"/>
      <c r="H227" s="17"/>
      <c r="I227" s="19"/>
      <c r="J227" s="21"/>
      <c r="K227" s="57"/>
      <c r="L227" s="24"/>
      <c r="M227" s="25"/>
      <c r="N227" s="25"/>
      <c r="O227" s="25"/>
      <c r="P227" s="25"/>
    </row>
    <row r="228">
      <c r="A228" s="52"/>
      <c r="B228" s="15"/>
      <c r="C228" s="16"/>
      <c r="D228" s="15"/>
      <c r="E228" s="17"/>
      <c r="F228" s="54"/>
      <c r="G228" s="19"/>
      <c r="H228" s="17"/>
      <c r="I228" s="19"/>
      <c r="J228" s="21"/>
      <c r="K228" s="57"/>
      <c r="L228" s="24"/>
      <c r="M228" s="25"/>
      <c r="N228" s="25"/>
      <c r="O228" s="25"/>
      <c r="P228" s="25"/>
    </row>
    <row r="229">
      <c r="A229" s="52"/>
      <c r="B229" s="15"/>
      <c r="C229" s="16"/>
      <c r="D229" s="15"/>
      <c r="E229" s="17"/>
      <c r="F229" s="54"/>
      <c r="G229" s="19"/>
      <c r="H229" s="17"/>
      <c r="I229" s="19"/>
      <c r="J229" s="21"/>
      <c r="K229" s="57"/>
      <c r="L229" s="24"/>
      <c r="M229" s="25"/>
      <c r="N229" s="25"/>
      <c r="O229" s="25"/>
      <c r="P229" s="25"/>
    </row>
    <row r="230">
      <c r="A230" s="52"/>
      <c r="B230" s="15"/>
      <c r="C230" s="16"/>
      <c r="D230" s="15"/>
      <c r="E230" s="17"/>
      <c r="F230" s="54"/>
      <c r="G230" s="19"/>
      <c r="H230" s="17"/>
      <c r="I230" s="19"/>
      <c r="J230" s="21"/>
      <c r="K230" s="57"/>
      <c r="L230" s="24"/>
      <c r="M230" s="25"/>
      <c r="N230" s="25"/>
      <c r="O230" s="25"/>
      <c r="P230" s="25"/>
    </row>
    <row r="231">
      <c r="A231" s="52"/>
      <c r="B231" s="15"/>
      <c r="C231" s="16"/>
      <c r="D231" s="15"/>
      <c r="E231" s="17"/>
      <c r="F231" s="54"/>
      <c r="G231" s="19"/>
      <c r="H231" s="17"/>
      <c r="I231" s="19"/>
      <c r="J231" s="21"/>
      <c r="K231" s="57"/>
      <c r="L231" s="24"/>
      <c r="M231" s="25"/>
      <c r="N231" s="25"/>
      <c r="O231" s="25"/>
      <c r="P231" s="25"/>
    </row>
    <row r="232">
      <c r="A232" s="52"/>
      <c r="B232" s="15"/>
      <c r="C232" s="16"/>
      <c r="D232" s="15"/>
      <c r="E232" s="17"/>
      <c r="F232" s="54"/>
      <c r="G232" s="19"/>
      <c r="H232" s="17"/>
      <c r="I232" s="19"/>
      <c r="J232" s="21"/>
      <c r="K232" s="57"/>
      <c r="L232" s="24"/>
      <c r="M232" s="25"/>
      <c r="N232" s="25"/>
      <c r="O232" s="25"/>
      <c r="P232" s="25"/>
    </row>
    <row r="233">
      <c r="A233" s="52"/>
      <c r="B233" s="15"/>
      <c r="C233" s="16"/>
      <c r="D233" s="15"/>
      <c r="E233" s="17"/>
      <c r="F233" s="54"/>
      <c r="G233" s="19"/>
      <c r="H233" s="17"/>
      <c r="I233" s="19"/>
      <c r="J233" s="21"/>
      <c r="K233" s="57"/>
      <c r="L233" s="24"/>
      <c r="M233" s="25"/>
      <c r="N233" s="25"/>
      <c r="O233" s="25"/>
      <c r="P233" s="25"/>
    </row>
    <row r="234">
      <c r="A234" s="52"/>
      <c r="B234" s="15"/>
      <c r="C234" s="16"/>
      <c r="D234" s="15"/>
      <c r="E234" s="17"/>
      <c r="F234" s="54"/>
      <c r="G234" s="19"/>
      <c r="H234" s="17"/>
      <c r="I234" s="19"/>
      <c r="J234" s="21"/>
      <c r="K234" s="57"/>
      <c r="L234" s="24"/>
      <c r="M234" s="25"/>
      <c r="N234" s="25"/>
      <c r="O234" s="25"/>
      <c r="P234" s="25"/>
    </row>
    <row r="235">
      <c r="A235" s="52"/>
      <c r="B235" s="15"/>
      <c r="C235" s="16"/>
      <c r="D235" s="15"/>
      <c r="E235" s="17"/>
      <c r="F235" s="54"/>
      <c r="G235" s="19"/>
      <c r="H235" s="17"/>
      <c r="I235" s="19"/>
      <c r="J235" s="21"/>
      <c r="K235" s="57"/>
      <c r="L235" s="24"/>
      <c r="M235" s="25"/>
      <c r="N235" s="25"/>
      <c r="O235" s="25"/>
      <c r="P235" s="25"/>
    </row>
    <row r="236">
      <c r="A236" s="52"/>
      <c r="B236" s="15"/>
      <c r="C236" s="16"/>
      <c r="D236" s="15"/>
      <c r="E236" s="17"/>
      <c r="F236" s="54"/>
      <c r="G236" s="19"/>
      <c r="H236" s="17"/>
      <c r="I236" s="19"/>
      <c r="J236" s="21"/>
      <c r="K236" s="57"/>
      <c r="L236" s="24"/>
      <c r="M236" s="25"/>
      <c r="N236" s="25"/>
      <c r="O236" s="25"/>
      <c r="P236" s="25"/>
    </row>
    <row r="237">
      <c r="A237" s="52"/>
      <c r="B237" s="15"/>
      <c r="C237" s="16"/>
      <c r="D237" s="15"/>
      <c r="E237" s="17"/>
      <c r="F237" s="54"/>
      <c r="G237" s="19"/>
      <c r="H237" s="17"/>
      <c r="I237" s="19"/>
      <c r="J237" s="21"/>
      <c r="K237" s="57"/>
      <c r="L237" s="24"/>
      <c r="M237" s="25"/>
      <c r="N237" s="25"/>
      <c r="O237" s="25"/>
      <c r="P237" s="25"/>
    </row>
    <row r="238">
      <c r="A238" s="52"/>
      <c r="B238" s="15"/>
      <c r="C238" s="16"/>
      <c r="D238" s="15"/>
      <c r="E238" s="17"/>
      <c r="F238" s="54"/>
      <c r="G238" s="19"/>
      <c r="H238" s="17"/>
      <c r="I238" s="19"/>
      <c r="J238" s="21"/>
      <c r="K238" s="57"/>
      <c r="L238" s="24"/>
      <c r="M238" s="25"/>
      <c r="N238" s="25"/>
      <c r="O238" s="25"/>
      <c r="P238" s="25"/>
    </row>
    <row r="239">
      <c r="A239" s="52"/>
      <c r="B239" s="15"/>
      <c r="C239" s="16"/>
      <c r="D239" s="15"/>
      <c r="E239" s="17"/>
      <c r="F239" s="54"/>
      <c r="G239" s="19"/>
      <c r="H239" s="17"/>
      <c r="I239" s="19"/>
      <c r="J239" s="21"/>
      <c r="K239" s="57"/>
      <c r="L239" s="24"/>
      <c r="M239" s="25"/>
      <c r="N239" s="25"/>
      <c r="O239" s="25"/>
      <c r="P239" s="25"/>
    </row>
    <row r="240">
      <c r="A240" s="52"/>
      <c r="B240" s="15"/>
      <c r="C240" s="16"/>
      <c r="D240" s="15"/>
      <c r="E240" s="17"/>
      <c r="F240" s="54"/>
      <c r="G240" s="19"/>
      <c r="H240" s="17"/>
      <c r="I240" s="19"/>
      <c r="J240" s="21"/>
      <c r="K240" s="57"/>
      <c r="L240" s="24"/>
      <c r="M240" s="25"/>
      <c r="N240" s="25"/>
      <c r="O240" s="25"/>
      <c r="P240" s="25"/>
    </row>
    <row r="241">
      <c r="A241" s="52"/>
      <c r="B241" s="15"/>
      <c r="C241" s="16"/>
      <c r="D241" s="15"/>
      <c r="E241" s="17"/>
      <c r="F241" s="54"/>
      <c r="G241" s="19"/>
      <c r="H241" s="17"/>
      <c r="I241" s="19"/>
      <c r="J241" s="21"/>
      <c r="K241" s="57"/>
      <c r="L241" s="24"/>
      <c r="M241" s="25"/>
      <c r="N241" s="25"/>
      <c r="O241" s="25"/>
      <c r="P241" s="25"/>
    </row>
    <row r="242">
      <c r="A242" s="62"/>
      <c r="B242" s="15"/>
      <c r="C242" s="16"/>
      <c r="D242" s="15"/>
      <c r="E242" s="17"/>
      <c r="F242" s="71"/>
      <c r="G242" s="19"/>
      <c r="H242" s="17"/>
      <c r="I242" s="19"/>
      <c r="J242" s="21"/>
      <c r="K242" s="57"/>
      <c r="L242" s="24"/>
      <c r="M242" s="25"/>
      <c r="N242" s="25"/>
      <c r="O242" s="25"/>
      <c r="P242" s="25"/>
    </row>
    <row r="243">
      <c r="A243" s="52"/>
      <c r="B243" s="15"/>
      <c r="C243" s="16"/>
      <c r="D243" s="15"/>
      <c r="E243" s="17"/>
      <c r="F243" s="54"/>
      <c r="G243" s="19"/>
      <c r="H243" s="17"/>
      <c r="I243" s="19"/>
      <c r="J243" s="21"/>
      <c r="K243" s="57"/>
      <c r="L243" s="24"/>
      <c r="M243" s="25"/>
      <c r="N243" s="25"/>
      <c r="O243" s="25"/>
      <c r="P243" s="25"/>
    </row>
    <row r="244">
      <c r="A244" s="52"/>
      <c r="B244" s="15"/>
      <c r="C244" s="16"/>
      <c r="D244" s="15"/>
      <c r="E244" s="17"/>
      <c r="F244" s="54"/>
      <c r="G244" s="19"/>
      <c r="H244" s="17"/>
      <c r="I244" s="19"/>
      <c r="J244" s="21"/>
      <c r="K244" s="57"/>
      <c r="L244" s="24"/>
      <c r="M244" s="25"/>
      <c r="N244" s="25"/>
      <c r="O244" s="25"/>
      <c r="P244" s="25"/>
    </row>
    <row r="245">
      <c r="A245" s="52"/>
      <c r="B245" s="15"/>
      <c r="C245" s="16"/>
      <c r="D245" s="15"/>
      <c r="E245" s="17"/>
      <c r="F245" s="54"/>
      <c r="G245" s="19"/>
      <c r="H245" s="17"/>
      <c r="I245" s="19"/>
      <c r="J245" s="21"/>
      <c r="K245" s="57"/>
      <c r="L245" s="24"/>
      <c r="M245" s="25"/>
      <c r="N245" s="25"/>
      <c r="O245" s="25"/>
      <c r="P245" s="25"/>
    </row>
    <row r="246">
      <c r="A246" s="52"/>
      <c r="B246" s="15"/>
      <c r="C246" s="16"/>
      <c r="D246" s="15"/>
      <c r="E246" s="17"/>
      <c r="F246" s="54"/>
      <c r="G246" s="19"/>
      <c r="H246" s="17"/>
      <c r="I246" s="19"/>
      <c r="J246" s="21"/>
      <c r="K246" s="57"/>
      <c r="L246" s="24"/>
      <c r="M246" s="25"/>
      <c r="N246" s="25"/>
      <c r="O246" s="25"/>
      <c r="P246" s="25"/>
    </row>
    <row r="247">
      <c r="A247" s="52"/>
      <c r="B247" s="15"/>
      <c r="C247" s="16"/>
      <c r="D247" s="15"/>
      <c r="E247" s="17"/>
      <c r="F247" s="54"/>
      <c r="G247" s="19"/>
      <c r="H247" s="17"/>
      <c r="I247" s="19"/>
      <c r="J247" s="21"/>
      <c r="K247" s="57"/>
      <c r="L247" s="24"/>
      <c r="M247" s="25"/>
      <c r="N247" s="25"/>
      <c r="O247" s="25"/>
      <c r="P247" s="25"/>
    </row>
    <row r="248">
      <c r="A248" s="52"/>
      <c r="B248" s="15"/>
      <c r="C248" s="16"/>
      <c r="D248" s="15"/>
      <c r="E248" s="17"/>
      <c r="F248" s="54"/>
      <c r="G248" s="19"/>
      <c r="H248" s="17"/>
      <c r="I248" s="19"/>
      <c r="J248" s="21"/>
      <c r="K248" s="57"/>
      <c r="L248" s="24"/>
      <c r="M248" s="25"/>
      <c r="N248" s="25"/>
      <c r="O248" s="25"/>
      <c r="P248" s="25"/>
    </row>
    <row r="249">
      <c r="A249" s="52"/>
      <c r="B249" s="15"/>
      <c r="C249" s="16"/>
      <c r="D249" s="15"/>
      <c r="E249" s="17"/>
      <c r="F249" s="18"/>
      <c r="G249" s="19"/>
      <c r="H249" s="17"/>
      <c r="I249" s="19"/>
      <c r="J249" s="21"/>
      <c r="K249" s="57"/>
      <c r="L249" s="24"/>
      <c r="M249" s="25"/>
      <c r="N249" s="25"/>
      <c r="O249" s="25"/>
      <c r="P249" s="25"/>
    </row>
    <row r="250">
      <c r="A250" s="52"/>
      <c r="B250" s="15"/>
      <c r="C250" s="16"/>
      <c r="D250" s="15"/>
      <c r="E250" s="17"/>
      <c r="F250" s="54"/>
      <c r="G250" s="19"/>
      <c r="H250" s="17"/>
      <c r="I250" s="19"/>
      <c r="J250" s="21"/>
      <c r="K250" s="57"/>
      <c r="L250" s="24"/>
      <c r="M250" s="25"/>
      <c r="N250" s="25"/>
      <c r="O250" s="25"/>
      <c r="P250" s="25"/>
    </row>
    <row r="251">
      <c r="A251" s="52"/>
      <c r="B251" s="15"/>
      <c r="C251" s="16"/>
      <c r="D251" s="15"/>
      <c r="E251" s="17"/>
      <c r="F251" s="54"/>
      <c r="G251" s="19"/>
      <c r="H251" s="17"/>
      <c r="I251" s="19"/>
      <c r="J251" s="21"/>
      <c r="K251" s="57"/>
      <c r="L251" s="24"/>
      <c r="M251" s="25"/>
      <c r="N251" s="25"/>
      <c r="O251" s="25"/>
      <c r="P251" s="25"/>
    </row>
    <row r="252">
      <c r="A252" s="52"/>
      <c r="B252" s="15"/>
      <c r="C252" s="16"/>
      <c r="D252" s="15"/>
      <c r="E252" s="17"/>
      <c r="F252" s="54"/>
      <c r="G252" s="19"/>
      <c r="H252" s="17"/>
      <c r="I252" s="19"/>
      <c r="J252" s="21"/>
      <c r="K252" s="57"/>
      <c r="L252" s="24"/>
      <c r="M252" s="25"/>
      <c r="N252" s="25"/>
      <c r="O252" s="25"/>
      <c r="P252" s="25"/>
    </row>
    <row r="253">
      <c r="A253" s="52"/>
      <c r="B253" s="15"/>
      <c r="C253" s="16"/>
      <c r="D253" s="15"/>
      <c r="E253" s="17"/>
      <c r="F253" s="54"/>
      <c r="G253" s="19"/>
      <c r="H253" s="17"/>
      <c r="I253" s="19"/>
      <c r="J253" s="21"/>
      <c r="K253" s="57"/>
      <c r="L253" s="24"/>
      <c r="M253" s="25"/>
      <c r="N253" s="25"/>
      <c r="O253" s="25"/>
      <c r="P253" s="25"/>
    </row>
    <row r="254">
      <c r="A254" s="52"/>
      <c r="B254" s="15"/>
      <c r="C254" s="16"/>
      <c r="D254" s="15"/>
      <c r="E254" s="17"/>
      <c r="F254" s="54"/>
      <c r="G254" s="19"/>
      <c r="H254" s="17"/>
      <c r="I254" s="19"/>
      <c r="J254" s="21"/>
      <c r="K254" s="57"/>
      <c r="L254" s="24"/>
      <c r="M254" s="25"/>
      <c r="N254" s="25"/>
      <c r="O254" s="25"/>
      <c r="P254" s="25"/>
    </row>
    <row r="255">
      <c r="A255" s="52"/>
      <c r="B255" s="15"/>
      <c r="C255" s="16"/>
      <c r="D255" s="15"/>
      <c r="E255" s="17"/>
      <c r="F255" s="54"/>
      <c r="G255" s="19"/>
      <c r="H255" s="17"/>
      <c r="I255" s="19"/>
      <c r="J255" s="21"/>
      <c r="K255" s="57"/>
      <c r="L255" s="24"/>
      <c r="M255" s="25"/>
      <c r="N255" s="25"/>
      <c r="O255" s="25"/>
      <c r="P255" s="25"/>
    </row>
    <row r="256">
      <c r="A256" s="52"/>
      <c r="B256" s="15"/>
      <c r="C256" s="16"/>
      <c r="D256" s="15"/>
      <c r="E256" s="17"/>
      <c r="F256" s="54"/>
      <c r="G256" s="19"/>
      <c r="H256" s="17"/>
      <c r="I256" s="19"/>
      <c r="J256" s="21"/>
      <c r="K256" s="57"/>
      <c r="L256" s="24"/>
      <c r="M256" s="25"/>
      <c r="N256" s="25"/>
      <c r="O256" s="25"/>
      <c r="P256" s="25"/>
    </row>
    <row r="257">
      <c r="A257" s="52"/>
      <c r="B257" s="15"/>
      <c r="C257" s="16"/>
      <c r="D257" s="15"/>
      <c r="E257" s="17"/>
      <c r="F257" s="54"/>
      <c r="G257" s="19"/>
      <c r="H257" s="17"/>
      <c r="I257" s="19"/>
      <c r="J257" s="21"/>
      <c r="K257" s="57"/>
      <c r="L257" s="24"/>
      <c r="M257" s="25"/>
      <c r="N257" s="25"/>
      <c r="O257" s="25"/>
      <c r="P257" s="25"/>
    </row>
    <row r="258">
      <c r="A258" s="52"/>
      <c r="B258" s="15"/>
      <c r="C258" s="16"/>
      <c r="D258" s="15"/>
      <c r="E258" s="17"/>
      <c r="F258" s="54"/>
      <c r="G258" s="19"/>
      <c r="H258" s="17"/>
      <c r="I258" s="19"/>
      <c r="J258" s="21"/>
      <c r="K258" s="57"/>
      <c r="L258" s="24"/>
      <c r="M258" s="25"/>
      <c r="N258" s="25"/>
      <c r="O258" s="25"/>
      <c r="P258" s="25"/>
    </row>
    <row r="259">
      <c r="A259" s="52"/>
      <c r="B259" s="15"/>
      <c r="C259" s="16"/>
      <c r="D259" s="15"/>
      <c r="E259" s="17"/>
      <c r="F259" s="54"/>
      <c r="G259" s="19"/>
      <c r="H259" s="17"/>
      <c r="I259" s="19"/>
      <c r="J259" s="21"/>
      <c r="K259" s="57"/>
      <c r="L259" s="24"/>
      <c r="M259" s="25"/>
      <c r="N259" s="25"/>
      <c r="O259" s="25"/>
      <c r="P259" s="25"/>
    </row>
    <row r="260">
      <c r="A260" s="52"/>
      <c r="B260" s="15"/>
      <c r="C260" s="16"/>
      <c r="D260" s="15"/>
      <c r="E260" s="17"/>
      <c r="F260" s="54"/>
      <c r="G260" s="19"/>
      <c r="H260" s="17"/>
      <c r="I260" s="19"/>
      <c r="J260" s="21"/>
      <c r="K260" s="57"/>
      <c r="L260" s="24"/>
      <c r="M260" s="25"/>
      <c r="N260" s="25"/>
      <c r="O260" s="25"/>
      <c r="P260" s="25"/>
    </row>
    <row r="261">
      <c r="A261" s="52"/>
      <c r="B261" s="15"/>
      <c r="C261" s="16"/>
      <c r="D261" s="15"/>
      <c r="E261" s="17"/>
      <c r="F261" s="54"/>
      <c r="G261" s="19"/>
      <c r="H261" s="17"/>
      <c r="I261" s="19"/>
      <c r="J261" s="21"/>
      <c r="K261" s="57"/>
      <c r="L261" s="24"/>
      <c r="M261" s="72"/>
      <c r="N261" s="72"/>
      <c r="O261" s="72"/>
      <c r="P261" s="72"/>
    </row>
    <row r="262">
      <c r="A262" s="52"/>
      <c r="B262" s="15"/>
      <c r="C262" s="16"/>
      <c r="D262" s="15"/>
      <c r="E262" s="17"/>
      <c r="F262" s="74"/>
      <c r="G262" s="19"/>
      <c r="H262" s="17"/>
      <c r="I262" s="19"/>
      <c r="J262" s="21"/>
      <c r="K262" s="57"/>
      <c r="L262" s="24"/>
      <c r="M262" s="25"/>
      <c r="N262" s="25"/>
      <c r="O262" s="25"/>
      <c r="P262" s="25"/>
    </row>
    <row r="263">
      <c r="A263" s="52"/>
      <c r="B263" s="15"/>
      <c r="C263" s="16"/>
      <c r="D263" s="15"/>
      <c r="E263" s="17"/>
      <c r="F263" s="54"/>
      <c r="G263" s="19"/>
      <c r="H263" s="17"/>
      <c r="I263" s="19"/>
      <c r="J263" s="21"/>
      <c r="K263" s="57"/>
      <c r="L263" s="24"/>
      <c r="M263" s="25"/>
      <c r="N263" s="25"/>
      <c r="O263" s="25"/>
      <c r="P263" s="25"/>
    </row>
    <row r="264">
      <c r="A264" s="52"/>
      <c r="B264" s="15"/>
      <c r="C264" s="16"/>
      <c r="D264" s="15"/>
      <c r="E264" s="17"/>
      <c r="F264" s="54"/>
      <c r="G264" s="19"/>
      <c r="H264" s="17"/>
      <c r="I264" s="19"/>
      <c r="J264" s="21"/>
      <c r="K264" s="57"/>
      <c r="L264" s="24"/>
      <c r="M264" s="25"/>
      <c r="N264" s="25"/>
      <c r="O264" s="25"/>
      <c r="P264" s="25"/>
    </row>
    <row r="265">
      <c r="A265" s="52"/>
      <c r="B265" s="15"/>
      <c r="C265" s="16"/>
      <c r="D265" s="15"/>
      <c r="E265" s="17"/>
      <c r="F265" s="54"/>
      <c r="G265" s="19"/>
      <c r="H265" s="17"/>
      <c r="I265" s="19"/>
      <c r="J265" s="21"/>
      <c r="K265" s="57"/>
      <c r="L265" s="24"/>
      <c r="M265" s="25"/>
      <c r="N265" s="25"/>
      <c r="O265" s="25"/>
      <c r="P265" s="25"/>
    </row>
    <row r="266">
      <c r="A266" s="52"/>
      <c r="B266" s="15"/>
      <c r="C266" s="16"/>
      <c r="D266" s="15"/>
      <c r="E266" s="17"/>
      <c r="F266" s="54"/>
      <c r="G266" s="19"/>
      <c r="H266" s="17"/>
      <c r="I266" s="19"/>
      <c r="J266" s="21"/>
      <c r="K266" s="57"/>
      <c r="L266" s="24"/>
      <c r="M266" s="25"/>
      <c r="N266" s="25"/>
      <c r="O266" s="25"/>
      <c r="P266" s="25"/>
    </row>
    <row r="267">
      <c r="A267" s="52"/>
      <c r="B267" s="15"/>
      <c r="C267" s="16"/>
      <c r="D267" s="15"/>
      <c r="E267" s="17"/>
      <c r="F267" s="54"/>
      <c r="G267" s="19"/>
      <c r="H267" s="17"/>
      <c r="I267" s="19"/>
      <c r="J267" s="21"/>
      <c r="K267" s="57"/>
      <c r="L267" s="24"/>
      <c r="M267" s="25"/>
      <c r="N267" s="25"/>
      <c r="O267" s="25"/>
      <c r="P267" s="25"/>
    </row>
    <row r="268">
      <c r="A268" s="52"/>
      <c r="B268" s="15"/>
      <c r="C268" s="16"/>
      <c r="D268" s="15"/>
      <c r="E268" s="17"/>
      <c r="F268" s="54"/>
      <c r="G268" s="19"/>
      <c r="H268" s="17"/>
      <c r="I268" s="19"/>
      <c r="J268" s="21"/>
      <c r="K268" s="57"/>
      <c r="L268" s="24"/>
      <c r="M268" s="25"/>
      <c r="N268" s="25"/>
      <c r="O268" s="25"/>
      <c r="P268" s="25"/>
    </row>
    <row r="269">
      <c r="A269" s="52"/>
      <c r="B269" s="15"/>
      <c r="C269" s="16"/>
      <c r="D269" s="15"/>
      <c r="E269" s="17"/>
      <c r="F269" s="54"/>
      <c r="G269" s="19"/>
      <c r="H269" s="17"/>
      <c r="I269" s="19"/>
      <c r="J269" s="21"/>
      <c r="K269" s="57"/>
      <c r="L269" s="24"/>
      <c r="M269" s="25"/>
      <c r="N269" s="25"/>
      <c r="O269" s="25"/>
      <c r="P269" s="25"/>
    </row>
    <row r="270">
      <c r="A270" s="52"/>
      <c r="B270" s="15"/>
      <c r="C270" s="16"/>
      <c r="D270" s="15"/>
      <c r="E270" s="17"/>
      <c r="F270" s="54"/>
      <c r="G270" s="19"/>
      <c r="H270" s="17"/>
      <c r="I270" s="19"/>
      <c r="J270" s="21"/>
      <c r="K270" s="57"/>
      <c r="L270" s="24"/>
      <c r="M270" s="25"/>
      <c r="N270" s="25"/>
      <c r="O270" s="25"/>
      <c r="P270" s="25"/>
    </row>
    <row r="271">
      <c r="A271" s="52"/>
      <c r="B271" s="15"/>
      <c r="C271" s="16"/>
      <c r="D271" s="15"/>
      <c r="E271" s="17"/>
      <c r="F271" s="54"/>
      <c r="G271" s="19"/>
      <c r="H271" s="17"/>
      <c r="I271" s="19"/>
      <c r="J271" s="21"/>
      <c r="K271" s="57"/>
      <c r="L271" s="24"/>
      <c r="M271" s="25"/>
      <c r="N271" s="25"/>
      <c r="O271" s="25"/>
      <c r="P271" s="25"/>
    </row>
    <row r="272">
      <c r="A272" s="52"/>
      <c r="B272" s="15"/>
      <c r="C272" s="16"/>
      <c r="D272" s="15"/>
      <c r="E272" s="17"/>
      <c r="F272" s="18"/>
      <c r="G272" s="19"/>
      <c r="H272" s="17"/>
      <c r="I272" s="19"/>
      <c r="J272" s="21"/>
      <c r="K272" s="57"/>
      <c r="L272" s="24"/>
      <c r="M272" s="25"/>
      <c r="N272" s="25"/>
      <c r="O272" s="25"/>
      <c r="P272" s="25"/>
    </row>
    <row r="273">
      <c r="A273" s="52"/>
      <c r="B273" s="15"/>
      <c r="C273" s="16"/>
      <c r="D273" s="15"/>
      <c r="E273" s="17"/>
      <c r="F273" s="18"/>
      <c r="G273" s="19"/>
      <c r="H273" s="17"/>
      <c r="I273" s="19"/>
      <c r="J273" s="21"/>
      <c r="K273" s="57"/>
      <c r="L273" s="24"/>
      <c r="M273" s="25"/>
      <c r="N273" s="25"/>
      <c r="O273" s="25"/>
      <c r="P273" s="25"/>
    </row>
    <row r="274">
      <c r="A274" s="52"/>
      <c r="B274" s="15"/>
      <c r="C274" s="16"/>
      <c r="D274" s="15"/>
      <c r="E274" s="17"/>
      <c r="F274" s="54"/>
      <c r="G274" s="19"/>
      <c r="H274" s="17"/>
      <c r="I274" s="19"/>
      <c r="J274" s="21"/>
      <c r="K274" s="57"/>
      <c r="L274" s="24"/>
      <c r="M274" s="25"/>
      <c r="N274" s="25"/>
      <c r="O274" s="25"/>
      <c r="P274" s="25"/>
    </row>
    <row r="275">
      <c r="A275" s="52"/>
      <c r="B275" s="15"/>
      <c r="C275" s="16"/>
      <c r="D275" s="15"/>
      <c r="E275" s="17"/>
      <c r="F275" s="54"/>
      <c r="G275" s="19"/>
      <c r="H275" s="17"/>
      <c r="I275" s="19"/>
      <c r="J275" s="21"/>
      <c r="K275" s="57"/>
      <c r="L275" s="24"/>
      <c r="M275" s="25"/>
      <c r="N275" s="25"/>
      <c r="O275" s="25"/>
      <c r="P275" s="25"/>
    </row>
    <row r="276">
      <c r="A276" s="52"/>
      <c r="B276" s="15"/>
      <c r="C276" s="16"/>
      <c r="D276" s="15"/>
      <c r="E276" s="17"/>
      <c r="F276" s="54"/>
      <c r="G276" s="19"/>
      <c r="H276" s="17"/>
      <c r="I276" s="19"/>
      <c r="J276" s="21"/>
      <c r="K276" s="57"/>
      <c r="L276" s="24"/>
      <c r="M276" s="25"/>
      <c r="N276" s="25"/>
      <c r="O276" s="25"/>
      <c r="P276" s="25"/>
    </row>
    <row r="277">
      <c r="A277" s="52"/>
      <c r="B277" s="15"/>
      <c r="C277" s="16"/>
      <c r="D277" s="15"/>
      <c r="E277" s="17"/>
      <c r="F277" s="54"/>
      <c r="G277" s="19"/>
      <c r="H277" s="17"/>
      <c r="I277" s="19"/>
      <c r="J277" s="21"/>
      <c r="K277" s="57"/>
      <c r="L277" s="24"/>
      <c r="M277" s="26"/>
      <c r="N277" s="25"/>
      <c r="O277" s="25"/>
      <c r="P277" s="25"/>
    </row>
    <row r="278">
      <c r="A278" s="52"/>
      <c r="B278" s="15"/>
      <c r="C278" s="16"/>
      <c r="D278" s="15"/>
      <c r="E278" s="17"/>
      <c r="F278" s="54"/>
      <c r="G278" s="19"/>
      <c r="H278" s="17"/>
      <c r="I278" s="19"/>
      <c r="J278" s="21"/>
      <c r="K278" s="57"/>
      <c r="L278" s="24"/>
      <c r="M278" s="25"/>
      <c r="N278" s="25"/>
      <c r="O278" s="25"/>
      <c r="P278" s="25"/>
    </row>
    <row r="279">
      <c r="A279" s="52"/>
      <c r="B279" s="15"/>
      <c r="C279" s="16"/>
      <c r="D279" s="15"/>
      <c r="E279" s="17"/>
      <c r="F279" s="54"/>
      <c r="G279" s="19"/>
      <c r="H279" s="17"/>
      <c r="I279" s="19"/>
      <c r="J279" s="21"/>
      <c r="K279" s="57"/>
      <c r="L279" s="24"/>
      <c r="M279" s="25"/>
      <c r="N279" s="25"/>
      <c r="O279" s="25"/>
      <c r="P279" s="25"/>
    </row>
    <row r="280">
      <c r="A280" s="52"/>
      <c r="B280" s="15"/>
      <c r="C280" s="16"/>
      <c r="D280" s="15"/>
      <c r="E280" s="17"/>
      <c r="F280" s="54"/>
      <c r="G280" s="19"/>
      <c r="H280" s="17"/>
      <c r="I280" s="19"/>
      <c r="J280" s="21"/>
      <c r="K280" s="57"/>
      <c r="L280" s="24"/>
      <c r="M280" s="25"/>
      <c r="N280" s="25"/>
      <c r="O280" s="25"/>
      <c r="P280" s="25"/>
    </row>
    <row r="281">
      <c r="A281" s="52"/>
      <c r="B281" s="15"/>
      <c r="C281" s="16"/>
      <c r="D281" s="15"/>
      <c r="E281" s="17"/>
      <c r="F281" s="54"/>
      <c r="G281" s="19"/>
      <c r="H281" s="17"/>
      <c r="I281" s="19"/>
      <c r="J281" s="21"/>
      <c r="K281" s="57"/>
      <c r="L281" s="24"/>
      <c r="M281" s="25"/>
      <c r="N281" s="25"/>
      <c r="O281" s="25"/>
      <c r="P281" s="25"/>
    </row>
    <row r="282">
      <c r="A282" s="52"/>
      <c r="B282" s="15"/>
      <c r="C282" s="16"/>
      <c r="D282" s="15"/>
      <c r="E282" s="17"/>
      <c r="F282" s="18"/>
      <c r="G282" s="19"/>
      <c r="H282" s="17"/>
      <c r="I282" s="19"/>
      <c r="J282" s="21"/>
      <c r="K282" s="57"/>
      <c r="L282" s="24"/>
      <c r="M282" s="25"/>
      <c r="N282" s="25"/>
      <c r="O282" s="25"/>
      <c r="P282" s="25"/>
    </row>
    <row r="283">
      <c r="A283" s="52"/>
      <c r="B283" s="15"/>
      <c r="C283" s="16"/>
      <c r="D283" s="15"/>
      <c r="E283" s="17"/>
      <c r="F283" s="54"/>
      <c r="G283" s="19"/>
      <c r="H283" s="17"/>
      <c r="I283" s="19"/>
      <c r="J283" s="21"/>
      <c r="K283" s="57"/>
      <c r="L283" s="24"/>
      <c r="M283" s="25"/>
      <c r="N283" s="25"/>
      <c r="O283" s="25"/>
      <c r="P283" s="25"/>
    </row>
    <row r="284">
      <c r="A284" s="52"/>
      <c r="B284" s="15"/>
      <c r="C284" s="16"/>
      <c r="D284" s="15"/>
      <c r="E284" s="17"/>
      <c r="F284" s="54"/>
      <c r="G284" s="19"/>
      <c r="H284" s="17"/>
      <c r="I284" s="19"/>
      <c r="J284" s="21"/>
      <c r="K284" s="57"/>
      <c r="L284" s="24"/>
      <c r="M284" s="25"/>
      <c r="N284" s="25"/>
      <c r="O284" s="25"/>
      <c r="P284" s="25"/>
    </row>
    <row r="285">
      <c r="A285" s="52"/>
      <c r="B285" s="15"/>
      <c r="C285" s="16"/>
      <c r="D285" s="15"/>
      <c r="E285" s="17"/>
      <c r="F285" s="54"/>
      <c r="G285" s="19"/>
      <c r="H285" s="17"/>
      <c r="I285" s="19"/>
      <c r="J285" s="21"/>
      <c r="K285" s="57"/>
      <c r="L285" s="24"/>
      <c r="M285" s="25"/>
      <c r="N285" s="25"/>
      <c r="O285" s="25"/>
      <c r="P285" s="25"/>
    </row>
    <row r="286">
      <c r="A286" s="52"/>
      <c r="B286" s="15"/>
      <c r="C286" s="16"/>
      <c r="D286" s="15"/>
      <c r="E286" s="17"/>
      <c r="F286" s="54"/>
      <c r="G286" s="19"/>
      <c r="H286" s="17"/>
      <c r="I286" s="19"/>
      <c r="J286" s="21"/>
      <c r="K286" s="57"/>
      <c r="L286" s="24"/>
      <c r="M286" s="25"/>
      <c r="N286" s="25"/>
      <c r="O286" s="25"/>
      <c r="P286" s="25"/>
    </row>
    <row r="287">
      <c r="A287" s="52"/>
      <c r="B287" s="15"/>
      <c r="C287" s="16"/>
      <c r="D287" s="15"/>
      <c r="E287" s="17"/>
      <c r="F287" s="54"/>
      <c r="G287" s="19"/>
      <c r="H287" s="17"/>
      <c r="I287" s="19"/>
      <c r="J287" s="21"/>
      <c r="K287" s="57"/>
      <c r="L287" s="24"/>
      <c r="M287" s="25"/>
      <c r="N287" s="25"/>
      <c r="O287" s="25"/>
      <c r="P287" s="25"/>
    </row>
    <row r="288">
      <c r="A288" s="52"/>
      <c r="B288" s="15"/>
      <c r="C288" s="16"/>
      <c r="D288" s="15"/>
      <c r="E288" s="17"/>
      <c r="F288" s="54"/>
      <c r="G288" s="19"/>
      <c r="H288" s="17"/>
      <c r="I288" s="19"/>
      <c r="J288" s="21"/>
      <c r="K288" s="57"/>
      <c r="L288" s="24"/>
      <c r="M288" s="25"/>
      <c r="N288" s="25"/>
      <c r="O288" s="25"/>
      <c r="P288" s="25"/>
    </row>
    <row r="289">
      <c r="A289" s="52"/>
      <c r="B289" s="15"/>
      <c r="C289" s="16"/>
      <c r="D289" s="15"/>
      <c r="E289" s="17"/>
      <c r="F289" s="54"/>
      <c r="G289" s="19"/>
      <c r="H289" s="17"/>
      <c r="I289" s="19"/>
      <c r="J289" s="21"/>
      <c r="K289" s="57"/>
      <c r="L289" s="24"/>
      <c r="M289" s="25"/>
      <c r="N289" s="25"/>
      <c r="O289" s="25"/>
      <c r="P289" s="25"/>
    </row>
    <row r="290">
      <c r="A290" s="52"/>
      <c r="B290" s="15"/>
      <c r="C290" s="16"/>
      <c r="D290" s="15"/>
      <c r="E290" s="17"/>
      <c r="F290" s="54"/>
      <c r="G290" s="19"/>
      <c r="H290" s="17"/>
      <c r="I290" s="19"/>
      <c r="J290" s="21"/>
      <c r="K290" s="57"/>
      <c r="L290" s="24"/>
      <c r="M290" s="25"/>
      <c r="N290" s="25"/>
      <c r="O290" s="25"/>
      <c r="P290" s="25"/>
    </row>
    <row r="291">
      <c r="A291" s="52"/>
      <c r="B291" s="15"/>
      <c r="C291" s="16"/>
      <c r="D291" s="15"/>
      <c r="E291" s="17"/>
      <c r="F291" s="54"/>
      <c r="G291" s="19"/>
      <c r="H291" s="17"/>
      <c r="I291" s="19"/>
      <c r="J291" s="21"/>
      <c r="K291" s="57"/>
      <c r="L291" s="24"/>
      <c r="M291" s="25"/>
      <c r="N291" s="25"/>
      <c r="O291" s="25"/>
      <c r="P291" s="25"/>
    </row>
    <row r="292">
      <c r="A292" s="52"/>
      <c r="B292" s="15"/>
      <c r="C292" s="16"/>
      <c r="D292" s="15"/>
      <c r="E292" s="17"/>
      <c r="F292" s="54"/>
      <c r="G292" s="19"/>
      <c r="H292" s="17"/>
      <c r="I292" s="19"/>
      <c r="J292" s="21"/>
      <c r="K292" s="57"/>
      <c r="L292" s="24"/>
      <c r="M292" s="25"/>
      <c r="N292" s="25"/>
      <c r="O292" s="25"/>
      <c r="P292" s="25"/>
    </row>
    <row r="293">
      <c r="A293" s="52"/>
      <c r="B293" s="15"/>
      <c r="C293" s="16"/>
      <c r="D293" s="15"/>
      <c r="E293" s="17"/>
      <c r="F293" s="54"/>
      <c r="G293" s="19"/>
      <c r="H293" s="17"/>
      <c r="I293" s="19"/>
      <c r="J293" s="21"/>
      <c r="K293" s="57"/>
      <c r="L293" s="24"/>
      <c r="M293" s="25"/>
      <c r="N293" s="25"/>
      <c r="O293" s="25"/>
      <c r="P293" s="25"/>
    </row>
    <row r="294">
      <c r="A294" s="52"/>
      <c r="B294" s="15"/>
      <c r="C294" s="16"/>
      <c r="D294" s="15"/>
      <c r="E294" s="17"/>
      <c r="F294" s="54"/>
      <c r="G294" s="19"/>
      <c r="H294" s="17"/>
      <c r="I294" s="19"/>
      <c r="J294" s="21"/>
      <c r="K294" s="57"/>
      <c r="L294" s="24"/>
      <c r="M294" s="25"/>
      <c r="N294" s="25"/>
      <c r="O294" s="25"/>
      <c r="P294" s="25"/>
    </row>
    <row r="295">
      <c r="A295" s="52"/>
      <c r="B295" s="15"/>
      <c r="C295" s="16"/>
      <c r="D295" s="15"/>
      <c r="E295" s="17"/>
      <c r="F295" s="54"/>
      <c r="G295" s="19"/>
      <c r="H295" s="17"/>
      <c r="I295" s="19"/>
      <c r="J295" s="21"/>
      <c r="K295" s="57"/>
      <c r="L295" s="24"/>
      <c r="M295" s="25"/>
      <c r="N295" s="25"/>
      <c r="O295" s="25"/>
      <c r="P295" s="25"/>
    </row>
    <row r="296">
      <c r="A296" s="52"/>
      <c r="B296" s="15"/>
      <c r="C296" s="16"/>
      <c r="D296" s="15"/>
      <c r="E296" s="17"/>
      <c r="F296" s="54"/>
      <c r="G296" s="19"/>
      <c r="H296" s="17"/>
      <c r="I296" s="19"/>
      <c r="J296" s="21"/>
      <c r="K296" s="57"/>
      <c r="L296" s="24"/>
      <c r="M296" s="25"/>
      <c r="N296" s="25"/>
      <c r="O296" s="25"/>
      <c r="P296" s="25"/>
    </row>
    <row r="297">
      <c r="A297" s="52"/>
      <c r="B297" s="15"/>
      <c r="C297" s="16"/>
      <c r="D297" s="15"/>
      <c r="E297" s="17"/>
      <c r="F297" s="54"/>
      <c r="G297" s="19"/>
      <c r="H297" s="17"/>
      <c r="I297" s="19"/>
      <c r="J297" s="21"/>
      <c r="K297" s="57"/>
      <c r="L297" s="24"/>
      <c r="M297" s="25"/>
      <c r="N297" s="25"/>
      <c r="O297" s="25"/>
      <c r="P297" s="25"/>
    </row>
    <row r="298">
      <c r="A298" s="52"/>
      <c r="B298" s="15"/>
      <c r="C298" s="16"/>
      <c r="D298" s="15"/>
      <c r="E298" s="17"/>
      <c r="F298" s="54"/>
      <c r="G298" s="19"/>
      <c r="H298" s="17"/>
      <c r="I298" s="19"/>
      <c r="J298" s="21"/>
      <c r="K298" s="57"/>
      <c r="L298" s="24"/>
      <c r="M298" s="25"/>
      <c r="N298" s="25"/>
      <c r="O298" s="25"/>
      <c r="P298" s="25"/>
    </row>
    <row r="299">
      <c r="A299" s="52"/>
      <c r="B299" s="15"/>
      <c r="C299" s="16"/>
      <c r="D299" s="15"/>
      <c r="E299" s="17"/>
      <c r="F299" s="54"/>
      <c r="G299" s="19"/>
      <c r="H299" s="17"/>
      <c r="I299" s="19"/>
      <c r="J299" s="21"/>
      <c r="K299" s="57"/>
      <c r="L299" s="24"/>
      <c r="M299" s="25"/>
      <c r="N299" s="25"/>
      <c r="O299" s="25"/>
      <c r="P299" s="25"/>
    </row>
    <row r="300">
      <c r="A300" s="52"/>
      <c r="B300" s="15"/>
      <c r="C300" s="16"/>
      <c r="D300" s="15"/>
      <c r="E300" s="17"/>
      <c r="F300" s="54"/>
      <c r="G300" s="19"/>
      <c r="H300" s="17"/>
      <c r="I300" s="19"/>
      <c r="J300" s="21"/>
      <c r="K300" s="57"/>
      <c r="L300" s="24"/>
      <c r="M300" s="25"/>
      <c r="N300" s="25"/>
      <c r="O300" s="25"/>
      <c r="P300" s="25"/>
    </row>
    <row r="301">
      <c r="A301" s="52"/>
      <c r="B301" s="15"/>
      <c r="C301" s="16"/>
      <c r="D301" s="15"/>
      <c r="E301" s="17"/>
      <c r="F301" s="54"/>
      <c r="G301" s="19"/>
      <c r="H301" s="17"/>
      <c r="I301" s="19"/>
      <c r="J301" s="21"/>
      <c r="K301" s="57"/>
      <c r="L301" s="24"/>
      <c r="M301" s="25"/>
      <c r="N301" s="25"/>
      <c r="O301" s="25"/>
      <c r="P301" s="25"/>
    </row>
    <row r="302">
      <c r="A302" s="52"/>
      <c r="B302" s="15"/>
      <c r="C302" s="16"/>
      <c r="D302" s="15"/>
      <c r="E302" s="17"/>
      <c r="F302" s="54"/>
      <c r="G302" s="19"/>
      <c r="H302" s="17"/>
      <c r="I302" s="19"/>
      <c r="J302" s="21"/>
      <c r="K302" s="57"/>
      <c r="L302" s="24"/>
      <c r="M302" s="25"/>
      <c r="N302" s="25"/>
      <c r="O302" s="25"/>
      <c r="P302" s="25"/>
    </row>
    <row r="303">
      <c r="A303" s="52"/>
      <c r="B303" s="15"/>
      <c r="C303" s="16"/>
      <c r="D303" s="15"/>
      <c r="E303" s="17"/>
      <c r="F303" s="54"/>
      <c r="G303" s="19"/>
      <c r="H303" s="17"/>
      <c r="I303" s="19"/>
      <c r="J303" s="21"/>
      <c r="K303" s="57"/>
      <c r="L303" s="24"/>
      <c r="M303" s="25"/>
      <c r="N303" s="25"/>
      <c r="O303" s="25"/>
      <c r="P303" s="25"/>
    </row>
    <row r="304">
      <c r="A304" s="52"/>
      <c r="B304" s="15"/>
      <c r="C304" s="16"/>
      <c r="D304" s="15"/>
      <c r="E304" s="17"/>
      <c r="F304" s="54"/>
      <c r="G304" s="19"/>
      <c r="H304" s="17"/>
      <c r="I304" s="19"/>
      <c r="J304" s="21"/>
      <c r="K304" s="57"/>
      <c r="L304" s="24"/>
      <c r="M304" s="25"/>
      <c r="N304" s="25"/>
      <c r="O304" s="25"/>
      <c r="P304" s="25"/>
    </row>
    <row r="305">
      <c r="A305" s="52"/>
      <c r="B305" s="15"/>
      <c r="C305" s="16"/>
      <c r="D305" s="15"/>
      <c r="E305" s="17"/>
      <c r="F305" s="54"/>
      <c r="G305" s="19"/>
      <c r="H305" s="17"/>
      <c r="I305" s="19"/>
      <c r="J305" s="21"/>
      <c r="K305" s="57"/>
      <c r="L305" s="24"/>
      <c r="M305" s="25"/>
      <c r="N305" s="25"/>
      <c r="O305" s="25"/>
      <c r="P305" s="25"/>
    </row>
    <row r="306">
      <c r="A306" s="52"/>
      <c r="B306" s="15"/>
      <c r="C306" s="16"/>
      <c r="D306" s="15"/>
      <c r="E306" s="17"/>
      <c r="F306" s="54"/>
      <c r="G306" s="19"/>
      <c r="H306" s="17"/>
      <c r="I306" s="19"/>
      <c r="J306" s="21"/>
      <c r="K306" s="57"/>
      <c r="L306" s="24"/>
      <c r="M306" s="25"/>
      <c r="N306" s="25"/>
      <c r="O306" s="25"/>
      <c r="P306" s="25"/>
    </row>
    <row r="307">
      <c r="A307" s="52"/>
      <c r="B307" s="15"/>
      <c r="C307" s="16"/>
      <c r="D307" s="15"/>
      <c r="E307" s="17"/>
      <c r="F307" s="54"/>
      <c r="G307" s="19"/>
      <c r="H307" s="17"/>
      <c r="I307" s="19"/>
      <c r="J307" s="21"/>
      <c r="K307" s="57"/>
      <c r="L307" s="24"/>
      <c r="M307" s="25"/>
      <c r="N307" s="25"/>
      <c r="O307" s="25"/>
      <c r="P307" s="25"/>
    </row>
    <row r="308">
      <c r="A308" s="52"/>
      <c r="B308" s="15"/>
      <c r="C308" s="16"/>
      <c r="D308" s="15"/>
      <c r="E308" s="17"/>
      <c r="F308" s="54"/>
      <c r="G308" s="19"/>
      <c r="H308" s="17"/>
      <c r="I308" s="19"/>
      <c r="J308" s="21"/>
      <c r="K308" s="57"/>
      <c r="L308" s="24"/>
      <c r="M308" s="25"/>
      <c r="N308" s="25"/>
      <c r="O308" s="25"/>
      <c r="P308" s="25"/>
    </row>
    <row r="309">
      <c r="A309" s="52"/>
      <c r="B309" s="15"/>
      <c r="C309" s="16"/>
      <c r="D309" s="15"/>
      <c r="E309" s="17"/>
      <c r="F309" s="54"/>
      <c r="G309" s="19"/>
      <c r="H309" s="17"/>
      <c r="I309" s="19"/>
      <c r="J309" s="21"/>
      <c r="K309" s="57"/>
      <c r="L309" s="24"/>
      <c r="M309" s="25"/>
      <c r="N309" s="25"/>
      <c r="O309" s="25"/>
      <c r="P309" s="25"/>
    </row>
    <row r="310">
      <c r="A310" s="52"/>
      <c r="B310" s="15"/>
      <c r="C310" s="16"/>
      <c r="D310" s="15"/>
      <c r="E310" s="17"/>
      <c r="F310" s="54"/>
      <c r="G310" s="19"/>
      <c r="H310" s="17"/>
      <c r="I310" s="19"/>
      <c r="J310" s="21"/>
      <c r="K310" s="57"/>
      <c r="L310" s="24"/>
      <c r="M310" s="25"/>
      <c r="N310" s="25"/>
      <c r="O310" s="25"/>
      <c r="P310" s="25"/>
    </row>
    <row r="311">
      <c r="A311" s="52"/>
      <c r="B311" s="15"/>
      <c r="C311" s="16"/>
      <c r="D311" s="15"/>
      <c r="E311" s="17"/>
      <c r="F311" s="54"/>
      <c r="G311" s="19"/>
      <c r="H311" s="17"/>
      <c r="I311" s="19"/>
      <c r="J311" s="21"/>
      <c r="K311" s="57"/>
      <c r="L311" s="24"/>
      <c r="M311" s="25"/>
      <c r="N311" s="25"/>
      <c r="O311" s="25"/>
      <c r="P311" s="25"/>
    </row>
    <row r="312">
      <c r="A312" s="52"/>
      <c r="B312" s="15"/>
      <c r="C312" s="16"/>
      <c r="D312" s="15"/>
      <c r="E312" s="17"/>
      <c r="F312" s="54"/>
      <c r="G312" s="19"/>
      <c r="H312" s="17"/>
      <c r="I312" s="19"/>
      <c r="J312" s="21"/>
      <c r="K312" s="57"/>
      <c r="L312" s="24"/>
      <c r="M312" s="75"/>
      <c r="N312" s="25"/>
      <c r="O312" s="25"/>
      <c r="P312" s="25"/>
    </row>
    <row r="313">
      <c r="A313" s="52"/>
      <c r="B313" s="15"/>
      <c r="C313" s="16"/>
      <c r="D313" s="15"/>
      <c r="E313" s="17"/>
      <c r="F313" s="54"/>
      <c r="G313" s="19"/>
      <c r="H313" s="17"/>
      <c r="I313" s="19"/>
      <c r="J313" s="21"/>
      <c r="K313" s="57"/>
      <c r="L313" s="24"/>
      <c r="M313" s="25"/>
      <c r="N313" s="25"/>
      <c r="O313" s="25"/>
      <c r="P313" s="25"/>
    </row>
    <row r="314">
      <c r="A314" s="52"/>
      <c r="B314" s="15"/>
      <c r="C314" s="16"/>
      <c r="D314" s="15"/>
      <c r="E314" s="17"/>
      <c r="F314" s="54"/>
      <c r="G314" s="19"/>
      <c r="H314" s="17"/>
      <c r="I314" s="19"/>
      <c r="J314" s="21"/>
      <c r="K314" s="57"/>
      <c r="L314" s="24"/>
      <c r="M314" s="25"/>
      <c r="N314" s="25"/>
      <c r="O314" s="25"/>
      <c r="P314" s="25"/>
    </row>
    <row r="315">
      <c r="A315" s="52"/>
      <c r="B315" s="15"/>
      <c r="C315" s="16"/>
      <c r="D315" s="15"/>
      <c r="E315" s="17"/>
      <c r="F315" s="54"/>
      <c r="G315" s="19"/>
      <c r="H315" s="17"/>
      <c r="I315" s="19"/>
      <c r="J315" s="21"/>
      <c r="K315" s="57"/>
      <c r="L315" s="24"/>
      <c r="M315" s="25"/>
      <c r="N315" s="25"/>
      <c r="O315" s="25"/>
      <c r="P315" s="25"/>
    </row>
    <row r="316">
      <c r="A316" s="52"/>
      <c r="B316" s="15"/>
      <c r="C316" s="16"/>
      <c r="D316" s="15"/>
      <c r="E316" s="17"/>
      <c r="F316" s="54"/>
      <c r="G316" s="19"/>
      <c r="H316" s="17"/>
      <c r="I316" s="19"/>
      <c r="J316" s="21"/>
      <c r="K316" s="57"/>
      <c r="L316" s="24"/>
      <c r="M316" s="25"/>
      <c r="N316" s="25"/>
      <c r="O316" s="25"/>
      <c r="P316" s="25"/>
    </row>
    <row r="317">
      <c r="A317" s="52"/>
      <c r="B317" s="15"/>
      <c r="C317" s="16"/>
      <c r="D317" s="15"/>
      <c r="E317" s="17"/>
      <c r="F317" s="54"/>
      <c r="G317" s="19"/>
      <c r="H317" s="17"/>
      <c r="I317" s="19"/>
      <c r="J317" s="21"/>
      <c r="K317" s="57"/>
      <c r="L317" s="24"/>
      <c r="M317" s="25"/>
      <c r="N317" s="25"/>
      <c r="O317" s="25"/>
      <c r="P317" s="25"/>
    </row>
    <row r="318">
      <c r="A318" s="52"/>
      <c r="B318" s="15"/>
      <c r="C318" s="16"/>
      <c r="D318" s="15"/>
      <c r="E318" s="17"/>
      <c r="F318" s="54"/>
      <c r="G318" s="19"/>
      <c r="H318" s="17"/>
      <c r="I318" s="19"/>
      <c r="J318" s="21"/>
      <c r="K318" s="57"/>
      <c r="L318" s="24"/>
      <c r="M318" s="25"/>
      <c r="N318" s="25"/>
      <c r="O318" s="25"/>
      <c r="P318" s="25"/>
    </row>
    <row r="319">
      <c r="A319" s="52"/>
      <c r="B319" s="15"/>
      <c r="C319" s="16"/>
      <c r="D319" s="15"/>
      <c r="E319" s="17"/>
      <c r="F319" s="54"/>
      <c r="G319" s="19"/>
      <c r="H319" s="17"/>
      <c r="I319" s="19"/>
      <c r="J319" s="21"/>
      <c r="K319" s="57"/>
      <c r="L319" s="24"/>
      <c r="M319" s="25"/>
      <c r="N319" s="25"/>
      <c r="O319" s="25"/>
      <c r="P319" s="25"/>
    </row>
    <row r="320">
      <c r="A320" s="52"/>
      <c r="B320" s="15"/>
      <c r="C320" s="16"/>
      <c r="D320" s="15"/>
      <c r="E320" s="17"/>
      <c r="F320" s="54"/>
      <c r="G320" s="19"/>
      <c r="H320" s="17"/>
      <c r="I320" s="19"/>
      <c r="J320" s="21"/>
      <c r="K320" s="57"/>
      <c r="L320" s="24"/>
      <c r="M320" s="25"/>
      <c r="N320" s="25"/>
      <c r="O320" s="25"/>
      <c r="P320" s="25"/>
    </row>
    <row r="321">
      <c r="A321" s="52"/>
      <c r="B321" s="15"/>
      <c r="C321" s="16"/>
      <c r="D321" s="15"/>
      <c r="E321" s="17"/>
      <c r="F321" s="54"/>
      <c r="G321" s="19"/>
      <c r="H321" s="17"/>
      <c r="I321" s="19"/>
      <c r="J321" s="21"/>
      <c r="K321" s="57"/>
      <c r="L321" s="24"/>
      <c r="M321" s="25"/>
      <c r="N321" s="25"/>
      <c r="O321" s="25"/>
      <c r="P321" s="25"/>
    </row>
    <row r="322">
      <c r="A322" s="52"/>
      <c r="B322" s="15"/>
      <c r="C322" s="16"/>
      <c r="D322" s="15"/>
      <c r="E322" s="17"/>
      <c r="F322" s="54"/>
      <c r="G322" s="19"/>
      <c r="H322" s="17"/>
      <c r="I322" s="19"/>
      <c r="J322" s="21"/>
      <c r="K322" s="57"/>
      <c r="L322" s="24"/>
      <c r="M322" s="25"/>
      <c r="N322" s="25"/>
      <c r="O322" s="25"/>
      <c r="P322" s="25"/>
    </row>
    <row r="323">
      <c r="A323" s="52"/>
      <c r="B323" s="15"/>
      <c r="C323" s="16"/>
      <c r="D323" s="15"/>
      <c r="E323" s="17"/>
      <c r="F323" s="54"/>
      <c r="G323" s="19"/>
      <c r="H323" s="17"/>
      <c r="I323" s="19"/>
      <c r="J323" s="21"/>
      <c r="K323" s="57"/>
      <c r="L323" s="24"/>
      <c r="M323" s="25"/>
      <c r="N323" s="25"/>
      <c r="O323" s="25"/>
      <c r="P323" s="25"/>
    </row>
    <row r="324">
      <c r="A324" s="52"/>
      <c r="B324" s="15"/>
      <c r="C324" s="16"/>
      <c r="D324" s="15"/>
      <c r="E324" s="17"/>
      <c r="F324" s="54"/>
      <c r="G324" s="19"/>
      <c r="H324" s="17"/>
      <c r="I324" s="19"/>
      <c r="J324" s="21"/>
      <c r="K324" s="57"/>
      <c r="L324" s="24"/>
      <c r="M324" s="25"/>
      <c r="N324" s="25"/>
      <c r="O324" s="25"/>
      <c r="P324" s="25"/>
    </row>
    <row r="325">
      <c r="A325" s="52"/>
      <c r="B325" s="15"/>
      <c r="C325" s="16"/>
      <c r="D325" s="15"/>
      <c r="E325" s="17"/>
      <c r="F325" s="54"/>
      <c r="G325" s="19"/>
      <c r="H325" s="17"/>
      <c r="I325" s="19"/>
      <c r="J325" s="21"/>
      <c r="K325" s="57"/>
      <c r="L325" s="24"/>
      <c r="M325" s="25"/>
      <c r="N325" s="25"/>
      <c r="O325" s="25"/>
      <c r="P325" s="25"/>
    </row>
    <row r="326">
      <c r="A326" s="52"/>
      <c r="B326" s="15"/>
      <c r="C326" s="16"/>
      <c r="D326" s="15"/>
      <c r="E326" s="17"/>
      <c r="F326" s="54"/>
      <c r="G326" s="19"/>
      <c r="H326" s="17"/>
      <c r="I326" s="19"/>
      <c r="J326" s="21"/>
      <c r="K326" s="57"/>
      <c r="L326" s="24"/>
      <c r="M326" s="25"/>
      <c r="N326" s="25"/>
      <c r="O326" s="25"/>
      <c r="P326" s="25"/>
    </row>
    <row r="327">
      <c r="A327" s="52"/>
      <c r="B327" s="15"/>
      <c r="C327" s="16"/>
      <c r="D327" s="15"/>
      <c r="E327" s="17"/>
      <c r="F327" s="54"/>
      <c r="G327" s="19"/>
      <c r="H327" s="17"/>
      <c r="I327" s="19"/>
      <c r="J327" s="21"/>
      <c r="K327" s="57"/>
      <c r="L327" s="24"/>
      <c r="M327" s="25"/>
      <c r="N327" s="25"/>
      <c r="O327" s="25"/>
      <c r="P327" s="25"/>
    </row>
    <row r="328">
      <c r="A328" s="52"/>
      <c r="B328" s="15"/>
      <c r="C328" s="16"/>
      <c r="D328" s="15"/>
      <c r="E328" s="17"/>
      <c r="F328" s="54"/>
      <c r="G328" s="19"/>
      <c r="H328" s="17"/>
      <c r="I328" s="19"/>
      <c r="J328" s="21"/>
      <c r="K328" s="57"/>
      <c r="L328" s="24"/>
      <c r="M328" s="25"/>
      <c r="N328" s="25"/>
      <c r="O328" s="25"/>
      <c r="P328" s="25"/>
    </row>
    <row r="329">
      <c r="A329" s="52"/>
      <c r="B329" s="15"/>
      <c r="C329" s="16"/>
      <c r="D329" s="15"/>
      <c r="E329" s="17"/>
      <c r="F329" s="54"/>
      <c r="G329" s="19"/>
      <c r="H329" s="17"/>
      <c r="I329" s="19"/>
      <c r="J329" s="21"/>
      <c r="K329" s="57"/>
      <c r="L329" s="24"/>
      <c r="M329" s="25"/>
      <c r="N329" s="25"/>
      <c r="O329" s="25"/>
      <c r="P329" s="25"/>
    </row>
    <row r="330">
      <c r="A330" s="52"/>
      <c r="B330" s="15"/>
      <c r="C330" s="16"/>
      <c r="D330" s="15"/>
      <c r="E330" s="17"/>
      <c r="F330" s="54"/>
      <c r="G330" s="19"/>
      <c r="H330" s="17"/>
      <c r="I330" s="19"/>
      <c r="J330" s="21"/>
      <c r="K330" s="57"/>
      <c r="L330" s="24"/>
      <c r="M330" s="25"/>
      <c r="N330" s="25"/>
      <c r="O330" s="25"/>
      <c r="P330" s="25"/>
    </row>
    <row r="331">
      <c r="A331" s="52"/>
      <c r="B331" s="15"/>
      <c r="C331" s="16"/>
      <c r="D331" s="15"/>
      <c r="E331" s="17"/>
      <c r="F331" s="54"/>
      <c r="G331" s="19"/>
      <c r="H331" s="17"/>
      <c r="I331" s="19"/>
      <c r="J331" s="21"/>
      <c r="K331" s="57"/>
      <c r="L331" s="24"/>
      <c r="M331" s="25"/>
      <c r="N331" s="25"/>
      <c r="O331" s="25"/>
      <c r="P331" s="25"/>
    </row>
    <row r="332">
      <c r="A332" s="52"/>
      <c r="B332" s="15"/>
      <c r="C332" s="16"/>
      <c r="D332" s="15"/>
      <c r="E332" s="17"/>
      <c r="F332" s="54"/>
      <c r="G332" s="19"/>
      <c r="H332" s="17"/>
      <c r="I332" s="19"/>
      <c r="J332" s="21"/>
      <c r="K332" s="57"/>
      <c r="L332" s="24"/>
      <c r="M332" s="25"/>
      <c r="N332" s="25"/>
      <c r="O332" s="25"/>
      <c r="P332" s="25"/>
    </row>
    <row r="333">
      <c r="A333" s="52"/>
      <c r="B333" s="15"/>
      <c r="C333" s="16"/>
      <c r="D333" s="15"/>
      <c r="E333" s="17"/>
      <c r="F333" s="54"/>
      <c r="G333" s="19"/>
      <c r="H333" s="17"/>
      <c r="I333" s="19"/>
      <c r="J333" s="21"/>
      <c r="K333" s="57"/>
      <c r="L333" s="24"/>
      <c r="M333" s="25"/>
      <c r="N333" s="25"/>
      <c r="O333" s="25"/>
      <c r="P333" s="25"/>
    </row>
    <row r="334">
      <c r="A334" s="52"/>
      <c r="B334" s="15"/>
      <c r="C334" s="16"/>
      <c r="D334" s="15"/>
      <c r="E334" s="17"/>
      <c r="F334" s="54"/>
      <c r="G334" s="19"/>
      <c r="H334" s="17"/>
      <c r="I334" s="19"/>
      <c r="J334" s="21"/>
      <c r="K334" s="57"/>
      <c r="L334" s="24"/>
      <c r="M334" s="25"/>
      <c r="N334" s="25"/>
      <c r="O334" s="25"/>
      <c r="P334" s="25"/>
    </row>
    <row r="335">
      <c r="A335" s="52"/>
      <c r="B335" s="15"/>
      <c r="C335" s="16"/>
      <c r="D335" s="15"/>
      <c r="E335" s="17"/>
      <c r="F335" s="54"/>
      <c r="G335" s="19"/>
      <c r="H335" s="17"/>
      <c r="I335" s="19"/>
      <c r="J335" s="21"/>
      <c r="K335" s="57"/>
      <c r="L335" s="24"/>
      <c r="M335" s="25"/>
      <c r="N335" s="25"/>
      <c r="O335" s="25"/>
      <c r="P335" s="25"/>
    </row>
    <row r="336">
      <c r="A336" s="52"/>
      <c r="B336" s="15"/>
      <c r="C336" s="16"/>
      <c r="D336" s="15"/>
      <c r="E336" s="17"/>
      <c r="F336" s="54"/>
      <c r="G336" s="19"/>
      <c r="H336" s="17"/>
      <c r="I336" s="19"/>
      <c r="J336" s="21"/>
      <c r="K336" s="57"/>
      <c r="L336" s="24"/>
      <c r="M336" s="25"/>
      <c r="N336" s="25"/>
      <c r="O336" s="25"/>
      <c r="P336" s="25"/>
    </row>
    <row r="337">
      <c r="A337" s="52"/>
      <c r="B337" s="15"/>
      <c r="C337" s="16"/>
      <c r="D337" s="15"/>
      <c r="E337" s="17"/>
      <c r="F337" s="54"/>
      <c r="G337" s="19"/>
      <c r="H337" s="17"/>
      <c r="I337" s="19"/>
      <c r="J337" s="21"/>
      <c r="K337" s="57"/>
      <c r="L337" s="24"/>
      <c r="M337" s="25"/>
      <c r="N337" s="25"/>
      <c r="O337" s="25"/>
      <c r="P337" s="25"/>
    </row>
    <row r="338">
      <c r="A338" s="62"/>
      <c r="B338" s="15"/>
      <c r="C338" s="16"/>
      <c r="D338" s="15"/>
      <c r="E338" s="17"/>
      <c r="F338" s="18"/>
      <c r="G338" s="19"/>
      <c r="H338" s="17"/>
      <c r="I338" s="19"/>
      <c r="J338" s="21"/>
      <c r="K338" s="57"/>
      <c r="L338" s="24"/>
      <c r="M338" s="25"/>
      <c r="N338" s="25"/>
      <c r="O338" s="25"/>
      <c r="P338" s="25"/>
    </row>
    <row r="339">
      <c r="A339" s="52"/>
      <c r="B339" s="15"/>
      <c r="C339" s="16"/>
      <c r="D339" s="15"/>
      <c r="E339" s="17"/>
      <c r="F339" s="54"/>
      <c r="G339" s="19"/>
      <c r="H339" s="17"/>
      <c r="I339" s="19"/>
      <c r="J339" s="21"/>
      <c r="K339" s="57"/>
      <c r="L339" s="24"/>
      <c r="M339" s="25"/>
      <c r="N339" s="25"/>
      <c r="O339" s="25"/>
      <c r="P339" s="25"/>
    </row>
    <row r="340">
      <c r="A340" s="52"/>
      <c r="B340" s="15"/>
      <c r="C340" s="16"/>
      <c r="D340" s="15"/>
      <c r="E340" s="17"/>
      <c r="F340" s="54"/>
      <c r="G340" s="19"/>
      <c r="H340" s="17"/>
      <c r="I340" s="19"/>
      <c r="J340" s="21"/>
      <c r="K340" s="57"/>
      <c r="L340" s="24"/>
      <c r="M340" s="25"/>
      <c r="N340" s="25"/>
      <c r="O340" s="25"/>
      <c r="P340" s="25"/>
    </row>
    <row r="341">
      <c r="A341" s="52"/>
      <c r="B341" s="15"/>
      <c r="C341" s="16"/>
      <c r="D341" s="15"/>
      <c r="E341" s="17"/>
      <c r="F341" s="54"/>
      <c r="G341" s="19"/>
      <c r="H341" s="17"/>
      <c r="I341" s="19"/>
      <c r="J341" s="21"/>
      <c r="K341" s="57"/>
      <c r="L341" s="24"/>
      <c r="M341" s="25"/>
      <c r="N341" s="25"/>
      <c r="O341" s="25"/>
      <c r="P341" s="25"/>
    </row>
    <row r="342">
      <c r="A342" s="52"/>
      <c r="B342" s="15"/>
      <c r="C342" s="16"/>
      <c r="D342" s="15"/>
      <c r="E342" s="17"/>
      <c r="F342" s="54"/>
      <c r="G342" s="19"/>
      <c r="H342" s="17"/>
      <c r="I342" s="19"/>
      <c r="J342" s="21"/>
      <c r="K342" s="57"/>
      <c r="L342" s="24"/>
      <c r="M342" s="25"/>
      <c r="N342" s="25"/>
      <c r="O342" s="25"/>
      <c r="P342" s="25"/>
    </row>
    <row r="343">
      <c r="A343" s="52"/>
      <c r="B343" s="15"/>
      <c r="C343" s="16"/>
      <c r="D343" s="15"/>
      <c r="E343" s="17"/>
      <c r="F343" s="54"/>
      <c r="G343" s="19"/>
      <c r="H343" s="17"/>
      <c r="I343" s="19"/>
      <c r="J343" s="21"/>
      <c r="K343" s="57"/>
      <c r="L343" s="24"/>
      <c r="M343" s="25"/>
      <c r="N343" s="25"/>
      <c r="O343" s="25"/>
      <c r="P343" s="25"/>
    </row>
    <row r="344">
      <c r="A344" s="52"/>
      <c r="B344" s="15"/>
      <c r="C344" s="16"/>
      <c r="D344" s="15"/>
      <c r="E344" s="17"/>
      <c r="F344" s="54"/>
      <c r="G344" s="19"/>
      <c r="H344" s="17"/>
      <c r="I344" s="19"/>
      <c r="J344" s="21"/>
      <c r="K344" s="57"/>
      <c r="L344" s="24"/>
      <c r="M344" s="25"/>
      <c r="N344" s="25"/>
      <c r="O344" s="25"/>
      <c r="P344" s="25"/>
    </row>
    <row r="345">
      <c r="A345" s="52"/>
      <c r="B345" s="15"/>
      <c r="C345" s="16"/>
      <c r="D345" s="15"/>
      <c r="E345" s="17"/>
      <c r="F345" s="54"/>
      <c r="G345" s="19"/>
      <c r="H345" s="17"/>
      <c r="I345" s="19"/>
      <c r="J345" s="21"/>
      <c r="K345" s="57"/>
      <c r="L345" s="24"/>
      <c r="M345" s="25"/>
      <c r="N345" s="25"/>
      <c r="O345" s="25"/>
      <c r="P345" s="25"/>
    </row>
    <row r="346">
      <c r="A346" s="52"/>
      <c r="B346" s="15"/>
      <c r="C346" s="16"/>
      <c r="D346" s="15"/>
      <c r="E346" s="17"/>
      <c r="F346" s="54"/>
      <c r="G346" s="19"/>
      <c r="H346" s="17"/>
      <c r="I346" s="19"/>
      <c r="J346" s="21"/>
      <c r="K346" s="57"/>
      <c r="L346" s="24"/>
      <c r="M346" s="25"/>
      <c r="N346" s="25"/>
      <c r="O346" s="25"/>
      <c r="P346" s="25"/>
    </row>
    <row r="347">
      <c r="A347" s="52"/>
      <c r="B347" s="15"/>
      <c r="C347" s="16"/>
      <c r="D347" s="15"/>
      <c r="E347" s="17"/>
      <c r="F347" s="54"/>
      <c r="G347" s="19"/>
      <c r="H347" s="17"/>
      <c r="I347" s="19"/>
      <c r="J347" s="21"/>
      <c r="K347" s="57"/>
      <c r="L347" s="24"/>
      <c r="M347" s="25"/>
      <c r="N347" s="25"/>
      <c r="O347" s="25"/>
      <c r="P347" s="25"/>
    </row>
    <row r="348">
      <c r="A348" s="52"/>
      <c r="B348" s="15"/>
      <c r="C348" s="16"/>
      <c r="D348" s="15"/>
      <c r="E348" s="17"/>
      <c r="F348" s="54"/>
      <c r="G348" s="19"/>
      <c r="H348" s="17"/>
      <c r="I348" s="19"/>
      <c r="J348" s="21"/>
      <c r="K348" s="57"/>
      <c r="L348" s="24"/>
      <c r="M348" s="25"/>
      <c r="N348" s="25"/>
      <c r="O348" s="25"/>
      <c r="P348" s="25"/>
    </row>
    <row r="349">
      <c r="A349" s="52"/>
      <c r="B349" s="15"/>
      <c r="C349" s="16"/>
      <c r="D349" s="15"/>
      <c r="E349" s="17"/>
      <c r="F349" s="54"/>
      <c r="G349" s="19"/>
      <c r="H349" s="17"/>
      <c r="I349" s="19"/>
      <c r="J349" s="21"/>
      <c r="K349" s="57"/>
      <c r="L349" s="24"/>
      <c r="M349" s="25"/>
      <c r="N349" s="25"/>
      <c r="O349" s="25"/>
      <c r="P349" s="25"/>
    </row>
    <row r="350">
      <c r="A350" s="52"/>
      <c r="B350" s="15"/>
      <c r="C350" s="16"/>
      <c r="D350" s="15"/>
      <c r="E350" s="17"/>
      <c r="F350" s="54"/>
      <c r="G350" s="19"/>
      <c r="H350" s="17"/>
      <c r="I350" s="19"/>
      <c r="J350" s="21"/>
      <c r="K350" s="57"/>
      <c r="L350" s="24"/>
      <c r="M350" s="25"/>
      <c r="N350" s="25"/>
      <c r="O350" s="25"/>
      <c r="P350" s="25"/>
    </row>
    <row r="351">
      <c r="A351" s="52"/>
      <c r="B351" s="15"/>
      <c r="C351" s="16"/>
      <c r="D351" s="15"/>
      <c r="E351" s="17"/>
      <c r="F351" s="54"/>
      <c r="G351" s="19"/>
      <c r="H351" s="17"/>
      <c r="I351" s="19"/>
      <c r="J351" s="21"/>
      <c r="K351" s="57"/>
      <c r="L351" s="24"/>
      <c r="M351" s="25"/>
      <c r="N351" s="25"/>
      <c r="O351" s="25"/>
      <c r="P351" s="25"/>
    </row>
    <row r="352">
      <c r="A352" s="52"/>
      <c r="B352" s="15"/>
      <c r="C352" s="16"/>
      <c r="D352" s="15"/>
      <c r="E352" s="17"/>
      <c r="F352" s="54"/>
      <c r="G352" s="19"/>
      <c r="H352" s="17"/>
      <c r="I352" s="19"/>
      <c r="J352" s="21"/>
      <c r="K352" s="57"/>
      <c r="L352" s="24"/>
      <c r="M352" s="25"/>
      <c r="N352" s="25"/>
      <c r="O352" s="25"/>
      <c r="P352" s="25"/>
    </row>
    <row r="353">
      <c r="A353" s="52"/>
      <c r="B353" s="15"/>
      <c r="C353" s="16"/>
      <c r="D353" s="15"/>
      <c r="E353" s="17"/>
      <c r="F353" s="54"/>
      <c r="G353" s="19"/>
      <c r="H353" s="17"/>
      <c r="I353" s="19"/>
      <c r="J353" s="21"/>
      <c r="K353" s="57"/>
      <c r="L353" s="24"/>
      <c r="M353" s="25"/>
      <c r="N353" s="25"/>
      <c r="O353" s="25"/>
      <c r="P353" s="25"/>
    </row>
    <row r="354">
      <c r="A354" s="52"/>
      <c r="B354" s="15"/>
      <c r="C354" s="16"/>
      <c r="D354" s="15"/>
      <c r="E354" s="17"/>
      <c r="F354" s="18"/>
      <c r="G354" s="19"/>
      <c r="H354" s="17"/>
      <c r="I354" s="19"/>
      <c r="J354" s="21"/>
      <c r="K354" s="57"/>
      <c r="L354" s="24"/>
      <c r="M354" s="25"/>
      <c r="N354" s="25"/>
      <c r="O354" s="25"/>
      <c r="P354" s="25"/>
    </row>
    <row r="355">
      <c r="A355" s="52"/>
      <c r="B355" s="15"/>
      <c r="C355" s="16"/>
      <c r="D355" s="15"/>
      <c r="E355" s="17"/>
      <c r="F355" s="54"/>
      <c r="G355" s="19"/>
      <c r="H355" s="17"/>
      <c r="I355" s="19"/>
      <c r="J355" s="21"/>
      <c r="K355" s="57"/>
      <c r="L355" s="24"/>
      <c r="M355" s="25"/>
      <c r="N355" s="25"/>
      <c r="O355" s="25"/>
      <c r="P355" s="25"/>
    </row>
    <row r="356">
      <c r="A356" s="52"/>
      <c r="B356" s="15"/>
      <c r="C356" s="16"/>
      <c r="D356" s="15"/>
      <c r="E356" s="17"/>
      <c r="F356" s="18"/>
      <c r="G356" s="19"/>
      <c r="H356" s="17"/>
      <c r="I356" s="19"/>
      <c r="J356" s="21"/>
      <c r="K356" s="57"/>
      <c r="L356" s="24"/>
      <c r="M356" s="25"/>
      <c r="N356" s="25"/>
      <c r="O356" s="25"/>
      <c r="P356" s="25"/>
    </row>
    <row r="357">
      <c r="A357" s="52"/>
      <c r="B357" s="15"/>
      <c r="C357" s="16"/>
      <c r="D357" s="15"/>
      <c r="E357" s="17"/>
      <c r="F357" s="54"/>
      <c r="G357" s="19"/>
      <c r="H357" s="17"/>
      <c r="I357" s="19"/>
      <c r="J357" s="21"/>
      <c r="K357" s="57"/>
      <c r="L357" s="24"/>
      <c r="M357" s="25"/>
      <c r="N357" s="25"/>
      <c r="O357" s="25"/>
      <c r="P357" s="25"/>
    </row>
    <row r="358">
      <c r="A358" s="52"/>
      <c r="B358" s="15"/>
      <c r="C358" s="16"/>
      <c r="D358" s="15"/>
      <c r="E358" s="17"/>
      <c r="F358" s="54"/>
      <c r="G358" s="19"/>
      <c r="H358" s="17"/>
      <c r="I358" s="19"/>
      <c r="J358" s="21"/>
      <c r="K358" s="57"/>
      <c r="L358" s="24"/>
      <c r="M358" s="25"/>
      <c r="N358" s="25"/>
      <c r="O358" s="25"/>
      <c r="P358" s="25"/>
    </row>
    <row r="359">
      <c r="A359" s="52"/>
      <c r="B359" s="15"/>
      <c r="C359" s="16"/>
      <c r="D359" s="15"/>
      <c r="E359" s="17"/>
      <c r="F359" s="54"/>
      <c r="G359" s="19"/>
      <c r="H359" s="17"/>
      <c r="I359" s="19"/>
      <c r="J359" s="21"/>
      <c r="K359" s="57"/>
      <c r="L359" s="24"/>
      <c r="M359" s="25"/>
      <c r="N359" s="25"/>
      <c r="O359" s="25"/>
      <c r="P359" s="25"/>
    </row>
    <row r="360">
      <c r="A360" s="52"/>
      <c r="B360" s="15"/>
      <c r="C360" s="16"/>
      <c r="D360" s="15"/>
      <c r="E360" s="17"/>
      <c r="F360" s="18"/>
      <c r="G360" s="19"/>
      <c r="H360" s="17"/>
      <c r="I360" s="19"/>
      <c r="J360" s="21"/>
      <c r="K360" s="57"/>
      <c r="L360" s="24"/>
      <c r="M360" s="25"/>
      <c r="N360" s="25"/>
      <c r="O360" s="25"/>
      <c r="P360" s="25"/>
    </row>
    <row r="361">
      <c r="A361" s="52"/>
      <c r="B361" s="15"/>
      <c r="C361" s="16"/>
      <c r="D361" s="15"/>
      <c r="E361" s="17"/>
      <c r="F361" s="54"/>
      <c r="G361" s="19"/>
      <c r="H361" s="17"/>
      <c r="I361" s="19"/>
      <c r="J361" s="21"/>
      <c r="K361" s="57"/>
      <c r="L361" s="24"/>
      <c r="M361" s="25"/>
      <c r="N361" s="25"/>
      <c r="O361" s="25"/>
      <c r="P361" s="25"/>
    </row>
    <row r="362">
      <c r="A362" s="52"/>
      <c r="B362" s="15"/>
      <c r="C362" s="16"/>
      <c r="D362" s="15"/>
      <c r="E362" s="17"/>
      <c r="F362" s="54"/>
      <c r="G362" s="19"/>
      <c r="H362" s="17"/>
      <c r="I362" s="19"/>
      <c r="J362" s="21"/>
      <c r="K362" s="57"/>
      <c r="L362" s="24"/>
      <c r="M362" s="25"/>
      <c r="N362" s="25"/>
      <c r="O362" s="25"/>
      <c r="P362" s="25"/>
    </row>
    <row r="363">
      <c r="A363" s="52"/>
      <c r="B363" s="15"/>
      <c r="C363" s="16"/>
      <c r="D363" s="15"/>
      <c r="E363" s="17"/>
      <c r="F363" s="54"/>
      <c r="G363" s="19"/>
      <c r="H363" s="17"/>
      <c r="I363" s="19"/>
      <c r="J363" s="21"/>
      <c r="K363" s="57"/>
      <c r="L363" s="24"/>
      <c r="M363" s="25"/>
      <c r="N363" s="25"/>
      <c r="O363" s="25"/>
      <c r="P363" s="25"/>
    </row>
    <row r="364">
      <c r="A364" s="52"/>
      <c r="B364" s="15"/>
      <c r="C364" s="16"/>
      <c r="D364" s="15"/>
      <c r="E364" s="17"/>
      <c r="F364" s="54"/>
      <c r="G364" s="19"/>
      <c r="H364" s="17"/>
      <c r="I364" s="19"/>
      <c r="J364" s="21"/>
      <c r="K364" s="57"/>
      <c r="L364" s="24"/>
      <c r="M364" s="25"/>
      <c r="N364" s="25"/>
      <c r="O364" s="25"/>
      <c r="P364" s="25"/>
    </row>
    <row r="365">
      <c r="A365" s="52"/>
      <c r="B365" s="15"/>
      <c r="C365" s="16"/>
      <c r="D365" s="15"/>
      <c r="E365" s="17"/>
      <c r="F365" s="54"/>
      <c r="G365" s="19"/>
      <c r="H365" s="17"/>
      <c r="I365" s="19"/>
      <c r="J365" s="21"/>
      <c r="K365" s="57"/>
      <c r="L365" s="24"/>
      <c r="M365" s="25"/>
      <c r="N365" s="25"/>
      <c r="O365" s="25"/>
      <c r="P365" s="25"/>
    </row>
    <row r="366">
      <c r="A366" s="52"/>
      <c r="B366" s="15"/>
      <c r="C366" s="16"/>
      <c r="D366" s="15"/>
      <c r="E366" s="17"/>
      <c r="F366" s="54"/>
      <c r="G366" s="19"/>
      <c r="H366" s="17"/>
      <c r="I366" s="19"/>
      <c r="J366" s="21"/>
      <c r="K366" s="57"/>
      <c r="L366" s="24"/>
      <c r="M366" s="25"/>
      <c r="N366" s="25"/>
      <c r="O366" s="25"/>
      <c r="P366" s="25"/>
    </row>
    <row r="367">
      <c r="A367" s="52"/>
      <c r="B367" s="15"/>
      <c r="C367" s="16"/>
      <c r="D367" s="15"/>
      <c r="E367" s="17"/>
      <c r="F367" s="54"/>
      <c r="G367" s="19"/>
      <c r="H367" s="17"/>
      <c r="I367" s="19"/>
      <c r="J367" s="21"/>
      <c r="K367" s="57"/>
      <c r="L367" s="24"/>
      <c r="M367" s="25"/>
      <c r="N367" s="25"/>
      <c r="O367" s="25"/>
      <c r="P367" s="25"/>
    </row>
    <row r="368">
      <c r="A368" s="52"/>
      <c r="B368" s="15"/>
      <c r="C368" s="16"/>
      <c r="D368" s="15"/>
      <c r="E368" s="17"/>
      <c r="F368" s="54"/>
      <c r="G368" s="19"/>
      <c r="H368" s="17"/>
      <c r="I368" s="19"/>
      <c r="J368" s="21"/>
      <c r="K368" s="57"/>
      <c r="L368" s="24"/>
      <c r="M368" s="25"/>
      <c r="N368" s="25"/>
      <c r="O368" s="25"/>
      <c r="P368" s="25"/>
    </row>
    <row r="369">
      <c r="A369" s="52"/>
      <c r="B369" s="15"/>
      <c r="C369" s="16"/>
      <c r="D369" s="15"/>
      <c r="E369" s="17"/>
      <c r="F369" s="54"/>
      <c r="G369" s="19"/>
      <c r="H369" s="17"/>
      <c r="I369" s="19"/>
      <c r="J369" s="21"/>
      <c r="K369" s="57"/>
      <c r="L369" s="24"/>
      <c r="M369" s="25"/>
      <c r="N369" s="25"/>
      <c r="O369" s="25"/>
      <c r="P369" s="25"/>
    </row>
    <row r="370">
      <c r="A370" s="52"/>
      <c r="B370" s="15"/>
      <c r="C370" s="16"/>
      <c r="D370" s="15"/>
      <c r="E370" s="17"/>
      <c r="F370" s="54"/>
      <c r="G370" s="19"/>
      <c r="H370" s="17"/>
      <c r="I370" s="19"/>
      <c r="J370" s="21"/>
      <c r="K370" s="57"/>
      <c r="L370" s="24"/>
      <c r="M370" s="25"/>
      <c r="N370" s="25"/>
      <c r="O370" s="25"/>
      <c r="P370" s="25"/>
    </row>
    <row r="371">
      <c r="A371" s="52"/>
      <c r="B371" s="15"/>
      <c r="C371" s="16"/>
      <c r="D371" s="15"/>
      <c r="E371" s="17"/>
      <c r="F371" s="54"/>
      <c r="G371" s="19"/>
      <c r="H371" s="17"/>
      <c r="I371" s="19"/>
      <c r="J371" s="21"/>
      <c r="K371" s="57"/>
      <c r="L371" s="24"/>
      <c r="M371" s="25"/>
      <c r="N371" s="25"/>
      <c r="O371" s="25"/>
      <c r="P371" s="25"/>
    </row>
    <row r="372">
      <c r="A372" s="52"/>
      <c r="B372" s="15"/>
      <c r="C372" s="16"/>
      <c r="D372" s="15"/>
      <c r="E372" s="17"/>
      <c r="F372" s="54"/>
      <c r="G372" s="19"/>
      <c r="H372" s="17"/>
      <c r="I372" s="19"/>
      <c r="J372" s="21"/>
      <c r="K372" s="57"/>
      <c r="L372" s="24"/>
      <c r="M372" s="25"/>
      <c r="N372" s="25"/>
      <c r="O372" s="25"/>
      <c r="P372" s="25"/>
    </row>
    <row r="373">
      <c r="A373" s="52"/>
      <c r="B373" s="15"/>
      <c r="C373" s="16"/>
      <c r="D373" s="15"/>
      <c r="E373" s="17"/>
      <c r="F373" s="54"/>
      <c r="G373" s="19"/>
      <c r="H373" s="17"/>
      <c r="I373" s="19"/>
      <c r="J373" s="21"/>
      <c r="K373" s="57"/>
      <c r="L373" s="24"/>
      <c r="M373" s="25"/>
      <c r="N373" s="25"/>
      <c r="O373" s="25"/>
      <c r="P373" s="25"/>
    </row>
    <row r="374">
      <c r="A374" s="52"/>
      <c r="B374" s="15"/>
      <c r="C374" s="16"/>
      <c r="D374" s="15"/>
      <c r="E374" s="17"/>
      <c r="F374" s="54"/>
      <c r="G374" s="19"/>
      <c r="H374" s="17"/>
      <c r="I374" s="19"/>
      <c r="J374" s="21"/>
      <c r="K374" s="57"/>
      <c r="L374" s="24"/>
      <c r="M374" s="25"/>
      <c r="N374" s="25"/>
      <c r="O374" s="25"/>
      <c r="P374" s="25"/>
    </row>
    <row r="375">
      <c r="A375" s="52"/>
      <c r="B375" s="15"/>
      <c r="C375" s="16"/>
      <c r="D375" s="15"/>
      <c r="E375" s="17"/>
      <c r="F375" s="54"/>
      <c r="G375" s="19"/>
      <c r="H375" s="17"/>
      <c r="I375" s="19"/>
      <c r="J375" s="21"/>
      <c r="K375" s="57"/>
      <c r="L375" s="24"/>
      <c r="M375" s="25"/>
      <c r="N375" s="25"/>
      <c r="O375" s="25"/>
      <c r="P375" s="25"/>
    </row>
    <row r="376">
      <c r="A376" s="52"/>
      <c r="B376" s="15"/>
      <c r="C376" s="16"/>
      <c r="D376" s="15"/>
      <c r="E376" s="17"/>
      <c r="F376" s="54"/>
      <c r="G376" s="19"/>
      <c r="H376" s="17"/>
      <c r="I376" s="19"/>
      <c r="J376" s="21"/>
      <c r="K376" s="57"/>
      <c r="L376" s="24"/>
      <c r="M376" s="25"/>
      <c r="N376" s="25"/>
      <c r="O376" s="25"/>
      <c r="P376" s="25"/>
    </row>
    <row r="377">
      <c r="A377" s="52"/>
      <c r="B377" s="15"/>
      <c r="C377" s="16"/>
      <c r="D377" s="15"/>
      <c r="E377" s="17"/>
      <c r="F377" s="54"/>
      <c r="G377" s="19"/>
      <c r="H377" s="17"/>
      <c r="I377" s="19"/>
      <c r="J377" s="21"/>
      <c r="K377" s="57"/>
      <c r="L377" s="24"/>
      <c r="M377" s="25"/>
      <c r="N377" s="25"/>
      <c r="O377" s="25"/>
      <c r="P377" s="25"/>
    </row>
    <row r="378">
      <c r="A378" s="52"/>
      <c r="B378" s="15"/>
      <c r="C378" s="16"/>
      <c r="D378" s="15"/>
      <c r="E378" s="17"/>
      <c r="F378" s="54"/>
      <c r="G378" s="19"/>
      <c r="H378" s="17"/>
      <c r="I378" s="19"/>
      <c r="J378" s="21"/>
      <c r="K378" s="57"/>
      <c r="L378" s="24"/>
      <c r="M378" s="25"/>
      <c r="N378" s="25"/>
      <c r="O378" s="25"/>
      <c r="P378" s="25"/>
    </row>
    <row r="379">
      <c r="A379" s="52"/>
      <c r="B379" s="15"/>
      <c r="C379" s="16"/>
      <c r="D379" s="15"/>
      <c r="E379" s="17"/>
      <c r="F379" s="54"/>
      <c r="G379" s="19"/>
      <c r="H379" s="17"/>
      <c r="I379" s="19"/>
      <c r="J379" s="21"/>
      <c r="K379" s="57"/>
      <c r="L379" s="24"/>
      <c r="M379" s="25"/>
      <c r="N379" s="25"/>
      <c r="O379" s="25"/>
      <c r="P379" s="25"/>
    </row>
    <row r="380">
      <c r="A380" s="52"/>
      <c r="B380" s="15"/>
      <c r="C380" s="16"/>
      <c r="D380" s="15"/>
      <c r="E380" s="17"/>
      <c r="F380" s="54"/>
      <c r="G380" s="19"/>
      <c r="H380" s="17"/>
      <c r="I380" s="19"/>
      <c r="J380" s="21"/>
      <c r="K380" s="57"/>
      <c r="L380" s="24"/>
      <c r="M380" s="25"/>
      <c r="N380" s="25"/>
      <c r="O380" s="25"/>
      <c r="P380" s="25"/>
    </row>
    <row r="381">
      <c r="A381" s="52"/>
      <c r="B381" s="15"/>
      <c r="C381" s="16"/>
      <c r="D381" s="15"/>
      <c r="E381" s="17"/>
      <c r="F381" s="54"/>
      <c r="G381" s="19"/>
      <c r="H381" s="17"/>
      <c r="I381" s="19"/>
      <c r="J381" s="21"/>
      <c r="K381" s="57"/>
      <c r="L381" s="24"/>
      <c r="M381" s="25"/>
      <c r="N381" s="25"/>
      <c r="O381" s="25"/>
      <c r="P381" s="25"/>
    </row>
    <row r="382">
      <c r="A382" s="52"/>
      <c r="B382" s="15"/>
      <c r="C382" s="16"/>
      <c r="D382" s="15"/>
      <c r="E382" s="17"/>
      <c r="F382" s="54"/>
      <c r="G382" s="19"/>
      <c r="H382" s="17"/>
      <c r="I382" s="19"/>
      <c r="J382" s="21"/>
      <c r="K382" s="57"/>
      <c r="L382" s="24"/>
      <c r="M382" s="25"/>
      <c r="N382" s="25"/>
      <c r="O382" s="25"/>
      <c r="P382" s="25"/>
    </row>
    <row r="383">
      <c r="A383" s="52"/>
      <c r="B383" s="15"/>
      <c r="C383" s="16"/>
      <c r="D383" s="15"/>
      <c r="E383" s="17"/>
      <c r="F383" s="54"/>
      <c r="G383" s="19"/>
      <c r="H383" s="17"/>
      <c r="I383" s="19"/>
      <c r="J383" s="21"/>
      <c r="K383" s="57"/>
      <c r="L383" s="24"/>
      <c r="M383" s="25"/>
      <c r="N383" s="25"/>
      <c r="O383" s="25"/>
      <c r="P383" s="25"/>
    </row>
    <row r="384">
      <c r="A384" s="52"/>
      <c r="B384" s="15"/>
      <c r="C384" s="16"/>
      <c r="D384" s="15"/>
      <c r="E384" s="17"/>
      <c r="F384" s="54"/>
      <c r="G384" s="19"/>
      <c r="H384" s="17"/>
      <c r="I384" s="19"/>
      <c r="J384" s="21"/>
      <c r="K384" s="57"/>
      <c r="L384" s="24"/>
      <c r="M384" s="25"/>
      <c r="N384" s="25"/>
      <c r="O384" s="25"/>
      <c r="P384" s="25"/>
    </row>
    <row r="385">
      <c r="A385" s="52"/>
      <c r="B385" s="15"/>
      <c r="C385" s="16"/>
      <c r="D385" s="15"/>
      <c r="E385" s="17"/>
      <c r="F385" s="54"/>
      <c r="G385" s="19"/>
      <c r="H385" s="17"/>
      <c r="I385" s="19"/>
      <c r="J385" s="21"/>
      <c r="K385" s="57"/>
      <c r="L385" s="24"/>
      <c r="M385" s="25"/>
      <c r="N385" s="25"/>
      <c r="O385" s="25"/>
      <c r="P385" s="25"/>
    </row>
    <row r="386">
      <c r="A386" s="52"/>
      <c r="B386" s="15"/>
      <c r="C386" s="16"/>
      <c r="D386" s="15"/>
      <c r="E386" s="17"/>
      <c r="F386" s="54"/>
      <c r="G386" s="19"/>
      <c r="H386" s="17"/>
      <c r="I386" s="19"/>
      <c r="J386" s="21"/>
      <c r="K386" s="57"/>
      <c r="L386" s="24"/>
      <c r="M386" s="25"/>
      <c r="N386" s="25"/>
      <c r="O386" s="25"/>
      <c r="P386" s="25"/>
    </row>
    <row r="387">
      <c r="A387" s="52"/>
      <c r="B387" s="15"/>
      <c r="C387" s="16"/>
      <c r="D387" s="15"/>
      <c r="E387" s="17"/>
      <c r="F387" s="54"/>
      <c r="G387" s="19"/>
      <c r="H387" s="17"/>
      <c r="I387" s="19"/>
      <c r="J387" s="21"/>
      <c r="K387" s="57"/>
      <c r="L387" s="24"/>
      <c r="M387" s="25"/>
      <c r="N387" s="25"/>
      <c r="O387" s="25"/>
      <c r="P387" s="25"/>
    </row>
    <row r="388">
      <c r="A388" s="52"/>
      <c r="B388" s="15"/>
      <c r="C388" s="16"/>
      <c r="D388" s="15"/>
      <c r="E388" s="17"/>
      <c r="F388" s="54"/>
      <c r="G388" s="19"/>
      <c r="H388" s="17"/>
      <c r="I388" s="19"/>
      <c r="J388" s="21"/>
      <c r="K388" s="57"/>
      <c r="L388" s="24"/>
      <c r="M388" s="25"/>
      <c r="N388" s="25"/>
      <c r="O388" s="25"/>
      <c r="P388" s="25"/>
    </row>
    <row r="389">
      <c r="A389" s="52"/>
      <c r="B389" s="15"/>
      <c r="C389" s="16"/>
      <c r="D389" s="15"/>
      <c r="E389" s="17"/>
      <c r="F389" s="54"/>
      <c r="G389" s="19"/>
      <c r="H389" s="17"/>
      <c r="I389" s="19"/>
      <c r="J389" s="21"/>
      <c r="K389" s="57"/>
      <c r="L389" s="24"/>
      <c r="M389" s="25"/>
      <c r="N389" s="25"/>
      <c r="O389" s="25"/>
      <c r="P389" s="25"/>
    </row>
    <row r="390">
      <c r="A390" s="52"/>
      <c r="B390" s="15"/>
      <c r="C390" s="16"/>
      <c r="D390" s="15"/>
      <c r="E390" s="17"/>
      <c r="F390" s="54"/>
      <c r="G390" s="19"/>
      <c r="H390" s="17"/>
      <c r="I390" s="19"/>
      <c r="J390" s="21"/>
      <c r="K390" s="57"/>
      <c r="L390" s="24"/>
      <c r="M390" s="25"/>
      <c r="N390" s="25"/>
      <c r="O390" s="25"/>
      <c r="P390" s="25"/>
    </row>
    <row r="391">
      <c r="A391" s="52"/>
      <c r="B391" s="15"/>
      <c r="C391" s="16"/>
      <c r="D391" s="15"/>
      <c r="E391" s="17"/>
      <c r="F391" s="54"/>
      <c r="G391" s="19"/>
      <c r="H391" s="17"/>
      <c r="I391" s="19"/>
      <c r="J391" s="21"/>
      <c r="K391" s="57"/>
      <c r="L391" s="24"/>
      <c r="M391" s="25"/>
      <c r="N391" s="25"/>
      <c r="O391" s="25"/>
      <c r="P391" s="25"/>
    </row>
    <row r="392">
      <c r="A392" s="52"/>
      <c r="B392" s="15"/>
      <c r="C392" s="16"/>
      <c r="D392" s="15"/>
      <c r="E392" s="17"/>
      <c r="F392" s="54"/>
      <c r="G392" s="19"/>
      <c r="H392" s="17"/>
      <c r="I392" s="19"/>
      <c r="J392" s="21"/>
      <c r="K392" s="57"/>
      <c r="L392" s="24"/>
      <c r="M392" s="25"/>
      <c r="N392" s="25"/>
      <c r="O392" s="25"/>
      <c r="P392" s="25"/>
    </row>
    <row r="393">
      <c r="A393" s="52"/>
      <c r="B393" s="15"/>
      <c r="C393" s="16"/>
      <c r="D393" s="15"/>
      <c r="E393" s="17"/>
      <c r="F393" s="54"/>
      <c r="G393" s="19"/>
      <c r="H393" s="17"/>
      <c r="I393" s="19"/>
      <c r="J393" s="21"/>
      <c r="K393" s="57"/>
      <c r="L393" s="24"/>
      <c r="M393" s="25"/>
      <c r="N393" s="25"/>
      <c r="O393" s="25"/>
      <c r="P393" s="25"/>
    </row>
    <row r="394">
      <c r="A394" s="52"/>
      <c r="B394" s="15"/>
      <c r="C394" s="16"/>
      <c r="D394" s="15"/>
      <c r="E394" s="17"/>
      <c r="F394" s="54"/>
      <c r="G394" s="19"/>
      <c r="H394" s="17"/>
      <c r="I394" s="19"/>
      <c r="J394" s="21"/>
      <c r="K394" s="57"/>
      <c r="L394" s="24"/>
      <c r="M394" s="25"/>
      <c r="N394" s="25"/>
      <c r="O394" s="25"/>
      <c r="P394" s="25"/>
    </row>
    <row r="395">
      <c r="A395" s="52"/>
      <c r="B395" s="15"/>
      <c r="C395" s="16"/>
      <c r="D395" s="15"/>
      <c r="E395" s="17"/>
      <c r="F395" s="54"/>
      <c r="G395" s="19"/>
      <c r="H395" s="17"/>
      <c r="I395" s="19"/>
      <c r="J395" s="21"/>
      <c r="K395" s="57"/>
      <c r="L395" s="24"/>
      <c r="M395" s="25"/>
      <c r="N395" s="25"/>
      <c r="O395" s="25"/>
      <c r="P395" s="25"/>
    </row>
    <row r="396">
      <c r="A396" s="52"/>
      <c r="B396" s="15"/>
      <c r="C396" s="16"/>
      <c r="D396" s="15"/>
      <c r="E396" s="17"/>
      <c r="F396" s="54"/>
      <c r="G396" s="19"/>
      <c r="H396" s="17"/>
      <c r="I396" s="19"/>
      <c r="J396" s="21"/>
      <c r="K396" s="57"/>
      <c r="L396" s="24"/>
      <c r="M396" s="25"/>
      <c r="N396" s="25"/>
      <c r="O396" s="25"/>
      <c r="P396" s="25"/>
    </row>
    <row r="397">
      <c r="A397" s="52"/>
      <c r="B397" s="15"/>
      <c r="C397" s="16"/>
      <c r="D397" s="15"/>
      <c r="E397" s="17"/>
      <c r="F397" s="54"/>
      <c r="G397" s="19"/>
      <c r="H397" s="17"/>
      <c r="I397" s="19"/>
      <c r="J397" s="21"/>
      <c r="K397" s="57"/>
      <c r="L397" s="24"/>
      <c r="M397" s="25"/>
      <c r="N397" s="25"/>
      <c r="O397" s="25"/>
      <c r="P397" s="25"/>
    </row>
    <row r="398">
      <c r="A398" s="52"/>
      <c r="B398" s="15"/>
      <c r="C398" s="16"/>
      <c r="D398" s="15"/>
      <c r="E398" s="17"/>
      <c r="F398" s="54"/>
      <c r="G398" s="19"/>
      <c r="H398" s="17"/>
      <c r="I398" s="19"/>
      <c r="J398" s="21"/>
      <c r="K398" s="57"/>
      <c r="L398" s="24"/>
      <c r="M398" s="25"/>
      <c r="N398" s="25"/>
      <c r="O398" s="25"/>
      <c r="P398" s="25"/>
    </row>
    <row r="399">
      <c r="A399" s="52"/>
      <c r="B399" s="15"/>
      <c r="C399" s="16"/>
      <c r="D399" s="15"/>
      <c r="E399" s="17"/>
      <c r="F399" s="54"/>
      <c r="G399" s="19"/>
      <c r="H399" s="17"/>
      <c r="I399" s="19"/>
      <c r="J399" s="21"/>
      <c r="K399" s="57"/>
      <c r="L399" s="24"/>
      <c r="M399" s="25"/>
      <c r="N399" s="25"/>
      <c r="O399" s="25"/>
      <c r="P399" s="25"/>
    </row>
    <row r="400">
      <c r="A400" s="52"/>
      <c r="B400" s="15"/>
      <c r="C400" s="16"/>
      <c r="D400" s="15"/>
      <c r="E400" s="17"/>
      <c r="F400" s="54"/>
      <c r="G400" s="19"/>
      <c r="H400" s="17"/>
      <c r="I400" s="19"/>
      <c r="J400" s="21"/>
      <c r="K400" s="57"/>
      <c r="L400" s="24"/>
      <c r="M400" s="25"/>
      <c r="N400" s="25"/>
      <c r="O400" s="25"/>
      <c r="P400" s="25"/>
    </row>
    <row r="401">
      <c r="A401" s="52"/>
      <c r="B401" s="15"/>
      <c r="C401" s="16"/>
      <c r="D401" s="15"/>
      <c r="E401" s="17"/>
      <c r="F401" s="54"/>
      <c r="G401" s="19"/>
      <c r="H401" s="17"/>
      <c r="I401" s="19"/>
      <c r="J401" s="21"/>
      <c r="K401" s="57"/>
      <c r="L401" s="24"/>
      <c r="M401" s="25"/>
      <c r="N401" s="25"/>
      <c r="O401" s="25"/>
      <c r="P401" s="25"/>
    </row>
    <row r="402">
      <c r="A402" s="52"/>
      <c r="B402" s="15"/>
      <c r="C402" s="16"/>
      <c r="D402" s="15"/>
      <c r="E402" s="17"/>
      <c r="F402" s="54"/>
      <c r="G402" s="19"/>
      <c r="H402" s="17"/>
      <c r="I402" s="19"/>
      <c r="J402" s="21"/>
      <c r="K402" s="57"/>
      <c r="L402" s="24"/>
      <c r="M402" s="25"/>
      <c r="N402" s="25"/>
      <c r="O402" s="25"/>
      <c r="P402" s="25"/>
    </row>
    <row r="403">
      <c r="A403" s="52"/>
      <c r="B403" s="15"/>
      <c r="C403" s="16"/>
      <c r="D403" s="15"/>
      <c r="E403" s="17"/>
      <c r="F403" s="54"/>
      <c r="G403" s="19"/>
      <c r="H403" s="17"/>
      <c r="I403" s="19"/>
      <c r="J403" s="21"/>
      <c r="K403" s="57"/>
      <c r="L403" s="24"/>
      <c r="M403" s="25"/>
      <c r="N403" s="25"/>
      <c r="O403" s="25"/>
      <c r="P403" s="25"/>
    </row>
    <row r="404">
      <c r="A404" s="52"/>
      <c r="B404" s="15"/>
      <c r="C404" s="16"/>
      <c r="D404" s="15"/>
      <c r="E404" s="17"/>
      <c r="F404" s="54"/>
      <c r="G404" s="19"/>
      <c r="H404" s="17"/>
      <c r="I404" s="19"/>
      <c r="J404" s="21"/>
      <c r="K404" s="57"/>
      <c r="L404" s="24"/>
      <c r="M404" s="25"/>
      <c r="N404" s="25"/>
      <c r="O404" s="25"/>
      <c r="P404" s="25"/>
    </row>
    <row r="405">
      <c r="A405" s="52"/>
      <c r="B405" s="15"/>
      <c r="C405" s="16"/>
      <c r="D405" s="15"/>
      <c r="E405" s="17"/>
      <c r="F405" s="54"/>
      <c r="G405" s="19"/>
      <c r="H405" s="17"/>
      <c r="I405" s="19"/>
      <c r="J405" s="21"/>
      <c r="K405" s="57"/>
      <c r="L405" s="24"/>
      <c r="M405" s="25"/>
      <c r="N405" s="25"/>
      <c r="O405" s="25"/>
      <c r="P405" s="25"/>
    </row>
    <row r="406">
      <c r="A406" s="52"/>
      <c r="B406" s="15"/>
      <c r="C406" s="16"/>
      <c r="D406" s="15"/>
      <c r="E406" s="17"/>
      <c r="F406" s="54"/>
      <c r="G406" s="19"/>
      <c r="H406" s="17"/>
      <c r="I406" s="19"/>
      <c r="J406" s="21"/>
      <c r="K406" s="57"/>
      <c r="L406" s="24"/>
      <c r="M406" s="25"/>
      <c r="N406" s="25"/>
      <c r="O406" s="25"/>
      <c r="P406" s="25"/>
    </row>
    <row r="407">
      <c r="A407" s="52"/>
      <c r="B407" s="15"/>
      <c r="C407" s="16"/>
      <c r="D407" s="15"/>
      <c r="E407" s="17"/>
      <c r="F407" s="54"/>
      <c r="G407" s="19"/>
      <c r="H407" s="17"/>
      <c r="I407" s="19"/>
      <c r="J407" s="21"/>
      <c r="K407" s="57"/>
      <c r="L407" s="24"/>
      <c r="M407" s="25"/>
      <c r="N407" s="25"/>
      <c r="O407" s="25"/>
      <c r="P407" s="25"/>
    </row>
    <row r="408">
      <c r="A408" s="52"/>
      <c r="B408" s="15"/>
      <c r="C408" s="16"/>
      <c r="D408" s="15"/>
      <c r="E408" s="17"/>
      <c r="F408" s="54"/>
      <c r="G408" s="19"/>
      <c r="H408" s="17"/>
      <c r="I408" s="19"/>
      <c r="J408" s="21"/>
      <c r="K408" s="57"/>
      <c r="L408" s="24"/>
      <c r="M408" s="25"/>
      <c r="N408" s="25"/>
      <c r="O408" s="25"/>
      <c r="P408" s="25"/>
    </row>
    <row r="409">
      <c r="A409" s="52"/>
      <c r="B409" s="15"/>
      <c r="C409" s="16"/>
      <c r="D409" s="15"/>
      <c r="E409" s="17"/>
      <c r="F409" s="54"/>
      <c r="G409" s="19"/>
      <c r="H409" s="17"/>
      <c r="I409" s="19"/>
      <c r="J409" s="21"/>
      <c r="K409" s="57"/>
      <c r="L409" s="24"/>
      <c r="M409" s="25"/>
      <c r="N409" s="25"/>
      <c r="O409" s="25"/>
      <c r="P409" s="25"/>
    </row>
    <row r="410">
      <c r="A410" s="52"/>
      <c r="B410" s="15"/>
      <c r="C410" s="16"/>
      <c r="D410" s="15"/>
      <c r="E410" s="17"/>
      <c r="F410" s="54"/>
      <c r="G410" s="19"/>
      <c r="H410" s="17"/>
      <c r="I410" s="19"/>
      <c r="J410" s="21"/>
      <c r="K410" s="57"/>
      <c r="L410" s="24"/>
      <c r="M410" s="25"/>
      <c r="N410" s="25"/>
      <c r="O410" s="25"/>
      <c r="P410" s="25"/>
    </row>
    <row r="411">
      <c r="A411" s="52"/>
      <c r="B411" s="15"/>
      <c r="C411" s="16"/>
      <c r="D411" s="15"/>
      <c r="E411" s="17"/>
      <c r="F411" s="54"/>
      <c r="G411" s="19"/>
      <c r="H411" s="17"/>
      <c r="I411" s="19"/>
      <c r="J411" s="21"/>
      <c r="K411" s="57"/>
      <c r="L411" s="24"/>
      <c r="M411" s="25"/>
      <c r="N411" s="25"/>
      <c r="O411" s="25"/>
      <c r="P411" s="25"/>
    </row>
    <row r="412">
      <c r="A412" s="52"/>
      <c r="B412" s="15"/>
      <c r="C412" s="16"/>
      <c r="D412" s="15"/>
      <c r="E412" s="17"/>
      <c r="F412" s="54"/>
      <c r="G412" s="19"/>
      <c r="H412" s="17"/>
      <c r="I412" s="19"/>
      <c r="J412" s="21"/>
      <c r="K412" s="57"/>
      <c r="L412" s="24"/>
      <c r="M412" s="25"/>
      <c r="N412" s="25"/>
      <c r="O412" s="25"/>
      <c r="P412" s="25"/>
    </row>
    <row r="413">
      <c r="A413" s="52"/>
      <c r="B413" s="15"/>
      <c r="C413" s="16"/>
      <c r="D413" s="15"/>
      <c r="E413" s="17"/>
      <c r="F413" s="54"/>
      <c r="G413" s="19"/>
      <c r="H413" s="17"/>
      <c r="I413" s="19"/>
      <c r="J413" s="21"/>
      <c r="K413" s="57"/>
      <c r="L413" s="24"/>
      <c r="M413" s="25"/>
      <c r="N413" s="25"/>
      <c r="O413" s="25"/>
      <c r="P413" s="25"/>
    </row>
    <row r="414">
      <c r="A414" s="52"/>
      <c r="B414" s="15"/>
      <c r="C414" s="16"/>
      <c r="D414" s="15"/>
      <c r="E414" s="17"/>
      <c r="F414" s="54"/>
      <c r="G414" s="19"/>
      <c r="H414" s="17"/>
      <c r="I414" s="19"/>
      <c r="J414" s="21"/>
      <c r="K414" s="57"/>
      <c r="L414" s="24"/>
      <c r="M414" s="25"/>
      <c r="N414" s="25"/>
      <c r="O414" s="25"/>
      <c r="P414" s="25"/>
    </row>
    <row r="415">
      <c r="A415" s="52"/>
      <c r="B415" s="15"/>
      <c r="C415" s="16"/>
      <c r="D415" s="15"/>
      <c r="E415" s="17"/>
      <c r="F415" s="54"/>
      <c r="G415" s="19"/>
      <c r="H415" s="17"/>
      <c r="I415" s="19"/>
      <c r="J415" s="21"/>
      <c r="K415" s="57"/>
      <c r="L415" s="24"/>
      <c r="M415" s="25"/>
      <c r="N415" s="25"/>
      <c r="O415" s="25"/>
      <c r="P415" s="25"/>
    </row>
    <row r="416">
      <c r="A416" s="52"/>
      <c r="B416" s="15"/>
      <c r="C416" s="16"/>
      <c r="D416" s="15"/>
      <c r="E416" s="17"/>
      <c r="F416" s="54"/>
      <c r="G416" s="19"/>
      <c r="H416" s="17"/>
      <c r="I416" s="19"/>
      <c r="J416" s="21"/>
      <c r="K416" s="57"/>
      <c r="L416" s="24"/>
      <c r="M416" s="25"/>
      <c r="N416" s="25"/>
      <c r="O416" s="25"/>
      <c r="P416" s="25"/>
    </row>
    <row r="417">
      <c r="A417" s="52"/>
      <c r="B417" s="15"/>
      <c r="C417" s="16"/>
      <c r="D417" s="15"/>
      <c r="E417" s="17"/>
      <c r="F417" s="54"/>
      <c r="G417" s="19"/>
      <c r="H417" s="17"/>
      <c r="I417" s="19"/>
      <c r="J417" s="21"/>
      <c r="K417" s="57"/>
      <c r="L417" s="24"/>
      <c r="M417" s="25"/>
      <c r="N417" s="25"/>
      <c r="O417" s="25"/>
      <c r="P417" s="25"/>
    </row>
    <row r="418">
      <c r="A418" s="52"/>
      <c r="B418" s="15"/>
      <c r="C418" s="16"/>
      <c r="D418" s="15"/>
      <c r="E418" s="17"/>
      <c r="F418" s="54"/>
      <c r="G418" s="19"/>
      <c r="H418" s="17"/>
      <c r="I418" s="19"/>
      <c r="J418" s="21"/>
      <c r="K418" s="57"/>
      <c r="L418" s="24"/>
      <c r="M418" s="25"/>
      <c r="N418" s="25"/>
      <c r="O418" s="25"/>
      <c r="P418" s="25"/>
    </row>
    <row r="419">
      <c r="A419" s="52"/>
      <c r="B419" s="15"/>
      <c r="C419" s="16"/>
      <c r="D419" s="15"/>
      <c r="E419" s="17"/>
      <c r="F419" s="54"/>
      <c r="G419" s="19"/>
      <c r="H419" s="17"/>
      <c r="I419" s="19"/>
      <c r="J419" s="21"/>
      <c r="K419" s="57"/>
      <c r="L419" s="24"/>
      <c r="M419" s="25"/>
      <c r="N419" s="25"/>
      <c r="O419" s="25"/>
      <c r="P419" s="25"/>
    </row>
    <row r="420">
      <c r="A420" s="52"/>
      <c r="B420" s="15"/>
      <c r="C420" s="16"/>
      <c r="D420" s="15"/>
      <c r="E420" s="17"/>
      <c r="F420" s="54"/>
      <c r="G420" s="19"/>
      <c r="H420" s="17"/>
      <c r="I420" s="19"/>
      <c r="J420" s="21"/>
      <c r="K420" s="57"/>
      <c r="L420" s="24"/>
      <c r="M420" s="25"/>
      <c r="N420" s="25"/>
      <c r="O420" s="25"/>
      <c r="P420" s="25"/>
    </row>
    <row r="421">
      <c r="A421" s="52"/>
      <c r="B421" s="15"/>
      <c r="C421" s="16"/>
      <c r="D421" s="15"/>
      <c r="E421" s="17"/>
      <c r="F421" s="54"/>
      <c r="G421" s="19"/>
      <c r="H421" s="17"/>
      <c r="I421" s="19"/>
      <c r="J421" s="21"/>
      <c r="K421" s="57"/>
      <c r="L421" s="24"/>
      <c r="M421" s="25"/>
      <c r="N421" s="25"/>
      <c r="O421" s="25"/>
      <c r="P421" s="25"/>
    </row>
    <row r="422">
      <c r="A422" s="52"/>
      <c r="B422" s="15"/>
      <c r="C422" s="16"/>
      <c r="D422" s="15"/>
      <c r="E422" s="17"/>
      <c r="F422" s="54"/>
      <c r="G422" s="19"/>
      <c r="H422" s="17"/>
      <c r="I422" s="19"/>
      <c r="J422" s="21"/>
      <c r="K422" s="57"/>
      <c r="L422" s="24"/>
      <c r="M422" s="25"/>
      <c r="N422" s="25"/>
      <c r="O422" s="25"/>
      <c r="P422" s="25"/>
    </row>
    <row r="423">
      <c r="A423" s="52"/>
      <c r="B423" s="15"/>
      <c r="C423" s="16"/>
      <c r="D423" s="15"/>
      <c r="E423" s="17"/>
      <c r="F423" s="54"/>
      <c r="G423" s="19"/>
      <c r="H423" s="17"/>
      <c r="I423" s="19"/>
      <c r="J423" s="21"/>
      <c r="K423" s="57"/>
      <c r="L423" s="24"/>
      <c r="M423" s="25"/>
      <c r="N423" s="25"/>
      <c r="O423" s="25"/>
      <c r="P423" s="25"/>
    </row>
    <row r="424">
      <c r="A424" s="52"/>
      <c r="B424" s="15"/>
      <c r="C424" s="16"/>
      <c r="D424" s="15"/>
      <c r="E424" s="17"/>
      <c r="F424" s="54"/>
      <c r="G424" s="19"/>
      <c r="H424" s="17"/>
      <c r="I424" s="19"/>
      <c r="J424" s="21"/>
      <c r="K424" s="57"/>
      <c r="L424" s="24"/>
      <c r="M424" s="25"/>
      <c r="N424" s="25"/>
      <c r="O424" s="25"/>
      <c r="P424" s="25"/>
    </row>
    <row r="425">
      <c r="A425" s="52"/>
      <c r="B425" s="15"/>
      <c r="C425" s="16"/>
      <c r="D425" s="15"/>
      <c r="E425" s="17"/>
      <c r="F425" s="54"/>
      <c r="G425" s="19"/>
      <c r="H425" s="17"/>
      <c r="I425" s="19"/>
      <c r="J425" s="21"/>
      <c r="K425" s="57"/>
      <c r="L425" s="24"/>
      <c r="M425" s="25"/>
      <c r="N425" s="25"/>
      <c r="O425" s="25"/>
      <c r="P425" s="25"/>
    </row>
    <row r="426">
      <c r="A426" s="52"/>
      <c r="B426" s="15"/>
      <c r="C426" s="16"/>
      <c r="D426" s="15"/>
      <c r="E426" s="17"/>
      <c r="F426" s="54"/>
      <c r="G426" s="19"/>
      <c r="H426" s="17"/>
      <c r="I426" s="19"/>
      <c r="J426" s="21"/>
      <c r="K426" s="57"/>
      <c r="L426" s="24"/>
      <c r="M426" s="25"/>
      <c r="N426" s="25"/>
      <c r="O426" s="25"/>
      <c r="P426" s="25"/>
    </row>
    <row r="427">
      <c r="A427" s="52"/>
      <c r="B427" s="15"/>
      <c r="C427" s="16"/>
      <c r="D427" s="15"/>
      <c r="E427" s="17"/>
      <c r="F427" s="54"/>
      <c r="G427" s="19"/>
      <c r="H427" s="17"/>
      <c r="I427" s="19"/>
      <c r="J427" s="21"/>
      <c r="K427" s="57"/>
      <c r="L427" s="24"/>
      <c r="M427" s="25"/>
      <c r="N427" s="25"/>
      <c r="O427" s="25"/>
      <c r="P427" s="25"/>
    </row>
    <row r="428">
      <c r="A428" s="52"/>
      <c r="B428" s="15"/>
      <c r="C428" s="16"/>
      <c r="D428" s="15"/>
      <c r="E428" s="17"/>
      <c r="F428" s="54"/>
      <c r="G428" s="19"/>
      <c r="H428" s="17"/>
      <c r="I428" s="19"/>
      <c r="J428" s="21"/>
      <c r="K428" s="57"/>
      <c r="L428" s="24"/>
      <c r="M428" s="25"/>
      <c r="N428" s="25"/>
      <c r="O428" s="25"/>
      <c r="P428" s="25"/>
    </row>
    <row r="429">
      <c r="A429" s="52"/>
      <c r="B429" s="15"/>
      <c r="C429" s="16"/>
      <c r="D429" s="15"/>
      <c r="E429" s="17"/>
      <c r="F429" s="54"/>
      <c r="G429" s="19"/>
      <c r="H429" s="17"/>
      <c r="I429" s="19"/>
      <c r="J429" s="21"/>
      <c r="K429" s="57"/>
      <c r="L429" s="24"/>
      <c r="M429" s="25"/>
      <c r="N429" s="25"/>
      <c r="O429" s="25"/>
      <c r="P429" s="25"/>
    </row>
    <row r="430">
      <c r="A430" s="52"/>
      <c r="B430" s="15"/>
      <c r="C430" s="16"/>
      <c r="D430" s="15"/>
      <c r="E430" s="17"/>
      <c r="F430" s="54"/>
      <c r="G430" s="19"/>
      <c r="H430" s="17"/>
      <c r="I430" s="19"/>
      <c r="J430" s="21"/>
      <c r="K430" s="57"/>
      <c r="L430" s="24"/>
      <c r="M430" s="25"/>
      <c r="N430" s="25"/>
      <c r="O430" s="25"/>
      <c r="P430" s="25"/>
    </row>
    <row r="431">
      <c r="A431" s="52"/>
      <c r="B431" s="15"/>
      <c r="C431" s="16"/>
      <c r="D431" s="15"/>
      <c r="E431" s="17"/>
      <c r="F431" s="54"/>
      <c r="G431" s="19"/>
      <c r="H431" s="17"/>
      <c r="I431" s="19"/>
      <c r="J431" s="21"/>
      <c r="K431" s="57"/>
      <c r="L431" s="24"/>
      <c r="M431" s="25"/>
      <c r="N431" s="25"/>
      <c r="O431" s="25"/>
      <c r="P431" s="25"/>
    </row>
    <row r="432">
      <c r="A432" s="52"/>
      <c r="B432" s="15"/>
      <c r="C432" s="16"/>
      <c r="D432" s="15"/>
      <c r="E432" s="17"/>
      <c r="F432" s="54"/>
      <c r="G432" s="19"/>
      <c r="H432" s="17"/>
      <c r="I432" s="19"/>
      <c r="J432" s="21"/>
      <c r="K432" s="57"/>
      <c r="L432" s="24"/>
      <c r="M432" s="25"/>
      <c r="N432" s="25"/>
      <c r="O432" s="25"/>
      <c r="P432" s="25"/>
    </row>
    <row r="433">
      <c r="A433" s="52"/>
      <c r="B433" s="15"/>
      <c r="C433" s="16"/>
      <c r="D433" s="15"/>
      <c r="E433" s="17"/>
      <c r="F433" s="54"/>
      <c r="G433" s="19"/>
      <c r="H433" s="17"/>
      <c r="I433" s="19"/>
      <c r="J433" s="21"/>
      <c r="K433" s="57"/>
      <c r="L433" s="24"/>
      <c r="M433" s="25"/>
      <c r="N433" s="25"/>
      <c r="O433" s="25"/>
      <c r="P433" s="25"/>
    </row>
    <row r="434">
      <c r="A434" s="52"/>
      <c r="B434" s="15"/>
      <c r="C434" s="16"/>
      <c r="D434" s="15"/>
      <c r="E434" s="17"/>
      <c r="F434" s="54"/>
      <c r="G434" s="19"/>
      <c r="H434" s="17"/>
      <c r="I434" s="19"/>
      <c r="J434" s="21"/>
      <c r="K434" s="57"/>
      <c r="L434" s="24"/>
      <c r="M434" s="25"/>
      <c r="N434" s="25"/>
      <c r="O434" s="25"/>
      <c r="P434" s="25"/>
    </row>
    <row r="435">
      <c r="A435" s="52"/>
      <c r="B435" s="15"/>
      <c r="C435" s="16"/>
      <c r="D435" s="15"/>
      <c r="E435" s="17"/>
      <c r="F435" s="54"/>
      <c r="G435" s="19"/>
      <c r="H435" s="17"/>
      <c r="I435" s="19"/>
      <c r="J435" s="21"/>
      <c r="K435" s="57"/>
      <c r="L435" s="24"/>
      <c r="M435" s="25"/>
      <c r="N435" s="25"/>
      <c r="O435" s="25"/>
      <c r="P435" s="25"/>
    </row>
    <row r="436">
      <c r="A436" s="52"/>
      <c r="B436" s="15"/>
      <c r="C436" s="16"/>
      <c r="D436" s="15"/>
      <c r="E436" s="17"/>
      <c r="F436" s="54"/>
      <c r="G436" s="19"/>
      <c r="H436" s="17"/>
      <c r="I436" s="19"/>
      <c r="J436" s="21"/>
      <c r="K436" s="57"/>
      <c r="L436" s="24"/>
      <c r="M436" s="25"/>
      <c r="N436" s="25"/>
      <c r="O436" s="25"/>
      <c r="P436" s="25"/>
    </row>
    <row r="437">
      <c r="A437" s="52"/>
      <c r="B437" s="15"/>
      <c r="C437" s="16"/>
      <c r="D437" s="15"/>
      <c r="E437" s="17"/>
      <c r="F437" s="54"/>
      <c r="G437" s="19"/>
      <c r="H437" s="17"/>
      <c r="I437" s="19"/>
      <c r="J437" s="21"/>
      <c r="K437" s="57"/>
      <c r="L437" s="24"/>
      <c r="M437" s="25"/>
      <c r="N437" s="25"/>
      <c r="O437" s="25"/>
      <c r="P437" s="25"/>
    </row>
    <row r="438">
      <c r="A438" s="52"/>
      <c r="B438" s="15"/>
      <c r="C438" s="16"/>
      <c r="D438" s="15"/>
      <c r="E438" s="17"/>
      <c r="F438" s="54"/>
      <c r="G438" s="19"/>
      <c r="H438" s="17"/>
      <c r="I438" s="19"/>
      <c r="J438" s="21"/>
      <c r="K438" s="57"/>
      <c r="L438" s="24"/>
      <c r="M438" s="25"/>
      <c r="N438" s="25"/>
      <c r="O438" s="25"/>
      <c r="P438" s="25"/>
    </row>
    <row r="439">
      <c r="A439" s="52"/>
      <c r="B439" s="15"/>
      <c r="C439" s="16"/>
      <c r="D439" s="15"/>
      <c r="E439" s="17"/>
      <c r="F439" s="54"/>
      <c r="G439" s="19"/>
      <c r="H439" s="17"/>
      <c r="I439" s="19"/>
      <c r="J439" s="21"/>
      <c r="K439" s="57"/>
      <c r="L439" s="24"/>
      <c r="M439" s="25"/>
      <c r="N439" s="25"/>
      <c r="O439" s="25"/>
      <c r="P439" s="25"/>
    </row>
    <row r="440">
      <c r="A440" s="52"/>
      <c r="B440" s="15"/>
      <c r="C440" s="16"/>
      <c r="D440" s="15"/>
      <c r="E440" s="17"/>
      <c r="F440" s="54"/>
      <c r="G440" s="19"/>
      <c r="H440" s="17"/>
      <c r="I440" s="19"/>
      <c r="J440" s="21"/>
      <c r="K440" s="57"/>
      <c r="L440" s="24"/>
      <c r="M440" s="25"/>
      <c r="N440" s="25"/>
      <c r="O440" s="25"/>
      <c r="P440" s="25"/>
    </row>
    <row r="441">
      <c r="A441" s="52"/>
      <c r="B441" s="15"/>
      <c r="C441" s="16"/>
      <c r="D441" s="15"/>
      <c r="E441" s="17"/>
      <c r="F441" s="54"/>
      <c r="G441" s="19"/>
      <c r="H441" s="17"/>
      <c r="I441" s="19"/>
      <c r="J441" s="21"/>
      <c r="K441" s="57"/>
      <c r="L441" s="24"/>
      <c r="M441" s="25"/>
      <c r="N441" s="25"/>
      <c r="O441" s="25"/>
      <c r="P441" s="25"/>
    </row>
    <row r="442">
      <c r="A442" s="52"/>
      <c r="B442" s="15"/>
      <c r="C442" s="16"/>
      <c r="D442" s="15"/>
      <c r="E442" s="17"/>
      <c r="F442" s="54"/>
      <c r="G442" s="19"/>
      <c r="H442" s="17"/>
      <c r="I442" s="19"/>
      <c r="J442" s="21"/>
      <c r="K442" s="57"/>
      <c r="L442" s="24"/>
      <c r="M442" s="25"/>
      <c r="N442" s="25"/>
      <c r="O442" s="25"/>
      <c r="P442" s="25"/>
    </row>
    <row r="443">
      <c r="A443" s="52"/>
      <c r="B443" s="15"/>
      <c r="C443" s="16"/>
      <c r="D443" s="15"/>
      <c r="E443" s="17"/>
      <c r="F443" s="54"/>
      <c r="G443" s="19"/>
      <c r="H443" s="17"/>
      <c r="I443" s="19"/>
      <c r="J443" s="21"/>
      <c r="K443" s="57"/>
      <c r="L443" s="24"/>
      <c r="M443" s="25"/>
      <c r="N443" s="25"/>
      <c r="O443" s="25"/>
      <c r="P443" s="25"/>
    </row>
    <row r="444">
      <c r="A444" s="52"/>
      <c r="B444" s="15"/>
      <c r="C444" s="16"/>
      <c r="D444" s="15"/>
      <c r="E444" s="17"/>
      <c r="F444" s="54"/>
      <c r="G444" s="19"/>
      <c r="H444" s="17"/>
      <c r="I444" s="19"/>
      <c r="J444" s="21"/>
      <c r="K444" s="57"/>
      <c r="L444" s="24"/>
      <c r="M444" s="25"/>
      <c r="N444" s="25"/>
      <c r="O444" s="25"/>
      <c r="P444" s="25"/>
    </row>
    <row r="445">
      <c r="A445" s="52"/>
      <c r="B445" s="15"/>
      <c r="C445" s="16"/>
      <c r="D445" s="15"/>
      <c r="E445" s="17"/>
      <c r="F445" s="54"/>
      <c r="G445" s="19"/>
      <c r="H445" s="17"/>
      <c r="I445" s="19"/>
      <c r="J445" s="21"/>
      <c r="K445" s="57"/>
      <c r="L445" s="24"/>
      <c r="M445" s="25"/>
      <c r="N445" s="25"/>
      <c r="O445" s="25"/>
      <c r="P445" s="25"/>
    </row>
    <row r="446">
      <c r="A446" s="52"/>
      <c r="B446" s="15"/>
      <c r="C446" s="16"/>
      <c r="D446" s="15"/>
      <c r="E446" s="17"/>
      <c r="F446" s="54"/>
      <c r="G446" s="19"/>
      <c r="H446" s="17"/>
      <c r="I446" s="19"/>
      <c r="J446" s="21"/>
      <c r="K446" s="57"/>
      <c r="L446" s="24"/>
      <c r="M446" s="25"/>
      <c r="N446" s="25"/>
      <c r="O446" s="25"/>
      <c r="P446" s="25"/>
    </row>
    <row r="447">
      <c r="A447" s="52"/>
      <c r="B447" s="15"/>
      <c r="C447" s="16"/>
      <c r="D447" s="15"/>
      <c r="E447" s="17"/>
      <c r="F447" s="54"/>
      <c r="G447" s="19"/>
      <c r="H447" s="17"/>
      <c r="I447" s="19"/>
      <c r="J447" s="21"/>
      <c r="K447" s="57"/>
      <c r="L447" s="24"/>
      <c r="M447" s="25"/>
      <c r="N447" s="25"/>
      <c r="O447" s="25"/>
      <c r="P447" s="25"/>
    </row>
    <row r="448">
      <c r="A448" s="52"/>
      <c r="B448" s="15"/>
      <c r="C448" s="16"/>
      <c r="D448" s="15"/>
      <c r="E448" s="17"/>
      <c r="F448" s="54"/>
      <c r="G448" s="19"/>
      <c r="H448" s="17"/>
      <c r="I448" s="19"/>
      <c r="J448" s="21"/>
      <c r="K448" s="57"/>
      <c r="L448" s="24"/>
      <c r="M448" s="25"/>
      <c r="N448" s="25"/>
      <c r="O448" s="25"/>
      <c r="P448" s="25"/>
    </row>
    <row r="449">
      <c r="A449" s="52"/>
      <c r="B449" s="15"/>
      <c r="C449" s="16"/>
      <c r="D449" s="15"/>
      <c r="E449" s="17"/>
      <c r="F449" s="54"/>
      <c r="G449" s="19"/>
      <c r="H449" s="17"/>
      <c r="I449" s="19"/>
      <c r="J449" s="21"/>
      <c r="K449" s="57"/>
      <c r="L449" s="24"/>
      <c r="M449" s="25"/>
      <c r="N449" s="25"/>
      <c r="O449" s="25"/>
      <c r="P449" s="25"/>
    </row>
    <row r="450">
      <c r="A450" s="52"/>
      <c r="B450" s="15"/>
      <c r="C450" s="16"/>
      <c r="D450" s="15"/>
      <c r="E450" s="17"/>
      <c r="F450" s="54"/>
      <c r="G450" s="19"/>
      <c r="H450" s="17"/>
      <c r="I450" s="19"/>
      <c r="J450" s="21"/>
      <c r="K450" s="57"/>
      <c r="L450" s="24"/>
      <c r="M450" s="25"/>
      <c r="N450" s="25"/>
      <c r="O450" s="25"/>
      <c r="P450" s="25"/>
    </row>
    <row r="451">
      <c r="A451" s="52"/>
      <c r="B451" s="15"/>
      <c r="C451" s="16"/>
      <c r="D451" s="15"/>
      <c r="E451" s="17"/>
      <c r="F451" s="54"/>
      <c r="G451" s="19"/>
      <c r="H451" s="17"/>
      <c r="I451" s="19"/>
      <c r="J451" s="21"/>
      <c r="K451" s="57"/>
      <c r="L451" s="24"/>
      <c r="M451" s="25"/>
      <c r="N451" s="25"/>
      <c r="O451" s="25"/>
      <c r="P451" s="25"/>
    </row>
    <row r="452">
      <c r="A452" s="52"/>
      <c r="B452" s="15"/>
      <c r="C452" s="16"/>
      <c r="D452" s="15"/>
      <c r="E452" s="17"/>
      <c r="F452" s="54"/>
      <c r="G452" s="19"/>
      <c r="H452" s="17"/>
      <c r="I452" s="19"/>
      <c r="J452" s="21"/>
      <c r="K452" s="57"/>
      <c r="L452" s="24"/>
      <c r="M452" s="25"/>
      <c r="N452" s="25"/>
      <c r="O452" s="25"/>
      <c r="P452" s="25"/>
    </row>
    <row r="453">
      <c r="A453" s="52"/>
      <c r="B453" s="15"/>
      <c r="C453" s="16"/>
      <c r="D453" s="15"/>
      <c r="E453" s="17"/>
      <c r="F453" s="54"/>
      <c r="G453" s="19"/>
      <c r="H453" s="17"/>
      <c r="I453" s="19"/>
      <c r="J453" s="21"/>
      <c r="K453" s="57"/>
      <c r="L453" s="24"/>
      <c r="M453" s="25"/>
      <c r="N453" s="25"/>
      <c r="O453" s="25"/>
      <c r="P453" s="25"/>
    </row>
    <row r="454">
      <c r="A454" s="52"/>
      <c r="B454" s="15"/>
      <c r="C454" s="16"/>
      <c r="D454" s="15"/>
      <c r="E454" s="17"/>
      <c r="F454" s="54"/>
      <c r="G454" s="19"/>
      <c r="H454" s="17"/>
      <c r="I454" s="19"/>
      <c r="J454" s="21"/>
      <c r="K454" s="57"/>
      <c r="L454" s="24"/>
      <c r="M454" s="25"/>
      <c r="N454" s="25"/>
      <c r="O454" s="25"/>
      <c r="P454" s="25"/>
    </row>
    <row r="455">
      <c r="A455" s="52"/>
      <c r="B455" s="15"/>
      <c r="C455" s="16"/>
      <c r="D455" s="15"/>
      <c r="E455" s="17"/>
      <c r="F455" s="54"/>
      <c r="G455" s="19"/>
      <c r="H455" s="17"/>
      <c r="I455" s="19"/>
      <c r="J455" s="21"/>
      <c r="K455" s="57"/>
      <c r="L455" s="24"/>
      <c r="M455" s="25"/>
      <c r="N455" s="25"/>
      <c r="O455" s="25"/>
      <c r="P455" s="25"/>
    </row>
    <row r="456">
      <c r="A456" s="52"/>
      <c r="B456" s="15"/>
      <c r="C456" s="16"/>
      <c r="D456" s="15"/>
      <c r="E456" s="17"/>
      <c r="F456" s="54"/>
      <c r="G456" s="19"/>
      <c r="H456" s="17"/>
      <c r="I456" s="19"/>
      <c r="J456" s="21"/>
      <c r="K456" s="57"/>
      <c r="L456" s="24"/>
      <c r="M456" s="25"/>
      <c r="N456" s="25"/>
      <c r="O456" s="25"/>
      <c r="P456" s="25"/>
    </row>
    <row r="457">
      <c r="A457" s="52"/>
      <c r="B457" s="15"/>
      <c r="C457" s="16"/>
      <c r="D457" s="15"/>
      <c r="E457" s="17"/>
      <c r="F457" s="54"/>
      <c r="G457" s="19"/>
      <c r="H457" s="17"/>
      <c r="I457" s="19"/>
      <c r="J457" s="21"/>
      <c r="K457" s="57"/>
      <c r="L457" s="24"/>
      <c r="M457" s="25"/>
      <c r="N457" s="25"/>
      <c r="O457" s="25"/>
      <c r="P457" s="25"/>
    </row>
    <row r="458">
      <c r="A458" s="52"/>
      <c r="B458" s="15"/>
      <c r="C458" s="16"/>
      <c r="D458" s="15"/>
      <c r="E458" s="17"/>
      <c r="F458" s="54"/>
      <c r="G458" s="19"/>
      <c r="H458" s="17"/>
      <c r="I458" s="19"/>
      <c r="J458" s="21"/>
      <c r="K458" s="57"/>
      <c r="L458" s="24"/>
      <c r="M458" s="25"/>
      <c r="N458" s="25"/>
      <c r="O458" s="25"/>
      <c r="P458" s="25"/>
    </row>
    <row r="459">
      <c r="A459" s="52"/>
      <c r="B459" s="15"/>
      <c r="C459" s="16"/>
      <c r="D459" s="15"/>
      <c r="E459" s="17"/>
      <c r="F459" s="54"/>
      <c r="G459" s="19"/>
      <c r="H459" s="17"/>
      <c r="I459" s="19"/>
      <c r="J459" s="21"/>
      <c r="K459" s="57"/>
      <c r="L459" s="24"/>
      <c r="M459" s="25"/>
      <c r="N459" s="25"/>
      <c r="O459" s="25"/>
      <c r="P459" s="25"/>
    </row>
    <row r="460">
      <c r="A460" s="52"/>
      <c r="B460" s="15"/>
      <c r="C460" s="16"/>
      <c r="D460" s="15"/>
      <c r="E460" s="17"/>
      <c r="F460" s="54"/>
      <c r="G460" s="19"/>
      <c r="H460" s="17"/>
      <c r="I460" s="19"/>
      <c r="J460" s="21"/>
      <c r="K460" s="57"/>
      <c r="L460" s="24"/>
      <c r="M460" s="25"/>
      <c r="N460" s="25"/>
      <c r="O460" s="25"/>
      <c r="P460" s="25"/>
    </row>
    <row r="461">
      <c r="A461" s="52"/>
      <c r="B461" s="15"/>
      <c r="C461" s="16"/>
      <c r="D461" s="15"/>
      <c r="E461" s="17"/>
      <c r="F461" s="54"/>
      <c r="G461" s="19"/>
      <c r="H461" s="17"/>
      <c r="I461" s="19"/>
      <c r="J461" s="21"/>
      <c r="K461" s="57"/>
      <c r="L461" s="24"/>
      <c r="M461" s="25"/>
      <c r="N461" s="25"/>
      <c r="O461" s="25"/>
      <c r="P461" s="25"/>
    </row>
    <row r="462">
      <c r="A462" s="52"/>
      <c r="B462" s="15"/>
      <c r="C462" s="16"/>
      <c r="D462" s="15"/>
      <c r="E462" s="17"/>
      <c r="F462" s="54"/>
      <c r="G462" s="19"/>
      <c r="H462" s="17"/>
      <c r="I462" s="19"/>
      <c r="J462" s="21"/>
      <c r="K462" s="57"/>
      <c r="L462" s="24"/>
      <c r="M462" s="25"/>
      <c r="N462" s="25"/>
      <c r="O462" s="25"/>
      <c r="P462" s="25"/>
    </row>
    <row r="463">
      <c r="A463" s="52"/>
      <c r="B463" s="15"/>
      <c r="C463" s="16"/>
      <c r="D463" s="15"/>
      <c r="E463" s="17"/>
      <c r="F463" s="54"/>
      <c r="G463" s="19"/>
      <c r="H463" s="17"/>
      <c r="I463" s="19"/>
      <c r="J463" s="21"/>
      <c r="K463" s="57"/>
      <c r="L463" s="24"/>
      <c r="M463" s="25"/>
      <c r="N463" s="25"/>
      <c r="O463" s="25"/>
      <c r="P463" s="25"/>
    </row>
    <row r="464">
      <c r="A464" s="52"/>
      <c r="B464" s="15"/>
      <c r="C464" s="16"/>
      <c r="D464" s="15"/>
      <c r="E464" s="17"/>
      <c r="F464" s="54"/>
      <c r="G464" s="19"/>
      <c r="H464" s="17"/>
      <c r="I464" s="19"/>
      <c r="J464" s="21"/>
      <c r="K464" s="57"/>
      <c r="L464" s="24"/>
      <c r="M464" s="25"/>
      <c r="N464" s="25"/>
      <c r="O464" s="25"/>
      <c r="P464" s="25"/>
    </row>
    <row r="465">
      <c r="A465" s="52"/>
      <c r="B465" s="15"/>
      <c r="C465" s="16"/>
      <c r="D465" s="15"/>
      <c r="E465" s="17"/>
      <c r="F465" s="54"/>
      <c r="G465" s="19"/>
      <c r="H465" s="17"/>
      <c r="I465" s="19"/>
      <c r="J465" s="21"/>
      <c r="K465" s="57"/>
      <c r="L465" s="24"/>
      <c r="M465" s="25"/>
      <c r="N465" s="25"/>
      <c r="O465" s="25"/>
      <c r="P465" s="25"/>
    </row>
    <row r="466">
      <c r="A466" s="52"/>
      <c r="B466" s="15"/>
      <c r="C466" s="16"/>
      <c r="D466" s="15"/>
      <c r="E466" s="17"/>
      <c r="F466" s="54"/>
      <c r="G466" s="19"/>
      <c r="H466" s="17"/>
      <c r="I466" s="19"/>
      <c r="J466" s="21"/>
      <c r="K466" s="57"/>
      <c r="L466" s="24"/>
      <c r="M466" s="25"/>
      <c r="N466" s="25"/>
      <c r="O466" s="25"/>
      <c r="P466" s="25"/>
    </row>
    <row r="467">
      <c r="A467" s="52"/>
      <c r="B467" s="15"/>
      <c r="C467" s="16"/>
      <c r="D467" s="15"/>
      <c r="E467" s="17"/>
      <c r="F467" s="54"/>
      <c r="G467" s="19"/>
      <c r="H467" s="17"/>
      <c r="I467" s="19"/>
      <c r="J467" s="21"/>
      <c r="K467" s="57"/>
      <c r="L467" s="24"/>
      <c r="M467" s="25"/>
      <c r="N467" s="25"/>
      <c r="O467" s="25"/>
      <c r="P467" s="25"/>
    </row>
    <row r="468">
      <c r="A468" s="52"/>
      <c r="B468" s="15"/>
      <c r="C468" s="16"/>
      <c r="D468" s="15"/>
      <c r="E468" s="17"/>
      <c r="F468" s="54"/>
      <c r="G468" s="19"/>
      <c r="H468" s="17"/>
      <c r="I468" s="19"/>
      <c r="J468" s="21"/>
      <c r="K468" s="57"/>
      <c r="L468" s="24"/>
      <c r="M468" s="25"/>
      <c r="N468" s="25"/>
      <c r="O468" s="25"/>
      <c r="P468" s="25"/>
    </row>
    <row r="469">
      <c r="A469" s="52"/>
      <c r="B469" s="15"/>
      <c r="C469" s="16"/>
      <c r="D469" s="15"/>
      <c r="E469" s="17"/>
      <c r="F469" s="54"/>
      <c r="G469" s="19"/>
      <c r="H469" s="17"/>
      <c r="I469" s="19"/>
      <c r="J469" s="21"/>
      <c r="K469" s="57"/>
      <c r="L469" s="24"/>
      <c r="M469" s="25"/>
      <c r="N469" s="25"/>
      <c r="O469" s="25"/>
      <c r="P469" s="25"/>
    </row>
    <row r="470">
      <c r="A470" s="52"/>
      <c r="B470" s="15"/>
      <c r="C470" s="16"/>
      <c r="D470" s="15"/>
      <c r="E470" s="17"/>
      <c r="F470" s="54"/>
      <c r="G470" s="19"/>
      <c r="H470" s="17"/>
      <c r="I470" s="19"/>
      <c r="J470" s="21"/>
      <c r="K470" s="57"/>
      <c r="L470" s="24"/>
      <c r="M470" s="25"/>
      <c r="N470" s="25"/>
      <c r="O470" s="25"/>
      <c r="P470" s="25"/>
    </row>
    <row r="471">
      <c r="A471" s="52"/>
      <c r="B471" s="15"/>
      <c r="C471" s="16"/>
      <c r="D471" s="15"/>
      <c r="E471" s="17"/>
      <c r="F471" s="54"/>
      <c r="G471" s="19"/>
      <c r="H471" s="17"/>
      <c r="I471" s="19"/>
      <c r="J471" s="21"/>
      <c r="K471" s="57"/>
      <c r="L471" s="24"/>
      <c r="M471" s="25"/>
      <c r="N471" s="25"/>
      <c r="O471" s="25"/>
      <c r="P471" s="25"/>
    </row>
    <row r="472">
      <c r="A472" s="52"/>
      <c r="B472" s="15"/>
      <c r="C472" s="16"/>
      <c r="D472" s="15"/>
      <c r="E472" s="17"/>
      <c r="F472" s="54"/>
      <c r="G472" s="19"/>
      <c r="H472" s="17"/>
      <c r="I472" s="19"/>
      <c r="J472" s="21"/>
      <c r="K472" s="57"/>
      <c r="L472" s="24"/>
      <c r="M472" s="25"/>
      <c r="N472" s="25"/>
      <c r="O472" s="25"/>
      <c r="P472" s="25"/>
    </row>
    <row r="473">
      <c r="A473" s="52"/>
      <c r="B473" s="15"/>
      <c r="C473" s="16"/>
      <c r="D473" s="15"/>
      <c r="E473" s="17"/>
      <c r="F473" s="54"/>
      <c r="G473" s="19"/>
      <c r="H473" s="17"/>
      <c r="I473" s="19"/>
      <c r="J473" s="21"/>
      <c r="K473" s="57"/>
      <c r="L473" s="24"/>
      <c r="M473" s="25"/>
      <c r="N473" s="25"/>
      <c r="O473" s="25"/>
      <c r="P473" s="25"/>
    </row>
    <row r="474">
      <c r="A474" s="52"/>
      <c r="B474" s="15"/>
      <c r="C474" s="16"/>
      <c r="D474" s="15"/>
      <c r="E474" s="17"/>
      <c r="F474" s="54"/>
      <c r="G474" s="19"/>
      <c r="H474" s="17"/>
      <c r="I474" s="19"/>
      <c r="J474" s="21"/>
      <c r="K474" s="57"/>
      <c r="L474" s="24"/>
      <c r="M474" s="25"/>
      <c r="N474" s="25"/>
      <c r="O474" s="25"/>
      <c r="P474" s="25"/>
    </row>
    <row r="475">
      <c r="A475" s="52"/>
      <c r="B475" s="15"/>
      <c r="C475" s="16"/>
      <c r="D475" s="15"/>
      <c r="E475" s="17"/>
      <c r="F475" s="54"/>
      <c r="G475" s="19"/>
      <c r="H475" s="17"/>
      <c r="I475" s="19"/>
      <c r="J475" s="21"/>
      <c r="K475" s="57"/>
      <c r="L475" s="24"/>
      <c r="M475" s="25"/>
      <c r="N475" s="25"/>
      <c r="O475" s="25"/>
      <c r="P475" s="25"/>
    </row>
    <row r="476">
      <c r="A476" s="52"/>
      <c r="B476" s="15"/>
      <c r="C476" s="16"/>
      <c r="D476" s="15"/>
      <c r="E476" s="17"/>
      <c r="F476" s="54"/>
      <c r="G476" s="19"/>
      <c r="H476" s="17"/>
      <c r="I476" s="19"/>
      <c r="J476" s="21"/>
      <c r="K476" s="57"/>
      <c r="L476" s="24"/>
      <c r="M476" s="25"/>
      <c r="N476" s="25"/>
      <c r="O476" s="25"/>
      <c r="P476" s="25"/>
    </row>
    <row r="477">
      <c r="A477" s="52"/>
      <c r="B477" s="15"/>
      <c r="C477" s="16"/>
      <c r="D477" s="15"/>
      <c r="E477" s="17"/>
      <c r="F477" s="54"/>
      <c r="G477" s="19"/>
      <c r="H477" s="17"/>
      <c r="I477" s="19"/>
      <c r="J477" s="21"/>
      <c r="K477" s="57"/>
      <c r="L477" s="24"/>
      <c r="M477" s="25"/>
      <c r="N477" s="25"/>
      <c r="O477" s="25"/>
      <c r="P477" s="25"/>
    </row>
    <row r="478">
      <c r="A478" s="52"/>
      <c r="B478" s="15"/>
      <c r="C478" s="16"/>
      <c r="D478" s="15"/>
      <c r="E478" s="17"/>
      <c r="F478" s="54"/>
      <c r="G478" s="19"/>
      <c r="H478" s="17"/>
      <c r="I478" s="19"/>
      <c r="J478" s="21"/>
      <c r="K478" s="57"/>
      <c r="L478" s="24"/>
      <c r="M478" s="25"/>
      <c r="N478" s="25"/>
      <c r="O478" s="25"/>
      <c r="P478" s="25"/>
    </row>
    <row r="479">
      <c r="A479" s="52"/>
      <c r="B479" s="15"/>
      <c r="C479" s="16"/>
      <c r="D479" s="15"/>
      <c r="E479" s="17"/>
      <c r="F479" s="54"/>
      <c r="G479" s="19"/>
      <c r="H479" s="17"/>
      <c r="I479" s="19"/>
      <c r="J479" s="21"/>
      <c r="K479" s="57"/>
      <c r="L479" s="24"/>
      <c r="M479" s="25"/>
      <c r="N479" s="25"/>
      <c r="O479" s="25"/>
      <c r="P479" s="25"/>
    </row>
    <row r="480">
      <c r="A480" s="52"/>
      <c r="B480" s="15"/>
      <c r="C480" s="16"/>
      <c r="D480" s="15"/>
      <c r="E480" s="17"/>
      <c r="F480" s="54"/>
      <c r="G480" s="19"/>
      <c r="H480" s="17"/>
      <c r="I480" s="19"/>
      <c r="J480" s="21"/>
      <c r="K480" s="57"/>
      <c r="L480" s="24"/>
      <c r="M480" s="25"/>
      <c r="N480" s="25"/>
      <c r="O480" s="25"/>
      <c r="P480" s="25"/>
    </row>
    <row r="481">
      <c r="A481" s="52"/>
      <c r="B481" s="15"/>
      <c r="C481" s="16"/>
      <c r="D481" s="15"/>
      <c r="E481" s="17"/>
      <c r="F481" s="54"/>
      <c r="G481" s="19"/>
      <c r="H481" s="17"/>
      <c r="I481" s="19"/>
      <c r="J481" s="21"/>
      <c r="K481" s="57"/>
      <c r="L481" s="24"/>
      <c r="M481" s="25"/>
      <c r="N481" s="25"/>
      <c r="O481" s="25"/>
      <c r="P481" s="25"/>
    </row>
    <row r="482">
      <c r="A482" s="52"/>
      <c r="B482" s="15"/>
      <c r="C482" s="16"/>
      <c r="D482" s="15"/>
      <c r="E482" s="17"/>
      <c r="F482" s="54"/>
      <c r="G482" s="19"/>
      <c r="H482" s="17"/>
      <c r="I482" s="19"/>
      <c r="J482" s="21"/>
      <c r="K482" s="57"/>
      <c r="L482" s="24"/>
      <c r="M482" s="25"/>
      <c r="N482" s="25"/>
      <c r="O482" s="25"/>
      <c r="P482" s="25"/>
    </row>
    <row r="483">
      <c r="A483" s="52"/>
      <c r="B483" s="15"/>
      <c r="C483" s="16"/>
      <c r="D483" s="15"/>
      <c r="E483" s="17"/>
      <c r="F483" s="54"/>
      <c r="G483" s="19"/>
      <c r="H483" s="17"/>
      <c r="I483" s="19"/>
      <c r="J483" s="21"/>
      <c r="K483" s="57"/>
      <c r="L483" s="24"/>
      <c r="M483" s="25"/>
      <c r="N483" s="25"/>
      <c r="O483" s="25"/>
      <c r="P483" s="25"/>
    </row>
    <row r="484">
      <c r="A484" s="52"/>
      <c r="B484" s="15"/>
      <c r="C484" s="16"/>
      <c r="D484" s="15"/>
      <c r="E484" s="17"/>
      <c r="F484" s="54"/>
      <c r="G484" s="19"/>
      <c r="H484" s="17"/>
      <c r="I484" s="19"/>
      <c r="J484" s="21"/>
      <c r="K484" s="57"/>
      <c r="L484" s="24"/>
      <c r="M484" s="25"/>
      <c r="N484" s="25"/>
      <c r="O484" s="25"/>
      <c r="P484" s="25"/>
    </row>
    <row r="485">
      <c r="A485" s="52"/>
      <c r="B485" s="15"/>
      <c r="C485" s="16"/>
      <c r="D485" s="15"/>
      <c r="E485" s="17"/>
      <c r="F485" s="54"/>
      <c r="G485" s="19"/>
      <c r="H485" s="17"/>
      <c r="I485" s="19"/>
      <c r="J485" s="21"/>
      <c r="K485" s="57"/>
      <c r="L485" s="24"/>
      <c r="M485" s="25"/>
      <c r="N485" s="25"/>
      <c r="O485" s="25"/>
      <c r="P485" s="25"/>
    </row>
    <row r="486">
      <c r="A486" s="52"/>
      <c r="B486" s="15"/>
      <c r="C486" s="16"/>
      <c r="D486" s="15"/>
      <c r="E486" s="17"/>
      <c r="F486" s="54"/>
      <c r="G486" s="19"/>
      <c r="H486" s="17"/>
      <c r="I486" s="19"/>
      <c r="J486" s="21"/>
      <c r="K486" s="57"/>
      <c r="L486" s="24"/>
      <c r="M486" s="25"/>
      <c r="N486" s="25"/>
      <c r="O486" s="25"/>
      <c r="P486" s="25"/>
    </row>
    <row r="487">
      <c r="A487" s="52"/>
      <c r="B487" s="15"/>
      <c r="C487" s="16"/>
      <c r="D487" s="15"/>
      <c r="E487" s="17"/>
      <c r="F487" s="54"/>
      <c r="G487" s="19"/>
      <c r="H487" s="17"/>
      <c r="I487" s="19"/>
      <c r="J487" s="21"/>
      <c r="K487" s="57"/>
      <c r="L487" s="24"/>
      <c r="M487" s="25"/>
      <c r="N487" s="25"/>
      <c r="O487" s="25"/>
      <c r="P487" s="25"/>
    </row>
    <row r="488">
      <c r="A488" s="52"/>
      <c r="B488" s="15"/>
      <c r="C488" s="16"/>
      <c r="D488" s="15"/>
      <c r="E488" s="17"/>
      <c r="F488" s="54"/>
      <c r="G488" s="19"/>
      <c r="H488" s="17"/>
      <c r="I488" s="19"/>
      <c r="J488" s="21"/>
      <c r="K488" s="57"/>
      <c r="L488" s="24"/>
      <c r="M488" s="25"/>
      <c r="N488" s="25"/>
      <c r="O488" s="25"/>
      <c r="P488" s="25"/>
    </row>
    <row r="489">
      <c r="A489" s="52"/>
      <c r="B489" s="15"/>
      <c r="C489" s="16"/>
      <c r="D489" s="15"/>
      <c r="E489" s="17"/>
      <c r="F489" s="54"/>
      <c r="G489" s="19"/>
      <c r="H489" s="17"/>
      <c r="I489" s="19"/>
      <c r="J489" s="21"/>
      <c r="K489" s="57"/>
      <c r="L489" s="24"/>
      <c r="M489" s="25"/>
      <c r="N489" s="25"/>
      <c r="O489" s="25"/>
      <c r="P489" s="25"/>
    </row>
    <row r="490">
      <c r="A490" s="52"/>
      <c r="B490" s="15"/>
      <c r="C490" s="16"/>
      <c r="D490" s="15"/>
      <c r="E490" s="17"/>
      <c r="F490" s="54"/>
      <c r="G490" s="19"/>
      <c r="H490" s="17"/>
      <c r="I490" s="19"/>
      <c r="J490" s="21"/>
      <c r="K490" s="57"/>
      <c r="L490" s="24"/>
      <c r="M490" s="25"/>
      <c r="N490" s="25"/>
      <c r="O490" s="25"/>
      <c r="P490" s="25"/>
    </row>
    <row r="491">
      <c r="A491" s="52"/>
      <c r="B491" s="15"/>
      <c r="C491" s="16"/>
      <c r="D491" s="15"/>
      <c r="E491" s="17"/>
      <c r="F491" s="54"/>
      <c r="G491" s="19"/>
      <c r="H491" s="17"/>
      <c r="I491" s="19"/>
      <c r="J491" s="21"/>
      <c r="K491" s="57"/>
      <c r="L491" s="24"/>
      <c r="M491" s="25"/>
      <c r="N491" s="25"/>
      <c r="O491" s="25"/>
      <c r="P491" s="25"/>
    </row>
    <row r="492">
      <c r="A492" s="52"/>
      <c r="B492" s="15"/>
      <c r="C492" s="16"/>
      <c r="D492" s="15"/>
      <c r="E492" s="17"/>
      <c r="F492" s="54"/>
      <c r="G492" s="19"/>
      <c r="H492" s="17"/>
      <c r="I492" s="19"/>
      <c r="J492" s="21"/>
      <c r="K492" s="57"/>
      <c r="L492" s="24"/>
      <c r="M492" s="25"/>
      <c r="N492" s="25"/>
      <c r="O492" s="25"/>
      <c r="P492" s="25"/>
    </row>
    <row r="493">
      <c r="A493" s="52"/>
      <c r="B493" s="15"/>
      <c r="C493" s="16"/>
      <c r="D493" s="15"/>
      <c r="E493" s="17"/>
      <c r="F493" s="54"/>
      <c r="G493" s="19"/>
      <c r="H493" s="17"/>
      <c r="I493" s="19"/>
      <c r="J493" s="21"/>
      <c r="K493" s="57"/>
      <c r="L493" s="24"/>
      <c r="M493" s="25"/>
      <c r="N493" s="25"/>
      <c r="O493" s="25"/>
      <c r="P493" s="25"/>
    </row>
    <row r="494">
      <c r="A494" s="52"/>
      <c r="B494" s="15"/>
      <c r="C494" s="16"/>
      <c r="D494" s="15"/>
      <c r="E494" s="17"/>
      <c r="F494" s="54"/>
      <c r="G494" s="19"/>
      <c r="H494" s="17"/>
      <c r="I494" s="19"/>
      <c r="J494" s="21"/>
      <c r="K494" s="57"/>
      <c r="L494" s="24"/>
      <c r="M494" s="25"/>
      <c r="N494" s="25"/>
      <c r="O494" s="25"/>
      <c r="P494" s="25"/>
    </row>
    <row r="495">
      <c r="A495" s="52"/>
      <c r="B495" s="15"/>
      <c r="C495" s="16"/>
      <c r="D495" s="15"/>
      <c r="E495" s="17"/>
      <c r="F495" s="54"/>
      <c r="G495" s="19"/>
      <c r="H495" s="17"/>
      <c r="I495" s="19"/>
      <c r="J495" s="21"/>
      <c r="K495" s="57"/>
      <c r="L495" s="24"/>
      <c r="M495" s="25"/>
      <c r="N495" s="25"/>
      <c r="O495" s="25"/>
      <c r="P495" s="25"/>
    </row>
    <row r="496">
      <c r="A496" s="52"/>
      <c r="B496" s="15"/>
      <c r="C496" s="16"/>
      <c r="D496" s="15"/>
      <c r="E496" s="17"/>
      <c r="F496" s="54"/>
      <c r="G496" s="19"/>
      <c r="H496" s="17"/>
      <c r="I496" s="19"/>
      <c r="J496" s="21"/>
      <c r="K496" s="57"/>
      <c r="L496" s="24"/>
      <c r="M496" s="25"/>
      <c r="N496" s="25"/>
      <c r="O496" s="25"/>
      <c r="P496" s="25"/>
    </row>
    <row r="497">
      <c r="A497" s="52"/>
      <c r="B497" s="15"/>
      <c r="C497" s="16"/>
      <c r="D497" s="15"/>
      <c r="E497" s="17"/>
      <c r="F497" s="54"/>
      <c r="G497" s="19"/>
      <c r="H497" s="17"/>
      <c r="I497" s="19"/>
      <c r="J497" s="21"/>
      <c r="K497" s="57"/>
      <c r="L497" s="24"/>
      <c r="M497" s="25"/>
      <c r="N497" s="25"/>
      <c r="O497" s="25"/>
      <c r="P497" s="25"/>
    </row>
    <row r="498">
      <c r="A498" s="52"/>
      <c r="B498" s="15"/>
      <c r="C498" s="16"/>
      <c r="D498" s="15"/>
      <c r="E498" s="17"/>
      <c r="F498" s="54"/>
      <c r="G498" s="19"/>
      <c r="H498" s="17"/>
      <c r="I498" s="19"/>
      <c r="J498" s="21"/>
      <c r="K498" s="57"/>
      <c r="L498" s="24"/>
      <c r="M498" s="25"/>
      <c r="N498" s="25"/>
      <c r="O498" s="25"/>
      <c r="P498" s="25"/>
    </row>
    <row r="499">
      <c r="A499" s="52"/>
      <c r="B499" s="15"/>
      <c r="C499" s="16"/>
      <c r="D499" s="15"/>
      <c r="E499" s="17"/>
      <c r="F499" s="54"/>
      <c r="G499" s="19"/>
      <c r="H499" s="17"/>
      <c r="I499" s="19"/>
      <c r="J499" s="21"/>
      <c r="K499" s="57"/>
      <c r="L499" s="24"/>
      <c r="M499" s="25"/>
      <c r="N499" s="25"/>
      <c r="O499" s="25"/>
      <c r="P499" s="25"/>
    </row>
    <row r="500">
      <c r="A500" s="52"/>
      <c r="B500" s="15"/>
      <c r="C500" s="16"/>
      <c r="D500" s="15"/>
      <c r="E500" s="17"/>
      <c r="F500" s="54"/>
      <c r="G500" s="19"/>
      <c r="H500" s="17"/>
      <c r="I500" s="19"/>
      <c r="J500" s="21"/>
      <c r="K500" s="57"/>
      <c r="L500" s="24"/>
      <c r="M500" s="25"/>
      <c r="N500" s="25"/>
      <c r="O500" s="25"/>
      <c r="P500" s="25"/>
    </row>
    <row r="501">
      <c r="A501" s="52"/>
      <c r="B501" s="15"/>
      <c r="C501" s="16"/>
      <c r="D501" s="15"/>
      <c r="E501" s="17"/>
      <c r="F501" s="54"/>
      <c r="G501" s="19"/>
      <c r="H501" s="17"/>
      <c r="I501" s="19"/>
      <c r="J501" s="21"/>
      <c r="K501" s="57"/>
      <c r="L501" s="24"/>
      <c r="M501" s="25"/>
      <c r="N501" s="25"/>
      <c r="O501" s="25"/>
      <c r="P501" s="25"/>
    </row>
    <row r="502">
      <c r="A502" s="52"/>
      <c r="B502" s="15"/>
      <c r="C502" s="16"/>
      <c r="D502" s="15"/>
      <c r="E502" s="17"/>
      <c r="F502" s="54"/>
      <c r="G502" s="19"/>
      <c r="H502" s="17"/>
      <c r="I502" s="19"/>
      <c r="J502" s="21"/>
      <c r="K502" s="57"/>
      <c r="L502" s="24"/>
      <c r="M502" s="25"/>
      <c r="N502" s="25"/>
      <c r="O502" s="25"/>
      <c r="P502" s="25"/>
    </row>
    <row r="503">
      <c r="A503" s="52"/>
      <c r="B503" s="15"/>
      <c r="C503" s="16"/>
      <c r="D503" s="15"/>
      <c r="E503" s="17"/>
      <c r="F503" s="54"/>
      <c r="G503" s="19"/>
      <c r="H503" s="17"/>
      <c r="I503" s="19"/>
      <c r="J503" s="21"/>
      <c r="K503" s="57"/>
      <c r="L503" s="24"/>
      <c r="M503" s="25"/>
      <c r="N503" s="25"/>
      <c r="O503" s="25"/>
      <c r="P503" s="25"/>
    </row>
    <row r="504">
      <c r="A504" s="52"/>
      <c r="B504" s="15"/>
      <c r="C504" s="16"/>
      <c r="D504" s="15"/>
      <c r="E504" s="17"/>
      <c r="F504" s="54"/>
      <c r="G504" s="19"/>
      <c r="H504" s="17"/>
      <c r="I504" s="19"/>
      <c r="J504" s="21"/>
      <c r="K504" s="57"/>
      <c r="L504" s="24"/>
      <c r="M504" s="25"/>
      <c r="N504" s="25"/>
      <c r="O504" s="25"/>
      <c r="P504" s="25"/>
    </row>
    <row r="505">
      <c r="A505" s="52"/>
      <c r="B505" s="15"/>
      <c r="C505" s="16"/>
      <c r="D505" s="15"/>
      <c r="E505" s="17"/>
      <c r="F505" s="54"/>
      <c r="G505" s="19"/>
      <c r="H505" s="17"/>
      <c r="I505" s="19"/>
      <c r="J505" s="21"/>
      <c r="K505" s="57"/>
      <c r="L505" s="24"/>
      <c r="M505" s="25"/>
      <c r="N505" s="25"/>
      <c r="O505" s="25"/>
      <c r="P505" s="25"/>
    </row>
    <row r="506">
      <c r="A506" s="52"/>
      <c r="B506" s="15"/>
      <c r="C506" s="16"/>
      <c r="D506" s="15"/>
      <c r="E506" s="17"/>
      <c r="F506" s="54"/>
      <c r="G506" s="19"/>
      <c r="H506" s="17"/>
      <c r="I506" s="19"/>
      <c r="J506" s="21"/>
      <c r="K506" s="57"/>
      <c r="L506" s="24"/>
      <c r="M506" s="25"/>
      <c r="N506" s="25"/>
      <c r="O506" s="25"/>
      <c r="P506" s="25"/>
    </row>
    <row r="507">
      <c r="A507" s="52"/>
      <c r="B507" s="15"/>
      <c r="C507" s="16"/>
      <c r="D507" s="15"/>
      <c r="E507" s="17"/>
      <c r="F507" s="54"/>
      <c r="G507" s="19"/>
      <c r="H507" s="17"/>
      <c r="I507" s="19"/>
      <c r="J507" s="21"/>
      <c r="K507" s="57"/>
      <c r="L507" s="24"/>
      <c r="M507" s="25"/>
      <c r="N507" s="25"/>
      <c r="O507" s="25"/>
      <c r="P507" s="25"/>
    </row>
    <row r="508">
      <c r="A508" s="52"/>
      <c r="B508" s="15"/>
      <c r="C508" s="16"/>
      <c r="D508" s="15"/>
      <c r="E508" s="17"/>
      <c r="F508" s="54"/>
      <c r="G508" s="19"/>
      <c r="H508" s="17"/>
      <c r="I508" s="19"/>
      <c r="J508" s="21"/>
      <c r="K508" s="57"/>
      <c r="L508" s="24"/>
      <c r="M508" s="25"/>
      <c r="N508" s="25"/>
      <c r="O508" s="25"/>
      <c r="P508" s="25"/>
    </row>
    <row r="509">
      <c r="A509" s="52"/>
      <c r="B509" s="15"/>
      <c r="C509" s="16"/>
      <c r="D509" s="15"/>
      <c r="E509" s="17"/>
      <c r="F509" s="54"/>
      <c r="G509" s="19"/>
      <c r="H509" s="17"/>
      <c r="I509" s="19"/>
      <c r="J509" s="21"/>
      <c r="K509" s="57"/>
      <c r="L509" s="24"/>
      <c r="M509" s="25"/>
      <c r="N509" s="25"/>
      <c r="O509" s="25"/>
      <c r="P509" s="25"/>
    </row>
    <row r="510">
      <c r="A510" s="52"/>
      <c r="B510" s="15"/>
      <c r="C510" s="16"/>
      <c r="D510" s="15"/>
      <c r="E510" s="17"/>
      <c r="F510" s="54"/>
      <c r="G510" s="19"/>
      <c r="H510" s="17"/>
      <c r="I510" s="19"/>
      <c r="J510" s="21"/>
      <c r="K510" s="57"/>
      <c r="L510" s="24"/>
      <c r="M510" s="25"/>
      <c r="N510" s="25"/>
      <c r="O510" s="25"/>
      <c r="P510" s="25"/>
    </row>
    <row r="511">
      <c r="A511" s="52"/>
      <c r="B511" s="15"/>
      <c r="C511" s="16"/>
      <c r="D511" s="15"/>
      <c r="E511" s="17"/>
      <c r="F511" s="54"/>
      <c r="G511" s="19"/>
      <c r="H511" s="17"/>
      <c r="I511" s="19"/>
      <c r="J511" s="21"/>
      <c r="K511" s="57"/>
      <c r="L511" s="24"/>
      <c r="M511" s="25"/>
      <c r="N511" s="25"/>
      <c r="O511" s="25"/>
      <c r="P511" s="25"/>
    </row>
    <row r="512">
      <c r="A512" s="52"/>
      <c r="B512" s="15"/>
      <c r="C512" s="16"/>
      <c r="D512" s="15"/>
      <c r="E512" s="17"/>
      <c r="F512" s="54"/>
      <c r="G512" s="19"/>
      <c r="H512" s="17"/>
      <c r="I512" s="19"/>
      <c r="J512" s="21"/>
      <c r="K512" s="57"/>
      <c r="L512" s="24"/>
      <c r="M512" s="25"/>
      <c r="N512" s="25"/>
      <c r="O512" s="25"/>
      <c r="P512" s="25"/>
    </row>
    <row r="513">
      <c r="A513" s="52"/>
      <c r="B513" s="15"/>
      <c r="C513" s="16"/>
      <c r="D513" s="15"/>
      <c r="E513" s="17"/>
      <c r="F513" s="54"/>
      <c r="G513" s="19"/>
      <c r="H513" s="17"/>
      <c r="I513" s="19"/>
      <c r="J513" s="21"/>
      <c r="K513" s="57"/>
      <c r="L513" s="24"/>
      <c r="M513" s="25"/>
      <c r="N513" s="25"/>
      <c r="O513" s="25"/>
      <c r="P513" s="25"/>
    </row>
    <row r="514">
      <c r="A514" s="52"/>
      <c r="B514" s="15"/>
      <c r="C514" s="16"/>
      <c r="D514" s="15"/>
      <c r="E514" s="17"/>
      <c r="F514" s="54"/>
      <c r="G514" s="19"/>
      <c r="H514" s="17"/>
      <c r="I514" s="19"/>
      <c r="J514" s="21"/>
      <c r="K514" s="57"/>
      <c r="L514" s="24"/>
      <c r="M514" s="25"/>
      <c r="N514" s="25"/>
      <c r="O514" s="25"/>
      <c r="P514" s="25"/>
    </row>
    <row r="515">
      <c r="A515" s="52"/>
      <c r="B515" s="15"/>
      <c r="C515" s="16"/>
      <c r="D515" s="15"/>
      <c r="E515" s="17"/>
      <c r="F515" s="54"/>
      <c r="G515" s="19"/>
      <c r="H515" s="17"/>
      <c r="I515" s="19"/>
      <c r="J515" s="21"/>
      <c r="K515" s="57"/>
      <c r="L515" s="24"/>
      <c r="M515" s="25"/>
      <c r="N515" s="25"/>
      <c r="O515" s="25"/>
      <c r="P515" s="25"/>
    </row>
    <row r="516">
      <c r="A516" s="52"/>
      <c r="B516" s="15"/>
      <c r="C516" s="16"/>
      <c r="D516" s="15"/>
      <c r="E516" s="17"/>
      <c r="F516" s="54"/>
      <c r="G516" s="19"/>
      <c r="H516" s="17"/>
      <c r="I516" s="19"/>
      <c r="J516" s="21"/>
      <c r="K516" s="57"/>
      <c r="L516" s="24"/>
      <c r="M516" s="25"/>
      <c r="N516" s="25"/>
      <c r="O516" s="25"/>
      <c r="P516" s="25"/>
    </row>
    <row r="517">
      <c r="A517" s="52"/>
      <c r="B517" s="15"/>
      <c r="C517" s="16"/>
      <c r="D517" s="15"/>
      <c r="E517" s="17"/>
      <c r="F517" s="54"/>
      <c r="G517" s="19"/>
      <c r="H517" s="17"/>
      <c r="I517" s="19"/>
      <c r="J517" s="21"/>
      <c r="K517" s="57"/>
      <c r="L517" s="24"/>
      <c r="M517" s="25"/>
      <c r="N517" s="25"/>
      <c r="O517" s="25"/>
      <c r="P517" s="25"/>
    </row>
    <row r="518">
      <c r="A518" s="52"/>
      <c r="B518" s="15"/>
      <c r="C518" s="16"/>
      <c r="D518" s="15"/>
      <c r="E518" s="17"/>
      <c r="F518" s="54"/>
      <c r="G518" s="19"/>
      <c r="H518" s="17"/>
      <c r="I518" s="19"/>
      <c r="J518" s="21"/>
      <c r="K518" s="57"/>
      <c r="L518" s="24"/>
      <c r="M518" s="25"/>
      <c r="N518" s="25"/>
      <c r="O518" s="25"/>
      <c r="P518" s="25"/>
    </row>
    <row r="519">
      <c r="A519" s="52"/>
      <c r="B519" s="15"/>
      <c r="C519" s="16"/>
      <c r="D519" s="15"/>
      <c r="E519" s="17"/>
      <c r="F519" s="54"/>
      <c r="G519" s="19"/>
      <c r="H519" s="17"/>
      <c r="I519" s="19"/>
      <c r="J519" s="21"/>
      <c r="K519" s="57"/>
      <c r="L519" s="24"/>
      <c r="M519" s="25"/>
      <c r="N519" s="25"/>
      <c r="O519" s="25"/>
      <c r="P519" s="25"/>
    </row>
    <row r="520">
      <c r="A520" s="52"/>
      <c r="B520" s="15"/>
      <c r="C520" s="16"/>
      <c r="D520" s="15"/>
      <c r="E520" s="17"/>
      <c r="F520" s="54"/>
      <c r="G520" s="19"/>
      <c r="H520" s="17"/>
      <c r="I520" s="19"/>
      <c r="J520" s="21"/>
      <c r="K520" s="57"/>
      <c r="L520" s="24"/>
      <c r="M520" s="25"/>
      <c r="N520" s="25"/>
      <c r="O520" s="25"/>
      <c r="P520" s="25"/>
    </row>
    <row r="521">
      <c r="A521" s="52"/>
      <c r="B521" s="15"/>
      <c r="C521" s="16"/>
      <c r="D521" s="15"/>
      <c r="E521" s="17"/>
      <c r="F521" s="54"/>
      <c r="G521" s="19"/>
      <c r="H521" s="17"/>
      <c r="I521" s="19"/>
      <c r="J521" s="21"/>
      <c r="K521" s="57"/>
      <c r="L521" s="24"/>
      <c r="M521" s="25"/>
      <c r="N521" s="25"/>
      <c r="O521" s="25"/>
      <c r="P521" s="25"/>
    </row>
    <row r="522">
      <c r="A522" s="52"/>
      <c r="B522" s="15"/>
      <c r="C522" s="16"/>
      <c r="D522" s="15"/>
      <c r="E522" s="17"/>
      <c r="F522" s="54"/>
      <c r="G522" s="19"/>
      <c r="H522" s="17"/>
      <c r="I522" s="19"/>
      <c r="J522" s="21"/>
      <c r="K522" s="57"/>
      <c r="L522" s="24"/>
      <c r="M522" s="25"/>
      <c r="N522" s="25"/>
      <c r="O522" s="25"/>
      <c r="P522" s="25"/>
    </row>
    <row r="523">
      <c r="A523" s="52"/>
      <c r="B523" s="15"/>
      <c r="C523" s="16"/>
      <c r="D523" s="15"/>
      <c r="E523" s="17"/>
      <c r="F523" s="54"/>
      <c r="G523" s="19"/>
      <c r="H523" s="17"/>
      <c r="I523" s="19"/>
      <c r="J523" s="21"/>
      <c r="K523" s="57"/>
      <c r="L523" s="24"/>
      <c r="M523" s="25"/>
      <c r="N523" s="25"/>
      <c r="O523" s="25"/>
      <c r="P523" s="25"/>
    </row>
    <row r="524">
      <c r="A524" s="52"/>
      <c r="B524" s="15"/>
      <c r="C524" s="16"/>
      <c r="D524" s="15"/>
      <c r="E524" s="17"/>
      <c r="F524" s="54"/>
      <c r="G524" s="19"/>
      <c r="H524" s="17"/>
      <c r="I524" s="19"/>
      <c r="J524" s="21"/>
      <c r="K524" s="57"/>
      <c r="L524" s="24"/>
      <c r="M524" s="25"/>
      <c r="N524" s="25"/>
      <c r="O524" s="25"/>
      <c r="P524" s="25"/>
    </row>
    <row r="525">
      <c r="A525" s="52"/>
      <c r="B525" s="15"/>
      <c r="C525" s="16"/>
      <c r="D525" s="15"/>
      <c r="E525" s="17"/>
      <c r="F525" s="54"/>
      <c r="G525" s="19"/>
      <c r="H525" s="17"/>
      <c r="I525" s="19"/>
      <c r="J525" s="21"/>
      <c r="K525" s="57"/>
      <c r="L525" s="24"/>
      <c r="M525" s="25"/>
      <c r="N525" s="25"/>
      <c r="O525" s="25"/>
      <c r="P525" s="25"/>
    </row>
    <row r="526">
      <c r="A526" s="52"/>
      <c r="B526" s="15"/>
      <c r="C526" s="16"/>
      <c r="D526" s="15"/>
      <c r="E526" s="17"/>
      <c r="F526" s="54"/>
      <c r="G526" s="19"/>
      <c r="H526" s="17"/>
      <c r="I526" s="19"/>
      <c r="J526" s="21"/>
      <c r="K526" s="57"/>
      <c r="L526" s="24"/>
      <c r="M526" s="25"/>
      <c r="N526" s="25"/>
      <c r="O526" s="25"/>
      <c r="P526" s="25"/>
    </row>
    <row r="527">
      <c r="A527" s="52"/>
      <c r="B527" s="15"/>
      <c r="C527" s="16"/>
      <c r="D527" s="15"/>
      <c r="E527" s="17"/>
      <c r="F527" s="54"/>
      <c r="G527" s="19"/>
      <c r="H527" s="17"/>
      <c r="I527" s="19"/>
      <c r="J527" s="21"/>
      <c r="K527" s="57"/>
      <c r="L527" s="24"/>
      <c r="M527" s="25"/>
      <c r="N527" s="25"/>
      <c r="O527" s="25"/>
      <c r="P527" s="25"/>
    </row>
    <row r="528">
      <c r="A528" s="52"/>
      <c r="B528" s="15"/>
      <c r="C528" s="16"/>
      <c r="D528" s="15"/>
      <c r="E528" s="17"/>
      <c r="F528" s="54"/>
      <c r="G528" s="19"/>
      <c r="H528" s="17"/>
      <c r="I528" s="19"/>
      <c r="J528" s="21"/>
      <c r="K528" s="57"/>
      <c r="L528" s="24"/>
      <c r="M528" s="25"/>
      <c r="N528" s="25"/>
      <c r="O528" s="25"/>
      <c r="P528" s="25"/>
    </row>
    <row r="529">
      <c r="A529" s="52"/>
      <c r="B529" s="15"/>
      <c r="C529" s="16"/>
      <c r="D529" s="15"/>
      <c r="E529" s="17"/>
      <c r="F529" s="54"/>
      <c r="G529" s="19"/>
      <c r="H529" s="17"/>
      <c r="I529" s="19"/>
      <c r="J529" s="21"/>
      <c r="K529" s="57"/>
      <c r="L529" s="24"/>
      <c r="M529" s="25"/>
      <c r="N529" s="25"/>
      <c r="O529" s="25"/>
      <c r="P529" s="25"/>
    </row>
    <row r="530">
      <c r="A530" s="52"/>
      <c r="B530" s="15"/>
      <c r="C530" s="16"/>
      <c r="D530" s="15"/>
      <c r="E530" s="17"/>
      <c r="F530" s="54"/>
      <c r="G530" s="19"/>
      <c r="H530" s="17"/>
      <c r="I530" s="19"/>
      <c r="J530" s="21"/>
      <c r="K530" s="57"/>
      <c r="L530" s="24"/>
      <c r="M530" s="25"/>
      <c r="N530" s="25"/>
      <c r="O530" s="25"/>
      <c r="P530" s="25"/>
    </row>
    <row r="531">
      <c r="A531" s="52"/>
      <c r="B531" s="15"/>
      <c r="C531" s="16"/>
      <c r="D531" s="15"/>
      <c r="E531" s="17"/>
      <c r="F531" s="54"/>
      <c r="G531" s="19"/>
      <c r="H531" s="17"/>
      <c r="I531" s="19"/>
      <c r="J531" s="21"/>
      <c r="K531" s="57"/>
      <c r="L531" s="24"/>
      <c r="M531" s="25"/>
      <c r="N531" s="25"/>
      <c r="O531" s="25"/>
      <c r="P531" s="25"/>
    </row>
    <row r="532">
      <c r="A532" s="52"/>
      <c r="B532" s="15"/>
      <c r="C532" s="16"/>
      <c r="D532" s="15"/>
      <c r="E532" s="17"/>
      <c r="F532" s="54"/>
      <c r="G532" s="19"/>
      <c r="H532" s="17"/>
      <c r="I532" s="19"/>
      <c r="J532" s="21"/>
      <c r="K532" s="57"/>
      <c r="L532" s="24"/>
      <c r="M532" s="25"/>
      <c r="N532" s="25"/>
      <c r="O532" s="25"/>
      <c r="P532" s="25"/>
    </row>
    <row r="533">
      <c r="A533" s="52"/>
      <c r="B533" s="15"/>
      <c r="C533" s="16"/>
      <c r="D533" s="15"/>
      <c r="E533" s="17"/>
      <c r="F533" s="54"/>
      <c r="G533" s="19"/>
      <c r="H533" s="17"/>
      <c r="I533" s="19"/>
      <c r="J533" s="21"/>
      <c r="K533" s="57"/>
      <c r="L533" s="24"/>
      <c r="M533" s="25"/>
      <c r="N533" s="25"/>
      <c r="O533" s="25"/>
      <c r="P533" s="25"/>
    </row>
    <row r="534">
      <c r="A534" s="52"/>
      <c r="B534" s="15"/>
      <c r="C534" s="16"/>
      <c r="D534" s="15"/>
      <c r="E534" s="17"/>
      <c r="F534" s="54"/>
      <c r="G534" s="19"/>
      <c r="H534" s="17"/>
      <c r="I534" s="19"/>
      <c r="J534" s="21"/>
      <c r="K534" s="57"/>
      <c r="L534" s="24"/>
      <c r="M534" s="25"/>
      <c r="N534" s="25"/>
      <c r="O534" s="25"/>
      <c r="P534" s="25"/>
    </row>
    <row r="535">
      <c r="A535" s="52"/>
      <c r="B535" s="15"/>
      <c r="C535" s="16"/>
      <c r="D535" s="15"/>
      <c r="E535" s="17"/>
      <c r="F535" s="54"/>
      <c r="G535" s="19"/>
      <c r="H535" s="17"/>
      <c r="I535" s="19"/>
      <c r="J535" s="21"/>
      <c r="K535" s="57"/>
      <c r="L535" s="24"/>
      <c r="M535" s="25"/>
      <c r="N535" s="25"/>
      <c r="O535" s="25"/>
      <c r="P535" s="25"/>
    </row>
    <row r="536">
      <c r="A536" s="52"/>
      <c r="B536" s="15"/>
      <c r="C536" s="16"/>
      <c r="D536" s="15"/>
      <c r="E536" s="17"/>
      <c r="F536" s="54"/>
      <c r="G536" s="19"/>
      <c r="H536" s="17"/>
      <c r="I536" s="19"/>
      <c r="J536" s="21"/>
      <c r="K536" s="57"/>
      <c r="L536" s="24"/>
      <c r="M536" s="25"/>
      <c r="N536" s="25"/>
      <c r="O536" s="25"/>
      <c r="P536" s="25"/>
    </row>
    <row r="537">
      <c r="A537" s="52"/>
      <c r="B537" s="15"/>
      <c r="C537" s="16"/>
      <c r="D537" s="15"/>
      <c r="E537" s="17"/>
      <c r="F537" s="54"/>
      <c r="G537" s="19"/>
      <c r="H537" s="17"/>
      <c r="I537" s="19"/>
      <c r="J537" s="21"/>
      <c r="K537" s="57"/>
      <c r="L537" s="24"/>
      <c r="M537" s="25"/>
      <c r="N537" s="25"/>
      <c r="O537" s="25"/>
      <c r="P537" s="25"/>
    </row>
    <row r="538">
      <c r="A538" s="52"/>
      <c r="B538" s="15"/>
      <c r="C538" s="16"/>
      <c r="D538" s="15"/>
      <c r="E538" s="17"/>
      <c r="F538" s="54"/>
      <c r="G538" s="19"/>
      <c r="H538" s="17"/>
      <c r="I538" s="19"/>
      <c r="J538" s="21"/>
      <c r="K538" s="57"/>
      <c r="L538" s="24"/>
      <c r="M538" s="25"/>
      <c r="N538" s="25"/>
      <c r="O538" s="25"/>
      <c r="P538" s="25"/>
    </row>
    <row r="539">
      <c r="A539" s="52"/>
      <c r="B539" s="15"/>
      <c r="C539" s="16"/>
      <c r="D539" s="15"/>
      <c r="E539" s="17"/>
      <c r="F539" s="54"/>
      <c r="G539" s="19"/>
      <c r="H539" s="17"/>
      <c r="I539" s="19"/>
      <c r="J539" s="21"/>
      <c r="K539" s="57"/>
      <c r="L539" s="24"/>
      <c r="M539" s="25"/>
      <c r="N539" s="25"/>
      <c r="O539" s="25"/>
      <c r="P539" s="25"/>
    </row>
    <row r="540">
      <c r="A540" s="52"/>
      <c r="B540" s="15"/>
      <c r="C540" s="16"/>
      <c r="D540" s="15"/>
      <c r="E540" s="17"/>
      <c r="F540" s="54"/>
      <c r="G540" s="19"/>
      <c r="H540" s="17"/>
      <c r="I540" s="19"/>
      <c r="J540" s="21"/>
      <c r="K540" s="57"/>
      <c r="L540" s="24"/>
      <c r="M540" s="25"/>
      <c r="N540" s="25"/>
      <c r="O540" s="25"/>
      <c r="P540" s="25"/>
    </row>
    <row r="541">
      <c r="A541" s="52"/>
      <c r="B541" s="15"/>
      <c r="C541" s="16"/>
      <c r="D541" s="15"/>
      <c r="E541" s="17"/>
      <c r="F541" s="54"/>
      <c r="G541" s="19"/>
      <c r="H541" s="17"/>
      <c r="I541" s="19"/>
      <c r="J541" s="21"/>
      <c r="K541" s="57"/>
      <c r="L541" s="24"/>
      <c r="M541" s="25"/>
      <c r="N541" s="25"/>
      <c r="O541" s="25"/>
      <c r="P541" s="25"/>
    </row>
    <row r="542">
      <c r="A542" s="52"/>
      <c r="B542" s="15"/>
      <c r="C542" s="16"/>
      <c r="D542" s="15"/>
      <c r="E542" s="17"/>
      <c r="F542" s="54"/>
      <c r="G542" s="19"/>
      <c r="H542" s="17"/>
      <c r="I542" s="19"/>
      <c r="J542" s="21"/>
      <c r="K542" s="57"/>
      <c r="L542" s="24"/>
      <c r="M542" s="25"/>
      <c r="N542" s="25"/>
      <c r="O542" s="25"/>
      <c r="P542" s="25"/>
    </row>
    <row r="543">
      <c r="A543" s="52"/>
      <c r="B543" s="15"/>
      <c r="C543" s="16"/>
      <c r="D543" s="15"/>
      <c r="E543" s="17"/>
      <c r="F543" s="54"/>
      <c r="G543" s="19"/>
      <c r="H543" s="17"/>
      <c r="I543" s="19"/>
      <c r="J543" s="21"/>
      <c r="K543" s="57"/>
      <c r="L543" s="24"/>
      <c r="M543" s="25"/>
      <c r="N543" s="25"/>
      <c r="O543" s="25"/>
      <c r="P543" s="25"/>
    </row>
    <row r="544">
      <c r="A544" s="52"/>
      <c r="B544" s="15"/>
      <c r="C544" s="16"/>
      <c r="D544" s="15"/>
      <c r="E544" s="17"/>
      <c r="F544" s="54"/>
      <c r="G544" s="19"/>
      <c r="H544" s="17"/>
      <c r="I544" s="19"/>
      <c r="J544" s="21"/>
      <c r="K544" s="57"/>
      <c r="L544" s="24"/>
      <c r="M544" s="25"/>
      <c r="N544" s="25"/>
      <c r="O544" s="25"/>
      <c r="P544" s="25"/>
    </row>
    <row r="545">
      <c r="A545" s="52"/>
      <c r="B545" s="15"/>
      <c r="C545" s="16"/>
      <c r="D545" s="15"/>
      <c r="E545" s="17"/>
      <c r="F545" s="54"/>
      <c r="G545" s="19"/>
      <c r="H545" s="17"/>
      <c r="I545" s="19"/>
      <c r="J545" s="21"/>
      <c r="K545" s="57"/>
      <c r="L545" s="24"/>
      <c r="M545" s="25"/>
      <c r="N545" s="25"/>
      <c r="O545" s="25"/>
      <c r="P545" s="25"/>
    </row>
    <row r="546">
      <c r="A546" s="52"/>
      <c r="B546" s="15"/>
      <c r="C546" s="16"/>
      <c r="D546" s="15"/>
      <c r="E546" s="17"/>
      <c r="F546" s="54"/>
      <c r="G546" s="19"/>
      <c r="H546" s="17"/>
      <c r="I546" s="19"/>
      <c r="J546" s="21"/>
      <c r="K546" s="57"/>
      <c r="L546" s="24"/>
      <c r="M546" s="25"/>
      <c r="N546" s="25"/>
      <c r="O546" s="25"/>
      <c r="P546" s="25"/>
    </row>
    <row r="547">
      <c r="A547" s="52"/>
      <c r="B547" s="15"/>
      <c r="C547" s="16"/>
      <c r="D547" s="15"/>
      <c r="E547" s="17"/>
      <c r="F547" s="54"/>
      <c r="G547" s="19"/>
      <c r="H547" s="17"/>
      <c r="I547" s="19"/>
      <c r="J547" s="21"/>
      <c r="K547" s="57"/>
      <c r="L547" s="24"/>
      <c r="M547" s="25"/>
      <c r="N547" s="25"/>
      <c r="O547" s="25"/>
      <c r="P547" s="25"/>
    </row>
    <row r="548">
      <c r="A548" s="52"/>
      <c r="B548" s="15"/>
      <c r="C548" s="16"/>
      <c r="D548" s="15"/>
      <c r="E548" s="17"/>
      <c r="F548" s="54"/>
      <c r="G548" s="19"/>
      <c r="H548" s="17"/>
      <c r="I548" s="19"/>
      <c r="J548" s="21"/>
      <c r="K548" s="57"/>
      <c r="L548" s="24"/>
      <c r="M548" s="25"/>
      <c r="N548" s="25"/>
      <c r="O548" s="25"/>
      <c r="P548" s="25"/>
    </row>
    <row r="549">
      <c r="A549" s="52"/>
      <c r="B549" s="15"/>
      <c r="C549" s="16"/>
      <c r="D549" s="15"/>
      <c r="E549" s="17"/>
      <c r="F549" s="54"/>
      <c r="G549" s="19"/>
      <c r="H549" s="17"/>
      <c r="I549" s="19"/>
      <c r="J549" s="21"/>
      <c r="K549" s="57"/>
      <c r="L549" s="24"/>
      <c r="M549" s="25"/>
      <c r="N549" s="25"/>
      <c r="O549" s="25"/>
      <c r="P549" s="25"/>
    </row>
    <row r="550">
      <c r="A550" s="52"/>
      <c r="B550" s="15"/>
      <c r="C550" s="16"/>
      <c r="D550" s="15"/>
      <c r="E550" s="17"/>
      <c r="F550" s="54"/>
      <c r="G550" s="19"/>
      <c r="H550" s="17"/>
      <c r="I550" s="19"/>
      <c r="J550" s="21"/>
      <c r="K550" s="57"/>
      <c r="L550" s="24"/>
      <c r="M550" s="25"/>
      <c r="N550" s="25"/>
      <c r="O550" s="25"/>
      <c r="P550" s="25"/>
    </row>
    <row r="551">
      <c r="A551" s="52"/>
      <c r="B551" s="15"/>
      <c r="C551" s="16"/>
      <c r="D551" s="15"/>
      <c r="E551" s="17"/>
      <c r="F551" s="54"/>
      <c r="G551" s="19"/>
      <c r="H551" s="17"/>
      <c r="I551" s="19"/>
      <c r="J551" s="21"/>
      <c r="K551" s="57"/>
      <c r="L551" s="24"/>
      <c r="M551" s="25"/>
      <c r="N551" s="25"/>
      <c r="O551" s="25"/>
      <c r="P551" s="25"/>
    </row>
    <row r="552">
      <c r="A552" s="52"/>
      <c r="B552" s="15"/>
      <c r="C552" s="16"/>
      <c r="D552" s="15"/>
      <c r="E552" s="17"/>
      <c r="F552" s="54"/>
      <c r="G552" s="19"/>
      <c r="H552" s="17"/>
      <c r="I552" s="19"/>
      <c r="J552" s="21"/>
      <c r="K552" s="57"/>
      <c r="L552" s="24"/>
      <c r="M552" s="25"/>
      <c r="N552" s="25"/>
      <c r="O552" s="25"/>
      <c r="P552" s="25"/>
    </row>
    <row r="553">
      <c r="A553" s="52"/>
      <c r="B553" s="15"/>
      <c r="C553" s="16"/>
      <c r="D553" s="15"/>
      <c r="E553" s="17"/>
      <c r="F553" s="54"/>
      <c r="G553" s="19"/>
      <c r="H553" s="17"/>
      <c r="I553" s="19"/>
      <c r="J553" s="21"/>
      <c r="K553" s="57"/>
      <c r="L553" s="24"/>
      <c r="M553" s="25"/>
      <c r="N553" s="25"/>
      <c r="O553" s="25"/>
      <c r="P553" s="25"/>
    </row>
    <row r="554">
      <c r="A554" s="52"/>
      <c r="B554" s="15"/>
      <c r="C554" s="16"/>
      <c r="D554" s="15"/>
      <c r="E554" s="17"/>
      <c r="F554" s="54"/>
      <c r="G554" s="19"/>
      <c r="H554" s="17"/>
      <c r="I554" s="19"/>
      <c r="J554" s="21"/>
      <c r="K554" s="57"/>
      <c r="L554" s="24"/>
      <c r="M554" s="25"/>
      <c r="N554" s="25"/>
      <c r="O554" s="25"/>
      <c r="P554" s="25"/>
    </row>
    <row r="555">
      <c r="A555" s="52"/>
      <c r="B555" s="15"/>
      <c r="C555" s="16"/>
      <c r="D555" s="15"/>
      <c r="E555" s="17"/>
      <c r="F555" s="54"/>
      <c r="G555" s="19"/>
      <c r="H555" s="17"/>
      <c r="I555" s="19"/>
      <c r="J555" s="21"/>
      <c r="K555" s="57"/>
      <c r="L555" s="24"/>
      <c r="M555" s="25"/>
      <c r="N555" s="25"/>
      <c r="O555" s="25"/>
      <c r="P555" s="25"/>
    </row>
    <row r="556">
      <c r="A556" s="52"/>
      <c r="B556" s="15"/>
      <c r="C556" s="16"/>
      <c r="D556" s="15"/>
      <c r="E556" s="17"/>
      <c r="F556" s="54"/>
      <c r="G556" s="19"/>
      <c r="H556" s="17"/>
      <c r="I556" s="19"/>
      <c r="J556" s="21"/>
      <c r="K556" s="57"/>
      <c r="L556" s="24"/>
      <c r="M556" s="25"/>
      <c r="N556" s="25"/>
      <c r="O556" s="25"/>
      <c r="P556" s="25"/>
    </row>
    <row r="557">
      <c r="A557" s="52"/>
      <c r="B557" s="15"/>
      <c r="C557" s="16"/>
      <c r="D557" s="15"/>
      <c r="E557" s="17"/>
      <c r="F557" s="54"/>
      <c r="G557" s="19"/>
      <c r="H557" s="17"/>
      <c r="I557" s="19"/>
      <c r="J557" s="21"/>
      <c r="K557" s="57"/>
      <c r="L557" s="24"/>
      <c r="M557" s="25"/>
      <c r="N557" s="25"/>
      <c r="O557" s="25"/>
      <c r="P557" s="25"/>
    </row>
    <row r="558">
      <c r="A558" s="52"/>
      <c r="B558" s="15"/>
      <c r="C558" s="16"/>
      <c r="D558" s="15"/>
      <c r="E558" s="17"/>
      <c r="F558" s="54"/>
      <c r="G558" s="19"/>
      <c r="H558" s="17"/>
      <c r="I558" s="19"/>
      <c r="J558" s="21"/>
      <c r="K558" s="57"/>
      <c r="L558" s="24"/>
      <c r="M558" s="25"/>
      <c r="N558" s="25"/>
      <c r="O558" s="25"/>
      <c r="P558" s="25"/>
    </row>
    <row r="559">
      <c r="A559" s="52"/>
      <c r="B559" s="15"/>
      <c r="C559" s="16"/>
      <c r="D559" s="15"/>
      <c r="E559" s="17"/>
      <c r="F559" s="54"/>
      <c r="G559" s="19"/>
      <c r="H559" s="17"/>
      <c r="I559" s="19"/>
      <c r="J559" s="21"/>
      <c r="K559" s="57"/>
      <c r="L559" s="24"/>
      <c r="M559" s="25"/>
      <c r="N559" s="25"/>
      <c r="O559" s="25"/>
      <c r="P559" s="25"/>
    </row>
    <row r="560">
      <c r="A560" s="52"/>
      <c r="B560" s="15"/>
      <c r="C560" s="16"/>
      <c r="D560" s="15"/>
      <c r="E560" s="17"/>
      <c r="F560" s="54"/>
      <c r="G560" s="19"/>
      <c r="H560" s="17"/>
      <c r="I560" s="19"/>
      <c r="J560" s="21"/>
      <c r="K560" s="57"/>
      <c r="L560" s="24"/>
      <c r="M560" s="25"/>
      <c r="N560" s="25"/>
      <c r="O560" s="25"/>
      <c r="P560" s="25"/>
    </row>
    <row r="561">
      <c r="A561" s="52"/>
      <c r="B561" s="15"/>
      <c r="C561" s="16"/>
      <c r="D561" s="15"/>
      <c r="E561" s="17"/>
      <c r="F561" s="54"/>
      <c r="G561" s="19"/>
      <c r="H561" s="17"/>
      <c r="I561" s="19"/>
      <c r="J561" s="21"/>
      <c r="K561" s="57"/>
      <c r="L561" s="24"/>
      <c r="M561" s="25"/>
      <c r="N561" s="25"/>
      <c r="O561" s="25"/>
      <c r="P561" s="25"/>
    </row>
    <row r="562">
      <c r="A562" s="52"/>
      <c r="B562" s="15"/>
      <c r="C562" s="16"/>
      <c r="D562" s="15"/>
      <c r="E562" s="17"/>
      <c r="F562" s="54"/>
      <c r="G562" s="19"/>
      <c r="H562" s="17"/>
      <c r="I562" s="19"/>
      <c r="J562" s="21"/>
      <c r="K562" s="57"/>
      <c r="L562" s="24"/>
      <c r="M562" s="25"/>
      <c r="N562" s="25"/>
      <c r="O562" s="25"/>
      <c r="P562" s="25"/>
    </row>
    <row r="563">
      <c r="A563" s="52"/>
      <c r="B563" s="15"/>
      <c r="C563" s="16"/>
      <c r="D563" s="15"/>
      <c r="E563" s="17"/>
      <c r="F563" s="54"/>
      <c r="G563" s="19"/>
      <c r="H563" s="17"/>
      <c r="I563" s="19"/>
      <c r="J563" s="21"/>
      <c r="K563" s="57"/>
      <c r="L563" s="24"/>
      <c r="M563" s="25"/>
      <c r="N563" s="25"/>
      <c r="O563" s="25"/>
      <c r="P563" s="25"/>
    </row>
    <row r="564">
      <c r="A564" s="52"/>
      <c r="B564" s="15"/>
      <c r="C564" s="16"/>
      <c r="D564" s="15"/>
      <c r="E564" s="17"/>
      <c r="F564" s="54"/>
      <c r="G564" s="19"/>
      <c r="H564" s="17"/>
      <c r="I564" s="19"/>
      <c r="J564" s="21"/>
      <c r="K564" s="57"/>
      <c r="L564" s="24"/>
      <c r="M564" s="25"/>
      <c r="N564" s="25"/>
      <c r="O564" s="25"/>
      <c r="P564" s="25"/>
    </row>
    <row r="565">
      <c r="A565" s="52"/>
      <c r="B565" s="15"/>
      <c r="C565" s="16"/>
      <c r="D565" s="15"/>
      <c r="E565" s="17"/>
      <c r="F565" s="54"/>
      <c r="G565" s="19"/>
      <c r="H565" s="17"/>
      <c r="I565" s="19"/>
      <c r="J565" s="21"/>
      <c r="K565" s="57"/>
      <c r="L565" s="24"/>
      <c r="M565" s="25"/>
      <c r="N565" s="25"/>
      <c r="O565" s="25"/>
      <c r="P565" s="25"/>
    </row>
    <row r="566">
      <c r="A566" s="52"/>
      <c r="B566" s="15"/>
      <c r="C566" s="16"/>
      <c r="D566" s="15"/>
      <c r="E566" s="17"/>
      <c r="F566" s="54"/>
      <c r="G566" s="19"/>
      <c r="H566" s="17"/>
      <c r="I566" s="19"/>
      <c r="J566" s="21"/>
      <c r="K566" s="57"/>
      <c r="L566" s="24"/>
      <c r="M566" s="25"/>
      <c r="N566" s="25"/>
      <c r="O566" s="25"/>
      <c r="P566" s="25"/>
    </row>
    <row r="567">
      <c r="A567" s="52"/>
      <c r="B567" s="15"/>
      <c r="C567" s="16"/>
      <c r="D567" s="15"/>
      <c r="E567" s="17"/>
      <c r="F567" s="54"/>
      <c r="G567" s="19"/>
      <c r="H567" s="17"/>
      <c r="I567" s="19"/>
      <c r="J567" s="21"/>
      <c r="K567" s="57"/>
      <c r="L567" s="24"/>
      <c r="M567" s="25"/>
      <c r="N567" s="25"/>
      <c r="O567" s="25"/>
      <c r="P567" s="25"/>
    </row>
    <row r="568">
      <c r="A568" s="52"/>
      <c r="B568" s="15"/>
      <c r="C568" s="16"/>
      <c r="D568" s="15"/>
      <c r="E568" s="17"/>
      <c r="F568" s="54"/>
      <c r="G568" s="19"/>
      <c r="H568" s="17"/>
      <c r="I568" s="19"/>
      <c r="J568" s="21"/>
      <c r="K568" s="57"/>
      <c r="L568" s="24"/>
      <c r="M568" s="25"/>
      <c r="N568" s="25"/>
      <c r="O568" s="25"/>
      <c r="P568" s="25"/>
    </row>
    <row r="569">
      <c r="A569" s="52"/>
      <c r="B569" s="15"/>
      <c r="C569" s="16"/>
      <c r="D569" s="15"/>
      <c r="E569" s="17"/>
      <c r="F569" s="54"/>
      <c r="G569" s="19"/>
      <c r="H569" s="17"/>
      <c r="I569" s="19"/>
      <c r="J569" s="21"/>
      <c r="K569" s="57"/>
      <c r="L569" s="24"/>
      <c r="M569" s="25"/>
      <c r="N569" s="25"/>
      <c r="O569" s="25"/>
      <c r="P569" s="25"/>
    </row>
    <row r="570">
      <c r="A570" s="52"/>
      <c r="B570" s="15"/>
      <c r="C570" s="16"/>
      <c r="D570" s="15"/>
      <c r="E570" s="17"/>
      <c r="F570" s="54"/>
      <c r="G570" s="19"/>
      <c r="H570" s="17"/>
      <c r="I570" s="19"/>
      <c r="J570" s="21"/>
      <c r="K570" s="57"/>
      <c r="L570" s="24"/>
      <c r="M570" s="25"/>
      <c r="N570" s="25"/>
      <c r="O570" s="25"/>
      <c r="P570" s="25"/>
    </row>
    <row r="571">
      <c r="A571" s="52"/>
      <c r="B571" s="15"/>
      <c r="C571" s="16"/>
      <c r="D571" s="15"/>
      <c r="E571" s="17"/>
      <c r="F571" s="54"/>
      <c r="G571" s="19"/>
      <c r="H571" s="17"/>
      <c r="I571" s="19"/>
      <c r="J571" s="21"/>
      <c r="K571" s="57"/>
      <c r="L571" s="24"/>
      <c r="M571" s="25"/>
      <c r="N571" s="25"/>
      <c r="O571" s="25"/>
      <c r="P571" s="25"/>
    </row>
    <row r="572">
      <c r="A572" s="52"/>
      <c r="B572" s="15"/>
      <c r="C572" s="16"/>
      <c r="D572" s="15"/>
      <c r="E572" s="17"/>
      <c r="F572" s="54"/>
      <c r="G572" s="19"/>
      <c r="H572" s="17"/>
      <c r="I572" s="19"/>
      <c r="J572" s="21"/>
      <c r="K572" s="57"/>
      <c r="L572" s="24"/>
      <c r="M572" s="25"/>
      <c r="N572" s="25"/>
      <c r="O572" s="25"/>
      <c r="P572" s="25"/>
    </row>
    <row r="573">
      <c r="A573" s="52"/>
      <c r="B573" s="15"/>
      <c r="C573" s="16"/>
      <c r="D573" s="15"/>
      <c r="E573" s="17"/>
      <c r="F573" s="54"/>
      <c r="G573" s="19"/>
      <c r="H573" s="17"/>
      <c r="I573" s="19"/>
      <c r="J573" s="21"/>
      <c r="K573" s="57"/>
      <c r="L573" s="24"/>
      <c r="M573" s="25"/>
      <c r="N573" s="25"/>
      <c r="O573" s="25"/>
      <c r="P573" s="25"/>
    </row>
    <row r="574">
      <c r="A574" s="52"/>
      <c r="B574" s="15"/>
      <c r="C574" s="16"/>
      <c r="D574" s="15"/>
      <c r="E574" s="17"/>
      <c r="F574" s="54"/>
      <c r="G574" s="19"/>
      <c r="H574" s="17"/>
      <c r="I574" s="19"/>
      <c r="J574" s="21"/>
      <c r="K574" s="57"/>
      <c r="L574" s="24"/>
      <c r="M574" s="25"/>
      <c r="N574" s="25"/>
      <c r="O574" s="25"/>
      <c r="P574" s="25"/>
    </row>
    <row r="575">
      <c r="A575" s="52"/>
      <c r="B575" s="15"/>
      <c r="C575" s="16"/>
      <c r="D575" s="15"/>
      <c r="E575" s="17"/>
      <c r="F575" s="54"/>
      <c r="G575" s="19"/>
      <c r="H575" s="17"/>
      <c r="I575" s="19"/>
      <c r="J575" s="21"/>
      <c r="K575" s="57"/>
      <c r="L575" s="24"/>
      <c r="M575" s="25"/>
      <c r="N575" s="25"/>
      <c r="O575" s="25"/>
      <c r="P575" s="25"/>
    </row>
    <row r="576">
      <c r="A576" s="52"/>
      <c r="B576" s="15"/>
      <c r="C576" s="16"/>
      <c r="D576" s="15"/>
      <c r="E576" s="17"/>
      <c r="F576" s="54"/>
      <c r="G576" s="19"/>
      <c r="H576" s="17"/>
      <c r="I576" s="19"/>
      <c r="J576" s="21"/>
      <c r="K576" s="57"/>
      <c r="L576" s="24"/>
      <c r="M576" s="25"/>
      <c r="N576" s="25"/>
      <c r="O576" s="25"/>
      <c r="P576" s="25"/>
    </row>
    <row r="577">
      <c r="A577" s="52"/>
      <c r="B577" s="15"/>
      <c r="C577" s="16"/>
      <c r="D577" s="15"/>
      <c r="E577" s="17"/>
      <c r="F577" s="54"/>
      <c r="G577" s="19"/>
      <c r="H577" s="17"/>
      <c r="I577" s="19"/>
      <c r="J577" s="21"/>
      <c r="K577" s="57"/>
      <c r="L577" s="24"/>
      <c r="M577" s="25"/>
      <c r="N577" s="25"/>
      <c r="O577" s="25"/>
      <c r="P577" s="25"/>
    </row>
    <row r="578">
      <c r="A578" s="52"/>
      <c r="B578" s="15"/>
      <c r="C578" s="16"/>
      <c r="D578" s="15"/>
      <c r="E578" s="17"/>
      <c r="F578" s="54"/>
      <c r="G578" s="19"/>
      <c r="H578" s="17"/>
      <c r="I578" s="19"/>
      <c r="J578" s="21"/>
      <c r="K578" s="57"/>
      <c r="L578" s="24"/>
      <c r="M578" s="25"/>
      <c r="N578" s="25"/>
      <c r="O578" s="25"/>
      <c r="P578" s="25"/>
    </row>
    <row r="579">
      <c r="A579" s="52"/>
      <c r="B579" s="15"/>
      <c r="C579" s="16"/>
      <c r="D579" s="15"/>
      <c r="E579" s="17"/>
      <c r="F579" s="54"/>
      <c r="G579" s="19"/>
      <c r="H579" s="17"/>
      <c r="I579" s="19"/>
      <c r="J579" s="21"/>
      <c r="K579" s="57"/>
      <c r="L579" s="24"/>
      <c r="M579" s="25"/>
      <c r="N579" s="25"/>
      <c r="O579" s="25"/>
      <c r="P579" s="25"/>
    </row>
    <row r="580">
      <c r="A580" s="52"/>
      <c r="B580" s="15"/>
      <c r="C580" s="16"/>
      <c r="D580" s="15"/>
      <c r="E580" s="17"/>
      <c r="F580" s="54"/>
      <c r="G580" s="19"/>
      <c r="H580" s="17"/>
      <c r="I580" s="19"/>
      <c r="J580" s="21"/>
      <c r="K580" s="57"/>
      <c r="L580" s="24"/>
      <c r="M580" s="25"/>
      <c r="N580" s="25"/>
      <c r="O580" s="25"/>
      <c r="P580" s="25"/>
    </row>
    <row r="581">
      <c r="A581" s="52"/>
      <c r="B581" s="15"/>
      <c r="C581" s="16"/>
      <c r="D581" s="15"/>
      <c r="E581" s="17"/>
      <c r="F581" s="54"/>
      <c r="G581" s="19"/>
      <c r="H581" s="17"/>
      <c r="I581" s="19"/>
      <c r="J581" s="21"/>
      <c r="K581" s="57"/>
      <c r="L581" s="24"/>
      <c r="M581" s="25"/>
      <c r="N581" s="25"/>
      <c r="O581" s="25"/>
      <c r="P581" s="25"/>
    </row>
    <row r="582">
      <c r="A582" s="52"/>
      <c r="B582" s="15"/>
      <c r="C582" s="16"/>
      <c r="D582" s="15"/>
      <c r="E582" s="17"/>
      <c r="F582" s="54"/>
      <c r="G582" s="19"/>
      <c r="H582" s="17"/>
      <c r="I582" s="19"/>
      <c r="J582" s="21"/>
      <c r="K582" s="57"/>
      <c r="L582" s="24"/>
      <c r="M582" s="25"/>
      <c r="N582" s="25"/>
      <c r="O582" s="25"/>
      <c r="P582" s="25"/>
    </row>
    <row r="583">
      <c r="A583" s="52"/>
      <c r="B583" s="15"/>
      <c r="C583" s="16"/>
      <c r="D583" s="15"/>
      <c r="E583" s="17"/>
      <c r="F583" s="54"/>
      <c r="G583" s="19"/>
      <c r="H583" s="17"/>
      <c r="I583" s="19"/>
      <c r="J583" s="21"/>
      <c r="K583" s="57"/>
      <c r="L583" s="24"/>
      <c r="M583" s="25"/>
      <c r="N583" s="25"/>
      <c r="O583" s="25"/>
      <c r="P583" s="25"/>
    </row>
    <row r="584">
      <c r="A584" s="52"/>
      <c r="B584" s="15"/>
      <c r="C584" s="16"/>
      <c r="D584" s="15"/>
      <c r="E584" s="17"/>
      <c r="F584" s="54"/>
      <c r="G584" s="19"/>
      <c r="H584" s="17"/>
      <c r="I584" s="19"/>
      <c r="J584" s="21"/>
      <c r="K584" s="57"/>
      <c r="L584" s="24"/>
      <c r="M584" s="25"/>
      <c r="N584" s="25"/>
      <c r="O584" s="25"/>
      <c r="P584" s="25"/>
    </row>
    <row r="585">
      <c r="A585" s="52"/>
      <c r="B585" s="15"/>
      <c r="C585" s="16"/>
      <c r="D585" s="15"/>
      <c r="E585" s="17"/>
      <c r="F585" s="54"/>
      <c r="G585" s="19"/>
      <c r="H585" s="17"/>
      <c r="I585" s="19"/>
      <c r="J585" s="21"/>
      <c r="K585" s="57"/>
      <c r="L585" s="24"/>
      <c r="M585" s="25"/>
      <c r="N585" s="25"/>
      <c r="O585" s="25"/>
      <c r="P585" s="25"/>
    </row>
    <row r="586">
      <c r="A586" s="52"/>
      <c r="B586" s="15"/>
      <c r="C586" s="16"/>
      <c r="D586" s="15"/>
      <c r="E586" s="17"/>
      <c r="F586" s="54"/>
      <c r="G586" s="19"/>
      <c r="H586" s="17"/>
      <c r="I586" s="19"/>
      <c r="J586" s="21"/>
      <c r="K586" s="57"/>
      <c r="L586" s="24"/>
      <c r="M586" s="25"/>
      <c r="N586" s="25"/>
      <c r="O586" s="25"/>
      <c r="P586" s="25"/>
    </row>
    <row r="587">
      <c r="A587" s="52"/>
      <c r="B587" s="15"/>
      <c r="C587" s="16"/>
      <c r="D587" s="15"/>
      <c r="E587" s="17"/>
      <c r="F587" s="54"/>
      <c r="G587" s="19"/>
      <c r="H587" s="17"/>
      <c r="I587" s="19"/>
      <c r="J587" s="21"/>
      <c r="K587" s="57"/>
      <c r="L587" s="24"/>
      <c r="M587" s="25"/>
      <c r="N587" s="25"/>
      <c r="O587" s="25"/>
      <c r="P587" s="25"/>
    </row>
    <row r="588">
      <c r="A588" s="52"/>
      <c r="B588" s="15"/>
      <c r="C588" s="16"/>
      <c r="D588" s="15"/>
      <c r="E588" s="17"/>
      <c r="F588" s="54"/>
      <c r="G588" s="19"/>
      <c r="H588" s="17"/>
      <c r="I588" s="19"/>
      <c r="J588" s="21"/>
      <c r="K588" s="57"/>
      <c r="L588" s="24"/>
      <c r="M588" s="25"/>
      <c r="N588" s="25"/>
      <c r="O588" s="25"/>
      <c r="P588" s="25"/>
    </row>
    <row r="589">
      <c r="A589" s="52"/>
      <c r="B589" s="15"/>
      <c r="C589" s="16"/>
      <c r="D589" s="15"/>
      <c r="E589" s="17"/>
      <c r="F589" s="54"/>
      <c r="G589" s="19"/>
      <c r="H589" s="17"/>
      <c r="I589" s="19"/>
      <c r="J589" s="21"/>
      <c r="K589" s="57"/>
      <c r="L589" s="24"/>
      <c r="M589" s="25"/>
      <c r="N589" s="25"/>
      <c r="O589" s="25"/>
      <c r="P589" s="25"/>
    </row>
    <row r="590">
      <c r="A590" s="52"/>
      <c r="B590" s="15"/>
      <c r="C590" s="16"/>
      <c r="D590" s="15"/>
      <c r="E590" s="17"/>
      <c r="F590" s="54"/>
      <c r="G590" s="19"/>
      <c r="H590" s="17"/>
      <c r="I590" s="19"/>
      <c r="J590" s="21"/>
      <c r="K590" s="57"/>
      <c r="L590" s="24"/>
      <c r="M590" s="25"/>
      <c r="N590" s="25"/>
      <c r="O590" s="25"/>
      <c r="P590" s="25"/>
    </row>
    <row r="591">
      <c r="A591" s="52"/>
      <c r="B591" s="15"/>
      <c r="C591" s="16"/>
      <c r="D591" s="15"/>
      <c r="E591" s="17"/>
      <c r="F591" s="54"/>
      <c r="G591" s="19"/>
      <c r="H591" s="17"/>
      <c r="I591" s="19"/>
      <c r="J591" s="21"/>
      <c r="K591" s="57"/>
      <c r="L591" s="24"/>
      <c r="M591" s="25"/>
      <c r="N591" s="25"/>
      <c r="O591" s="25"/>
      <c r="P591" s="25"/>
    </row>
    <row r="592">
      <c r="A592" s="52"/>
      <c r="B592" s="15"/>
      <c r="C592" s="16"/>
      <c r="D592" s="15"/>
      <c r="E592" s="17"/>
      <c r="F592" s="54"/>
      <c r="G592" s="19"/>
      <c r="H592" s="17"/>
      <c r="I592" s="19"/>
      <c r="J592" s="21"/>
      <c r="K592" s="57"/>
      <c r="L592" s="24"/>
      <c r="M592" s="25"/>
      <c r="N592" s="25"/>
      <c r="O592" s="25"/>
      <c r="P592" s="25"/>
    </row>
    <row r="593">
      <c r="A593" s="52"/>
      <c r="B593" s="15"/>
      <c r="C593" s="16"/>
      <c r="D593" s="15"/>
      <c r="E593" s="17"/>
      <c r="F593" s="54"/>
      <c r="G593" s="19"/>
      <c r="H593" s="17"/>
      <c r="I593" s="19"/>
      <c r="J593" s="21"/>
      <c r="K593" s="57"/>
      <c r="L593" s="24"/>
      <c r="M593" s="25"/>
      <c r="N593" s="25"/>
      <c r="O593" s="25"/>
      <c r="P593" s="25"/>
    </row>
    <row r="594">
      <c r="A594" s="52"/>
      <c r="B594" s="15"/>
      <c r="C594" s="16"/>
      <c r="D594" s="15"/>
      <c r="E594" s="17"/>
      <c r="F594" s="54"/>
      <c r="G594" s="19"/>
      <c r="H594" s="17"/>
      <c r="I594" s="19"/>
      <c r="J594" s="21"/>
      <c r="K594" s="57"/>
      <c r="L594" s="24"/>
      <c r="M594" s="25"/>
      <c r="N594" s="25"/>
      <c r="O594" s="25"/>
      <c r="P594" s="25"/>
    </row>
    <row r="595">
      <c r="A595" s="52"/>
      <c r="B595" s="15"/>
      <c r="C595" s="16"/>
      <c r="D595" s="15"/>
      <c r="E595" s="17"/>
      <c r="F595" s="54"/>
      <c r="G595" s="19"/>
      <c r="H595" s="17"/>
      <c r="I595" s="19"/>
      <c r="J595" s="21"/>
      <c r="K595" s="57"/>
      <c r="L595" s="24"/>
      <c r="M595" s="25"/>
      <c r="N595" s="25"/>
      <c r="O595" s="25"/>
      <c r="P595" s="25"/>
    </row>
    <row r="596">
      <c r="A596" s="52"/>
      <c r="B596" s="15"/>
      <c r="C596" s="16"/>
      <c r="D596" s="15"/>
      <c r="E596" s="17"/>
      <c r="F596" s="54"/>
      <c r="G596" s="19"/>
      <c r="H596" s="17"/>
      <c r="I596" s="19"/>
      <c r="J596" s="21"/>
      <c r="K596" s="57"/>
      <c r="L596" s="24"/>
      <c r="M596" s="25"/>
      <c r="N596" s="25"/>
      <c r="O596" s="25"/>
      <c r="P596" s="25"/>
    </row>
    <row r="597">
      <c r="A597" s="52"/>
      <c r="B597" s="15"/>
      <c r="C597" s="16"/>
      <c r="D597" s="15"/>
      <c r="E597" s="17"/>
      <c r="F597" s="54"/>
      <c r="G597" s="19"/>
      <c r="H597" s="17"/>
      <c r="I597" s="19"/>
      <c r="J597" s="21"/>
      <c r="K597" s="57"/>
      <c r="L597" s="24"/>
      <c r="M597" s="25"/>
      <c r="N597" s="25"/>
      <c r="O597" s="25"/>
      <c r="P597" s="25"/>
    </row>
    <row r="598">
      <c r="A598" s="52"/>
      <c r="B598" s="15"/>
      <c r="C598" s="16"/>
      <c r="D598" s="15"/>
      <c r="E598" s="17"/>
      <c r="F598" s="54"/>
      <c r="G598" s="19"/>
      <c r="H598" s="17"/>
      <c r="I598" s="19"/>
      <c r="J598" s="21"/>
      <c r="K598" s="57"/>
      <c r="L598" s="24"/>
      <c r="M598" s="25"/>
      <c r="N598" s="25"/>
      <c r="O598" s="25"/>
      <c r="P598" s="25"/>
    </row>
    <row r="599">
      <c r="A599" s="52"/>
      <c r="B599" s="15"/>
      <c r="C599" s="16"/>
      <c r="D599" s="15"/>
      <c r="E599" s="17"/>
      <c r="F599" s="54"/>
      <c r="G599" s="19"/>
      <c r="H599" s="17"/>
      <c r="I599" s="19"/>
      <c r="J599" s="21"/>
      <c r="K599" s="57"/>
      <c r="L599" s="24"/>
      <c r="M599" s="25"/>
      <c r="N599" s="25"/>
      <c r="O599" s="25"/>
      <c r="P599" s="25"/>
    </row>
    <row r="600">
      <c r="A600" s="52"/>
      <c r="B600" s="15"/>
      <c r="C600" s="16"/>
      <c r="D600" s="15"/>
      <c r="E600" s="17"/>
      <c r="F600" s="54"/>
      <c r="G600" s="19"/>
      <c r="H600" s="17"/>
      <c r="I600" s="19"/>
      <c r="J600" s="21"/>
      <c r="K600" s="57"/>
      <c r="L600" s="24"/>
      <c r="M600" s="25"/>
      <c r="N600" s="25"/>
      <c r="O600" s="25"/>
      <c r="P600" s="25"/>
    </row>
    <row r="601">
      <c r="A601" s="52"/>
      <c r="B601" s="15"/>
      <c r="C601" s="16"/>
      <c r="D601" s="15"/>
      <c r="E601" s="17"/>
      <c r="F601" s="54"/>
      <c r="G601" s="19"/>
      <c r="H601" s="17"/>
      <c r="I601" s="19"/>
      <c r="J601" s="21"/>
      <c r="K601" s="57"/>
      <c r="L601" s="24"/>
      <c r="M601" s="25"/>
      <c r="N601" s="25"/>
      <c r="O601" s="25"/>
      <c r="P601" s="25"/>
    </row>
    <row r="602">
      <c r="A602" s="52"/>
      <c r="B602" s="15"/>
      <c r="C602" s="16"/>
      <c r="D602" s="15"/>
      <c r="E602" s="17"/>
      <c r="F602" s="54"/>
      <c r="G602" s="19"/>
      <c r="H602" s="17"/>
      <c r="I602" s="19"/>
      <c r="J602" s="21"/>
      <c r="K602" s="57"/>
      <c r="L602" s="24"/>
      <c r="M602" s="25"/>
      <c r="N602" s="25"/>
      <c r="O602" s="25"/>
      <c r="P602" s="25"/>
    </row>
    <row r="603">
      <c r="A603" s="52"/>
      <c r="B603" s="15"/>
      <c r="C603" s="16"/>
      <c r="D603" s="15"/>
      <c r="E603" s="17"/>
      <c r="F603" s="54"/>
      <c r="G603" s="19"/>
      <c r="H603" s="17"/>
      <c r="I603" s="19"/>
      <c r="J603" s="21"/>
      <c r="K603" s="57"/>
      <c r="L603" s="24"/>
      <c r="M603" s="25"/>
      <c r="N603" s="25"/>
      <c r="O603" s="25"/>
      <c r="P603" s="25"/>
    </row>
    <row r="604">
      <c r="A604" s="52"/>
      <c r="B604" s="15"/>
      <c r="C604" s="16"/>
      <c r="D604" s="15"/>
      <c r="E604" s="17"/>
      <c r="F604" s="54"/>
      <c r="G604" s="19"/>
      <c r="H604" s="17"/>
      <c r="I604" s="19"/>
      <c r="J604" s="21"/>
      <c r="K604" s="57"/>
      <c r="L604" s="24"/>
      <c r="M604" s="25"/>
      <c r="N604" s="25"/>
      <c r="O604" s="25"/>
      <c r="P604" s="25"/>
    </row>
    <row r="605">
      <c r="A605" s="52"/>
      <c r="B605" s="15"/>
      <c r="C605" s="16"/>
      <c r="D605" s="15"/>
      <c r="E605" s="17"/>
      <c r="F605" s="54"/>
      <c r="G605" s="19"/>
      <c r="H605" s="17"/>
      <c r="I605" s="19"/>
      <c r="J605" s="21"/>
      <c r="K605" s="57"/>
      <c r="L605" s="24"/>
      <c r="M605" s="25"/>
      <c r="N605" s="25"/>
      <c r="O605" s="25"/>
      <c r="P605" s="25"/>
    </row>
    <row r="606">
      <c r="A606" s="52"/>
      <c r="B606" s="15"/>
      <c r="C606" s="16"/>
      <c r="D606" s="15"/>
      <c r="E606" s="17"/>
      <c r="F606" s="54"/>
      <c r="G606" s="19"/>
      <c r="H606" s="17"/>
      <c r="I606" s="19"/>
      <c r="J606" s="21"/>
      <c r="K606" s="57"/>
      <c r="L606" s="24"/>
      <c r="M606" s="25"/>
      <c r="N606" s="25"/>
      <c r="O606" s="25"/>
      <c r="P606" s="25"/>
    </row>
    <row r="607">
      <c r="A607" s="52"/>
      <c r="B607" s="15"/>
      <c r="C607" s="16"/>
      <c r="D607" s="15"/>
      <c r="E607" s="17"/>
      <c r="F607" s="54"/>
      <c r="G607" s="19"/>
      <c r="H607" s="17"/>
      <c r="I607" s="19"/>
      <c r="J607" s="21"/>
      <c r="K607" s="57"/>
      <c r="L607" s="24"/>
      <c r="M607" s="25"/>
      <c r="N607" s="25"/>
      <c r="O607" s="25"/>
      <c r="P607" s="25"/>
    </row>
    <row r="608">
      <c r="A608" s="52"/>
      <c r="B608" s="15"/>
      <c r="C608" s="16"/>
      <c r="D608" s="15"/>
      <c r="E608" s="17"/>
      <c r="F608" s="54"/>
      <c r="G608" s="19"/>
      <c r="H608" s="17"/>
      <c r="I608" s="19"/>
      <c r="J608" s="21"/>
      <c r="K608" s="57"/>
      <c r="L608" s="24"/>
      <c r="M608" s="25"/>
      <c r="N608" s="25"/>
      <c r="O608" s="25"/>
      <c r="P608" s="25"/>
    </row>
    <row r="609">
      <c r="A609" s="52"/>
      <c r="B609" s="15"/>
      <c r="C609" s="16"/>
      <c r="D609" s="15"/>
      <c r="E609" s="17"/>
      <c r="F609" s="54"/>
      <c r="G609" s="19"/>
      <c r="H609" s="17"/>
      <c r="I609" s="19"/>
      <c r="J609" s="21"/>
      <c r="K609" s="57"/>
      <c r="L609" s="24"/>
      <c r="M609" s="25"/>
      <c r="N609" s="25"/>
      <c r="O609" s="25"/>
      <c r="P609" s="25"/>
    </row>
    <row r="610">
      <c r="A610" s="52"/>
      <c r="B610" s="15"/>
      <c r="C610" s="16"/>
      <c r="D610" s="15"/>
      <c r="E610" s="17"/>
      <c r="F610" s="54"/>
      <c r="G610" s="19"/>
      <c r="H610" s="17"/>
      <c r="I610" s="19"/>
      <c r="J610" s="21"/>
      <c r="K610" s="57"/>
      <c r="L610" s="24"/>
      <c r="M610" s="25"/>
      <c r="N610" s="25"/>
      <c r="O610" s="25"/>
      <c r="P610" s="25"/>
    </row>
    <row r="611">
      <c r="A611" s="52"/>
      <c r="B611" s="15"/>
      <c r="C611" s="16"/>
      <c r="D611" s="15"/>
      <c r="E611" s="17"/>
      <c r="F611" s="54"/>
      <c r="G611" s="19"/>
      <c r="H611" s="17"/>
      <c r="I611" s="19"/>
      <c r="J611" s="21"/>
      <c r="K611" s="57"/>
      <c r="L611" s="24"/>
      <c r="M611" s="25"/>
      <c r="N611" s="25"/>
      <c r="O611" s="25"/>
      <c r="P611" s="25"/>
    </row>
    <row r="612">
      <c r="A612" s="52"/>
      <c r="B612" s="15"/>
      <c r="C612" s="16"/>
      <c r="D612" s="15"/>
      <c r="E612" s="17"/>
      <c r="F612" s="54"/>
      <c r="G612" s="19"/>
      <c r="H612" s="17"/>
      <c r="I612" s="19"/>
      <c r="J612" s="21"/>
      <c r="K612" s="57"/>
      <c r="L612" s="24"/>
      <c r="M612" s="25"/>
      <c r="N612" s="25"/>
      <c r="O612" s="25"/>
      <c r="P612" s="25"/>
    </row>
    <row r="613">
      <c r="A613" s="52"/>
      <c r="B613" s="15"/>
      <c r="C613" s="16"/>
      <c r="D613" s="15"/>
      <c r="E613" s="17"/>
      <c r="F613" s="54"/>
      <c r="G613" s="19"/>
      <c r="H613" s="17"/>
      <c r="I613" s="19"/>
      <c r="J613" s="21"/>
      <c r="K613" s="57"/>
      <c r="L613" s="24"/>
      <c r="M613" s="25"/>
      <c r="N613" s="25"/>
      <c r="O613" s="25"/>
      <c r="P613" s="25"/>
    </row>
    <row r="614">
      <c r="A614" s="52"/>
      <c r="B614" s="15"/>
      <c r="C614" s="16"/>
      <c r="D614" s="15"/>
      <c r="E614" s="17"/>
      <c r="F614" s="54"/>
      <c r="G614" s="19"/>
      <c r="H614" s="17"/>
      <c r="I614" s="19"/>
      <c r="J614" s="21"/>
      <c r="K614" s="57"/>
      <c r="L614" s="24"/>
      <c r="M614" s="25"/>
      <c r="N614" s="25"/>
      <c r="O614" s="25"/>
      <c r="P614" s="25"/>
    </row>
    <row r="615">
      <c r="A615" s="52"/>
      <c r="B615" s="15"/>
      <c r="C615" s="16"/>
      <c r="D615" s="15"/>
      <c r="E615" s="17"/>
      <c r="F615" s="54"/>
      <c r="G615" s="19"/>
      <c r="H615" s="17"/>
      <c r="I615" s="19"/>
      <c r="J615" s="21"/>
      <c r="K615" s="57"/>
      <c r="L615" s="24"/>
      <c r="M615" s="25"/>
      <c r="N615" s="25"/>
      <c r="O615" s="25"/>
      <c r="P615" s="25"/>
    </row>
    <row r="616">
      <c r="A616" s="52"/>
      <c r="B616" s="15"/>
      <c r="C616" s="16"/>
      <c r="D616" s="15"/>
      <c r="E616" s="17"/>
      <c r="F616" s="54"/>
      <c r="G616" s="19"/>
      <c r="H616" s="17"/>
      <c r="I616" s="19"/>
      <c r="J616" s="21"/>
      <c r="K616" s="57"/>
      <c r="L616" s="24"/>
      <c r="M616" s="25"/>
      <c r="N616" s="25"/>
      <c r="O616" s="25"/>
      <c r="P616" s="25"/>
    </row>
    <row r="617">
      <c r="A617" s="52"/>
      <c r="B617" s="15"/>
      <c r="C617" s="16"/>
      <c r="D617" s="15"/>
      <c r="E617" s="17"/>
      <c r="F617" s="54"/>
      <c r="G617" s="19"/>
      <c r="H617" s="17"/>
      <c r="I617" s="19"/>
      <c r="J617" s="21"/>
      <c r="K617" s="57"/>
      <c r="L617" s="24"/>
      <c r="M617" s="25"/>
      <c r="N617" s="25"/>
      <c r="O617" s="25"/>
      <c r="P617" s="25"/>
    </row>
    <row r="618">
      <c r="A618" s="52"/>
      <c r="B618" s="15"/>
      <c r="C618" s="16"/>
      <c r="D618" s="15"/>
      <c r="E618" s="17"/>
      <c r="F618" s="54"/>
      <c r="G618" s="19"/>
      <c r="H618" s="17"/>
      <c r="I618" s="19"/>
      <c r="J618" s="21"/>
      <c r="K618" s="57"/>
      <c r="L618" s="24"/>
      <c r="M618" s="25"/>
      <c r="N618" s="25"/>
      <c r="O618" s="25"/>
      <c r="P618" s="25"/>
    </row>
    <row r="619">
      <c r="A619" s="52"/>
      <c r="B619" s="15"/>
      <c r="C619" s="16"/>
      <c r="D619" s="15"/>
      <c r="E619" s="17"/>
      <c r="F619" s="54"/>
      <c r="G619" s="19"/>
      <c r="H619" s="17"/>
      <c r="I619" s="19"/>
      <c r="J619" s="21"/>
      <c r="K619" s="57"/>
      <c r="L619" s="24"/>
      <c r="M619" s="25"/>
      <c r="N619" s="25"/>
      <c r="O619" s="25"/>
      <c r="P619" s="25"/>
    </row>
    <row r="620">
      <c r="A620" s="52"/>
      <c r="B620" s="15"/>
      <c r="C620" s="16"/>
      <c r="D620" s="15"/>
      <c r="E620" s="17"/>
      <c r="F620" s="54"/>
      <c r="G620" s="19"/>
      <c r="H620" s="17"/>
      <c r="I620" s="19"/>
      <c r="J620" s="21"/>
      <c r="K620" s="57"/>
      <c r="L620" s="24"/>
      <c r="M620" s="25"/>
      <c r="N620" s="25"/>
      <c r="O620" s="25"/>
      <c r="P620" s="25"/>
    </row>
    <row r="621">
      <c r="A621" s="52"/>
      <c r="B621" s="15"/>
      <c r="C621" s="16"/>
      <c r="D621" s="15"/>
      <c r="E621" s="17"/>
      <c r="F621" s="54"/>
      <c r="G621" s="19"/>
      <c r="H621" s="17"/>
      <c r="I621" s="19"/>
      <c r="J621" s="21"/>
      <c r="K621" s="57"/>
      <c r="L621" s="24"/>
      <c r="M621" s="25"/>
      <c r="N621" s="25"/>
      <c r="O621" s="25"/>
      <c r="P621" s="25"/>
    </row>
    <row r="622">
      <c r="A622" s="52"/>
      <c r="B622" s="15"/>
      <c r="C622" s="16"/>
      <c r="D622" s="15"/>
      <c r="E622" s="17"/>
      <c r="F622" s="54"/>
      <c r="G622" s="19"/>
      <c r="H622" s="17"/>
      <c r="I622" s="19"/>
      <c r="J622" s="21"/>
      <c r="K622" s="57"/>
      <c r="L622" s="24"/>
      <c r="M622" s="25"/>
      <c r="N622" s="25"/>
      <c r="O622" s="25"/>
      <c r="P622" s="25"/>
    </row>
    <row r="623">
      <c r="A623" s="52"/>
      <c r="B623" s="15"/>
      <c r="C623" s="16"/>
      <c r="D623" s="15"/>
      <c r="E623" s="17"/>
      <c r="F623" s="54"/>
      <c r="G623" s="19"/>
      <c r="H623" s="17"/>
      <c r="I623" s="19"/>
      <c r="J623" s="21"/>
      <c r="K623" s="57"/>
      <c r="L623" s="24"/>
      <c r="M623" s="25"/>
      <c r="N623" s="25"/>
      <c r="O623" s="25"/>
      <c r="P623" s="25"/>
    </row>
    <row r="624">
      <c r="A624" s="52"/>
      <c r="B624" s="15"/>
      <c r="C624" s="16"/>
      <c r="D624" s="15"/>
      <c r="E624" s="17"/>
      <c r="F624" s="54"/>
      <c r="G624" s="19"/>
      <c r="H624" s="17"/>
      <c r="I624" s="19"/>
      <c r="J624" s="21"/>
      <c r="K624" s="57"/>
      <c r="L624" s="24"/>
      <c r="M624" s="25"/>
      <c r="N624" s="25"/>
      <c r="O624" s="25"/>
      <c r="P624" s="25"/>
    </row>
    <row r="625">
      <c r="A625" s="52"/>
      <c r="B625" s="15"/>
      <c r="C625" s="16"/>
      <c r="D625" s="15"/>
      <c r="E625" s="17"/>
      <c r="F625" s="54"/>
      <c r="G625" s="19"/>
      <c r="H625" s="17"/>
      <c r="I625" s="19"/>
      <c r="J625" s="21"/>
      <c r="K625" s="57"/>
      <c r="L625" s="24"/>
      <c r="M625" s="25"/>
      <c r="N625" s="25"/>
      <c r="O625" s="25"/>
      <c r="P625" s="25"/>
    </row>
    <row r="626">
      <c r="A626" s="52"/>
      <c r="B626" s="15"/>
      <c r="C626" s="16"/>
      <c r="D626" s="15"/>
      <c r="E626" s="17"/>
      <c r="F626" s="54"/>
      <c r="G626" s="19"/>
      <c r="H626" s="17"/>
      <c r="I626" s="19"/>
      <c r="J626" s="21"/>
      <c r="K626" s="57"/>
      <c r="L626" s="24"/>
      <c r="M626" s="25"/>
      <c r="N626" s="25"/>
      <c r="O626" s="25"/>
      <c r="P626" s="25"/>
    </row>
    <row r="627">
      <c r="A627" s="52"/>
      <c r="B627" s="15"/>
      <c r="C627" s="16"/>
      <c r="D627" s="15"/>
      <c r="E627" s="17"/>
      <c r="F627" s="54"/>
      <c r="G627" s="19"/>
      <c r="H627" s="17"/>
      <c r="I627" s="19"/>
      <c r="J627" s="21"/>
      <c r="K627" s="57"/>
      <c r="L627" s="24"/>
      <c r="M627" s="25"/>
      <c r="N627" s="25"/>
      <c r="O627" s="25"/>
      <c r="P627" s="25"/>
    </row>
    <row r="628">
      <c r="A628" s="52"/>
      <c r="B628" s="15"/>
      <c r="C628" s="16"/>
      <c r="D628" s="15"/>
      <c r="E628" s="17"/>
      <c r="F628" s="54"/>
      <c r="G628" s="19"/>
      <c r="H628" s="17"/>
      <c r="I628" s="19"/>
      <c r="J628" s="21"/>
      <c r="K628" s="57"/>
      <c r="L628" s="24"/>
      <c r="M628" s="25"/>
      <c r="N628" s="25"/>
      <c r="O628" s="25"/>
      <c r="P628" s="25"/>
    </row>
    <row r="629">
      <c r="A629" s="52"/>
      <c r="B629" s="15"/>
      <c r="C629" s="16"/>
      <c r="D629" s="15"/>
      <c r="E629" s="17"/>
      <c r="F629" s="54"/>
      <c r="G629" s="19"/>
      <c r="H629" s="17"/>
      <c r="I629" s="19"/>
      <c r="J629" s="21"/>
      <c r="K629" s="57"/>
      <c r="L629" s="24"/>
      <c r="M629" s="25"/>
      <c r="N629" s="25"/>
      <c r="O629" s="25"/>
      <c r="P629" s="25"/>
    </row>
    <row r="630">
      <c r="A630" s="52"/>
      <c r="B630" s="15"/>
      <c r="C630" s="16"/>
      <c r="D630" s="15"/>
      <c r="E630" s="17"/>
      <c r="F630" s="54"/>
      <c r="G630" s="19"/>
      <c r="H630" s="17"/>
      <c r="I630" s="19"/>
      <c r="J630" s="21"/>
      <c r="K630" s="57"/>
      <c r="L630" s="24"/>
      <c r="M630" s="25"/>
      <c r="N630" s="25"/>
      <c r="O630" s="25"/>
      <c r="P630" s="25"/>
    </row>
    <row r="631">
      <c r="A631" s="52"/>
      <c r="B631" s="15"/>
      <c r="C631" s="16"/>
      <c r="D631" s="15"/>
      <c r="E631" s="17"/>
      <c r="F631" s="54"/>
      <c r="G631" s="19"/>
      <c r="H631" s="17"/>
      <c r="I631" s="19"/>
      <c r="J631" s="21"/>
      <c r="K631" s="57"/>
      <c r="L631" s="24"/>
      <c r="M631" s="25"/>
      <c r="N631" s="25"/>
      <c r="O631" s="25"/>
      <c r="P631" s="25"/>
    </row>
    <row r="632">
      <c r="A632" s="52"/>
      <c r="B632" s="15"/>
      <c r="C632" s="16"/>
      <c r="D632" s="15"/>
      <c r="E632" s="17"/>
      <c r="F632" s="54"/>
      <c r="G632" s="19"/>
      <c r="H632" s="17"/>
      <c r="I632" s="19"/>
      <c r="J632" s="21"/>
      <c r="K632" s="57"/>
      <c r="L632" s="24"/>
      <c r="M632" s="25"/>
      <c r="N632" s="25"/>
      <c r="O632" s="25"/>
      <c r="P632" s="25"/>
    </row>
    <row r="633">
      <c r="A633" s="52"/>
      <c r="B633" s="15"/>
      <c r="C633" s="16"/>
      <c r="D633" s="15"/>
      <c r="E633" s="17"/>
      <c r="F633" s="54"/>
      <c r="G633" s="19"/>
      <c r="H633" s="17"/>
      <c r="I633" s="19"/>
      <c r="J633" s="21"/>
      <c r="K633" s="57"/>
      <c r="L633" s="24"/>
      <c r="M633" s="25"/>
      <c r="N633" s="25"/>
      <c r="O633" s="25"/>
      <c r="P633" s="25"/>
    </row>
    <row r="634">
      <c r="A634" s="52"/>
      <c r="B634" s="15"/>
      <c r="C634" s="16"/>
      <c r="D634" s="15"/>
      <c r="E634" s="17"/>
      <c r="F634" s="54"/>
      <c r="G634" s="19"/>
      <c r="H634" s="17"/>
      <c r="I634" s="19"/>
      <c r="J634" s="21"/>
      <c r="K634" s="57"/>
      <c r="L634" s="24"/>
      <c r="M634" s="25"/>
      <c r="N634" s="25"/>
      <c r="O634" s="25"/>
      <c r="P634" s="25"/>
    </row>
    <row r="635">
      <c r="A635" s="52"/>
      <c r="B635" s="15"/>
      <c r="C635" s="16"/>
      <c r="D635" s="15"/>
      <c r="E635" s="17"/>
      <c r="F635" s="54"/>
      <c r="G635" s="19"/>
      <c r="H635" s="17"/>
      <c r="I635" s="19"/>
      <c r="J635" s="21"/>
      <c r="K635" s="57"/>
      <c r="L635" s="24"/>
      <c r="M635" s="25"/>
      <c r="N635" s="25"/>
      <c r="O635" s="25"/>
      <c r="P635" s="25"/>
    </row>
    <row r="636">
      <c r="A636" s="52"/>
      <c r="B636" s="15"/>
      <c r="C636" s="16"/>
      <c r="D636" s="15"/>
      <c r="E636" s="17"/>
      <c r="F636" s="54"/>
      <c r="G636" s="19"/>
      <c r="H636" s="17"/>
      <c r="I636" s="19"/>
      <c r="J636" s="21"/>
      <c r="K636" s="57"/>
      <c r="L636" s="24"/>
      <c r="M636" s="25"/>
      <c r="N636" s="25"/>
      <c r="O636" s="25"/>
      <c r="P636" s="25"/>
    </row>
    <row r="637">
      <c r="A637" s="52"/>
      <c r="B637" s="15"/>
      <c r="C637" s="16"/>
      <c r="D637" s="15"/>
      <c r="E637" s="17"/>
      <c r="F637" s="54"/>
      <c r="G637" s="19"/>
      <c r="H637" s="17"/>
      <c r="I637" s="19"/>
      <c r="J637" s="21"/>
      <c r="K637" s="57"/>
      <c r="L637" s="24"/>
      <c r="M637" s="25"/>
      <c r="N637" s="25"/>
      <c r="O637" s="25"/>
      <c r="P637" s="25"/>
    </row>
    <row r="638">
      <c r="A638" s="52"/>
      <c r="B638" s="15"/>
      <c r="C638" s="16"/>
      <c r="D638" s="15"/>
      <c r="E638" s="17"/>
      <c r="F638" s="54"/>
      <c r="G638" s="19"/>
      <c r="H638" s="17"/>
      <c r="I638" s="19"/>
      <c r="J638" s="21"/>
      <c r="K638" s="57"/>
      <c r="L638" s="24"/>
      <c r="M638" s="25"/>
      <c r="N638" s="25"/>
      <c r="O638" s="25"/>
      <c r="P638" s="25"/>
    </row>
    <row r="639">
      <c r="A639" s="52"/>
      <c r="B639" s="15"/>
      <c r="C639" s="16"/>
      <c r="D639" s="15"/>
      <c r="E639" s="17"/>
      <c r="F639" s="54"/>
      <c r="G639" s="19"/>
      <c r="H639" s="17"/>
      <c r="I639" s="19"/>
      <c r="J639" s="21"/>
      <c r="K639" s="57"/>
      <c r="L639" s="24"/>
      <c r="M639" s="25"/>
      <c r="N639" s="25"/>
      <c r="O639" s="25"/>
      <c r="P639" s="25"/>
    </row>
    <row r="640">
      <c r="A640" s="52"/>
      <c r="B640" s="15"/>
      <c r="C640" s="16"/>
      <c r="D640" s="15"/>
      <c r="E640" s="17"/>
      <c r="F640" s="54"/>
      <c r="G640" s="19"/>
      <c r="H640" s="17"/>
      <c r="I640" s="19"/>
      <c r="J640" s="21"/>
      <c r="K640" s="57"/>
      <c r="L640" s="24"/>
      <c r="M640" s="25"/>
      <c r="N640" s="25"/>
      <c r="O640" s="25"/>
      <c r="P640" s="25"/>
    </row>
    <row r="641">
      <c r="A641" s="52"/>
      <c r="B641" s="15"/>
      <c r="C641" s="16"/>
      <c r="D641" s="15"/>
      <c r="E641" s="17"/>
      <c r="F641" s="54"/>
      <c r="G641" s="19"/>
      <c r="H641" s="17"/>
      <c r="I641" s="19"/>
      <c r="J641" s="21"/>
      <c r="K641" s="57"/>
      <c r="L641" s="24"/>
      <c r="M641" s="25"/>
      <c r="N641" s="25"/>
      <c r="O641" s="25"/>
      <c r="P641" s="25"/>
    </row>
    <row r="642">
      <c r="A642" s="52"/>
      <c r="B642" s="15"/>
      <c r="C642" s="16"/>
      <c r="D642" s="15"/>
      <c r="E642" s="17"/>
      <c r="F642" s="54"/>
      <c r="G642" s="19"/>
      <c r="H642" s="17"/>
      <c r="I642" s="19"/>
      <c r="J642" s="21"/>
      <c r="K642" s="57"/>
      <c r="L642" s="24"/>
      <c r="M642" s="25"/>
      <c r="N642" s="25"/>
      <c r="O642" s="25"/>
      <c r="P642" s="25"/>
    </row>
    <row r="643">
      <c r="A643" s="52"/>
      <c r="B643" s="15"/>
      <c r="C643" s="16"/>
      <c r="D643" s="15"/>
      <c r="E643" s="17"/>
      <c r="F643" s="54"/>
      <c r="G643" s="19"/>
      <c r="H643" s="17"/>
      <c r="I643" s="19"/>
      <c r="J643" s="21"/>
      <c r="K643" s="57"/>
      <c r="L643" s="24"/>
      <c r="M643" s="25"/>
      <c r="N643" s="25"/>
      <c r="O643" s="25"/>
      <c r="P643" s="25"/>
    </row>
    <row r="644">
      <c r="A644" s="52"/>
      <c r="B644" s="15"/>
      <c r="C644" s="16"/>
      <c r="D644" s="15"/>
      <c r="E644" s="17"/>
      <c r="F644" s="54"/>
      <c r="G644" s="19"/>
      <c r="H644" s="17"/>
      <c r="I644" s="19"/>
      <c r="J644" s="21"/>
      <c r="K644" s="57"/>
      <c r="L644" s="24"/>
      <c r="M644" s="25"/>
      <c r="N644" s="25"/>
      <c r="O644" s="25"/>
      <c r="P644" s="25"/>
    </row>
    <row r="645">
      <c r="A645" s="52"/>
      <c r="B645" s="15"/>
      <c r="C645" s="16"/>
      <c r="D645" s="15"/>
      <c r="E645" s="17"/>
      <c r="F645" s="54"/>
      <c r="G645" s="19"/>
      <c r="H645" s="17"/>
      <c r="I645" s="19"/>
      <c r="J645" s="21"/>
      <c r="K645" s="57"/>
      <c r="L645" s="24"/>
      <c r="M645" s="25"/>
      <c r="N645" s="25"/>
      <c r="O645" s="25"/>
      <c r="P645" s="25"/>
    </row>
    <row r="646">
      <c r="A646" s="52"/>
      <c r="B646" s="15"/>
      <c r="C646" s="16"/>
      <c r="D646" s="15"/>
      <c r="E646" s="17"/>
      <c r="F646" s="54"/>
      <c r="G646" s="19"/>
      <c r="H646" s="17"/>
      <c r="I646" s="19"/>
      <c r="J646" s="21"/>
      <c r="K646" s="57"/>
      <c r="L646" s="24"/>
      <c r="M646" s="25"/>
      <c r="N646" s="25"/>
      <c r="O646" s="25"/>
      <c r="P646" s="25"/>
    </row>
    <row r="647">
      <c r="A647" s="52"/>
      <c r="B647" s="15"/>
      <c r="C647" s="16"/>
      <c r="D647" s="15"/>
      <c r="E647" s="17"/>
      <c r="F647" s="54"/>
      <c r="G647" s="19"/>
      <c r="H647" s="17"/>
      <c r="I647" s="19"/>
      <c r="J647" s="21"/>
      <c r="K647" s="57"/>
      <c r="L647" s="24"/>
      <c r="M647" s="25"/>
      <c r="N647" s="25"/>
      <c r="O647" s="25"/>
      <c r="P647" s="25"/>
    </row>
    <row r="648">
      <c r="A648" s="52"/>
      <c r="B648" s="15"/>
      <c r="C648" s="16"/>
      <c r="D648" s="15"/>
      <c r="E648" s="17"/>
      <c r="F648" s="54"/>
      <c r="G648" s="19"/>
      <c r="H648" s="17"/>
      <c r="I648" s="19"/>
      <c r="J648" s="21"/>
      <c r="K648" s="57"/>
      <c r="L648" s="24"/>
      <c r="M648" s="25"/>
      <c r="N648" s="25"/>
      <c r="O648" s="25"/>
      <c r="P648" s="25"/>
    </row>
    <row r="649">
      <c r="A649" s="52"/>
      <c r="B649" s="15"/>
      <c r="C649" s="16"/>
      <c r="D649" s="15"/>
      <c r="E649" s="17"/>
      <c r="F649" s="54"/>
      <c r="G649" s="19"/>
      <c r="H649" s="17"/>
      <c r="I649" s="19"/>
      <c r="J649" s="21"/>
      <c r="K649" s="57"/>
      <c r="L649" s="24"/>
      <c r="M649" s="25"/>
      <c r="N649" s="25"/>
      <c r="O649" s="25"/>
      <c r="P649" s="25"/>
    </row>
    <row r="650">
      <c r="A650" s="52"/>
      <c r="B650" s="15"/>
      <c r="C650" s="16"/>
      <c r="D650" s="15"/>
      <c r="E650" s="17"/>
      <c r="F650" s="54"/>
      <c r="G650" s="19"/>
      <c r="H650" s="17"/>
      <c r="I650" s="19"/>
      <c r="J650" s="21"/>
      <c r="K650" s="57"/>
      <c r="L650" s="24"/>
      <c r="M650" s="25"/>
      <c r="N650" s="25"/>
      <c r="O650" s="25"/>
      <c r="P650" s="25"/>
    </row>
    <row r="651">
      <c r="A651" s="52"/>
      <c r="B651" s="15"/>
      <c r="C651" s="16"/>
      <c r="D651" s="15"/>
      <c r="E651" s="17"/>
      <c r="F651" s="54"/>
      <c r="G651" s="19"/>
      <c r="H651" s="17"/>
      <c r="I651" s="19"/>
      <c r="J651" s="21"/>
      <c r="K651" s="57"/>
      <c r="L651" s="24"/>
      <c r="M651" s="25"/>
      <c r="N651" s="25"/>
      <c r="O651" s="25"/>
      <c r="P651" s="25"/>
    </row>
    <row r="652">
      <c r="A652" s="52"/>
      <c r="B652" s="15"/>
      <c r="C652" s="16"/>
      <c r="D652" s="15"/>
      <c r="E652" s="17"/>
      <c r="F652" s="54"/>
      <c r="G652" s="19"/>
      <c r="H652" s="17"/>
      <c r="I652" s="19"/>
      <c r="J652" s="21"/>
      <c r="K652" s="57"/>
      <c r="L652" s="24"/>
      <c r="M652" s="25"/>
      <c r="N652" s="25"/>
      <c r="O652" s="25"/>
      <c r="P652" s="25"/>
    </row>
    <row r="653">
      <c r="A653" s="52"/>
      <c r="B653" s="15"/>
      <c r="C653" s="16"/>
      <c r="D653" s="15"/>
      <c r="E653" s="17"/>
      <c r="F653" s="54"/>
      <c r="G653" s="19"/>
      <c r="H653" s="17"/>
      <c r="I653" s="19"/>
      <c r="J653" s="21"/>
      <c r="K653" s="57"/>
      <c r="L653" s="24"/>
      <c r="M653" s="25"/>
      <c r="N653" s="25"/>
      <c r="O653" s="25"/>
      <c r="P653" s="25"/>
    </row>
    <row r="654">
      <c r="A654" s="52"/>
      <c r="B654" s="15"/>
      <c r="C654" s="16"/>
      <c r="D654" s="15"/>
      <c r="E654" s="17"/>
      <c r="F654" s="54"/>
      <c r="G654" s="19"/>
      <c r="H654" s="17"/>
      <c r="I654" s="19"/>
      <c r="J654" s="21"/>
      <c r="K654" s="57"/>
      <c r="L654" s="24"/>
      <c r="M654" s="25"/>
      <c r="N654" s="25"/>
      <c r="O654" s="25"/>
      <c r="P654" s="25"/>
    </row>
    <row r="655">
      <c r="A655" s="52"/>
      <c r="B655" s="15"/>
      <c r="C655" s="16"/>
      <c r="D655" s="15"/>
      <c r="E655" s="17"/>
      <c r="F655" s="54"/>
      <c r="G655" s="19"/>
      <c r="H655" s="17"/>
      <c r="I655" s="19"/>
      <c r="J655" s="21"/>
      <c r="K655" s="57"/>
      <c r="L655" s="24"/>
      <c r="M655" s="25"/>
      <c r="N655" s="25"/>
      <c r="O655" s="25"/>
      <c r="P655" s="25"/>
    </row>
    <row r="656">
      <c r="A656" s="52"/>
      <c r="B656" s="15"/>
      <c r="C656" s="16"/>
      <c r="D656" s="15"/>
      <c r="E656" s="17"/>
      <c r="F656" s="54"/>
      <c r="G656" s="19"/>
      <c r="H656" s="17"/>
      <c r="I656" s="19"/>
      <c r="J656" s="21"/>
      <c r="K656" s="57"/>
      <c r="L656" s="24"/>
      <c r="M656" s="25"/>
      <c r="N656" s="25"/>
      <c r="O656" s="25"/>
      <c r="P656" s="25"/>
    </row>
    <row r="657">
      <c r="A657" s="52"/>
      <c r="B657" s="15"/>
      <c r="C657" s="16"/>
      <c r="D657" s="15"/>
      <c r="E657" s="17"/>
      <c r="F657" s="54"/>
      <c r="G657" s="19"/>
      <c r="H657" s="17"/>
      <c r="I657" s="19"/>
      <c r="J657" s="21"/>
      <c r="K657" s="57"/>
      <c r="L657" s="24"/>
      <c r="M657" s="25"/>
      <c r="N657" s="25"/>
      <c r="O657" s="25"/>
      <c r="P657" s="25"/>
    </row>
    <row r="658">
      <c r="A658" s="52"/>
      <c r="B658" s="15"/>
      <c r="C658" s="16"/>
      <c r="D658" s="15"/>
      <c r="E658" s="17"/>
      <c r="F658" s="54"/>
      <c r="G658" s="19"/>
      <c r="H658" s="17"/>
      <c r="I658" s="19"/>
      <c r="J658" s="21"/>
      <c r="K658" s="57"/>
      <c r="L658" s="24"/>
      <c r="M658" s="25"/>
      <c r="N658" s="25"/>
      <c r="O658" s="25"/>
      <c r="P658" s="25"/>
    </row>
    <row r="659">
      <c r="A659" s="52"/>
      <c r="B659" s="15"/>
      <c r="C659" s="16"/>
      <c r="D659" s="15"/>
      <c r="E659" s="17"/>
      <c r="F659" s="54"/>
      <c r="G659" s="19"/>
      <c r="H659" s="17"/>
      <c r="I659" s="19"/>
      <c r="J659" s="21"/>
      <c r="K659" s="57"/>
      <c r="L659" s="24"/>
      <c r="M659" s="25"/>
      <c r="N659" s="25"/>
      <c r="O659" s="25"/>
      <c r="P659" s="25"/>
    </row>
    <row r="660">
      <c r="A660" s="52"/>
      <c r="B660" s="15"/>
      <c r="C660" s="16"/>
      <c r="D660" s="15"/>
      <c r="E660" s="17"/>
      <c r="F660" s="54"/>
      <c r="G660" s="19"/>
      <c r="H660" s="17"/>
      <c r="I660" s="19"/>
      <c r="J660" s="21"/>
      <c r="K660" s="57"/>
      <c r="L660" s="24"/>
      <c r="M660" s="25"/>
      <c r="N660" s="25"/>
      <c r="O660" s="25"/>
      <c r="P660" s="25"/>
    </row>
    <row r="661">
      <c r="A661" s="52"/>
      <c r="B661" s="15"/>
      <c r="C661" s="16"/>
      <c r="D661" s="15"/>
      <c r="E661" s="17"/>
      <c r="F661" s="54"/>
      <c r="G661" s="19"/>
      <c r="H661" s="17"/>
      <c r="I661" s="19"/>
      <c r="J661" s="21"/>
      <c r="K661" s="57"/>
      <c r="L661" s="24"/>
      <c r="M661" s="25"/>
      <c r="N661" s="25"/>
      <c r="O661" s="25"/>
      <c r="P661" s="25"/>
    </row>
    <row r="662">
      <c r="A662" s="52"/>
      <c r="B662" s="15"/>
      <c r="C662" s="16"/>
      <c r="D662" s="15"/>
      <c r="E662" s="17"/>
      <c r="F662" s="54"/>
      <c r="G662" s="19"/>
      <c r="H662" s="17"/>
      <c r="I662" s="19"/>
      <c r="J662" s="21"/>
      <c r="K662" s="57"/>
      <c r="L662" s="24"/>
      <c r="M662" s="25"/>
      <c r="N662" s="25"/>
      <c r="O662" s="25"/>
      <c r="P662" s="25"/>
    </row>
    <row r="663">
      <c r="A663" s="52"/>
      <c r="B663" s="15"/>
      <c r="C663" s="16"/>
      <c r="D663" s="15"/>
      <c r="E663" s="17"/>
      <c r="F663" s="54"/>
      <c r="G663" s="19"/>
      <c r="H663" s="17"/>
      <c r="I663" s="19"/>
      <c r="J663" s="21"/>
      <c r="K663" s="57"/>
      <c r="L663" s="24"/>
      <c r="M663" s="25"/>
      <c r="N663" s="25"/>
      <c r="O663" s="25"/>
      <c r="P663" s="25"/>
    </row>
    <row r="664">
      <c r="A664" s="52"/>
      <c r="B664" s="15"/>
      <c r="C664" s="16"/>
      <c r="D664" s="15"/>
      <c r="E664" s="17"/>
      <c r="F664" s="54"/>
      <c r="G664" s="19"/>
      <c r="H664" s="17"/>
      <c r="I664" s="19"/>
      <c r="J664" s="21"/>
      <c r="K664" s="57"/>
      <c r="L664" s="24"/>
      <c r="M664" s="25"/>
      <c r="N664" s="25"/>
      <c r="O664" s="25"/>
      <c r="P664" s="25"/>
    </row>
    <row r="665">
      <c r="A665" s="52"/>
      <c r="B665" s="15"/>
      <c r="C665" s="16"/>
      <c r="D665" s="15"/>
      <c r="E665" s="17"/>
      <c r="F665" s="54"/>
      <c r="G665" s="19"/>
      <c r="H665" s="17"/>
      <c r="I665" s="19"/>
      <c r="J665" s="21"/>
      <c r="K665" s="57"/>
      <c r="L665" s="24"/>
      <c r="M665" s="25"/>
      <c r="N665" s="25"/>
      <c r="O665" s="25"/>
      <c r="P665" s="25"/>
    </row>
    <row r="666">
      <c r="A666" s="52"/>
      <c r="B666" s="15"/>
      <c r="C666" s="16"/>
      <c r="D666" s="15"/>
      <c r="E666" s="17"/>
      <c r="F666" s="54"/>
      <c r="G666" s="19"/>
      <c r="H666" s="17"/>
      <c r="I666" s="19"/>
      <c r="J666" s="21"/>
      <c r="K666" s="57"/>
      <c r="L666" s="24"/>
      <c r="M666" s="25"/>
      <c r="N666" s="25"/>
      <c r="O666" s="25"/>
      <c r="P666" s="25"/>
    </row>
    <row r="667">
      <c r="A667" s="52"/>
      <c r="B667" s="15"/>
      <c r="C667" s="16"/>
      <c r="D667" s="15"/>
      <c r="E667" s="17"/>
      <c r="F667" s="54"/>
      <c r="G667" s="19"/>
      <c r="H667" s="17"/>
      <c r="I667" s="19"/>
      <c r="J667" s="21"/>
      <c r="K667" s="57"/>
      <c r="L667" s="24"/>
      <c r="M667" s="25"/>
      <c r="N667" s="25"/>
      <c r="O667" s="25"/>
      <c r="P667" s="25"/>
    </row>
    <row r="668">
      <c r="A668" s="52"/>
      <c r="B668" s="15"/>
      <c r="C668" s="16"/>
      <c r="D668" s="15"/>
      <c r="E668" s="17"/>
      <c r="F668" s="54"/>
      <c r="G668" s="19"/>
      <c r="H668" s="17"/>
      <c r="I668" s="19"/>
      <c r="J668" s="21"/>
      <c r="K668" s="57"/>
      <c r="L668" s="24"/>
      <c r="M668" s="25"/>
      <c r="N668" s="25"/>
      <c r="O668" s="25"/>
      <c r="P668" s="25"/>
    </row>
    <row r="669">
      <c r="A669" s="52"/>
      <c r="B669" s="15"/>
      <c r="C669" s="16"/>
      <c r="D669" s="15"/>
      <c r="E669" s="17"/>
      <c r="F669" s="54"/>
      <c r="G669" s="19"/>
      <c r="H669" s="17"/>
      <c r="I669" s="19"/>
      <c r="J669" s="21"/>
      <c r="K669" s="57"/>
      <c r="L669" s="24"/>
      <c r="M669" s="25"/>
      <c r="N669" s="25"/>
      <c r="O669" s="25"/>
      <c r="P669" s="25"/>
    </row>
    <row r="670">
      <c r="A670" s="52"/>
      <c r="B670" s="15"/>
      <c r="C670" s="16"/>
      <c r="D670" s="15"/>
      <c r="E670" s="17"/>
      <c r="F670" s="54"/>
      <c r="G670" s="19"/>
      <c r="H670" s="17"/>
      <c r="I670" s="19"/>
      <c r="J670" s="21"/>
      <c r="K670" s="57"/>
      <c r="L670" s="24"/>
      <c r="M670" s="25"/>
      <c r="N670" s="25"/>
      <c r="O670" s="25"/>
      <c r="P670" s="25"/>
    </row>
    <row r="671">
      <c r="A671" s="52"/>
      <c r="B671" s="15"/>
      <c r="C671" s="16"/>
      <c r="D671" s="15"/>
      <c r="E671" s="17"/>
      <c r="F671" s="54"/>
      <c r="G671" s="19"/>
      <c r="H671" s="17"/>
      <c r="I671" s="19"/>
      <c r="J671" s="21"/>
      <c r="K671" s="57"/>
      <c r="L671" s="24"/>
      <c r="M671" s="25"/>
      <c r="N671" s="25"/>
      <c r="O671" s="25"/>
      <c r="P671" s="25"/>
    </row>
    <row r="672">
      <c r="A672" s="52"/>
      <c r="B672" s="15"/>
      <c r="C672" s="16"/>
      <c r="D672" s="15"/>
      <c r="E672" s="17"/>
      <c r="F672" s="54"/>
      <c r="G672" s="19"/>
      <c r="H672" s="17"/>
      <c r="I672" s="19"/>
      <c r="J672" s="21"/>
      <c r="K672" s="57"/>
      <c r="L672" s="24"/>
      <c r="M672" s="25"/>
      <c r="N672" s="25"/>
      <c r="O672" s="25"/>
      <c r="P672" s="25"/>
    </row>
    <row r="673">
      <c r="A673" s="52"/>
      <c r="B673" s="15"/>
      <c r="C673" s="16"/>
      <c r="D673" s="15"/>
      <c r="E673" s="17"/>
      <c r="F673" s="54"/>
      <c r="G673" s="19"/>
      <c r="H673" s="17"/>
      <c r="I673" s="19"/>
      <c r="J673" s="21"/>
      <c r="K673" s="57"/>
      <c r="L673" s="24"/>
      <c r="M673" s="25"/>
      <c r="N673" s="25"/>
      <c r="O673" s="25"/>
      <c r="P673" s="25"/>
    </row>
    <row r="674">
      <c r="A674" s="52"/>
      <c r="B674" s="15"/>
      <c r="C674" s="16"/>
      <c r="D674" s="15"/>
      <c r="E674" s="17"/>
      <c r="F674" s="54"/>
      <c r="G674" s="19"/>
      <c r="H674" s="17"/>
      <c r="I674" s="19"/>
      <c r="J674" s="21"/>
      <c r="K674" s="57"/>
      <c r="L674" s="24"/>
      <c r="M674" s="25"/>
      <c r="N674" s="25"/>
      <c r="O674" s="25"/>
      <c r="P674" s="25"/>
    </row>
    <row r="675">
      <c r="A675" s="52"/>
      <c r="B675" s="15"/>
      <c r="C675" s="16"/>
      <c r="D675" s="15"/>
      <c r="E675" s="17"/>
      <c r="F675" s="54"/>
      <c r="G675" s="19"/>
      <c r="H675" s="17"/>
      <c r="I675" s="19"/>
      <c r="J675" s="21"/>
      <c r="K675" s="57"/>
      <c r="L675" s="24"/>
      <c r="M675" s="25"/>
      <c r="N675" s="25"/>
      <c r="O675" s="25"/>
      <c r="P675" s="25"/>
    </row>
    <row r="676">
      <c r="A676" s="52"/>
      <c r="B676" s="15"/>
      <c r="C676" s="16"/>
      <c r="D676" s="15"/>
      <c r="E676" s="17"/>
      <c r="F676" s="54"/>
      <c r="G676" s="19"/>
      <c r="H676" s="17"/>
      <c r="I676" s="19"/>
      <c r="J676" s="21"/>
      <c r="K676" s="57"/>
      <c r="L676" s="24"/>
      <c r="M676" s="25"/>
      <c r="N676" s="25"/>
      <c r="O676" s="25"/>
      <c r="P676" s="25"/>
    </row>
    <row r="677">
      <c r="A677" s="52"/>
      <c r="B677" s="15"/>
      <c r="C677" s="16"/>
      <c r="D677" s="15"/>
      <c r="E677" s="17"/>
      <c r="F677" s="54"/>
      <c r="G677" s="19"/>
      <c r="H677" s="17"/>
      <c r="I677" s="19"/>
      <c r="J677" s="21"/>
      <c r="K677" s="57"/>
      <c r="L677" s="24"/>
      <c r="M677" s="25"/>
      <c r="N677" s="25"/>
      <c r="O677" s="25"/>
      <c r="P677" s="25"/>
    </row>
    <row r="678">
      <c r="A678" s="52"/>
      <c r="B678" s="15"/>
      <c r="C678" s="16"/>
      <c r="D678" s="15"/>
      <c r="E678" s="17"/>
      <c r="F678" s="54"/>
      <c r="G678" s="19"/>
      <c r="H678" s="17"/>
      <c r="I678" s="19"/>
      <c r="J678" s="21"/>
      <c r="K678" s="57"/>
      <c r="L678" s="24"/>
      <c r="M678" s="25"/>
      <c r="N678" s="25"/>
      <c r="O678" s="25"/>
      <c r="P678" s="25"/>
    </row>
    <row r="679">
      <c r="A679" s="52"/>
      <c r="B679" s="15"/>
      <c r="C679" s="16"/>
      <c r="D679" s="15"/>
      <c r="E679" s="17"/>
      <c r="F679" s="54"/>
      <c r="G679" s="19"/>
      <c r="H679" s="17"/>
      <c r="I679" s="19"/>
      <c r="J679" s="21"/>
      <c r="K679" s="57"/>
      <c r="L679" s="24"/>
      <c r="M679" s="25"/>
      <c r="N679" s="25"/>
      <c r="O679" s="25"/>
      <c r="P679" s="25"/>
    </row>
    <row r="680">
      <c r="A680" s="52"/>
      <c r="B680" s="15"/>
      <c r="C680" s="16"/>
      <c r="D680" s="15"/>
      <c r="E680" s="17"/>
      <c r="F680" s="54"/>
      <c r="G680" s="19"/>
      <c r="H680" s="17"/>
      <c r="I680" s="19"/>
      <c r="J680" s="21"/>
      <c r="K680" s="57"/>
      <c r="L680" s="24"/>
      <c r="M680" s="25"/>
      <c r="N680" s="25"/>
      <c r="O680" s="25"/>
      <c r="P680" s="25"/>
    </row>
    <row r="681">
      <c r="A681" s="52"/>
      <c r="B681" s="15"/>
      <c r="C681" s="16"/>
      <c r="D681" s="15"/>
      <c r="E681" s="17"/>
      <c r="F681" s="54"/>
      <c r="G681" s="19"/>
      <c r="H681" s="17"/>
      <c r="I681" s="19"/>
      <c r="J681" s="21"/>
      <c r="K681" s="57"/>
      <c r="L681" s="24"/>
      <c r="M681" s="25"/>
      <c r="N681" s="25"/>
      <c r="O681" s="25"/>
      <c r="P681" s="25"/>
    </row>
    <row r="682">
      <c r="A682" s="52"/>
      <c r="B682" s="15"/>
      <c r="C682" s="16"/>
      <c r="D682" s="15"/>
      <c r="E682" s="17"/>
      <c r="F682" s="54"/>
      <c r="G682" s="19"/>
      <c r="H682" s="17"/>
      <c r="I682" s="19"/>
      <c r="J682" s="21"/>
      <c r="K682" s="57"/>
      <c r="L682" s="24"/>
      <c r="M682" s="25"/>
      <c r="N682" s="25"/>
      <c r="O682" s="25"/>
      <c r="P682" s="25"/>
    </row>
    <row r="683">
      <c r="A683" s="52"/>
      <c r="B683" s="15"/>
      <c r="C683" s="16"/>
      <c r="D683" s="15"/>
      <c r="E683" s="17"/>
      <c r="F683" s="54"/>
      <c r="G683" s="19"/>
      <c r="H683" s="17"/>
      <c r="I683" s="19"/>
      <c r="J683" s="21"/>
      <c r="K683" s="57"/>
      <c r="L683" s="24"/>
      <c r="M683" s="25"/>
      <c r="N683" s="25"/>
      <c r="O683" s="25"/>
      <c r="P683" s="25"/>
    </row>
    <row r="684">
      <c r="A684" s="52"/>
      <c r="B684" s="15"/>
      <c r="C684" s="16"/>
      <c r="D684" s="15"/>
      <c r="E684" s="17"/>
      <c r="F684" s="54"/>
      <c r="G684" s="19"/>
      <c r="H684" s="17"/>
      <c r="I684" s="19"/>
      <c r="J684" s="21"/>
      <c r="K684" s="57"/>
      <c r="L684" s="24"/>
      <c r="M684" s="25"/>
      <c r="N684" s="25"/>
      <c r="O684" s="25"/>
      <c r="P684" s="25"/>
    </row>
    <row r="685">
      <c r="A685" s="52"/>
      <c r="B685" s="15"/>
      <c r="C685" s="16"/>
      <c r="D685" s="15"/>
      <c r="E685" s="17"/>
      <c r="F685" s="54"/>
      <c r="G685" s="19"/>
      <c r="H685" s="17"/>
      <c r="I685" s="19"/>
      <c r="J685" s="21"/>
      <c r="K685" s="57"/>
      <c r="L685" s="24"/>
      <c r="M685" s="25"/>
      <c r="N685" s="25"/>
      <c r="O685" s="25"/>
      <c r="P685" s="25"/>
    </row>
    <row r="686">
      <c r="A686" s="52"/>
      <c r="B686" s="15"/>
      <c r="C686" s="16"/>
      <c r="D686" s="15"/>
      <c r="E686" s="17"/>
      <c r="F686" s="54"/>
      <c r="G686" s="19"/>
      <c r="H686" s="17"/>
      <c r="I686" s="19"/>
      <c r="J686" s="21"/>
      <c r="K686" s="57"/>
      <c r="L686" s="24"/>
      <c r="M686" s="25"/>
      <c r="N686" s="25"/>
      <c r="O686" s="25"/>
      <c r="P686" s="25"/>
    </row>
    <row r="687">
      <c r="A687" s="52"/>
      <c r="B687" s="15"/>
      <c r="C687" s="16"/>
      <c r="D687" s="15"/>
      <c r="E687" s="17"/>
      <c r="F687" s="54"/>
      <c r="G687" s="19"/>
      <c r="H687" s="17"/>
      <c r="I687" s="19"/>
      <c r="J687" s="21"/>
      <c r="K687" s="57"/>
      <c r="L687" s="24"/>
      <c r="M687" s="25"/>
      <c r="N687" s="25"/>
      <c r="O687" s="25"/>
      <c r="P687" s="25"/>
    </row>
    <row r="688">
      <c r="A688" s="52"/>
      <c r="B688" s="15"/>
      <c r="C688" s="16"/>
      <c r="D688" s="15"/>
      <c r="E688" s="17"/>
      <c r="F688" s="54"/>
      <c r="G688" s="19"/>
      <c r="H688" s="17"/>
      <c r="I688" s="19"/>
      <c r="J688" s="21"/>
      <c r="K688" s="57"/>
      <c r="L688" s="24"/>
      <c r="M688" s="25"/>
      <c r="N688" s="25"/>
      <c r="O688" s="25"/>
      <c r="P688" s="25"/>
    </row>
    <row r="689">
      <c r="A689" s="52"/>
      <c r="B689" s="15"/>
      <c r="C689" s="16"/>
      <c r="D689" s="15"/>
      <c r="E689" s="17"/>
      <c r="F689" s="54"/>
      <c r="G689" s="19"/>
      <c r="H689" s="17"/>
      <c r="I689" s="19"/>
      <c r="J689" s="21"/>
      <c r="K689" s="57"/>
      <c r="L689" s="24"/>
      <c r="M689" s="25"/>
      <c r="N689" s="25"/>
      <c r="O689" s="25"/>
      <c r="P689" s="25"/>
    </row>
    <row r="690">
      <c r="A690" s="52"/>
      <c r="B690" s="15"/>
      <c r="C690" s="16"/>
      <c r="D690" s="15"/>
      <c r="E690" s="17"/>
      <c r="F690" s="54"/>
      <c r="G690" s="19"/>
      <c r="H690" s="17"/>
      <c r="I690" s="19"/>
      <c r="J690" s="21"/>
      <c r="K690" s="57"/>
      <c r="L690" s="24"/>
      <c r="M690" s="25"/>
      <c r="N690" s="25"/>
      <c r="O690" s="25"/>
      <c r="P690" s="25"/>
    </row>
    <row r="691">
      <c r="A691" s="52"/>
      <c r="B691" s="15"/>
      <c r="C691" s="16"/>
      <c r="D691" s="15"/>
      <c r="E691" s="17"/>
      <c r="F691" s="54"/>
      <c r="G691" s="19"/>
      <c r="H691" s="17"/>
      <c r="I691" s="19"/>
      <c r="J691" s="21"/>
      <c r="K691" s="57"/>
      <c r="L691" s="24"/>
      <c r="M691" s="25"/>
      <c r="N691" s="25"/>
      <c r="O691" s="25"/>
      <c r="P691" s="25"/>
    </row>
    <row r="692">
      <c r="A692" s="52"/>
      <c r="B692" s="15"/>
      <c r="C692" s="16"/>
      <c r="D692" s="15"/>
      <c r="E692" s="17"/>
      <c r="F692" s="54"/>
      <c r="G692" s="19"/>
      <c r="H692" s="17"/>
      <c r="I692" s="19"/>
      <c r="J692" s="21"/>
      <c r="K692" s="57"/>
      <c r="L692" s="24"/>
      <c r="M692" s="25"/>
      <c r="N692" s="25"/>
      <c r="O692" s="25"/>
      <c r="P692" s="25"/>
    </row>
    <row r="693">
      <c r="A693" s="52"/>
      <c r="B693" s="15"/>
      <c r="C693" s="16"/>
      <c r="D693" s="15"/>
      <c r="E693" s="17"/>
      <c r="F693" s="54"/>
      <c r="G693" s="19"/>
      <c r="H693" s="17"/>
      <c r="I693" s="19"/>
      <c r="J693" s="21"/>
      <c r="K693" s="57"/>
      <c r="L693" s="24"/>
      <c r="M693" s="25"/>
      <c r="N693" s="25"/>
      <c r="O693" s="25"/>
      <c r="P693" s="25"/>
    </row>
    <row r="694">
      <c r="A694" s="52"/>
      <c r="B694" s="15"/>
      <c r="C694" s="16"/>
      <c r="D694" s="15"/>
      <c r="E694" s="17"/>
      <c r="F694" s="54"/>
      <c r="G694" s="19"/>
      <c r="H694" s="17"/>
      <c r="I694" s="19"/>
      <c r="J694" s="21"/>
      <c r="K694" s="57"/>
      <c r="L694" s="24"/>
      <c r="M694" s="25"/>
      <c r="N694" s="25"/>
      <c r="O694" s="25"/>
      <c r="P694" s="25"/>
    </row>
    <row r="695">
      <c r="A695" s="52"/>
      <c r="B695" s="15"/>
      <c r="C695" s="16"/>
      <c r="D695" s="15"/>
      <c r="E695" s="17"/>
      <c r="F695" s="54"/>
      <c r="G695" s="19"/>
      <c r="H695" s="17"/>
      <c r="I695" s="19"/>
      <c r="J695" s="21"/>
      <c r="K695" s="57"/>
      <c r="L695" s="24"/>
      <c r="M695" s="25"/>
      <c r="N695" s="25"/>
      <c r="O695" s="25"/>
      <c r="P695" s="25"/>
    </row>
    <row r="696">
      <c r="A696" s="52"/>
      <c r="B696" s="15"/>
      <c r="C696" s="16"/>
      <c r="D696" s="15"/>
      <c r="E696" s="17"/>
      <c r="F696" s="54"/>
      <c r="G696" s="19"/>
      <c r="H696" s="17"/>
      <c r="I696" s="19"/>
      <c r="J696" s="21"/>
      <c r="K696" s="57"/>
      <c r="L696" s="24"/>
      <c r="M696" s="25"/>
      <c r="N696" s="25"/>
      <c r="O696" s="25"/>
      <c r="P696" s="25"/>
    </row>
    <row r="697">
      <c r="A697" s="52"/>
      <c r="B697" s="15"/>
      <c r="C697" s="16"/>
      <c r="D697" s="15"/>
      <c r="E697" s="17"/>
      <c r="F697" s="54"/>
      <c r="G697" s="19"/>
      <c r="H697" s="17"/>
      <c r="I697" s="19"/>
      <c r="J697" s="21"/>
      <c r="K697" s="57"/>
      <c r="L697" s="24"/>
      <c r="M697" s="25"/>
      <c r="N697" s="25"/>
      <c r="O697" s="25"/>
      <c r="P697" s="25"/>
    </row>
    <row r="698">
      <c r="A698" s="52"/>
      <c r="B698" s="15"/>
      <c r="C698" s="16"/>
      <c r="D698" s="15"/>
      <c r="E698" s="17"/>
      <c r="F698" s="54"/>
      <c r="G698" s="19"/>
      <c r="H698" s="17"/>
      <c r="I698" s="19"/>
      <c r="J698" s="21"/>
      <c r="K698" s="57"/>
      <c r="L698" s="24"/>
      <c r="M698" s="25"/>
      <c r="N698" s="25"/>
      <c r="O698" s="25"/>
      <c r="P698" s="25"/>
    </row>
    <row r="699">
      <c r="A699" s="52"/>
      <c r="B699" s="15"/>
      <c r="C699" s="16"/>
      <c r="D699" s="15"/>
      <c r="E699" s="17"/>
      <c r="F699" s="54"/>
      <c r="G699" s="19"/>
      <c r="H699" s="17"/>
      <c r="I699" s="19"/>
      <c r="J699" s="21"/>
      <c r="K699" s="57"/>
      <c r="L699" s="24"/>
      <c r="M699" s="25"/>
      <c r="N699" s="25"/>
      <c r="O699" s="25"/>
      <c r="P699" s="25"/>
    </row>
    <row r="700">
      <c r="A700" s="52"/>
      <c r="B700" s="15"/>
      <c r="C700" s="16"/>
      <c r="D700" s="15"/>
      <c r="E700" s="17"/>
      <c r="F700" s="54"/>
      <c r="G700" s="19"/>
      <c r="H700" s="17"/>
      <c r="I700" s="19"/>
      <c r="J700" s="21"/>
      <c r="K700" s="57"/>
      <c r="L700" s="24"/>
      <c r="M700" s="25"/>
      <c r="N700" s="25"/>
      <c r="O700" s="25"/>
      <c r="P700" s="25"/>
    </row>
    <row r="701">
      <c r="A701" s="52"/>
      <c r="B701" s="15"/>
      <c r="C701" s="16"/>
      <c r="D701" s="15"/>
      <c r="E701" s="17"/>
      <c r="F701" s="54"/>
      <c r="G701" s="19"/>
      <c r="H701" s="17"/>
      <c r="I701" s="19"/>
      <c r="J701" s="21"/>
      <c r="K701" s="57"/>
      <c r="L701" s="24"/>
      <c r="M701" s="25"/>
      <c r="N701" s="25"/>
      <c r="O701" s="25"/>
      <c r="P701" s="25"/>
    </row>
    <row r="702">
      <c r="A702" s="52"/>
      <c r="B702" s="15"/>
      <c r="C702" s="16"/>
      <c r="D702" s="15"/>
      <c r="E702" s="17"/>
      <c r="F702" s="54"/>
      <c r="G702" s="19"/>
      <c r="H702" s="17"/>
      <c r="I702" s="19"/>
      <c r="J702" s="21"/>
      <c r="K702" s="57"/>
      <c r="L702" s="24"/>
      <c r="M702" s="25"/>
      <c r="N702" s="25"/>
      <c r="O702" s="25"/>
      <c r="P702" s="25"/>
    </row>
    <row r="703">
      <c r="A703" s="52"/>
      <c r="B703" s="15"/>
      <c r="C703" s="16"/>
      <c r="D703" s="15"/>
      <c r="E703" s="17"/>
      <c r="F703" s="54"/>
      <c r="G703" s="19"/>
      <c r="H703" s="17"/>
      <c r="I703" s="19"/>
      <c r="J703" s="21"/>
      <c r="K703" s="57"/>
      <c r="L703" s="24"/>
      <c r="M703" s="25"/>
      <c r="N703" s="25"/>
      <c r="O703" s="25"/>
      <c r="P703" s="25"/>
    </row>
    <row r="704">
      <c r="A704" s="52"/>
      <c r="B704" s="15"/>
      <c r="C704" s="16"/>
      <c r="D704" s="15"/>
      <c r="E704" s="17"/>
      <c r="F704" s="54"/>
      <c r="G704" s="19"/>
      <c r="H704" s="17"/>
      <c r="I704" s="19"/>
      <c r="J704" s="21"/>
      <c r="K704" s="57"/>
      <c r="L704" s="24"/>
      <c r="M704" s="25"/>
      <c r="N704" s="25"/>
      <c r="O704" s="25"/>
      <c r="P704" s="25"/>
    </row>
    <row r="705">
      <c r="A705" s="52"/>
      <c r="B705" s="15"/>
      <c r="C705" s="16"/>
      <c r="D705" s="15"/>
      <c r="E705" s="17"/>
      <c r="F705" s="54"/>
      <c r="G705" s="19"/>
      <c r="H705" s="17"/>
      <c r="I705" s="19"/>
      <c r="J705" s="21"/>
      <c r="K705" s="57"/>
      <c r="L705" s="24"/>
      <c r="M705" s="25"/>
      <c r="N705" s="25"/>
      <c r="O705" s="25"/>
      <c r="P705" s="25"/>
    </row>
    <row r="706">
      <c r="A706" s="52"/>
      <c r="B706" s="15"/>
      <c r="C706" s="16"/>
      <c r="D706" s="15"/>
      <c r="E706" s="17"/>
      <c r="F706" s="54"/>
      <c r="G706" s="19"/>
      <c r="H706" s="17"/>
      <c r="I706" s="19"/>
      <c r="J706" s="21"/>
      <c r="K706" s="57"/>
      <c r="L706" s="24"/>
      <c r="M706" s="25"/>
      <c r="N706" s="25"/>
      <c r="O706" s="25"/>
      <c r="P706" s="25"/>
    </row>
    <row r="707">
      <c r="A707" s="52"/>
      <c r="B707" s="15"/>
      <c r="C707" s="16"/>
      <c r="D707" s="15"/>
      <c r="E707" s="17"/>
      <c r="F707" s="54"/>
      <c r="G707" s="19"/>
      <c r="H707" s="17"/>
      <c r="I707" s="19"/>
      <c r="J707" s="21"/>
      <c r="K707" s="57"/>
      <c r="L707" s="24"/>
      <c r="M707" s="25"/>
      <c r="N707" s="25"/>
      <c r="O707" s="25"/>
      <c r="P707" s="25"/>
    </row>
    <row r="708">
      <c r="A708" s="52"/>
      <c r="B708" s="15"/>
      <c r="C708" s="16"/>
      <c r="D708" s="15"/>
      <c r="E708" s="17"/>
      <c r="F708" s="54"/>
      <c r="G708" s="19"/>
      <c r="H708" s="17"/>
      <c r="I708" s="19"/>
      <c r="J708" s="21"/>
      <c r="K708" s="57"/>
      <c r="L708" s="24"/>
      <c r="M708" s="25"/>
      <c r="N708" s="25"/>
      <c r="O708" s="25"/>
      <c r="P708" s="25"/>
    </row>
    <row r="709">
      <c r="A709" s="52"/>
      <c r="B709" s="15"/>
      <c r="C709" s="16"/>
      <c r="D709" s="15"/>
      <c r="E709" s="17"/>
      <c r="F709" s="54"/>
      <c r="G709" s="19"/>
      <c r="H709" s="17"/>
      <c r="I709" s="19"/>
      <c r="J709" s="21"/>
      <c r="K709" s="57"/>
      <c r="L709" s="24"/>
      <c r="M709" s="25"/>
      <c r="N709" s="25"/>
      <c r="O709" s="25"/>
      <c r="P709" s="25"/>
    </row>
    <row r="710">
      <c r="A710" s="52"/>
      <c r="B710" s="15"/>
      <c r="C710" s="16"/>
      <c r="D710" s="15"/>
      <c r="E710" s="17"/>
      <c r="F710" s="54"/>
      <c r="G710" s="19"/>
      <c r="H710" s="17"/>
      <c r="I710" s="19"/>
      <c r="J710" s="21"/>
      <c r="K710" s="57"/>
      <c r="L710" s="24"/>
      <c r="M710" s="25"/>
      <c r="N710" s="25"/>
      <c r="O710" s="25"/>
      <c r="P710" s="25"/>
    </row>
    <row r="711">
      <c r="A711" s="52"/>
      <c r="B711" s="15"/>
      <c r="C711" s="16"/>
      <c r="D711" s="15"/>
      <c r="E711" s="17"/>
      <c r="F711" s="54"/>
      <c r="G711" s="19"/>
      <c r="H711" s="17"/>
      <c r="I711" s="19"/>
      <c r="J711" s="21"/>
      <c r="K711" s="57"/>
      <c r="L711" s="24"/>
      <c r="M711" s="25"/>
      <c r="N711" s="25"/>
      <c r="O711" s="25"/>
      <c r="P711" s="25"/>
    </row>
    <row r="712">
      <c r="A712" s="52"/>
      <c r="B712" s="15"/>
      <c r="C712" s="16"/>
      <c r="D712" s="15"/>
      <c r="E712" s="17"/>
      <c r="F712" s="54"/>
      <c r="G712" s="19"/>
      <c r="H712" s="17"/>
      <c r="I712" s="19"/>
      <c r="J712" s="21"/>
      <c r="K712" s="57"/>
      <c r="L712" s="24"/>
      <c r="M712" s="25"/>
      <c r="N712" s="25"/>
      <c r="O712" s="25"/>
      <c r="P712" s="25"/>
    </row>
    <row r="713">
      <c r="A713" s="52"/>
      <c r="B713" s="15"/>
      <c r="C713" s="16"/>
      <c r="D713" s="15"/>
      <c r="E713" s="17"/>
      <c r="F713" s="54"/>
      <c r="G713" s="19"/>
      <c r="H713" s="17"/>
      <c r="I713" s="19"/>
      <c r="J713" s="21"/>
      <c r="K713" s="57"/>
      <c r="L713" s="24"/>
      <c r="M713" s="25"/>
      <c r="N713" s="25"/>
      <c r="O713" s="25"/>
      <c r="P713" s="25"/>
    </row>
    <row r="714">
      <c r="A714" s="52"/>
      <c r="B714" s="15"/>
      <c r="C714" s="16"/>
      <c r="D714" s="15"/>
      <c r="E714" s="17"/>
      <c r="F714" s="54"/>
      <c r="G714" s="19"/>
      <c r="H714" s="17"/>
      <c r="I714" s="19"/>
      <c r="J714" s="21"/>
      <c r="K714" s="57"/>
      <c r="L714" s="24"/>
      <c r="M714" s="25"/>
      <c r="N714" s="25"/>
      <c r="O714" s="25"/>
      <c r="P714" s="25"/>
    </row>
    <row r="715">
      <c r="A715" s="52"/>
      <c r="B715" s="15"/>
      <c r="C715" s="16"/>
      <c r="D715" s="15"/>
      <c r="E715" s="17"/>
      <c r="F715" s="54"/>
      <c r="G715" s="19"/>
      <c r="H715" s="17"/>
      <c r="I715" s="19"/>
      <c r="J715" s="21"/>
      <c r="K715" s="57"/>
      <c r="L715" s="24"/>
      <c r="M715" s="25"/>
      <c r="N715" s="25"/>
      <c r="O715" s="25"/>
      <c r="P715" s="25"/>
    </row>
    <row r="716">
      <c r="A716" s="52"/>
      <c r="B716" s="15"/>
      <c r="C716" s="16"/>
      <c r="D716" s="15"/>
      <c r="E716" s="17"/>
      <c r="F716" s="54"/>
      <c r="G716" s="19"/>
      <c r="H716" s="17"/>
      <c r="I716" s="19"/>
      <c r="J716" s="21"/>
      <c r="K716" s="57"/>
      <c r="L716" s="24"/>
      <c r="M716" s="25"/>
      <c r="N716" s="25"/>
      <c r="O716" s="25"/>
      <c r="P716" s="25"/>
    </row>
    <row r="717">
      <c r="A717" s="52"/>
      <c r="B717" s="15"/>
      <c r="C717" s="16"/>
      <c r="D717" s="15"/>
      <c r="E717" s="17"/>
      <c r="F717" s="54"/>
      <c r="G717" s="19"/>
      <c r="H717" s="17"/>
      <c r="I717" s="19"/>
      <c r="J717" s="21"/>
      <c r="K717" s="57"/>
      <c r="L717" s="24"/>
      <c r="M717" s="25"/>
      <c r="N717" s="25"/>
      <c r="O717" s="25"/>
      <c r="P717" s="25"/>
    </row>
    <row r="718">
      <c r="A718" s="52"/>
      <c r="B718" s="15"/>
      <c r="C718" s="16"/>
      <c r="D718" s="15"/>
      <c r="E718" s="17"/>
      <c r="F718" s="54"/>
      <c r="G718" s="19"/>
      <c r="H718" s="17"/>
      <c r="I718" s="19"/>
      <c r="J718" s="21"/>
      <c r="K718" s="57"/>
      <c r="L718" s="24"/>
      <c r="M718" s="25"/>
      <c r="N718" s="25"/>
      <c r="O718" s="25"/>
      <c r="P718" s="25"/>
    </row>
    <row r="719">
      <c r="A719" s="52"/>
      <c r="B719" s="15"/>
      <c r="C719" s="16"/>
      <c r="D719" s="15"/>
      <c r="E719" s="17"/>
      <c r="F719" s="54"/>
      <c r="G719" s="19"/>
      <c r="H719" s="17"/>
      <c r="I719" s="19"/>
      <c r="J719" s="21"/>
      <c r="K719" s="57"/>
      <c r="L719" s="24"/>
      <c r="M719" s="25"/>
      <c r="N719" s="25"/>
      <c r="O719" s="25"/>
      <c r="P719" s="25"/>
    </row>
    <row r="720">
      <c r="A720" s="52"/>
      <c r="B720" s="15"/>
      <c r="C720" s="16"/>
      <c r="D720" s="15"/>
      <c r="E720" s="17"/>
      <c r="F720" s="54"/>
      <c r="G720" s="19"/>
      <c r="H720" s="17"/>
      <c r="I720" s="19"/>
      <c r="J720" s="21"/>
      <c r="K720" s="57"/>
      <c r="L720" s="24"/>
      <c r="M720" s="25"/>
      <c r="N720" s="25"/>
      <c r="O720" s="25"/>
      <c r="P720" s="25"/>
    </row>
    <row r="721">
      <c r="A721" s="52"/>
      <c r="B721" s="15"/>
      <c r="C721" s="16"/>
      <c r="D721" s="15"/>
      <c r="E721" s="17"/>
      <c r="F721" s="54"/>
      <c r="G721" s="19"/>
      <c r="H721" s="17"/>
      <c r="I721" s="19"/>
      <c r="J721" s="21"/>
      <c r="K721" s="57"/>
      <c r="L721" s="24"/>
      <c r="M721" s="25"/>
      <c r="N721" s="25"/>
      <c r="O721" s="25"/>
      <c r="P721" s="25"/>
    </row>
    <row r="722">
      <c r="A722" s="52"/>
      <c r="B722" s="15"/>
      <c r="C722" s="16"/>
      <c r="D722" s="15"/>
      <c r="E722" s="17"/>
      <c r="F722" s="54"/>
      <c r="G722" s="19"/>
      <c r="H722" s="17"/>
      <c r="I722" s="19"/>
      <c r="J722" s="21"/>
      <c r="K722" s="57"/>
      <c r="L722" s="24"/>
      <c r="M722" s="25"/>
      <c r="N722" s="25"/>
      <c r="O722" s="25"/>
      <c r="P722" s="25"/>
    </row>
    <row r="723">
      <c r="A723" s="52"/>
      <c r="B723" s="15"/>
      <c r="C723" s="16"/>
      <c r="D723" s="15"/>
      <c r="E723" s="17"/>
      <c r="F723" s="54"/>
      <c r="G723" s="19"/>
      <c r="H723" s="17"/>
      <c r="I723" s="19"/>
      <c r="J723" s="21"/>
      <c r="K723" s="57"/>
      <c r="L723" s="24"/>
      <c r="M723" s="25"/>
      <c r="N723" s="25"/>
      <c r="O723" s="25"/>
      <c r="P723" s="25"/>
    </row>
    <row r="724">
      <c r="A724" s="52"/>
      <c r="B724" s="15"/>
      <c r="C724" s="16"/>
      <c r="D724" s="15"/>
      <c r="E724" s="17"/>
      <c r="F724" s="54"/>
      <c r="G724" s="19"/>
      <c r="H724" s="17"/>
      <c r="I724" s="19"/>
      <c r="J724" s="21"/>
      <c r="K724" s="57"/>
      <c r="L724" s="24"/>
      <c r="M724" s="25"/>
      <c r="N724" s="25"/>
      <c r="O724" s="25"/>
      <c r="P724" s="25"/>
    </row>
    <row r="725">
      <c r="A725" s="52"/>
      <c r="B725" s="15"/>
      <c r="C725" s="16"/>
      <c r="D725" s="15"/>
      <c r="E725" s="17"/>
      <c r="F725" s="54"/>
      <c r="G725" s="19"/>
      <c r="H725" s="17"/>
      <c r="I725" s="19"/>
      <c r="J725" s="21"/>
      <c r="K725" s="57"/>
      <c r="L725" s="24"/>
      <c r="M725" s="25"/>
      <c r="N725" s="25"/>
      <c r="O725" s="25"/>
      <c r="P725" s="25"/>
    </row>
    <row r="726">
      <c r="A726" s="52"/>
      <c r="B726" s="15"/>
      <c r="C726" s="16"/>
      <c r="D726" s="15"/>
      <c r="E726" s="17"/>
      <c r="F726" s="54"/>
      <c r="G726" s="19"/>
      <c r="H726" s="17"/>
      <c r="I726" s="19"/>
      <c r="J726" s="21"/>
      <c r="K726" s="57"/>
      <c r="L726" s="24"/>
      <c r="M726" s="25"/>
      <c r="N726" s="25"/>
      <c r="O726" s="25"/>
      <c r="P726" s="25"/>
    </row>
    <row r="727">
      <c r="A727" s="52"/>
      <c r="B727" s="15"/>
      <c r="C727" s="16"/>
      <c r="D727" s="15"/>
      <c r="E727" s="17"/>
      <c r="F727" s="54"/>
      <c r="G727" s="19"/>
      <c r="H727" s="17"/>
      <c r="I727" s="19"/>
      <c r="J727" s="21"/>
      <c r="K727" s="57"/>
      <c r="L727" s="24"/>
      <c r="M727" s="25"/>
      <c r="N727" s="25"/>
      <c r="O727" s="25"/>
      <c r="P727" s="25"/>
    </row>
    <row r="728">
      <c r="A728" s="52"/>
      <c r="B728" s="15"/>
      <c r="C728" s="16"/>
      <c r="D728" s="15"/>
      <c r="E728" s="17"/>
      <c r="F728" s="54"/>
      <c r="G728" s="19"/>
      <c r="H728" s="17"/>
      <c r="I728" s="19"/>
      <c r="J728" s="21"/>
      <c r="K728" s="57"/>
      <c r="L728" s="24"/>
      <c r="M728" s="25"/>
      <c r="N728" s="25"/>
      <c r="O728" s="25"/>
      <c r="P728" s="25"/>
    </row>
    <row r="729">
      <c r="A729" s="52"/>
      <c r="B729" s="15"/>
      <c r="C729" s="16"/>
      <c r="D729" s="15"/>
      <c r="E729" s="17"/>
      <c r="F729" s="54"/>
      <c r="G729" s="19"/>
      <c r="H729" s="17"/>
      <c r="I729" s="19"/>
      <c r="J729" s="21"/>
      <c r="K729" s="57"/>
      <c r="L729" s="24"/>
      <c r="M729" s="25"/>
      <c r="N729" s="25"/>
      <c r="O729" s="25"/>
      <c r="P729" s="25"/>
    </row>
    <row r="730">
      <c r="A730" s="52"/>
      <c r="B730" s="15"/>
      <c r="C730" s="16"/>
      <c r="D730" s="15"/>
      <c r="E730" s="17"/>
      <c r="F730" s="54"/>
      <c r="G730" s="19"/>
      <c r="H730" s="17"/>
      <c r="I730" s="19"/>
      <c r="J730" s="21"/>
      <c r="K730" s="57"/>
      <c r="L730" s="24"/>
      <c r="M730" s="25"/>
      <c r="N730" s="25"/>
      <c r="O730" s="25"/>
      <c r="P730" s="25"/>
    </row>
    <row r="731">
      <c r="A731" s="52"/>
      <c r="B731" s="15"/>
      <c r="C731" s="16"/>
      <c r="D731" s="15"/>
      <c r="E731" s="17"/>
      <c r="F731" s="54"/>
      <c r="G731" s="19"/>
      <c r="H731" s="17"/>
      <c r="I731" s="19"/>
      <c r="J731" s="21"/>
      <c r="K731" s="57"/>
      <c r="L731" s="24"/>
      <c r="M731" s="25"/>
      <c r="N731" s="25"/>
      <c r="O731" s="25"/>
      <c r="P731" s="25"/>
    </row>
    <row r="732">
      <c r="A732" s="52"/>
      <c r="B732" s="15"/>
      <c r="C732" s="16"/>
      <c r="D732" s="15"/>
      <c r="E732" s="17"/>
      <c r="F732" s="54"/>
      <c r="G732" s="19"/>
      <c r="H732" s="17"/>
      <c r="I732" s="19"/>
      <c r="J732" s="21"/>
      <c r="K732" s="57"/>
      <c r="L732" s="24"/>
      <c r="M732" s="25"/>
      <c r="N732" s="25"/>
      <c r="O732" s="25"/>
      <c r="P732" s="25"/>
    </row>
    <row r="733">
      <c r="A733" s="52"/>
      <c r="B733" s="15"/>
      <c r="C733" s="16"/>
      <c r="D733" s="15"/>
      <c r="E733" s="17"/>
      <c r="F733" s="54"/>
      <c r="G733" s="19"/>
      <c r="H733" s="17"/>
      <c r="I733" s="19"/>
      <c r="J733" s="21"/>
      <c r="K733" s="57"/>
      <c r="L733" s="24"/>
      <c r="M733" s="25"/>
      <c r="N733" s="25"/>
      <c r="O733" s="25"/>
      <c r="P733" s="25"/>
    </row>
    <row r="734">
      <c r="A734" s="52"/>
      <c r="B734" s="15"/>
      <c r="C734" s="16"/>
      <c r="D734" s="15"/>
      <c r="E734" s="17"/>
      <c r="F734" s="54"/>
      <c r="G734" s="19"/>
      <c r="H734" s="17"/>
      <c r="I734" s="19"/>
      <c r="J734" s="21"/>
      <c r="K734" s="57"/>
      <c r="L734" s="24"/>
      <c r="M734" s="25"/>
      <c r="N734" s="25"/>
      <c r="O734" s="25"/>
      <c r="P734" s="25"/>
    </row>
    <row r="735">
      <c r="A735" s="52"/>
      <c r="B735" s="15"/>
      <c r="C735" s="16"/>
      <c r="D735" s="15"/>
      <c r="E735" s="17"/>
      <c r="F735" s="54"/>
      <c r="G735" s="19"/>
      <c r="H735" s="17"/>
      <c r="I735" s="19"/>
      <c r="J735" s="21"/>
      <c r="K735" s="57"/>
      <c r="L735" s="24"/>
      <c r="M735" s="25"/>
      <c r="N735" s="25"/>
      <c r="O735" s="25"/>
      <c r="P735" s="25"/>
    </row>
    <row r="736">
      <c r="A736" s="52"/>
      <c r="B736" s="15"/>
      <c r="C736" s="16"/>
      <c r="D736" s="15"/>
      <c r="E736" s="17"/>
      <c r="F736" s="54"/>
      <c r="G736" s="19"/>
      <c r="H736" s="17"/>
      <c r="I736" s="19"/>
      <c r="J736" s="21"/>
      <c r="K736" s="57"/>
      <c r="L736" s="24"/>
      <c r="M736" s="25"/>
      <c r="N736" s="25"/>
      <c r="O736" s="25"/>
      <c r="P736" s="25"/>
    </row>
    <row r="737">
      <c r="A737" s="52"/>
      <c r="B737" s="15"/>
      <c r="C737" s="16"/>
      <c r="D737" s="15"/>
      <c r="E737" s="17"/>
      <c r="F737" s="54"/>
      <c r="G737" s="19"/>
      <c r="H737" s="17"/>
      <c r="I737" s="19"/>
      <c r="J737" s="21"/>
      <c r="K737" s="57"/>
      <c r="L737" s="24"/>
      <c r="M737" s="25"/>
      <c r="N737" s="25"/>
      <c r="O737" s="25"/>
      <c r="P737" s="25"/>
    </row>
    <row r="738">
      <c r="A738" s="52"/>
      <c r="B738" s="15"/>
      <c r="C738" s="16"/>
      <c r="D738" s="15"/>
      <c r="E738" s="17"/>
      <c r="F738" s="54"/>
      <c r="G738" s="19"/>
      <c r="H738" s="17"/>
      <c r="I738" s="19"/>
      <c r="J738" s="21"/>
      <c r="K738" s="57"/>
      <c r="L738" s="24"/>
      <c r="M738" s="25"/>
      <c r="N738" s="25"/>
      <c r="O738" s="25"/>
      <c r="P738" s="25"/>
    </row>
    <row r="739">
      <c r="A739" s="52"/>
      <c r="B739" s="15"/>
      <c r="C739" s="16"/>
      <c r="D739" s="15"/>
      <c r="E739" s="17"/>
      <c r="F739" s="54"/>
      <c r="G739" s="19"/>
      <c r="H739" s="17"/>
      <c r="I739" s="19"/>
      <c r="J739" s="21"/>
      <c r="K739" s="57"/>
      <c r="L739" s="24"/>
      <c r="M739" s="25"/>
      <c r="N739" s="25"/>
      <c r="O739" s="25"/>
      <c r="P739" s="25"/>
    </row>
    <row r="740">
      <c r="A740" s="52"/>
      <c r="B740" s="15"/>
      <c r="C740" s="16"/>
      <c r="D740" s="15"/>
      <c r="E740" s="17"/>
      <c r="F740" s="54"/>
      <c r="G740" s="19"/>
      <c r="H740" s="17"/>
      <c r="I740" s="19"/>
      <c r="J740" s="21"/>
      <c r="K740" s="57"/>
      <c r="L740" s="24"/>
      <c r="M740" s="25"/>
      <c r="N740" s="25"/>
      <c r="O740" s="25"/>
      <c r="P740" s="25"/>
    </row>
    <row r="741">
      <c r="A741" s="52"/>
      <c r="B741" s="15"/>
      <c r="C741" s="16"/>
      <c r="D741" s="15"/>
      <c r="E741" s="17"/>
      <c r="F741" s="54"/>
      <c r="G741" s="19"/>
      <c r="H741" s="17"/>
      <c r="I741" s="19"/>
      <c r="J741" s="21"/>
      <c r="K741" s="57"/>
      <c r="L741" s="24"/>
      <c r="M741" s="25"/>
      <c r="N741" s="25"/>
      <c r="O741" s="25"/>
      <c r="P741" s="25"/>
    </row>
    <row r="742">
      <c r="A742" s="52"/>
      <c r="B742" s="15"/>
      <c r="C742" s="16"/>
      <c r="D742" s="15"/>
      <c r="E742" s="17"/>
      <c r="F742" s="54"/>
      <c r="G742" s="19"/>
      <c r="H742" s="17"/>
      <c r="I742" s="19"/>
      <c r="J742" s="21"/>
      <c r="K742" s="57"/>
      <c r="L742" s="24"/>
      <c r="M742" s="25"/>
      <c r="N742" s="25"/>
      <c r="O742" s="25"/>
      <c r="P742" s="25"/>
    </row>
    <row r="743">
      <c r="A743" s="52"/>
      <c r="B743" s="15"/>
      <c r="C743" s="16"/>
      <c r="D743" s="15"/>
      <c r="E743" s="17"/>
      <c r="F743" s="54"/>
      <c r="G743" s="19"/>
      <c r="H743" s="17"/>
      <c r="I743" s="19"/>
      <c r="J743" s="21"/>
      <c r="K743" s="57"/>
      <c r="L743" s="24"/>
      <c r="M743" s="25"/>
      <c r="N743" s="25"/>
      <c r="O743" s="25"/>
      <c r="P743" s="25"/>
    </row>
    <row r="744">
      <c r="A744" s="52"/>
      <c r="B744" s="15"/>
      <c r="C744" s="16"/>
      <c r="D744" s="15"/>
      <c r="E744" s="17"/>
      <c r="F744" s="54"/>
      <c r="G744" s="19"/>
      <c r="H744" s="17"/>
      <c r="I744" s="19"/>
      <c r="J744" s="21"/>
      <c r="K744" s="57"/>
      <c r="L744" s="24"/>
      <c r="M744" s="25"/>
      <c r="N744" s="25"/>
      <c r="O744" s="25"/>
      <c r="P744" s="25"/>
    </row>
    <row r="745">
      <c r="A745" s="52"/>
      <c r="B745" s="15"/>
      <c r="C745" s="16"/>
      <c r="D745" s="15"/>
      <c r="E745" s="17"/>
      <c r="F745" s="54"/>
      <c r="G745" s="19"/>
      <c r="H745" s="17"/>
      <c r="I745" s="19"/>
      <c r="J745" s="21"/>
      <c r="K745" s="57"/>
      <c r="L745" s="24"/>
      <c r="M745" s="25"/>
      <c r="N745" s="25"/>
      <c r="O745" s="25"/>
      <c r="P745" s="25"/>
    </row>
    <row r="746">
      <c r="A746" s="52"/>
      <c r="B746" s="15"/>
      <c r="C746" s="16"/>
      <c r="D746" s="15"/>
      <c r="E746" s="17"/>
      <c r="F746" s="54"/>
      <c r="G746" s="19"/>
      <c r="H746" s="17"/>
      <c r="I746" s="19"/>
      <c r="J746" s="21"/>
      <c r="K746" s="57"/>
      <c r="L746" s="24"/>
      <c r="M746" s="25"/>
      <c r="N746" s="25"/>
      <c r="O746" s="25"/>
      <c r="P746" s="25"/>
    </row>
    <row r="747">
      <c r="A747" s="74"/>
      <c r="B747" s="15"/>
      <c r="C747" s="16"/>
      <c r="D747" s="15"/>
      <c r="E747" s="17"/>
      <c r="F747" s="54"/>
      <c r="G747" s="19"/>
      <c r="H747" s="17"/>
      <c r="I747" s="19"/>
      <c r="J747" s="21"/>
      <c r="K747" s="57"/>
      <c r="L747" s="24"/>
      <c r="M747" s="25"/>
      <c r="N747" s="25"/>
      <c r="O747" s="25"/>
      <c r="P747" s="25"/>
    </row>
    <row r="748">
      <c r="A748" s="74"/>
      <c r="B748" s="15"/>
      <c r="C748" s="16"/>
      <c r="D748" s="15"/>
      <c r="E748" s="17"/>
      <c r="F748" s="54"/>
      <c r="G748" s="19"/>
      <c r="H748" s="17"/>
      <c r="I748" s="19"/>
      <c r="J748" s="21"/>
      <c r="K748" s="57"/>
      <c r="L748" s="24"/>
      <c r="M748" s="25"/>
      <c r="N748" s="25"/>
      <c r="O748" s="25"/>
      <c r="P748" s="25"/>
    </row>
    <row r="749">
      <c r="A749" s="74"/>
      <c r="B749" s="15"/>
      <c r="C749" s="16"/>
      <c r="D749" s="15"/>
      <c r="E749" s="17"/>
      <c r="F749" s="54"/>
      <c r="G749" s="19"/>
      <c r="H749" s="17"/>
      <c r="I749" s="19"/>
      <c r="J749" s="21"/>
      <c r="K749" s="57"/>
      <c r="L749" s="24"/>
      <c r="M749" s="25"/>
      <c r="N749" s="25"/>
      <c r="O749" s="25"/>
      <c r="P749" s="25"/>
    </row>
    <row r="750">
      <c r="A750" s="74"/>
      <c r="B750" s="15"/>
      <c r="C750" s="16"/>
      <c r="D750" s="15"/>
      <c r="E750" s="17"/>
      <c r="F750" s="54"/>
      <c r="G750" s="19"/>
      <c r="H750" s="17"/>
      <c r="I750" s="19"/>
      <c r="J750" s="21"/>
      <c r="K750" s="57"/>
      <c r="L750" s="24"/>
      <c r="M750" s="25"/>
      <c r="N750" s="25"/>
      <c r="O750" s="25"/>
      <c r="P750" s="25"/>
    </row>
    <row r="751">
      <c r="A751" s="52"/>
      <c r="B751" s="15"/>
      <c r="C751" s="16"/>
      <c r="D751" s="15"/>
      <c r="E751" s="17"/>
      <c r="F751" s="54"/>
      <c r="G751" s="19"/>
      <c r="H751" s="17"/>
      <c r="I751" s="19"/>
      <c r="J751" s="21"/>
      <c r="K751" s="57"/>
      <c r="L751" s="24"/>
      <c r="M751" s="25"/>
      <c r="N751" s="25"/>
      <c r="O751" s="25"/>
      <c r="P751" s="25"/>
    </row>
    <row r="752">
      <c r="A752" s="52"/>
      <c r="B752" s="15"/>
      <c r="C752" s="16"/>
      <c r="D752" s="15"/>
      <c r="E752" s="17"/>
      <c r="F752" s="54"/>
      <c r="G752" s="19"/>
      <c r="H752" s="17"/>
      <c r="I752" s="19"/>
      <c r="J752" s="21"/>
      <c r="K752" s="57"/>
      <c r="L752" s="24"/>
      <c r="M752" s="25"/>
      <c r="N752" s="25"/>
      <c r="O752" s="25"/>
      <c r="P752" s="25"/>
    </row>
    <row r="753">
      <c r="A753" s="52"/>
      <c r="B753" s="15"/>
      <c r="C753" s="16"/>
      <c r="D753" s="15"/>
      <c r="E753" s="17"/>
      <c r="F753" s="54"/>
      <c r="G753" s="19"/>
      <c r="H753" s="17"/>
      <c r="I753" s="19"/>
      <c r="J753" s="21"/>
      <c r="K753" s="57"/>
      <c r="L753" s="24"/>
      <c r="M753" s="25"/>
      <c r="N753" s="25"/>
      <c r="O753" s="25"/>
      <c r="P753" s="25"/>
    </row>
    <row r="754">
      <c r="A754" s="52"/>
      <c r="B754" s="15"/>
      <c r="C754" s="16"/>
      <c r="D754" s="15"/>
      <c r="E754" s="17"/>
      <c r="F754" s="54"/>
      <c r="G754" s="19"/>
      <c r="H754" s="17"/>
      <c r="I754" s="19"/>
      <c r="J754" s="21"/>
      <c r="K754" s="57"/>
      <c r="L754" s="24"/>
      <c r="M754" s="25"/>
      <c r="N754" s="25"/>
      <c r="O754" s="25"/>
      <c r="P754" s="25"/>
    </row>
    <row r="755">
      <c r="A755" s="52"/>
      <c r="B755" s="15"/>
      <c r="C755" s="16"/>
      <c r="D755" s="15"/>
      <c r="E755" s="17"/>
      <c r="F755" s="54"/>
      <c r="G755" s="19"/>
      <c r="H755" s="17"/>
      <c r="I755" s="19"/>
      <c r="J755" s="21"/>
      <c r="K755" s="57"/>
      <c r="L755" s="24"/>
      <c r="M755" s="25"/>
      <c r="N755" s="25"/>
      <c r="O755" s="25"/>
      <c r="P755" s="25"/>
    </row>
    <row r="756">
      <c r="A756" s="52"/>
      <c r="B756" s="15"/>
      <c r="C756" s="16"/>
      <c r="D756" s="15"/>
      <c r="E756" s="17"/>
      <c r="F756" s="54"/>
      <c r="G756" s="19"/>
      <c r="H756" s="17"/>
      <c r="I756" s="19"/>
      <c r="J756" s="21"/>
      <c r="K756" s="57"/>
      <c r="L756" s="24"/>
      <c r="M756" s="25"/>
      <c r="N756" s="25"/>
      <c r="O756" s="25"/>
      <c r="P756" s="25"/>
    </row>
    <row r="757">
      <c r="A757" s="52"/>
      <c r="B757" s="15"/>
      <c r="C757" s="16"/>
      <c r="D757" s="15"/>
      <c r="E757" s="17"/>
      <c r="F757" s="54"/>
      <c r="G757" s="19"/>
      <c r="H757" s="17"/>
      <c r="I757" s="19"/>
      <c r="J757" s="21"/>
      <c r="K757" s="57"/>
      <c r="L757" s="24"/>
      <c r="M757" s="25"/>
      <c r="N757" s="25"/>
      <c r="O757" s="25"/>
      <c r="P757" s="25"/>
    </row>
    <row r="758">
      <c r="A758" s="52"/>
      <c r="B758" s="15"/>
      <c r="C758" s="16"/>
      <c r="D758" s="15"/>
      <c r="E758" s="17"/>
      <c r="F758" s="54"/>
      <c r="G758" s="19"/>
      <c r="H758" s="17"/>
      <c r="I758" s="19"/>
      <c r="J758" s="21"/>
      <c r="K758" s="57"/>
      <c r="L758" s="24"/>
      <c r="M758" s="25"/>
      <c r="N758" s="25"/>
      <c r="O758" s="25"/>
      <c r="P758" s="25"/>
    </row>
    <row r="759">
      <c r="A759" s="52"/>
      <c r="B759" s="15"/>
      <c r="C759" s="16"/>
      <c r="D759" s="15"/>
      <c r="E759" s="17"/>
      <c r="F759" s="54"/>
      <c r="G759" s="19"/>
      <c r="H759" s="17"/>
      <c r="I759" s="19"/>
      <c r="J759" s="21"/>
      <c r="K759" s="57"/>
      <c r="L759" s="24"/>
      <c r="M759" s="25"/>
      <c r="N759" s="25"/>
      <c r="O759" s="25"/>
      <c r="P759" s="25"/>
    </row>
    <row r="760">
      <c r="A760" s="52"/>
      <c r="B760" s="15"/>
      <c r="C760" s="16"/>
      <c r="D760" s="15"/>
      <c r="E760" s="17"/>
      <c r="F760" s="54"/>
      <c r="G760" s="19"/>
      <c r="H760" s="17"/>
      <c r="I760" s="19"/>
      <c r="J760" s="21"/>
      <c r="K760" s="57"/>
      <c r="L760" s="24"/>
      <c r="M760" s="25"/>
      <c r="N760" s="25"/>
      <c r="O760" s="25"/>
      <c r="P760" s="25"/>
    </row>
    <row r="761">
      <c r="A761" s="52"/>
      <c r="B761" s="15"/>
      <c r="C761" s="16"/>
      <c r="D761" s="15"/>
      <c r="E761" s="17"/>
      <c r="F761" s="54"/>
      <c r="G761" s="19"/>
      <c r="H761" s="17"/>
      <c r="I761" s="19"/>
      <c r="J761" s="21"/>
      <c r="K761" s="57"/>
      <c r="L761" s="24"/>
      <c r="M761" s="25"/>
      <c r="N761" s="25"/>
      <c r="O761" s="25"/>
      <c r="P761" s="25"/>
    </row>
    <row r="762">
      <c r="A762" s="52"/>
      <c r="B762" s="15"/>
      <c r="C762" s="16"/>
      <c r="D762" s="15"/>
      <c r="E762" s="17"/>
      <c r="F762" s="54"/>
      <c r="G762" s="19"/>
      <c r="H762" s="17"/>
      <c r="I762" s="19"/>
      <c r="J762" s="21"/>
      <c r="K762" s="57"/>
      <c r="L762" s="24"/>
      <c r="M762" s="25"/>
      <c r="N762" s="25"/>
      <c r="O762" s="25"/>
      <c r="P762" s="25"/>
    </row>
    <row r="763">
      <c r="A763" s="52"/>
      <c r="B763" s="15"/>
      <c r="C763" s="16"/>
      <c r="D763" s="15"/>
      <c r="E763" s="17"/>
      <c r="F763" s="54"/>
      <c r="G763" s="19"/>
      <c r="H763" s="17"/>
      <c r="I763" s="19"/>
      <c r="J763" s="21"/>
      <c r="K763" s="57"/>
      <c r="L763" s="24"/>
      <c r="M763" s="25"/>
      <c r="N763" s="25"/>
      <c r="O763" s="25"/>
      <c r="P763" s="25"/>
    </row>
    <row r="764">
      <c r="A764" s="52"/>
      <c r="B764" s="15"/>
      <c r="C764" s="16"/>
      <c r="D764" s="15"/>
      <c r="E764" s="17"/>
      <c r="F764" s="54"/>
      <c r="G764" s="19"/>
      <c r="H764" s="17"/>
      <c r="I764" s="19"/>
      <c r="J764" s="21"/>
      <c r="K764" s="57"/>
      <c r="L764" s="24"/>
      <c r="M764" s="25"/>
      <c r="N764" s="25"/>
      <c r="O764" s="25"/>
      <c r="P764" s="25"/>
    </row>
    <row r="765">
      <c r="A765" s="52"/>
      <c r="B765" s="15"/>
      <c r="C765" s="16"/>
      <c r="D765" s="15"/>
      <c r="E765" s="17"/>
      <c r="F765" s="54"/>
      <c r="G765" s="19"/>
      <c r="H765" s="17"/>
      <c r="I765" s="19"/>
      <c r="J765" s="21"/>
      <c r="K765" s="57"/>
      <c r="L765" s="24"/>
      <c r="M765" s="25"/>
      <c r="N765" s="25"/>
      <c r="O765" s="25"/>
      <c r="P765" s="25"/>
    </row>
    <row r="766">
      <c r="A766" s="52"/>
      <c r="B766" s="15"/>
      <c r="C766" s="16"/>
      <c r="D766" s="15"/>
      <c r="E766" s="17"/>
      <c r="F766" s="54"/>
      <c r="G766" s="19"/>
      <c r="H766" s="17"/>
      <c r="I766" s="19"/>
      <c r="J766" s="21"/>
      <c r="K766" s="57"/>
      <c r="L766" s="24"/>
      <c r="M766" s="25"/>
      <c r="N766" s="25"/>
      <c r="O766" s="25"/>
      <c r="P766" s="25"/>
    </row>
    <row r="767">
      <c r="A767" s="52"/>
      <c r="B767" s="15"/>
      <c r="C767" s="16"/>
      <c r="D767" s="15"/>
      <c r="E767" s="17"/>
      <c r="F767" s="54"/>
      <c r="G767" s="19"/>
      <c r="H767" s="17"/>
      <c r="I767" s="19"/>
      <c r="J767" s="21"/>
      <c r="K767" s="57"/>
      <c r="L767" s="24"/>
      <c r="M767" s="25"/>
      <c r="N767" s="25"/>
      <c r="O767" s="25"/>
      <c r="P767" s="25"/>
    </row>
    <row r="768">
      <c r="A768" s="52"/>
      <c r="B768" s="15"/>
      <c r="C768" s="16"/>
      <c r="D768" s="15"/>
      <c r="E768" s="17"/>
      <c r="F768" s="54"/>
      <c r="G768" s="19"/>
      <c r="H768" s="17"/>
      <c r="I768" s="19"/>
      <c r="J768" s="21"/>
      <c r="K768" s="57"/>
      <c r="L768" s="24"/>
      <c r="M768" s="25"/>
      <c r="N768" s="25"/>
      <c r="O768" s="25"/>
      <c r="P768" s="25"/>
    </row>
    <row r="769">
      <c r="A769" s="52"/>
      <c r="B769" s="15"/>
      <c r="C769" s="16"/>
      <c r="D769" s="15"/>
      <c r="E769" s="17"/>
      <c r="F769" s="54"/>
      <c r="G769" s="19"/>
      <c r="H769" s="17"/>
      <c r="I769" s="19"/>
      <c r="J769" s="21"/>
      <c r="K769" s="57"/>
      <c r="L769" s="24"/>
      <c r="M769" s="25"/>
      <c r="N769" s="25"/>
      <c r="O769" s="25"/>
      <c r="P769" s="25"/>
    </row>
    <row r="770">
      <c r="A770" s="52"/>
      <c r="B770" s="15"/>
      <c r="C770" s="16"/>
      <c r="D770" s="15"/>
      <c r="E770" s="17"/>
      <c r="F770" s="54"/>
      <c r="G770" s="19"/>
      <c r="H770" s="17"/>
      <c r="I770" s="19"/>
      <c r="J770" s="21"/>
      <c r="K770" s="57"/>
      <c r="L770" s="24"/>
      <c r="M770" s="25"/>
      <c r="N770" s="25"/>
      <c r="O770" s="25"/>
      <c r="P770" s="25"/>
    </row>
    <row r="771">
      <c r="A771" s="52"/>
      <c r="B771" s="15"/>
      <c r="C771" s="16"/>
      <c r="D771" s="15"/>
      <c r="E771" s="17"/>
      <c r="F771" s="54"/>
      <c r="G771" s="19"/>
      <c r="H771" s="17"/>
      <c r="I771" s="19"/>
      <c r="J771" s="21"/>
      <c r="K771" s="57"/>
      <c r="L771" s="24"/>
      <c r="M771" s="25"/>
      <c r="N771" s="25"/>
      <c r="O771" s="25"/>
      <c r="P771" s="25"/>
    </row>
    <row r="772">
      <c r="A772" s="52"/>
      <c r="B772" s="15"/>
      <c r="C772" s="16"/>
      <c r="D772" s="15"/>
      <c r="E772" s="17"/>
      <c r="F772" s="54"/>
      <c r="G772" s="19"/>
      <c r="H772" s="17"/>
      <c r="I772" s="19"/>
      <c r="J772" s="21"/>
      <c r="K772" s="57"/>
      <c r="L772" s="24"/>
      <c r="M772" s="25"/>
      <c r="N772" s="25"/>
      <c r="O772" s="25"/>
      <c r="P772" s="25"/>
    </row>
    <row r="773">
      <c r="A773" s="52"/>
      <c r="B773" s="15"/>
      <c r="C773" s="16"/>
      <c r="D773" s="15"/>
      <c r="E773" s="17"/>
      <c r="F773" s="54"/>
      <c r="G773" s="19"/>
      <c r="H773" s="17"/>
      <c r="I773" s="19"/>
      <c r="J773" s="21"/>
      <c r="K773" s="57"/>
      <c r="L773" s="24"/>
      <c r="M773" s="25"/>
      <c r="N773" s="25"/>
      <c r="O773" s="25"/>
      <c r="P773" s="25"/>
    </row>
    <row r="774">
      <c r="A774" s="52"/>
      <c r="B774" s="15"/>
      <c r="C774" s="16"/>
      <c r="D774" s="15"/>
      <c r="E774" s="17"/>
      <c r="F774" s="54"/>
      <c r="G774" s="19"/>
      <c r="H774" s="17"/>
      <c r="I774" s="19"/>
      <c r="J774" s="21"/>
      <c r="K774" s="57"/>
      <c r="L774" s="24"/>
      <c r="M774" s="25"/>
      <c r="N774" s="25"/>
      <c r="O774" s="25"/>
      <c r="P774" s="25"/>
    </row>
    <row r="775">
      <c r="A775" s="52"/>
      <c r="B775" s="15"/>
      <c r="C775" s="16"/>
      <c r="D775" s="15"/>
      <c r="E775" s="17"/>
      <c r="F775" s="54"/>
      <c r="G775" s="19"/>
      <c r="H775" s="17"/>
      <c r="I775" s="19"/>
      <c r="J775" s="21"/>
      <c r="K775" s="57"/>
      <c r="L775" s="24"/>
      <c r="M775" s="25"/>
      <c r="N775" s="25"/>
      <c r="O775" s="25"/>
      <c r="P775" s="25"/>
    </row>
    <row r="776">
      <c r="A776" s="52"/>
      <c r="B776" s="15"/>
      <c r="C776" s="16"/>
      <c r="D776" s="15"/>
      <c r="E776" s="17"/>
      <c r="F776" s="54"/>
      <c r="G776" s="19"/>
      <c r="H776" s="17"/>
      <c r="I776" s="19"/>
      <c r="J776" s="21"/>
      <c r="K776" s="57"/>
      <c r="L776" s="24"/>
      <c r="M776" s="25"/>
      <c r="N776" s="25"/>
      <c r="O776" s="25"/>
      <c r="P776" s="25"/>
    </row>
    <row r="777">
      <c r="A777" s="52"/>
      <c r="B777" s="15"/>
      <c r="C777" s="16"/>
      <c r="D777" s="15"/>
      <c r="E777" s="17"/>
      <c r="F777" s="54"/>
      <c r="G777" s="19"/>
      <c r="H777" s="17"/>
      <c r="I777" s="19"/>
      <c r="J777" s="21"/>
      <c r="K777" s="57"/>
      <c r="L777" s="24"/>
      <c r="M777" s="25"/>
      <c r="N777" s="25"/>
      <c r="O777" s="25"/>
      <c r="P777" s="25"/>
    </row>
    <row r="778">
      <c r="A778" s="52"/>
      <c r="B778" s="15"/>
      <c r="C778" s="16"/>
      <c r="D778" s="15"/>
      <c r="E778" s="17"/>
      <c r="F778" s="54"/>
      <c r="G778" s="19"/>
      <c r="H778" s="17"/>
      <c r="I778" s="19"/>
      <c r="J778" s="21"/>
      <c r="K778" s="57"/>
      <c r="L778" s="24"/>
      <c r="M778" s="25"/>
      <c r="N778" s="25"/>
      <c r="O778" s="25"/>
      <c r="P778" s="25"/>
    </row>
    <row r="779">
      <c r="A779" s="52"/>
      <c r="B779" s="15"/>
      <c r="C779" s="16"/>
      <c r="D779" s="15"/>
      <c r="E779" s="17"/>
      <c r="F779" s="54"/>
      <c r="G779" s="19"/>
      <c r="H779" s="17"/>
      <c r="I779" s="19"/>
      <c r="J779" s="21"/>
      <c r="K779" s="57"/>
      <c r="L779" s="24"/>
      <c r="M779" s="25"/>
      <c r="N779" s="25"/>
      <c r="O779" s="25"/>
      <c r="P779" s="25"/>
    </row>
  </sheetData>
  <autoFilter ref="$A$2:$N$779"/>
  <conditionalFormatting sqref="B1">
    <cfRule type="cellIs" dxfId="1" priority="1" operator="equal">
      <formula>"Xbox"</formula>
    </cfRule>
  </conditionalFormatting>
  <conditionalFormatting sqref="A3:A779">
    <cfRule type="expression" dxfId="2" priority="2">
      <formula>MATCH(A3,INDIRECT("'Xbox Game Studios'!A:A"),0)</formula>
    </cfRule>
  </conditionalFormatting>
  <conditionalFormatting sqref="A3:A779">
    <cfRule type="expression" dxfId="3" priority="3">
      <formula>MATCH(A3,INDIRECT("'EA Play'!A:A"),0)</formula>
    </cfRule>
  </conditionalFormatting>
  <conditionalFormatting sqref="A3:A779 D3:D779">
    <cfRule type="expression" dxfId="4" priority="4">
      <formula>$D3="Coming Soon"</formula>
    </cfRule>
  </conditionalFormatting>
  <conditionalFormatting sqref="A3:A779 D3:D779">
    <cfRule type="expression" dxfId="5" priority="5">
      <formula>$D3="Removed"</formula>
    </cfRule>
  </conditionalFormatting>
  <conditionalFormatting sqref="A3:A779 D3:D779">
    <cfRule type="expression" dxfId="6" priority="6">
      <formula>$D3="Leaving Soon"</formula>
    </cfRule>
  </conditionalFormatting>
  <conditionalFormatting sqref="E3:E779 I3:I779">
    <cfRule type="expression" dxfId="1" priority="7">
      <formula>AND($E3&lt;&gt;"",(($E3-$H3)/365*12)&lt;1)</formula>
    </cfRule>
  </conditionalFormatting>
  <conditionalFormatting sqref="J3:J779">
    <cfRule type="cellIs" dxfId="3" priority="8" operator="between">
      <formula>75</formula>
      <formula>90</formula>
    </cfRule>
  </conditionalFormatting>
  <conditionalFormatting sqref="J3:J779">
    <cfRule type="cellIs" dxfId="2" priority="9" operator="between">
      <formula>50</formula>
      <formula>75</formula>
    </cfRule>
  </conditionalFormatting>
  <conditionalFormatting sqref="J3:J779">
    <cfRule type="cellIs" dxfId="5" priority="10" operator="between">
      <formula>1</formula>
      <formula>50</formula>
    </cfRule>
  </conditionalFormatting>
  <conditionalFormatting sqref="B3:B779">
    <cfRule type="expression" dxfId="7" priority="11">
      <formula>AND(MATCH(A3,INDIRECT("'Cross Play'!D2:D"),0),MATCH(A3,INDIRECT("'Cross Play'!A2:A"),0))</formula>
    </cfRule>
  </conditionalFormatting>
  <conditionalFormatting sqref="B3:B779">
    <cfRule type="expression" dxfId="8" priority="12">
      <formula>MATCH(A3,INDIRECT("'Cross Play'!A2:A"),0)</formula>
    </cfRule>
  </conditionalFormatting>
  <conditionalFormatting sqref="B3:B779">
    <cfRule type="expression" dxfId="9"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779">
    <cfRule type="cellIs" dxfId="10"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outlineLevelCol="1"/>
  <cols>
    <col customWidth="1" min="1" max="1" width="55.71"/>
    <col customWidth="1" min="2" max="2" width="10.71"/>
    <col customWidth="1" min="3" max="3" width="27.14"/>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16.43"/>
  </cols>
  <sheetData>
    <row r="1">
      <c r="A1" s="1" t="s">
        <v>0</v>
      </c>
      <c r="B1" s="2">
        <f>COUNTIF(D2:D1319,"Active")+COUNTIF(D2:D1319,"Leaving Soon")</f>
        <v>3</v>
      </c>
      <c r="C1" s="3"/>
      <c r="D1" s="1"/>
      <c r="E1" s="1"/>
      <c r="F1" s="1"/>
      <c r="G1" s="1"/>
      <c r="H1" s="1"/>
      <c r="I1" s="1"/>
      <c r="J1" s="2"/>
      <c r="K1" s="1"/>
      <c r="L1" s="2"/>
      <c r="M1" s="4"/>
      <c r="N1" s="4"/>
      <c r="O1" s="1"/>
      <c r="P1" s="1"/>
    </row>
    <row r="2">
      <c r="A2" s="5" t="s">
        <v>1</v>
      </c>
      <c r="B2" s="6" t="s">
        <v>2</v>
      </c>
      <c r="C2" s="7" t="s">
        <v>3</v>
      </c>
      <c r="D2" s="6" t="s">
        <v>5</v>
      </c>
      <c r="E2" s="6" t="s">
        <v>6</v>
      </c>
      <c r="F2" s="7" t="s">
        <v>7</v>
      </c>
      <c r="G2" s="8" t="s">
        <v>8</v>
      </c>
      <c r="H2" s="9" t="s">
        <v>9</v>
      </c>
      <c r="I2" s="10" t="s">
        <v>10</v>
      </c>
      <c r="J2" s="9" t="s">
        <v>11</v>
      </c>
      <c r="K2" s="9" t="s">
        <v>12</v>
      </c>
      <c r="L2" s="9" t="s">
        <v>13</v>
      </c>
      <c r="M2" s="9" t="s">
        <v>14</v>
      </c>
      <c r="N2" s="11" t="s">
        <v>15</v>
      </c>
      <c r="O2" s="11" t="s">
        <v>16</v>
      </c>
      <c r="P2" s="11" t="s">
        <v>17</v>
      </c>
    </row>
    <row r="3" hidden="1">
      <c r="A3" s="13" t="str">
        <f>IFERROR(__xludf.DUMMYFUNCTION("SORT(FILTER('Master List'!A2:P1319, ('Master List'!C2:C1319=""Essential"")+('Master List'!C2:C1319=""Playstation Plus (Discontinued)"") ), 5, false)"),"F1 25")</f>
        <v>F1 25</v>
      </c>
      <c r="B3" s="15" t="str">
        <f>IFERROR(__xludf.DUMMYFUNCTION("""COMPUTED_VALUE"""),"PS5")</f>
        <v>PS5</v>
      </c>
      <c r="C3" s="16" t="str">
        <f>IFERROR(__xludf.DUMMYFUNCTION("""COMPUTED_VALUE"""),"Essential")</f>
        <v>Essential</v>
      </c>
      <c r="D3" s="15" t="str">
        <f>IFERROR(__xludf.DUMMYFUNCTION("""COMPUTED_VALUE"""),"Leaving Soon")</f>
        <v>Leaving Soon</v>
      </c>
      <c r="E3" s="17">
        <f>IFERROR(__xludf.DUMMYFUNCTION("""COMPUTED_VALUE"""),46301.0)</f>
        <v>46301</v>
      </c>
      <c r="F3" s="18">
        <f>IFERROR(__xludf.DUMMYFUNCTION("""COMPUTED_VALUE"""),46328.0)</f>
        <v>46328</v>
      </c>
      <c r="G3" s="19">
        <f>IFERROR(__xludf.DUMMYFUNCTION("""COMPUTED_VALUE"""),0.8666666666666666)</f>
        <v>0.8666666667</v>
      </c>
      <c r="H3" s="17">
        <f>IFERROR(__xludf.DUMMYFUNCTION("""COMPUTED_VALUE"""),45807.0)</f>
        <v>45807</v>
      </c>
      <c r="I3" s="19">
        <f>IFERROR(__xludf.DUMMYFUNCTION("""COMPUTED_VALUE"""),1.35)</f>
        <v>1.35</v>
      </c>
      <c r="J3" s="21">
        <f>IFERROR(__xludf.DUMMYFUNCTION("""COMPUTED_VALUE"""),80.0)</f>
        <v>80</v>
      </c>
      <c r="K3" s="23">
        <f>IFERROR(__xludf.DUMMYFUNCTION("""COMPUTED_VALUE"""),7.3)</f>
        <v>7.3</v>
      </c>
      <c r="L3" s="24">
        <f>IFERROR(__xludf.DUMMYFUNCTION("""COMPUTED_VALUE"""),6.0)</f>
        <v>6</v>
      </c>
      <c r="M3" s="25" t="str">
        <f>IFERROR(__xludf.DUMMYFUNCTION("""COMPUTED_VALUE"""),"Racing")</f>
        <v>Racing</v>
      </c>
      <c r="N3" s="25"/>
      <c r="O3" s="26" t="str">
        <f>IFERROR(__xludf.DUMMYFUNCTION("""COMPUTED_VALUE"""),"No")</f>
        <v>No</v>
      </c>
      <c r="P3" s="26"/>
    </row>
    <row r="4" hidden="1">
      <c r="A4" s="13" t="str">
        <f>IFERROR(__xludf.DUMMYFUNCTION("""COMPUTED_VALUE"""),"Hunt: Showdown 1896")</f>
        <v>Hunt: Showdown 1896</v>
      </c>
      <c r="B4" s="15" t="str">
        <f>IFERROR(__xludf.DUMMYFUNCTION("""COMPUTED_VALUE"""),"PS5")</f>
        <v>PS5</v>
      </c>
      <c r="C4" s="16" t="str">
        <f>IFERROR(__xludf.DUMMYFUNCTION("""COMPUTED_VALUE"""),"Essential")</f>
        <v>Essential</v>
      </c>
      <c r="D4" s="15" t="str">
        <f>IFERROR(__xludf.DUMMYFUNCTION("""COMPUTED_VALUE"""),"Leaving Soon")</f>
        <v>Leaving Soon</v>
      </c>
      <c r="E4" s="17">
        <f>IFERROR(__xludf.DUMMYFUNCTION("""COMPUTED_VALUE"""),46301.0)</f>
        <v>46301</v>
      </c>
      <c r="F4" s="18">
        <f>IFERROR(__xludf.DUMMYFUNCTION("""COMPUTED_VALUE"""),46328.0)</f>
        <v>46328</v>
      </c>
      <c r="G4" s="19">
        <f>IFERROR(__xludf.DUMMYFUNCTION("""COMPUTED_VALUE"""),0.8666666666666666)</f>
        <v>0.8666666667</v>
      </c>
      <c r="H4" s="17">
        <f>IFERROR(__xludf.DUMMYFUNCTION("""COMPUTED_VALUE"""),45519.0)</f>
        <v>45519</v>
      </c>
      <c r="I4" s="19">
        <f>IFERROR(__xludf.DUMMYFUNCTION("""COMPUTED_VALUE"""),2.1416666666666666)</f>
        <v>2.141666667</v>
      </c>
      <c r="J4" s="21">
        <f>IFERROR(__xludf.DUMMYFUNCTION("""COMPUTED_VALUE"""),80.0)</f>
        <v>80</v>
      </c>
      <c r="K4" s="23">
        <f>IFERROR(__xludf.DUMMYFUNCTION("""COMPUTED_VALUE"""),7.6)</f>
        <v>7.6</v>
      </c>
      <c r="L4" s="24">
        <f>IFERROR(__xludf.DUMMYFUNCTION("""COMPUTED_VALUE"""),58.5)</f>
        <v>58.5</v>
      </c>
      <c r="M4" s="25" t="str">
        <f>IFERROR(__xludf.DUMMYFUNCTION("""COMPUTED_VALUE"""),"Shooter")</f>
        <v>Shooter</v>
      </c>
      <c r="N4" s="25"/>
      <c r="O4" s="26" t="str">
        <f>IFERROR(__xludf.DUMMYFUNCTION("""COMPUTED_VALUE"""),"No")</f>
        <v>No</v>
      </c>
      <c r="P4" s="26"/>
    </row>
    <row r="5" hidden="1">
      <c r="A5" s="13" t="str">
        <f>IFERROR(__xludf.DUMMYFUNCTION("""COMPUTED_VALUE"""),"Earth Defense Force: World Brothers 2")</f>
        <v>Earth Defense Force: World Brothers 2</v>
      </c>
      <c r="B5" s="15" t="str">
        <f>IFERROR(__xludf.DUMMYFUNCTION("""COMPUTED_VALUE"""),"PS5/PS4")</f>
        <v>PS5/PS4</v>
      </c>
      <c r="C5" s="16" t="str">
        <f>IFERROR(__xludf.DUMMYFUNCTION("""COMPUTED_VALUE"""),"Essential")</f>
        <v>Essential</v>
      </c>
      <c r="D5" s="15" t="str">
        <f>IFERROR(__xludf.DUMMYFUNCTION("""COMPUTED_VALUE"""),"Leaving Soon")</f>
        <v>Leaving Soon</v>
      </c>
      <c r="E5" s="17">
        <f>IFERROR(__xludf.DUMMYFUNCTION("""COMPUTED_VALUE"""),46301.0)</f>
        <v>46301</v>
      </c>
      <c r="F5" s="18">
        <f>IFERROR(__xludf.DUMMYFUNCTION("""COMPUTED_VALUE"""),46328.0)</f>
        <v>46328</v>
      </c>
      <c r="G5" s="19">
        <f>IFERROR(__xludf.DUMMYFUNCTION("""COMPUTED_VALUE"""),0.8666666666666666)</f>
        <v>0.8666666667</v>
      </c>
      <c r="H5" s="17">
        <f>IFERROR(__xludf.DUMMYFUNCTION("""COMPUTED_VALUE"""),45561.0)</f>
        <v>45561</v>
      </c>
      <c r="I5" s="19">
        <f>IFERROR(__xludf.DUMMYFUNCTION("""COMPUTED_VALUE"""),2.0277777777777777)</f>
        <v>2.027777778</v>
      </c>
      <c r="J5" s="21">
        <f>IFERROR(__xludf.DUMMYFUNCTION("""COMPUTED_VALUE"""),81.0)</f>
        <v>81</v>
      </c>
      <c r="K5" s="23">
        <f>IFERROR(__xludf.DUMMYFUNCTION("""COMPUTED_VALUE"""),7.5)</f>
        <v>7.5</v>
      </c>
      <c r="L5" s="24">
        <f>IFERROR(__xludf.DUMMYFUNCTION("""COMPUTED_VALUE"""),21.0)</f>
        <v>21</v>
      </c>
      <c r="M5" s="25" t="str">
        <f>IFERROR(__xludf.DUMMYFUNCTION("""COMPUTED_VALUE"""),"Shooter")</f>
        <v>Shooter</v>
      </c>
      <c r="N5" s="25"/>
      <c r="O5" s="26" t="str">
        <f>IFERROR(__xludf.DUMMYFUNCTION("""COMPUTED_VALUE"""),"No")</f>
        <v>No</v>
      </c>
      <c r="P5" s="26"/>
    </row>
    <row r="6" hidden="1">
      <c r="A6" s="13" t="str">
        <f>IFERROR(__xludf.DUMMYFUNCTION("""COMPUTED_VALUE"""),"Sniper Elite: Resistance")</f>
        <v>Sniper Elite: Resistance</v>
      </c>
      <c r="B6" s="15" t="str">
        <f>IFERROR(__xludf.DUMMYFUNCTION("""COMPUTED_VALUE"""),"PS5/PS4")</f>
        <v>PS5/PS4</v>
      </c>
      <c r="C6" s="16" t="str">
        <f>IFERROR(__xludf.DUMMYFUNCTION("""COMPUTED_VALUE"""),"Essential")</f>
        <v>Essential</v>
      </c>
      <c r="D6" s="15" t="str">
        <f>IFERROR(__xludf.DUMMYFUNCTION("""COMPUTED_VALUE"""),"Removed")</f>
        <v>Removed</v>
      </c>
      <c r="E6" s="17">
        <f>IFERROR(__xludf.DUMMYFUNCTION("""COMPUTED_VALUE"""),46266.0)</f>
        <v>46266</v>
      </c>
      <c r="F6" s="18">
        <f>IFERROR(__xludf.DUMMYFUNCTION("""COMPUTED_VALUE"""),46300.0)</f>
        <v>46300</v>
      </c>
      <c r="G6" s="19">
        <f>IFERROR(__xludf.DUMMYFUNCTION("""COMPUTED_VALUE"""),1.1333333333333333)</f>
        <v>1.133333333</v>
      </c>
      <c r="H6" s="17">
        <f>IFERROR(__xludf.DUMMYFUNCTION("""COMPUTED_VALUE"""),45687.0)</f>
        <v>45687</v>
      </c>
      <c r="I6" s="19">
        <f>IFERROR(__xludf.DUMMYFUNCTION("""COMPUTED_VALUE"""),1.586111111111111)</f>
        <v>1.586111111</v>
      </c>
      <c r="J6" s="21">
        <f>IFERROR(__xludf.DUMMYFUNCTION("""COMPUTED_VALUE"""),75.0)</f>
        <v>75</v>
      </c>
      <c r="K6" s="23">
        <f>IFERROR(__xludf.DUMMYFUNCTION("""COMPUTED_VALUE"""),5.9)</f>
        <v>5.9</v>
      </c>
      <c r="L6" s="24">
        <f>IFERROR(__xludf.DUMMYFUNCTION("""COMPUTED_VALUE"""),9.0)</f>
        <v>9</v>
      </c>
      <c r="M6" s="25" t="str">
        <f>IFERROR(__xludf.DUMMYFUNCTION("""COMPUTED_VALUE"""),"Shooter")</f>
        <v>Shooter</v>
      </c>
      <c r="N6" s="25"/>
      <c r="O6" s="26" t="str">
        <f>IFERROR(__xludf.DUMMYFUNCTION("""COMPUTED_VALUE"""),"No")</f>
        <v>No</v>
      </c>
      <c r="P6" s="26"/>
    </row>
    <row r="7" hidden="1">
      <c r="A7" s="13" t="str">
        <f>IFERROR(__xludf.DUMMYFUNCTION("""COMPUTED_VALUE"""),"MLB The Show 26")</f>
        <v>MLB The Show 26</v>
      </c>
      <c r="B7" s="15" t="str">
        <f>IFERROR(__xludf.DUMMYFUNCTION("""COMPUTED_VALUE"""),"PS5")</f>
        <v>PS5</v>
      </c>
      <c r="C7" s="16" t="str">
        <f>IFERROR(__xludf.DUMMYFUNCTION("""COMPUTED_VALUE"""),"Essential")</f>
        <v>Essential</v>
      </c>
      <c r="D7" s="15" t="str">
        <f>IFERROR(__xludf.DUMMYFUNCTION("""COMPUTED_VALUE"""),"Removed")</f>
        <v>Removed</v>
      </c>
      <c r="E7" s="17">
        <f>IFERROR(__xludf.DUMMYFUNCTION("""COMPUTED_VALUE"""),46266.0)</f>
        <v>46266</v>
      </c>
      <c r="F7" s="18">
        <f>IFERROR(__xludf.DUMMYFUNCTION("""COMPUTED_VALUE"""),46300.0)</f>
        <v>46300</v>
      </c>
      <c r="G7" s="19">
        <f>IFERROR(__xludf.DUMMYFUNCTION("""COMPUTED_VALUE"""),1.1333333333333333)</f>
        <v>1.133333333</v>
      </c>
      <c r="H7" s="17">
        <f>IFERROR(__xludf.DUMMYFUNCTION("""COMPUTED_VALUE"""),46098.0)</f>
        <v>46098</v>
      </c>
      <c r="I7" s="19">
        <f>IFERROR(__xludf.DUMMYFUNCTION("""COMPUTED_VALUE"""),0.45555555555555555)</f>
        <v>0.4555555556</v>
      </c>
      <c r="J7" s="21">
        <f>IFERROR(__xludf.DUMMYFUNCTION("""COMPUTED_VALUE"""),73.0)</f>
        <v>73</v>
      </c>
      <c r="K7" s="23">
        <f>IFERROR(__xludf.DUMMYFUNCTION("""COMPUTED_VALUE"""),2.3)</f>
        <v>2.3</v>
      </c>
      <c r="L7" s="24"/>
      <c r="M7" s="25" t="str">
        <f>IFERROR(__xludf.DUMMYFUNCTION("""COMPUTED_VALUE"""),"Baseball Sim")</f>
        <v>Baseball Sim</v>
      </c>
      <c r="N7" s="25"/>
      <c r="O7" s="26" t="str">
        <f>IFERROR(__xludf.DUMMYFUNCTION("""COMPUTED_VALUE"""),"No")</f>
        <v>No</v>
      </c>
      <c r="P7" s="26"/>
    </row>
    <row r="8" hidden="1">
      <c r="A8" s="13" t="str">
        <f>IFERROR(__xludf.DUMMYFUNCTION("""COMPUTED_VALUE"""),"Wobbly Life")</f>
        <v>Wobbly Life</v>
      </c>
      <c r="B8" s="15" t="str">
        <f>IFERROR(__xludf.DUMMYFUNCTION("""COMPUTED_VALUE"""),"PS5/PS4")</f>
        <v>PS5/PS4</v>
      </c>
      <c r="C8" s="16" t="str">
        <f>IFERROR(__xludf.DUMMYFUNCTION("""COMPUTED_VALUE"""),"Essential")</f>
        <v>Essential</v>
      </c>
      <c r="D8" s="15" t="str">
        <f>IFERROR(__xludf.DUMMYFUNCTION("""COMPUTED_VALUE"""),"Removed")</f>
        <v>Removed</v>
      </c>
      <c r="E8" s="17">
        <f>IFERROR(__xludf.DUMMYFUNCTION("""COMPUTED_VALUE"""),46266.0)</f>
        <v>46266</v>
      </c>
      <c r="F8" s="18">
        <f>IFERROR(__xludf.DUMMYFUNCTION("""COMPUTED_VALUE"""),46300.0)</f>
        <v>46300</v>
      </c>
      <c r="G8" s="19">
        <f>IFERROR(__xludf.DUMMYFUNCTION("""COMPUTED_VALUE"""),1.1333333333333333)</f>
        <v>1.133333333</v>
      </c>
      <c r="H8" s="17">
        <f>IFERROR(__xludf.DUMMYFUNCTION("""COMPUTED_VALUE"""),45806.0)</f>
        <v>45806</v>
      </c>
      <c r="I8" s="19">
        <f>IFERROR(__xludf.DUMMYFUNCTION("""COMPUTED_VALUE"""),1.2555555555555555)</f>
        <v>1.255555556</v>
      </c>
      <c r="J8" s="21"/>
      <c r="K8" s="23">
        <f>IFERROR(__xludf.DUMMYFUNCTION("""COMPUTED_VALUE"""),7.4)</f>
        <v>7.4</v>
      </c>
      <c r="L8" s="24">
        <f>IFERROR(__xludf.DUMMYFUNCTION("""COMPUTED_VALUE"""),17.0)</f>
        <v>17</v>
      </c>
      <c r="M8" s="25" t="str">
        <f>IFERROR(__xludf.DUMMYFUNCTION("""COMPUTED_VALUE"""),"Action-Adventure")</f>
        <v>Action-Adventure</v>
      </c>
      <c r="N8" s="25"/>
      <c r="O8" s="26" t="str">
        <f>IFERROR(__xludf.DUMMYFUNCTION("""COMPUTED_VALUE"""),"No")</f>
        <v>No</v>
      </c>
      <c r="P8" s="26"/>
    </row>
    <row r="9" hidden="1">
      <c r="A9" s="35" t="str">
        <f>IFERROR(__xludf.DUMMYFUNCTION("""COMPUTED_VALUE"""),"Chained Echoes")</f>
        <v>Chained Echoes</v>
      </c>
      <c r="B9" s="15" t="str">
        <f>IFERROR(__xludf.DUMMYFUNCTION("""COMPUTED_VALUE"""),"PS4")</f>
        <v>PS4</v>
      </c>
      <c r="C9" s="16" t="str">
        <f>IFERROR(__xludf.DUMMYFUNCTION("""COMPUTED_VALUE"""),"Essential")</f>
        <v>Essential</v>
      </c>
      <c r="D9" s="15" t="str">
        <f>IFERROR(__xludf.DUMMYFUNCTION("""COMPUTED_VALUE"""),"Removed")</f>
        <v>Removed</v>
      </c>
      <c r="E9" s="17">
        <f>IFERROR(__xludf.DUMMYFUNCTION("""COMPUTED_VALUE"""),46266.0)</f>
        <v>46266</v>
      </c>
      <c r="F9" s="18">
        <f>IFERROR(__xludf.DUMMYFUNCTION("""COMPUTED_VALUE"""),46300.0)</f>
        <v>46300</v>
      </c>
      <c r="G9" s="19">
        <f>IFERROR(__xludf.DUMMYFUNCTION("""COMPUTED_VALUE"""),1.1333333333333333)</f>
        <v>1.133333333</v>
      </c>
      <c r="H9" s="17">
        <f>IFERROR(__xludf.DUMMYFUNCTION("""COMPUTED_VALUE"""),44903.0)</f>
        <v>44903</v>
      </c>
      <c r="I9" s="19">
        <f>IFERROR(__xludf.DUMMYFUNCTION("""COMPUTED_VALUE"""),3.7305555555555556)</f>
        <v>3.730555556</v>
      </c>
      <c r="J9" s="21">
        <f>IFERROR(__xludf.DUMMYFUNCTION("""COMPUTED_VALUE"""),90.0)</f>
        <v>90</v>
      </c>
      <c r="K9" s="23">
        <f>IFERROR(__xludf.DUMMYFUNCTION("""COMPUTED_VALUE"""),8.4)</f>
        <v>8.4</v>
      </c>
      <c r="L9" s="24">
        <f>IFERROR(__xludf.DUMMYFUNCTION("""COMPUTED_VALUE"""),35.0)</f>
        <v>35</v>
      </c>
      <c r="M9" s="25" t="str">
        <f>IFERROR(__xludf.DUMMYFUNCTION("""COMPUTED_VALUE"""),"RPG")</f>
        <v>RPG</v>
      </c>
      <c r="N9" s="25"/>
      <c r="O9" s="26" t="str">
        <f>IFERROR(__xludf.DUMMYFUNCTION("""COMPUTED_VALUE"""),"No")</f>
        <v>No</v>
      </c>
      <c r="P9" s="26"/>
    </row>
    <row r="10" hidden="1">
      <c r="A10" s="13" t="str">
        <f>IFERROR(__xludf.DUMMYFUNCTION("""COMPUTED_VALUE"""),"Dying Light 2: Reloaded Edition")</f>
        <v>Dying Light 2: Reloaded Edition</v>
      </c>
      <c r="B10" s="15" t="str">
        <f>IFERROR(__xludf.DUMMYFUNCTION("""COMPUTED_VALUE"""),"PS5/PS4")</f>
        <v>PS5/PS4</v>
      </c>
      <c r="C10" s="16" t="str">
        <f>IFERROR(__xludf.DUMMYFUNCTION("""COMPUTED_VALUE"""),"Essential")</f>
        <v>Essential</v>
      </c>
      <c r="D10" s="15" t="str">
        <f>IFERROR(__xludf.DUMMYFUNCTION("""COMPUTED_VALUE"""),"Removed")</f>
        <v>Removed</v>
      </c>
      <c r="E10" s="17">
        <f>IFERROR(__xludf.DUMMYFUNCTION("""COMPUTED_VALUE"""),46238.0)</f>
        <v>46238</v>
      </c>
      <c r="F10" s="18">
        <f>IFERROR(__xludf.DUMMYFUNCTION("""COMPUTED_VALUE"""),46265.0)</f>
        <v>46265</v>
      </c>
      <c r="G10" s="19">
        <f>IFERROR(__xludf.DUMMYFUNCTION("""COMPUTED_VALUE"""),0.8666666666666666)</f>
        <v>0.8666666667</v>
      </c>
      <c r="H10" s="17">
        <f>IFERROR(__xludf.DUMMYFUNCTION("""COMPUTED_VALUE"""),44596.0)</f>
        <v>44596</v>
      </c>
      <c r="I10" s="19">
        <f>IFERROR(__xludf.DUMMYFUNCTION("""COMPUTED_VALUE"""),4.5)</f>
        <v>4.5</v>
      </c>
      <c r="J10" s="21">
        <f>IFERROR(__xludf.DUMMYFUNCTION("""COMPUTED_VALUE"""),76.0)</f>
        <v>76</v>
      </c>
      <c r="K10" s="23">
        <f>IFERROR(__xludf.DUMMYFUNCTION("""COMPUTED_VALUE"""),7.2)</f>
        <v>7.2</v>
      </c>
      <c r="L10" s="24">
        <f>IFERROR(__xludf.DUMMYFUNCTION("""COMPUTED_VALUE"""),25.0)</f>
        <v>25</v>
      </c>
      <c r="M10" s="25" t="str">
        <f>IFERROR(__xludf.DUMMYFUNCTION("""COMPUTED_VALUE"""),"Survival")</f>
        <v>Survival</v>
      </c>
      <c r="N10" s="25"/>
      <c r="O10" s="26" t="str">
        <f>IFERROR(__xludf.DUMMYFUNCTION("""COMPUTED_VALUE"""),"No")</f>
        <v>No</v>
      </c>
      <c r="P10" s="26"/>
    </row>
    <row r="11" hidden="1">
      <c r="A11" s="13" t="str">
        <f>IFERROR(__xludf.DUMMYFUNCTION("""COMPUTED_VALUE"""),"Big Walk")</f>
        <v>Big Walk</v>
      </c>
      <c r="B11" s="15" t="str">
        <f>IFERROR(__xludf.DUMMYFUNCTION("""COMPUTED_VALUE"""),"PS5")</f>
        <v>PS5</v>
      </c>
      <c r="C11" s="16" t="str">
        <f>IFERROR(__xludf.DUMMYFUNCTION("""COMPUTED_VALUE"""),"Essential")</f>
        <v>Essential</v>
      </c>
      <c r="D11" s="15" t="str">
        <f>IFERROR(__xludf.DUMMYFUNCTION("""COMPUTED_VALUE"""),"Removed")</f>
        <v>Removed</v>
      </c>
      <c r="E11" s="17">
        <f>IFERROR(__xludf.DUMMYFUNCTION("""COMPUTED_VALUE"""),46238.0)</f>
        <v>46238</v>
      </c>
      <c r="F11" s="18">
        <f>IFERROR(__xludf.DUMMYFUNCTION("""COMPUTED_VALUE"""),46265.0)</f>
        <v>46265</v>
      </c>
      <c r="G11" s="19">
        <f>IFERROR(__xludf.DUMMYFUNCTION("""COMPUTED_VALUE"""),0.8666666666666666)</f>
        <v>0.8666666667</v>
      </c>
      <c r="H11" s="17">
        <f>IFERROR(__xludf.DUMMYFUNCTION("""COMPUTED_VALUE"""),46238.0)</f>
        <v>46238</v>
      </c>
      <c r="I11" s="19">
        <f>IFERROR(__xludf.DUMMYFUNCTION("""COMPUTED_VALUE"""),0.0)</f>
        <v>0</v>
      </c>
      <c r="J11" s="21">
        <f>IFERROR(__xludf.DUMMYFUNCTION("""COMPUTED_VALUE"""),91.0)</f>
        <v>91</v>
      </c>
      <c r="K11" s="23">
        <f>IFERROR(__xludf.DUMMYFUNCTION("""COMPUTED_VALUE"""),8.2)</f>
        <v>8.2</v>
      </c>
      <c r="L11" s="24">
        <f>IFERROR(__xludf.DUMMYFUNCTION("""COMPUTED_VALUE"""),11.0)</f>
        <v>11</v>
      </c>
      <c r="M11" s="25" t="str">
        <f>IFERROR(__xludf.DUMMYFUNCTION("""COMPUTED_VALUE"""),"Action-Adventure")</f>
        <v>Action-Adventure</v>
      </c>
      <c r="N11" s="25"/>
      <c r="O11" s="26"/>
      <c r="P11" s="26"/>
    </row>
    <row r="12" hidden="1">
      <c r="A12" s="13" t="str">
        <f>IFERROR(__xludf.DUMMYFUNCTION("""COMPUTED_VALUE"""),"Signalis")</f>
        <v>Signalis</v>
      </c>
      <c r="B12" s="15" t="str">
        <f>IFERROR(__xludf.DUMMYFUNCTION("""COMPUTED_VALUE"""),"PS4")</f>
        <v>PS4</v>
      </c>
      <c r="C12" s="16" t="str">
        <f>IFERROR(__xludf.DUMMYFUNCTION("""COMPUTED_VALUE"""),"Essential")</f>
        <v>Essential</v>
      </c>
      <c r="D12" s="15" t="str">
        <f>IFERROR(__xludf.DUMMYFUNCTION("""COMPUTED_VALUE"""),"Removed")</f>
        <v>Removed</v>
      </c>
      <c r="E12" s="53">
        <f>IFERROR(__xludf.DUMMYFUNCTION("""COMPUTED_VALUE"""),46238.0)</f>
        <v>46238</v>
      </c>
      <c r="F12" s="54">
        <f>IFERROR(__xludf.DUMMYFUNCTION("""COMPUTED_VALUE"""),46265.0)</f>
        <v>46265</v>
      </c>
      <c r="G12" s="19">
        <f>IFERROR(__xludf.DUMMYFUNCTION("""COMPUTED_VALUE"""),0.8666666666666666)</f>
        <v>0.8666666667</v>
      </c>
      <c r="H12" s="17">
        <f>IFERROR(__xludf.DUMMYFUNCTION("""COMPUTED_VALUE"""),44861.0)</f>
        <v>44861</v>
      </c>
      <c r="I12" s="19">
        <f>IFERROR(__xludf.DUMMYFUNCTION("""COMPUTED_VALUE"""),3.7694444444444444)</f>
        <v>3.769444444</v>
      </c>
      <c r="J12" s="21">
        <f>IFERROR(__xludf.DUMMYFUNCTION("""COMPUTED_VALUE"""),81.0)</f>
        <v>81</v>
      </c>
      <c r="K12" s="23">
        <f>IFERROR(__xludf.DUMMYFUNCTION("""COMPUTED_VALUE"""),8.4)</f>
        <v>8.4</v>
      </c>
      <c r="L12" s="24">
        <f>IFERROR(__xludf.DUMMYFUNCTION("""COMPUTED_VALUE"""),9.0)</f>
        <v>9</v>
      </c>
      <c r="M12" s="25" t="str">
        <f>IFERROR(__xludf.DUMMYFUNCTION("""COMPUTED_VALUE"""),"Survival")</f>
        <v>Survival</v>
      </c>
      <c r="N12" s="25"/>
      <c r="O12" s="26"/>
      <c r="P12" s="26"/>
    </row>
    <row r="13" hidden="1">
      <c r="A13" s="13" t="str">
        <f>IFERROR(__xludf.DUMMYFUNCTION("""COMPUTED_VALUE"""),"Call of Duty: Modern Warfare III")</f>
        <v>Call of Duty: Modern Warfare III</v>
      </c>
      <c r="B13" s="15" t="str">
        <f>IFERROR(__xludf.DUMMYFUNCTION("""COMPUTED_VALUE"""),"PS5/PS4")</f>
        <v>PS5/PS4</v>
      </c>
      <c r="C13" s="16" t="str">
        <f>IFERROR(__xludf.DUMMYFUNCTION("""COMPUTED_VALUE"""),"Essential")</f>
        <v>Essential</v>
      </c>
      <c r="D13" s="15" t="str">
        <f>IFERROR(__xludf.DUMMYFUNCTION("""COMPUTED_VALUE"""),"Removed")</f>
        <v>Removed</v>
      </c>
      <c r="E13" s="17">
        <f>IFERROR(__xludf.DUMMYFUNCTION("""COMPUTED_VALUE"""),46210.0)</f>
        <v>46210</v>
      </c>
      <c r="F13" s="54">
        <f>IFERROR(__xludf.DUMMYFUNCTION("""COMPUTED_VALUE"""),46237.0)</f>
        <v>46237</v>
      </c>
      <c r="G13" s="19">
        <f>IFERROR(__xludf.DUMMYFUNCTION("""COMPUTED_VALUE"""),0.8666666666666666)</f>
        <v>0.8666666667</v>
      </c>
      <c r="H13" s="17">
        <f>IFERROR(__xludf.DUMMYFUNCTION("""COMPUTED_VALUE"""),45240.0)</f>
        <v>45240</v>
      </c>
      <c r="I13" s="19">
        <f>IFERROR(__xludf.DUMMYFUNCTION("""COMPUTED_VALUE"""),2.658333333333333)</f>
        <v>2.658333333</v>
      </c>
      <c r="J13" s="21">
        <f>IFERROR(__xludf.DUMMYFUNCTION("""COMPUTED_VALUE"""),56.0)</f>
        <v>56</v>
      </c>
      <c r="K13" s="23">
        <f>IFERROR(__xludf.DUMMYFUNCTION("""COMPUTED_VALUE"""),2.5)</f>
        <v>2.5</v>
      </c>
      <c r="L13" s="24">
        <f>IFERROR(__xludf.DUMMYFUNCTION("""COMPUTED_VALUE"""),5.0)</f>
        <v>5</v>
      </c>
      <c r="M13" s="25" t="str">
        <f>IFERROR(__xludf.DUMMYFUNCTION("""COMPUTED_VALUE"""),"Shooter")</f>
        <v>Shooter</v>
      </c>
      <c r="N13" s="25"/>
      <c r="O13" s="26" t="str">
        <f>IFERROR(__xludf.DUMMYFUNCTION("""COMPUTED_VALUE"""),"No")</f>
        <v>No</v>
      </c>
      <c r="P13" s="26"/>
    </row>
    <row r="14" hidden="1">
      <c r="A14" s="13" t="str">
        <f>IFERROR(__xludf.DUMMYFUNCTION("""COMPUTED_VALUE"""),"For the King II")</f>
        <v>For the King II</v>
      </c>
      <c r="B14" s="15" t="str">
        <f>IFERROR(__xludf.DUMMYFUNCTION("""COMPUTED_VALUE"""),"PS5/PS4")</f>
        <v>PS5/PS4</v>
      </c>
      <c r="C14" s="16" t="str">
        <f>IFERROR(__xludf.DUMMYFUNCTION("""COMPUTED_VALUE"""),"Essential")</f>
        <v>Essential</v>
      </c>
      <c r="D14" s="15" t="str">
        <f>IFERROR(__xludf.DUMMYFUNCTION("""COMPUTED_VALUE"""),"Removed")</f>
        <v>Removed</v>
      </c>
      <c r="E14" s="17">
        <f>IFERROR(__xludf.DUMMYFUNCTION("""COMPUTED_VALUE"""),46210.0)</f>
        <v>46210</v>
      </c>
      <c r="F14" s="54">
        <f>IFERROR(__xludf.DUMMYFUNCTION("""COMPUTED_VALUE"""),46237.0)</f>
        <v>46237</v>
      </c>
      <c r="G14" s="19">
        <f>IFERROR(__xludf.DUMMYFUNCTION("""COMPUTED_VALUE"""),0.8666666666666666)</f>
        <v>0.8666666667</v>
      </c>
      <c r="H14" s="17">
        <f>IFERROR(__xludf.DUMMYFUNCTION("""COMPUTED_VALUE"""),45232.0)</f>
        <v>45232</v>
      </c>
      <c r="I14" s="19">
        <f>IFERROR(__xludf.DUMMYFUNCTION("""COMPUTED_VALUE"""),2.6805555555555554)</f>
        <v>2.680555556</v>
      </c>
      <c r="J14" s="21">
        <f>IFERROR(__xludf.DUMMYFUNCTION("""COMPUTED_VALUE"""),79.0)</f>
        <v>79</v>
      </c>
      <c r="K14" s="23">
        <f>IFERROR(__xludf.DUMMYFUNCTION("""COMPUTED_VALUE"""),7.5)</f>
        <v>7.5</v>
      </c>
      <c r="L14" s="24">
        <f>IFERROR(__xludf.DUMMYFUNCTION("""COMPUTED_VALUE"""),18.0)</f>
        <v>18</v>
      </c>
      <c r="M14" s="25" t="str">
        <f>IFERROR(__xludf.DUMMYFUNCTION("""COMPUTED_VALUE"""),"Roguelike")</f>
        <v>Roguelike</v>
      </c>
      <c r="N14" s="25"/>
      <c r="O14" s="26" t="str">
        <f>IFERROR(__xludf.DUMMYFUNCTION("""COMPUTED_VALUE"""),"No")</f>
        <v>No</v>
      </c>
      <c r="P14" s="26"/>
    </row>
    <row r="15" hidden="1">
      <c r="A15" s="13" t="str">
        <f>IFERROR(__xludf.DUMMYFUNCTION("""COMPUTED_VALUE"""),"CrossCode")</f>
        <v>CrossCode</v>
      </c>
      <c r="B15" s="15" t="str">
        <f>IFERROR(__xludf.DUMMYFUNCTION("""COMPUTED_VALUE"""),"PS5/PS4")</f>
        <v>PS5/PS4</v>
      </c>
      <c r="C15" s="16" t="str">
        <f>IFERROR(__xludf.DUMMYFUNCTION("""COMPUTED_VALUE"""),"Essential")</f>
        <v>Essential</v>
      </c>
      <c r="D15" s="15" t="str">
        <f>IFERROR(__xludf.DUMMYFUNCTION("""COMPUTED_VALUE"""),"Removed")</f>
        <v>Removed</v>
      </c>
      <c r="E15" s="17">
        <f>IFERROR(__xludf.DUMMYFUNCTION("""COMPUTED_VALUE"""),46210.0)</f>
        <v>46210</v>
      </c>
      <c r="F15" s="54">
        <f>IFERROR(__xludf.DUMMYFUNCTION("""COMPUTED_VALUE"""),46237.0)</f>
        <v>46237</v>
      </c>
      <c r="G15" s="19">
        <f>IFERROR(__xludf.DUMMYFUNCTION("""COMPUTED_VALUE"""),0.8666666666666666)</f>
        <v>0.8666666667</v>
      </c>
      <c r="H15" s="17">
        <f>IFERROR(__xludf.DUMMYFUNCTION("""COMPUTED_VALUE"""),44021.0)</f>
        <v>44021</v>
      </c>
      <c r="I15" s="19">
        <f>IFERROR(__xludf.DUMMYFUNCTION("""COMPUTED_VALUE"""),5.9944444444444445)</f>
        <v>5.994444444</v>
      </c>
      <c r="J15" s="21">
        <f>IFERROR(__xludf.DUMMYFUNCTION("""COMPUTED_VALUE"""),86.0)</f>
        <v>86</v>
      </c>
      <c r="K15" s="23">
        <f>IFERROR(__xludf.DUMMYFUNCTION("""COMPUTED_VALUE"""),8.3)</f>
        <v>8.3</v>
      </c>
      <c r="L15" s="24">
        <f>IFERROR(__xludf.DUMMYFUNCTION("""COMPUTED_VALUE"""),30.0)</f>
        <v>30</v>
      </c>
      <c r="M15" s="25" t="str">
        <f>IFERROR(__xludf.DUMMYFUNCTION("""COMPUTED_VALUE"""),"RPG")</f>
        <v>RPG</v>
      </c>
      <c r="N15" s="25"/>
      <c r="O15" s="26" t="str">
        <f>IFERROR(__xludf.DUMMYFUNCTION("""COMPUTED_VALUE"""),"No")</f>
        <v>No</v>
      </c>
      <c r="P15" s="26"/>
    </row>
    <row r="16" hidden="1">
      <c r="A16" s="13" t="str">
        <f>IFERROR(__xludf.DUMMYFUNCTION("""COMPUTED_VALUE"""),"Grounded: Fully Yoked Edition")</f>
        <v>Grounded: Fully Yoked Edition</v>
      </c>
      <c r="B16" s="15" t="str">
        <f>IFERROR(__xludf.DUMMYFUNCTION("""COMPUTED_VALUE"""),"PS5/PS4")</f>
        <v>PS5/PS4</v>
      </c>
      <c r="C16" s="16" t="str">
        <f>IFERROR(__xludf.DUMMYFUNCTION("""COMPUTED_VALUE"""),"Essential")</f>
        <v>Essential</v>
      </c>
      <c r="D16" s="15" t="str">
        <f>IFERROR(__xludf.DUMMYFUNCTION("""COMPUTED_VALUE"""),"Removed")</f>
        <v>Removed</v>
      </c>
      <c r="E16" s="17">
        <f>IFERROR(__xludf.DUMMYFUNCTION("""COMPUTED_VALUE"""),46175.0)</f>
        <v>46175</v>
      </c>
      <c r="F16" s="54">
        <f>IFERROR(__xludf.DUMMYFUNCTION("""COMPUTED_VALUE"""),46209.0)</f>
        <v>46209</v>
      </c>
      <c r="G16" s="19">
        <f>IFERROR(__xludf.DUMMYFUNCTION("""COMPUTED_VALUE"""),1.1333333333333333)</f>
        <v>1.133333333</v>
      </c>
      <c r="H16" s="17">
        <f>IFERROR(__xludf.DUMMYFUNCTION("""COMPUTED_VALUE"""),45398.0)</f>
        <v>45398</v>
      </c>
      <c r="I16" s="19">
        <f>IFERROR(__xludf.DUMMYFUNCTION("""COMPUTED_VALUE"""),2.1277777777777778)</f>
        <v>2.127777778</v>
      </c>
      <c r="J16" s="21">
        <f>IFERROR(__xludf.DUMMYFUNCTION("""COMPUTED_VALUE"""),83.0)</f>
        <v>83</v>
      </c>
      <c r="K16" s="23">
        <f>IFERROR(__xludf.DUMMYFUNCTION("""COMPUTED_VALUE"""),7.9)</f>
        <v>7.9</v>
      </c>
      <c r="L16" s="24">
        <f>IFERROR(__xludf.DUMMYFUNCTION("""COMPUTED_VALUE"""),23.0)</f>
        <v>23</v>
      </c>
      <c r="M16" s="25" t="str">
        <f>IFERROR(__xludf.DUMMYFUNCTION("""COMPUTED_VALUE"""),"Action-Adventure")</f>
        <v>Action-Adventure</v>
      </c>
      <c r="N16" s="25"/>
      <c r="O16" s="26" t="str">
        <f>IFERROR(__xludf.DUMMYFUNCTION("""COMPUTED_VALUE"""),"No")</f>
        <v>No</v>
      </c>
      <c r="P16" s="26"/>
    </row>
    <row r="17" hidden="1">
      <c r="A17" s="13" t="str">
        <f>IFERROR(__xludf.DUMMYFUNCTION("""COMPUTED_VALUE"""),"Nickelodeon All-Star Brawl 2")</f>
        <v>Nickelodeon All-Star Brawl 2</v>
      </c>
      <c r="B17" s="15" t="str">
        <f>IFERROR(__xludf.DUMMYFUNCTION("""COMPUTED_VALUE"""),"PS5/PS4")</f>
        <v>PS5/PS4</v>
      </c>
      <c r="C17" s="16" t="str">
        <f>IFERROR(__xludf.DUMMYFUNCTION("""COMPUTED_VALUE"""),"Essential")</f>
        <v>Essential</v>
      </c>
      <c r="D17" s="15" t="str">
        <f>IFERROR(__xludf.DUMMYFUNCTION("""COMPUTED_VALUE"""),"Removed")</f>
        <v>Removed</v>
      </c>
      <c r="E17" s="17">
        <f>IFERROR(__xludf.DUMMYFUNCTION("""COMPUTED_VALUE"""),46175.0)</f>
        <v>46175</v>
      </c>
      <c r="F17" s="54">
        <f>IFERROR(__xludf.DUMMYFUNCTION("""COMPUTED_VALUE"""),46209.0)</f>
        <v>46209</v>
      </c>
      <c r="G17" s="19">
        <f>IFERROR(__xludf.DUMMYFUNCTION("""COMPUTED_VALUE"""),1.1333333333333333)</f>
        <v>1.133333333</v>
      </c>
      <c r="H17" s="17">
        <f>IFERROR(__xludf.DUMMYFUNCTION("""COMPUTED_VALUE"""),45237.0)</f>
        <v>45237</v>
      </c>
      <c r="I17" s="19">
        <f>IFERROR(__xludf.DUMMYFUNCTION("""COMPUTED_VALUE"""),2.5694444444444446)</f>
        <v>2.569444444</v>
      </c>
      <c r="J17" s="21">
        <f>IFERROR(__xludf.DUMMYFUNCTION("""COMPUTED_VALUE"""),77.0)</f>
        <v>77</v>
      </c>
      <c r="K17" s="23">
        <f>IFERROR(__xludf.DUMMYFUNCTION("""COMPUTED_VALUE"""),6.8)</f>
        <v>6.8</v>
      </c>
      <c r="L17" s="24">
        <f>IFERROR(__xludf.DUMMYFUNCTION("""COMPUTED_VALUE"""),8.0)</f>
        <v>8</v>
      </c>
      <c r="M17" s="25" t="str">
        <f>IFERROR(__xludf.DUMMYFUNCTION("""COMPUTED_VALUE"""),"Fighting")</f>
        <v>Fighting</v>
      </c>
      <c r="N17" s="25"/>
      <c r="O17" s="26" t="str">
        <f>IFERROR(__xludf.DUMMYFUNCTION("""COMPUTED_VALUE"""),"No")</f>
        <v>No</v>
      </c>
      <c r="P17" s="26"/>
    </row>
    <row r="18" hidden="1">
      <c r="A18" s="13" t="str">
        <f>IFERROR(__xludf.DUMMYFUNCTION("""COMPUTED_VALUE"""),"Warhammer 40,000: Darktide")</f>
        <v>Warhammer 40,000: Darktide</v>
      </c>
      <c r="B18" s="15" t="str">
        <f>IFERROR(__xludf.DUMMYFUNCTION("""COMPUTED_VALUE"""),"PS5")</f>
        <v>PS5</v>
      </c>
      <c r="C18" s="16" t="str">
        <f>IFERROR(__xludf.DUMMYFUNCTION("""COMPUTED_VALUE"""),"Essential")</f>
        <v>Essential</v>
      </c>
      <c r="D18" s="15" t="str">
        <f>IFERROR(__xludf.DUMMYFUNCTION("""COMPUTED_VALUE"""),"Removed")</f>
        <v>Removed</v>
      </c>
      <c r="E18" s="17">
        <f>IFERROR(__xludf.DUMMYFUNCTION("""COMPUTED_VALUE"""),46175.0)</f>
        <v>46175</v>
      </c>
      <c r="F18" s="54">
        <f>IFERROR(__xludf.DUMMYFUNCTION("""COMPUTED_VALUE"""),46209.0)</f>
        <v>46209</v>
      </c>
      <c r="G18" s="19">
        <f>IFERROR(__xludf.DUMMYFUNCTION("""COMPUTED_VALUE"""),1.1333333333333333)</f>
        <v>1.133333333</v>
      </c>
      <c r="H18" s="17">
        <f>IFERROR(__xludf.DUMMYFUNCTION("""COMPUTED_VALUE"""),44895.0)</f>
        <v>44895</v>
      </c>
      <c r="I18" s="19">
        <f>IFERROR(__xludf.DUMMYFUNCTION("""COMPUTED_VALUE"""),3.5055555555555555)</f>
        <v>3.505555556</v>
      </c>
      <c r="J18" s="21">
        <f>IFERROR(__xludf.DUMMYFUNCTION("""COMPUTED_VALUE"""),75.0)</f>
        <v>75</v>
      </c>
      <c r="K18" s="23">
        <f>IFERROR(__xludf.DUMMYFUNCTION("""COMPUTED_VALUE"""),4.9)</f>
        <v>4.9</v>
      </c>
      <c r="L18" s="24">
        <f>IFERROR(__xludf.DUMMYFUNCTION("""COMPUTED_VALUE"""),31.0)</f>
        <v>31</v>
      </c>
      <c r="M18" s="25" t="str">
        <f>IFERROR(__xludf.DUMMYFUNCTION("""COMPUTED_VALUE"""),"Shooter")</f>
        <v>Shooter</v>
      </c>
      <c r="N18" s="25"/>
      <c r="O18" s="26" t="str">
        <f>IFERROR(__xludf.DUMMYFUNCTION("""COMPUTED_VALUE"""),"No")</f>
        <v>No</v>
      </c>
      <c r="P18" s="26"/>
    </row>
    <row r="19" hidden="1">
      <c r="A19" s="13" t="str">
        <f>IFERROR(__xludf.DUMMYFUNCTION("""COMPUTED_VALUE"""),"EA Sports FC 26")</f>
        <v>EA Sports FC 26</v>
      </c>
      <c r="B19" s="15" t="str">
        <f>IFERROR(__xludf.DUMMYFUNCTION("""COMPUTED_VALUE"""),"PS5/PS4")</f>
        <v>PS5/PS4</v>
      </c>
      <c r="C19" s="16" t="str">
        <f>IFERROR(__xludf.DUMMYFUNCTION("""COMPUTED_VALUE"""),"Essential")</f>
        <v>Essential</v>
      </c>
      <c r="D19" s="15" t="str">
        <f>IFERROR(__xludf.DUMMYFUNCTION("""COMPUTED_VALUE"""),"Removed")</f>
        <v>Removed</v>
      </c>
      <c r="E19" s="17">
        <f>IFERROR(__xludf.DUMMYFUNCTION("""COMPUTED_VALUE"""),46147.0)</f>
        <v>46147</v>
      </c>
      <c r="F19" s="54">
        <f>IFERROR(__xludf.DUMMYFUNCTION("""COMPUTED_VALUE"""),46189.0)</f>
        <v>46189</v>
      </c>
      <c r="G19" s="19">
        <f>IFERROR(__xludf.DUMMYFUNCTION("""COMPUTED_VALUE"""),1.3666666666666667)</f>
        <v>1.366666667</v>
      </c>
      <c r="H19" s="17">
        <f>IFERROR(__xludf.DUMMYFUNCTION("""COMPUTED_VALUE"""),45926.0)</f>
        <v>45926</v>
      </c>
      <c r="I19" s="19">
        <f>IFERROR(__xludf.DUMMYFUNCTION("""COMPUTED_VALUE"""),0.6083333333333333)</f>
        <v>0.6083333333</v>
      </c>
      <c r="J19" s="21">
        <f>IFERROR(__xludf.DUMMYFUNCTION("""COMPUTED_VALUE"""),77.0)</f>
        <v>77</v>
      </c>
      <c r="K19" s="23">
        <f>IFERROR(__xludf.DUMMYFUNCTION("""COMPUTED_VALUE"""),2.9)</f>
        <v>2.9</v>
      </c>
      <c r="L19" s="24">
        <f>IFERROR(__xludf.DUMMYFUNCTION("""COMPUTED_VALUE"""),32.0)</f>
        <v>32</v>
      </c>
      <c r="M19" s="25" t="str">
        <f>IFERROR(__xludf.DUMMYFUNCTION("""COMPUTED_VALUE"""),"Sports")</f>
        <v>Sports</v>
      </c>
      <c r="N19" s="25"/>
      <c r="O19" s="26" t="str">
        <f>IFERROR(__xludf.DUMMYFUNCTION("""COMPUTED_VALUE"""),"No")</f>
        <v>No</v>
      </c>
      <c r="P19" s="26"/>
    </row>
    <row r="20" hidden="1">
      <c r="A20" s="13" t="str">
        <f>IFERROR(__xludf.DUMMYFUNCTION("""COMPUTED_VALUE"""),"WUCHANG: Fallen Feathers")</f>
        <v>WUCHANG: Fallen Feathers</v>
      </c>
      <c r="B20" s="15" t="str">
        <f>IFERROR(__xludf.DUMMYFUNCTION("""COMPUTED_VALUE"""),"PS5")</f>
        <v>PS5</v>
      </c>
      <c r="C20" s="16" t="str">
        <f>IFERROR(__xludf.DUMMYFUNCTION("""COMPUTED_VALUE"""),"Essential")</f>
        <v>Essential</v>
      </c>
      <c r="D20" s="15" t="str">
        <f>IFERROR(__xludf.DUMMYFUNCTION("""COMPUTED_VALUE"""),"Removed")</f>
        <v>Removed</v>
      </c>
      <c r="E20" s="17">
        <f>IFERROR(__xludf.DUMMYFUNCTION("""COMPUTED_VALUE"""),46147.0)</f>
        <v>46147</v>
      </c>
      <c r="F20" s="54">
        <f>IFERROR(__xludf.DUMMYFUNCTION("""COMPUTED_VALUE"""),46174.0)</f>
        <v>46174</v>
      </c>
      <c r="G20" s="19">
        <f>IFERROR(__xludf.DUMMYFUNCTION("""COMPUTED_VALUE"""),0.8666666666666666)</f>
        <v>0.8666666667</v>
      </c>
      <c r="H20" s="17">
        <f>IFERROR(__xludf.DUMMYFUNCTION("""COMPUTED_VALUE"""),45862.0)</f>
        <v>45862</v>
      </c>
      <c r="I20" s="19">
        <f>IFERROR(__xludf.DUMMYFUNCTION("""COMPUTED_VALUE"""),0.7805555555555556)</f>
        <v>0.7805555556</v>
      </c>
      <c r="J20" s="21">
        <f>IFERROR(__xludf.DUMMYFUNCTION("""COMPUTED_VALUE"""),74.0)</f>
        <v>74</v>
      </c>
      <c r="K20" s="23">
        <f>IFERROR(__xludf.DUMMYFUNCTION("""COMPUTED_VALUE"""),6.8)</f>
        <v>6.8</v>
      </c>
      <c r="L20" s="24">
        <f>IFERROR(__xludf.DUMMYFUNCTION("""COMPUTED_VALUE"""),31.0)</f>
        <v>31</v>
      </c>
      <c r="M20" s="25" t="str">
        <f>IFERROR(__xludf.DUMMYFUNCTION("""COMPUTED_VALUE"""),"RPG")</f>
        <v>RPG</v>
      </c>
      <c r="N20" s="25"/>
      <c r="O20" s="26" t="str">
        <f>IFERROR(__xludf.DUMMYFUNCTION("""COMPUTED_VALUE"""),"No")</f>
        <v>No</v>
      </c>
      <c r="P20" s="26"/>
    </row>
    <row r="21" hidden="1">
      <c r="A21" s="13" t="str">
        <f>IFERROR(__xludf.DUMMYFUNCTION("""COMPUTED_VALUE"""),"Nine Sols")</f>
        <v>Nine Sols</v>
      </c>
      <c r="B21" s="15" t="str">
        <f>IFERROR(__xludf.DUMMYFUNCTION("""COMPUTED_VALUE"""),"PS5/PS4")</f>
        <v>PS5/PS4</v>
      </c>
      <c r="C21" s="16" t="str">
        <f>IFERROR(__xludf.DUMMYFUNCTION("""COMPUTED_VALUE"""),"Essential")</f>
        <v>Essential</v>
      </c>
      <c r="D21" s="15" t="str">
        <f>IFERROR(__xludf.DUMMYFUNCTION("""COMPUTED_VALUE"""),"Removed")</f>
        <v>Removed</v>
      </c>
      <c r="E21" s="17">
        <f>IFERROR(__xludf.DUMMYFUNCTION("""COMPUTED_VALUE"""),46147.0)</f>
        <v>46147</v>
      </c>
      <c r="F21" s="18">
        <f>IFERROR(__xludf.DUMMYFUNCTION("""COMPUTED_VALUE"""),46174.0)</f>
        <v>46174</v>
      </c>
      <c r="G21" s="19">
        <f>IFERROR(__xludf.DUMMYFUNCTION("""COMPUTED_VALUE"""),0.8666666666666666)</f>
        <v>0.8666666667</v>
      </c>
      <c r="H21" s="17">
        <f>IFERROR(__xludf.DUMMYFUNCTION("""COMPUTED_VALUE"""),45440.0)</f>
        <v>45440</v>
      </c>
      <c r="I21" s="19">
        <f>IFERROR(__xludf.DUMMYFUNCTION("""COMPUTED_VALUE"""),1.9361111111111111)</f>
        <v>1.936111111</v>
      </c>
      <c r="J21" s="21">
        <f>IFERROR(__xludf.DUMMYFUNCTION("""COMPUTED_VALUE"""),84.0)</f>
        <v>84</v>
      </c>
      <c r="K21" s="23">
        <f>IFERROR(__xludf.DUMMYFUNCTION("""COMPUTED_VALUE"""),8.4)</f>
        <v>8.4</v>
      </c>
      <c r="L21" s="24">
        <f>IFERROR(__xludf.DUMMYFUNCTION("""COMPUTED_VALUE"""),22.0)</f>
        <v>22</v>
      </c>
      <c r="M21" s="25" t="str">
        <f>IFERROR(__xludf.DUMMYFUNCTION("""COMPUTED_VALUE"""),"Metroidvania")</f>
        <v>Metroidvania</v>
      </c>
      <c r="N21" s="25"/>
      <c r="O21" s="26" t="str">
        <f>IFERROR(__xludf.DUMMYFUNCTION("""COMPUTED_VALUE"""),"No")</f>
        <v>No</v>
      </c>
      <c r="P21" s="26"/>
    </row>
    <row r="22" hidden="1">
      <c r="A22" s="13" t="str">
        <f>IFERROR(__xludf.DUMMYFUNCTION("""COMPUTED_VALUE"""),"Lords of the Fallen (2023)")</f>
        <v>Lords of the Fallen (2023)</v>
      </c>
      <c r="B22" s="15" t="str">
        <f>IFERROR(__xludf.DUMMYFUNCTION("""COMPUTED_VALUE"""),"PS5")</f>
        <v>PS5</v>
      </c>
      <c r="C22" s="16" t="str">
        <f>IFERROR(__xludf.DUMMYFUNCTION("""COMPUTED_VALUE"""),"Essential")</f>
        <v>Essential</v>
      </c>
      <c r="D22" s="15" t="str">
        <f>IFERROR(__xludf.DUMMYFUNCTION("""COMPUTED_VALUE"""),"Removed")</f>
        <v>Removed</v>
      </c>
      <c r="E22" s="17">
        <f>IFERROR(__xludf.DUMMYFUNCTION("""COMPUTED_VALUE"""),46119.0)</f>
        <v>46119</v>
      </c>
      <c r="F22" s="54">
        <f>IFERROR(__xludf.DUMMYFUNCTION("""COMPUTED_VALUE"""),46146.0)</f>
        <v>46146</v>
      </c>
      <c r="G22" s="19">
        <f>IFERROR(__xludf.DUMMYFUNCTION("""COMPUTED_VALUE"""),0.8999999999999999)</f>
        <v>0.9</v>
      </c>
      <c r="H22" s="17">
        <f>IFERROR(__xludf.DUMMYFUNCTION("""COMPUTED_VALUE"""),45212.0)</f>
        <v>45212</v>
      </c>
      <c r="I22" s="19">
        <f>IFERROR(__xludf.DUMMYFUNCTION("""COMPUTED_VALUE"""),2.4833333333333334)</f>
        <v>2.483333333</v>
      </c>
      <c r="J22" s="21">
        <f>IFERROR(__xludf.DUMMYFUNCTION("""COMPUTED_VALUE"""),75.0)</f>
        <v>75</v>
      </c>
      <c r="K22" s="23">
        <f>IFERROR(__xludf.DUMMYFUNCTION("""COMPUTED_VALUE"""),6.8)</f>
        <v>6.8</v>
      </c>
      <c r="L22" s="24">
        <f>IFERROR(__xludf.DUMMYFUNCTION("""COMPUTED_VALUE"""),29.0)</f>
        <v>29</v>
      </c>
      <c r="M22" s="25" t="str">
        <f>IFERROR(__xludf.DUMMYFUNCTION("""COMPUTED_VALUE"""),"RPG")</f>
        <v>RPG</v>
      </c>
      <c r="N22" s="25"/>
      <c r="O22" s="26" t="str">
        <f>IFERROR(__xludf.DUMMYFUNCTION("""COMPUTED_VALUE"""),"No")</f>
        <v>No</v>
      </c>
      <c r="P22" s="26"/>
    </row>
    <row r="23" hidden="1">
      <c r="A23" s="13" t="str">
        <f>IFERROR(__xludf.DUMMYFUNCTION("""COMPUTED_VALUE"""),"Sword Art Online: Fractured Daydream")</f>
        <v>Sword Art Online: Fractured Daydream</v>
      </c>
      <c r="B23" s="15" t="str">
        <f>IFERROR(__xludf.DUMMYFUNCTION("""COMPUTED_VALUE"""),"PS5")</f>
        <v>PS5</v>
      </c>
      <c r="C23" s="16" t="str">
        <f>IFERROR(__xludf.DUMMYFUNCTION("""COMPUTED_VALUE"""),"Essential")</f>
        <v>Essential</v>
      </c>
      <c r="D23" s="15" t="str">
        <f>IFERROR(__xludf.DUMMYFUNCTION("""COMPUTED_VALUE"""),"Removed")</f>
        <v>Removed</v>
      </c>
      <c r="E23" s="17">
        <f>IFERROR(__xludf.DUMMYFUNCTION("""COMPUTED_VALUE"""),46119.0)</f>
        <v>46119</v>
      </c>
      <c r="F23" s="18">
        <f>IFERROR(__xludf.DUMMYFUNCTION("""COMPUTED_VALUE"""),46146.0)</f>
        <v>46146</v>
      </c>
      <c r="G23" s="19">
        <f>IFERROR(__xludf.DUMMYFUNCTION("""COMPUTED_VALUE"""),0.8999999999999999)</f>
        <v>0.9</v>
      </c>
      <c r="H23" s="17">
        <f>IFERROR(__xludf.DUMMYFUNCTION("""COMPUTED_VALUE"""),45569.0)</f>
        <v>45569</v>
      </c>
      <c r="I23" s="19">
        <f>IFERROR(__xludf.DUMMYFUNCTION("""COMPUTED_VALUE"""),1.5083333333333333)</f>
        <v>1.508333333</v>
      </c>
      <c r="J23" s="21">
        <f>IFERROR(__xludf.DUMMYFUNCTION("""COMPUTED_VALUE"""),68.0)</f>
        <v>68</v>
      </c>
      <c r="K23" s="23">
        <f>IFERROR(__xludf.DUMMYFUNCTION("""COMPUTED_VALUE"""),7.1)</f>
        <v>7.1</v>
      </c>
      <c r="L23" s="24">
        <f>IFERROR(__xludf.DUMMYFUNCTION("""COMPUTED_VALUE"""),18.0)</f>
        <v>18</v>
      </c>
      <c r="M23" s="25" t="str">
        <f>IFERROR(__xludf.DUMMYFUNCTION("""COMPUTED_VALUE"""),"RPG")</f>
        <v>RPG</v>
      </c>
      <c r="N23" s="25"/>
      <c r="O23" s="26" t="str">
        <f>IFERROR(__xludf.DUMMYFUNCTION("""COMPUTED_VALUE"""),"No")</f>
        <v>No</v>
      </c>
      <c r="P23" s="26"/>
    </row>
    <row r="24" hidden="1">
      <c r="A24" s="13" t="str">
        <f>IFERROR(__xludf.DUMMYFUNCTION("""COMPUTED_VALUE"""),"Tomb Raider I-III Remastered")</f>
        <v>Tomb Raider I-III Remastered</v>
      </c>
      <c r="B24" s="15" t="str">
        <f>IFERROR(__xludf.DUMMYFUNCTION("""COMPUTED_VALUE"""),"PS5/PS4")</f>
        <v>PS5/PS4</v>
      </c>
      <c r="C24" s="16" t="str">
        <f>IFERROR(__xludf.DUMMYFUNCTION("""COMPUTED_VALUE"""),"Essential")</f>
        <v>Essential</v>
      </c>
      <c r="D24" s="15" t="str">
        <f>IFERROR(__xludf.DUMMYFUNCTION("""COMPUTED_VALUE"""),"Removed")</f>
        <v>Removed</v>
      </c>
      <c r="E24" s="17">
        <f>IFERROR(__xludf.DUMMYFUNCTION("""COMPUTED_VALUE"""),46119.0)</f>
        <v>46119</v>
      </c>
      <c r="F24" s="18">
        <f>IFERROR(__xludf.DUMMYFUNCTION("""COMPUTED_VALUE"""),46146.0)</f>
        <v>46146</v>
      </c>
      <c r="G24" s="19">
        <f>IFERROR(__xludf.DUMMYFUNCTION("""COMPUTED_VALUE"""),0.8999999999999999)</f>
        <v>0.9</v>
      </c>
      <c r="H24" s="17">
        <f>IFERROR(__xludf.DUMMYFUNCTION("""COMPUTED_VALUE"""),45336.0)</f>
        <v>45336</v>
      </c>
      <c r="I24" s="19">
        <f>IFERROR(__xludf.DUMMYFUNCTION("""COMPUTED_VALUE"""),2.147222222222222)</f>
        <v>2.147222222</v>
      </c>
      <c r="J24" s="21">
        <f>IFERROR(__xludf.DUMMYFUNCTION("""COMPUTED_VALUE"""),75.0)</f>
        <v>75</v>
      </c>
      <c r="K24" s="23">
        <f>IFERROR(__xludf.DUMMYFUNCTION("""COMPUTED_VALUE"""),7.7)</f>
        <v>7.7</v>
      </c>
      <c r="L24" s="24">
        <f>IFERROR(__xludf.DUMMYFUNCTION("""COMPUTED_VALUE"""),66.0)</f>
        <v>66</v>
      </c>
      <c r="M24" s="25" t="str">
        <f>IFERROR(__xludf.DUMMYFUNCTION("""COMPUTED_VALUE"""),"Action-Adventure")</f>
        <v>Action-Adventure</v>
      </c>
      <c r="N24" s="25"/>
      <c r="O24" s="26" t="str">
        <f>IFERROR(__xludf.DUMMYFUNCTION("""COMPUTED_VALUE"""),"No")</f>
        <v>No</v>
      </c>
      <c r="P24" s="26"/>
    </row>
    <row r="25" hidden="1">
      <c r="A25" s="13" t="str">
        <f>IFERROR(__xludf.DUMMYFUNCTION("""COMPUTED_VALUE"""),"Undisputed")</f>
        <v>Undisputed</v>
      </c>
      <c r="B25" s="15" t="str">
        <f>IFERROR(__xludf.DUMMYFUNCTION("""COMPUTED_VALUE"""),"PS5")</f>
        <v>PS5</v>
      </c>
      <c r="C25" s="16" t="str">
        <f>IFERROR(__xludf.DUMMYFUNCTION("""COMPUTED_VALUE"""),"Essential")</f>
        <v>Essential</v>
      </c>
      <c r="D25" s="15" t="str">
        <f>IFERROR(__xludf.DUMMYFUNCTION("""COMPUTED_VALUE"""),"Removed")</f>
        <v>Removed</v>
      </c>
      <c r="E25" s="17">
        <f>IFERROR(__xludf.DUMMYFUNCTION("""COMPUTED_VALUE"""),46056.0)</f>
        <v>46056</v>
      </c>
      <c r="F25" s="54">
        <f>IFERROR(__xludf.DUMMYFUNCTION("""COMPUTED_VALUE"""),46083.0)</f>
        <v>46083</v>
      </c>
      <c r="G25" s="19">
        <f>IFERROR(__xludf.DUMMYFUNCTION("""COMPUTED_VALUE"""),0.9666666666666668)</f>
        <v>0.9666666667</v>
      </c>
      <c r="H25" s="17">
        <f>IFERROR(__xludf.DUMMYFUNCTION("""COMPUTED_VALUE"""),45576.0)</f>
        <v>45576</v>
      </c>
      <c r="I25" s="19">
        <f>IFERROR(__xludf.DUMMYFUNCTION("""COMPUTED_VALUE"""),1.3111111111111111)</f>
        <v>1.311111111</v>
      </c>
      <c r="J25" s="21">
        <f>IFERROR(__xludf.DUMMYFUNCTION("""COMPUTED_VALUE"""),70.0)</f>
        <v>70</v>
      </c>
      <c r="K25" s="23">
        <f>IFERROR(__xludf.DUMMYFUNCTION("""COMPUTED_VALUE"""),4.9)</f>
        <v>4.9</v>
      </c>
      <c r="L25" s="24">
        <f>IFERROR(__xludf.DUMMYFUNCTION("""COMPUTED_VALUE"""),16.0)</f>
        <v>16</v>
      </c>
      <c r="M25" s="25" t="str">
        <f>IFERROR(__xludf.DUMMYFUNCTION("""COMPUTED_VALUE"""),"Sports")</f>
        <v>Sports</v>
      </c>
      <c r="N25" s="25"/>
      <c r="O25" s="26"/>
      <c r="P25" s="26"/>
    </row>
    <row r="26" hidden="1">
      <c r="A26" s="13" t="str">
        <f>IFERROR(__xludf.DUMMYFUNCTION("""COMPUTED_VALUE"""),"Subnautica: Below Zero")</f>
        <v>Subnautica: Below Zero</v>
      </c>
      <c r="B26" s="15" t="str">
        <f>IFERROR(__xludf.DUMMYFUNCTION("""COMPUTED_VALUE"""),"PS5/PS4")</f>
        <v>PS5/PS4</v>
      </c>
      <c r="C26" s="16" t="str">
        <f>IFERROR(__xludf.DUMMYFUNCTION("""COMPUTED_VALUE"""),"Essential")</f>
        <v>Essential</v>
      </c>
      <c r="D26" s="15" t="str">
        <f>IFERROR(__xludf.DUMMYFUNCTION("""COMPUTED_VALUE"""),"Removed")</f>
        <v>Removed</v>
      </c>
      <c r="E26" s="17">
        <f>IFERROR(__xludf.DUMMYFUNCTION("""COMPUTED_VALUE"""),46056.0)</f>
        <v>46056</v>
      </c>
      <c r="F26" s="54">
        <f>IFERROR(__xludf.DUMMYFUNCTION("""COMPUTED_VALUE"""),46083.0)</f>
        <v>46083</v>
      </c>
      <c r="G26" s="19">
        <f>IFERROR(__xludf.DUMMYFUNCTION("""COMPUTED_VALUE"""),0.9666666666666668)</f>
        <v>0.9666666667</v>
      </c>
      <c r="H26" s="17">
        <f>IFERROR(__xludf.DUMMYFUNCTION("""COMPUTED_VALUE"""),44330.0)</f>
        <v>44330</v>
      </c>
      <c r="I26" s="19">
        <f>IFERROR(__xludf.DUMMYFUNCTION("""COMPUTED_VALUE"""),4.719444444444444)</f>
        <v>4.719444444</v>
      </c>
      <c r="J26" s="21">
        <f>IFERROR(__xludf.DUMMYFUNCTION("""COMPUTED_VALUE"""),82.0)</f>
        <v>82</v>
      </c>
      <c r="K26" s="23">
        <f>IFERROR(__xludf.DUMMYFUNCTION("""COMPUTED_VALUE"""),7.1)</f>
        <v>7.1</v>
      </c>
      <c r="L26" s="24">
        <f>IFERROR(__xludf.DUMMYFUNCTION("""COMPUTED_VALUE"""),20.0)</f>
        <v>20</v>
      </c>
      <c r="M26" s="25" t="str">
        <f>IFERROR(__xludf.DUMMYFUNCTION("""COMPUTED_VALUE"""),"Action-Adventure")</f>
        <v>Action-Adventure</v>
      </c>
      <c r="N26" s="25"/>
      <c r="O26" s="26"/>
      <c r="P26" s="26"/>
    </row>
    <row r="27" hidden="1">
      <c r="A27" s="13" t="str">
        <f>IFERROR(__xludf.DUMMYFUNCTION("""COMPUTED_VALUE"""),"Ultros")</f>
        <v>Ultros</v>
      </c>
      <c r="B27" s="15" t="str">
        <f>IFERROR(__xludf.DUMMYFUNCTION("""COMPUTED_VALUE"""),"PS5/PS4")</f>
        <v>PS5/PS4</v>
      </c>
      <c r="C27" s="16" t="str">
        <f>IFERROR(__xludf.DUMMYFUNCTION("""COMPUTED_VALUE"""),"Essential")</f>
        <v>Essential</v>
      </c>
      <c r="D27" s="15" t="str">
        <f>IFERROR(__xludf.DUMMYFUNCTION("""COMPUTED_VALUE"""),"Removed")</f>
        <v>Removed</v>
      </c>
      <c r="E27" s="17">
        <f>IFERROR(__xludf.DUMMYFUNCTION("""COMPUTED_VALUE"""),46056.0)</f>
        <v>46056</v>
      </c>
      <c r="F27" s="54">
        <f>IFERROR(__xludf.DUMMYFUNCTION("""COMPUTED_VALUE"""),46083.0)</f>
        <v>46083</v>
      </c>
      <c r="G27" s="19">
        <f>IFERROR(__xludf.DUMMYFUNCTION("""COMPUTED_VALUE"""),0.9666666666666668)</f>
        <v>0.9666666667</v>
      </c>
      <c r="H27" s="17">
        <f>IFERROR(__xludf.DUMMYFUNCTION("""COMPUTED_VALUE"""),45335.0)</f>
        <v>45335</v>
      </c>
      <c r="I27" s="19">
        <f>IFERROR(__xludf.DUMMYFUNCTION("""COMPUTED_VALUE"""),1.9722222222222223)</f>
        <v>1.972222222</v>
      </c>
      <c r="J27" s="21">
        <f>IFERROR(__xludf.DUMMYFUNCTION("""COMPUTED_VALUE"""),79.0)</f>
        <v>79</v>
      </c>
      <c r="K27" s="23">
        <f>IFERROR(__xludf.DUMMYFUNCTION("""COMPUTED_VALUE"""),7.9)</f>
        <v>7.9</v>
      </c>
      <c r="L27" s="24">
        <f>IFERROR(__xludf.DUMMYFUNCTION("""COMPUTED_VALUE"""),12.0)</f>
        <v>12</v>
      </c>
      <c r="M27" s="25" t="str">
        <f>IFERROR(__xludf.DUMMYFUNCTION("""COMPUTED_VALUE"""),"Metroidvania")</f>
        <v>Metroidvania</v>
      </c>
      <c r="N27" s="25"/>
      <c r="O27" s="26"/>
      <c r="P27" s="26"/>
    </row>
    <row r="28" hidden="1">
      <c r="A28" s="13" t="str">
        <f>IFERROR(__xludf.DUMMYFUNCTION("""COMPUTED_VALUE"""),"Ace Combat 7: Skies Unknown")</f>
        <v>Ace Combat 7: Skies Unknown</v>
      </c>
      <c r="B28" s="15" t="str">
        <f>IFERROR(__xludf.DUMMYFUNCTION("""COMPUTED_VALUE"""),"PS4")</f>
        <v>PS4</v>
      </c>
      <c r="C28" s="16" t="str">
        <f>IFERROR(__xludf.DUMMYFUNCTION("""COMPUTED_VALUE"""),"Essential")</f>
        <v>Essential</v>
      </c>
      <c r="D28" s="15" t="str">
        <f>IFERROR(__xludf.DUMMYFUNCTION("""COMPUTED_VALUE"""),"Removed")</f>
        <v>Removed</v>
      </c>
      <c r="E28" s="17">
        <f>IFERROR(__xludf.DUMMYFUNCTION("""COMPUTED_VALUE"""),46056.0)</f>
        <v>46056</v>
      </c>
      <c r="F28" s="54">
        <f>IFERROR(__xludf.DUMMYFUNCTION("""COMPUTED_VALUE"""),46083.0)</f>
        <v>46083</v>
      </c>
      <c r="G28" s="19">
        <f>IFERROR(__xludf.DUMMYFUNCTION("""COMPUTED_VALUE"""),0.9666666666666668)</f>
        <v>0.9666666667</v>
      </c>
      <c r="H28" s="17">
        <f>IFERROR(__xludf.DUMMYFUNCTION("""COMPUTED_VALUE"""),43483.0)</f>
        <v>43483</v>
      </c>
      <c r="I28" s="19">
        <f>IFERROR(__xludf.DUMMYFUNCTION("""COMPUTED_VALUE"""),7.041666666666667)</f>
        <v>7.041666667</v>
      </c>
      <c r="J28" s="21">
        <f>IFERROR(__xludf.DUMMYFUNCTION("""COMPUTED_VALUE"""),80.0)</f>
        <v>80</v>
      </c>
      <c r="K28" s="23">
        <f>IFERROR(__xludf.DUMMYFUNCTION("""COMPUTED_VALUE"""),7.9)</f>
        <v>7.9</v>
      </c>
      <c r="L28" s="24">
        <f>IFERROR(__xludf.DUMMYFUNCTION("""COMPUTED_VALUE"""),12.0)</f>
        <v>12</v>
      </c>
      <c r="M28" s="25" t="str">
        <f>IFERROR(__xludf.DUMMYFUNCTION("""COMPUTED_VALUE"""),"Action-Adventure")</f>
        <v>Action-Adventure</v>
      </c>
      <c r="N28" s="25"/>
      <c r="O28" s="26"/>
      <c r="P28" s="26"/>
    </row>
    <row r="29" hidden="1">
      <c r="A29" s="13" t="str">
        <f>IFERROR(__xludf.DUMMYFUNCTION("""COMPUTED_VALUE"""),"Need For Speed: Unbound")</f>
        <v>Need For Speed: Unbound</v>
      </c>
      <c r="B29" s="15" t="str">
        <f>IFERROR(__xludf.DUMMYFUNCTION("""COMPUTED_VALUE"""),"PS5")</f>
        <v>PS5</v>
      </c>
      <c r="C29" s="16" t="str">
        <f>IFERROR(__xludf.DUMMYFUNCTION("""COMPUTED_VALUE"""),"Essential")</f>
        <v>Essential</v>
      </c>
      <c r="D29" s="15" t="str">
        <f>IFERROR(__xludf.DUMMYFUNCTION("""COMPUTED_VALUE"""),"Removed")</f>
        <v>Removed</v>
      </c>
      <c r="E29" s="17">
        <f>IFERROR(__xludf.DUMMYFUNCTION("""COMPUTED_VALUE"""),46028.0)</f>
        <v>46028</v>
      </c>
      <c r="F29" s="54">
        <f>IFERROR(__xludf.DUMMYFUNCTION("""COMPUTED_VALUE"""),46055.0)</f>
        <v>46055</v>
      </c>
      <c r="G29" s="19">
        <f>IFERROR(__xludf.DUMMYFUNCTION("""COMPUTED_VALUE"""),0.8666666666666666)</f>
        <v>0.8666666667</v>
      </c>
      <c r="H29" s="17">
        <f>IFERROR(__xludf.DUMMYFUNCTION("""COMPUTED_VALUE"""),44897.0)</f>
        <v>44897</v>
      </c>
      <c r="I29" s="19">
        <f>IFERROR(__xludf.DUMMYFUNCTION("""COMPUTED_VALUE"""),3.0944444444444446)</f>
        <v>3.094444444</v>
      </c>
      <c r="J29" s="21">
        <f>IFERROR(__xludf.DUMMYFUNCTION("""COMPUTED_VALUE"""),77.0)</f>
        <v>77</v>
      </c>
      <c r="K29" s="23">
        <f>IFERROR(__xludf.DUMMYFUNCTION("""COMPUTED_VALUE"""),5.9)</f>
        <v>5.9</v>
      </c>
      <c r="L29" s="24">
        <f>IFERROR(__xludf.DUMMYFUNCTION("""COMPUTED_VALUE"""),23.0)</f>
        <v>23</v>
      </c>
      <c r="M29" s="25" t="str">
        <f>IFERROR(__xludf.DUMMYFUNCTION("""COMPUTED_VALUE"""),"Racing")</f>
        <v>Racing</v>
      </c>
      <c r="N29" s="25"/>
      <c r="O29" s="26" t="str">
        <f>IFERROR(__xludf.DUMMYFUNCTION("""COMPUTED_VALUE"""),"No")</f>
        <v>No</v>
      </c>
      <c r="P29" s="26"/>
    </row>
    <row r="30" hidden="1">
      <c r="A30" s="13" t="str">
        <f>IFERROR(__xludf.DUMMYFUNCTION("""COMPUTED_VALUE"""),"Core Keeper")</f>
        <v>Core Keeper</v>
      </c>
      <c r="B30" s="15" t="str">
        <f>IFERROR(__xludf.DUMMYFUNCTION("""COMPUTED_VALUE"""),"PS5/PS4")</f>
        <v>PS5/PS4</v>
      </c>
      <c r="C30" s="16" t="str">
        <f>IFERROR(__xludf.DUMMYFUNCTION("""COMPUTED_VALUE"""),"Essential")</f>
        <v>Essential</v>
      </c>
      <c r="D30" s="15" t="str">
        <f>IFERROR(__xludf.DUMMYFUNCTION("""COMPUTED_VALUE"""),"Removed")</f>
        <v>Removed</v>
      </c>
      <c r="E30" s="17">
        <f>IFERROR(__xludf.DUMMYFUNCTION("""COMPUTED_VALUE"""),46028.0)</f>
        <v>46028</v>
      </c>
      <c r="F30" s="54">
        <f>IFERROR(__xludf.DUMMYFUNCTION("""COMPUTED_VALUE"""),46055.0)</f>
        <v>46055</v>
      </c>
      <c r="G30" s="19">
        <f>IFERROR(__xludf.DUMMYFUNCTION("""COMPUTED_VALUE"""),0.8666666666666666)</f>
        <v>0.8666666667</v>
      </c>
      <c r="H30" s="17">
        <f>IFERROR(__xludf.DUMMYFUNCTION("""COMPUTED_VALUE"""),45531.0)</f>
        <v>45531</v>
      </c>
      <c r="I30" s="19">
        <f>IFERROR(__xludf.DUMMYFUNCTION("""COMPUTED_VALUE"""),1.3583333333333334)</f>
        <v>1.358333333</v>
      </c>
      <c r="J30" s="21">
        <f>IFERROR(__xludf.DUMMYFUNCTION("""COMPUTED_VALUE"""),85.0)</f>
        <v>85</v>
      </c>
      <c r="K30" s="23">
        <f>IFERROR(__xludf.DUMMYFUNCTION("""COMPUTED_VALUE"""),7.5)</f>
        <v>7.5</v>
      </c>
      <c r="L30" s="24">
        <f>IFERROR(__xludf.DUMMYFUNCTION("""COMPUTED_VALUE"""),36.0)</f>
        <v>36</v>
      </c>
      <c r="M30" s="25" t="str">
        <f>IFERROR(__xludf.DUMMYFUNCTION("""COMPUTED_VALUE"""),"Action-Adventure")</f>
        <v>Action-Adventure</v>
      </c>
      <c r="N30" s="25"/>
      <c r="O30" s="26" t="str">
        <f>IFERROR(__xludf.DUMMYFUNCTION("""COMPUTED_VALUE"""),"No")</f>
        <v>No</v>
      </c>
      <c r="P30" s="26"/>
    </row>
    <row r="31" hidden="1">
      <c r="A31" s="13" t="str">
        <f>IFERROR(__xludf.DUMMYFUNCTION("""COMPUTED_VALUE"""),"Disney Epic Mickey: Rebrushed")</f>
        <v>Disney Epic Mickey: Rebrushed</v>
      </c>
      <c r="B31" s="15" t="str">
        <f>IFERROR(__xludf.DUMMYFUNCTION("""COMPUTED_VALUE"""),"PS5/PS4")</f>
        <v>PS5/PS4</v>
      </c>
      <c r="C31" s="16" t="str">
        <f>IFERROR(__xludf.DUMMYFUNCTION("""COMPUTED_VALUE"""),"Essential")</f>
        <v>Essential</v>
      </c>
      <c r="D31" s="15" t="str">
        <f>IFERROR(__xludf.DUMMYFUNCTION("""COMPUTED_VALUE"""),"Removed")</f>
        <v>Removed</v>
      </c>
      <c r="E31" s="17">
        <f>IFERROR(__xludf.DUMMYFUNCTION("""COMPUTED_VALUE"""),46028.0)</f>
        <v>46028</v>
      </c>
      <c r="F31" s="54">
        <f>IFERROR(__xludf.DUMMYFUNCTION("""COMPUTED_VALUE"""),46055.0)</f>
        <v>46055</v>
      </c>
      <c r="G31" s="19">
        <f>IFERROR(__xludf.DUMMYFUNCTION("""COMPUTED_VALUE"""),0.8666666666666666)</f>
        <v>0.8666666667</v>
      </c>
      <c r="H31" s="17">
        <f>IFERROR(__xludf.DUMMYFUNCTION("""COMPUTED_VALUE"""),45559.0)</f>
        <v>45559</v>
      </c>
      <c r="I31" s="19">
        <f>IFERROR(__xludf.DUMMYFUNCTION("""COMPUTED_VALUE"""),1.2833333333333334)</f>
        <v>1.283333333</v>
      </c>
      <c r="J31" s="21">
        <f>IFERROR(__xludf.DUMMYFUNCTION("""COMPUTED_VALUE"""),76.0)</f>
        <v>76</v>
      </c>
      <c r="K31" s="23">
        <f>IFERROR(__xludf.DUMMYFUNCTION("""COMPUTED_VALUE"""),7.6)</f>
        <v>7.6</v>
      </c>
      <c r="L31" s="24">
        <f>IFERROR(__xludf.DUMMYFUNCTION("""COMPUTED_VALUE"""),9.0)</f>
        <v>9</v>
      </c>
      <c r="M31" s="25" t="str">
        <f>IFERROR(__xludf.DUMMYFUNCTION("""COMPUTED_VALUE"""),"Action-Adventure")</f>
        <v>Action-Adventure</v>
      </c>
      <c r="N31" s="25"/>
      <c r="O31" s="26" t="str">
        <f>IFERROR(__xludf.DUMMYFUNCTION("""COMPUTED_VALUE"""),"No")</f>
        <v>No</v>
      </c>
      <c r="P31" s="26"/>
    </row>
    <row r="32" hidden="1">
      <c r="A32" s="13" t="str">
        <f>IFERROR(__xludf.DUMMYFUNCTION("""COMPUTED_VALUE"""),"LEGO Horizon Adventures")</f>
        <v>LEGO Horizon Adventures</v>
      </c>
      <c r="B32" s="15" t="str">
        <f>IFERROR(__xludf.DUMMYFUNCTION("""COMPUTED_VALUE"""),"PS5")</f>
        <v>PS5</v>
      </c>
      <c r="C32" s="16" t="str">
        <f>IFERROR(__xludf.DUMMYFUNCTION("""COMPUTED_VALUE"""),"Essential")</f>
        <v>Essential</v>
      </c>
      <c r="D32" s="15" t="str">
        <f>IFERROR(__xludf.DUMMYFUNCTION("""COMPUTED_VALUE"""),"Removed")</f>
        <v>Removed</v>
      </c>
      <c r="E32" s="17">
        <f>IFERROR(__xludf.DUMMYFUNCTION("""COMPUTED_VALUE"""),45993.0)</f>
        <v>45993</v>
      </c>
      <c r="F32" s="54">
        <f>IFERROR(__xludf.DUMMYFUNCTION("""COMPUTED_VALUE"""),46027.0)</f>
        <v>46027</v>
      </c>
      <c r="G32" s="19">
        <f>IFERROR(__xludf.DUMMYFUNCTION("""COMPUTED_VALUE"""),1.0999999999999999)</f>
        <v>1.1</v>
      </c>
      <c r="H32" s="17">
        <f>IFERROR(__xludf.DUMMYFUNCTION("""COMPUTED_VALUE"""),45610.0)</f>
        <v>45610</v>
      </c>
      <c r="I32" s="19">
        <f>IFERROR(__xludf.DUMMYFUNCTION("""COMPUTED_VALUE"""),1.05)</f>
        <v>1.05</v>
      </c>
      <c r="J32" s="21">
        <f>IFERROR(__xludf.DUMMYFUNCTION("""COMPUTED_VALUE"""),70.0)</f>
        <v>70</v>
      </c>
      <c r="K32" s="23">
        <f>IFERROR(__xludf.DUMMYFUNCTION("""COMPUTED_VALUE"""),5.8)</f>
        <v>5.8</v>
      </c>
      <c r="L32" s="24">
        <f>IFERROR(__xludf.DUMMYFUNCTION("""COMPUTED_VALUE"""),7.0)</f>
        <v>7</v>
      </c>
      <c r="M32" s="25" t="str">
        <f>IFERROR(__xludf.DUMMYFUNCTION("""COMPUTED_VALUE"""),"Action-Adventure")</f>
        <v>Action-Adventure</v>
      </c>
      <c r="N32" s="25"/>
      <c r="O32" s="26" t="str">
        <f>IFERROR(__xludf.DUMMYFUNCTION("""COMPUTED_VALUE"""),"No")</f>
        <v>No</v>
      </c>
      <c r="P32" s="26"/>
    </row>
    <row r="33" hidden="1">
      <c r="A33" s="13" t="str">
        <f>IFERROR(__xludf.DUMMYFUNCTION("""COMPUTED_VALUE"""),"Killing Floor 3")</f>
        <v>Killing Floor 3</v>
      </c>
      <c r="B33" s="15" t="str">
        <f>IFERROR(__xludf.DUMMYFUNCTION("""COMPUTED_VALUE"""),"PS5")</f>
        <v>PS5</v>
      </c>
      <c r="C33" s="16" t="str">
        <f>IFERROR(__xludf.DUMMYFUNCTION("""COMPUTED_VALUE"""),"Essential")</f>
        <v>Essential</v>
      </c>
      <c r="D33" s="15" t="str">
        <f>IFERROR(__xludf.DUMMYFUNCTION("""COMPUTED_VALUE"""),"Removed")</f>
        <v>Removed</v>
      </c>
      <c r="E33" s="17">
        <f>IFERROR(__xludf.DUMMYFUNCTION("""COMPUTED_VALUE"""),45993.0)</f>
        <v>45993</v>
      </c>
      <c r="F33" s="54">
        <f>IFERROR(__xludf.DUMMYFUNCTION("""COMPUTED_VALUE"""),46027.0)</f>
        <v>46027</v>
      </c>
      <c r="G33" s="19">
        <f>IFERROR(__xludf.DUMMYFUNCTION("""COMPUTED_VALUE"""),1.0999999999999999)</f>
        <v>1.1</v>
      </c>
      <c r="H33" s="17">
        <f>IFERROR(__xludf.DUMMYFUNCTION("""COMPUTED_VALUE"""),45862.0)</f>
        <v>45862</v>
      </c>
      <c r="I33" s="19">
        <f>IFERROR(__xludf.DUMMYFUNCTION("""COMPUTED_VALUE"""),0.35555555555555557)</f>
        <v>0.3555555556</v>
      </c>
      <c r="J33" s="21">
        <f>IFERROR(__xludf.DUMMYFUNCTION("""COMPUTED_VALUE"""),68.0)</f>
        <v>68</v>
      </c>
      <c r="K33" s="23">
        <f>IFERROR(__xludf.DUMMYFUNCTION("""COMPUTED_VALUE"""),6.5)</f>
        <v>6.5</v>
      </c>
      <c r="L33" s="24">
        <f>IFERROR(__xludf.DUMMYFUNCTION("""COMPUTED_VALUE"""),9.0)</f>
        <v>9</v>
      </c>
      <c r="M33" s="25" t="str">
        <f>IFERROR(__xludf.DUMMYFUNCTION("""COMPUTED_VALUE"""),"Shooter")</f>
        <v>Shooter</v>
      </c>
      <c r="N33" s="25"/>
      <c r="O33" s="26" t="str">
        <f>IFERROR(__xludf.DUMMYFUNCTION("""COMPUTED_VALUE"""),"No")</f>
        <v>No</v>
      </c>
      <c r="P33" s="26"/>
    </row>
    <row r="34" hidden="1">
      <c r="A34" s="13" t="str">
        <f>IFERROR(__xludf.DUMMYFUNCTION("""COMPUTED_VALUE"""),"The Outlast Trials")</f>
        <v>The Outlast Trials</v>
      </c>
      <c r="B34" s="15" t="str">
        <f>IFERROR(__xludf.DUMMYFUNCTION("""COMPUTED_VALUE"""),"PS5/PS4")</f>
        <v>PS5/PS4</v>
      </c>
      <c r="C34" s="16" t="str">
        <f>IFERROR(__xludf.DUMMYFUNCTION("""COMPUTED_VALUE"""),"Essential")</f>
        <v>Essential</v>
      </c>
      <c r="D34" s="15" t="str">
        <f>IFERROR(__xludf.DUMMYFUNCTION("""COMPUTED_VALUE"""),"Removed")</f>
        <v>Removed</v>
      </c>
      <c r="E34" s="17">
        <f>IFERROR(__xludf.DUMMYFUNCTION("""COMPUTED_VALUE"""),45993.0)</f>
        <v>45993</v>
      </c>
      <c r="F34" s="54">
        <f>IFERROR(__xludf.DUMMYFUNCTION("""COMPUTED_VALUE"""),46027.0)</f>
        <v>46027</v>
      </c>
      <c r="G34" s="19">
        <f>IFERROR(__xludf.DUMMYFUNCTION("""COMPUTED_VALUE"""),1.0999999999999999)</f>
        <v>1.1</v>
      </c>
      <c r="H34" s="17">
        <f>IFERROR(__xludf.DUMMYFUNCTION("""COMPUTED_VALUE"""),45356.0)</f>
        <v>45356</v>
      </c>
      <c r="I34" s="19">
        <f>IFERROR(__xludf.DUMMYFUNCTION("""COMPUTED_VALUE"""),1.7416666666666667)</f>
        <v>1.741666667</v>
      </c>
      <c r="J34" s="21">
        <f>IFERROR(__xludf.DUMMYFUNCTION("""COMPUTED_VALUE"""),75.0)</f>
        <v>75</v>
      </c>
      <c r="K34" s="23">
        <f>IFERROR(__xludf.DUMMYFUNCTION("""COMPUTED_VALUE"""),7.7)</f>
        <v>7.7</v>
      </c>
      <c r="L34" s="24">
        <f>IFERROR(__xludf.DUMMYFUNCTION("""COMPUTED_VALUE"""),19.0)</f>
        <v>19</v>
      </c>
      <c r="M34" s="25" t="str">
        <f>IFERROR(__xludf.DUMMYFUNCTION("""COMPUTED_VALUE"""),"Survival horror")</f>
        <v>Survival horror</v>
      </c>
      <c r="N34" s="25"/>
      <c r="O34" s="26" t="str">
        <f>IFERROR(__xludf.DUMMYFUNCTION("""COMPUTED_VALUE"""),"No")</f>
        <v>No</v>
      </c>
      <c r="P34" s="26"/>
    </row>
    <row r="35" hidden="1">
      <c r="A35" s="13" t="str">
        <f>IFERROR(__xludf.DUMMYFUNCTION("""COMPUTED_VALUE"""),"Synduality Echo of Ada")</f>
        <v>Synduality Echo of Ada</v>
      </c>
      <c r="B35" s="15" t="str">
        <f>IFERROR(__xludf.DUMMYFUNCTION("""COMPUTED_VALUE"""),"PS5")</f>
        <v>PS5</v>
      </c>
      <c r="C35" s="16" t="str">
        <f>IFERROR(__xludf.DUMMYFUNCTION("""COMPUTED_VALUE"""),"Essential")</f>
        <v>Essential</v>
      </c>
      <c r="D35" s="15" t="str">
        <f>IFERROR(__xludf.DUMMYFUNCTION("""COMPUTED_VALUE"""),"Removed")</f>
        <v>Removed</v>
      </c>
      <c r="E35" s="17">
        <f>IFERROR(__xludf.DUMMYFUNCTION("""COMPUTED_VALUE"""),45993.0)</f>
        <v>45993</v>
      </c>
      <c r="F35" s="54">
        <f>IFERROR(__xludf.DUMMYFUNCTION("""COMPUTED_VALUE"""),46027.0)</f>
        <v>46027</v>
      </c>
      <c r="G35" s="19">
        <f>IFERROR(__xludf.DUMMYFUNCTION("""COMPUTED_VALUE"""),1.0999999999999999)</f>
        <v>1.1</v>
      </c>
      <c r="H35" s="17">
        <f>IFERROR(__xludf.DUMMYFUNCTION("""COMPUTED_VALUE"""),45680.0)</f>
        <v>45680</v>
      </c>
      <c r="I35" s="19">
        <f>IFERROR(__xludf.DUMMYFUNCTION("""COMPUTED_VALUE"""),0.8583333333333333)</f>
        <v>0.8583333333</v>
      </c>
      <c r="J35" s="21">
        <f>IFERROR(__xludf.DUMMYFUNCTION("""COMPUTED_VALUE"""),65.0)</f>
        <v>65</v>
      </c>
      <c r="K35" s="23">
        <f>IFERROR(__xludf.DUMMYFUNCTION("""COMPUTED_VALUE"""),4.0)</f>
        <v>4</v>
      </c>
      <c r="L35" s="24"/>
      <c r="M35" s="25" t="str">
        <f>IFERROR(__xludf.DUMMYFUNCTION("""COMPUTED_VALUE"""),"Shooter")</f>
        <v>Shooter</v>
      </c>
      <c r="N35" s="25"/>
      <c r="O35" s="26" t="str">
        <f>IFERROR(__xludf.DUMMYFUNCTION("""COMPUTED_VALUE"""),"No")</f>
        <v>No</v>
      </c>
      <c r="P35" s="26"/>
    </row>
    <row r="36" hidden="1">
      <c r="A36" s="13" t="str">
        <f>IFERROR(__xludf.DUMMYFUNCTION("""COMPUTED_VALUE"""),"Neon White")</f>
        <v>Neon White</v>
      </c>
      <c r="B36" s="15" t="str">
        <f>IFERROR(__xludf.DUMMYFUNCTION("""COMPUTED_VALUE"""),"PS5/PS4")</f>
        <v>PS5/PS4</v>
      </c>
      <c r="C36" s="16" t="str">
        <f>IFERROR(__xludf.DUMMYFUNCTION("""COMPUTED_VALUE"""),"Essential")</f>
        <v>Essential</v>
      </c>
      <c r="D36" s="15" t="str">
        <f>IFERROR(__xludf.DUMMYFUNCTION("""COMPUTED_VALUE"""),"Removed")</f>
        <v>Removed</v>
      </c>
      <c r="E36" s="17">
        <f>IFERROR(__xludf.DUMMYFUNCTION("""COMPUTED_VALUE"""),45993.0)</f>
        <v>45993</v>
      </c>
      <c r="F36" s="54">
        <f>IFERROR(__xludf.DUMMYFUNCTION("""COMPUTED_VALUE"""),46027.0)</f>
        <v>46027</v>
      </c>
      <c r="G36" s="19">
        <f>IFERROR(__xludf.DUMMYFUNCTION("""COMPUTED_VALUE"""),1.0999999999999999)</f>
        <v>1.1</v>
      </c>
      <c r="H36" s="17">
        <f>IFERROR(__xludf.DUMMYFUNCTION("""COMPUTED_VALUE"""),44728.0)</f>
        <v>44728</v>
      </c>
      <c r="I36" s="19">
        <f>IFERROR(__xludf.DUMMYFUNCTION("""COMPUTED_VALUE"""),3.4611111111111112)</f>
        <v>3.461111111</v>
      </c>
      <c r="J36" s="21">
        <f>IFERROR(__xludf.DUMMYFUNCTION("""COMPUTED_VALUE"""),89.0)</f>
        <v>89</v>
      </c>
      <c r="K36" s="23">
        <f>IFERROR(__xludf.DUMMYFUNCTION("""COMPUTED_VALUE"""),8.3)</f>
        <v>8.3</v>
      </c>
      <c r="L36" s="24">
        <f>IFERROR(__xludf.DUMMYFUNCTION("""COMPUTED_VALUE"""),11.0)</f>
        <v>11</v>
      </c>
      <c r="M36" s="25" t="str">
        <f>IFERROR(__xludf.DUMMYFUNCTION("""COMPUTED_VALUE"""),"Shooter")</f>
        <v>Shooter</v>
      </c>
      <c r="N36" s="25"/>
      <c r="O36" s="26" t="str">
        <f>IFERROR(__xludf.DUMMYFUNCTION("""COMPUTED_VALUE"""),"No")</f>
        <v>No</v>
      </c>
      <c r="P36" s="26"/>
    </row>
    <row r="37" hidden="1">
      <c r="A37" s="13" t="str">
        <f>IFERROR(__xludf.DUMMYFUNCTION("""COMPUTED_VALUE"""),"Stray")</f>
        <v>Stray</v>
      </c>
      <c r="B37" s="15" t="str">
        <f>IFERROR(__xludf.DUMMYFUNCTION("""COMPUTED_VALUE"""),"PS5/PS4")</f>
        <v>PS5/PS4</v>
      </c>
      <c r="C37" s="16" t="str">
        <f>IFERROR(__xludf.DUMMYFUNCTION("""COMPUTED_VALUE"""),"Essential")</f>
        <v>Essential</v>
      </c>
      <c r="D37" s="15" t="str">
        <f>IFERROR(__xludf.DUMMYFUNCTION("""COMPUTED_VALUE"""),"Removed")</f>
        <v>Removed</v>
      </c>
      <c r="E37" s="17">
        <f>IFERROR(__xludf.DUMMYFUNCTION("""COMPUTED_VALUE"""),45965.0)</f>
        <v>45965</v>
      </c>
      <c r="F37" s="54">
        <f>IFERROR(__xludf.DUMMYFUNCTION("""COMPUTED_VALUE"""),45992.0)</f>
        <v>45992</v>
      </c>
      <c r="G37" s="19">
        <f>IFERROR(__xludf.DUMMYFUNCTION("""COMPUTED_VALUE"""),0.8999999999999999)</f>
        <v>0.9</v>
      </c>
      <c r="H37" s="17">
        <f>IFERROR(__xludf.DUMMYFUNCTION("""COMPUTED_VALUE"""),44761.0)</f>
        <v>44761</v>
      </c>
      <c r="I37" s="19">
        <f>IFERROR(__xludf.DUMMYFUNCTION("""COMPUTED_VALUE"""),3.2916666666666665)</f>
        <v>3.291666667</v>
      </c>
      <c r="J37" s="21">
        <f>IFERROR(__xludf.DUMMYFUNCTION("""COMPUTED_VALUE"""),83.0)</f>
        <v>83</v>
      </c>
      <c r="K37" s="23">
        <f>IFERROR(__xludf.DUMMYFUNCTION("""COMPUTED_VALUE"""),8.3)</f>
        <v>8.3</v>
      </c>
      <c r="L37" s="24">
        <f>IFERROR(__xludf.DUMMYFUNCTION("""COMPUTED_VALUE"""),5.0)</f>
        <v>5</v>
      </c>
      <c r="M37" s="25" t="str">
        <f>IFERROR(__xludf.DUMMYFUNCTION("""COMPUTED_VALUE"""),"Action-Adventure")</f>
        <v>Action-Adventure</v>
      </c>
      <c r="N37" s="25"/>
      <c r="O37" s="26"/>
      <c r="P37" s="26"/>
    </row>
    <row r="38" hidden="1">
      <c r="A38" s="13" t="str">
        <f>IFERROR(__xludf.DUMMYFUNCTION("""COMPUTED_VALUE"""),"EA Sports WRC 24")</f>
        <v>EA Sports WRC 24</v>
      </c>
      <c r="B38" s="15" t="str">
        <f>IFERROR(__xludf.DUMMYFUNCTION("""COMPUTED_VALUE"""),"PS5")</f>
        <v>PS5</v>
      </c>
      <c r="C38" s="16" t="str">
        <f>IFERROR(__xludf.DUMMYFUNCTION("""COMPUTED_VALUE"""),"Essential")</f>
        <v>Essential</v>
      </c>
      <c r="D38" s="15" t="str">
        <f>IFERROR(__xludf.DUMMYFUNCTION("""COMPUTED_VALUE"""),"Removed")</f>
        <v>Removed</v>
      </c>
      <c r="E38" s="17">
        <f>IFERROR(__xludf.DUMMYFUNCTION("""COMPUTED_VALUE"""),45965.0)</f>
        <v>45965</v>
      </c>
      <c r="F38" s="54">
        <f>IFERROR(__xludf.DUMMYFUNCTION("""COMPUTED_VALUE"""),45992.0)</f>
        <v>45992</v>
      </c>
      <c r="G38" s="19">
        <f>IFERROR(__xludf.DUMMYFUNCTION("""COMPUTED_VALUE"""),0.8999999999999999)</f>
        <v>0.9</v>
      </c>
      <c r="H38" s="17">
        <f>IFERROR(__xludf.DUMMYFUNCTION("""COMPUTED_VALUE"""),45573.0)</f>
        <v>45573</v>
      </c>
      <c r="I38" s="19">
        <f>IFERROR(__xludf.DUMMYFUNCTION("""COMPUTED_VALUE"""),1.0722222222222222)</f>
        <v>1.072222222</v>
      </c>
      <c r="J38" s="21">
        <f>IFERROR(__xludf.DUMMYFUNCTION("""COMPUTED_VALUE"""),70.0)</f>
        <v>70</v>
      </c>
      <c r="K38" s="23">
        <f>IFERROR(__xludf.DUMMYFUNCTION("""COMPUTED_VALUE"""),6.7)</f>
        <v>6.7</v>
      </c>
      <c r="L38" s="24">
        <f>IFERROR(__xludf.DUMMYFUNCTION("""COMPUTED_VALUE"""),15.0)</f>
        <v>15</v>
      </c>
      <c r="M38" s="25" t="str">
        <f>IFERROR(__xludf.DUMMYFUNCTION("""COMPUTED_VALUE"""),"Racing")</f>
        <v>Racing</v>
      </c>
      <c r="N38" s="25"/>
      <c r="O38" s="26" t="str">
        <f>IFERROR(__xludf.DUMMYFUNCTION("""COMPUTED_VALUE"""),"No")</f>
        <v>No</v>
      </c>
      <c r="P38" s="26"/>
    </row>
    <row r="39" hidden="1">
      <c r="A39" s="13" t="str">
        <f>IFERROR(__xludf.DUMMYFUNCTION("""COMPUTED_VALUE"""),"Totally Accurate Battle Simulator")</f>
        <v>Totally Accurate Battle Simulator</v>
      </c>
      <c r="B39" s="15" t="str">
        <f>IFERROR(__xludf.DUMMYFUNCTION("""COMPUTED_VALUE"""),"PS5/PS4")</f>
        <v>PS5/PS4</v>
      </c>
      <c r="C39" s="16" t="str">
        <f>IFERROR(__xludf.DUMMYFUNCTION("""COMPUTED_VALUE"""),"Essential")</f>
        <v>Essential</v>
      </c>
      <c r="D39" s="15" t="str">
        <f>IFERROR(__xludf.DUMMYFUNCTION("""COMPUTED_VALUE"""),"Removed")</f>
        <v>Removed</v>
      </c>
      <c r="E39" s="17">
        <f>IFERROR(__xludf.DUMMYFUNCTION("""COMPUTED_VALUE"""),45965.0)</f>
        <v>45965</v>
      </c>
      <c r="F39" s="54">
        <f>IFERROR(__xludf.DUMMYFUNCTION("""COMPUTED_VALUE"""),45992.0)</f>
        <v>45992</v>
      </c>
      <c r="G39" s="19">
        <f>IFERROR(__xludf.DUMMYFUNCTION("""COMPUTED_VALUE"""),0.8999999999999999)</f>
        <v>0.9</v>
      </c>
      <c r="H39" s="17">
        <f>IFERROR(__xludf.DUMMYFUNCTION("""COMPUTED_VALUE"""),43816.0)</f>
        <v>43816</v>
      </c>
      <c r="I39" s="19">
        <f>IFERROR(__xludf.DUMMYFUNCTION("""COMPUTED_VALUE"""),5.8805555555555555)</f>
        <v>5.880555556</v>
      </c>
      <c r="J39" s="21">
        <f>IFERROR(__xludf.DUMMYFUNCTION("""COMPUTED_VALUE"""),55.0)</f>
        <v>55</v>
      </c>
      <c r="K39" s="23">
        <f>IFERROR(__xludf.DUMMYFUNCTION("""COMPUTED_VALUE"""),7.8)</f>
        <v>7.8</v>
      </c>
      <c r="L39" s="24">
        <f>IFERROR(__xludf.DUMMYFUNCTION("""COMPUTED_VALUE"""),9.0)</f>
        <v>9</v>
      </c>
      <c r="M39" s="25" t="str">
        <f>IFERROR(__xludf.DUMMYFUNCTION("""COMPUTED_VALUE"""),"Strategy")</f>
        <v>Strategy</v>
      </c>
      <c r="N39" s="25"/>
      <c r="O39" s="26"/>
      <c r="P39" s="26"/>
    </row>
    <row r="40" hidden="1">
      <c r="A40" s="13" t="str">
        <f>IFERROR(__xludf.DUMMYFUNCTION("""COMPUTED_VALUE"""),"Goat Simulator 3")</f>
        <v>Goat Simulator 3</v>
      </c>
      <c r="B40" s="15" t="str">
        <f>IFERROR(__xludf.DUMMYFUNCTION("""COMPUTED_VALUE"""),"PS5/PS4")</f>
        <v>PS5/PS4</v>
      </c>
      <c r="C40" s="16" t="str">
        <f>IFERROR(__xludf.DUMMYFUNCTION("""COMPUTED_VALUE"""),"Essential")</f>
        <v>Essential</v>
      </c>
      <c r="D40" s="15" t="str">
        <f>IFERROR(__xludf.DUMMYFUNCTION("""COMPUTED_VALUE"""),"Removed")</f>
        <v>Removed</v>
      </c>
      <c r="E40" s="17">
        <f>IFERROR(__xludf.DUMMYFUNCTION("""COMPUTED_VALUE"""),45937.0)</f>
        <v>45937</v>
      </c>
      <c r="F40" s="54">
        <f>IFERROR(__xludf.DUMMYFUNCTION("""COMPUTED_VALUE"""),45964.0)</f>
        <v>45964</v>
      </c>
      <c r="G40" s="19">
        <f>IFERROR(__xludf.DUMMYFUNCTION("""COMPUTED_VALUE"""),0.8666666666666666)</f>
        <v>0.8666666667</v>
      </c>
      <c r="H40" s="17">
        <f>IFERROR(__xludf.DUMMYFUNCTION("""COMPUTED_VALUE"""),44882.0)</f>
        <v>44882</v>
      </c>
      <c r="I40" s="19">
        <f>IFERROR(__xludf.DUMMYFUNCTION("""COMPUTED_VALUE"""),2.888888888888889)</f>
        <v>2.888888889</v>
      </c>
      <c r="J40" s="21">
        <f>IFERROR(__xludf.DUMMYFUNCTION("""COMPUTED_VALUE"""),68.0)</f>
        <v>68</v>
      </c>
      <c r="K40" s="23">
        <f>IFERROR(__xludf.DUMMYFUNCTION("""COMPUTED_VALUE"""),7.3)</f>
        <v>7.3</v>
      </c>
      <c r="L40" s="24">
        <f>IFERROR(__xludf.DUMMYFUNCTION("""COMPUTED_VALUE"""),8.0)</f>
        <v>8</v>
      </c>
      <c r="M40" s="25" t="str">
        <f>IFERROR(__xludf.DUMMYFUNCTION("""COMPUTED_VALUE"""),"Action-Adventure")</f>
        <v>Action-Adventure</v>
      </c>
      <c r="N40" s="25"/>
      <c r="O40" s="26" t="str">
        <f>IFERROR(__xludf.DUMMYFUNCTION("""COMPUTED_VALUE"""),"No")</f>
        <v>No</v>
      </c>
      <c r="P40" s="26"/>
    </row>
    <row r="41" hidden="1">
      <c r="A41" s="13" t="str">
        <f>IFERROR(__xludf.DUMMYFUNCTION("""COMPUTED_VALUE"""),"Alan Wake II")</f>
        <v>Alan Wake II</v>
      </c>
      <c r="B41" s="15" t="str">
        <f>IFERROR(__xludf.DUMMYFUNCTION("""COMPUTED_VALUE"""),"PS5/PS4")</f>
        <v>PS5/PS4</v>
      </c>
      <c r="C41" s="16" t="str">
        <f>IFERROR(__xludf.DUMMYFUNCTION("""COMPUTED_VALUE"""),"Essential")</f>
        <v>Essential</v>
      </c>
      <c r="D41" s="15" t="str">
        <f>IFERROR(__xludf.DUMMYFUNCTION("""COMPUTED_VALUE"""),"Removed")</f>
        <v>Removed</v>
      </c>
      <c r="E41" s="17">
        <f>IFERROR(__xludf.DUMMYFUNCTION("""COMPUTED_VALUE"""),45937.0)</f>
        <v>45937</v>
      </c>
      <c r="F41" s="54">
        <f>IFERROR(__xludf.DUMMYFUNCTION("""COMPUTED_VALUE"""),45964.0)</f>
        <v>45964</v>
      </c>
      <c r="G41" s="19">
        <f>IFERROR(__xludf.DUMMYFUNCTION("""COMPUTED_VALUE"""),0.8666666666666666)</f>
        <v>0.8666666667</v>
      </c>
      <c r="H41" s="17">
        <f>IFERROR(__xludf.DUMMYFUNCTION("""COMPUTED_VALUE"""),45226.0)</f>
        <v>45226</v>
      </c>
      <c r="I41" s="19">
        <f>IFERROR(__xludf.DUMMYFUNCTION("""COMPUTED_VALUE"""),1.9444444444444444)</f>
        <v>1.944444444</v>
      </c>
      <c r="J41" s="21">
        <f>IFERROR(__xludf.DUMMYFUNCTION("""COMPUTED_VALUE"""),89.0)</f>
        <v>89</v>
      </c>
      <c r="K41" s="23">
        <f>IFERROR(__xludf.DUMMYFUNCTION("""COMPUTED_VALUE"""),8.5)</f>
        <v>8.5</v>
      </c>
      <c r="L41" s="24">
        <f>IFERROR(__xludf.DUMMYFUNCTION("""COMPUTED_VALUE"""),19.0)</f>
        <v>19</v>
      </c>
      <c r="M41" s="25" t="str">
        <f>IFERROR(__xludf.DUMMYFUNCTION("""COMPUTED_VALUE"""),"Survival")</f>
        <v>Survival</v>
      </c>
      <c r="N41" s="25"/>
      <c r="O41" s="26" t="str">
        <f>IFERROR(__xludf.DUMMYFUNCTION("""COMPUTED_VALUE"""),"No")</f>
        <v>No</v>
      </c>
      <c r="P41" s="26"/>
    </row>
    <row r="42" hidden="1">
      <c r="A42" s="13" t="str">
        <f>IFERROR(__xludf.DUMMYFUNCTION("""COMPUTED_VALUE"""),"Cocoon")</f>
        <v>Cocoon</v>
      </c>
      <c r="B42" s="15" t="str">
        <f>IFERROR(__xludf.DUMMYFUNCTION("""COMPUTED_VALUE"""),"PS5/PS4")</f>
        <v>PS5/PS4</v>
      </c>
      <c r="C42" s="16" t="str">
        <f>IFERROR(__xludf.DUMMYFUNCTION("""COMPUTED_VALUE"""),"Essential")</f>
        <v>Essential</v>
      </c>
      <c r="D42" s="15" t="str">
        <f>IFERROR(__xludf.DUMMYFUNCTION("""COMPUTED_VALUE"""),"Removed")</f>
        <v>Removed</v>
      </c>
      <c r="E42" s="17">
        <f>IFERROR(__xludf.DUMMYFUNCTION("""COMPUTED_VALUE"""),45937.0)</f>
        <v>45937</v>
      </c>
      <c r="F42" s="54">
        <f>IFERROR(__xludf.DUMMYFUNCTION("""COMPUTED_VALUE"""),45964.0)</f>
        <v>45964</v>
      </c>
      <c r="G42" s="19">
        <f>IFERROR(__xludf.DUMMYFUNCTION("""COMPUTED_VALUE"""),0.8666666666666666)</f>
        <v>0.8666666667</v>
      </c>
      <c r="H42" s="17">
        <f>IFERROR(__xludf.DUMMYFUNCTION("""COMPUTED_VALUE"""),45198.0)</f>
        <v>45198</v>
      </c>
      <c r="I42" s="19">
        <f>IFERROR(__xludf.DUMMYFUNCTION("""COMPUTED_VALUE"""),2.022222222222222)</f>
        <v>2.022222222</v>
      </c>
      <c r="J42" s="21">
        <f>IFERROR(__xludf.DUMMYFUNCTION("""COMPUTED_VALUE"""),88.0)</f>
        <v>88</v>
      </c>
      <c r="K42" s="23">
        <f>IFERROR(__xludf.DUMMYFUNCTION("""COMPUTED_VALUE"""),8.0)</f>
        <v>8</v>
      </c>
      <c r="L42" s="24">
        <f>IFERROR(__xludf.DUMMYFUNCTION("""COMPUTED_VALUE"""),5.0)</f>
        <v>5</v>
      </c>
      <c r="M42" s="25" t="str">
        <f>IFERROR(__xludf.DUMMYFUNCTION("""COMPUTED_VALUE"""),"Action-Adventure")</f>
        <v>Action-Adventure</v>
      </c>
      <c r="N42" s="25"/>
      <c r="O42" s="26" t="str">
        <f>IFERROR(__xludf.DUMMYFUNCTION("""COMPUTED_VALUE"""),"No")</f>
        <v>No</v>
      </c>
      <c r="P42" s="26"/>
    </row>
    <row r="43" hidden="1">
      <c r="A43" s="13" t="str">
        <f>IFERROR(__xludf.DUMMYFUNCTION("""COMPUTED_VALUE"""),"Psychonauts 2")</f>
        <v>Psychonauts 2</v>
      </c>
      <c r="B43" s="15" t="str">
        <f>IFERROR(__xludf.DUMMYFUNCTION("""COMPUTED_VALUE"""),"PS4")</f>
        <v>PS4</v>
      </c>
      <c r="C43" s="16" t="str">
        <f>IFERROR(__xludf.DUMMYFUNCTION("""COMPUTED_VALUE"""),"Essential")</f>
        <v>Essential</v>
      </c>
      <c r="D43" s="15" t="str">
        <f>IFERROR(__xludf.DUMMYFUNCTION("""COMPUTED_VALUE"""),"Removed")</f>
        <v>Removed</v>
      </c>
      <c r="E43" s="17">
        <f>IFERROR(__xludf.DUMMYFUNCTION("""COMPUTED_VALUE"""),45902.0)</f>
        <v>45902</v>
      </c>
      <c r="F43" s="54">
        <f>IFERROR(__xludf.DUMMYFUNCTION("""COMPUTED_VALUE"""),45936.0)</f>
        <v>45936</v>
      </c>
      <c r="G43" s="19">
        <f>IFERROR(__xludf.DUMMYFUNCTION("""COMPUTED_VALUE"""),1.1333333333333333)</f>
        <v>1.133333333</v>
      </c>
      <c r="H43" s="17">
        <f>IFERROR(__xludf.DUMMYFUNCTION("""COMPUTED_VALUE"""),44433.0)</f>
        <v>44433</v>
      </c>
      <c r="I43" s="19">
        <f>IFERROR(__xludf.DUMMYFUNCTION("""COMPUTED_VALUE"""),4.019444444444445)</f>
        <v>4.019444444</v>
      </c>
      <c r="J43" s="21">
        <f>IFERROR(__xludf.DUMMYFUNCTION("""COMPUTED_VALUE"""),87.0)</f>
        <v>87</v>
      </c>
      <c r="K43" s="23">
        <f>IFERROR(__xludf.DUMMYFUNCTION("""COMPUTED_VALUE"""),8.1)</f>
        <v>8.1</v>
      </c>
      <c r="L43" s="24">
        <f>IFERROR(__xludf.DUMMYFUNCTION("""COMPUTED_VALUE"""),15.0)</f>
        <v>15</v>
      </c>
      <c r="M43" s="25" t="str">
        <f>IFERROR(__xludf.DUMMYFUNCTION("""COMPUTED_VALUE"""),"Platformer")</f>
        <v>Platformer</v>
      </c>
      <c r="N43" s="25"/>
      <c r="O43" s="26" t="str">
        <f>IFERROR(__xludf.DUMMYFUNCTION("""COMPUTED_VALUE"""),"No")</f>
        <v>No</v>
      </c>
      <c r="P43" s="26"/>
    </row>
    <row r="44" hidden="1">
      <c r="A44" s="13" t="str">
        <f>IFERROR(__xludf.DUMMYFUNCTION("""COMPUTED_VALUE"""),"Stardew Valley")</f>
        <v>Stardew Valley</v>
      </c>
      <c r="B44" s="15" t="str">
        <f>IFERROR(__xludf.DUMMYFUNCTION("""COMPUTED_VALUE"""),"PS4")</f>
        <v>PS4</v>
      </c>
      <c r="C44" s="16" t="str">
        <f>IFERROR(__xludf.DUMMYFUNCTION("""COMPUTED_VALUE"""),"Essential")</f>
        <v>Essential</v>
      </c>
      <c r="D44" s="15" t="str">
        <f>IFERROR(__xludf.DUMMYFUNCTION("""COMPUTED_VALUE"""),"Removed")</f>
        <v>Removed</v>
      </c>
      <c r="E44" s="17">
        <f>IFERROR(__xludf.DUMMYFUNCTION("""COMPUTED_VALUE"""),45902.0)</f>
        <v>45902</v>
      </c>
      <c r="F44" s="54">
        <f>IFERROR(__xludf.DUMMYFUNCTION("""COMPUTED_VALUE"""),45936.0)</f>
        <v>45936</v>
      </c>
      <c r="G44" s="19">
        <f>IFERROR(__xludf.DUMMYFUNCTION("""COMPUTED_VALUE"""),1.1333333333333333)</f>
        <v>1.133333333</v>
      </c>
      <c r="H44" s="17">
        <f>IFERROR(__xludf.DUMMYFUNCTION("""COMPUTED_VALUE"""),43522.0)</f>
        <v>43522</v>
      </c>
      <c r="I44" s="19">
        <f>IFERROR(__xludf.DUMMYFUNCTION("""COMPUTED_VALUE"""),6.516666666666667)</f>
        <v>6.516666667</v>
      </c>
      <c r="J44" s="21">
        <f>IFERROR(__xludf.DUMMYFUNCTION("""COMPUTED_VALUE"""),89.0)</f>
        <v>89</v>
      </c>
      <c r="K44" s="23">
        <f>IFERROR(__xludf.DUMMYFUNCTION("""COMPUTED_VALUE"""),8.8)</f>
        <v>8.8</v>
      </c>
      <c r="L44" s="24">
        <f>IFERROR(__xludf.DUMMYFUNCTION("""COMPUTED_VALUE"""),54.0)</f>
        <v>54</v>
      </c>
      <c r="M44" s="25" t="str">
        <f>IFERROR(__xludf.DUMMYFUNCTION("""COMPUTED_VALUE"""),"Virtual Life")</f>
        <v>Virtual Life</v>
      </c>
      <c r="N44" s="25"/>
      <c r="O44" s="26" t="str">
        <f>IFERROR(__xludf.DUMMYFUNCTION("""COMPUTED_VALUE"""),"No")</f>
        <v>No</v>
      </c>
      <c r="P44" s="26"/>
    </row>
    <row r="45" hidden="1">
      <c r="A45" s="13" t="str">
        <f>IFERROR(__xludf.DUMMYFUNCTION("""COMPUTED_VALUE"""),"Viewfinder")</f>
        <v>Viewfinder</v>
      </c>
      <c r="B45" s="15" t="str">
        <f>IFERROR(__xludf.DUMMYFUNCTION("""COMPUTED_VALUE"""),"PS5/PS4")</f>
        <v>PS5/PS4</v>
      </c>
      <c r="C45" s="16" t="str">
        <f>IFERROR(__xludf.DUMMYFUNCTION("""COMPUTED_VALUE"""),"Essential")</f>
        <v>Essential</v>
      </c>
      <c r="D45" s="15" t="str">
        <f>IFERROR(__xludf.DUMMYFUNCTION("""COMPUTED_VALUE"""),"Removed")</f>
        <v>Removed</v>
      </c>
      <c r="E45" s="17">
        <f>IFERROR(__xludf.DUMMYFUNCTION("""COMPUTED_VALUE"""),45902.0)</f>
        <v>45902</v>
      </c>
      <c r="F45" s="54">
        <f>IFERROR(__xludf.DUMMYFUNCTION("""COMPUTED_VALUE"""),45936.0)</f>
        <v>45936</v>
      </c>
      <c r="G45" s="19">
        <f>IFERROR(__xludf.DUMMYFUNCTION("""COMPUTED_VALUE"""),1.1333333333333333)</f>
        <v>1.133333333</v>
      </c>
      <c r="H45" s="17">
        <f>IFERROR(__xludf.DUMMYFUNCTION("""COMPUTED_VALUE"""),45125.0)</f>
        <v>45125</v>
      </c>
      <c r="I45" s="19">
        <f>IFERROR(__xludf.DUMMYFUNCTION("""COMPUTED_VALUE"""),2.1222222222222222)</f>
        <v>2.122222222</v>
      </c>
      <c r="J45" s="21">
        <f>IFERROR(__xludf.DUMMYFUNCTION("""COMPUTED_VALUE"""),84.0)</f>
        <v>84</v>
      </c>
      <c r="K45" s="23">
        <f>IFERROR(__xludf.DUMMYFUNCTION("""COMPUTED_VALUE"""),7.9)</f>
        <v>7.9</v>
      </c>
      <c r="L45" s="24">
        <f>IFERROR(__xludf.DUMMYFUNCTION("""COMPUTED_VALUE"""),4.0)</f>
        <v>4</v>
      </c>
      <c r="M45" s="25" t="str">
        <f>IFERROR(__xludf.DUMMYFUNCTION("""COMPUTED_VALUE"""),"Action-Adventure")</f>
        <v>Action-Adventure</v>
      </c>
      <c r="N45" s="25"/>
      <c r="O45" s="26" t="str">
        <f>IFERROR(__xludf.DUMMYFUNCTION("""COMPUTED_VALUE"""),"No")</f>
        <v>No</v>
      </c>
      <c r="P45" s="26"/>
    </row>
    <row r="46" hidden="1">
      <c r="A46" s="13" t="str">
        <f>IFERROR(__xludf.DUMMYFUNCTION("""COMPUTED_VALUE"""),"Lies of P")</f>
        <v>Lies of P</v>
      </c>
      <c r="B46" s="15" t="str">
        <f>IFERROR(__xludf.DUMMYFUNCTION("""COMPUTED_VALUE"""),"PS5/PS4")</f>
        <v>PS5/PS4</v>
      </c>
      <c r="C46" s="16" t="str">
        <f>IFERROR(__xludf.DUMMYFUNCTION("""COMPUTED_VALUE"""),"Essential")</f>
        <v>Essential</v>
      </c>
      <c r="D46" s="15" t="str">
        <f>IFERROR(__xludf.DUMMYFUNCTION("""COMPUTED_VALUE"""),"Removed")</f>
        <v>Removed</v>
      </c>
      <c r="E46" s="17">
        <f>IFERROR(__xludf.DUMMYFUNCTION("""COMPUTED_VALUE"""),45874.0)</f>
        <v>45874</v>
      </c>
      <c r="F46" s="54">
        <f>IFERROR(__xludf.DUMMYFUNCTION("""COMPUTED_VALUE"""),45901.0)</f>
        <v>45901</v>
      </c>
      <c r="G46" s="19">
        <f>IFERROR(__xludf.DUMMYFUNCTION("""COMPUTED_VALUE"""),0.8666666666666666)</f>
        <v>0.8666666667</v>
      </c>
      <c r="H46" s="17">
        <f>IFERROR(__xludf.DUMMYFUNCTION("""COMPUTED_VALUE"""),45188.0)</f>
        <v>45188</v>
      </c>
      <c r="I46" s="19">
        <f>IFERROR(__xludf.DUMMYFUNCTION("""COMPUTED_VALUE"""),1.8777777777777778)</f>
        <v>1.877777778</v>
      </c>
      <c r="J46" s="21">
        <f>IFERROR(__xludf.DUMMYFUNCTION("""COMPUTED_VALUE"""),80.0)</f>
        <v>80</v>
      </c>
      <c r="K46" s="23">
        <f>IFERROR(__xludf.DUMMYFUNCTION("""COMPUTED_VALUE"""),8.3)</f>
        <v>8.3</v>
      </c>
      <c r="L46" s="24">
        <f>IFERROR(__xludf.DUMMYFUNCTION("""COMPUTED_VALUE"""),29.0)</f>
        <v>29</v>
      </c>
      <c r="M46" s="25" t="str">
        <f>IFERROR(__xludf.DUMMYFUNCTION("""COMPUTED_VALUE"""),"RPG")</f>
        <v>RPG</v>
      </c>
      <c r="N46" s="25"/>
      <c r="O46" s="26" t="str">
        <f>IFERROR(__xludf.DUMMYFUNCTION("""COMPUTED_VALUE"""),"No")</f>
        <v>No</v>
      </c>
      <c r="P46" s="26"/>
    </row>
    <row r="47" hidden="1">
      <c r="A47" s="13" t="str">
        <f>IFERROR(__xludf.DUMMYFUNCTION("""COMPUTED_VALUE"""),"DayZ")</f>
        <v>DayZ</v>
      </c>
      <c r="B47" s="15" t="str">
        <f>IFERROR(__xludf.DUMMYFUNCTION("""COMPUTED_VALUE"""),"PS4")</f>
        <v>PS4</v>
      </c>
      <c r="C47" s="16" t="str">
        <f>IFERROR(__xludf.DUMMYFUNCTION("""COMPUTED_VALUE"""),"Essential")</f>
        <v>Essential</v>
      </c>
      <c r="D47" s="15" t="str">
        <f>IFERROR(__xludf.DUMMYFUNCTION("""COMPUTED_VALUE"""),"Removed")</f>
        <v>Removed</v>
      </c>
      <c r="E47" s="17">
        <f>IFERROR(__xludf.DUMMYFUNCTION("""COMPUTED_VALUE"""),45874.0)</f>
        <v>45874</v>
      </c>
      <c r="F47" s="54">
        <f>IFERROR(__xludf.DUMMYFUNCTION("""COMPUTED_VALUE"""),45901.0)</f>
        <v>45901</v>
      </c>
      <c r="G47" s="19">
        <f>IFERROR(__xludf.DUMMYFUNCTION("""COMPUTED_VALUE"""),0.8666666666666666)</f>
        <v>0.8666666667</v>
      </c>
      <c r="H47" s="17">
        <f>IFERROR(__xludf.DUMMYFUNCTION("""COMPUTED_VALUE"""),43447.0)</f>
        <v>43447</v>
      </c>
      <c r="I47" s="19">
        <f>IFERROR(__xludf.DUMMYFUNCTION("""COMPUTED_VALUE"""),6.644444444444445)</f>
        <v>6.644444444</v>
      </c>
      <c r="J47" s="21">
        <f>IFERROR(__xludf.DUMMYFUNCTION("""COMPUTED_VALUE"""),31.0)</f>
        <v>31</v>
      </c>
      <c r="K47" s="23">
        <f>IFERROR(__xludf.DUMMYFUNCTION("""COMPUTED_VALUE"""),4.1)</f>
        <v>4.1</v>
      </c>
      <c r="L47" s="24">
        <f>IFERROR(__xludf.DUMMYFUNCTION("""COMPUTED_VALUE"""),62.0)</f>
        <v>62</v>
      </c>
      <c r="M47" s="25" t="str">
        <f>IFERROR(__xludf.DUMMYFUNCTION("""COMPUTED_VALUE"""),"Survival")</f>
        <v>Survival</v>
      </c>
      <c r="N47" s="25"/>
      <c r="O47" s="26" t="str">
        <f>IFERROR(__xludf.DUMMYFUNCTION("""COMPUTED_VALUE"""),"No")</f>
        <v>No</v>
      </c>
      <c r="P47" s="26"/>
    </row>
    <row r="48" hidden="1">
      <c r="A48" s="13" t="str">
        <f>IFERROR(__xludf.DUMMYFUNCTION("""COMPUTED_VALUE"""),"My Hero One's Justice 2")</f>
        <v>My Hero One's Justice 2</v>
      </c>
      <c r="B48" s="15" t="str">
        <f>IFERROR(__xludf.DUMMYFUNCTION("""COMPUTED_VALUE"""),"PS4")</f>
        <v>PS4</v>
      </c>
      <c r="C48" s="16" t="str">
        <f>IFERROR(__xludf.DUMMYFUNCTION("""COMPUTED_VALUE"""),"Essential")</f>
        <v>Essential</v>
      </c>
      <c r="D48" s="15" t="str">
        <f>IFERROR(__xludf.DUMMYFUNCTION("""COMPUTED_VALUE"""),"Removed")</f>
        <v>Removed</v>
      </c>
      <c r="E48" s="17">
        <f>IFERROR(__xludf.DUMMYFUNCTION("""COMPUTED_VALUE"""),45874.0)</f>
        <v>45874</v>
      </c>
      <c r="F48" s="18">
        <f>IFERROR(__xludf.DUMMYFUNCTION("""COMPUTED_VALUE"""),45901.0)</f>
        <v>45901</v>
      </c>
      <c r="G48" s="19">
        <f>IFERROR(__xludf.DUMMYFUNCTION("""COMPUTED_VALUE"""),0.8666666666666666)</f>
        <v>0.8666666667</v>
      </c>
      <c r="H48" s="17">
        <f>IFERROR(__xludf.DUMMYFUNCTION("""COMPUTED_VALUE"""),43891.0)</f>
        <v>43891</v>
      </c>
      <c r="I48" s="19">
        <f>IFERROR(__xludf.DUMMYFUNCTION("""COMPUTED_VALUE"""),5.427777777777778)</f>
        <v>5.427777778</v>
      </c>
      <c r="J48" s="21">
        <f>IFERROR(__xludf.DUMMYFUNCTION("""COMPUTED_VALUE"""),68.0)</f>
        <v>68</v>
      </c>
      <c r="K48" s="23">
        <f>IFERROR(__xludf.DUMMYFUNCTION("""COMPUTED_VALUE"""),7.5)</f>
        <v>7.5</v>
      </c>
      <c r="L48" s="24">
        <f>IFERROR(__xludf.DUMMYFUNCTION("""COMPUTED_VALUE"""),8.0)</f>
        <v>8</v>
      </c>
      <c r="M48" s="25" t="str">
        <f>IFERROR(__xludf.DUMMYFUNCTION("""COMPUTED_VALUE"""),"Fighting")</f>
        <v>Fighting</v>
      </c>
      <c r="N48" s="25"/>
      <c r="O48" s="26" t="str">
        <f>IFERROR(__xludf.DUMMYFUNCTION("""COMPUTED_VALUE"""),"No")</f>
        <v>No</v>
      </c>
      <c r="P48" s="26"/>
    </row>
    <row r="49" hidden="1">
      <c r="A49" s="13" t="str">
        <f>IFERROR(__xludf.DUMMYFUNCTION("""COMPUTED_VALUE"""),"Jusant")</f>
        <v>Jusant</v>
      </c>
      <c r="B49" s="15" t="str">
        <f>IFERROR(__xludf.DUMMYFUNCTION("""COMPUTED_VALUE"""),"PS5")</f>
        <v>PS5</v>
      </c>
      <c r="C49" s="16" t="str">
        <f>IFERROR(__xludf.DUMMYFUNCTION("""COMPUTED_VALUE"""),"Essential")</f>
        <v>Essential</v>
      </c>
      <c r="D49" s="15" t="str">
        <f>IFERROR(__xludf.DUMMYFUNCTION("""COMPUTED_VALUE"""),"Removed")</f>
        <v>Removed</v>
      </c>
      <c r="E49" s="17">
        <f>IFERROR(__xludf.DUMMYFUNCTION("""COMPUTED_VALUE"""),45839.0)</f>
        <v>45839</v>
      </c>
      <c r="F49" s="18">
        <f>IFERROR(__xludf.DUMMYFUNCTION("""COMPUTED_VALUE"""),45873.0)</f>
        <v>45873</v>
      </c>
      <c r="G49" s="19">
        <f>IFERROR(__xludf.DUMMYFUNCTION("""COMPUTED_VALUE"""),1.0999999999999999)</f>
        <v>1.1</v>
      </c>
      <c r="H49" s="17">
        <f>IFERROR(__xludf.DUMMYFUNCTION("""COMPUTED_VALUE"""),45230.0)</f>
        <v>45230</v>
      </c>
      <c r="I49" s="19">
        <f>IFERROR(__xludf.DUMMYFUNCTION("""COMPUTED_VALUE"""),1.6694444444444445)</f>
        <v>1.669444444</v>
      </c>
      <c r="J49" s="21">
        <f>IFERROR(__xludf.DUMMYFUNCTION("""COMPUTED_VALUE"""),85.0)</f>
        <v>85</v>
      </c>
      <c r="K49" s="23">
        <f>IFERROR(__xludf.DUMMYFUNCTION("""COMPUTED_VALUE"""),7.6)</f>
        <v>7.6</v>
      </c>
      <c r="L49" s="24">
        <f>IFERROR(__xludf.DUMMYFUNCTION("""COMPUTED_VALUE"""),5.0)</f>
        <v>5</v>
      </c>
      <c r="M49" s="25" t="str">
        <f>IFERROR(__xludf.DUMMYFUNCTION("""COMPUTED_VALUE"""),"Action-Adventure")</f>
        <v>Action-Adventure</v>
      </c>
      <c r="N49" s="25"/>
      <c r="O49" s="26" t="str">
        <f>IFERROR(__xludf.DUMMYFUNCTION("""COMPUTED_VALUE"""),"No")</f>
        <v>No</v>
      </c>
      <c r="P49" s="26"/>
    </row>
    <row r="50" hidden="1">
      <c r="A50" s="13" t="str">
        <f>IFERROR(__xludf.DUMMYFUNCTION("""COMPUTED_VALUE"""),"Diablo IV")</f>
        <v>Diablo IV</v>
      </c>
      <c r="B50" s="15" t="str">
        <f>IFERROR(__xludf.DUMMYFUNCTION("""COMPUTED_VALUE"""),"PS5/PS4")</f>
        <v>PS5/PS4</v>
      </c>
      <c r="C50" s="16" t="str">
        <f>IFERROR(__xludf.DUMMYFUNCTION("""COMPUTED_VALUE"""),"Essential")</f>
        <v>Essential</v>
      </c>
      <c r="D50" s="15" t="str">
        <f>IFERROR(__xludf.DUMMYFUNCTION("""COMPUTED_VALUE"""),"Removed")</f>
        <v>Removed</v>
      </c>
      <c r="E50" s="17">
        <f>IFERROR(__xludf.DUMMYFUNCTION("""COMPUTED_VALUE"""),45839.0)</f>
        <v>45839</v>
      </c>
      <c r="F50" s="54">
        <f>IFERROR(__xludf.DUMMYFUNCTION("""COMPUTED_VALUE"""),45873.0)</f>
        <v>45873</v>
      </c>
      <c r="G50" s="19">
        <f>IFERROR(__xludf.DUMMYFUNCTION("""COMPUTED_VALUE"""),1.0999999999999999)</f>
        <v>1.1</v>
      </c>
      <c r="H50" s="17">
        <f>IFERROR(__xludf.DUMMYFUNCTION("""COMPUTED_VALUE"""),45083.0)</f>
        <v>45083</v>
      </c>
      <c r="I50" s="19">
        <f>IFERROR(__xludf.DUMMYFUNCTION("""COMPUTED_VALUE"""),2.0694444444444446)</f>
        <v>2.069444444</v>
      </c>
      <c r="J50" s="21">
        <f>IFERROR(__xludf.DUMMYFUNCTION("""COMPUTED_VALUE"""),86.0)</f>
        <v>86</v>
      </c>
      <c r="K50" s="23">
        <f>IFERROR(__xludf.DUMMYFUNCTION("""COMPUTED_VALUE"""),2.5)</f>
        <v>2.5</v>
      </c>
      <c r="L50" s="24">
        <f>IFERROR(__xludf.DUMMYFUNCTION("""COMPUTED_VALUE"""),26.0)</f>
        <v>26</v>
      </c>
      <c r="M50" s="25" t="str">
        <f>IFERROR(__xludf.DUMMYFUNCTION("""COMPUTED_VALUE"""),"RPG")</f>
        <v>RPG</v>
      </c>
      <c r="N50" s="25"/>
      <c r="O50" s="26"/>
      <c r="P50" s="26"/>
    </row>
    <row r="51" hidden="1">
      <c r="A51" s="13" t="str">
        <f>IFERROR(__xludf.DUMMYFUNCTION("""COMPUTED_VALUE"""),"The King of Fighters XV")</f>
        <v>The King of Fighters XV</v>
      </c>
      <c r="B51" s="15" t="str">
        <f>IFERROR(__xludf.DUMMYFUNCTION("""COMPUTED_VALUE"""),"PS5/PS4")</f>
        <v>PS5/PS4</v>
      </c>
      <c r="C51" s="16" t="str">
        <f>IFERROR(__xludf.DUMMYFUNCTION("""COMPUTED_VALUE"""),"Essential")</f>
        <v>Essential</v>
      </c>
      <c r="D51" s="15" t="str">
        <f>IFERROR(__xludf.DUMMYFUNCTION("""COMPUTED_VALUE"""),"Removed")</f>
        <v>Removed</v>
      </c>
      <c r="E51" s="17">
        <f>IFERROR(__xludf.DUMMYFUNCTION("""COMPUTED_VALUE"""),45839.0)</f>
        <v>45839</v>
      </c>
      <c r="F51" s="54">
        <f>IFERROR(__xludf.DUMMYFUNCTION("""COMPUTED_VALUE"""),45873.0)</f>
        <v>45873</v>
      </c>
      <c r="G51" s="19">
        <f>IFERROR(__xludf.DUMMYFUNCTION("""COMPUTED_VALUE"""),1.0999999999999999)</f>
        <v>1.1</v>
      </c>
      <c r="H51" s="17">
        <f>IFERROR(__xludf.DUMMYFUNCTION("""COMPUTED_VALUE"""),44606.0)</f>
        <v>44606</v>
      </c>
      <c r="I51" s="19">
        <f>IFERROR(__xludf.DUMMYFUNCTION("""COMPUTED_VALUE"""),3.3805555555555555)</f>
        <v>3.380555556</v>
      </c>
      <c r="J51" s="21">
        <f>IFERROR(__xludf.DUMMYFUNCTION("""COMPUTED_VALUE"""),79.0)</f>
        <v>79</v>
      </c>
      <c r="K51" s="23">
        <f>IFERROR(__xludf.DUMMYFUNCTION("""COMPUTED_VALUE"""),7.7)</f>
        <v>7.7</v>
      </c>
      <c r="L51" s="24">
        <f>IFERROR(__xludf.DUMMYFUNCTION("""COMPUTED_VALUE"""),1.0)</f>
        <v>1</v>
      </c>
      <c r="M51" s="25" t="str">
        <f>IFERROR(__xludf.DUMMYFUNCTION("""COMPUTED_VALUE"""),"Fighting")</f>
        <v>Fighting</v>
      </c>
      <c r="N51" s="25"/>
      <c r="O51" s="26"/>
      <c r="P51" s="26"/>
    </row>
    <row r="52" hidden="1">
      <c r="A52" s="13" t="str">
        <f>IFERROR(__xludf.DUMMYFUNCTION("""COMPUTED_VALUE"""),"NBA 2K25")</f>
        <v>NBA 2K25</v>
      </c>
      <c r="B52" s="15" t="str">
        <f>IFERROR(__xludf.DUMMYFUNCTION("""COMPUTED_VALUE"""),"PS5/PS4")</f>
        <v>PS5/PS4</v>
      </c>
      <c r="C52" s="16" t="str">
        <f>IFERROR(__xludf.DUMMYFUNCTION("""COMPUTED_VALUE"""),"Essential")</f>
        <v>Essential</v>
      </c>
      <c r="D52" s="15" t="str">
        <f>IFERROR(__xludf.DUMMYFUNCTION("""COMPUTED_VALUE"""),"Removed")</f>
        <v>Removed</v>
      </c>
      <c r="E52" s="17">
        <f>IFERROR(__xludf.DUMMYFUNCTION("""COMPUTED_VALUE"""),45811.0)</f>
        <v>45811</v>
      </c>
      <c r="F52" s="54">
        <f>IFERROR(__xludf.DUMMYFUNCTION("""COMPUTED_VALUE"""),45838.0)</f>
        <v>45838</v>
      </c>
      <c r="G52" s="19">
        <f>IFERROR(__xludf.DUMMYFUNCTION("""COMPUTED_VALUE"""),0.8999999999999999)</f>
        <v>0.9</v>
      </c>
      <c r="H52" s="17">
        <f>IFERROR(__xludf.DUMMYFUNCTION("""COMPUTED_VALUE"""),45541.0)</f>
        <v>45541</v>
      </c>
      <c r="I52" s="19">
        <f>IFERROR(__xludf.DUMMYFUNCTION("""COMPUTED_VALUE"""),0.7416666666666667)</f>
        <v>0.7416666667</v>
      </c>
      <c r="J52" s="21">
        <f>IFERROR(__xludf.DUMMYFUNCTION("""COMPUTED_VALUE"""),79.0)</f>
        <v>79</v>
      </c>
      <c r="K52" s="23">
        <f>IFERROR(__xludf.DUMMYFUNCTION("""COMPUTED_VALUE"""),5.1)</f>
        <v>5.1</v>
      </c>
      <c r="L52" s="24">
        <f>IFERROR(__xludf.DUMMYFUNCTION("""COMPUTED_VALUE"""),20.0)</f>
        <v>20</v>
      </c>
      <c r="M52" s="25" t="str">
        <f>IFERROR(__xludf.DUMMYFUNCTION("""COMPUTED_VALUE"""),"Sports")</f>
        <v>Sports</v>
      </c>
      <c r="N52" s="25"/>
      <c r="O52" s="26"/>
      <c r="P52" s="26"/>
    </row>
    <row r="53" hidden="1">
      <c r="A53" s="13" t="str">
        <f>IFERROR(__xludf.DUMMYFUNCTION("""COMPUTED_VALUE"""),"Alone in the Dark (2024)")</f>
        <v>Alone in the Dark (2024)</v>
      </c>
      <c r="B53" s="15" t="str">
        <f>IFERROR(__xludf.DUMMYFUNCTION("""COMPUTED_VALUE"""),"PS5")</f>
        <v>PS5</v>
      </c>
      <c r="C53" s="16" t="str">
        <f>IFERROR(__xludf.DUMMYFUNCTION("""COMPUTED_VALUE"""),"Essential")</f>
        <v>Essential</v>
      </c>
      <c r="D53" s="15" t="str">
        <f>IFERROR(__xludf.DUMMYFUNCTION("""COMPUTED_VALUE"""),"Removed")</f>
        <v>Removed</v>
      </c>
      <c r="E53" s="17">
        <f>IFERROR(__xludf.DUMMYFUNCTION("""COMPUTED_VALUE"""),45811.0)</f>
        <v>45811</v>
      </c>
      <c r="F53" s="54">
        <f>IFERROR(__xludf.DUMMYFUNCTION("""COMPUTED_VALUE"""),45838.0)</f>
        <v>45838</v>
      </c>
      <c r="G53" s="19">
        <f>IFERROR(__xludf.DUMMYFUNCTION("""COMPUTED_VALUE"""),0.8999999999999999)</f>
        <v>0.9</v>
      </c>
      <c r="H53" s="17">
        <f>IFERROR(__xludf.DUMMYFUNCTION("""COMPUTED_VALUE"""),45371.0)</f>
        <v>45371</v>
      </c>
      <c r="I53" s="19">
        <f>IFERROR(__xludf.DUMMYFUNCTION("""COMPUTED_VALUE"""),1.2027777777777777)</f>
        <v>1.202777778</v>
      </c>
      <c r="J53" s="21">
        <f>IFERROR(__xludf.DUMMYFUNCTION("""COMPUTED_VALUE"""),63.0)</f>
        <v>63</v>
      </c>
      <c r="K53" s="23">
        <f>IFERROR(__xludf.DUMMYFUNCTION("""COMPUTED_VALUE"""),7.4)</f>
        <v>7.4</v>
      </c>
      <c r="L53" s="24">
        <f>IFERROR(__xludf.DUMMYFUNCTION("""COMPUTED_VALUE"""),8.0)</f>
        <v>8</v>
      </c>
      <c r="M53" s="25" t="str">
        <f>IFERROR(__xludf.DUMMYFUNCTION("""COMPUTED_VALUE"""),"Survival")</f>
        <v>Survival</v>
      </c>
      <c r="N53" s="25"/>
      <c r="O53" s="26" t="str">
        <f>IFERROR(__xludf.DUMMYFUNCTION("""COMPUTED_VALUE"""),"No")</f>
        <v>No</v>
      </c>
      <c r="P53" s="26"/>
    </row>
    <row r="54" hidden="1">
      <c r="A54" s="13" t="str">
        <f>IFERROR(__xludf.DUMMYFUNCTION("""COMPUTED_VALUE"""),"Bomb Rush Cyberfunk")</f>
        <v>Bomb Rush Cyberfunk</v>
      </c>
      <c r="B54" s="15" t="str">
        <f>IFERROR(__xludf.DUMMYFUNCTION("""COMPUTED_VALUE"""),"PS5/PS4")</f>
        <v>PS5/PS4</v>
      </c>
      <c r="C54" s="16" t="str">
        <f>IFERROR(__xludf.DUMMYFUNCTION("""COMPUTED_VALUE"""),"Essential")</f>
        <v>Essential</v>
      </c>
      <c r="D54" s="15" t="str">
        <f>IFERROR(__xludf.DUMMYFUNCTION("""COMPUTED_VALUE"""),"Removed")</f>
        <v>Removed</v>
      </c>
      <c r="E54" s="17">
        <f>IFERROR(__xludf.DUMMYFUNCTION("""COMPUTED_VALUE"""),45811.0)</f>
        <v>45811</v>
      </c>
      <c r="F54" s="54">
        <f>IFERROR(__xludf.DUMMYFUNCTION("""COMPUTED_VALUE"""),45838.0)</f>
        <v>45838</v>
      </c>
      <c r="G54" s="19">
        <f>IFERROR(__xludf.DUMMYFUNCTION("""COMPUTED_VALUE"""),0.8999999999999999)</f>
        <v>0.9</v>
      </c>
      <c r="H54" s="17">
        <f>IFERROR(__xludf.DUMMYFUNCTION("""COMPUTED_VALUE"""),45156.0)</f>
        <v>45156</v>
      </c>
      <c r="I54" s="19">
        <f>IFERROR(__xludf.DUMMYFUNCTION("""COMPUTED_VALUE"""),1.7916666666666667)</f>
        <v>1.791666667</v>
      </c>
      <c r="J54" s="21">
        <f>IFERROR(__xludf.DUMMYFUNCTION("""COMPUTED_VALUE"""),75.0)</f>
        <v>75</v>
      </c>
      <c r="K54" s="23">
        <f>IFERROR(__xludf.DUMMYFUNCTION("""COMPUTED_VALUE"""),8.6)</f>
        <v>8.6</v>
      </c>
      <c r="L54" s="24">
        <f>IFERROR(__xludf.DUMMYFUNCTION("""COMPUTED_VALUE"""),10.0)</f>
        <v>10</v>
      </c>
      <c r="M54" s="25" t="str">
        <f>IFERROR(__xludf.DUMMYFUNCTION("""COMPUTED_VALUE"""),"Platformer")</f>
        <v>Platformer</v>
      </c>
      <c r="N54" s="25"/>
      <c r="O54" s="26"/>
      <c r="P54" s="26"/>
    </row>
    <row r="55" hidden="1">
      <c r="A55" s="13" t="str">
        <f>IFERROR(__xludf.DUMMYFUNCTION("""COMPUTED_VALUE"""),"Destiny 2: The Final Shape")</f>
        <v>Destiny 2: The Final Shape</v>
      </c>
      <c r="B55" s="15" t="str">
        <f>IFERROR(__xludf.DUMMYFUNCTION("""COMPUTED_VALUE"""),"PS5/PS4")</f>
        <v>PS5/PS4</v>
      </c>
      <c r="C55" s="16" t="str">
        <f>IFERROR(__xludf.DUMMYFUNCTION("""COMPUTED_VALUE"""),"Essential")</f>
        <v>Essential</v>
      </c>
      <c r="D55" s="15" t="str">
        <f>IFERROR(__xludf.DUMMYFUNCTION("""COMPUTED_VALUE"""),"Removed")</f>
        <v>Removed</v>
      </c>
      <c r="E55" s="17">
        <f>IFERROR(__xludf.DUMMYFUNCTION("""COMPUTED_VALUE"""),45805.0)</f>
        <v>45805</v>
      </c>
      <c r="F55" s="54">
        <f>IFERROR(__xludf.DUMMYFUNCTION("""COMPUTED_VALUE"""),45838.0)</f>
        <v>45838</v>
      </c>
      <c r="G55" s="19">
        <f>IFERROR(__xludf.DUMMYFUNCTION("""COMPUTED_VALUE"""),1.0666666666666667)</f>
        <v>1.066666667</v>
      </c>
      <c r="H55" s="17">
        <f>IFERROR(__xludf.DUMMYFUNCTION("""COMPUTED_VALUE"""),45447.0)</f>
        <v>45447</v>
      </c>
      <c r="I55" s="19">
        <f>IFERROR(__xludf.DUMMYFUNCTION("""COMPUTED_VALUE"""),0.9833333333333333)</f>
        <v>0.9833333333</v>
      </c>
      <c r="J55" s="21">
        <f>IFERROR(__xludf.DUMMYFUNCTION("""COMPUTED_VALUE"""),89.0)</f>
        <v>89</v>
      </c>
      <c r="K55" s="23">
        <f>IFERROR(__xludf.DUMMYFUNCTION("""COMPUTED_VALUE"""),7.6)</f>
        <v>7.6</v>
      </c>
      <c r="L55" s="24">
        <f>IFERROR(__xludf.DUMMYFUNCTION("""COMPUTED_VALUE"""),11.0)</f>
        <v>11</v>
      </c>
      <c r="M55" s="25" t="str">
        <f>IFERROR(__xludf.DUMMYFUNCTION("""COMPUTED_VALUE"""),"Shooter")</f>
        <v>Shooter</v>
      </c>
      <c r="N55" s="25"/>
      <c r="O55" s="26"/>
      <c r="P55" s="26"/>
    </row>
    <row r="56" hidden="1">
      <c r="A56" s="13" t="str">
        <f>IFERROR(__xludf.DUMMYFUNCTION("""COMPUTED_VALUE"""),"Ark: Survival Ascended")</f>
        <v>Ark: Survival Ascended</v>
      </c>
      <c r="B56" s="15" t="str">
        <f>IFERROR(__xludf.DUMMYFUNCTION("""COMPUTED_VALUE"""),"PS5")</f>
        <v>PS5</v>
      </c>
      <c r="C56" s="16" t="str">
        <f>IFERROR(__xludf.DUMMYFUNCTION("""COMPUTED_VALUE"""),"Essential")</f>
        <v>Essential</v>
      </c>
      <c r="D56" s="15" t="str">
        <f>IFERROR(__xludf.DUMMYFUNCTION("""COMPUTED_VALUE"""),"Removed")</f>
        <v>Removed</v>
      </c>
      <c r="E56" s="17">
        <f>IFERROR(__xludf.DUMMYFUNCTION("""COMPUTED_VALUE"""),45783.0)</f>
        <v>45783</v>
      </c>
      <c r="F56" s="54">
        <f>IFERROR(__xludf.DUMMYFUNCTION("""COMPUTED_VALUE"""),45809.0)</f>
        <v>45809</v>
      </c>
      <c r="G56" s="19">
        <f>IFERROR(__xludf.DUMMYFUNCTION("""COMPUTED_VALUE"""),0.8333333333333334)</f>
        <v>0.8333333333</v>
      </c>
      <c r="H56" s="17">
        <f>IFERROR(__xludf.DUMMYFUNCTION("""COMPUTED_VALUE"""),42974.0)</f>
        <v>42974</v>
      </c>
      <c r="I56" s="19">
        <f>IFERROR(__xludf.DUMMYFUNCTION("""COMPUTED_VALUE"""),7.691666666666666)</f>
        <v>7.691666667</v>
      </c>
      <c r="J56" s="21">
        <f>IFERROR(__xludf.DUMMYFUNCTION("""COMPUTED_VALUE"""),70.0)</f>
        <v>70</v>
      </c>
      <c r="K56" s="23">
        <f>IFERROR(__xludf.DUMMYFUNCTION("""COMPUTED_VALUE"""),6.5)</f>
        <v>6.5</v>
      </c>
      <c r="L56" s="24">
        <f>IFERROR(__xludf.DUMMYFUNCTION("""COMPUTED_VALUE"""),331.0)</f>
        <v>331</v>
      </c>
      <c r="M56" s="25" t="str">
        <f>IFERROR(__xludf.DUMMYFUNCTION("""COMPUTED_VALUE"""),"Sandbox")</f>
        <v>Sandbox</v>
      </c>
      <c r="N56" s="25"/>
      <c r="O56" s="26" t="str">
        <f>IFERROR(__xludf.DUMMYFUNCTION("""COMPUTED_VALUE"""),"No")</f>
        <v>No</v>
      </c>
      <c r="P56" s="26"/>
    </row>
    <row r="57" hidden="1">
      <c r="A57" s="13" t="str">
        <f>IFERROR(__xludf.DUMMYFUNCTION("""COMPUTED_VALUE"""),"Balatro")</f>
        <v>Balatro</v>
      </c>
      <c r="B57" s="15" t="str">
        <f>IFERROR(__xludf.DUMMYFUNCTION("""COMPUTED_VALUE"""),"PS5/PS4")</f>
        <v>PS5/PS4</v>
      </c>
      <c r="C57" s="16" t="str">
        <f>IFERROR(__xludf.DUMMYFUNCTION("""COMPUTED_VALUE"""),"Essential")</f>
        <v>Essential</v>
      </c>
      <c r="D57" s="15" t="str">
        <f>IFERROR(__xludf.DUMMYFUNCTION("""COMPUTED_VALUE"""),"Removed")</f>
        <v>Removed</v>
      </c>
      <c r="E57" s="17">
        <f>IFERROR(__xludf.DUMMYFUNCTION("""COMPUTED_VALUE"""),45783.0)</f>
        <v>45783</v>
      </c>
      <c r="F57" s="54">
        <f>IFERROR(__xludf.DUMMYFUNCTION("""COMPUTED_VALUE"""),45809.0)</f>
        <v>45809</v>
      </c>
      <c r="G57" s="19">
        <f>IFERROR(__xludf.DUMMYFUNCTION("""COMPUTED_VALUE"""),0.8333333333333334)</f>
        <v>0.8333333333</v>
      </c>
      <c r="H57" s="17">
        <f>IFERROR(__xludf.DUMMYFUNCTION("""COMPUTED_VALUE"""),45342.0)</f>
        <v>45342</v>
      </c>
      <c r="I57" s="19">
        <f>IFERROR(__xludf.DUMMYFUNCTION("""COMPUTED_VALUE"""),1.211111111111111)</f>
        <v>1.211111111</v>
      </c>
      <c r="J57" s="21">
        <f>IFERROR(__xludf.DUMMYFUNCTION("""COMPUTED_VALUE"""),90.0)</f>
        <v>90</v>
      </c>
      <c r="K57" s="23">
        <f>IFERROR(__xludf.DUMMYFUNCTION("""COMPUTED_VALUE"""),8.3)</f>
        <v>8.3</v>
      </c>
      <c r="L57" s="24">
        <f>IFERROR(__xludf.DUMMYFUNCTION("""COMPUTED_VALUE"""),7.0)</f>
        <v>7</v>
      </c>
      <c r="M57" s="25" t="str">
        <f>IFERROR(__xludf.DUMMYFUNCTION("""COMPUTED_VALUE"""),"Card Battle")</f>
        <v>Card Battle</v>
      </c>
      <c r="N57" s="25"/>
      <c r="O57" s="26" t="str">
        <f>IFERROR(__xludf.DUMMYFUNCTION("""COMPUTED_VALUE"""),"No")</f>
        <v>No</v>
      </c>
      <c r="P57" s="26"/>
    </row>
    <row r="58" hidden="1">
      <c r="A58" s="13" t="str">
        <f>IFERROR(__xludf.DUMMYFUNCTION("""COMPUTED_VALUE"""),"Warhammer 40,000: Boltgun")</f>
        <v>Warhammer 40,000: Boltgun</v>
      </c>
      <c r="B58" s="15" t="str">
        <f>IFERROR(__xludf.DUMMYFUNCTION("""COMPUTED_VALUE"""),"PS5/PS4")</f>
        <v>PS5/PS4</v>
      </c>
      <c r="C58" s="16" t="str">
        <f>IFERROR(__xludf.DUMMYFUNCTION("""COMPUTED_VALUE"""),"Essential")</f>
        <v>Essential</v>
      </c>
      <c r="D58" s="15" t="str">
        <f>IFERROR(__xludf.DUMMYFUNCTION("""COMPUTED_VALUE"""),"Removed")</f>
        <v>Removed</v>
      </c>
      <c r="E58" s="17">
        <f>IFERROR(__xludf.DUMMYFUNCTION("""COMPUTED_VALUE"""),45783.0)</f>
        <v>45783</v>
      </c>
      <c r="F58" s="54">
        <f>IFERROR(__xludf.DUMMYFUNCTION("""COMPUTED_VALUE"""),45809.0)</f>
        <v>45809</v>
      </c>
      <c r="G58" s="19">
        <f>IFERROR(__xludf.DUMMYFUNCTION("""COMPUTED_VALUE"""),0.8333333333333334)</f>
        <v>0.8333333333</v>
      </c>
      <c r="H58" s="17">
        <f>IFERROR(__xludf.DUMMYFUNCTION("""COMPUTED_VALUE"""),45047.0)</f>
        <v>45047</v>
      </c>
      <c r="I58" s="19">
        <f>IFERROR(__xludf.DUMMYFUNCTION("""COMPUTED_VALUE"""),2.013888888888889)</f>
        <v>2.013888889</v>
      </c>
      <c r="J58" s="21">
        <f>IFERROR(__xludf.DUMMYFUNCTION("""COMPUTED_VALUE"""),75.0)</f>
        <v>75</v>
      </c>
      <c r="K58" s="23">
        <f>IFERROR(__xludf.DUMMYFUNCTION("""COMPUTED_VALUE"""),8.0)</f>
        <v>8</v>
      </c>
      <c r="L58" s="24">
        <f>IFERROR(__xludf.DUMMYFUNCTION("""COMPUTED_VALUE"""),10.0)</f>
        <v>10</v>
      </c>
      <c r="M58" s="25" t="str">
        <f>IFERROR(__xludf.DUMMYFUNCTION("""COMPUTED_VALUE"""),"Shooter")</f>
        <v>Shooter</v>
      </c>
      <c r="N58" s="25"/>
      <c r="O58" s="26" t="str">
        <f>IFERROR(__xludf.DUMMYFUNCTION("""COMPUTED_VALUE"""),"No")</f>
        <v>No</v>
      </c>
      <c r="P58" s="26"/>
    </row>
    <row r="59" hidden="1">
      <c r="A59" s="13" t="str">
        <f>IFERROR(__xludf.DUMMYFUNCTION("""COMPUTED_VALUE"""),"RoboCop: Rogue City")</f>
        <v>RoboCop: Rogue City</v>
      </c>
      <c r="B59" s="15" t="str">
        <f>IFERROR(__xludf.DUMMYFUNCTION("""COMPUTED_VALUE"""),"PS5")</f>
        <v>PS5</v>
      </c>
      <c r="C59" s="16" t="str">
        <f>IFERROR(__xludf.DUMMYFUNCTION("""COMPUTED_VALUE"""),"Essential")</f>
        <v>Essential</v>
      </c>
      <c r="D59" s="15" t="str">
        <f>IFERROR(__xludf.DUMMYFUNCTION("""COMPUTED_VALUE"""),"Removed")</f>
        <v>Removed</v>
      </c>
      <c r="E59" s="17">
        <f>IFERROR(__xludf.DUMMYFUNCTION("""COMPUTED_VALUE"""),45748.0)</f>
        <v>45748</v>
      </c>
      <c r="F59" s="54">
        <f>IFERROR(__xludf.DUMMYFUNCTION("""COMPUTED_VALUE"""),45782.0)</f>
        <v>45782</v>
      </c>
      <c r="G59" s="19">
        <f>IFERROR(__xludf.DUMMYFUNCTION("""COMPUTED_VALUE"""),1.1333333333333333)</f>
        <v>1.133333333</v>
      </c>
      <c r="H59" s="17">
        <f>IFERROR(__xludf.DUMMYFUNCTION("""COMPUTED_VALUE"""),45232.0)</f>
        <v>45232</v>
      </c>
      <c r="I59" s="19">
        <f>IFERROR(__xludf.DUMMYFUNCTION("""COMPUTED_VALUE"""),1.413888888888889)</f>
        <v>1.413888889</v>
      </c>
      <c r="J59" s="21">
        <f>IFERROR(__xludf.DUMMYFUNCTION("""COMPUTED_VALUE"""),72.0)</f>
        <v>72</v>
      </c>
      <c r="K59" s="23">
        <f>IFERROR(__xludf.DUMMYFUNCTION("""COMPUTED_VALUE"""),8.1)</f>
        <v>8.1</v>
      </c>
      <c r="L59" s="24">
        <f>IFERROR(__xludf.DUMMYFUNCTION("""COMPUTED_VALUE"""),12.0)</f>
        <v>12</v>
      </c>
      <c r="M59" s="25" t="str">
        <f>IFERROR(__xludf.DUMMYFUNCTION("""COMPUTED_VALUE"""),"Shooter")</f>
        <v>Shooter</v>
      </c>
      <c r="N59" s="25"/>
      <c r="O59" s="26" t="str">
        <f>IFERROR(__xludf.DUMMYFUNCTION("""COMPUTED_VALUE"""),"No")</f>
        <v>No</v>
      </c>
      <c r="P59" s="26"/>
    </row>
    <row r="60" hidden="1">
      <c r="A60" s="13" t="str">
        <f>IFERROR(__xludf.DUMMYFUNCTION("""COMPUTED_VALUE"""),"The Texas Chain Saw Massacre")</f>
        <v>The Texas Chain Saw Massacre</v>
      </c>
      <c r="B60" s="15" t="str">
        <f>IFERROR(__xludf.DUMMYFUNCTION("""COMPUTED_VALUE"""),"PS5/PS4")</f>
        <v>PS5/PS4</v>
      </c>
      <c r="C60" s="16" t="str">
        <f>IFERROR(__xludf.DUMMYFUNCTION("""COMPUTED_VALUE"""),"Essential")</f>
        <v>Essential</v>
      </c>
      <c r="D60" s="15" t="str">
        <f>IFERROR(__xludf.DUMMYFUNCTION("""COMPUTED_VALUE"""),"Removed")</f>
        <v>Removed</v>
      </c>
      <c r="E60" s="17">
        <f>IFERROR(__xludf.DUMMYFUNCTION("""COMPUTED_VALUE"""),45748.0)</f>
        <v>45748</v>
      </c>
      <c r="F60" s="54">
        <f>IFERROR(__xludf.DUMMYFUNCTION("""COMPUTED_VALUE"""),45782.0)</f>
        <v>45782</v>
      </c>
      <c r="G60" s="19">
        <f>IFERROR(__xludf.DUMMYFUNCTION("""COMPUTED_VALUE"""),1.1333333333333333)</f>
        <v>1.133333333</v>
      </c>
      <c r="H60" s="17">
        <f>IFERROR(__xludf.DUMMYFUNCTION("""COMPUTED_VALUE"""),45156.0)</f>
        <v>45156</v>
      </c>
      <c r="I60" s="19">
        <f>IFERROR(__xludf.DUMMYFUNCTION("""COMPUTED_VALUE"""),1.6194444444444445)</f>
        <v>1.619444444</v>
      </c>
      <c r="J60" s="21">
        <f>IFERROR(__xludf.DUMMYFUNCTION("""COMPUTED_VALUE"""),72.0)</f>
        <v>72</v>
      </c>
      <c r="K60" s="23">
        <f>IFERROR(__xludf.DUMMYFUNCTION("""COMPUTED_VALUE"""),6.4)</f>
        <v>6.4</v>
      </c>
      <c r="L60" s="24">
        <f>IFERROR(__xludf.DUMMYFUNCTION("""COMPUTED_VALUE"""),53.0)</f>
        <v>53</v>
      </c>
      <c r="M60" s="25" t="str">
        <f>IFERROR(__xludf.DUMMYFUNCTION("""COMPUTED_VALUE"""),"Survival")</f>
        <v>Survival</v>
      </c>
      <c r="N60" s="25"/>
      <c r="O60" s="26" t="str">
        <f>IFERROR(__xludf.DUMMYFUNCTION("""COMPUTED_VALUE"""),"No")</f>
        <v>No</v>
      </c>
      <c r="P60" s="26"/>
    </row>
    <row r="61" hidden="1">
      <c r="A61" s="13" t="str">
        <f>IFERROR(__xludf.DUMMYFUNCTION("""COMPUTED_VALUE"""),"Digimon Story: Cyber Sleuth - Hacker's Memory")</f>
        <v>Digimon Story: Cyber Sleuth - Hacker's Memory</v>
      </c>
      <c r="B61" s="15" t="str">
        <f>IFERROR(__xludf.DUMMYFUNCTION("""COMPUTED_VALUE"""),"PS4")</f>
        <v>PS4</v>
      </c>
      <c r="C61" s="16" t="str">
        <f>IFERROR(__xludf.DUMMYFUNCTION("""COMPUTED_VALUE"""),"Essential")</f>
        <v>Essential</v>
      </c>
      <c r="D61" s="15" t="str">
        <f>IFERROR(__xludf.DUMMYFUNCTION("""COMPUTED_VALUE"""),"Removed")</f>
        <v>Removed</v>
      </c>
      <c r="E61" s="17">
        <f>IFERROR(__xludf.DUMMYFUNCTION("""COMPUTED_VALUE"""),45748.0)</f>
        <v>45748</v>
      </c>
      <c r="F61" s="54">
        <f>IFERROR(__xludf.DUMMYFUNCTION("""COMPUTED_VALUE"""),45782.0)</f>
        <v>45782</v>
      </c>
      <c r="G61" s="19">
        <f>IFERROR(__xludf.DUMMYFUNCTION("""COMPUTED_VALUE"""),1.1333333333333333)</f>
        <v>1.133333333</v>
      </c>
      <c r="H61" s="17">
        <f>IFERROR(__xludf.DUMMYFUNCTION("""COMPUTED_VALUE"""),43119.0)</f>
        <v>43119</v>
      </c>
      <c r="I61" s="19">
        <f>IFERROR(__xludf.DUMMYFUNCTION("""COMPUTED_VALUE"""),7.2)</f>
        <v>7.2</v>
      </c>
      <c r="J61" s="21">
        <f>IFERROR(__xludf.DUMMYFUNCTION("""COMPUTED_VALUE"""),73.0)</f>
        <v>73</v>
      </c>
      <c r="K61" s="23">
        <f>IFERROR(__xludf.DUMMYFUNCTION("""COMPUTED_VALUE"""),7.7)</f>
        <v>7.7</v>
      </c>
      <c r="L61" s="24">
        <f>IFERROR(__xludf.DUMMYFUNCTION("""COMPUTED_VALUE"""),47.0)</f>
        <v>47</v>
      </c>
      <c r="M61" s="25" t="str">
        <f>IFERROR(__xludf.DUMMYFUNCTION("""COMPUTED_VALUE"""),"RPG")</f>
        <v>RPG</v>
      </c>
      <c r="N61" s="25"/>
      <c r="O61" s="26" t="str">
        <f>IFERROR(__xludf.DUMMYFUNCTION("""COMPUTED_VALUE"""),"No")</f>
        <v>No</v>
      </c>
      <c r="P61" s="26"/>
    </row>
    <row r="62" hidden="1">
      <c r="A62" s="13" t="str">
        <f>IFERROR(__xludf.DUMMYFUNCTION("""COMPUTED_VALUE"""),"Dragon Age: The Veilguard")</f>
        <v>Dragon Age: The Veilguard</v>
      </c>
      <c r="B62" s="15" t="str">
        <f>IFERROR(__xludf.DUMMYFUNCTION("""COMPUTED_VALUE"""),"PS5")</f>
        <v>PS5</v>
      </c>
      <c r="C62" s="16" t="str">
        <f>IFERROR(__xludf.DUMMYFUNCTION("""COMPUTED_VALUE"""),"Essential")</f>
        <v>Essential</v>
      </c>
      <c r="D62" s="15" t="str">
        <f>IFERROR(__xludf.DUMMYFUNCTION("""COMPUTED_VALUE"""),"Removed")</f>
        <v>Removed</v>
      </c>
      <c r="E62" s="17">
        <f>IFERROR(__xludf.DUMMYFUNCTION("""COMPUTED_VALUE"""),45720.0)</f>
        <v>45720</v>
      </c>
      <c r="F62" s="54">
        <f>IFERROR(__xludf.DUMMYFUNCTION("""COMPUTED_VALUE"""),45747.0)</f>
        <v>45747</v>
      </c>
      <c r="G62" s="19">
        <f>IFERROR(__xludf.DUMMYFUNCTION("""COMPUTED_VALUE"""),0.8666666666666666)</f>
        <v>0.8666666667</v>
      </c>
      <c r="H62" s="17">
        <f>IFERROR(__xludf.DUMMYFUNCTION("""COMPUTED_VALUE"""),45596.0)</f>
        <v>45596</v>
      </c>
      <c r="I62" s="19">
        <f>IFERROR(__xludf.DUMMYFUNCTION("""COMPUTED_VALUE"""),0.34444444444444444)</f>
        <v>0.3444444444</v>
      </c>
      <c r="J62" s="21">
        <f>IFERROR(__xludf.DUMMYFUNCTION("""COMPUTED_VALUE"""),82.0)</f>
        <v>82</v>
      </c>
      <c r="K62" s="23">
        <f>IFERROR(__xludf.DUMMYFUNCTION("""COMPUTED_VALUE"""),3.9)</f>
        <v>3.9</v>
      </c>
      <c r="L62" s="24">
        <f>IFERROR(__xludf.DUMMYFUNCTION("""COMPUTED_VALUE"""),27.0)</f>
        <v>27</v>
      </c>
      <c r="M62" s="25" t="str">
        <f>IFERROR(__xludf.DUMMYFUNCTION("""COMPUTED_VALUE"""),"RPG")</f>
        <v>RPG</v>
      </c>
      <c r="N62" s="25"/>
      <c r="O62" s="26" t="str">
        <f>IFERROR(__xludf.DUMMYFUNCTION("""COMPUTED_VALUE"""),"No")</f>
        <v>No</v>
      </c>
      <c r="P62" s="26"/>
    </row>
    <row r="63" hidden="1">
      <c r="A63" s="13" t="str">
        <f>IFERROR(__xludf.DUMMYFUNCTION("""COMPUTED_VALUE"""),"Sonic Colors: Ultimate")</f>
        <v>Sonic Colors: Ultimate</v>
      </c>
      <c r="B63" s="15" t="str">
        <f>IFERROR(__xludf.DUMMYFUNCTION("""COMPUTED_VALUE"""),"PS4")</f>
        <v>PS4</v>
      </c>
      <c r="C63" s="16" t="str">
        <f>IFERROR(__xludf.DUMMYFUNCTION("""COMPUTED_VALUE"""),"Essential")</f>
        <v>Essential</v>
      </c>
      <c r="D63" s="15" t="str">
        <f>IFERROR(__xludf.DUMMYFUNCTION("""COMPUTED_VALUE"""),"Removed")</f>
        <v>Removed</v>
      </c>
      <c r="E63" s="17">
        <f>IFERROR(__xludf.DUMMYFUNCTION("""COMPUTED_VALUE"""),45720.0)</f>
        <v>45720</v>
      </c>
      <c r="F63" s="54">
        <f>IFERROR(__xludf.DUMMYFUNCTION("""COMPUTED_VALUE"""),45747.0)</f>
        <v>45747</v>
      </c>
      <c r="G63" s="19">
        <f>IFERROR(__xludf.DUMMYFUNCTION("""COMPUTED_VALUE"""),0.8666666666666666)</f>
        <v>0.8666666667</v>
      </c>
      <c r="H63" s="17">
        <f>IFERROR(__xludf.DUMMYFUNCTION("""COMPUTED_VALUE"""),44507.0)</f>
        <v>44507</v>
      </c>
      <c r="I63" s="19">
        <f>IFERROR(__xludf.DUMMYFUNCTION("""COMPUTED_VALUE"""),3.325)</f>
        <v>3.325</v>
      </c>
      <c r="J63" s="21">
        <f>IFERROR(__xludf.DUMMYFUNCTION("""COMPUTED_VALUE"""),74.0)</f>
        <v>74</v>
      </c>
      <c r="K63" s="23">
        <f>IFERROR(__xludf.DUMMYFUNCTION("""COMPUTED_VALUE"""),6.4)</f>
        <v>6.4</v>
      </c>
      <c r="L63" s="24">
        <f>IFERROR(__xludf.DUMMYFUNCTION("""COMPUTED_VALUE"""),5.0)</f>
        <v>5</v>
      </c>
      <c r="M63" s="25" t="str">
        <f>IFERROR(__xludf.DUMMYFUNCTION("""COMPUTED_VALUE"""),"Platformer")</f>
        <v>Platformer</v>
      </c>
      <c r="N63" s="25"/>
      <c r="O63" s="26" t="str">
        <f>IFERROR(__xludf.DUMMYFUNCTION("""COMPUTED_VALUE"""),"No")</f>
        <v>No</v>
      </c>
      <c r="P63" s="26"/>
    </row>
    <row r="64" hidden="1">
      <c r="A64" s="13" t="str">
        <f>IFERROR(__xludf.DUMMYFUNCTION("""COMPUTED_VALUE"""),"Teenage Mutant Ninja Turtles: The Cowabunga Collection")</f>
        <v>Teenage Mutant Ninja Turtles: The Cowabunga Collection</v>
      </c>
      <c r="B64" s="15" t="str">
        <f>IFERROR(__xludf.DUMMYFUNCTION("""COMPUTED_VALUE"""),"PS5/PS4")</f>
        <v>PS5/PS4</v>
      </c>
      <c r="C64" s="16" t="str">
        <f>IFERROR(__xludf.DUMMYFUNCTION("""COMPUTED_VALUE"""),"Essential")</f>
        <v>Essential</v>
      </c>
      <c r="D64" s="15" t="str">
        <f>IFERROR(__xludf.DUMMYFUNCTION("""COMPUTED_VALUE"""),"Removed")</f>
        <v>Removed</v>
      </c>
      <c r="E64" s="17">
        <f>IFERROR(__xludf.DUMMYFUNCTION("""COMPUTED_VALUE"""),45720.0)</f>
        <v>45720</v>
      </c>
      <c r="F64" s="54">
        <f>IFERROR(__xludf.DUMMYFUNCTION("""COMPUTED_VALUE"""),45747.0)</f>
        <v>45747</v>
      </c>
      <c r="G64" s="19">
        <f>IFERROR(__xludf.DUMMYFUNCTION("""COMPUTED_VALUE"""),0.8666666666666666)</f>
        <v>0.8666666667</v>
      </c>
      <c r="H64" s="17">
        <f>IFERROR(__xludf.DUMMYFUNCTION("""COMPUTED_VALUE"""),44895.0)</f>
        <v>44895</v>
      </c>
      <c r="I64" s="19">
        <f>IFERROR(__xludf.DUMMYFUNCTION("""COMPUTED_VALUE"""),2.261111111111111)</f>
        <v>2.261111111</v>
      </c>
      <c r="J64" s="21">
        <f>IFERROR(__xludf.DUMMYFUNCTION("""COMPUTED_VALUE"""),79.0)</f>
        <v>79</v>
      </c>
      <c r="K64" s="23">
        <f>IFERROR(__xludf.DUMMYFUNCTION("""COMPUTED_VALUE"""),8.2)</f>
        <v>8.2</v>
      </c>
      <c r="L64" s="24">
        <f>IFERROR(__xludf.DUMMYFUNCTION("""COMPUTED_VALUE"""),14.0)</f>
        <v>14</v>
      </c>
      <c r="M64" s="25" t="str">
        <f>IFERROR(__xludf.DUMMYFUNCTION("""COMPUTED_VALUE"""),"Compilation")</f>
        <v>Compilation</v>
      </c>
      <c r="N64" s="25"/>
      <c r="O64" s="26" t="str">
        <f>IFERROR(__xludf.DUMMYFUNCTION("""COMPUTED_VALUE"""),"No")</f>
        <v>No</v>
      </c>
      <c r="P64" s="26"/>
    </row>
    <row r="65" hidden="1">
      <c r="A65" s="13" t="str">
        <f>IFERROR(__xludf.DUMMYFUNCTION("""COMPUTED_VALUE"""),"PAYDAY 3")</f>
        <v>PAYDAY 3</v>
      </c>
      <c r="B65" s="15" t="str">
        <f>IFERROR(__xludf.DUMMYFUNCTION("""COMPUTED_VALUE"""),"PS5")</f>
        <v>PS5</v>
      </c>
      <c r="C65" s="16" t="str">
        <f>IFERROR(__xludf.DUMMYFUNCTION("""COMPUTED_VALUE"""),"Essential")</f>
        <v>Essential</v>
      </c>
      <c r="D65" s="15" t="str">
        <f>IFERROR(__xludf.DUMMYFUNCTION("""COMPUTED_VALUE"""),"Removed")</f>
        <v>Removed</v>
      </c>
      <c r="E65" s="17">
        <f>IFERROR(__xludf.DUMMYFUNCTION("""COMPUTED_VALUE"""),45692.0)</f>
        <v>45692</v>
      </c>
      <c r="F65" s="54">
        <f>IFERROR(__xludf.DUMMYFUNCTION("""COMPUTED_VALUE"""),45719.0)</f>
        <v>45719</v>
      </c>
      <c r="G65" s="19">
        <f>IFERROR(__xludf.DUMMYFUNCTION("""COMPUTED_VALUE"""),0.9666666666666668)</f>
        <v>0.9666666667</v>
      </c>
      <c r="H65" s="17">
        <f>IFERROR(__xludf.DUMMYFUNCTION("""COMPUTED_VALUE"""),45190.0)</f>
        <v>45190</v>
      </c>
      <c r="I65" s="19">
        <f>IFERROR(__xludf.DUMMYFUNCTION("""COMPUTED_VALUE"""),1.3694444444444445)</f>
        <v>1.369444444</v>
      </c>
      <c r="J65" s="21">
        <f>IFERROR(__xludf.DUMMYFUNCTION("""COMPUTED_VALUE"""),66.0)</f>
        <v>66</v>
      </c>
      <c r="K65" s="23">
        <f>IFERROR(__xludf.DUMMYFUNCTION("""COMPUTED_VALUE"""),3.2)</f>
        <v>3.2</v>
      </c>
      <c r="L65" s="24">
        <f>IFERROR(__xludf.DUMMYFUNCTION("""COMPUTED_VALUE"""),14.0)</f>
        <v>14</v>
      </c>
      <c r="M65" s="25" t="str">
        <f>IFERROR(__xludf.DUMMYFUNCTION("""COMPUTED_VALUE"""),"Shooter")</f>
        <v>Shooter</v>
      </c>
      <c r="N65" s="25"/>
      <c r="O65" s="26" t="str">
        <f>IFERROR(__xludf.DUMMYFUNCTION("""COMPUTED_VALUE"""),"No")</f>
        <v>No</v>
      </c>
      <c r="P65" s="26"/>
    </row>
    <row r="66" hidden="1">
      <c r="A66" s="13" t="str">
        <f>IFERROR(__xludf.DUMMYFUNCTION("""COMPUTED_VALUE"""),"High on Life")</f>
        <v>High on Life</v>
      </c>
      <c r="B66" s="15" t="str">
        <f>IFERROR(__xludf.DUMMYFUNCTION("""COMPUTED_VALUE"""),"PS5/PS4")</f>
        <v>PS5/PS4</v>
      </c>
      <c r="C66" s="16" t="str">
        <f>IFERROR(__xludf.DUMMYFUNCTION("""COMPUTED_VALUE"""),"Essential")</f>
        <v>Essential</v>
      </c>
      <c r="D66" s="15" t="str">
        <f>IFERROR(__xludf.DUMMYFUNCTION("""COMPUTED_VALUE"""),"Removed")</f>
        <v>Removed</v>
      </c>
      <c r="E66" s="17">
        <f>IFERROR(__xludf.DUMMYFUNCTION("""COMPUTED_VALUE"""),45692.0)</f>
        <v>45692</v>
      </c>
      <c r="F66" s="54">
        <f>IFERROR(__xludf.DUMMYFUNCTION("""COMPUTED_VALUE"""),45719.0)</f>
        <v>45719</v>
      </c>
      <c r="G66" s="19">
        <f>IFERROR(__xludf.DUMMYFUNCTION("""COMPUTED_VALUE"""),0.9666666666666668)</f>
        <v>0.9666666667</v>
      </c>
      <c r="H66" s="17">
        <f>IFERROR(__xludf.DUMMYFUNCTION("""COMPUTED_VALUE"""),44908.0)</f>
        <v>44908</v>
      </c>
      <c r="I66" s="19">
        <f>IFERROR(__xludf.DUMMYFUNCTION("""COMPUTED_VALUE"""),2.1416666666666666)</f>
        <v>2.141666667</v>
      </c>
      <c r="J66" s="21">
        <f>IFERROR(__xludf.DUMMYFUNCTION("""COMPUTED_VALUE"""),67.0)</f>
        <v>67</v>
      </c>
      <c r="K66" s="23">
        <f>IFERROR(__xludf.DUMMYFUNCTION("""COMPUTED_VALUE"""),7.8)</f>
        <v>7.8</v>
      </c>
      <c r="L66" s="24">
        <f>IFERROR(__xludf.DUMMYFUNCTION("""COMPUTED_VALUE"""),10.0)</f>
        <v>10</v>
      </c>
      <c r="M66" s="25" t="str">
        <f>IFERROR(__xludf.DUMMYFUNCTION("""COMPUTED_VALUE"""),"Action-Adventure")</f>
        <v>Action-Adventure</v>
      </c>
      <c r="N66" s="25"/>
      <c r="O66" s="26" t="str">
        <f>IFERROR(__xludf.DUMMYFUNCTION("""COMPUTED_VALUE"""),"No")</f>
        <v>No</v>
      </c>
      <c r="P66" s="26"/>
    </row>
    <row r="67" hidden="1">
      <c r="A67" s="13" t="str">
        <f>IFERROR(__xludf.DUMMYFUNCTION("""COMPUTED_VALUE"""),"Pac-Man World: Re-PAC")</f>
        <v>Pac-Man World: Re-PAC</v>
      </c>
      <c r="B67" s="15" t="str">
        <f>IFERROR(__xludf.DUMMYFUNCTION("""COMPUTED_VALUE"""),"PS5/PS4")</f>
        <v>PS5/PS4</v>
      </c>
      <c r="C67" s="16" t="str">
        <f>IFERROR(__xludf.DUMMYFUNCTION("""COMPUTED_VALUE"""),"Essential")</f>
        <v>Essential</v>
      </c>
      <c r="D67" s="15" t="str">
        <f>IFERROR(__xludf.DUMMYFUNCTION("""COMPUTED_VALUE"""),"Removed")</f>
        <v>Removed</v>
      </c>
      <c r="E67" s="17">
        <f>IFERROR(__xludf.DUMMYFUNCTION("""COMPUTED_VALUE"""),45692.0)</f>
        <v>45692</v>
      </c>
      <c r="F67" s="54">
        <f>IFERROR(__xludf.DUMMYFUNCTION("""COMPUTED_VALUE"""),45719.0)</f>
        <v>45719</v>
      </c>
      <c r="G67" s="19">
        <f>IFERROR(__xludf.DUMMYFUNCTION("""COMPUTED_VALUE"""),0.9666666666666668)</f>
        <v>0.9666666667</v>
      </c>
      <c r="H67" s="17">
        <f>IFERROR(__xludf.DUMMYFUNCTION("""COMPUTED_VALUE"""),44799.0)</f>
        <v>44799</v>
      </c>
      <c r="I67" s="19">
        <f>IFERROR(__xludf.DUMMYFUNCTION("""COMPUTED_VALUE"""),2.438888888888889)</f>
        <v>2.438888889</v>
      </c>
      <c r="J67" s="21">
        <f>IFERROR(__xludf.DUMMYFUNCTION("""COMPUTED_VALUE"""),71.0)</f>
        <v>71</v>
      </c>
      <c r="K67" s="23">
        <f>IFERROR(__xludf.DUMMYFUNCTION("""COMPUTED_VALUE"""),8.2)</f>
        <v>8.2</v>
      </c>
      <c r="L67" s="24">
        <f>IFERROR(__xludf.DUMMYFUNCTION("""COMPUTED_VALUE"""),6.0)</f>
        <v>6</v>
      </c>
      <c r="M67" s="25" t="str">
        <f>IFERROR(__xludf.DUMMYFUNCTION("""COMPUTED_VALUE"""),"Platformer")</f>
        <v>Platformer</v>
      </c>
      <c r="N67" s="25"/>
      <c r="O67" s="26" t="str">
        <f>IFERROR(__xludf.DUMMYFUNCTION("""COMPUTED_VALUE"""),"No")</f>
        <v>No</v>
      </c>
      <c r="P67" s="26"/>
    </row>
    <row r="68" hidden="1">
      <c r="A68" s="13" t="str">
        <f>IFERROR(__xludf.DUMMYFUNCTION("""COMPUTED_VALUE"""),"Suicide Squad: Kill the Justice League")</f>
        <v>Suicide Squad: Kill the Justice League</v>
      </c>
      <c r="B68" s="15" t="str">
        <f>IFERROR(__xludf.DUMMYFUNCTION("""COMPUTED_VALUE"""),"PS5")</f>
        <v>PS5</v>
      </c>
      <c r="C68" s="16" t="str">
        <f>IFERROR(__xludf.DUMMYFUNCTION("""COMPUTED_VALUE"""),"Essential")</f>
        <v>Essential</v>
      </c>
      <c r="D68" s="15" t="str">
        <f>IFERROR(__xludf.DUMMYFUNCTION("""COMPUTED_VALUE"""),"Removed")</f>
        <v>Removed</v>
      </c>
      <c r="E68" s="17">
        <f>IFERROR(__xludf.DUMMYFUNCTION("""COMPUTED_VALUE"""),45664.0)</f>
        <v>45664</v>
      </c>
      <c r="F68" s="54">
        <f>IFERROR(__xludf.DUMMYFUNCTION("""COMPUTED_VALUE"""),45691.0)</f>
        <v>45691</v>
      </c>
      <c r="G68" s="19">
        <f>IFERROR(__xludf.DUMMYFUNCTION("""COMPUTED_VALUE"""),0.8666666666666666)</f>
        <v>0.8666666667</v>
      </c>
      <c r="H68" s="17">
        <f>IFERROR(__xludf.DUMMYFUNCTION("""COMPUTED_VALUE"""),45324.0)</f>
        <v>45324</v>
      </c>
      <c r="I68" s="19">
        <f>IFERROR(__xludf.DUMMYFUNCTION("""COMPUTED_VALUE"""),0.9305555555555556)</f>
        <v>0.9305555556</v>
      </c>
      <c r="J68" s="21">
        <f>IFERROR(__xludf.DUMMYFUNCTION("""COMPUTED_VALUE"""),60.0)</f>
        <v>60</v>
      </c>
      <c r="K68" s="23">
        <f>IFERROR(__xludf.DUMMYFUNCTION("""COMPUTED_VALUE"""),3.4)</f>
        <v>3.4</v>
      </c>
      <c r="L68" s="24">
        <f>IFERROR(__xludf.DUMMYFUNCTION("""COMPUTED_VALUE"""),12.0)</f>
        <v>12</v>
      </c>
      <c r="M68" s="25" t="str">
        <f>IFERROR(__xludf.DUMMYFUNCTION("""COMPUTED_VALUE"""),"Shooter")</f>
        <v>Shooter</v>
      </c>
      <c r="N68" s="25"/>
      <c r="O68" s="26" t="str">
        <f>IFERROR(__xludf.DUMMYFUNCTION("""COMPUTED_VALUE"""),"No")</f>
        <v>No</v>
      </c>
      <c r="P68" s="26"/>
    </row>
    <row r="69" hidden="1">
      <c r="A69" s="13" t="str">
        <f>IFERROR(__xludf.DUMMYFUNCTION("""COMPUTED_VALUE"""),"Need for Speed: Hot Pursuit - Remastered")</f>
        <v>Need for Speed: Hot Pursuit - Remastered</v>
      </c>
      <c r="B69" s="15" t="str">
        <f>IFERROR(__xludf.DUMMYFUNCTION("""COMPUTED_VALUE"""),"PS4")</f>
        <v>PS4</v>
      </c>
      <c r="C69" s="16" t="str">
        <f>IFERROR(__xludf.DUMMYFUNCTION("""COMPUTED_VALUE"""),"Essential")</f>
        <v>Essential</v>
      </c>
      <c r="D69" s="15" t="str">
        <f>IFERROR(__xludf.DUMMYFUNCTION("""COMPUTED_VALUE"""),"Removed")</f>
        <v>Removed</v>
      </c>
      <c r="E69" s="17">
        <f>IFERROR(__xludf.DUMMYFUNCTION("""COMPUTED_VALUE"""),45664.0)</f>
        <v>45664</v>
      </c>
      <c r="F69" s="54">
        <f>IFERROR(__xludf.DUMMYFUNCTION("""COMPUTED_VALUE"""),45691.0)</f>
        <v>45691</v>
      </c>
      <c r="G69" s="19">
        <f>IFERROR(__xludf.DUMMYFUNCTION("""COMPUTED_VALUE"""),0.8666666666666666)</f>
        <v>0.8666666667</v>
      </c>
      <c r="H69" s="17">
        <f>IFERROR(__xludf.DUMMYFUNCTION("""COMPUTED_VALUE"""),44141.0)</f>
        <v>44141</v>
      </c>
      <c r="I69" s="19">
        <f>IFERROR(__xludf.DUMMYFUNCTION("""COMPUTED_VALUE"""),4.169444444444444)</f>
        <v>4.169444444</v>
      </c>
      <c r="J69" s="21">
        <f>IFERROR(__xludf.DUMMYFUNCTION("""COMPUTED_VALUE"""),75.0)</f>
        <v>75</v>
      </c>
      <c r="K69" s="23">
        <f>IFERROR(__xludf.DUMMYFUNCTION("""COMPUTED_VALUE"""),5.9)</f>
        <v>5.9</v>
      </c>
      <c r="L69" s="24">
        <f>IFERROR(__xludf.DUMMYFUNCTION("""COMPUTED_VALUE"""),16.0)</f>
        <v>16</v>
      </c>
      <c r="M69" s="25" t="str">
        <f>IFERROR(__xludf.DUMMYFUNCTION("""COMPUTED_VALUE"""),"Racing")</f>
        <v>Racing</v>
      </c>
      <c r="N69" s="25"/>
      <c r="O69" s="26" t="str">
        <f>IFERROR(__xludf.DUMMYFUNCTION("""COMPUTED_VALUE"""),"No")</f>
        <v>No</v>
      </c>
      <c r="P69" s="26"/>
    </row>
    <row r="70" hidden="1">
      <c r="A70" s="13" t="str">
        <f>IFERROR(__xludf.DUMMYFUNCTION("""COMPUTED_VALUE"""),"The Stanley Parable: Ultra Deluxe")</f>
        <v>The Stanley Parable: Ultra Deluxe</v>
      </c>
      <c r="B70" s="15" t="str">
        <f>IFERROR(__xludf.DUMMYFUNCTION("""COMPUTED_VALUE"""),"PS5/PS4")</f>
        <v>PS5/PS4</v>
      </c>
      <c r="C70" s="16" t="str">
        <f>IFERROR(__xludf.DUMMYFUNCTION("""COMPUTED_VALUE"""),"Essential")</f>
        <v>Essential</v>
      </c>
      <c r="D70" s="15" t="str">
        <f>IFERROR(__xludf.DUMMYFUNCTION("""COMPUTED_VALUE"""),"Removed")</f>
        <v>Removed</v>
      </c>
      <c r="E70" s="17">
        <f>IFERROR(__xludf.DUMMYFUNCTION("""COMPUTED_VALUE"""),45664.0)</f>
        <v>45664</v>
      </c>
      <c r="F70" s="54">
        <f>IFERROR(__xludf.DUMMYFUNCTION("""COMPUTED_VALUE"""),45691.0)</f>
        <v>45691</v>
      </c>
      <c r="G70" s="19">
        <f>IFERROR(__xludf.DUMMYFUNCTION("""COMPUTED_VALUE"""),0.8666666666666666)</f>
        <v>0.8666666667</v>
      </c>
      <c r="H70" s="17">
        <f>IFERROR(__xludf.DUMMYFUNCTION("""COMPUTED_VALUE"""),41548.0)</f>
        <v>41548</v>
      </c>
      <c r="I70" s="19">
        <f>IFERROR(__xludf.DUMMYFUNCTION("""COMPUTED_VALUE"""),11.266666666666667)</f>
        <v>11.26666667</v>
      </c>
      <c r="J70" s="21">
        <f>IFERROR(__xludf.DUMMYFUNCTION("""COMPUTED_VALUE"""),90.0)</f>
        <v>90</v>
      </c>
      <c r="K70" s="23">
        <f>IFERROR(__xludf.DUMMYFUNCTION("""COMPUTED_VALUE"""),8.2)</f>
        <v>8.2</v>
      </c>
      <c r="L70" s="24">
        <f>IFERROR(__xludf.DUMMYFUNCTION("""COMPUTED_VALUE"""),4.0)</f>
        <v>4</v>
      </c>
      <c r="M70" s="25" t="str">
        <f>IFERROR(__xludf.DUMMYFUNCTION("""COMPUTED_VALUE"""),"Adventure")</f>
        <v>Adventure</v>
      </c>
      <c r="N70" s="25"/>
      <c r="O70" s="26" t="str">
        <f>IFERROR(__xludf.DUMMYFUNCTION("""COMPUTED_VALUE"""),"No")</f>
        <v>No</v>
      </c>
      <c r="P70" s="26"/>
    </row>
    <row r="71" hidden="1">
      <c r="A71" s="13" t="str">
        <f>IFERROR(__xludf.DUMMYFUNCTION("""COMPUTED_VALUE"""),"Temtem")</f>
        <v>Temtem</v>
      </c>
      <c r="B71" s="15" t="str">
        <f>IFERROR(__xludf.DUMMYFUNCTION("""COMPUTED_VALUE"""),"PS5")</f>
        <v>PS5</v>
      </c>
      <c r="C71" s="16" t="str">
        <f>IFERROR(__xludf.DUMMYFUNCTION("""COMPUTED_VALUE"""),"Essential")</f>
        <v>Essential</v>
      </c>
      <c r="D71" s="15" t="str">
        <f>IFERROR(__xludf.DUMMYFUNCTION("""COMPUTED_VALUE"""),"Removed")</f>
        <v>Removed</v>
      </c>
      <c r="E71" s="17">
        <f>IFERROR(__xludf.DUMMYFUNCTION("""COMPUTED_VALUE"""),45629.0)</f>
        <v>45629</v>
      </c>
      <c r="F71" s="54">
        <f>IFERROR(__xludf.DUMMYFUNCTION("""COMPUTED_VALUE"""),45663.0)</f>
        <v>45663</v>
      </c>
      <c r="G71" s="19">
        <f>IFERROR(__xludf.DUMMYFUNCTION("""COMPUTED_VALUE"""),1.0999999999999999)</f>
        <v>1.1</v>
      </c>
      <c r="H71" s="17">
        <f>IFERROR(__xludf.DUMMYFUNCTION("""COMPUTED_VALUE"""),44810.0)</f>
        <v>44810</v>
      </c>
      <c r="I71" s="19">
        <f>IFERROR(__xludf.DUMMYFUNCTION("""COMPUTED_VALUE"""),2.2416666666666667)</f>
        <v>2.241666667</v>
      </c>
      <c r="J71" s="21">
        <f>IFERROR(__xludf.DUMMYFUNCTION("""COMPUTED_VALUE"""),73.0)</f>
        <v>73</v>
      </c>
      <c r="K71" s="23">
        <f>IFERROR(__xludf.DUMMYFUNCTION("""COMPUTED_VALUE"""),6.4)</f>
        <v>6.4</v>
      </c>
      <c r="L71" s="24">
        <f>IFERROR(__xludf.DUMMYFUNCTION("""COMPUTED_VALUE"""),57.0)</f>
        <v>57</v>
      </c>
      <c r="M71" s="26" t="str">
        <f>IFERROR(__xludf.DUMMYFUNCTION("""COMPUTED_VALUE"""),"RPG")</f>
        <v>RPG</v>
      </c>
      <c r="N71" s="25"/>
      <c r="O71" s="26" t="str">
        <f>IFERROR(__xludf.DUMMYFUNCTION("""COMPUTED_VALUE"""),"No")</f>
        <v>No</v>
      </c>
      <c r="P71" s="26"/>
    </row>
    <row r="72" hidden="1">
      <c r="A72" s="13" t="str">
        <f>IFERROR(__xludf.DUMMYFUNCTION("""COMPUTED_VALUE"""),"It Takes Two")</f>
        <v>It Takes Two</v>
      </c>
      <c r="B72" s="15" t="str">
        <f>IFERROR(__xludf.DUMMYFUNCTION("""COMPUTED_VALUE"""),"PS5/PS4")</f>
        <v>PS5/PS4</v>
      </c>
      <c r="C72" s="16" t="str">
        <f>IFERROR(__xludf.DUMMYFUNCTION("""COMPUTED_VALUE"""),"Essential")</f>
        <v>Essential</v>
      </c>
      <c r="D72" s="15" t="str">
        <f>IFERROR(__xludf.DUMMYFUNCTION("""COMPUTED_VALUE"""),"Removed")</f>
        <v>Removed</v>
      </c>
      <c r="E72" s="17">
        <f>IFERROR(__xludf.DUMMYFUNCTION("""COMPUTED_VALUE"""),45629.0)</f>
        <v>45629</v>
      </c>
      <c r="F72" s="54">
        <f>IFERROR(__xludf.DUMMYFUNCTION("""COMPUTED_VALUE"""),45663.0)</f>
        <v>45663</v>
      </c>
      <c r="G72" s="19">
        <f>IFERROR(__xludf.DUMMYFUNCTION("""COMPUTED_VALUE"""),1.0999999999999999)</f>
        <v>1.1</v>
      </c>
      <c r="H72" s="17">
        <f>IFERROR(__xludf.DUMMYFUNCTION("""COMPUTED_VALUE"""),44281.0)</f>
        <v>44281</v>
      </c>
      <c r="I72" s="19">
        <f>IFERROR(__xludf.DUMMYFUNCTION("""COMPUTED_VALUE"""),3.686111111111111)</f>
        <v>3.686111111</v>
      </c>
      <c r="J72" s="21">
        <f>IFERROR(__xludf.DUMMYFUNCTION("""COMPUTED_VALUE"""),88.0)</f>
        <v>88</v>
      </c>
      <c r="K72" s="23">
        <f>IFERROR(__xludf.DUMMYFUNCTION("""COMPUTED_VALUE"""),8.9)</f>
        <v>8.9</v>
      </c>
      <c r="L72" s="24">
        <f>IFERROR(__xludf.DUMMYFUNCTION("""COMPUTED_VALUE"""),14.0)</f>
        <v>14</v>
      </c>
      <c r="M72" s="25" t="str">
        <f>IFERROR(__xludf.DUMMYFUNCTION("""COMPUTED_VALUE"""),"Action-Adventure")</f>
        <v>Action-Adventure</v>
      </c>
      <c r="N72" s="25"/>
      <c r="O72" s="26" t="str">
        <f>IFERROR(__xludf.DUMMYFUNCTION("""COMPUTED_VALUE"""),"No")</f>
        <v>No</v>
      </c>
      <c r="P72" s="26"/>
    </row>
    <row r="73" hidden="1">
      <c r="A73" s="13" t="str">
        <f>IFERROR(__xludf.DUMMYFUNCTION("""COMPUTED_VALUE"""),"Aliens: Dark Descent")</f>
        <v>Aliens: Dark Descent</v>
      </c>
      <c r="B73" s="15" t="str">
        <f>IFERROR(__xludf.DUMMYFUNCTION("""COMPUTED_VALUE"""),"PS5/PS4")</f>
        <v>PS5/PS4</v>
      </c>
      <c r="C73" s="16" t="str">
        <f>IFERROR(__xludf.DUMMYFUNCTION("""COMPUTED_VALUE"""),"Essential")</f>
        <v>Essential</v>
      </c>
      <c r="D73" s="15" t="str">
        <f>IFERROR(__xludf.DUMMYFUNCTION("""COMPUTED_VALUE"""),"Removed")</f>
        <v>Removed</v>
      </c>
      <c r="E73" s="17">
        <f>IFERROR(__xludf.DUMMYFUNCTION("""COMPUTED_VALUE"""),45629.0)</f>
        <v>45629</v>
      </c>
      <c r="F73" s="54">
        <f>IFERROR(__xludf.DUMMYFUNCTION("""COMPUTED_VALUE"""),45663.0)</f>
        <v>45663</v>
      </c>
      <c r="G73" s="19">
        <f>IFERROR(__xludf.DUMMYFUNCTION("""COMPUTED_VALUE"""),1.0999999999999999)</f>
        <v>1.1</v>
      </c>
      <c r="H73" s="17">
        <f>IFERROR(__xludf.DUMMYFUNCTION("""COMPUTED_VALUE"""),45097.0)</f>
        <v>45097</v>
      </c>
      <c r="I73" s="19">
        <f>IFERROR(__xludf.DUMMYFUNCTION("""COMPUTED_VALUE"""),1.4527777777777777)</f>
        <v>1.452777778</v>
      </c>
      <c r="J73" s="21">
        <f>IFERROR(__xludf.DUMMYFUNCTION("""COMPUTED_VALUE"""),75.0)</f>
        <v>75</v>
      </c>
      <c r="K73" s="23">
        <f>IFERROR(__xludf.DUMMYFUNCTION("""COMPUTED_VALUE"""),8.0)</f>
        <v>8</v>
      </c>
      <c r="L73" s="24">
        <f>IFERROR(__xludf.DUMMYFUNCTION("""COMPUTED_VALUE"""),24.0)</f>
        <v>24</v>
      </c>
      <c r="M73" s="25" t="str">
        <f>IFERROR(__xludf.DUMMYFUNCTION("""COMPUTED_VALUE"""),"Strategy")</f>
        <v>Strategy</v>
      </c>
      <c r="N73" s="25"/>
      <c r="O73" s="26" t="str">
        <f>IFERROR(__xludf.DUMMYFUNCTION("""COMPUTED_VALUE"""),"No")</f>
        <v>No</v>
      </c>
      <c r="P73" s="26"/>
    </row>
    <row r="74" hidden="1">
      <c r="A74" s="13" t="str">
        <f>IFERROR(__xludf.DUMMYFUNCTION("""COMPUTED_VALUE"""),"Ghostwire: Tokyo")</f>
        <v>Ghostwire: Tokyo</v>
      </c>
      <c r="B74" s="15" t="str">
        <f>IFERROR(__xludf.DUMMYFUNCTION("""COMPUTED_VALUE"""),"PS5")</f>
        <v>PS5</v>
      </c>
      <c r="C74" s="16" t="str">
        <f>IFERROR(__xludf.DUMMYFUNCTION("""COMPUTED_VALUE"""),"Essential")</f>
        <v>Essential</v>
      </c>
      <c r="D74" s="15" t="str">
        <f>IFERROR(__xludf.DUMMYFUNCTION("""COMPUTED_VALUE"""),"Removed")</f>
        <v>Removed</v>
      </c>
      <c r="E74" s="17">
        <f>IFERROR(__xludf.DUMMYFUNCTION("""COMPUTED_VALUE"""),45601.0)</f>
        <v>45601</v>
      </c>
      <c r="F74" s="54">
        <f>IFERROR(__xludf.DUMMYFUNCTION("""COMPUTED_VALUE"""),45628.0)</f>
        <v>45628</v>
      </c>
      <c r="G74" s="19">
        <f>IFERROR(__xludf.DUMMYFUNCTION("""COMPUTED_VALUE"""),0.8999999999999999)</f>
        <v>0.9</v>
      </c>
      <c r="H74" s="17">
        <f>IFERROR(__xludf.DUMMYFUNCTION("""COMPUTED_VALUE"""),44642.0)</f>
        <v>44642</v>
      </c>
      <c r="I74" s="19">
        <f>IFERROR(__xludf.DUMMYFUNCTION("""COMPUTED_VALUE"""),2.6194444444444445)</f>
        <v>2.619444444</v>
      </c>
      <c r="J74" s="21">
        <f>IFERROR(__xludf.DUMMYFUNCTION("""COMPUTED_VALUE"""),75.0)</f>
        <v>75</v>
      </c>
      <c r="K74" s="23">
        <f>IFERROR(__xludf.DUMMYFUNCTION("""COMPUTED_VALUE"""),8.3)</f>
        <v>8.3</v>
      </c>
      <c r="L74" s="24">
        <f>IFERROR(__xludf.DUMMYFUNCTION("""COMPUTED_VALUE"""),11.0)</f>
        <v>11</v>
      </c>
      <c r="M74" s="25" t="str">
        <f>IFERROR(__xludf.DUMMYFUNCTION("""COMPUTED_VALUE"""),"Action-Adventure")</f>
        <v>Action-Adventure</v>
      </c>
      <c r="N74" s="25"/>
      <c r="O74" s="26" t="str">
        <f>IFERROR(__xludf.DUMMYFUNCTION("""COMPUTED_VALUE"""),"No")</f>
        <v>No</v>
      </c>
      <c r="P74" s="26"/>
    </row>
    <row r="75" hidden="1">
      <c r="A75" s="13" t="str">
        <f>IFERROR(__xludf.DUMMYFUNCTION("""COMPUTED_VALUE"""),"Hot Wheels Unleashed 2: Turbocharged")</f>
        <v>Hot Wheels Unleashed 2: Turbocharged</v>
      </c>
      <c r="B75" s="15" t="str">
        <f>IFERROR(__xludf.DUMMYFUNCTION("""COMPUTED_VALUE"""),"PS5/PS4")</f>
        <v>PS5/PS4</v>
      </c>
      <c r="C75" s="16" t="str">
        <f>IFERROR(__xludf.DUMMYFUNCTION("""COMPUTED_VALUE"""),"Essential")</f>
        <v>Essential</v>
      </c>
      <c r="D75" s="15" t="str">
        <f>IFERROR(__xludf.DUMMYFUNCTION("""COMPUTED_VALUE"""),"Removed")</f>
        <v>Removed</v>
      </c>
      <c r="E75" s="17">
        <f>IFERROR(__xludf.DUMMYFUNCTION("""COMPUTED_VALUE"""),45601.0)</f>
        <v>45601</v>
      </c>
      <c r="F75" s="54">
        <f>IFERROR(__xludf.DUMMYFUNCTION("""COMPUTED_VALUE"""),45628.0)</f>
        <v>45628</v>
      </c>
      <c r="G75" s="19">
        <f>IFERROR(__xludf.DUMMYFUNCTION("""COMPUTED_VALUE"""),0.8999999999999999)</f>
        <v>0.9</v>
      </c>
      <c r="H75" s="17">
        <f>IFERROR(__xludf.DUMMYFUNCTION("""COMPUTED_VALUE"""),45218.0)</f>
        <v>45218</v>
      </c>
      <c r="I75" s="19">
        <f>IFERROR(__xludf.DUMMYFUNCTION("""COMPUTED_VALUE"""),1.0444444444444445)</f>
        <v>1.044444444</v>
      </c>
      <c r="J75" s="21">
        <f>IFERROR(__xludf.DUMMYFUNCTION("""COMPUTED_VALUE"""),77.0)</f>
        <v>77</v>
      </c>
      <c r="K75" s="23">
        <f>IFERROR(__xludf.DUMMYFUNCTION("""COMPUTED_VALUE"""),7.1)</f>
        <v>7.1</v>
      </c>
      <c r="L75" s="24">
        <f>IFERROR(__xludf.DUMMYFUNCTION("""COMPUTED_VALUE"""),9.0)</f>
        <v>9</v>
      </c>
      <c r="M75" s="25" t="str">
        <f>IFERROR(__xludf.DUMMYFUNCTION("""COMPUTED_VALUE"""),"Racing")</f>
        <v>Racing</v>
      </c>
      <c r="N75" s="25"/>
      <c r="O75" s="26" t="str">
        <f>IFERROR(__xludf.DUMMYFUNCTION("""COMPUTED_VALUE"""),"No")</f>
        <v>No</v>
      </c>
      <c r="P75" s="26"/>
    </row>
    <row r="76" hidden="1">
      <c r="A76" s="13" t="str">
        <f>IFERROR(__xludf.DUMMYFUNCTION("""COMPUTED_VALUE"""),"Death Note: Killer Within")</f>
        <v>Death Note: Killer Within</v>
      </c>
      <c r="B76" s="15" t="str">
        <f>IFERROR(__xludf.DUMMYFUNCTION("""COMPUTED_VALUE"""),"PS5/PS4")</f>
        <v>PS5/PS4</v>
      </c>
      <c r="C76" s="16" t="str">
        <f>IFERROR(__xludf.DUMMYFUNCTION("""COMPUTED_VALUE"""),"Essential")</f>
        <v>Essential</v>
      </c>
      <c r="D76" s="15" t="str">
        <f>IFERROR(__xludf.DUMMYFUNCTION("""COMPUTED_VALUE"""),"Removed")</f>
        <v>Removed</v>
      </c>
      <c r="E76" s="17">
        <f>IFERROR(__xludf.DUMMYFUNCTION("""COMPUTED_VALUE"""),45601.0)</f>
        <v>45601</v>
      </c>
      <c r="F76" s="54">
        <f>IFERROR(__xludf.DUMMYFUNCTION("""COMPUTED_VALUE"""),45628.0)</f>
        <v>45628</v>
      </c>
      <c r="G76" s="19">
        <f>IFERROR(__xludf.DUMMYFUNCTION("""COMPUTED_VALUE"""),0.8999999999999999)</f>
        <v>0.9</v>
      </c>
      <c r="H76" s="17">
        <f>IFERROR(__xludf.DUMMYFUNCTION("""COMPUTED_VALUE"""),45601.0)</f>
        <v>45601</v>
      </c>
      <c r="I76" s="19">
        <f>IFERROR(__xludf.DUMMYFUNCTION("""COMPUTED_VALUE"""),0.0)</f>
        <v>0</v>
      </c>
      <c r="J76" s="21">
        <f>IFERROR(__xludf.DUMMYFUNCTION("""COMPUTED_VALUE"""),61.0)</f>
        <v>61</v>
      </c>
      <c r="K76" s="23">
        <f>IFERROR(__xludf.DUMMYFUNCTION("""COMPUTED_VALUE"""),7.1)</f>
        <v>7.1</v>
      </c>
      <c r="L76" s="24"/>
      <c r="M76" s="25" t="str">
        <f>IFERROR(__xludf.DUMMYFUNCTION("""COMPUTED_VALUE"""),"Party")</f>
        <v>Party</v>
      </c>
      <c r="N76" s="25"/>
      <c r="O76" s="26" t="str">
        <f>IFERROR(__xludf.DUMMYFUNCTION("""COMPUTED_VALUE"""),"No")</f>
        <v>No</v>
      </c>
      <c r="P76" s="26"/>
    </row>
    <row r="77" hidden="1">
      <c r="A77" s="13" t="str">
        <f>IFERROR(__xludf.DUMMYFUNCTION("""COMPUTED_VALUE"""),"Dead Space (2023)")</f>
        <v>Dead Space (2023)</v>
      </c>
      <c r="B77" s="15" t="str">
        <f>IFERROR(__xludf.DUMMYFUNCTION("""COMPUTED_VALUE"""),"PS5")</f>
        <v>PS5</v>
      </c>
      <c r="C77" s="16" t="str">
        <f>IFERROR(__xludf.DUMMYFUNCTION("""COMPUTED_VALUE"""),"Essential")</f>
        <v>Essential</v>
      </c>
      <c r="D77" s="15" t="str">
        <f>IFERROR(__xludf.DUMMYFUNCTION("""COMPUTED_VALUE"""),"Removed")</f>
        <v>Removed</v>
      </c>
      <c r="E77" s="17">
        <f>IFERROR(__xludf.DUMMYFUNCTION("""COMPUTED_VALUE"""),45566.0)</f>
        <v>45566</v>
      </c>
      <c r="F77" s="54">
        <f>IFERROR(__xludf.DUMMYFUNCTION("""COMPUTED_VALUE"""),45600.0)</f>
        <v>45600</v>
      </c>
      <c r="G77" s="19">
        <f>IFERROR(__xludf.DUMMYFUNCTION("""COMPUTED_VALUE"""),1.0999999999999999)</f>
        <v>1.1</v>
      </c>
      <c r="H77" s="17">
        <f>IFERROR(__xludf.DUMMYFUNCTION("""COMPUTED_VALUE"""),44953.0)</f>
        <v>44953</v>
      </c>
      <c r="I77" s="19">
        <f>IFERROR(__xludf.DUMMYFUNCTION("""COMPUTED_VALUE"""),1.6777777777777778)</f>
        <v>1.677777778</v>
      </c>
      <c r="J77" s="21">
        <f>IFERROR(__xludf.DUMMYFUNCTION("""COMPUTED_VALUE"""),89.0)</f>
        <v>89</v>
      </c>
      <c r="K77" s="23">
        <f>IFERROR(__xludf.DUMMYFUNCTION("""COMPUTED_VALUE"""),8.4)</f>
        <v>8.4</v>
      </c>
      <c r="L77" s="24">
        <f>IFERROR(__xludf.DUMMYFUNCTION("""COMPUTED_VALUE"""),12.0)</f>
        <v>12</v>
      </c>
      <c r="M77" s="25" t="str">
        <f>IFERROR(__xludf.DUMMYFUNCTION("""COMPUTED_VALUE"""),"Survival")</f>
        <v>Survival</v>
      </c>
      <c r="N77" s="25"/>
      <c r="O77" s="26" t="str">
        <f>IFERROR(__xludf.DUMMYFUNCTION("""COMPUTED_VALUE"""),"No")</f>
        <v>No</v>
      </c>
      <c r="P77" s="26"/>
    </row>
    <row r="78" hidden="1">
      <c r="A78" s="13" t="str">
        <f>IFERROR(__xludf.DUMMYFUNCTION("""COMPUTED_VALUE"""),"Doki Doki Literature Club Plus!")</f>
        <v>Doki Doki Literature Club Plus!</v>
      </c>
      <c r="B78" s="15" t="str">
        <f>IFERROR(__xludf.DUMMYFUNCTION("""COMPUTED_VALUE"""),"PS5/PS4")</f>
        <v>PS5/PS4</v>
      </c>
      <c r="C78" s="16" t="str">
        <f>IFERROR(__xludf.DUMMYFUNCTION("""COMPUTED_VALUE"""),"Essential")</f>
        <v>Essential</v>
      </c>
      <c r="D78" s="15" t="str">
        <f>IFERROR(__xludf.DUMMYFUNCTION("""COMPUTED_VALUE"""),"Removed")</f>
        <v>Removed</v>
      </c>
      <c r="E78" s="17">
        <f>IFERROR(__xludf.DUMMYFUNCTION("""COMPUTED_VALUE"""),45566.0)</f>
        <v>45566</v>
      </c>
      <c r="F78" s="54">
        <f>IFERROR(__xludf.DUMMYFUNCTION("""COMPUTED_VALUE"""),45600.0)</f>
        <v>45600</v>
      </c>
      <c r="G78" s="19">
        <f>IFERROR(__xludf.DUMMYFUNCTION("""COMPUTED_VALUE"""),1.0999999999999999)</f>
        <v>1.1</v>
      </c>
      <c r="H78" s="17">
        <f>IFERROR(__xludf.DUMMYFUNCTION("""COMPUTED_VALUE"""),44377.0)</f>
        <v>44377</v>
      </c>
      <c r="I78" s="19">
        <f>IFERROR(__xludf.DUMMYFUNCTION("""COMPUTED_VALUE"""),3.2527777777777778)</f>
        <v>3.252777778</v>
      </c>
      <c r="J78" s="21">
        <f>IFERROR(__xludf.DUMMYFUNCTION("""COMPUTED_VALUE"""),85.0)</f>
        <v>85</v>
      </c>
      <c r="K78" s="23">
        <f>IFERROR(__xludf.DUMMYFUNCTION("""COMPUTED_VALUE"""),8.1)</f>
        <v>8.1</v>
      </c>
      <c r="L78" s="24">
        <f>IFERROR(__xludf.DUMMYFUNCTION("""COMPUTED_VALUE"""),5.0)</f>
        <v>5</v>
      </c>
      <c r="M78" s="25" t="str">
        <f>IFERROR(__xludf.DUMMYFUNCTION("""COMPUTED_VALUE"""),"Visual Novel")</f>
        <v>Visual Novel</v>
      </c>
      <c r="N78" s="25"/>
      <c r="O78" s="26" t="str">
        <f>IFERROR(__xludf.DUMMYFUNCTION("""COMPUTED_VALUE"""),"No")</f>
        <v>No</v>
      </c>
      <c r="P78" s="26"/>
    </row>
    <row r="79" hidden="1">
      <c r="A79" s="13" t="str">
        <f>IFERROR(__xludf.DUMMYFUNCTION("""COMPUTED_VALUE"""),"WWE 2K24")</f>
        <v>WWE 2K24</v>
      </c>
      <c r="B79" s="15" t="str">
        <f>IFERROR(__xludf.DUMMYFUNCTION("""COMPUTED_VALUE"""),"PS5")</f>
        <v>PS5</v>
      </c>
      <c r="C79" s="16" t="str">
        <f>IFERROR(__xludf.DUMMYFUNCTION("""COMPUTED_VALUE"""),"Essential")</f>
        <v>Essential</v>
      </c>
      <c r="D79" s="15" t="str">
        <f>IFERROR(__xludf.DUMMYFUNCTION("""COMPUTED_VALUE"""),"Removed")</f>
        <v>Removed</v>
      </c>
      <c r="E79" s="17">
        <f>IFERROR(__xludf.DUMMYFUNCTION("""COMPUTED_VALUE"""),45566.0)</f>
        <v>45566</v>
      </c>
      <c r="F79" s="54">
        <f>IFERROR(__xludf.DUMMYFUNCTION("""COMPUTED_VALUE"""),45600.0)</f>
        <v>45600</v>
      </c>
      <c r="G79" s="19">
        <f>IFERROR(__xludf.DUMMYFUNCTION("""COMPUTED_VALUE"""),1.0999999999999999)</f>
        <v>1.1</v>
      </c>
      <c r="H79" s="17">
        <f>IFERROR(__xludf.DUMMYFUNCTION("""COMPUTED_VALUE"""),45359.0)</f>
        <v>45359</v>
      </c>
      <c r="I79" s="19">
        <f>IFERROR(__xludf.DUMMYFUNCTION("""COMPUTED_VALUE"""),0.5638888888888889)</f>
        <v>0.5638888889</v>
      </c>
      <c r="J79" s="21">
        <f>IFERROR(__xludf.DUMMYFUNCTION("""COMPUTED_VALUE"""),81.0)</f>
        <v>81</v>
      </c>
      <c r="K79" s="23">
        <f>IFERROR(__xludf.DUMMYFUNCTION("""COMPUTED_VALUE"""),6.8)</f>
        <v>6.8</v>
      </c>
      <c r="L79" s="24">
        <f>IFERROR(__xludf.DUMMYFUNCTION("""COMPUTED_VALUE"""),8.0)</f>
        <v>8</v>
      </c>
      <c r="M79" s="25" t="str">
        <f>IFERROR(__xludf.DUMMYFUNCTION("""COMPUTED_VALUE"""),"Fighting")</f>
        <v>Fighting</v>
      </c>
      <c r="N79" s="25"/>
      <c r="O79" s="26" t="str">
        <f>IFERROR(__xludf.DUMMYFUNCTION("""COMPUTED_VALUE"""),"No")</f>
        <v>No</v>
      </c>
      <c r="P79" s="26"/>
    </row>
    <row r="80" hidden="1">
      <c r="A80" s="13" t="str">
        <f>IFERROR(__xludf.DUMMYFUNCTION("""COMPUTED_VALUE"""),"MLB The Show 24")</f>
        <v>MLB The Show 24</v>
      </c>
      <c r="B80" s="15" t="str">
        <f>IFERROR(__xludf.DUMMYFUNCTION("""COMPUTED_VALUE"""),"PS5/PS4")</f>
        <v>PS5/PS4</v>
      </c>
      <c r="C80" s="16" t="str">
        <f>IFERROR(__xludf.DUMMYFUNCTION("""COMPUTED_VALUE"""),"Essential")</f>
        <v>Essential</v>
      </c>
      <c r="D80" s="15" t="str">
        <f>IFERROR(__xludf.DUMMYFUNCTION("""COMPUTED_VALUE"""),"Removed")</f>
        <v>Removed</v>
      </c>
      <c r="E80" s="17">
        <f>IFERROR(__xludf.DUMMYFUNCTION("""COMPUTED_VALUE"""),45538.0)</f>
        <v>45538</v>
      </c>
      <c r="F80" s="54">
        <f>IFERROR(__xludf.DUMMYFUNCTION("""COMPUTED_VALUE"""),45565.0)</f>
        <v>45565</v>
      </c>
      <c r="G80" s="19">
        <f>IFERROR(__xludf.DUMMYFUNCTION("""COMPUTED_VALUE"""),0.8999999999999999)</f>
        <v>0.9</v>
      </c>
      <c r="H80" s="17">
        <f>IFERROR(__xludf.DUMMYFUNCTION("""COMPUTED_VALUE"""),45370.0)</f>
        <v>45370</v>
      </c>
      <c r="I80" s="19">
        <f>IFERROR(__xludf.DUMMYFUNCTION("""COMPUTED_VALUE"""),0.45555555555555555)</f>
        <v>0.4555555556</v>
      </c>
      <c r="J80" s="21">
        <f>IFERROR(__xludf.DUMMYFUNCTION("""COMPUTED_VALUE"""),80.0)</f>
        <v>80</v>
      </c>
      <c r="K80" s="23">
        <f>IFERROR(__xludf.DUMMYFUNCTION("""COMPUTED_VALUE"""),4.1)</f>
        <v>4.1</v>
      </c>
      <c r="L80" s="24">
        <f>IFERROR(__xludf.DUMMYFUNCTION("""COMPUTED_VALUE"""),14.0)</f>
        <v>14</v>
      </c>
      <c r="M80" s="25" t="str">
        <f>IFERROR(__xludf.DUMMYFUNCTION("""COMPUTED_VALUE"""),"Sports")</f>
        <v>Sports</v>
      </c>
      <c r="N80" s="25"/>
      <c r="O80" s="26" t="str">
        <f>IFERROR(__xludf.DUMMYFUNCTION("""COMPUTED_VALUE"""),"No")</f>
        <v>No</v>
      </c>
      <c r="P80" s="26"/>
    </row>
    <row r="81" hidden="1">
      <c r="A81" s="13" t="str">
        <f>IFERROR(__xludf.DUMMYFUNCTION("""COMPUTED_VALUE"""),"Little Nightmares II")</f>
        <v>Little Nightmares II</v>
      </c>
      <c r="B81" s="15" t="str">
        <f>IFERROR(__xludf.DUMMYFUNCTION("""COMPUTED_VALUE"""),"PS5/PS4")</f>
        <v>PS5/PS4</v>
      </c>
      <c r="C81" s="16" t="str">
        <f>IFERROR(__xludf.DUMMYFUNCTION("""COMPUTED_VALUE"""),"Essential")</f>
        <v>Essential</v>
      </c>
      <c r="D81" s="15" t="str">
        <f>IFERROR(__xludf.DUMMYFUNCTION("""COMPUTED_VALUE"""),"Removed")</f>
        <v>Removed</v>
      </c>
      <c r="E81" s="17">
        <f>IFERROR(__xludf.DUMMYFUNCTION("""COMPUTED_VALUE"""),45538.0)</f>
        <v>45538</v>
      </c>
      <c r="F81" s="54">
        <f>IFERROR(__xludf.DUMMYFUNCTION("""COMPUTED_VALUE"""),45565.0)</f>
        <v>45565</v>
      </c>
      <c r="G81" s="19">
        <f>IFERROR(__xludf.DUMMYFUNCTION("""COMPUTED_VALUE"""),0.8999999999999999)</f>
        <v>0.9</v>
      </c>
      <c r="H81" s="17">
        <f>IFERROR(__xludf.DUMMYFUNCTION("""COMPUTED_VALUE"""),44238.0)</f>
        <v>44238</v>
      </c>
      <c r="I81" s="19">
        <f>IFERROR(__xludf.DUMMYFUNCTION("""COMPUTED_VALUE"""),3.561111111111111)</f>
        <v>3.561111111</v>
      </c>
      <c r="J81" s="21">
        <f>IFERROR(__xludf.DUMMYFUNCTION("""COMPUTED_VALUE"""),82.0)</f>
        <v>82</v>
      </c>
      <c r="K81" s="23">
        <f>IFERROR(__xludf.DUMMYFUNCTION("""COMPUTED_VALUE"""),8.5)</f>
        <v>8.5</v>
      </c>
      <c r="L81" s="24">
        <f>IFERROR(__xludf.DUMMYFUNCTION("""COMPUTED_VALUE"""),6.0)</f>
        <v>6</v>
      </c>
      <c r="M81" s="25" t="str">
        <f>IFERROR(__xludf.DUMMYFUNCTION("""COMPUTED_VALUE"""),"Action-Adventure")</f>
        <v>Action-Adventure</v>
      </c>
      <c r="N81" s="25"/>
      <c r="O81" s="26" t="str">
        <f>IFERROR(__xludf.DUMMYFUNCTION("""COMPUTED_VALUE"""),"No")</f>
        <v>No</v>
      </c>
      <c r="P81" s="26"/>
    </row>
    <row r="82" hidden="1">
      <c r="A82" s="13" t="str">
        <f>IFERROR(__xludf.DUMMYFUNCTION("""COMPUTED_VALUE"""),"Harry Potter: Quidditch Champions")</f>
        <v>Harry Potter: Quidditch Champions</v>
      </c>
      <c r="B82" s="15" t="str">
        <f>IFERROR(__xludf.DUMMYFUNCTION("""COMPUTED_VALUE"""),"PS5/PS4")</f>
        <v>PS5/PS4</v>
      </c>
      <c r="C82" s="16" t="str">
        <f>IFERROR(__xludf.DUMMYFUNCTION("""COMPUTED_VALUE"""),"Essential")</f>
        <v>Essential</v>
      </c>
      <c r="D82" s="15" t="str">
        <f>IFERROR(__xludf.DUMMYFUNCTION("""COMPUTED_VALUE"""),"Removed")</f>
        <v>Removed</v>
      </c>
      <c r="E82" s="17">
        <f>IFERROR(__xludf.DUMMYFUNCTION("""COMPUTED_VALUE"""),45538.0)</f>
        <v>45538</v>
      </c>
      <c r="F82" s="54">
        <f>IFERROR(__xludf.DUMMYFUNCTION("""COMPUTED_VALUE"""),45565.0)</f>
        <v>45565</v>
      </c>
      <c r="G82" s="19">
        <f>IFERROR(__xludf.DUMMYFUNCTION("""COMPUTED_VALUE"""),0.8999999999999999)</f>
        <v>0.9</v>
      </c>
      <c r="H82" s="17">
        <f>IFERROR(__xludf.DUMMYFUNCTION("""COMPUTED_VALUE"""),45538.0)</f>
        <v>45538</v>
      </c>
      <c r="I82" s="19">
        <f>IFERROR(__xludf.DUMMYFUNCTION("""COMPUTED_VALUE"""),0.0)</f>
        <v>0</v>
      </c>
      <c r="J82" s="21">
        <f>IFERROR(__xludf.DUMMYFUNCTION("""COMPUTED_VALUE"""),68.0)</f>
        <v>68</v>
      </c>
      <c r="K82" s="23">
        <f>IFERROR(__xludf.DUMMYFUNCTION("""COMPUTED_VALUE"""),6.8)</f>
        <v>6.8</v>
      </c>
      <c r="L82" s="24"/>
      <c r="M82" s="25" t="str">
        <f>IFERROR(__xludf.DUMMYFUNCTION("""COMPUTED_VALUE"""),"Sports")</f>
        <v>Sports</v>
      </c>
      <c r="N82" s="25"/>
      <c r="O82" s="26" t="str">
        <f>IFERROR(__xludf.DUMMYFUNCTION("""COMPUTED_VALUE"""),"No")</f>
        <v>No</v>
      </c>
      <c r="P82" s="26"/>
    </row>
    <row r="83" hidden="1">
      <c r="A83" s="13" t="str">
        <f>IFERROR(__xludf.DUMMYFUNCTION("""COMPUTED_VALUE"""),"LEGO Star Wars: The Skywalker Saga")</f>
        <v>LEGO Star Wars: The Skywalker Saga</v>
      </c>
      <c r="B83" s="15" t="str">
        <f>IFERROR(__xludf.DUMMYFUNCTION("""COMPUTED_VALUE"""),"PS5/PS4")</f>
        <v>PS5/PS4</v>
      </c>
      <c r="C83" s="16" t="str">
        <f>IFERROR(__xludf.DUMMYFUNCTION("""COMPUTED_VALUE"""),"Essential")</f>
        <v>Essential</v>
      </c>
      <c r="D83" s="15" t="str">
        <f>IFERROR(__xludf.DUMMYFUNCTION("""COMPUTED_VALUE"""),"Removed")</f>
        <v>Removed</v>
      </c>
      <c r="E83" s="17">
        <f>IFERROR(__xludf.DUMMYFUNCTION("""COMPUTED_VALUE"""),45510.0)</f>
        <v>45510</v>
      </c>
      <c r="F83" s="54">
        <f>IFERROR(__xludf.DUMMYFUNCTION("""COMPUTED_VALUE"""),45537.0)</f>
        <v>45537</v>
      </c>
      <c r="G83" s="19">
        <f>IFERROR(__xludf.DUMMYFUNCTION("""COMPUTED_VALUE"""),0.8666666666666666)</f>
        <v>0.8666666667</v>
      </c>
      <c r="H83" s="17">
        <f>IFERROR(__xludf.DUMMYFUNCTION("""COMPUTED_VALUE"""),44656.0)</f>
        <v>44656</v>
      </c>
      <c r="I83" s="19">
        <f>IFERROR(__xludf.DUMMYFUNCTION("""COMPUTED_VALUE"""),2.3361111111111112)</f>
        <v>2.336111111</v>
      </c>
      <c r="J83" s="21">
        <f>IFERROR(__xludf.DUMMYFUNCTION("""COMPUTED_VALUE"""),82.0)</f>
        <v>82</v>
      </c>
      <c r="K83" s="23">
        <f>IFERROR(__xludf.DUMMYFUNCTION("""COMPUTED_VALUE"""),7.9)</f>
        <v>7.9</v>
      </c>
      <c r="L83" s="24">
        <f>IFERROR(__xludf.DUMMYFUNCTION("""COMPUTED_VALUE"""),17.0)</f>
        <v>17</v>
      </c>
      <c r="M83" s="25" t="str">
        <f>IFERROR(__xludf.DUMMYFUNCTION("""COMPUTED_VALUE"""),"Action-Adventure")</f>
        <v>Action-Adventure</v>
      </c>
      <c r="N83" s="25"/>
      <c r="O83" s="26" t="str">
        <f>IFERROR(__xludf.DUMMYFUNCTION("""COMPUTED_VALUE"""),"No")</f>
        <v>No</v>
      </c>
      <c r="P83" s="26"/>
    </row>
    <row r="84" hidden="1">
      <c r="A84" s="13" t="str">
        <f>IFERROR(__xludf.DUMMYFUNCTION("""COMPUTED_VALUE"""),"Five Nights at Freddy's: Security Breach")</f>
        <v>Five Nights at Freddy's: Security Breach</v>
      </c>
      <c r="B84" s="15" t="str">
        <f>IFERROR(__xludf.DUMMYFUNCTION("""COMPUTED_VALUE"""),"PS5/PS4")</f>
        <v>PS5/PS4</v>
      </c>
      <c r="C84" s="16" t="str">
        <f>IFERROR(__xludf.DUMMYFUNCTION("""COMPUTED_VALUE"""),"Essential")</f>
        <v>Essential</v>
      </c>
      <c r="D84" s="15" t="str">
        <f>IFERROR(__xludf.DUMMYFUNCTION("""COMPUTED_VALUE"""),"Removed")</f>
        <v>Removed</v>
      </c>
      <c r="E84" s="17">
        <f>IFERROR(__xludf.DUMMYFUNCTION("""COMPUTED_VALUE"""),45510.0)</f>
        <v>45510</v>
      </c>
      <c r="F84" s="54">
        <f>IFERROR(__xludf.DUMMYFUNCTION("""COMPUTED_VALUE"""),45537.0)</f>
        <v>45537</v>
      </c>
      <c r="G84" s="19">
        <f>IFERROR(__xludf.DUMMYFUNCTION("""COMPUTED_VALUE"""),0.8666666666666666)</f>
        <v>0.8666666667</v>
      </c>
      <c r="H84" s="17">
        <f>IFERROR(__xludf.DUMMYFUNCTION("""COMPUTED_VALUE"""),44546.0)</f>
        <v>44546</v>
      </c>
      <c r="I84" s="19">
        <f>IFERROR(__xludf.DUMMYFUNCTION("""COMPUTED_VALUE"""),2.638888888888889)</f>
        <v>2.638888889</v>
      </c>
      <c r="J84" s="21">
        <f>IFERROR(__xludf.DUMMYFUNCTION("""COMPUTED_VALUE"""),64.0)</f>
        <v>64</v>
      </c>
      <c r="K84" s="23">
        <f>IFERROR(__xludf.DUMMYFUNCTION("""COMPUTED_VALUE"""),5.8)</f>
        <v>5.8</v>
      </c>
      <c r="L84" s="24">
        <f>IFERROR(__xludf.DUMMYFUNCTION("""COMPUTED_VALUE"""),10.0)</f>
        <v>10</v>
      </c>
      <c r="M84" s="25" t="str">
        <f>IFERROR(__xludf.DUMMYFUNCTION("""COMPUTED_VALUE"""),"Survival")</f>
        <v>Survival</v>
      </c>
      <c r="N84" s="25"/>
      <c r="O84" s="26" t="str">
        <f>IFERROR(__xludf.DUMMYFUNCTION("""COMPUTED_VALUE"""),"No")</f>
        <v>No</v>
      </c>
      <c r="P84" s="26"/>
    </row>
    <row r="85" hidden="1">
      <c r="A85" s="13" t="str">
        <f>IFERROR(__xludf.DUMMYFUNCTION("""COMPUTED_VALUE"""),"ENDER LILIES: Quietus of the Knights")</f>
        <v>ENDER LILIES: Quietus of the Knights</v>
      </c>
      <c r="B85" s="15" t="str">
        <f>IFERROR(__xludf.DUMMYFUNCTION("""COMPUTED_VALUE"""),"PS4")</f>
        <v>PS4</v>
      </c>
      <c r="C85" s="16" t="str">
        <f>IFERROR(__xludf.DUMMYFUNCTION("""COMPUTED_VALUE"""),"Essential")</f>
        <v>Essential</v>
      </c>
      <c r="D85" s="15" t="str">
        <f>IFERROR(__xludf.DUMMYFUNCTION("""COMPUTED_VALUE"""),"Removed")</f>
        <v>Removed</v>
      </c>
      <c r="E85" s="17">
        <f>IFERROR(__xludf.DUMMYFUNCTION("""COMPUTED_VALUE"""),45510.0)</f>
        <v>45510</v>
      </c>
      <c r="F85" s="54">
        <f>IFERROR(__xludf.DUMMYFUNCTION("""COMPUTED_VALUE"""),45537.0)</f>
        <v>45537</v>
      </c>
      <c r="G85" s="19">
        <f>IFERROR(__xludf.DUMMYFUNCTION("""COMPUTED_VALUE"""),0.8666666666666666)</f>
        <v>0.8666666667</v>
      </c>
      <c r="H85" s="17">
        <f>IFERROR(__xludf.DUMMYFUNCTION("""COMPUTED_VALUE"""),44369.0)</f>
        <v>44369</v>
      </c>
      <c r="I85" s="19">
        <f>IFERROR(__xludf.DUMMYFUNCTION("""COMPUTED_VALUE"""),3.1222222222222222)</f>
        <v>3.122222222</v>
      </c>
      <c r="J85" s="21">
        <f>IFERROR(__xludf.DUMMYFUNCTION("""COMPUTED_VALUE"""),86.0)</f>
        <v>86</v>
      </c>
      <c r="K85" s="23">
        <f>IFERROR(__xludf.DUMMYFUNCTION("""COMPUTED_VALUE"""),8.4)</f>
        <v>8.4</v>
      </c>
      <c r="L85" s="24">
        <f>IFERROR(__xludf.DUMMYFUNCTION("""COMPUTED_VALUE"""),13.0)</f>
        <v>13</v>
      </c>
      <c r="M85" s="25" t="str">
        <f>IFERROR(__xludf.DUMMYFUNCTION("""COMPUTED_VALUE"""),"Metroidvania")</f>
        <v>Metroidvania</v>
      </c>
      <c r="N85" s="25"/>
      <c r="O85" s="26" t="str">
        <f>IFERROR(__xludf.DUMMYFUNCTION("""COMPUTED_VALUE"""),"No")</f>
        <v>No</v>
      </c>
      <c r="P85" s="26"/>
    </row>
    <row r="86" hidden="1">
      <c r="A86" s="13" t="str">
        <f>IFERROR(__xludf.DUMMYFUNCTION("""COMPUTED_VALUE"""),"Among Us")</f>
        <v>Among Us</v>
      </c>
      <c r="B86" s="15" t="str">
        <f>IFERROR(__xludf.DUMMYFUNCTION("""COMPUTED_VALUE"""),"PS5/PS4")</f>
        <v>PS5/PS4</v>
      </c>
      <c r="C86" s="16" t="str">
        <f>IFERROR(__xludf.DUMMYFUNCTION("""COMPUTED_VALUE"""),"Essential")</f>
        <v>Essential</v>
      </c>
      <c r="D86" s="15" t="str">
        <f>IFERROR(__xludf.DUMMYFUNCTION("""COMPUTED_VALUE"""),"Removed")</f>
        <v>Removed</v>
      </c>
      <c r="E86" s="17">
        <f>IFERROR(__xludf.DUMMYFUNCTION("""COMPUTED_VALUE"""),45475.0)</f>
        <v>45475</v>
      </c>
      <c r="F86" s="54">
        <f>IFERROR(__xludf.DUMMYFUNCTION("""COMPUTED_VALUE"""),45509.0)</f>
        <v>45509</v>
      </c>
      <c r="G86" s="19">
        <f>IFERROR(__xludf.DUMMYFUNCTION("""COMPUTED_VALUE"""),1.0999999999999999)</f>
        <v>1.1</v>
      </c>
      <c r="H86" s="17">
        <f>IFERROR(__xludf.DUMMYFUNCTION("""COMPUTED_VALUE"""),43420.0)</f>
        <v>43420</v>
      </c>
      <c r="I86" s="19">
        <f>IFERROR(__xludf.DUMMYFUNCTION("""COMPUTED_VALUE"""),5.627777777777778)</f>
        <v>5.627777778</v>
      </c>
      <c r="J86" s="21">
        <f>IFERROR(__xludf.DUMMYFUNCTION("""COMPUTED_VALUE"""),85.0)</f>
        <v>85</v>
      </c>
      <c r="K86" s="23">
        <f>IFERROR(__xludf.DUMMYFUNCTION("""COMPUTED_VALUE"""),6.8)</f>
        <v>6.8</v>
      </c>
      <c r="L86" s="24">
        <f>IFERROR(__xludf.DUMMYFUNCTION("""COMPUTED_VALUE"""),19.0)</f>
        <v>19</v>
      </c>
      <c r="M86" s="25" t="str">
        <f>IFERROR(__xludf.DUMMYFUNCTION("""COMPUTED_VALUE"""),"Survival")</f>
        <v>Survival</v>
      </c>
      <c r="N86" s="25"/>
      <c r="O86" s="26" t="str">
        <f>IFERROR(__xludf.DUMMYFUNCTION("""COMPUTED_VALUE"""),"No")</f>
        <v>No</v>
      </c>
      <c r="P86" s="26"/>
    </row>
    <row r="87" hidden="1">
      <c r="A87" s="13" t="str">
        <f>IFERROR(__xludf.DUMMYFUNCTION("""COMPUTED_VALUE"""),"Borderlands 3")</f>
        <v>Borderlands 3</v>
      </c>
      <c r="B87" s="15" t="str">
        <f>IFERROR(__xludf.DUMMYFUNCTION("""COMPUTED_VALUE"""),"PS5/PS4")</f>
        <v>PS5/PS4</v>
      </c>
      <c r="C87" s="16" t="str">
        <f>IFERROR(__xludf.DUMMYFUNCTION("""COMPUTED_VALUE"""),"Essential")</f>
        <v>Essential</v>
      </c>
      <c r="D87" s="15" t="str">
        <f>IFERROR(__xludf.DUMMYFUNCTION("""COMPUTED_VALUE"""),"Removed")</f>
        <v>Removed</v>
      </c>
      <c r="E87" s="17">
        <f>IFERROR(__xludf.DUMMYFUNCTION("""COMPUTED_VALUE"""),45475.0)</f>
        <v>45475</v>
      </c>
      <c r="F87" s="54">
        <f>IFERROR(__xludf.DUMMYFUNCTION("""COMPUTED_VALUE"""),45509.0)</f>
        <v>45509</v>
      </c>
      <c r="G87" s="19">
        <f>IFERROR(__xludf.DUMMYFUNCTION("""COMPUTED_VALUE"""),1.0999999999999999)</f>
        <v>1.1</v>
      </c>
      <c r="H87" s="17">
        <f>IFERROR(__xludf.DUMMYFUNCTION("""COMPUTED_VALUE"""),43721.0)</f>
        <v>43721</v>
      </c>
      <c r="I87" s="19">
        <f>IFERROR(__xludf.DUMMYFUNCTION("""COMPUTED_VALUE"""),4.802777777777778)</f>
        <v>4.802777778</v>
      </c>
      <c r="J87" s="21">
        <f>IFERROR(__xludf.DUMMYFUNCTION("""COMPUTED_VALUE"""),81.0)</f>
        <v>81</v>
      </c>
      <c r="K87" s="23">
        <f>IFERROR(__xludf.DUMMYFUNCTION("""COMPUTED_VALUE"""),5.6)</f>
        <v>5.6</v>
      </c>
      <c r="L87" s="24">
        <f>IFERROR(__xludf.DUMMYFUNCTION("""COMPUTED_VALUE"""),23.0)</f>
        <v>23</v>
      </c>
      <c r="M87" s="25" t="str">
        <f>IFERROR(__xludf.DUMMYFUNCTION("""COMPUTED_VALUE"""),"Shooter")</f>
        <v>Shooter</v>
      </c>
      <c r="N87" s="25"/>
      <c r="O87" s="26" t="str">
        <f>IFERROR(__xludf.DUMMYFUNCTION("""COMPUTED_VALUE"""),"No")</f>
        <v>No</v>
      </c>
      <c r="P87" s="26"/>
    </row>
    <row r="88" hidden="1">
      <c r="A88" s="13" t="str">
        <f>IFERROR(__xludf.DUMMYFUNCTION("""COMPUTED_VALUE"""),"NHL 24")</f>
        <v>NHL 24</v>
      </c>
      <c r="B88" s="15" t="str">
        <f>IFERROR(__xludf.DUMMYFUNCTION("""COMPUTED_VALUE"""),"PS5/PS4")</f>
        <v>PS5/PS4</v>
      </c>
      <c r="C88" s="16" t="str">
        <f>IFERROR(__xludf.DUMMYFUNCTION("""COMPUTED_VALUE"""),"Essential")</f>
        <v>Essential</v>
      </c>
      <c r="D88" s="15" t="str">
        <f>IFERROR(__xludf.DUMMYFUNCTION("""COMPUTED_VALUE"""),"Removed")</f>
        <v>Removed</v>
      </c>
      <c r="E88" s="17">
        <f>IFERROR(__xludf.DUMMYFUNCTION("""COMPUTED_VALUE"""),45475.0)</f>
        <v>45475</v>
      </c>
      <c r="F88" s="54">
        <f>IFERROR(__xludf.DUMMYFUNCTION("""COMPUTED_VALUE"""),45509.0)</f>
        <v>45509</v>
      </c>
      <c r="G88" s="19">
        <f>IFERROR(__xludf.DUMMYFUNCTION("""COMPUTED_VALUE"""),1.0999999999999999)</f>
        <v>1.1</v>
      </c>
      <c r="H88" s="17">
        <f>IFERROR(__xludf.DUMMYFUNCTION("""COMPUTED_VALUE"""),45205.0)</f>
        <v>45205</v>
      </c>
      <c r="I88" s="19">
        <f>IFERROR(__xludf.DUMMYFUNCTION("""COMPUTED_VALUE"""),0.7388888888888889)</f>
        <v>0.7388888889</v>
      </c>
      <c r="J88" s="21">
        <f>IFERROR(__xludf.DUMMYFUNCTION("""COMPUTED_VALUE"""),71.0)</f>
        <v>71</v>
      </c>
      <c r="K88" s="23">
        <f>IFERROR(__xludf.DUMMYFUNCTION("""COMPUTED_VALUE"""),3.5)</f>
        <v>3.5</v>
      </c>
      <c r="L88" s="24">
        <f>IFERROR(__xludf.DUMMYFUNCTION("""COMPUTED_VALUE"""),9.0)</f>
        <v>9</v>
      </c>
      <c r="M88" s="25" t="str">
        <f>IFERROR(__xludf.DUMMYFUNCTION("""COMPUTED_VALUE"""),"Sports")</f>
        <v>Sports</v>
      </c>
      <c r="N88" s="25"/>
      <c r="O88" s="26" t="str">
        <f>IFERROR(__xludf.DUMMYFUNCTION("""COMPUTED_VALUE"""),"No")</f>
        <v>No</v>
      </c>
      <c r="P88" s="26"/>
    </row>
    <row r="89" hidden="1">
      <c r="A89" s="13" t="str">
        <f>IFERROR(__xludf.DUMMYFUNCTION("""COMPUTED_VALUE"""),"SpongeBob Squarepants: The Cosmic Shake")</f>
        <v>SpongeBob Squarepants: The Cosmic Shake</v>
      </c>
      <c r="B89" s="15" t="str">
        <f>IFERROR(__xludf.DUMMYFUNCTION("""COMPUTED_VALUE"""),"PS4")</f>
        <v>PS4</v>
      </c>
      <c r="C89" s="16" t="str">
        <f>IFERROR(__xludf.DUMMYFUNCTION("""COMPUTED_VALUE"""),"Essential")</f>
        <v>Essential</v>
      </c>
      <c r="D89" s="15" t="str">
        <f>IFERROR(__xludf.DUMMYFUNCTION("""COMPUTED_VALUE"""),"Removed")</f>
        <v>Removed</v>
      </c>
      <c r="E89" s="17">
        <f>IFERROR(__xludf.DUMMYFUNCTION("""COMPUTED_VALUE"""),45447.0)</f>
        <v>45447</v>
      </c>
      <c r="F89" s="54">
        <f>IFERROR(__xludf.DUMMYFUNCTION("""COMPUTED_VALUE"""),45474.0)</f>
        <v>45474</v>
      </c>
      <c r="G89" s="19">
        <f>IFERROR(__xludf.DUMMYFUNCTION("""COMPUTED_VALUE"""),0.8999999999999999)</f>
        <v>0.9</v>
      </c>
      <c r="H89" s="17">
        <f>IFERROR(__xludf.DUMMYFUNCTION("""COMPUTED_VALUE"""),44957.0)</f>
        <v>44957</v>
      </c>
      <c r="I89" s="19">
        <f>IFERROR(__xludf.DUMMYFUNCTION("""COMPUTED_VALUE"""),1.3444444444444446)</f>
        <v>1.344444444</v>
      </c>
      <c r="J89" s="21">
        <f>IFERROR(__xludf.DUMMYFUNCTION("""COMPUTED_VALUE"""),70.0)</f>
        <v>70</v>
      </c>
      <c r="K89" s="23">
        <f>IFERROR(__xludf.DUMMYFUNCTION("""COMPUTED_VALUE"""),8.3)</f>
        <v>8.3</v>
      </c>
      <c r="L89" s="24">
        <f>IFERROR(__xludf.DUMMYFUNCTION("""COMPUTED_VALUE"""),7.0)</f>
        <v>7</v>
      </c>
      <c r="M89" s="25" t="str">
        <f>IFERROR(__xludf.DUMMYFUNCTION("""COMPUTED_VALUE"""),"Platformer")</f>
        <v>Platformer</v>
      </c>
      <c r="N89" s="25"/>
      <c r="O89" s="26" t="str">
        <f>IFERROR(__xludf.DUMMYFUNCTION("""COMPUTED_VALUE"""),"No")</f>
        <v>No</v>
      </c>
      <c r="P89" s="26"/>
    </row>
    <row r="90" hidden="1">
      <c r="A90" s="13" t="str">
        <f>IFERROR(__xludf.DUMMYFUNCTION("""COMPUTED_VALUE"""),"AEW: Fight Forever")</f>
        <v>AEW: Fight Forever</v>
      </c>
      <c r="B90" s="15" t="str">
        <f>IFERROR(__xludf.DUMMYFUNCTION("""COMPUTED_VALUE"""),"PS4")</f>
        <v>PS4</v>
      </c>
      <c r="C90" s="16" t="str">
        <f>IFERROR(__xludf.DUMMYFUNCTION("""COMPUTED_VALUE"""),"Essential")</f>
        <v>Essential</v>
      </c>
      <c r="D90" s="15" t="str">
        <f>IFERROR(__xludf.DUMMYFUNCTION("""COMPUTED_VALUE"""),"Removed")</f>
        <v>Removed</v>
      </c>
      <c r="E90" s="17">
        <f>IFERROR(__xludf.DUMMYFUNCTION("""COMPUTED_VALUE"""),45447.0)</f>
        <v>45447</v>
      </c>
      <c r="F90" s="54">
        <f>IFERROR(__xludf.DUMMYFUNCTION("""COMPUTED_VALUE"""),45474.0)</f>
        <v>45474</v>
      </c>
      <c r="G90" s="19">
        <f>IFERROR(__xludf.DUMMYFUNCTION("""COMPUTED_VALUE"""),0.8999999999999999)</f>
        <v>0.9</v>
      </c>
      <c r="H90" s="17">
        <f>IFERROR(__xludf.DUMMYFUNCTION("""COMPUTED_VALUE"""),45106.0)</f>
        <v>45106</v>
      </c>
      <c r="I90" s="19">
        <f>IFERROR(__xludf.DUMMYFUNCTION("""COMPUTED_VALUE"""),0.9305555555555556)</f>
        <v>0.9305555556</v>
      </c>
      <c r="J90" s="21">
        <f>IFERROR(__xludf.DUMMYFUNCTION("""COMPUTED_VALUE"""),64.0)</f>
        <v>64</v>
      </c>
      <c r="K90" s="23">
        <f>IFERROR(__xludf.DUMMYFUNCTION("""COMPUTED_VALUE"""),5.6)</f>
        <v>5.6</v>
      </c>
      <c r="L90" s="24">
        <f>IFERROR(__xludf.DUMMYFUNCTION("""COMPUTED_VALUE"""),4.0)</f>
        <v>4</v>
      </c>
      <c r="M90" s="25" t="str">
        <f>IFERROR(__xludf.DUMMYFUNCTION("""COMPUTED_VALUE"""),"Fighting")</f>
        <v>Fighting</v>
      </c>
      <c r="N90" s="25"/>
      <c r="O90" s="26" t="str">
        <f>IFERROR(__xludf.DUMMYFUNCTION("""COMPUTED_VALUE"""),"No")</f>
        <v>No</v>
      </c>
      <c r="P90" s="26"/>
    </row>
    <row r="91" hidden="1">
      <c r="A91" s="13" t="str">
        <f>IFERROR(__xludf.DUMMYFUNCTION("""COMPUTED_VALUE"""),"Streets of Rage 4")</f>
        <v>Streets of Rage 4</v>
      </c>
      <c r="B91" s="15" t="str">
        <f>IFERROR(__xludf.DUMMYFUNCTION("""COMPUTED_VALUE"""),"PS4")</f>
        <v>PS4</v>
      </c>
      <c r="C91" s="16" t="str">
        <f>IFERROR(__xludf.DUMMYFUNCTION("""COMPUTED_VALUE"""),"Essential")</f>
        <v>Essential</v>
      </c>
      <c r="D91" s="15" t="str">
        <f>IFERROR(__xludf.DUMMYFUNCTION("""COMPUTED_VALUE"""),"Removed")</f>
        <v>Removed</v>
      </c>
      <c r="E91" s="17">
        <f>IFERROR(__xludf.DUMMYFUNCTION("""COMPUTED_VALUE"""),45447.0)</f>
        <v>45447</v>
      </c>
      <c r="F91" s="54">
        <f>IFERROR(__xludf.DUMMYFUNCTION("""COMPUTED_VALUE"""),45474.0)</f>
        <v>45474</v>
      </c>
      <c r="G91" s="19">
        <f>IFERROR(__xludf.DUMMYFUNCTION("""COMPUTED_VALUE"""),0.8999999999999999)</f>
        <v>0.9</v>
      </c>
      <c r="H91" s="17">
        <f>IFERROR(__xludf.DUMMYFUNCTION("""COMPUTED_VALUE"""),43951.0)</f>
        <v>43951</v>
      </c>
      <c r="I91" s="19">
        <f>IFERROR(__xludf.DUMMYFUNCTION("""COMPUTED_VALUE"""),4.094444444444444)</f>
        <v>4.094444444</v>
      </c>
      <c r="J91" s="21">
        <f>IFERROR(__xludf.DUMMYFUNCTION("""COMPUTED_VALUE"""),84.0)</f>
        <v>84</v>
      </c>
      <c r="K91" s="23">
        <f>IFERROR(__xludf.DUMMYFUNCTION("""COMPUTED_VALUE"""),8.2)</f>
        <v>8.2</v>
      </c>
      <c r="L91" s="24">
        <f>IFERROR(__xludf.DUMMYFUNCTION("""COMPUTED_VALUE"""),3.0)</f>
        <v>3</v>
      </c>
      <c r="M91" s="25" t="str">
        <f>IFERROR(__xludf.DUMMYFUNCTION("""COMPUTED_VALUE"""),"Action-Adventure")</f>
        <v>Action-Adventure</v>
      </c>
      <c r="N91" s="25"/>
      <c r="O91" s="26" t="str">
        <f>IFERROR(__xludf.DUMMYFUNCTION("""COMPUTED_VALUE"""),"No")</f>
        <v>No</v>
      </c>
      <c r="P91" s="26"/>
    </row>
    <row r="92" hidden="1">
      <c r="A92" s="13" t="str">
        <f>IFERROR(__xludf.DUMMYFUNCTION("""COMPUTED_VALUE"""),"EA Sports FC 24")</f>
        <v>EA Sports FC 24</v>
      </c>
      <c r="B92" s="15" t="str">
        <f>IFERROR(__xludf.DUMMYFUNCTION("""COMPUTED_VALUE"""),"PS5/PS4")</f>
        <v>PS5/PS4</v>
      </c>
      <c r="C92" s="16" t="str">
        <f>IFERROR(__xludf.DUMMYFUNCTION("""COMPUTED_VALUE"""),"Essential")</f>
        <v>Essential</v>
      </c>
      <c r="D92" s="15" t="str">
        <f>IFERROR(__xludf.DUMMYFUNCTION("""COMPUTED_VALUE"""),"Removed")</f>
        <v>Removed</v>
      </c>
      <c r="E92" s="17">
        <f>IFERROR(__xludf.DUMMYFUNCTION("""COMPUTED_VALUE"""),45419.0)</f>
        <v>45419</v>
      </c>
      <c r="F92" s="54">
        <f>IFERROR(__xludf.DUMMYFUNCTION("""COMPUTED_VALUE"""),45461.0)</f>
        <v>45461</v>
      </c>
      <c r="G92" s="19">
        <f>IFERROR(__xludf.DUMMYFUNCTION("""COMPUTED_VALUE"""),1.3666666666666667)</f>
        <v>1.366666667</v>
      </c>
      <c r="H92" s="17">
        <f>IFERROR(__xludf.DUMMYFUNCTION("""COMPUTED_VALUE"""),45198.0)</f>
        <v>45198</v>
      </c>
      <c r="I92" s="19">
        <f>IFERROR(__xludf.DUMMYFUNCTION("""COMPUTED_VALUE"""),0.6055555555555555)</f>
        <v>0.6055555556</v>
      </c>
      <c r="J92" s="21">
        <f>IFERROR(__xludf.DUMMYFUNCTION("""COMPUTED_VALUE"""),75.0)</f>
        <v>75</v>
      </c>
      <c r="K92" s="23">
        <f>IFERROR(__xludf.DUMMYFUNCTION("""COMPUTED_VALUE"""),2.3)</f>
        <v>2.3</v>
      </c>
      <c r="L92" s="24">
        <f>IFERROR(__xludf.DUMMYFUNCTION("""COMPUTED_VALUE"""),36.0)</f>
        <v>36</v>
      </c>
      <c r="M92" s="25" t="str">
        <f>IFERROR(__xludf.DUMMYFUNCTION("""COMPUTED_VALUE"""),"Sports")</f>
        <v>Sports</v>
      </c>
      <c r="N92" s="25"/>
      <c r="O92" s="26" t="str">
        <f>IFERROR(__xludf.DUMMYFUNCTION("""COMPUTED_VALUE"""),"No")</f>
        <v>No</v>
      </c>
      <c r="P92" s="26"/>
    </row>
    <row r="93" hidden="1">
      <c r="A93" s="13" t="str">
        <f>IFERROR(__xludf.DUMMYFUNCTION("""COMPUTED_VALUE"""),"Ghostrunner 2")</f>
        <v>Ghostrunner 2</v>
      </c>
      <c r="B93" s="15" t="str">
        <f>IFERROR(__xludf.DUMMYFUNCTION("""COMPUTED_VALUE"""),"PS5")</f>
        <v>PS5</v>
      </c>
      <c r="C93" s="16" t="str">
        <f>IFERROR(__xludf.DUMMYFUNCTION("""COMPUTED_VALUE"""),"Essential")</f>
        <v>Essential</v>
      </c>
      <c r="D93" s="15" t="str">
        <f>IFERROR(__xludf.DUMMYFUNCTION("""COMPUTED_VALUE"""),"Removed")</f>
        <v>Removed</v>
      </c>
      <c r="E93" s="17">
        <f>IFERROR(__xludf.DUMMYFUNCTION("""COMPUTED_VALUE"""),45419.0)</f>
        <v>45419</v>
      </c>
      <c r="F93" s="18">
        <f>IFERROR(__xludf.DUMMYFUNCTION("""COMPUTED_VALUE"""),45446.0)</f>
        <v>45446</v>
      </c>
      <c r="G93" s="19">
        <f>IFERROR(__xludf.DUMMYFUNCTION("""COMPUTED_VALUE"""),0.8666666666666666)</f>
        <v>0.8666666667</v>
      </c>
      <c r="H93" s="17">
        <f>IFERROR(__xludf.DUMMYFUNCTION("""COMPUTED_VALUE"""),45225.0)</f>
        <v>45225</v>
      </c>
      <c r="I93" s="19">
        <f>IFERROR(__xludf.DUMMYFUNCTION("""COMPUTED_VALUE"""),0.5305555555555556)</f>
        <v>0.5305555556</v>
      </c>
      <c r="J93" s="21">
        <f>IFERROR(__xludf.DUMMYFUNCTION("""COMPUTED_VALUE"""),80.0)</f>
        <v>80</v>
      </c>
      <c r="K93" s="23">
        <f>IFERROR(__xludf.DUMMYFUNCTION("""COMPUTED_VALUE"""),7.9)</f>
        <v>7.9</v>
      </c>
      <c r="L93" s="17">
        <f>IFERROR(__xludf.DUMMYFUNCTION("""COMPUTED_VALUE"""),8.0)</f>
        <v>8</v>
      </c>
      <c r="M93" s="25" t="str">
        <f>IFERROR(__xludf.DUMMYFUNCTION("""COMPUTED_VALUE"""),"Platformer")</f>
        <v>Platformer</v>
      </c>
      <c r="N93" s="25"/>
      <c r="O93" s="26" t="str">
        <f>IFERROR(__xludf.DUMMYFUNCTION("""COMPUTED_VALUE"""),"No")</f>
        <v>No</v>
      </c>
      <c r="P93" s="26"/>
    </row>
    <row r="94" hidden="1">
      <c r="A94" s="13" t="str">
        <f>IFERROR(__xludf.DUMMYFUNCTION("""COMPUTED_VALUE"""),"Destiny 2: Lightfall")</f>
        <v>Destiny 2: Lightfall</v>
      </c>
      <c r="B94" s="15" t="str">
        <f>IFERROR(__xludf.DUMMYFUNCTION("""COMPUTED_VALUE"""),"PS5/PS4")</f>
        <v>PS5/PS4</v>
      </c>
      <c r="C94" s="16" t="str">
        <f>IFERROR(__xludf.DUMMYFUNCTION("""COMPUTED_VALUE"""),"Essential")</f>
        <v>Essential</v>
      </c>
      <c r="D94" s="15" t="str">
        <f>IFERROR(__xludf.DUMMYFUNCTION("""COMPUTED_VALUE"""),"Removed")</f>
        <v>Removed</v>
      </c>
      <c r="E94" s="17">
        <f>IFERROR(__xludf.DUMMYFUNCTION("""COMPUTED_VALUE"""),45419.0)</f>
        <v>45419</v>
      </c>
      <c r="F94" s="18">
        <f>IFERROR(__xludf.DUMMYFUNCTION("""COMPUTED_VALUE"""),45446.0)</f>
        <v>45446</v>
      </c>
      <c r="G94" s="19">
        <f>IFERROR(__xludf.DUMMYFUNCTION("""COMPUTED_VALUE"""),0.8666666666666666)</f>
        <v>0.8666666667</v>
      </c>
      <c r="H94" s="17">
        <f>IFERROR(__xludf.DUMMYFUNCTION("""COMPUTED_VALUE"""),44985.0)</f>
        <v>44985</v>
      </c>
      <c r="I94" s="19">
        <f>IFERROR(__xludf.DUMMYFUNCTION("""COMPUTED_VALUE"""),1.1916666666666667)</f>
        <v>1.191666667</v>
      </c>
      <c r="J94" s="21">
        <f>IFERROR(__xludf.DUMMYFUNCTION("""COMPUTED_VALUE"""),69.0)</f>
        <v>69</v>
      </c>
      <c r="K94" s="23">
        <f>IFERROR(__xludf.DUMMYFUNCTION("""COMPUTED_VALUE"""),3.2)</f>
        <v>3.2</v>
      </c>
      <c r="L94" s="24">
        <f>IFERROR(__xludf.DUMMYFUNCTION("""COMPUTED_VALUE"""),8.0)</f>
        <v>8</v>
      </c>
      <c r="M94" s="25" t="str">
        <f>IFERROR(__xludf.DUMMYFUNCTION("""COMPUTED_VALUE"""),"Shooter")</f>
        <v>Shooter</v>
      </c>
      <c r="N94" s="25"/>
      <c r="O94" s="26" t="str">
        <f>IFERROR(__xludf.DUMMYFUNCTION("""COMPUTED_VALUE"""),"No")</f>
        <v>No</v>
      </c>
      <c r="P94" s="26"/>
    </row>
    <row r="95" hidden="1">
      <c r="A95" s="13" t="str">
        <f>IFERROR(__xludf.DUMMYFUNCTION("""COMPUTED_VALUE"""),"Tunic")</f>
        <v>Tunic</v>
      </c>
      <c r="B95" s="15" t="str">
        <f>IFERROR(__xludf.DUMMYFUNCTION("""COMPUTED_VALUE"""),"PS5/PS4")</f>
        <v>PS5/PS4</v>
      </c>
      <c r="C95" s="16" t="str">
        <f>IFERROR(__xludf.DUMMYFUNCTION("""COMPUTED_VALUE"""),"Essential")</f>
        <v>Essential</v>
      </c>
      <c r="D95" s="15" t="str">
        <f>IFERROR(__xludf.DUMMYFUNCTION("""COMPUTED_VALUE"""),"Removed")</f>
        <v>Removed</v>
      </c>
      <c r="E95" s="17">
        <f>IFERROR(__xludf.DUMMYFUNCTION("""COMPUTED_VALUE"""),45419.0)</f>
        <v>45419</v>
      </c>
      <c r="F95" s="18">
        <f>IFERROR(__xludf.DUMMYFUNCTION("""COMPUTED_VALUE"""),45446.0)</f>
        <v>45446</v>
      </c>
      <c r="G95" s="19">
        <f>IFERROR(__xludf.DUMMYFUNCTION("""COMPUTED_VALUE"""),0.8666666666666666)</f>
        <v>0.8666666667</v>
      </c>
      <c r="H95" s="17">
        <f>IFERROR(__xludf.DUMMYFUNCTION("""COMPUTED_VALUE"""),44636.0)</f>
        <v>44636</v>
      </c>
      <c r="I95" s="19">
        <f>IFERROR(__xludf.DUMMYFUNCTION("""COMPUTED_VALUE"""),2.1416666666666666)</f>
        <v>2.141666667</v>
      </c>
      <c r="J95" s="21">
        <f>IFERROR(__xludf.DUMMYFUNCTION("""COMPUTED_VALUE"""),85.0)</f>
        <v>85</v>
      </c>
      <c r="K95" s="23">
        <f>IFERROR(__xludf.DUMMYFUNCTION("""COMPUTED_VALUE"""),7.8)</f>
        <v>7.8</v>
      </c>
      <c r="L95" s="24">
        <f>IFERROR(__xludf.DUMMYFUNCTION("""COMPUTED_VALUE"""),12.0)</f>
        <v>12</v>
      </c>
      <c r="M95" s="25" t="str">
        <f>IFERROR(__xludf.DUMMYFUNCTION("""COMPUTED_VALUE"""),"Action-Adventure")</f>
        <v>Action-Adventure</v>
      </c>
      <c r="N95" s="25"/>
      <c r="O95" s="26" t="str">
        <f>IFERROR(__xludf.DUMMYFUNCTION("""COMPUTED_VALUE"""),"No")</f>
        <v>No</v>
      </c>
      <c r="P95" s="26"/>
    </row>
    <row r="96" hidden="1">
      <c r="A96" s="13" t="str">
        <f>IFERROR(__xludf.DUMMYFUNCTION("""COMPUTED_VALUE"""),"Immortals of Aveum")</f>
        <v>Immortals of Aveum</v>
      </c>
      <c r="B96" s="15" t="str">
        <f>IFERROR(__xludf.DUMMYFUNCTION("""COMPUTED_VALUE"""),"PS5")</f>
        <v>PS5</v>
      </c>
      <c r="C96" s="16" t="str">
        <f>IFERROR(__xludf.DUMMYFUNCTION("""COMPUTED_VALUE"""),"Essential")</f>
        <v>Essential</v>
      </c>
      <c r="D96" s="15" t="str">
        <f>IFERROR(__xludf.DUMMYFUNCTION("""COMPUTED_VALUE"""),"Removed")</f>
        <v>Removed</v>
      </c>
      <c r="E96" s="17">
        <f>IFERROR(__xludf.DUMMYFUNCTION("""COMPUTED_VALUE"""),45384.0)</f>
        <v>45384</v>
      </c>
      <c r="F96" s="54">
        <f>IFERROR(__xludf.DUMMYFUNCTION("""COMPUTED_VALUE"""),45418.0)</f>
        <v>45418</v>
      </c>
      <c r="G96" s="19">
        <f>IFERROR(__xludf.DUMMYFUNCTION("""COMPUTED_VALUE"""),1.1333333333333333)</f>
        <v>1.133333333</v>
      </c>
      <c r="H96" s="17">
        <f>IFERROR(__xludf.DUMMYFUNCTION("""COMPUTED_VALUE"""),45160.0)</f>
        <v>45160</v>
      </c>
      <c r="I96" s="19">
        <f>IFERROR(__xludf.DUMMYFUNCTION("""COMPUTED_VALUE"""),0.6111111111111112)</f>
        <v>0.6111111111</v>
      </c>
      <c r="J96" s="21">
        <f>IFERROR(__xludf.DUMMYFUNCTION("""COMPUTED_VALUE"""),69.0)</f>
        <v>69</v>
      </c>
      <c r="K96" s="23">
        <f>IFERROR(__xludf.DUMMYFUNCTION("""COMPUTED_VALUE"""),6.1)</f>
        <v>6.1</v>
      </c>
      <c r="L96" s="24">
        <f>IFERROR(__xludf.DUMMYFUNCTION("""COMPUTED_VALUE"""),16.0)</f>
        <v>16</v>
      </c>
      <c r="M96" s="25" t="str">
        <f>IFERROR(__xludf.DUMMYFUNCTION("""COMPUTED_VALUE"""),"Shooter")</f>
        <v>Shooter</v>
      </c>
      <c r="N96" s="25"/>
      <c r="O96" s="26" t="str">
        <f>IFERROR(__xludf.DUMMYFUNCTION("""COMPUTED_VALUE"""),"No")</f>
        <v>No</v>
      </c>
      <c r="P96" s="26"/>
    </row>
    <row r="97" hidden="1">
      <c r="A97" s="13" t="str">
        <f>IFERROR(__xludf.DUMMYFUNCTION("""COMPUTED_VALUE"""),"Minecraft: Legends")</f>
        <v>Minecraft: Legends</v>
      </c>
      <c r="B97" s="15" t="str">
        <f>IFERROR(__xludf.DUMMYFUNCTION("""COMPUTED_VALUE"""),"PS5/PS4")</f>
        <v>PS5/PS4</v>
      </c>
      <c r="C97" s="16" t="str">
        <f>IFERROR(__xludf.DUMMYFUNCTION("""COMPUTED_VALUE"""),"Essential")</f>
        <v>Essential</v>
      </c>
      <c r="D97" s="15" t="str">
        <f>IFERROR(__xludf.DUMMYFUNCTION("""COMPUTED_VALUE"""),"Removed")</f>
        <v>Removed</v>
      </c>
      <c r="E97" s="17">
        <f>IFERROR(__xludf.DUMMYFUNCTION("""COMPUTED_VALUE"""),45384.0)</f>
        <v>45384</v>
      </c>
      <c r="F97" s="54">
        <f>IFERROR(__xludf.DUMMYFUNCTION("""COMPUTED_VALUE"""),45418.0)</f>
        <v>45418</v>
      </c>
      <c r="G97" s="19">
        <f>IFERROR(__xludf.DUMMYFUNCTION("""COMPUTED_VALUE"""),1.1333333333333333)</f>
        <v>1.133333333</v>
      </c>
      <c r="H97" s="17">
        <f>IFERROR(__xludf.DUMMYFUNCTION("""COMPUTED_VALUE"""),45034.0)</f>
        <v>45034</v>
      </c>
      <c r="I97" s="19">
        <f>IFERROR(__xludf.DUMMYFUNCTION("""COMPUTED_VALUE"""),0.9555555555555556)</f>
        <v>0.9555555556</v>
      </c>
      <c r="J97" s="21">
        <f>IFERROR(__xludf.DUMMYFUNCTION("""COMPUTED_VALUE"""),71.0)</f>
        <v>71</v>
      </c>
      <c r="K97" s="23">
        <f>IFERROR(__xludf.DUMMYFUNCTION("""COMPUTED_VALUE"""),4.8)</f>
        <v>4.8</v>
      </c>
      <c r="L97" s="24">
        <f>IFERROR(__xludf.DUMMYFUNCTION("""COMPUTED_VALUE"""),9.0)</f>
        <v>9</v>
      </c>
      <c r="M97" s="25" t="str">
        <f>IFERROR(__xludf.DUMMYFUNCTION("""COMPUTED_VALUE"""),"Strategy")</f>
        <v>Strategy</v>
      </c>
      <c r="N97" s="25"/>
      <c r="O97" s="26" t="str">
        <f>IFERROR(__xludf.DUMMYFUNCTION("""COMPUTED_VALUE"""),"No")</f>
        <v>No</v>
      </c>
      <c r="P97" s="26"/>
    </row>
    <row r="98" hidden="1">
      <c r="A98" s="13" t="str">
        <f>IFERROR(__xludf.DUMMYFUNCTION("""COMPUTED_VALUE"""),"Skul: The Hero Slayer")</f>
        <v>Skul: The Hero Slayer</v>
      </c>
      <c r="B98" s="15" t="str">
        <f>IFERROR(__xludf.DUMMYFUNCTION("""COMPUTED_VALUE"""),"PS4")</f>
        <v>PS4</v>
      </c>
      <c r="C98" s="16" t="str">
        <f>IFERROR(__xludf.DUMMYFUNCTION("""COMPUTED_VALUE"""),"Essential")</f>
        <v>Essential</v>
      </c>
      <c r="D98" s="15" t="str">
        <f>IFERROR(__xludf.DUMMYFUNCTION("""COMPUTED_VALUE"""),"Removed")</f>
        <v>Removed</v>
      </c>
      <c r="E98" s="17">
        <f>IFERROR(__xludf.DUMMYFUNCTION("""COMPUTED_VALUE"""),45384.0)</f>
        <v>45384</v>
      </c>
      <c r="F98" s="54">
        <f>IFERROR(__xludf.DUMMYFUNCTION("""COMPUTED_VALUE"""),45418.0)</f>
        <v>45418</v>
      </c>
      <c r="G98" s="19">
        <f>IFERROR(__xludf.DUMMYFUNCTION("""COMPUTED_VALUE"""),1.1333333333333333)</f>
        <v>1.133333333</v>
      </c>
      <c r="H98" s="17">
        <f>IFERROR(__xludf.DUMMYFUNCTION("""COMPUTED_VALUE"""),44217.0)</f>
        <v>44217</v>
      </c>
      <c r="I98" s="19">
        <f>IFERROR(__xludf.DUMMYFUNCTION("""COMPUTED_VALUE"""),3.1972222222222224)</f>
        <v>3.197222222</v>
      </c>
      <c r="J98" s="21">
        <f>IFERROR(__xludf.DUMMYFUNCTION("""COMPUTED_VALUE"""),80.0)</f>
        <v>80</v>
      </c>
      <c r="K98" s="23">
        <f>IFERROR(__xludf.DUMMYFUNCTION("""COMPUTED_VALUE"""),6.7)</f>
        <v>6.7</v>
      </c>
      <c r="L98" s="24">
        <f>IFERROR(__xludf.DUMMYFUNCTION("""COMPUTED_VALUE"""),21.0)</f>
        <v>21</v>
      </c>
      <c r="M98" s="25" t="str">
        <f>IFERROR(__xludf.DUMMYFUNCTION("""COMPUTED_VALUE"""),"Platformer")</f>
        <v>Platformer</v>
      </c>
      <c r="N98" s="25"/>
      <c r="O98" s="26" t="str">
        <f>IFERROR(__xludf.DUMMYFUNCTION("""COMPUTED_VALUE"""),"No")</f>
        <v>No</v>
      </c>
      <c r="P98" s="26"/>
    </row>
    <row r="99" hidden="1">
      <c r="A99" s="13" t="str">
        <f>IFERROR(__xludf.DUMMYFUNCTION("""COMPUTED_VALUE"""),"Destiny 2: The Witch Queen")</f>
        <v>Destiny 2: The Witch Queen</v>
      </c>
      <c r="B99" s="15" t="str">
        <f>IFERROR(__xludf.DUMMYFUNCTION("""COMPUTED_VALUE"""),"PS5/PS4")</f>
        <v>PS5/PS4</v>
      </c>
      <c r="C99" s="16" t="str">
        <f>IFERROR(__xludf.DUMMYFUNCTION("""COMPUTED_VALUE"""),"Essential")</f>
        <v>Essential</v>
      </c>
      <c r="D99" s="15" t="str">
        <f>IFERROR(__xludf.DUMMYFUNCTION("""COMPUTED_VALUE"""),"Removed")</f>
        <v>Removed</v>
      </c>
      <c r="E99" s="17">
        <f>IFERROR(__xludf.DUMMYFUNCTION("""COMPUTED_VALUE"""),45356.0)</f>
        <v>45356</v>
      </c>
      <c r="F99" s="54">
        <f>IFERROR(__xludf.DUMMYFUNCTION("""COMPUTED_VALUE"""),45383.0)</f>
        <v>45383</v>
      </c>
      <c r="G99" s="19">
        <f>IFERROR(__xludf.DUMMYFUNCTION("""COMPUTED_VALUE"""),0.8666666666666666)</f>
        <v>0.8666666667</v>
      </c>
      <c r="H99" s="17">
        <f>IFERROR(__xludf.DUMMYFUNCTION("""COMPUTED_VALUE"""),44614.0)</f>
        <v>44614</v>
      </c>
      <c r="I99" s="19">
        <f>IFERROR(__xludf.DUMMYFUNCTION("""COMPUTED_VALUE"""),2.036111111111111)</f>
        <v>2.036111111</v>
      </c>
      <c r="J99" s="21">
        <f>IFERROR(__xludf.DUMMYFUNCTION("""COMPUTED_VALUE"""),87.0)</f>
        <v>87</v>
      </c>
      <c r="K99" s="23">
        <f>IFERROR(__xludf.DUMMYFUNCTION("""COMPUTED_VALUE"""),7.9)</f>
        <v>7.9</v>
      </c>
      <c r="L99" s="24">
        <f>IFERROR(__xludf.DUMMYFUNCTION("""COMPUTED_VALUE"""),12.0)</f>
        <v>12</v>
      </c>
      <c r="M99" s="25" t="str">
        <f>IFERROR(__xludf.DUMMYFUNCTION("""COMPUTED_VALUE"""),"Shooter")</f>
        <v>Shooter</v>
      </c>
      <c r="N99" s="25"/>
      <c r="O99" s="26" t="str">
        <f>IFERROR(__xludf.DUMMYFUNCTION("""COMPUTED_VALUE"""),"No")</f>
        <v>No</v>
      </c>
      <c r="P99" s="26"/>
    </row>
    <row r="100" hidden="1">
      <c r="A100" s="13" t="str">
        <f>IFERROR(__xludf.DUMMYFUNCTION("""COMPUTED_VALUE"""),"Hello Neighbor 2")</f>
        <v>Hello Neighbor 2</v>
      </c>
      <c r="B100" s="15" t="str">
        <f>IFERROR(__xludf.DUMMYFUNCTION("""COMPUTED_VALUE"""),"PS5/PS4")</f>
        <v>PS5/PS4</v>
      </c>
      <c r="C100" s="16" t="str">
        <f>IFERROR(__xludf.DUMMYFUNCTION("""COMPUTED_VALUE"""),"Essential")</f>
        <v>Essential</v>
      </c>
      <c r="D100" s="15" t="str">
        <f>IFERROR(__xludf.DUMMYFUNCTION("""COMPUTED_VALUE"""),"Removed")</f>
        <v>Removed</v>
      </c>
      <c r="E100" s="17">
        <f>IFERROR(__xludf.DUMMYFUNCTION("""COMPUTED_VALUE"""),45356.0)</f>
        <v>45356</v>
      </c>
      <c r="F100" s="54">
        <f>IFERROR(__xludf.DUMMYFUNCTION("""COMPUTED_VALUE"""),45383.0)</f>
        <v>45383</v>
      </c>
      <c r="G100" s="19">
        <f>IFERROR(__xludf.DUMMYFUNCTION("""COMPUTED_VALUE"""),0.8666666666666666)</f>
        <v>0.8666666667</v>
      </c>
      <c r="H100" s="17">
        <f>IFERROR(__xludf.DUMMYFUNCTION("""COMPUTED_VALUE"""),44901.0)</f>
        <v>44901</v>
      </c>
      <c r="I100" s="19">
        <f>IFERROR(__xludf.DUMMYFUNCTION("""COMPUTED_VALUE"""),1.2472222222222222)</f>
        <v>1.247222222</v>
      </c>
      <c r="J100" s="21">
        <f>IFERROR(__xludf.DUMMYFUNCTION("""COMPUTED_VALUE"""),59.0)</f>
        <v>59</v>
      </c>
      <c r="K100" s="23">
        <f>IFERROR(__xludf.DUMMYFUNCTION("""COMPUTED_VALUE"""),4.7)</f>
        <v>4.7</v>
      </c>
      <c r="L100" s="24">
        <f>IFERROR(__xludf.DUMMYFUNCTION("""COMPUTED_VALUE"""),4.0)</f>
        <v>4</v>
      </c>
      <c r="M100" s="25" t="str">
        <f>IFERROR(__xludf.DUMMYFUNCTION("""COMPUTED_VALUE"""),"Action-Adventure")</f>
        <v>Action-Adventure</v>
      </c>
      <c r="N100" s="25"/>
      <c r="O100" s="26" t="str">
        <f>IFERROR(__xludf.DUMMYFUNCTION("""COMPUTED_VALUE"""),"No")</f>
        <v>No</v>
      </c>
      <c r="P100" s="26"/>
    </row>
    <row r="101" hidden="1">
      <c r="A101" s="13" t="str">
        <f>IFERROR(__xludf.DUMMYFUNCTION("""COMPUTED_VALUE"""),"F1 23")</f>
        <v>F1 23</v>
      </c>
      <c r="B101" s="15" t="str">
        <f>IFERROR(__xludf.DUMMYFUNCTION("""COMPUTED_VALUE"""),"PS5/PS4")</f>
        <v>PS5/PS4</v>
      </c>
      <c r="C101" s="16" t="str">
        <f>IFERROR(__xludf.DUMMYFUNCTION("""COMPUTED_VALUE"""),"Essential")</f>
        <v>Essential</v>
      </c>
      <c r="D101" s="15" t="str">
        <f>IFERROR(__xludf.DUMMYFUNCTION("""COMPUTED_VALUE"""),"Removed")</f>
        <v>Removed</v>
      </c>
      <c r="E101" s="17">
        <f>IFERROR(__xludf.DUMMYFUNCTION("""COMPUTED_VALUE"""),45356.0)</f>
        <v>45356</v>
      </c>
      <c r="F101" s="54">
        <f>IFERROR(__xludf.DUMMYFUNCTION("""COMPUTED_VALUE"""),45383.0)</f>
        <v>45383</v>
      </c>
      <c r="G101" s="19">
        <f>IFERROR(__xludf.DUMMYFUNCTION("""COMPUTED_VALUE"""),0.8666666666666666)</f>
        <v>0.8666666667</v>
      </c>
      <c r="H101" s="17">
        <f>IFERROR(__xludf.DUMMYFUNCTION("""COMPUTED_VALUE"""),45093.0)</f>
        <v>45093</v>
      </c>
      <c r="I101" s="19">
        <f>IFERROR(__xludf.DUMMYFUNCTION("""COMPUTED_VALUE"""),0.7194444444444444)</f>
        <v>0.7194444444</v>
      </c>
      <c r="J101" s="21">
        <f>IFERROR(__xludf.DUMMYFUNCTION("""COMPUTED_VALUE"""),82.0)</f>
        <v>82</v>
      </c>
      <c r="K101" s="23">
        <f>IFERROR(__xludf.DUMMYFUNCTION("""COMPUTED_VALUE"""),6.2)</f>
        <v>6.2</v>
      </c>
      <c r="L101" s="24">
        <f>IFERROR(__xludf.DUMMYFUNCTION("""COMPUTED_VALUE"""),8.0)</f>
        <v>8</v>
      </c>
      <c r="M101" s="25" t="str">
        <f>IFERROR(__xludf.DUMMYFUNCTION("""COMPUTED_VALUE"""),"Racing")</f>
        <v>Racing</v>
      </c>
      <c r="N101" s="25"/>
      <c r="O101" s="26" t="str">
        <f>IFERROR(__xludf.DUMMYFUNCTION("""COMPUTED_VALUE"""),"No")</f>
        <v>No</v>
      </c>
      <c r="P101" s="26"/>
    </row>
    <row r="102" hidden="1">
      <c r="A102" s="13" t="str">
        <f>IFERROR(__xludf.DUMMYFUNCTION("""COMPUTED_VALUE"""),"SIFU")</f>
        <v>SIFU</v>
      </c>
      <c r="B102" s="15" t="str">
        <f>IFERROR(__xludf.DUMMYFUNCTION("""COMPUTED_VALUE"""),"PS5/PS4")</f>
        <v>PS5/PS4</v>
      </c>
      <c r="C102" s="16" t="str">
        <f>IFERROR(__xludf.DUMMYFUNCTION("""COMPUTED_VALUE"""),"Essential")</f>
        <v>Essential</v>
      </c>
      <c r="D102" s="15" t="str">
        <f>IFERROR(__xludf.DUMMYFUNCTION("""COMPUTED_VALUE"""),"Removed")</f>
        <v>Removed</v>
      </c>
      <c r="E102" s="17">
        <f>IFERROR(__xludf.DUMMYFUNCTION("""COMPUTED_VALUE"""),45356.0)</f>
        <v>45356</v>
      </c>
      <c r="F102" s="54">
        <f>IFERROR(__xludf.DUMMYFUNCTION("""COMPUTED_VALUE"""),45383.0)</f>
        <v>45383</v>
      </c>
      <c r="G102" s="19">
        <f>IFERROR(__xludf.DUMMYFUNCTION("""COMPUTED_VALUE"""),0.8666666666666666)</f>
        <v>0.8666666667</v>
      </c>
      <c r="H102" s="17">
        <f>IFERROR(__xludf.DUMMYFUNCTION("""COMPUTED_VALUE"""),44600.0)</f>
        <v>44600</v>
      </c>
      <c r="I102" s="19">
        <f>IFERROR(__xludf.DUMMYFUNCTION("""COMPUTED_VALUE"""),2.075)</f>
        <v>2.075</v>
      </c>
      <c r="J102" s="21">
        <f>IFERROR(__xludf.DUMMYFUNCTION("""COMPUTED_VALUE"""),81.0)</f>
        <v>81</v>
      </c>
      <c r="K102" s="23">
        <f>IFERROR(__xludf.DUMMYFUNCTION("""COMPUTED_VALUE"""),8.1)</f>
        <v>8.1</v>
      </c>
      <c r="L102" s="24">
        <f>IFERROR(__xludf.DUMMYFUNCTION("""COMPUTED_VALUE"""),9.0)</f>
        <v>9</v>
      </c>
      <c r="M102" s="25" t="str">
        <f>IFERROR(__xludf.DUMMYFUNCTION("""COMPUTED_VALUE"""),"Action-Adventure")</f>
        <v>Action-Adventure</v>
      </c>
      <c r="N102" s="25"/>
      <c r="O102" s="26" t="str">
        <f>IFERROR(__xludf.DUMMYFUNCTION("""COMPUTED_VALUE"""),"No")</f>
        <v>No</v>
      </c>
      <c r="P102" s="26"/>
    </row>
    <row r="103" hidden="1">
      <c r="A103" s="13" t="str">
        <f>IFERROR(__xludf.DUMMYFUNCTION("""COMPUTED_VALUE"""),"Steelrising")</f>
        <v>Steelrising</v>
      </c>
      <c r="B103" s="15" t="str">
        <f>IFERROR(__xludf.DUMMYFUNCTION("""COMPUTED_VALUE"""),"PS5")</f>
        <v>PS5</v>
      </c>
      <c r="C103" s="16" t="str">
        <f>IFERROR(__xludf.DUMMYFUNCTION("""COMPUTED_VALUE"""),"Essential")</f>
        <v>Essential</v>
      </c>
      <c r="D103" s="15" t="str">
        <f>IFERROR(__xludf.DUMMYFUNCTION("""COMPUTED_VALUE"""),"Removed")</f>
        <v>Removed</v>
      </c>
      <c r="E103" s="17">
        <f>IFERROR(__xludf.DUMMYFUNCTION("""COMPUTED_VALUE"""),45328.0)</f>
        <v>45328</v>
      </c>
      <c r="F103" s="54">
        <f>IFERROR(__xludf.DUMMYFUNCTION("""COMPUTED_VALUE"""),45355.0)</f>
        <v>45355</v>
      </c>
      <c r="G103" s="19">
        <f>IFERROR(__xludf.DUMMYFUNCTION("""COMPUTED_VALUE"""),0.9333333333333333)</f>
        <v>0.9333333333</v>
      </c>
      <c r="H103" s="17">
        <f>IFERROR(__xludf.DUMMYFUNCTION("""COMPUTED_VALUE"""),44812.0)</f>
        <v>44812</v>
      </c>
      <c r="I103" s="19">
        <f>IFERROR(__xludf.DUMMYFUNCTION("""COMPUTED_VALUE"""),1.4111111111111112)</f>
        <v>1.411111111</v>
      </c>
      <c r="J103" s="21">
        <f>IFERROR(__xludf.DUMMYFUNCTION("""COMPUTED_VALUE"""),72.0)</f>
        <v>72</v>
      </c>
      <c r="K103" s="23">
        <f>IFERROR(__xludf.DUMMYFUNCTION("""COMPUTED_VALUE"""),7.5)</f>
        <v>7.5</v>
      </c>
      <c r="L103" s="24">
        <f>IFERROR(__xludf.DUMMYFUNCTION("""COMPUTED_VALUE"""),15.0)</f>
        <v>15</v>
      </c>
      <c r="M103" s="25" t="str">
        <f>IFERROR(__xludf.DUMMYFUNCTION("""COMPUTED_VALUE"""),"RPG")</f>
        <v>RPG</v>
      </c>
      <c r="N103" s="25"/>
      <c r="O103" s="26" t="str">
        <f>IFERROR(__xludf.DUMMYFUNCTION("""COMPUTED_VALUE"""),"No")</f>
        <v>No</v>
      </c>
      <c r="P103" s="26"/>
    </row>
    <row r="104" hidden="1">
      <c r="A104" s="13" t="str">
        <f>IFERROR(__xludf.DUMMYFUNCTION("""COMPUTED_VALUE"""),"Foamstars")</f>
        <v>Foamstars</v>
      </c>
      <c r="B104" s="15" t="str">
        <f>IFERROR(__xludf.DUMMYFUNCTION("""COMPUTED_VALUE"""),"PS5/PS4")</f>
        <v>PS5/PS4</v>
      </c>
      <c r="C104" s="16" t="str">
        <f>IFERROR(__xludf.DUMMYFUNCTION("""COMPUTED_VALUE"""),"Essential")</f>
        <v>Essential</v>
      </c>
      <c r="D104" s="15" t="str">
        <f>IFERROR(__xludf.DUMMYFUNCTION("""COMPUTED_VALUE"""),"Removed")</f>
        <v>Removed</v>
      </c>
      <c r="E104" s="17">
        <f>IFERROR(__xludf.DUMMYFUNCTION("""COMPUTED_VALUE"""),45328.0)</f>
        <v>45328</v>
      </c>
      <c r="F104" s="54">
        <f>IFERROR(__xludf.DUMMYFUNCTION("""COMPUTED_VALUE"""),45355.0)</f>
        <v>45355</v>
      </c>
      <c r="G104" s="19">
        <f>IFERROR(__xludf.DUMMYFUNCTION("""COMPUTED_VALUE"""),0.9333333333333333)</f>
        <v>0.9333333333</v>
      </c>
      <c r="H104" s="17">
        <f>IFERROR(__xludf.DUMMYFUNCTION("""COMPUTED_VALUE"""),45328.0)</f>
        <v>45328</v>
      </c>
      <c r="I104" s="19">
        <f>IFERROR(__xludf.DUMMYFUNCTION("""COMPUTED_VALUE"""),0.0)</f>
        <v>0</v>
      </c>
      <c r="J104" s="21">
        <f>IFERROR(__xludf.DUMMYFUNCTION("""COMPUTED_VALUE"""),59.0)</f>
        <v>59</v>
      </c>
      <c r="K104" s="23">
        <f>IFERROR(__xludf.DUMMYFUNCTION("""COMPUTED_VALUE"""),7.2)</f>
        <v>7.2</v>
      </c>
      <c r="L104" s="24"/>
      <c r="M104" s="25" t="str">
        <f>IFERROR(__xludf.DUMMYFUNCTION("""COMPUTED_VALUE"""),"Shooter")</f>
        <v>Shooter</v>
      </c>
      <c r="N104" s="25"/>
      <c r="O104" s="26" t="str">
        <f>IFERROR(__xludf.DUMMYFUNCTION("""COMPUTED_VALUE"""),"No")</f>
        <v>No</v>
      </c>
      <c r="P104" s="26"/>
    </row>
    <row r="105" hidden="1">
      <c r="A105" s="13" t="str">
        <f>IFERROR(__xludf.DUMMYFUNCTION("""COMPUTED_VALUE"""),"Rollerdrome")</f>
        <v>Rollerdrome</v>
      </c>
      <c r="B105" s="15" t="str">
        <f>IFERROR(__xludf.DUMMYFUNCTION("""COMPUTED_VALUE"""),"PS5/PS4")</f>
        <v>PS5/PS4</v>
      </c>
      <c r="C105" s="16" t="str">
        <f>IFERROR(__xludf.DUMMYFUNCTION("""COMPUTED_VALUE"""),"Essential")</f>
        <v>Essential</v>
      </c>
      <c r="D105" s="15" t="str">
        <f>IFERROR(__xludf.DUMMYFUNCTION("""COMPUTED_VALUE"""),"Removed")</f>
        <v>Removed</v>
      </c>
      <c r="E105" s="17">
        <f>IFERROR(__xludf.DUMMYFUNCTION("""COMPUTED_VALUE"""),45328.0)</f>
        <v>45328</v>
      </c>
      <c r="F105" s="18">
        <f>IFERROR(__xludf.DUMMYFUNCTION("""COMPUTED_VALUE"""),45355.0)</f>
        <v>45355</v>
      </c>
      <c r="G105" s="19">
        <f>IFERROR(__xludf.DUMMYFUNCTION("""COMPUTED_VALUE"""),0.9333333333333333)</f>
        <v>0.9333333333</v>
      </c>
      <c r="H105" s="17">
        <f>IFERROR(__xludf.DUMMYFUNCTION("""COMPUTED_VALUE"""),44789.0)</f>
        <v>44789</v>
      </c>
      <c r="I105" s="19">
        <f>IFERROR(__xludf.DUMMYFUNCTION("""COMPUTED_VALUE"""),1.4722222222222223)</f>
        <v>1.472222222</v>
      </c>
      <c r="J105" s="21">
        <f>IFERROR(__xludf.DUMMYFUNCTION("""COMPUTED_VALUE"""),79.0)</f>
        <v>79</v>
      </c>
      <c r="K105" s="23">
        <f>IFERROR(__xludf.DUMMYFUNCTION("""COMPUTED_VALUE"""),7.3)</f>
        <v>7.3</v>
      </c>
      <c r="L105" s="24">
        <f>IFERROR(__xludf.DUMMYFUNCTION("""COMPUTED_VALUE"""),5.0)</f>
        <v>5</v>
      </c>
      <c r="M105" s="25" t="str">
        <f>IFERROR(__xludf.DUMMYFUNCTION("""COMPUTED_VALUE"""),"Shooter")</f>
        <v>Shooter</v>
      </c>
      <c r="N105" s="25"/>
      <c r="O105" s="26" t="str">
        <f>IFERROR(__xludf.DUMMYFUNCTION("""COMPUTED_VALUE"""),"No")</f>
        <v>No</v>
      </c>
      <c r="P105" s="26"/>
    </row>
    <row r="106" hidden="1">
      <c r="A106" s="13" t="str">
        <f>IFERROR(__xludf.DUMMYFUNCTION("""COMPUTED_VALUE"""),"A Plague Tale: Requiem")</f>
        <v>A Plague Tale: Requiem</v>
      </c>
      <c r="B106" s="15" t="str">
        <f>IFERROR(__xludf.DUMMYFUNCTION("""COMPUTED_VALUE"""),"PS5")</f>
        <v>PS5</v>
      </c>
      <c r="C106" s="16" t="str">
        <f>IFERROR(__xludf.DUMMYFUNCTION("""COMPUTED_VALUE"""),"Essential")</f>
        <v>Essential</v>
      </c>
      <c r="D106" s="15" t="str">
        <f>IFERROR(__xludf.DUMMYFUNCTION("""COMPUTED_VALUE"""),"Removed")</f>
        <v>Removed</v>
      </c>
      <c r="E106" s="17">
        <f>IFERROR(__xludf.DUMMYFUNCTION("""COMPUTED_VALUE"""),45293.0)</f>
        <v>45293</v>
      </c>
      <c r="F106" s="54">
        <f>IFERROR(__xludf.DUMMYFUNCTION("""COMPUTED_VALUE"""),45327.0)</f>
        <v>45327</v>
      </c>
      <c r="G106" s="19">
        <f>IFERROR(__xludf.DUMMYFUNCTION("""COMPUTED_VALUE"""),1.0999999999999999)</f>
        <v>1.1</v>
      </c>
      <c r="H106" s="17">
        <f>IFERROR(__xludf.DUMMYFUNCTION("""COMPUTED_VALUE"""),44852.0)</f>
        <v>44852</v>
      </c>
      <c r="I106" s="19">
        <f>IFERROR(__xludf.DUMMYFUNCTION("""COMPUTED_VALUE"""),1.2055555555555555)</f>
        <v>1.205555556</v>
      </c>
      <c r="J106" s="21">
        <f>IFERROR(__xludf.DUMMYFUNCTION("""COMPUTED_VALUE"""),82.0)</f>
        <v>82</v>
      </c>
      <c r="K106" s="23">
        <f>IFERROR(__xludf.DUMMYFUNCTION("""COMPUTED_VALUE"""),8.3)</f>
        <v>8.3</v>
      </c>
      <c r="L106" s="24">
        <f>IFERROR(__xludf.DUMMYFUNCTION("""COMPUTED_VALUE"""),17.0)</f>
        <v>17</v>
      </c>
      <c r="M106" s="25" t="str">
        <f>IFERROR(__xludf.DUMMYFUNCTION("""COMPUTED_VALUE"""),"Action-Adventure")</f>
        <v>Action-Adventure</v>
      </c>
      <c r="N106" s="25"/>
      <c r="O106" s="26" t="str">
        <f>IFERROR(__xludf.DUMMYFUNCTION("""COMPUTED_VALUE"""),"No")</f>
        <v>No</v>
      </c>
      <c r="P106" s="26"/>
    </row>
    <row r="107" hidden="1">
      <c r="A107" s="13" t="str">
        <f>IFERROR(__xludf.DUMMYFUNCTION("""COMPUTED_VALUE"""),"Evil West")</f>
        <v>Evil West</v>
      </c>
      <c r="B107" s="15" t="str">
        <f>IFERROR(__xludf.DUMMYFUNCTION("""COMPUTED_VALUE"""),"PS5/PS4")</f>
        <v>PS5/PS4</v>
      </c>
      <c r="C107" s="16" t="str">
        <f>IFERROR(__xludf.DUMMYFUNCTION("""COMPUTED_VALUE"""),"Essential")</f>
        <v>Essential</v>
      </c>
      <c r="D107" s="15" t="str">
        <f>IFERROR(__xludf.DUMMYFUNCTION("""COMPUTED_VALUE"""),"Removed")</f>
        <v>Removed</v>
      </c>
      <c r="E107" s="17">
        <f>IFERROR(__xludf.DUMMYFUNCTION("""COMPUTED_VALUE"""),45293.0)</f>
        <v>45293</v>
      </c>
      <c r="F107" s="54">
        <f>IFERROR(__xludf.DUMMYFUNCTION("""COMPUTED_VALUE"""),45327.0)</f>
        <v>45327</v>
      </c>
      <c r="G107" s="19">
        <f>IFERROR(__xludf.DUMMYFUNCTION("""COMPUTED_VALUE"""),1.0999999999999999)</f>
        <v>1.1</v>
      </c>
      <c r="H107" s="17">
        <f>IFERROR(__xludf.DUMMYFUNCTION("""COMPUTED_VALUE"""),44887.0)</f>
        <v>44887</v>
      </c>
      <c r="I107" s="19">
        <f>IFERROR(__xludf.DUMMYFUNCTION("""COMPUTED_VALUE"""),1.1111111111111112)</f>
        <v>1.111111111</v>
      </c>
      <c r="J107" s="21">
        <f>IFERROR(__xludf.DUMMYFUNCTION("""COMPUTED_VALUE"""),73.0)</f>
        <v>73</v>
      </c>
      <c r="K107" s="23">
        <f>IFERROR(__xludf.DUMMYFUNCTION("""COMPUTED_VALUE"""),7.6)</f>
        <v>7.6</v>
      </c>
      <c r="L107" s="24">
        <f>IFERROR(__xludf.DUMMYFUNCTION("""COMPUTED_VALUE"""),11.0)</f>
        <v>11</v>
      </c>
      <c r="M107" s="25" t="str">
        <f>IFERROR(__xludf.DUMMYFUNCTION("""COMPUTED_VALUE"""),"Shooter")</f>
        <v>Shooter</v>
      </c>
      <c r="N107" s="25"/>
      <c r="O107" s="26" t="str">
        <f>IFERROR(__xludf.DUMMYFUNCTION("""COMPUTED_VALUE"""),"No")</f>
        <v>No</v>
      </c>
      <c r="P107" s="26"/>
    </row>
    <row r="108" hidden="1">
      <c r="A108" s="13" t="str">
        <f>IFERROR(__xludf.DUMMYFUNCTION("""COMPUTED_VALUE"""),"Nobody Saves the World")</f>
        <v>Nobody Saves the World</v>
      </c>
      <c r="B108" s="15" t="str">
        <f>IFERROR(__xludf.DUMMYFUNCTION("""COMPUTED_VALUE"""),"PS5/PS4")</f>
        <v>PS5/PS4</v>
      </c>
      <c r="C108" s="16" t="str">
        <f>IFERROR(__xludf.DUMMYFUNCTION("""COMPUTED_VALUE"""),"Essential")</f>
        <v>Essential</v>
      </c>
      <c r="D108" s="15" t="str">
        <f>IFERROR(__xludf.DUMMYFUNCTION("""COMPUTED_VALUE"""),"Removed")</f>
        <v>Removed</v>
      </c>
      <c r="E108" s="17">
        <f>IFERROR(__xludf.DUMMYFUNCTION("""COMPUTED_VALUE"""),45293.0)</f>
        <v>45293</v>
      </c>
      <c r="F108" s="54">
        <f>IFERROR(__xludf.DUMMYFUNCTION("""COMPUTED_VALUE"""),45327.0)</f>
        <v>45327</v>
      </c>
      <c r="G108" s="19">
        <f>IFERROR(__xludf.DUMMYFUNCTION("""COMPUTED_VALUE"""),1.0999999999999999)</f>
        <v>1.1</v>
      </c>
      <c r="H108" s="17">
        <f>IFERROR(__xludf.DUMMYFUNCTION("""COMPUTED_VALUE"""),44579.0)</f>
        <v>44579</v>
      </c>
      <c r="I108" s="19">
        <f>IFERROR(__xludf.DUMMYFUNCTION("""COMPUTED_VALUE"""),1.9555555555555555)</f>
        <v>1.955555556</v>
      </c>
      <c r="J108" s="21">
        <f>IFERROR(__xludf.DUMMYFUNCTION("""COMPUTED_VALUE"""),76.0)</f>
        <v>76</v>
      </c>
      <c r="K108" s="23">
        <f>IFERROR(__xludf.DUMMYFUNCTION("""COMPUTED_VALUE"""),7.1)</f>
        <v>7.1</v>
      </c>
      <c r="L108" s="24">
        <f>IFERROR(__xludf.DUMMYFUNCTION("""COMPUTED_VALUE"""),16.0)</f>
        <v>16</v>
      </c>
      <c r="M108" s="25" t="str">
        <f>IFERROR(__xludf.DUMMYFUNCTION("""COMPUTED_VALUE"""),"RPG")</f>
        <v>RPG</v>
      </c>
      <c r="N108" s="25"/>
      <c r="O108" s="26" t="str">
        <f>IFERROR(__xludf.DUMMYFUNCTION("""COMPUTED_VALUE"""),"No")</f>
        <v>No</v>
      </c>
      <c r="P108" s="26"/>
    </row>
    <row r="109" hidden="1">
      <c r="A109" s="13" t="str">
        <f>IFERROR(__xludf.DUMMYFUNCTION("""COMPUTED_VALUE"""),"Sable")</f>
        <v>Sable</v>
      </c>
      <c r="B109" s="15" t="str">
        <f>IFERROR(__xludf.DUMMYFUNCTION("""COMPUTED_VALUE"""),"PS5")</f>
        <v>PS5</v>
      </c>
      <c r="C109" s="16" t="str">
        <f>IFERROR(__xludf.DUMMYFUNCTION("""COMPUTED_VALUE"""),"Essential")</f>
        <v>Essential</v>
      </c>
      <c r="D109" s="15" t="str">
        <f>IFERROR(__xludf.DUMMYFUNCTION("""COMPUTED_VALUE"""),"Removed")</f>
        <v>Removed</v>
      </c>
      <c r="E109" s="17">
        <f>IFERROR(__xludf.DUMMYFUNCTION("""COMPUTED_VALUE"""),45265.0)</f>
        <v>45265</v>
      </c>
      <c r="F109" s="54">
        <f>IFERROR(__xludf.DUMMYFUNCTION("""COMPUTED_VALUE"""),45292.0)</f>
        <v>45292</v>
      </c>
      <c r="G109" s="19">
        <f>IFERROR(__xludf.DUMMYFUNCTION("""COMPUTED_VALUE"""),0.8666666666666666)</f>
        <v>0.8666666667</v>
      </c>
      <c r="H109" s="17">
        <f>IFERROR(__xludf.DUMMYFUNCTION("""COMPUTED_VALUE"""),44462.0)</f>
        <v>44462</v>
      </c>
      <c r="I109" s="19">
        <f>IFERROR(__xludf.DUMMYFUNCTION("""COMPUTED_VALUE"""),2.2)</f>
        <v>2.2</v>
      </c>
      <c r="J109" s="21">
        <f>IFERROR(__xludf.DUMMYFUNCTION("""COMPUTED_VALUE"""),75.0)</f>
        <v>75</v>
      </c>
      <c r="K109" s="23">
        <f>IFERROR(__xludf.DUMMYFUNCTION("""COMPUTED_VALUE"""),7.0)</f>
        <v>7</v>
      </c>
      <c r="L109" s="24">
        <f>IFERROR(__xludf.DUMMYFUNCTION("""COMPUTED_VALUE"""),8.0)</f>
        <v>8</v>
      </c>
      <c r="M109" s="25" t="str">
        <f>IFERROR(__xludf.DUMMYFUNCTION("""COMPUTED_VALUE"""),"Action-Adventure")</f>
        <v>Action-Adventure</v>
      </c>
      <c r="N109" s="25"/>
      <c r="O109" s="26" t="str">
        <f>IFERROR(__xludf.DUMMYFUNCTION("""COMPUTED_VALUE"""),"No")</f>
        <v>No</v>
      </c>
      <c r="P109" s="26"/>
    </row>
    <row r="110" hidden="1">
      <c r="A110" s="13" t="str">
        <f>IFERROR(__xludf.DUMMYFUNCTION("""COMPUTED_VALUE"""),"Lego 2K Drive")</f>
        <v>Lego 2K Drive</v>
      </c>
      <c r="B110" s="15" t="str">
        <f>IFERROR(__xludf.DUMMYFUNCTION("""COMPUTED_VALUE"""),"PS5/PS4")</f>
        <v>PS5/PS4</v>
      </c>
      <c r="C110" s="16" t="str">
        <f>IFERROR(__xludf.DUMMYFUNCTION("""COMPUTED_VALUE"""),"Essential")</f>
        <v>Essential</v>
      </c>
      <c r="D110" s="15" t="str">
        <f>IFERROR(__xludf.DUMMYFUNCTION("""COMPUTED_VALUE"""),"Removed")</f>
        <v>Removed</v>
      </c>
      <c r="E110" s="17">
        <f>IFERROR(__xludf.DUMMYFUNCTION("""COMPUTED_VALUE"""),45265.0)</f>
        <v>45265</v>
      </c>
      <c r="F110" s="54">
        <f>IFERROR(__xludf.DUMMYFUNCTION("""COMPUTED_VALUE"""),45292.0)</f>
        <v>45292</v>
      </c>
      <c r="G110" s="19">
        <f>IFERROR(__xludf.DUMMYFUNCTION("""COMPUTED_VALUE"""),0.8666666666666666)</f>
        <v>0.8666666667</v>
      </c>
      <c r="H110" s="17">
        <f>IFERROR(__xludf.DUMMYFUNCTION("""COMPUTED_VALUE"""),45062.0)</f>
        <v>45062</v>
      </c>
      <c r="I110" s="19">
        <f>IFERROR(__xludf.DUMMYFUNCTION("""COMPUTED_VALUE"""),0.5527777777777778)</f>
        <v>0.5527777778</v>
      </c>
      <c r="J110" s="21">
        <f>IFERROR(__xludf.DUMMYFUNCTION("""COMPUTED_VALUE"""),73.0)</f>
        <v>73</v>
      </c>
      <c r="K110" s="23">
        <f>IFERROR(__xludf.DUMMYFUNCTION("""COMPUTED_VALUE"""),5.5)</f>
        <v>5.5</v>
      </c>
      <c r="L110" s="24">
        <f>IFERROR(__xludf.DUMMYFUNCTION("""COMPUTED_VALUE"""),9.0)</f>
        <v>9</v>
      </c>
      <c r="M110" s="25" t="str">
        <f>IFERROR(__xludf.DUMMYFUNCTION("""COMPUTED_VALUE"""),"Racing")</f>
        <v>Racing</v>
      </c>
      <c r="N110" s="25"/>
      <c r="O110" s="26" t="str">
        <f>IFERROR(__xludf.DUMMYFUNCTION("""COMPUTED_VALUE"""),"No")</f>
        <v>No</v>
      </c>
      <c r="P110" s="26"/>
    </row>
    <row r="111" hidden="1">
      <c r="A111" s="13" t="str">
        <f>IFERROR(__xludf.DUMMYFUNCTION("""COMPUTED_VALUE"""),"Powerwash Simulator")</f>
        <v>Powerwash Simulator</v>
      </c>
      <c r="B111" s="15" t="str">
        <f>IFERROR(__xludf.DUMMYFUNCTION("""COMPUTED_VALUE"""),"PS5/PS4")</f>
        <v>PS5/PS4</v>
      </c>
      <c r="C111" s="16" t="str">
        <f>IFERROR(__xludf.DUMMYFUNCTION("""COMPUTED_VALUE"""),"Essential")</f>
        <v>Essential</v>
      </c>
      <c r="D111" s="15" t="str">
        <f>IFERROR(__xludf.DUMMYFUNCTION("""COMPUTED_VALUE"""),"Removed")</f>
        <v>Removed</v>
      </c>
      <c r="E111" s="17">
        <f>IFERROR(__xludf.DUMMYFUNCTION("""COMPUTED_VALUE"""),45265.0)</f>
        <v>45265</v>
      </c>
      <c r="F111" s="54">
        <f>IFERROR(__xludf.DUMMYFUNCTION("""COMPUTED_VALUE"""),45292.0)</f>
        <v>45292</v>
      </c>
      <c r="G111" s="19">
        <f>IFERROR(__xludf.DUMMYFUNCTION("""COMPUTED_VALUE"""),0.8666666666666666)</f>
        <v>0.8666666667</v>
      </c>
      <c r="H111" s="17">
        <f>IFERROR(__xludf.DUMMYFUNCTION("""COMPUTED_VALUE"""),44335.0)</f>
        <v>44335</v>
      </c>
      <c r="I111" s="19">
        <f>IFERROR(__xludf.DUMMYFUNCTION("""COMPUTED_VALUE"""),2.5444444444444443)</f>
        <v>2.544444444</v>
      </c>
      <c r="J111" s="21">
        <f>IFERROR(__xludf.DUMMYFUNCTION("""COMPUTED_VALUE"""),75.0)</f>
        <v>75</v>
      </c>
      <c r="K111" s="23">
        <f>IFERROR(__xludf.DUMMYFUNCTION("""COMPUTED_VALUE"""),6.6)</f>
        <v>6.6</v>
      </c>
      <c r="L111" s="24">
        <f>IFERROR(__xludf.DUMMYFUNCTION("""COMPUTED_VALUE"""),37.0)</f>
        <v>37</v>
      </c>
      <c r="M111" s="25" t="str">
        <f>IFERROR(__xludf.DUMMYFUNCTION("""COMPUTED_VALUE"""),"Simulation")</f>
        <v>Simulation</v>
      </c>
      <c r="N111" s="25"/>
      <c r="O111" s="26" t="str">
        <f>IFERROR(__xludf.DUMMYFUNCTION("""COMPUTED_VALUE"""),"No")</f>
        <v>No</v>
      </c>
      <c r="P111" s="26"/>
    </row>
    <row r="112" hidden="1">
      <c r="A112" s="13" t="str">
        <f>IFERROR(__xludf.DUMMYFUNCTION("""COMPUTED_VALUE"""),"Aliens: Fireteam Elite")</f>
        <v>Aliens: Fireteam Elite</v>
      </c>
      <c r="B112" s="15" t="str">
        <f>IFERROR(__xludf.DUMMYFUNCTION("""COMPUTED_VALUE"""),"PS5/PS4")</f>
        <v>PS5/PS4</v>
      </c>
      <c r="C112" s="16" t="str">
        <f>IFERROR(__xludf.DUMMYFUNCTION("""COMPUTED_VALUE"""),"Essential")</f>
        <v>Essential</v>
      </c>
      <c r="D112" s="15" t="str">
        <f>IFERROR(__xludf.DUMMYFUNCTION("""COMPUTED_VALUE"""),"Removed")</f>
        <v>Removed</v>
      </c>
      <c r="E112" s="17">
        <f>IFERROR(__xludf.DUMMYFUNCTION("""COMPUTED_VALUE"""),45237.0)</f>
        <v>45237</v>
      </c>
      <c r="F112" s="54">
        <f>IFERROR(__xludf.DUMMYFUNCTION("""COMPUTED_VALUE"""),45264.0)</f>
        <v>45264</v>
      </c>
      <c r="G112" s="19">
        <f>IFERROR(__xludf.DUMMYFUNCTION("""COMPUTED_VALUE"""),0.8999999999999999)</f>
        <v>0.9</v>
      </c>
      <c r="H112" s="17">
        <f>IFERROR(__xludf.DUMMYFUNCTION("""COMPUTED_VALUE"""),44432.0)</f>
        <v>44432</v>
      </c>
      <c r="I112" s="19">
        <f>IFERROR(__xludf.DUMMYFUNCTION("""COMPUTED_VALUE"""),2.202777777777778)</f>
        <v>2.202777778</v>
      </c>
      <c r="J112" s="21">
        <f>IFERROR(__xludf.DUMMYFUNCTION("""COMPUTED_VALUE"""),67.0)</f>
        <v>67</v>
      </c>
      <c r="K112" s="23">
        <f>IFERROR(__xludf.DUMMYFUNCTION("""COMPUTED_VALUE"""),5.9)</f>
        <v>5.9</v>
      </c>
      <c r="L112" s="24">
        <f>IFERROR(__xludf.DUMMYFUNCTION("""COMPUTED_VALUE"""),9.0)</f>
        <v>9</v>
      </c>
      <c r="M112" s="25" t="str">
        <f>IFERROR(__xludf.DUMMYFUNCTION("""COMPUTED_VALUE"""),"Shooter")</f>
        <v>Shooter</v>
      </c>
      <c r="N112" s="25"/>
      <c r="O112" s="26" t="str">
        <f>IFERROR(__xludf.DUMMYFUNCTION("""COMPUTED_VALUE"""),"No")</f>
        <v>No</v>
      </c>
      <c r="P112" s="26"/>
    </row>
    <row r="113" hidden="1">
      <c r="A113" s="13" t="str">
        <f>IFERROR(__xludf.DUMMYFUNCTION("""COMPUTED_VALUE"""),"Dragon Ball: The Breakers")</f>
        <v>Dragon Ball: The Breakers</v>
      </c>
      <c r="B113" s="15" t="str">
        <f>IFERROR(__xludf.DUMMYFUNCTION("""COMPUTED_VALUE"""),"PS4")</f>
        <v>PS4</v>
      </c>
      <c r="C113" s="16" t="str">
        <f>IFERROR(__xludf.DUMMYFUNCTION("""COMPUTED_VALUE"""),"Essential")</f>
        <v>Essential</v>
      </c>
      <c r="D113" s="15" t="str">
        <f>IFERROR(__xludf.DUMMYFUNCTION("""COMPUTED_VALUE"""),"Removed")</f>
        <v>Removed</v>
      </c>
      <c r="E113" s="17">
        <f>IFERROR(__xludf.DUMMYFUNCTION("""COMPUTED_VALUE"""),45237.0)</f>
        <v>45237</v>
      </c>
      <c r="F113" s="54">
        <f>IFERROR(__xludf.DUMMYFUNCTION("""COMPUTED_VALUE"""),45264.0)</f>
        <v>45264</v>
      </c>
      <c r="G113" s="19">
        <f>IFERROR(__xludf.DUMMYFUNCTION("""COMPUTED_VALUE"""),0.8999999999999999)</f>
        <v>0.9</v>
      </c>
      <c r="H113" s="17">
        <f>IFERROR(__xludf.DUMMYFUNCTION("""COMPUTED_VALUE"""),44848.0)</f>
        <v>44848</v>
      </c>
      <c r="I113" s="19">
        <f>IFERROR(__xludf.DUMMYFUNCTION("""COMPUTED_VALUE"""),1.0638888888888889)</f>
        <v>1.063888889</v>
      </c>
      <c r="J113" s="21">
        <f>IFERROR(__xludf.DUMMYFUNCTION("""COMPUTED_VALUE"""),54.0)</f>
        <v>54</v>
      </c>
      <c r="K113" s="23">
        <f>IFERROR(__xludf.DUMMYFUNCTION("""COMPUTED_VALUE"""),5.1)</f>
        <v>5.1</v>
      </c>
      <c r="L113" s="24">
        <f>IFERROR(__xludf.DUMMYFUNCTION("""COMPUTED_VALUE"""),43.0)</f>
        <v>43</v>
      </c>
      <c r="M113" s="25" t="str">
        <f>IFERROR(__xludf.DUMMYFUNCTION("""COMPUTED_VALUE"""),"Action-Adventure")</f>
        <v>Action-Adventure</v>
      </c>
      <c r="N113" s="25"/>
      <c r="O113" s="26" t="str">
        <f>IFERROR(__xludf.DUMMYFUNCTION("""COMPUTED_VALUE"""),"No")</f>
        <v>No</v>
      </c>
      <c r="P113" s="26"/>
    </row>
    <row r="114" hidden="1">
      <c r="A114" s="13" t="str">
        <f>IFERROR(__xludf.DUMMYFUNCTION("""COMPUTED_VALUE"""),"Mafia II: Definitive Edition")</f>
        <v>Mafia II: Definitive Edition</v>
      </c>
      <c r="B114" s="15" t="str">
        <f>IFERROR(__xludf.DUMMYFUNCTION("""COMPUTED_VALUE"""),"PS4")</f>
        <v>PS4</v>
      </c>
      <c r="C114" s="16" t="str">
        <f>IFERROR(__xludf.DUMMYFUNCTION("""COMPUTED_VALUE"""),"Essential")</f>
        <v>Essential</v>
      </c>
      <c r="D114" s="15" t="str">
        <f>IFERROR(__xludf.DUMMYFUNCTION("""COMPUTED_VALUE"""),"Removed")</f>
        <v>Removed</v>
      </c>
      <c r="E114" s="17">
        <f>IFERROR(__xludf.DUMMYFUNCTION("""COMPUTED_VALUE"""),45237.0)</f>
        <v>45237</v>
      </c>
      <c r="F114" s="54">
        <f>IFERROR(__xludf.DUMMYFUNCTION("""COMPUTED_VALUE"""),45264.0)</f>
        <v>45264</v>
      </c>
      <c r="G114" s="19">
        <f>IFERROR(__xludf.DUMMYFUNCTION("""COMPUTED_VALUE"""),0.8999999999999999)</f>
        <v>0.9</v>
      </c>
      <c r="H114" s="17">
        <f>IFERROR(__xludf.DUMMYFUNCTION("""COMPUTED_VALUE"""),43970.0)</f>
        <v>43970</v>
      </c>
      <c r="I114" s="19">
        <f>IFERROR(__xludf.DUMMYFUNCTION("""COMPUTED_VALUE"""),3.466666666666667)</f>
        <v>3.466666667</v>
      </c>
      <c r="J114" s="21">
        <f>IFERROR(__xludf.DUMMYFUNCTION("""COMPUTED_VALUE"""),56.0)</f>
        <v>56</v>
      </c>
      <c r="K114" s="23">
        <f>IFERROR(__xludf.DUMMYFUNCTION("""COMPUTED_VALUE"""),5.9)</f>
        <v>5.9</v>
      </c>
      <c r="L114" s="24">
        <f>IFERROR(__xludf.DUMMYFUNCTION("""COMPUTED_VALUE"""),11.0)</f>
        <v>11</v>
      </c>
      <c r="M114" s="25" t="str">
        <f>IFERROR(__xludf.DUMMYFUNCTION("""COMPUTED_VALUE"""),"Shooter")</f>
        <v>Shooter</v>
      </c>
      <c r="N114" s="25"/>
      <c r="O114" s="26" t="str">
        <f>IFERROR(__xludf.DUMMYFUNCTION("""COMPUTED_VALUE"""),"No")</f>
        <v>No</v>
      </c>
      <c r="P114" s="26"/>
    </row>
    <row r="115" hidden="1">
      <c r="A115" s="13" t="str">
        <f>IFERROR(__xludf.DUMMYFUNCTION("""COMPUTED_VALUE"""),"Farming Simulator 22")</f>
        <v>Farming Simulator 22</v>
      </c>
      <c r="B115" s="15" t="str">
        <f>IFERROR(__xludf.DUMMYFUNCTION("""COMPUTED_VALUE"""),"PS5/PS4")</f>
        <v>PS5/PS4</v>
      </c>
      <c r="C115" s="16" t="str">
        <f>IFERROR(__xludf.DUMMYFUNCTION("""COMPUTED_VALUE"""),"Essential")</f>
        <v>Essential</v>
      </c>
      <c r="D115" s="15" t="str">
        <f>IFERROR(__xludf.DUMMYFUNCTION("""COMPUTED_VALUE"""),"Removed")</f>
        <v>Removed</v>
      </c>
      <c r="E115" s="17">
        <f>IFERROR(__xludf.DUMMYFUNCTION("""COMPUTED_VALUE"""),45202.0)</f>
        <v>45202</v>
      </c>
      <c r="F115" s="54">
        <f>IFERROR(__xludf.DUMMYFUNCTION("""COMPUTED_VALUE"""),45236.0)</f>
        <v>45236</v>
      </c>
      <c r="G115" s="19">
        <f>IFERROR(__xludf.DUMMYFUNCTION("""COMPUTED_VALUE"""),1.0999999999999999)</f>
        <v>1.1</v>
      </c>
      <c r="H115" s="17">
        <f>IFERROR(__xludf.DUMMYFUNCTION("""COMPUTED_VALUE"""),44522.0)</f>
        <v>44522</v>
      </c>
      <c r="I115" s="19">
        <f>IFERROR(__xludf.DUMMYFUNCTION("""COMPUTED_VALUE"""),1.863888888888889)</f>
        <v>1.863888889</v>
      </c>
      <c r="J115" s="21">
        <f>IFERROR(__xludf.DUMMYFUNCTION("""COMPUTED_VALUE"""),75.0)</f>
        <v>75</v>
      </c>
      <c r="K115" s="23">
        <f>IFERROR(__xludf.DUMMYFUNCTION("""COMPUTED_VALUE"""),6.3)</f>
        <v>6.3</v>
      </c>
      <c r="L115" s="24">
        <f>IFERROR(__xludf.DUMMYFUNCTION("""COMPUTED_VALUE"""),324.0)</f>
        <v>324</v>
      </c>
      <c r="M115" s="25" t="str">
        <f>IFERROR(__xludf.DUMMYFUNCTION("""COMPUTED_VALUE"""),"Simulation")</f>
        <v>Simulation</v>
      </c>
      <c r="N115" s="25"/>
      <c r="O115" s="26" t="str">
        <f>IFERROR(__xludf.DUMMYFUNCTION("""COMPUTED_VALUE"""),"No")</f>
        <v>No</v>
      </c>
      <c r="P115" s="26"/>
    </row>
    <row r="116" hidden="1">
      <c r="A116" s="13" t="str">
        <f>IFERROR(__xludf.DUMMYFUNCTION("""COMPUTED_VALUE"""),"The Callisto Protocol")</f>
        <v>The Callisto Protocol</v>
      </c>
      <c r="B116" s="15" t="str">
        <f>IFERROR(__xludf.DUMMYFUNCTION("""COMPUTED_VALUE"""),"PS5/PS4")</f>
        <v>PS5/PS4</v>
      </c>
      <c r="C116" s="16" t="str">
        <f>IFERROR(__xludf.DUMMYFUNCTION("""COMPUTED_VALUE"""),"Essential")</f>
        <v>Essential</v>
      </c>
      <c r="D116" s="15" t="str">
        <f>IFERROR(__xludf.DUMMYFUNCTION("""COMPUTED_VALUE"""),"Removed")</f>
        <v>Removed</v>
      </c>
      <c r="E116" s="17">
        <f>IFERROR(__xludf.DUMMYFUNCTION("""COMPUTED_VALUE"""),45202.0)</f>
        <v>45202</v>
      </c>
      <c r="F116" s="54">
        <f>IFERROR(__xludf.DUMMYFUNCTION("""COMPUTED_VALUE"""),45236.0)</f>
        <v>45236</v>
      </c>
      <c r="G116" s="19">
        <f>IFERROR(__xludf.DUMMYFUNCTION("""COMPUTED_VALUE"""),1.0999999999999999)</f>
        <v>1.1</v>
      </c>
      <c r="H116" s="17">
        <f>IFERROR(__xludf.DUMMYFUNCTION("""COMPUTED_VALUE"""),44897.0)</f>
        <v>44897</v>
      </c>
      <c r="I116" s="19">
        <f>IFERROR(__xludf.DUMMYFUNCTION("""COMPUTED_VALUE"""),0.8361111111111111)</f>
        <v>0.8361111111</v>
      </c>
      <c r="J116" s="21">
        <f>IFERROR(__xludf.DUMMYFUNCTION("""COMPUTED_VALUE"""),69.0)</f>
        <v>69</v>
      </c>
      <c r="K116" s="23">
        <f>IFERROR(__xludf.DUMMYFUNCTION("""COMPUTED_VALUE"""),6.9)</f>
        <v>6.9</v>
      </c>
      <c r="L116" s="24">
        <f>IFERROR(__xludf.DUMMYFUNCTION("""COMPUTED_VALUE"""),10.0)</f>
        <v>10</v>
      </c>
      <c r="M116" s="25" t="str">
        <f>IFERROR(__xludf.DUMMYFUNCTION("""COMPUTED_VALUE"""),"Action-Adventure")</f>
        <v>Action-Adventure</v>
      </c>
      <c r="N116" s="25"/>
      <c r="O116" s="26" t="str">
        <f>IFERROR(__xludf.DUMMYFUNCTION("""COMPUTED_VALUE"""),"No")</f>
        <v>No</v>
      </c>
      <c r="P116" s="26"/>
    </row>
    <row r="117" hidden="1">
      <c r="A117" s="13" t="str">
        <f>IFERROR(__xludf.DUMMYFUNCTION("""COMPUTED_VALUE"""),"Weird West")</f>
        <v>Weird West</v>
      </c>
      <c r="B117" s="15" t="str">
        <f>IFERROR(__xludf.DUMMYFUNCTION("""COMPUTED_VALUE"""),"PS5/PS4")</f>
        <v>PS5/PS4</v>
      </c>
      <c r="C117" s="16" t="str">
        <f>IFERROR(__xludf.DUMMYFUNCTION("""COMPUTED_VALUE"""),"Essential")</f>
        <v>Essential</v>
      </c>
      <c r="D117" s="15" t="str">
        <f>IFERROR(__xludf.DUMMYFUNCTION("""COMPUTED_VALUE"""),"Removed")</f>
        <v>Removed</v>
      </c>
      <c r="E117" s="17">
        <f>IFERROR(__xludf.DUMMYFUNCTION("""COMPUTED_VALUE"""),45202.0)</f>
        <v>45202</v>
      </c>
      <c r="F117" s="54">
        <f>IFERROR(__xludf.DUMMYFUNCTION("""COMPUTED_VALUE"""),45236.0)</f>
        <v>45236</v>
      </c>
      <c r="G117" s="19">
        <f>IFERROR(__xludf.DUMMYFUNCTION("""COMPUTED_VALUE"""),1.0999999999999999)</f>
        <v>1.1</v>
      </c>
      <c r="H117" s="17">
        <f>IFERROR(__xludf.DUMMYFUNCTION("""COMPUTED_VALUE"""),44651.0)</f>
        <v>44651</v>
      </c>
      <c r="I117" s="19">
        <f>IFERROR(__xludf.DUMMYFUNCTION("""COMPUTED_VALUE"""),1.5083333333333333)</f>
        <v>1.508333333</v>
      </c>
      <c r="J117" s="21">
        <f>IFERROR(__xludf.DUMMYFUNCTION("""COMPUTED_VALUE"""),73.0)</f>
        <v>73</v>
      </c>
      <c r="K117" s="23">
        <f>IFERROR(__xludf.DUMMYFUNCTION("""COMPUTED_VALUE"""),7.0)</f>
        <v>7</v>
      </c>
      <c r="L117" s="24">
        <f>IFERROR(__xludf.DUMMYFUNCTION("""COMPUTED_VALUE"""),18.0)</f>
        <v>18</v>
      </c>
      <c r="M117" s="25" t="str">
        <f>IFERROR(__xludf.DUMMYFUNCTION("""COMPUTED_VALUE"""),"Action-Adventure")</f>
        <v>Action-Adventure</v>
      </c>
      <c r="N117" s="25"/>
      <c r="O117" s="26" t="str">
        <f>IFERROR(__xludf.DUMMYFUNCTION("""COMPUTED_VALUE"""),"No")</f>
        <v>No</v>
      </c>
      <c r="P117" s="26"/>
    </row>
    <row r="118" hidden="1">
      <c r="A118" s="13" t="str">
        <f>IFERROR(__xludf.DUMMYFUNCTION("""COMPUTED_VALUE"""),"Saints Row (2022)")</f>
        <v>Saints Row (2022)</v>
      </c>
      <c r="B118" s="15" t="str">
        <f>IFERROR(__xludf.DUMMYFUNCTION("""COMPUTED_VALUE"""),"PS5/PS4")</f>
        <v>PS5/PS4</v>
      </c>
      <c r="C118" s="16" t="str">
        <f>IFERROR(__xludf.DUMMYFUNCTION("""COMPUTED_VALUE"""),"Essential")</f>
        <v>Essential</v>
      </c>
      <c r="D118" s="15" t="str">
        <f>IFERROR(__xludf.DUMMYFUNCTION("""COMPUTED_VALUE"""),"Removed")</f>
        <v>Removed</v>
      </c>
      <c r="E118" s="17">
        <f>IFERROR(__xludf.DUMMYFUNCTION("""COMPUTED_VALUE"""),45174.0)</f>
        <v>45174</v>
      </c>
      <c r="F118" s="54">
        <f>IFERROR(__xludf.DUMMYFUNCTION("""COMPUTED_VALUE"""),45201.0)</f>
        <v>45201</v>
      </c>
      <c r="G118" s="19">
        <f>IFERROR(__xludf.DUMMYFUNCTION("""COMPUTED_VALUE"""),0.8999999999999999)</f>
        <v>0.9</v>
      </c>
      <c r="H118" s="17">
        <f>IFERROR(__xludf.DUMMYFUNCTION("""COMPUTED_VALUE"""),44796.0)</f>
        <v>44796</v>
      </c>
      <c r="I118" s="19">
        <f>IFERROR(__xludf.DUMMYFUNCTION("""COMPUTED_VALUE"""),1.0333333333333334)</f>
        <v>1.033333333</v>
      </c>
      <c r="J118" s="21">
        <f>IFERROR(__xludf.DUMMYFUNCTION("""COMPUTED_VALUE"""),61.0)</f>
        <v>61</v>
      </c>
      <c r="K118" s="23">
        <f>IFERROR(__xludf.DUMMYFUNCTION("""COMPUTED_VALUE"""),2.9)</f>
        <v>2.9</v>
      </c>
      <c r="L118" s="24">
        <f>IFERROR(__xludf.DUMMYFUNCTION("""COMPUTED_VALUE"""),13.0)</f>
        <v>13</v>
      </c>
      <c r="M118" s="25" t="str">
        <f>IFERROR(__xludf.DUMMYFUNCTION("""COMPUTED_VALUE"""),"Shooter")</f>
        <v>Shooter</v>
      </c>
      <c r="N118" s="25"/>
      <c r="O118" s="26" t="str">
        <f>IFERROR(__xludf.DUMMYFUNCTION("""COMPUTED_VALUE"""),"No")</f>
        <v>No</v>
      </c>
      <c r="P118" s="26"/>
    </row>
    <row r="119" hidden="1">
      <c r="A119" s="13" t="str">
        <f>IFERROR(__xludf.DUMMYFUNCTION("""COMPUTED_VALUE"""),"Black Desert: Traveler Edition")</f>
        <v>Black Desert: Traveler Edition</v>
      </c>
      <c r="B119" s="15" t="str">
        <f>IFERROR(__xludf.DUMMYFUNCTION("""COMPUTED_VALUE"""),"PS4")</f>
        <v>PS4</v>
      </c>
      <c r="C119" s="16" t="str">
        <f>IFERROR(__xludf.DUMMYFUNCTION("""COMPUTED_VALUE"""),"Essential")</f>
        <v>Essential</v>
      </c>
      <c r="D119" s="15" t="str">
        <f>IFERROR(__xludf.DUMMYFUNCTION("""COMPUTED_VALUE"""),"Removed")</f>
        <v>Removed</v>
      </c>
      <c r="E119" s="17">
        <f>IFERROR(__xludf.DUMMYFUNCTION("""COMPUTED_VALUE"""),45174.0)</f>
        <v>45174</v>
      </c>
      <c r="F119" s="54">
        <f>IFERROR(__xludf.DUMMYFUNCTION("""COMPUTED_VALUE"""),45201.0)</f>
        <v>45201</v>
      </c>
      <c r="G119" s="19">
        <f>IFERROR(__xludf.DUMMYFUNCTION("""COMPUTED_VALUE"""),0.8999999999999999)</f>
        <v>0.9</v>
      </c>
      <c r="H119" s="17">
        <f>IFERROR(__xludf.DUMMYFUNCTION("""COMPUTED_VALUE"""),43699.0)</f>
        <v>43699</v>
      </c>
      <c r="I119" s="19">
        <f>IFERROR(__xludf.DUMMYFUNCTION("""COMPUTED_VALUE"""),4.036111111111111)</f>
        <v>4.036111111</v>
      </c>
      <c r="J119" s="21">
        <f>IFERROR(__xludf.DUMMYFUNCTION("""COMPUTED_VALUE"""),61.0)</f>
        <v>61</v>
      </c>
      <c r="K119" s="23">
        <f>IFERROR(__xludf.DUMMYFUNCTION("""COMPUTED_VALUE"""),3.8)</f>
        <v>3.8</v>
      </c>
      <c r="L119" s="24">
        <f>IFERROR(__xludf.DUMMYFUNCTION("""COMPUTED_VALUE"""),69.0)</f>
        <v>69</v>
      </c>
      <c r="M119" s="25" t="str">
        <f>IFERROR(__xludf.DUMMYFUNCTION("""COMPUTED_VALUE"""),"RPG")</f>
        <v>RPG</v>
      </c>
      <c r="N119" s="25"/>
      <c r="O119" s="26" t="str">
        <f>IFERROR(__xludf.DUMMYFUNCTION("""COMPUTED_VALUE"""),"No")</f>
        <v>No</v>
      </c>
      <c r="P119" s="26"/>
    </row>
    <row r="120" hidden="1">
      <c r="A120" s="13" t="str">
        <f>IFERROR(__xludf.DUMMYFUNCTION("""COMPUTED_VALUE"""),"Generation Zero")</f>
        <v>Generation Zero</v>
      </c>
      <c r="B120" s="15" t="str">
        <f>IFERROR(__xludf.DUMMYFUNCTION("""COMPUTED_VALUE"""),"PS4")</f>
        <v>PS4</v>
      </c>
      <c r="C120" s="16" t="str">
        <f>IFERROR(__xludf.DUMMYFUNCTION("""COMPUTED_VALUE"""),"Essential")</f>
        <v>Essential</v>
      </c>
      <c r="D120" s="15" t="str">
        <f>IFERROR(__xludf.DUMMYFUNCTION("""COMPUTED_VALUE"""),"Removed")</f>
        <v>Removed</v>
      </c>
      <c r="E120" s="17">
        <f>IFERROR(__xludf.DUMMYFUNCTION("""COMPUTED_VALUE"""),45174.0)</f>
        <v>45174</v>
      </c>
      <c r="F120" s="54">
        <f>IFERROR(__xludf.DUMMYFUNCTION("""COMPUTED_VALUE"""),45201.0)</f>
        <v>45201</v>
      </c>
      <c r="G120" s="19">
        <f>IFERROR(__xludf.DUMMYFUNCTION("""COMPUTED_VALUE"""),0.8999999999999999)</f>
        <v>0.9</v>
      </c>
      <c r="H120" s="17">
        <f>IFERROR(__xludf.DUMMYFUNCTION("""COMPUTED_VALUE"""),43550.0)</f>
        <v>43550</v>
      </c>
      <c r="I120" s="19">
        <f>IFERROR(__xludf.DUMMYFUNCTION("""COMPUTED_VALUE"""),4.441666666666666)</f>
        <v>4.441666667</v>
      </c>
      <c r="J120" s="21">
        <f>IFERROR(__xludf.DUMMYFUNCTION("""COMPUTED_VALUE"""),45.0)</f>
        <v>45</v>
      </c>
      <c r="K120" s="23">
        <f>IFERROR(__xludf.DUMMYFUNCTION("""COMPUTED_VALUE"""),5.9)</f>
        <v>5.9</v>
      </c>
      <c r="L120" s="24">
        <f>IFERROR(__xludf.DUMMYFUNCTION("""COMPUTED_VALUE"""),19.0)</f>
        <v>19</v>
      </c>
      <c r="M120" s="25" t="str">
        <f>IFERROR(__xludf.DUMMYFUNCTION("""COMPUTED_VALUE"""),"Shooter")</f>
        <v>Shooter</v>
      </c>
      <c r="N120" s="25"/>
      <c r="O120" s="26" t="str">
        <f>IFERROR(__xludf.DUMMYFUNCTION("""COMPUTED_VALUE"""),"No")</f>
        <v>No</v>
      </c>
      <c r="P120" s="26"/>
    </row>
    <row r="121" hidden="1">
      <c r="A121" s="13" t="str">
        <f>IFERROR(__xludf.DUMMYFUNCTION("""COMPUTED_VALUE"""),"Death's Door")</f>
        <v>Death's Door</v>
      </c>
      <c r="B121" s="15" t="str">
        <f>IFERROR(__xludf.DUMMYFUNCTION("""COMPUTED_VALUE"""),"PS5/PS4")</f>
        <v>PS5/PS4</v>
      </c>
      <c r="C121" s="16" t="str">
        <f>IFERROR(__xludf.DUMMYFUNCTION("""COMPUTED_VALUE"""),"Essential")</f>
        <v>Essential</v>
      </c>
      <c r="D121" s="15" t="str">
        <f>IFERROR(__xludf.DUMMYFUNCTION("""COMPUTED_VALUE"""),"Removed")</f>
        <v>Removed</v>
      </c>
      <c r="E121" s="17">
        <f>IFERROR(__xludf.DUMMYFUNCTION("""COMPUTED_VALUE"""),45139.0)</f>
        <v>45139</v>
      </c>
      <c r="F121" s="54">
        <f>IFERROR(__xludf.DUMMYFUNCTION("""COMPUTED_VALUE"""),45173.0)</f>
        <v>45173</v>
      </c>
      <c r="G121" s="19">
        <f>IFERROR(__xludf.DUMMYFUNCTION("""COMPUTED_VALUE"""),1.0999999999999999)</f>
        <v>1.1</v>
      </c>
      <c r="H121" s="17">
        <f>IFERROR(__xludf.DUMMYFUNCTION("""COMPUTED_VALUE"""),44523.0)</f>
        <v>44523</v>
      </c>
      <c r="I121" s="19">
        <f>IFERROR(__xludf.DUMMYFUNCTION("""COMPUTED_VALUE"""),1.6888888888888889)</f>
        <v>1.688888889</v>
      </c>
      <c r="J121" s="21">
        <f>IFERROR(__xludf.DUMMYFUNCTION("""COMPUTED_VALUE"""),85.0)</f>
        <v>85</v>
      </c>
      <c r="K121" s="23">
        <f>IFERROR(__xludf.DUMMYFUNCTION("""COMPUTED_VALUE"""),6.7)</f>
        <v>6.7</v>
      </c>
      <c r="L121" s="24">
        <f>IFERROR(__xludf.DUMMYFUNCTION("""COMPUTED_VALUE"""),9.0)</f>
        <v>9</v>
      </c>
      <c r="M121" s="25" t="str">
        <f>IFERROR(__xludf.DUMMYFUNCTION("""COMPUTED_VALUE"""),"Action-Adventure")</f>
        <v>Action-Adventure</v>
      </c>
      <c r="N121" s="25"/>
      <c r="O121" s="26" t="str">
        <f>IFERROR(__xludf.DUMMYFUNCTION("""COMPUTED_VALUE"""),"No")</f>
        <v>No</v>
      </c>
      <c r="P121" s="26"/>
    </row>
    <row r="122" hidden="1">
      <c r="A122" s="13" t="str">
        <f>IFERROR(__xludf.DUMMYFUNCTION("""COMPUTED_VALUE"""),"PGA Tour 2K23")</f>
        <v>PGA Tour 2K23</v>
      </c>
      <c r="B122" s="15" t="str">
        <f>IFERROR(__xludf.DUMMYFUNCTION("""COMPUTED_VALUE"""),"PS5/PS4")</f>
        <v>PS5/PS4</v>
      </c>
      <c r="C122" s="16" t="str">
        <f>IFERROR(__xludf.DUMMYFUNCTION("""COMPUTED_VALUE"""),"Essential")</f>
        <v>Essential</v>
      </c>
      <c r="D122" s="15" t="str">
        <f>IFERROR(__xludf.DUMMYFUNCTION("""COMPUTED_VALUE"""),"Removed")</f>
        <v>Removed</v>
      </c>
      <c r="E122" s="17">
        <f>IFERROR(__xludf.DUMMYFUNCTION("""COMPUTED_VALUE"""),45139.0)</f>
        <v>45139</v>
      </c>
      <c r="F122" s="54">
        <f>IFERROR(__xludf.DUMMYFUNCTION("""COMPUTED_VALUE"""),45173.0)</f>
        <v>45173</v>
      </c>
      <c r="G122" s="19">
        <f>IFERROR(__xludf.DUMMYFUNCTION("""COMPUTED_VALUE"""),1.0999999999999999)</f>
        <v>1.1</v>
      </c>
      <c r="H122" s="17">
        <f>IFERROR(__xludf.DUMMYFUNCTION("""COMPUTED_VALUE"""),44845.0)</f>
        <v>44845</v>
      </c>
      <c r="I122" s="19">
        <f>IFERROR(__xludf.DUMMYFUNCTION("""COMPUTED_VALUE"""),0.8055555555555556)</f>
        <v>0.8055555556</v>
      </c>
      <c r="J122" s="21">
        <f>IFERROR(__xludf.DUMMYFUNCTION("""COMPUTED_VALUE"""),76.0)</f>
        <v>76</v>
      </c>
      <c r="K122" s="23">
        <f>IFERROR(__xludf.DUMMYFUNCTION("""COMPUTED_VALUE"""),5.4)</f>
        <v>5.4</v>
      </c>
      <c r="L122" s="24">
        <f>IFERROR(__xludf.DUMMYFUNCTION("""COMPUTED_VALUE"""),16.0)</f>
        <v>16</v>
      </c>
      <c r="M122" s="25" t="str">
        <f>IFERROR(__xludf.DUMMYFUNCTION("""COMPUTED_VALUE"""),"Sports")</f>
        <v>Sports</v>
      </c>
      <c r="N122" s="25"/>
      <c r="O122" s="26" t="str">
        <f>IFERROR(__xludf.DUMMYFUNCTION("""COMPUTED_VALUE"""),"No")</f>
        <v>No</v>
      </c>
      <c r="P122" s="26"/>
    </row>
    <row r="123" hidden="1">
      <c r="A123" s="13" t="str">
        <f>IFERROR(__xludf.DUMMYFUNCTION("""COMPUTED_VALUE"""),"Dreams")</f>
        <v>Dreams</v>
      </c>
      <c r="B123" s="15" t="str">
        <f>IFERROR(__xludf.DUMMYFUNCTION("""COMPUTED_VALUE"""),"PS4")</f>
        <v>PS4</v>
      </c>
      <c r="C123" s="16" t="str">
        <f>IFERROR(__xludf.DUMMYFUNCTION("""COMPUTED_VALUE"""),"Essential")</f>
        <v>Essential</v>
      </c>
      <c r="D123" s="15" t="str">
        <f>IFERROR(__xludf.DUMMYFUNCTION("""COMPUTED_VALUE"""),"Removed")</f>
        <v>Removed</v>
      </c>
      <c r="E123" s="17">
        <f>IFERROR(__xludf.DUMMYFUNCTION("""COMPUTED_VALUE"""),45139.0)</f>
        <v>45139</v>
      </c>
      <c r="F123" s="54">
        <f>IFERROR(__xludf.DUMMYFUNCTION("""COMPUTED_VALUE"""),45173.0)</f>
        <v>45173</v>
      </c>
      <c r="G123" s="19">
        <f>IFERROR(__xludf.DUMMYFUNCTION("""COMPUTED_VALUE"""),1.0999999999999999)</f>
        <v>1.1</v>
      </c>
      <c r="H123" s="17">
        <f>IFERROR(__xludf.DUMMYFUNCTION("""COMPUTED_VALUE"""),43875.0)</f>
        <v>43875</v>
      </c>
      <c r="I123" s="19">
        <f>IFERROR(__xludf.DUMMYFUNCTION("""COMPUTED_VALUE"""),3.463888888888889)</f>
        <v>3.463888889</v>
      </c>
      <c r="J123" s="21">
        <f>IFERROR(__xludf.DUMMYFUNCTION("""COMPUTED_VALUE"""),89.0)</f>
        <v>89</v>
      </c>
      <c r="K123" s="23">
        <f>IFERROR(__xludf.DUMMYFUNCTION("""COMPUTED_VALUE"""),8.7)</f>
        <v>8.7</v>
      </c>
      <c r="L123" s="24">
        <f>IFERROR(__xludf.DUMMYFUNCTION("""COMPUTED_VALUE"""),3.0)</f>
        <v>3</v>
      </c>
      <c r="M123" s="25" t="str">
        <f>IFERROR(__xludf.DUMMYFUNCTION("""COMPUTED_VALUE"""),"Action-Adventure")</f>
        <v>Action-Adventure</v>
      </c>
      <c r="N123" s="25"/>
      <c r="O123" s="26" t="str">
        <f>IFERROR(__xludf.DUMMYFUNCTION("""COMPUTED_VALUE"""),"No")</f>
        <v>No</v>
      </c>
      <c r="P123" s="26"/>
    </row>
    <row r="124" hidden="1">
      <c r="A124" s="13" t="str">
        <f>IFERROR(__xludf.DUMMYFUNCTION("""COMPUTED_VALUE"""),"Alan Wake: Remastered")</f>
        <v>Alan Wake: Remastered</v>
      </c>
      <c r="B124" s="15" t="str">
        <f>IFERROR(__xludf.DUMMYFUNCTION("""COMPUTED_VALUE"""),"PS5/PS4")</f>
        <v>PS5/PS4</v>
      </c>
      <c r="C124" s="16" t="str">
        <f>IFERROR(__xludf.DUMMYFUNCTION("""COMPUTED_VALUE"""),"Essential")</f>
        <v>Essential</v>
      </c>
      <c r="D124" s="15" t="str">
        <f>IFERROR(__xludf.DUMMYFUNCTION("""COMPUTED_VALUE"""),"Removed")</f>
        <v>Removed</v>
      </c>
      <c r="E124" s="17">
        <f>IFERROR(__xludf.DUMMYFUNCTION("""COMPUTED_VALUE"""),45111.0)</f>
        <v>45111</v>
      </c>
      <c r="F124" s="54">
        <f>IFERROR(__xludf.DUMMYFUNCTION("""COMPUTED_VALUE"""),45138.0)</f>
        <v>45138</v>
      </c>
      <c r="G124" s="19">
        <f>IFERROR(__xludf.DUMMYFUNCTION("""COMPUTED_VALUE"""),0.8666666666666666)</f>
        <v>0.8666666667</v>
      </c>
      <c r="H124" s="17">
        <f>IFERROR(__xludf.DUMMYFUNCTION("""COMPUTED_VALUE"""),44474.0)</f>
        <v>44474</v>
      </c>
      <c r="I124" s="19">
        <f>IFERROR(__xludf.DUMMYFUNCTION("""COMPUTED_VALUE"""),1.7472222222222222)</f>
        <v>1.747222222</v>
      </c>
      <c r="J124" s="21">
        <f>IFERROR(__xludf.DUMMYFUNCTION("""COMPUTED_VALUE"""),79.0)</f>
        <v>79</v>
      </c>
      <c r="K124" s="23">
        <f>IFERROR(__xludf.DUMMYFUNCTION("""COMPUTED_VALUE"""),8.0)</f>
        <v>8</v>
      </c>
      <c r="L124" s="24">
        <f>IFERROR(__xludf.DUMMYFUNCTION("""COMPUTED_VALUE"""),10.0)</f>
        <v>10</v>
      </c>
      <c r="M124" s="25" t="str">
        <f>IFERROR(__xludf.DUMMYFUNCTION("""COMPUTED_VALUE"""),"Action-Adventure")</f>
        <v>Action-Adventure</v>
      </c>
      <c r="N124" s="25"/>
      <c r="O124" s="26" t="str">
        <f>IFERROR(__xludf.DUMMYFUNCTION("""COMPUTED_VALUE"""),"No")</f>
        <v>No</v>
      </c>
      <c r="P124" s="26"/>
    </row>
    <row r="125" hidden="1">
      <c r="A125" s="13" t="str">
        <f>IFERROR(__xludf.DUMMYFUNCTION("""COMPUTED_VALUE"""),"Call of Duty: Black Ops Cold War")</f>
        <v>Call of Duty: Black Ops Cold War</v>
      </c>
      <c r="B125" s="15" t="str">
        <f>IFERROR(__xludf.DUMMYFUNCTION("""COMPUTED_VALUE"""),"PS5/PS4")</f>
        <v>PS5/PS4</v>
      </c>
      <c r="C125" s="16" t="str">
        <f>IFERROR(__xludf.DUMMYFUNCTION("""COMPUTED_VALUE"""),"Essential")</f>
        <v>Essential</v>
      </c>
      <c r="D125" s="15" t="str">
        <f>IFERROR(__xludf.DUMMYFUNCTION("""COMPUTED_VALUE"""),"Removed")</f>
        <v>Removed</v>
      </c>
      <c r="E125" s="17">
        <f>IFERROR(__xludf.DUMMYFUNCTION("""COMPUTED_VALUE"""),45111.0)</f>
        <v>45111</v>
      </c>
      <c r="F125" s="54">
        <f>IFERROR(__xludf.DUMMYFUNCTION("""COMPUTED_VALUE"""),45138.0)</f>
        <v>45138</v>
      </c>
      <c r="G125" s="19">
        <f>IFERROR(__xludf.DUMMYFUNCTION("""COMPUTED_VALUE"""),0.8666666666666666)</f>
        <v>0.8666666667</v>
      </c>
      <c r="H125" s="17">
        <f>IFERROR(__xludf.DUMMYFUNCTION("""COMPUTED_VALUE"""),44148.0)</f>
        <v>44148</v>
      </c>
      <c r="I125" s="19">
        <f>IFERROR(__xludf.DUMMYFUNCTION("""COMPUTED_VALUE"""),2.6416666666666666)</f>
        <v>2.641666667</v>
      </c>
      <c r="J125" s="21">
        <f>IFERROR(__xludf.DUMMYFUNCTION("""COMPUTED_VALUE"""),76.0)</f>
        <v>76</v>
      </c>
      <c r="K125" s="23">
        <f>IFERROR(__xludf.DUMMYFUNCTION("""COMPUTED_VALUE"""),4.1)</f>
        <v>4.1</v>
      </c>
      <c r="L125" s="24">
        <f>IFERROR(__xludf.DUMMYFUNCTION("""COMPUTED_VALUE"""),6.0)</f>
        <v>6</v>
      </c>
      <c r="M125" s="25" t="str">
        <f>IFERROR(__xludf.DUMMYFUNCTION("""COMPUTED_VALUE"""),"Shooter")</f>
        <v>Shooter</v>
      </c>
      <c r="N125" s="25"/>
      <c r="O125" s="26" t="str">
        <f>IFERROR(__xludf.DUMMYFUNCTION("""COMPUTED_VALUE"""),"No")</f>
        <v>No</v>
      </c>
      <c r="P125" s="26"/>
    </row>
    <row r="126" hidden="1">
      <c r="A126" s="13" t="str">
        <f>IFERROR(__xludf.DUMMYFUNCTION("""COMPUTED_VALUE"""),"Endling: Extinction is Forever")</f>
        <v>Endling: Extinction is Forever</v>
      </c>
      <c r="B126" s="15" t="str">
        <f>IFERROR(__xludf.DUMMYFUNCTION("""COMPUTED_VALUE"""),"PS5/PS4")</f>
        <v>PS5/PS4</v>
      </c>
      <c r="C126" s="16" t="str">
        <f>IFERROR(__xludf.DUMMYFUNCTION("""COMPUTED_VALUE"""),"Essential")</f>
        <v>Essential</v>
      </c>
      <c r="D126" s="15" t="str">
        <f>IFERROR(__xludf.DUMMYFUNCTION("""COMPUTED_VALUE"""),"Removed")</f>
        <v>Removed</v>
      </c>
      <c r="E126" s="17">
        <f>IFERROR(__xludf.DUMMYFUNCTION("""COMPUTED_VALUE"""),45111.0)</f>
        <v>45111</v>
      </c>
      <c r="F126" s="54">
        <f>IFERROR(__xludf.DUMMYFUNCTION("""COMPUTED_VALUE"""),45138.0)</f>
        <v>45138</v>
      </c>
      <c r="G126" s="19">
        <f>IFERROR(__xludf.DUMMYFUNCTION("""COMPUTED_VALUE"""),0.8666666666666666)</f>
        <v>0.8666666667</v>
      </c>
      <c r="H126" s="17">
        <f>IFERROR(__xludf.DUMMYFUNCTION("""COMPUTED_VALUE"""),44761.0)</f>
        <v>44761</v>
      </c>
      <c r="I126" s="19">
        <f>IFERROR(__xludf.DUMMYFUNCTION("""COMPUTED_VALUE"""),0.9583333333333334)</f>
        <v>0.9583333333</v>
      </c>
      <c r="J126" s="21">
        <f>IFERROR(__xludf.DUMMYFUNCTION("""COMPUTED_VALUE"""),82.0)</f>
        <v>82</v>
      </c>
      <c r="K126" s="23">
        <f>IFERROR(__xludf.DUMMYFUNCTION("""COMPUTED_VALUE"""),8.3)</f>
        <v>8.3</v>
      </c>
      <c r="L126" s="24">
        <f>IFERROR(__xludf.DUMMYFUNCTION("""COMPUTED_VALUE"""),4.0)</f>
        <v>4</v>
      </c>
      <c r="M126" s="25" t="str">
        <f>IFERROR(__xludf.DUMMYFUNCTION("""COMPUTED_VALUE"""),"Action-Adventure")</f>
        <v>Action-Adventure</v>
      </c>
      <c r="N126" s="25"/>
      <c r="O126" s="26" t="str">
        <f>IFERROR(__xludf.DUMMYFUNCTION("""COMPUTED_VALUE"""),"No")</f>
        <v>No</v>
      </c>
      <c r="P126" s="26"/>
    </row>
    <row r="127" hidden="1">
      <c r="A127" s="13" t="str">
        <f>IFERROR(__xludf.DUMMYFUNCTION("""COMPUTED_VALUE"""),"Jurassic World Evolution 2")</f>
        <v>Jurassic World Evolution 2</v>
      </c>
      <c r="B127" s="15" t="str">
        <f>IFERROR(__xludf.DUMMYFUNCTION("""COMPUTED_VALUE"""),"PS5/PS4")</f>
        <v>PS5/PS4</v>
      </c>
      <c r="C127" s="16" t="str">
        <f>IFERROR(__xludf.DUMMYFUNCTION("""COMPUTED_VALUE"""),"Essential")</f>
        <v>Essential</v>
      </c>
      <c r="D127" s="15" t="str">
        <f>IFERROR(__xludf.DUMMYFUNCTION("""COMPUTED_VALUE"""),"Removed")</f>
        <v>Removed</v>
      </c>
      <c r="E127" s="17">
        <f>IFERROR(__xludf.DUMMYFUNCTION("""COMPUTED_VALUE"""),45083.0)</f>
        <v>45083</v>
      </c>
      <c r="F127" s="54">
        <f>IFERROR(__xludf.DUMMYFUNCTION("""COMPUTED_VALUE"""),45110.0)</f>
        <v>45110</v>
      </c>
      <c r="G127" s="19">
        <f>IFERROR(__xludf.DUMMYFUNCTION("""COMPUTED_VALUE"""),0.8999999999999999)</f>
        <v>0.9</v>
      </c>
      <c r="H127" s="17">
        <f>IFERROR(__xludf.DUMMYFUNCTION("""COMPUTED_VALUE"""),44509.0)</f>
        <v>44509</v>
      </c>
      <c r="I127" s="19">
        <f>IFERROR(__xludf.DUMMYFUNCTION("""COMPUTED_VALUE"""),1.575)</f>
        <v>1.575</v>
      </c>
      <c r="J127" s="21">
        <f>IFERROR(__xludf.DUMMYFUNCTION("""COMPUTED_VALUE"""),78.0)</f>
        <v>78</v>
      </c>
      <c r="K127" s="23">
        <f>IFERROR(__xludf.DUMMYFUNCTION("""COMPUTED_VALUE"""),7.0)</f>
        <v>7</v>
      </c>
      <c r="L127" s="24">
        <f>IFERROR(__xludf.DUMMYFUNCTION("""COMPUTED_VALUE"""),6.0)</f>
        <v>6</v>
      </c>
      <c r="M127" s="25" t="str">
        <f>IFERROR(__xludf.DUMMYFUNCTION("""COMPUTED_VALUE"""),"Strategy")</f>
        <v>Strategy</v>
      </c>
      <c r="N127" s="25"/>
      <c r="O127" s="26" t="str">
        <f>IFERROR(__xludf.DUMMYFUNCTION("""COMPUTED_VALUE"""),"No")</f>
        <v>No</v>
      </c>
      <c r="P127" s="26"/>
    </row>
    <row r="128" hidden="1">
      <c r="A128" s="13" t="str">
        <f>IFERROR(__xludf.DUMMYFUNCTION("""COMPUTED_VALUE"""),"NBA 2K23")</f>
        <v>NBA 2K23</v>
      </c>
      <c r="B128" s="15" t="str">
        <f>IFERROR(__xludf.DUMMYFUNCTION("""COMPUTED_VALUE"""),"PS5/PS4")</f>
        <v>PS5/PS4</v>
      </c>
      <c r="C128" s="16" t="str">
        <f>IFERROR(__xludf.DUMMYFUNCTION("""COMPUTED_VALUE"""),"Essential")</f>
        <v>Essential</v>
      </c>
      <c r="D128" s="15" t="str">
        <f>IFERROR(__xludf.DUMMYFUNCTION("""COMPUTED_VALUE"""),"Removed")</f>
        <v>Removed</v>
      </c>
      <c r="E128" s="17">
        <f>IFERROR(__xludf.DUMMYFUNCTION("""COMPUTED_VALUE"""),45083.0)</f>
        <v>45083</v>
      </c>
      <c r="F128" s="54">
        <f>IFERROR(__xludf.DUMMYFUNCTION("""COMPUTED_VALUE"""),45110.0)</f>
        <v>45110</v>
      </c>
      <c r="G128" s="19">
        <f>IFERROR(__xludf.DUMMYFUNCTION("""COMPUTED_VALUE"""),0.8999999999999999)</f>
        <v>0.9</v>
      </c>
      <c r="H128" s="17">
        <f>IFERROR(__xludf.DUMMYFUNCTION("""COMPUTED_VALUE"""),44813.0)</f>
        <v>44813</v>
      </c>
      <c r="I128" s="19">
        <f>IFERROR(__xludf.DUMMYFUNCTION("""COMPUTED_VALUE"""),0.7416666666666667)</f>
        <v>0.7416666667</v>
      </c>
      <c r="J128" s="21">
        <f>IFERROR(__xludf.DUMMYFUNCTION("""COMPUTED_VALUE"""),78.0)</f>
        <v>78</v>
      </c>
      <c r="K128" s="23">
        <f>IFERROR(__xludf.DUMMYFUNCTION("""COMPUTED_VALUE"""),4.5)</f>
        <v>4.5</v>
      </c>
      <c r="L128" s="24">
        <f>IFERROR(__xludf.DUMMYFUNCTION("""COMPUTED_VALUE"""),25.0)</f>
        <v>25</v>
      </c>
      <c r="M128" s="25" t="str">
        <f>IFERROR(__xludf.DUMMYFUNCTION("""COMPUTED_VALUE"""),"Sports")</f>
        <v>Sports</v>
      </c>
      <c r="N128" s="25"/>
      <c r="O128" s="26" t="str">
        <f>IFERROR(__xludf.DUMMYFUNCTION("""COMPUTED_VALUE"""),"No")</f>
        <v>No</v>
      </c>
      <c r="P128" s="26"/>
    </row>
    <row r="129" hidden="1">
      <c r="A129" s="13" t="str">
        <f>IFERROR(__xludf.DUMMYFUNCTION("""COMPUTED_VALUE"""),"Trek to Yomi")</f>
        <v>Trek to Yomi</v>
      </c>
      <c r="B129" s="15" t="str">
        <f>IFERROR(__xludf.DUMMYFUNCTION("""COMPUTED_VALUE"""),"PS5/PS4")</f>
        <v>PS5/PS4</v>
      </c>
      <c r="C129" s="16" t="str">
        <f>IFERROR(__xludf.DUMMYFUNCTION("""COMPUTED_VALUE"""),"Essential")</f>
        <v>Essential</v>
      </c>
      <c r="D129" s="15" t="str">
        <f>IFERROR(__xludf.DUMMYFUNCTION("""COMPUTED_VALUE"""),"Removed")</f>
        <v>Removed</v>
      </c>
      <c r="E129" s="17">
        <f>IFERROR(__xludf.DUMMYFUNCTION("""COMPUTED_VALUE"""),45083.0)</f>
        <v>45083</v>
      </c>
      <c r="F129" s="54">
        <f>IFERROR(__xludf.DUMMYFUNCTION("""COMPUTED_VALUE"""),45110.0)</f>
        <v>45110</v>
      </c>
      <c r="G129" s="19">
        <f>IFERROR(__xludf.DUMMYFUNCTION("""COMPUTED_VALUE"""),0.8999999999999999)</f>
        <v>0.9</v>
      </c>
      <c r="H129" s="17">
        <f>IFERROR(__xludf.DUMMYFUNCTION("""COMPUTED_VALUE"""),44686.0)</f>
        <v>44686</v>
      </c>
      <c r="I129" s="19">
        <f>IFERROR(__xludf.DUMMYFUNCTION("""COMPUTED_VALUE"""),1.086111111111111)</f>
        <v>1.086111111</v>
      </c>
      <c r="J129" s="21">
        <f>IFERROR(__xludf.DUMMYFUNCTION("""COMPUTED_VALUE"""),69.0)</f>
        <v>69</v>
      </c>
      <c r="K129" s="23">
        <f>IFERROR(__xludf.DUMMYFUNCTION("""COMPUTED_VALUE"""),6.9)</f>
        <v>6.9</v>
      </c>
      <c r="L129" s="24">
        <f>IFERROR(__xludf.DUMMYFUNCTION("""COMPUTED_VALUE"""),5.0)</f>
        <v>5</v>
      </c>
      <c r="M129" s="25" t="str">
        <f>IFERROR(__xludf.DUMMYFUNCTION("""COMPUTED_VALUE"""),"Action-Adventure")</f>
        <v>Action-Adventure</v>
      </c>
      <c r="N129" s="25"/>
      <c r="O129" s="26" t="str">
        <f>IFERROR(__xludf.DUMMYFUNCTION("""COMPUTED_VALUE"""),"No")</f>
        <v>No</v>
      </c>
      <c r="P129" s="26"/>
    </row>
    <row r="130" hidden="1">
      <c r="A130" s="13" t="str">
        <f>IFERROR(__xludf.DUMMYFUNCTION("""COMPUTED_VALUE"""),"Chivalry II")</f>
        <v>Chivalry II</v>
      </c>
      <c r="B130" s="15" t="str">
        <f>IFERROR(__xludf.DUMMYFUNCTION("""COMPUTED_VALUE"""),"PS5/PS4")</f>
        <v>PS5/PS4</v>
      </c>
      <c r="C130" s="16" t="str">
        <f>IFERROR(__xludf.DUMMYFUNCTION("""COMPUTED_VALUE"""),"Essential")</f>
        <v>Essential</v>
      </c>
      <c r="D130" s="15" t="str">
        <f>IFERROR(__xludf.DUMMYFUNCTION("""COMPUTED_VALUE"""),"Removed")</f>
        <v>Removed</v>
      </c>
      <c r="E130" s="17">
        <f>IFERROR(__xludf.DUMMYFUNCTION("""COMPUTED_VALUE"""),45048.0)</f>
        <v>45048</v>
      </c>
      <c r="F130" s="54">
        <f>IFERROR(__xludf.DUMMYFUNCTION("""COMPUTED_VALUE"""),45082.0)</f>
        <v>45082</v>
      </c>
      <c r="G130" s="19">
        <f>IFERROR(__xludf.DUMMYFUNCTION("""COMPUTED_VALUE"""),1.0999999999999999)</f>
        <v>1.1</v>
      </c>
      <c r="H130" s="17">
        <f>IFERROR(__xludf.DUMMYFUNCTION("""COMPUTED_VALUE"""),44355.0)</f>
        <v>44355</v>
      </c>
      <c r="I130" s="19">
        <f>IFERROR(__xludf.DUMMYFUNCTION("""COMPUTED_VALUE"""),1.9)</f>
        <v>1.9</v>
      </c>
      <c r="J130" s="21">
        <f>IFERROR(__xludf.DUMMYFUNCTION("""COMPUTED_VALUE"""),66.0)</f>
        <v>66</v>
      </c>
      <c r="K130" s="23">
        <f>IFERROR(__xludf.DUMMYFUNCTION("""COMPUTED_VALUE"""),4.7)</f>
        <v>4.7</v>
      </c>
      <c r="L130" s="24">
        <f>IFERROR(__xludf.DUMMYFUNCTION("""COMPUTED_VALUE"""),45.0)</f>
        <v>45</v>
      </c>
      <c r="M130" s="25" t="str">
        <f>IFERROR(__xludf.DUMMYFUNCTION("""COMPUTED_VALUE"""),"Action-Adventure")</f>
        <v>Action-Adventure</v>
      </c>
      <c r="N130" s="25"/>
      <c r="O130" s="26" t="str">
        <f>IFERROR(__xludf.DUMMYFUNCTION("""COMPUTED_VALUE"""),"No")</f>
        <v>No</v>
      </c>
      <c r="P130" s="26"/>
    </row>
    <row r="131" hidden="1">
      <c r="A131" s="13" t="str">
        <f>IFERROR(__xludf.DUMMYFUNCTION("""COMPUTED_VALUE"""),"GRID: Legends")</f>
        <v>GRID: Legends</v>
      </c>
      <c r="B131" s="15" t="str">
        <f>IFERROR(__xludf.DUMMYFUNCTION("""COMPUTED_VALUE"""),"PS5/PS4")</f>
        <v>PS5/PS4</v>
      </c>
      <c r="C131" s="16" t="str">
        <f>IFERROR(__xludf.DUMMYFUNCTION("""COMPUTED_VALUE"""),"Essential")</f>
        <v>Essential</v>
      </c>
      <c r="D131" s="15" t="str">
        <f>IFERROR(__xludf.DUMMYFUNCTION("""COMPUTED_VALUE"""),"Removed")</f>
        <v>Removed</v>
      </c>
      <c r="E131" s="17">
        <f>IFERROR(__xludf.DUMMYFUNCTION("""COMPUTED_VALUE"""),45048.0)</f>
        <v>45048</v>
      </c>
      <c r="F131" s="54">
        <f>IFERROR(__xludf.DUMMYFUNCTION("""COMPUTED_VALUE"""),45082.0)</f>
        <v>45082</v>
      </c>
      <c r="G131" s="19">
        <f>IFERROR(__xludf.DUMMYFUNCTION("""COMPUTED_VALUE"""),1.0999999999999999)</f>
        <v>1.1</v>
      </c>
      <c r="H131" s="17">
        <f>IFERROR(__xludf.DUMMYFUNCTION("""COMPUTED_VALUE"""),44617.0)</f>
        <v>44617</v>
      </c>
      <c r="I131" s="19">
        <f>IFERROR(__xludf.DUMMYFUNCTION("""COMPUTED_VALUE"""),1.1861111111111111)</f>
        <v>1.186111111</v>
      </c>
      <c r="J131" s="21">
        <f>IFERROR(__xludf.DUMMYFUNCTION("""COMPUTED_VALUE"""),77.0)</f>
        <v>77</v>
      </c>
      <c r="K131" s="23">
        <f>IFERROR(__xludf.DUMMYFUNCTION("""COMPUTED_VALUE"""),5.9)</f>
        <v>5.9</v>
      </c>
      <c r="L131" s="24">
        <f>IFERROR(__xludf.DUMMYFUNCTION("""COMPUTED_VALUE"""),6.0)</f>
        <v>6</v>
      </c>
      <c r="M131" s="25" t="str">
        <f>IFERROR(__xludf.DUMMYFUNCTION("""COMPUTED_VALUE"""),"Racing")</f>
        <v>Racing</v>
      </c>
      <c r="N131" s="25"/>
      <c r="O131" s="26" t="str">
        <f>IFERROR(__xludf.DUMMYFUNCTION("""COMPUTED_VALUE"""),"No")</f>
        <v>No</v>
      </c>
      <c r="P131" s="26"/>
    </row>
    <row r="132" hidden="1">
      <c r="A132" s="13" t="str">
        <f>IFERROR(__xludf.DUMMYFUNCTION("""COMPUTED_VALUE"""),"Descenders")</f>
        <v>Descenders</v>
      </c>
      <c r="B132" s="15" t="str">
        <f>IFERROR(__xludf.DUMMYFUNCTION("""COMPUTED_VALUE"""),"PS4")</f>
        <v>PS4</v>
      </c>
      <c r="C132" s="16" t="str">
        <f>IFERROR(__xludf.DUMMYFUNCTION("""COMPUTED_VALUE"""),"Essential")</f>
        <v>Essential</v>
      </c>
      <c r="D132" s="15" t="str">
        <f>IFERROR(__xludf.DUMMYFUNCTION("""COMPUTED_VALUE"""),"Removed")</f>
        <v>Removed</v>
      </c>
      <c r="E132" s="17">
        <f>IFERROR(__xludf.DUMMYFUNCTION("""COMPUTED_VALUE"""),45048.0)</f>
        <v>45048</v>
      </c>
      <c r="F132" s="54">
        <f>IFERROR(__xludf.DUMMYFUNCTION("""COMPUTED_VALUE"""),45082.0)</f>
        <v>45082</v>
      </c>
      <c r="G132" s="19">
        <f>IFERROR(__xludf.DUMMYFUNCTION("""COMPUTED_VALUE"""),1.0999999999999999)</f>
        <v>1.1</v>
      </c>
      <c r="H132" s="17">
        <f>IFERROR(__xludf.DUMMYFUNCTION("""COMPUTED_VALUE"""),44068.0)</f>
        <v>44068</v>
      </c>
      <c r="I132" s="19">
        <f>IFERROR(__xludf.DUMMYFUNCTION("""COMPUTED_VALUE"""),2.686111111111111)</f>
        <v>2.686111111</v>
      </c>
      <c r="J132" s="21">
        <f>IFERROR(__xludf.DUMMYFUNCTION("""COMPUTED_VALUE"""),75.0)</f>
        <v>75</v>
      </c>
      <c r="K132" s="23">
        <f>IFERROR(__xludf.DUMMYFUNCTION("""COMPUTED_VALUE"""),5.0)</f>
        <v>5</v>
      </c>
      <c r="L132" s="24">
        <f>IFERROR(__xludf.DUMMYFUNCTION("""COMPUTED_VALUE"""),5.0)</f>
        <v>5</v>
      </c>
      <c r="M132" s="25" t="str">
        <f>IFERROR(__xludf.DUMMYFUNCTION("""COMPUTED_VALUE"""),"Racing")</f>
        <v>Racing</v>
      </c>
      <c r="N132" s="25"/>
      <c r="O132" s="26" t="str">
        <f>IFERROR(__xludf.DUMMYFUNCTION("""COMPUTED_VALUE"""),"No")</f>
        <v>No</v>
      </c>
      <c r="P132" s="26"/>
    </row>
    <row r="133" hidden="1">
      <c r="A133" s="13" t="str">
        <f>IFERROR(__xludf.DUMMYFUNCTION("""COMPUTED_VALUE"""),"Meet Your Maker")</f>
        <v>Meet Your Maker</v>
      </c>
      <c r="B133" s="15" t="str">
        <f>IFERROR(__xludf.DUMMYFUNCTION("""COMPUTED_VALUE"""),"PS5/PS4")</f>
        <v>PS5/PS4</v>
      </c>
      <c r="C133" s="16" t="str">
        <f>IFERROR(__xludf.DUMMYFUNCTION("""COMPUTED_VALUE"""),"Essential")</f>
        <v>Essential</v>
      </c>
      <c r="D133" s="15" t="str">
        <f>IFERROR(__xludf.DUMMYFUNCTION("""COMPUTED_VALUE"""),"Removed")</f>
        <v>Removed</v>
      </c>
      <c r="E133" s="17">
        <f>IFERROR(__xludf.DUMMYFUNCTION("""COMPUTED_VALUE"""),45020.0)</f>
        <v>45020</v>
      </c>
      <c r="F133" s="54">
        <f>IFERROR(__xludf.DUMMYFUNCTION("""COMPUTED_VALUE"""),45047.0)</f>
        <v>45047</v>
      </c>
      <c r="G133" s="19">
        <f>IFERROR(__xludf.DUMMYFUNCTION("""COMPUTED_VALUE"""),0.8999999999999999)</f>
        <v>0.9</v>
      </c>
      <c r="H133" s="17">
        <f>IFERROR(__xludf.DUMMYFUNCTION("""COMPUTED_VALUE"""),45020.0)</f>
        <v>45020</v>
      </c>
      <c r="I133" s="19">
        <f>IFERROR(__xludf.DUMMYFUNCTION("""COMPUTED_VALUE"""),0.0)</f>
        <v>0</v>
      </c>
      <c r="J133" s="21">
        <f>IFERROR(__xludf.DUMMYFUNCTION("""COMPUTED_VALUE"""),73.0)</f>
        <v>73</v>
      </c>
      <c r="K133" s="23">
        <f>IFERROR(__xludf.DUMMYFUNCTION("""COMPUTED_VALUE"""),5.5)</f>
        <v>5.5</v>
      </c>
      <c r="L133" s="24">
        <f>IFERROR(__xludf.DUMMYFUNCTION("""COMPUTED_VALUE"""),11.0)</f>
        <v>11</v>
      </c>
      <c r="M133" s="68" t="str">
        <f>IFERROR(__xludf.DUMMYFUNCTION("""COMPUTED_VALUE"""),"Shooter")</f>
        <v>Shooter</v>
      </c>
      <c r="N133" s="68"/>
      <c r="O133" s="69" t="str">
        <f>IFERROR(__xludf.DUMMYFUNCTION("""COMPUTED_VALUE"""),"No")</f>
        <v>No</v>
      </c>
      <c r="P133" s="69"/>
    </row>
    <row r="134" hidden="1">
      <c r="A134" s="13" t="str">
        <f>IFERROR(__xludf.DUMMYFUNCTION("""COMPUTED_VALUE"""),"Sackboy: A Big Adventure")</f>
        <v>Sackboy: A Big Adventure</v>
      </c>
      <c r="B134" s="15" t="str">
        <f>IFERROR(__xludf.DUMMYFUNCTION("""COMPUTED_VALUE"""),"PS5/PS4")</f>
        <v>PS5/PS4</v>
      </c>
      <c r="C134" s="16" t="str">
        <f>IFERROR(__xludf.DUMMYFUNCTION("""COMPUTED_VALUE"""),"Essential")</f>
        <v>Essential</v>
      </c>
      <c r="D134" s="15" t="str">
        <f>IFERROR(__xludf.DUMMYFUNCTION("""COMPUTED_VALUE"""),"Removed")</f>
        <v>Removed</v>
      </c>
      <c r="E134" s="17">
        <f>IFERROR(__xludf.DUMMYFUNCTION("""COMPUTED_VALUE"""),45020.0)</f>
        <v>45020</v>
      </c>
      <c r="F134" s="54">
        <f>IFERROR(__xludf.DUMMYFUNCTION("""COMPUTED_VALUE"""),45047.0)</f>
        <v>45047</v>
      </c>
      <c r="G134" s="19">
        <f>IFERROR(__xludf.DUMMYFUNCTION("""COMPUTED_VALUE"""),0.8999999999999999)</f>
        <v>0.9</v>
      </c>
      <c r="H134" s="17">
        <f>IFERROR(__xludf.DUMMYFUNCTION("""COMPUTED_VALUE"""),44147.0)</f>
        <v>44147</v>
      </c>
      <c r="I134" s="19">
        <f>IFERROR(__xludf.DUMMYFUNCTION("""COMPUTED_VALUE"""),2.3944444444444444)</f>
        <v>2.394444444</v>
      </c>
      <c r="J134" s="21">
        <f>IFERROR(__xludf.DUMMYFUNCTION("""COMPUTED_VALUE"""),83.0)</f>
        <v>83</v>
      </c>
      <c r="K134" s="23">
        <f>IFERROR(__xludf.DUMMYFUNCTION("""COMPUTED_VALUE"""),7.8)</f>
        <v>7.8</v>
      </c>
      <c r="L134" s="24">
        <f>IFERROR(__xludf.DUMMYFUNCTION("""COMPUTED_VALUE"""),11.0)</f>
        <v>11</v>
      </c>
      <c r="M134" s="25" t="str">
        <f>IFERROR(__xludf.DUMMYFUNCTION("""COMPUTED_VALUE"""),"Platformer")</f>
        <v>Platformer</v>
      </c>
      <c r="N134" s="25"/>
      <c r="O134" s="26" t="str">
        <f>IFERROR(__xludf.DUMMYFUNCTION("""COMPUTED_VALUE"""),"No")</f>
        <v>No</v>
      </c>
      <c r="P134" s="26" t="str">
        <f>IFERROR(__xludf.DUMMYFUNCTION("""COMPUTED_VALUE"""),"Yes")</f>
        <v>Yes</v>
      </c>
    </row>
    <row r="135" hidden="1">
      <c r="A135" s="13" t="str">
        <f>IFERROR(__xludf.DUMMYFUNCTION("""COMPUTED_VALUE"""),"Tails of Iron")</f>
        <v>Tails of Iron</v>
      </c>
      <c r="B135" s="15" t="str">
        <f>IFERROR(__xludf.DUMMYFUNCTION("""COMPUTED_VALUE"""),"PS5/PS4")</f>
        <v>PS5/PS4</v>
      </c>
      <c r="C135" s="16" t="str">
        <f>IFERROR(__xludf.DUMMYFUNCTION("""COMPUTED_VALUE"""),"Essential")</f>
        <v>Essential</v>
      </c>
      <c r="D135" s="15" t="str">
        <f>IFERROR(__xludf.DUMMYFUNCTION("""COMPUTED_VALUE"""),"Removed")</f>
        <v>Removed</v>
      </c>
      <c r="E135" s="17">
        <f>IFERROR(__xludf.DUMMYFUNCTION("""COMPUTED_VALUE"""),45020.0)</f>
        <v>45020</v>
      </c>
      <c r="F135" s="54">
        <f>IFERROR(__xludf.DUMMYFUNCTION("""COMPUTED_VALUE"""),45047.0)</f>
        <v>45047</v>
      </c>
      <c r="G135" s="19">
        <f>IFERROR(__xludf.DUMMYFUNCTION("""COMPUTED_VALUE"""),0.8999999999999999)</f>
        <v>0.9</v>
      </c>
      <c r="H135" s="17">
        <f>IFERROR(__xludf.DUMMYFUNCTION("""COMPUTED_VALUE"""),44517.0)</f>
        <v>44517</v>
      </c>
      <c r="I135" s="19">
        <f>IFERROR(__xludf.DUMMYFUNCTION("""COMPUTED_VALUE"""),1.3805555555555555)</f>
        <v>1.380555556</v>
      </c>
      <c r="J135" s="21">
        <f>IFERROR(__xludf.DUMMYFUNCTION("""COMPUTED_VALUE"""),81.0)</f>
        <v>81</v>
      </c>
      <c r="K135" s="23">
        <f>IFERROR(__xludf.DUMMYFUNCTION("""COMPUTED_VALUE"""),7.1)</f>
        <v>7.1</v>
      </c>
      <c r="L135" s="24">
        <f>IFERROR(__xludf.DUMMYFUNCTION("""COMPUTED_VALUE"""),7.0)</f>
        <v>7</v>
      </c>
      <c r="M135" s="25" t="str">
        <f>IFERROR(__xludf.DUMMYFUNCTION("""COMPUTED_VALUE"""),"RPG")</f>
        <v>RPG</v>
      </c>
      <c r="N135" s="25"/>
      <c r="O135" s="26" t="str">
        <f>IFERROR(__xludf.DUMMYFUNCTION("""COMPUTED_VALUE"""),"No")</f>
        <v>No</v>
      </c>
      <c r="P135" s="26"/>
    </row>
    <row r="136" hidden="1">
      <c r="A136" s="13" t="str">
        <f>IFERROR(__xludf.DUMMYFUNCTION("""COMPUTED_VALUE"""),"Battlefield 2042")</f>
        <v>Battlefield 2042</v>
      </c>
      <c r="B136" s="15" t="str">
        <f>IFERROR(__xludf.DUMMYFUNCTION("""COMPUTED_VALUE"""),"PS5/PS4")</f>
        <v>PS5/PS4</v>
      </c>
      <c r="C136" s="16" t="str">
        <f>IFERROR(__xludf.DUMMYFUNCTION("""COMPUTED_VALUE"""),"Essential")</f>
        <v>Essential</v>
      </c>
      <c r="D136" s="15" t="str">
        <f>IFERROR(__xludf.DUMMYFUNCTION("""COMPUTED_VALUE"""),"Removed")</f>
        <v>Removed</v>
      </c>
      <c r="E136" s="17">
        <f>IFERROR(__xludf.DUMMYFUNCTION("""COMPUTED_VALUE"""),44992.0)</f>
        <v>44992</v>
      </c>
      <c r="F136" s="54">
        <f>IFERROR(__xludf.DUMMYFUNCTION("""COMPUTED_VALUE"""),45019.0)</f>
        <v>45019</v>
      </c>
      <c r="G136" s="19">
        <f>IFERROR(__xludf.DUMMYFUNCTION("""COMPUTED_VALUE"""),0.8666666666666666)</f>
        <v>0.8666666667</v>
      </c>
      <c r="H136" s="17">
        <f>IFERROR(__xludf.DUMMYFUNCTION("""COMPUTED_VALUE"""),44512.0)</f>
        <v>44512</v>
      </c>
      <c r="I136" s="19">
        <f>IFERROR(__xludf.DUMMYFUNCTION("""COMPUTED_VALUE"""),1.3194444444444444)</f>
        <v>1.319444444</v>
      </c>
      <c r="J136" s="21">
        <f>IFERROR(__xludf.DUMMYFUNCTION("""COMPUTED_VALUE"""),63.0)</f>
        <v>63</v>
      </c>
      <c r="K136" s="23">
        <f>IFERROR(__xludf.DUMMYFUNCTION("""COMPUTED_VALUE"""),2.6)</f>
        <v>2.6</v>
      </c>
      <c r="L136" s="24">
        <f>IFERROR(__xludf.DUMMYFUNCTION("""COMPUTED_VALUE"""),65.0)</f>
        <v>65</v>
      </c>
      <c r="M136" s="25" t="str">
        <f>IFERROR(__xludf.DUMMYFUNCTION("""COMPUTED_VALUE"""),"Shooter")</f>
        <v>Shooter</v>
      </c>
      <c r="N136" s="25"/>
      <c r="O136" s="26" t="str">
        <f>IFERROR(__xludf.DUMMYFUNCTION("""COMPUTED_VALUE"""),"Yes")</f>
        <v>Yes</v>
      </c>
      <c r="P136" s="26"/>
    </row>
    <row r="137" hidden="1">
      <c r="A137" s="13" t="str">
        <f>IFERROR(__xludf.DUMMYFUNCTION("""COMPUTED_VALUE"""),"Minecraft: Dungeons")</f>
        <v>Minecraft: Dungeons</v>
      </c>
      <c r="B137" s="15" t="str">
        <f>IFERROR(__xludf.DUMMYFUNCTION("""COMPUTED_VALUE"""),"PS4")</f>
        <v>PS4</v>
      </c>
      <c r="C137" s="16" t="str">
        <f>IFERROR(__xludf.DUMMYFUNCTION("""COMPUTED_VALUE"""),"Essential")</f>
        <v>Essential</v>
      </c>
      <c r="D137" s="15" t="str">
        <f>IFERROR(__xludf.DUMMYFUNCTION("""COMPUTED_VALUE"""),"Removed")</f>
        <v>Removed</v>
      </c>
      <c r="E137" s="17">
        <f>IFERROR(__xludf.DUMMYFUNCTION("""COMPUTED_VALUE"""),44992.0)</f>
        <v>44992</v>
      </c>
      <c r="F137" s="54">
        <f>IFERROR(__xludf.DUMMYFUNCTION("""COMPUTED_VALUE"""),45019.0)</f>
        <v>45019</v>
      </c>
      <c r="G137" s="19">
        <f>IFERROR(__xludf.DUMMYFUNCTION("""COMPUTED_VALUE"""),0.8666666666666666)</f>
        <v>0.8666666667</v>
      </c>
      <c r="H137" s="17">
        <f>IFERROR(__xludf.DUMMYFUNCTION("""COMPUTED_VALUE"""),43977.0)</f>
        <v>43977</v>
      </c>
      <c r="I137" s="19">
        <f>IFERROR(__xludf.DUMMYFUNCTION("""COMPUTED_VALUE"""),2.7805555555555554)</f>
        <v>2.780555556</v>
      </c>
      <c r="J137" s="21">
        <f>IFERROR(__xludf.DUMMYFUNCTION("""COMPUTED_VALUE"""),78.0)</f>
        <v>78</v>
      </c>
      <c r="K137" s="23">
        <f>IFERROR(__xludf.DUMMYFUNCTION("""COMPUTED_VALUE"""),6.2)</f>
        <v>6.2</v>
      </c>
      <c r="L137" s="24">
        <f>IFERROR(__xludf.DUMMYFUNCTION("""COMPUTED_VALUE"""),6.0)</f>
        <v>6</v>
      </c>
      <c r="M137" s="25" t="str">
        <f>IFERROR(__xludf.DUMMYFUNCTION("""COMPUTED_VALUE"""),"RPG")</f>
        <v>RPG</v>
      </c>
      <c r="N137" s="25"/>
      <c r="O137" s="26" t="str">
        <f>IFERROR(__xludf.DUMMYFUNCTION("""COMPUTED_VALUE"""),"No")</f>
        <v>No</v>
      </c>
      <c r="P137" s="26"/>
    </row>
    <row r="138" hidden="1">
      <c r="A138" s="13" t="str">
        <f>IFERROR(__xludf.DUMMYFUNCTION("""COMPUTED_VALUE"""),"Code Vein")</f>
        <v>Code Vein</v>
      </c>
      <c r="B138" s="15" t="str">
        <f>IFERROR(__xludf.DUMMYFUNCTION("""COMPUTED_VALUE"""),"PS4")</f>
        <v>PS4</v>
      </c>
      <c r="C138" s="16" t="str">
        <f>IFERROR(__xludf.DUMMYFUNCTION("""COMPUTED_VALUE"""),"Essential")</f>
        <v>Essential</v>
      </c>
      <c r="D138" s="15" t="str">
        <f>IFERROR(__xludf.DUMMYFUNCTION("""COMPUTED_VALUE"""),"Removed")</f>
        <v>Removed</v>
      </c>
      <c r="E138" s="17">
        <f>IFERROR(__xludf.DUMMYFUNCTION("""COMPUTED_VALUE"""),44992.0)</f>
        <v>44992</v>
      </c>
      <c r="F138" s="18">
        <f>IFERROR(__xludf.DUMMYFUNCTION("""COMPUTED_VALUE"""),45019.0)</f>
        <v>45019</v>
      </c>
      <c r="G138" s="19">
        <f>IFERROR(__xludf.DUMMYFUNCTION("""COMPUTED_VALUE"""),0.8666666666666666)</f>
        <v>0.8666666667</v>
      </c>
      <c r="H138" s="17">
        <f>IFERROR(__xludf.DUMMYFUNCTION("""COMPUTED_VALUE"""),43735.0)</f>
        <v>43735</v>
      </c>
      <c r="I138" s="19">
        <f>IFERROR(__xludf.DUMMYFUNCTION("""COMPUTED_VALUE"""),3.4444444444444446)</f>
        <v>3.444444444</v>
      </c>
      <c r="J138" s="21">
        <f>IFERROR(__xludf.DUMMYFUNCTION("""COMPUTED_VALUE"""),70.0)</f>
        <v>70</v>
      </c>
      <c r="K138" s="23">
        <f>IFERROR(__xludf.DUMMYFUNCTION("""COMPUTED_VALUE"""),7.8)</f>
        <v>7.8</v>
      </c>
      <c r="L138" s="24">
        <f>IFERROR(__xludf.DUMMYFUNCTION("""COMPUTED_VALUE"""),26.0)</f>
        <v>26</v>
      </c>
      <c r="M138" s="25" t="str">
        <f>IFERROR(__xludf.DUMMYFUNCTION("""COMPUTED_VALUE"""),"RPG")</f>
        <v>RPG</v>
      </c>
      <c r="N138" s="25"/>
      <c r="O138" s="26" t="str">
        <f>IFERROR(__xludf.DUMMYFUNCTION("""COMPUTED_VALUE"""),"No")</f>
        <v>No</v>
      </c>
      <c r="P138" s="26"/>
    </row>
    <row r="139" hidden="1">
      <c r="A139" s="13" t="str">
        <f>IFERROR(__xludf.DUMMYFUNCTION("""COMPUTED_VALUE"""),"Destiny 2: Beyond Light")</f>
        <v>Destiny 2: Beyond Light</v>
      </c>
      <c r="B139" s="15" t="str">
        <f>IFERROR(__xludf.DUMMYFUNCTION("""COMPUTED_VALUE"""),"PS5/PS4")</f>
        <v>PS5/PS4</v>
      </c>
      <c r="C139" s="16" t="str">
        <f>IFERROR(__xludf.DUMMYFUNCTION("""COMPUTED_VALUE"""),"Essential")</f>
        <v>Essential</v>
      </c>
      <c r="D139" s="15" t="str">
        <f>IFERROR(__xludf.DUMMYFUNCTION("""COMPUTED_VALUE"""),"Removed")</f>
        <v>Removed</v>
      </c>
      <c r="E139" s="17">
        <f>IFERROR(__xludf.DUMMYFUNCTION("""COMPUTED_VALUE"""),44964.0)</f>
        <v>44964</v>
      </c>
      <c r="F139" s="54">
        <f>IFERROR(__xludf.DUMMYFUNCTION("""COMPUTED_VALUE"""),44991.0)</f>
        <v>44991</v>
      </c>
      <c r="G139" s="19">
        <f>IFERROR(__xludf.DUMMYFUNCTION("""COMPUTED_VALUE"""),0.9666666666666668)</f>
        <v>0.9666666667</v>
      </c>
      <c r="H139" s="17">
        <f>IFERROR(__xludf.DUMMYFUNCTION("""COMPUTED_VALUE"""),44145.0)</f>
        <v>44145</v>
      </c>
      <c r="I139" s="19">
        <f>IFERROR(__xludf.DUMMYFUNCTION("""COMPUTED_VALUE"""),2.2416666666666667)</f>
        <v>2.241666667</v>
      </c>
      <c r="J139" s="21">
        <f>IFERROR(__xludf.DUMMYFUNCTION("""COMPUTED_VALUE"""),76.0)</f>
        <v>76</v>
      </c>
      <c r="K139" s="23">
        <f>IFERROR(__xludf.DUMMYFUNCTION("""COMPUTED_VALUE"""),3.9)</f>
        <v>3.9</v>
      </c>
      <c r="L139" s="24">
        <f>IFERROR(__xludf.DUMMYFUNCTION("""COMPUTED_VALUE"""),6.0)</f>
        <v>6</v>
      </c>
      <c r="M139" s="25" t="str">
        <f>IFERROR(__xludf.DUMMYFUNCTION("""COMPUTED_VALUE"""),"Shooter")</f>
        <v>Shooter</v>
      </c>
      <c r="N139" s="25"/>
      <c r="O139" s="26" t="str">
        <f>IFERROR(__xludf.DUMMYFUNCTION("""COMPUTED_VALUE"""),"No")</f>
        <v>No</v>
      </c>
      <c r="P139" s="26"/>
    </row>
    <row r="140" hidden="1">
      <c r="A140" s="13" t="str">
        <f>IFERROR(__xludf.DUMMYFUNCTION("""COMPUTED_VALUE"""),"Evil Dead: The Game")</f>
        <v>Evil Dead: The Game</v>
      </c>
      <c r="B140" s="15" t="str">
        <f>IFERROR(__xludf.DUMMYFUNCTION("""COMPUTED_VALUE"""),"PS5/PS4")</f>
        <v>PS5/PS4</v>
      </c>
      <c r="C140" s="16" t="str">
        <f>IFERROR(__xludf.DUMMYFUNCTION("""COMPUTED_VALUE"""),"Essential")</f>
        <v>Essential</v>
      </c>
      <c r="D140" s="15" t="str">
        <f>IFERROR(__xludf.DUMMYFUNCTION("""COMPUTED_VALUE"""),"Removed")</f>
        <v>Removed</v>
      </c>
      <c r="E140" s="17">
        <f>IFERROR(__xludf.DUMMYFUNCTION("""COMPUTED_VALUE"""),44964.0)</f>
        <v>44964</v>
      </c>
      <c r="F140" s="18">
        <f>IFERROR(__xludf.DUMMYFUNCTION("""COMPUTED_VALUE"""),44991.0)</f>
        <v>44991</v>
      </c>
      <c r="G140" s="19">
        <f>IFERROR(__xludf.DUMMYFUNCTION("""COMPUTED_VALUE"""),0.9666666666666668)</f>
        <v>0.9666666667</v>
      </c>
      <c r="H140" s="17">
        <f>IFERROR(__xludf.DUMMYFUNCTION("""COMPUTED_VALUE"""),44694.0)</f>
        <v>44694</v>
      </c>
      <c r="I140" s="19">
        <f>IFERROR(__xludf.DUMMYFUNCTION("""COMPUTED_VALUE"""),0.7333333333333333)</f>
        <v>0.7333333333</v>
      </c>
      <c r="J140" s="21">
        <f>IFERROR(__xludf.DUMMYFUNCTION("""COMPUTED_VALUE"""),72.0)</f>
        <v>72</v>
      </c>
      <c r="K140" s="23">
        <f>IFERROR(__xludf.DUMMYFUNCTION("""COMPUTED_VALUE"""),7.5)</f>
        <v>7.5</v>
      </c>
      <c r="L140" s="24">
        <f>IFERROR(__xludf.DUMMYFUNCTION("""COMPUTED_VALUE"""),4.0)</f>
        <v>4</v>
      </c>
      <c r="M140" s="70" t="str">
        <f>IFERROR(__xludf.DUMMYFUNCTION("""COMPUTED_VALUE"""),"Action-Adventure")</f>
        <v>Action-Adventure</v>
      </c>
      <c r="N140" s="25"/>
      <c r="O140" s="26" t="str">
        <f>IFERROR(__xludf.DUMMYFUNCTION("""COMPUTED_VALUE"""),"No")</f>
        <v>No</v>
      </c>
      <c r="P140" s="26"/>
    </row>
    <row r="141" hidden="1">
      <c r="A141" s="13" t="str">
        <f>IFERROR(__xludf.DUMMYFUNCTION("""COMPUTED_VALUE"""),"OlliOlli World")</f>
        <v>OlliOlli World</v>
      </c>
      <c r="B141" s="15" t="str">
        <f>IFERROR(__xludf.DUMMYFUNCTION("""COMPUTED_VALUE"""),"PS5/PS4")</f>
        <v>PS5/PS4</v>
      </c>
      <c r="C141" s="16" t="str">
        <f>IFERROR(__xludf.DUMMYFUNCTION("""COMPUTED_VALUE"""),"Essential")</f>
        <v>Essential</v>
      </c>
      <c r="D141" s="15" t="str">
        <f>IFERROR(__xludf.DUMMYFUNCTION("""COMPUTED_VALUE"""),"Removed")</f>
        <v>Removed</v>
      </c>
      <c r="E141" s="17">
        <f>IFERROR(__xludf.DUMMYFUNCTION("""COMPUTED_VALUE"""),44964.0)</f>
        <v>44964</v>
      </c>
      <c r="F141" s="18">
        <f>IFERROR(__xludf.DUMMYFUNCTION("""COMPUTED_VALUE"""),44991.0)</f>
        <v>44991</v>
      </c>
      <c r="G141" s="19">
        <f>IFERROR(__xludf.DUMMYFUNCTION("""COMPUTED_VALUE"""),0.9666666666666668)</f>
        <v>0.9666666667</v>
      </c>
      <c r="H141" s="17">
        <f>IFERROR(__xludf.DUMMYFUNCTION("""COMPUTED_VALUE"""),44600.0)</f>
        <v>44600</v>
      </c>
      <c r="I141" s="19">
        <f>IFERROR(__xludf.DUMMYFUNCTION("""COMPUTED_VALUE"""),0.9972222222222222)</f>
        <v>0.9972222222</v>
      </c>
      <c r="J141" s="21">
        <f>IFERROR(__xludf.DUMMYFUNCTION("""COMPUTED_VALUE"""),86.0)</f>
        <v>86</v>
      </c>
      <c r="K141" s="23">
        <f>IFERROR(__xludf.DUMMYFUNCTION("""COMPUTED_VALUE"""),7.8)</f>
        <v>7.8</v>
      </c>
      <c r="L141" s="24">
        <f>IFERROR(__xludf.DUMMYFUNCTION("""COMPUTED_VALUE"""),6.0)</f>
        <v>6</v>
      </c>
      <c r="M141" s="25" t="str">
        <f>IFERROR(__xludf.DUMMYFUNCTION("""COMPUTED_VALUE"""),"Platformer")</f>
        <v>Platformer</v>
      </c>
      <c r="N141" s="25"/>
      <c r="O141" s="26" t="str">
        <f>IFERROR(__xludf.DUMMYFUNCTION("""COMPUTED_VALUE"""),"No")</f>
        <v>No</v>
      </c>
      <c r="P141" s="26"/>
    </row>
    <row r="142" hidden="1">
      <c r="A142" s="13" t="str">
        <f>IFERROR(__xludf.DUMMYFUNCTION("""COMPUTED_VALUE"""),"Mafia: Definitive Edition")</f>
        <v>Mafia: Definitive Edition</v>
      </c>
      <c r="B142" s="15" t="str">
        <f>IFERROR(__xludf.DUMMYFUNCTION("""COMPUTED_VALUE"""),"PS4")</f>
        <v>PS4</v>
      </c>
      <c r="C142" s="16" t="str">
        <f>IFERROR(__xludf.DUMMYFUNCTION("""COMPUTED_VALUE"""),"Essential")</f>
        <v>Essential</v>
      </c>
      <c r="D142" s="15" t="str">
        <f>IFERROR(__xludf.DUMMYFUNCTION("""COMPUTED_VALUE"""),"Removed")</f>
        <v>Removed</v>
      </c>
      <c r="E142" s="17">
        <f>IFERROR(__xludf.DUMMYFUNCTION("""COMPUTED_VALUE"""),44964.0)</f>
        <v>44964</v>
      </c>
      <c r="F142" s="54">
        <f>IFERROR(__xludf.DUMMYFUNCTION("""COMPUTED_VALUE"""),44991.0)</f>
        <v>44991</v>
      </c>
      <c r="G142" s="19">
        <f>IFERROR(__xludf.DUMMYFUNCTION("""COMPUTED_VALUE"""),0.9666666666666668)</f>
        <v>0.9666666667</v>
      </c>
      <c r="H142" s="17">
        <f>IFERROR(__xludf.DUMMYFUNCTION("""COMPUTED_VALUE"""),44099.0)</f>
        <v>44099</v>
      </c>
      <c r="I142" s="19">
        <f>IFERROR(__xludf.DUMMYFUNCTION("""COMPUTED_VALUE"""),2.3666666666666667)</f>
        <v>2.366666667</v>
      </c>
      <c r="J142" s="21">
        <f>IFERROR(__xludf.DUMMYFUNCTION("""COMPUTED_VALUE"""),76.0)</f>
        <v>76</v>
      </c>
      <c r="K142" s="23">
        <f>IFERROR(__xludf.DUMMYFUNCTION("""COMPUTED_VALUE"""),7.0)</f>
        <v>7</v>
      </c>
      <c r="L142" s="24">
        <f>IFERROR(__xludf.DUMMYFUNCTION("""COMPUTED_VALUE"""),11.0)</f>
        <v>11</v>
      </c>
      <c r="M142" s="25" t="str">
        <f>IFERROR(__xludf.DUMMYFUNCTION("""COMPUTED_VALUE"""),"Shooter")</f>
        <v>Shooter</v>
      </c>
      <c r="N142" s="25"/>
      <c r="O142" s="26" t="str">
        <f>IFERROR(__xludf.DUMMYFUNCTION("""COMPUTED_VALUE"""),"No")</f>
        <v>No</v>
      </c>
      <c r="P142" s="26"/>
    </row>
    <row r="143" hidden="1">
      <c r="A143" s="13" t="str">
        <f>IFERROR(__xludf.DUMMYFUNCTION("""COMPUTED_VALUE"""),"Axiom Verge 2")</f>
        <v>Axiom Verge 2</v>
      </c>
      <c r="B143" s="15" t="str">
        <f>IFERROR(__xludf.DUMMYFUNCTION("""COMPUTED_VALUE"""),"PS5/PS4")</f>
        <v>PS5/PS4</v>
      </c>
      <c r="C143" s="16" t="str">
        <f>IFERROR(__xludf.DUMMYFUNCTION("""COMPUTED_VALUE"""),"Essential")</f>
        <v>Essential</v>
      </c>
      <c r="D143" s="15" t="str">
        <f>IFERROR(__xludf.DUMMYFUNCTION("""COMPUTED_VALUE"""),"Removed")</f>
        <v>Removed</v>
      </c>
      <c r="E143" s="17">
        <f>IFERROR(__xludf.DUMMYFUNCTION("""COMPUTED_VALUE"""),44929.0)</f>
        <v>44929</v>
      </c>
      <c r="F143" s="54">
        <f>IFERROR(__xludf.DUMMYFUNCTION("""COMPUTED_VALUE"""),44963.0)</f>
        <v>44963</v>
      </c>
      <c r="G143" s="19">
        <f>IFERROR(__xludf.DUMMYFUNCTION("""COMPUTED_VALUE"""),1.0999999999999999)</f>
        <v>1.1</v>
      </c>
      <c r="H143" s="17">
        <f>IFERROR(__xludf.DUMMYFUNCTION("""COMPUTED_VALUE"""),44419.0)</f>
        <v>44419</v>
      </c>
      <c r="I143" s="19">
        <f>IFERROR(__xludf.DUMMYFUNCTION("""COMPUTED_VALUE"""),1.3944444444444444)</f>
        <v>1.394444444</v>
      </c>
      <c r="J143" s="21">
        <f>IFERROR(__xludf.DUMMYFUNCTION("""COMPUTED_VALUE"""),75.0)</f>
        <v>75</v>
      </c>
      <c r="K143" s="23">
        <f>IFERROR(__xludf.DUMMYFUNCTION("""COMPUTED_VALUE"""),5.7)</f>
        <v>5.7</v>
      </c>
      <c r="L143" s="24">
        <f>IFERROR(__xludf.DUMMYFUNCTION("""COMPUTED_VALUE"""),9.0)</f>
        <v>9</v>
      </c>
      <c r="M143" s="25" t="str">
        <f>IFERROR(__xludf.DUMMYFUNCTION("""COMPUTED_VALUE"""),"Platformer")</f>
        <v>Platformer</v>
      </c>
      <c r="N143" s="25"/>
      <c r="O143" s="26" t="str">
        <f>IFERROR(__xludf.DUMMYFUNCTION("""COMPUTED_VALUE"""),"No")</f>
        <v>No</v>
      </c>
      <c r="P143" s="26"/>
    </row>
    <row r="144" hidden="1">
      <c r="A144" s="13" t="str">
        <f>IFERROR(__xludf.DUMMYFUNCTION("""COMPUTED_VALUE"""),"Star Wars Jedi: Fallen Order")</f>
        <v>Star Wars Jedi: Fallen Order</v>
      </c>
      <c r="B144" s="15" t="str">
        <f>IFERROR(__xludf.DUMMYFUNCTION("""COMPUTED_VALUE"""),"PS5/PS4")</f>
        <v>PS5/PS4</v>
      </c>
      <c r="C144" s="16" t="str">
        <f>IFERROR(__xludf.DUMMYFUNCTION("""COMPUTED_VALUE"""),"Essential")</f>
        <v>Essential</v>
      </c>
      <c r="D144" s="15" t="str">
        <f>IFERROR(__xludf.DUMMYFUNCTION("""COMPUTED_VALUE"""),"Removed")</f>
        <v>Removed</v>
      </c>
      <c r="E144" s="17">
        <f>IFERROR(__xludf.DUMMYFUNCTION("""COMPUTED_VALUE"""),44929.0)</f>
        <v>44929</v>
      </c>
      <c r="F144" s="54">
        <f>IFERROR(__xludf.DUMMYFUNCTION("""COMPUTED_VALUE"""),44963.0)</f>
        <v>44963</v>
      </c>
      <c r="G144" s="19">
        <f>IFERROR(__xludf.DUMMYFUNCTION("""COMPUTED_VALUE"""),1.0999999999999999)</f>
        <v>1.1</v>
      </c>
      <c r="H144" s="17">
        <f>IFERROR(__xludf.DUMMYFUNCTION("""COMPUTED_VALUE"""),43784.0)</f>
        <v>43784</v>
      </c>
      <c r="I144" s="19">
        <f>IFERROR(__xludf.DUMMYFUNCTION("""COMPUTED_VALUE"""),3.1333333333333333)</f>
        <v>3.133333333</v>
      </c>
      <c r="J144" s="21">
        <f>IFERROR(__xludf.DUMMYFUNCTION("""COMPUTED_VALUE"""),79.0)</f>
        <v>79</v>
      </c>
      <c r="K144" s="23">
        <f>IFERROR(__xludf.DUMMYFUNCTION("""COMPUTED_VALUE"""),7.6)</f>
        <v>7.6</v>
      </c>
      <c r="L144" s="24">
        <f>IFERROR(__xludf.DUMMYFUNCTION("""COMPUTED_VALUE"""),17.0)</f>
        <v>17</v>
      </c>
      <c r="M144" s="25" t="str">
        <f>IFERROR(__xludf.DUMMYFUNCTION("""COMPUTED_VALUE"""),"Action-Adventure")</f>
        <v>Action-Adventure</v>
      </c>
      <c r="N144" s="25"/>
      <c r="O144" s="26" t="str">
        <f>IFERROR(__xludf.DUMMYFUNCTION("""COMPUTED_VALUE"""),"No")</f>
        <v>No</v>
      </c>
      <c r="P144" s="26"/>
    </row>
    <row r="145" hidden="1">
      <c r="A145" s="13" t="str">
        <f>IFERROR(__xludf.DUMMYFUNCTION("""COMPUTED_VALUE"""),"Fallout 76")</f>
        <v>Fallout 76</v>
      </c>
      <c r="B145" s="15" t="str">
        <f>IFERROR(__xludf.DUMMYFUNCTION("""COMPUTED_VALUE"""),"PS4")</f>
        <v>PS4</v>
      </c>
      <c r="C145" s="16" t="str">
        <f>IFERROR(__xludf.DUMMYFUNCTION("""COMPUTED_VALUE"""),"Essential")</f>
        <v>Essential</v>
      </c>
      <c r="D145" s="15" t="str">
        <f>IFERROR(__xludf.DUMMYFUNCTION("""COMPUTED_VALUE"""),"Removed")</f>
        <v>Removed</v>
      </c>
      <c r="E145" s="17">
        <f>IFERROR(__xludf.DUMMYFUNCTION("""COMPUTED_VALUE"""),44929.0)</f>
        <v>44929</v>
      </c>
      <c r="F145" s="54">
        <f>IFERROR(__xludf.DUMMYFUNCTION("""COMPUTED_VALUE"""),44963.0)</f>
        <v>44963</v>
      </c>
      <c r="G145" s="19">
        <f>IFERROR(__xludf.DUMMYFUNCTION("""COMPUTED_VALUE"""),1.0999999999999999)</f>
        <v>1.1</v>
      </c>
      <c r="H145" s="17">
        <f>IFERROR(__xludf.DUMMYFUNCTION("""COMPUTED_VALUE"""),43418.0)</f>
        <v>43418</v>
      </c>
      <c r="I145" s="19">
        <f>IFERROR(__xludf.DUMMYFUNCTION("""COMPUTED_VALUE"""),4.136111111111111)</f>
        <v>4.136111111</v>
      </c>
      <c r="J145" s="21">
        <f>IFERROR(__xludf.DUMMYFUNCTION("""COMPUTED_VALUE"""),53.0)</f>
        <v>53</v>
      </c>
      <c r="K145" s="23">
        <f>IFERROR(__xludf.DUMMYFUNCTION("""COMPUTED_VALUE"""),2.8)</f>
        <v>2.8</v>
      </c>
      <c r="L145" s="24">
        <f>IFERROR(__xludf.DUMMYFUNCTION("""COMPUTED_VALUE"""),33.0)</f>
        <v>33</v>
      </c>
      <c r="M145" s="25" t="str">
        <f>IFERROR(__xludf.DUMMYFUNCTION("""COMPUTED_VALUE"""),"Shooter")</f>
        <v>Shooter</v>
      </c>
      <c r="N145" s="25"/>
      <c r="O145" s="26" t="str">
        <f>IFERROR(__xludf.DUMMYFUNCTION("""COMPUTED_VALUE"""),"No")</f>
        <v>No</v>
      </c>
      <c r="P145" s="26"/>
    </row>
    <row r="146" hidden="1">
      <c r="A146" s="13" t="str">
        <f>IFERROR(__xludf.DUMMYFUNCTION("""COMPUTED_VALUE"""),"Divine Knockout")</f>
        <v>Divine Knockout</v>
      </c>
      <c r="B146" s="15" t="str">
        <f>IFERROR(__xludf.DUMMYFUNCTION("""COMPUTED_VALUE"""),"PS5/PS4")</f>
        <v>PS5/PS4</v>
      </c>
      <c r="C146" s="16" t="str">
        <f>IFERROR(__xludf.DUMMYFUNCTION("""COMPUTED_VALUE"""),"Essential")</f>
        <v>Essential</v>
      </c>
      <c r="D146" s="15" t="str">
        <f>IFERROR(__xludf.DUMMYFUNCTION("""COMPUTED_VALUE"""),"Removed")</f>
        <v>Removed</v>
      </c>
      <c r="E146" s="17">
        <f>IFERROR(__xludf.DUMMYFUNCTION("""COMPUTED_VALUE"""),44901.0)</f>
        <v>44901</v>
      </c>
      <c r="F146" s="54">
        <f>IFERROR(__xludf.DUMMYFUNCTION("""COMPUTED_VALUE"""),44928.0)</f>
        <v>44928</v>
      </c>
      <c r="G146" s="19">
        <f>IFERROR(__xludf.DUMMYFUNCTION("""COMPUTED_VALUE"""),0.8666666666666666)</f>
        <v>0.8666666667</v>
      </c>
      <c r="H146" s="17">
        <f>IFERROR(__xludf.DUMMYFUNCTION("""COMPUTED_VALUE"""),44901.0)</f>
        <v>44901</v>
      </c>
      <c r="I146" s="19">
        <f>IFERROR(__xludf.DUMMYFUNCTION("""COMPUTED_VALUE"""),0.0)</f>
        <v>0</v>
      </c>
      <c r="J146" s="21">
        <f>IFERROR(__xludf.DUMMYFUNCTION("""COMPUTED_VALUE"""),70.0)</f>
        <v>70</v>
      </c>
      <c r="K146" s="23">
        <f>IFERROR(__xludf.DUMMYFUNCTION("""COMPUTED_VALUE"""),3.0)</f>
        <v>3</v>
      </c>
      <c r="L146" s="24"/>
      <c r="M146" s="25" t="str">
        <f>IFERROR(__xludf.DUMMYFUNCTION("""COMPUTED_VALUE"""),"Action-Adventure")</f>
        <v>Action-Adventure</v>
      </c>
      <c r="N146" s="25"/>
      <c r="O146" s="26" t="str">
        <f>IFERROR(__xludf.DUMMYFUNCTION("""COMPUTED_VALUE"""),"No")</f>
        <v>No</v>
      </c>
      <c r="P146" s="26"/>
    </row>
    <row r="147" hidden="1">
      <c r="A147" s="13" t="str">
        <f>IFERROR(__xludf.DUMMYFUNCTION("""COMPUTED_VALUE"""),"Biomutant")</f>
        <v>Biomutant</v>
      </c>
      <c r="B147" s="15" t="str">
        <f>IFERROR(__xludf.DUMMYFUNCTION("""COMPUTED_VALUE"""),"PS5/PS4")</f>
        <v>PS5/PS4</v>
      </c>
      <c r="C147" s="16" t="str">
        <f>IFERROR(__xludf.DUMMYFUNCTION("""COMPUTED_VALUE"""),"Essential")</f>
        <v>Essential</v>
      </c>
      <c r="D147" s="15" t="str">
        <f>IFERROR(__xludf.DUMMYFUNCTION("""COMPUTED_VALUE"""),"Removed")</f>
        <v>Removed</v>
      </c>
      <c r="E147" s="17">
        <f>IFERROR(__xludf.DUMMYFUNCTION("""COMPUTED_VALUE"""),44901.0)</f>
        <v>44901</v>
      </c>
      <c r="F147" s="54">
        <f>IFERROR(__xludf.DUMMYFUNCTION("""COMPUTED_VALUE"""),44928.0)</f>
        <v>44928</v>
      </c>
      <c r="G147" s="19">
        <f>IFERROR(__xludf.DUMMYFUNCTION("""COMPUTED_VALUE"""),0.8666666666666666)</f>
        <v>0.8666666667</v>
      </c>
      <c r="H147" s="17">
        <f>IFERROR(__xludf.DUMMYFUNCTION("""COMPUTED_VALUE"""),44341.0)</f>
        <v>44341</v>
      </c>
      <c r="I147" s="19">
        <f>IFERROR(__xludf.DUMMYFUNCTION("""COMPUTED_VALUE"""),1.5305555555555554)</f>
        <v>1.530555556</v>
      </c>
      <c r="J147" s="21">
        <f>IFERROR(__xludf.DUMMYFUNCTION("""COMPUTED_VALUE"""),64.0)</f>
        <v>64</v>
      </c>
      <c r="K147" s="23">
        <f>IFERROR(__xludf.DUMMYFUNCTION("""COMPUTED_VALUE"""),6.7)</f>
        <v>6.7</v>
      </c>
      <c r="L147" s="24">
        <f>IFERROR(__xludf.DUMMYFUNCTION("""COMPUTED_VALUE"""),13.0)</f>
        <v>13</v>
      </c>
      <c r="M147" s="25" t="str">
        <f>IFERROR(__xludf.DUMMYFUNCTION("""COMPUTED_VALUE"""),"RPG")</f>
        <v>RPG</v>
      </c>
      <c r="N147" s="25"/>
      <c r="O147" s="26" t="str">
        <f>IFERROR(__xludf.DUMMYFUNCTION("""COMPUTED_VALUE"""),"No")</f>
        <v>No</v>
      </c>
      <c r="P147" s="26"/>
    </row>
    <row r="148" hidden="1">
      <c r="A148" s="13" t="str">
        <f>IFERROR(__xludf.DUMMYFUNCTION("""COMPUTED_VALUE"""),"Mass Effect: Legendary Edition")</f>
        <v>Mass Effect: Legendary Edition</v>
      </c>
      <c r="B148" s="15" t="str">
        <f>IFERROR(__xludf.DUMMYFUNCTION("""COMPUTED_VALUE"""),"PS4")</f>
        <v>PS4</v>
      </c>
      <c r="C148" s="16" t="str">
        <f>IFERROR(__xludf.DUMMYFUNCTION("""COMPUTED_VALUE"""),"Essential")</f>
        <v>Essential</v>
      </c>
      <c r="D148" s="15" t="str">
        <f>IFERROR(__xludf.DUMMYFUNCTION("""COMPUTED_VALUE"""),"Removed")</f>
        <v>Removed</v>
      </c>
      <c r="E148" s="17">
        <f>IFERROR(__xludf.DUMMYFUNCTION("""COMPUTED_VALUE"""),44901.0)</f>
        <v>44901</v>
      </c>
      <c r="F148" s="54">
        <f>IFERROR(__xludf.DUMMYFUNCTION("""COMPUTED_VALUE"""),44928.0)</f>
        <v>44928</v>
      </c>
      <c r="G148" s="19">
        <f>IFERROR(__xludf.DUMMYFUNCTION("""COMPUTED_VALUE"""),0.8666666666666666)</f>
        <v>0.8666666667</v>
      </c>
      <c r="H148" s="17">
        <f>IFERROR(__xludf.DUMMYFUNCTION("""COMPUTED_VALUE"""),44330.0)</f>
        <v>44330</v>
      </c>
      <c r="I148" s="19">
        <f>IFERROR(__xludf.DUMMYFUNCTION("""COMPUTED_VALUE"""),1.5611111111111111)</f>
        <v>1.561111111</v>
      </c>
      <c r="J148" s="21">
        <f>IFERROR(__xludf.DUMMYFUNCTION("""COMPUTED_VALUE"""),87.0)</f>
        <v>87</v>
      </c>
      <c r="K148" s="23">
        <f>IFERROR(__xludf.DUMMYFUNCTION("""COMPUTED_VALUE"""),6.5)</f>
        <v>6.5</v>
      </c>
      <c r="L148" s="24">
        <f>IFERROR(__xludf.DUMMYFUNCTION("""COMPUTED_VALUE"""),105.0)</f>
        <v>105</v>
      </c>
      <c r="M148" s="25" t="str">
        <f>IFERROR(__xludf.DUMMYFUNCTION("""COMPUTED_VALUE"""),"Shooter")</f>
        <v>Shooter</v>
      </c>
      <c r="N148" s="25"/>
      <c r="O148" s="26" t="str">
        <f>IFERROR(__xludf.DUMMYFUNCTION("""COMPUTED_VALUE"""),"No")</f>
        <v>No</v>
      </c>
      <c r="P148" s="26"/>
    </row>
    <row r="149" hidden="1">
      <c r="A149" s="13" t="str">
        <f>IFERROR(__xludf.DUMMYFUNCTION("""COMPUTED_VALUE"""),"Heavenly Bodies")</f>
        <v>Heavenly Bodies</v>
      </c>
      <c r="B149" s="15" t="str">
        <f>IFERROR(__xludf.DUMMYFUNCTION("""COMPUTED_VALUE"""),"PS5/PS4")</f>
        <v>PS5/PS4</v>
      </c>
      <c r="C149" s="16" t="str">
        <f>IFERROR(__xludf.DUMMYFUNCTION("""COMPUTED_VALUE"""),"Essential")</f>
        <v>Essential</v>
      </c>
      <c r="D149" s="15" t="str">
        <f>IFERROR(__xludf.DUMMYFUNCTION("""COMPUTED_VALUE"""),"Removed")</f>
        <v>Removed</v>
      </c>
      <c r="E149" s="17">
        <f>IFERROR(__xludf.DUMMYFUNCTION("""COMPUTED_VALUE"""),44866.0)</f>
        <v>44866</v>
      </c>
      <c r="F149" s="54">
        <f>IFERROR(__xludf.DUMMYFUNCTION("""COMPUTED_VALUE"""),44900.0)</f>
        <v>44900</v>
      </c>
      <c r="G149" s="19">
        <f>IFERROR(__xludf.DUMMYFUNCTION("""COMPUTED_VALUE"""),1.1333333333333333)</f>
        <v>1.133333333</v>
      </c>
      <c r="H149" s="17">
        <f>IFERROR(__xludf.DUMMYFUNCTION("""COMPUTED_VALUE"""),44537.0)</f>
        <v>44537</v>
      </c>
      <c r="I149" s="19">
        <f>IFERROR(__xludf.DUMMYFUNCTION("""COMPUTED_VALUE"""),0.9)</f>
        <v>0.9</v>
      </c>
      <c r="J149" s="21">
        <f>IFERROR(__xludf.DUMMYFUNCTION("""COMPUTED_VALUE"""),60.0)</f>
        <v>60</v>
      </c>
      <c r="K149" s="23">
        <f>IFERROR(__xludf.DUMMYFUNCTION("""COMPUTED_VALUE"""),9.0)</f>
        <v>9</v>
      </c>
      <c r="L149" s="24">
        <f>IFERROR(__xludf.DUMMYFUNCTION("""COMPUTED_VALUE"""),5.0)</f>
        <v>5</v>
      </c>
      <c r="M149" s="25" t="str">
        <f>IFERROR(__xludf.DUMMYFUNCTION("""COMPUTED_VALUE"""),"Action-Adventure")</f>
        <v>Action-Adventure</v>
      </c>
      <c r="N149" s="25"/>
      <c r="O149" s="26" t="str">
        <f>IFERROR(__xludf.DUMMYFUNCTION("""COMPUTED_VALUE"""),"No")</f>
        <v>No</v>
      </c>
      <c r="P149" s="26"/>
    </row>
    <row r="150" hidden="1">
      <c r="A150" s="13" t="str">
        <f>IFERROR(__xludf.DUMMYFUNCTION("""COMPUTED_VALUE"""),"Nioh 2: Remastered")</f>
        <v>Nioh 2: Remastered</v>
      </c>
      <c r="B150" s="15" t="str">
        <f>IFERROR(__xludf.DUMMYFUNCTION("""COMPUTED_VALUE"""),"PS5/PS4")</f>
        <v>PS5/PS4</v>
      </c>
      <c r="C150" s="16" t="str">
        <f>IFERROR(__xludf.DUMMYFUNCTION("""COMPUTED_VALUE"""),"Essential")</f>
        <v>Essential</v>
      </c>
      <c r="D150" s="15" t="str">
        <f>IFERROR(__xludf.DUMMYFUNCTION("""COMPUTED_VALUE"""),"Removed")</f>
        <v>Removed</v>
      </c>
      <c r="E150" s="17">
        <f>IFERROR(__xludf.DUMMYFUNCTION("""COMPUTED_VALUE"""),44866.0)</f>
        <v>44866</v>
      </c>
      <c r="F150" s="54">
        <f>IFERROR(__xludf.DUMMYFUNCTION("""COMPUTED_VALUE"""),44900.0)</f>
        <v>44900</v>
      </c>
      <c r="G150" s="19">
        <f>IFERROR(__xludf.DUMMYFUNCTION("""COMPUTED_VALUE"""),1.1333333333333333)</f>
        <v>1.133333333</v>
      </c>
      <c r="H150" s="17">
        <f>IFERROR(__xludf.DUMMYFUNCTION("""COMPUTED_VALUE"""),43903.0)</f>
        <v>43903</v>
      </c>
      <c r="I150" s="19">
        <f>IFERROR(__xludf.DUMMYFUNCTION("""COMPUTED_VALUE"""),2.6333333333333333)</f>
        <v>2.633333333</v>
      </c>
      <c r="J150" s="21">
        <f>IFERROR(__xludf.DUMMYFUNCTION("""COMPUTED_VALUE"""),85.0)</f>
        <v>85</v>
      </c>
      <c r="K150" s="23">
        <f>IFERROR(__xludf.DUMMYFUNCTION("""COMPUTED_VALUE"""),7.8)</f>
        <v>7.8</v>
      </c>
      <c r="L150" s="24">
        <f>IFERROR(__xludf.DUMMYFUNCTION("""COMPUTED_VALUE"""),45.0)</f>
        <v>45</v>
      </c>
      <c r="M150" s="25" t="str">
        <f>IFERROR(__xludf.DUMMYFUNCTION("""COMPUTED_VALUE"""),"RPG")</f>
        <v>RPG</v>
      </c>
      <c r="N150" s="25" t="str">
        <f>IFERROR(__xludf.DUMMYFUNCTION("""COMPUTED_VALUE"""),"PS4 gets the base version")</f>
        <v>PS4 gets the base version</v>
      </c>
      <c r="O150" s="26" t="str">
        <f>IFERROR(__xludf.DUMMYFUNCTION("""COMPUTED_VALUE"""),"No")</f>
        <v>No</v>
      </c>
      <c r="P150" s="26"/>
    </row>
    <row r="151" hidden="1">
      <c r="A151" s="13" t="str">
        <f>IFERROR(__xludf.DUMMYFUNCTION("""COMPUTED_VALUE"""),"LEGO Harry Potter Collection")</f>
        <v>LEGO Harry Potter Collection</v>
      </c>
      <c r="B151" s="15" t="str">
        <f>IFERROR(__xludf.DUMMYFUNCTION("""COMPUTED_VALUE"""),"PS4")</f>
        <v>PS4</v>
      </c>
      <c r="C151" s="16" t="str">
        <f>IFERROR(__xludf.DUMMYFUNCTION("""COMPUTED_VALUE"""),"Essential")</f>
        <v>Essential</v>
      </c>
      <c r="D151" s="15" t="str">
        <f>IFERROR(__xludf.DUMMYFUNCTION("""COMPUTED_VALUE"""),"Removed")</f>
        <v>Removed</v>
      </c>
      <c r="E151" s="17">
        <f>IFERROR(__xludf.DUMMYFUNCTION("""COMPUTED_VALUE"""),44866.0)</f>
        <v>44866</v>
      </c>
      <c r="F151" s="54">
        <f>IFERROR(__xludf.DUMMYFUNCTION("""COMPUTED_VALUE"""),44900.0)</f>
        <v>44900</v>
      </c>
      <c r="G151" s="19">
        <f>IFERROR(__xludf.DUMMYFUNCTION("""COMPUTED_VALUE"""),1.1333333333333333)</f>
        <v>1.133333333</v>
      </c>
      <c r="H151" s="17">
        <f>IFERROR(__xludf.DUMMYFUNCTION("""COMPUTED_VALUE"""),42661.0)</f>
        <v>42661</v>
      </c>
      <c r="I151" s="19">
        <f>IFERROR(__xludf.DUMMYFUNCTION("""COMPUTED_VALUE"""),6.036111111111111)</f>
        <v>6.036111111</v>
      </c>
      <c r="J151" s="21">
        <f>IFERROR(__xludf.DUMMYFUNCTION("""COMPUTED_VALUE"""),73.0)</f>
        <v>73</v>
      </c>
      <c r="K151" s="23">
        <f>IFERROR(__xludf.DUMMYFUNCTION("""COMPUTED_VALUE"""),7.7)</f>
        <v>7.7</v>
      </c>
      <c r="L151" s="24">
        <f>IFERROR(__xludf.DUMMYFUNCTION("""COMPUTED_VALUE"""),39.0)</f>
        <v>39</v>
      </c>
      <c r="M151" s="25" t="str">
        <f>IFERROR(__xludf.DUMMYFUNCTION("""COMPUTED_VALUE"""),"Action-Adventure")</f>
        <v>Action-Adventure</v>
      </c>
      <c r="N151" s="25"/>
      <c r="O151" s="26" t="str">
        <f>IFERROR(__xludf.DUMMYFUNCTION("""COMPUTED_VALUE"""),"No")</f>
        <v>No</v>
      </c>
      <c r="P151" s="26"/>
    </row>
    <row r="152" hidden="1">
      <c r="A152" s="13" t="str">
        <f>IFERROR(__xludf.DUMMYFUNCTION("""COMPUTED_VALUE"""),"Hot Wheels Unleashed")</f>
        <v>Hot Wheels Unleashed</v>
      </c>
      <c r="B152" s="15" t="str">
        <f>IFERROR(__xludf.DUMMYFUNCTION("""COMPUTED_VALUE"""),"PS5/PS4")</f>
        <v>PS5/PS4</v>
      </c>
      <c r="C152" s="16" t="str">
        <f>IFERROR(__xludf.DUMMYFUNCTION("""COMPUTED_VALUE"""),"Essential")</f>
        <v>Essential</v>
      </c>
      <c r="D152" s="15" t="str">
        <f>IFERROR(__xludf.DUMMYFUNCTION("""COMPUTED_VALUE"""),"Removed")</f>
        <v>Removed</v>
      </c>
      <c r="E152" s="17">
        <f>IFERROR(__xludf.DUMMYFUNCTION("""COMPUTED_VALUE"""),44838.0)</f>
        <v>44838</v>
      </c>
      <c r="F152" s="54">
        <f>IFERROR(__xludf.DUMMYFUNCTION("""COMPUTED_VALUE"""),44865.0)</f>
        <v>44865</v>
      </c>
      <c r="G152" s="19">
        <f>IFERROR(__xludf.DUMMYFUNCTION("""COMPUTED_VALUE"""),0.8666666666666666)</f>
        <v>0.8666666667</v>
      </c>
      <c r="H152" s="17">
        <f>IFERROR(__xludf.DUMMYFUNCTION("""COMPUTED_VALUE"""),44469.0)</f>
        <v>44469</v>
      </c>
      <c r="I152" s="19">
        <f>IFERROR(__xludf.DUMMYFUNCTION("""COMPUTED_VALUE"""),1.011111111111111)</f>
        <v>1.011111111</v>
      </c>
      <c r="J152" s="21">
        <f>IFERROR(__xludf.DUMMYFUNCTION("""COMPUTED_VALUE"""),75.0)</f>
        <v>75</v>
      </c>
      <c r="K152" s="23">
        <f>IFERROR(__xludf.DUMMYFUNCTION("""COMPUTED_VALUE"""),7.6)</f>
        <v>7.6</v>
      </c>
      <c r="L152" s="24">
        <f>IFERROR(__xludf.DUMMYFUNCTION("""COMPUTED_VALUE"""),7.0)</f>
        <v>7</v>
      </c>
      <c r="M152" s="25" t="str">
        <f>IFERROR(__xludf.DUMMYFUNCTION("""COMPUTED_VALUE"""),"Racing")</f>
        <v>Racing</v>
      </c>
      <c r="N152" s="25"/>
      <c r="O152" s="26" t="str">
        <f>IFERROR(__xludf.DUMMYFUNCTION("""COMPUTED_VALUE"""),"No")</f>
        <v>No</v>
      </c>
      <c r="P152" s="26"/>
    </row>
    <row r="153" hidden="1">
      <c r="A153" s="13" t="str">
        <f>IFERROR(__xludf.DUMMYFUNCTION("""COMPUTED_VALUE"""),"Injustice 2")</f>
        <v>Injustice 2</v>
      </c>
      <c r="B153" s="15" t="str">
        <f>IFERROR(__xludf.DUMMYFUNCTION("""COMPUTED_VALUE"""),"PS4")</f>
        <v>PS4</v>
      </c>
      <c r="C153" s="16" t="str">
        <f>IFERROR(__xludf.DUMMYFUNCTION("""COMPUTED_VALUE"""),"Essential")</f>
        <v>Essential</v>
      </c>
      <c r="D153" s="15" t="str">
        <f>IFERROR(__xludf.DUMMYFUNCTION("""COMPUTED_VALUE"""),"Removed")</f>
        <v>Removed</v>
      </c>
      <c r="E153" s="17">
        <f>IFERROR(__xludf.DUMMYFUNCTION("""COMPUTED_VALUE"""),44838.0)</f>
        <v>44838</v>
      </c>
      <c r="F153" s="54">
        <f>IFERROR(__xludf.DUMMYFUNCTION("""COMPUTED_VALUE"""),44865.0)</f>
        <v>44865</v>
      </c>
      <c r="G153" s="19">
        <f>IFERROR(__xludf.DUMMYFUNCTION("""COMPUTED_VALUE"""),0.8666666666666666)</f>
        <v>0.8666666667</v>
      </c>
      <c r="H153" s="17">
        <f>IFERROR(__xludf.DUMMYFUNCTION("""COMPUTED_VALUE"""),42871.0)</f>
        <v>42871</v>
      </c>
      <c r="I153" s="19">
        <f>IFERROR(__xludf.DUMMYFUNCTION("""COMPUTED_VALUE"""),5.383333333333334)</f>
        <v>5.383333333</v>
      </c>
      <c r="J153" s="21">
        <f>IFERROR(__xludf.DUMMYFUNCTION("""COMPUTED_VALUE"""),87.0)</f>
        <v>87</v>
      </c>
      <c r="K153" s="23">
        <f>IFERROR(__xludf.DUMMYFUNCTION("""COMPUTED_VALUE"""),8.0)</f>
        <v>8</v>
      </c>
      <c r="L153" s="24">
        <f>IFERROR(__xludf.DUMMYFUNCTION("""COMPUTED_VALUE"""),5.5)</f>
        <v>5.5</v>
      </c>
      <c r="M153" s="25" t="str">
        <f>IFERROR(__xludf.DUMMYFUNCTION("""COMPUTED_VALUE"""),"Fighting")</f>
        <v>Fighting</v>
      </c>
      <c r="N153" s="25"/>
      <c r="O153" s="26" t="str">
        <f>IFERROR(__xludf.DUMMYFUNCTION("""COMPUTED_VALUE"""),"No")</f>
        <v>No</v>
      </c>
      <c r="P153" s="26"/>
    </row>
    <row r="154" hidden="1">
      <c r="A154" s="13" t="str">
        <f>IFERROR(__xludf.DUMMYFUNCTION("""COMPUTED_VALUE"""),"SUPERHOT")</f>
        <v>SUPERHOT</v>
      </c>
      <c r="B154" s="15" t="str">
        <f>IFERROR(__xludf.DUMMYFUNCTION("""COMPUTED_VALUE"""),"PS4")</f>
        <v>PS4</v>
      </c>
      <c r="C154" s="16" t="str">
        <f>IFERROR(__xludf.DUMMYFUNCTION("""COMPUTED_VALUE"""),"Essential")</f>
        <v>Essential</v>
      </c>
      <c r="D154" s="15" t="str">
        <f>IFERROR(__xludf.DUMMYFUNCTION("""COMPUTED_VALUE"""),"Removed")</f>
        <v>Removed</v>
      </c>
      <c r="E154" s="17">
        <f>IFERROR(__xludf.DUMMYFUNCTION("""COMPUTED_VALUE"""),44838.0)</f>
        <v>44838</v>
      </c>
      <c r="F154" s="54">
        <f>IFERROR(__xludf.DUMMYFUNCTION("""COMPUTED_VALUE"""),44865.0)</f>
        <v>44865</v>
      </c>
      <c r="G154" s="19">
        <f>IFERROR(__xludf.DUMMYFUNCTION("""COMPUTED_VALUE"""),0.8666666666666666)</f>
        <v>0.8666666667</v>
      </c>
      <c r="H154" s="17">
        <f>IFERROR(__xludf.DUMMYFUNCTION("""COMPUTED_VALUE"""),42425.0)</f>
        <v>42425</v>
      </c>
      <c r="I154" s="19">
        <f>IFERROR(__xludf.DUMMYFUNCTION("""COMPUTED_VALUE"""),6.608333333333333)</f>
        <v>6.608333333</v>
      </c>
      <c r="J154" s="21">
        <f>IFERROR(__xludf.DUMMYFUNCTION("""COMPUTED_VALUE"""),83.0)</f>
        <v>83</v>
      </c>
      <c r="K154" s="23">
        <f>IFERROR(__xludf.DUMMYFUNCTION("""COMPUTED_VALUE"""),7.3)</f>
        <v>7.3</v>
      </c>
      <c r="L154" s="24">
        <f>IFERROR(__xludf.DUMMYFUNCTION("""COMPUTED_VALUE"""),2.5)</f>
        <v>2.5</v>
      </c>
      <c r="M154" s="25" t="str">
        <f>IFERROR(__xludf.DUMMYFUNCTION("""COMPUTED_VALUE"""),"Shooter")</f>
        <v>Shooter</v>
      </c>
      <c r="N154" s="25"/>
      <c r="O154" s="26" t="str">
        <f>IFERROR(__xludf.DUMMYFUNCTION("""COMPUTED_VALUE"""),"No")</f>
        <v>No</v>
      </c>
      <c r="P154" s="26"/>
    </row>
    <row r="155" hidden="1">
      <c r="A155" s="13" t="str">
        <f>IFERROR(__xludf.DUMMYFUNCTION("""COMPUTED_VALUE"""),"Need for Speed: Heat")</f>
        <v>Need for Speed: Heat</v>
      </c>
      <c r="B155" s="15" t="str">
        <f>IFERROR(__xludf.DUMMYFUNCTION("""COMPUTED_VALUE"""),"PS4")</f>
        <v>PS4</v>
      </c>
      <c r="C155" s="16" t="str">
        <f>IFERROR(__xludf.DUMMYFUNCTION("""COMPUTED_VALUE"""),"Essential")</f>
        <v>Essential</v>
      </c>
      <c r="D155" s="15" t="str">
        <f>IFERROR(__xludf.DUMMYFUNCTION("""COMPUTED_VALUE"""),"Removed")</f>
        <v>Removed</v>
      </c>
      <c r="E155" s="17">
        <f>IFERROR(__xludf.DUMMYFUNCTION("""COMPUTED_VALUE"""),44810.0)</f>
        <v>44810</v>
      </c>
      <c r="F155" s="54">
        <f>IFERROR(__xludf.DUMMYFUNCTION("""COMPUTED_VALUE"""),44837.0)</f>
        <v>44837</v>
      </c>
      <c r="G155" s="19">
        <f>IFERROR(__xludf.DUMMYFUNCTION("""COMPUTED_VALUE"""),0.8999999999999999)</f>
        <v>0.9</v>
      </c>
      <c r="H155" s="17">
        <f>IFERROR(__xludf.DUMMYFUNCTION("""COMPUTED_VALUE"""),43777.0)</f>
        <v>43777</v>
      </c>
      <c r="I155" s="19">
        <f>IFERROR(__xludf.DUMMYFUNCTION("""COMPUTED_VALUE"""),2.827777777777778)</f>
        <v>2.827777778</v>
      </c>
      <c r="J155" s="21">
        <f>IFERROR(__xludf.DUMMYFUNCTION("""COMPUTED_VALUE"""),72.0)</f>
        <v>72</v>
      </c>
      <c r="K155" s="23">
        <f>IFERROR(__xludf.DUMMYFUNCTION("""COMPUTED_VALUE"""),6.1)</f>
        <v>6.1</v>
      </c>
      <c r="L155" s="24">
        <f>IFERROR(__xludf.DUMMYFUNCTION("""COMPUTED_VALUE"""),13.0)</f>
        <v>13</v>
      </c>
      <c r="M155" s="25" t="str">
        <f>IFERROR(__xludf.DUMMYFUNCTION("""COMPUTED_VALUE"""),"Racing")</f>
        <v>Racing</v>
      </c>
      <c r="N155" s="25"/>
      <c r="O155" s="26" t="str">
        <f>IFERROR(__xludf.DUMMYFUNCTION("""COMPUTED_VALUE"""),"No")</f>
        <v>No</v>
      </c>
      <c r="P155" s="26"/>
    </row>
    <row r="156" hidden="1">
      <c r="A156" s="13" t="str">
        <f>IFERROR(__xludf.DUMMYFUNCTION("""COMPUTED_VALUE"""),"Granblue Fantasy: Versus")</f>
        <v>Granblue Fantasy: Versus</v>
      </c>
      <c r="B156" s="15" t="str">
        <f>IFERROR(__xludf.DUMMYFUNCTION("""COMPUTED_VALUE"""),"PS4")</f>
        <v>PS4</v>
      </c>
      <c r="C156" s="16" t="str">
        <f>IFERROR(__xludf.DUMMYFUNCTION("""COMPUTED_VALUE"""),"Essential")</f>
        <v>Essential</v>
      </c>
      <c r="D156" s="15" t="str">
        <f>IFERROR(__xludf.DUMMYFUNCTION("""COMPUTED_VALUE"""),"Removed")</f>
        <v>Removed</v>
      </c>
      <c r="E156" s="17">
        <f>IFERROR(__xludf.DUMMYFUNCTION("""COMPUTED_VALUE"""),44810.0)</f>
        <v>44810</v>
      </c>
      <c r="F156" s="54">
        <f>IFERROR(__xludf.DUMMYFUNCTION("""COMPUTED_VALUE"""),44837.0)</f>
        <v>44837</v>
      </c>
      <c r="G156" s="19">
        <f>IFERROR(__xludf.DUMMYFUNCTION("""COMPUTED_VALUE"""),0.8999999999999999)</f>
        <v>0.9</v>
      </c>
      <c r="H156" s="17">
        <f>IFERROR(__xludf.DUMMYFUNCTION("""COMPUTED_VALUE"""),43903.0)</f>
        <v>43903</v>
      </c>
      <c r="I156" s="19">
        <f>IFERROR(__xludf.DUMMYFUNCTION("""COMPUTED_VALUE"""),2.4805555555555556)</f>
        <v>2.480555556</v>
      </c>
      <c r="J156" s="21">
        <f>IFERROR(__xludf.DUMMYFUNCTION("""COMPUTED_VALUE"""),78.0)</f>
        <v>78</v>
      </c>
      <c r="K156" s="23">
        <f>IFERROR(__xludf.DUMMYFUNCTION("""COMPUTED_VALUE"""),6.5)</f>
        <v>6.5</v>
      </c>
      <c r="L156" s="24">
        <f>IFERROR(__xludf.DUMMYFUNCTION("""COMPUTED_VALUE"""),5.5)</f>
        <v>5.5</v>
      </c>
      <c r="M156" s="25" t="str">
        <f>IFERROR(__xludf.DUMMYFUNCTION("""COMPUTED_VALUE"""),"Fighting")</f>
        <v>Fighting</v>
      </c>
      <c r="N156" s="25"/>
      <c r="O156" s="26" t="str">
        <f>IFERROR(__xludf.DUMMYFUNCTION("""COMPUTED_VALUE"""),"No")</f>
        <v>No</v>
      </c>
      <c r="P156" s="26"/>
    </row>
    <row r="157" hidden="1">
      <c r="A157" s="13" t="str">
        <f>IFERROR(__xludf.DUMMYFUNCTION("""COMPUTED_VALUE"""),"Toem")</f>
        <v>Toem</v>
      </c>
      <c r="B157" s="15" t="str">
        <f>IFERROR(__xludf.DUMMYFUNCTION("""COMPUTED_VALUE"""),"PS5")</f>
        <v>PS5</v>
      </c>
      <c r="C157" s="16" t="str">
        <f>IFERROR(__xludf.DUMMYFUNCTION("""COMPUTED_VALUE"""),"Essential")</f>
        <v>Essential</v>
      </c>
      <c r="D157" s="15" t="str">
        <f>IFERROR(__xludf.DUMMYFUNCTION("""COMPUTED_VALUE"""),"Removed")</f>
        <v>Removed</v>
      </c>
      <c r="E157" s="17">
        <f>IFERROR(__xludf.DUMMYFUNCTION("""COMPUTED_VALUE"""),44810.0)</f>
        <v>44810</v>
      </c>
      <c r="F157" s="18">
        <f>IFERROR(__xludf.DUMMYFUNCTION("""COMPUTED_VALUE"""),44837.0)</f>
        <v>44837</v>
      </c>
      <c r="G157" s="19">
        <f>IFERROR(__xludf.DUMMYFUNCTION("""COMPUTED_VALUE"""),0.8999999999999999)</f>
        <v>0.9</v>
      </c>
      <c r="H157" s="17">
        <f>IFERROR(__xludf.DUMMYFUNCTION("""COMPUTED_VALUE"""),44456.0)</f>
        <v>44456</v>
      </c>
      <c r="I157" s="19">
        <f>IFERROR(__xludf.DUMMYFUNCTION("""COMPUTED_VALUE"""),0.9694444444444444)</f>
        <v>0.9694444444</v>
      </c>
      <c r="J157" s="21">
        <f>IFERROR(__xludf.DUMMYFUNCTION("""COMPUTED_VALUE"""),80.0)</f>
        <v>80</v>
      </c>
      <c r="K157" s="23">
        <f>IFERROR(__xludf.DUMMYFUNCTION("""COMPUTED_VALUE"""),4.7)</f>
        <v>4.7</v>
      </c>
      <c r="L157" s="24">
        <f>IFERROR(__xludf.DUMMYFUNCTION("""COMPUTED_VALUE"""),3.0)</f>
        <v>3</v>
      </c>
      <c r="M157" s="25" t="str">
        <f>IFERROR(__xludf.DUMMYFUNCTION("""COMPUTED_VALUE"""),"Action-Adventure")</f>
        <v>Action-Adventure</v>
      </c>
      <c r="N157" s="25"/>
      <c r="O157" s="26" t="str">
        <f>IFERROR(__xludf.DUMMYFUNCTION("""COMPUTED_VALUE"""),"No")</f>
        <v>No</v>
      </c>
      <c r="P157" s="26"/>
    </row>
    <row r="158" hidden="1">
      <c r="A158" s="13" t="str">
        <f>IFERROR(__xludf.DUMMYFUNCTION("""COMPUTED_VALUE"""),"Little Nightmares")</f>
        <v>Little Nightmares</v>
      </c>
      <c r="B158" s="15" t="str">
        <f>IFERROR(__xludf.DUMMYFUNCTION("""COMPUTED_VALUE"""),"PS4")</f>
        <v>PS4</v>
      </c>
      <c r="C158" s="16" t="str">
        <f>IFERROR(__xludf.DUMMYFUNCTION("""COMPUTED_VALUE"""),"Essential")</f>
        <v>Essential</v>
      </c>
      <c r="D158" s="15" t="str">
        <f>IFERROR(__xludf.DUMMYFUNCTION("""COMPUTED_VALUE"""),"Removed")</f>
        <v>Removed</v>
      </c>
      <c r="E158" s="17">
        <f>IFERROR(__xludf.DUMMYFUNCTION("""COMPUTED_VALUE"""),44775.0)</f>
        <v>44775</v>
      </c>
      <c r="F158" s="54">
        <f>IFERROR(__xludf.DUMMYFUNCTION("""COMPUTED_VALUE"""),44809.0)</f>
        <v>44809</v>
      </c>
      <c r="G158" s="19">
        <f>IFERROR(__xludf.DUMMYFUNCTION("""COMPUTED_VALUE"""),1.0999999999999999)</f>
        <v>1.1</v>
      </c>
      <c r="H158" s="17">
        <f>IFERROR(__xludf.DUMMYFUNCTION("""COMPUTED_VALUE"""),42853.0)</f>
        <v>42853</v>
      </c>
      <c r="I158" s="19">
        <f>IFERROR(__xludf.DUMMYFUNCTION("""COMPUTED_VALUE"""),5.261111111111111)</f>
        <v>5.261111111</v>
      </c>
      <c r="J158" s="21">
        <f>IFERROR(__xludf.DUMMYFUNCTION("""COMPUTED_VALUE"""),78.0)</f>
        <v>78</v>
      </c>
      <c r="K158" s="23">
        <f>IFERROR(__xludf.DUMMYFUNCTION("""COMPUTED_VALUE"""),8.1)</f>
        <v>8.1</v>
      </c>
      <c r="L158" s="24">
        <f>IFERROR(__xludf.DUMMYFUNCTION("""COMPUTED_VALUE"""),3.5)</f>
        <v>3.5</v>
      </c>
      <c r="M158" s="25" t="str">
        <f>IFERROR(__xludf.DUMMYFUNCTION("""COMPUTED_VALUE"""),"Puzzle")</f>
        <v>Puzzle</v>
      </c>
      <c r="N158" s="25"/>
      <c r="O158" s="26" t="str">
        <f>IFERROR(__xludf.DUMMYFUNCTION("""COMPUTED_VALUE"""),"No")</f>
        <v>No</v>
      </c>
      <c r="P158" s="26"/>
    </row>
    <row r="159" hidden="1">
      <c r="A159" s="13" t="str">
        <f>IFERROR(__xludf.DUMMYFUNCTION("""COMPUTED_VALUE"""),"Tony Hawk's Pro Skater 1 + 2")</f>
        <v>Tony Hawk's Pro Skater 1 + 2</v>
      </c>
      <c r="B159" s="15" t="str">
        <f>IFERROR(__xludf.DUMMYFUNCTION("""COMPUTED_VALUE"""),"PS5/PS4")</f>
        <v>PS5/PS4</v>
      </c>
      <c r="C159" s="16" t="str">
        <f>IFERROR(__xludf.DUMMYFUNCTION("""COMPUTED_VALUE"""),"Essential")</f>
        <v>Essential</v>
      </c>
      <c r="D159" s="15" t="str">
        <f>IFERROR(__xludf.DUMMYFUNCTION("""COMPUTED_VALUE"""),"Removed")</f>
        <v>Removed</v>
      </c>
      <c r="E159" s="17">
        <f>IFERROR(__xludf.DUMMYFUNCTION("""COMPUTED_VALUE"""),44775.0)</f>
        <v>44775</v>
      </c>
      <c r="F159" s="18">
        <f>IFERROR(__xludf.DUMMYFUNCTION("""COMPUTED_VALUE"""),44809.0)</f>
        <v>44809</v>
      </c>
      <c r="G159" s="19">
        <f>IFERROR(__xludf.DUMMYFUNCTION("""COMPUTED_VALUE"""),1.0999999999999999)</f>
        <v>1.1</v>
      </c>
      <c r="H159" s="17">
        <f>IFERROR(__xludf.DUMMYFUNCTION("""COMPUTED_VALUE"""),44078.0)</f>
        <v>44078</v>
      </c>
      <c r="I159" s="19">
        <f>IFERROR(__xludf.DUMMYFUNCTION("""COMPUTED_VALUE"""),1.9111111111111112)</f>
        <v>1.911111111</v>
      </c>
      <c r="J159" s="21">
        <f>IFERROR(__xludf.DUMMYFUNCTION("""COMPUTED_VALUE"""),89.0)</f>
        <v>89</v>
      </c>
      <c r="K159" s="23">
        <f>IFERROR(__xludf.DUMMYFUNCTION("""COMPUTED_VALUE"""),8.7)</f>
        <v>8.7</v>
      </c>
      <c r="L159" s="24">
        <f>IFERROR(__xludf.DUMMYFUNCTION("""COMPUTED_VALUE"""),6.5)</f>
        <v>6.5</v>
      </c>
      <c r="M159" s="25" t="str">
        <f>IFERROR(__xludf.DUMMYFUNCTION("""COMPUTED_VALUE"""),"Sports")</f>
        <v>Sports</v>
      </c>
      <c r="N159" s="25"/>
      <c r="O159" s="26" t="str">
        <f>IFERROR(__xludf.DUMMYFUNCTION("""COMPUTED_VALUE"""),"No")</f>
        <v>No</v>
      </c>
      <c r="P159" s="26"/>
    </row>
    <row r="160" hidden="1">
      <c r="A160" s="13" t="str">
        <f>IFERROR(__xludf.DUMMYFUNCTION("""COMPUTED_VALUE"""),"Yakuza: Like A Dragon")</f>
        <v>Yakuza: Like A Dragon</v>
      </c>
      <c r="B160" s="15" t="str">
        <f>IFERROR(__xludf.DUMMYFUNCTION("""COMPUTED_VALUE"""),"PS5/PS4")</f>
        <v>PS5/PS4</v>
      </c>
      <c r="C160" s="16" t="str">
        <f>IFERROR(__xludf.DUMMYFUNCTION("""COMPUTED_VALUE"""),"Essential")</f>
        <v>Essential</v>
      </c>
      <c r="D160" s="15" t="str">
        <f>IFERROR(__xludf.DUMMYFUNCTION("""COMPUTED_VALUE"""),"Removed")</f>
        <v>Removed</v>
      </c>
      <c r="E160" s="17">
        <f>IFERROR(__xludf.DUMMYFUNCTION("""COMPUTED_VALUE"""),44775.0)</f>
        <v>44775</v>
      </c>
      <c r="F160" s="54">
        <f>IFERROR(__xludf.DUMMYFUNCTION("""COMPUTED_VALUE"""),44809.0)</f>
        <v>44809</v>
      </c>
      <c r="G160" s="19">
        <f>IFERROR(__xludf.DUMMYFUNCTION("""COMPUTED_VALUE"""),1.0999999999999999)</f>
        <v>1.1</v>
      </c>
      <c r="H160" s="17">
        <f>IFERROR(__xludf.DUMMYFUNCTION("""COMPUTED_VALUE"""),43846.0)</f>
        <v>43846</v>
      </c>
      <c r="I160" s="19">
        <f>IFERROR(__xludf.DUMMYFUNCTION("""COMPUTED_VALUE"""),2.5444444444444443)</f>
        <v>2.544444444</v>
      </c>
      <c r="J160" s="21">
        <f>IFERROR(__xludf.DUMMYFUNCTION("""COMPUTED_VALUE"""),85.0)</f>
        <v>85</v>
      </c>
      <c r="K160" s="23">
        <f>IFERROR(__xludf.DUMMYFUNCTION("""COMPUTED_VALUE"""),8.2)</f>
        <v>8.2</v>
      </c>
      <c r="L160" s="24">
        <f>IFERROR(__xludf.DUMMYFUNCTION("""COMPUTED_VALUE"""),45.0)</f>
        <v>45</v>
      </c>
      <c r="M160" s="25" t="str">
        <f>IFERROR(__xludf.DUMMYFUNCTION("""COMPUTED_VALUE"""),"RPG")</f>
        <v>RPG</v>
      </c>
      <c r="N160" s="25"/>
      <c r="O160" s="26" t="str">
        <f>IFERROR(__xludf.DUMMYFUNCTION("""COMPUTED_VALUE"""),"No")</f>
        <v>No</v>
      </c>
      <c r="P160" s="26"/>
    </row>
    <row r="161" hidden="1">
      <c r="A161" s="13" t="str">
        <f>IFERROR(__xludf.DUMMYFUNCTION("""COMPUTED_VALUE"""),"Crash Bandicoot 4: It's About Time")</f>
        <v>Crash Bandicoot 4: It's About Time</v>
      </c>
      <c r="B161" s="15" t="str">
        <f>IFERROR(__xludf.DUMMYFUNCTION("""COMPUTED_VALUE"""),"PS5/PS4")</f>
        <v>PS5/PS4</v>
      </c>
      <c r="C161" s="16" t="str">
        <f>IFERROR(__xludf.DUMMYFUNCTION("""COMPUTED_VALUE"""),"Essential")</f>
        <v>Essential</v>
      </c>
      <c r="D161" s="15" t="str">
        <f>IFERROR(__xludf.DUMMYFUNCTION("""COMPUTED_VALUE"""),"Removed")</f>
        <v>Removed</v>
      </c>
      <c r="E161" s="17">
        <f>IFERROR(__xludf.DUMMYFUNCTION("""COMPUTED_VALUE"""),44747.0)</f>
        <v>44747</v>
      </c>
      <c r="F161" s="54">
        <f>IFERROR(__xludf.DUMMYFUNCTION("""COMPUTED_VALUE"""),44774.0)</f>
        <v>44774</v>
      </c>
      <c r="G161" s="19">
        <f>IFERROR(__xludf.DUMMYFUNCTION("""COMPUTED_VALUE"""),0.8666666666666666)</f>
        <v>0.8666666667</v>
      </c>
      <c r="H161" s="17">
        <f>IFERROR(__xludf.DUMMYFUNCTION("""COMPUTED_VALUE"""),44106.0)</f>
        <v>44106</v>
      </c>
      <c r="I161" s="19">
        <f>IFERROR(__xludf.DUMMYFUNCTION("""COMPUTED_VALUE"""),1.7583333333333333)</f>
        <v>1.758333333</v>
      </c>
      <c r="J161" s="21">
        <f>IFERROR(__xludf.DUMMYFUNCTION("""COMPUTED_VALUE"""),86.0)</f>
        <v>86</v>
      </c>
      <c r="K161" s="23">
        <f>IFERROR(__xludf.DUMMYFUNCTION("""COMPUTED_VALUE"""),7.9)</f>
        <v>7.9</v>
      </c>
      <c r="L161" s="24">
        <f>IFERROR(__xludf.DUMMYFUNCTION("""COMPUTED_VALUE"""),10.0)</f>
        <v>10</v>
      </c>
      <c r="M161" s="25" t="str">
        <f>IFERROR(__xludf.DUMMYFUNCTION("""COMPUTED_VALUE"""),"Platformer")</f>
        <v>Platformer</v>
      </c>
      <c r="N161" s="25"/>
      <c r="O161" s="26" t="str">
        <f>IFERROR(__xludf.DUMMYFUNCTION("""COMPUTED_VALUE"""),"No")</f>
        <v>No</v>
      </c>
      <c r="P161" s="26"/>
    </row>
    <row r="162" hidden="1">
      <c r="A162" s="13" t="str">
        <f>IFERROR(__xludf.DUMMYFUNCTION("""COMPUTED_VALUE"""),"The Dark Pictures Anthology: Man of Medan")</f>
        <v>The Dark Pictures Anthology: Man of Medan</v>
      </c>
      <c r="B162" s="15" t="str">
        <f>IFERROR(__xludf.DUMMYFUNCTION("""COMPUTED_VALUE"""),"PS4")</f>
        <v>PS4</v>
      </c>
      <c r="C162" s="16" t="str">
        <f>IFERROR(__xludf.DUMMYFUNCTION("""COMPUTED_VALUE"""),"Essential")</f>
        <v>Essential</v>
      </c>
      <c r="D162" s="15" t="str">
        <f>IFERROR(__xludf.DUMMYFUNCTION("""COMPUTED_VALUE"""),"Removed")</f>
        <v>Removed</v>
      </c>
      <c r="E162" s="17">
        <f>IFERROR(__xludf.DUMMYFUNCTION("""COMPUTED_VALUE"""),44747.0)</f>
        <v>44747</v>
      </c>
      <c r="F162" s="54">
        <f>IFERROR(__xludf.DUMMYFUNCTION("""COMPUTED_VALUE"""),44774.0)</f>
        <v>44774</v>
      </c>
      <c r="G162" s="19">
        <f>IFERROR(__xludf.DUMMYFUNCTION("""COMPUTED_VALUE"""),0.8666666666666666)</f>
        <v>0.8666666667</v>
      </c>
      <c r="H162" s="17">
        <f>IFERROR(__xludf.DUMMYFUNCTION("""COMPUTED_VALUE"""),43707.0)</f>
        <v>43707</v>
      </c>
      <c r="I162" s="19">
        <f>IFERROR(__xludf.DUMMYFUNCTION("""COMPUTED_VALUE"""),2.8472222222222223)</f>
        <v>2.847222222</v>
      </c>
      <c r="J162" s="21">
        <f>IFERROR(__xludf.DUMMYFUNCTION("""COMPUTED_VALUE"""),69.0)</f>
        <v>69</v>
      </c>
      <c r="K162" s="23">
        <f>IFERROR(__xludf.DUMMYFUNCTION("""COMPUTED_VALUE"""),6.6)</f>
        <v>6.6</v>
      </c>
      <c r="L162" s="24">
        <f>IFERROR(__xludf.DUMMYFUNCTION("""COMPUTED_VALUE"""),4.5)</f>
        <v>4.5</v>
      </c>
      <c r="M162" s="25" t="str">
        <f>IFERROR(__xludf.DUMMYFUNCTION("""COMPUTED_VALUE"""),"Horror")</f>
        <v>Horror</v>
      </c>
      <c r="N162" s="25"/>
      <c r="O162" s="26" t="str">
        <f>IFERROR(__xludf.DUMMYFUNCTION("""COMPUTED_VALUE"""),"No")</f>
        <v>No</v>
      </c>
      <c r="P162" s="26"/>
    </row>
    <row r="163" hidden="1">
      <c r="A163" s="13" t="str">
        <f>IFERROR(__xludf.DUMMYFUNCTION("""COMPUTED_VALUE"""),"Arcadegeddon")</f>
        <v>Arcadegeddon</v>
      </c>
      <c r="B163" s="15" t="str">
        <f>IFERROR(__xludf.DUMMYFUNCTION("""COMPUTED_VALUE"""),"PS5/PS4")</f>
        <v>PS5/PS4</v>
      </c>
      <c r="C163" s="16" t="str">
        <f>IFERROR(__xludf.DUMMYFUNCTION("""COMPUTED_VALUE"""),"Essential")</f>
        <v>Essential</v>
      </c>
      <c r="D163" s="15" t="str">
        <f>IFERROR(__xludf.DUMMYFUNCTION("""COMPUTED_VALUE"""),"Removed")</f>
        <v>Removed</v>
      </c>
      <c r="E163" s="17">
        <f>IFERROR(__xludf.DUMMYFUNCTION("""COMPUTED_VALUE"""),44747.0)</f>
        <v>44747</v>
      </c>
      <c r="F163" s="54">
        <f>IFERROR(__xludf.DUMMYFUNCTION("""COMPUTED_VALUE"""),44774.0)</f>
        <v>44774</v>
      </c>
      <c r="G163" s="19">
        <f>IFERROR(__xludf.DUMMYFUNCTION("""COMPUTED_VALUE"""),0.8666666666666666)</f>
        <v>0.8666666667</v>
      </c>
      <c r="H163" s="17">
        <f>IFERROR(__xludf.DUMMYFUNCTION("""COMPUTED_VALUE"""),44747.0)</f>
        <v>44747</v>
      </c>
      <c r="I163" s="19">
        <f>IFERROR(__xludf.DUMMYFUNCTION("""COMPUTED_VALUE"""),0.0)</f>
        <v>0</v>
      </c>
      <c r="J163" s="21">
        <f>IFERROR(__xludf.DUMMYFUNCTION("""COMPUTED_VALUE"""),74.0)</f>
        <v>74</v>
      </c>
      <c r="K163" s="23">
        <f>IFERROR(__xludf.DUMMYFUNCTION("""COMPUTED_VALUE"""),6.2)</f>
        <v>6.2</v>
      </c>
      <c r="L163" s="24">
        <f>IFERROR(__xludf.DUMMYFUNCTION("""COMPUTED_VALUE"""),5.5)</f>
        <v>5.5</v>
      </c>
      <c r="M163" s="25" t="str">
        <f>IFERROR(__xludf.DUMMYFUNCTION("""COMPUTED_VALUE"""),"Shooter")</f>
        <v>Shooter</v>
      </c>
      <c r="N163" s="25"/>
      <c r="O163" s="26" t="str">
        <f>IFERROR(__xludf.DUMMYFUNCTION("""COMPUTED_VALUE"""),"No")</f>
        <v>No</v>
      </c>
      <c r="P163" s="26"/>
    </row>
    <row r="164" hidden="1">
      <c r="A164" s="13" t="str">
        <f>IFERROR(__xludf.DUMMYFUNCTION("""COMPUTED_VALUE"""),"God of War (2018)")</f>
        <v>God of War (2018)</v>
      </c>
      <c r="B164" s="15" t="str">
        <f>IFERROR(__xludf.DUMMYFUNCTION("""COMPUTED_VALUE"""),"PS4")</f>
        <v>PS4</v>
      </c>
      <c r="C164" s="16" t="str">
        <f>IFERROR(__xludf.DUMMYFUNCTION("""COMPUTED_VALUE"""),"Essential")</f>
        <v>Essential</v>
      </c>
      <c r="D164" s="15" t="str">
        <f>IFERROR(__xludf.DUMMYFUNCTION("""COMPUTED_VALUE"""),"Removed")</f>
        <v>Removed</v>
      </c>
      <c r="E164" s="17">
        <f>IFERROR(__xludf.DUMMYFUNCTION("""COMPUTED_VALUE"""),44719.0)</f>
        <v>44719</v>
      </c>
      <c r="F164" s="54">
        <f>IFERROR(__xludf.DUMMYFUNCTION("""COMPUTED_VALUE"""),44746.0)</f>
        <v>44746</v>
      </c>
      <c r="G164" s="19">
        <f>IFERROR(__xludf.DUMMYFUNCTION("""COMPUTED_VALUE"""),0.8999999999999999)</f>
        <v>0.9</v>
      </c>
      <c r="H164" s="17">
        <f>IFERROR(__xludf.DUMMYFUNCTION("""COMPUTED_VALUE"""),43210.0)</f>
        <v>43210</v>
      </c>
      <c r="I164" s="19">
        <f>IFERROR(__xludf.DUMMYFUNCTION("""COMPUTED_VALUE"""),4.1305555555555555)</f>
        <v>4.130555556</v>
      </c>
      <c r="J164" s="21">
        <f>IFERROR(__xludf.DUMMYFUNCTION("""COMPUTED_VALUE"""),94.0)</f>
        <v>94</v>
      </c>
      <c r="K164" s="23">
        <f>IFERROR(__xludf.DUMMYFUNCTION("""COMPUTED_VALUE"""),9.1)</f>
        <v>9.1</v>
      </c>
      <c r="L164" s="24">
        <f>IFERROR(__xludf.DUMMYFUNCTION("""COMPUTED_VALUE"""),20.5)</f>
        <v>20.5</v>
      </c>
      <c r="M164" s="25" t="str">
        <f>IFERROR(__xludf.DUMMYFUNCTION("""COMPUTED_VALUE"""),"RPG")</f>
        <v>RPG</v>
      </c>
      <c r="N164" s="25"/>
      <c r="O164" s="26" t="str">
        <f>IFERROR(__xludf.DUMMYFUNCTION("""COMPUTED_VALUE"""),"No")</f>
        <v>No</v>
      </c>
      <c r="P164" s="26"/>
    </row>
    <row r="165" hidden="1">
      <c r="A165" s="13" t="str">
        <f>IFERROR(__xludf.DUMMYFUNCTION("""COMPUTED_VALUE"""),"Naruto to Boruto: Shinobi Strikers")</f>
        <v>Naruto to Boruto: Shinobi Strikers</v>
      </c>
      <c r="B165" s="15" t="str">
        <f>IFERROR(__xludf.DUMMYFUNCTION("""COMPUTED_VALUE"""),"PS4")</f>
        <v>PS4</v>
      </c>
      <c r="C165" s="16" t="str">
        <f>IFERROR(__xludf.DUMMYFUNCTION("""COMPUTED_VALUE"""),"Essential")</f>
        <v>Essential</v>
      </c>
      <c r="D165" s="15" t="str">
        <f>IFERROR(__xludf.DUMMYFUNCTION("""COMPUTED_VALUE"""),"Removed")</f>
        <v>Removed</v>
      </c>
      <c r="E165" s="17">
        <f>IFERROR(__xludf.DUMMYFUNCTION("""COMPUTED_VALUE"""),44719.0)</f>
        <v>44719</v>
      </c>
      <c r="F165" s="54">
        <f>IFERROR(__xludf.DUMMYFUNCTION("""COMPUTED_VALUE"""),44746.0)</f>
        <v>44746</v>
      </c>
      <c r="G165" s="19">
        <f>IFERROR(__xludf.DUMMYFUNCTION("""COMPUTED_VALUE"""),0.8999999999999999)</f>
        <v>0.9</v>
      </c>
      <c r="H165" s="17">
        <f>IFERROR(__xludf.DUMMYFUNCTION("""COMPUTED_VALUE"""),43342.0)</f>
        <v>43342</v>
      </c>
      <c r="I165" s="19">
        <f>IFERROR(__xludf.DUMMYFUNCTION("""COMPUTED_VALUE"""),3.7694444444444444)</f>
        <v>3.769444444</v>
      </c>
      <c r="J165" s="21">
        <f>IFERROR(__xludf.DUMMYFUNCTION("""COMPUTED_VALUE"""),61.0)</f>
        <v>61</v>
      </c>
      <c r="K165" s="23">
        <f>IFERROR(__xludf.DUMMYFUNCTION("""COMPUTED_VALUE"""),6.7)</f>
        <v>6.7</v>
      </c>
      <c r="L165" s="24">
        <f>IFERROR(__xludf.DUMMYFUNCTION("""COMPUTED_VALUE"""),6.0)</f>
        <v>6</v>
      </c>
      <c r="M165" s="25" t="str">
        <f>IFERROR(__xludf.DUMMYFUNCTION("""COMPUTED_VALUE"""),"Action-Adventure")</f>
        <v>Action-Adventure</v>
      </c>
      <c r="N165" s="25"/>
      <c r="O165" s="26" t="str">
        <f>IFERROR(__xludf.DUMMYFUNCTION("""COMPUTED_VALUE"""),"No")</f>
        <v>No</v>
      </c>
      <c r="P165" s="26"/>
    </row>
    <row r="166" hidden="1">
      <c r="A166" s="13" t="str">
        <f>IFERROR(__xludf.DUMMYFUNCTION("""COMPUTED_VALUE"""),"Nickelodeon All-Star Brawl")</f>
        <v>Nickelodeon All-Star Brawl</v>
      </c>
      <c r="B166" s="15" t="str">
        <f>IFERROR(__xludf.DUMMYFUNCTION("""COMPUTED_VALUE"""),"PS5/PS4")</f>
        <v>PS5/PS4</v>
      </c>
      <c r="C166" s="16" t="str">
        <f>IFERROR(__xludf.DUMMYFUNCTION("""COMPUTED_VALUE"""),"Essential")</f>
        <v>Essential</v>
      </c>
      <c r="D166" s="15" t="str">
        <f>IFERROR(__xludf.DUMMYFUNCTION("""COMPUTED_VALUE"""),"Removed")</f>
        <v>Removed</v>
      </c>
      <c r="E166" s="17">
        <f>IFERROR(__xludf.DUMMYFUNCTION("""COMPUTED_VALUE"""),44719.0)</f>
        <v>44719</v>
      </c>
      <c r="F166" s="54">
        <f>IFERROR(__xludf.DUMMYFUNCTION("""COMPUTED_VALUE"""),44746.0)</f>
        <v>44746</v>
      </c>
      <c r="G166" s="19">
        <f>IFERROR(__xludf.DUMMYFUNCTION("""COMPUTED_VALUE"""),0.8999999999999999)</f>
        <v>0.9</v>
      </c>
      <c r="H166" s="17">
        <f>IFERROR(__xludf.DUMMYFUNCTION("""COMPUTED_VALUE"""),44474.0)</f>
        <v>44474</v>
      </c>
      <c r="I166" s="19">
        <f>IFERROR(__xludf.DUMMYFUNCTION("""COMPUTED_VALUE"""),0.6722222222222223)</f>
        <v>0.6722222222</v>
      </c>
      <c r="J166" s="21">
        <f>IFERROR(__xludf.DUMMYFUNCTION("""COMPUTED_VALUE"""),64.0)</f>
        <v>64</v>
      </c>
      <c r="K166" s="23">
        <f>IFERROR(__xludf.DUMMYFUNCTION("""COMPUTED_VALUE"""),6.0)</f>
        <v>6</v>
      </c>
      <c r="L166" s="24">
        <f>IFERROR(__xludf.DUMMYFUNCTION("""COMPUTED_VALUE"""),1.0)</f>
        <v>1</v>
      </c>
      <c r="M166" s="25" t="str">
        <f>IFERROR(__xludf.DUMMYFUNCTION("""COMPUTED_VALUE"""),"Fighting")</f>
        <v>Fighting</v>
      </c>
      <c r="N166" s="25"/>
      <c r="O166" s="26" t="str">
        <f>IFERROR(__xludf.DUMMYFUNCTION("""COMPUTED_VALUE"""),"No")</f>
        <v>No</v>
      </c>
      <c r="P166" s="26" t="str">
        <f>IFERROR(__xludf.DUMMYFUNCTION("""COMPUTED_VALUE"""),"Yes")</f>
        <v>Yes</v>
      </c>
    </row>
    <row r="167" hidden="1">
      <c r="A167" s="13" t="str">
        <f>IFERROR(__xludf.DUMMYFUNCTION("""COMPUTED_VALUE"""),"FIFA 22")</f>
        <v>FIFA 22</v>
      </c>
      <c r="B167" s="15" t="str">
        <f>IFERROR(__xludf.DUMMYFUNCTION("""COMPUTED_VALUE"""),"PS5/PS4")</f>
        <v>PS5/PS4</v>
      </c>
      <c r="C167" s="16" t="str">
        <f>IFERROR(__xludf.DUMMYFUNCTION("""COMPUTED_VALUE"""),"Playstation Plus (Discontinued)")</f>
        <v>Playstation Plus (Discontinued)</v>
      </c>
      <c r="D167" s="15" t="str">
        <f>IFERROR(__xludf.DUMMYFUNCTION("""COMPUTED_VALUE"""),"Removed")</f>
        <v>Removed</v>
      </c>
      <c r="E167" s="17">
        <f>IFERROR(__xludf.DUMMYFUNCTION("""COMPUTED_VALUE"""),44684.0)</f>
        <v>44684</v>
      </c>
      <c r="F167" s="54">
        <f>IFERROR(__xludf.DUMMYFUNCTION("""COMPUTED_VALUE"""),44718.0)</f>
        <v>44718</v>
      </c>
      <c r="G167" s="19">
        <f>IFERROR(__xludf.DUMMYFUNCTION("""COMPUTED_VALUE"""),1.0999999999999999)</f>
        <v>1.1</v>
      </c>
      <c r="H167" s="17">
        <f>IFERROR(__xludf.DUMMYFUNCTION("""COMPUTED_VALUE"""),44470.0)</f>
        <v>44470</v>
      </c>
      <c r="I167" s="19">
        <f>IFERROR(__xludf.DUMMYFUNCTION("""COMPUTED_VALUE"""),0.5888888888888889)</f>
        <v>0.5888888889</v>
      </c>
      <c r="J167" s="21">
        <f>IFERROR(__xludf.DUMMYFUNCTION("""COMPUTED_VALUE"""),78.0)</f>
        <v>78</v>
      </c>
      <c r="K167" s="23">
        <f>IFERROR(__xludf.DUMMYFUNCTION("""COMPUTED_VALUE"""),3.9)</f>
        <v>3.9</v>
      </c>
      <c r="L167" s="24">
        <f>IFERROR(__xludf.DUMMYFUNCTION("""COMPUTED_VALUE"""),27.0)</f>
        <v>27</v>
      </c>
      <c r="M167" s="25" t="str">
        <f>IFERROR(__xludf.DUMMYFUNCTION("""COMPUTED_VALUE"""),"Sports")</f>
        <v>Sports</v>
      </c>
      <c r="N167" s="25"/>
      <c r="O167" s="26" t="str">
        <f>IFERROR(__xludf.DUMMYFUNCTION("""COMPUTED_VALUE"""),"No")</f>
        <v>No</v>
      </c>
      <c r="P167" s="26"/>
    </row>
    <row r="168" hidden="1">
      <c r="A168" s="13" t="str">
        <f>IFERROR(__xludf.DUMMYFUNCTION("""COMPUTED_VALUE"""),"Tribes of Midgard")</f>
        <v>Tribes of Midgard</v>
      </c>
      <c r="B168" s="15" t="str">
        <f>IFERROR(__xludf.DUMMYFUNCTION("""COMPUTED_VALUE"""),"PS5/PS4")</f>
        <v>PS5/PS4</v>
      </c>
      <c r="C168" s="16" t="str">
        <f>IFERROR(__xludf.DUMMYFUNCTION("""COMPUTED_VALUE"""),"Playstation Plus (Discontinued)")</f>
        <v>Playstation Plus (Discontinued)</v>
      </c>
      <c r="D168" s="15" t="str">
        <f>IFERROR(__xludf.DUMMYFUNCTION("""COMPUTED_VALUE"""),"Removed")</f>
        <v>Removed</v>
      </c>
      <c r="E168" s="17">
        <f>IFERROR(__xludf.DUMMYFUNCTION("""COMPUTED_VALUE"""),44684.0)</f>
        <v>44684</v>
      </c>
      <c r="F168" s="54">
        <f>IFERROR(__xludf.DUMMYFUNCTION("""COMPUTED_VALUE"""),44718.0)</f>
        <v>44718</v>
      </c>
      <c r="G168" s="19">
        <f>IFERROR(__xludf.DUMMYFUNCTION("""COMPUTED_VALUE"""),1.0999999999999999)</f>
        <v>1.1</v>
      </c>
      <c r="H168" s="17">
        <f>IFERROR(__xludf.DUMMYFUNCTION("""COMPUTED_VALUE"""),44404.0)</f>
        <v>44404</v>
      </c>
      <c r="I168" s="19">
        <f>IFERROR(__xludf.DUMMYFUNCTION("""COMPUTED_VALUE"""),0.7666666666666667)</f>
        <v>0.7666666667</v>
      </c>
      <c r="J168" s="21">
        <f>IFERROR(__xludf.DUMMYFUNCTION("""COMPUTED_VALUE"""),71.0)</f>
        <v>71</v>
      </c>
      <c r="K168" s="23">
        <f>IFERROR(__xludf.DUMMYFUNCTION("""COMPUTED_VALUE"""),7.0)</f>
        <v>7</v>
      </c>
      <c r="L168" s="24">
        <f>IFERROR(__xludf.DUMMYFUNCTION("""COMPUTED_VALUE"""),18.0)</f>
        <v>18</v>
      </c>
      <c r="M168" s="25" t="str">
        <f>IFERROR(__xludf.DUMMYFUNCTION("""COMPUTED_VALUE"""),"Action-Adventure")</f>
        <v>Action-Adventure</v>
      </c>
      <c r="N168" s="25"/>
      <c r="O168" s="26" t="str">
        <f>IFERROR(__xludf.DUMMYFUNCTION("""COMPUTED_VALUE"""),"No")</f>
        <v>No</v>
      </c>
      <c r="P168" s="26"/>
    </row>
    <row r="169" hidden="1">
      <c r="A169" s="13" t="str">
        <f>IFERROR(__xludf.DUMMYFUNCTION("""COMPUTED_VALUE"""),"Curse of the Dead Gods")</f>
        <v>Curse of the Dead Gods</v>
      </c>
      <c r="B169" s="15" t="str">
        <f>IFERROR(__xludf.DUMMYFUNCTION("""COMPUTED_VALUE"""),"PS4")</f>
        <v>PS4</v>
      </c>
      <c r="C169" s="16" t="str">
        <f>IFERROR(__xludf.DUMMYFUNCTION("""COMPUTED_VALUE"""),"Playstation Plus (Discontinued)")</f>
        <v>Playstation Plus (Discontinued)</v>
      </c>
      <c r="D169" s="15" t="str">
        <f>IFERROR(__xludf.DUMMYFUNCTION("""COMPUTED_VALUE"""),"Removed")</f>
        <v>Removed</v>
      </c>
      <c r="E169" s="17">
        <f>IFERROR(__xludf.DUMMYFUNCTION("""COMPUTED_VALUE"""),44684.0)</f>
        <v>44684</v>
      </c>
      <c r="F169" s="54">
        <f>IFERROR(__xludf.DUMMYFUNCTION("""COMPUTED_VALUE"""),44718.0)</f>
        <v>44718</v>
      </c>
      <c r="G169" s="19">
        <f>IFERROR(__xludf.DUMMYFUNCTION("""COMPUTED_VALUE"""),1.0999999999999999)</f>
        <v>1.1</v>
      </c>
      <c r="H169" s="17">
        <f>IFERROR(__xludf.DUMMYFUNCTION("""COMPUTED_VALUE"""),44250.0)</f>
        <v>44250</v>
      </c>
      <c r="I169" s="19">
        <f>IFERROR(__xludf.DUMMYFUNCTION("""COMPUTED_VALUE"""),1.1944444444444444)</f>
        <v>1.194444444</v>
      </c>
      <c r="J169" s="21">
        <f>IFERROR(__xludf.DUMMYFUNCTION("""COMPUTED_VALUE"""),79.0)</f>
        <v>79</v>
      </c>
      <c r="K169" s="23">
        <f>IFERROR(__xludf.DUMMYFUNCTION("""COMPUTED_VALUE"""),6.9)</f>
        <v>6.9</v>
      </c>
      <c r="L169" s="24">
        <f>IFERROR(__xludf.DUMMYFUNCTION("""COMPUTED_VALUE"""),12.0)</f>
        <v>12</v>
      </c>
      <c r="M169" s="25" t="str">
        <f>IFERROR(__xludf.DUMMYFUNCTION("""COMPUTED_VALUE"""),"RPG")</f>
        <v>RPG</v>
      </c>
      <c r="N169" s="25"/>
      <c r="O169" s="26" t="str">
        <f>IFERROR(__xludf.DUMMYFUNCTION("""COMPUTED_VALUE"""),"No")</f>
        <v>No</v>
      </c>
      <c r="P169" s="26"/>
    </row>
    <row r="170" hidden="1">
      <c r="A170" s="13" t="str">
        <f>IFERROR(__xludf.DUMMYFUNCTION("""COMPUTED_VALUE"""),"Hood: Outlaws &amp; Legends")</f>
        <v>Hood: Outlaws &amp; Legends</v>
      </c>
      <c r="B170" s="15" t="str">
        <f>IFERROR(__xludf.DUMMYFUNCTION("""COMPUTED_VALUE"""),"PS5/PS4")</f>
        <v>PS5/PS4</v>
      </c>
      <c r="C170" s="16" t="str">
        <f>IFERROR(__xludf.DUMMYFUNCTION("""COMPUTED_VALUE"""),"Playstation Plus (Discontinued)")</f>
        <v>Playstation Plus (Discontinued)</v>
      </c>
      <c r="D170" s="15" t="str">
        <f>IFERROR(__xludf.DUMMYFUNCTION("""COMPUTED_VALUE"""),"Removed")</f>
        <v>Removed</v>
      </c>
      <c r="E170" s="17">
        <f>IFERROR(__xludf.DUMMYFUNCTION("""COMPUTED_VALUE"""),44656.0)</f>
        <v>44656</v>
      </c>
      <c r="F170" s="54">
        <f>IFERROR(__xludf.DUMMYFUNCTION("""COMPUTED_VALUE"""),44683.0)</f>
        <v>44683</v>
      </c>
      <c r="G170" s="19">
        <f>IFERROR(__xludf.DUMMYFUNCTION("""COMPUTED_VALUE"""),0.8999999999999999)</f>
        <v>0.9</v>
      </c>
      <c r="H170" s="17">
        <f>IFERROR(__xludf.DUMMYFUNCTION("""COMPUTED_VALUE"""),44326.0)</f>
        <v>44326</v>
      </c>
      <c r="I170" s="19">
        <f>IFERROR(__xludf.DUMMYFUNCTION("""COMPUTED_VALUE"""),0.9027777777777778)</f>
        <v>0.9027777778</v>
      </c>
      <c r="J170" s="21">
        <f>IFERROR(__xludf.DUMMYFUNCTION("""COMPUTED_VALUE"""),63.0)</f>
        <v>63</v>
      </c>
      <c r="K170" s="23">
        <f>IFERROR(__xludf.DUMMYFUNCTION("""COMPUTED_VALUE"""),5.8)</f>
        <v>5.8</v>
      </c>
      <c r="L170" s="24"/>
      <c r="M170" s="25" t="str">
        <f>IFERROR(__xludf.DUMMYFUNCTION("""COMPUTED_VALUE"""),"Shooter")</f>
        <v>Shooter</v>
      </c>
      <c r="N170" s="25"/>
      <c r="O170" s="26" t="str">
        <f>IFERROR(__xludf.DUMMYFUNCTION("""COMPUTED_VALUE"""),"No")</f>
        <v>No</v>
      </c>
      <c r="P170" s="26"/>
    </row>
    <row r="171" hidden="1">
      <c r="A171" s="13" t="str">
        <f>IFERROR(__xludf.DUMMYFUNCTION("""COMPUTED_VALUE"""),"SpongeBob SquarePants: Battle for Bikini Bottom - Rehydrated")</f>
        <v>SpongeBob SquarePants: Battle for Bikini Bottom - Rehydrated</v>
      </c>
      <c r="B171" s="15" t="str">
        <f>IFERROR(__xludf.DUMMYFUNCTION("""COMPUTED_VALUE"""),"PS4")</f>
        <v>PS4</v>
      </c>
      <c r="C171" s="16" t="str">
        <f>IFERROR(__xludf.DUMMYFUNCTION("""COMPUTED_VALUE"""),"Playstation Plus (Discontinued)")</f>
        <v>Playstation Plus (Discontinued)</v>
      </c>
      <c r="D171" s="15" t="str">
        <f>IFERROR(__xludf.DUMMYFUNCTION("""COMPUTED_VALUE"""),"Removed")</f>
        <v>Removed</v>
      </c>
      <c r="E171" s="17">
        <f>IFERROR(__xludf.DUMMYFUNCTION("""COMPUTED_VALUE"""),44656.0)</f>
        <v>44656</v>
      </c>
      <c r="F171" s="54">
        <f>IFERROR(__xludf.DUMMYFUNCTION("""COMPUTED_VALUE"""),44683.0)</f>
        <v>44683</v>
      </c>
      <c r="G171" s="19">
        <f>IFERROR(__xludf.DUMMYFUNCTION("""COMPUTED_VALUE"""),0.8999999999999999)</f>
        <v>0.9</v>
      </c>
      <c r="H171" s="17">
        <f>IFERROR(__xludf.DUMMYFUNCTION("""COMPUTED_VALUE"""),44005.0)</f>
        <v>44005</v>
      </c>
      <c r="I171" s="19">
        <f>IFERROR(__xludf.DUMMYFUNCTION("""COMPUTED_VALUE"""),1.7833333333333334)</f>
        <v>1.783333333</v>
      </c>
      <c r="J171" s="21">
        <f>IFERROR(__xludf.DUMMYFUNCTION("""COMPUTED_VALUE"""),68.0)</f>
        <v>68</v>
      </c>
      <c r="K171" s="23">
        <f>IFERROR(__xludf.DUMMYFUNCTION("""COMPUTED_VALUE"""),7.5)</f>
        <v>7.5</v>
      </c>
      <c r="L171" s="24">
        <f>IFERROR(__xludf.DUMMYFUNCTION("""COMPUTED_VALUE"""),9.0)</f>
        <v>9</v>
      </c>
      <c r="M171" s="25" t="str">
        <f>IFERROR(__xludf.DUMMYFUNCTION("""COMPUTED_VALUE"""),"Action-Adventure")</f>
        <v>Action-Adventure</v>
      </c>
      <c r="N171" s="25"/>
      <c r="O171" s="26" t="str">
        <f>IFERROR(__xludf.DUMMYFUNCTION("""COMPUTED_VALUE"""),"No")</f>
        <v>No</v>
      </c>
      <c r="P171" s="26"/>
    </row>
    <row r="172" hidden="1">
      <c r="A172" s="13" t="str">
        <f>IFERROR(__xludf.DUMMYFUNCTION("""COMPUTED_VALUE"""),"Slay the Spire")</f>
        <v>Slay the Spire</v>
      </c>
      <c r="B172" s="15" t="str">
        <f>IFERROR(__xludf.DUMMYFUNCTION("""COMPUTED_VALUE"""),"PS4")</f>
        <v>PS4</v>
      </c>
      <c r="C172" s="16" t="str">
        <f>IFERROR(__xludf.DUMMYFUNCTION("""COMPUTED_VALUE"""),"Playstation Plus (Discontinued)")</f>
        <v>Playstation Plus (Discontinued)</v>
      </c>
      <c r="D172" s="15" t="str">
        <f>IFERROR(__xludf.DUMMYFUNCTION("""COMPUTED_VALUE"""),"Removed")</f>
        <v>Removed</v>
      </c>
      <c r="E172" s="17">
        <f>IFERROR(__xludf.DUMMYFUNCTION("""COMPUTED_VALUE"""),44656.0)</f>
        <v>44656</v>
      </c>
      <c r="F172" s="54">
        <f>IFERROR(__xludf.DUMMYFUNCTION("""COMPUTED_VALUE"""),44683.0)</f>
        <v>44683</v>
      </c>
      <c r="G172" s="19">
        <f>IFERROR(__xludf.DUMMYFUNCTION("""COMPUTED_VALUE"""),0.8999999999999999)</f>
        <v>0.9</v>
      </c>
      <c r="H172" s="17">
        <f>IFERROR(__xludf.DUMMYFUNCTION("""COMPUTED_VALUE"""),43599.0)</f>
        <v>43599</v>
      </c>
      <c r="I172" s="19">
        <f>IFERROR(__xludf.DUMMYFUNCTION("""COMPUTED_VALUE"""),2.8916666666666666)</f>
        <v>2.891666667</v>
      </c>
      <c r="J172" s="21">
        <f>IFERROR(__xludf.DUMMYFUNCTION("""COMPUTED_VALUE"""),88.0)</f>
        <v>88</v>
      </c>
      <c r="K172" s="23">
        <f>IFERROR(__xludf.DUMMYFUNCTION("""COMPUTED_VALUE"""),8.1)</f>
        <v>8.1</v>
      </c>
      <c r="L172" s="24">
        <f>IFERROR(__xludf.DUMMYFUNCTION("""COMPUTED_VALUE"""),12.0)</f>
        <v>12</v>
      </c>
      <c r="M172" s="25" t="str">
        <f>IFERROR(__xludf.DUMMYFUNCTION("""COMPUTED_VALUE"""),"Strategy")</f>
        <v>Strategy</v>
      </c>
      <c r="N172" s="25"/>
      <c r="O172" s="26" t="str">
        <f>IFERROR(__xludf.DUMMYFUNCTION("""COMPUTED_VALUE"""),"No")</f>
        <v>No</v>
      </c>
      <c r="P172" s="26"/>
    </row>
    <row r="173" hidden="1">
      <c r="A173" s="13" t="str">
        <f>IFERROR(__xludf.DUMMYFUNCTION("""COMPUTED_VALUE"""),"Ghostrunner")</f>
        <v>Ghostrunner</v>
      </c>
      <c r="B173" s="15" t="str">
        <f>IFERROR(__xludf.DUMMYFUNCTION("""COMPUTED_VALUE"""),"PS5")</f>
        <v>PS5</v>
      </c>
      <c r="C173" s="16" t="str">
        <f>IFERROR(__xludf.DUMMYFUNCTION("""COMPUTED_VALUE"""),"Playstation Plus (Discontinued)")</f>
        <v>Playstation Plus (Discontinued)</v>
      </c>
      <c r="D173" s="15" t="str">
        <f>IFERROR(__xludf.DUMMYFUNCTION("""COMPUTED_VALUE"""),"Removed")</f>
        <v>Removed</v>
      </c>
      <c r="E173" s="17">
        <f>IFERROR(__xludf.DUMMYFUNCTION("""COMPUTED_VALUE"""),44621.0)</f>
        <v>44621</v>
      </c>
      <c r="F173" s="71">
        <f>IFERROR(__xludf.DUMMYFUNCTION("""COMPUTED_VALUE"""),44655.0)</f>
        <v>44655</v>
      </c>
      <c r="G173" s="19">
        <f>IFERROR(__xludf.DUMMYFUNCTION("""COMPUTED_VALUE"""),1.0999999999999999)</f>
        <v>1.1</v>
      </c>
      <c r="H173" s="17">
        <f>IFERROR(__xludf.DUMMYFUNCTION("""COMPUTED_VALUE"""),44131.0)</f>
        <v>44131</v>
      </c>
      <c r="I173" s="19">
        <f>IFERROR(__xludf.DUMMYFUNCTION("""COMPUTED_VALUE"""),1.3444444444444446)</f>
        <v>1.344444444</v>
      </c>
      <c r="J173" s="21">
        <f>IFERROR(__xludf.DUMMYFUNCTION("""COMPUTED_VALUE"""),78.0)</f>
        <v>78</v>
      </c>
      <c r="K173" s="23">
        <f>IFERROR(__xludf.DUMMYFUNCTION("""COMPUTED_VALUE"""),8.0)</f>
        <v>8</v>
      </c>
      <c r="L173" s="24">
        <f>IFERROR(__xludf.DUMMYFUNCTION("""COMPUTED_VALUE"""),8.0)</f>
        <v>8</v>
      </c>
      <c r="M173" s="25" t="str">
        <f>IFERROR(__xludf.DUMMYFUNCTION("""COMPUTED_VALUE"""),"Action-Adventure")</f>
        <v>Action-Adventure</v>
      </c>
      <c r="N173" s="25"/>
      <c r="O173" s="26" t="str">
        <f>IFERROR(__xludf.DUMMYFUNCTION("""COMPUTED_VALUE"""),"No")</f>
        <v>No</v>
      </c>
      <c r="P173" s="26"/>
    </row>
    <row r="174" hidden="1">
      <c r="A174" s="13" t="str">
        <f>IFERROR(__xludf.DUMMYFUNCTION("""COMPUTED_VALUE"""),"ARK: Survival Evolved")</f>
        <v>ARK: Survival Evolved</v>
      </c>
      <c r="B174" s="15" t="str">
        <f>IFERROR(__xludf.DUMMYFUNCTION("""COMPUTED_VALUE"""),"PS4")</f>
        <v>PS4</v>
      </c>
      <c r="C174" s="16" t="str">
        <f>IFERROR(__xludf.DUMMYFUNCTION("""COMPUTED_VALUE"""),"Playstation Plus (Discontinued)")</f>
        <v>Playstation Plus (Discontinued)</v>
      </c>
      <c r="D174" s="15" t="str">
        <f>IFERROR(__xludf.DUMMYFUNCTION("""COMPUTED_VALUE"""),"Removed")</f>
        <v>Removed</v>
      </c>
      <c r="E174" s="17">
        <f>IFERROR(__xludf.DUMMYFUNCTION("""COMPUTED_VALUE"""),44621.0)</f>
        <v>44621</v>
      </c>
      <c r="F174" s="71">
        <f>IFERROR(__xludf.DUMMYFUNCTION("""COMPUTED_VALUE"""),44655.0)</f>
        <v>44655</v>
      </c>
      <c r="G174" s="19">
        <f>IFERROR(__xludf.DUMMYFUNCTION("""COMPUTED_VALUE"""),1.0999999999999999)</f>
        <v>1.1</v>
      </c>
      <c r="H174" s="17">
        <f>IFERROR(__xludf.DUMMYFUNCTION("""COMPUTED_VALUE"""),42976.0)</f>
        <v>42976</v>
      </c>
      <c r="I174" s="19">
        <f>IFERROR(__xludf.DUMMYFUNCTION("""COMPUTED_VALUE"""),4.5055555555555555)</f>
        <v>4.505555556</v>
      </c>
      <c r="J174" s="21">
        <f>IFERROR(__xludf.DUMMYFUNCTION("""COMPUTED_VALUE"""),69.0)</f>
        <v>69</v>
      </c>
      <c r="K174" s="23">
        <f>IFERROR(__xludf.DUMMYFUNCTION("""COMPUTED_VALUE"""),6.7)</f>
        <v>6.7</v>
      </c>
      <c r="L174" s="24"/>
      <c r="M174" s="25" t="str">
        <f>IFERROR(__xludf.DUMMYFUNCTION("""COMPUTED_VALUE"""),"Survival")</f>
        <v>Survival</v>
      </c>
      <c r="N174" s="25"/>
      <c r="O174" s="26" t="str">
        <f>IFERROR(__xludf.DUMMYFUNCTION("""COMPUTED_VALUE"""),"No")</f>
        <v>No</v>
      </c>
      <c r="P174" s="26"/>
    </row>
    <row r="175" hidden="1">
      <c r="A175" s="13" t="str">
        <f>IFERROR(__xludf.DUMMYFUNCTION("""COMPUTED_VALUE"""),"Team Sonic Racing")</f>
        <v>Team Sonic Racing</v>
      </c>
      <c r="B175" s="15" t="str">
        <f>IFERROR(__xludf.DUMMYFUNCTION("""COMPUTED_VALUE"""),"PS4")</f>
        <v>PS4</v>
      </c>
      <c r="C175" s="16" t="str">
        <f>IFERROR(__xludf.DUMMYFUNCTION("""COMPUTED_VALUE"""),"Playstation Plus (Discontinued)")</f>
        <v>Playstation Plus (Discontinued)</v>
      </c>
      <c r="D175" s="15" t="str">
        <f>IFERROR(__xludf.DUMMYFUNCTION("""COMPUTED_VALUE"""),"Removed")</f>
        <v>Removed</v>
      </c>
      <c r="E175" s="17">
        <f>IFERROR(__xludf.DUMMYFUNCTION("""COMPUTED_VALUE"""),44621.0)</f>
        <v>44621</v>
      </c>
      <c r="F175" s="54">
        <f>IFERROR(__xludf.DUMMYFUNCTION("""COMPUTED_VALUE"""),44655.0)</f>
        <v>44655</v>
      </c>
      <c r="G175" s="19">
        <f>IFERROR(__xludf.DUMMYFUNCTION("""COMPUTED_VALUE"""),1.0999999999999999)</f>
        <v>1.1</v>
      </c>
      <c r="H175" s="17">
        <f>IFERROR(__xludf.DUMMYFUNCTION("""COMPUTED_VALUE"""),43606.0)</f>
        <v>43606</v>
      </c>
      <c r="I175" s="19">
        <f>IFERROR(__xludf.DUMMYFUNCTION("""COMPUTED_VALUE"""),2.7777777777777777)</f>
        <v>2.777777778</v>
      </c>
      <c r="J175" s="21">
        <f>IFERROR(__xludf.DUMMYFUNCTION("""COMPUTED_VALUE"""),72.0)</f>
        <v>72</v>
      </c>
      <c r="K175" s="23">
        <f>IFERROR(__xludf.DUMMYFUNCTION("""COMPUTED_VALUE"""),7.0)</f>
        <v>7</v>
      </c>
      <c r="L175" s="24">
        <f>IFERROR(__xludf.DUMMYFUNCTION("""COMPUTED_VALUE"""),10.0)</f>
        <v>10</v>
      </c>
      <c r="M175" s="25" t="str">
        <f>IFERROR(__xludf.DUMMYFUNCTION("""COMPUTED_VALUE"""),"Racing")</f>
        <v>Racing</v>
      </c>
      <c r="N175" s="25"/>
      <c r="O175" s="26" t="str">
        <f>IFERROR(__xludf.DUMMYFUNCTION("""COMPUTED_VALUE"""),"No")</f>
        <v>No</v>
      </c>
      <c r="P175" s="26"/>
    </row>
    <row r="176" hidden="1">
      <c r="A176" s="13" t="str">
        <f>IFERROR(__xludf.DUMMYFUNCTION("""COMPUTED_VALUE"""),"Ghost of Tsushima: Legends")</f>
        <v>Ghost of Tsushima: Legends</v>
      </c>
      <c r="B176" s="15" t="str">
        <f>IFERROR(__xludf.DUMMYFUNCTION("""COMPUTED_VALUE"""),"PS5/PS4")</f>
        <v>PS5/PS4</v>
      </c>
      <c r="C176" s="16" t="str">
        <f>IFERROR(__xludf.DUMMYFUNCTION("""COMPUTED_VALUE"""),"Playstation Plus (Discontinued)")</f>
        <v>Playstation Plus (Discontinued)</v>
      </c>
      <c r="D176" s="15" t="str">
        <f>IFERROR(__xludf.DUMMYFUNCTION("""COMPUTED_VALUE"""),"Removed")</f>
        <v>Removed</v>
      </c>
      <c r="E176" s="17">
        <f>IFERROR(__xludf.DUMMYFUNCTION("""COMPUTED_VALUE"""),44621.0)</f>
        <v>44621</v>
      </c>
      <c r="F176" s="54">
        <f>IFERROR(__xludf.DUMMYFUNCTION("""COMPUTED_VALUE"""),44655.0)</f>
        <v>44655</v>
      </c>
      <c r="G176" s="19">
        <f>IFERROR(__xludf.DUMMYFUNCTION("""COMPUTED_VALUE"""),1.0999999999999999)</f>
        <v>1.1</v>
      </c>
      <c r="H176" s="17">
        <f>IFERROR(__xludf.DUMMYFUNCTION("""COMPUTED_VALUE"""),44120.0)</f>
        <v>44120</v>
      </c>
      <c r="I176" s="19">
        <f>IFERROR(__xludf.DUMMYFUNCTION("""COMPUTED_VALUE"""),1.375)</f>
        <v>1.375</v>
      </c>
      <c r="J176" s="21">
        <f>IFERROR(__xludf.DUMMYFUNCTION("""COMPUTED_VALUE"""),93.0)</f>
        <v>93</v>
      </c>
      <c r="K176" s="23">
        <f>IFERROR(__xludf.DUMMYFUNCTION("""COMPUTED_VALUE"""),8.9)</f>
        <v>8.9</v>
      </c>
      <c r="L176" s="24"/>
      <c r="M176" s="25" t="str">
        <f>IFERROR(__xludf.DUMMYFUNCTION("""COMPUTED_VALUE"""),"Action-Adventure")</f>
        <v>Action-Adventure</v>
      </c>
      <c r="N176" s="25"/>
      <c r="O176" s="26" t="str">
        <f>IFERROR(__xludf.DUMMYFUNCTION("""COMPUTED_VALUE"""),"No")</f>
        <v>No</v>
      </c>
      <c r="P176" s="26"/>
    </row>
    <row r="177" hidden="1">
      <c r="A177" s="13" t="str">
        <f>IFERROR(__xludf.DUMMYFUNCTION("""COMPUTED_VALUE"""),"Planet Coaster: Console Edition")</f>
        <v>Planet Coaster: Console Edition</v>
      </c>
      <c r="B177" s="15" t="str">
        <f>IFERROR(__xludf.DUMMYFUNCTION("""COMPUTED_VALUE"""),"PS5")</f>
        <v>PS5</v>
      </c>
      <c r="C177" s="16" t="str">
        <f>IFERROR(__xludf.DUMMYFUNCTION("""COMPUTED_VALUE"""),"Playstation Plus (Discontinued)")</f>
        <v>Playstation Plus (Discontinued)</v>
      </c>
      <c r="D177" s="15" t="str">
        <f>IFERROR(__xludf.DUMMYFUNCTION("""COMPUTED_VALUE"""),"Removed")</f>
        <v>Removed</v>
      </c>
      <c r="E177" s="17">
        <f>IFERROR(__xludf.DUMMYFUNCTION("""COMPUTED_VALUE"""),44593.0)</f>
        <v>44593</v>
      </c>
      <c r="F177" s="54">
        <f>IFERROR(__xludf.DUMMYFUNCTION("""COMPUTED_VALUE"""),44620.0)</f>
        <v>44620</v>
      </c>
      <c r="G177" s="19">
        <f>IFERROR(__xludf.DUMMYFUNCTION("""COMPUTED_VALUE"""),0.8999999999999999)</f>
        <v>0.9</v>
      </c>
      <c r="H177" s="17">
        <f>IFERROR(__xludf.DUMMYFUNCTION("""COMPUTED_VALUE"""),44145.0)</f>
        <v>44145</v>
      </c>
      <c r="I177" s="19">
        <f>IFERROR(__xludf.DUMMYFUNCTION("""COMPUTED_VALUE"""),1.225)</f>
        <v>1.225</v>
      </c>
      <c r="J177" s="21">
        <f>IFERROR(__xludf.DUMMYFUNCTION("""COMPUTED_VALUE"""),81.0)</f>
        <v>81</v>
      </c>
      <c r="K177" s="23">
        <f>IFERROR(__xludf.DUMMYFUNCTION("""COMPUTED_VALUE"""),7.1)</f>
        <v>7.1</v>
      </c>
      <c r="L177" s="24"/>
      <c r="M177" s="25" t="str">
        <f>IFERROR(__xludf.DUMMYFUNCTION("""COMPUTED_VALUE"""),"Simulation")</f>
        <v>Simulation</v>
      </c>
      <c r="N177" s="25"/>
      <c r="O177" s="26" t="str">
        <f>IFERROR(__xludf.DUMMYFUNCTION("""COMPUTED_VALUE"""),"No")</f>
        <v>No</v>
      </c>
      <c r="P177" s="26"/>
    </row>
    <row r="178" hidden="1">
      <c r="A178" s="13" t="str">
        <f>IFERROR(__xludf.DUMMYFUNCTION("""COMPUTED_VALUE"""),"UFC 4")</f>
        <v>UFC 4</v>
      </c>
      <c r="B178" s="15" t="str">
        <f>IFERROR(__xludf.DUMMYFUNCTION("""COMPUTED_VALUE"""),"PS4")</f>
        <v>PS4</v>
      </c>
      <c r="C178" s="16" t="str">
        <f>IFERROR(__xludf.DUMMYFUNCTION("""COMPUTED_VALUE"""),"Playstation Plus (Discontinued)")</f>
        <v>Playstation Plus (Discontinued)</v>
      </c>
      <c r="D178" s="15" t="str">
        <f>IFERROR(__xludf.DUMMYFUNCTION("""COMPUTED_VALUE"""),"Removed")</f>
        <v>Removed</v>
      </c>
      <c r="E178" s="17">
        <f>IFERROR(__xludf.DUMMYFUNCTION("""COMPUTED_VALUE"""),44593.0)</f>
        <v>44593</v>
      </c>
      <c r="F178" s="54">
        <f>IFERROR(__xludf.DUMMYFUNCTION("""COMPUTED_VALUE"""),44620.0)</f>
        <v>44620</v>
      </c>
      <c r="G178" s="19">
        <f>IFERROR(__xludf.DUMMYFUNCTION("""COMPUTED_VALUE"""),0.8999999999999999)</f>
        <v>0.9</v>
      </c>
      <c r="H178" s="17">
        <f>IFERROR(__xludf.DUMMYFUNCTION("""COMPUTED_VALUE"""),44057.0)</f>
        <v>44057</v>
      </c>
      <c r="I178" s="19">
        <f>IFERROR(__xludf.DUMMYFUNCTION("""COMPUTED_VALUE"""),1.4638888888888888)</f>
        <v>1.463888889</v>
      </c>
      <c r="J178" s="21">
        <f>IFERROR(__xludf.DUMMYFUNCTION("""COMPUTED_VALUE"""),78.0)</f>
        <v>78</v>
      </c>
      <c r="K178" s="23">
        <f>IFERROR(__xludf.DUMMYFUNCTION("""COMPUTED_VALUE"""),6.8)</f>
        <v>6.8</v>
      </c>
      <c r="L178" s="24"/>
      <c r="M178" s="25" t="str">
        <f>IFERROR(__xludf.DUMMYFUNCTION("""COMPUTED_VALUE"""),"Sports")</f>
        <v>Sports</v>
      </c>
      <c r="N178" s="25"/>
      <c r="O178" s="26" t="str">
        <f>IFERROR(__xludf.DUMMYFUNCTION("""COMPUTED_VALUE"""),"No")</f>
        <v>No</v>
      </c>
      <c r="P178" s="26"/>
    </row>
    <row r="179" hidden="1">
      <c r="A179" s="13" t="str">
        <f>IFERROR(__xludf.DUMMYFUNCTION("""COMPUTED_VALUE"""),"Tiny Tina's Assault on Dragon Keep: A Wonderlands One-Shot Adventure")</f>
        <v>Tiny Tina's Assault on Dragon Keep: A Wonderlands One-Shot Adventure</v>
      </c>
      <c r="B179" s="15" t="str">
        <f>IFERROR(__xludf.DUMMYFUNCTION("""COMPUTED_VALUE"""),"PS4")</f>
        <v>PS4</v>
      </c>
      <c r="C179" s="16" t="str">
        <f>IFERROR(__xludf.DUMMYFUNCTION("""COMPUTED_VALUE"""),"Playstation Plus (Discontinued)")</f>
        <v>Playstation Plus (Discontinued)</v>
      </c>
      <c r="D179" s="15" t="str">
        <f>IFERROR(__xludf.DUMMYFUNCTION("""COMPUTED_VALUE"""),"Removed")</f>
        <v>Removed</v>
      </c>
      <c r="E179" s="17">
        <f>IFERROR(__xludf.DUMMYFUNCTION("""COMPUTED_VALUE"""),44593.0)</f>
        <v>44593</v>
      </c>
      <c r="F179" s="54">
        <f>IFERROR(__xludf.DUMMYFUNCTION("""COMPUTED_VALUE"""),44620.0)</f>
        <v>44620</v>
      </c>
      <c r="G179" s="19">
        <f>IFERROR(__xludf.DUMMYFUNCTION("""COMPUTED_VALUE"""),0.8999999999999999)</f>
        <v>0.9</v>
      </c>
      <c r="H179" s="17">
        <f>IFERROR(__xludf.DUMMYFUNCTION("""COMPUTED_VALUE"""),44509.0)</f>
        <v>44509</v>
      </c>
      <c r="I179" s="19">
        <f>IFERROR(__xludf.DUMMYFUNCTION("""COMPUTED_VALUE"""),0.22777777777777777)</f>
        <v>0.2277777778</v>
      </c>
      <c r="J179" s="21">
        <f>IFERROR(__xludf.DUMMYFUNCTION("""COMPUTED_VALUE"""),80.0)</f>
        <v>80</v>
      </c>
      <c r="K179" s="23">
        <f>IFERROR(__xludf.DUMMYFUNCTION("""COMPUTED_VALUE"""),7.5)</f>
        <v>7.5</v>
      </c>
      <c r="L179" s="24">
        <f>IFERROR(__xludf.DUMMYFUNCTION("""COMPUTED_VALUE"""),9.0)</f>
        <v>9</v>
      </c>
      <c r="M179" s="25" t="str">
        <f>IFERROR(__xludf.DUMMYFUNCTION("""COMPUTED_VALUE"""),"RPG")</f>
        <v>RPG</v>
      </c>
      <c r="N179" s="25"/>
      <c r="O179" s="26" t="str">
        <f>IFERROR(__xludf.DUMMYFUNCTION("""COMPUTED_VALUE"""),"No")</f>
        <v>No</v>
      </c>
      <c r="P179" s="26"/>
    </row>
    <row r="180" hidden="1">
      <c r="A180" s="13" t="str">
        <f>IFERROR(__xludf.DUMMYFUNCTION("""COMPUTED_VALUE"""),"Persona 5 Strikers")</f>
        <v>Persona 5 Strikers</v>
      </c>
      <c r="B180" s="15" t="str">
        <f>IFERROR(__xludf.DUMMYFUNCTION("""COMPUTED_VALUE"""),"PS4")</f>
        <v>PS4</v>
      </c>
      <c r="C180" s="16" t="str">
        <f>IFERROR(__xludf.DUMMYFUNCTION("""COMPUTED_VALUE"""),"Playstation Plus (Discontinued)")</f>
        <v>Playstation Plus (Discontinued)</v>
      </c>
      <c r="D180" s="15" t="str">
        <f>IFERROR(__xludf.DUMMYFUNCTION("""COMPUTED_VALUE"""),"Removed")</f>
        <v>Removed</v>
      </c>
      <c r="E180" s="17">
        <f>IFERROR(__xludf.DUMMYFUNCTION("""COMPUTED_VALUE"""),44565.0)</f>
        <v>44565</v>
      </c>
      <c r="F180" s="54">
        <f>IFERROR(__xludf.DUMMYFUNCTION("""COMPUTED_VALUE"""),44592.0)</f>
        <v>44592</v>
      </c>
      <c r="G180" s="19">
        <f>IFERROR(__xludf.DUMMYFUNCTION("""COMPUTED_VALUE"""),0.8666666666666666)</f>
        <v>0.8666666667</v>
      </c>
      <c r="H180" s="17">
        <f>IFERROR(__xludf.DUMMYFUNCTION("""COMPUTED_VALUE"""),44246.0)</f>
        <v>44246</v>
      </c>
      <c r="I180" s="19">
        <f>IFERROR(__xludf.DUMMYFUNCTION("""COMPUTED_VALUE"""),0.875)</f>
        <v>0.875</v>
      </c>
      <c r="J180" s="21">
        <f>IFERROR(__xludf.DUMMYFUNCTION("""COMPUTED_VALUE"""),83.0)</f>
        <v>83</v>
      </c>
      <c r="K180" s="23">
        <f>IFERROR(__xludf.DUMMYFUNCTION("""COMPUTED_VALUE"""),7.8)</f>
        <v>7.8</v>
      </c>
      <c r="L180" s="24">
        <f>IFERROR(__xludf.DUMMYFUNCTION("""COMPUTED_VALUE"""),36.0)</f>
        <v>36</v>
      </c>
      <c r="M180" s="25" t="str">
        <f>IFERROR(__xludf.DUMMYFUNCTION("""COMPUTED_VALUE"""),"RPG")</f>
        <v>RPG</v>
      </c>
      <c r="N180" s="25"/>
      <c r="O180" s="26" t="str">
        <f>IFERROR(__xludf.DUMMYFUNCTION("""COMPUTED_VALUE"""),"No")</f>
        <v>No</v>
      </c>
      <c r="P180" s="26"/>
    </row>
    <row r="181" hidden="1">
      <c r="A181" s="13" t="str">
        <f>IFERROR(__xludf.DUMMYFUNCTION("""COMPUTED_VALUE"""),"Dirt 5")</f>
        <v>Dirt 5</v>
      </c>
      <c r="B181" s="15" t="str">
        <f>IFERROR(__xludf.DUMMYFUNCTION("""COMPUTED_VALUE"""),"PS5/PS4")</f>
        <v>PS5/PS4</v>
      </c>
      <c r="C181" s="16" t="str">
        <f>IFERROR(__xludf.DUMMYFUNCTION("""COMPUTED_VALUE"""),"Playstation Plus (Discontinued)")</f>
        <v>Playstation Plus (Discontinued)</v>
      </c>
      <c r="D181" s="15" t="str">
        <f>IFERROR(__xludf.DUMMYFUNCTION("""COMPUTED_VALUE"""),"Removed")</f>
        <v>Removed</v>
      </c>
      <c r="E181" s="17">
        <f>IFERROR(__xludf.DUMMYFUNCTION("""COMPUTED_VALUE"""),44565.0)</f>
        <v>44565</v>
      </c>
      <c r="F181" s="54">
        <f>IFERROR(__xludf.DUMMYFUNCTION("""COMPUTED_VALUE"""),44592.0)</f>
        <v>44592</v>
      </c>
      <c r="G181" s="19">
        <f>IFERROR(__xludf.DUMMYFUNCTION("""COMPUTED_VALUE"""),0.8666666666666666)</f>
        <v>0.8666666667</v>
      </c>
      <c r="H181" s="17">
        <f>IFERROR(__xludf.DUMMYFUNCTION("""COMPUTED_VALUE"""),44141.0)</f>
        <v>44141</v>
      </c>
      <c r="I181" s="19">
        <f>IFERROR(__xludf.DUMMYFUNCTION("""COMPUTED_VALUE"""),1.1611111111111112)</f>
        <v>1.161111111</v>
      </c>
      <c r="J181" s="21">
        <f>IFERROR(__xludf.DUMMYFUNCTION("""COMPUTED_VALUE"""),80.0)</f>
        <v>80</v>
      </c>
      <c r="K181" s="23">
        <f>IFERROR(__xludf.DUMMYFUNCTION("""COMPUTED_VALUE"""),6.9)</f>
        <v>6.9</v>
      </c>
      <c r="L181" s="24">
        <f>IFERROR(__xludf.DUMMYFUNCTION("""COMPUTED_VALUE"""),9.0)</f>
        <v>9</v>
      </c>
      <c r="M181" s="25" t="str">
        <f>IFERROR(__xludf.DUMMYFUNCTION("""COMPUTED_VALUE"""),"Racing")</f>
        <v>Racing</v>
      </c>
      <c r="N181" s="25"/>
      <c r="O181" s="26" t="str">
        <f>IFERROR(__xludf.DUMMYFUNCTION("""COMPUTED_VALUE"""),"No")</f>
        <v>No</v>
      </c>
      <c r="P181" s="26"/>
    </row>
    <row r="182" hidden="1">
      <c r="A182" s="13" t="str">
        <f>IFERROR(__xludf.DUMMYFUNCTION("""COMPUTED_VALUE"""),"Deep Rock Galactic")</f>
        <v>Deep Rock Galactic</v>
      </c>
      <c r="B182" s="15" t="str">
        <f>IFERROR(__xludf.DUMMYFUNCTION("""COMPUTED_VALUE"""),"PS5/PS4")</f>
        <v>PS5/PS4</v>
      </c>
      <c r="C182" s="16" t="str">
        <f>IFERROR(__xludf.DUMMYFUNCTION("""COMPUTED_VALUE"""),"Playstation Plus (Discontinued)")</f>
        <v>Playstation Plus (Discontinued)</v>
      </c>
      <c r="D182" s="15" t="str">
        <f>IFERROR(__xludf.DUMMYFUNCTION("""COMPUTED_VALUE"""),"Removed")</f>
        <v>Removed</v>
      </c>
      <c r="E182" s="17">
        <f>IFERROR(__xludf.DUMMYFUNCTION("""COMPUTED_VALUE"""),44565.0)</f>
        <v>44565</v>
      </c>
      <c r="F182" s="54">
        <f>IFERROR(__xludf.DUMMYFUNCTION("""COMPUTED_VALUE"""),44592.0)</f>
        <v>44592</v>
      </c>
      <c r="G182" s="19">
        <f>IFERROR(__xludf.DUMMYFUNCTION("""COMPUTED_VALUE"""),0.8666666666666666)</f>
        <v>0.8666666667</v>
      </c>
      <c r="H182" s="17">
        <f>IFERROR(__xludf.DUMMYFUNCTION("""COMPUTED_VALUE"""),44329.0)</f>
        <v>44329</v>
      </c>
      <c r="I182" s="19">
        <f>IFERROR(__xludf.DUMMYFUNCTION("""COMPUTED_VALUE"""),0.6416666666666667)</f>
        <v>0.6416666667</v>
      </c>
      <c r="J182" s="21">
        <f>IFERROR(__xludf.DUMMYFUNCTION("""COMPUTED_VALUE"""),85.0)</f>
        <v>85</v>
      </c>
      <c r="K182" s="23">
        <f>IFERROR(__xludf.DUMMYFUNCTION("""COMPUTED_VALUE"""),8.6)</f>
        <v>8.6</v>
      </c>
      <c r="L182" s="24"/>
      <c r="M182" s="25" t="str">
        <f>IFERROR(__xludf.DUMMYFUNCTION("""COMPUTED_VALUE"""),"Shooter")</f>
        <v>Shooter</v>
      </c>
      <c r="N182" s="25"/>
      <c r="O182" s="26" t="str">
        <f>IFERROR(__xludf.DUMMYFUNCTION("""COMPUTED_VALUE"""),"No")</f>
        <v>No</v>
      </c>
      <c r="P182" s="26"/>
    </row>
    <row r="183" hidden="1">
      <c r="A183" s="13" t="str">
        <f>IFERROR(__xludf.DUMMYFUNCTION("""COMPUTED_VALUE"""),"Godfall: Challenger Edition")</f>
        <v>Godfall: Challenger Edition</v>
      </c>
      <c r="B183" s="15" t="str">
        <f>IFERROR(__xludf.DUMMYFUNCTION("""COMPUTED_VALUE"""),"PS5/PS4")</f>
        <v>PS5/PS4</v>
      </c>
      <c r="C183" s="16" t="str">
        <f>IFERROR(__xludf.DUMMYFUNCTION("""COMPUTED_VALUE"""),"Playstation Plus (Discontinued)")</f>
        <v>Playstation Plus (Discontinued)</v>
      </c>
      <c r="D183" s="15" t="str">
        <f>IFERROR(__xludf.DUMMYFUNCTION("""COMPUTED_VALUE"""),"Removed")</f>
        <v>Removed</v>
      </c>
      <c r="E183" s="17">
        <f>IFERROR(__xludf.DUMMYFUNCTION("""COMPUTED_VALUE"""),44537.0)</f>
        <v>44537</v>
      </c>
      <c r="F183" s="54">
        <f>IFERROR(__xludf.DUMMYFUNCTION("""COMPUTED_VALUE"""),44564.0)</f>
        <v>44564</v>
      </c>
      <c r="G183" s="19">
        <f>IFERROR(__xludf.DUMMYFUNCTION("""COMPUTED_VALUE"""),0.8666666666666666)</f>
        <v>0.8666666667</v>
      </c>
      <c r="H183" s="17">
        <f>IFERROR(__xludf.DUMMYFUNCTION("""COMPUTED_VALUE"""),44507.0)</f>
        <v>44507</v>
      </c>
      <c r="I183" s="19">
        <f>IFERROR(__xludf.DUMMYFUNCTION("""COMPUTED_VALUE"""),0.08333333333333333)</f>
        <v>0.08333333333</v>
      </c>
      <c r="J183" s="21">
        <f>IFERROR(__xludf.DUMMYFUNCTION("""COMPUTED_VALUE"""),61.0)</f>
        <v>61</v>
      </c>
      <c r="K183" s="23">
        <f>IFERROR(__xludf.DUMMYFUNCTION("""COMPUTED_VALUE"""),5.4)</f>
        <v>5.4</v>
      </c>
      <c r="L183" s="24">
        <f>IFERROR(__xludf.DUMMYFUNCTION("""COMPUTED_VALUE"""),12.0)</f>
        <v>12</v>
      </c>
      <c r="M183" s="25" t="str">
        <f>IFERROR(__xludf.DUMMYFUNCTION("""COMPUTED_VALUE"""),"RPG")</f>
        <v>RPG</v>
      </c>
      <c r="N183" s="25"/>
      <c r="O183" s="26" t="str">
        <f>IFERROR(__xludf.DUMMYFUNCTION("""COMPUTED_VALUE"""),"No")</f>
        <v>No</v>
      </c>
      <c r="P183" s="26"/>
    </row>
    <row r="184" hidden="1">
      <c r="A184" s="13" t="str">
        <f>IFERROR(__xludf.DUMMYFUNCTION("""COMPUTED_VALUE"""),"Lego DC Super-Villains")</f>
        <v>Lego DC Super-Villains</v>
      </c>
      <c r="B184" s="15" t="str">
        <f>IFERROR(__xludf.DUMMYFUNCTION("""COMPUTED_VALUE"""),"PS4")</f>
        <v>PS4</v>
      </c>
      <c r="C184" s="16" t="str">
        <f>IFERROR(__xludf.DUMMYFUNCTION("""COMPUTED_VALUE"""),"Playstation Plus (Discontinued)")</f>
        <v>Playstation Plus (Discontinued)</v>
      </c>
      <c r="D184" s="15" t="str">
        <f>IFERROR(__xludf.DUMMYFUNCTION("""COMPUTED_VALUE"""),"Removed")</f>
        <v>Removed</v>
      </c>
      <c r="E184" s="17">
        <f>IFERROR(__xludf.DUMMYFUNCTION("""COMPUTED_VALUE"""),44537.0)</f>
        <v>44537</v>
      </c>
      <c r="F184" s="54">
        <f>IFERROR(__xludf.DUMMYFUNCTION("""COMPUTED_VALUE"""),44564.0)</f>
        <v>44564</v>
      </c>
      <c r="G184" s="19">
        <f>IFERROR(__xludf.DUMMYFUNCTION("""COMPUTED_VALUE"""),0.8666666666666666)</f>
        <v>0.8666666667</v>
      </c>
      <c r="H184" s="17">
        <f>IFERROR(__xludf.DUMMYFUNCTION("""COMPUTED_VALUE"""),43389.0)</f>
        <v>43389</v>
      </c>
      <c r="I184" s="19">
        <f>IFERROR(__xludf.DUMMYFUNCTION("""COMPUTED_VALUE"""),3.1416666666666666)</f>
        <v>3.141666667</v>
      </c>
      <c r="J184" s="21">
        <f>IFERROR(__xludf.DUMMYFUNCTION("""COMPUTED_VALUE"""),74.0)</f>
        <v>74</v>
      </c>
      <c r="K184" s="23">
        <f>IFERROR(__xludf.DUMMYFUNCTION("""COMPUTED_VALUE"""),7.7)</f>
        <v>7.7</v>
      </c>
      <c r="L184" s="24">
        <f>IFERROR(__xludf.DUMMYFUNCTION("""COMPUTED_VALUE"""),15.0)</f>
        <v>15</v>
      </c>
      <c r="M184" s="25" t="str">
        <f>IFERROR(__xludf.DUMMYFUNCTION("""COMPUTED_VALUE"""),"Action-Adventure")</f>
        <v>Action-Adventure</v>
      </c>
      <c r="N184" s="25"/>
      <c r="O184" s="26" t="str">
        <f>IFERROR(__xludf.DUMMYFUNCTION("""COMPUTED_VALUE"""),"No")</f>
        <v>No</v>
      </c>
      <c r="P184" s="26"/>
    </row>
    <row r="185" hidden="1">
      <c r="A185" s="13" t="str">
        <f>IFERROR(__xludf.DUMMYFUNCTION("""COMPUTED_VALUE"""),"Mortal Shell")</f>
        <v>Mortal Shell</v>
      </c>
      <c r="B185" s="15" t="str">
        <f>IFERROR(__xludf.DUMMYFUNCTION("""COMPUTED_VALUE"""),"PS4")</f>
        <v>PS4</v>
      </c>
      <c r="C185" s="16" t="str">
        <f>IFERROR(__xludf.DUMMYFUNCTION("""COMPUTED_VALUE"""),"Playstation Plus (Discontinued)")</f>
        <v>Playstation Plus (Discontinued)</v>
      </c>
      <c r="D185" s="15" t="str">
        <f>IFERROR(__xludf.DUMMYFUNCTION("""COMPUTED_VALUE"""),"Removed")</f>
        <v>Removed</v>
      </c>
      <c r="E185" s="17">
        <f>IFERROR(__xludf.DUMMYFUNCTION("""COMPUTED_VALUE"""),44537.0)</f>
        <v>44537</v>
      </c>
      <c r="F185" s="54">
        <f>IFERROR(__xludf.DUMMYFUNCTION("""COMPUTED_VALUE"""),44564.0)</f>
        <v>44564</v>
      </c>
      <c r="G185" s="19">
        <f>IFERROR(__xludf.DUMMYFUNCTION("""COMPUTED_VALUE"""),0.8666666666666666)</f>
        <v>0.8666666667</v>
      </c>
      <c r="H185" s="17">
        <f>IFERROR(__xludf.DUMMYFUNCTION("""COMPUTED_VALUE"""),44061.0)</f>
        <v>44061</v>
      </c>
      <c r="I185" s="19">
        <f>IFERROR(__xludf.DUMMYFUNCTION("""COMPUTED_VALUE"""),1.3027777777777778)</f>
        <v>1.302777778</v>
      </c>
      <c r="J185" s="21">
        <f>IFERROR(__xludf.DUMMYFUNCTION("""COMPUTED_VALUE"""),76.0)</f>
        <v>76</v>
      </c>
      <c r="K185" s="23">
        <f>IFERROR(__xludf.DUMMYFUNCTION("""COMPUTED_VALUE"""),6.8)</f>
        <v>6.8</v>
      </c>
      <c r="L185" s="24">
        <f>IFERROR(__xludf.DUMMYFUNCTION("""COMPUTED_VALUE"""),13.0)</f>
        <v>13</v>
      </c>
      <c r="M185" s="25" t="str">
        <f>IFERROR(__xludf.DUMMYFUNCTION("""COMPUTED_VALUE"""),"Action-Adventure")</f>
        <v>Action-Adventure</v>
      </c>
      <c r="N185" s="25"/>
      <c r="O185" s="26" t="str">
        <f>IFERROR(__xludf.DUMMYFUNCTION("""COMPUTED_VALUE"""),"No")</f>
        <v>No</v>
      </c>
      <c r="P185" s="26"/>
    </row>
    <row r="186" hidden="1">
      <c r="A186" s="13" t="str">
        <f>IFERROR(__xludf.DUMMYFUNCTION("""COMPUTED_VALUE"""),"The Persistence")</f>
        <v>The Persistence</v>
      </c>
      <c r="B186" s="15" t="str">
        <f>IFERROR(__xludf.DUMMYFUNCTION("""COMPUTED_VALUE"""),"PS4/PSVR")</f>
        <v>PS4/PSVR</v>
      </c>
      <c r="C186" s="16" t="str">
        <f>IFERROR(__xludf.DUMMYFUNCTION("""COMPUTED_VALUE"""),"Playstation Plus (Discontinued)")</f>
        <v>Playstation Plus (Discontinued)</v>
      </c>
      <c r="D186" s="15" t="str">
        <f>IFERROR(__xludf.DUMMYFUNCTION("""COMPUTED_VALUE"""),"Removed")</f>
        <v>Removed</v>
      </c>
      <c r="E186" s="17">
        <f>IFERROR(__xludf.DUMMYFUNCTION("""COMPUTED_VALUE"""),44502.0)</f>
        <v>44502</v>
      </c>
      <c r="F186" s="71">
        <f>IFERROR(__xludf.DUMMYFUNCTION("""COMPUTED_VALUE"""),44564.0)</f>
        <v>44564</v>
      </c>
      <c r="G186" s="19">
        <f>IFERROR(__xludf.DUMMYFUNCTION("""COMPUTED_VALUE"""),2.033333333333333)</f>
        <v>2.033333333</v>
      </c>
      <c r="H186" s="17">
        <f>IFERROR(__xludf.DUMMYFUNCTION("""COMPUTED_VALUE"""),43305.0)</f>
        <v>43305</v>
      </c>
      <c r="I186" s="19">
        <f>IFERROR(__xludf.DUMMYFUNCTION("""COMPUTED_VALUE"""),3.272222222222222)</f>
        <v>3.272222222</v>
      </c>
      <c r="J186" s="21">
        <f>IFERROR(__xludf.DUMMYFUNCTION("""COMPUTED_VALUE"""),78.0)</f>
        <v>78</v>
      </c>
      <c r="K186" s="23">
        <f>IFERROR(__xludf.DUMMYFUNCTION("""COMPUTED_VALUE"""),7.3)</f>
        <v>7.3</v>
      </c>
      <c r="L186" s="24">
        <f>IFERROR(__xludf.DUMMYFUNCTION("""COMPUTED_VALUE"""),10.0)</f>
        <v>10</v>
      </c>
      <c r="M186" s="25" t="str">
        <f>IFERROR(__xludf.DUMMYFUNCTION("""COMPUTED_VALUE"""),"Horror")</f>
        <v>Horror</v>
      </c>
      <c r="N186" s="25"/>
      <c r="O186" s="26" t="str">
        <f>IFERROR(__xludf.DUMMYFUNCTION("""COMPUTED_VALUE"""),"No")</f>
        <v>No</v>
      </c>
      <c r="P186" s="26"/>
    </row>
    <row r="187" hidden="1">
      <c r="A187" s="13" t="str">
        <f>IFERROR(__xludf.DUMMYFUNCTION("""COMPUTED_VALUE"""),"The Walking Dead: Saints &amp; Sinners")</f>
        <v>The Walking Dead: Saints &amp; Sinners</v>
      </c>
      <c r="B187" s="15" t="str">
        <f>IFERROR(__xludf.DUMMYFUNCTION("""COMPUTED_VALUE"""),"PS4/PSVR")</f>
        <v>PS4/PSVR</v>
      </c>
      <c r="C187" s="16" t="str">
        <f>IFERROR(__xludf.DUMMYFUNCTION("""COMPUTED_VALUE"""),"Playstation Plus (Discontinued)")</f>
        <v>Playstation Plus (Discontinued)</v>
      </c>
      <c r="D187" s="15" t="str">
        <f>IFERROR(__xludf.DUMMYFUNCTION("""COMPUTED_VALUE"""),"Removed")</f>
        <v>Removed</v>
      </c>
      <c r="E187" s="17">
        <f>IFERROR(__xludf.DUMMYFUNCTION("""COMPUTED_VALUE"""),44502.0)</f>
        <v>44502</v>
      </c>
      <c r="F187" s="54">
        <f>IFERROR(__xludf.DUMMYFUNCTION("""COMPUTED_VALUE"""),44564.0)</f>
        <v>44564</v>
      </c>
      <c r="G187" s="19">
        <f>IFERROR(__xludf.DUMMYFUNCTION("""COMPUTED_VALUE"""),2.033333333333333)</f>
        <v>2.033333333</v>
      </c>
      <c r="H187" s="17">
        <f>IFERROR(__xludf.DUMMYFUNCTION("""COMPUTED_VALUE"""),43853.0)</f>
        <v>43853</v>
      </c>
      <c r="I187" s="19">
        <f>IFERROR(__xludf.DUMMYFUNCTION("""COMPUTED_VALUE"""),1.775)</f>
        <v>1.775</v>
      </c>
      <c r="J187" s="21">
        <f>IFERROR(__xludf.DUMMYFUNCTION("""COMPUTED_VALUE"""),79.0)</f>
        <v>79</v>
      </c>
      <c r="K187" s="23">
        <f>IFERROR(__xludf.DUMMYFUNCTION("""COMPUTED_VALUE"""),8.2)</f>
        <v>8.2</v>
      </c>
      <c r="L187" s="24">
        <f>IFERROR(__xludf.DUMMYFUNCTION("""COMPUTED_VALUE"""),11.0)</f>
        <v>11</v>
      </c>
      <c r="M187" s="25" t="str">
        <f>IFERROR(__xludf.DUMMYFUNCTION("""COMPUTED_VALUE"""),"Action-Adventure")</f>
        <v>Action-Adventure</v>
      </c>
      <c r="N187" s="25"/>
      <c r="O187" s="26" t="str">
        <f>IFERROR(__xludf.DUMMYFUNCTION("""COMPUTED_VALUE"""),"No")</f>
        <v>No</v>
      </c>
      <c r="P187" s="26"/>
    </row>
    <row r="188" hidden="1">
      <c r="A188" s="13" t="str">
        <f>IFERROR(__xludf.DUMMYFUNCTION("""COMPUTED_VALUE"""),"Until You Fall")</f>
        <v>Until You Fall</v>
      </c>
      <c r="B188" s="15" t="str">
        <f>IFERROR(__xludf.DUMMYFUNCTION("""COMPUTED_VALUE"""),"PS4/PSVR")</f>
        <v>PS4/PSVR</v>
      </c>
      <c r="C188" s="16" t="str">
        <f>IFERROR(__xludf.DUMMYFUNCTION("""COMPUTED_VALUE"""),"Playstation Plus (Discontinued)")</f>
        <v>Playstation Plus (Discontinued)</v>
      </c>
      <c r="D188" s="15" t="str">
        <f>IFERROR(__xludf.DUMMYFUNCTION("""COMPUTED_VALUE"""),"Removed")</f>
        <v>Removed</v>
      </c>
      <c r="E188" s="17">
        <f>IFERROR(__xludf.DUMMYFUNCTION("""COMPUTED_VALUE"""),44502.0)</f>
        <v>44502</v>
      </c>
      <c r="F188" s="54">
        <f>IFERROR(__xludf.DUMMYFUNCTION("""COMPUTED_VALUE"""),44564.0)</f>
        <v>44564</v>
      </c>
      <c r="G188" s="19">
        <f>IFERROR(__xludf.DUMMYFUNCTION("""COMPUTED_VALUE"""),2.033333333333333)</f>
        <v>2.033333333</v>
      </c>
      <c r="H188" s="17">
        <f>IFERROR(__xludf.DUMMYFUNCTION("""COMPUTED_VALUE"""),44103.0)</f>
        <v>44103</v>
      </c>
      <c r="I188" s="19">
        <f>IFERROR(__xludf.DUMMYFUNCTION("""COMPUTED_VALUE"""),1.0916666666666666)</f>
        <v>1.091666667</v>
      </c>
      <c r="J188" s="21">
        <f>IFERROR(__xludf.DUMMYFUNCTION("""COMPUTED_VALUE"""),79.0)</f>
        <v>79</v>
      </c>
      <c r="K188" s="23">
        <f>IFERROR(__xludf.DUMMYFUNCTION("""COMPUTED_VALUE"""),7.7)</f>
        <v>7.7</v>
      </c>
      <c r="L188" s="24">
        <f>IFERROR(__xludf.DUMMYFUNCTION("""COMPUTED_VALUE"""),5.0)</f>
        <v>5</v>
      </c>
      <c r="M188" s="25" t="str">
        <f>IFERROR(__xludf.DUMMYFUNCTION("""COMPUTED_VALUE"""),"Action-Adventure")</f>
        <v>Action-Adventure</v>
      </c>
      <c r="N188" s="25"/>
      <c r="O188" s="26" t="str">
        <f>IFERROR(__xludf.DUMMYFUNCTION("""COMPUTED_VALUE"""),"No")</f>
        <v>No</v>
      </c>
      <c r="P188" s="26"/>
    </row>
    <row r="189" hidden="1">
      <c r="A189" s="13" t="str">
        <f>IFERROR(__xludf.DUMMYFUNCTION("""COMPUTED_VALUE"""),"Knockout City")</f>
        <v>Knockout City</v>
      </c>
      <c r="B189" s="15" t="str">
        <f>IFERROR(__xludf.DUMMYFUNCTION("""COMPUTED_VALUE"""),"PS5/PS4")</f>
        <v>PS5/PS4</v>
      </c>
      <c r="C189" s="16" t="str">
        <f>IFERROR(__xludf.DUMMYFUNCTION("""COMPUTED_VALUE"""),"Playstation Plus (Discontinued)")</f>
        <v>Playstation Plus (Discontinued)</v>
      </c>
      <c r="D189" s="15" t="str">
        <f>IFERROR(__xludf.DUMMYFUNCTION("""COMPUTED_VALUE"""),"Removed")</f>
        <v>Removed</v>
      </c>
      <c r="E189" s="17">
        <f>IFERROR(__xludf.DUMMYFUNCTION("""COMPUTED_VALUE"""),44502.0)</f>
        <v>44502</v>
      </c>
      <c r="F189" s="54">
        <f>IFERROR(__xludf.DUMMYFUNCTION("""COMPUTED_VALUE"""),44536.0)</f>
        <v>44536</v>
      </c>
      <c r="G189" s="19">
        <f>IFERROR(__xludf.DUMMYFUNCTION("""COMPUTED_VALUE"""),1.1333333333333333)</f>
        <v>1.133333333</v>
      </c>
      <c r="H189" s="17">
        <f>IFERROR(__xludf.DUMMYFUNCTION("""COMPUTED_VALUE"""),44337.0)</f>
        <v>44337</v>
      </c>
      <c r="I189" s="19">
        <f>IFERROR(__xludf.DUMMYFUNCTION("""COMPUTED_VALUE"""),0.44722222222222224)</f>
        <v>0.4472222222</v>
      </c>
      <c r="J189" s="21">
        <f>IFERROR(__xludf.DUMMYFUNCTION("""COMPUTED_VALUE"""),80.0)</f>
        <v>80</v>
      </c>
      <c r="K189" s="23">
        <f>IFERROR(__xludf.DUMMYFUNCTION("""COMPUTED_VALUE"""),7.1)</f>
        <v>7.1</v>
      </c>
      <c r="L189" s="24"/>
      <c r="M189" s="25" t="str">
        <f>IFERROR(__xludf.DUMMYFUNCTION("""COMPUTED_VALUE"""),"Shooter")</f>
        <v>Shooter</v>
      </c>
      <c r="N189" s="25"/>
      <c r="O189" s="26" t="str">
        <f>IFERROR(__xludf.DUMMYFUNCTION("""COMPUTED_VALUE"""),"No")</f>
        <v>No</v>
      </c>
      <c r="P189" s="26"/>
    </row>
    <row r="190" hidden="1">
      <c r="A190" s="13" t="str">
        <f>IFERROR(__xludf.DUMMYFUNCTION("""COMPUTED_VALUE"""),"First Class Trouble")</f>
        <v>First Class Trouble</v>
      </c>
      <c r="B190" s="15" t="str">
        <f>IFERROR(__xludf.DUMMYFUNCTION("""COMPUTED_VALUE"""),"PS5/PS4")</f>
        <v>PS5/PS4</v>
      </c>
      <c r="C190" s="16" t="str">
        <f>IFERROR(__xludf.DUMMYFUNCTION("""COMPUTED_VALUE"""),"Playstation Plus (Discontinued)")</f>
        <v>Playstation Plus (Discontinued)</v>
      </c>
      <c r="D190" s="15" t="str">
        <f>IFERROR(__xludf.DUMMYFUNCTION("""COMPUTED_VALUE"""),"Removed")</f>
        <v>Removed</v>
      </c>
      <c r="E190" s="17">
        <f>IFERROR(__xludf.DUMMYFUNCTION("""COMPUTED_VALUE"""),44502.0)</f>
        <v>44502</v>
      </c>
      <c r="F190" s="54">
        <f>IFERROR(__xludf.DUMMYFUNCTION("""COMPUTED_VALUE"""),44536.0)</f>
        <v>44536</v>
      </c>
      <c r="G190" s="19">
        <f>IFERROR(__xludf.DUMMYFUNCTION("""COMPUTED_VALUE"""),1.1333333333333333)</f>
        <v>1.133333333</v>
      </c>
      <c r="H190" s="17">
        <f>IFERROR(__xludf.DUMMYFUNCTION("""COMPUTED_VALUE"""),44502.0)</f>
        <v>44502</v>
      </c>
      <c r="I190" s="19">
        <f>IFERROR(__xludf.DUMMYFUNCTION("""COMPUTED_VALUE"""),0.0)</f>
        <v>0</v>
      </c>
      <c r="J190" s="21">
        <f>IFERROR(__xludf.DUMMYFUNCTION("""COMPUTED_VALUE"""),66.0)</f>
        <v>66</v>
      </c>
      <c r="K190" s="23">
        <f>IFERROR(__xludf.DUMMYFUNCTION("""COMPUTED_VALUE"""),6.5)</f>
        <v>6.5</v>
      </c>
      <c r="L190" s="24"/>
      <c r="M190" s="25" t="str">
        <f>IFERROR(__xludf.DUMMYFUNCTION("""COMPUTED_VALUE"""),"Party")</f>
        <v>Party</v>
      </c>
      <c r="N190" s="25"/>
      <c r="O190" s="26" t="str">
        <f>IFERROR(__xludf.DUMMYFUNCTION("""COMPUTED_VALUE"""),"No")</f>
        <v>No</v>
      </c>
      <c r="P190" s="26"/>
    </row>
    <row r="191" hidden="1">
      <c r="A191" s="13" t="str">
        <f>IFERROR(__xludf.DUMMYFUNCTION("""COMPUTED_VALUE"""),"Kingdoms of Amalur: Re-Reckoning")</f>
        <v>Kingdoms of Amalur: Re-Reckoning</v>
      </c>
      <c r="B191" s="15" t="str">
        <f>IFERROR(__xludf.DUMMYFUNCTION("""COMPUTED_VALUE"""),"PS4")</f>
        <v>PS4</v>
      </c>
      <c r="C191" s="16" t="str">
        <f>IFERROR(__xludf.DUMMYFUNCTION("""COMPUTED_VALUE"""),"Playstation Plus (Discontinued)")</f>
        <v>Playstation Plus (Discontinued)</v>
      </c>
      <c r="D191" s="15" t="str">
        <f>IFERROR(__xludf.DUMMYFUNCTION("""COMPUTED_VALUE"""),"Removed")</f>
        <v>Removed</v>
      </c>
      <c r="E191" s="17">
        <f>IFERROR(__xludf.DUMMYFUNCTION("""COMPUTED_VALUE"""),44502.0)</f>
        <v>44502</v>
      </c>
      <c r="F191" s="54">
        <f>IFERROR(__xludf.DUMMYFUNCTION("""COMPUTED_VALUE"""),44536.0)</f>
        <v>44536</v>
      </c>
      <c r="G191" s="19">
        <f>IFERROR(__xludf.DUMMYFUNCTION("""COMPUTED_VALUE"""),1.1333333333333333)</f>
        <v>1.133333333</v>
      </c>
      <c r="H191" s="17">
        <f>IFERROR(__xludf.DUMMYFUNCTION("""COMPUTED_VALUE"""),44082.0)</f>
        <v>44082</v>
      </c>
      <c r="I191" s="19">
        <f>IFERROR(__xludf.DUMMYFUNCTION("""COMPUTED_VALUE"""),1.15)</f>
        <v>1.15</v>
      </c>
      <c r="J191" s="21">
        <f>IFERROR(__xludf.DUMMYFUNCTION("""COMPUTED_VALUE"""),72.0)</f>
        <v>72</v>
      </c>
      <c r="K191" s="23">
        <f>IFERROR(__xludf.DUMMYFUNCTION("""COMPUTED_VALUE"""),7.1)</f>
        <v>7.1</v>
      </c>
      <c r="L191" s="24">
        <f>IFERROR(__xludf.DUMMYFUNCTION("""COMPUTED_VALUE"""),22.0)</f>
        <v>22</v>
      </c>
      <c r="M191" s="25" t="str">
        <f>IFERROR(__xludf.DUMMYFUNCTION("""COMPUTED_VALUE"""),"RPG")</f>
        <v>RPG</v>
      </c>
      <c r="N191" s="25"/>
      <c r="O191" s="26" t="str">
        <f>IFERROR(__xludf.DUMMYFUNCTION("""COMPUTED_VALUE"""),"No")</f>
        <v>No</v>
      </c>
      <c r="P191" s="26"/>
    </row>
    <row r="192" hidden="1">
      <c r="A192" s="13" t="str">
        <f>IFERROR(__xludf.DUMMYFUNCTION("""COMPUTED_VALUE"""),"Hell Let Loose")</f>
        <v>Hell Let Loose</v>
      </c>
      <c r="B192" s="15" t="str">
        <f>IFERROR(__xludf.DUMMYFUNCTION("""COMPUTED_VALUE"""),"PS5")</f>
        <v>PS5</v>
      </c>
      <c r="C192" s="16" t="str">
        <f>IFERROR(__xludf.DUMMYFUNCTION("""COMPUTED_VALUE"""),"Playstation Plus (Discontinued)")</f>
        <v>Playstation Plus (Discontinued)</v>
      </c>
      <c r="D192" s="15" t="str">
        <f>IFERROR(__xludf.DUMMYFUNCTION("""COMPUTED_VALUE"""),"Removed")</f>
        <v>Removed</v>
      </c>
      <c r="E192" s="17">
        <f>IFERROR(__xludf.DUMMYFUNCTION("""COMPUTED_VALUE"""),44474.0)</f>
        <v>44474</v>
      </c>
      <c r="F192" s="54">
        <f>IFERROR(__xludf.DUMMYFUNCTION("""COMPUTED_VALUE"""),44501.0)</f>
        <v>44501</v>
      </c>
      <c r="G192" s="19">
        <f>IFERROR(__xludf.DUMMYFUNCTION("""COMPUTED_VALUE"""),0.8666666666666666)</f>
        <v>0.8666666667</v>
      </c>
      <c r="H192" s="17">
        <f>IFERROR(__xludf.DUMMYFUNCTION("""COMPUTED_VALUE"""),44404.0)</f>
        <v>44404</v>
      </c>
      <c r="I192" s="19">
        <f>IFERROR(__xludf.DUMMYFUNCTION("""COMPUTED_VALUE"""),0.18888888888888888)</f>
        <v>0.1888888889</v>
      </c>
      <c r="J192" s="21">
        <f>IFERROR(__xludf.DUMMYFUNCTION("""COMPUTED_VALUE"""),79.0)</f>
        <v>79</v>
      </c>
      <c r="K192" s="23">
        <f>IFERROR(__xludf.DUMMYFUNCTION("""COMPUTED_VALUE"""),7.3)</f>
        <v>7.3</v>
      </c>
      <c r="L192" s="24"/>
      <c r="M192" s="25" t="str">
        <f>IFERROR(__xludf.DUMMYFUNCTION("""COMPUTED_VALUE"""),"Shooter")</f>
        <v>Shooter</v>
      </c>
      <c r="N192" s="25"/>
      <c r="O192" s="26" t="str">
        <f>IFERROR(__xludf.DUMMYFUNCTION("""COMPUTED_VALUE"""),"No")</f>
        <v>No</v>
      </c>
      <c r="P192" s="26"/>
    </row>
    <row r="193" hidden="1">
      <c r="A193" s="13" t="str">
        <f>IFERROR(__xludf.DUMMYFUNCTION("""COMPUTED_VALUE"""),"PGA Tour 2K21")</f>
        <v>PGA Tour 2K21</v>
      </c>
      <c r="B193" s="15" t="str">
        <f>IFERROR(__xludf.DUMMYFUNCTION("""COMPUTED_VALUE"""),"PS4")</f>
        <v>PS4</v>
      </c>
      <c r="C193" s="16" t="str">
        <f>IFERROR(__xludf.DUMMYFUNCTION("""COMPUTED_VALUE"""),"Playstation Plus (Discontinued)")</f>
        <v>Playstation Plus (Discontinued)</v>
      </c>
      <c r="D193" s="15" t="str">
        <f>IFERROR(__xludf.DUMMYFUNCTION("""COMPUTED_VALUE"""),"Removed")</f>
        <v>Removed</v>
      </c>
      <c r="E193" s="17">
        <f>IFERROR(__xludf.DUMMYFUNCTION("""COMPUTED_VALUE"""),44474.0)</f>
        <v>44474</v>
      </c>
      <c r="F193" s="54">
        <f>IFERROR(__xludf.DUMMYFUNCTION("""COMPUTED_VALUE"""),44501.0)</f>
        <v>44501</v>
      </c>
      <c r="G193" s="19">
        <f>IFERROR(__xludf.DUMMYFUNCTION("""COMPUTED_VALUE"""),0.8666666666666666)</f>
        <v>0.8666666667</v>
      </c>
      <c r="H193" s="17">
        <f>IFERROR(__xludf.DUMMYFUNCTION("""COMPUTED_VALUE"""),44064.0)</f>
        <v>44064</v>
      </c>
      <c r="I193" s="19">
        <f>IFERROR(__xludf.DUMMYFUNCTION("""COMPUTED_VALUE"""),1.1222222222222222)</f>
        <v>1.122222222</v>
      </c>
      <c r="J193" s="21">
        <f>IFERROR(__xludf.DUMMYFUNCTION("""COMPUTED_VALUE"""),76.0)</f>
        <v>76</v>
      </c>
      <c r="K193" s="23">
        <f>IFERROR(__xludf.DUMMYFUNCTION("""COMPUTED_VALUE"""),7.0)</f>
        <v>7</v>
      </c>
      <c r="L193" s="24"/>
      <c r="M193" s="25" t="str">
        <f>IFERROR(__xludf.DUMMYFUNCTION("""COMPUTED_VALUE"""),"Sports")</f>
        <v>Sports</v>
      </c>
      <c r="N193" s="25"/>
      <c r="O193" s="26" t="str">
        <f>IFERROR(__xludf.DUMMYFUNCTION("""COMPUTED_VALUE"""),"No")</f>
        <v>No</v>
      </c>
      <c r="P193" s="26"/>
    </row>
    <row r="194" hidden="1">
      <c r="A194" s="13" t="str">
        <f>IFERROR(__xludf.DUMMYFUNCTION("""COMPUTED_VALUE"""),"Mortal Kombat X")</f>
        <v>Mortal Kombat X</v>
      </c>
      <c r="B194" s="15" t="str">
        <f>IFERROR(__xludf.DUMMYFUNCTION("""COMPUTED_VALUE"""),"PS4")</f>
        <v>PS4</v>
      </c>
      <c r="C194" s="16" t="str">
        <f>IFERROR(__xludf.DUMMYFUNCTION("""COMPUTED_VALUE"""),"Playstation Plus (Discontinued)")</f>
        <v>Playstation Plus (Discontinued)</v>
      </c>
      <c r="D194" s="15" t="str">
        <f>IFERROR(__xludf.DUMMYFUNCTION("""COMPUTED_VALUE"""),"Removed")</f>
        <v>Removed</v>
      </c>
      <c r="E194" s="17">
        <f>IFERROR(__xludf.DUMMYFUNCTION("""COMPUTED_VALUE"""),44474.0)</f>
        <v>44474</v>
      </c>
      <c r="F194" s="54">
        <f>IFERROR(__xludf.DUMMYFUNCTION("""COMPUTED_VALUE"""),44501.0)</f>
        <v>44501</v>
      </c>
      <c r="G194" s="19">
        <f>IFERROR(__xludf.DUMMYFUNCTION("""COMPUTED_VALUE"""),0.8666666666666666)</f>
        <v>0.8666666667</v>
      </c>
      <c r="H194" s="17">
        <f>IFERROR(__xludf.DUMMYFUNCTION("""COMPUTED_VALUE"""),42108.0)</f>
        <v>42108</v>
      </c>
      <c r="I194" s="19">
        <f>IFERROR(__xludf.DUMMYFUNCTION("""COMPUTED_VALUE"""),6.475)</f>
        <v>6.475</v>
      </c>
      <c r="J194" s="21">
        <f>IFERROR(__xludf.DUMMYFUNCTION("""COMPUTED_VALUE"""),83.0)</f>
        <v>83</v>
      </c>
      <c r="K194" s="23">
        <f>IFERROR(__xludf.DUMMYFUNCTION("""COMPUTED_VALUE"""),7.7)</f>
        <v>7.7</v>
      </c>
      <c r="L194" s="24">
        <f>IFERROR(__xludf.DUMMYFUNCTION("""COMPUTED_VALUE"""),6.0)</f>
        <v>6</v>
      </c>
      <c r="M194" s="25" t="str">
        <f>IFERROR(__xludf.DUMMYFUNCTION("""COMPUTED_VALUE"""),"Fighting")</f>
        <v>Fighting</v>
      </c>
      <c r="N194" s="25"/>
      <c r="O194" s="26" t="str">
        <f>IFERROR(__xludf.DUMMYFUNCTION("""COMPUTED_VALUE"""),"No")</f>
        <v>No</v>
      </c>
      <c r="P194" s="26"/>
    </row>
    <row r="195" hidden="1">
      <c r="A195" s="13" t="str">
        <f>IFERROR(__xludf.DUMMYFUNCTION("""COMPUTED_VALUE"""),"Overcooked: All You Can Eat!")</f>
        <v>Overcooked: All You Can Eat!</v>
      </c>
      <c r="B195" s="15" t="str">
        <f>IFERROR(__xludf.DUMMYFUNCTION("""COMPUTED_VALUE"""),"PS5")</f>
        <v>PS5</v>
      </c>
      <c r="C195" s="16" t="str">
        <f>IFERROR(__xludf.DUMMYFUNCTION("""COMPUTED_VALUE"""),"Playstation Plus (Discontinued)")</f>
        <v>Playstation Plus (Discontinued)</v>
      </c>
      <c r="D195" s="15" t="str">
        <f>IFERROR(__xludf.DUMMYFUNCTION("""COMPUTED_VALUE"""),"Removed")</f>
        <v>Removed</v>
      </c>
      <c r="E195" s="17">
        <f>IFERROR(__xludf.DUMMYFUNCTION("""COMPUTED_VALUE"""),44446.0)</f>
        <v>44446</v>
      </c>
      <c r="F195" s="18">
        <f>IFERROR(__xludf.DUMMYFUNCTION("""COMPUTED_VALUE"""),44473.0)</f>
        <v>44473</v>
      </c>
      <c r="G195" s="19">
        <f>IFERROR(__xludf.DUMMYFUNCTION("""COMPUTED_VALUE"""),0.8999999999999999)</f>
        <v>0.9</v>
      </c>
      <c r="H195" s="17">
        <f>IFERROR(__xludf.DUMMYFUNCTION("""COMPUTED_VALUE"""),44278.0)</f>
        <v>44278</v>
      </c>
      <c r="I195" s="19">
        <f>IFERROR(__xludf.DUMMYFUNCTION("""COMPUTED_VALUE"""),0.45555555555555555)</f>
        <v>0.4555555556</v>
      </c>
      <c r="J195" s="21">
        <f>IFERROR(__xludf.DUMMYFUNCTION("""COMPUTED_VALUE"""),84.0)</f>
        <v>84</v>
      </c>
      <c r="K195" s="23">
        <f>IFERROR(__xludf.DUMMYFUNCTION("""COMPUTED_VALUE"""),7.4)</f>
        <v>7.4</v>
      </c>
      <c r="L195" s="24">
        <f>IFERROR(__xludf.DUMMYFUNCTION("""COMPUTED_VALUE"""),8.0)</f>
        <v>8</v>
      </c>
      <c r="M195" s="25" t="str">
        <f>IFERROR(__xludf.DUMMYFUNCTION("""COMPUTED_VALUE"""),"Simulation")</f>
        <v>Simulation</v>
      </c>
      <c r="N195" s="25"/>
      <c r="O195" s="26" t="str">
        <f>IFERROR(__xludf.DUMMYFUNCTION("""COMPUTED_VALUE"""),"No")</f>
        <v>No</v>
      </c>
      <c r="P195" s="26"/>
    </row>
    <row r="196" hidden="1">
      <c r="A196" s="13" t="str">
        <f>IFERROR(__xludf.DUMMYFUNCTION("""COMPUTED_VALUE"""),"Predator: Hunting Grounds")</f>
        <v>Predator: Hunting Grounds</v>
      </c>
      <c r="B196" s="15" t="str">
        <f>IFERROR(__xludf.DUMMYFUNCTION("""COMPUTED_VALUE"""),"PS4")</f>
        <v>PS4</v>
      </c>
      <c r="C196" s="16" t="str">
        <f>IFERROR(__xludf.DUMMYFUNCTION("""COMPUTED_VALUE"""),"Playstation Plus (Discontinued)")</f>
        <v>Playstation Plus (Discontinued)</v>
      </c>
      <c r="D196" s="15" t="str">
        <f>IFERROR(__xludf.DUMMYFUNCTION("""COMPUTED_VALUE"""),"Removed")</f>
        <v>Removed</v>
      </c>
      <c r="E196" s="17">
        <f>IFERROR(__xludf.DUMMYFUNCTION("""COMPUTED_VALUE"""),44446.0)</f>
        <v>44446</v>
      </c>
      <c r="F196" s="71">
        <f>IFERROR(__xludf.DUMMYFUNCTION("""COMPUTED_VALUE"""),44473.0)</f>
        <v>44473</v>
      </c>
      <c r="G196" s="19">
        <f>IFERROR(__xludf.DUMMYFUNCTION("""COMPUTED_VALUE"""),0.8999999999999999)</f>
        <v>0.9</v>
      </c>
      <c r="H196" s="17">
        <f>IFERROR(__xludf.DUMMYFUNCTION("""COMPUTED_VALUE"""),43945.0)</f>
        <v>43945</v>
      </c>
      <c r="I196" s="19">
        <f>IFERROR(__xludf.DUMMYFUNCTION("""COMPUTED_VALUE"""),1.3694444444444445)</f>
        <v>1.369444444</v>
      </c>
      <c r="J196" s="21">
        <f>IFERROR(__xludf.DUMMYFUNCTION("""COMPUTED_VALUE"""),56.0)</f>
        <v>56</v>
      </c>
      <c r="K196" s="23">
        <f>IFERROR(__xludf.DUMMYFUNCTION("""COMPUTED_VALUE"""),6.4)</f>
        <v>6.4</v>
      </c>
      <c r="L196" s="24"/>
      <c r="M196" s="25" t="str">
        <f>IFERROR(__xludf.DUMMYFUNCTION("""COMPUTED_VALUE"""),"Shooter")</f>
        <v>Shooter</v>
      </c>
      <c r="N196" s="25"/>
      <c r="O196" s="26" t="str">
        <f>IFERROR(__xludf.DUMMYFUNCTION("""COMPUTED_VALUE"""),"No")</f>
        <v>No</v>
      </c>
      <c r="P196" s="26"/>
    </row>
    <row r="197" hidden="1">
      <c r="A197" s="13" t="str">
        <f>IFERROR(__xludf.DUMMYFUNCTION("""COMPUTED_VALUE"""),"Hitman 2")</f>
        <v>Hitman 2</v>
      </c>
      <c r="B197" s="15" t="str">
        <f>IFERROR(__xludf.DUMMYFUNCTION("""COMPUTED_VALUE"""),"PS4")</f>
        <v>PS4</v>
      </c>
      <c r="C197" s="16" t="str">
        <f>IFERROR(__xludf.DUMMYFUNCTION("""COMPUTED_VALUE"""),"Playstation Plus (Discontinued)")</f>
        <v>Playstation Plus (Discontinued)</v>
      </c>
      <c r="D197" s="15" t="str">
        <f>IFERROR(__xludf.DUMMYFUNCTION("""COMPUTED_VALUE"""),"Removed")</f>
        <v>Removed</v>
      </c>
      <c r="E197" s="17">
        <f>IFERROR(__xludf.DUMMYFUNCTION("""COMPUTED_VALUE"""),44446.0)</f>
        <v>44446</v>
      </c>
      <c r="F197" s="18">
        <f>IFERROR(__xludf.DUMMYFUNCTION("""COMPUTED_VALUE"""),44473.0)</f>
        <v>44473</v>
      </c>
      <c r="G197" s="19">
        <f>IFERROR(__xludf.DUMMYFUNCTION("""COMPUTED_VALUE"""),0.8999999999999999)</f>
        <v>0.9</v>
      </c>
      <c r="H197" s="17">
        <f>IFERROR(__xludf.DUMMYFUNCTION("""COMPUTED_VALUE"""),43417.0)</f>
        <v>43417</v>
      </c>
      <c r="I197" s="19">
        <f>IFERROR(__xludf.DUMMYFUNCTION("""COMPUTED_VALUE"""),2.816666666666667)</f>
        <v>2.816666667</v>
      </c>
      <c r="J197" s="21">
        <f>IFERROR(__xludf.DUMMYFUNCTION("""COMPUTED_VALUE"""),82.0)</f>
        <v>82</v>
      </c>
      <c r="K197" s="23">
        <f>IFERROR(__xludf.DUMMYFUNCTION("""COMPUTED_VALUE"""),7.9)</f>
        <v>7.9</v>
      </c>
      <c r="L197" s="24">
        <f>IFERROR(__xludf.DUMMYFUNCTION("""COMPUTED_VALUE"""),10.0)</f>
        <v>10</v>
      </c>
      <c r="M197" s="25" t="str">
        <f>IFERROR(__xludf.DUMMYFUNCTION("""COMPUTED_VALUE"""),"Action-Adventure")</f>
        <v>Action-Adventure</v>
      </c>
      <c r="N197" s="25"/>
      <c r="O197" s="26" t="str">
        <f>IFERROR(__xludf.DUMMYFUNCTION("""COMPUTED_VALUE"""),"No")</f>
        <v>No</v>
      </c>
      <c r="P197" s="26"/>
    </row>
    <row r="198" hidden="1">
      <c r="A198" s="13" t="str">
        <f>IFERROR(__xludf.DUMMYFUNCTION("""COMPUTED_VALUE"""),"Hunter’s Arena: Legends")</f>
        <v>Hunter’s Arena: Legends</v>
      </c>
      <c r="B198" s="15" t="str">
        <f>IFERROR(__xludf.DUMMYFUNCTION("""COMPUTED_VALUE"""),"PS5/PS4")</f>
        <v>PS5/PS4</v>
      </c>
      <c r="C198" s="16" t="str">
        <f>IFERROR(__xludf.DUMMYFUNCTION("""COMPUTED_VALUE"""),"Playstation Plus (Discontinued)")</f>
        <v>Playstation Plus (Discontinued)</v>
      </c>
      <c r="D198" s="15" t="str">
        <f>IFERROR(__xludf.DUMMYFUNCTION("""COMPUTED_VALUE"""),"Removed")</f>
        <v>Removed</v>
      </c>
      <c r="E198" s="17">
        <f>IFERROR(__xludf.DUMMYFUNCTION("""COMPUTED_VALUE"""),44411.0)</f>
        <v>44411</v>
      </c>
      <c r="F198" s="54">
        <f>IFERROR(__xludf.DUMMYFUNCTION("""COMPUTED_VALUE"""),44445.0)</f>
        <v>44445</v>
      </c>
      <c r="G198" s="19">
        <f>IFERROR(__xludf.DUMMYFUNCTION("""COMPUTED_VALUE"""),1.0999999999999999)</f>
        <v>1.1</v>
      </c>
      <c r="H198" s="17">
        <f>IFERROR(__xludf.DUMMYFUNCTION("""COMPUTED_VALUE"""),44411.0)</f>
        <v>44411</v>
      </c>
      <c r="I198" s="19">
        <f>IFERROR(__xludf.DUMMYFUNCTION("""COMPUTED_VALUE"""),0.0)</f>
        <v>0</v>
      </c>
      <c r="J198" s="21">
        <f>IFERROR(__xludf.DUMMYFUNCTION("""COMPUTED_VALUE"""),48.0)</f>
        <v>48</v>
      </c>
      <c r="K198" s="23">
        <f>IFERROR(__xludf.DUMMYFUNCTION("""COMPUTED_VALUE"""),5.6)</f>
        <v>5.6</v>
      </c>
      <c r="L198" s="24"/>
      <c r="M198" s="25" t="str">
        <f>IFERROR(__xludf.DUMMYFUNCTION("""COMPUTED_VALUE"""),"Action-Adventure")</f>
        <v>Action-Adventure</v>
      </c>
      <c r="N198" s="25"/>
      <c r="O198" s="26" t="str">
        <f>IFERROR(__xludf.DUMMYFUNCTION("""COMPUTED_VALUE"""),"No")</f>
        <v>No</v>
      </c>
      <c r="P198" s="26"/>
    </row>
    <row r="199" hidden="1">
      <c r="A199" s="13" t="str">
        <f>IFERROR(__xludf.DUMMYFUNCTION("""COMPUTED_VALUE"""),"Plants vs. Zombies: Battle for Neighborville")</f>
        <v>Plants vs. Zombies: Battle for Neighborville</v>
      </c>
      <c r="B199" s="15" t="str">
        <f>IFERROR(__xludf.DUMMYFUNCTION("""COMPUTED_VALUE"""),"PS4")</f>
        <v>PS4</v>
      </c>
      <c r="C199" s="16" t="str">
        <f>IFERROR(__xludf.DUMMYFUNCTION("""COMPUTED_VALUE"""),"Playstation Plus (Discontinued)")</f>
        <v>Playstation Plus (Discontinued)</v>
      </c>
      <c r="D199" s="15" t="str">
        <f>IFERROR(__xludf.DUMMYFUNCTION("""COMPUTED_VALUE"""),"Removed")</f>
        <v>Removed</v>
      </c>
      <c r="E199" s="17">
        <f>IFERROR(__xludf.DUMMYFUNCTION("""COMPUTED_VALUE"""),44411.0)</f>
        <v>44411</v>
      </c>
      <c r="F199" s="54">
        <f>IFERROR(__xludf.DUMMYFUNCTION("""COMPUTED_VALUE"""),44445.0)</f>
        <v>44445</v>
      </c>
      <c r="G199" s="19">
        <f>IFERROR(__xludf.DUMMYFUNCTION("""COMPUTED_VALUE"""),1.0999999999999999)</f>
        <v>1.1</v>
      </c>
      <c r="H199" s="17">
        <f>IFERROR(__xludf.DUMMYFUNCTION("""COMPUTED_VALUE"""),43712.0)</f>
        <v>43712</v>
      </c>
      <c r="I199" s="19">
        <f>IFERROR(__xludf.DUMMYFUNCTION("""COMPUTED_VALUE"""),1.913888888888889)</f>
        <v>1.913888889</v>
      </c>
      <c r="J199" s="21">
        <f>IFERROR(__xludf.DUMMYFUNCTION("""COMPUTED_VALUE"""),77.0)</f>
        <v>77</v>
      </c>
      <c r="K199" s="23">
        <f>IFERROR(__xludf.DUMMYFUNCTION("""COMPUTED_VALUE"""),6.6)</f>
        <v>6.6</v>
      </c>
      <c r="L199" s="24">
        <f>IFERROR(__xludf.DUMMYFUNCTION("""COMPUTED_VALUE"""),10.0)</f>
        <v>10</v>
      </c>
      <c r="M199" s="25" t="str">
        <f>IFERROR(__xludf.DUMMYFUNCTION("""COMPUTED_VALUE"""),"Shooter")</f>
        <v>Shooter</v>
      </c>
      <c r="N199" s="25"/>
      <c r="O199" s="26" t="str">
        <f>IFERROR(__xludf.DUMMYFUNCTION("""COMPUTED_VALUE"""),"No")</f>
        <v>No</v>
      </c>
      <c r="P199" s="26"/>
    </row>
    <row r="200" hidden="1">
      <c r="A200" s="13" t="str">
        <f>IFERROR(__xludf.DUMMYFUNCTION("""COMPUTED_VALUE"""),"Tennis World Tour 2")</f>
        <v>Tennis World Tour 2</v>
      </c>
      <c r="B200" s="15" t="str">
        <f>IFERROR(__xludf.DUMMYFUNCTION("""COMPUTED_VALUE"""),"PS4")</f>
        <v>PS4</v>
      </c>
      <c r="C200" s="16" t="str">
        <f>IFERROR(__xludf.DUMMYFUNCTION("""COMPUTED_VALUE"""),"Playstation Plus (Discontinued)")</f>
        <v>Playstation Plus (Discontinued)</v>
      </c>
      <c r="D200" s="15" t="str">
        <f>IFERROR(__xludf.DUMMYFUNCTION("""COMPUTED_VALUE"""),"Removed")</f>
        <v>Removed</v>
      </c>
      <c r="E200" s="17">
        <f>IFERROR(__xludf.DUMMYFUNCTION("""COMPUTED_VALUE"""),44411.0)</f>
        <v>44411</v>
      </c>
      <c r="F200" s="54">
        <f>IFERROR(__xludf.DUMMYFUNCTION("""COMPUTED_VALUE"""),44445.0)</f>
        <v>44445</v>
      </c>
      <c r="G200" s="19">
        <f>IFERROR(__xludf.DUMMYFUNCTION("""COMPUTED_VALUE"""),1.0999999999999999)</f>
        <v>1.1</v>
      </c>
      <c r="H200" s="17">
        <f>IFERROR(__xludf.DUMMYFUNCTION("""COMPUTED_VALUE"""),44098.0)</f>
        <v>44098</v>
      </c>
      <c r="I200" s="19">
        <f>IFERROR(__xludf.DUMMYFUNCTION("""COMPUTED_VALUE"""),0.8583333333333333)</f>
        <v>0.8583333333</v>
      </c>
      <c r="J200" s="21">
        <f>IFERROR(__xludf.DUMMYFUNCTION("""COMPUTED_VALUE"""),56.0)</f>
        <v>56</v>
      </c>
      <c r="K200" s="23">
        <f>IFERROR(__xludf.DUMMYFUNCTION("""COMPUTED_VALUE"""),5.9)</f>
        <v>5.9</v>
      </c>
      <c r="L200" s="24"/>
      <c r="M200" s="25" t="str">
        <f>IFERROR(__xludf.DUMMYFUNCTION("""COMPUTED_VALUE"""),"Sports")</f>
        <v>Sports</v>
      </c>
      <c r="N200" s="25"/>
      <c r="O200" s="26" t="str">
        <f>IFERROR(__xludf.DUMMYFUNCTION("""COMPUTED_VALUE"""),"No")</f>
        <v>No</v>
      </c>
      <c r="P200" s="26"/>
    </row>
    <row r="201" hidden="1">
      <c r="A201" s="13" t="str">
        <f>IFERROR(__xludf.DUMMYFUNCTION("""COMPUTED_VALUE"""),"Virtua Fighter 5 Ultimate Showdown")</f>
        <v>Virtua Fighter 5 Ultimate Showdown</v>
      </c>
      <c r="B201" s="15" t="str">
        <f>IFERROR(__xludf.DUMMYFUNCTION("""COMPUTED_VALUE"""),"PS4")</f>
        <v>PS4</v>
      </c>
      <c r="C201" s="16" t="str">
        <f>IFERROR(__xludf.DUMMYFUNCTION("""COMPUTED_VALUE"""),"Playstation Plus (Discontinued)")</f>
        <v>Playstation Plus (Discontinued)</v>
      </c>
      <c r="D201" s="15" t="str">
        <f>IFERROR(__xludf.DUMMYFUNCTION("""COMPUTED_VALUE"""),"Removed")</f>
        <v>Removed</v>
      </c>
      <c r="E201" s="17">
        <f>IFERROR(__xludf.DUMMYFUNCTION("""COMPUTED_VALUE"""),44383.0)</f>
        <v>44383</v>
      </c>
      <c r="F201" s="54">
        <f>IFERROR(__xludf.DUMMYFUNCTION("""COMPUTED_VALUE"""),44445.0)</f>
        <v>44445</v>
      </c>
      <c r="G201" s="19">
        <f>IFERROR(__xludf.DUMMYFUNCTION("""COMPUTED_VALUE"""),2.0)</f>
        <v>2</v>
      </c>
      <c r="H201" s="17">
        <f>IFERROR(__xludf.DUMMYFUNCTION("""COMPUTED_VALUE"""),44348.0)</f>
        <v>44348</v>
      </c>
      <c r="I201" s="19">
        <f>IFERROR(__xludf.DUMMYFUNCTION("""COMPUTED_VALUE"""),0.09722222222222222)</f>
        <v>0.09722222222</v>
      </c>
      <c r="J201" s="21">
        <f>IFERROR(__xludf.DUMMYFUNCTION("""COMPUTED_VALUE"""),78.0)</f>
        <v>78</v>
      </c>
      <c r="K201" s="23">
        <f>IFERROR(__xludf.DUMMYFUNCTION("""COMPUTED_VALUE"""),7.8)</f>
        <v>7.8</v>
      </c>
      <c r="L201" s="24"/>
      <c r="M201" s="25" t="str">
        <f>IFERROR(__xludf.DUMMYFUNCTION("""COMPUTED_VALUE"""),"Fighting")</f>
        <v>Fighting</v>
      </c>
      <c r="N201" s="25"/>
      <c r="O201" s="26" t="str">
        <f>IFERROR(__xludf.DUMMYFUNCTION("""COMPUTED_VALUE"""),"No")</f>
        <v>No</v>
      </c>
      <c r="P201" s="26"/>
    </row>
    <row r="202" hidden="1">
      <c r="A202" s="13" t="str">
        <f>IFERROR(__xludf.DUMMYFUNCTION("""COMPUTED_VALUE"""),"A Plague Tale: Innocence")</f>
        <v>A Plague Tale: Innocence</v>
      </c>
      <c r="B202" s="15" t="str">
        <f>IFERROR(__xludf.DUMMYFUNCTION("""COMPUTED_VALUE"""),"PS5")</f>
        <v>PS5</v>
      </c>
      <c r="C202" s="16" t="str">
        <f>IFERROR(__xludf.DUMMYFUNCTION("""COMPUTED_VALUE"""),"Playstation Plus (Discontinued)")</f>
        <v>Playstation Plus (Discontinued)</v>
      </c>
      <c r="D202" s="15" t="str">
        <f>IFERROR(__xludf.DUMMYFUNCTION("""COMPUTED_VALUE"""),"Removed")</f>
        <v>Removed</v>
      </c>
      <c r="E202" s="17">
        <f>IFERROR(__xludf.DUMMYFUNCTION("""COMPUTED_VALUE"""),44383.0)</f>
        <v>44383</v>
      </c>
      <c r="F202" s="54">
        <f>IFERROR(__xludf.DUMMYFUNCTION("""COMPUTED_VALUE"""),44410.0)</f>
        <v>44410</v>
      </c>
      <c r="G202" s="19">
        <f>IFERROR(__xludf.DUMMYFUNCTION("""COMPUTED_VALUE"""),0.8666666666666666)</f>
        <v>0.8666666667</v>
      </c>
      <c r="H202" s="17">
        <f>IFERROR(__xludf.DUMMYFUNCTION("""COMPUTED_VALUE"""),43599.0)</f>
        <v>43599</v>
      </c>
      <c r="I202" s="19">
        <f>IFERROR(__xludf.DUMMYFUNCTION("""COMPUTED_VALUE"""),2.1444444444444444)</f>
        <v>2.144444444</v>
      </c>
      <c r="J202" s="21">
        <f>IFERROR(__xludf.DUMMYFUNCTION("""COMPUTED_VALUE"""),81.0)</f>
        <v>81</v>
      </c>
      <c r="K202" s="23">
        <f>IFERROR(__xludf.DUMMYFUNCTION("""COMPUTED_VALUE"""),8.2)</f>
        <v>8.2</v>
      </c>
      <c r="L202" s="24">
        <f>IFERROR(__xludf.DUMMYFUNCTION("""COMPUTED_VALUE"""),11.0)</f>
        <v>11</v>
      </c>
      <c r="M202" s="25" t="str">
        <f>IFERROR(__xludf.DUMMYFUNCTION("""COMPUTED_VALUE"""),"Action-Adventure")</f>
        <v>Action-Adventure</v>
      </c>
      <c r="N202" s="25"/>
      <c r="O202" s="26" t="str">
        <f>IFERROR(__xludf.DUMMYFUNCTION("""COMPUTED_VALUE"""),"No")</f>
        <v>No</v>
      </c>
      <c r="P202" s="26"/>
    </row>
    <row r="203" hidden="1">
      <c r="A203" s="13" t="str">
        <f>IFERROR(__xludf.DUMMYFUNCTION("""COMPUTED_VALUE"""),"Call of Duty: Black Ops 4")</f>
        <v>Call of Duty: Black Ops 4</v>
      </c>
      <c r="B203" s="15" t="str">
        <f>IFERROR(__xludf.DUMMYFUNCTION("""COMPUTED_VALUE"""),"PS4")</f>
        <v>PS4</v>
      </c>
      <c r="C203" s="16" t="str">
        <f>IFERROR(__xludf.DUMMYFUNCTION("""COMPUTED_VALUE"""),"Playstation Plus (Discontinued)")</f>
        <v>Playstation Plus (Discontinued)</v>
      </c>
      <c r="D203" s="15" t="str">
        <f>IFERROR(__xludf.DUMMYFUNCTION("""COMPUTED_VALUE"""),"Removed")</f>
        <v>Removed</v>
      </c>
      <c r="E203" s="17">
        <f>IFERROR(__xludf.DUMMYFUNCTION("""COMPUTED_VALUE"""),44383.0)</f>
        <v>44383</v>
      </c>
      <c r="F203" s="54">
        <f>IFERROR(__xludf.DUMMYFUNCTION("""COMPUTED_VALUE"""),44410.0)</f>
        <v>44410</v>
      </c>
      <c r="G203" s="19">
        <f>IFERROR(__xludf.DUMMYFUNCTION("""COMPUTED_VALUE"""),0.8666666666666666)</f>
        <v>0.8666666667</v>
      </c>
      <c r="H203" s="17">
        <f>IFERROR(__xludf.DUMMYFUNCTION("""COMPUTED_VALUE"""),43385.0)</f>
        <v>43385</v>
      </c>
      <c r="I203" s="19">
        <f>IFERROR(__xludf.DUMMYFUNCTION("""COMPUTED_VALUE"""),2.7333333333333334)</f>
        <v>2.733333333</v>
      </c>
      <c r="J203" s="21">
        <f>IFERROR(__xludf.DUMMYFUNCTION("""COMPUTED_VALUE"""),83.0)</f>
        <v>83</v>
      </c>
      <c r="K203" s="23">
        <f>IFERROR(__xludf.DUMMYFUNCTION("""COMPUTED_VALUE"""),6.5)</f>
        <v>6.5</v>
      </c>
      <c r="L203" s="24">
        <f>IFERROR(__xludf.DUMMYFUNCTION("""COMPUTED_VALUE"""),6.0)</f>
        <v>6</v>
      </c>
      <c r="M203" s="25" t="str">
        <f>IFERROR(__xludf.DUMMYFUNCTION("""COMPUTED_VALUE"""),"Shooter")</f>
        <v>Shooter</v>
      </c>
      <c r="N203" s="25"/>
      <c r="O203" s="26" t="str">
        <f>IFERROR(__xludf.DUMMYFUNCTION("""COMPUTED_VALUE"""),"No")</f>
        <v>No</v>
      </c>
      <c r="P203" s="26"/>
    </row>
    <row r="204" hidden="1">
      <c r="A204" s="13" t="str">
        <f>IFERROR(__xludf.DUMMYFUNCTION("""COMPUTED_VALUE"""),"WWE 2K Battlegrounds")</f>
        <v>WWE 2K Battlegrounds</v>
      </c>
      <c r="B204" s="15" t="str">
        <f>IFERROR(__xludf.DUMMYFUNCTION("""COMPUTED_VALUE"""),"PS4")</f>
        <v>PS4</v>
      </c>
      <c r="C204" s="16" t="str">
        <f>IFERROR(__xludf.DUMMYFUNCTION("""COMPUTED_VALUE"""),"Playstation Plus (Discontinued)")</f>
        <v>Playstation Plus (Discontinued)</v>
      </c>
      <c r="D204" s="15" t="str">
        <f>IFERROR(__xludf.DUMMYFUNCTION("""COMPUTED_VALUE"""),"Removed")</f>
        <v>Removed</v>
      </c>
      <c r="E204" s="17">
        <f>IFERROR(__xludf.DUMMYFUNCTION("""COMPUTED_VALUE"""),44383.0)</f>
        <v>44383</v>
      </c>
      <c r="F204" s="54">
        <f>IFERROR(__xludf.DUMMYFUNCTION("""COMPUTED_VALUE"""),44410.0)</f>
        <v>44410</v>
      </c>
      <c r="G204" s="19">
        <f>IFERROR(__xludf.DUMMYFUNCTION("""COMPUTED_VALUE"""),0.8666666666666666)</f>
        <v>0.8666666667</v>
      </c>
      <c r="H204" s="17">
        <f>IFERROR(__xludf.DUMMYFUNCTION("""COMPUTED_VALUE"""),44092.0)</f>
        <v>44092</v>
      </c>
      <c r="I204" s="19">
        <f>IFERROR(__xludf.DUMMYFUNCTION("""COMPUTED_VALUE"""),0.8)</f>
        <v>0.8</v>
      </c>
      <c r="J204" s="21">
        <f>IFERROR(__xludf.DUMMYFUNCTION("""COMPUTED_VALUE"""),60.0)</f>
        <v>60</v>
      </c>
      <c r="K204" s="23">
        <f>IFERROR(__xludf.DUMMYFUNCTION("""COMPUTED_VALUE"""),5.8)</f>
        <v>5.8</v>
      </c>
      <c r="L204" s="24">
        <f>IFERROR(__xludf.DUMMYFUNCTION("""COMPUTED_VALUE"""),7.0)</f>
        <v>7</v>
      </c>
      <c r="M204" s="25" t="str">
        <f>IFERROR(__xludf.DUMMYFUNCTION("""COMPUTED_VALUE"""),"Fighting")</f>
        <v>Fighting</v>
      </c>
      <c r="N204" s="25"/>
      <c r="O204" s="26" t="str">
        <f>IFERROR(__xludf.DUMMYFUNCTION("""COMPUTED_VALUE"""),"No")</f>
        <v>No</v>
      </c>
      <c r="P204" s="26"/>
    </row>
    <row r="205" hidden="1">
      <c r="A205" s="13" t="str">
        <f>IFERROR(__xludf.DUMMYFUNCTION("""COMPUTED_VALUE"""),"Virtua Fighter 5 Ultimate Showdown")</f>
        <v>Virtua Fighter 5 Ultimate Showdown</v>
      </c>
      <c r="B205" s="15" t="str">
        <f>IFERROR(__xludf.DUMMYFUNCTION("""COMPUTED_VALUE"""),"PS4")</f>
        <v>PS4</v>
      </c>
      <c r="C205" s="16" t="str">
        <f>IFERROR(__xludf.DUMMYFUNCTION("""COMPUTED_VALUE"""),"Playstation Plus (Discontinued)")</f>
        <v>Playstation Plus (Discontinued)</v>
      </c>
      <c r="D205" s="15" t="str">
        <f>IFERROR(__xludf.DUMMYFUNCTION("""COMPUTED_VALUE"""),"Removed")</f>
        <v>Removed</v>
      </c>
      <c r="E205" s="17">
        <f>IFERROR(__xludf.DUMMYFUNCTION("""COMPUTED_VALUE"""),44348.0)</f>
        <v>44348</v>
      </c>
      <c r="F205" s="54">
        <f>IFERROR(__xludf.DUMMYFUNCTION("""COMPUTED_VALUE"""),44410.0)</f>
        <v>44410</v>
      </c>
      <c r="G205" s="19">
        <f>IFERROR(__xludf.DUMMYFUNCTION("""COMPUTED_VALUE"""),2.033333333333333)</f>
        <v>2.033333333</v>
      </c>
      <c r="H205" s="17">
        <f>IFERROR(__xludf.DUMMYFUNCTION("""COMPUTED_VALUE"""),44348.0)</f>
        <v>44348</v>
      </c>
      <c r="I205" s="19">
        <f>IFERROR(__xludf.DUMMYFUNCTION("""COMPUTED_VALUE"""),0.0)</f>
        <v>0</v>
      </c>
      <c r="J205" s="21">
        <f>IFERROR(__xludf.DUMMYFUNCTION("""COMPUTED_VALUE"""),78.0)</f>
        <v>78</v>
      </c>
      <c r="K205" s="23">
        <f>IFERROR(__xludf.DUMMYFUNCTION("""COMPUTED_VALUE"""),7.8)</f>
        <v>7.8</v>
      </c>
      <c r="L205" s="24"/>
      <c r="M205" s="25" t="str">
        <f>IFERROR(__xludf.DUMMYFUNCTION("""COMPUTED_VALUE"""),"Fighting")</f>
        <v>Fighting</v>
      </c>
      <c r="N205" s="25"/>
      <c r="O205" s="26" t="str">
        <f>IFERROR(__xludf.DUMMYFUNCTION("""COMPUTED_VALUE"""),"No")</f>
        <v>No</v>
      </c>
      <c r="P205" s="26"/>
    </row>
    <row r="206" hidden="1">
      <c r="A206" s="13" t="str">
        <f>IFERROR(__xludf.DUMMYFUNCTION("""COMPUTED_VALUE"""),"Operation: Tango")</f>
        <v>Operation: Tango</v>
      </c>
      <c r="B206" s="15" t="str">
        <f>IFERROR(__xludf.DUMMYFUNCTION("""COMPUTED_VALUE"""),"PS5")</f>
        <v>PS5</v>
      </c>
      <c r="C206" s="16" t="str">
        <f>IFERROR(__xludf.DUMMYFUNCTION("""COMPUTED_VALUE"""),"Playstation Plus (Discontinued)")</f>
        <v>Playstation Plus (Discontinued)</v>
      </c>
      <c r="D206" s="15" t="str">
        <f>IFERROR(__xludf.DUMMYFUNCTION("""COMPUTED_VALUE"""),"Removed")</f>
        <v>Removed</v>
      </c>
      <c r="E206" s="17">
        <f>IFERROR(__xludf.DUMMYFUNCTION("""COMPUTED_VALUE"""),44348.0)</f>
        <v>44348</v>
      </c>
      <c r="F206" s="54">
        <f>IFERROR(__xludf.DUMMYFUNCTION("""COMPUTED_VALUE"""),44382.0)</f>
        <v>44382</v>
      </c>
      <c r="G206" s="19">
        <f>IFERROR(__xludf.DUMMYFUNCTION("""COMPUTED_VALUE"""),1.1333333333333333)</f>
        <v>1.133333333</v>
      </c>
      <c r="H206" s="17">
        <f>IFERROR(__xludf.DUMMYFUNCTION("""COMPUTED_VALUE"""),44348.0)</f>
        <v>44348</v>
      </c>
      <c r="I206" s="19">
        <f>IFERROR(__xludf.DUMMYFUNCTION("""COMPUTED_VALUE"""),0.0)</f>
        <v>0</v>
      </c>
      <c r="J206" s="21">
        <f>IFERROR(__xludf.DUMMYFUNCTION("""COMPUTED_VALUE"""),72.0)</f>
        <v>72</v>
      </c>
      <c r="K206" s="23">
        <f>IFERROR(__xludf.DUMMYFUNCTION("""COMPUTED_VALUE"""),7.0)</f>
        <v>7</v>
      </c>
      <c r="L206" s="24">
        <f>IFERROR(__xludf.DUMMYFUNCTION("""COMPUTED_VALUE"""),5.0)</f>
        <v>5</v>
      </c>
      <c r="M206" s="25" t="str">
        <f>IFERROR(__xludf.DUMMYFUNCTION("""COMPUTED_VALUE"""),"Adventure")</f>
        <v>Adventure</v>
      </c>
      <c r="N206" s="25"/>
      <c r="O206" s="26" t="str">
        <f>IFERROR(__xludf.DUMMYFUNCTION("""COMPUTED_VALUE"""),"No")</f>
        <v>No</v>
      </c>
      <c r="P206" s="26"/>
    </row>
    <row r="207" hidden="1">
      <c r="A207" s="13" t="str">
        <f>IFERROR(__xludf.DUMMYFUNCTION("""COMPUTED_VALUE"""),"Star Wars: Squadrons")</f>
        <v>Star Wars: Squadrons</v>
      </c>
      <c r="B207" s="15" t="str">
        <f>IFERROR(__xludf.DUMMYFUNCTION("""COMPUTED_VALUE"""),"PS4/PSVR")</f>
        <v>PS4/PSVR</v>
      </c>
      <c r="C207" s="16" t="str">
        <f>IFERROR(__xludf.DUMMYFUNCTION("""COMPUTED_VALUE"""),"Playstation Plus (Discontinued)")</f>
        <v>Playstation Plus (Discontinued)</v>
      </c>
      <c r="D207" s="15" t="str">
        <f>IFERROR(__xludf.DUMMYFUNCTION("""COMPUTED_VALUE"""),"Removed")</f>
        <v>Removed</v>
      </c>
      <c r="E207" s="17">
        <f>IFERROR(__xludf.DUMMYFUNCTION("""COMPUTED_VALUE"""),44348.0)</f>
        <v>44348</v>
      </c>
      <c r="F207" s="54">
        <f>IFERROR(__xludf.DUMMYFUNCTION("""COMPUTED_VALUE"""),44382.0)</f>
        <v>44382</v>
      </c>
      <c r="G207" s="19">
        <f>IFERROR(__xludf.DUMMYFUNCTION("""COMPUTED_VALUE"""),1.1333333333333333)</f>
        <v>1.133333333</v>
      </c>
      <c r="H207" s="17">
        <f>IFERROR(__xludf.DUMMYFUNCTION("""COMPUTED_VALUE"""),44106.0)</f>
        <v>44106</v>
      </c>
      <c r="I207" s="19">
        <f>IFERROR(__xludf.DUMMYFUNCTION("""COMPUTED_VALUE"""),0.6638888888888889)</f>
        <v>0.6638888889</v>
      </c>
      <c r="J207" s="21">
        <f>IFERROR(__xludf.DUMMYFUNCTION("""COMPUTED_VALUE"""),79.0)</f>
        <v>79</v>
      </c>
      <c r="K207" s="23">
        <f>IFERROR(__xludf.DUMMYFUNCTION("""COMPUTED_VALUE"""),7.5)</f>
        <v>7.5</v>
      </c>
      <c r="L207" s="24">
        <f>IFERROR(__xludf.DUMMYFUNCTION("""COMPUTED_VALUE"""),8.0)</f>
        <v>8</v>
      </c>
      <c r="M207" s="25" t="str">
        <f>IFERROR(__xludf.DUMMYFUNCTION("""COMPUTED_VALUE"""),"Shooter")</f>
        <v>Shooter</v>
      </c>
      <c r="N207" s="25"/>
      <c r="O207" s="26" t="str">
        <f>IFERROR(__xludf.DUMMYFUNCTION("""COMPUTED_VALUE"""),"No")</f>
        <v>No</v>
      </c>
      <c r="P207" s="26"/>
    </row>
    <row r="208" hidden="1">
      <c r="A208" s="13" t="str">
        <f>IFERROR(__xludf.DUMMYFUNCTION("""COMPUTED_VALUE"""),"Wreckfest")</f>
        <v>Wreckfest</v>
      </c>
      <c r="B208" s="15" t="str">
        <f>IFERROR(__xludf.DUMMYFUNCTION("""COMPUTED_VALUE"""),"PS5")</f>
        <v>PS5</v>
      </c>
      <c r="C208" s="16" t="str">
        <f>IFERROR(__xludf.DUMMYFUNCTION("""COMPUTED_VALUE"""),"Playstation Plus (Discontinued)")</f>
        <v>Playstation Plus (Discontinued)</v>
      </c>
      <c r="D208" s="15" t="str">
        <f>IFERROR(__xludf.DUMMYFUNCTION("""COMPUTED_VALUE"""),"Removed")</f>
        <v>Removed</v>
      </c>
      <c r="E208" s="17">
        <f>IFERROR(__xludf.DUMMYFUNCTION("""COMPUTED_VALUE"""),44320.0)</f>
        <v>44320</v>
      </c>
      <c r="F208" s="54">
        <f>IFERROR(__xludf.DUMMYFUNCTION("""COMPUTED_VALUE"""),44347.0)</f>
        <v>44347</v>
      </c>
      <c r="G208" s="19">
        <f>IFERROR(__xludf.DUMMYFUNCTION("""COMPUTED_VALUE"""),0.8666666666666666)</f>
        <v>0.8666666667</v>
      </c>
      <c r="H208" s="17">
        <f>IFERROR(__xludf.DUMMYFUNCTION("""COMPUTED_VALUE"""),43704.0)</f>
        <v>43704</v>
      </c>
      <c r="I208" s="19">
        <f>IFERROR(__xludf.DUMMYFUNCTION("""COMPUTED_VALUE"""),1.6861111111111111)</f>
        <v>1.686111111</v>
      </c>
      <c r="J208" s="21">
        <f>IFERROR(__xludf.DUMMYFUNCTION("""COMPUTED_VALUE"""),79.0)</f>
        <v>79</v>
      </c>
      <c r="K208" s="23">
        <f>IFERROR(__xludf.DUMMYFUNCTION("""COMPUTED_VALUE"""),7.6)</f>
        <v>7.6</v>
      </c>
      <c r="L208" s="24">
        <f>IFERROR(__xludf.DUMMYFUNCTION("""COMPUTED_VALUE"""),14.0)</f>
        <v>14</v>
      </c>
      <c r="M208" s="25" t="str">
        <f>IFERROR(__xludf.DUMMYFUNCTION("""COMPUTED_VALUE"""),"Racing")</f>
        <v>Racing</v>
      </c>
      <c r="N208" s="25"/>
      <c r="O208" s="26" t="str">
        <f>IFERROR(__xludf.DUMMYFUNCTION("""COMPUTED_VALUE"""),"No")</f>
        <v>No</v>
      </c>
      <c r="P208" s="26"/>
    </row>
    <row r="209" hidden="1">
      <c r="A209" s="13" t="str">
        <f>IFERROR(__xludf.DUMMYFUNCTION("""COMPUTED_VALUE"""),"Battlefield V")</f>
        <v>Battlefield V</v>
      </c>
      <c r="B209" s="15" t="str">
        <f>IFERROR(__xludf.DUMMYFUNCTION("""COMPUTED_VALUE"""),"PS4")</f>
        <v>PS4</v>
      </c>
      <c r="C209" s="16" t="str">
        <f>IFERROR(__xludf.DUMMYFUNCTION("""COMPUTED_VALUE"""),"Playstation Plus (Discontinued)")</f>
        <v>Playstation Plus (Discontinued)</v>
      </c>
      <c r="D209" s="15" t="str">
        <f>IFERROR(__xludf.DUMMYFUNCTION("""COMPUTED_VALUE"""),"Removed")</f>
        <v>Removed</v>
      </c>
      <c r="E209" s="17">
        <f>IFERROR(__xludf.DUMMYFUNCTION("""COMPUTED_VALUE"""),44320.0)</f>
        <v>44320</v>
      </c>
      <c r="F209" s="54">
        <f>IFERROR(__xludf.DUMMYFUNCTION("""COMPUTED_VALUE"""),44347.0)</f>
        <v>44347</v>
      </c>
      <c r="G209" s="19">
        <f>IFERROR(__xludf.DUMMYFUNCTION("""COMPUTED_VALUE"""),0.8666666666666666)</f>
        <v>0.8666666667</v>
      </c>
      <c r="H209" s="17">
        <f>IFERROR(__xludf.DUMMYFUNCTION("""COMPUTED_VALUE"""),43424.0)</f>
        <v>43424</v>
      </c>
      <c r="I209" s="19">
        <f>IFERROR(__xludf.DUMMYFUNCTION("""COMPUTED_VALUE"""),2.4555555555555557)</f>
        <v>2.455555556</v>
      </c>
      <c r="J209" s="21">
        <f>IFERROR(__xludf.DUMMYFUNCTION("""COMPUTED_VALUE"""),73.0)</f>
        <v>73</v>
      </c>
      <c r="K209" s="23">
        <f>IFERROR(__xludf.DUMMYFUNCTION("""COMPUTED_VALUE"""),7.1)</f>
        <v>7.1</v>
      </c>
      <c r="L209" s="24">
        <f>IFERROR(__xludf.DUMMYFUNCTION("""COMPUTED_VALUE"""),6.0)</f>
        <v>6</v>
      </c>
      <c r="M209" s="25" t="str">
        <f>IFERROR(__xludf.DUMMYFUNCTION("""COMPUTED_VALUE"""),"Shooter")</f>
        <v>Shooter</v>
      </c>
      <c r="N209" s="25"/>
      <c r="O209" s="26" t="str">
        <f>IFERROR(__xludf.DUMMYFUNCTION("""COMPUTED_VALUE"""),"No")</f>
        <v>No</v>
      </c>
      <c r="P209" s="26"/>
    </row>
    <row r="210" hidden="1">
      <c r="A210" s="13" t="str">
        <f>IFERROR(__xludf.DUMMYFUNCTION("""COMPUTED_VALUE"""),"Stranded Deep")</f>
        <v>Stranded Deep</v>
      </c>
      <c r="B210" s="15" t="str">
        <f>IFERROR(__xludf.DUMMYFUNCTION("""COMPUTED_VALUE"""),"PS4")</f>
        <v>PS4</v>
      </c>
      <c r="C210" s="16" t="str">
        <f>IFERROR(__xludf.DUMMYFUNCTION("""COMPUTED_VALUE"""),"Playstation Plus (Discontinued)")</f>
        <v>Playstation Plus (Discontinued)</v>
      </c>
      <c r="D210" s="15" t="str">
        <f>IFERROR(__xludf.DUMMYFUNCTION("""COMPUTED_VALUE"""),"Removed")</f>
        <v>Removed</v>
      </c>
      <c r="E210" s="17">
        <f>IFERROR(__xludf.DUMMYFUNCTION("""COMPUTED_VALUE"""),44320.0)</f>
        <v>44320</v>
      </c>
      <c r="F210" s="54">
        <f>IFERROR(__xludf.DUMMYFUNCTION("""COMPUTED_VALUE"""),44347.0)</f>
        <v>44347</v>
      </c>
      <c r="G210" s="19">
        <f>IFERROR(__xludf.DUMMYFUNCTION("""COMPUTED_VALUE"""),0.8666666666666666)</f>
        <v>0.8666666667</v>
      </c>
      <c r="H210" s="17">
        <f>IFERROR(__xludf.DUMMYFUNCTION("""COMPUTED_VALUE"""),43942.0)</f>
        <v>43942</v>
      </c>
      <c r="I210" s="19">
        <f>IFERROR(__xludf.DUMMYFUNCTION("""COMPUTED_VALUE"""),1.0361111111111112)</f>
        <v>1.036111111</v>
      </c>
      <c r="J210" s="21">
        <f>IFERROR(__xludf.DUMMYFUNCTION("""COMPUTED_VALUE"""),64.0)</f>
        <v>64</v>
      </c>
      <c r="K210" s="23">
        <f>IFERROR(__xludf.DUMMYFUNCTION("""COMPUTED_VALUE"""),6.0)</f>
        <v>6</v>
      </c>
      <c r="L210" s="24">
        <f>IFERROR(__xludf.DUMMYFUNCTION("""COMPUTED_VALUE"""),23.0)</f>
        <v>23</v>
      </c>
      <c r="M210" s="25" t="str">
        <f>IFERROR(__xludf.DUMMYFUNCTION("""COMPUTED_VALUE"""),"Survival")</f>
        <v>Survival</v>
      </c>
      <c r="N210" s="25"/>
      <c r="O210" s="26" t="str">
        <f>IFERROR(__xludf.DUMMYFUNCTION("""COMPUTED_VALUE"""),"No")</f>
        <v>No</v>
      </c>
      <c r="P210" s="26"/>
    </row>
    <row r="211" hidden="1">
      <c r="A211" s="13" t="str">
        <f>IFERROR(__xludf.DUMMYFUNCTION("""COMPUTED_VALUE"""),"Oddworld: Soulstorm")</f>
        <v>Oddworld: Soulstorm</v>
      </c>
      <c r="B211" s="15" t="str">
        <f>IFERROR(__xludf.DUMMYFUNCTION("""COMPUTED_VALUE"""),"PS5")</f>
        <v>PS5</v>
      </c>
      <c r="C211" s="16" t="str">
        <f>IFERROR(__xludf.DUMMYFUNCTION("""COMPUTED_VALUE"""),"Playstation Plus (Discontinued)")</f>
        <v>Playstation Plus (Discontinued)</v>
      </c>
      <c r="D211" s="15" t="str">
        <f>IFERROR(__xludf.DUMMYFUNCTION("""COMPUTED_VALUE"""),"Removed")</f>
        <v>Removed</v>
      </c>
      <c r="E211" s="17">
        <f>IFERROR(__xludf.DUMMYFUNCTION("""COMPUTED_VALUE"""),44292.0)</f>
        <v>44292</v>
      </c>
      <c r="F211" s="54">
        <f>IFERROR(__xludf.DUMMYFUNCTION("""COMPUTED_VALUE"""),44319.0)</f>
        <v>44319</v>
      </c>
      <c r="G211" s="19">
        <f>IFERROR(__xludf.DUMMYFUNCTION("""COMPUTED_VALUE"""),0.8999999999999999)</f>
        <v>0.9</v>
      </c>
      <c r="H211" s="17">
        <f>IFERROR(__xludf.DUMMYFUNCTION("""COMPUTED_VALUE"""),44292.0)</f>
        <v>44292</v>
      </c>
      <c r="I211" s="19">
        <f>IFERROR(__xludf.DUMMYFUNCTION("""COMPUTED_VALUE"""),0.0)</f>
        <v>0</v>
      </c>
      <c r="J211" s="21">
        <f>IFERROR(__xludf.DUMMYFUNCTION("""COMPUTED_VALUE"""),66.0)</f>
        <v>66</v>
      </c>
      <c r="K211" s="23">
        <f>IFERROR(__xludf.DUMMYFUNCTION("""COMPUTED_VALUE"""),5.8)</f>
        <v>5.8</v>
      </c>
      <c r="L211" s="24">
        <f>IFERROR(__xludf.DUMMYFUNCTION("""COMPUTED_VALUE"""),13.0)</f>
        <v>13</v>
      </c>
      <c r="M211" s="25" t="str">
        <f>IFERROR(__xludf.DUMMYFUNCTION("""COMPUTED_VALUE"""),"Platformer")</f>
        <v>Platformer</v>
      </c>
      <c r="N211" s="25"/>
      <c r="O211" s="26" t="str">
        <f>IFERROR(__xludf.DUMMYFUNCTION("""COMPUTED_VALUE"""),"No")</f>
        <v>No</v>
      </c>
      <c r="P211" s="26"/>
    </row>
    <row r="212" hidden="1">
      <c r="A212" s="13" t="str">
        <f>IFERROR(__xludf.DUMMYFUNCTION("""COMPUTED_VALUE"""),"Days Gone")</f>
        <v>Days Gone</v>
      </c>
      <c r="B212" s="15" t="str">
        <f>IFERROR(__xludf.DUMMYFUNCTION("""COMPUTED_VALUE"""),"PS4")</f>
        <v>PS4</v>
      </c>
      <c r="C212" s="16" t="str">
        <f>IFERROR(__xludf.DUMMYFUNCTION("""COMPUTED_VALUE"""),"Playstation Plus (Discontinued)")</f>
        <v>Playstation Plus (Discontinued)</v>
      </c>
      <c r="D212" s="15" t="str">
        <f>IFERROR(__xludf.DUMMYFUNCTION("""COMPUTED_VALUE"""),"Removed")</f>
        <v>Removed</v>
      </c>
      <c r="E212" s="17">
        <f>IFERROR(__xludf.DUMMYFUNCTION("""COMPUTED_VALUE"""),44292.0)</f>
        <v>44292</v>
      </c>
      <c r="F212" s="54">
        <f>IFERROR(__xludf.DUMMYFUNCTION("""COMPUTED_VALUE"""),44319.0)</f>
        <v>44319</v>
      </c>
      <c r="G212" s="19">
        <f>IFERROR(__xludf.DUMMYFUNCTION("""COMPUTED_VALUE"""),0.8999999999999999)</f>
        <v>0.9</v>
      </c>
      <c r="H212" s="17">
        <f>IFERROR(__xludf.DUMMYFUNCTION("""COMPUTED_VALUE"""),43581.0)</f>
        <v>43581</v>
      </c>
      <c r="I212" s="19">
        <f>IFERROR(__xludf.DUMMYFUNCTION("""COMPUTED_VALUE"""),1.9444444444444444)</f>
        <v>1.944444444</v>
      </c>
      <c r="J212" s="21">
        <f>IFERROR(__xludf.DUMMYFUNCTION("""COMPUTED_VALUE"""),71.0)</f>
        <v>71</v>
      </c>
      <c r="K212" s="23">
        <f>IFERROR(__xludf.DUMMYFUNCTION("""COMPUTED_VALUE"""),8.2)</f>
        <v>8.2</v>
      </c>
      <c r="L212" s="24">
        <f>IFERROR(__xludf.DUMMYFUNCTION("""COMPUTED_VALUE"""),36.0)</f>
        <v>36</v>
      </c>
      <c r="M212" s="25" t="str">
        <f>IFERROR(__xludf.DUMMYFUNCTION("""COMPUTED_VALUE"""),"Action-Adventure")</f>
        <v>Action-Adventure</v>
      </c>
      <c r="N212" s="25"/>
      <c r="O212" s="26" t="str">
        <f>IFERROR(__xludf.DUMMYFUNCTION("""COMPUTED_VALUE"""),"No")</f>
        <v>No</v>
      </c>
      <c r="P212" s="26"/>
    </row>
    <row r="213" hidden="1">
      <c r="A213" s="13" t="str">
        <f>IFERROR(__xludf.DUMMYFUNCTION("""COMPUTED_VALUE"""),"Zombie Army 4: Dead War")</f>
        <v>Zombie Army 4: Dead War</v>
      </c>
      <c r="B213" s="15" t="str">
        <f>IFERROR(__xludf.DUMMYFUNCTION("""COMPUTED_VALUE"""),"PS4")</f>
        <v>PS4</v>
      </c>
      <c r="C213" s="16" t="str">
        <f>IFERROR(__xludf.DUMMYFUNCTION("""COMPUTED_VALUE"""),"Playstation Plus (Discontinued)")</f>
        <v>Playstation Plus (Discontinued)</v>
      </c>
      <c r="D213" s="15" t="str">
        <f>IFERROR(__xludf.DUMMYFUNCTION("""COMPUTED_VALUE"""),"Removed")</f>
        <v>Removed</v>
      </c>
      <c r="E213" s="17">
        <f>IFERROR(__xludf.DUMMYFUNCTION("""COMPUTED_VALUE"""),44292.0)</f>
        <v>44292</v>
      </c>
      <c r="F213" s="54">
        <f>IFERROR(__xludf.DUMMYFUNCTION("""COMPUTED_VALUE"""),44319.0)</f>
        <v>44319</v>
      </c>
      <c r="G213" s="19">
        <f>IFERROR(__xludf.DUMMYFUNCTION("""COMPUTED_VALUE"""),0.8999999999999999)</f>
        <v>0.9</v>
      </c>
      <c r="H213" s="17">
        <f>IFERROR(__xludf.DUMMYFUNCTION("""COMPUTED_VALUE"""),43865.0)</f>
        <v>43865</v>
      </c>
      <c r="I213" s="19">
        <f>IFERROR(__xludf.DUMMYFUNCTION("""COMPUTED_VALUE"""),1.1722222222222223)</f>
        <v>1.172222222</v>
      </c>
      <c r="J213" s="21">
        <f>IFERROR(__xludf.DUMMYFUNCTION("""COMPUTED_VALUE"""),72.0)</f>
        <v>72</v>
      </c>
      <c r="K213" s="23">
        <f>IFERROR(__xludf.DUMMYFUNCTION("""COMPUTED_VALUE"""),7.6)</f>
        <v>7.6</v>
      </c>
      <c r="L213" s="24">
        <f>IFERROR(__xludf.DUMMYFUNCTION("""COMPUTED_VALUE"""),9.0)</f>
        <v>9</v>
      </c>
      <c r="M213" s="25" t="str">
        <f>IFERROR(__xludf.DUMMYFUNCTION("""COMPUTED_VALUE"""),"Shooter")</f>
        <v>Shooter</v>
      </c>
      <c r="N213" s="25"/>
      <c r="O213" s="26" t="str">
        <f>IFERROR(__xludf.DUMMYFUNCTION("""COMPUTED_VALUE"""),"No")</f>
        <v>No</v>
      </c>
      <c r="P213" s="26"/>
    </row>
    <row r="214" hidden="1">
      <c r="A214" s="13" t="str">
        <f>IFERROR(__xludf.DUMMYFUNCTION("""COMPUTED_VALUE"""),"Final Fantasy VII Remake")</f>
        <v>Final Fantasy VII Remake</v>
      </c>
      <c r="B214" s="15" t="str">
        <f>IFERROR(__xludf.DUMMYFUNCTION("""COMPUTED_VALUE"""),"PS4")</f>
        <v>PS4</v>
      </c>
      <c r="C214" s="16" t="str">
        <f>IFERROR(__xludf.DUMMYFUNCTION("""COMPUTED_VALUE"""),"Playstation Plus (Discontinued)")</f>
        <v>Playstation Plus (Discontinued)</v>
      </c>
      <c r="D214" s="15" t="str">
        <f>IFERROR(__xludf.DUMMYFUNCTION("""COMPUTED_VALUE"""),"Removed")</f>
        <v>Removed</v>
      </c>
      <c r="E214" s="17">
        <f>IFERROR(__xludf.DUMMYFUNCTION("""COMPUTED_VALUE"""),44257.0)</f>
        <v>44257</v>
      </c>
      <c r="F214" s="54">
        <f>IFERROR(__xludf.DUMMYFUNCTION("""COMPUTED_VALUE"""),44291.0)</f>
        <v>44291</v>
      </c>
      <c r="G214" s="19">
        <f>IFERROR(__xludf.DUMMYFUNCTION("""COMPUTED_VALUE"""),1.0999999999999999)</f>
        <v>1.1</v>
      </c>
      <c r="H214" s="17">
        <f>IFERROR(__xludf.DUMMYFUNCTION("""COMPUTED_VALUE"""),43931.0)</f>
        <v>43931</v>
      </c>
      <c r="I214" s="19">
        <f>IFERROR(__xludf.DUMMYFUNCTION("""COMPUTED_VALUE"""),0.8944444444444445)</f>
        <v>0.8944444444</v>
      </c>
      <c r="J214" s="21">
        <f>IFERROR(__xludf.DUMMYFUNCTION("""COMPUTED_VALUE"""),87.0)</f>
        <v>87</v>
      </c>
      <c r="K214" s="23">
        <f>IFERROR(__xludf.DUMMYFUNCTION("""COMPUTED_VALUE"""),8.1)</f>
        <v>8.1</v>
      </c>
      <c r="L214" s="24">
        <f>IFERROR(__xludf.DUMMYFUNCTION("""COMPUTED_VALUE"""),35.0)</f>
        <v>35</v>
      </c>
      <c r="M214" s="25" t="str">
        <f>IFERROR(__xludf.DUMMYFUNCTION("""COMPUTED_VALUE"""),"RPG")</f>
        <v>RPG</v>
      </c>
      <c r="N214" s="25"/>
      <c r="O214" s="26" t="str">
        <f>IFERROR(__xludf.DUMMYFUNCTION("""COMPUTED_VALUE"""),"No")</f>
        <v>No</v>
      </c>
      <c r="P214" s="26"/>
    </row>
    <row r="215" hidden="1">
      <c r="A215" s="13" t="str">
        <f>IFERROR(__xludf.DUMMYFUNCTION("""COMPUTED_VALUE"""),"Remnant: From the Ashes")</f>
        <v>Remnant: From the Ashes</v>
      </c>
      <c r="B215" s="15" t="str">
        <f>IFERROR(__xludf.DUMMYFUNCTION("""COMPUTED_VALUE"""),"PS4")</f>
        <v>PS4</v>
      </c>
      <c r="C215" s="16" t="str">
        <f>IFERROR(__xludf.DUMMYFUNCTION("""COMPUTED_VALUE"""),"Playstation Plus (Discontinued)")</f>
        <v>Playstation Plus (Discontinued)</v>
      </c>
      <c r="D215" s="15" t="str">
        <f>IFERROR(__xludf.DUMMYFUNCTION("""COMPUTED_VALUE"""),"Removed")</f>
        <v>Removed</v>
      </c>
      <c r="E215" s="17">
        <f>IFERROR(__xludf.DUMMYFUNCTION("""COMPUTED_VALUE"""),44257.0)</f>
        <v>44257</v>
      </c>
      <c r="F215" s="54">
        <f>IFERROR(__xludf.DUMMYFUNCTION("""COMPUTED_VALUE"""),44291.0)</f>
        <v>44291</v>
      </c>
      <c r="G215" s="19">
        <f>IFERROR(__xludf.DUMMYFUNCTION("""COMPUTED_VALUE"""),1.0999999999999999)</f>
        <v>1.1</v>
      </c>
      <c r="H215" s="17">
        <f>IFERROR(__xludf.DUMMYFUNCTION("""COMPUTED_VALUE"""),43697.0)</f>
        <v>43697</v>
      </c>
      <c r="I215" s="19">
        <f>IFERROR(__xludf.DUMMYFUNCTION("""COMPUTED_VALUE"""),1.5333333333333334)</f>
        <v>1.533333333</v>
      </c>
      <c r="J215" s="21">
        <f>IFERROR(__xludf.DUMMYFUNCTION("""COMPUTED_VALUE"""),77.0)</f>
        <v>77</v>
      </c>
      <c r="K215" s="23">
        <f>IFERROR(__xludf.DUMMYFUNCTION("""COMPUTED_VALUE"""),7.9)</f>
        <v>7.9</v>
      </c>
      <c r="L215" s="24">
        <f>IFERROR(__xludf.DUMMYFUNCTION("""COMPUTED_VALUE"""),13.0)</f>
        <v>13</v>
      </c>
      <c r="M215" s="25" t="str">
        <f>IFERROR(__xludf.DUMMYFUNCTION("""COMPUTED_VALUE"""),"Shooter")</f>
        <v>Shooter</v>
      </c>
      <c r="N215" s="25"/>
      <c r="O215" s="26" t="str">
        <f>IFERROR(__xludf.DUMMYFUNCTION("""COMPUTED_VALUE"""),"No")</f>
        <v>No</v>
      </c>
      <c r="P215" s="26"/>
    </row>
    <row r="216" hidden="1">
      <c r="A216" s="13" t="str">
        <f>IFERROR(__xludf.DUMMYFUNCTION("""COMPUTED_VALUE"""),"Maquette")</f>
        <v>Maquette</v>
      </c>
      <c r="B216" s="15" t="str">
        <f>IFERROR(__xludf.DUMMYFUNCTION("""COMPUTED_VALUE"""),"PS5")</f>
        <v>PS5</v>
      </c>
      <c r="C216" s="16" t="str">
        <f>IFERROR(__xludf.DUMMYFUNCTION("""COMPUTED_VALUE"""),"Playstation Plus (Discontinued)")</f>
        <v>Playstation Plus (Discontinued)</v>
      </c>
      <c r="D216" s="15" t="str">
        <f>IFERROR(__xludf.DUMMYFUNCTION("""COMPUTED_VALUE"""),"Removed")</f>
        <v>Removed</v>
      </c>
      <c r="E216" s="17">
        <f>IFERROR(__xludf.DUMMYFUNCTION("""COMPUTED_VALUE"""),44257.0)</f>
        <v>44257</v>
      </c>
      <c r="F216" s="54">
        <f>IFERROR(__xludf.DUMMYFUNCTION("""COMPUTED_VALUE"""),44291.0)</f>
        <v>44291</v>
      </c>
      <c r="G216" s="19">
        <f>IFERROR(__xludf.DUMMYFUNCTION("""COMPUTED_VALUE"""),1.0999999999999999)</f>
        <v>1.1</v>
      </c>
      <c r="H216" s="17">
        <f>IFERROR(__xludf.DUMMYFUNCTION("""COMPUTED_VALUE"""),44257.0)</f>
        <v>44257</v>
      </c>
      <c r="I216" s="19">
        <f>IFERROR(__xludf.DUMMYFUNCTION("""COMPUTED_VALUE"""),0.0)</f>
        <v>0</v>
      </c>
      <c r="J216" s="21">
        <f>IFERROR(__xludf.DUMMYFUNCTION("""COMPUTED_VALUE"""),70.0)</f>
        <v>70</v>
      </c>
      <c r="K216" s="23">
        <f>IFERROR(__xludf.DUMMYFUNCTION("""COMPUTED_VALUE"""),6.8)</f>
        <v>6.8</v>
      </c>
      <c r="L216" s="24">
        <f>IFERROR(__xludf.DUMMYFUNCTION("""COMPUTED_VALUE"""),4.0)</f>
        <v>4</v>
      </c>
      <c r="M216" s="25" t="str">
        <f>IFERROR(__xludf.DUMMYFUNCTION("""COMPUTED_VALUE"""),"Puzzle")</f>
        <v>Puzzle</v>
      </c>
      <c r="N216" s="25"/>
      <c r="O216" s="26" t="str">
        <f>IFERROR(__xludf.DUMMYFUNCTION("""COMPUTED_VALUE"""),"No")</f>
        <v>No</v>
      </c>
      <c r="P216" s="26"/>
    </row>
    <row r="217" hidden="1">
      <c r="A217" s="13" t="str">
        <f>IFERROR(__xludf.DUMMYFUNCTION("""COMPUTED_VALUE"""),"Farpoint")</f>
        <v>Farpoint</v>
      </c>
      <c r="B217" s="15" t="str">
        <f>IFERROR(__xludf.DUMMYFUNCTION("""COMPUTED_VALUE"""),"PS4/PSVR")</f>
        <v>PS4/PSVR</v>
      </c>
      <c r="C217" s="16" t="str">
        <f>IFERROR(__xludf.DUMMYFUNCTION("""COMPUTED_VALUE"""),"Playstation Plus (Discontinued)")</f>
        <v>Playstation Plus (Discontinued)</v>
      </c>
      <c r="D217" s="15" t="str">
        <f>IFERROR(__xludf.DUMMYFUNCTION("""COMPUTED_VALUE"""),"Removed")</f>
        <v>Removed</v>
      </c>
      <c r="E217" s="17">
        <f>IFERROR(__xludf.DUMMYFUNCTION("""COMPUTED_VALUE"""),44257.0)</f>
        <v>44257</v>
      </c>
      <c r="F217" s="54">
        <f>IFERROR(__xludf.DUMMYFUNCTION("""COMPUTED_VALUE"""),44291.0)</f>
        <v>44291</v>
      </c>
      <c r="G217" s="19">
        <f>IFERROR(__xludf.DUMMYFUNCTION("""COMPUTED_VALUE"""),1.0999999999999999)</f>
        <v>1.1</v>
      </c>
      <c r="H217" s="17">
        <f>IFERROR(__xludf.DUMMYFUNCTION("""COMPUTED_VALUE"""),42871.0)</f>
        <v>42871</v>
      </c>
      <c r="I217" s="19">
        <f>IFERROR(__xludf.DUMMYFUNCTION("""COMPUTED_VALUE"""),3.7944444444444443)</f>
        <v>3.794444444</v>
      </c>
      <c r="J217" s="21">
        <f>IFERROR(__xludf.DUMMYFUNCTION("""COMPUTED_VALUE"""),71.0)</f>
        <v>71</v>
      </c>
      <c r="K217" s="23">
        <f>IFERROR(__xludf.DUMMYFUNCTION("""COMPUTED_VALUE"""),7.2)</f>
        <v>7.2</v>
      </c>
      <c r="L217" s="24">
        <f>IFERROR(__xludf.DUMMYFUNCTION("""COMPUTED_VALUE"""),6.0)</f>
        <v>6</v>
      </c>
      <c r="M217" s="25" t="str">
        <f>IFERROR(__xludf.DUMMYFUNCTION("""COMPUTED_VALUE"""),"Shooter")</f>
        <v>Shooter</v>
      </c>
      <c r="N217" s="25"/>
      <c r="O217" s="26" t="str">
        <f>IFERROR(__xludf.DUMMYFUNCTION("""COMPUTED_VALUE"""),"No")</f>
        <v>No</v>
      </c>
      <c r="P217" s="26"/>
    </row>
    <row r="218" hidden="1">
      <c r="A218" s="13" t="str">
        <f>IFERROR(__xludf.DUMMYFUNCTION("""COMPUTED_VALUE"""),"Destruction AllStars")</f>
        <v>Destruction AllStars</v>
      </c>
      <c r="B218" s="15" t="str">
        <f>IFERROR(__xludf.DUMMYFUNCTION("""COMPUTED_VALUE"""),"PS5")</f>
        <v>PS5</v>
      </c>
      <c r="C218" s="16" t="str">
        <f>IFERROR(__xludf.DUMMYFUNCTION("""COMPUTED_VALUE"""),"Playstation Plus (Discontinued)")</f>
        <v>Playstation Plus (Discontinued)</v>
      </c>
      <c r="D218" s="15" t="str">
        <f>IFERROR(__xludf.DUMMYFUNCTION("""COMPUTED_VALUE"""),"Removed")</f>
        <v>Removed</v>
      </c>
      <c r="E218" s="17">
        <f>IFERROR(__xludf.DUMMYFUNCTION("""COMPUTED_VALUE"""),44229.0)</f>
        <v>44229</v>
      </c>
      <c r="F218" s="54">
        <f>IFERROR(__xludf.DUMMYFUNCTION("""COMPUTED_VALUE"""),44319.0)</f>
        <v>44319</v>
      </c>
      <c r="G218" s="19">
        <f>IFERROR(__xludf.DUMMYFUNCTION("""COMPUTED_VALUE"""),3.033333333333333)</f>
        <v>3.033333333</v>
      </c>
      <c r="H218" s="17">
        <f>IFERROR(__xludf.DUMMYFUNCTION("""COMPUTED_VALUE"""),44229.0)</f>
        <v>44229</v>
      </c>
      <c r="I218" s="19">
        <f>IFERROR(__xludf.DUMMYFUNCTION("""COMPUTED_VALUE"""),0.0)</f>
        <v>0</v>
      </c>
      <c r="J218" s="21">
        <f>IFERROR(__xludf.DUMMYFUNCTION("""COMPUTED_VALUE"""),62.0)</f>
        <v>62</v>
      </c>
      <c r="K218" s="23">
        <f>IFERROR(__xludf.DUMMYFUNCTION("""COMPUTED_VALUE"""),6.3)</f>
        <v>6.3</v>
      </c>
      <c r="L218" s="24"/>
      <c r="M218" s="25" t="str">
        <f>IFERROR(__xludf.DUMMYFUNCTION("""COMPUTED_VALUE"""),"Driving")</f>
        <v>Driving</v>
      </c>
      <c r="N218" s="25"/>
      <c r="O218" s="26" t="str">
        <f>IFERROR(__xludf.DUMMYFUNCTION("""COMPUTED_VALUE"""),"No")</f>
        <v>No</v>
      </c>
      <c r="P218" s="26"/>
    </row>
    <row r="219" hidden="1">
      <c r="A219" s="13" t="str">
        <f>IFERROR(__xludf.DUMMYFUNCTION("""COMPUTED_VALUE"""),"Control: Ultimate Edition")</f>
        <v>Control: Ultimate Edition</v>
      </c>
      <c r="B219" s="15" t="str">
        <f>IFERROR(__xludf.DUMMYFUNCTION("""COMPUTED_VALUE"""),"PS5/PS4")</f>
        <v>PS5/PS4</v>
      </c>
      <c r="C219" s="16" t="str">
        <f>IFERROR(__xludf.DUMMYFUNCTION("""COMPUTED_VALUE"""),"Playstation Plus (Discontinued)")</f>
        <v>Playstation Plus (Discontinued)</v>
      </c>
      <c r="D219" s="15" t="str">
        <f>IFERROR(__xludf.DUMMYFUNCTION("""COMPUTED_VALUE"""),"Removed")</f>
        <v>Removed</v>
      </c>
      <c r="E219" s="17">
        <f>IFERROR(__xludf.DUMMYFUNCTION("""COMPUTED_VALUE"""),44229.0)</f>
        <v>44229</v>
      </c>
      <c r="F219" s="54">
        <f>IFERROR(__xludf.DUMMYFUNCTION("""COMPUTED_VALUE"""),44256.0)</f>
        <v>44256</v>
      </c>
      <c r="G219" s="19">
        <f>IFERROR(__xludf.DUMMYFUNCTION("""COMPUTED_VALUE"""),0.9666666666666668)</f>
        <v>0.9666666667</v>
      </c>
      <c r="H219" s="17">
        <f>IFERROR(__xludf.DUMMYFUNCTION("""COMPUTED_VALUE"""),44229.0)</f>
        <v>44229</v>
      </c>
      <c r="I219" s="19">
        <f>IFERROR(__xludf.DUMMYFUNCTION("""COMPUTED_VALUE"""),0.0)</f>
        <v>0</v>
      </c>
      <c r="J219" s="21">
        <f>IFERROR(__xludf.DUMMYFUNCTION("""COMPUTED_VALUE"""),82.0)</f>
        <v>82</v>
      </c>
      <c r="K219" s="23">
        <f>IFERROR(__xludf.DUMMYFUNCTION("""COMPUTED_VALUE"""),7.6)</f>
        <v>7.6</v>
      </c>
      <c r="L219" s="24">
        <f>IFERROR(__xludf.DUMMYFUNCTION("""COMPUTED_VALUE"""),11.0)</f>
        <v>11</v>
      </c>
      <c r="M219" s="25" t="str">
        <f>IFERROR(__xludf.DUMMYFUNCTION("""COMPUTED_VALUE"""),"Shooter")</f>
        <v>Shooter</v>
      </c>
      <c r="N219" s="25"/>
      <c r="O219" s="26" t="str">
        <f>IFERROR(__xludf.DUMMYFUNCTION("""COMPUTED_VALUE"""),"No")</f>
        <v>No</v>
      </c>
      <c r="P219" s="26"/>
    </row>
    <row r="220" hidden="1">
      <c r="A220" s="13" t="str">
        <f>IFERROR(__xludf.DUMMYFUNCTION("""COMPUTED_VALUE"""),"Concrete Genie")</f>
        <v>Concrete Genie</v>
      </c>
      <c r="B220" s="15" t="str">
        <f>IFERROR(__xludf.DUMMYFUNCTION("""COMPUTED_VALUE"""),"PS4")</f>
        <v>PS4</v>
      </c>
      <c r="C220" s="16" t="str">
        <f>IFERROR(__xludf.DUMMYFUNCTION("""COMPUTED_VALUE"""),"Playstation Plus (Discontinued)")</f>
        <v>Playstation Plus (Discontinued)</v>
      </c>
      <c r="D220" s="15" t="str">
        <f>IFERROR(__xludf.DUMMYFUNCTION("""COMPUTED_VALUE"""),"Removed")</f>
        <v>Removed</v>
      </c>
      <c r="E220" s="17">
        <f>IFERROR(__xludf.DUMMYFUNCTION("""COMPUTED_VALUE"""),44229.0)</f>
        <v>44229</v>
      </c>
      <c r="F220" s="54">
        <f>IFERROR(__xludf.DUMMYFUNCTION("""COMPUTED_VALUE"""),44256.0)</f>
        <v>44256</v>
      </c>
      <c r="G220" s="19">
        <f>IFERROR(__xludf.DUMMYFUNCTION("""COMPUTED_VALUE"""),0.9666666666666668)</f>
        <v>0.9666666667</v>
      </c>
      <c r="H220" s="17">
        <f>IFERROR(__xludf.DUMMYFUNCTION("""COMPUTED_VALUE"""),43746.0)</f>
        <v>43746</v>
      </c>
      <c r="I220" s="19">
        <f>IFERROR(__xludf.DUMMYFUNCTION("""COMPUTED_VALUE"""),1.3166666666666667)</f>
        <v>1.316666667</v>
      </c>
      <c r="J220" s="21">
        <f>IFERROR(__xludf.DUMMYFUNCTION("""COMPUTED_VALUE"""),75.0)</f>
        <v>75</v>
      </c>
      <c r="K220" s="23">
        <f>IFERROR(__xludf.DUMMYFUNCTION("""COMPUTED_VALUE"""),7.6)</f>
        <v>7.6</v>
      </c>
      <c r="L220" s="24">
        <f>IFERROR(__xludf.DUMMYFUNCTION("""COMPUTED_VALUE"""),5.0)</f>
        <v>5</v>
      </c>
      <c r="M220" s="25" t="str">
        <f>IFERROR(__xludf.DUMMYFUNCTION("""COMPUTED_VALUE"""),"Action-Adventure")</f>
        <v>Action-Adventure</v>
      </c>
      <c r="N220" s="25"/>
      <c r="O220" s="26" t="str">
        <f>IFERROR(__xludf.DUMMYFUNCTION("""COMPUTED_VALUE"""),"No")</f>
        <v>No</v>
      </c>
      <c r="P220" s="26"/>
    </row>
    <row r="221" hidden="1">
      <c r="A221" s="13" t="str">
        <f>IFERROR(__xludf.DUMMYFUNCTION("""COMPUTED_VALUE"""),"Maneater")</f>
        <v>Maneater</v>
      </c>
      <c r="B221" s="15" t="str">
        <f>IFERROR(__xludf.DUMMYFUNCTION("""COMPUTED_VALUE"""),"PS5")</f>
        <v>PS5</v>
      </c>
      <c r="C221" s="16" t="str">
        <f>IFERROR(__xludf.DUMMYFUNCTION("""COMPUTED_VALUE"""),"Playstation Plus (Discontinued)")</f>
        <v>Playstation Plus (Discontinued)</v>
      </c>
      <c r="D221" s="15" t="str">
        <f>IFERROR(__xludf.DUMMYFUNCTION("""COMPUTED_VALUE"""),"Removed")</f>
        <v>Removed</v>
      </c>
      <c r="E221" s="17">
        <f>IFERROR(__xludf.DUMMYFUNCTION("""COMPUTED_VALUE"""),44201.0)</f>
        <v>44201</v>
      </c>
      <c r="F221" s="54">
        <f>IFERROR(__xludf.DUMMYFUNCTION("""COMPUTED_VALUE"""),44228.0)</f>
        <v>44228</v>
      </c>
      <c r="G221" s="19">
        <f>IFERROR(__xludf.DUMMYFUNCTION("""COMPUTED_VALUE"""),0.8666666666666666)</f>
        <v>0.8666666667</v>
      </c>
      <c r="H221" s="17">
        <f>IFERROR(__xludf.DUMMYFUNCTION("""COMPUTED_VALUE"""),43973.0)</f>
        <v>43973</v>
      </c>
      <c r="I221" s="19">
        <f>IFERROR(__xludf.DUMMYFUNCTION("""COMPUTED_VALUE"""),0.6194444444444445)</f>
        <v>0.6194444444</v>
      </c>
      <c r="J221" s="21">
        <f>IFERROR(__xludf.DUMMYFUNCTION("""COMPUTED_VALUE"""),68.0)</f>
        <v>68</v>
      </c>
      <c r="K221" s="23">
        <f>IFERROR(__xludf.DUMMYFUNCTION("""COMPUTED_VALUE"""),7.3)</f>
        <v>7.3</v>
      </c>
      <c r="L221" s="24">
        <f>IFERROR(__xludf.DUMMYFUNCTION("""COMPUTED_VALUE"""),9.0)</f>
        <v>9</v>
      </c>
      <c r="M221" s="25" t="str">
        <f>IFERROR(__xludf.DUMMYFUNCTION("""COMPUTED_VALUE"""),"Action-Adventure")</f>
        <v>Action-Adventure</v>
      </c>
      <c r="N221" s="25"/>
      <c r="O221" s="26" t="str">
        <f>IFERROR(__xludf.DUMMYFUNCTION("""COMPUTED_VALUE"""),"No")</f>
        <v>No</v>
      </c>
      <c r="P221" s="26"/>
    </row>
    <row r="222" hidden="1">
      <c r="A222" s="13" t="str">
        <f>IFERROR(__xludf.DUMMYFUNCTION("""COMPUTED_VALUE"""),"Shadow of the Tomb Raider")</f>
        <v>Shadow of the Tomb Raider</v>
      </c>
      <c r="B222" s="15" t="str">
        <f>IFERROR(__xludf.DUMMYFUNCTION("""COMPUTED_VALUE"""),"PS4")</f>
        <v>PS4</v>
      </c>
      <c r="C222" s="16" t="str">
        <f>IFERROR(__xludf.DUMMYFUNCTION("""COMPUTED_VALUE"""),"Playstation Plus (Discontinued)")</f>
        <v>Playstation Plus (Discontinued)</v>
      </c>
      <c r="D222" s="15" t="str">
        <f>IFERROR(__xludf.DUMMYFUNCTION("""COMPUTED_VALUE"""),"Removed")</f>
        <v>Removed</v>
      </c>
      <c r="E222" s="17">
        <f>IFERROR(__xludf.DUMMYFUNCTION("""COMPUTED_VALUE"""),44201.0)</f>
        <v>44201</v>
      </c>
      <c r="F222" s="54">
        <f>IFERROR(__xludf.DUMMYFUNCTION("""COMPUTED_VALUE"""),44228.0)</f>
        <v>44228</v>
      </c>
      <c r="G222" s="19">
        <f>IFERROR(__xludf.DUMMYFUNCTION("""COMPUTED_VALUE"""),0.8666666666666666)</f>
        <v>0.8666666667</v>
      </c>
      <c r="H222" s="17">
        <f>IFERROR(__xludf.DUMMYFUNCTION("""COMPUTED_VALUE"""),43357.0)</f>
        <v>43357</v>
      </c>
      <c r="I222" s="19">
        <f>IFERROR(__xludf.DUMMYFUNCTION("""COMPUTED_VALUE"""),2.308333333333333)</f>
        <v>2.308333333</v>
      </c>
      <c r="J222" s="21">
        <f>IFERROR(__xludf.DUMMYFUNCTION("""COMPUTED_VALUE"""),75.0)</f>
        <v>75</v>
      </c>
      <c r="K222" s="23">
        <f>IFERROR(__xludf.DUMMYFUNCTION("""COMPUTED_VALUE"""),7.5)</f>
        <v>7.5</v>
      </c>
      <c r="L222" s="24">
        <f>IFERROR(__xludf.DUMMYFUNCTION("""COMPUTED_VALUE"""),13.0)</f>
        <v>13</v>
      </c>
      <c r="M222" s="25" t="str">
        <f>IFERROR(__xludf.DUMMYFUNCTION("""COMPUTED_VALUE"""),"Action-Adventure")</f>
        <v>Action-Adventure</v>
      </c>
      <c r="N222" s="25"/>
      <c r="O222" s="26" t="str">
        <f>IFERROR(__xludf.DUMMYFUNCTION("""COMPUTED_VALUE"""),"No")</f>
        <v>No</v>
      </c>
      <c r="P222" s="26"/>
    </row>
    <row r="223" hidden="1">
      <c r="A223" s="13" t="str">
        <f>IFERROR(__xludf.DUMMYFUNCTION("""COMPUTED_VALUE"""),"Greedfall")</f>
        <v>Greedfall</v>
      </c>
      <c r="B223" s="15" t="str">
        <f>IFERROR(__xludf.DUMMYFUNCTION("""COMPUTED_VALUE"""),"PS4")</f>
        <v>PS4</v>
      </c>
      <c r="C223" s="16" t="str">
        <f>IFERROR(__xludf.DUMMYFUNCTION("""COMPUTED_VALUE"""),"Playstation Plus (Discontinued)")</f>
        <v>Playstation Plus (Discontinued)</v>
      </c>
      <c r="D223" s="15" t="str">
        <f>IFERROR(__xludf.DUMMYFUNCTION("""COMPUTED_VALUE"""),"Removed")</f>
        <v>Removed</v>
      </c>
      <c r="E223" s="17">
        <f>IFERROR(__xludf.DUMMYFUNCTION("""COMPUTED_VALUE"""),44201.0)</f>
        <v>44201</v>
      </c>
      <c r="F223" s="54">
        <f>IFERROR(__xludf.DUMMYFUNCTION("""COMPUTED_VALUE"""),44228.0)</f>
        <v>44228</v>
      </c>
      <c r="G223" s="19">
        <f>IFERROR(__xludf.DUMMYFUNCTION("""COMPUTED_VALUE"""),0.8666666666666666)</f>
        <v>0.8666666667</v>
      </c>
      <c r="H223" s="17">
        <f>IFERROR(__xludf.DUMMYFUNCTION("""COMPUTED_VALUE"""),43718.0)</f>
        <v>43718</v>
      </c>
      <c r="I223" s="19">
        <f>IFERROR(__xludf.DUMMYFUNCTION("""COMPUTED_VALUE"""),1.3194444444444444)</f>
        <v>1.319444444</v>
      </c>
      <c r="J223" s="21">
        <f>IFERROR(__xludf.DUMMYFUNCTION("""COMPUTED_VALUE"""),72.0)</f>
        <v>72</v>
      </c>
      <c r="K223" s="23">
        <f>IFERROR(__xludf.DUMMYFUNCTION("""COMPUTED_VALUE"""),7.7)</f>
        <v>7.7</v>
      </c>
      <c r="L223" s="24">
        <f>IFERROR(__xludf.DUMMYFUNCTION("""COMPUTED_VALUE"""),30.0)</f>
        <v>30</v>
      </c>
      <c r="M223" s="25" t="str">
        <f>IFERROR(__xludf.DUMMYFUNCTION("""COMPUTED_VALUE"""),"RPG")</f>
        <v>RPG</v>
      </c>
      <c r="N223" s="25"/>
      <c r="O223" s="26" t="str">
        <f>IFERROR(__xludf.DUMMYFUNCTION("""COMPUTED_VALUE"""),"No")</f>
        <v>No</v>
      </c>
      <c r="P223" s="26"/>
    </row>
    <row r="224" hidden="1">
      <c r="A224" s="13" t="str">
        <f>IFERROR(__xludf.DUMMYFUNCTION("""COMPUTED_VALUE"""),"Just Cause 4")</f>
        <v>Just Cause 4</v>
      </c>
      <c r="B224" s="15" t="str">
        <f>IFERROR(__xludf.DUMMYFUNCTION("""COMPUTED_VALUE"""),"PS4")</f>
        <v>PS4</v>
      </c>
      <c r="C224" s="16" t="str">
        <f>IFERROR(__xludf.DUMMYFUNCTION("""COMPUTED_VALUE"""),"Playstation Plus (Discontinued)")</f>
        <v>Playstation Plus (Discontinued)</v>
      </c>
      <c r="D224" s="15" t="str">
        <f>IFERROR(__xludf.DUMMYFUNCTION("""COMPUTED_VALUE"""),"Removed")</f>
        <v>Removed</v>
      </c>
      <c r="E224" s="17">
        <f>IFERROR(__xludf.DUMMYFUNCTION("""COMPUTED_VALUE"""),44166.0)</f>
        <v>44166</v>
      </c>
      <c r="F224" s="54">
        <f>IFERROR(__xludf.DUMMYFUNCTION("""COMPUTED_VALUE"""),44200.0)</f>
        <v>44200</v>
      </c>
      <c r="G224" s="19">
        <f>IFERROR(__xludf.DUMMYFUNCTION("""COMPUTED_VALUE"""),1.0999999999999999)</f>
        <v>1.1</v>
      </c>
      <c r="H224" s="17">
        <f>IFERROR(__xludf.DUMMYFUNCTION("""COMPUTED_VALUE"""),43438.0)</f>
        <v>43438</v>
      </c>
      <c r="I224" s="19">
        <f>IFERROR(__xludf.DUMMYFUNCTION("""COMPUTED_VALUE"""),1.9916666666666667)</f>
        <v>1.991666667</v>
      </c>
      <c r="J224" s="21">
        <f>IFERROR(__xludf.DUMMYFUNCTION("""COMPUTED_VALUE"""),65.0)</f>
        <v>65</v>
      </c>
      <c r="K224" s="23">
        <f>IFERROR(__xludf.DUMMYFUNCTION("""COMPUTED_VALUE"""),5.8)</f>
        <v>5.8</v>
      </c>
      <c r="L224" s="24">
        <f>IFERROR(__xludf.DUMMYFUNCTION("""COMPUTED_VALUE"""),17.0)</f>
        <v>17</v>
      </c>
      <c r="M224" s="25" t="str">
        <f>IFERROR(__xludf.DUMMYFUNCTION("""COMPUTED_VALUE"""),"Action-Adventure")</f>
        <v>Action-Adventure</v>
      </c>
      <c r="N224" s="25"/>
      <c r="O224" s="26" t="str">
        <f>IFERROR(__xludf.DUMMYFUNCTION("""COMPUTED_VALUE"""),"No")</f>
        <v>No</v>
      </c>
      <c r="P224" s="26"/>
    </row>
    <row r="225" hidden="1">
      <c r="A225" s="13" t="str">
        <f>IFERROR(__xludf.DUMMYFUNCTION("""COMPUTED_VALUE"""),"Rocket Arena")</f>
        <v>Rocket Arena</v>
      </c>
      <c r="B225" s="15" t="str">
        <f>IFERROR(__xludf.DUMMYFUNCTION("""COMPUTED_VALUE"""),"PS4")</f>
        <v>PS4</v>
      </c>
      <c r="C225" s="16" t="str">
        <f>IFERROR(__xludf.DUMMYFUNCTION("""COMPUTED_VALUE"""),"Playstation Plus (Discontinued)")</f>
        <v>Playstation Plus (Discontinued)</v>
      </c>
      <c r="D225" s="15" t="str">
        <f>IFERROR(__xludf.DUMMYFUNCTION("""COMPUTED_VALUE"""),"Removed")</f>
        <v>Removed</v>
      </c>
      <c r="E225" s="17">
        <f>IFERROR(__xludf.DUMMYFUNCTION("""COMPUTED_VALUE"""),44166.0)</f>
        <v>44166</v>
      </c>
      <c r="F225" s="54">
        <f>IFERROR(__xludf.DUMMYFUNCTION("""COMPUTED_VALUE"""),44200.0)</f>
        <v>44200</v>
      </c>
      <c r="G225" s="19">
        <f>IFERROR(__xludf.DUMMYFUNCTION("""COMPUTED_VALUE"""),1.0999999999999999)</f>
        <v>1.1</v>
      </c>
      <c r="H225" s="17">
        <f>IFERROR(__xludf.DUMMYFUNCTION("""COMPUTED_VALUE"""),44026.0)</f>
        <v>44026</v>
      </c>
      <c r="I225" s="19">
        <f>IFERROR(__xludf.DUMMYFUNCTION("""COMPUTED_VALUE"""),0.38055555555555554)</f>
        <v>0.3805555556</v>
      </c>
      <c r="J225" s="21">
        <f>IFERROR(__xludf.DUMMYFUNCTION("""COMPUTED_VALUE"""),68.0)</f>
        <v>68</v>
      </c>
      <c r="K225" s="23">
        <f>IFERROR(__xludf.DUMMYFUNCTION("""COMPUTED_VALUE"""),5.8)</f>
        <v>5.8</v>
      </c>
      <c r="L225" s="24"/>
      <c r="M225" s="25" t="str">
        <f>IFERROR(__xludf.DUMMYFUNCTION("""COMPUTED_VALUE"""),"Shooter")</f>
        <v>Shooter</v>
      </c>
      <c r="N225" s="25"/>
      <c r="O225" s="26" t="str">
        <f>IFERROR(__xludf.DUMMYFUNCTION("""COMPUTED_VALUE"""),"No")</f>
        <v>No</v>
      </c>
      <c r="P225" s="26"/>
    </row>
    <row r="226" hidden="1">
      <c r="A226" s="13" t="str">
        <f>IFERROR(__xludf.DUMMYFUNCTION("""COMPUTED_VALUE"""),"Worms Rumble")</f>
        <v>Worms Rumble</v>
      </c>
      <c r="B226" s="15" t="str">
        <f>IFERROR(__xludf.DUMMYFUNCTION("""COMPUTED_VALUE"""),"PS5/PS4")</f>
        <v>PS5/PS4</v>
      </c>
      <c r="C226" s="16" t="str">
        <f>IFERROR(__xludf.DUMMYFUNCTION("""COMPUTED_VALUE"""),"Playstation Plus (Discontinued)")</f>
        <v>Playstation Plus (Discontinued)</v>
      </c>
      <c r="D226" s="15" t="str">
        <f>IFERROR(__xludf.DUMMYFUNCTION("""COMPUTED_VALUE"""),"Removed")</f>
        <v>Removed</v>
      </c>
      <c r="E226" s="17">
        <f>IFERROR(__xludf.DUMMYFUNCTION("""COMPUTED_VALUE"""),44166.0)</f>
        <v>44166</v>
      </c>
      <c r="F226" s="18">
        <f>IFERROR(__xludf.DUMMYFUNCTION("""COMPUTED_VALUE"""),44200.0)</f>
        <v>44200</v>
      </c>
      <c r="G226" s="19">
        <f>IFERROR(__xludf.DUMMYFUNCTION("""COMPUTED_VALUE"""),1.0999999999999999)</f>
        <v>1.1</v>
      </c>
      <c r="H226" s="17">
        <f>IFERROR(__xludf.DUMMYFUNCTION("""COMPUTED_VALUE"""),44166.0)</f>
        <v>44166</v>
      </c>
      <c r="I226" s="19">
        <f>IFERROR(__xludf.DUMMYFUNCTION("""COMPUTED_VALUE"""),0.0)</f>
        <v>0</v>
      </c>
      <c r="J226" s="21">
        <f>IFERROR(__xludf.DUMMYFUNCTION("""COMPUTED_VALUE"""),68.0)</f>
        <v>68</v>
      </c>
      <c r="K226" s="23">
        <f>IFERROR(__xludf.DUMMYFUNCTION("""COMPUTED_VALUE"""),5.9)</f>
        <v>5.9</v>
      </c>
      <c r="L226" s="24"/>
      <c r="M226" s="25" t="str">
        <f>IFERROR(__xludf.DUMMYFUNCTION("""COMPUTED_VALUE"""),"Shooter")</f>
        <v>Shooter</v>
      </c>
      <c r="N226" s="25"/>
      <c r="O226" s="26" t="str">
        <f>IFERROR(__xludf.DUMMYFUNCTION("""COMPUTED_VALUE"""),"No")</f>
        <v>No</v>
      </c>
      <c r="P226" s="26"/>
    </row>
    <row r="227" hidden="1">
      <c r="A227" s="13" t="str">
        <f>IFERROR(__xludf.DUMMYFUNCTION("""COMPUTED_VALUE"""),"Bugsnax")</f>
        <v>Bugsnax</v>
      </c>
      <c r="B227" s="15" t="str">
        <f>IFERROR(__xludf.DUMMYFUNCTION("""COMPUTED_VALUE"""),"PS5")</f>
        <v>PS5</v>
      </c>
      <c r="C227" s="16" t="str">
        <f>IFERROR(__xludf.DUMMYFUNCTION("""COMPUTED_VALUE"""),"Playstation Plus (Discontinued)")</f>
        <v>Playstation Plus (Discontinued)</v>
      </c>
      <c r="D227" s="15" t="str">
        <f>IFERROR(__xludf.DUMMYFUNCTION("""COMPUTED_VALUE"""),"Removed")</f>
        <v>Removed</v>
      </c>
      <c r="E227" s="17">
        <f>IFERROR(__xludf.DUMMYFUNCTION("""COMPUTED_VALUE"""),44147.0)</f>
        <v>44147</v>
      </c>
      <c r="F227" s="54">
        <f>IFERROR(__xludf.DUMMYFUNCTION("""COMPUTED_VALUE"""),44200.0)</f>
        <v>44200</v>
      </c>
      <c r="G227" s="19">
        <f>IFERROR(__xludf.DUMMYFUNCTION("""COMPUTED_VALUE"""),1.7333333333333332)</f>
        <v>1.733333333</v>
      </c>
      <c r="H227" s="17">
        <f>IFERROR(__xludf.DUMMYFUNCTION("""COMPUTED_VALUE"""),44147.0)</f>
        <v>44147</v>
      </c>
      <c r="I227" s="19">
        <f>IFERROR(__xludf.DUMMYFUNCTION("""COMPUTED_VALUE"""),0.0)</f>
        <v>0</v>
      </c>
      <c r="J227" s="21">
        <f>IFERROR(__xludf.DUMMYFUNCTION("""COMPUTED_VALUE"""),74.0)</f>
        <v>74</v>
      </c>
      <c r="K227" s="23">
        <f>IFERROR(__xludf.DUMMYFUNCTION("""COMPUTED_VALUE"""),7.7)</f>
        <v>7.7</v>
      </c>
      <c r="L227" s="24">
        <f>IFERROR(__xludf.DUMMYFUNCTION("""COMPUTED_VALUE"""),5.0)</f>
        <v>5</v>
      </c>
      <c r="M227" s="25" t="str">
        <f>IFERROR(__xludf.DUMMYFUNCTION("""COMPUTED_VALUE"""),"Action-Adventure")</f>
        <v>Action-Adventure</v>
      </c>
      <c r="N227" s="25"/>
      <c r="O227" s="26" t="str">
        <f>IFERROR(__xludf.DUMMYFUNCTION("""COMPUTED_VALUE"""),"No")</f>
        <v>No</v>
      </c>
      <c r="P227" s="26"/>
    </row>
    <row r="228" hidden="1">
      <c r="A228" s="13" t="str">
        <f>IFERROR(__xludf.DUMMYFUNCTION("""COMPUTED_VALUE"""),"Hollow Knight: Voidheart Edition")</f>
        <v>Hollow Knight: Voidheart Edition</v>
      </c>
      <c r="B228" s="15" t="str">
        <f>IFERROR(__xludf.DUMMYFUNCTION("""COMPUTED_VALUE"""),"PS4")</f>
        <v>PS4</v>
      </c>
      <c r="C228" s="16" t="str">
        <f>IFERROR(__xludf.DUMMYFUNCTION("""COMPUTED_VALUE"""),"Playstation Plus (Discontinued)")</f>
        <v>Playstation Plus (Discontinued)</v>
      </c>
      <c r="D228" s="15" t="str">
        <f>IFERROR(__xludf.DUMMYFUNCTION("""COMPUTED_VALUE"""),"Removed")</f>
        <v>Removed</v>
      </c>
      <c r="E228" s="17">
        <f>IFERROR(__xludf.DUMMYFUNCTION("""COMPUTED_VALUE"""),44138.0)</f>
        <v>44138</v>
      </c>
      <c r="F228" s="54">
        <f>IFERROR(__xludf.DUMMYFUNCTION("""COMPUTED_VALUE"""),44146.0)</f>
        <v>44146</v>
      </c>
      <c r="G228" s="19">
        <f>IFERROR(__xludf.DUMMYFUNCTION("""COMPUTED_VALUE"""),0.26666666666666666)</f>
        <v>0.2666666667</v>
      </c>
      <c r="H228" s="17">
        <f>IFERROR(__xludf.DUMMYFUNCTION("""COMPUTED_VALUE"""),43368.0)</f>
        <v>43368</v>
      </c>
      <c r="I228" s="19">
        <f>IFERROR(__xludf.DUMMYFUNCTION("""COMPUTED_VALUE"""),2.1055555555555556)</f>
        <v>2.105555556</v>
      </c>
      <c r="J228" s="21">
        <f>IFERROR(__xludf.DUMMYFUNCTION("""COMPUTED_VALUE"""),85.0)</f>
        <v>85</v>
      </c>
      <c r="K228" s="23">
        <f>IFERROR(__xludf.DUMMYFUNCTION("""COMPUTED_VALUE"""),8.5)</f>
        <v>8.5</v>
      </c>
      <c r="L228" s="24">
        <f>IFERROR(__xludf.DUMMYFUNCTION("""COMPUTED_VALUE"""),27.0)</f>
        <v>27</v>
      </c>
      <c r="M228" s="25" t="str">
        <f>IFERROR(__xludf.DUMMYFUNCTION("""COMPUTED_VALUE"""),"Platformer")</f>
        <v>Platformer</v>
      </c>
      <c r="N228" s="25"/>
      <c r="O228" s="26" t="str">
        <f>IFERROR(__xludf.DUMMYFUNCTION("""COMPUTED_VALUE"""),"No")</f>
        <v>No</v>
      </c>
      <c r="P228" s="26"/>
    </row>
    <row r="229" hidden="1">
      <c r="A229" s="13" t="str">
        <f>IFERROR(__xludf.DUMMYFUNCTION("""COMPUTED_VALUE"""),"Middle-Earth: Shadow of War")</f>
        <v>Middle-Earth: Shadow of War</v>
      </c>
      <c r="B229" s="15" t="str">
        <f>IFERROR(__xludf.DUMMYFUNCTION("""COMPUTED_VALUE"""),"PS4")</f>
        <v>PS4</v>
      </c>
      <c r="C229" s="16" t="str">
        <f>IFERROR(__xludf.DUMMYFUNCTION("""COMPUTED_VALUE"""),"Playstation Plus (Discontinued)")</f>
        <v>Playstation Plus (Discontinued)</v>
      </c>
      <c r="D229" s="15" t="str">
        <f>IFERROR(__xludf.DUMMYFUNCTION("""COMPUTED_VALUE"""),"Removed")</f>
        <v>Removed</v>
      </c>
      <c r="E229" s="17">
        <f>IFERROR(__xludf.DUMMYFUNCTION("""COMPUTED_VALUE"""),44138.0)</f>
        <v>44138</v>
      </c>
      <c r="F229" s="54">
        <f>IFERROR(__xludf.DUMMYFUNCTION("""COMPUTED_VALUE"""),44146.0)</f>
        <v>44146</v>
      </c>
      <c r="G229" s="19">
        <f>IFERROR(__xludf.DUMMYFUNCTION("""COMPUTED_VALUE"""),0.26666666666666666)</f>
        <v>0.2666666667</v>
      </c>
      <c r="H229" s="17">
        <f>IFERROR(__xludf.DUMMYFUNCTION("""COMPUTED_VALUE"""),43018.0)</f>
        <v>43018</v>
      </c>
      <c r="I229" s="19">
        <f>IFERROR(__xludf.DUMMYFUNCTION("""COMPUTED_VALUE"""),3.063888888888889)</f>
        <v>3.063888889</v>
      </c>
      <c r="J229" s="21">
        <f>IFERROR(__xludf.DUMMYFUNCTION("""COMPUTED_VALUE"""),80.0)</f>
        <v>80</v>
      </c>
      <c r="K229" s="23">
        <f>IFERROR(__xludf.DUMMYFUNCTION("""COMPUTED_VALUE"""),7.3)</f>
        <v>7.3</v>
      </c>
      <c r="L229" s="24">
        <f>IFERROR(__xludf.DUMMYFUNCTION("""COMPUTED_VALUE"""),20.0)</f>
        <v>20</v>
      </c>
      <c r="M229" s="25" t="str">
        <f>IFERROR(__xludf.DUMMYFUNCTION("""COMPUTED_VALUE"""),"Action-Adventure")</f>
        <v>Action-Adventure</v>
      </c>
      <c r="N229" s="25"/>
      <c r="O229" s="26" t="str">
        <f>IFERROR(__xludf.DUMMYFUNCTION("""COMPUTED_VALUE"""),"No")</f>
        <v>No</v>
      </c>
      <c r="P229" s="26"/>
    </row>
    <row r="230" hidden="1">
      <c r="A230" s="13" t="str">
        <f>IFERROR(__xludf.DUMMYFUNCTION("""COMPUTED_VALUE"""),"Need for Speed Payback")</f>
        <v>Need for Speed Payback</v>
      </c>
      <c r="B230" s="15" t="str">
        <f>IFERROR(__xludf.DUMMYFUNCTION("""COMPUTED_VALUE"""),"PS4")</f>
        <v>PS4</v>
      </c>
      <c r="C230" s="16" t="str">
        <f>IFERROR(__xludf.DUMMYFUNCTION("""COMPUTED_VALUE"""),"Playstation Plus (Discontinued)")</f>
        <v>Playstation Plus (Discontinued)</v>
      </c>
      <c r="D230" s="15" t="str">
        <f>IFERROR(__xludf.DUMMYFUNCTION("""COMPUTED_VALUE"""),"Removed")</f>
        <v>Removed</v>
      </c>
      <c r="E230" s="17">
        <f>IFERROR(__xludf.DUMMYFUNCTION("""COMPUTED_VALUE"""),44110.0)</f>
        <v>44110</v>
      </c>
      <c r="F230" s="54">
        <f>IFERROR(__xludf.DUMMYFUNCTION("""COMPUTED_VALUE"""),44137.0)</f>
        <v>44137</v>
      </c>
      <c r="G230" s="19">
        <f>IFERROR(__xludf.DUMMYFUNCTION("""COMPUTED_VALUE"""),0.8666666666666666)</f>
        <v>0.8666666667</v>
      </c>
      <c r="H230" s="17">
        <f>IFERROR(__xludf.DUMMYFUNCTION("""COMPUTED_VALUE"""),43049.0)</f>
        <v>43049</v>
      </c>
      <c r="I230" s="19">
        <f>IFERROR(__xludf.DUMMYFUNCTION("""COMPUTED_VALUE"""),2.9055555555555554)</f>
        <v>2.905555556</v>
      </c>
      <c r="J230" s="21">
        <f>IFERROR(__xludf.DUMMYFUNCTION("""COMPUTED_VALUE"""),61.0)</f>
        <v>61</v>
      </c>
      <c r="K230" s="23">
        <f>IFERROR(__xludf.DUMMYFUNCTION("""COMPUTED_VALUE"""),4.8)</f>
        <v>4.8</v>
      </c>
      <c r="L230" s="24">
        <f>IFERROR(__xludf.DUMMYFUNCTION("""COMPUTED_VALUE"""),18.0)</f>
        <v>18</v>
      </c>
      <c r="M230" s="25" t="str">
        <f>IFERROR(__xludf.DUMMYFUNCTION("""COMPUTED_VALUE"""),"Racing")</f>
        <v>Racing</v>
      </c>
      <c r="N230" s="25"/>
      <c r="O230" s="26" t="str">
        <f>IFERROR(__xludf.DUMMYFUNCTION("""COMPUTED_VALUE"""),"No")</f>
        <v>No</v>
      </c>
      <c r="P230" s="26"/>
    </row>
    <row r="231" hidden="1">
      <c r="A231" s="13" t="str">
        <f>IFERROR(__xludf.DUMMYFUNCTION("""COMPUTED_VALUE"""),"Vampyr")</f>
        <v>Vampyr</v>
      </c>
      <c r="B231" s="15" t="str">
        <f>IFERROR(__xludf.DUMMYFUNCTION("""COMPUTED_VALUE"""),"PS4")</f>
        <v>PS4</v>
      </c>
      <c r="C231" s="16" t="str">
        <f>IFERROR(__xludf.DUMMYFUNCTION("""COMPUTED_VALUE"""),"Playstation Plus (Discontinued)")</f>
        <v>Playstation Plus (Discontinued)</v>
      </c>
      <c r="D231" s="15" t="str">
        <f>IFERROR(__xludf.DUMMYFUNCTION("""COMPUTED_VALUE"""),"Removed")</f>
        <v>Removed</v>
      </c>
      <c r="E231" s="17">
        <f>IFERROR(__xludf.DUMMYFUNCTION("""COMPUTED_VALUE"""),44110.0)</f>
        <v>44110</v>
      </c>
      <c r="F231" s="54">
        <f>IFERROR(__xludf.DUMMYFUNCTION("""COMPUTED_VALUE"""),44137.0)</f>
        <v>44137</v>
      </c>
      <c r="G231" s="19">
        <f>IFERROR(__xludf.DUMMYFUNCTION("""COMPUTED_VALUE"""),0.8666666666666666)</f>
        <v>0.8666666667</v>
      </c>
      <c r="H231" s="17">
        <f>IFERROR(__xludf.DUMMYFUNCTION("""COMPUTED_VALUE"""),43256.0)</f>
        <v>43256</v>
      </c>
      <c r="I231" s="19">
        <f>IFERROR(__xludf.DUMMYFUNCTION("""COMPUTED_VALUE"""),2.3361111111111112)</f>
        <v>2.336111111</v>
      </c>
      <c r="J231" s="21">
        <f>IFERROR(__xludf.DUMMYFUNCTION("""COMPUTED_VALUE"""),70.0)</f>
        <v>70</v>
      </c>
      <c r="K231" s="23">
        <f>IFERROR(__xludf.DUMMYFUNCTION("""COMPUTED_VALUE"""),7.2)</f>
        <v>7.2</v>
      </c>
      <c r="L231" s="24">
        <f>IFERROR(__xludf.DUMMYFUNCTION("""COMPUTED_VALUE"""),16.0)</f>
        <v>16</v>
      </c>
      <c r="M231" s="25" t="str">
        <f>IFERROR(__xludf.DUMMYFUNCTION("""COMPUTED_VALUE"""),"RPG")</f>
        <v>RPG</v>
      </c>
      <c r="N231" s="25"/>
      <c r="O231" s="26" t="str">
        <f>IFERROR(__xludf.DUMMYFUNCTION("""COMPUTED_VALUE"""),"No")</f>
        <v>No</v>
      </c>
      <c r="P231" s="26"/>
    </row>
    <row r="232" hidden="1">
      <c r="A232" s="13" t="str">
        <f>IFERROR(__xludf.DUMMYFUNCTION("""COMPUTED_VALUE"""),"PlayerUnknown's Battlegrounds")</f>
        <v>PlayerUnknown's Battlegrounds</v>
      </c>
      <c r="B232" s="15" t="str">
        <f>IFERROR(__xludf.DUMMYFUNCTION("""COMPUTED_VALUE"""),"PS4")</f>
        <v>PS4</v>
      </c>
      <c r="C232" s="16" t="str">
        <f>IFERROR(__xludf.DUMMYFUNCTION("""COMPUTED_VALUE"""),"Playstation Plus (Discontinued)")</f>
        <v>Playstation Plus (Discontinued)</v>
      </c>
      <c r="D232" s="15" t="str">
        <f>IFERROR(__xludf.DUMMYFUNCTION("""COMPUTED_VALUE"""),"Removed")</f>
        <v>Removed</v>
      </c>
      <c r="E232" s="17">
        <f>IFERROR(__xludf.DUMMYFUNCTION("""COMPUTED_VALUE"""),44075.0)</f>
        <v>44075</v>
      </c>
      <c r="F232" s="54">
        <f>IFERROR(__xludf.DUMMYFUNCTION("""COMPUTED_VALUE"""),44109.0)</f>
        <v>44109</v>
      </c>
      <c r="G232" s="19">
        <f>IFERROR(__xludf.DUMMYFUNCTION("""COMPUTED_VALUE"""),1.1333333333333333)</f>
        <v>1.133333333</v>
      </c>
      <c r="H232" s="17">
        <f>IFERROR(__xludf.DUMMYFUNCTION("""COMPUTED_VALUE"""),43076.0)</f>
        <v>43076</v>
      </c>
      <c r="I232" s="19">
        <f>IFERROR(__xludf.DUMMYFUNCTION("""COMPUTED_VALUE"""),2.7333333333333334)</f>
        <v>2.733333333</v>
      </c>
      <c r="J232" s="21">
        <f>IFERROR(__xludf.DUMMYFUNCTION("""COMPUTED_VALUE"""),72.0)</f>
        <v>72</v>
      </c>
      <c r="K232" s="23">
        <f>IFERROR(__xludf.DUMMYFUNCTION("""COMPUTED_VALUE"""),5.9)</f>
        <v>5.9</v>
      </c>
      <c r="L232" s="24"/>
      <c r="M232" s="25" t="str">
        <f>IFERROR(__xludf.DUMMYFUNCTION("""COMPUTED_VALUE"""),"Shooter")</f>
        <v>Shooter</v>
      </c>
      <c r="N232" s="25"/>
      <c r="O232" s="26" t="str">
        <f>IFERROR(__xludf.DUMMYFUNCTION("""COMPUTED_VALUE"""),"No")</f>
        <v>No</v>
      </c>
      <c r="P232" s="26"/>
    </row>
    <row r="233" hidden="1">
      <c r="A233" s="13" t="str">
        <f>IFERROR(__xludf.DUMMYFUNCTION("""COMPUTED_VALUE"""),"Street Fighter V")</f>
        <v>Street Fighter V</v>
      </c>
      <c r="B233" s="15" t="str">
        <f>IFERROR(__xludf.DUMMYFUNCTION("""COMPUTED_VALUE"""),"PS4")</f>
        <v>PS4</v>
      </c>
      <c r="C233" s="16" t="str">
        <f>IFERROR(__xludf.DUMMYFUNCTION("""COMPUTED_VALUE"""),"Playstation Plus (Discontinued)")</f>
        <v>Playstation Plus (Discontinued)</v>
      </c>
      <c r="D233" s="15" t="str">
        <f>IFERROR(__xludf.DUMMYFUNCTION("""COMPUTED_VALUE"""),"Removed")</f>
        <v>Removed</v>
      </c>
      <c r="E233" s="17">
        <f>IFERROR(__xludf.DUMMYFUNCTION("""COMPUTED_VALUE"""),44075.0)</f>
        <v>44075</v>
      </c>
      <c r="F233" s="54">
        <f>IFERROR(__xludf.DUMMYFUNCTION("""COMPUTED_VALUE"""),44109.0)</f>
        <v>44109</v>
      </c>
      <c r="G233" s="19">
        <f>IFERROR(__xludf.DUMMYFUNCTION("""COMPUTED_VALUE"""),1.1333333333333333)</f>
        <v>1.133333333</v>
      </c>
      <c r="H233" s="17">
        <f>IFERROR(__xludf.DUMMYFUNCTION("""COMPUTED_VALUE"""),42416.0)</f>
        <v>42416</v>
      </c>
      <c r="I233" s="19">
        <f>IFERROR(__xludf.DUMMYFUNCTION("""COMPUTED_VALUE"""),4.541666666666667)</f>
        <v>4.541666667</v>
      </c>
      <c r="J233" s="21">
        <f>IFERROR(__xludf.DUMMYFUNCTION("""COMPUTED_VALUE"""),87.0)</f>
        <v>87</v>
      </c>
      <c r="K233" s="23">
        <f>IFERROR(__xludf.DUMMYFUNCTION("""COMPUTED_VALUE"""),6.8)</f>
        <v>6.8</v>
      </c>
      <c r="L233" s="24">
        <f>IFERROR(__xludf.DUMMYFUNCTION("""COMPUTED_VALUE"""),4.0)</f>
        <v>4</v>
      </c>
      <c r="M233" s="25" t="str">
        <f>IFERROR(__xludf.DUMMYFUNCTION("""COMPUTED_VALUE"""),"Fighting")</f>
        <v>Fighting</v>
      </c>
      <c r="N233" s="25"/>
      <c r="O233" s="26" t="str">
        <f>IFERROR(__xludf.DUMMYFUNCTION("""COMPUTED_VALUE"""),"No")</f>
        <v>No</v>
      </c>
      <c r="P233" s="26"/>
    </row>
    <row r="234" hidden="1">
      <c r="A234" s="13" t="str">
        <f>IFERROR(__xludf.DUMMYFUNCTION("""COMPUTED_VALUE"""),"Fall Guys")</f>
        <v>Fall Guys</v>
      </c>
      <c r="B234" s="15" t="str">
        <f>IFERROR(__xludf.DUMMYFUNCTION("""COMPUTED_VALUE"""),"PS4")</f>
        <v>PS4</v>
      </c>
      <c r="C234" s="16" t="str">
        <f>IFERROR(__xludf.DUMMYFUNCTION("""COMPUTED_VALUE"""),"Playstation Plus (Discontinued)")</f>
        <v>Playstation Plus (Discontinued)</v>
      </c>
      <c r="D234" s="15" t="str">
        <f>IFERROR(__xludf.DUMMYFUNCTION("""COMPUTED_VALUE"""),"Removed")</f>
        <v>Removed</v>
      </c>
      <c r="E234" s="17">
        <f>IFERROR(__xludf.DUMMYFUNCTION("""COMPUTED_VALUE"""),44047.0)</f>
        <v>44047</v>
      </c>
      <c r="F234" s="54">
        <f>IFERROR(__xludf.DUMMYFUNCTION("""COMPUTED_VALUE"""),44074.0)</f>
        <v>44074</v>
      </c>
      <c r="G234" s="19">
        <f>IFERROR(__xludf.DUMMYFUNCTION("""COMPUTED_VALUE"""),0.8666666666666666)</f>
        <v>0.8666666667</v>
      </c>
      <c r="H234" s="17">
        <f>IFERROR(__xludf.DUMMYFUNCTION("""COMPUTED_VALUE"""),44047.0)</f>
        <v>44047</v>
      </c>
      <c r="I234" s="19">
        <f>IFERROR(__xludf.DUMMYFUNCTION("""COMPUTED_VALUE"""),0.0)</f>
        <v>0</v>
      </c>
      <c r="J234" s="21">
        <f>IFERROR(__xludf.DUMMYFUNCTION("""COMPUTED_VALUE"""),79.0)</f>
        <v>79</v>
      </c>
      <c r="K234" s="23">
        <f>IFERROR(__xludf.DUMMYFUNCTION("""COMPUTED_VALUE"""),6.8)</f>
        <v>6.8</v>
      </c>
      <c r="L234" s="24"/>
      <c r="M234" s="25" t="str">
        <f>IFERROR(__xludf.DUMMYFUNCTION("""COMPUTED_VALUE"""),"Party")</f>
        <v>Party</v>
      </c>
      <c r="N234" s="25"/>
      <c r="O234" s="26" t="str">
        <f>IFERROR(__xludf.DUMMYFUNCTION("""COMPUTED_VALUE"""),"No")</f>
        <v>No</v>
      </c>
      <c r="P234" s="26"/>
    </row>
    <row r="235" hidden="1">
      <c r="A235" s="13" t="str">
        <f>IFERROR(__xludf.DUMMYFUNCTION("""COMPUTED_VALUE"""),"Call of Duty: Modern Warfare 2 Campaign Remastered")</f>
        <v>Call of Duty: Modern Warfare 2 Campaign Remastered</v>
      </c>
      <c r="B235" s="15" t="str">
        <f>IFERROR(__xludf.DUMMYFUNCTION("""COMPUTED_VALUE"""),"PS4")</f>
        <v>PS4</v>
      </c>
      <c r="C235" s="16" t="str">
        <f>IFERROR(__xludf.DUMMYFUNCTION("""COMPUTED_VALUE"""),"Playstation Plus (Discontinued)")</f>
        <v>Playstation Plus (Discontinued)</v>
      </c>
      <c r="D235" s="15" t="str">
        <f>IFERROR(__xludf.DUMMYFUNCTION("""COMPUTED_VALUE"""),"Removed")</f>
        <v>Removed</v>
      </c>
      <c r="E235" s="17">
        <f>IFERROR(__xludf.DUMMYFUNCTION("""COMPUTED_VALUE"""),44040.0)</f>
        <v>44040</v>
      </c>
      <c r="F235" s="54">
        <f>IFERROR(__xludf.DUMMYFUNCTION("""COMPUTED_VALUE"""),44046.0)</f>
        <v>44046</v>
      </c>
      <c r="G235" s="19">
        <f>IFERROR(__xludf.DUMMYFUNCTION("""COMPUTED_VALUE"""),0.16666666666666666)</f>
        <v>0.1666666667</v>
      </c>
      <c r="H235" s="17">
        <f>IFERROR(__xludf.DUMMYFUNCTION("""COMPUTED_VALUE"""),43921.0)</f>
        <v>43921</v>
      </c>
      <c r="I235" s="19">
        <f>IFERROR(__xludf.DUMMYFUNCTION("""COMPUTED_VALUE"""),0.3277777777777778)</f>
        <v>0.3277777778</v>
      </c>
      <c r="J235" s="21">
        <f>IFERROR(__xludf.DUMMYFUNCTION("""COMPUTED_VALUE"""),71.0)</f>
        <v>71</v>
      </c>
      <c r="K235" s="23">
        <f>IFERROR(__xludf.DUMMYFUNCTION("""COMPUTED_VALUE"""),7.7)</f>
        <v>7.7</v>
      </c>
      <c r="L235" s="24">
        <f>IFERROR(__xludf.DUMMYFUNCTION("""COMPUTED_VALUE"""),6.0)</f>
        <v>6</v>
      </c>
      <c r="M235" s="25" t="str">
        <f>IFERROR(__xludf.DUMMYFUNCTION("""COMPUTED_VALUE"""),"Shooter")</f>
        <v>Shooter</v>
      </c>
      <c r="N235" s="25"/>
      <c r="O235" s="26" t="str">
        <f>IFERROR(__xludf.DUMMYFUNCTION("""COMPUTED_VALUE"""),"No")</f>
        <v>No</v>
      </c>
      <c r="P235" s="26"/>
    </row>
    <row r="236" hidden="1">
      <c r="A236" s="13" t="str">
        <f>IFERROR(__xludf.DUMMYFUNCTION("""COMPUTED_VALUE"""),"NBA 2K20")</f>
        <v>NBA 2K20</v>
      </c>
      <c r="B236" s="15" t="str">
        <f>IFERROR(__xludf.DUMMYFUNCTION("""COMPUTED_VALUE"""),"PS4")</f>
        <v>PS4</v>
      </c>
      <c r="C236" s="16" t="str">
        <f>IFERROR(__xludf.DUMMYFUNCTION("""COMPUTED_VALUE"""),"Playstation Plus (Discontinued)")</f>
        <v>Playstation Plus (Discontinued)</v>
      </c>
      <c r="D236" s="15" t="str">
        <f>IFERROR(__xludf.DUMMYFUNCTION("""COMPUTED_VALUE"""),"Removed")</f>
        <v>Removed</v>
      </c>
      <c r="E236" s="17">
        <f>IFERROR(__xludf.DUMMYFUNCTION("""COMPUTED_VALUE"""),44019.0)</f>
        <v>44019</v>
      </c>
      <c r="F236" s="54">
        <f>IFERROR(__xludf.DUMMYFUNCTION("""COMPUTED_VALUE"""),44039.0)</f>
        <v>44039</v>
      </c>
      <c r="G236" s="19">
        <f>IFERROR(__xludf.DUMMYFUNCTION("""COMPUTED_VALUE"""),0.6666666666666666)</f>
        <v>0.6666666667</v>
      </c>
      <c r="H236" s="17">
        <f>IFERROR(__xludf.DUMMYFUNCTION("""COMPUTED_VALUE"""),43714.0)</f>
        <v>43714</v>
      </c>
      <c r="I236" s="19">
        <f>IFERROR(__xludf.DUMMYFUNCTION("""COMPUTED_VALUE"""),0.8361111111111111)</f>
        <v>0.8361111111</v>
      </c>
      <c r="J236" s="21">
        <f>IFERROR(__xludf.DUMMYFUNCTION("""COMPUTED_VALUE"""),78.0)</f>
        <v>78</v>
      </c>
      <c r="K236" s="23">
        <f>IFERROR(__xludf.DUMMYFUNCTION("""COMPUTED_VALUE"""),3.8)</f>
        <v>3.8</v>
      </c>
      <c r="L236" s="24"/>
      <c r="M236" s="25" t="str">
        <f>IFERROR(__xludf.DUMMYFUNCTION("""COMPUTED_VALUE"""),"Sports")</f>
        <v>Sports</v>
      </c>
      <c r="N236" s="25"/>
      <c r="O236" s="26" t="str">
        <f>IFERROR(__xludf.DUMMYFUNCTION("""COMPUTED_VALUE"""),"No")</f>
        <v>No</v>
      </c>
      <c r="P236" s="26"/>
    </row>
    <row r="237" hidden="1">
      <c r="A237" s="13" t="str">
        <f>IFERROR(__xludf.DUMMYFUNCTION("""COMPUTED_VALUE"""),"Rise of the Tomb Raider: 20 Year Celebration")</f>
        <v>Rise of the Tomb Raider: 20 Year Celebration</v>
      </c>
      <c r="B237" s="15" t="str">
        <f>IFERROR(__xludf.DUMMYFUNCTION("""COMPUTED_VALUE"""),"PS4")</f>
        <v>PS4</v>
      </c>
      <c r="C237" s="16" t="str">
        <f>IFERROR(__xludf.DUMMYFUNCTION("""COMPUTED_VALUE"""),"Playstation Plus (Discontinued)")</f>
        <v>Playstation Plus (Discontinued)</v>
      </c>
      <c r="D237" s="15" t="str">
        <f>IFERROR(__xludf.DUMMYFUNCTION("""COMPUTED_VALUE"""),"Removed")</f>
        <v>Removed</v>
      </c>
      <c r="E237" s="17">
        <f>IFERROR(__xludf.DUMMYFUNCTION("""COMPUTED_VALUE"""),44019.0)</f>
        <v>44019</v>
      </c>
      <c r="F237" s="54">
        <f>IFERROR(__xludf.DUMMYFUNCTION("""COMPUTED_VALUE"""),44039.0)</f>
        <v>44039</v>
      </c>
      <c r="G237" s="19">
        <f>IFERROR(__xludf.DUMMYFUNCTION("""COMPUTED_VALUE"""),0.6666666666666666)</f>
        <v>0.6666666667</v>
      </c>
      <c r="H237" s="17">
        <f>IFERROR(__xludf.DUMMYFUNCTION("""COMPUTED_VALUE"""),42654.0)</f>
        <v>42654</v>
      </c>
      <c r="I237" s="19">
        <f>IFERROR(__xludf.DUMMYFUNCTION("""COMPUTED_VALUE"""),3.738888888888889)</f>
        <v>3.738888889</v>
      </c>
      <c r="J237" s="21">
        <f>IFERROR(__xludf.DUMMYFUNCTION("""COMPUTED_VALUE"""),88.0)</f>
        <v>88</v>
      </c>
      <c r="K237" s="23">
        <f>IFERROR(__xludf.DUMMYFUNCTION("""COMPUTED_VALUE"""),8.1)</f>
        <v>8.1</v>
      </c>
      <c r="L237" s="24">
        <f>IFERROR(__xludf.DUMMYFUNCTION("""COMPUTED_VALUE"""),13.0)</f>
        <v>13</v>
      </c>
      <c r="M237" s="25" t="str">
        <f>IFERROR(__xludf.DUMMYFUNCTION("""COMPUTED_VALUE"""),"Action-Adventure")</f>
        <v>Action-Adventure</v>
      </c>
      <c r="N237" s="25"/>
      <c r="O237" s="26" t="str">
        <f>IFERROR(__xludf.DUMMYFUNCTION("""COMPUTED_VALUE"""),"No")</f>
        <v>No</v>
      </c>
      <c r="P237" s="26"/>
    </row>
    <row r="238" hidden="1">
      <c r="A238" s="13" t="str">
        <f>IFERROR(__xludf.DUMMYFUNCTION("""COMPUTED_VALUE"""),"Erica")</f>
        <v>Erica</v>
      </c>
      <c r="B238" s="15" t="str">
        <f>IFERROR(__xludf.DUMMYFUNCTION("""COMPUTED_VALUE"""),"PS4")</f>
        <v>PS4</v>
      </c>
      <c r="C238" s="16" t="str">
        <f>IFERROR(__xludf.DUMMYFUNCTION("""COMPUTED_VALUE"""),"Playstation Plus (Discontinued)")</f>
        <v>Playstation Plus (Discontinued)</v>
      </c>
      <c r="D238" s="15" t="str">
        <f>IFERROR(__xludf.DUMMYFUNCTION("""COMPUTED_VALUE"""),"Removed")</f>
        <v>Removed</v>
      </c>
      <c r="E238" s="17">
        <f>IFERROR(__xludf.DUMMYFUNCTION("""COMPUTED_VALUE"""),44019.0)</f>
        <v>44019</v>
      </c>
      <c r="F238" s="54">
        <f>IFERROR(__xludf.DUMMYFUNCTION("""COMPUTED_VALUE"""),44039.0)</f>
        <v>44039</v>
      </c>
      <c r="G238" s="19">
        <f>IFERROR(__xludf.DUMMYFUNCTION("""COMPUTED_VALUE"""),0.6666666666666666)</f>
        <v>0.6666666667</v>
      </c>
      <c r="H238" s="17">
        <f>IFERROR(__xludf.DUMMYFUNCTION("""COMPUTED_VALUE"""),43696.0)</f>
        <v>43696</v>
      </c>
      <c r="I238" s="19">
        <f>IFERROR(__xludf.DUMMYFUNCTION("""COMPUTED_VALUE"""),0.8833333333333333)</f>
        <v>0.8833333333</v>
      </c>
      <c r="J238" s="21">
        <f>IFERROR(__xludf.DUMMYFUNCTION("""COMPUTED_VALUE"""),69.0)</f>
        <v>69</v>
      </c>
      <c r="K238" s="23">
        <f>IFERROR(__xludf.DUMMYFUNCTION("""COMPUTED_VALUE"""),7.1)</f>
        <v>7.1</v>
      </c>
      <c r="L238" s="24">
        <f>IFERROR(__xludf.DUMMYFUNCTION("""COMPUTED_VALUE"""),2.0)</f>
        <v>2</v>
      </c>
      <c r="M238" s="25" t="str">
        <f>IFERROR(__xludf.DUMMYFUNCTION("""COMPUTED_VALUE"""),"Adventure")</f>
        <v>Adventure</v>
      </c>
      <c r="N238" s="25"/>
      <c r="O238" s="26" t="str">
        <f>IFERROR(__xludf.DUMMYFUNCTION("""COMPUTED_VALUE"""),"No")</f>
        <v>No</v>
      </c>
      <c r="P238" s="26"/>
    </row>
    <row r="239">
      <c r="A239" s="13" t="str">
        <f>IFERROR(__xludf.DUMMYFUNCTION("""COMPUTED_VALUE"""),"Star Wars Battlefront II")</f>
        <v>Star Wars Battlefront II</v>
      </c>
      <c r="B239" s="15" t="str">
        <f>IFERROR(__xludf.DUMMYFUNCTION("""COMPUTED_VALUE"""),"PS4")</f>
        <v>PS4</v>
      </c>
      <c r="C239" s="16" t="str">
        <f>IFERROR(__xludf.DUMMYFUNCTION("""COMPUTED_VALUE"""),"Playstation Plus (Discontinued)")</f>
        <v>Playstation Plus (Discontinued)</v>
      </c>
      <c r="D239" s="15" t="str">
        <f>IFERROR(__xludf.DUMMYFUNCTION("""COMPUTED_VALUE"""),"Removed")</f>
        <v>Removed</v>
      </c>
      <c r="E239" s="17">
        <f>IFERROR(__xludf.DUMMYFUNCTION("""COMPUTED_VALUE"""),43984.0)</f>
        <v>43984</v>
      </c>
      <c r="F239" s="54">
        <f>IFERROR(__xludf.DUMMYFUNCTION("""COMPUTED_VALUE"""),44018.0)</f>
        <v>44018</v>
      </c>
      <c r="G239" s="19">
        <f>IFERROR(__xludf.DUMMYFUNCTION("""COMPUTED_VALUE"""),1.1333333333333333)</f>
        <v>1.133333333</v>
      </c>
      <c r="H239" s="17">
        <f>IFERROR(__xludf.DUMMYFUNCTION("""COMPUTED_VALUE"""),43056.0)</f>
        <v>43056</v>
      </c>
      <c r="I239" s="19">
        <f>IFERROR(__xludf.DUMMYFUNCTION("""COMPUTED_VALUE"""),2.5416666666666665)</f>
        <v>2.541666667</v>
      </c>
      <c r="J239" s="21">
        <f>IFERROR(__xludf.DUMMYFUNCTION("""COMPUTED_VALUE"""),68.0)</f>
        <v>68</v>
      </c>
      <c r="K239" s="23">
        <f>IFERROR(__xludf.DUMMYFUNCTION("""COMPUTED_VALUE"""),3.6)</f>
        <v>3.6</v>
      </c>
      <c r="L239" s="24">
        <f>IFERROR(__xludf.DUMMYFUNCTION("""COMPUTED_VALUE"""),7.0)</f>
        <v>7</v>
      </c>
      <c r="M239" s="25" t="str">
        <f>IFERROR(__xludf.DUMMYFUNCTION("""COMPUTED_VALUE"""),"Shooter")</f>
        <v>Shooter</v>
      </c>
      <c r="N239" s="25"/>
      <c r="O239" s="26" t="str">
        <f>IFERROR(__xludf.DUMMYFUNCTION("""COMPUTED_VALUE"""),"No")</f>
        <v>No</v>
      </c>
      <c r="P239" s="26"/>
    </row>
    <row r="240">
      <c r="A240" s="13" t="str">
        <f>IFERROR(__xludf.DUMMYFUNCTION("""COMPUTED_VALUE"""),"Call of Duty: WWII")</f>
        <v>Call of Duty: WWII</v>
      </c>
      <c r="B240" s="15" t="str">
        <f>IFERROR(__xludf.DUMMYFUNCTION("""COMPUTED_VALUE"""),"PS4")</f>
        <v>PS4</v>
      </c>
      <c r="C240" s="16" t="str">
        <f>IFERROR(__xludf.DUMMYFUNCTION("""COMPUTED_VALUE"""),"Playstation Plus (Discontinued)")</f>
        <v>Playstation Plus (Discontinued)</v>
      </c>
      <c r="D240" s="15" t="str">
        <f>IFERROR(__xludf.DUMMYFUNCTION("""COMPUTED_VALUE"""),"Removed")</f>
        <v>Removed</v>
      </c>
      <c r="E240" s="17">
        <f>IFERROR(__xludf.DUMMYFUNCTION("""COMPUTED_VALUE"""),43977.0)</f>
        <v>43977</v>
      </c>
      <c r="F240" s="54">
        <f>IFERROR(__xludf.DUMMYFUNCTION("""COMPUTED_VALUE"""),43983.0)</f>
        <v>43983</v>
      </c>
      <c r="G240" s="19">
        <f>IFERROR(__xludf.DUMMYFUNCTION("""COMPUTED_VALUE"""),0.16666666666666666)</f>
        <v>0.1666666667</v>
      </c>
      <c r="H240" s="17">
        <f>IFERROR(__xludf.DUMMYFUNCTION("""COMPUTED_VALUE"""),43042.0)</f>
        <v>43042</v>
      </c>
      <c r="I240" s="19">
        <f>IFERROR(__xludf.DUMMYFUNCTION("""COMPUTED_VALUE"""),2.563888888888889)</f>
        <v>2.563888889</v>
      </c>
      <c r="J240" s="21">
        <f>IFERROR(__xludf.DUMMYFUNCTION("""COMPUTED_VALUE"""),79.0)</f>
        <v>79</v>
      </c>
      <c r="K240" s="23">
        <f>IFERROR(__xludf.DUMMYFUNCTION("""COMPUTED_VALUE"""),5.8)</f>
        <v>5.8</v>
      </c>
      <c r="L240" s="24">
        <f>IFERROR(__xludf.DUMMYFUNCTION("""COMPUTED_VALUE"""),7.0)</f>
        <v>7</v>
      </c>
      <c r="M240" s="25" t="str">
        <f>IFERROR(__xludf.DUMMYFUNCTION("""COMPUTED_VALUE"""),"Shooter")</f>
        <v>Shooter</v>
      </c>
      <c r="N240" s="25"/>
      <c r="O240" s="26" t="str">
        <f>IFERROR(__xludf.DUMMYFUNCTION("""COMPUTED_VALUE"""),"No")</f>
        <v>No</v>
      </c>
      <c r="P240" s="26"/>
    </row>
    <row r="241">
      <c r="A241" s="13" t="str">
        <f>IFERROR(__xludf.DUMMYFUNCTION("""COMPUTED_VALUE"""),"Cities: Skylines")</f>
        <v>Cities: Skylines</v>
      </c>
      <c r="B241" s="15" t="str">
        <f>IFERROR(__xludf.DUMMYFUNCTION("""COMPUTED_VALUE"""),"PS4")</f>
        <v>PS4</v>
      </c>
      <c r="C241" s="16" t="str">
        <f>IFERROR(__xludf.DUMMYFUNCTION("""COMPUTED_VALUE"""),"Playstation Plus (Discontinued)")</f>
        <v>Playstation Plus (Discontinued)</v>
      </c>
      <c r="D241" s="15" t="str">
        <f>IFERROR(__xludf.DUMMYFUNCTION("""COMPUTED_VALUE"""),"Removed")</f>
        <v>Removed</v>
      </c>
      <c r="E241" s="17">
        <f>IFERROR(__xludf.DUMMYFUNCTION("""COMPUTED_VALUE"""),43956.0)</f>
        <v>43956</v>
      </c>
      <c r="F241" s="54">
        <f>IFERROR(__xludf.DUMMYFUNCTION("""COMPUTED_VALUE"""),43976.0)</f>
        <v>43976</v>
      </c>
      <c r="G241" s="19">
        <f>IFERROR(__xludf.DUMMYFUNCTION("""COMPUTED_VALUE"""),0.6666666666666666)</f>
        <v>0.6666666667</v>
      </c>
      <c r="H241" s="17">
        <f>IFERROR(__xludf.DUMMYFUNCTION("""COMPUTED_VALUE"""),42962.0)</f>
        <v>42962</v>
      </c>
      <c r="I241" s="19">
        <f>IFERROR(__xludf.DUMMYFUNCTION("""COMPUTED_VALUE"""),2.7222222222222223)</f>
        <v>2.722222222</v>
      </c>
      <c r="J241" s="21">
        <f>IFERROR(__xludf.DUMMYFUNCTION("""COMPUTED_VALUE"""),81.0)</f>
        <v>81</v>
      </c>
      <c r="K241" s="23">
        <f>IFERROR(__xludf.DUMMYFUNCTION("""COMPUTED_VALUE"""),7.7)</f>
        <v>7.7</v>
      </c>
      <c r="L241" s="24"/>
      <c r="M241" s="25" t="str">
        <f>IFERROR(__xludf.DUMMYFUNCTION("""COMPUTED_VALUE"""),"Simulation")</f>
        <v>Simulation</v>
      </c>
      <c r="N241" s="25"/>
      <c r="O241" s="26" t="str">
        <f>IFERROR(__xludf.DUMMYFUNCTION("""COMPUTED_VALUE"""),"No")</f>
        <v>No</v>
      </c>
      <c r="P241" s="26"/>
    </row>
    <row r="242" hidden="1">
      <c r="A242" s="13" t="str">
        <f>IFERROR(__xludf.DUMMYFUNCTION("""COMPUTED_VALUE"""),"Farming Simulator 19")</f>
        <v>Farming Simulator 19</v>
      </c>
      <c r="B242" s="15" t="str">
        <f>IFERROR(__xludf.DUMMYFUNCTION("""COMPUTED_VALUE"""),"PS4")</f>
        <v>PS4</v>
      </c>
      <c r="C242" s="16" t="str">
        <f>IFERROR(__xludf.DUMMYFUNCTION("""COMPUTED_VALUE"""),"Playstation Plus (Discontinued)")</f>
        <v>Playstation Plus (Discontinued)</v>
      </c>
      <c r="D242" s="15" t="str">
        <f>IFERROR(__xludf.DUMMYFUNCTION("""COMPUTED_VALUE"""),"Removed")</f>
        <v>Removed</v>
      </c>
      <c r="E242" s="17">
        <f>IFERROR(__xludf.DUMMYFUNCTION("""COMPUTED_VALUE"""),43956.0)</f>
        <v>43956</v>
      </c>
      <c r="F242" s="71">
        <f>IFERROR(__xludf.DUMMYFUNCTION("""COMPUTED_VALUE"""),43976.0)</f>
        <v>43976</v>
      </c>
      <c r="G242" s="19">
        <f>IFERROR(__xludf.DUMMYFUNCTION("""COMPUTED_VALUE"""),0.6666666666666666)</f>
        <v>0.6666666667</v>
      </c>
      <c r="H242" s="17">
        <f>IFERROR(__xludf.DUMMYFUNCTION("""COMPUTED_VALUE"""),43424.0)</f>
        <v>43424</v>
      </c>
      <c r="I242" s="19">
        <f>IFERROR(__xludf.DUMMYFUNCTION("""COMPUTED_VALUE"""),1.4583333333333333)</f>
        <v>1.458333333</v>
      </c>
      <c r="J242" s="21">
        <f>IFERROR(__xludf.DUMMYFUNCTION("""COMPUTED_VALUE"""),64.0)</f>
        <v>64</v>
      </c>
      <c r="K242" s="23">
        <f>IFERROR(__xludf.DUMMYFUNCTION("""COMPUTED_VALUE"""),6.8)</f>
        <v>6.8</v>
      </c>
      <c r="L242" s="24"/>
      <c r="M242" s="25" t="str">
        <f>IFERROR(__xludf.DUMMYFUNCTION("""COMPUTED_VALUE"""),"Farming")</f>
        <v>Farming</v>
      </c>
      <c r="N242" s="25"/>
      <c r="O242" s="26" t="str">
        <f>IFERROR(__xludf.DUMMYFUNCTION("""COMPUTED_VALUE"""),"No")</f>
        <v>No</v>
      </c>
      <c r="P242" s="26"/>
    </row>
    <row r="243" hidden="1">
      <c r="A243" s="13" t="str">
        <f>IFERROR(__xludf.DUMMYFUNCTION("""COMPUTED_VALUE"""),"Uncharted 4: A Thief’s End")</f>
        <v>Uncharted 4: A Thief’s End</v>
      </c>
      <c r="B243" s="15" t="str">
        <f>IFERROR(__xludf.DUMMYFUNCTION("""COMPUTED_VALUE"""),"PS4")</f>
        <v>PS4</v>
      </c>
      <c r="C243" s="16" t="str">
        <f>IFERROR(__xludf.DUMMYFUNCTION("""COMPUTED_VALUE"""),"Playstation Plus (Discontinued)")</f>
        <v>Playstation Plus (Discontinued)</v>
      </c>
      <c r="D243" s="15" t="str">
        <f>IFERROR(__xludf.DUMMYFUNCTION("""COMPUTED_VALUE"""),"Removed")</f>
        <v>Removed</v>
      </c>
      <c r="E243" s="17">
        <f>IFERROR(__xludf.DUMMYFUNCTION("""COMPUTED_VALUE"""),43928.0)</f>
        <v>43928</v>
      </c>
      <c r="F243" s="54">
        <f>IFERROR(__xludf.DUMMYFUNCTION("""COMPUTED_VALUE"""),43955.0)</f>
        <v>43955</v>
      </c>
      <c r="G243" s="19">
        <f>IFERROR(__xludf.DUMMYFUNCTION("""COMPUTED_VALUE"""),0.8999999999999999)</f>
        <v>0.9</v>
      </c>
      <c r="H243" s="17">
        <f>IFERROR(__xludf.DUMMYFUNCTION("""COMPUTED_VALUE"""),42500.0)</f>
        <v>42500</v>
      </c>
      <c r="I243" s="19">
        <f>IFERROR(__xludf.DUMMYFUNCTION("""COMPUTED_VALUE"""),3.908333333333333)</f>
        <v>3.908333333</v>
      </c>
      <c r="J243" s="21">
        <f>IFERROR(__xludf.DUMMYFUNCTION("""COMPUTED_VALUE"""),93.0)</f>
        <v>93</v>
      </c>
      <c r="K243" s="23">
        <f>IFERROR(__xludf.DUMMYFUNCTION("""COMPUTED_VALUE"""),8.6)</f>
        <v>8.6</v>
      </c>
      <c r="L243" s="24">
        <f>IFERROR(__xludf.DUMMYFUNCTION("""COMPUTED_VALUE"""),15.0)</f>
        <v>15</v>
      </c>
      <c r="M243" s="25" t="str">
        <f>IFERROR(__xludf.DUMMYFUNCTION("""COMPUTED_VALUE"""),"Action-Adventure")</f>
        <v>Action-Adventure</v>
      </c>
      <c r="N243" s="25"/>
      <c r="O243" s="26" t="str">
        <f>IFERROR(__xludf.DUMMYFUNCTION("""COMPUTED_VALUE"""),"No")</f>
        <v>No</v>
      </c>
      <c r="P243" s="26"/>
    </row>
    <row r="244" hidden="1">
      <c r="A244" s="13" t="str">
        <f>IFERROR(__xludf.DUMMYFUNCTION("""COMPUTED_VALUE"""),"DiRT Rally 2.0")</f>
        <v>DiRT Rally 2.0</v>
      </c>
      <c r="B244" s="15" t="str">
        <f>IFERROR(__xludf.DUMMYFUNCTION("""COMPUTED_VALUE"""),"PS4")</f>
        <v>PS4</v>
      </c>
      <c r="C244" s="16" t="str">
        <f>IFERROR(__xludf.DUMMYFUNCTION("""COMPUTED_VALUE"""),"Playstation Plus (Discontinued)")</f>
        <v>Playstation Plus (Discontinued)</v>
      </c>
      <c r="D244" s="15" t="str">
        <f>IFERROR(__xludf.DUMMYFUNCTION("""COMPUTED_VALUE"""),"Removed")</f>
        <v>Removed</v>
      </c>
      <c r="E244" s="17">
        <f>IFERROR(__xludf.DUMMYFUNCTION("""COMPUTED_VALUE"""),43928.0)</f>
        <v>43928</v>
      </c>
      <c r="F244" s="54">
        <f>IFERROR(__xludf.DUMMYFUNCTION("""COMPUTED_VALUE"""),43955.0)</f>
        <v>43955</v>
      </c>
      <c r="G244" s="19">
        <f>IFERROR(__xludf.DUMMYFUNCTION("""COMPUTED_VALUE"""),0.8999999999999999)</f>
        <v>0.9</v>
      </c>
      <c r="H244" s="17">
        <f>IFERROR(__xludf.DUMMYFUNCTION("""COMPUTED_VALUE"""),43522.0)</f>
        <v>43522</v>
      </c>
      <c r="I244" s="19">
        <f>IFERROR(__xludf.DUMMYFUNCTION("""COMPUTED_VALUE"""),1.113888888888889)</f>
        <v>1.113888889</v>
      </c>
      <c r="J244" s="21">
        <f>IFERROR(__xludf.DUMMYFUNCTION("""COMPUTED_VALUE"""),84.0)</f>
        <v>84</v>
      </c>
      <c r="K244" s="23">
        <f>IFERROR(__xludf.DUMMYFUNCTION("""COMPUTED_VALUE"""),7.7)</f>
        <v>7.7</v>
      </c>
      <c r="L244" s="24"/>
      <c r="M244" s="25" t="str">
        <f>IFERROR(__xludf.DUMMYFUNCTION("""COMPUTED_VALUE"""),"Racing")</f>
        <v>Racing</v>
      </c>
      <c r="N244" s="25"/>
      <c r="O244" s="26" t="str">
        <f>IFERROR(__xludf.DUMMYFUNCTION("""COMPUTED_VALUE"""),"No")</f>
        <v>No</v>
      </c>
      <c r="P244" s="26"/>
    </row>
    <row r="245" hidden="1">
      <c r="A245" s="13" t="str">
        <f>IFERROR(__xludf.DUMMYFUNCTION("""COMPUTED_VALUE"""),"Shadow of the Colossus")</f>
        <v>Shadow of the Colossus</v>
      </c>
      <c r="B245" s="15" t="str">
        <f>IFERROR(__xludf.DUMMYFUNCTION("""COMPUTED_VALUE"""),"PS4")</f>
        <v>PS4</v>
      </c>
      <c r="C245" s="16" t="str">
        <f>IFERROR(__xludf.DUMMYFUNCTION("""COMPUTED_VALUE"""),"Playstation Plus (Discontinued)")</f>
        <v>Playstation Plus (Discontinued)</v>
      </c>
      <c r="D245" s="15" t="str">
        <f>IFERROR(__xludf.DUMMYFUNCTION("""COMPUTED_VALUE"""),"Removed")</f>
        <v>Removed</v>
      </c>
      <c r="E245" s="17">
        <f>IFERROR(__xludf.DUMMYFUNCTION("""COMPUTED_VALUE"""),43893.0)</f>
        <v>43893</v>
      </c>
      <c r="F245" s="54">
        <f>IFERROR(__xludf.DUMMYFUNCTION("""COMPUTED_VALUE"""),43927.0)</f>
        <v>43927</v>
      </c>
      <c r="G245" s="19">
        <f>IFERROR(__xludf.DUMMYFUNCTION("""COMPUTED_VALUE"""),1.0999999999999999)</f>
        <v>1.1</v>
      </c>
      <c r="H245" s="17">
        <f>IFERROR(__xludf.DUMMYFUNCTION("""COMPUTED_VALUE"""),43137.0)</f>
        <v>43137</v>
      </c>
      <c r="I245" s="19">
        <f>IFERROR(__xludf.DUMMYFUNCTION("""COMPUTED_VALUE"""),2.075)</f>
        <v>2.075</v>
      </c>
      <c r="J245" s="21">
        <f>IFERROR(__xludf.DUMMYFUNCTION("""COMPUTED_VALUE"""),91.0)</f>
        <v>91</v>
      </c>
      <c r="K245" s="23">
        <f>IFERROR(__xludf.DUMMYFUNCTION("""COMPUTED_VALUE"""),8.6)</f>
        <v>8.6</v>
      </c>
      <c r="L245" s="24">
        <f>IFERROR(__xludf.DUMMYFUNCTION("""COMPUTED_VALUE"""),8.0)</f>
        <v>8</v>
      </c>
      <c r="M245" s="25" t="str">
        <f>IFERROR(__xludf.DUMMYFUNCTION("""COMPUTED_VALUE"""),"Action-Adventure")</f>
        <v>Action-Adventure</v>
      </c>
      <c r="N245" s="25"/>
      <c r="O245" s="26" t="str">
        <f>IFERROR(__xludf.DUMMYFUNCTION("""COMPUTED_VALUE"""),"No")</f>
        <v>No</v>
      </c>
      <c r="P245" s="26"/>
    </row>
    <row r="246">
      <c r="A246" s="13" t="str">
        <f>IFERROR(__xludf.DUMMYFUNCTION("""COMPUTED_VALUE"""),"Sonic Forces")</f>
        <v>Sonic Forces</v>
      </c>
      <c r="B246" s="15" t="str">
        <f>IFERROR(__xludf.DUMMYFUNCTION("""COMPUTED_VALUE"""),"PS4")</f>
        <v>PS4</v>
      </c>
      <c r="C246" s="16" t="str">
        <f>IFERROR(__xludf.DUMMYFUNCTION("""COMPUTED_VALUE"""),"Playstation Plus (Discontinued)")</f>
        <v>Playstation Plus (Discontinued)</v>
      </c>
      <c r="D246" s="15" t="str">
        <f>IFERROR(__xludf.DUMMYFUNCTION("""COMPUTED_VALUE"""),"Removed")</f>
        <v>Removed</v>
      </c>
      <c r="E246" s="17">
        <f>IFERROR(__xludf.DUMMYFUNCTION("""COMPUTED_VALUE"""),43893.0)</f>
        <v>43893</v>
      </c>
      <c r="F246" s="54">
        <f>IFERROR(__xludf.DUMMYFUNCTION("""COMPUTED_VALUE"""),43927.0)</f>
        <v>43927</v>
      </c>
      <c r="G246" s="19">
        <f>IFERROR(__xludf.DUMMYFUNCTION("""COMPUTED_VALUE"""),1.0999999999999999)</f>
        <v>1.1</v>
      </c>
      <c r="H246" s="17">
        <f>IFERROR(__xludf.DUMMYFUNCTION("""COMPUTED_VALUE"""),43046.0)</f>
        <v>43046</v>
      </c>
      <c r="I246" s="19">
        <f>IFERROR(__xludf.DUMMYFUNCTION("""COMPUTED_VALUE"""),2.3222222222222224)</f>
        <v>2.322222222</v>
      </c>
      <c r="J246" s="21">
        <f>IFERROR(__xludf.DUMMYFUNCTION("""COMPUTED_VALUE"""),57.0)</f>
        <v>57</v>
      </c>
      <c r="K246" s="23">
        <f>IFERROR(__xludf.DUMMYFUNCTION("""COMPUTED_VALUE"""),6.0)</f>
        <v>6</v>
      </c>
      <c r="L246" s="24">
        <f>IFERROR(__xludf.DUMMYFUNCTION("""COMPUTED_VALUE"""),4.0)</f>
        <v>4</v>
      </c>
      <c r="M246" s="25" t="str">
        <f>IFERROR(__xludf.DUMMYFUNCTION("""COMPUTED_VALUE"""),"Platformer")</f>
        <v>Platformer</v>
      </c>
      <c r="N246" s="25"/>
      <c r="O246" s="26" t="str">
        <f>IFERROR(__xludf.DUMMYFUNCTION("""COMPUTED_VALUE"""),"No")</f>
        <v>No</v>
      </c>
      <c r="P246" s="26"/>
    </row>
    <row r="247">
      <c r="A247" s="13" t="str">
        <f>IFERROR(__xludf.DUMMYFUNCTION("""COMPUTED_VALUE"""),"Bioshock: The Collection")</f>
        <v>Bioshock: The Collection</v>
      </c>
      <c r="B247" s="15" t="str">
        <f>IFERROR(__xludf.DUMMYFUNCTION("""COMPUTED_VALUE"""),"PS4")</f>
        <v>PS4</v>
      </c>
      <c r="C247" s="16" t="str">
        <f>IFERROR(__xludf.DUMMYFUNCTION("""COMPUTED_VALUE"""),"Playstation Plus (Discontinued)")</f>
        <v>Playstation Plus (Discontinued)</v>
      </c>
      <c r="D247" s="15" t="str">
        <f>IFERROR(__xludf.DUMMYFUNCTION("""COMPUTED_VALUE"""),"Removed")</f>
        <v>Removed</v>
      </c>
      <c r="E247" s="17">
        <f>IFERROR(__xludf.DUMMYFUNCTION("""COMPUTED_VALUE"""),43865.0)</f>
        <v>43865</v>
      </c>
      <c r="F247" s="54">
        <f>IFERROR(__xludf.DUMMYFUNCTION("""COMPUTED_VALUE"""),43892.0)</f>
        <v>43892</v>
      </c>
      <c r="G247" s="19">
        <f>IFERROR(__xludf.DUMMYFUNCTION("""COMPUTED_VALUE"""),0.9333333333333333)</f>
        <v>0.9333333333</v>
      </c>
      <c r="H247" s="17">
        <f>IFERROR(__xludf.DUMMYFUNCTION("""COMPUTED_VALUE"""),42626.0)</f>
        <v>42626</v>
      </c>
      <c r="I247" s="19">
        <f>IFERROR(__xludf.DUMMYFUNCTION("""COMPUTED_VALUE"""),3.3916666666666666)</f>
        <v>3.391666667</v>
      </c>
      <c r="J247" s="21">
        <f>IFERROR(__xludf.DUMMYFUNCTION("""COMPUTED_VALUE"""),84.0)</f>
        <v>84</v>
      </c>
      <c r="K247" s="23">
        <f>IFERROR(__xludf.DUMMYFUNCTION("""COMPUTED_VALUE"""),7.9)</f>
        <v>7.9</v>
      </c>
      <c r="L247" s="24">
        <f>IFERROR(__xludf.DUMMYFUNCTION("""COMPUTED_VALUE"""),37.0)</f>
        <v>37</v>
      </c>
      <c r="M247" s="25" t="str">
        <f>IFERROR(__xludf.DUMMYFUNCTION("""COMPUTED_VALUE"""),"Shooter")</f>
        <v>Shooter</v>
      </c>
      <c r="N247" s="25"/>
      <c r="O247" s="26" t="str">
        <f>IFERROR(__xludf.DUMMYFUNCTION("""COMPUTED_VALUE"""),"No")</f>
        <v>No</v>
      </c>
      <c r="P247" s="26"/>
    </row>
    <row r="248" hidden="1">
      <c r="A248" s="13" t="str">
        <f>IFERROR(__xludf.DUMMYFUNCTION("""COMPUTED_VALUE"""),"The Sims 4")</f>
        <v>The Sims 4</v>
      </c>
      <c r="B248" s="15" t="str">
        <f>IFERROR(__xludf.DUMMYFUNCTION("""COMPUTED_VALUE"""),"PS4")</f>
        <v>PS4</v>
      </c>
      <c r="C248" s="16" t="str">
        <f>IFERROR(__xludf.DUMMYFUNCTION("""COMPUTED_VALUE"""),"Playstation Plus (Discontinued)")</f>
        <v>Playstation Plus (Discontinued)</v>
      </c>
      <c r="D248" s="15" t="str">
        <f>IFERROR(__xludf.DUMMYFUNCTION("""COMPUTED_VALUE"""),"Removed")</f>
        <v>Removed</v>
      </c>
      <c r="E248" s="17">
        <f>IFERROR(__xludf.DUMMYFUNCTION("""COMPUTED_VALUE"""),43865.0)</f>
        <v>43865</v>
      </c>
      <c r="F248" s="54">
        <f>IFERROR(__xludf.DUMMYFUNCTION("""COMPUTED_VALUE"""),43892.0)</f>
        <v>43892</v>
      </c>
      <c r="G248" s="19">
        <f>IFERROR(__xludf.DUMMYFUNCTION("""COMPUTED_VALUE"""),0.9333333333333333)</f>
        <v>0.9333333333</v>
      </c>
      <c r="H248" s="17">
        <f>IFERROR(__xludf.DUMMYFUNCTION("""COMPUTED_VALUE"""),43056.0)</f>
        <v>43056</v>
      </c>
      <c r="I248" s="19">
        <f>IFERROR(__xludf.DUMMYFUNCTION("""COMPUTED_VALUE"""),2.213888888888889)</f>
        <v>2.213888889</v>
      </c>
      <c r="J248" s="21">
        <f>IFERROR(__xludf.DUMMYFUNCTION("""COMPUTED_VALUE"""),66.0)</f>
        <v>66</v>
      </c>
      <c r="K248" s="23">
        <f>IFERROR(__xludf.DUMMYFUNCTION("""COMPUTED_VALUE"""),4.7)</f>
        <v>4.7</v>
      </c>
      <c r="L248" s="24"/>
      <c r="M248" s="25" t="str">
        <f>IFERROR(__xludf.DUMMYFUNCTION("""COMPUTED_VALUE"""),"Simulation")</f>
        <v>Simulation</v>
      </c>
      <c r="N248" s="25"/>
      <c r="O248" s="26" t="str">
        <f>IFERROR(__xludf.DUMMYFUNCTION("""COMPUTED_VALUE"""),"No")</f>
        <v>No</v>
      </c>
      <c r="P248" s="26"/>
    </row>
    <row r="249" hidden="1">
      <c r="A249" s="13" t="str">
        <f>IFERROR(__xludf.DUMMYFUNCTION("""COMPUTED_VALUE"""),"Firewall Zero Hour")</f>
        <v>Firewall Zero Hour</v>
      </c>
      <c r="B249" s="15" t="str">
        <f>IFERROR(__xludf.DUMMYFUNCTION("""COMPUTED_VALUE"""),"PS4/PSVR")</f>
        <v>PS4/PSVR</v>
      </c>
      <c r="C249" s="16" t="str">
        <f>IFERROR(__xludf.DUMMYFUNCTION("""COMPUTED_VALUE"""),"Playstation Plus (Discontinued)")</f>
        <v>Playstation Plus (Discontinued)</v>
      </c>
      <c r="D249" s="15" t="str">
        <f>IFERROR(__xludf.DUMMYFUNCTION("""COMPUTED_VALUE"""),"Removed")</f>
        <v>Removed</v>
      </c>
      <c r="E249" s="17">
        <f>IFERROR(__xludf.DUMMYFUNCTION("""COMPUTED_VALUE"""),43865.0)</f>
        <v>43865</v>
      </c>
      <c r="F249" s="18">
        <f>IFERROR(__xludf.DUMMYFUNCTION("""COMPUTED_VALUE"""),43892.0)</f>
        <v>43892</v>
      </c>
      <c r="G249" s="19">
        <f>IFERROR(__xludf.DUMMYFUNCTION("""COMPUTED_VALUE"""),0.9333333333333333)</f>
        <v>0.9333333333</v>
      </c>
      <c r="H249" s="17">
        <f>IFERROR(__xludf.DUMMYFUNCTION("""COMPUTED_VALUE"""),43340.0)</f>
        <v>43340</v>
      </c>
      <c r="I249" s="19">
        <f>IFERROR(__xludf.DUMMYFUNCTION("""COMPUTED_VALUE"""),1.4333333333333333)</f>
        <v>1.433333333</v>
      </c>
      <c r="J249" s="21">
        <f>IFERROR(__xludf.DUMMYFUNCTION("""COMPUTED_VALUE"""),79.0)</f>
        <v>79</v>
      </c>
      <c r="K249" s="23">
        <f>IFERROR(__xludf.DUMMYFUNCTION("""COMPUTED_VALUE"""),8.8)</f>
        <v>8.8</v>
      </c>
      <c r="L249" s="24"/>
      <c r="M249" s="25" t="str">
        <f>IFERROR(__xludf.DUMMYFUNCTION("""COMPUTED_VALUE"""),"Shooter")</f>
        <v>Shooter</v>
      </c>
      <c r="N249" s="25"/>
      <c r="O249" s="26" t="str">
        <f>IFERROR(__xludf.DUMMYFUNCTION("""COMPUTED_VALUE"""),"No")</f>
        <v>No</v>
      </c>
      <c r="P249" s="26"/>
    </row>
    <row r="250" hidden="1">
      <c r="A250" s="13" t="str">
        <f>IFERROR(__xludf.DUMMYFUNCTION("""COMPUTED_VALUE"""),"Uncharted: The Nathan Drake Collection")</f>
        <v>Uncharted: The Nathan Drake Collection</v>
      </c>
      <c r="B250" s="15" t="str">
        <f>IFERROR(__xludf.DUMMYFUNCTION("""COMPUTED_VALUE"""),"PS4")</f>
        <v>PS4</v>
      </c>
      <c r="C250" s="16" t="str">
        <f>IFERROR(__xludf.DUMMYFUNCTION("""COMPUTED_VALUE"""),"Playstation Plus (Discontinued)")</f>
        <v>Playstation Plus (Discontinued)</v>
      </c>
      <c r="D250" s="15" t="str">
        <f>IFERROR(__xludf.DUMMYFUNCTION("""COMPUTED_VALUE"""),"Removed")</f>
        <v>Removed</v>
      </c>
      <c r="E250" s="17">
        <f>IFERROR(__xludf.DUMMYFUNCTION("""COMPUTED_VALUE"""),43837.0)</f>
        <v>43837</v>
      </c>
      <c r="F250" s="54">
        <f>IFERROR(__xludf.DUMMYFUNCTION("""COMPUTED_VALUE"""),43864.0)</f>
        <v>43864</v>
      </c>
      <c r="G250" s="19">
        <f>IFERROR(__xludf.DUMMYFUNCTION("""COMPUTED_VALUE"""),0.8666666666666666)</f>
        <v>0.8666666667</v>
      </c>
      <c r="H250" s="17">
        <f>IFERROR(__xludf.DUMMYFUNCTION("""COMPUTED_VALUE"""),42286.0)</f>
        <v>42286</v>
      </c>
      <c r="I250" s="19">
        <f>IFERROR(__xludf.DUMMYFUNCTION("""COMPUTED_VALUE"""),4.2444444444444445)</f>
        <v>4.244444444</v>
      </c>
      <c r="J250" s="21">
        <f>IFERROR(__xludf.DUMMYFUNCTION("""COMPUTED_VALUE"""),86.0)</f>
        <v>86</v>
      </c>
      <c r="K250" s="23">
        <f>IFERROR(__xludf.DUMMYFUNCTION("""COMPUTED_VALUE"""),8.6)</f>
        <v>8.6</v>
      </c>
      <c r="L250" s="24">
        <f>IFERROR(__xludf.DUMMYFUNCTION("""COMPUTED_VALUE"""),36.0)</f>
        <v>36</v>
      </c>
      <c r="M250" s="25" t="str">
        <f>IFERROR(__xludf.DUMMYFUNCTION("""COMPUTED_VALUE"""),"Action-Adventure")</f>
        <v>Action-Adventure</v>
      </c>
      <c r="N250" s="25"/>
      <c r="O250" s="26" t="str">
        <f>IFERROR(__xludf.DUMMYFUNCTION("""COMPUTED_VALUE"""),"No")</f>
        <v>No</v>
      </c>
      <c r="P250" s="26"/>
    </row>
    <row r="251" hidden="1">
      <c r="A251" s="13" t="str">
        <f>IFERROR(__xludf.DUMMYFUNCTION("""COMPUTED_VALUE"""),"Goat Simulator")</f>
        <v>Goat Simulator</v>
      </c>
      <c r="B251" s="15" t="str">
        <f>IFERROR(__xludf.DUMMYFUNCTION("""COMPUTED_VALUE"""),"PS4")</f>
        <v>PS4</v>
      </c>
      <c r="C251" s="16" t="str">
        <f>IFERROR(__xludf.DUMMYFUNCTION("""COMPUTED_VALUE"""),"Playstation Plus (Discontinued)")</f>
        <v>Playstation Plus (Discontinued)</v>
      </c>
      <c r="D251" s="15" t="str">
        <f>IFERROR(__xludf.DUMMYFUNCTION("""COMPUTED_VALUE"""),"Removed")</f>
        <v>Removed</v>
      </c>
      <c r="E251" s="17">
        <f>IFERROR(__xludf.DUMMYFUNCTION("""COMPUTED_VALUE"""),43837.0)</f>
        <v>43837</v>
      </c>
      <c r="F251" s="54">
        <f>IFERROR(__xludf.DUMMYFUNCTION("""COMPUTED_VALUE"""),43864.0)</f>
        <v>43864</v>
      </c>
      <c r="G251" s="19">
        <f>IFERROR(__xludf.DUMMYFUNCTION("""COMPUTED_VALUE"""),0.8666666666666666)</f>
        <v>0.8666666667</v>
      </c>
      <c r="H251" s="17">
        <f>IFERROR(__xludf.DUMMYFUNCTION("""COMPUTED_VALUE"""),42108.0)</f>
        <v>42108</v>
      </c>
      <c r="I251" s="19">
        <f>IFERROR(__xludf.DUMMYFUNCTION("""COMPUTED_VALUE"""),4.730555555555555)</f>
        <v>4.730555556</v>
      </c>
      <c r="J251" s="21">
        <f>IFERROR(__xludf.DUMMYFUNCTION("""COMPUTED_VALUE"""),58.0)</f>
        <v>58</v>
      </c>
      <c r="K251" s="23">
        <f>IFERROR(__xludf.DUMMYFUNCTION("""COMPUTED_VALUE"""),7.1)</f>
        <v>7.1</v>
      </c>
      <c r="L251" s="24">
        <f>IFERROR(__xludf.DUMMYFUNCTION("""COMPUTED_VALUE"""),4.0)</f>
        <v>4</v>
      </c>
      <c r="M251" s="25" t="str">
        <f>IFERROR(__xludf.DUMMYFUNCTION("""COMPUTED_VALUE"""),"Simulation")</f>
        <v>Simulation</v>
      </c>
      <c r="N251" s="25"/>
      <c r="O251" s="26" t="str">
        <f>IFERROR(__xludf.DUMMYFUNCTION("""COMPUTED_VALUE"""),"No")</f>
        <v>No</v>
      </c>
      <c r="P251" s="26"/>
    </row>
    <row r="252">
      <c r="A252" s="13" t="str">
        <f>IFERROR(__xludf.DUMMYFUNCTION("""COMPUTED_VALUE"""),"Titanfall 2")</f>
        <v>Titanfall 2</v>
      </c>
      <c r="B252" s="15" t="str">
        <f>IFERROR(__xludf.DUMMYFUNCTION("""COMPUTED_VALUE"""),"PS4")</f>
        <v>PS4</v>
      </c>
      <c r="C252" s="16" t="str">
        <f>IFERROR(__xludf.DUMMYFUNCTION("""COMPUTED_VALUE"""),"Playstation Plus (Discontinued)")</f>
        <v>Playstation Plus (Discontinued)</v>
      </c>
      <c r="D252" s="15" t="str">
        <f>IFERROR(__xludf.DUMMYFUNCTION("""COMPUTED_VALUE"""),"Removed")</f>
        <v>Removed</v>
      </c>
      <c r="E252" s="17">
        <f>IFERROR(__xludf.DUMMYFUNCTION("""COMPUTED_VALUE"""),43802.0)</f>
        <v>43802</v>
      </c>
      <c r="F252" s="54">
        <f>IFERROR(__xludf.DUMMYFUNCTION("""COMPUTED_VALUE"""),43836.0)</f>
        <v>43836</v>
      </c>
      <c r="G252" s="19">
        <f>IFERROR(__xludf.DUMMYFUNCTION("""COMPUTED_VALUE"""),1.0999999999999999)</f>
        <v>1.1</v>
      </c>
      <c r="H252" s="17">
        <f>IFERROR(__xludf.DUMMYFUNCTION("""COMPUTED_VALUE"""),42671.0)</f>
        <v>42671</v>
      </c>
      <c r="I252" s="19">
        <f>IFERROR(__xludf.DUMMYFUNCTION("""COMPUTED_VALUE"""),3.0972222222222223)</f>
        <v>3.097222222</v>
      </c>
      <c r="J252" s="21">
        <f>IFERROR(__xludf.DUMMYFUNCTION("""COMPUTED_VALUE"""),89.0)</f>
        <v>89</v>
      </c>
      <c r="K252" s="23">
        <f>IFERROR(__xludf.DUMMYFUNCTION("""COMPUTED_VALUE"""),8.6)</f>
        <v>8.6</v>
      </c>
      <c r="L252" s="24">
        <f>IFERROR(__xludf.DUMMYFUNCTION("""COMPUTED_VALUE"""),8.0)</f>
        <v>8</v>
      </c>
      <c r="M252" s="25" t="str">
        <f>IFERROR(__xludf.DUMMYFUNCTION("""COMPUTED_VALUE"""),"Shooter")</f>
        <v>Shooter</v>
      </c>
      <c r="N252" s="25"/>
      <c r="O252" s="26" t="str">
        <f>IFERROR(__xludf.DUMMYFUNCTION("""COMPUTED_VALUE"""),"No")</f>
        <v>No</v>
      </c>
      <c r="P252" s="26"/>
    </row>
    <row r="253">
      <c r="A253" s="13" t="str">
        <f>IFERROR(__xludf.DUMMYFUNCTION("""COMPUTED_VALUE"""),"Monster Energy Supercross: The Game")</f>
        <v>Monster Energy Supercross: The Game</v>
      </c>
      <c r="B253" s="15" t="str">
        <f>IFERROR(__xludf.DUMMYFUNCTION("""COMPUTED_VALUE"""),"PS4")</f>
        <v>PS4</v>
      </c>
      <c r="C253" s="16" t="str">
        <f>IFERROR(__xludf.DUMMYFUNCTION("""COMPUTED_VALUE"""),"Playstation Plus (Discontinued)")</f>
        <v>Playstation Plus (Discontinued)</v>
      </c>
      <c r="D253" s="15" t="str">
        <f>IFERROR(__xludf.DUMMYFUNCTION("""COMPUTED_VALUE"""),"Removed")</f>
        <v>Removed</v>
      </c>
      <c r="E253" s="17">
        <f>IFERROR(__xludf.DUMMYFUNCTION("""COMPUTED_VALUE"""),43802.0)</f>
        <v>43802</v>
      </c>
      <c r="F253" s="54">
        <f>IFERROR(__xludf.DUMMYFUNCTION("""COMPUTED_VALUE"""),43836.0)</f>
        <v>43836</v>
      </c>
      <c r="G253" s="19">
        <f>IFERROR(__xludf.DUMMYFUNCTION("""COMPUTED_VALUE"""),1.0999999999999999)</f>
        <v>1.1</v>
      </c>
      <c r="H253" s="17">
        <f>IFERROR(__xludf.DUMMYFUNCTION("""COMPUTED_VALUE"""),43144.0)</f>
        <v>43144</v>
      </c>
      <c r="I253" s="19">
        <f>IFERROR(__xludf.DUMMYFUNCTION("""COMPUTED_VALUE"""),1.8055555555555556)</f>
        <v>1.805555556</v>
      </c>
      <c r="J253" s="21">
        <f>IFERROR(__xludf.DUMMYFUNCTION("""COMPUTED_VALUE"""),67.0)</f>
        <v>67</v>
      </c>
      <c r="K253" s="23">
        <f>IFERROR(__xludf.DUMMYFUNCTION("""COMPUTED_VALUE"""),5.9)</f>
        <v>5.9</v>
      </c>
      <c r="L253" s="24"/>
      <c r="M253" s="25" t="str">
        <f>IFERROR(__xludf.DUMMYFUNCTION("""COMPUTED_VALUE"""),"Racing")</f>
        <v>Racing</v>
      </c>
      <c r="N253" s="25"/>
      <c r="O253" s="26" t="str">
        <f>IFERROR(__xludf.DUMMYFUNCTION("""COMPUTED_VALUE"""),"No")</f>
        <v>No</v>
      </c>
      <c r="P253" s="26"/>
    </row>
    <row r="254" hidden="1">
      <c r="A254" s="13" t="str">
        <f>IFERROR(__xludf.DUMMYFUNCTION("""COMPUTED_VALUE"""),"Nioh")</f>
        <v>Nioh</v>
      </c>
      <c r="B254" s="15" t="str">
        <f>IFERROR(__xludf.DUMMYFUNCTION("""COMPUTED_VALUE"""),"PS4")</f>
        <v>PS4</v>
      </c>
      <c r="C254" s="16" t="str">
        <f>IFERROR(__xludf.DUMMYFUNCTION("""COMPUTED_VALUE"""),"Playstation Plus (Discontinued)")</f>
        <v>Playstation Plus (Discontinued)</v>
      </c>
      <c r="D254" s="15" t="str">
        <f>IFERROR(__xludf.DUMMYFUNCTION("""COMPUTED_VALUE"""),"Removed")</f>
        <v>Removed</v>
      </c>
      <c r="E254" s="17">
        <f>IFERROR(__xludf.DUMMYFUNCTION("""COMPUTED_VALUE"""),43774.0)</f>
        <v>43774</v>
      </c>
      <c r="F254" s="54">
        <f>IFERROR(__xludf.DUMMYFUNCTION("""COMPUTED_VALUE"""),43801.0)</f>
        <v>43801</v>
      </c>
      <c r="G254" s="19">
        <f>IFERROR(__xludf.DUMMYFUNCTION("""COMPUTED_VALUE"""),0.8999999999999999)</f>
        <v>0.9</v>
      </c>
      <c r="H254" s="17">
        <f>IFERROR(__xludf.DUMMYFUNCTION("""COMPUTED_VALUE"""),42773.0)</f>
        <v>42773</v>
      </c>
      <c r="I254" s="19">
        <f>IFERROR(__xludf.DUMMYFUNCTION("""COMPUTED_VALUE"""),2.7444444444444445)</f>
        <v>2.744444444</v>
      </c>
      <c r="J254" s="21">
        <f>IFERROR(__xludf.DUMMYFUNCTION("""COMPUTED_VALUE"""),88.0)</f>
        <v>88</v>
      </c>
      <c r="K254" s="23">
        <f>IFERROR(__xludf.DUMMYFUNCTION("""COMPUTED_VALUE"""),8.6)</f>
        <v>8.6</v>
      </c>
      <c r="L254" s="24">
        <f>IFERROR(__xludf.DUMMYFUNCTION("""COMPUTED_VALUE"""),35.0)</f>
        <v>35</v>
      </c>
      <c r="M254" s="25" t="str">
        <f>IFERROR(__xludf.DUMMYFUNCTION("""COMPUTED_VALUE"""),"Action-Adventure")</f>
        <v>Action-Adventure</v>
      </c>
      <c r="N254" s="25"/>
      <c r="O254" s="26" t="str">
        <f>IFERROR(__xludf.DUMMYFUNCTION("""COMPUTED_VALUE"""),"No")</f>
        <v>No</v>
      </c>
      <c r="P254" s="26"/>
    </row>
    <row r="255" hidden="1">
      <c r="A255" s="13" t="str">
        <f>IFERROR(__xludf.DUMMYFUNCTION("""COMPUTED_VALUE"""),"Outlast 2")</f>
        <v>Outlast 2</v>
      </c>
      <c r="B255" s="15" t="str">
        <f>IFERROR(__xludf.DUMMYFUNCTION("""COMPUTED_VALUE"""),"PS4")</f>
        <v>PS4</v>
      </c>
      <c r="C255" s="16" t="str">
        <f>IFERROR(__xludf.DUMMYFUNCTION("""COMPUTED_VALUE"""),"Playstation Plus (Discontinued)")</f>
        <v>Playstation Plus (Discontinued)</v>
      </c>
      <c r="D255" s="15" t="str">
        <f>IFERROR(__xludf.DUMMYFUNCTION("""COMPUTED_VALUE"""),"Removed")</f>
        <v>Removed</v>
      </c>
      <c r="E255" s="17">
        <f>IFERROR(__xludf.DUMMYFUNCTION("""COMPUTED_VALUE"""),43774.0)</f>
        <v>43774</v>
      </c>
      <c r="F255" s="54">
        <f>IFERROR(__xludf.DUMMYFUNCTION("""COMPUTED_VALUE"""),43801.0)</f>
        <v>43801</v>
      </c>
      <c r="G255" s="19">
        <f>IFERROR(__xludf.DUMMYFUNCTION("""COMPUTED_VALUE"""),0.8999999999999999)</f>
        <v>0.9</v>
      </c>
      <c r="H255" s="17">
        <f>IFERROR(__xludf.DUMMYFUNCTION("""COMPUTED_VALUE"""),42850.0)</f>
        <v>42850</v>
      </c>
      <c r="I255" s="19">
        <f>IFERROR(__xludf.DUMMYFUNCTION("""COMPUTED_VALUE"""),2.5277777777777777)</f>
        <v>2.527777778</v>
      </c>
      <c r="J255" s="21">
        <f>IFERROR(__xludf.DUMMYFUNCTION("""COMPUTED_VALUE"""),68.0)</f>
        <v>68</v>
      </c>
      <c r="K255" s="23">
        <f>IFERROR(__xludf.DUMMYFUNCTION("""COMPUTED_VALUE"""),6.8)</f>
        <v>6.8</v>
      </c>
      <c r="L255" s="24">
        <f>IFERROR(__xludf.DUMMYFUNCTION("""COMPUTED_VALUE"""),9.0)</f>
        <v>9</v>
      </c>
      <c r="M255" s="25" t="str">
        <f>IFERROR(__xludf.DUMMYFUNCTION("""COMPUTED_VALUE"""),"Horror")</f>
        <v>Horror</v>
      </c>
      <c r="N255" s="25"/>
      <c r="O255" s="26" t="str">
        <f>IFERROR(__xludf.DUMMYFUNCTION("""COMPUTED_VALUE"""),"No")</f>
        <v>No</v>
      </c>
      <c r="P255" s="26"/>
    </row>
    <row r="256" hidden="1">
      <c r="A256" s="13" t="str">
        <f>IFERROR(__xludf.DUMMYFUNCTION("""COMPUTED_VALUE"""),"The Last of Us Remastered")</f>
        <v>The Last of Us Remastered</v>
      </c>
      <c r="B256" s="15" t="str">
        <f>IFERROR(__xludf.DUMMYFUNCTION("""COMPUTED_VALUE"""),"PS4")</f>
        <v>PS4</v>
      </c>
      <c r="C256" s="16" t="str">
        <f>IFERROR(__xludf.DUMMYFUNCTION("""COMPUTED_VALUE"""),"Playstation Plus (Discontinued)")</f>
        <v>Playstation Plus (Discontinued)</v>
      </c>
      <c r="D256" s="15" t="str">
        <f>IFERROR(__xludf.DUMMYFUNCTION("""COMPUTED_VALUE"""),"Removed")</f>
        <v>Removed</v>
      </c>
      <c r="E256" s="17">
        <f>IFERROR(__xludf.DUMMYFUNCTION("""COMPUTED_VALUE"""),43739.0)</f>
        <v>43739</v>
      </c>
      <c r="F256" s="54">
        <f>IFERROR(__xludf.DUMMYFUNCTION("""COMPUTED_VALUE"""),43773.0)</f>
        <v>43773</v>
      </c>
      <c r="G256" s="19">
        <f>IFERROR(__xludf.DUMMYFUNCTION("""COMPUTED_VALUE"""),1.0999999999999999)</f>
        <v>1.1</v>
      </c>
      <c r="H256" s="17">
        <f>IFERROR(__xludf.DUMMYFUNCTION("""COMPUTED_VALUE"""),41849.0)</f>
        <v>41849</v>
      </c>
      <c r="I256" s="19">
        <f>IFERROR(__xludf.DUMMYFUNCTION("""COMPUTED_VALUE"""),5.1722222222222225)</f>
        <v>5.172222222</v>
      </c>
      <c r="J256" s="21">
        <f>IFERROR(__xludf.DUMMYFUNCTION("""COMPUTED_VALUE"""),95.0)</f>
        <v>95</v>
      </c>
      <c r="K256" s="23">
        <f>IFERROR(__xludf.DUMMYFUNCTION("""COMPUTED_VALUE"""),9.2)</f>
        <v>9.2</v>
      </c>
      <c r="L256" s="24">
        <f>IFERROR(__xludf.DUMMYFUNCTION("""COMPUTED_VALUE"""),15.0)</f>
        <v>15</v>
      </c>
      <c r="M256" s="25" t="str">
        <f>IFERROR(__xludf.DUMMYFUNCTION("""COMPUTED_VALUE"""),"Action-Adventure")</f>
        <v>Action-Adventure</v>
      </c>
      <c r="N256" s="25"/>
      <c r="O256" s="26" t="str">
        <f>IFERROR(__xludf.DUMMYFUNCTION("""COMPUTED_VALUE"""),"No")</f>
        <v>No</v>
      </c>
      <c r="P256" s="26"/>
    </row>
    <row r="257" hidden="1">
      <c r="A257" s="13" t="str">
        <f>IFERROR(__xludf.DUMMYFUNCTION("""COMPUTED_VALUE"""),"MLB The Show 19")</f>
        <v>MLB The Show 19</v>
      </c>
      <c r="B257" s="15" t="str">
        <f>IFERROR(__xludf.DUMMYFUNCTION("""COMPUTED_VALUE"""),"PS4")</f>
        <v>PS4</v>
      </c>
      <c r="C257" s="16" t="str">
        <f>IFERROR(__xludf.DUMMYFUNCTION("""COMPUTED_VALUE"""),"Playstation Plus (Discontinued)")</f>
        <v>Playstation Plus (Discontinued)</v>
      </c>
      <c r="D257" s="15" t="str">
        <f>IFERROR(__xludf.DUMMYFUNCTION("""COMPUTED_VALUE"""),"Removed")</f>
        <v>Removed</v>
      </c>
      <c r="E257" s="17">
        <f>IFERROR(__xludf.DUMMYFUNCTION("""COMPUTED_VALUE"""),43739.0)</f>
        <v>43739</v>
      </c>
      <c r="F257" s="54">
        <f>IFERROR(__xludf.DUMMYFUNCTION("""COMPUTED_VALUE"""),43773.0)</f>
        <v>43773</v>
      </c>
      <c r="G257" s="19">
        <f>IFERROR(__xludf.DUMMYFUNCTION("""COMPUTED_VALUE"""),1.0999999999999999)</f>
        <v>1.1</v>
      </c>
      <c r="H257" s="17">
        <f>IFERROR(__xludf.DUMMYFUNCTION("""COMPUTED_VALUE"""),43550.0)</f>
        <v>43550</v>
      </c>
      <c r="I257" s="19">
        <f>IFERROR(__xludf.DUMMYFUNCTION("""COMPUTED_VALUE"""),0.5138888888888888)</f>
        <v>0.5138888889</v>
      </c>
      <c r="J257" s="21">
        <f>IFERROR(__xludf.DUMMYFUNCTION("""COMPUTED_VALUE"""),86.0)</f>
        <v>86</v>
      </c>
      <c r="K257" s="23">
        <f>IFERROR(__xludf.DUMMYFUNCTION("""COMPUTED_VALUE"""),7.7)</f>
        <v>7.7</v>
      </c>
      <c r="L257" s="24"/>
      <c r="M257" s="25" t="str">
        <f>IFERROR(__xludf.DUMMYFUNCTION("""COMPUTED_VALUE"""),"Sports")</f>
        <v>Sports</v>
      </c>
      <c r="N257" s="25"/>
      <c r="O257" s="26" t="str">
        <f>IFERROR(__xludf.DUMMYFUNCTION("""COMPUTED_VALUE"""),"No")</f>
        <v>No</v>
      </c>
      <c r="P257" s="26"/>
    </row>
    <row r="258">
      <c r="A258" s="13" t="str">
        <f>IFERROR(__xludf.DUMMYFUNCTION("""COMPUTED_VALUE"""),"Batman Arkham Knight")</f>
        <v>Batman Arkham Knight</v>
      </c>
      <c r="B258" s="15" t="str">
        <f>IFERROR(__xludf.DUMMYFUNCTION("""COMPUTED_VALUE"""),"PS4")</f>
        <v>PS4</v>
      </c>
      <c r="C258" s="16" t="str">
        <f>IFERROR(__xludf.DUMMYFUNCTION("""COMPUTED_VALUE"""),"Playstation Plus (Discontinued)")</f>
        <v>Playstation Plus (Discontinued)</v>
      </c>
      <c r="D258" s="15" t="str">
        <f>IFERROR(__xludf.DUMMYFUNCTION("""COMPUTED_VALUE"""),"Removed")</f>
        <v>Removed</v>
      </c>
      <c r="E258" s="17">
        <f>IFERROR(__xludf.DUMMYFUNCTION("""COMPUTED_VALUE"""),43711.0)</f>
        <v>43711</v>
      </c>
      <c r="F258" s="54">
        <f>IFERROR(__xludf.DUMMYFUNCTION("""COMPUTED_VALUE"""),43738.0)</f>
        <v>43738</v>
      </c>
      <c r="G258" s="19">
        <f>IFERROR(__xludf.DUMMYFUNCTION("""COMPUTED_VALUE"""),0.8999999999999999)</f>
        <v>0.9</v>
      </c>
      <c r="H258" s="17">
        <f>IFERROR(__xludf.DUMMYFUNCTION("""COMPUTED_VALUE"""),42178.0)</f>
        <v>42178</v>
      </c>
      <c r="I258" s="19">
        <f>IFERROR(__xludf.DUMMYFUNCTION("""COMPUTED_VALUE"""),4.194444444444445)</f>
        <v>4.194444444</v>
      </c>
      <c r="J258" s="21">
        <f>IFERROR(__xludf.DUMMYFUNCTION("""COMPUTED_VALUE"""),87.0)</f>
        <v>87</v>
      </c>
      <c r="K258" s="23">
        <f>IFERROR(__xludf.DUMMYFUNCTION("""COMPUTED_VALUE"""),7.9)</f>
        <v>7.9</v>
      </c>
      <c r="L258" s="24">
        <f>IFERROR(__xludf.DUMMYFUNCTION("""COMPUTED_VALUE"""),16.0)</f>
        <v>16</v>
      </c>
      <c r="M258" s="25" t="str">
        <f>IFERROR(__xludf.DUMMYFUNCTION("""COMPUTED_VALUE"""),"Action-Adventure")</f>
        <v>Action-Adventure</v>
      </c>
      <c r="N258" s="25"/>
      <c r="O258" s="26" t="str">
        <f>IFERROR(__xludf.DUMMYFUNCTION("""COMPUTED_VALUE"""),"No")</f>
        <v>No</v>
      </c>
      <c r="P258" s="26"/>
    </row>
    <row r="259">
      <c r="A259" s="13" t="str">
        <f>IFERROR(__xludf.DUMMYFUNCTION("""COMPUTED_VALUE"""),"Darksiders III")</f>
        <v>Darksiders III</v>
      </c>
      <c r="B259" s="15" t="str">
        <f>IFERROR(__xludf.DUMMYFUNCTION("""COMPUTED_VALUE"""),"PS4")</f>
        <v>PS4</v>
      </c>
      <c r="C259" s="16" t="str">
        <f>IFERROR(__xludf.DUMMYFUNCTION("""COMPUTED_VALUE"""),"Playstation Plus (Discontinued)")</f>
        <v>Playstation Plus (Discontinued)</v>
      </c>
      <c r="D259" s="15" t="str">
        <f>IFERROR(__xludf.DUMMYFUNCTION("""COMPUTED_VALUE"""),"Removed")</f>
        <v>Removed</v>
      </c>
      <c r="E259" s="17">
        <f>IFERROR(__xludf.DUMMYFUNCTION("""COMPUTED_VALUE"""),43711.0)</f>
        <v>43711</v>
      </c>
      <c r="F259" s="54">
        <f>IFERROR(__xludf.DUMMYFUNCTION("""COMPUTED_VALUE"""),43738.0)</f>
        <v>43738</v>
      </c>
      <c r="G259" s="19">
        <f>IFERROR(__xludf.DUMMYFUNCTION("""COMPUTED_VALUE"""),0.8999999999999999)</f>
        <v>0.9</v>
      </c>
      <c r="H259" s="17">
        <f>IFERROR(__xludf.DUMMYFUNCTION("""COMPUTED_VALUE"""),43431.0)</f>
        <v>43431</v>
      </c>
      <c r="I259" s="19">
        <f>IFERROR(__xludf.DUMMYFUNCTION("""COMPUTED_VALUE"""),0.7666666666666667)</f>
        <v>0.7666666667</v>
      </c>
      <c r="J259" s="21">
        <f>IFERROR(__xludf.DUMMYFUNCTION("""COMPUTED_VALUE"""),64.0)</f>
        <v>64</v>
      </c>
      <c r="K259" s="23">
        <f>IFERROR(__xludf.DUMMYFUNCTION("""COMPUTED_VALUE"""),6.5)</f>
        <v>6.5</v>
      </c>
      <c r="L259" s="24">
        <f>IFERROR(__xludf.DUMMYFUNCTION("""COMPUTED_VALUE"""),15.0)</f>
        <v>15</v>
      </c>
      <c r="M259" s="25" t="str">
        <f>IFERROR(__xludf.DUMMYFUNCTION("""COMPUTED_VALUE"""),"Action-Adventure")</f>
        <v>Action-Adventure</v>
      </c>
      <c r="N259" s="25"/>
      <c r="O259" s="26" t="str">
        <f>IFERROR(__xludf.DUMMYFUNCTION("""COMPUTED_VALUE"""),"No")</f>
        <v>No</v>
      </c>
      <c r="P259" s="26"/>
    </row>
    <row r="260" hidden="1">
      <c r="A260" s="13" t="str">
        <f>IFERROR(__xludf.DUMMYFUNCTION("""COMPUTED_VALUE"""),"Wipeout Omega Collection")</f>
        <v>Wipeout Omega Collection</v>
      </c>
      <c r="B260" s="15" t="str">
        <f>IFERROR(__xludf.DUMMYFUNCTION("""COMPUTED_VALUE"""),"PS4/PSVR")</f>
        <v>PS4/PSVR</v>
      </c>
      <c r="C260" s="16" t="str">
        <f>IFERROR(__xludf.DUMMYFUNCTION("""COMPUTED_VALUE"""),"Playstation Plus (Discontinued)")</f>
        <v>Playstation Plus (Discontinued)</v>
      </c>
      <c r="D260" s="15" t="str">
        <f>IFERROR(__xludf.DUMMYFUNCTION("""COMPUTED_VALUE"""),"Removed")</f>
        <v>Removed</v>
      </c>
      <c r="E260" s="17">
        <f>IFERROR(__xludf.DUMMYFUNCTION("""COMPUTED_VALUE"""),43683.0)</f>
        <v>43683</v>
      </c>
      <c r="F260" s="54">
        <f>IFERROR(__xludf.DUMMYFUNCTION("""COMPUTED_VALUE"""),43710.0)</f>
        <v>43710</v>
      </c>
      <c r="G260" s="19">
        <f>IFERROR(__xludf.DUMMYFUNCTION("""COMPUTED_VALUE"""),0.8666666666666666)</f>
        <v>0.8666666667</v>
      </c>
      <c r="H260" s="17">
        <f>IFERROR(__xludf.DUMMYFUNCTION("""COMPUTED_VALUE"""),42892.0)</f>
        <v>42892</v>
      </c>
      <c r="I260" s="19">
        <f>IFERROR(__xludf.DUMMYFUNCTION("""COMPUTED_VALUE"""),2.1666666666666665)</f>
        <v>2.166666667</v>
      </c>
      <c r="J260" s="21">
        <f>IFERROR(__xludf.DUMMYFUNCTION("""COMPUTED_VALUE"""),85.0)</f>
        <v>85</v>
      </c>
      <c r="K260" s="23">
        <f>IFERROR(__xludf.DUMMYFUNCTION("""COMPUTED_VALUE"""),8.2)</f>
        <v>8.2</v>
      </c>
      <c r="L260" s="24">
        <f>IFERROR(__xludf.DUMMYFUNCTION("""COMPUTED_VALUE"""),8.0)</f>
        <v>8</v>
      </c>
      <c r="M260" s="25" t="str">
        <f>IFERROR(__xludf.DUMMYFUNCTION("""COMPUTED_VALUE"""),"Racing")</f>
        <v>Racing</v>
      </c>
      <c r="N260" s="25"/>
      <c r="O260" s="26" t="str">
        <f>IFERROR(__xludf.DUMMYFUNCTION("""COMPUTED_VALUE"""),"No")</f>
        <v>No</v>
      </c>
      <c r="P260" s="26"/>
    </row>
    <row r="261" hidden="1">
      <c r="A261" s="13" t="str">
        <f>IFERROR(__xludf.DUMMYFUNCTION("""COMPUTED_VALUE"""),"Sniper Elite 4")</f>
        <v>Sniper Elite 4</v>
      </c>
      <c r="B261" s="15" t="str">
        <f>IFERROR(__xludf.DUMMYFUNCTION("""COMPUTED_VALUE"""),"PS4")</f>
        <v>PS4</v>
      </c>
      <c r="C261" s="16" t="str">
        <f>IFERROR(__xludf.DUMMYFUNCTION("""COMPUTED_VALUE"""),"Playstation Plus (Discontinued)")</f>
        <v>Playstation Plus (Discontinued)</v>
      </c>
      <c r="D261" s="15" t="str">
        <f>IFERROR(__xludf.DUMMYFUNCTION("""COMPUTED_VALUE"""),"Removed")</f>
        <v>Removed</v>
      </c>
      <c r="E261" s="17">
        <f>IFERROR(__xludf.DUMMYFUNCTION("""COMPUTED_VALUE"""),43683.0)</f>
        <v>43683</v>
      </c>
      <c r="F261" s="54">
        <f>IFERROR(__xludf.DUMMYFUNCTION("""COMPUTED_VALUE"""),43710.0)</f>
        <v>43710</v>
      </c>
      <c r="G261" s="19">
        <f>IFERROR(__xludf.DUMMYFUNCTION("""COMPUTED_VALUE"""),0.8666666666666666)</f>
        <v>0.8666666667</v>
      </c>
      <c r="H261" s="17">
        <f>IFERROR(__xludf.DUMMYFUNCTION("""COMPUTED_VALUE"""),42780.0)</f>
        <v>42780</v>
      </c>
      <c r="I261" s="19">
        <f>IFERROR(__xludf.DUMMYFUNCTION("""COMPUTED_VALUE"""),2.477777777777778)</f>
        <v>2.477777778</v>
      </c>
      <c r="J261" s="21">
        <f>IFERROR(__xludf.DUMMYFUNCTION("""COMPUTED_VALUE"""),77.0)</f>
        <v>77</v>
      </c>
      <c r="K261" s="23">
        <f>IFERROR(__xludf.DUMMYFUNCTION("""COMPUTED_VALUE"""),7.6)</f>
        <v>7.6</v>
      </c>
      <c r="L261" s="24">
        <f>IFERROR(__xludf.DUMMYFUNCTION("""COMPUTED_VALUE"""),12.0)</f>
        <v>12</v>
      </c>
      <c r="M261" s="72" t="str">
        <f>IFERROR(__xludf.DUMMYFUNCTION("""COMPUTED_VALUE"""),"Shooter")</f>
        <v>Shooter</v>
      </c>
      <c r="N261" s="72"/>
      <c r="O261" s="73" t="str">
        <f>IFERROR(__xludf.DUMMYFUNCTION("""COMPUTED_VALUE"""),"No")</f>
        <v>No</v>
      </c>
      <c r="P261" s="73"/>
    </row>
    <row r="262" hidden="1">
      <c r="A262" s="13" t="str">
        <f>IFERROR(__xludf.DUMMYFUNCTION("""COMPUTED_VALUE"""),"Detroit: Become Human")</f>
        <v>Detroit: Become Human</v>
      </c>
      <c r="B262" s="15" t="str">
        <f>IFERROR(__xludf.DUMMYFUNCTION("""COMPUTED_VALUE"""),"PS4")</f>
        <v>PS4</v>
      </c>
      <c r="C262" s="16" t="str">
        <f>IFERROR(__xludf.DUMMYFUNCTION("""COMPUTED_VALUE"""),"Playstation Plus (Discontinued)")</f>
        <v>Playstation Plus (Discontinued)</v>
      </c>
      <c r="D262" s="15" t="str">
        <f>IFERROR(__xludf.DUMMYFUNCTION("""COMPUTED_VALUE"""),"Removed")</f>
        <v>Removed</v>
      </c>
      <c r="E262" s="17">
        <f>IFERROR(__xludf.DUMMYFUNCTION("""COMPUTED_VALUE"""),43648.0)</f>
        <v>43648</v>
      </c>
      <c r="F262" s="18">
        <f>IFERROR(__xludf.DUMMYFUNCTION("""COMPUTED_VALUE"""),43682.0)</f>
        <v>43682</v>
      </c>
      <c r="G262" s="19">
        <f>IFERROR(__xludf.DUMMYFUNCTION("""COMPUTED_VALUE"""),1.0999999999999999)</f>
        <v>1.1</v>
      </c>
      <c r="H262" s="17">
        <f>IFERROR(__xludf.DUMMYFUNCTION("""COMPUTED_VALUE"""),43245.0)</f>
        <v>43245</v>
      </c>
      <c r="I262" s="19">
        <f>IFERROR(__xludf.DUMMYFUNCTION("""COMPUTED_VALUE"""),1.1027777777777779)</f>
        <v>1.102777778</v>
      </c>
      <c r="J262" s="21">
        <f>IFERROR(__xludf.DUMMYFUNCTION("""COMPUTED_VALUE"""),78.0)</f>
        <v>78</v>
      </c>
      <c r="K262" s="23">
        <f>IFERROR(__xludf.DUMMYFUNCTION("""COMPUTED_VALUE"""),8.3)</f>
        <v>8.3</v>
      </c>
      <c r="L262" s="24">
        <f>IFERROR(__xludf.DUMMYFUNCTION("""COMPUTED_VALUE"""),10.0)</f>
        <v>10</v>
      </c>
      <c r="M262" s="25" t="str">
        <f>IFERROR(__xludf.DUMMYFUNCTION("""COMPUTED_VALUE"""),"Action-Adventure")</f>
        <v>Action-Adventure</v>
      </c>
      <c r="N262" s="25"/>
      <c r="O262" s="26" t="str">
        <f>IFERROR(__xludf.DUMMYFUNCTION("""COMPUTED_VALUE"""),"No")</f>
        <v>No</v>
      </c>
      <c r="P262" s="26"/>
    </row>
    <row r="263" hidden="1">
      <c r="A263" s="13" t="str">
        <f>IFERROR(__xludf.DUMMYFUNCTION("""COMPUTED_VALUE"""),"Heavy Rain")</f>
        <v>Heavy Rain</v>
      </c>
      <c r="B263" s="15" t="str">
        <f>IFERROR(__xludf.DUMMYFUNCTION("""COMPUTED_VALUE"""),"PS4")</f>
        <v>PS4</v>
      </c>
      <c r="C263" s="16" t="str">
        <f>IFERROR(__xludf.DUMMYFUNCTION("""COMPUTED_VALUE"""),"Playstation Plus (Discontinued)")</f>
        <v>Playstation Plus (Discontinued)</v>
      </c>
      <c r="D263" s="15" t="str">
        <f>IFERROR(__xludf.DUMMYFUNCTION("""COMPUTED_VALUE"""),"Removed")</f>
        <v>Removed</v>
      </c>
      <c r="E263" s="17">
        <f>IFERROR(__xludf.DUMMYFUNCTION("""COMPUTED_VALUE"""),43648.0)</f>
        <v>43648</v>
      </c>
      <c r="F263" s="54">
        <f>IFERROR(__xludf.DUMMYFUNCTION("""COMPUTED_VALUE"""),43682.0)</f>
        <v>43682</v>
      </c>
      <c r="G263" s="19">
        <f>IFERROR(__xludf.DUMMYFUNCTION("""COMPUTED_VALUE"""),1.0999999999999999)</f>
        <v>1.1</v>
      </c>
      <c r="H263" s="17">
        <f>IFERROR(__xludf.DUMMYFUNCTION("""COMPUTED_VALUE"""),40232.0)</f>
        <v>40232</v>
      </c>
      <c r="I263" s="19">
        <f>IFERROR(__xludf.DUMMYFUNCTION("""COMPUTED_VALUE"""),9.358333333333333)</f>
        <v>9.358333333</v>
      </c>
      <c r="J263" s="21">
        <f>IFERROR(__xludf.DUMMYFUNCTION("""COMPUTED_VALUE"""),78.0)</f>
        <v>78</v>
      </c>
      <c r="K263" s="23">
        <f>IFERROR(__xludf.DUMMYFUNCTION("""COMPUTED_VALUE"""),8.2)</f>
        <v>8.2</v>
      </c>
      <c r="L263" s="24">
        <f>IFERROR(__xludf.DUMMYFUNCTION("""COMPUTED_VALUE"""),10.0)</f>
        <v>10</v>
      </c>
      <c r="M263" s="25" t="str">
        <f>IFERROR(__xludf.DUMMYFUNCTION("""COMPUTED_VALUE"""),"Action-Adventure")</f>
        <v>Action-Adventure</v>
      </c>
      <c r="N263" s="25"/>
      <c r="O263" s="26" t="str">
        <f>IFERROR(__xludf.DUMMYFUNCTION("""COMPUTED_VALUE"""),"No")</f>
        <v>No</v>
      </c>
      <c r="P263" s="26"/>
    </row>
    <row r="264">
      <c r="A264" s="13" t="str">
        <f>IFERROR(__xludf.DUMMYFUNCTION("""COMPUTED_VALUE"""),"Horizon Chase Turbo")</f>
        <v>Horizon Chase Turbo</v>
      </c>
      <c r="B264" s="15" t="str">
        <f>IFERROR(__xludf.DUMMYFUNCTION("""COMPUTED_VALUE"""),"PS4")</f>
        <v>PS4</v>
      </c>
      <c r="C264" s="16" t="str">
        <f>IFERROR(__xludf.DUMMYFUNCTION("""COMPUTED_VALUE"""),"Playstation Plus (Discontinued)")</f>
        <v>Playstation Plus (Discontinued)</v>
      </c>
      <c r="D264" s="15" t="str">
        <f>IFERROR(__xludf.DUMMYFUNCTION("""COMPUTED_VALUE"""),"Removed")</f>
        <v>Removed</v>
      </c>
      <c r="E264" s="17">
        <f>IFERROR(__xludf.DUMMYFUNCTION("""COMPUTED_VALUE"""),43648.0)</f>
        <v>43648</v>
      </c>
      <c r="F264" s="54">
        <f>IFERROR(__xludf.DUMMYFUNCTION("""COMPUTED_VALUE"""),43682.0)</f>
        <v>43682</v>
      </c>
      <c r="G264" s="19">
        <f>IFERROR(__xludf.DUMMYFUNCTION("""COMPUTED_VALUE"""),1.0999999999999999)</f>
        <v>1.1</v>
      </c>
      <c r="H264" s="17">
        <f>IFERROR(__xludf.DUMMYFUNCTION("""COMPUTED_VALUE"""),43235.0)</f>
        <v>43235</v>
      </c>
      <c r="I264" s="19">
        <f>IFERROR(__xludf.DUMMYFUNCTION("""COMPUTED_VALUE"""),1.1305555555555555)</f>
        <v>1.130555556</v>
      </c>
      <c r="J264" s="21">
        <f>IFERROR(__xludf.DUMMYFUNCTION("""COMPUTED_VALUE"""),77.0)</f>
        <v>77</v>
      </c>
      <c r="K264" s="23">
        <f>IFERROR(__xludf.DUMMYFUNCTION("""COMPUTED_VALUE"""),7.7)</f>
        <v>7.7</v>
      </c>
      <c r="L264" s="24">
        <f>IFERROR(__xludf.DUMMYFUNCTION("""COMPUTED_VALUE"""),4.0)</f>
        <v>4</v>
      </c>
      <c r="M264" s="25" t="str">
        <f>IFERROR(__xludf.DUMMYFUNCTION("""COMPUTED_VALUE"""),"Racing")</f>
        <v>Racing</v>
      </c>
      <c r="N264" s="25"/>
      <c r="O264" s="26" t="str">
        <f>IFERROR(__xludf.DUMMYFUNCTION("""COMPUTED_VALUE"""),"No")</f>
        <v>No</v>
      </c>
      <c r="P264" s="26"/>
    </row>
    <row r="265">
      <c r="A265" s="13" t="str">
        <f>IFERROR(__xludf.DUMMYFUNCTION("""COMPUTED_VALUE"""),"Borderlands: The Handsome Collection")</f>
        <v>Borderlands: The Handsome Collection</v>
      </c>
      <c r="B265" s="15" t="str">
        <f>IFERROR(__xludf.DUMMYFUNCTION("""COMPUTED_VALUE"""),"PS4")</f>
        <v>PS4</v>
      </c>
      <c r="C265" s="16" t="str">
        <f>IFERROR(__xludf.DUMMYFUNCTION("""COMPUTED_VALUE"""),"Playstation Plus (Discontinued)")</f>
        <v>Playstation Plus (Discontinued)</v>
      </c>
      <c r="D265" s="15" t="str">
        <f>IFERROR(__xludf.DUMMYFUNCTION("""COMPUTED_VALUE"""),"Removed")</f>
        <v>Removed</v>
      </c>
      <c r="E265" s="17">
        <f>IFERROR(__xludf.DUMMYFUNCTION("""COMPUTED_VALUE"""),43620.0)</f>
        <v>43620</v>
      </c>
      <c r="F265" s="54">
        <f>IFERROR(__xludf.DUMMYFUNCTION("""COMPUTED_VALUE"""),43647.0)</f>
        <v>43647</v>
      </c>
      <c r="G265" s="19">
        <f>IFERROR(__xludf.DUMMYFUNCTION("""COMPUTED_VALUE"""),0.8999999999999999)</f>
        <v>0.9</v>
      </c>
      <c r="H265" s="17">
        <f>IFERROR(__xludf.DUMMYFUNCTION("""COMPUTED_VALUE"""),42087.0)</f>
        <v>42087</v>
      </c>
      <c r="I265" s="19">
        <f>IFERROR(__xludf.DUMMYFUNCTION("""COMPUTED_VALUE"""),4.194444444444445)</f>
        <v>4.194444444</v>
      </c>
      <c r="J265" s="21">
        <f>IFERROR(__xludf.DUMMYFUNCTION("""COMPUTED_VALUE"""),82.0)</f>
        <v>82</v>
      </c>
      <c r="K265" s="23">
        <f>IFERROR(__xludf.DUMMYFUNCTION("""COMPUTED_VALUE"""),7.8)</f>
        <v>7.8</v>
      </c>
      <c r="L265" s="24">
        <f>IFERROR(__xludf.DUMMYFUNCTION("""COMPUTED_VALUE"""),59.0)</f>
        <v>59</v>
      </c>
      <c r="M265" s="25" t="str">
        <f>IFERROR(__xludf.DUMMYFUNCTION("""COMPUTED_VALUE"""),"Shooter")</f>
        <v>Shooter</v>
      </c>
      <c r="N265" s="25"/>
      <c r="O265" s="26" t="str">
        <f>IFERROR(__xludf.DUMMYFUNCTION("""COMPUTED_VALUE"""),"No")</f>
        <v>No</v>
      </c>
      <c r="P265" s="26"/>
    </row>
    <row r="266">
      <c r="A266" s="13" t="str">
        <f>IFERROR(__xludf.DUMMYFUNCTION("""COMPUTED_VALUE"""),"Sonic Mania")</f>
        <v>Sonic Mania</v>
      </c>
      <c r="B266" s="15" t="str">
        <f>IFERROR(__xludf.DUMMYFUNCTION("""COMPUTED_VALUE"""),"PS4")</f>
        <v>PS4</v>
      </c>
      <c r="C266" s="16" t="str">
        <f>IFERROR(__xludf.DUMMYFUNCTION("""COMPUTED_VALUE"""),"Playstation Plus (Discontinued)")</f>
        <v>Playstation Plus (Discontinued)</v>
      </c>
      <c r="D266" s="15" t="str">
        <f>IFERROR(__xludf.DUMMYFUNCTION("""COMPUTED_VALUE"""),"Removed")</f>
        <v>Removed</v>
      </c>
      <c r="E266" s="17">
        <f>IFERROR(__xludf.DUMMYFUNCTION("""COMPUTED_VALUE"""),43620.0)</f>
        <v>43620</v>
      </c>
      <c r="F266" s="54">
        <f>IFERROR(__xludf.DUMMYFUNCTION("""COMPUTED_VALUE"""),43647.0)</f>
        <v>43647</v>
      </c>
      <c r="G266" s="19">
        <f>IFERROR(__xludf.DUMMYFUNCTION("""COMPUTED_VALUE"""),0.8999999999999999)</f>
        <v>0.9</v>
      </c>
      <c r="H266" s="17">
        <f>IFERROR(__xludf.DUMMYFUNCTION("""COMPUTED_VALUE"""),42962.0)</f>
        <v>42962</v>
      </c>
      <c r="I266" s="19">
        <f>IFERROR(__xludf.DUMMYFUNCTION("""COMPUTED_VALUE"""),1.8027777777777778)</f>
        <v>1.802777778</v>
      </c>
      <c r="J266" s="21">
        <f>IFERROR(__xludf.DUMMYFUNCTION("""COMPUTED_VALUE"""),86.0)</f>
        <v>86</v>
      </c>
      <c r="K266" s="23">
        <f>IFERROR(__xludf.DUMMYFUNCTION("""COMPUTED_VALUE"""),8.5)</f>
        <v>8.5</v>
      </c>
      <c r="L266" s="24">
        <f>IFERROR(__xludf.DUMMYFUNCTION("""COMPUTED_VALUE"""),6.0)</f>
        <v>6</v>
      </c>
      <c r="M266" s="25" t="str">
        <f>IFERROR(__xludf.DUMMYFUNCTION("""COMPUTED_VALUE"""),"Platformer")</f>
        <v>Platformer</v>
      </c>
      <c r="N266" s="25"/>
      <c r="O266" s="26" t="str">
        <f>IFERROR(__xludf.DUMMYFUNCTION("""COMPUTED_VALUE"""),"No")</f>
        <v>No</v>
      </c>
      <c r="P266" s="26"/>
    </row>
    <row r="267" hidden="1">
      <c r="A267" s="13" t="str">
        <f>IFERROR(__xludf.DUMMYFUNCTION("""COMPUTED_VALUE"""),"Overcooked")</f>
        <v>Overcooked</v>
      </c>
      <c r="B267" s="15" t="str">
        <f>IFERROR(__xludf.DUMMYFUNCTION("""COMPUTED_VALUE"""),"PS4")</f>
        <v>PS4</v>
      </c>
      <c r="C267" s="16" t="str">
        <f>IFERROR(__xludf.DUMMYFUNCTION("""COMPUTED_VALUE"""),"Playstation Plus (Discontinued)")</f>
        <v>Playstation Plus (Discontinued)</v>
      </c>
      <c r="D267" s="15" t="str">
        <f>IFERROR(__xludf.DUMMYFUNCTION("""COMPUTED_VALUE"""),"Removed")</f>
        <v>Removed</v>
      </c>
      <c r="E267" s="17">
        <f>IFERROR(__xludf.DUMMYFUNCTION("""COMPUTED_VALUE"""),43592.0)</f>
        <v>43592</v>
      </c>
      <c r="F267" s="54">
        <f>IFERROR(__xludf.DUMMYFUNCTION("""COMPUTED_VALUE"""),43619.0)</f>
        <v>43619</v>
      </c>
      <c r="G267" s="19">
        <f>IFERROR(__xludf.DUMMYFUNCTION("""COMPUTED_VALUE"""),0.8666666666666666)</f>
        <v>0.8666666667</v>
      </c>
      <c r="H267" s="17">
        <f>IFERROR(__xludf.DUMMYFUNCTION("""COMPUTED_VALUE"""),42585.0)</f>
        <v>42585</v>
      </c>
      <c r="I267" s="19">
        <f>IFERROR(__xludf.DUMMYFUNCTION("""COMPUTED_VALUE"""),2.761111111111111)</f>
        <v>2.761111111</v>
      </c>
      <c r="J267" s="21">
        <f>IFERROR(__xludf.DUMMYFUNCTION("""COMPUTED_VALUE"""),78.0)</f>
        <v>78</v>
      </c>
      <c r="K267" s="23">
        <f>IFERROR(__xludf.DUMMYFUNCTION("""COMPUTED_VALUE"""),7.6)</f>
        <v>7.6</v>
      </c>
      <c r="L267" s="24">
        <f>IFERROR(__xludf.DUMMYFUNCTION("""COMPUTED_VALUE"""),4.0)</f>
        <v>4</v>
      </c>
      <c r="M267" s="25" t="str">
        <f>IFERROR(__xludf.DUMMYFUNCTION("""COMPUTED_VALUE"""),"Simulation")</f>
        <v>Simulation</v>
      </c>
      <c r="N267" s="25"/>
      <c r="O267" s="26" t="str">
        <f>IFERROR(__xludf.DUMMYFUNCTION("""COMPUTED_VALUE"""),"No")</f>
        <v>No</v>
      </c>
      <c r="P267" s="26"/>
    </row>
    <row r="268" hidden="1">
      <c r="A268" s="13" t="str">
        <f>IFERROR(__xludf.DUMMYFUNCTION("""COMPUTED_VALUE"""),"What Remains of Edith Finch")</f>
        <v>What Remains of Edith Finch</v>
      </c>
      <c r="B268" s="15" t="str">
        <f>IFERROR(__xludf.DUMMYFUNCTION("""COMPUTED_VALUE"""),"PS4")</f>
        <v>PS4</v>
      </c>
      <c r="C268" s="16" t="str">
        <f>IFERROR(__xludf.DUMMYFUNCTION("""COMPUTED_VALUE"""),"Playstation Plus (Discontinued)")</f>
        <v>Playstation Plus (Discontinued)</v>
      </c>
      <c r="D268" s="15" t="str">
        <f>IFERROR(__xludf.DUMMYFUNCTION("""COMPUTED_VALUE"""),"Removed")</f>
        <v>Removed</v>
      </c>
      <c r="E268" s="17">
        <f>IFERROR(__xludf.DUMMYFUNCTION("""COMPUTED_VALUE"""),43592.0)</f>
        <v>43592</v>
      </c>
      <c r="F268" s="54">
        <f>IFERROR(__xludf.DUMMYFUNCTION("""COMPUTED_VALUE"""),43619.0)</f>
        <v>43619</v>
      </c>
      <c r="G268" s="19">
        <f>IFERROR(__xludf.DUMMYFUNCTION("""COMPUTED_VALUE"""),0.8666666666666666)</f>
        <v>0.8666666667</v>
      </c>
      <c r="H268" s="17">
        <f>IFERROR(__xludf.DUMMYFUNCTION("""COMPUTED_VALUE"""),42850.0)</f>
        <v>42850</v>
      </c>
      <c r="I268" s="19">
        <f>IFERROR(__xludf.DUMMYFUNCTION("""COMPUTED_VALUE"""),2.033333333333333)</f>
        <v>2.033333333</v>
      </c>
      <c r="J268" s="21">
        <f>IFERROR(__xludf.DUMMYFUNCTION("""COMPUTED_VALUE"""),88.0)</f>
        <v>88</v>
      </c>
      <c r="K268" s="23">
        <f>IFERROR(__xludf.DUMMYFUNCTION("""COMPUTED_VALUE"""),8.3)</f>
        <v>8.3</v>
      </c>
      <c r="L268" s="24">
        <f>IFERROR(__xludf.DUMMYFUNCTION("""COMPUTED_VALUE"""),2.0)</f>
        <v>2</v>
      </c>
      <c r="M268" s="25" t="str">
        <f>IFERROR(__xludf.DUMMYFUNCTION("""COMPUTED_VALUE"""),"Action-Adventure")</f>
        <v>Action-Adventure</v>
      </c>
      <c r="N268" s="25"/>
      <c r="O268" s="26" t="str">
        <f>IFERROR(__xludf.DUMMYFUNCTION("""COMPUTED_VALUE"""),"No")</f>
        <v>No</v>
      </c>
      <c r="P268" s="26"/>
    </row>
    <row r="269">
      <c r="A269" s="13" t="str">
        <f>IFERROR(__xludf.DUMMYFUNCTION("""COMPUTED_VALUE"""),"The Surge")</f>
        <v>The Surge</v>
      </c>
      <c r="B269" s="15" t="str">
        <f>IFERROR(__xludf.DUMMYFUNCTION("""COMPUTED_VALUE"""),"PS4")</f>
        <v>PS4</v>
      </c>
      <c r="C269" s="16" t="str">
        <f>IFERROR(__xludf.DUMMYFUNCTION("""COMPUTED_VALUE"""),"Playstation Plus (Discontinued)")</f>
        <v>Playstation Plus (Discontinued)</v>
      </c>
      <c r="D269" s="15" t="str">
        <f>IFERROR(__xludf.DUMMYFUNCTION("""COMPUTED_VALUE"""),"Removed")</f>
        <v>Removed</v>
      </c>
      <c r="E269" s="17">
        <f>IFERROR(__xludf.DUMMYFUNCTION("""COMPUTED_VALUE"""),43557.0)</f>
        <v>43557</v>
      </c>
      <c r="F269" s="54">
        <f>IFERROR(__xludf.DUMMYFUNCTION("""COMPUTED_VALUE"""),43591.0)</f>
        <v>43591</v>
      </c>
      <c r="G269" s="19">
        <f>IFERROR(__xludf.DUMMYFUNCTION("""COMPUTED_VALUE"""),1.1333333333333333)</f>
        <v>1.133333333</v>
      </c>
      <c r="H269" s="17">
        <f>IFERROR(__xludf.DUMMYFUNCTION("""COMPUTED_VALUE"""),42871.0)</f>
        <v>42871</v>
      </c>
      <c r="I269" s="19">
        <f>IFERROR(__xludf.DUMMYFUNCTION("""COMPUTED_VALUE"""),1.8777777777777778)</f>
        <v>1.877777778</v>
      </c>
      <c r="J269" s="21">
        <f>IFERROR(__xludf.DUMMYFUNCTION("""COMPUTED_VALUE"""),73.0)</f>
        <v>73</v>
      </c>
      <c r="K269" s="23">
        <f>IFERROR(__xludf.DUMMYFUNCTION("""COMPUTED_VALUE"""),7.3)</f>
        <v>7.3</v>
      </c>
      <c r="L269" s="24">
        <f>IFERROR(__xludf.DUMMYFUNCTION("""COMPUTED_VALUE"""),22.0)</f>
        <v>22</v>
      </c>
      <c r="M269" s="25" t="str">
        <f>IFERROR(__xludf.DUMMYFUNCTION("""COMPUTED_VALUE"""),"Action-Adventure")</f>
        <v>Action-Adventure</v>
      </c>
      <c r="N269" s="25"/>
      <c r="O269" s="26" t="str">
        <f>IFERROR(__xludf.DUMMYFUNCTION("""COMPUTED_VALUE"""),"No")</f>
        <v>No</v>
      </c>
      <c r="P269" s="26"/>
    </row>
    <row r="270" hidden="1">
      <c r="A270" s="13" t="str">
        <f>IFERROR(__xludf.DUMMYFUNCTION("""COMPUTED_VALUE"""),"Conan: Exiles")</f>
        <v>Conan: Exiles</v>
      </c>
      <c r="B270" s="15" t="str">
        <f>IFERROR(__xludf.DUMMYFUNCTION("""COMPUTED_VALUE"""),"PS4")</f>
        <v>PS4</v>
      </c>
      <c r="C270" s="16" t="str">
        <f>IFERROR(__xludf.DUMMYFUNCTION("""COMPUTED_VALUE"""),"Playstation Plus (Discontinued)")</f>
        <v>Playstation Plus (Discontinued)</v>
      </c>
      <c r="D270" s="15" t="str">
        <f>IFERROR(__xludf.DUMMYFUNCTION("""COMPUTED_VALUE"""),"Removed")</f>
        <v>Removed</v>
      </c>
      <c r="E270" s="17">
        <f>IFERROR(__xludf.DUMMYFUNCTION("""COMPUTED_VALUE"""),43557.0)</f>
        <v>43557</v>
      </c>
      <c r="F270" s="54">
        <f>IFERROR(__xludf.DUMMYFUNCTION("""COMPUTED_VALUE"""),43591.0)</f>
        <v>43591</v>
      </c>
      <c r="G270" s="19">
        <f>IFERROR(__xludf.DUMMYFUNCTION("""COMPUTED_VALUE"""),1.1333333333333333)</f>
        <v>1.133333333</v>
      </c>
      <c r="H270" s="17">
        <f>IFERROR(__xludf.DUMMYFUNCTION("""COMPUTED_VALUE"""),43228.0)</f>
        <v>43228</v>
      </c>
      <c r="I270" s="19">
        <f>IFERROR(__xludf.DUMMYFUNCTION("""COMPUTED_VALUE"""),0.9)</f>
        <v>0.9</v>
      </c>
      <c r="J270" s="21">
        <f>IFERROR(__xludf.DUMMYFUNCTION("""COMPUTED_VALUE"""),68.0)</f>
        <v>68</v>
      </c>
      <c r="K270" s="23">
        <f>IFERROR(__xludf.DUMMYFUNCTION("""COMPUTED_VALUE"""),6.3)</f>
        <v>6.3</v>
      </c>
      <c r="L270" s="24"/>
      <c r="M270" s="25" t="str">
        <f>IFERROR(__xludf.DUMMYFUNCTION("""COMPUTED_VALUE"""),"Survival")</f>
        <v>Survival</v>
      </c>
      <c r="N270" s="25"/>
      <c r="O270" s="26" t="str">
        <f>IFERROR(__xludf.DUMMYFUNCTION("""COMPUTED_VALUE"""),"No")</f>
        <v>No</v>
      </c>
      <c r="P270" s="26"/>
    </row>
    <row r="271">
      <c r="A271" s="13" t="str">
        <f>IFERROR(__xludf.DUMMYFUNCTION("""COMPUTED_VALUE"""),"Call of Duty: Modern Warfare Remastered")</f>
        <v>Call of Duty: Modern Warfare Remastered</v>
      </c>
      <c r="B271" s="15" t="str">
        <f>IFERROR(__xludf.DUMMYFUNCTION("""COMPUTED_VALUE"""),"PS4")</f>
        <v>PS4</v>
      </c>
      <c r="C271" s="16" t="str">
        <f>IFERROR(__xludf.DUMMYFUNCTION("""COMPUTED_VALUE"""),"Playstation Plus (Discontinued)")</f>
        <v>Playstation Plus (Discontinued)</v>
      </c>
      <c r="D271" s="15" t="str">
        <f>IFERROR(__xludf.DUMMYFUNCTION("""COMPUTED_VALUE"""),"Removed")</f>
        <v>Removed</v>
      </c>
      <c r="E271" s="17">
        <f>IFERROR(__xludf.DUMMYFUNCTION("""COMPUTED_VALUE"""),43529.0)</f>
        <v>43529</v>
      </c>
      <c r="F271" s="54">
        <f>IFERROR(__xludf.DUMMYFUNCTION("""COMPUTED_VALUE"""),43556.0)</f>
        <v>43556</v>
      </c>
      <c r="G271" s="19">
        <f>IFERROR(__xludf.DUMMYFUNCTION("""COMPUTED_VALUE"""),0.8666666666666666)</f>
        <v>0.8666666667</v>
      </c>
      <c r="H271" s="17">
        <f>IFERROR(__xludf.DUMMYFUNCTION("""COMPUTED_VALUE"""),42678.0)</f>
        <v>42678</v>
      </c>
      <c r="I271" s="19">
        <f>IFERROR(__xludf.DUMMYFUNCTION("""COMPUTED_VALUE"""),2.3361111111111112)</f>
        <v>2.336111111</v>
      </c>
      <c r="J271" s="21">
        <f>IFERROR(__xludf.DUMMYFUNCTION("""COMPUTED_VALUE"""),83.0)</f>
        <v>83</v>
      </c>
      <c r="K271" s="23">
        <f>IFERROR(__xludf.DUMMYFUNCTION("""COMPUTED_VALUE"""),7.7)</f>
        <v>7.7</v>
      </c>
      <c r="L271" s="24">
        <f>IFERROR(__xludf.DUMMYFUNCTION("""COMPUTED_VALUE"""),7.0)</f>
        <v>7</v>
      </c>
      <c r="M271" s="25" t="str">
        <f>IFERROR(__xludf.DUMMYFUNCTION("""COMPUTED_VALUE"""),"Shooter")</f>
        <v>Shooter</v>
      </c>
      <c r="N271" s="25"/>
      <c r="O271" s="26" t="str">
        <f>IFERROR(__xludf.DUMMYFUNCTION("""COMPUTED_VALUE"""),"No")</f>
        <v>No</v>
      </c>
      <c r="P271" s="26"/>
    </row>
    <row r="272">
      <c r="A272" s="13" t="str">
        <f>IFERROR(__xludf.DUMMYFUNCTION("""COMPUTED_VALUE"""),"The Witness")</f>
        <v>The Witness</v>
      </c>
      <c r="B272" s="15" t="str">
        <f>IFERROR(__xludf.DUMMYFUNCTION("""COMPUTED_VALUE"""),"PS4")</f>
        <v>PS4</v>
      </c>
      <c r="C272" s="16" t="str">
        <f>IFERROR(__xludf.DUMMYFUNCTION("""COMPUTED_VALUE"""),"Playstation Plus (Discontinued)")</f>
        <v>Playstation Plus (Discontinued)</v>
      </c>
      <c r="D272" s="15" t="str">
        <f>IFERROR(__xludf.DUMMYFUNCTION("""COMPUTED_VALUE"""),"Removed")</f>
        <v>Removed</v>
      </c>
      <c r="E272" s="17">
        <f>IFERROR(__xludf.DUMMYFUNCTION("""COMPUTED_VALUE"""),43529.0)</f>
        <v>43529</v>
      </c>
      <c r="F272" s="54">
        <f>IFERROR(__xludf.DUMMYFUNCTION("""COMPUTED_VALUE"""),43556.0)</f>
        <v>43556</v>
      </c>
      <c r="G272" s="19">
        <f>IFERROR(__xludf.DUMMYFUNCTION("""COMPUTED_VALUE"""),0.8666666666666666)</f>
        <v>0.8666666667</v>
      </c>
      <c r="H272" s="17">
        <f>IFERROR(__xludf.DUMMYFUNCTION("""COMPUTED_VALUE"""),42395.0)</f>
        <v>42395</v>
      </c>
      <c r="I272" s="19">
        <f>IFERROR(__xludf.DUMMYFUNCTION("""COMPUTED_VALUE"""),3.1083333333333334)</f>
        <v>3.108333333</v>
      </c>
      <c r="J272" s="21">
        <f>IFERROR(__xludf.DUMMYFUNCTION("""COMPUTED_VALUE"""),87.0)</f>
        <v>87</v>
      </c>
      <c r="K272" s="23">
        <f>IFERROR(__xludf.DUMMYFUNCTION("""COMPUTED_VALUE"""),8.0)</f>
        <v>8</v>
      </c>
      <c r="L272" s="24">
        <f>IFERROR(__xludf.DUMMYFUNCTION("""COMPUTED_VALUE"""),18.0)</f>
        <v>18</v>
      </c>
      <c r="M272" s="25" t="str">
        <f>IFERROR(__xludf.DUMMYFUNCTION("""COMPUTED_VALUE"""),"Puzzle")</f>
        <v>Puzzle</v>
      </c>
      <c r="N272" s="25"/>
      <c r="O272" s="26" t="str">
        <f>IFERROR(__xludf.DUMMYFUNCTION("""COMPUTED_VALUE"""),"No")</f>
        <v>No</v>
      </c>
      <c r="P272" s="26"/>
    </row>
    <row r="273" hidden="1">
      <c r="A273" s="13" t="str">
        <f>IFERROR(__xludf.DUMMYFUNCTION("""COMPUTED_VALUE"""),"For Honor")</f>
        <v>For Honor</v>
      </c>
      <c r="B273" s="15" t="str">
        <f>IFERROR(__xludf.DUMMYFUNCTION("""COMPUTED_VALUE"""),"PS4")</f>
        <v>PS4</v>
      </c>
      <c r="C273" s="16" t="str">
        <f>IFERROR(__xludf.DUMMYFUNCTION("""COMPUTED_VALUE"""),"Playstation Plus (Discontinued)")</f>
        <v>Playstation Plus (Discontinued)</v>
      </c>
      <c r="D273" s="15" t="str">
        <f>IFERROR(__xludf.DUMMYFUNCTION("""COMPUTED_VALUE"""),"Removed")</f>
        <v>Removed</v>
      </c>
      <c r="E273" s="17">
        <f>IFERROR(__xludf.DUMMYFUNCTION("""COMPUTED_VALUE"""),43501.0)</f>
        <v>43501</v>
      </c>
      <c r="F273" s="18">
        <f>IFERROR(__xludf.DUMMYFUNCTION("""COMPUTED_VALUE"""),43528.0)</f>
        <v>43528</v>
      </c>
      <c r="G273" s="19">
        <f>IFERROR(__xludf.DUMMYFUNCTION("""COMPUTED_VALUE"""),0.9666666666666668)</f>
        <v>0.9666666667</v>
      </c>
      <c r="H273" s="17">
        <f>IFERROR(__xludf.DUMMYFUNCTION("""COMPUTED_VALUE"""),42780.0)</f>
        <v>42780</v>
      </c>
      <c r="I273" s="19">
        <f>IFERROR(__xludf.DUMMYFUNCTION("""COMPUTED_VALUE"""),1.975)</f>
        <v>1.975</v>
      </c>
      <c r="J273" s="21">
        <f>IFERROR(__xludf.DUMMYFUNCTION("""COMPUTED_VALUE"""),78.0)</f>
        <v>78</v>
      </c>
      <c r="K273" s="23">
        <f>IFERROR(__xludf.DUMMYFUNCTION("""COMPUTED_VALUE"""),6.8)</f>
        <v>6.8</v>
      </c>
      <c r="L273" s="24">
        <f>IFERROR(__xludf.DUMMYFUNCTION("""COMPUTED_VALUE"""),6.0)</f>
        <v>6</v>
      </c>
      <c r="M273" s="25" t="str">
        <f>IFERROR(__xludf.DUMMYFUNCTION("""COMPUTED_VALUE"""),"Action-Adventure")</f>
        <v>Action-Adventure</v>
      </c>
      <c r="N273" s="25"/>
      <c r="O273" s="26" t="str">
        <f>IFERROR(__xludf.DUMMYFUNCTION("""COMPUTED_VALUE"""),"No")</f>
        <v>No</v>
      </c>
      <c r="P273" s="26"/>
    </row>
    <row r="274" hidden="1">
      <c r="A274" s="13" t="str">
        <f>IFERROR(__xludf.DUMMYFUNCTION("""COMPUTED_VALUE"""),"Hitman: The Complete First Season")</f>
        <v>Hitman: The Complete First Season</v>
      </c>
      <c r="B274" s="15" t="str">
        <f>IFERROR(__xludf.DUMMYFUNCTION("""COMPUTED_VALUE"""),"PS4")</f>
        <v>PS4</v>
      </c>
      <c r="C274" s="16" t="str">
        <f>IFERROR(__xludf.DUMMYFUNCTION("""COMPUTED_VALUE"""),"Playstation Plus (Discontinued)")</f>
        <v>Playstation Plus (Discontinued)</v>
      </c>
      <c r="D274" s="15" t="str">
        <f>IFERROR(__xludf.DUMMYFUNCTION("""COMPUTED_VALUE"""),"Removed")</f>
        <v>Removed</v>
      </c>
      <c r="E274" s="17">
        <f>IFERROR(__xludf.DUMMYFUNCTION("""COMPUTED_VALUE"""),43501.0)</f>
        <v>43501</v>
      </c>
      <c r="F274" s="54">
        <f>IFERROR(__xludf.DUMMYFUNCTION("""COMPUTED_VALUE"""),43528.0)</f>
        <v>43528</v>
      </c>
      <c r="G274" s="19">
        <f>IFERROR(__xludf.DUMMYFUNCTION("""COMPUTED_VALUE"""),0.9666666666666668)</f>
        <v>0.9666666667</v>
      </c>
      <c r="H274" s="17">
        <f>IFERROR(__xludf.DUMMYFUNCTION("""COMPUTED_VALUE"""),42766.0)</f>
        <v>42766</v>
      </c>
      <c r="I274" s="19">
        <f>IFERROR(__xludf.DUMMYFUNCTION("""COMPUTED_VALUE"""),2.013888888888889)</f>
        <v>2.013888889</v>
      </c>
      <c r="J274" s="21">
        <f>IFERROR(__xludf.DUMMYFUNCTION("""COMPUTED_VALUE"""),84.0)</f>
        <v>84</v>
      </c>
      <c r="K274" s="23">
        <f>IFERROR(__xludf.DUMMYFUNCTION("""COMPUTED_VALUE"""),7.8)</f>
        <v>7.8</v>
      </c>
      <c r="L274" s="24">
        <f>IFERROR(__xludf.DUMMYFUNCTION("""COMPUTED_VALUE"""),10.0)</f>
        <v>10</v>
      </c>
      <c r="M274" s="25" t="str">
        <f>IFERROR(__xludf.DUMMYFUNCTION("""COMPUTED_VALUE"""),"Action-Adventure")</f>
        <v>Action-Adventure</v>
      </c>
      <c r="N274" s="25"/>
      <c r="O274" s="26" t="str">
        <f>IFERROR(__xludf.DUMMYFUNCTION("""COMPUTED_VALUE"""),"No")</f>
        <v>No</v>
      </c>
      <c r="P274" s="26"/>
    </row>
    <row r="275" hidden="1">
      <c r="A275" s="13" t="str">
        <f>IFERROR(__xludf.DUMMYFUNCTION("""COMPUTED_VALUE"""),"Metal Gear Solid 4: Guns of the Patriots")</f>
        <v>Metal Gear Solid 4: Guns of the Patriots</v>
      </c>
      <c r="B275" s="15" t="str">
        <f>IFERROR(__xludf.DUMMYFUNCTION("""COMPUTED_VALUE"""),"PS3")</f>
        <v>PS3</v>
      </c>
      <c r="C275" s="16" t="str">
        <f>IFERROR(__xludf.DUMMYFUNCTION("""COMPUTED_VALUE"""),"Playstation Plus (Discontinued)")</f>
        <v>Playstation Plus (Discontinued)</v>
      </c>
      <c r="D275" s="15" t="str">
        <f>IFERROR(__xludf.DUMMYFUNCTION("""COMPUTED_VALUE"""),"Removed")</f>
        <v>Removed</v>
      </c>
      <c r="E275" s="17">
        <f>IFERROR(__xludf.DUMMYFUNCTION("""COMPUTED_VALUE"""),43501.0)</f>
        <v>43501</v>
      </c>
      <c r="F275" s="54">
        <f>IFERROR(__xludf.DUMMYFUNCTION("""COMPUTED_VALUE"""),43528.0)</f>
        <v>43528</v>
      </c>
      <c r="G275" s="19">
        <f>IFERROR(__xludf.DUMMYFUNCTION("""COMPUTED_VALUE"""),0.9666666666666668)</f>
        <v>0.9666666667</v>
      </c>
      <c r="H275" s="17">
        <f>IFERROR(__xludf.DUMMYFUNCTION("""COMPUTED_VALUE"""),39611.0)</f>
        <v>39611</v>
      </c>
      <c r="I275" s="19">
        <f>IFERROR(__xludf.DUMMYFUNCTION("""COMPUTED_VALUE"""),10.647222222222222)</f>
        <v>10.64722222</v>
      </c>
      <c r="J275" s="21">
        <f>IFERROR(__xludf.DUMMYFUNCTION("""COMPUTED_VALUE"""),94.0)</f>
        <v>94</v>
      </c>
      <c r="K275" s="23">
        <f>IFERROR(__xludf.DUMMYFUNCTION("""COMPUTED_VALUE"""),8.7)</f>
        <v>8.7</v>
      </c>
      <c r="L275" s="24">
        <f>IFERROR(__xludf.DUMMYFUNCTION("""COMPUTED_VALUE"""),18.0)</f>
        <v>18</v>
      </c>
      <c r="M275" s="25" t="str">
        <f>IFERROR(__xludf.DUMMYFUNCTION("""COMPUTED_VALUE"""),"Action-Adventure")</f>
        <v>Action-Adventure</v>
      </c>
      <c r="N275" s="25"/>
      <c r="O275" s="26" t="str">
        <f>IFERROR(__xludf.DUMMYFUNCTION("""COMPUTED_VALUE"""),"No")</f>
        <v>No</v>
      </c>
      <c r="P275" s="26"/>
    </row>
    <row r="276" hidden="1">
      <c r="A276" s="13" t="str">
        <f>IFERROR(__xludf.DUMMYFUNCTION("""COMPUTED_VALUE"""),"Divekick")</f>
        <v>Divekick</v>
      </c>
      <c r="B276" s="15" t="str">
        <f>IFERROR(__xludf.DUMMYFUNCTION("""COMPUTED_VALUE"""),"PS3/Vita")</f>
        <v>PS3/Vita</v>
      </c>
      <c r="C276" s="16" t="str">
        <f>IFERROR(__xludf.DUMMYFUNCTION("""COMPUTED_VALUE"""),"Playstation Plus (Discontinued)")</f>
        <v>Playstation Plus (Discontinued)</v>
      </c>
      <c r="D276" s="15" t="str">
        <f>IFERROR(__xludf.DUMMYFUNCTION("""COMPUTED_VALUE"""),"Removed")</f>
        <v>Removed</v>
      </c>
      <c r="E276" s="17">
        <f>IFERROR(__xludf.DUMMYFUNCTION("""COMPUTED_VALUE"""),43501.0)</f>
        <v>43501</v>
      </c>
      <c r="F276" s="54">
        <f>IFERROR(__xludf.DUMMYFUNCTION("""COMPUTED_VALUE"""),43528.0)</f>
        <v>43528</v>
      </c>
      <c r="G276" s="19">
        <f>IFERROR(__xludf.DUMMYFUNCTION("""COMPUTED_VALUE"""),0.9666666666666668)</f>
        <v>0.9666666667</v>
      </c>
      <c r="H276" s="17">
        <f>IFERROR(__xludf.DUMMYFUNCTION("""COMPUTED_VALUE"""),41506.0)</f>
        <v>41506</v>
      </c>
      <c r="I276" s="19">
        <f>IFERROR(__xludf.DUMMYFUNCTION("""COMPUTED_VALUE"""),5.458333333333333)</f>
        <v>5.458333333</v>
      </c>
      <c r="J276" s="21">
        <f>IFERROR(__xludf.DUMMYFUNCTION("""COMPUTED_VALUE"""),65.0)</f>
        <v>65</v>
      </c>
      <c r="K276" s="23">
        <f>IFERROR(__xludf.DUMMYFUNCTION("""COMPUTED_VALUE"""),7.1)</f>
        <v>7.1</v>
      </c>
      <c r="L276" s="24"/>
      <c r="M276" s="25" t="str">
        <f>IFERROR(__xludf.DUMMYFUNCTION("""COMPUTED_VALUE"""),"Fighting")</f>
        <v>Fighting</v>
      </c>
      <c r="N276" s="25"/>
      <c r="O276" s="26" t="str">
        <f>IFERROR(__xludf.DUMMYFUNCTION("""COMPUTED_VALUE"""),"No")</f>
        <v>No</v>
      </c>
      <c r="P276" s="26"/>
    </row>
    <row r="277">
      <c r="A277" s="13" t="str">
        <f>IFERROR(__xludf.DUMMYFUNCTION("""COMPUTED_VALUE"""),"Gunhouse")</f>
        <v>Gunhouse</v>
      </c>
      <c r="B277" s="15" t="str">
        <f>IFERROR(__xludf.DUMMYFUNCTION("""COMPUTED_VALUE"""),"PS4/Vita")</f>
        <v>PS4/Vita</v>
      </c>
      <c r="C277" s="16" t="str">
        <f>IFERROR(__xludf.DUMMYFUNCTION("""COMPUTED_VALUE"""),"Playstation Plus (Discontinued)")</f>
        <v>Playstation Plus (Discontinued)</v>
      </c>
      <c r="D277" s="15" t="str">
        <f>IFERROR(__xludf.DUMMYFUNCTION("""COMPUTED_VALUE"""),"Removed")</f>
        <v>Removed</v>
      </c>
      <c r="E277" s="17">
        <f>IFERROR(__xludf.DUMMYFUNCTION("""COMPUTED_VALUE"""),43501.0)</f>
        <v>43501</v>
      </c>
      <c r="F277" s="54">
        <f>IFERROR(__xludf.DUMMYFUNCTION("""COMPUTED_VALUE"""),43528.0)</f>
        <v>43528</v>
      </c>
      <c r="G277" s="19">
        <f>IFERROR(__xludf.DUMMYFUNCTION("""COMPUTED_VALUE"""),0.9666666666666668)</f>
        <v>0.9666666667</v>
      </c>
      <c r="H277" s="17">
        <f>IFERROR(__xludf.DUMMYFUNCTION("""COMPUTED_VALUE"""),42706.0)</f>
        <v>42706</v>
      </c>
      <c r="I277" s="19">
        <f>IFERROR(__xludf.DUMMYFUNCTION("""COMPUTED_VALUE"""),2.175)</f>
        <v>2.175</v>
      </c>
      <c r="J277" s="21">
        <f>IFERROR(__xludf.DUMMYFUNCTION("""COMPUTED_VALUE"""),63.0)</f>
        <v>63</v>
      </c>
      <c r="K277" s="23">
        <f>IFERROR(__xludf.DUMMYFUNCTION("""COMPUTED_VALUE"""),6.7)</f>
        <v>6.7</v>
      </c>
      <c r="L277" s="24"/>
      <c r="M277" s="26" t="str">
        <f>IFERROR(__xludf.DUMMYFUNCTION("""COMPUTED_VALUE"""),"Puzzle")</f>
        <v>Puzzle</v>
      </c>
      <c r="N277" s="25"/>
      <c r="O277" s="26" t="str">
        <f>IFERROR(__xludf.DUMMYFUNCTION("""COMPUTED_VALUE"""),"No")</f>
        <v>No</v>
      </c>
      <c r="P277" s="26"/>
    </row>
    <row r="278">
      <c r="A278" s="13" t="str">
        <f>IFERROR(__xludf.DUMMYFUNCTION("""COMPUTED_VALUE"""),"Rogue Aces")</f>
        <v>Rogue Aces</v>
      </c>
      <c r="B278" s="15" t="str">
        <f>IFERROR(__xludf.DUMMYFUNCTION("""COMPUTED_VALUE"""),"PS4/Vita")</f>
        <v>PS4/Vita</v>
      </c>
      <c r="C278" s="16" t="str">
        <f>IFERROR(__xludf.DUMMYFUNCTION("""COMPUTED_VALUE"""),"Playstation Plus (Discontinued)")</f>
        <v>Playstation Plus (Discontinued)</v>
      </c>
      <c r="D278" s="15" t="str">
        <f>IFERROR(__xludf.DUMMYFUNCTION("""COMPUTED_VALUE"""),"Removed")</f>
        <v>Removed</v>
      </c>
      <c r="E278" s="17">
        <f>IFERROR(__xludf.DUMMYFUNCTION("""COMPUTED_VALUE"""),43501.0)</f>
        <v>43501</v>
      </c>
      <c r="F278" s="54">
        <f>IFERROR(__xludf.DUMMYFUNCTION("""COMPUTED_VALUE"""),43528.0)</f>
        <v>43528</v>
      </c>
      <c r="G278" s="19">
        <f>IFERROR(__xludf.DUMMYFUNCTION("""COMPUTED_VALUE"""),0.9666666666666668)</f>
        <v>0.9666666667</v>
      </c>
      <c r="H278" s="17">
        <f>IFERROR(__xludf.DUMMYFUNCTION("""COMPUTED_VALUE"""),43172.0)</f>
        <v>43172</v>
      </c>
      <c r="I278" s="19">
        <f>IFERROR(__xludf.DUMMYFUNCTION("""COMPUTED_VALUE"""),0.8944444444444445)</f>
        <v>0.8944444444</v>
      </c>
      <c r="J278" s="21">
        <f>IFERROR(__xludf.DUMMYFUNCTION("""COMPUTED_VALUE"""),72.0)</f>
        <v>72</v>
      </c>
      <c r="K278" s="23">
        <f>IFERROR(__xludf.DUMMYFUNCTION("""COMPUTED_VALUE"""),6.9)</f>
        <v>6.9</v>
      </c>
      <c r="L278" s="24">
        <f>IFERROR(__xludf.DUMMYFUNCTION("""COMPUTED_VALUE"""),3.0)</f>
        <v>3</v>
      </c>
      <c r="M278" s="25" t="str">
        <f>IFERROR(__xludf.DUMMYFUNCTION("""COMPUTED_VALUE"""),"Shooter")</f>
        <v>Shooter</v>
      </c>
      <c r="N278" s="25"/>
      <c r="O278" s="26" t="str">
        <f>IFERROR(__xludf.DUMMYFUNCTION("""COMPUTED_VALUE"""),"No")</f>
        <v>No</v>
      </c>
      <c r="P278" s="26"/>
    </row>
    <row r="279" hidden="1">
      <c r="A279" s="13" t="str">
        <f>IFERROR(__xludf.DUMMYFUNCTION("""COMPUTED_VALUE"""),"Steep")</f>
        <v>Steep</v>
      </c>
      <c r="B279" s="15" t="str">
        <f>IFERROR(__xludf.DUMMYFUNCTION("""COMPUTED_VALUE"""),"PS4")</f>
        <v>PS4</v>
      </c>
      <c r="C279" s="16" t="str">
        <f>IFERROR(__xludf.DUMMYFUNCTION("""COMPUTED_VALUE"""),"Playstation Plus (Discontinued)")</f>
        <v>Playstation Plus (Discontinued)</v>
      </c>
      <c r="D279" s="15" t="str">
        <f>IFERROR(__xludf.DUMMYFUNCTION("""COMPUTED_VALUE"""),"Removed")</f>
        <v>Removed</v>
      </c>
      <c r="E279" s="17">
        <f>IFERROR(__xludf.DUMMYFUNCTION("""COMPUTED_VALUE"""),43466.0)</f>
        <v>43466</v>
      </c>
      <c r="F279" s="54">
        <f>IFERROR(__xludf.DUMMYFUNCTION("""COMPUTED_VALUE"""),43500.0)</f>
        <v>43500</v>
      </c>
      <c r="G279" s="19">
        <f>IFERROR(__xludf.DUMMYFUNCTION("""COMPUTED_VALUE"""),1.0999999999999999)</f>
        <v>1.1</v>
      </c>
      <c r="H279" s="17">
        <f>IFERROR(__xludf.DUMMYFUNCTION("""COMPUTED_VALUE"""),42706.0)</f>
        <v>42706</v>
      </c>
      <c r="I279" s="19">
        <f>IFERROR(__xludf.DUMMYFUNCTION("""COMPUTED_VALUE"""),2.0805555555555557)</f>
        <v>2.080555556</v>
      </c>
      <c r="J279" s="21">
        <f>IFERROR(__xludf.DUMMYFUNCTION("""COMPUTED_VALUE"""),71.0)</f>
        <v>71</v>
      </c>
      <c r="K279" s="23">
        <f>IFERROR(__xludf.DUMMYFUNCTION("""COMPUTED_VALUE"""),7.0)</f>
        <v>7</v>
      </c>
      <c r="L279" s="24">
        <f>IFERROR(__xludf.DUMMYFUNCTION("""COMPUTED_VALUE"""),12.0)</f>
        <v>12</v>
      </c>
      <c r="M279" s="25" t="str">
        <f>IFERROR(__xludf.DUMMYFUNCTION("""COMPUTED_VALUE"""),"Sports")</f>
        <v>Sports</v>
      </c>
      <c r="N279" s="25"/>
      <c r="O279" s="26" t="str">
        <f>IFERROR(__xludf.DUMMYFUNCTION("""COMPUTED_VALUE"""),"No")</f>
        <v>No</v>
      </c>
      <c r="P279" s="26"/>
    </row>
    <row r="280" hidden="1">
      <c r="A280" s="13" t="str">
        <f>IFERROR(__xludf.DUMMYFUNCTION("""COMPUTED_VALUE"""),"Portal Knights")</f>
        <v>Portal Knights</v>
      </c>
      <c r="B280" s="15" t="str">
        <f>IFERROR(__xludf.DUMMYFUNCTION("""COMPUTED_VALUE"""),"PS4")</f>
        <v>PS4</v>
      </c>
      <c r="C280" s="16" t="str">
        <f>IFERROR(__xludf.DUMMYFUNCTION("""COMPUTED_VALUE"""),"Playstation Plus (Discontinued)")</f>
        <v>Playstation Plus (Discontinued)</v>
      </c>
      <c r="D280" s="15" t="str">
        <f>IFERROR(__xludf.DUMMYFUNCTION("""COMPUTED_VALUE"""),"Removed")</f>
        <v>Removed</v>
      </c>
      <c r="E280" s="17">
        <f>IFERROR(__xludf.DUMMYFUNCTION("""COMPUTED_VALUE"""),43466.0)</f>
        <v>43466</v>
      </c>
      <c r="F280" s="54">
        <f>IFERROR(__xludf.DUMMYFUNCTION("""COMPUTED_VALUE"""),43500.0)</f>
        <v>43500</v>
      </c>
      <c r="G280" s="19">
        <f>IFERROR(__xludf.DUMMYFUNCTION("""COMPUTED_VALUE"""),1.0999999999999999)</f>
        <v>1.1</v>
      </c>
      <c r="H280" s="17">
        <f>IFERROR(__xludf.DUMMYFUNCTION("""COMPUTED_VALUE"""),42878.0)</f>
        <v>42878</v>
      </c>
      <c r="I280" s="19">
        <f>IFERROR(__xludf.DUMMYFUNCTION("""COMPUTED_VALUE"""),1.6055555555555556)</f>
        <v>1.605555556</v>
      </c>
      <c r="J280" s="21">
        <f>IFERROR(__xludf.DUMMYFUNCTION("""COMPUTED_VALUE"""),71.0)</f>
        <v>71</v>
      </c>
      <c r="K280" s="23">
        <f>IFERROR(__xludf.DUMMYFUNCTION("""COMPUTED_VALUE"""),7.3)</f>
        <v>7.3</v>
      </c>
      <c r="L280" s="24">
        <f>IFERROR(__xludf.DUMMYFUNCTION("""COMPUTED_VALUE"""),19.0)</f>
        <v>19</v>
      </c>
      <c r="M280" s="25" t="str">
        <f>IFERROR(__xludf.DUMMYFUNCTION("""COMPUTED_VALUE"""),"Action-Adventure")</f>
        <v>Action-Adventure</v>
      </c>
      <c r="N280" s="25"/>
      <c r="O280" s="26" t="str">
        <f>IFERROR(__xludf.DUMMYFUNCTION("""COMPUTED_VALUE"""),"No")</f>
        <v>No</v>
      </c>
      <c r="P280" s="26"/>
    </row>
    <row r="281" hidden="1">
      <c r="A281" s="13" t="str">
        <f>IFERROR(__xludf.DUMMYFUNCTION("""COMPUTED_VALUE"""),"Zone of the Enders HD Collection")</f>
        <v>Zone of the Enders HD Collection</v>
      </c>
      <c r="B281" s="15" t="str">
        <f>IFERROR(__xludf.DUMMYFUNCTION("""COMPUTED_VALUE"""),"PS3")</f>
        <v>PS3</v>
      </c>
      <c r="C281" s="16" t="str">
        <f>IFERROR(__xludf.DUMMYFUNCTION("""COMPUTED_VALUE"""),"Playstation Plus (Discontinued)")</f>
        <v>Playstation Plus (Discontinued)</v>
      </c>
      <c r="D281" s="15" t="str">
        <f>IFERROR(__xludf.DUMMYFUNCTION("""COMPUTED_VALUE"""),"Removed")</f>
        <v>Removed</v>
      </c>
      <c r="E281" s="17">
        <f>IFERROR(__xludf.DUMMYFUNCTION("""COMPUTED_VALUE"""),43466.0)</f>
        <v>43466</v>
      </c>
      <c r="F281" s="54">
        <f>IFERROR(__xludf.DUMMYFUNCTION("""COMPUTED_VALUE"""),43500.0)</f>
        <v>43500</v>
      </c>
      <c r="G281" s="19">
        <f>IFERROR(__xludf.DUMMYFUNCTION("""COMPUTED_VALUE"""),1.0999999999999999)</f>
        <v>1.1</v>
      </c>
      <c r="H281" s="17">
        <f>IFERROR(__xludf.DUMMYFUNCTION("""COMPUTED_VALUE"""),41212.0)</f>
        <v>41212</v>
      </c>
      <c r="I281" s="19">
        <f>IFERROR(__xludf.DUMMYFUNCTION("""COMPUTED_VALUE"""),6.169444444444444)</f>
        <v>6.169444444</v>
      </c>
      <c r="J281" s="21">
        <f>IFERROR(__xludf.DUMMYFUNCTION("""COMPUTED_VALUE"""),73.0)</f>
        <v>73</v>
      </c>
      <c r="K281" s="23">
        <f>IFERROR(__xludf.DUMMYFUNCTION("""COMPUTED_VALUE"""),7.8)</f>
        <v>7.8</v>
      </c>
      <c r="L281" s="24">
        <f>IFERROR(__xludf.DUMMYFUNCTION("""COMPUTED_VALUE"""),17.0)</f>
        <v>17</v>
      </c>
      <c r="M281" s="25" t="str">
        <f>IFERROR(__xludf.DUMMYFUNCTION("""COMPUTED_VALUE"""),"Action-Adventure")</f>
        <v>Action-Adventure</v>
      </c>
      <c r="N281" s="25"/>
      <c r="O281" s="26" t="str">
        <f>IFERROR(__xludf.DUMMYFUNCTION("""COMPUTED_VALUE"""),"No")</f>
        <v>No</v>
      </c>
      <c r="P281" s="26"/>
    </row>
    <row r="282" hidden="1">
      <c r="A282" s="13" t="str">
        <f>IFERROR(__xludf.DUMMYFUNCTION("""COMPUTED_VALUE"""),"Amplitude")</f>
        <v>Amplitude</v>
      </c>
      <c r="B282" s="15" t="str">
        <f>IFERROR(__xludf.DUMMYFUNCTION("""COMPUTED_VALUE"""),"PS4/PS3")</f>
        <v>PS4/PS3</v>
      </c>
      <c r="C282" s="16" t="str">
        <f>IFERROR(__xludf.DUMMYFUNCTION("""COMPUTED_VALUE"""),"Playstation Plus (Discontinued)")</f>
        <v>Playstation Plus (Discontinued)</v>
      </c>
      <c r="D282" s="15" t="str">
        <f>IFERROR(__xludf.DUMMYFUNCTION("""COMPUTED_VALUE"""),"Removed")</f>
        <v>Removed</v>
      </c>
      <c r="E282" s="17">
        <f>IFERROR(__xludf.DUMMYFUNCTION("""COMPUTED_VALUE"""),43466.0)</f>
        <v>43466</v>
      </c>
      <c r="F282" s="18">
        <f>IFERROR(__xludf.DUMMYFUNCTION("""COMPUTED_VALUE"""),43500.0)</f>
        <v>43500</v>
      </c>
      <c r="G282" s="19">
        <f>IFERROR(__xludf.DUMMYFUNCTION("""COMPUTED_VALUE"""),1.0999999999999999)</f>
        <v>1.1</v>
      </c>
      <c r="H282" s="17">
        <f>IFERROR(__xludf.DUMMYFUNCTION("""COMPUTED_VALUE"""),42374.0)</f>
        <v>42374</v>
      </c>
      <c r="I282" s="19">
        <f>IFERROR(__xludf.DUMMYFUNCTION("""COMPUTED_VALUE"""),2.988888888888889)</f>
        <v>2.988888889</v>
      </c>
      <c r="J282" s="21">
        <f>IFERROR(__xludf.DUMMYFUNCTION("""COMPUTED_VALUE"""),74.0)</f>
        <v>74</v>
      </c>
      <c r="K282" s="23">
        <f>IFERROR(__xludf.DUMMYFUNCTION("""COMPUTED_VALUE"""),7.6)</f>
        <v>7.6</v>
      </c>
      <c r="L282" s="24"/>
      <c r="M282" s="25" t="str">
        <f>IFERROR(__xludf.DUMMYFUNCTION("""COMPUTED_VALUE"""),"Sports")</f>
        <v>Sports</v>
      </c>
      <c r="N282" s="25"/>
      <c r="O282" s="26" t="str">
        <f>IFERROR(__xludf.DUMMYFUNCTION("""COMPUTED_VALUE"""),"No")</f>
        <v>No</v>
      </c>
      <c r="P282" s="26"/>
    </row>
    <row r="283">
      <c r="A283" s="13" t="str">
        <f>IFERROR(__xludf.DUMMYFUNCTION("""COMPUTED_VALUE"""),"Fallen Legion: Flames of Rebellion")</f>
        <v>Fallen Legion: Flames of Rebellion</v>
      </c>
      <c r="B283" s="15" t="str">
        <f>IFERROR(__xludf.DUMMYFUNCTION("""COMPUTED_VALUE"""),"PS4/Vita")</f>
        <v>PS4/Vita</v>
      </c>
      <c r="C283" s="16" t="str">
        <f>IFERROR(__xludf.DUMMYFUNCTION("""COMPUTED_VALUE"""),"Playstation Plus (Discontinued)")</f>
        <v>Playstation Plus (Discontinued)</v>
      </c>
      <c r="D283" s="15" t="str">
        <f>IFERROR(__xludf.DUMMYFUNCTION("""COMPUTED_VALUE"""),"Removed")</f>
        <v>Removed</v>
      </c>
      <c r="E283" s="17">
        <f>IFERROR(__xludf.DUMMYFUNCTION("""COMPUTED_VALUE"""),43466.0)</f>
        <v>43466</v>
      </c>
      <c r="F283" s="54">
        <f>IFERROR(__xludf.DUMMYFUNCTION("""COMPUTED_VALUE"""),43500.0)</f>
        <v>43500</v>
      </c>
      <c r="G283" s="19">
        <f>IFERROR(__xludf.DUMMYFUNCTION("""COMPUTED_VALUE"""),1.0999999999999999)</f>
        <v>1.1</v>
      </c>
      <c r="H283" s="17">
        <f>IFERROR(__xludf.DUMMYFUNCTION("""COMPUTED_VALUE"""),42934.0)</f>
        <v>42934</v>
      </c>
      <c r="I283" s="19">
        <f>IFERROR(__xludf.DUMMYFUNCTION("""COMPUTED_VALUE"""),1.4527777777777777)</f>
        <v>1.452777778</v>
      </c>
      <c r="J283" s="21">
        <f>IFERROR(__xludf.DUMMYFUNCTION("""COMPUTED_VALUE"""),63.0)</f>
        <v>63</v>
      </c>
      <c r="K283" s="23">
        <f>IFERROR(__xludf.DUMMYFUNCTION("""COMPUTED_VALUE"""),7.4)</f>
        <v>7.4</v>
      </c>
      <c r="L283" s="24">
        <f>IFERROR(__xludf.DUMMYFUNCTION("""COMPUTED_VALUE"""),20.0)</f>
        <v>20</v>
      </c>
      <c r="M283" s="25" t="str">
        <f>IFERROR(__xludf.DUMMYFUNCTION("""COMPUTED_VALUE"""),"RPG")</f>
        <v>RPG</v>
      </c>
      <c r="N283" s="25"/>
      <c r="O283" s="26" t="str">
        <f>IFERROR(__xludf.DUMMYFUNCTION("""COMPUTED_VALUE"""),"No")</f>
        <v>No</v>
      </c>
      <c r="P283" s="26"/>
    </row>
    <row r="284">
      <c r="A284" s="13" t="str">
        <f>IFERROR(__xludf.DUMMYFUNCTION("""COMPUTED_VALUE"""),"Super Mutant Alien Assault")</f>
        <v>Super Mutant Alien Assault</v>
      </c>
      <c r="B284" s="15" t="str">
        <f>IFERROR(__xludf.DUMMYFUNCTION("""COMPUTED_VALUE"""),"Vita")</f>
        <v>Vita</v>
      </c>
      <c r="C284" s="16" t="str">
        <f>IFERROR(__xludf.DUMMYFUNCTION("""COMPUTED_VALUE"""),"Playstation Plus (Discontinued)")</f>
        <v>Playstation Plus (Discontinued)</v>
      </c>
      <c r="D284" s="15" t="str">
        <f>IFERROR(__xludf.DUMMYFUNCTION("""COMPUTED_VALUE"""),"Removed")</f>
        <v>Removed</v>
      </c>
      <c r="E284" s="17">
        <f>IFERROR(__xludf.DUMMYFUNCTION("""COMPUTED_VALUE"""),43466.0)</f>
        <v>43466</v>
      </c>
      <c r="F284" s="18">
        <f>IFERROR(__xludf.DUMMYFUNCTION("""COMPUTED_VALUE"""),43500.0)</f>
        <v>43500</v>
      </c>
      <c r="G284" s="19">
        <f>IFERROR(__xludf.DUMMYFUNCTION("""COMPUTED_VALUE"""),1.0999999999999999)</f>
        <v>1.1</v>
      </c>
      <c r="H284" s="17">
        <f>IFERROR(__xludf.DUMMYFUNCTION("""COMPUTED_VALUE"""),42228.0)</f>
        <v>42228</v>
      </c>
      <c r="I284" s="19">
        <f>IFERROR(__xludf.DUMMYFUNCTION("""COMPUTED_VALUE"""),3.386111111111111)</f>
        <v>3.386111111</v>
      </c>
      <c r="J284" s="21">
        <f>IFERROR(__xludf.DUMMYFUNCTION("""COMPUTED_VALUE"""),65.0)</f>
        <v>65</v>
      </c>
      <c r="K284" s="23">
        <f>IFERROR(__xludf.DUMMYFUNCTION("""COMPUTED_VALUE"""),6.7)</f>
        <v>6.7</v>
      </c>
      <c r="L284" s="24">
        <f>IFERROR(__xludf.DUMMYFUNCTION("""COMPUTED_VALUE"""),3.0)</f>
        <v>3</v>
      </c>
      <c r="M284" s="25" t="str">
        <f>IFERROR(__xludf.DUMMYFUNCTION("""COMPUTED_VALUE"""),"Shooter")</f>
        <v>Shooter</v>
      </c>
      <c r="N284" s="25"/>
      <c r="O284" s="26" t="str">
        <f>IFERROR(__xludf.DUMMYFUNCTION("""COMPUTED_VALUE"""),"No")</f>
        <v>No</v>
      </c>
      <c r="P284" s="26"/>
    </row>
    <row r="285" hidden="1">
      <c r="A285" s="13" t="str">
        <f>IFERROR(__xludf.DUMMYFUNCTION("""COMPUTED_VALUE"""),"ONRUSH")</f>
        <v>ONRUSH</v>
      </c>
      <c r="B285" s="15" t="str">
        <f>IFERROR(__xludf.DUMMYFUNCTION("""COMPUTED_VALUE"""),"PS4")</f>
        <v>PS4</v>
      </c>
      <c r="C285" s="16" t="str">
        <f>IFERROR(__xludf.DUMMYFUNCTION("""COMPUTED_VALUE"""),"Playstation Plus (Discontinued)")</f>
        <v>Playstation Plus (Discontinued)</v>
      </c>
      <c r="D285" s="15" t="str">
        <f>IFERROR(__xludf.DUMMYFUNCTION("""COMPUTED_VALUE"""),"Removed")</f>
        <v>Removed</v>
      </c>
      <c r="E285" s="17">
        <f>IFERROR(__xludf.DUMMYFUNCTION("""COMPUTED_VALUE"""),43438.0)</f>
        <v>43438</v>
      </c>
      <c r="F285" s="54">
        <f>IFERROR(__xludf.DUMMYFUNCTION("""COMPUTED_VALUE"""),43465.0)</f>
        <v>43465</v>
      </c>
      <c r="G285" s="19">
        <f>IFERROR(__xludf.DUMMYFUNCTION("""COMPUTED_VALUE"""),0.8666666666666666)</f>
        <v>0.8666666667</v>
      </c>
      <c r="H285" s="17">
        <f>IFERROR(__xludf.DUMMYFUNCTION("""COMPUTED_VALUE"""),43256.0)</f>
        <v>43256</v>
      </c>
      <c r="I285" s="19">
        <f>IFERROR(__xludf.DUMMYFUNCTION("""COMPUTED_VALUE"""),0.49722222222222223)</f>
        <v>0.4972222222</v>
      </c>
      <c r="J285" s="21">
        <f>IFERROR(__xludf.DUMMYFUNCTION("""COMPUTED_VALUE"""),76.0)</f>
        <v>76</v>
      </c>
      <c r="K285" s="23">
        <f>IFERROR(__xludf.DUMMYFUNCTION("""COMPUTED_VALUE"""),7.0)</f>
        <v>7</v>
      </c>
      <c r="L285" s="24"/>
      <c r="M285" s="25" t="str">
        <f>IFERROR(__xludf.DUMMYFUNCTION("""COMPUTED_VALUE"""),"Racing")</f>
        <v>Racing</v>
      </c>
      <c r="N285" s="25"/>
      <c r="O285" s="26" t="str">
        <f>IFERROR(__xludf.DUMMYFUNCTION("""COMPUTED_VALUE"""),"No")</f>
        <v>No</v>
      </c>
      <c r="P285" s="26"/>
    </row>
    <row r="286" hidden="1">
      <c r="A286" s="13" t="str">
        <f>IFERROR(__xludf.DUMMYFUNCTION("""COMPUTED_VALUE"""),"SOMA")</f>
        <v>SOMA</v>
      </c>
      <c r="B286" s="15" t="str">
        <f>IFERROR(__xludf.DUMMYFUNCTION("""COMPUTED_VALUE"""),"PS4")</f>
        <v>PS4</v>
      </c>
      <c r="C286" s="16" t="str">
        <f>IFERROR(__xludf.DUMMYFUNCTION("""COMPUTED_VALUE"""),"Playstation Plus (Discontinued)")</f>
        <v>Playstation Plus (Discontinued)</v>
      </c>
      <c r="D286" s="15" t="str">
        <f>IFERROR(__xludf.DUMMYFUNCTION("""COMPUTED_VALUE"""),"Removed")</f>
        <v>Removed</v>
      </c>
      <c r="E286" s="17">
        <f>IFERROR(__xludf.DUMMYFUNCTION("""COMPUTED_VALUE"""),43438.0)</f>
        <v>43438</v>
      </c>
      <c r="F286" s="54">
        <f>IFERROR(__xludf.DUMMYFUNCTION("""COMPUTED_VALUE"""),43465.0)</f>
        <v>43465</v>
      </c>
      <c r="G286" s="19">
        <f>IFERROR(__xludf.DUMMYFUNCTION("""COMPUTED_VALUE"""),0.8666666666666666)</f>
        <v>0.8666666667</v>
      </c>
      <c r="H286" s="17">
        <f>IFERROR(__xludf.DUMMYFUNCTION("""COMPUTED_VALUE"""),42269.0)</f>
        <v>42269</v>
      </c>
      <c r="I286" s="19">
        <f>IFERROR(__xludf.DUMMYFUNCTION("""COMPUTED_VALUE"""),3.2)</f>
        <v>3.2</v>
      </c>
      <c r="J286" s="21">
        <f>IFERROR(__xludf.DUMMYFUNCTION("""COMPUTED_VALUE"""),79.0)</f>
        <v>79</v>
      </c>
      <c r="K286" s="23">
        <f>IFERROR(__xludf.DUMMYFUNCTION("""COMPUTED_VALUE"""),8.0)</f>
        <v>8</v>
      </c>
      <c r="L286" s="24">
        <f>IFERROR(__xludf.DUMMYFUNCTION("""COMPUTED_VALUE"""),10.0)</f>
        <v>10</v>
      </c>
      <c r="M286" s="25" t="str">
        <f>IFERROR(__xludf.DUMMYFUNCTION("""COMPUTED_VALUE"""),"Horror")</f>
        <v>Horror</v>
      </c>
      <c r="N286" s="25"/>
      <c r="O286" s="26" t="str">
        <f>IFERROR(__xludf.DUMMYFUNCTION("""COMPUTED_VALUE"""),"No")</f>
        <v>No</v>
      </c>
      <c r="P286" s="26"/>
    </row>
    <row r="287" hidden="1">
      <c r="A287" s="13" t="str">
        <f>IFERROR(__xludf.DUMMYFUNCTION("""COMPUTED_VALUE"""),"Steins;Gate")</f>
        <v>Steins;Gate</v>
      </c>
      <c r="B287" s="15" t="str">
        <f>IFERROR(__xludf.DUMMYFUNCTION("""COMPUTED_VALUE"""),"PS3")</f>
        <v>PS3</v>
      </c>
      <c r="C287" s="16" t="str">
        <f>IFERROR(__xludf.DUMMYFUNCTION("""COMPUTED_VALUE"""),"Playstation Plus (Discontinued)")</f>
        <v>Playstation Plus (Discontinued)</v>
      </c>
      <c r="D287" s="15" t="str">
        <f>IFERROR(__xludf.DUMMYFUNCTION("""COMPUTED_VALUE"""),"Removed")</f>
        <v>Removed</v>
      </c>
      <c r="E287" s="17">
        <f>IFERROR(__xludf.DUMMYFUNCTION("""COMPUTED_VALUE"""),43438.0)</f>
        <v>43438</v>
      </c>
      <c r="F287" s="54">
        <f>IFERROR(__xludf.DUMMYFUNCTION("""COMPUTED_VALUE"""),43465.0)</f>
        <v>43465</v>
      </c>
      <c r="G287" s="19">
        <f>IFERROR(__xludf.DUMMYFUNCTION("""COMPUTED_VALUE"""),0.8666666666666666)</f>
        <v>0.8666666667</v>
      </c>
      <c r="H287" s="17">
        <f>IFERROR(__xludf.DUMMYFUNCTION("""COMPUTED_VALUE"""),41536.0)</f>
        <v>41536</v>
      </c>
      <c r="I287" s="19">
        <f>IFERROR(__xludf.DUMMYFUNCTION("""COMPUTED_VALUE"""),5.208333333333333)</f>
        <v>5.208333333</v>
      </c>
      <c r="J287" s="21">
        <f>IFERROR(__xludf.DUMMYFUNCTION("""COMPUTED_VALUE"""),83.0)</f>
        <v>83</v>
      </c>
      <c r="K287" s="23">
        <f>IFERROR(__xludf.DUMMYFUNCTION("""COMPUTED_VALUE"""),8.8)</f>
        <v>8.8</v>
      </c>
      <c r="L287" s="24">
        <f>IFERROR(__xludf.DUMMYFUNCTION("""COMPUTED_VALUE"""),34.0)</f>
        <v>34</v>
      </c>
      <c r="M287" s="25" t="str">
        <f>IFERROR(__xludf.DUMMYFUNCTION("""COMPUTED_VALUE"""),"Visual Novel")</f>
        <v>Visual Novel</v>
      </c>
      <c r="N287" s="25"/>
      <c r="O287" s="26" t="str">
        <f>IFERROR(__xludf.DUMMYFUNCTION("""COMPUTED_VALUE"""),"No")</f>
        <v>No</v>
      </c>
      <c r="P287" s="26"/>
    </row>
    <row r="288" hidden="1">
      <c r="A288" s="13" t="str">
        <f>IFERROR(__xludf.DUMMYFUNCTION("""COMPUTED_VALUE"""),"Steredenn")</f>
        <v>Steredenn</v>
      </c>
      <c r="B288" s="15" t="str">
        <f>IFERROR(__xludf.DUMMYFUNCTION("""COMPUTED_VALUE"""),"PS3")</f>
        <v>PS3</v>
      </c>
      <c r="C288" s="16" t="str">
        <f>IFERROR(__xludf.DUMMYFUNCTION("""COMPUTED_VALUE"""),"Playstation Plus (Discontinued)")</f>
        <v>Playstation Plus (Discontinued)</v>
      </c>
      <c r="D288" s="15" t="str">
        <f>IFERROR(__xludf.DUMMYFUNCTION("""COMPUTED_VALUE"""),"Removed")</f>
        <v>Removed</v>
      </c>
      <c r="E288" s="17">
        <f>IFERROR(__xludf.DUMMYFUNCTION("""COMPUTED_VALUE"""),43438.0)</f>
        <v>43438</v>
      </c>
      <c r="F288" s="54">
        <f>IFERROR(__xludf.DUMMYFUNCTION("""COMPUTED_VALUE"""),43465.0)</f>
        <v>43465</v>
      </c>
      <c r="G288" s="19">
        <f>IFERROR(__xludf.DUMMYFUNCTION("""COMPUTED_VALUE"""),0.8666666666666666)</f>
        <v>0.8666666667</v>
      </c>
      <c r="H288" s="17">
        <f>IFERROR(__xludf.DUMMYFUNCTION("""COMPUTED_VALUE"""),42278.0)</f>
        <v>42278</v>
      </c>
      <c r="I288" s="19">
        <f>IFERROR(__xludf.DUMMYFUNCTION("""COMPUTED_VALUE"""),3.175)</f>
        <v>3.175</v>
      </c>
      <c r="J288" s="21">
        <f>IFERROR(__xludf.DUMMYFUNCTION("""COMPUTED_VALUE"""),79.0)</f>
        <v>79</v>
      </c>
      <c r="K288" s="23">
        <f>IFERROR(__xludf.DUMMYFUNCTION("""COMPUTED_VALUE"""),7.5)</f>
        <v>7.5</v>
      </c>
      <c r="L288" s="24">
        <f>IFERROR(__xludf.DUMMYFUNCTION("""COMPUTED_VALUE"""),5.0)</f>
        <v>5</v>
      </c>
      <c r="M288" s="25" t="str">
        <f>IFERROR(__xludf.DUMMYFUNCTION("""COMPUTED_VALUE"""),"Shooter")</f>
        <v>Shooter</v>
      </c>
      <c r="N288" s="25"/>
      <c r="O288" s="26" t="str">
        <f>IFERROR(__xludf.DUMMYFUNCTION("""COMPUTED_VALUE"""),"No")</f>
        <v>No</v>
      </c>
      <c r="P288" s="26"/>
    </row>
    <row r="289" hidden="1">
      <c r="A289" s="13" t="str">
        <f>IFERROR(__xludf.DUMMYFUNCTION("""COMPUTED_VALUE"""),"Iconoclasts")</f>
        <v>Iconoclasts</v>
      </c>
      <c r="B289" s="15" t="str">
        <f>IFERROR(__xludf.DUMMYFUNCTION("""COMPUTED_VALUE"""),"PS4/Vita")</f>
        <v>PS4/Vita</v>
      </c>
      <c r="C289" s="16" t="str">
        <f>IFERROR(__xludf.DUMMYFUNCTION("""COMPUTED_VALUE"""),"Playstation Plus (Discontinued)")</f>
        <v>Playstation Plus (Discontinued)</v>
      </c>
      <c r="D289" s="15" t="str">
        <f>IFERROR(__xludf.DUMMYFUNCTION("""COMPUTED_VALUE"""),"Removed")</f>
        <v>Removed</v>
      </c>
      <c r="E289" s="17">
        <f>IFERROR(__xludf.DUMMYFUNCTION("""COMPUTED_VALUE"""),43438.0)</f>
        <v>43438</v>
      </c>
      <c r="F289" s="54">
        <f>IFERROR(__xludf.DUMMYFUNCTION("""COMPUTED_VALUE"""),43465.0)</f>
        <v>43465</v>
      </c>
      <c r="G289" s="19">
        <f>IFERROR(__xludf.DUMMYFUNCTION("""COMPUTED_VALUE"""),0.8666666666666666)</f>
        <v>0.8666666667</v>
      </c>
      <c r="H289" s="17">
        <f>IFERROR(__xludf.DUMMYFUNCTION("""COMPUTED_VALUE"""),43123.0)</f>
        <v>43123</v>
      </c>
      <c r="I289" s="19">
        <f>IFERROR(__xludf.DUMMYFUNCTION("""COMPUTED_VALUE"""),0.8638888888888889)</f>
        <v>0.8638888889</v>
      </c>
      <c r="J289" s="21">
        <f>IFERROR(__xludf.DUMMYFUNCTION("""COMPUTED_VALUE"""),83.0)</f>
        <v>83</v>
      </c>
      <c r="K289" s="23">
        <f>IFERROR(__xludf.DUMMYFUNCTION("""COMPUTED_VALUE"""),8.0)</f>
        <v>8</v>
      </c>
      <c r="L289" s="24">
        <f>IFERROR(__xludf.DUMMYFUNCTION("""COMPUTED_VALUE"""),13.0)</f>
        <v>13</v>
      </c>
      <c r="M289" s="25" t="str">
        <f>IFERROR(__xludf.DUMMYFUNCTION("""COMPUTED_VALUE"""),"Platformer")</f>
        <v>Platformer</v>
      </c>
      <c r="N289" s="25"/>
      <c r="O289" s="26" t="str">
        <f>IFERROR(__xludf.DUMMYFUNCTION("""COMPUTED_VALUE"""),"No")</f>
        <v>No</v>
      </c>
      <c r="P289" s="26"/>
    </row>
    <row r="290">
      <c r="A290" s="13" t="str">
        <f>IFERROR(__xludf.DUMMYFUNCTION("""COMPUTED_VALUE"""),"Papers, Please")</f>
        <v>Papers, Please</v>
      </c>
      <c r="B290" s="15" t="str">
        <f>IFERROR(__xludf.DUMMYFUNCTION("""COMPUTED_VALUE"""),"Vita")</f>
        <v>Vita</v>
      </c>
      <c r="C290" s="16" t="str">
        <f>IFERROR(__xludf.DUMMYFUNCTION("""COMPUTED_VALUE"""),"Playstation Plus (Discontinued)")</f>
        <v>Playstation Plus (Discontinued)</v>
      </c>
      <c r="D290" s="15" t="str">
        <f>IFERROR(__xludf.DUMMYFUNCTION("""COMPUTED_VALUE"""),"Removed")</f>
        <v>Removed</v>
      </c>
      <c r="E290" s="17">
        <f>IFERROR(__xludf.DUMMYFUNCTION("""COMPUTED_VALUE"""),43438.0)</f>
        <v>43438</v>
      </c>
      <c r="F290" s="54">
        <f>IFERROR(__xludf.DUMMYFUNCTION("""COMPUTED_VALUE"""),43465.0)</f>
        <v>43465</v>
      </c>
      <c r="G290" s="19">
        <f>IFERROR(__xludf.DUMMYFUNCTION("""COMPUTED_VALUE"""),0.8666666666666666)</f>
        <v>0.8666666667</v>
      </c>
      <c r="H290" s="17">
        <f>IFERROR(__xludf.DUMMYFUNCTION("""COMPUTED_VALUE"""),41494.0)</f>
        <v>41494</v>
      </c>
      <c r="I290" s="19">
        <f>IFERROR(__xludf.DUMMYFUNCTION("""COMPUTED_VALUE"""),5.322222222222222)</f>
        <v>5.322222222</v>
      </c>
      <c r="J290" s="21">
        <f>IFERROR(__xludf.DUMMYFUNCTION("""COMPUTED_VALUE"""),85.0)</f>
        <v>85</v>
      </c>
      <c r="K290" s="23">
        <f>IFERROR(__xludf.DUMMYFUNCTION("""COMPUTED_VALUE"""),8.3)</f>
        <v>8.3</v>
      </c>
      <c r="L290" s="24">
        <f>IFERROR(__xludf.DUMMYFUNCTION("""COMPUTED_VALUE"""),4.0)</f>
        <v>4</v>
      </c>
      <c r="M290" s="25" t="str">
        <f>IFERROR(__xludf.DUMMYFUNCTION("""COMPUTED_VALUE"""),"Simulation")</f>
        <v>Simulation</v>
      </c>
      <c r="N290" s="25"/>
      <c r="O290" s="26" t="str">
        <f>IFERROR(__xludf.DUMMYFUNCTION("""COMPUTED_VALUE"""),"No")</f>
        <v>No</v>
      </c>
      <c r="P290" s="26"/>
    </row>
    <row r="291">
      <c r="A291" s="13" t="str">
        <f>IFERROR(__xludf.DUMMYFUNCTION("""COMPUTED_VALUE"""),"Bulletstorm: Full Clip Edition")</f>
        <v>Bulletstorm: Full Clip Edition</v>
      </c>
      <c r="B291" s="15" t="str">
        <f>IFERROR(__xludf.DUMMYFUNCTION("""COMPUTED_VALUE"""),"PS4")</f>
        <v>PS4</v>
      </c>
      <c r="C291" s="16" t="str">
        <f>IFERROR(__xludf.DUMMYFUNCTION("""COMPUTED_VALUE"""),"Playstation Plus (Discontinued)")</f>
        <v>Playstation Plus (Discontinued)</v>
      </c>
      <c r="D291" s="15" t="str">
        <f>IFERROR(__xludf.DUMMYFUNCTION("""COMPUTED_VALUE"""),"Removed")</f>
        <v>Removed</v>
      </c>
      <c r="E291" s="17">
        <f>IFERROR(__xludf.DUMMYFUNCTION("""COMPUTED_VALUE"""),43410.0)</f>
        <v>43410</v>
      </c>
      <c r="F291" s="54">
        <f>IFERROR(__xludf.DUMMYFUNCTION("""COMPUTED_VALUE"""),43437.0)</f>
        <v>43437</v>
      </c>
      <c r="G291" s="19">
        <f>IFERROR(__xludf.DUMMYFUNCTION("""COMPUTED_VALUE"""),0.8999999999999999)</f>
        <v>0.9</v>
      </c>
      <c r="H291" s="17">
        <f>IFERROR(__xludf.DUMMYFUNCTION("""COMPUTED_VALUE"""),42832.0)</f>
        <v>42832</v>
      </c>
      <c r="I291" s="19">
        <f>IFERROR(__xludf.DUMMYFUNCTION("""COMPUTED_VALUE"""),1.5805555555555555)</f>
        <v>1.580555556</v>
      </c>
      <c r="J291" s="21">
        <f>IFERROR(__xludf.DUMMYFUNCTION("""COMPUTED_VALUE"""),75.0)</f>
        <v>75</v>
      </c>
      <c r="K291" s="23">
        <f>IFERROR(__xludf.DUMMYFUNCTION("""COMPUTED_VALUE"""),7.7)</f>
        <v>7.7</v>
      </c>
      <c r="L291" s="24">
        <f>IFERROR(__xludf.DUMMYFUNCTION("""COMPUTED_VALUE"""),7.0)</f>
        <v>7</v>
      </c>
      <c r="M291" s="25" t="str">
        <f>IFERROR(__xludf.DUMMYFUNCTION("""COMPUTED_VALUE"""),"Shooter")</f>
        <v>Shooter</v>
      </c>
      <c r="N291" s="25"/>
      <c r="O291" s="26" t="str">
        <f>IFERROR(__xludf.DUMMYFUNCTION("""COMPUTED_VALUE"""),"No")</f>
        <v>No</v>
      </c>
      <c r="P291" s="26"/>
    </row>
    <row r="292" hidden="1">
      <c r="A292" s="13" t="str">
        <f>IFERROR(__xludf.DUMMYFUNCTION("""COMPUTED_VALUE"""),"Yakuza Kiwami")</f>
        <v>Yakuza Kiwami</v>
      </c>
      <c r="B292" s="15" t="str">
        <f>IFERROR(__xludf.DUMMYFUNCTION("""COMPUTED_VALUE"""),"PS4")</f>
        <v>PS4</v>
      </c>
      <c r="C292" s="16" t="str">
        <f>IFERROR(__xludf.DUMMYFUNCTION("""COMPUTED_VALUE"""),"Playstation Plus (Discontinued)")</f>
        <v>Playstation Plus (Discontinued)</v>
      </c>
      <c r="D292" s="15" t="str">
        <f>IFERROR(__xludf.DUMMYFUNCTION("""COMPUTED_VALUE"""),"Removed")</f>
        <v>Removed</v>
      </c>
      <c r="E292" s="17">
        <f>IFERROR(__xludf.DUMMYFUNCTION("""COMPUTED_VALUE"""),43410.0)</f>
        <v>43410</v>
      </c>
      <c r="F292" s="54">
        <f>IFERROR(__xludf.DUMMYFUNCTION("""COMPUTED_VALUE"""),43437.0)</f>
        <v>43437</v>
      </c>
      <c r="G292" s="19">
        <f>IFERROR(__xludf.DUMMYFUNCTION("""COMPUTED_VALUE"""),0.8999999999999999)</f>
        <v>0.9</v>
      </c>
      <c r="H292" s="17">
        <f>IFERROR(__xludf.DUMMYFUNCTION("""COMPUTED_VALUE"""),42976.0)</f>
        <v>42976</v>
      </c>
      <c r="I292" s="19">
        <f>IFERROR(__xludf.DUMMYFUNCTION("""COMPUTED_VALUE"""),1.1861111111111111)</f>
        <v>1.186111111</v>
      </c>
      <c r="J292" s="21">
        <f>IFERROR(__xludf.DUMMYFUNCTION("""COMPUTED_VALUE"""),80.0)</f>
        <v>80</v>
      </c>
      <c r="K292" s="23">
        <f>IFERROR(__xludf.DUMMYFUNCTION("""COMPUTED_VALUE"""),8.4)</f>
        <v>8.4</v>
      </c>
      <c r="L292" s="24">
        <f>IFERROR(__xludf.DUMMYFUNCTION("""COMPUTED_VALUE"""),17.0)</f>
        <v>17</v>
      </c>
      <c r="M292" s="25" t="str">
        <f>IFERROR(__xludf.DUMMYFUNCTION("""COMPUTED_VALUE"""),"Action-Adventure")</f>
        <v>Action-Adventure</v>
      </c>
      <c r="N292" s="25"/>
      <c r="O292" s="26" t="str">
        <f>IFERROR(__xludf.DUMMYFUNCTION("""COMPUTED_VALUE"""),"No")</f>
        <v>No</v>
      </c>
      <c r="P292" s="26"/>
    </row>
    <row r="293" hidden="1">
      <c r="A293" s="13" t="str">
        <f>IFERROR(__xludf.DUMMYFUNCTION("""COMPUTED_VALUE"""),"The Jackbox Party Pack 2")</f>
        <v>The Jackbox Party Pack 2</v>
      </c>
      <c r="B293" s="15" t="str">
        <f>IFERROR(__xludf.DUMMYFUNCTION("""COMPUTED_VALUE"""),"PS3")</f>
        <v>PS3</v>
      </c>
      <c r="C293" s="16" t="str">
        <f>IFERROR(__xludf.DUMMYFUNCTION("""COMPUTED_VALUE"""),"Playstation Plus (Discontinued)")</f>
        <v>Playstation Plus (Discontinued)</v>
      </c>
      <c r="D293" s="15" t="str">
        <f>IFERROR(__xludf.DUMMYFUNCTION("""COMPUTED_VALUE"""),"Removed")</f>
        <v>Removed</v>
      </c>
      <c r="E293" s="17">
        <f>IFERROR(__xludf.DUMMYFUNCTION("""COMPUTED_VALUE"""),43410.0)</f>
        <v>43410</v>
      </c>
      <c r="F293" s="54">
        <f>IFERROR(__xludf.DUMMYFUNCTION("""COMPUTED_VALUE"""),43437.0)</f>
        <v>43437</v>
      </c>
      <c r="G293" s="19">
        <f>IFERROR(__xludf.DUMMYFUNCTION("""COMPUTED_VALUE"""),0.8999999999999999)</f>
        <v>0.9</v>
      </c>
      <c r="H293" s="17">
        <f>IFERROR(__xludf.DUMMYFUNCTION("""COMPUTED_VALUE"""),42290.0)</f>
        <v>42290</v>
      </c>
      <c r="I293" s="19">
        <f>IFERROR(__xludf.DUMMYFUNCTION("""COMPUTED_VALUE"""),3.063888888888889)</f>
        <v>3.063888889</v>
      </c>
      <c r="J293" s="21">
        <f>IFERROR(__xludf.DUMMYFUNCTION("""COMPUTED_VALUE"""),71.0)</f>
        <v>71</v>
      </c>
      <c r="K293" s="23">
        <f>IFERROR(__xludf.DUMMYFUNCTION("""COMPUTED_VALUE"""),7.8)</f>
        <v>7.8</v>
      </c>
      <c r="L293" s="24"/>
      <c r="M293" s="25" t="str">
        <f>IFERROR(__xludf.DUMMYFUNCTION("""COMPUTED_VALUE"""),"Party")</f>
        <v>Party</v>
      </c>
      <c r="N293" s="25"/>
      <c r="O293" s="26" t="str">
        <f>IFERROR(__xludf.DUMMYFUNCTION("""COMPUTED_VALUE"""),"No")</f>
        <v>No</v>
      </c>
      <c r="P293" s="26"/>
    </row>
    <row r="294" hidden="1">
      <c r="A294" s="13" t="str">
        <f>IFERROR(__xludf.DUMMYFUNCTION("""COMPUTED_VALUE"""),"Arkedo Series")</f>
        <v>Arkedo Series</v>
      </c>
      <c r="B294" s="15" t="str">
        <f>IFERROR(__xludf.DUMMYFUNCTION("""COMPUTED_VALUE"""),"PS3")</f>
        <v>PS3</v>
      </c>
      <c r="C294" s="16" t="str">
        <f>IFERROR(__xludf.DUMMYFUNCTION("""COMPUTED_VALUE"""),"Playstation Plus (Discontinued)")</f>
        <v>Playstation Plus (Discontinued)</v>
      </c>
      <c r="D294" s="15" t="str">
        <f>IFERROR(__xludf.DUMMYFUNCTION("""COMPUTED_VALUE"""),"Removed")</f>
        <v>Removed</v>
      </c>
      <c r="E294" s="17">
        <f>IFERROR(__xludf.DUMMYFUNCTION("""COMPUTED_VALUE"""),43410.0)</f>
        <v>43410</v>
      </c>
      <c r="F294" s="54">
        <f>IFERROR(__xludf.DUMMYFUNCTION("""COMPUTED_VALUE"""),43437.0)</f>
        <v>43437</v>
      </c>
      <c r="G294" s="19">
        <f>IFERROR(__xludf.DUMMYFUNCTION("""COMPUTED_VALUE"""),0.8999999999999999)</f>
        <v>0.9</v>
      </c>
      <c r="H294" s="17">
        <f>IFERROR(__xludf.DUMMYFUNCTION("""COMPUTED_VALUE"""),41928.0)</f>
        <v>41928</v>
      </c>
      <c r="I294" s="19">
        <f>IFERROR(__xludf.DUMMYFUNCTION("""COMPUTED_VALUE"""),4.055555555555555)</f>
        <v>4.055555556</v>
      </c>
      <c r="J294" s="21"/>
      <c r="K294" s="23"/>
      <c r="L294" s="24">
        <f>IFERROR(__xludf.DUMMYFUNCTION("""COMPUTED_VALUE"""),5.0)</f>
        <v>5</v>
      </c>
      <c r="M294" s="25" t="str">
        <f>IFERROR(__xludf.DUMMYFUNCTION("""COMPUTED_VALUE"""),"Puzzle")</f>
        <v>Puzzle</v>
      </c>
      <c r="N294" s="25"/>
      <c r="O294" s="26" t="str">
        <f>IFERROR(__xludf.DUMMYFUNCTION("""COMPUTED_VALUE"""),"No")</f>
        <v>No</v>
      </c>
      <c r="P294" s="26"/>
    </row>
    <row r="295" hidden="1">
      <c r="A295" s="13" t="str">
        <f>IFERROR(__xludf.DUMMYFUNCTION("""COMPUTED_VALUE"""),"Burly Men at Sea")</f>
        <v>Burly Men at Sea</v>
      </c>
      <c r="B295" s="15" t="str">
        <f>IFERROR(__xludf.DUMMYFUNCTION("""COMPUTED_VALUE"""),"PS4/Vita")</f>
        <v>PS4/Vita</v>
      </c>
      <c r="C295" s="16" t="str">
        <f>IFERROR(__xludf.DUMMYFUNCTION("""COMPUTED_VALUE"""),"Playstation Plus (Discontinued)")</f>
        <v>Playstation Plus (Discontinued)</v>
      </c>
      <c r="D295" s="15" t="str">
        <f>IFERROR(__xludf.DUMMYFUNCTION("""COMPUTED_VALUE"""),"Removed")</f>
        <v>Removed</v>
      </c>
      <c r="E295" s="17">
        <f>IFERROR(__xludf.DUMMYFUNCTION("""COMPUTED_VALUE"""),43410.0)</f>
        <v>43410</v>
      </c>
      <c r="F295" s="54">
        <f>IFERROR(__xludf.DUMMYFUNCTION("""COMPUTED_VALUE"""),43437.0)</f>
        <v>43437</v>
      </c>
      <c r="G295" s="19">
        <f>IFERROR(__xludf.DUMMYFUNCTION("""COMPUTED_VALUE"""),0.8999999999999999)</f>
        <v>0.9</v>
      </c>
      <c r="H295" s="17">
        <f>IFERROR(__xludf.DUMMYFUNCTION("""COMPUTED_VALUE"""),43007.0)</f>
        <v>43007</v>
      </c>
      <c r="I295" s="19">
        <f>IFERROR(__xludf.DUMMYFUNCTION("""COMPUTED_VALUE"""),1.1027777777777779)</f>
        <v>1.102777778</v>
      </c>
      <c r="J295" s="21">
        <f>IFERROR(__xludf.DUMMYFUNCTION("""COMPUTED_VALUE"""),75.0)</f>
        <v>75</v>
      </c>
      <c r="K295" s="23">
        <f>IFERROR(__xludf.DUMMYFUNCTION("""COMPUTED_VALUE"""),7.3)</f>
        <v>7.3</v>
      </c>
      <c r="L295" s="24">
        <f>IFERROR(__xludf.DUMMYFUNCTION("""COMPUTED_VALUE"""),2.0)</f>
        <v>2</v>
      </c>
      <c r="M295" s="25" t="str">
        <f>IFERROR(__xludf.DUMMYFUNCTION("""COMPUTED_VALUE"""),"Adventure")</f>
        <v>Adventure</v>
      </c>
      <c r="N295" s="25"/>
      <c r="O295" s="26" t="str">
        <f>IFERROR(__xludf.DUMMYFUNCTION("""COMPUTED_VALUE"""),"No")</f>
        <v>No</v>
      </c>
      <c r="P295" s="26"/>
    </row>
    <row r="296">
      <c r="A296" s="13" t="str">
        <f>IFERROR(__xludf.DUMMYFUNCTION("""COMPUTED_VALUE"""),"Roundabout")</f>
        <v>Roundabout</v>
      </c>
      <c r="B296" s="15" t="str">
        <f>IFERROR(__xludf.DUMMYFUNCTION("""COMPUTED_VALUE"""),"PS4/Vita")</f>
        <v>PS4/Vita</v>
      </c>
      <c r="C296" s="16" t="str">
        <f>IFERROR(__xludf.DUMMYFUNCTION("""COMPUTED_VALUE"""),"Playstation Plus (Discontinued)")</f>
        <v>Playstation Plus (Discontinued)</v>
      </c>
      <c r="D296" s="15" t="str">
        <f>IFERROR(__xludf.DUMMYFUNCTION("""COMPUTED_VALUE"""),"Removed")</f>
        <v>Removed</v>
      </c>
      <c r="E296" s="17">
        <f>IFERROR(__xludf.DUMMYFUNCTION("""COMPUTED_VALUE"""),43410.0)</f>
        <v>43410</v>
      </c>
      <c r="F296" s="54">
        <f>IFERROR(__xludf.DUMMYFUNCTION("""COMPUTED_VALUE"""),43437.0)</f>
        <v>43437</v>
      </c>
      <c r="G296" s="19">
        <f>IFERROR(__xludf.DUMMYFUNCTION("""COMPUTED_VALUE"""),0.8999999999999999)</f>
        <v>0.9</v>
      </c>
      <c r="H296" s="17">
        <f>IFERROR(__xludf.DUMMYFUNCTION("""COMPUTED_VALUE"""),41900.0)</f>
        <v>41900</v>
      </c>
      <c r="I296" s="19">
        <f>IFERROR(__xludf.DUMMYFUNCTION("""COMPUTED_VALUE"""),4.133333333333334)</f>
        <v>4.133333333</v>
      </c>
      <c r="J296" s="21">
        <f>IFERROR(__xludf.DUMMYFUNCTION("""COMPUTED_VALUE"""),69.0)</f>
        <v>69</v>
      </c>
      <c r="K296" s="23">
        <f>IFERROR(__xludf.DUMMYFUNCTION("""COMPUTED_VALUE"""),7.2)</f>
        <v>7.2</v>
      </c>
      <c r="L296" s="24">
        <f>IFERROR(__xludf.DUMMYFUNCTION("""COMPUTED_VALUE"""),4.0)</f>
        <v>4</v>
      </c>
      <c r="M296" s="25" t="str">
        <f>IFERROR(__xludf.DUMMYFUNCTION("""COMPUTED_VALUE"""),"Racing")</f>
        <v>Racing</v>
      </c>
      <c r="N296" s="25"/>
      <c r="O296" s="26" t="str">
        <f>IFERROR(__xludf.DUMMYFUNCTION("""COMPUTED_VALUE"""),"No")</f>
        <v>No</v>
      </c>
      <c r="P296" s="26"/>
    </row>
    <row r="297">
      <c r="A297" s="13" t="str">
        <f>IFERROR(__xludf.DUMMYFUNCTION("""COMPUTED_VALUE"""),"Friday the 13th: The Game")</f>
        <v>Friday the 13th: The Game</v>
      </c>
      <c r="B297" s="15" t="str">
        <f>IFERROR(__xludf.DUMMYFUNCTION("""COMPUTED_VALUE"""),"PS4")</f>
        <v>PS4</v>
      </c>
      <c r="C297" s="16" t="str">
        <f>IFERROR(__xludf.DUMMYFUNCTION("""COMPUTED_VALUE"""),"Playstation Plus (Discontinued)")</f>
        <v>Playstation Plus (Discontinued)</v>
      </c>
      <c r="D297" s="15" t="str">
        <f>IFERROR(__xludf.DUMMYFUNCTION("""COMPUTED_VALUE"""),"Removed")</f>
        <v>Removed</v>
      </c>
      <c r="E297" s="17">
        <f>IFERROR(__xludf.DUMMYFUNCTION("""COMPUTED_VALUE"""),43375.0)</f>
        <v>43375</v>
      </c>
      <c r="F297" s="54">
        <f>IFERROR(__xludf.DUMMYFUNCTION("""COMPUTED_VALUE"""),43409.0)</f>
        <v>43409</v>
      </c>
      <c r="G297" s="19">
        <f>IFERROR(__xludf.DUMMYFUNCTION("""COMPUTED_VALUE"""),1.0999999999999999)</f>
        <v>1.1</v>
      </c>
      <c r="H297" s="17">
        <f>IFERROR(__xludf.DUMMYFUNCTION("""COMPUTED_VALUE"""),42881.0)</f>
        <v>42881</v>
      </c>
      <c r="I297" s="19">
        <f>IFERROR(__xludf.DUMMYFUNCTION("""COMPUTED_VALUE"""),1.35)</f>
        <v>1.35</v>
      </c>
      <c r="J297" s="21">
        <f>IFERROR(__xludf.DUMMYFUNCTION("""COMPUTED_VALUE"""),61.0)</f>
        <v>61</v>
      </c>
      <c r="K297" s="23">
        <f>IFERROR(__xludf.DUMMYFUNCTION("""COMPUTED_VALUE"""),6.3)</f>
        <v>6.3</v>
      </c>
      <c r="L297" s="24"/>
      <c r="M297" s="25" t="str">
        <f>IFERROR(__xludf.DUMMYFUNCTION("""COMPUTED_VALUE"""),"Survival")</f>
        <v>Survival</v>
      </c>
      <c r="N297" s="25"/>
      <c r="O297" s="26" t="str">
        <f>IFERROR(__xludf.DUMMYFUNCTION("""COMPUTED_VALUE"""),"No")</f>
        <v>No</v>
      </c>
      <c r="P297" s="26"/>
    </row>
    <row r="298" hidden="1">
      <c r="A298" s="13" t="str">
        <f>IFERROR(__xludf.DUMMYFUNCTION("""COMPUTED_VALUE"""),"Laser League")</f>
        <v>Laser League</v>
      </c>
      <c r="B298" s="15" t="str">
        <f>IFERROR(__xludf.DUMMYFUNCTION("""COMPUTED_VALUE"""),"PS4")</f>
        <v>PS4</v>
      </c>
      <c r="C298" s="16" t="str">
        <f>IFERROR(__xludf.DUMMYFUNCTION("""COMPUTED_VALUE"""),"Playstation Plus (Discontinued)")</f>
        <v>Playstation Plus (Discontinued)</v>
      </c>
      <c r="D298" s="15" t="str">
        <f>IFERROR(__xludf.DUMMYFUNCTION("""COMPUTED_VALUE"""),"Removed")</f>
        <v>Removed</v>
      </c>
      <c r="E298" s="17">
        <f>IFERROR(__xludf.DUMMYFUNCTION("""COMPUTED_VALUE"""),43375.0)</f>
        <v>43375</v>
      </c>
      <c r="F298" s="54">
        <f>IFERROR(__xludf.DUMMYFUNCTION("""COMPUTED_VALUE"""),43409.0)</f>
        <v>43409</v>
      </c>
      <c r="G298" s="19">
        <f>IFERROR(__xludf.DUMMYFUNCTION("""COMPUTED_VALUE"""),1.0999999999999999)</f>
        <v>1.1</v>
      </c>
      <c r="H298" s="17">
        <f>IFERROR(__xludf.DUMMYFUNCTION("""COMPUTED_VALUE"""),43230.0)</f>
        <v>43230</v>
      </c>
      <c r="I298" s="19">
        <f>IFERROR(__xludf.DUMMYFUNCTION("""COMPUTED_VALUE"""),0.39444444444444443)</f>
        <v>0.3944444444</v>
      </c>
      <c r="J298" s="21">
        <f>IFERROR(__xludf.DUMMYFUNCTION("""COMPUTED_VALUE"""),82.0)</f>
        <v>82</v>
      </c>
      <c r="K298" s="23">
        <f>IFERROR(__xludf.DUMMYFUNCTION("""COMPUTED_VALUE"""),6.4)</f>
        <v>6.4</v>
      </c>
      <c r="L298" s="24"/>
      <c r="M298" s="25" t="str">
        <f>IFERROR(__xludf.DUMMYFUNCTION("""COMPUTED_VALUE"""),"Arcade")</f>
        <v>Arcade</v>
      </c>
      <c r="N298" s="25"/>
      <c r="O298" s="26" t="str">
        <f>IFERROR(__xludf.DUMMYFUNCTION("""COMPUTED_VALUE"""),"No")</f>
        <v>No</v>
      </c>
      <c r="P298" s="26"/>
    </row>
    <row r="299" hidden="1">
      <c r="A299" s="13" t="str">
        <f>IFERROR(__xludf.DUMMYFUNCTION("""COMPUTED_VALUE"""),"Knowledge is Power")</f>
        <v>Knowledge is Power</v>
      </c>
      <c r="B299" s="15" t="str">
        <f>IFERROR(__xludf.DUMMYFUNCTION("""COMPUTED_VALUE"""),"PS4")</f>
        <v>PS4</v>
      </c>
      <c r="C299" s="16" t="str">
        <f>IFERROR(__xludf.DUMMYFUNCTION("""COMPUTED_VALUE"""),"Playstation Plus (Discontinued)")</f>
        <v>Playstation Plus (Discontinued)</v>
      </c>
      <c r="D299" s="15" t="str">
        <f>IFERROR(__xludf.DUMMYFUNCTION("""COMPUTED_VALUE"""),"Removed")</f>
        <v>Removed</v>
      </c>
      <c r="E299" s="17">
        <f>IFERROR(__xludf.DUMMYFUNCTION("""COMPUTED_VALUE"""),43375.0)</f>
        <v>43375</v>
      </c>
      <c r="F299" s="54">
        <f>IFERROR(__xludf.DUMMYFUNCTION("""COMPUTED_VALUE"""),43409.0)</f>
        <v>43409</v>
      </c>
      <c r="G299" s="19">
        <f>IFERROR(__xludf.DUMMYFUNCTION("""COMPUTED_VALUE"""),1.0999999999999999)</f>
        <v>1.1</v>
      </c>
      <c r="H299" s="17">
        <f>IFERROR(__xludf.DUMMYFUNCTION("""COMPUTED_VALUE"""),43060.0)</f>
        <v>43060</v>
      </c>
      <c r="I299" s="19">
        <f>IFERROR(__xludf.DUMMYFUNCTION("""COMPUTED_VALUE"""),0.8638888888888889)</f>
        <v>0.8638888889</v>
      </c>
      <c r="J299" s="21">
        <f>IFERROR(__xludf.DUMMYFUNCTION("""COMPUTED_VALUE"""),71.0)</f>
        <v>71</v>
      </c>
      <c r="K299" s="23">
        <f>IFERROR(__xludf.DUMMYFUNCTION("""COMPUTED_VALUE"""),7.4)</f>
        <v>7.4</v>
      </c>
      <c r="L299" s="24"/>
      <c r="M299" s="25" t="str">
        <f>IFERROR(__xludf.DUMMYFUNCTION("""COMPUTED_VALUE"""),"Party")</f>
        <v>Party</v>
      </c>
      <c r="N299" s="25"/>
      <c r="O299" s="26" t="str">
        <f>IFERROR(__xludf.DUMMYFUNCTION("""COMPUTED_VALUE"""),"No")</f>
        <v>No</v>
      </c>
      <c r="P299" s="26"/>
    </row>
    <row r="300" hidden="1">
      <c r="A300" s="13" t="str">
        <f>IFERROR(__xludf.DUMMYFUNCTION("""COMPUTED_VALUE"""),"Master Reboot")</f>
        <v>Master Reboot</v>
      </c>
      <c r="B300" s="15" t="str">
        <f>IFERROR(__xludf.DUMMYFUNCTION("""COMPUTED_VALUE"""),"PS3")</f>
        <v>PS3</v>
      </c>
      <c r="C300" s="16" t="str">
        <f>IFERROR(__xludf.DUMMYFUNCTION("""COMPUTED_VALUE"""),"Playstation Plus (Discontinued)")</f>
        <v>Playstation Plus (Discontinued)</v>
      </c>
      <c r="D300" s="15" t="str">
        <f>IFERROR(__xludf.DUMMYFUNCTION("""COMPUTED_VALUE"""),"Removed")</f>
        <v>Removed</v>
      </c>
      <c r="E300" s="17">
        <f>IFERROR(__xludf.DUMMYFUNCTION("""COMPUTED_VALUE"""),43375.0)</f>
        <v>43375</v>
      </c>
      <c r="F300" s="54">
        <f>IFERROR(__xludf.DUMMYFUNCTION("""COMPUTED_VALUE"""),43409.0)</f>
        <v>43409</v>
      </c>
      <c r="G300" s="19">
        <f>IFERROR(__xludf.DUMMYFUNCTION("""COMPUTED_VALUE"""),1.0999999999999999)</f>
        <v>1.1</v>
      </c>
      <c r="H300" s="17">
        <f>IFERROR(__xludf.DUMMYFUNCTION("""COMPUTED_VALUE"""),41835.0)</f>
        <v>41835</v>
      </c>
      <c r="I300" s="19">
        <f>IFERROR(__xludf.DUMMYFUNCTION("""COMPUTED_VALUE"""),4.213888888888889)</f>
        <v>4.213888889</v>
      </c>
      <c r="J300" s="21">
        <f>IFERROR(__xludf.DUMMYFUNCTION("""COMPUTED_VALUE"""),62.0)</f>
        <v>62</v>
      </c>
      <c r="K300" s="23">
        <f>IFERROR(__xludf.DUMMYFUNCTION("""COMPUTED_VALUE"""),5.9)</f>
        <v>5.9</v>
      </c>
      <c r="L300" s="24">
        <f>IFERROR(__xludf.DUMMYFUNCTION("""COMPUTED_VALUE"""),4.0)</f>
        <v>4</v>
      </c>
      <c r="M300" s="25" t="str">
        <f>IFERROR(__xludf.DUMMYFUNCTION("""COMPUTED_VALUE"""),"Adventure")</f>
        <v>Adventure</v>
      </c>
      <c r="N300" s="25"/>
      <c r="O300" s="26" t="str">
        <f>IFERROR(__xludf.DUMMYFUNCTION("""COMPUTED_VALUE"""),"No")</f>
        <v>No</v>
      </c>
      <c r="P300" s="26"/>
    </row>
    <row r="301" hidden="1">
      <c r="A301" s="13" t="str">
        <f>IFERROR(__xludf.DUMMYFUNCTION("""COMPUTED_VALUE"""),"The Bridge")</f>
        <v>The Bridge</v>
      </c>
      <c r="B301" s="15" t="str">
        <f>IFERROR(__xludf.DUMMYFUNCTION("""COMPUTED_VALUE"""),"PS4/PS3/Vita")</f>
        <v>PS4/PS3/Vita</v>
      </c>
      <c r="C301" s="16" t="str">
        <f>IFERROR(__xludf.DUMMYFUNCTION("""COMPUTED_VALUE"""),"Playstation Plus (Discontinued)")</f>
        <v>Playstation Plus (Discontinued)</v>
      </c>
      <c r="D301" s="15" t="str">
        <f>IFERROR(__xludf.DUMMYFUNCTION("""COMPUTED_VALUE"""),"Removed")</f>
        <v>Removed</v>
      </c>
      <c r="E301" s="17">
        <f>IFERROR(__xludf.DUMMYFUNCTION("""COMPUTED_VALUE"""),43375.0)</f>
        <v>43375</v>
      </c>
      <c r="F301" s="54">
        <f>IFERROR(__xludf.DUMMYFUNCTION("""COMPUTED_VALUE"""),43409.0)</f>
        <v>43409</v>
      </c>
      <c r="G301" s="19">
        <f>IFERROR(__xludf.DUMMYFUNCTION("""COMPUTED_VALUE"""),1.0999999999999999)</f>
        <v>1.1</v>
      </c>
      <c r="H301" s="17">
        <f>IFERROR(__xludf.DUMMYFUNCTION("""COMPUTED_VALUE"""),41590.0)</f>
        <v>41590</v>
      </c>
      <c r="I301" s="19">
        <f>IFERROR(__xludf.DUMMYFUNCTION("""COMPUTED_VALUE"""),4.888888888888889)</f>
        <v>4.888888889</v>
      </c>
      <c r="J301" s="21">
        <f>IFERROR(__xludf.DUMMYFUNCTION("""COMPUTED_VALUE"""),77.0)</f>
        <v>77</v>
      </c>
      <c r="K301" s="23">
        <f>IFERROR(__xludf.DUMMYFUNCTION("""COMPUTED_VALUE"""),7.5)</f>
        <v>7.5</v>
      </c>
      <c r="L301" s="24">
        <f>IFERROR(__xludf.DUMMYFUNCTION("""COMPUTED_VALUE"""),4.0)</f>
        <v>4</v>
      </c>
      <c r="M301" s="25" t="str">
        <f>IFERROR(__xludf.DUMMYFUNCTION("""COMPUTED_VALUE"""),"Puzzle")</f>
        <v>Puzzle</v>
      </c>
      <c r="N301" s="25"/>
      <c r="O301" s="26" t="str">
        <f>IFERROR(__xludf.DUMMYFUNCTION("""COMPUTED_VALUE"""),"No")</f>
        <v>No</v>
      </c>
      <c r="P301" s="26"/>
    </row>
    <row r="302">
      <c r="A302" s="13" t="str">
        <f>IFERROR(__xludf.DUMMYFUNCTION("""COMPUTED_VALUE"""),"2064: Read Only Memories")</f>
        <v>2064: Read Only Memories</v>
      </c>
      <c r="B302" s="15" t="str">
        <f>IFERROR(__xludf.DUMMYFUNCTION("""COMPUTED_VALUE"""),"PS4/Vita")</f>
        <v>PS4/Vita</v>
      </c>
      <c r="C302" s="16" t="str">
        <f>IFERROR(__xludf.DUMMYFUNCTION("""COMPUTED_VALUE"""),"Playstation Plus (Discontinued)")</f>
        <v>Playstation Plus (Discontinued)</v>
      </c>
      <c r="D302" s="15" t="str">
        <f>IFERROR(__xludf.DUMMYFUNCTION("""COMPUTED_VALUE"""),"Removed")</f>
        <v>Removed</v>
      </c>
      <c r="E302" s="17">
        <f>IFERROR(__xludf.DUMMYFUNCTION("""COMPUTED_VALUE"""),43375.0)</f>
        <v>43375</v>
      </c>
      <c r="F302" s="54">
        <f>IFERROR(__xludf.DUMMYFUNCTION("""COMPUTED_VALUE"""),43409.0)</f>
        <v>43409</v>
      </c>
      <c r="G302" s="19">
        <f>IFERROR(__xludf.DUMMYFUNCTION("""COMPUTED_VALUE"""),1.0999999999999999)</f>
        <v>1.1</v>
      </c>
      <c r="H302" s="17">
        <f>IFERROR(__xludf.DUMMYFUNCTION("""COMPUTED_VALUE"""),43025.0)</f>
        <v>43025</v>
      </c>
      <c r="I302" s="19">
        <f>IFERROR(__xludf.DUMMYFUNCTION("""COMPUTED_VALUE"""),0.9583333333333334)</f>
        <v>0.9583333333</v>
      </c>
      <c r="J302" s="21">
        <f>IFERROR(__xludf.DUMMYFUNCTION("""COMPUTED_VALUE"""),76.0)</f>
        <v>76</v>
      </c>
      <c r="K302" s="23">
        <f>IFERROR(__xludf.DUMMYFUNCTION("""COMPUTED_VALUE"""),7.3)</f>
        <v>7.3</v>
      </c>
      <c r="L302" s="24">
        <f>IFERROR(__xludf.DUMMYFUNCTION("""COMPUTED_VALUE"""),12.0)</f>
        <v>12</v>
      </c>
      <c r="M302" s="25" t="str">
        <f>IFERROR(__xludf.DUMMYFUNCTION("""COMPUTED_VALUE"""),"Adventure")</f>
        <v>Adventure</v>
      </c>
      <c r="N302" s="25"/>
      <c r="O302" s="26" t="str">
        <f>IFERROR(__xludf.DUMMYFUNCTION("""COMPUTED_VALUE"""),"No")</f>
        <v>No</v>
      </c>
      <c r="P302" s="26"/>
    </row>
    <row r="303">
      <c r="A303" s="13" t="str">
        <f>IFERROR(__xludf.DUMMYFUNCTION("""COMPUTED_VALUE"""),"Rocketbirds 2: Evolution")</f>
        <v>Rocketbirds 2: Evolution</v>
      </c>
      <c r="B303" s="15" t="str">
        <f>IFERROR(__xludf.DUMMYFUNCTION("""COMPUTED_VALUE"""),"PS4/Vita")</f>
        <v>PS4/Vita</v>
      </c>
      <c r="C303" s="16" t="str">
        <f>IFERROR(__xludf.DUMMYFUNCTION("""COMPUTED_VALUE"""),"Playstation Plus (Discontinued)")</f>
        <v>Playstation Plus (Discontinued)</v>
      </c>
      <c r="D303" s="15" t="str">
        <f>IFERROR(__xludf.DUMMYFUNCTION("""COMPUTED_VALUE"""),"Removed")</f>
        <v>Removed</v>
      </c>
      <c r="E303" s="17">
        <f>IFERROR(__xludf.DUMMYFUNCTION("""COMPUTED_VALUE"""),43375.0)</f>
        <v>43375</v>
      </c>
      <c r="F303" s="54">
        <f>IFERROR(__xludf.DUMMYFUNCTION("""COMPUTED_VALUE"""),43409.0)</f>
        <v>43409</v>
      </c>
      <c r="G303" s="19">
        <f>IFERROR(__xludf.DUMMYFUNCTION("""COMPUTED_VALUE"""),1.0999999999999999)</f>
        <v>1.1</v>
      </c>
      <c r="H303" s="17">
        <f>IFERROR(__xludf.DUMMYFUNCTION("""COMPUTED_VALUE"""),42486.0)</f>
        <v>42486</v>
      </c>
      <c r="I303" s="19">
        <f>IFERROR(__xludf.DUMMYFUNCTION("""COMPUTED_VALUE"""),2.433333333333333)</f>
        <v>2.433333333</v>
      </c>
      <c r="J303" s="21">
        <f>IFERROR(__xludf.DUMMYFUNCTION("""COMPUTED_VALUE"""),67.0)</f>
        <v>67</v>
      </c>
      <c r="K303" s="23">
        <f>IFERROR(__xludf.DUMMYFUNCTION("""COMPUTED_VALUE"""),6.7)</f>
        <v>6.7</v>
      </c>
      <c r="L303" s="24">
        <f>IFERROR(__xludf.DUMMYFUNCTION("""COMPUTED_VALUE"""),7.0)</f>
        <v>7</v>
      </c>
      <c r="M303" s="25" t="str">
        <f>IFERROR(__xludf.DUMMYFUNCTION("""COMPUTED_VALUE"""),"Shooter")</f>
        <v>Shooter</v>
      </c>
      <c r="N303" s="25"/>
      <c r="O303" s="26" t="str">
        <f>IFERROR(__xludf.DUMMYFUNCTION("""COMPUTED_VALUE"""),"No")</f>
        <v>No</v>
      </c>
      <c r="P303" s="26"/>
    </row>
    <row r="304" hidden="1">
      <c r="A304" s="13" t="str">
        <f>IFERROR(__xludf.DUMMYFUNCTION("""COMPUTED_VALUE"""),"Destiny 2")</f>
        <v>Destiny 2</v>
      </c>
      <c r="B304" s="15" t="str">
        <f>IFERROR(__xludf.DUMMYFUNCTION("""COMPUTED_VALUE"""),"PS4")</f>
        <v>PS4</v>
      </c>
      <c r="C304" s="16" t="str">
        <f>IFERROR(__xludf.DUMMYFUNCTION("""COMPUTED_VALUE"""),"Playstation Plus (Discontinued)")</f>
        <v>Playstation Plus (Discontinued)</v>
      </c>
      <c r="D304" s="15" t="str">
        <f>IFERROR(__xludf.DUMMYFUNCTION("""COMPUTED_VALUE"""),"Removed")</f>
        <v>Removed</v>
      </c>
      <c r="E304" s="17">
        <f>IFERROR(__xludf.DUMMYFUNCTION("""COMPUTED_VALUE"""),43347.0)</f>
        <v>43347</v>
      </c>
      <c r="F304" s="54">
        <f>IFERROR(__xludf.DUMMYFUNCTION("""COMPUTED_VALUE"""),43374.0)</f>
        <v>43374</v>
      </c>
      <c r="G304" s="19">
        <f>IFERROR(__xludf.DUMMYFUNCTION("""COMPUTED_VALUE"""),0.8999999999999999)</f>
        <v>0.9</v>
      </c>
      <c r="H304" s="17">
        <f>IFERROR(__xludf.DUMMYFUNCTION("""COMPUTED_VALUE"""),42984.0)</f>
        <v>42984</v>
      </c>
      <c r="I304" s="19">
        <f>IFERROR(__xludf.DUMMYFUNCTION("""COMPUTED_VALUE"""),0.9944444444444445)</f>
        <v>0.9944444444</v>
      </c>
      <c r="J304" s="21">
        <f>IFERROR(__xludf.DUMMYFUNCTION("""COMPUTED_VALUE"""),85.0)</f>
        <v>85</v>
      </c>
      <c r="K304" s="23">
        <f>IFERROR(__xludf.DUMMYFUNCTION("""COMPUTED_VALUE"""),5.4)</f>
        <v>5.4</v>
      </c>
      <c r="L304" s="24">
        <f>IFERROR(__xludf.DUMMYFUNCTION("""COMPUTED_VALUE"""),12.0)</f>
        <v>12</v>
      </c>
      <c r="M304" s="25" t="str">
        <f>IFERROR(__xludf.DUMMYFUNCTION("""COMPUTED_VALUE"""),"Shooter")</f>
        <v>Shooter</v>
      </c>
      <c r="N304" s="25"/>
      <c r="O304" s="26" t="str">
        <f>IFERROR(__xludf.DUMMYFUNCTION("""COMPUTED_VALUE"""),"No")</f>
        <v>No</v>
      </c>
      <c r="P304" s="26"/>
    </row>
    <row r="305" hidden="1">
      <c r="A305" s="13" t="str">
        <f>IFERROR(__xludf.DUMMYFUNCTION("""COMPUTED_VALUE"""),"God of War III: Remastered")</f>
        <v>God of War III: Remastered</v>
      </c>
      <c r="B305" s="15" t="str">
        <f>IFERROR(__xludf.DUMMYFUNCTION("""COMPUTED_VALUE"""),"PS4")</f>
        <v>PS4</v>
      </c>
      <c r="C305" s="16" t="str">
        <f>IFERROR(__xludf.DUMMYFUNCTION("""COMPUTED_VALUE"""),"Playstation Plus (Discontinued)")</f>
        <v>Playstation Plus (Discontinued)</v>
      </c>
      <c r="D305" s="15" t="str">
        <f>IFERROR(__xludf.DUMMYFUNCTION("""COMPUTED_VALUE"""),"Removed")</f>
        <v>Removed</v>
      </c>
      <c r="E305" s="17">
        <f>IFERROR(__xludf.DUMMYFUNCTION("""COMPUTED_VALUE"""),43347.0)</f>
        <v>43347</v>
      </c>
      <c r="F305" s="54">
        <f>IFERROR(__xludf.DUMMYFUNCTION("""COMPUTED_VALUE"""),43374.0)</f>
        <v>43374</v>
      </c>
      <c r="G305" s="19">
        <f>IFERROR(__xludf.DUMMYFUNCTION("""COMPUTED_VALUE"""),0.8999999999999999)</f>
        <v>0.9</v>
      </c>
      <c r="H305" s="17">
        <f>IFERROR(__xludf.DUMMYFUNCTION("""COMPUTED_VALUE"""),42199.0)</f>
        <v>42199</v>
      </c>
      <c r="I305" s="19">
        <f>IFERROR(__xludf.DUMMYFUNCTION("""COMPUTED_VALUE"""),3.138888888888889)</f>
        <v>3.138888889</v>
      </c>
      <c r="J305" s="21">
        <f>IFERROR(__xludf.DUMMYFUNCTION("""COMPUTED_VALUE"""),81.0)</f>
        <v>81</v>
      </c>
      <c r="K305" s="23">
        <f>IFERROR(__xludf.DUMMYFUNCTION("""COMPUTED_VALUE"""),8.4)</f>
        <v>8.4</v>
      </c>
      <c r="L305" s="24">
        <f>IFERROR(__xludf.DUMMYFUNCTION("""COMPUTED_VALUE"""),9.0)</f>
        <v>9</v>
      </c>
      <c r="M305" s="25" t="str">
        <f>IFERROR(__xludf.DUMMYFUNCTION("""COMPUTED_VALUE"""),"Action-Adventure")</f>
        <v>Action-Adventure</v>
      </c>
      <c r="N305" s="25"/>
      <c r="O305" s="26" t="str">
        <f>IFERROR(__xludf.DUMMYFUNCTION("""COMPUTED_VALUE"""),"No")</f>
        <v>No</v>
      </c>
      <c r="P305" s="26"/>
    </row>
    <row r="306" hidden="1">
      <c r="A306" s="13" t="str">
        <f>IFERROR(__xludf.DUMMYFUNCTION("""COMPUTED_VALUE"""),"Another World: 20th Anniversary Edition")</f>
        <v>Another World: 20th Anniversary Edition</v>
      </c>
      <c r="B306" s="15" t="str">
        <f>IFERROR(__xludf.DUMMYFUNCTION("""COMPUTED_VALUE"""),"PS4/PS3/Vita")</f>
        <v>PS4/PS3/Vita</v>
      </c>
      <c r="C306" s="16" t="str">
        <f>IFERROR(__xludf.DUMMYFUNCTION("""COMPUTED_VALUE"""),"Playstation Plus (Discontinued)")</f>
        <v>Playstation Plus (Discontinued)</v>
      </c>
      <c r="D306" s="15" t="str">
        <f>IFERROR(__xludf.DUMMYFUNCTION("""COMPUTED_VALUE"""),"Removed")</f>
        <v>Removed</v>
      </c>
      <c r="E306" s="17">
        <f>IFERROR(__xludf.DUMMYFUNCTION("""COMPUTED_VALUE"""),43347.0)</f>
        <v>43347</v>
      </c>
      <c r="F306" s="54">
        <f>IFERROR(__xludf.DUMMYFUNCTION("""COMPUTED_VALUE"""),43374.0)</f>
        <v>43374</v>
      </c>
      <c r="G306" s="19">
        <f>IFERROR(__xludf.DUMMYFUNCTION("""COMPUTED_VALUE"""),0.8999999999999999)</f>
        <v>0.9</v>
      </c>
      <c r="H306" s="17">
        <f>IFERROR(__xludf.DUMMYFUNCTION("""COMPUTED_VALUE"""),41815.0)</f>
        <v>41815</v>
      </c>
      <c r="I306" s="19">
        <f>IFERROR(__xludf.DUMMYFUNCTION("""COMPUTED_VALUE"""),4.191666666666666)</f>
        <v>4.191666667</v>
      </c>
      <c r="J306" s="21">
        <f>IFERROR(__xludf.DUMMYFUNCTION("""COMPUTED_VALUE"""),53.0)</f>
        <v>53</v>
      </c>
      <c r="K306" s="23">
        <f>IFERROR(__xludf.DUMMYFUNCTION("""COMPUTED_VALUE"""),7.0)</f>
        <v>7</v>
      </c>
      <c r="L306" s="24">
        <f>IFERROR(__xludf.DUMMYFUNCTION("""COMPUTED_VALUE"""),2.0)</f>
        <v>2</v>
      </c>
      <c r="M306" s="25" t="str">
        <f>IFERROR(__xludf.DUMMYFUNCTION("""COMPUTED_VALUE"""),"Action-Adventure")</f>
        <v>Action-Adventure</v>
      </c>
      <c r="N306" s="25"/>
      <c r="O306" s="26" t="str">
        <f>IFERROR(__xludf.DUMMYFUNCTION("""COMPUTED_VALUE"""),"No")</f>
        <v>No</v>
      </c>
      <c r="P306" s="26"/>
    </row>
    <row r="307" hidden="1">
      <c r="A307" s="13" t="str">
        <f>IFERROR(__xludf.DUMMYFUNCTION("""COMPUTED_VALUE"""),"Q.U.B.E Director's Cut")</f>
        <v>Q.U.B.E Director's Cut</v>
      </c>
      <c r="B307" s="15" t="str">
        <f>IFERROR(__xludf.DUMMYFUNCTION("""COMPUTED_VALUE"""),"PS4/PS3")</f>
        <v>PS4/PS3</v>
      </c>
      <c r="C307" s="16" t="str">
        <f>IFERROR(__xludf.DUMMYFUNCTION("""COMPUTED_VALUE"""),"Playstation Plus (Discontinued)")</f>
        <v>Playstation Plus (Discontinued)</v>
      </c>
      <c r="D307" s="15" t="str">
        <f>IFERROR(__xludf.DUMMYFUNCTION("""COMPUTED_VALUE"""),"Removed")</f>
        <v>Removed</v>
      </c>
      <c r="E307" s="17">
        <f>IFERROR(__xludf.DUMMYFUNCTION("""COMPUTED_VALUE"""),43347.0)</f>
        <v>43347</v>
      </c>
      <c r="F307" s="54">
        <f>IFERROR(__xludf.DUMMYFUNCTION("""COMPUTED_VALUE"""),43374.0)</f>
        <v>43374</v>
      </c>
      <c r="G307" s="19">
        <f>IFERROR(__xludf.DUMMYFUNCTION("""COMPUTED_VALUE"""),0.8999999999999999)</f>
        <v>0.9</v>
      </c>
      <c r="H307" s="17">
        <f>IFERROR(__xludf.DUMMYFUNCTION("""COMPUTED_VALUE"""),42206.0)</f>
        <v>42206</v>
      </c>
      <c r="I307" s="19">
        <f>IFERROR(__xludf.DUMMYFUNCTION("""COMPUTED_VALUE"""),3.1194444444444445)</f>
        <v>3.119444444</v>
      </c>
      <c r="J307" s="21">
        <f>IFERROR(__xludf.DUMMYFUNCTION("""COMPUTED_VALUE"""),76.0)</f>
        <v>76</v>
      </c>
      <c r="K307" s="23">
        <f>IFERROR(__xludf.DUMMYFUNCTION("""COMPUTED_VALUE"""),7.1)</f>
        <v>7.1</v>
      </c>
      <c r="L307" s="24">
        <f>IFERROR(__xludf.DUMMYFUNCTION("""COMPUTED_VALUE"""),4.0)</f>
        <v>4</v>
      </c>
      <c r="M307" s="25" t="str">
        <f>IFERROR(__xludf.DUMMYFUNCTION("""COMPUTED_VALUE"""),"Puzzle")</f>
        <v>Puzzle</v>
      </c>
      <c r="N307" s="25"/>
      <c r="O307" s="26" t="str">
        <f>IFERROR(__xludf.DUMMYFUNCTION("""COMPUTED_VALUE"""),"No")</f>
        <v>No</v>
      </c>
      <c r="P307" s="26"/>
    </row>
    <row r="308">
      <c r="A308" s="13" t="str">
        <f>IFERROR(__xludf.DUMMYFUNCTION("""COMPUTED_VALUE"""),"Sparkle 2")</f>
        <v>Sparkle 2</v>
      </c>
      <c r="B308" s="15" t="str">
        <f>IFERROR(__xludf.DUMMYFUNCTION("""COMPUTED_VALUE"""),"PS4/Vita")</f>
        <v>PS4/Vita</v>
      </c>
      <c r="C308" s="16" t="str">
        <f>IFERROR(__xludf.DUMMYFUNCTION("""COMPUTED_VALUE"""),"Playstation Plus (Discontinued)")</f>
        <v>Playstation Plus (Discontinued)</v>
      </c>
      <c r="D308" s="15" t="str">
        <f>IFERROR(__xludf.DUMMYFUNCTION("""COMPUTED_VALUE"""),"Removed")</f>
        <v>Removed</v>
      </c>
      <c r="E308" s="17">
        <f>IFERROR(__xludf.DUMMYFUNCTION("""COMPUTED_VALUE"""),43347.0)</f>
        <v>43347</v>
      </c>
      <c r="F308" s="54">
        <f>IFERROR(__xludf.DUMMYFUNCTION("""COMPUTED_VALUE"""),43374.0)</f>
        <v>43374</v>
      </c>
      <c r="G308" s="19">
        <f>IFERROR(__xludf.DUMMYFUNCTION("""COMPUTED_VALUE"""),0.8999999999999999)</f>
        <v>0.9</v>
      </c>
      <c r="H308" s="17">
        <f>IFERROR(__xludf.DUMMYFUNCTION("""COMPUTED_VALUE"""),41991.0)</f>
        <v>41991</v>
      </c>
      <c r="I308" s="19">
        <f>IFERROR(__xludf.DUMMYFUNCTION("""COMPUTED_VALUE"""),3.7111111111111112)</f>
        <v>3.711111111</v>
      </c>
      <c r="J308" s="21">
        <f>IFERROR(__xludf.DUMMYFUNCTION("""COMPUTED_VALUE"""),72.0)</f>
        <v>72</v>
      </c>
      <c r="K308" s="23">
        <f>IFERROR(__xludf.DUMMYFUNCTION("""COMPUTED_VALUE"""),7.3)</f>
        <v>7.3</v>
      </c>
      <c r="L308" s="24">
        <f>IFERROR(__xludf.DUMMYFUNCTION("""COMPUTED_VALUE"""),4.0)</f>
        <v>4</v>
      </c>
      <c r="M308" s="25" t="str">
        <f>IFERROR(__xludf.DUMMYFUNCTION("""COMPUTED_VALUE"""),"Puzzle")</f>
        <v>Puzzle</v>
      </c>
      <c r="N308" s="25"/>
      <c r="O308" s="26" t="str">
        <f>IFERROR(__xludf.DUMMYFUNCTION("""COMPUTED_VALUE"""),"No")</f>
        <v>No</v>
      </c>
      <c r="P308" s="26"/>
    </row>
    <row r="309">
      <c r="A309" s="13" t="str">
        <f>IFERROR(__xludf.DUMMYFUNCTION("""COMPUTED_VALUE"""),"Foul Play")</f>
        <v>Foul Play</v>
      </c>
      <c r="B309" s="15" t="str">
        <f>IFERROR(__xludf.DUMMYFUNCTION("""COMPUTED_VALUE"""),"PS4/Vita")</f>
        <v>PS4/Vita</v>
      </c>
      <c r="C309" s="16" t="str">
        <f>IFERROR(__xludf.DUMMYFUNCTION("""COMPUTED_VALUE"""),"Playstation Plus (Discontinued)")</f>
        <v>Playstation Plus (Discontinued)</v>
      </c>
      <c r="D309" s="15" t="str">
        <f>IFERROR(__xludf.DUMMYFUNCTION("""COMPUTED_VALUE"""),"Removed")</f>
        <v>Removed</v>
      </c>
      <c r="E309" s="17">
        <f>IFERROR(__xludf.DUMMYFUNCTION("""COMPUTED_VALUE"""),43347.0)</f>
        <v>43347</v>
      </c>
      <c r="F309" s="54">
        <f>IFERROR(__xludf.DUMMYFUNCTION("""COMPUTED_VALUE"""),43374.0)</f>
        <v>43374</v>
      </c>
      <c r="G309" s="19">
        <f>IFERROR(__xludf.DUMMYFUNCTION("""COMPUTED_VALUE"""),0.8999999999999999)</f>
        <v>0.9</v>
      </c>
      <c r="H309" s="17">
        <f>IFERROR(__xludf.DUMMYFUNCTION("""COMPUTED_VALUE"""),41535.0)</f>
        <v>41535</v>
      </c>
      <c r="I309" s="19">
        <f>IFERROR(__xludf.DUMMYFUNCTION("""COMPUTED_VALUE"""),4.961111111111111)</f>
        <v>4.961111111</v>
      </c>
      <c r="J309" s="21">
        <f>IFERROR(__xludf.DUMMYFUNCTION("""COMPUTED_VALUE"""),66.0)</f>
        <v>66</v>
      </c>
      <c r="K309" s="23">
        <f>IFERROR(__xludf.DUMMYFUNCTION("""COMPUTED_VALUE"""),6.8)</f>
        <v>6.8</v>
      </c>
      <c r="L309" s="24">
        <f>IFERROR(__xludf.DUMMYFUNCTION("""COMPUTED_VALUE"""),5.0)</f>
        <v>5</v>
      </c>
      <c r="M309" s="25" t="str">
        <f>IFERROR(__xludf.DUMMYFUNCTION("""COMPUTED_VALUE"""),"Action-Adventure")</f>
        <v>Action-Adventure</v>
      </c>
      <c r="N309" s="25"/>
      <c r="O309" s="26" t="str">
        <f>IFERROR(__xludf.DUMMYFUNCTION("""COMPUTED_VALUE"""),"No")</f>
        <v>No</v>
      </c>
      <c r="P309" s="26"/>
    </row>
    <row r="310" hidden="1">
      <c r="A310" s="13" t="str">
        <f>IFERROR(__xludf.DUMMYFUNCTION("""COMPUTED_VALUE"""),"Mafia III")</f>
        <v>Mafia III</v>
      </c>
      <c r="B310" s="15" t="str">
        <f>IFERROR(__xludf.DUMMYFUNCTION("""COMPUTED_VALUE"""),"PS4")</f>
        <v>PS4</v>
      </c>
      <c r="C310" s="16" t="str">
        <f>IFERROR(__xludf.DUMMYFUNCTION("""COMPUTED_VALUE"""),"Playstation Plus (Discontinued)")</f>
        <v>Playstation Plus (Discontinued)</v>
      </c>
      <c r="D310" s="15" t="str">
        <f>IFERROR(__xludf.DUMMYFUNCTION("""COMPUTED_VALUE"""),"Removed")</f>
        <v>Removed</v>
      </c>
      <c r="E310" s="17">
        <f>IFERROR(__xludf.DUMMYFUNCTION("""COMPUTED_VALUE"""),43319.0)</f>
        <v>43319</v>
      </c>
      <c r="F310" s="54">
        <f>IFERROR(__xludf.DUMMYFUNCTION("""COMPUTED_VALUE"""),43346.0)</f>
        <v>43346</v>
      </c>
      <c r="G310" s="19">
        <f>IFERROR(__xludf.DUMMYFUNCTION("""COMPUTED_VALUE"""),0.8666666666666666)</f>
        <v>0.8666666667</v>
      </c>
      <c r="H310" s="17">
        <f>IFERROR(__xludf.DUMMYFUNCTION("""COMPUTED_VALUE"""),42650.0)</f>
        <v>42650</v>
      </c>
      <c r="I310" s="19">
        <f>IFERROR(__xludf.DUMMYFUNCTION("""COMPUTED_VALUE"""),1.8333333333333333)</f>
        <v>1.833333333</v>
      </c>
      <c r="J310" s="21">
        <f>IFERROR(__xludf.DUMMYFUNCTION("""COMPUTED_VALUE"""),68.0)</f>
        <v>68</v>
      </c>
      <c r="K310" s="23">
        <f>IFERROR(__xludf.DUMMYFUNCTION("""COMPUTED_VALUE"""),5.1)</f>
        <v>5.1</v>
      </c>
      <c r="L310" s="24">
        <f>IFERROR(__xludf.DUMMYFUNCTION("""COMPUTED_VALUE"""),23.0)</f>
        <v>23</v>
      </c>
      <c r="M310" s="25" t="str">
        <f>IFERROR(__xludf.DUMMYFUNCTION("""COMPUTED_VALUE"""),"Action-Adventure")</f>
        <v>Action-Adventure</v>
      </c>
      <c r="N310" s="25"/>
      <c r="O310" s="26" t="str">
        <f>IFERROR(__xludf.DUMMYFUNCTION("""COMPUTED_VALUE"""),"No")</f>
        <v>No</v>
      </c>
      <c r="P310" s="26"/>
    </row>
    <row r="311" hidden="1">
      <c r="A311" s="13" t="str">
        <f>IFERROR(__xludf.DUMMYFUNCTION("""COMPUTED_VALUE"""),"Dead by Daylight")</f>
        <v>Dead by Daylight</v>
      </c>
      <c r="B311" s="15" t="str">
        <f>IFERROR(__xludf.DUMMYFUNCTION("""COMPUTED_VALUE"""),"PS4")</f>
        <v>PS4</v>
      </c>
      <c r="C311" s="16" t="str">
        <f>IFERROR(__xludf.DUMMYFUNCTION("""COMPUTED_VALUE"""),"Playstation Plus (Discontinued)")</f>
        <v>Playstation Plus (Discontinued)</v>
      </c>
      <c r="D311" s="15" t="str">
        <f>IFERROR(__xludf.DUMMYFUNCTION("""COMPUTED_VALUE"""),"Removed")</f>
        <v>Removed</v>
      </c>
      <c r="E311" s="17">
        <f>IFERROR(__xludf.DUMMYFUNCTION("""COMPUTED_VALUE"""),43319.0)</f>
        <v>43319</v>
      </c>
      <c r="F311" s="54">
        <f>IFERROR(__xludf.DUMMYFUNCTION("""COMPUTED_VALUE"""),43346.0)</f>
        <v>43346</v>
      </c>
      <c r="G311" s="19">
        <f>IFERROR(__xludf.DUMMYFUNCTION("""COMPUTED_VALUE"""),0.8666666666666666)</f>
        <v>0.8666666667</v>
      </c>
      <c r="H311" s="17">
        <f>IFERROR(__xludf.DUMMYFUNCTION("""COMPUTED_VALUE"""),42535.0)</f>
        <v>42535</v>
      </c>
      <c r="I311" s="19">
        <f>IFERROR(__xludf.DUMMYFUNCTION("""COMPUTED_VALUE"""),2.147222222222222)</f>
        <v>2.147222222</v>
      </c>
      <c r="J311" s="21">
        <f>IFERROR(__xludf.DUMMYFUNCTION("""COMPUTED_VALUE"""),64.0)</f>
        <v>64</v>
      </c>
      <c r="K311" s="23">
        <f>IFERROR(__xludf.DUMMYFUNCTION("""COMPUTED_VALUE"""),6.8)</f>
        <v>6.8</v>
      </c>
      <c r="L311" s="24"/>
      <c r="M311" s="25" t="str">
        <f>IFERROR(__xludf.DUMMYFUNCTION("""COMPUTED_VALUE"""),"Horror")</f>
        <v>Horror</v>
      </c>
      <c r="N311" s="25"/>
      <c r="O311" s="26" t="str">
        <f>IFERROR(__xludf.DUMMYFUNCTION("""COMPUTED_VALUE"""),"No")</f>
        <v>No</v>
      </c>
      <c r="P311" s="26"/>
    </row>
    <row r="312" hidden="1">
      <c r="A312" s="13" t="str">
        <f>IFERROR(__xludf.DUMMYFUNCTION("""COMPUTED_VALUE"""),"Bound by Flame")</f>
        <v>Bound by Flame</v>
      </c>
      <c r="B312" s="15" t="str">
        <f>IFERROR(__xludf.DUMMYFUNCTION("""COMPUTED_VALUE"""),"PS3")</f>
        <v>PS3</v>
      </c>
      <c r="C312" s="16" t="str">
        <f>IFERROR(__xludf.DUMMYFUNCTION("""COMPUTED_VALUE"""),"Playstation Plus (Discontinued)")</f>
        <v>Playstation Plus (Discontinued)</v>
      </c>
      <c r="D312" s="15" t="str">
        <f>IFERROR(__xludf.DUMMYFUNCTION("""COMPUTED_VALUE"""),"Removed")</f>
        <v>Removed</v>
      </c>
      <c r="E312" s="17">
        <f>IFERROR(__xludf.DUMMYFUNCTION("""COMPUTED_VALUE"""),43319.0)</f>
        <v>43319</v>
      </c>
      <c r="F312" s="54">
        <f>IFERROR(__xludf.DUMMYFUNCTION("""COMPUTED_VALUE"""),43346.0)</f>
        <v>43346</v>
      </c>
      <c r="G312" s="19">
        <f>IFERROR(__xludf.DUMMYFUNCTION("""COMPUTED_VALUE"""),0.8666666666666666)</f>
        <v>0.8666666667</v>
      </c>
      <c r="H312" s="17">
        <f>IFERROR(__xludf.DUMMYFUNCTION("""COMPUTED_VALUE"""),41768.0)</f>
        <v>41768</v>
      </c>
      <c r="I312" s="19">
        <f>IFERROR(__xludf.DUMMYFUNCTION("""COMPUTED_VALUE"""),4.2444444444444445)</f>
        <v>4.244444444</v>
      </c>
      <c r="J312" s="21">
        <f>IFERROR(__xludf.DUMMYFUNCTION("""COMPUTED_VALUE"""),53.0)</f>
        <v>53</v>
      </c>
      <c r="K312" s="23">
        <f>IFERROR(__xludf.DUMMYFUNCTION("""COMPUTED_VALUE"""),5.9)</f>
        <v>5.9</v>
      </c>
      <c r="L312" s="24">
        <f>IFERROR(__xludf.DUMMYFUNCTION("""COMPUTED_VALUE"""),20.0)</f>
        <v>20</v>
      </c>
      <c r="M312" s="75" t="str">
        <f>IFERROR(__xludf.DUMMYFUNCTION("""COMPUTED_VALUE"""),"RPG")</f>
        <v>RPG</v>
      </c>
      <c r="N312" s="25"/>
      <c r="O312" s="26" t="str">
        <f>IFERROR(__xludf.DUMMYFUNCTION("""COMPUTED_VALUE"""),"No")</f>
        <v>No</v>
      </c>
      <c r="P312" s="26"/>
    </row>
    <row r="313" hidden="1">
      <c r="A313" s="13" t="str">
        <f>IFERROR(__xludf.DUMMYFUNCTION("""COMPUTED_VALUE"""),"Serious Sam 3: BFE")</f>
        <v>Serious Sam 3: BFE</v>
      </c>
      <c r="B313" s="15" t="str">
        <f>IFERROR(__xludf.DUMMYFUNCTION("""COMPUTED_VALUE"""),"PS3")</f>
        <v>PS3</v>
      </c>
      <c r="C313" s="16" t="str">
        <f>IFERROR(__xludf.DUMMYFUNCTION("""COMPUTED_VALUE"""),"Playstation Plus (Discontinued)")</f>
        <v>Playstation Plus (Discontinued)</v>
      </c>
      <c r="D313" s="15" t="str">
        <f>IFERROR(__xludf.DUMMYFUNCTION("""COMPUTED_VALUE"""),"Removed")</f>
        <v>Removed</v>
      </c>
      <c r="E313" s="17">
        <f>IFERROR(__xludf.DUMMYFUNCTION("""COMPUTED_VALUE"""),43319.0)</f>
        <v>43319</v>
      </c>
      <c r="F313" s="54">
        <f>IFERROR(__xludf.DUMMYFUNCTION("""COMPUTED_VALUE"""),43346.0)</f>
        <v>43346</v>
      </c>
      <c r="G313" s="19">
        <f>IFERROR(__xludf.DUMMYFUNCTION("""COMPUTED_VALUE"""),0.8666666666666666)</f>
        <v>0.8666666667</v>
      </c>
      <c r="H313" s="17">
        <f>IFERROR(__xludf.DUMMYFUNCTION("""COMPUTED_VALUE"""),40869.0)</f>
        <v>40869</v>
      </c>
      <c r="I313" s="19">
        <f>IFERROR(__xludf.DUMMYFUNCTION("""COMPUTED_VALUE"""),6.708333333333333)</f>
        <v>6.708333333</v>
      </c>
      <c r="J313" s="21">
        <f>IFERROR(__xludf.DUMMYFUNCTION("""COMPUTED_VALUE"""),72.0)</f>
        <v>72</v>
      </c>
      <c r="K313" s="23">
        <f>IFERROR(__xludf.DUMMYFUNCTION("""COMPUTED_VALUE"""),7.6)</f>
        <v>7.6</v>
      </c>
      <c r="L313" s="24">
        <f>IFERROR(__xludf.DUMMYFUNCTION("""COMPUTED_VALUE"""),8.0)</f>
        <v>8</v>
      </c>
      <c r="M313" s="25" t="str">
        <f>IFERROR(__xludf.DUMMYFUNCTION("""COMPUTED_VALUE"""),"Shooter")</f>
        <v>Shooter</v>
      </c>
      <c r="N313" s="25"/>
      <c r="O313" s="26" t="str">
        <f>IFERROR(__xludf.DUMMYFUNCTION("""COMPUTED_VALUE"""),"No")</f>
        <v>No</v>
      </c>
      <c r="P313" s="26"/>
    </row>
    <row r="314" hidden="1">
      <c r="A314" s="13" t="str">
        <f>IFERROR(__xludf.DUMMYFUNCTION("""COMPUTED_VALUE"""),"Draw Slasher")</f>
        <v>Draw Slasher</v>
      </c>
      <c r="B314" s="15" t="str">
        <f>IFERROR(__xludf.DUMMYFUNCTION("""COMPUTED_VALUE"""),"Vita")</f>
        <v>Vita</v>
      </c>
      <c r="C314" s="16" t="str">
        <f>IFERROR(__xludf.DUMMYFUNCTION("""COMPUTED_VALUE"""),"Playstation Plus (Discontinued)")</f>
        <v>Playstation Plus (Discontinued)</v>
      </c>
      <c r="D314" s="15" t="str">
        <f>IFERROR(__xludf.DUMMYFUNCTION("""COMPUTED_VALUE"""),"Removed")</f>
        <v>Removed</v>
      </c>
      <c r="E314" s="17">
        <f>IFERROR(__xludf.DUMMYFUNCTION("""COMPUTED_VALUE"""),43319.0)</f>
        <v>43319</v>
      </c>
      <c r="F314" s="54">
        <f>IFERROR(__xludf.DUMMYFUNCTION("""COMPUTED_VALUE"""),43346.0)</f>
        <v>43346</v>
      </c>
      <c r="G314" s="19">
        <f>IFERROR(__xludf.DUMMYFUNCTION("""COMPUTED_VALUE"""),0.8666666666666666)</f>
        <v>0.8666666667</v>
      </c>
      <c r="H314" s="17">
        <f>IFERROR(__xludf.DUMMYFUNCTION("""COMPUTED_VALUE"""),41402.0)</f>
        <v>41402</v>
      </c>
      <c r="I314" s="19">
        <f>IFERROR(__xludf.DUMMYFUNCTION("""COMPUTED_VALUE"""),5.247222222222222)</f>
        <v>5.247222222</v>
      </c>
      <c r="J314" s="21">
        <f>IFERROR(__xludf.DUMMYFUNCTION("""COMPUTED_VALUE"""),69.0)</f>
        <v>69</v>
      </c>
      <c r="K314" s="23">
        <f>IFERROR(__xludf.DUMMYFUNCTION("""COMPUTED_VALUE"""),6.4)</f>
        <v>6.4</v>
      </c>
      <c r="L314" s="24">
        <f>IFERROR(__xludf.DUMMYFUNCTION("""COMPUTED_VALUE"""),3.0)</f>
        <v>3</v>
      </c>
      <c r="M314" s="25" t="str">
        <f>IFERROR(__xludf.DUMMYFUNCTION("""COMPUTED_VALUE"""),"Action-Adventure")</f>
        <v>Action-Adventure</v>
      </c>
      <c r="N314" s="25"/>
      <c r="O314" s="26" t="str">
        <f>IFERROR(__xludf.DUMMYFUNCTION("""COMPUTED_VALUE"""),"No")</f>
        <v>No</v>
      </c>
      <c r="P314" s="26"/>
    </row>
    <row r="315">
      <c r="A315" s="13" t="str">
        <f>IFERROR(__xludf.DUMMYFUNCTION("""COMPUTED_VALUE"""),"Space Hulk")</f>
        <v>Space Hulk</v>
      </c>
      <c r="B315" s="15" t="str">
        <f>IFERROR(__xludf.DUMMYFUNCTION("""COMPUTED_VALUE"""),"Vita")</f>
        <v>Vita</v>
      </c>
      <c r="C315" s="16" t="str">
        <f>IFERROR(__xludf.DUMMYFUNCTION("""COMPUTED_VALUE"""),"Playstation Plus (Discontinued)")</f>
        <v>Playstation Plus (Discontinued)</v>
      </c>
      <c r="D315" s="15" t="str">
        <f>IFERROR(__xludf.DUMMYFUNCTION("""COMPUTED_VALUE"""),"Removed")</f>
        <v>Removed</v>
      </c>
      <c r="E315" s="17">
        <f>IFERROR(__xludf.DUMMYFUNCTION("""COMPUTED_VALUE"""),43319.0)</f>
        <v>43319</v>
      </c>
      <c r="F315" s="54">
        <f>IFERROR(__xludf.DUMMYFUNCTION("""COMPUTED_VALUE"""),43346.0)</f>
        <v>43346</v>
      </c>
      <c r="G315" s="19">
        <f>IFERROR(__xludf.DUMMYFUNCTION("""COMPUTED_VALUE"""),0.8666666666666666)</f>
        <v>0.8666666667</v>
      </c>
      <c r="H315" s="17">
        <f>IFERROR(__xludf.DUMMYFUNCTION("""COMPUTED_VALUE"""),41501.0)</f>
        <v>41501</v>
      </c>
      <c r="I315" s="19">
        <f>IFERROR(__xludf.DUMMYFUNCTION("""COMPUTED_VALUE"""),4.977777777777778)</f>
        <v>4.977777778</v>
      </c>
      <c r="J315" s="21">
        <f>IFERROR(__xludf.DUMMYFUNCTION("""COMPUTED_VALUE"""),51.0)</f>
        <v>51</v>
      </c>
      <c r="K315" s="23">
        <f>IFERROR(__xludf.DUMMYFUNCTION("""COMPUTED_VALUE"""),5.3)</f>
        <v>5.3</v>
      </c>
      <c r="L315" s="24">
        <f>IFERROR(__xludf.DUMMYFUNCTION("""COMPUTED_VALUE"""),18.0)</f>
        <v>18</v>
      </c>
      <c r="M315" s="25" t="str">
        <f>IFERROR(__xludf.DUMMYFUNCTION("""COMPUTED_VALUE"""),"Strategy")</f>
        <v>Strategy</v>
      </c>
      <c r="N315" s="25"/>
      <c r="O315" s="26" t="str">
        <f>IFERROR(__xludf.DUMMYFUNCTION("""COMPUTED_VALUE"""),"No")</f>
        <v>No</v>
      </c>
      <c r="P315" s="26"/>
    </row>
    <row r="316">
      <c r="A316" s="13" t="str">
        <f>IFERROR(__xludf.DUMMYFUNCTION("""COMPUTED_VALUE"""),"Heavy Rain")</f>
        <v>Heavy Rain</v>
      </c>
      <c r="B316" s="15" t="str">
        <f>IFERROR(__xludf.DUMMYFUNCTION("""COMPUTED_VALUE"""),"PS4")</f>
        <v>PS4</v>
      </c>
      <c r="C316" s="16" t="str">
        <f>IFERROR(__xludf.DUMMYFUNCTION("""COMPUTED_VALUE"""),"Playstation Plus (Discontinued)")</f>
        <v>Playstation Plus (Discontinued)</v>
      </c>
      <c r="D316" s="15" t="str">
        <f>IFERROR(__xludf.DUMMYFUNCTION("""COMPUTED_VALUE"""),"Removed")</f>
        <v>Removed</v>
      </c>
      <c r="E316" s="17">
        <f>IFERROR(__xludf.DUMMYFUNCTION("""COMPUTED_VALUE"""),43284.0)</f>
        <v>43284</v>
      </c>
      <c r="F316" s="54">
        <f>IFERROR(__xludf.DUMMYFUNCTION("""COMPUTED_VALUE"""),43318.0)</f>
        <v>43318</v>
      </c>
      <c r="G316" s="19">
        <f>IFERROR(__xludf.DUMMYFUNCTION("""COMPUTED_VALUE"""),1.0999999999999999)</f>
        <v>1.1</v>
      </c>
      <c r="H316" s="17">
        <f>IFERROR(__xludf.DUMMYFUNCTION("""COMPUTED_VALUE"""),40232.0)</f>
        <v>40232</v>
      </c>
      <c r="I316" s="19">
        <f>IFERROR(__xludf.DUMMYFUNCTION("""COMPUTED_VALUE"""),8.36111111111111)</f>
        <v>8.361111111</v>
      </c>
      <c r="J316" s="21">
        <f>IFERROR(__xludf.DUMMYFUNCTION("""COMPUTED_VALUE"""),78.0)</f>
        <v>78</v>
      </c>
      <c r="K316" s="23">
        <f>IFERROR(__xludf.DUMMYFUNCTION("""COMPUTED_VALUE"""),8.2)</f>
        <v>8.2</v>
      </c>
      <c r="L316" s="24">
        <f>IFERROR(__xludf.DUMMYFUNCTION("""COMPUTED_VALUE"""),10.0)</f>
        <v>10</v>
      </c>
      <c r="M316" s="25" t="str">
        <f>IFERROR(__xludf.DUMMYFUNCTION("""COMPUTED_VALUE"""),"Action-Adventure")</f>
        <v>Action-Adventure</v>
      </c>
      <c r="N316" s="25"/>
      <c r="O316" s="26" t="str">
        <f>IFERROR(__xludf.DUMMYFUNCTION("""COMPUTED_VALUE"""),"No")</f>
        <v>No</v>
      </c>
      <c r="P316" s="26"/>
    </row>
    <row r="317" hidden="1">
      <c r="A317" s="13" t="str">
        <f>IFERROR(__xludf.DUMMYFUNCTION("""COMPUTED_VALUE"""),"Absolver")</f>
        <v>Absolver</v>
      </c>
      <c r="B317" s="15" t="str">
        <f>IFERROR(__xludf.DUMMYFUNCTION("""COMPUTED_VALUE"""),"PS4")</f>
        <v>PS4</v>
      </c>
      <c r="C317" s="16" t="str">
        <f>IFERROR(__xludf.DUMMYFUNCTION("""COMPUTED_VALUE"""),"Playstation Plus (Discontinued)")</f>
        <v>Playstation Plus (Discontinued)</v>
      </c>
      <c r="D317" s="15" t="str">
        <f>IFERROR(__xludf.DUMMYFUNCTION("""COMPUTED_VALUE"""),"Removed")</f>
        <v>Removed</v>
      </c>
      <c r="E317" s="17">
        <f>IFERROR(__xludf.DUMMYFUNCTION("""COMPUTED_VALUE"""),43284.0)</f>
        <v>43284</v>
      </c>
      <c r="F317" s="54">
        <f>IFERROR(__xludf.DUMMYFUNCTION("""COMPUTED_VALUE"""),43318.0)</f>
        <v>43318</v>
      </c>
      <c r="G317" s="19">
        <f>IFERROR(__xludf.DUMMYFUNCTION("""COMPUTED_VALUE"""),1.0999999999999999)</f>
        <v>1.1</v>
      </c>
      <c r="H317" s="17">
        <f>IFERROR(__xludf.DUMMYFUNCTION("""COMPUTED_VALUE"""),42976.0)</f>
        <v>42976</v>
      </c>
      <c r="I317" s="19">
        <f>IFERROR(__xludf.DUMMYFUNCTION("""COMPUTED_VALUE"""),0.8444444444444444)</f>
        <v>0.8444444444</v>
      </c>
      <c r="J317" s="21">
        <f>IFERROR(__xludf.DUMMYFUNCTION("""COMPUTED_VALUE"""),69.0)</f>
        <v>69</v>
      </c>
      <c r="K317" s="23">
        <f>IFERROR(__xludf.DUMMYFUNCTION("""COMPUTED_VALUE"""),6.6)</f>
        <v>6.6</v>
      </c>
      <c r="L317" s="24"/>
      <c r="M317" s="25" t="str">
        <f>IFERROR(__xludf.DUMMYFUNCTION("""COMPUTED_VALUE"""),"RPG")</f>
        <v>RPG</v>
      </c>
      <c r="N317" s="25"/>
      <c r="O317" s="26" t="str">
        <f>IFERROR(__xludf.DUMMYFUNCTION("""COMPUTED_VALUE"""),"No")</f>
        <v>No</v>
      </c>
      <c r="P317" s="26"/>
    </row>
    <row r="318" hidden="1">
      <c r="A318" s="13" t="str">
        <f>IFERROR(__xludf.DUMMYFUNCTION("""COMPUTED_VALUE"""),"Rayman 3 HD")</f>
        <v>Rayman 3 HD</v>
      </c>
      <c r="B318" s="15" t="str">
        <f>IFERROR(__xludf.DUMMYFUNCTION("""COMPUTED_VALUE"""),"PS3")</f>
        <v>PS3</v>
      </c>
      <c r="C318" s="16" t="str">
        <f>IFERROR(__xludf.DUMMYFUNCTION("""COMPUTED_VALUE"""),"Playstation Plus (Discontinued)")</f>
        <v>Playstation Plus (Discontinued)</v>
      </c>
      <c r="D318" s="15" t="str">
        <f>IFERROR(__xludf.DUMMYFUNCTION("""COMPUTED_VALUE"""),"Removed")</f>
        <v>Removed</v>
      </c>
      <c r="E318" s="17">
        <f>IFERROR(__xludf.DUMMYFUNCTION("""COMPUTED_VALUE"""),43284.0)</f>
        <v>43284</v>
      </c>
      <c r="F318" s="54">
        <f>IFERROR(__xludf.DUMMYFUNCTION("""COMPUTED_VALUE"""),43318.0)</f>
        <v>43318</v>
      </c>
      <c r="G318" s="19">
        <f>IFERROR(__xludf.DUMMYFUNCTION("""COMPUTED_VALUE"""),1.0999999999999999)</f>
        <v>1.1</v>
      </c>
      <c r="H318" s="17">
        <f>IFERROR(__xludf.DUMMYFUNCTION("""COMPUTED_VALUE"""),40989.0)</f>
        <v>40989</v>
      </c>
      <c r="I318" s="19">
        <f>IFERROR(__xludf.DUMMYFUNCTION("""COMPUTED_VALUE"""),6.283333333333333)</f>
        <v>6.283333333</v>
      </c>
      <c r="J318" s="21">
        <f>IFERROR(__xludf.DUMMYFUNCTION("""COMPUTED_VALUE"""),72.0)</f>
        <v>72</v>
      </c>
      <c r="K318" s="23">
        <f>IFERROR(__xludf.DUMMYFUNCTION("""COMPUTED_VALUE"""),7.9)</f>
        <v>7.9</v>
      </c>
      <c r="L318" s="24">
        <f>IFERROR(__xludf.DUMMYFUNCTION("""COMPUTED_VALUE"""),7.0)</f>
        <v>7</v>
      </c>
      <c r="M318" s="25" t="str">
        <f>IFERROR(__xludf.DUMMYFUNCTION("""COMPUTED_VALUE"""),"Platformer")</f>
        <v>Platformer</v>
      </c>
      <c r="N318" s="25"/>
      <c r="O318" s="26" t="str">
        <f>IFERROR(__xludf.DUMMYFUNCTION("""COMPUTED_VALUE"""),"No")</f>
        <v>No</v>
      </c>
      <c r="P318" s="26"/>
    </row>
    <row r="319" hidden="1">
      <c r="A319" s="13" t="str">
        <f>IFERROR(__xludf.DUMMYFUNCTION("""COMPUTED_VALUE"""),"Extreme Exorcism")</f>
        <v>Extreme Exorcism</v>
      </c>
      <c r="B319" s="15" t="str">
        <f>IFERROR(__xludf.DUMMYFUNCTION("""COMPUTED_VALUE"""),"PS4/PS3")</f>
        <v>PS4/PS3</v>
      </c>
      <c r="C319" s="16" t="str">
        <f>IFERROR(__xludf.DUMMYFUNCTION("""COMPUTED_VALUE"""),"Playstation Plus (Discontinued)")</f>
        <v>Playstation Plus (Discontinued)</v>
      </c>
      <c r="D319" s="15" t="str">
        <f>IFERROR(__xludf.DUMMYFUNCTION("""COMPUTED_VALUE"""),"Removed")</f>
        <v>Removed</v>
      </c>
      <c r="E319" s="17">
        <f>IFERROR(__xludf.DUMMYFUNCTION("""COMPUTED_VALUE"""),43284.0)</f>
        <v>43284</v>
      </c>
      <c r="F319" s="54">
        <f>IFERROR(__xludf.DUMMYFUNCTION("""COMPUTED_VALUE"""),43318.0)</f>
        <v>43318</v>
      </c>
      <c r="G319" s="19">
        <f>IFERROR(__xludf.DUMMYFUNCTION("""COMPUTED_VALUE"""),1.0999999999999999)</f>
        <v>1.1</v>
      </c>
      <c r="H319" s="17">
        <f>IFERROR(__xludf.DUMMYFUNCTION("""COMPUTED_VALUE"""),42270.0)</f>
        <v>42270</v>
      </c>
      <c r="I319" s="19">
        <f>IFERROR(__xludf.DUMMYFUNCTION("""COMPUTED_VALUE"""),2.7777777777777777)</f>
        <v>2.777777778</v>
      </c>
      <c r="J319" s="21">
        <f>IFERROR(__xludf.DUMMYFUNCTION("""COMPUTED_VALUE"""),74.0)</f>
        <v>74</v>
      </c>
      <c r="K319" s="23">
        <f>IFERROR(__xludf.DUMMYFUNCTION("""COMPUTED_VALUE"""),7.1)</f>
        <v>7.1</v>
      </c>
      <c r="L319" s="24">
        <f>IFERROR(__xludf.DUMMYFUNCTION("""COMPUTED_VALUE"""),4.0)</f>
        <v>4</v>
      </c>
      <c r="M319" s="25" t="str">
        <f>IFERROR(__xludf.DUMMYFUNCTION("""COMPUTED_VALUE"""),"Platformer")</f>
        <v>Platformer</v>
      </c>
      <c r="N319" s="25"/>
      <c r="O319" s="26" t="str">
        <f>IFERROR(__xludf.DUMMYFUNCTION("""COMPUTED_VALUE"""),"No")</f>
        <v>No</v>
      </c>
      <c r="P319" s="26"/>
    </row>
    <row r="320" hidden="1">
      <c r="A320" s="13" t="str">
        <f>IFERROR(__xludf.DUMMYFUNCTION("""COMPUTED_VALUE"""),"Space Overlords")</f>
        <v>Space Overlords</v>
      </c>
      <c r="B320" s="15" t="str">
        <f>IFERROR(__xludf.DUMMYFUNCTION("""COMPUTED_VALUE"""),"PS4/Vita")</f>
        <v>PS4/Vita</v>
      </c>
      <c r="C320" s="16" t="str">
        <f>IFERROR(__xludf.DUMMYFUNCTION("""COMPUTED_VALUE"""),"Playstation Plus (Discontinued)")</f>
        <v>Playstation Plus (Discontinued)</v>
      </c>
      <c r="D320" s="15" t="str">
        <f>IFERROR(__xludf.DUMMYFUNCTION("""COMPUTED_VALUE"""),"Removed")</f>
        <v>Removed</v>
      </c>
      <c r="E320" s="17">
        <f>IFERROR(__xludf.DUMMYFUNCTION("""COMPUTED_VALUE"""),43284.0)</f>
        <v>43284</v>
      </c>
      <c r="F320" s="54">
        <f>IFERROR(__xludf.DUMMYFUNCTION("""COMPUTED_VALUE"""),43318.0)</f>
        <v>43318</v>
      </c>
      <c r="G320" s="19">
        <f>IFERROR(__xludf.DUMMYFUNCTION("""COMPUTED_VALUE"""),1.0999999999999999)</f>
        <v>1.1</v>
      </c>
      <c r="H320" s="17">
        <f>IFERROR(__xludf.DUMMYFUNCTION("""COMPUTED_VALUE"""),42444.0)</f>
        <v>42444</v>
      </c>
      <c r="I320" s="19">
        <f>IFERROR(__xludf.DUMMYFUNCTION("""COMPUTED_VALUE"""),2.3)</f>
        <v>2.3</v>
      </c>
      <c r="J320" s="21">
        <f>IFERROR(__xludf.DUMMYFUNCTION("""COMPUTED_VALUE"""),42.0)</f>
        <v>42</v>
      </c>
      <c r="K320" s="23">
        <f>IFERROR(__xludf.DUMMYFUNCTION("""COMPUTED_VALUE"""),5.7)</f>
        <v>5.7</v>
      </c>
      <c r="L320" s="24">
        <f>IFERROR(__xludf.DUMMYFUNCTION("""COMPUTED_VALUE"""),3.0)</f>
        <v>3</v>
      </c>
      <c r="M320" s="25" t="str">
        <f>IFERROR(__xludf.DUMMYFUNCTION("""COMPUTED_VALUE"""),"Action-Adventure")</f>
        <v>Action-Adventure</v>
      </c>
      <c r="N320" s="25"/>
      <c r="O320" s="26" t="str">
        <f>IFERROR(__xludf.DUMMYFUNCTION("""COMPUTED_VALUE"""),"No")</f>
        <v>No</v>
      </c>
      <c r="P320" s="26"/>
    </row>
    <row r="321" hidden="1">
      <c r="A321" s="13" t="str">
        <f>IFERROR(__xludf.DUMMYFUNCTION("""COMPUTED_VALUE"""),"Zero Escape: Zero Time Dilemma")</f>
        <v>Zero Escape: Zero Time Dilemma</v>
      </c>
      <c r="B321" s="15" t="str">
        <f>IFERROR(__xludf.DUMMYFUNCTION("""COMPUTED_VALUE"""),"Vita")</f>
        <v>Vita</v>
      </c>
      <c r="C321" s="16" t="str">
        <f>IFERROR(__xludf.DUMMYFUNCTION("""COMPUTED_VALUE"""),"Playstation Plus (Discontinued)")</f>
        <v>Playstation Plus (Discontinued)</v>
      </c>
      <c r="D321" s="15" t="str">
        <f>IFERROR(__xludf.DUMMYFUNCTION("""COMPUTED_VALUE"""),"Removed")</f>
        <v>Removed</v>
      </c>
      <c r="E321" s="17">
        <f>IFERROR(__xludf.DUMMYFUNCTION("""COMPUTED_VALUE"""),43284.0)</f>
        <v>43284</v>
      </c>
      <c r="F321" s="54">
        <f>IFERROR(__xludf.DUMMYFUNCTION("""COMPUTED_VALUE"""),43318.0)</f>
        <v>43318</v>
      </c>
      <c r="G321" s="19">
        <f>IFERROR(__xludf.DUMMYFUNCTION("""COMPUTED_VALUE"""),1.0999999999999999)</f>
        <v>1.1</v>
      </c>
      <c r="H321" s="17">
        <f>IFERROR(__xludf.DUMMYFUNCTION("""COMPUTED_VALUE"""),42549.0)</f>
        <v>42549</v>
      </c>
      <c r="I321" s="19">
        <f>IFERROR(__xludf.DUMMYFUNCTION("""COMPUTED_VALUE"""),2.013888888888889)</f>
        <v>2.013888889</v>
      </c>
      <c r="J321" s="21">
        <f>IFERROR(__xludf.DUMMYFUNCTION("""COMPUTED_VALUE"""),83.0)</f>
        <v>83</v>
      </c>
      <c r="K321" s="23">
        <f>IFERROR(__xludf.DUMMYFUNCTION("""COMPUTED_VALUE"""),8.0)</f>
        <v>8</v>
      </c>
      <c r="L321" s="24">
        <f>IFERROR(__xludf.DUMMYFUNCTION("""COMPUTED_VALUE"""),20.0)</f>
        <v>20</v>
      </c>
      <c r="M321" s="25" t="str">
        <f>IFERROR(__xludf.DUMMYFUNCTION("""COMPUTED_VALUE"""),"Adventure")</f>
        <v>Adventure</v>
      </c>
      <c r="N321" s="25"/>
      <c r="O321" s="26" t="str">
        <f>IFERROR(__xludf.DUMMYFUNCTION("""COMPUTED_VALUE"""),"No")</f>
        <v>No</v>
      </c>
      <c r="P321" s="26"/>
    </row>
    <row r="322">
      <c r="A322" s="13" t="str">
        <f>IFERROR(__xludf.DUMMYFUNCTION("""COMPUTED_VALUE"""),"Call of Duty: Black Ops III")</f>
        <v>Call of Duty: Black Ops III</v>
      </c>
      <c r="B322" s="15" t="str">
        <f>IFERROR(__xludf.DUMMYFUNCTION("""COMPUTED_VALUE"""),"PS4")</f>
        <v>PS4</v>
      </c>
      <c r="C322" s="16" t="str">
        <f>IFERROR(__xludf.DUMMYFUNCTION("""COMPUTED_VALUE"""),"Playstation Plus (Discontinued)")</f>
        <v>Playstation Plus (Discontinued)</v>
      </c>
      <c r="D322" s="15" t="str">
        <f>IFERROR(__xludf.DUMMYFUNCTION("""COMPUTED_VALUE"""),"Removed")</f>
        <v>Removed</v>
      </c>
      <c r="E322" s="17">
        <f>IFERROR(__xludf.DUMMYFUNCTION("""COMPUTED_VALUE"""),43262.0)</f>
        <v>43262</v>
      </c>
      <c r="F322" s="54">
        <f>IFERROR(__xludf.DUMMYFUNCTION("""COMPUTED_VALUE"""),43292.0)</f>
        <v>43292</v>
      </c>
      <c r="G322" s="19">
        <f>IFERROR(__xludf.DUMMYFUNCTION("""COMPUTED_VALUE"""),1.0)</f>
        <v>1</v>
      </c>
      <c r="H322" s="17">
        <f>IFERROR(__xludf.DUMMYFUNCTION("""COMPUTED_VALUE"""),42314.0)</f>
        <v>42314</v>
      </c>
      <c r="I322" s="19">
        <f>IFERROR(__xludf.DUMMYFUNCTION("""COMPUTED_VALUE"""),2.5972222222222223)</f>
        <v>2.597222222</v>
      </c>
      <c r="J322" s="21">
        <f>IFERROR(__xludf.DUMMYFUNCTION("""COMPUTED_VALUE"""),81.0)</f>
        <v>81</v>
      </c>
      <c r="K322" s="23">
        <f>IFERROR(__xludf.DUMMYFUNCTION("""COMPUTED_VALUE"""),6.6)</f>
        <v>6.6</v>
      </c>
      <c r="L322" s="24">
        <f>IFERROR(__xludf.DUMMYFUNCTION("""COMPUTED_VALUE"""),8.0)</f>
        <v>8</v>
      </c>
      <c r="M322" s="25" t="str">
        <f>IFERROR(__xludf.DUMMYFUNCTION("""COMPUTED_VALUE"""),"Shooter")</f>
        <v>Shooter</v>
      </c>
      <c r="N322" s="25"/>
      <c r="O322" s="26" t="str">
        <f>IFERROR(__xludf.DUMMYFUNCTION("""COMPUTED_VALUE"""),"No")</f>
        <v>No</v>
      </c>
      <c r="P322" s="26"/>
    </row>
    <row r="323">
      <c r="A323" s="13" t="str">
        <f>IFERROR(__xludf.DUMMYFUNCTION("""COMPUTED_VALUE"""),"XCOM 2")</f>
        <v>XCOM 2</v>
      </c>
      <c r="B323" s="15" t="str">
        <f>IFERROR(__xludf.DUMMYFUNCTION("""COMPUTED_VALUE"""),"PS4")</f>
        <v>PS4</v>
      </c>
      <c r="C323" s="16" t="str">
        <f>IFERROR(__xludf.DUMMYFUNCTION("""COMPUTED_VALUE"""),"Playstation Plus (Discontinued)")</f>
        <v>Playstation Plus (Discontinued)</v>
      </c>
      <c r="D323" s="15" t="str">
        <f>IFERROR(__xludf.DUMMYFUNCTION("""COMPUTED_VALUE"""),"Removed")</f>
        <v>Removed</v>
      </c>
      <c r="E323" s="17">
        <f>IFERROR(__xludf.DUMMYFUNCTION("""COMPUTED_VALUE"""),43256.0)</f>
        <v>43256</v>
      </c>
      <c r="F323" s="54">
        <f>IFERROR(__xludf.DUMMYFUNCTION("""COMPUTED_VALUE"""),43261.0)</f>
        <v>43261</v>
      </c>
      <c r="G323" s="19">
        <f>IFERROR(__xludf.DUMMYFUNCTION("""COMPUTED_VALUE"""),0.16666666666666666)</f>
        <v>0.1666666667</v>
      </c>
      <c r="H323" s="17">
        <f>IFERROR(__xludf.DUMMYFUNCTION("""COMPUTED_VALUE"""),42405.0)</f>
        <v>42405</v>
      </c>
      <c r="I323" s="19">
        <f>IFERROR(__xludf.DUMMYFUNCTION("""COMPUTED_VALUE"""),2.3333333333333335)</f>
        <v>2.333333333</v>
      </c>
      <c r="J323" s="21">
        <f>IFERROR(__xludf.DUMMYFUNCTION("""COMPUTED_VALUE"""),87.0)</f>
        <v>87</v>
      </c>
      <c r="K323" s="23">
        <f>IFERROR(__xludf.DUMMYFUNCTION("""COMPUTED_VALUE"""),7.9)</f>
        <v>7.9</v>
      </c>
      <c r="L323" s="24">
        <f>IFERROR(__xludf.DUMMYFUNCTION("""COMPUTED_VALUE"""),33.0)</f>
        <v>33</v>
      </c>
      <c r="M323" s="25" t="str">
        <f>IFERROR(__xludf.DUMMYFUNCTION("""COMPUTED_VALUE"""),"Strategy")</f>
        <v>Strategy</v>
      </c>
      <c r="N323" s="25"/>
      <c r="O323" s="26" t="str">
        <f>IFERROR(__xludf.DUMMYFUNCTION("""COMPUTED_VALUE"""),"No")</f>
        <v>No</v>
      </c>
      <c r="P323" s="26"/>
    </row>
    <row r="324" hidden="1">
      <c r="A324" s="13" t="str">
        <f>IFERROR(__xludf.DUMMYFUNCTION("""COMPUTED_VALUE"""),"Trials Fusion")</f>
        <v>Trials Fusion</v>
      </c>
      <c r="B324" s="15" t="str">
        <f>IFERROR(__xludf.DUMMYFUNCTION("""COMPUTED_VALUE"""),"PS4")</f>
        <v>PS4</v>
      </c>
      <c r="C324" s="16" t="str">
        <f>IFERROR(__xludf.DUMMYFUNCTION("""COMPUTED_VALUE"""),"Playstation Plus (Discontinued)")</f>
        <v>Playstation Plus (Discontinued)</v>
      </c>
      <c r="D324" s="15" t="str">
        <f>IFERROR(__xludf.DUMMYFUNCTION("""COMPUTED_VALUE"""),"Removed")</f>
        <v>Removed</v>
      </c>
      <c r="E324" s="17">
        <f>IFERROR(__xludf.DUMMYFUNCTION("""COMPUTED_VALUE"""),43256.0)</f>
        <v>43256</v>
      </c>
      <c r="F324" s="54">
        <f>IFERROR(__xludf.DUMMYFUNCTION("""COMPUTED_VALUE"""),43261.0)</f>
        <v>43261</v>
      </c>
      <c r="G324" s="19">
        <f>IFERROR(__xludf.DUMMYFUNCTION("""COMPUTED_VALUE"""),0.16666666666666666)</f>
        <v>0.1666666667</v>
      </c>
      <c r="H324" s="17">
        <f>IFERROR(__xludf.DUMMYFUNCTION("""COMPUTED_VALUE"""),41745.0)</f>
        <v>41745</v>
      </c>
      <c r="I324" s="19">
        <f>IFERROR(__xludf.DUMMYFUNCTION("""COMPUTED_VALUE"""),4.136111111111111)</f>
        <v>4.136111111</v>
      </c>
      <c r="J324" s="21">
        <f>IFERROR(__xludf.DUMMYFUNCTION("""COMPUTED_VALUE"""),79.0)</f>
        <v>79</v>
      </c>
      <c r="K324" s="23">
        <f>IFERROR(__xludf.DUMMYFUNCTION("""COMPUTED_VALUE"""),7.1)</f>
        <v>7.1</v>
      </c>
      <c r="L324" s="24">
        <f>IFERROR(__xludf.DUMMYFUNCTION("""COMPUTED_VALUE"""),7.0)</f>
        <v>7</v>
      </c>
      <c r="M324" s="25" t="str">
        <f>IFERROR(__xludf.DUMMYFUNCTION("""COMPUTED_VALUE"""),"Racing")</f>
        <v>Racing</v>
      </c>
      <c r="N324" s="25"/>
      <c r="O324" s="26" t="str">
        <f>IFERROR(__xludf.DUMMYFUNCTION("""COMPUTED_VALUE"""),"No")</f>
        <v>No</v>
      </c>
      <c r="P324" s="26"/>
    </row>
    <row r="325" hidden="1">
      <c r="A325" s="13" t="str">
        <f>IFERROR(__xludf.DUMMYFUNCTION("""COMPUTED_VALUE"""),"Zombie Driver HD")</f>
        <v>Zombie Driver HD</v>
      </c>
      <c r="B325" s="15" t="str">
        <f>IFERROR(__xludf.DUMMYFUNCTION("""COMPUTED_VALUE"""),"PS3")</f>
        <v>PS3</v>
      </c>
      <c r="C325" s="16" t="str">
        <f>IFERROR(__xludf.DUMMYFUNCTION("""COMPUTED_VALUE"""),"Playstation Plus (Discontinued)")</f>
        <v>Playstation Plus (Discontinued)</v>
      </c>
      <c r="D325" s="15" t="str">
        <f>IFERROR(__xludf.DUMMYFUNCTION("""COMPUTED_VALUE"""),"Removed")</f>
        <v>Removed</v>
      </c>
      <c r="E325" s="17">
        <f>IFERROR(__xludf.DUMMYFUNCTION("""COMPUTED_VALUE"""),43256.0)</f>
        <v>43256</v>
      </c>
      <c r="F325" s="54">
        <f>IFERROR(__xludf.DUMMYFUNCTION("""COMPUTED_VALUE"""),43261.0)</f>
        <v>43261</v>
      </c>
      <c r="G325" s="19">
        <f>IFERROR(__xludf.DUMMYFUNCTION("""COMPUTED_VALUE"""),0.16666666666666666)</f>
        <v>0.1666666667</v>
      </c>
      <c r="H325" s="17">
        <f>IFERROR(__xludf.DUMMYFUNCTION("""COMPUTED_VALUE"""),41199.0)</f>
        <v>41199</v>
      </c>
      <c r="I325" s="19">
        <f>IFERROR(__xludf.DUMMYFUNCTION("""COMPUTED_VALUE"""),5.633333333333334)</f>
        <v>5.633333333</v>
      </c>
      <c r="J325" s="21">
        <f>IFERROR(__xludf.DUMMYFUNCTION("""COMPUTED_VALUE"""),70.0)</f>
        <v>70</v>
      </c>
      <c r="K325" s="23">
        <f>IFERROR(__xludf.DUMMYFUNCTION("""COMPUTED_VALUE"""),7.5)</f>
        <v>7.5</v>
      </c>
      <c r="L325" s="24">
        <f>IFERROR(__xludf.DUMMYFUNCTION("""COMPUTED_VALUE"""),4.0)</f>
        <v>4</v>
      </c>
      <c r="M325" s="25" t="str">
        <f>IFERROR(__xludf.DUMMYFUNCTION("""COMPUTED_VALUE"""),"Racing")</f>
        <v>Racing</v>
      </c>
      <c r="N325" s="25"/>
      <c r="O325" s="26" t="str">
        <f>IFERROR(__xludf.DUMMYFUNCTION("""COMPUTED_VALUE"""),"No")</f>
        <v>No</v>
      </c>
      <c r="P325" s="26"/>
    </row>
    <row r="326" hidden="1">
      <c r="A326" s="13" t="str">
        <f>IFERROR(__xludf.DUMMYFUNCTION("""COMPUTED_VALUE"""),"Tom Clancy’s Ghost Recon: Future Soldier")</f>
        <v>Tom Clancy’s Ghost Recon: Future Soldier</v>
      </c>
      <c r="B326" s="15" t="str">
        <f>IFERROR(__xludf.DUMMYFUNCTION("""COMPUTED_VALUE"""),"PS3")</f>
        <v>PS3</v>
      </c>
      <c r="C326" s="16" t="str">
        <f>IFERROR(__xludf.DUMMYFUNCTION("""COMPUTED_VALUE"""),"Playstation Plus (Discontinued)")</f>
        <v>Playstation Plus (Discontinued)</v>
      </c>
      <c r="D326" s="15" t="str">
        <f>IFERROR(__xludf.DUMMYFUNCTION("""COMPUTED_VALUE"""),"Removed")</f>
        <v>Removed</v>
      </c>
      <c r="E326" s="17">
        <f>IFERROR(__xludf.DUMMYFUNCTION("""COMPUTED_VALUE"""),43256.0)</f>
        <v>43256</v>
      </c>
      <c r="F326" s="54">
        <f>IFERROR(__xludf.DUMMYFUNCTION("""COMPUTED_VALUE"""),43261.0)</f>
        <v>43261</v>
      </c>
      <c r="G326" s="19">
        <f>IFERROR(__xludf.DUMMYFUNCTION("""COMPUTED_VALUE"""),0.16666666666666666)</f>
        <v>0.1666666667</v>
      </c>
      <c r="H326" s="17">
        <f>IFERROR(__xludf.DUMMYFUNCTION("""COMPUTED_VALUE"""),41051.0)</f>
        <v>41051</v>
      </c>
      <c r="I326" s="19">
        <f>IFERROR(__xludf.DUMMYFUNCTION("""COMPUTED_VALUE"""),6.036111111111111)</f>
        <v>6.036111111</v>
      </c>
      <c r="J326" s="21">
        <f>IFERROR(__xludf.DUMMYFUNCTION("""COMPUTED_VALUE"""),79.0)</f>
        <v>79</v>
      </c>
      <c r="K326" s="23">
        <f>IFERROR(__xludf.DUMMYFUNCTION("""COMPUTED_VALUE"""),7.6)</f>
        <v>7.6</v>
      </c>
      <c r="L326" s="24">
        <f>IFERROR(__xludf.DUMMYFUNCTION("""COMPUTED_VALUE"""),10.0)</f>
        <v>10</v>
      </c>
      <c r="M326" s="25" t="str">
        <f>IFERROR(__xludf.DUMMYFUNCTION("""COMPUTED_VALUE"""),"Shooter")</f>
        <v>Shooter</v>
      </c>
      <c r="N326" s="25"/>
      <c r="O326" s="26" t="str">
        <f>IFERROR(__xludf.DUMMYFUNCTION("""COMPUTED_VALUE"""),"No")</f>
        <v>No</v>
      </c>
      <c r="P326" s="26"/>
    </row>
    <row r="327" hidden="1">
      <c r="A327" s="13" t="str">
        <f>IFERROR(__xludf.DUMMYFUNCTION("""COMPUTED_VALUE"""),"Atomic Ninjas")</f>
        <v>Atomic Ninjas</v>
      </c>
      <c r="B327" s="15" t="str">
        <f>IFERROR(__xludf.DUMMYFUNCTION("""COMPUTED_VALUE"""),"Vita")</f>
        <v>Vita</v>
      </c>
      <c r="C327" s="16" t="str">
        <f>IFERROR(__xludf.DUMMYFUNCTION("""COMPUTED_VALUE"""),"Playstation Plus (Discontinued)")</f>
        <v>Playstation Plus (Discontinued)</v>
      </c>
      <c r="D327" s="15" t="str">
        <f>IFERROR(__xludf.DUMMYFUNCTION("""COMPUTED_VALUE"""),"Removed")</f>
        <v>Removed</v>
      </c>
      <c r="E327" s="17">
        <f>IFERROR(__xludf.DUMMYFUNCTION("""COMPUTED_VALUE"""),43256.0)</f>
        <v>43256</v>
      </c>
      <c r="F327" s="54">
        <f>IFERROR(__xludf.DUMMYFUNCTION("""COMPUTED_VALUE"""),43261.0)</f>
        <v>43261</v>
      </c>
      <c r="G327" s="19">
        <f>IFERROR(__xludf.DUMMYFUNCTION("""COMPUTED_VALUE"""),0.16666666666666666)</f>
        <v>0.1666666667</v>
      </c>
      <c r="H327" s="17">
        <f>IFERROR(__xludf.DUMMYFUNCTION("""COMPUTED_VALUE"""),41555.0)</f>
        <v>41555</v>
      </c>
      <c r="I327" s="19">
        <f>IFERROR(__xludf.DUMMYFUNCTION("""COMPUTED_VALUE"""),4.658333333333333)</f>
        <v>4.658333333</v>
      </c>
      <c r="J327" s="21">
        <f>IFERROR(__xludf.DUMMYFUNCTION("""COMPUTED_VALUE"""),58.0)</f>
        <v>58</v>
      </c>
      <c r="K327" s="23">
        <f>IFERROR(__xludf.DUMMYFUNCTION("""COMPUTED_VALUE"""),5.7)</f>
        <v>5.7</v>
      </c>
      <c r="L327" s="24"/>
      <c r="M327" s="25" t="str">
        <f>IFERROR(__xludf.DUMMYFUNCTION("""COMPUTED_VALUE"""),"Platformer")</f>
        <v>Platformer</v>
      </c>
      <c r="N327" s="25"/>
      <c r="O327" s="26" t="str">
        <f>IFERROR(__xludf.DUMMYFUNCTION("""COMPUTED_VALUE"""),"No")</f>
        <v>No</v>
      </c>
      <c r="P327" s="26"/>
    </row>
    <row r="328">
      <c r="A328" s="13" t="str">
        <f>IFERROR(__xludf.DUMMYFUNCTION("""COMPUTED_VALUE"""),"Squares")</f>
        <v>Squares</v>
      </c>
      <c r="B328" s="15" t="str">
        <f>IFERROR(__xludf.DUMMYFUNCTION("""COMPUTED_VALUE"""),"Vita")</f>
        <v>Vita</v>
      </c>
      <c r="C328" s="16" t="str">
        <f>IFERROR(__xludf.DUMMYFUNCTION("""COMPUTED_VALUE"""),"Playstation Plus (Discontinued)")</f>
        <v>Playstation Plus (Discontinued)</v>
      </c>
      <c r="D328" s="15" t="str">
        <f>IFERROR(__xludf.DUMMYFUNCTION("""COMPUTED_VALUE"""),"Removed")</f>
        <v>Removed</v>
      </c>
      <c r="E328" s="17">
        <f>IFERROR(__xludf.DUMMYFUNCTION("""COMPUTED_VALUE"""),43256.0)</f>
        <v>43256</v>
      </c>
      <c r="F328" s="54">
        <f>IFERROR(__xludf.DUMMYFUNCTION("""COMPUTED_VALUE"""),43261.0)</f>
        <v>43261</v>
      </c>
      <c r="G328" s="19">
        <f>IFERROR(__xludf.DUMMYFUNCTION("""COMPUTED_VALUE"""),0.16666666666666666)</f>
        <v>0.1666666667</v>
      </c>
      <c r="H328" s="17">
        <f>IFERROR(__xludf.DUMMYFUNCTION("""COMPUTED_VALUE"""),41334.0)</f>
        <v>41334</v>
      </c>
      <c r="I328" s="19">
        <f>IFERROR(__xludf.DUMMYFUNCTION("""COMPUTED_VALUE"""),5.261111111111111)</f>
        <v>5.261111111</v>
      </c>
      <c r="J328" s="21">
        <f>IFERROR(__xludf.DUMMYFUNCTION("""COMPUTED_VALUE"""),67.0)</f>
        <v>67</v>
      </c>
      <c r="K328" s="23"/>
      <c r="L328" s="24">
        <f>IFERROR(__xludf.DUMMYFUNCTION("""COMPUTED_VALUE"""),2.0)</f>
        <v>2</v>
      </c>
      <c r="M328" s="25" t="str">
        <f>IFERROR(__xludf.DUMMYFUNCTION("""COMPUTED_VALUE"""),"Puzzle")</f>
        <v>Puzzle</v>
      </c>
      <c r="N328" s="25"/>
      <c r="O328" s="26" t="str">
        <f>IFERROR(__xludf.DUMMYFUNCTION("""COMPUTED_VALUE"""),"No")</f>
        <v>No</v>
      </c>
      <c r="P328" s="26"/>
    </row>
    <row r="329">
      <c r="A329" s="13" t="str">
        <f>IFERROR(__xludf.DUMMYFUNCTION("""COMPUTED_VALUE"""),"Beyond: Two Souls")</f>
        <v>Beyond: Two Souls</v>
      </c>
      <c r="B329" s="15" t="str">
        <f>IFERROR(__xludf.DUMMYFUNCTION("""COMPUTED_VALUE"""),"PS4")</f>
        <v>PS4</v>
      </c>
      <c r="C329" s="16" t="str">
        <f>IFERROR(__xludf.DUMMYFUNCTION("""COMPUTED_VALUE"""),"Playstation Plus (Discontinued)")</f>
        <v>Playstation Plus (Discontinued)</v>
      </c>
      <c r="D329" s="15" t="str">
        <f>IFERROR(__xludf.DUMMYFUNCTION("""COMPUTED_VALUE"""),"Removed")</f>
        <v>Removed</v>
      </c>
      <c r="E329" s="17">
        <f>IFERROR(__xludf.DUMMYFUNCTION("""COMPUTED_VALUE"""),43221.0)</f>
        <v>43221</v>
      </c>
      <c r="F329" s="54">
        <f>IFERROR(__xludf.DUMMYFUNCTION("""COMPUTED_VALUE"""),43255.0)</f>
        <v>43255</v>
      </c>
      <c r="G329" s="19">
        <f>IFERROR(__xludf.DUMMYFUNCTION("""COMPUTED_VALUE"""),1.0999999999999999)</f>
        <v>1.1</v>
      </c>
      <c r="H329" s="17">
        <f>IFERROR(__xludf.DUMMYFUNCTION("""COMPUTED_VALUE"""),41555.0)</f>
        <v>41555</v>
      </c>
      <c r="I329" s="19">
        <f>IFERROR(__xludf.DUMMYFUNCTION("""COMPUTED_VALUE"""),4.563888888888889)</f>
        <v>4.563888889</v>
      </c>
      <c r="J329" s="21">
        <f>IFERROR(__xludf.DUMMYFUNCTION("""COMPUTED_VALUE"""),72.0)</f>
        <v>72</v>
      </c>
      <c r="K329" s="23">
        <f>IFERROR(__xludf.DUMMYFUNCTION("""COMPUTED_VALUE"""),7.2)</f>
        <v>7.2</v>
      </c>
      <c r="L329" s="24">
        <f>IFERROR(__xludf.DUMMYFUNCTION("""COMPUTED_VALUE"""),10.0)</f>
        <v>10</v>
      </c>
      <c r="M329" s="25" t="str">
        <f>IFERROR(__xludf.DUMMYFUNCTION("""COMPUTED_VALUE"""),"Action-Adventure")</f>
        <v>Action-Adventure</v>
      </c>
      <c r="N329" s="25"/>
      <c r="O329" s="26" t="str">
        <f>IFERROR(__xludf.DUMMYFUNCTION("""COMPUTED_VALUE"""),"No")</f>
        <v>No</v>
      </c>
      <c r="P329" s="26"/>
    </row>
    <row r="330" hidden="1">
      <c r="A330" s="13" t="str">
        <f>IFERROR(__xludf.DUMMYFUNCTION("""COMPUTED_VALUE"""),"Rayman Legends")</f>
        <v>Rayman Legends</v>
      </c>
      <c r="B330" s="15" t="str">
        <f>IFERROR(__xludf.DUMMYFUNCTION("""COMPUTED_VALUE"""),"PS4")</f>
        <v>PS4</v>
      </c>
      <c r="C330" s="16" t="str">
        <f>IFERROR(__xludf.DUMMYFUNCTION("""COMPUTED_VALUE"""),"Playstation Plus (Discontinued)")</f>
        <v>Playstation Plus (Discontinued)</v>
      </c>
      <c r="D330" s="15" t="str">
        <f>IFERROR(__xludf.DUMMYFUNCTION("""COMPUTED_VALUE"""),"Removed")</f>
        <v>Removed</v>
      </c>
      <c r="E330" s="17">
        <f>IFERROR(__xludf.DUMMYFUNCTION("""COMPUTED_VALUE"""),43221.0)</f>
        <v>43221</v>
      </c>
      <c r="F330" s="54">
        <f>IFERROR(__xludf.DUMMYFUNCTION("""COMPUTED_VALUE"""),43255.0)</f>
        <v>43255</v>
      </c>
      <c r="G330" s="19">
        <f>IFERROR(__xludf.DUMMYFUNCTION("""COMPUTED_VALUE"""),1.0999999999999999)</f>
        <v>1.1</v>
      </c>
      <c r="H330" s="17">
        <f>IFERROR(__xludf.DUMMYFUNCTION("""COMPUTED_VALUE"""),41513.0)</f>
        <v>41513</v>
      </c>
      <c r="I330" s="19">
        <f>IFERROR(__xludf.DUMMYFUNCTION("""COMPUTED_VALUE"""),4.677777777777778)</f>
        <v>4.677777778</v>
      </c>
      <c r="J330" s="21">
        <f>IFERROR(__xludf.DUMMYFUNCTION("""COMPUTED_VALUE"""),90.0)</f>
        <v>90</v>
      </c>
      <c r="K330" s="23">
        <f>IFERROR(__xludf.DUMMYFUNCTION("""COMPUTED_VALUE"""),8.0)</f>
        <v>8</v>
      </c>
      <c r="L330" s="24">
        <f>IFERROR(__xludf.DUMMYFUNCTION("""COMPUTED_VALUE"""),12.0)</f>
        <v>12</v>
      </c>
      <c r="M330" s="25" t="str">
        <f>IFERROR(__xludf.DUMMYFUNCTION("""COMPUTED_VALUE"""),"Platformer")</f>
        <v>Platformer</v>
      </c>
      <c r="N330" s="25"/>
      <c r="O330" s="26" t="str">
        <f>IFERROR(__xludf.DUMMYFUNCTION("""COMPUTED_VALUE"""),"No")</f>
        <v>No</v>
      </c>
      <c r="P330" s="26"/>
    </row>
    <row r="331" hidden="1">
      <c r="A331" s="13" t="str">
        <f>IFERROR(__xludf.DUMMYFUNCTION("""COMPUTED_VALUE"""),"Risen 3: Titan Lords")</f>
        <v>Risen 3: Titan Lords</v>
      </c>
      <c r="B331" s="15" t="str">
        <f>IFERROR(__xludf.DUMMYFUNCTION("""COMPUTED_VALUE"""),"PS3")</f>
        <v>PS3</v>
      </c>
      <c r="C331" s="16" t="str">
        <f>IFERROR(__xludf.DUMMYFUNCTION("""COMPUTED_VALUE"""),"Playstation Plus (Discontinued)")</f>
        <v>Playstation Plus (Discontinued)</v>
      </c>
      <c r="D331" s="15" t="str">
        <f>IFERROR(__xludf.DUMMYFUNCTION("""COMPUTED_VALUE"""),"Removed")</f>
        <v>Removed</v>
      </c>
      <c r="E331" s="17">
        <f>IFERROR(__xludf.DUMMYFUNCTION("""COMPUTED_VALUE"""),43221.0)</f>
        <v>43221</v>
      </c>
      <c r="F331" s="54">
        <f>IFERROR(__xludf.DUMMYFUNCTION("""COMPUTED_VALUE"""),43255.0)</f>
        <v>43255</v>
      </c>
      <c r="G331" s="19">
        <f>IFERROR(__xludf.DUMMYFUNCTION("""COMPUTED_VALUE"""),1.0999999999999999)</f>
        <v>1.1</v>
      </c>
      <c r="H331" s="17">
        <f>IFERROR(__xludf.DUMMYFUNCTION("""COMPUTED_VALUE"""),41863.0)</f>
        <v>41863</v>
      </c>
      <c r="I331" s="19">
        <f>IFERROR(__xludf.DUMMYFUNCTION("""COMPUTED_VALUE"""),3.7194444444444446)</f>
        <v>3.719444444</v>
      </c>
      <c r="J331" s="21">
        <f>IFERROR(__xludf.DUMMYFUNCTION("""COMPUTED_VALUE"""),51.0)</f>
        <v>51</v>
      </c>
      <c r="K331" s="23">
        <f>IFERROR(__xludf.DUMMYFUNCTION("""COMPUTED_VALUE"""),6.9)</f>
        <v>6.9</v>
      </c>
      <c r="L331" s="24">
        <f>IFERROR(__xludf.DUMMYFUNCTION("""COMPUTED_VALUE"""),36.0)</f>
        <v>36</v>
      </c>
      <c r="M331" s="25" t="str">
        <f>IFERROR(__xludf.DUMMYFUNCTION("""COMPUTED_VALUE"""),"RPG")</f>
        <v>RPG</v>
      </c>
      <c r="N331" s="25"/>
      <c r="O331" s="26" t="str">
        <f>IFERROR(__xludf.DUMMYFUNCTION("""COMPUTED_VALUE"""),"No")</f>
        <v>No</v>
      </c>
      <c r="P331" s="26"/>
    </row>
    <row r="332" hidden="1">
      <c r="A332" s="13" t="str">
        <f>IFERROR(__xludf.DUMMYFUNCTION("""COMPUTED_VALUE"""),"Eat Them")</f>
        <v>Eat Them</v>
      </c>
      <c r="B332" s="15" t="str">
        <f>IFERROR(__xludf.DUMMYFUNCTION("""COMPUTED_VALUE"""),"PS3")</f>
        <v>PS3</v>
      </c>
      <c r="C332" s="16" t="str">
        <f>IFERROR(__xludf.DUMMYFUNCTION("""COMPUTED_VALUE"""),"Playstation Plus (Discontinued)")</f>
        <v>Playstation Plus (Discontinued)</v>
      </c>
      <c r="D332" s="15" t="str">
        <f>IFERROR(__xludf.DUMMYFUNCTION("""COMPUTED_VALUE"""),"Removed")</f>
        <v>Removed</v>
      </c>
      <c r="E332" s="17">
        <f>IFERROR(__xludf.DUMMYFUNCTION("""COMPUTED_VALUE"""),43221.0)</f>
        <v>43221</v>
      </c>
      <c r="F332" s="54">
        <f>IFERROR(__xludf.DUMMYFUNCTION("""COMPUTED_VALUE"""),43255.0)</f>
        <v>43255</v>
      </c>
      <c r="G332" s="19">
        <f>IFERROR(__xludf.DUMMYFUNCTION("""COMPUTED_VALUE"""),1.0999999999999999)</f>
        <v>1.1</v>
      </c>
      <c r="H332" s="17">
        <f>IFERROR(__xludf.DUMMYFUNCTION("""COMPUTED_VALUE"""),40533.0)</f>
        <v>40533</v>
      </c>
      <c r="I332" s="19">
        <f>IFERROR(__xludf.DUMMYFUNCTION("""COMPUTED_VALUE"""),7.361111111111111)</f>
        <v>7.361111111</v>
      </c>
      <c r="J332" s="21">
        <f>IFERROR(__xludf.DUMMYFUNCTION("""COMPUTED_VALUE"""),65.0)</f>
        <v>65</v>
      </c>
      <c r="K332" s="23">
        <f>IFERROR(__xludf.DUMMYFUNCTION("""COMPUTED_VALUE"""),7.2)</f>
        <v>7.2</v>
      </c>
      <c r="L332" s="24">
        <f>IFERROR(__xludf.DUMMYFUNCTION("""COMPUTED_VALUE"""),6.0)</f>
        <v>6</v>
      </c>
      <c r="M332" s="25" t="str">
        <f>IFERROR(__xludf.DUMMYFUNCTION("""COMPUTED_VALUE"""),"Action-Adventure")</f>
        <v>Action-Adventure</v>
      </c>
      <c r="N332" s="25"/>
      <c r="O332" s="26" t="str">
        <f>IFERROR(__xludf.DUMMYFUNCTION("""COMPUTED_VALUE"""),"No")</f>
        <v>No</v>
      </c>
      <c r="P332" s="26"/>
    </row>
    <row r="333" hidden="1">
      <c r="A333" s="13" t="str">
        <f>IFERROR(__xludf.DUMMYFUNCTION("""COMPUTED_VALUE"""),"King Oddball")</f>
        <v>King Oddball</v>
      </c>
      <c r="B333" s="15" t="str">
        <f>IFERROR(__xludf.DUMMYFUNCTION("""COMPUTED_VALUE"""),"Vita")</f>
        <v>Vita</v>
      </c>
      <c r="C333" s="16" t="str">
        <f>IFERROR(__xludf.DUMMYFUNCTION("""COMPUTED_VALUE"""),"Playstation Plus (Discontinued)")</f>
        <v>Playstation Plus (Discontinued)</v>
      </c>
      <c r="D333" s="15" t="str">
        <f>IFERROR(__xludf.DUMMYFUNCTION("""COMPUTED_VALUE"""),"Removed")</f>
        <v>Removed</v>
      </c>
      <c r="E333" s="17">
        <f>IFERROR(__xludf.DUMMYFUNCTION("""COMPUTED_VALUE"""),43221.0)</f>
        <v>43221</v>
      </c>
      <c r="F333" s="54">
        <f>IFERROR(__xludf.DUMMYFUNCTION("""COMPUTED_VALUE"""),43255.0)</f>
        <v>43255</v>
      </c>
      <c r="G333" s="19">
        <f>IFERROR(__xludf.DUMMYFUNCTION("""COMPUTED_VALUE"""),1.0999999999999999)</f>
        <v>1.1</v>
      </c>
      <c r="H333" s="17">
        <f>IFERROR(__xludf.DUMMYFUNCTION("""COMPUTED_VALUE"""),41648.0)</f>
        <v>41648</v>
      </c>
      <c r="I333" s="19">
        <f>IFERROR(__xludf.DUMMYFUNCTION("""COMPUTED_VALUE"""),4.311111111111111)</f>
        <v>4.311111111</v>
      </c>
      <c r="J333" s="21">
        <f>IFERROR(__xludf.DUMMYFUNCTION("""COMPUTED_VALUE"""),66.0)</f>
        <v>66</v>
      </c>
      <c r="K333" s="23">
        <f>IFERROR(__xludf.DUMMYFUNCTION("""COMPUTED_VALUE"""),7.1)</f>
        <v>7.1</v>
      </c>
      <c r="L333" s="24">
        <f>IFERROR(__xludf.DUMMYFUNCTION("""COMPUTED_VALUE"""),3.0)</f>
        <v>3</v>
      </c>
      <c r="M333" s="25" t="str">
        <f>IFERROR(__xludf.DUMMYFUNCTION("""COMPUTED_VALUE"""),"Puzzle")</f>
        <v>Puzzle</v>
      </c>
      <c r="N333" s="25"/>
      <c r="O333" s="26" t="str">
        <f>IFERROR(__xludf.DUMMYFUNCTION("""COMPUTED_VALUE"""),"No")</f>
        <v>No</v>
      </c>
      <c r="P333" s="26"/>
    </row>
    <row r="334" hidden="1">
      <c r="A334" s="13" t="str">
        <f>IFERROR(__xludf.DUMMYFUNCTION("""COMPUTED_VALUE"""),"Furmins")</f>
        <v>Furmins</v>
      </c>
      <c r="B334" s="15" t="str">
        <f>IFERROR(__xludf.DUMMYFUNCTION("""COMPUTED_VALUE"""),"Vita")</f>
        <v>Vita</v>
      </c>
      <c r="C334" s="16" t="str">
        <f>IFERROR(__xludf.DUMMYFUNCTION("""COMPUTED_VALUE"""),"Playstation Plus (Discontinued)")</f>
        <v>Playstation Plus (Discontinued)</v>
      </c>
      <c r="D334" s="15" t="str">
        <f>IFERROR(__xludf.DUMMYFUNCTION("""COMPUTED_VALUE"""),"Removed")</f>
        <v>Removed</v>
      </c>
      <c r="E334" s="17">
        <f>IFERROR(__xludf.DUMMYFUNCTION("""COMPUTED_VALUE"""),43221.0)</f>
        <v>43221</v>
      </c>
      <c r="F334" s="54">
        <f>IFERROR(__xludf.DUMMYFUNCTION("""COMPUTED_VALUE"""),43255.0)</f>
        <v>43255</v>
      </c>
      <c r="G334" s="19">
        <f>IFERROR(__xludf.DUMMYFUNCTION("""COMPUTED_VALUE"""),1.0999999999999999)</f>
        <v>1.1</v>
      </c>
      <c r="H334" s="17">
        <f>IFERROR(__xludf.DUMMYFUNCTION("""COMPUTED_VALUE"""),41569.0)</f>
        <v>41569</v>
      </c>
      <c r="I334" s="19">
        <f>IFERROR(__xludf.DUMMYFUNCTION("""COMPUTED_VALUE"""),4.525)</f>
        <v>4.525</v>
      </c>
      <c r="J334" s="21">
        <f>IFERROR(__xludf.DUMMYFUNCTION("""COMPUTED_VALUE"""),69.0)</f>
        <v>69</v>
      </c>
      <c r="K334" s="23">
        <f>IFERROR(__xludf.DUMMYFUNCTION("""COMPUTED_VALUE"""),6.7)</f>
        <v>6.7</v>
      </c>
      <c r="L334" s="24">
        <f>IFERROR(__xludf.DUMMYFUNCTION("""COMPUTED_VALUE"""),4.0)</f>
        <v>4</v>
      </c>
      <c r="M334" s="25" t="str">
        <f>IFERROR(__xludf.DUMMYFUNCTION("""COMPUTED_VALUE"""),"Puzzle")</f>
        <v>Puzzle</v>
      </c>
      <c r="N334" s="25"/>
      <c r="O334" s="26" t="str">
        <f>IFERROR(__xludf.DUMMYFUNCTION("""COMPUTED_VALUE"""),"No")</f>
        <v>No</v>
      </c>
      <c r="P334" s="26"/>
    </row>
    <row r="335">
      <c r="A335" s="13" t="str">
        <f>IFERROR(__xludf.DUMMYFUNCTION("""COMPUTED_VALUE"""),"Mad Max")</f>
        <v>Mad Max</v>
      </c>
      <c r="B335" s="15" t="str">
        <f>IFERROR(__xludf.DUMMYFUNCTION("""COMPUTED_VALUE"""),"PS4")</f>
        <v>PS4</v>
      </c>
      <c r="C335" s="16" t="str">
        <f>IFERROR(__xludf.DUMMYFUNCTION("""COMPUTED_VALUE"""),"Playstation Plus (Discontinued)")</f>
        <v>Playstation Plus (Discontinued)</v>
      </c>
      <c r="D335" s="15" t="str">
        <f>IFERROR(__xludf.DUMMYFUNCTION("""COMPUTED_VALUE"""),"Removed")</f>
        <v>Removed</v>
      </c>
      <c r="E335" s="17">
        <f>IFERROR(__xludf.DUMMYFUNCTION("""COMPUTED_VALUE"""),43193.0)</f>
        <v>43193</v>
      </c>
      <c r="F335" s="54">
        <f>IFERROR(__xludf.DUMMYFUNCTION("""COMPUTED_VALUE"""),43220.0)</f>
        <v>43220</v>
      </c>
      <c r="G335" s="19">
        <f>IFERROR(__xludf.DUMMYFUNCTION("""COMPUTED_VALUE"""),0.8999999999999999)</f>
        <v>0.9</v>
      </c>
      <c r="H335" s="17">
        <f>IFERROR(__xludf.DUMMYFUNCTION("""COMPUTED_VALUE"""),42248.0)</f>
        <v>42248</v>
      </c>
      <c r="I335" s="19">
        <f>IFERROR(__xludf.DUMMYFUNCTION("""COMPUTED_VALUE"""),2.588888888888889)</f>
        <v>2.588888889</v>
      </c>
      <c r="J335" s="21">
        <f>IFERROR(__xludf.DUMMYFUNCTION("""COMPUTED_VALUE"""),69.0)</f>
        <v>69</v>
      </c>
      <c r="K335" s="23">
        <f>IFERROR(__xludf.DUMMYFUNCTION("""COMPUTED_VALUE"""),7.6)</f>
        <v>7.6</v>
      </c>
      <c r="L335" s="24">
        <f>IFERROR(__xludf.DUMMYFUNCTION("""COMPUTED_VALUE"""),20.0)</f>
        <v>20</v>
      </c>
      <c r="M335" s="25" t="str">
        <f>IFERROR(__xludf.DUMMYFUNCTION("""COMPUTED_VALUE"""),"Action-Adventure")</f>
        <v>Action-Adventure</v>
      </c>
      <c r="N335" s="25"/>
      <c r="O335" s="26" t="str">
        <f>IFERROR(__xludf.DUMMYFUNCTION("""COMPUTED_VALUE"""),"No")</f>
        <v>No</v>
      </c>
      <c r="P335" s="26"/>
    </row>
    <row r="336">
      <c r="A336" s="13" t="str">
        <f>IFERROR(__xludf.DUMMYFUNCTION("""COMPUTED_VALUE"""),"Trackmania Turbo")</f>
        <v>Trackmania Turbo</v>
      </c>
      <c r="B336" s="15" t="str">
        <f>IFERROR(__xludf.DUMMYFUNCTION("""COMPUTED_VALUE"""),"PS4")</f>
        <v>PS4</v>
      </c>
      <c r="C336" s="16" t="str">
        <f>IFERROR(__xludf.DUMMYFUNCTION("""COMPUTED_VALUE"""),"Playstation Plus (Discontinued)")</f>
        <v>Playstation Plus (Discontinued)</v>
      </c>
      <c r="D336" s="15" t="str">
        <f>IFERROR(__xludf.DUMMYFUNCTION("""COMPUTED_VALUE"""),"Removed")</f>
        <v>Removed</v>
      </c>
      <c r="E336" s="17">
        <f>IFERROR(__xludf.DUMMYFUNCTION("""COMPUTED_VALUE"""),43193.0)</f>
        <v>43193</v>
      </c>
      <c r="F336" s="54">
        <f>IFERROR(__xludf.DUMMYFUNCTION("""COMPUTED_VALUE"""),43220.0)</f>
        <v>43220</v>
      </c>
      <c r="G336" s="19">
        <f>IFERROR(__xludf.DUMMYFUNCTION("""COMPUTED_VALUE"""),0.8999999999999999)</f>
        <v>0.9</v>
      </c>
      <c r="H336" s="17">
        <f>IFERROR(__xludf.DUMMYFUNCTION("""COMPUTED_VALUE"""),42451.0)</f>
        <v>42451</v>
      </c>
      <c r="I336" s="19">
        <f>IFERROR(__xludf.DUMMYFUNCTION("""COMPUTED_VALUE"""),2.0305555555555554)</f>
        <v>2.030555556</v>
      </c>
      <c r="J336" s="21">
        <f>IFERROR(__xludf.DUMMYFUNCTION("""COMPUTED_VALUE"""),81.0)</f>
        <v>81</v>
      </c>
      <c r="K336" s="23">
        <f>IFERROR(__xludf.DUMMYFUNCTION("""COMPUTED_VALUE"""),7.5)</f>
        <v>7.5</v>
      </c>
      <c r="L336" s="24">
        <f>IFERROR(__xludf.DUMMYFUNCTION("""COMPUTED_VALUE"""),14.0)</f>
        <v>14</v>
      </c>
      <c r="M336" s="25" t="str">
        <f>IFERROR(__xludf.DUMMYFUNCTION("""COMPUTED_VALUE"""),"Racing")</f>
        <v>Racing</v>
      </c>
      <c r="N336" s="25"/>
      <c r="O336" s="26" t="str">
        <f>IFERROR(__xludf.DUMMYFUNCTION("""COMPUTED_VALUE"""),"No")</f>
        <v>No</v>
      </c>
      <c r="P336" s="26"/>
    </row>
    <row r="337" hidden="1">
      <c r="A337" s="13" t="str">
        <f>IFERROR(__xludf.DUMMYFUNCTION("""COMPUTED_VALUE"""),"In Space We Brawl")</f>
        <v>In Space We Brawl</v>
      </c>
      <c r="B337" s="15" t="str">
        <f>IFERROR(__xludf.DUMMYFUNCTION("""COMPUTED_VALUE"""),"PS4/PS3")</f>
        <v>PS4/PS3</v>
      </c>
      <c r="C337" s="16" t="str">
        <f>IFERROR(__xludf.DUMMYFUNCTION("""COMPUTED_VALUE"""),"Playstation Plus (Discontinued)")</f>
        <v>Playstation Plus (Discontinued)</v>
      </c>
      <c r="D337" s="15" t="str">
        <f>IFERROR(__xludf.DUMMYFUNCTION("""COMPUTED_VALUE"""),"Removed")</f>
        <v>Removed</v>
      </c>
      <c r="E337" s="17">
        <f>IFERROR(__xludf.DUMMYFUNCTION("""COMPUTED_VALUE"""),43193.0)</f>
        <v>43193</v>
      </c>
      <c r="F337" s="54">
        <f>IFERROR(__xludf.DUMMYFUNCTION("""COMPUTED_VALUE"""),43220.0)</f>
        <v>43220</v>
      </c>
      <c r="G337" s="19">
        <f>IFERROR(__xludf.DUMMYFUNCTION("""COMPUTED_VALUE"""),0.8999999999999999)</f>
        <v>0.9</v>
      </c>
      <c r="H337" s="17">
        <f>IFERROR(__xludf.DUMMYFUNCTION("""COMPUTED_VALUE"""),41926.0)</f>
        <v>41926</v>
      </c>
      <c r="I337" s="19">
        <f>IFERROR(__xludf.DUMMYFUNCTION("""COMPUTED_VALUE"""),3.4694444444444446)</f>
        <v>3.469444444</v>
      </c>
      <c r="J337" s="21">
        <f>IFERROR(__xludf.DUMMYFUNCTION("""COMPUTED_VALUE"""),65.0)</f>
        <v>65</v>
      </c>
      <c r="K337" s="23">
        <f>IFERROR(__xludf.DUMMYFUNCTION("""COMPUTED_VALUE"""),6.7)</f>
        <v>6.7</v>
      </c>
      <c r="L337" s="24"/>
      <c r="M337" s="25" t="str">
        <f>IFERROR(__xludf.DUMMYFUNCTION("""COMPUTED_VALUE"""),"Shooter")</f>
        <v>Shooter</v>
      </c>
      <c r="N337" s="25"/>
      <c r="O337" s="26" t="str">
        <f>IFERROR(__xludf.DUMMYFUNCTION("""COMPUTED_VALUE"""),"No")</f>
        <v>No</v>
      </c>
      <c r="P337" s="26"/>
    </row>
    <row r="338" hidden="1">
      <c r="A338" s="13" t="str">
        <f>IFERROR(__xludf.DUMMYFUNCTION("""COMPUTED_VALUE"""),"Toy Home")</f>
        <v>Toy Home</v>
      </c>
      <c r="B338" s="15" t="str">
        <f>IFERROR(__xludf.DUMMYFUNCTION("""COMPUTED_VALUE"""),"PS3")</f>
        <v>PS3</v>
      </c>
      <c r="C338" s="16" t="str">
        <f>IFERROR(__xludf.DUMMYFUNCTION("""COMPUTED_VALUE"""),"Playstation Plus (Discontinued)")</f>
        <v>Playstation Plus (Discontinued)</v>
      </c>
      <c r="D338" s="15" t="str">
        <f>IFERROR(__xludf.DUMMYFUNCTION("""COMPUTED_VALUE"""),"Removed")</f>
        <v>Removed</v>
      </c>
      <c r="E338" s="17">
        <f>IFERROR(__xludf.DUMMYFUNCTION("""COMPUTED_VALUE"""),43193.0)</f>
        <v>43193</v>
      </c>
      <c r="F338" s="18">
        <f>IFERROR(__xludf.DUMMYFUNCTION("""COMPUTED_VALUE"""),43220.0)</f>
        <v>43220</v>
      </c>
      <c r="G338" s="19">
        <f>IFERROR(__xludf.DUMMYFUNCTION("""COMPUTED_VALUE"""),0.8999999999999999)</f>
        <v>0.9</v>
      </c>
      <c r="H338" s="17">
        <f>IFERROR(__xludf.DUMMYFUNCTION("""COMPUTED_VALUE"""),39380.0)</f>
        <v>39380</v>
      </c>
      <c r="I338" s="19">
        <f>IFERROR(__xludf.DUMMYFUNCTION("""COMPUTED_VALUE"""),10.438888888888888)</f>
        <v>10.43888889</v>
      </c>
      <c r="J338" s="21">
        <f>IFERROR(__xludf.DUMMYFUNCTION("""COMPUTED_VALUE"""),57.0)</f>
        <v>57</v>
      </c>
      <c r="K338" s="23">
        <f>IFERROR(__xludf.DUMMYFUNCTION("""COMPUTED_VALUE"""),6.9)</f>
        <v>6.9</v>
      </c>
      <c r="L338" s="24">
        <f>IFERROR(__xludf.DUMMYFUNCTION("""COMPUTED_VALUE"""),3.0)</f>
        <v>3</v>
      </c>
      <c r="M338" s="25" t="str">
        <f>IFERROR(__xludf.DUMMYFUNCTION("""COMPUTED_VALUE"""),"Racing")</f>
        <v>Racing</v>
      </c>
      <c r="N338" s="25"/>
      <c r="O338" s="26" t="str">
        <f>IFERROR(__xludf.DUMMYFUNCTION("""COMPUTED_VALUE"""),"No")</f>
        <v>No</v>
      </c>
      <c r="P338" s="26"/>
    </row>
    <row r="339" hidden="1">
      <c r="A339" s="13" t="str">
        <f>IFERROR(__xludf.DUMMYFUNCTION("""COMPUTED_VALUE"""),"99Vidas")</f>
        <v>99Vidas</v>
      </c>
      <c r="B339" s="15" t="str">
        <f>IFERROR(__xludf.DUMMYFUNCTION("""COMPUTED_VALUE"""),"PS4/PS3/Vita")</f>
        <v>PS4/PS3/Vita</v>
      </c>
      <c r="C339" s="16" t="str">
        <f>IFERROR(__xludf.DUMMYFUNCTION("""COMPUTED_VALUE"""),"Playstation Plus (Discontinued)")</f>
        <v>Playstation Plus (Discontinued)</v>
      </c>
      <c r="D339" s="15" t="str">
        <f>IFERROR(__xludf.DUMMYFUNCTION("""COMPUTED_VALUE"""),"Removed")</f>
        <v>Removed</v>
      </c>
      <c r="E339" s="17">
        <f>IFERROR(__xludf.DUMMYFUNCTION("""COMPUTED_VALUE"""),43193.0)</f>
        <v>43193</v>
      </c>
      <c r="F339" s="54">
        <f>IFERROR(__xludf.DUMMYFUNCTION("""COMPUTED_VALUE"""),43220.0)</f>
        <v>43220</v>
      </c>
      <c r="G339" s="19">
        <f>IFERROR(__xludf.DUMMYFUNCTION("""COMPUTED_VALUE"""),0.8999999999999999)</f>
        <v>0.9</v>
      </c>
      <c r="H339" s="17">
        <f>IFERROR(__xludf.DUMMYFUNCTION("""COMPUTED_VALUE"""),42717.0)</f>
        <v>42717</v>
      </c>
      <c r="I339" s="19">
        <f>IFERROR(__xludf.DUMMYFUNCTION("""COMPUTED_VALUE"""),1.3055555555555556)</f>
        <v>1.305555556</v>
      </c>
      <c r="J339" s="21">
        <f>IFERROR(__xludf.DUMMYFUNCTION("""COMPUTED_VALUE"""),61.0)</f>
        <v>61</v>
      </c>
      <c r="K339" s="23">
        <f>IFERROR(__xludf.DUMMYFUNCTION("""COMPUTED_VALUE"""),7.1)</f>
        <v>7.1</v>
      </c>
      <c r="L339" s="24">
        <f>IFERROR(__xludf.DUMMYFUNCTION("""COMPUTED_VALUE"""),6.0)</f>
        <v>6</v>
      </c>
      <c r="M339" s="25" t="str">
        <f>IFERROR(__xludf.DUMMYFUNCTION("""COMPUTED_VALUE"""),"Action-Adventure")</f>
        <v>Action-Adventure</v>
      </c>
      <c r="N339" s="25"/>
      <c r="O339" s="26" t="str">
        <f>IFERROR(__xludf.DUMMYFUNCTION("""COMPUTED_VALUE"""),"No")</f>
        <v>No</v>
      </c>
      <c r="P339" s="26"/>
    </row>
    <row r="340" hidden="1">
      <c r="A340" s="13" t="str">
        <f>IFERROR(__xludf.DUMMYFUNCTION("""COMPUTED_VALUE"""),"Q*Bert Rebooted")</f>
        <v>Q*Bert Rebooted</v>
      </c>
      <c r="B340" s="15" t="str">
        <f>IFERROR(__xludf.DUMMYFUNCTION("""COMPUTED_VALUE"""),"PS4/PS3/Vita")</f>
        <v>PS4/PS3/Vita</v>
      </c>
      <c r="C340" s="16" t="str">
        <f>IFERROR(__xludf.DUMMYFUNCTION("""COMPUTED_VALUE"""),"Playstation Plus (Discontinued)")</f>
        <v>Playstation Plus (Discontinued)</v>
      </c>
      <c r="D340" s="15" t="str">
        <f>IFERROR(__xludf.DUMMYFUNCTION("""COMPUTED_VALUE"""),"Removed")</f>
        <v>Removed</v>
      </c>
      <c r="E340" s="17">
        <f>IFERROR(__xludf.DUMMYFUNCTION("""COMPUTED_VALUE"""),43193.0)</f>
        <v>43193</v>
      </c>
      <c r="F340" s="54">
        <f>IFERROR(__xludf.DUMMYFUNCTION("""COMPUTED_VALUE"""),43220.0)</f>
        <v>43220</v>
      </c>
      <c r="G340" s="19">
        <f>IFERROR(__xludf.DUMMYFUNCTION("""COMPUTED_VALUE"""),0.8999999999999999)</f>
        <v>0.9</v>
      </c>
      <c r="H340" s="17">
        <f>IFERROR(__xludf.DUMMYFUNCTION("""COMPUTED_VALUE"""),42052.0)</f>
        <v>42052</v>
      </c>
      <c r="I340" s="19">
        <f>IFERROR(__xludf.DUMMYFUNCTION("""COMPUTED_VALUE"""),3.1277777777777778)</f>
        <v>3.127777778</v>
      </c>
      <c r="J340" s="21">
        <f>IFERROR(__xludf.DUMMYFUNCTION("""COMPUTED_VALUE"""),44.0)</f>
        <v>44</v>
      </c>
      <c r="K340" s="23">
        <f>IFERROR(__xludf.DUMMYFUNCTION("""COMPUTED_VALUE"""),4.7)</f>
        <v>4.7</v>
      </c>
      <c r="L340" s="24"/>
      <c r="M340" s="25" t="str">
        <f>IFERROR(__xludf.DUMMYFUNCTION("""COMPUTED_VALUE"""),"Arcade")</f>
        <v>Arcade</v>
      </c>
      <c r="N340" s="25"/>
      <c r="O340" s="26" t="str">
        <f>IFERROR(__xludf.DUMMYFUNCTION("""COMPUTED_VALUE"""),"No")</f>
        <v>No</v>
      </c>
      <c r="P340" s="26"/>
    </row>
    <row r="341" hidden="1">
      <c r="A341" s="13" t="str">
        <f>IFERROR(__xludf.DUMMYFUNCTION("""COMPUTED_VALUE"""),"Bloodborne")</f>
        <v>Bloodborne</v>
      </c>
      <c r="B341" s="15" t="str">
        <f>IFERROR(__xludf.DUMMYFUNCTION("""COMPUTED_VALUE"""),"PS4")</f>
        <v>PS4</v>
      </c>
      <c r="C341" s="16" t="str">
        <f>IFERROR(__xludf.DUMMYFUNCTION("""COMPUTED_VALUE"""),"Playstation Plus (Discontinued)")</f>
        <v>Playstation Plus (Discontinued)</v>
      </c>
      <c r="D341" s="15" t="str">
        <f>IFERROR(__xludf.DUMMYFUNCTION("""COMPUTED_VALUE"""),"Removed")</f>
        <v>Removed</v>
      </c>
      <c r="E341" s="17">
        <f>IFERROR(__xludf.DUMMYFUNCTION("""COMPUTED_VALUE"""),43165.0)</f>
        <v>43165</v>
      </c>
      <c r="F341" s="54">
        <f>IFERROR(__xludf.DUMMYFUNCTION("""COMPUTED_VALUE"""),43192.0)</f>
        <v>43192</v>
      </c>
      <c r="G341" s="19">
        <f>IFERROR(__xludf.DUMMYFUNCTION("""COMPUTED_VALUE"""),0.8666666666666666)</f>
        <v>0.8666666667</v>
      </c>
      <c r="H341" s="17">
        <f>IFERROR(__xludf.DUMMYFUNCTION("""COMPUTED_VALUE"""),42087.0)</f>
        <v>42087</v>
      </c>
      <c r="I341" s="19">
        <f>IFERROR(__xludf.DUMMYFUNCTION("""COMPUTED_VALUE"""),2.95)</f>
        <v>2.95</v>
      </c>
      <c r="J341" s="21">
        <f>IFERROR(__xludf.DUMMYFUNCTION("""COMPUTED_VALUE"""),92.0)</f>
        <v>92</v>
      </c>
      <c r="K341" s="23">
        <f>IFERROR(__xludf.DUMMYFUNCTION("""COMPUTED_VALUE"""),9.1)</f>
        <v>9.1</v>
      </c>
      <c r="L341" s="24">
        <f>IFERROR(__xludf.DUMMYFUNCTION("""COMPUTED_VALUE"""),34.0)</f>
        <v>34</v>
      </c>
      <c r="M341" s="25" t="str">
        <f>IFERROR(__xludf.DUMMYFUNCTION("""COMPUTED_VALUE"""),"Action-Adventure")</f>
        <v>Action-Adventure</v>
      </c>
      <c r="N341" s="25"/>
      <c r="O341" s="26" t="str">
        <f>IFERROR(__xludf.DUMMYFUNCTION("""COMPUTED_VALUE"""),"No")</f>
        <v>No</v>
      </c>
      <c r="P341" s="26"/>
    </row>
    <row r="342">
      <c r="A342" s="13" t="str">
        <f>IFERROR(__xludf.DUMMYFUNCTION("""COMPUTED_VALUE"""),"Ratchet and Clank")</f>
        <v>Ratchet and Clank</v>
      </c>
      <c r="B342" s="15" t="str">
        <f>IFERROR(__xludf.DUMMYFUNCTION("""COMPUTED_VALUE"""),"PS4")</f>
        <v>PS4</v>
      </c>
      <c r="C342" s="16" t="str">
        <f>IFERROR(__xludf.DUMMYFUNCTION("""COMPUTED_VALUE"""),"Playstation Plus (Discontinued)")</f>
        <v>Playstation Plus (Discontinued)</v>
      </c>
      <c r="D342" s="15" t="str">
        <f>IFERROR(__xludf.DUMMYFUNCTION("""COMPUTED_VALUE"""),"Removed")</f>
        <v>Removed</v>
      </c>
      <c r="E342" s="17">
        <f>IFERROR(__xludf.DUMMYFUNCTION("""COMPUTED_VALUE"""),43165.0)</f>
        <v>43165</v>
      </c>
      <c r="F342" s="54">
        <f>IFERROR(__xludf.DUMMYFUNCTION("""COMPUTED_VALUE"""),43192.0)</f>
        <v>43192</v>
      </c>
      <c r="G342" s="19">
        <f>IFERROR(__xludf.DUMMYFUNCTION("""COMPUTED_VALUE"""),0.8666666666666666)</f>
        <v>0.8666666667</v>
      </c>
      <c r="H342" s="17">
        <f>IFERROR(__xludf.DUMMYFUNCTION("""COMPUTED_VALUE"""),42472.0)</f>
        <v>42472</v>
      </c>
      <c r="I342" s="19">
        <f>IFERROR(__xludf.DUMMYFUNCTION("""COMPUTED_VALUE"""),1.9)</f>
        <v>1.9</v>
      </c>
      <c r="J342" s="21">
        <f>IFERROR(__xludf.DUMMYFUNCTION("""COMPUTED_VALUE"""),85.0)</f>
        <v>85</v>
      </c>
      <c r="K342" s="23">
        <f>IFERROR(__xludf.DUMMYFUNCTION("""COMPUTED_VALUE"""),8.3)</f>
        <v>8.3</v>
      </c>
      <c r="L342" s="24">
        <f>IFERROR(__xludf.DUMMYFUNCTION("""COMPUTED_VALUE"""),11.0)</f>
        <v>11</v>
      </c>
      <c r="M342" s="25" t="str">
        <f>IFERROR(__xludf.DUMMYFUNCTION("""COMPUTED_VALUE"""),"Action-Adventure")</f>
        <v>Action-Adventure</v>
      </c>
      <c r="N342" s="25"/>
      <c r="O342" s="26" t="str">
        <f>IFERROR(__xludf.DUMMYFUNCTION("""COMPUTED_VALUE"""),"No")</f>
        <v>No</v>
      </c>
      <c r="P342" s="26"/>
    </row>
    <row r="343">
      <c r="A343" s="13" t="str">
        <f>IFERROR(__xludf.DUMMYFUNCTION("""COMPUTED_VALUE"""),"Legend of Kay Anniversary")</f>
        <v>Legend of Kay Anniversary</v>
      </c>
      <c r="B343" s="15" t="str">
        <f>IFERROR(__xludf.DUMMYFUNCTION("""COMPUTED_VALUE"""),"PS3")</f>
        <v>PS3</v>
      </c>
      <c r="C343" s="16" t="str">
        <f>IFERROR(__xludf.DUMMYFUNCTION("""COMPUTED_VALUE"""),"Playstation Plus (Discontinued)")</f>
        <v>Playstation Plus (Discontinued)</v>
      </c>
      <c r="D343" s="15" t="str">
        <f>IFERROR(__xludf.DUMMYFUNCTION("""COMPUTED_VALUE"""),"Removed")</f>
        <v>Removed</v>
      </c>
      <c r="E343" s="17">
        <f>IFERROR(__xludf.DUMMYFUNCTION("""COMPUTED_VALUE"""),43165.0)</f>
        <v>43165</v>
      </c>
      <c r="F343" s="54">
        <f>IFERROR(__xludf.DUMMYFUNCTION("""COMPUTED_VALUE"""),43192.0)</f>
        <v>43192</v>
      </c>
      <c r="G343" s="19">
        <f>IFERROR(__xludf.DUMMYFUNCTION("""COMPUTED_VALUE"""),0.8666666666666666)</f>
        <v>0.8666666667</v>
      </c>
      <c r="H343" s="17">
        <f>IFERROR(__xludf.DUMMYFUNCTION("""COMPUTED_VALUE"""),42213.0)</f>
        <v>42213</v>
      </c>
      <c r="I343" s="19">
        <f>IFERROR(__xludf.DUMMYFUNCTION("""COMPUTED_VALUE"""),2.6055555555555556)</f>
        <v>2.605555556</v>
      </c>
      <c r="J343" s="21">
        <f>IFERROR(__xludf.DUMMYFUNCTION("""COMPUTED_VALUE"""),70.0)</f>
        <v>70</v>
      </c>
      <c r="K343" s="23">
        <f>IFERROR(__xludf.DUMMYFUNCTION("""COMPUTED_VALUE"""),7.2)</f>
        <v>7.2</v>
      </c>
      <c r="L343" s="24">
        <f>IFERROR(__xludf.DUMMYFUNCTION("""COMPUTED_VALUE"""),10.0)</f>
        <v>10</v>
      </c>
      <c r="M343" s="25" t="str">
        <f>IFERROR(__xludf.DUMMYFUNCTION("""COMPUTED_VALUE"""),"Action-Adventure")</f>
        <v>Action-Adventure</v>
      </c>
      <c r="N343" s="25"/>
      <c r="O343" s="26" t="str">
        <f>IFERROR(__xludf.DUMMYFUNCTION("""COMPUTED_VALUE"""),"No")</f>
        <v>No</v>
      </c>
      <c r="P343" s="26"/>
    </row>
    <row r="344">
      <c r="A344" s="13" t="str">
        <f>IFERROR(__xludf.DUMMYFUNCTION("""COMPUTED_VALUE"""),"Mighty No. 9")</f>
        <v>Mighty No. 9</v>
      </c>
      <c r="B344" s="15" t="str">
        <f>IFERROR(__xludf.DUMMYFUNCTION("""COMPUTED_VALUE"""),"PS4/PS3")</f>
        <v>PS4/PS3</v>
      </c>
      <c r="C344" s="16" t="str">
        <f>IFERROR(__xludf.DUMMYFUNCTION("""COMPUTED_VALUE"""),"Playstation Plus (Discontinued)")</f>
        <v>Playstation Plus (Discontinued)</v>
      </c>
      <c r="D344" s="15" t="str">
        <f>IFERROR(__xludf.DUMMYFUNCTION("""COMPUTED_VALUE"""),"Removed")</f>
        <v>Removed</v>
      </c>
      <c r="E344" s="17">
        <f>IFERROR(__xludf.DUMMYFUNCTION("""COMPUTED_VALUE"""),43165.0)</f>
        <v>43165</v>
      </c>
      <c r="F344" s="54">
        <f>IFERROR(__xludf.DUMMYFUNCTION("""COMPUTED_VALUE"""),43192.0)</f>
        <v>43192</v>
      </c>
      <c r="G344" s="19">
        <f>IFERROR(__xludf.DUMMYFUNCTION("""COMPUTED_VALUE"""),0.8666666666666666)</f>
        <v>0.8666666667</v>
      </c>
      <c r="H344" s="17">
        <f>IFERROR(__xludf.DUMMYFUNCTION("""COMPUTED_VALUE"""),42542.0)</f>
        <v>42542</v>
      </c>
      <c r="I344" s="19">
        <f>IFERROR(__xludf.DUMMYFUNCTION("""COMPUTED_VALUE"""),1.7083333333333333)</f>
        <v>1.708333333</v>
      </c>
      <c r="J344" s="21">
        <f>IFERROR(__xludf.DUMMYFUNCTION("""COMPUTED_VALUE"""),52.0)</f>
        <v>52</v>
      </c>
      <c r="K344" s="23">
        <f>IFERROR(__xludf.DUMMYFUNCTION("""COMPUTED_VALUE"""),4.6)</f>
        <v>4.6</v>
      </c>
      <c r="L344" s="24">
        <f>IFERROR(__xludf.DUMMYFUNCTION("""COMPUTED_VALUE"""),4.0)</f>
        <v>4</v>
      </c>
      <c r="M344" s="25" t="str">
        <f>IFERROR(__xludf.DUMMYFUNCTION("""COMPUTED_VALUE"""),"Platformer")</f>
        <v>Platformer</v>
      </c>
      <c r="N344" s="25"/>
      <c r="O344" s="26" t="str">
        <f>IFERROR(__xludf.DUMMYFUNCTION("""COMPUTED_VALUE"""),"No")</f>
        <v>No</v>
      </c>
      <c r="P344" s="26"/>
    </row>
    <row r="345" hidden="1">
      <c r="A345" s="13" t="str">
        <f>IFERROR(__xludf.DUMMYFUNCTION("""COMPUTED_VALUE"""),"Claire: Extended Cut")</f>
        <v>Claire: Extended Cut</v>
      </c>
      <c r="B345" s="15" t="str">
        <f>IFERROR(__xludf.DUMMYFUNCTION("""COMPUTED_VALUE"""),"PS4/Vita")</f>
        <v>PS4/Vita</v>
      </c>
      <c r="C345" s="16" t="str">
        <f>IFERROR(__xludf.DUMMYFUNCTION("""COMPUTED_VALUE"""),"Playstation Plus (Discontinued)")</f>
        <v>Playstation Plus (Discontinued)</v>
      </c>
      <c r="D345" s="15" t="str">
        <f>IFERROR(__xludf.DUMMYFUNCTION("""COMPUTED_VALUE"""),"Removed")</f>
        <v>Removed</v>
      </c>
      <c r="E345" s="17">
        <f>IFERROR(__xludf.DUMMYFUNCTION("""COMPUTED_VALUE"""),43165.0)</f>
        <v>43165</v>
      </c>
      <c r="F345" s="54">
        <f>IFERROR(__xludf.DUMMYFUNCTION("""COMPUTED_VALUE"""),43192.0)</f>
        <v>43192</v>
      </c>
      <c r="G345" s="19">
        <f>IFERROR(__xludf.DUMMYFUNCTION("""COMPUTED_VALUE"""),0.8666666666666666)</f>
        <v>0.8666666667</v>
      </c>
      <c r="H345" s="17">
        <f>IFERROR(__xludf.DUMMYFUNCTION("""COMPUTED_VALUE"""),42955.0)</f>
        <v>42955</v>
      </c>
      <c r="I345" s="19">
        <f>IFERROR(__xludf.DUMMYFUNCTION("""COMPUTED_VALUE"""),0.5777777777777777)</f>
        <v>0.5777777778</v>
      </c>
      <c r="J345" s="21">
        <f>IFERROR(__xludf.DUMMYFUNCTION("""COMPUTED_VALUE"""),58.0)</f>
        <v>58</v>
      </c>
      <c r="K345" s="23">
        <f>IFERROR(__xludf.DUMMYFUNCTION("""COMPUTED_VALUE"""),6.8)</f>
        <v>6.8</v>
      </c>
      <c r="L345" s="24">
        <f>IFERROR(__xludf.DUMMYFUNCTION("""COMPUTED_VALUE"""),5.0)</f>
        <v>5</v>
      </c>
      <c r="M345" s="25" t="str">
        <f>IFERROR(__xludf.DUMMYFUNCTION("""COMPUTED_VALUE"""),"Horror")</f>
        <v>Horror</v>
      </c>
      <c r="N345" s="25"/>
      <c r="O345" s="26" t="str">
        <f>IFERROR(__xludf.DUMMYFUNCTION("""COMPUTED_VALUE"""),"No")</f>
        <v>No</v>
      </c>
      <c r="P345" s="26"/>
    </row>
    <row r="346" hidden="1">
      <c r="A346" s="13" t="str">
        <f>IFERROR(__xludf.DUMMYFUNCTION("""COMPUTED_VALUE"""),"Bombing Busters")</f>
        <v>Bombing Busters</v>
      </c>
      <c r="B346" s="15" t="str">
        <f>IFERROR(__xludf.DUMMYFUNCTION("""COMPUTED_VALUE"""),"PS4/Vita")</f>
        <v>PS4/Vita</v>
      </c>
      <c r="C346" s="16" t="str">
        <f>IFERROR(__xludf.DUMMYFUNCTION("""COMPUTED_VALUE"""),"Playstation Plus (Discontinued)")</f>
        <v>Playstation Plus (Discontinued)</v>
      </c>
      <c r="D346" s="15" t="str">
        <f>IFERROR(__xludf.DUMMYFUNCTION("""COMPUTED_VALUE"""),"Removed")</f>
        <v>Removed</v>
      </c>
      <c r="E346" s="17">
        <f>IFERROR(__xludf.DUMMYFUNCTION("""COMPUTED_VALUE"""),43165.0)</f>
        <v>43165</v>
      </c>
      <c r="F346" s="54">
        <f>IFERROR(__xludf.DUMMYFUNCTION("""COMPUTED_VALUE"""),43192.0)</f>
        <v>43192</v>
      </c>
      <c r="G346" s="19">
        <f>IFERROR(__xludf.DUMMYFUNCTION("""COMPUTED_VALUE"""),0.8666666666666666)</f>
        <v>0.8666666667</v>
      </c>
      <c r="H346" s="17">
        <f>IFERROR(__xludf.DUMMYFUNCTION("""COMPUTED_VALUE"""),42514.0)</f>
        <v>42514</v>
      </c>
      <c r="I346" s="19">
        <f>IFERROR(__xludf.DUMMYFUNCTION("""COMPUTED_VALUE"""),1.7833333333333334)</f>
        <v>1.783333333</v>
      </c>
      <c r="J346" s="21">
        <f>IFERROR(__xludf.DUMMYFUNCTION("""COMPUTED_VALUE"""),55.0)</f>
        <v>55</v>
      </c>
      <c r="K346" s="23">
        <f>IFERROR(__xludf.DUMMYFUNCTION("""COMPUTED_VALUE"""),6.2)</f>
        <v>6.2</v>
      </c>
      <c r="L346" s="24"/>
      <c r="M346" s="25" t="str">
        <f>IFERROR(__xludf.DUMMYFUNCTION("""COMPUTED_VALUE"""),"Puzzle")</f>
        <v>Puzzle</v>
      </c>
      <c r="N346" s="25"/>
      <c r="O346" s="26" t="str">
        <f>IFERROR(__xludf.DUMMYFUNCTION("""COMPUTED_VALUE"""),"No")</f>
        <v>No</v>
      </c>
      <c r="P346" s="26"/>
    </row>
    <row r="347" hidden="1">
      <c r="A347" s="13" t="str">
        <f>IFERROR(__xludf.DUMMYFUNCTION("""COMPUTED_VALUE"""),"Knack")</f>
        <v>Knack</v>
      </c>
      <c r="B347" s="15" t="str">
        <f>IFERROR(__xludf.DUMMYFUNCTION("""COMPUTED_VALUE"""),"PS4")</f>
        <v>PS4</v>
      </c>
      <c r="C347" s="16" t="str">
        <f>IFERROR(__xludf.DUMMYFUNCTION("""COMPUTED_VALUE"""),"Playstation Plus (Discontinued)")</f>
        <v>Playstation Plus (Discontinued)</v>
      </c>
      <c r="D347" s="15" t="str">
        <f>IFERROR(__xludf.DUMMYFUNCTION("""COMPUTED_VALUE"""),"Removed")</f>
        <v>Removed</v>
      </c>
      <c r="E347" s="17">
        <f>IFERROR(__xludf.DUMMYFUNCTION("""COMPUTED_VALUE"""),43137.0)</f>
        <v>43137</v>
      </c>
      <c r="F347" s="54">
        <f>IFERROR(__xludf.DUMMYFUNCTION("""COMPUTED_VALUE"""),43164.0)</f>
        <v>43164</v>
      </c>
      <c r="G347" s="19">
        <f>IFERROR(__xludf.DUMMYFUNCTION("""COMPUTED_VALUE"""),0.9666666666666668)</f>
        <v>0.9666666667</v>
      </c>
      <c r="H347" s="17">
        <f>IFERROR(__xludf.DUMMYFUNCTION("""COMPUTED_VALUE"""),41593.0)</f>
        <v>41593</v>
      </c>
      <c r="I347" s="19">
        <f>IFERROR(__xludf.DUMMYFUNCTION("""COMPUTED_VALUE"""),4.225)</f>
        <v>4.225</v>
      </c>
      <c r="J347" s="21">
        <f>IFERROR(__xludf.DUMMYFUNCTION("""COMPUTED_VALUE"""),54.0)</f>
        <v>54</v>
      </c>
      <c r="K347" s="23">
        <f>IFERROR(__xludf.DUMMYFUNCTION("""COMPUTED_VALUE"""),6.3)</f>
        <v>6.3</v>
      </c>
      <c r="L347" s="24">
        <f>IFERROR(__xludf.DUMMYFUNCTION("""COMPUTED_VALUE"""),11.0)</f>
        <v>11</v>
      </c>
      <c r="M347" s="25" t="str">
        <f>IFERROR(__xludf.DUMMYFUNCTION("""COMPUTED_VALUE"""),"Action-Adventure")</f>
        <v>Action-Adventure</v>
      </c>
      <c r="N347" s="25"/>
      <c r="O347" s="26" t="str">
        <f>IFERROR(__xludf.DUMMYFUNCTION("""COMPUTED_VALUE"""),"No")</f>
        <v>No</v>
      </c>
      <c r="P347" s="26"/>
    </row>
    <row r="348" hidden="1">
      <c r="A348" s="13" t="str">
        <f>IFERROR(__xludf.DUMMYFUNCTION("""COMPUTED_VALUE"""),"RiME")</f>
        <v>RiME</v>
      </c>
      <c r="B348" s="15" t="str">
        <f>IFERROR(__xludf.DUMMYFUNCTION("""COMPUTED_VALUE"""),"PS4")</f>
        <v>PS4</v>
      </c>
      <c r="C348" s="16" t="str">
        <f>IFERROR(__xludf.DUMMYFUNCTION("""COMPUTED_VALUE"""),"Playstation Plus (Discontinued)")</f>
        <v>Playstation Plus (Discontinued)</v>
      </c>
      <c r="D348" s="15" t="str">
        <f>IFERROR(__xludf.DUMMYFUNCTION("""COMPUTED_VALUE"""),"Removed")</f>
        <v>Removed</v>
      </c>
      <c r="E348" s="17">
        <f>IFERROR(__xludf.DUMMYFUNCTION("""COMPUTED_VALUE"""),43137.0)</f>
        <v>43137</v>
      </c>
      <c r="F348" s="54">
        <f>IFERROR(__xludf.DUMMYFUNCTION("""COMPUTED_VALUE"""),43164.0)</f>
        <v>43164</v>
      </c>
      <c r="G348" s="19">
        <f>IFERROR(__xludf.DUMMYFUNCTION("""COMPUTED_VALUE"""),0.9666666666666668)</f>
        <v>0.9666666667</v>
      </c>
      <c r="H348" s="17">
        <f>IFERROR(__xludf.DUMMYFUNCTION("""COMPUTED_VALUE"""),42881.0)</f>
        <v>42881</v>
      </c>
      <c r="I348" s="19">
        <f>IFERROR(__xludf.DUMMYFUNCTION("""COMPUTED_VALUE"""),0.6944444444444444)</f>
        <v>0.6944444444</v>
      </c>
      <c r="J348" s="21">
        <f>IFERROR(__xludf.DUMMYFUNCTION("""COMPUTED_VALUE"""),80.0)</f>
        <v>80</v>
      </c>
      <c r="K348" s="23">
        <f>IFERROR(__xludf.DUMMYFUNCTION("""COMPUTED_VALUE"""),7.5)</f>
        <v>7.5</v>
      </c>
      <c r="L348" s="24">
        <f>IFERROR(__xludf.DUMMYFUNCTION("""COMPUTED_VALUE"""),10.0)</f>
        <v>10</v>
      </c>
      <c r="M348" s="25" t="str">
        <f>IFERROR(__xludf.DUMMYFUNCTION("""COMPUTED_VALUE"""),"Action-Adventure")</f>
        <v>Action-Adventure</v>
      </c>
      <c r="N348" s="25"/>
      <c r="O348" s="26" t="str">
        <f>IFERROR(__xludf.DUMMYFUNCTION("""COMPUTED_VALUE"""),"No")</f>
        <v>No</v>
      </c>
      <c r="P348" s="26"/>
    </row>
    <row r="349" hidden="1">
      <c r="A349" s="13" t="str">
        <f>IFERROR(__xludf.DUMMYFUNCTION("""COMPUTED_VALUE"""),"Starblood Arena")</f>
        <v>Starblood Arena</v>
      </c>
      <c r="B349" s="15" t="str">
        <f>IFERROR(__xludf.DUMMYFUNCTION("""COMPUTED_VALUE"""),"PS4/PSVR")</f>
        <v>PS4/PSVR</v>
      </c>
      <c r="C349" s="16" t="str">
        <f>IFERROR(__xludf.DUMMYFUNCTION("""COMPUTED_VALUE"""),"Playstation Plus (Discontinued)")</f>
        <v>Playstation Plus (Discontinued)</v>
      </c>
      <c r="D349" s="15" t="str">
        <f>IFERROR(__xludf.DUMMYFUNCTION("""COMPUTED_VALUE"""),"Removed")</f>
        <v>Removed</v>
      </c>
      <c r="E349" s="17">
        <f>IFERROR(__xludf.DUMMYFUNCTION("""COMPUTED_VALUE"""),43137.0)</f>
        <v>43137</v>
      </c>
      <c r="F349" s="54">
        <f>IFERROR(__xludf.DUMMYFUNCTION("""COMPUTED_VALUE"""),43164.0)</f>
        <v>43164</v>
      </c>
      <c r="G349" s="19">
        <f>IFERROR(__xludf.DUMMYFUNCTION("""COMPUTED_VALUE"""),0.9666666666666668)</f>
        <v>0.9666666667</v>
      </c>
      <c r="H349" s="17">
        <f>IFERROR(__xludf.DUMMYFUNCTION("""COMPUTED_VALUE"""),42836.0)</f>
        <v>42836</v>
      </c>
      <c r="I349" s="19">
        <f>IFERROR(__xludf.DUMMYFUNCTION("""COMPUTED_VALUE"""),0.8194444444444444)</f>
        <v>0.8194444444</v>
      </c>
      <c r="J349" s="21">
        <f>IFERROR(__xludf.DUMMYFUNCTION("""COMPUTED_VALUE"""),68.0)</f>
        <v>68</v>
      </c>
      <c r="K349" s="23">
        <f>IFERROR(__xludf.DUMMYFUNCTION("""COMPUTED_VALUE"""),7.0)</f>
        <v>7</v>
      </c>
      <c r="L349" s="24"/>
      <c r="M349" s="25" t="str">
        <f>IFERROR(__xludf.DUMMYFUNCTION("""COMPUTED_VALUE"""),"Shooter")</f>
        <v>Shooter</v>
      </c>
      <c r="N349" s="25"/>
      <c r="O349" s="26" t="str">
        <f>IFERROR(__xludf.DUMMYFUNCTION("""COMPUTED_VALUE"""),"No")</f>
        <v>No</v>
      </c>
      <c r="P349" s="26"/>
    </row>
    <row r="350" hidden="1">
      <c r="A350" s="13" t="str">
        <f>IFERROR(__xludf.DUMMYFUNCTION("""COMPUTED_VALUE"""),"Spelunker HD")</f>
        <v>Spelunker HD</v>
      </c>
      <c r="B350" s="15" t="str">
        <f>IFERROR(__xludf.DUMMYFUNCTION("""COMPUTED_VALUE"""),"PS3")</f>
        <v>PS3</v>
      </c>
      <c r="C350" s="16" t="str">
        <f>IFERROR(__xludf.DUMMYFUNCTION("""COMPUTED_VALUE"""),"Playstation Plus (Discontinued)")</f>
        <v>Playstation Plus (Discontinued)</v>
      </c>
      <c r="D350" s="15" t="str">
        <f>IFERROR(__xludf.DUMMYFUNCTION("""COMPUTED_VALUE"""),"Removed")</f>
        <v>Removed</v>
      </c>
      <c r="E350" s="17">
        <f>IFERROR(__xludf.DUMMYFUNCTION("""COMPUTED_VALUE"""),43137.0)</f>
        <v>43137</v>
      </c>
      <c r="F350" s="54">
        <f>IFERROR(__xludf.DUMMYFUNCTION("""COMPUTED_VALUE"""),43164.0)</f>
        <v>43164</v>
      </c>
      <c r="G350" s="19">
        <f>IFERROR(__xludf.DUMMYFUNCTION("""COMPUTED_VALUE"""),0.9666666666666668)</f>
        <v>0.9666666667</v>
      </c>
      <c r="H350" s="17">
        <f>IFERROR(__xludf.DUMMYFUNCTION("""COMPUTED_VALUE"""),40290.0)</f>
        <v>40290</v>
      </c>
      <c r="I350" s="19">
        <f>IFERROR(__xludf.DUMMYFUNCTION("""COMPUTED_VALUE"""),7.788888888888889)</f>
        <v>7.788888889</v>
      </c>
      <c r="J350" s="21">
        <f>IFERROR(__xludf.DUMMYFUNCTION("""COMPUTED_VALUE"""),56.0)</f>
        <v>56</v>
      </c>
      <c r="K350" s="23">
        <f>IFERROR(__xludf.DUMMYFUNCTION("""COMPUTED_VALUE"""),6.8)</f>
        <v>6.8</v>
      </c>
      <c r="L350" s="24">
        <f>IFERROR(__xludf.DUMMYFUNCTION("""COMPUTED_VALUE"""),5.0)</f>
        <v>5</v>
      </c>
      <c r="M350" s="25" t="str">
        <f>IFERROR(__xludf.DUMMYFUNCTION("""COMPUTED_VALUE"""),"Platformer")</f>
        <v>Platformer</v>
      </c>
      <c r="N350" s="25"/>
      <c r="O350" s="26" t="str">
        <f>IFERROR(__xludf.DUMMYFUNCTION("""COMPUTED_VALUE"""),"No")</f>
        <v>No</v>
      </c>
      <c r="P350" s="26"/>
    </row>
    <row r="351">
      <c r="A351" s="13" t="str">
        <f>IFERROR(__xludf.DUMMYFUNCTION("""COMPUTED_VALUE"""),"Mugen Souls Z")</f>
        <v>Mugen Souls Z</v>
      </c>
      <c r="B351" s="15" t="str">
        <f>IFERROR(__xludf.DUMMYFUNCTION("""COMPUTED_VALUE"""),"PS3")</f>
        <v>PS3</v>
      </c>
      <c r="C351" s="16" t="str">
        <f>IFERROR(__xludf.DUMMYFUNCTION("""COMPUTED_VALUE"""),"Playstation Plus (Discontinued)")</f>
        <v>Playstation Plus (Discontinued)</v>
      </c>
      <c r="D351" s="15" t="str">
        <f>IFERROR(__xludf.DUMMYFUNCTION("""COMPUTED_VALUE"""),"Removed")</f>
        <v>Removed</v>
      </c>
      <c r="E351" s="17">
        <f>IFERROR(__xludf.DUMMYFUNCTION("""COMPUTED_VALUE"""),43137.0)</f>
        <v>43137</v>
      </c>
      <c r="F351" s="54">
        <f>IFERROR(__xludf.DUMMYFUNCTION("""COMPUTED_VALUE"""),43164.0)</f>
        <v>43164</v>
      </c>
      <c r="G351" s="19">
        <f>IFERROR(__xludf.DUMMYFUNCTION("""COMPUTED_VALUE"""),0.9666666666666668)</f>
        <v>0.9666666667</v>
      </c>
      <c r="H351" s="17">
        <f>IFERROR(__xludf.DUMMYFUNCTION("""COMPUTED_VALUE"""),41779.0)</f>
        <v>41779</v>
      </c>
      <c r="I351" s="19">
        <f>IFERROR(__xludf.DUMMYFUNCTION("""COMPUTED_VALUE"""),3.7111111111111112)</f>
        <v>3.711111111</v>
      </c>
      <c r="J351" s="21">
        <f>IFERROR(__xludf.DUMMYFUNCTION("""COMPUTED_VALUE"""),55.0)</f>
        <v>55</v>
      </c>
      <c r="K351" s="23">
        <f>IFERROR(__xludf.DUMMYFUNCTION("""COMPUTED_VALUE"""),7.3)</f>
        <v>7.3</v>
      </c>
      <c r="L351" s="24">
        <f>IFERROR(__xludf.DUMMYFUNCTION("""COMPUTED_VALUE"""),45.0)</f>
        <v>45</v>
      </c>
      <c r="M351" s="25" t="str">
        <f>IFERROR(__xludf.DUMMYFUNCTION("""COMPUTED_VALUE"""),"RPG")</f>
        <v>RPG</v>
      </c>
      <c r="N351" s="25"/>
      <c r="O351" s="26" t="str">
        <f>IFERROR(__xludf.DUMMYFUNCTION("""COMPUTED_VALUE"""),"No")</f>
        <v>No</v>
      </c>
      <c r="P351" s="26"/>
    </row>
    <row r="352">
      <c r="A352" s="13" t="str">
        <f>IFERROR(__xludf.DUMMYFUNCTION("""COMPUTED_VALUE"""),"Exiles End")</f>
        <v>Exiles End</v>
      </c>
      <c r="B352" s="15" t="str">
        <f>IFERROR(__xludf.DUMMYFUNCTION("""COMPUTED_VALUE"""),"Vita")</f>
        <v>Vita</v>
      </c>
      <c r="C352" s="16" t="str">
        <f>IFERROR(__xludf.DUMMYFUNCTION("""COMPUTED_VALUE"""),"Playstation Plus (Discontinued)")</f>
        <v>Playstation Plus (Discontinued)</v>
      </c>
      <c r="D352" s="15" t="str">
        <f>IFERROR(__xludf.DUMMYFUNCTION("""COMPUTED_VALUE"""),"Removed")</f>
        <v>Removed</v>
      </c>
      <c r="E352" s="17">
        <f>IFERROR(__xludf.DUMMYFUNCTION("""COMPUTED_VALUE"""),43137.0)</f>
        <v>43137</v>
      </c>
      <c r="F352" s="54">
        <f>IFERROR(__xludf.DUMMYFUNCTION("""COMPUTED_VALUE"""),43164.0)</f>
        <v>43164</v>
      </c>
      <c r="G352" s="19">
        <f>IFERROR(__xludf.DUMMYFUNCTION("""COMPUTED_VALUE"""),0.9666666666666668)</f>
        <v>0.9666666667</v>
      </c>
      <c r="H352" s="17">
        <f>IFERROR(__xludf.DUMMYFUNCTION("""COMPUTED_VALUE"""),42325.0)</f>
        <v>42325</v>
      </c>
      <c r="I352" s="19">
        <f>IFERROR(__xludf.DUMMYFUNCTION("""COMPUTED_VALUE"""),2.2194444444444446)</f>
        <v>2.219444444</v>
      </c>
      <c r="J352" s="21">
        <f>IFERROR(__xludf.DUMMYFUNCTION("""COMPUTED_VALUE"""),53.0)</f>
        <v>53</v>
      </c>
      <c r="K352" s="23">
        <f>IFERROR(__xludf.DUMMYFUNCTION("""COMPUTED_VALUE"""),6.8)</f>
        <v>6.8</v>
      </c>
      <c r="L352" s="24">
        <f>IFERROR(__xludf.DUMMYFUNCTION("""COMPUTED_VALUE"""),5.0)</f>
        <v>5</v>
      </c>
      <c r="M352" s="25" t="str">
        <f>IFERROR(__xludf.DUMMYFUNCTION("""COMPUTED_VALUE"""),"Platformer")</f>
        <v>Platformer</v>
      </c>
      <c r="N352" s="25"/>
      <c r="O352" s="26" t="str">
        <f>IFERROR(__xludf.DUMMYFUNCTION("""COMPUTED_VALUE"""),"No")</f>
        <v>No</v>
      </c>
      <c r="P352" s="26"/>
    </row>
    <row r="353" hidden="1">
      <c r="A353" s="13" t="str">
        <f>IFERROR(__xludf.DUMMYFUNCTION("""COMPUTED_VALUE"""),"Grand Kingdom")</f>
        <v>Grand Kingdom</v>
      </c>
      <c r="B353" s="15" t="str">
        <f>IFERROR(__xludf.DUMMYFUNCTION("""COMPUTED_VALUE"""),"PS4/Vita")</f>
        <v>PS4/Vita</v>
      </c>
      <c r="C353" s="16" t="str">
        <f>IFERROR(__xludf.DUMMYFUNCTION("""COMPUTED_VALUE"""),"Playstation Plus (Discontinued)")</f>
        <v>Playstation Plus (Discontinued)</v>
      </c>
      <c r="D353" s="15" t="str">
        <f>IFERROR(__xludf.DUMMYFUNCTION("""COMPUTED_VALUE"""),"Removed")</f>
        <v>Removed</v>
      </c>
      <c r="E353" s="17">
        <f>IFERROR(__xludf.DUMMYFUNCTION("""COMPUTED_VALUE"""),43137.0)</f>
        <v>43137</v>
      </c>
      <c r="F353" s="54">
        <f>IFERROR(__xludf.DUMMYFUNCTION("""COMPUTED_VALUE"""),43164.0)</f>
        <v>43164</v>
      </c>
      <c r="G353" s="19">
        <f>IFERROR(__xludf.DUMMYFUNCTION("""COMPUTED_VALUE"""),0.9666666666666668)</f>
        <v>0.9666666667</v>
      </c>
      <c r="H353" s="17">
        <f>IFERROR(__xludf.DUMMYFUNCTION("""COMPUTED_VALUE"""),42542.0)</f>
        <v>42542</v>
      </c>
      <c r="I353" s="19">
        <f>IFERROR(__xludf.DUMMYFUNCTION("""COMPUTED_VALUE"""),1.625)</f>
        <v>1.625</v>
      </c>
      <c r="J353" s="21">
        <f>IFERROR(__xludf.DUMMYFUNCTION("""COMPUTED_VALUE"""),78.0)</f>
        <v>78</v>
      </c>
      <c r="K353" s="23">
        <f>IFERROR(__xludf.DUMMYFUNCTION("""COMPUTED_VALUE"""),7.5)</f>
        <v>7.5</v>
      </c>
      <c r="L353" s="24">
        <f>IFERROR(__xludf.DUMMYFUNCTION("""COMPUTED_VALUE"""),40.0)</f>
        <v>40</v>
      </c>
      <c r="M353" s="25" t="str">
        <f>IFERROR(__xludf.DUMMYFUNCTION("""COMPUTED_VALUE"""),"RPG")</f>
        <v>RPG</v>
      </c>
      <c r="N353" s="25"/>
      <c r="O353" s="26" t="str">
        <f>IFERROR(__xludf.DUMMYFUNCTION("""COMPUTED_VALUE"""),"No")</f>
        <v>No</v>
      </c>
      <c r="P353" s="26"/>
    </row>
    <row r="354" hidden="1">
      <c r="A354" s="13" t="str">
        <f>IFERROR(__xludf.DUMMYFUNCTION("""COMPUTED_VALUE"""),"Deus Ex: Mankind Divided")</f>
        <v>Deus Ex: Mankind Divided</v>
      </c>
      <c r="B354" s="15" t="str">
        <f>IFERROR(__xludf.DUMMYFUNCTION("""COMPUTED_VALUE"""),"PS4")</f>
        <v>PS4</v>
      </c>
      <c r="C354" s="16" t="str">
        <f>IFERROR(__xludf.DUMMYFUNCTION("""COMPUTED_VALUE"""),"Playstation Plus (Discontinued)")</f>
        <v>Playstation Plus (Discontinued)</v>
      </c>
      <c r="D354" s="15" t="str">
        <f>IFERROR(__xludf.DUMMYFUNCTION("""COMPUTED_VALUE"""),"Removed")</f>
        <v>Removed</v>
      </c>
      <c r="E354" s="17">
        <f>IFERROR(__xludf.DUMMYFUNCTION("""COMPUTED_VALUE"""),43102.0)</f>
        <v>43102</v>
      </c>
      <c r="F354" s="18">
        <f>IFERROR(__xludf.DUMMYFUNCTION("""COMPUTED_VALUE"""),43136.0)</f>
        <v>43136</v>
      </c>
      <c r="G354" s="19">
        <f>IFERROR(__xludf.DUMMYFUNCTION("""COMPUTED_VALUE"""),1.0999999999999999)</f>
        <v>1.1</v>
      </c>
      <c r="H354" s="17">
        <f>IFERROR(__xludf.DUMMYFUNCTION("""COMPUTED_VALUE"""),42605.0)</f>
        <v>42605</v>
      </c>
      <c r="I354" s="19">
        <f>IFERROR(__xludf.DUMMYFUNCTION("""COMPUTED_VALUE"""),1.3583333333333334)</f>
        <v>1.358333333</v>
      </c>
      <c r="J354" s="21">
        <f>IFERROR(__xludf.DUMMYFUNCTION("""COMPUTED_VALUE"""),84.0)</f>
        <v>84</v>
      </c>
      <c r="K354" s="23">
        <f>IFERROR(__xludf.DUMMYFUNCTION("""COMPUTED_VALUE"""),7.7)</f>
        <v>7.7</v>
      </c>
      <c r="L354" s="24">
        <f>IFERROR(__xludf.DUMMYFUNCTION("""COMPUTED_VALUE"""),15.0)</f>
        <v>15</v>
      </c>
      <c r="M354" s="25" t="str">
        <f>IFERROR(__xludf.DUMMYFUNCTION("""COMPUTED_VALUE"""),"Action-Adventure")</f>
        <v>Action-Adventure</v>
      </c>
      <c r="N354" s="25"/>
      <c r="O354" s="26" t="str">
        <f>IFERROR(__xludf.DUMMYFUNCTION("""COMPUTED_VALUE"""),"No")</f>
        <v>No</v>
      </c>
      <c r="P354" s="26"/>
    </row>
    <row r="355" hidden="1">
      <c r="A355" s="13" t="str">
        <f>IFERROR(__xludf.DUMMYFUNCTION("""COMPUTED_VALUE"""),"Batman: The Telltale Series")</f>
        <v>Batman: The Telltale Series</v>
      </c>
      <c r="B355" s="15" t="str">
        <f>IFERROR(__xludf.DUMMYFUNCTION("""COMPUTED_VALUE"""),"PS4")</f>
        <v>PS4</v>
      </c>
      <c r="C355" s="16" t="str">
        <f>IFERROR(__xludf.DUMMYFUNCTION("""COMPUTED_VALUE"""),"Playstation Plus (Discontinued)")</f>
        <v>Playstation Plus (Discontinued)</v>
      </c>
      <c r="D355" s="15" t="str">
        <f>IFERROR(__xludf.DUMMYFUNCTION("""COMPUTED_VALUE"""),"Removed")</f>
        <v>Removed</v>
      </c>
      <c r="E355" s="17">
        <f>IFERROR(__xludf.DUMMYFUNCTION("""COMPUTED_VALUE"""),43102.0)</f>
        <v>43102</v>
      </c>
      <c r="F355" s="54">
        <f>IFERROR(__xludf.DUMMYFUNCTION("""COMPUTED_VALUE"""),43136.0)</f>
        <v>43136</v>
      </c>
      <c r="G355" s="19">
        <f>IFERROR(__xludf.DUMMYFUNCTION("""COMPUTED_VALUE"""),1.0999999999999999)</f>
        <v>1.1</v>
      </c>
      <c r="H355" s="17">
        <f>IFERROR(__xludf.DUMMYFUNCTION("""COMPUTED_VALUE"""),42584.0)</f>
        <v>42584</v>
      </c>
      <c r="I355" s="19">
        <f>IFERROR(__xludf.DUMMYFUNCTION("""COMPUTED_VALUE"""),1.4166666666666667)</f>
        <v>1.416666667</v>
      </c>
      <c r="J355" s="21">
        <f>IFERROR(__xludf.DUMMYFUNCTION("""COMPUTED_VALUE"""),68.0)</f>
        <v>68</v>
      </c>
      <c r="K355" s="23">
        <f>IFERROR(__xludf.DUMMYFUNCTION("""COMPUTED_VALUE"""),6.7)</f>
        <v>6.7</v>
      </c>
      <c r="L355" s="24">
        <f>IFERROR(__xludf.DUMMYFUNCTION("""COMPUTED_VALUE"""),12.0)</f>
        <v>12</v>
      </c>
      <c r="M355" s="25" t="str">
        <f>IFERROR(__xludf.DUMMYFUNCTION("""COMPUTED_VALUE"""),"Adventure")</f>
        <v>Adventure</v>
      </c>
      <c r="N355" s="25"/>
      <c r="O355" s="26" t="str">
        <f>IFERROR(__xludf.DUMMYFUNCTION("""COMPUTED_VALUE"""),"No")</f>
        <v>No</v>
      </c>
      <c r="P355" s="26"/>
    </row>
    <row r="356" hidden="1">
      <c r="A356" s="13" t="str">
        <f>IFERROR(__xludf.DUMMYFUNCTION("""COMPUTED_VALUE"""),"Starblood Arena")</f>
        <v>Starblood Arena</v>
      </c>
      <c r="B356" s="15" t="str">
        <f>IFERROR(__xludf.DUMMYFUNCTION("""COMPUTED_VALUE"""),"PS4/PSVR")</f>
        <v>PS4/PSVR</v>
      </c>
      <c r="C356" s="16" t="str">
        <f>IFERROR(__xludf.DUMMYFUNCTION("""COMPUTED_VALUE"""),"Playstation Plus (Discontinued)")</f>
        <v>Playstation Plus (Discontinued)</v>
      </c>
      <c r="D356" s="15" t="str">
        <f>IFERROR(__xludf.DUMMYFUNCTION("""COMPUTED_VALUE"""),"Removed")</f>
        <v>Removed</v>
      </c>
      <c r="E356" s="17">
        <f>IFERROR(__xludf.DUMMYFUNCTION("""COMPUTED_VALUE"""),43102.0)</f>
        <v>43102</v>
      </c>
      <c r="F356" s="18">
        <f>IFERROR(__xludf.DUMMYFUNCTION("""COMPUTED_VALUE"""),43136.0)</f>
        <v>43136</v>
      </c>
      <c r="G356" s="19">
        <f>IFERROR(__xludf.DUMMYFUNCTION("""COMPUTED_VALUE"""),1.0999999999999999)</f>
        <v>1.1</v>
      </c>
      <c r="H356" s="17">
        <f>IFERROR(__xludf.DUMMYFUNCTION("""COMPUTED_VALUE"""),42836.0)</f>
        <v>42836</v>
      </c>
      <c r="I356" s="19">
        <f>IFERROR(__xludf.DUMMYFUNCTION("""COMPUTED_VALUE"""),0.725)</f>
        <v>0.725</v>
      </c>
      <c r="J356" s="21">
        <f>IFERROR(__xludf.DUMMYFUNCTION("""COMPUTED_VALUE"""),68.0)</f>
        <v>68</v>
      </c>
      <c r="K356" s="23">
        <f>IFERROR(__xludf.DUMMYFUNCTION("""COMPUTED_VALUE"""),7.0)</f>
        <v>7</v>
      </c>
      <c r="L356" s="24"/>
      <c r="M356" s="25" t="str">
        <f>IFERROR(__xludf.DUMMYFUNCTION("""COMPUTED_VALUE"""),"Shooter")</f>
        <v>Shooter</v>
      </c>
      <c r="N356" s="25"/>
      <c r="O356" s="26" t="str">
        <f>IFERROR(__xludf.DUMMYFUNCTION("""COMPUTED_VALUE"""),"No")</f>
        <v>No</v>
      </c>
      <c r="P356" s="26"/>
    </row>
    <row r="357" hidden="1">
      <c r="A357" s="13" t="str">
        <f>IFERROR(__xludf.DUMMYFUNCTION("""COMPUTED_VALUE"""),"Sacred 3")</f>
        <v>Sacred 3</v>
      </c>
      <c r="B357" s="15" t="str">
        <f>IFERROR(__xludf.DUMMYFUNCTION("""COMPUTED_VALUE"""),"PS3")</f>
        <v>PS3</v>
      </c>
      <c r="C357" s="16" t="str">
        <f>IFERROR(__xludf.DUMMYFUNCTION("""COMPUTED_VALUE"""),"Playstation Plus (Discontinued)")</f>
        <v>Playstation Plus (Discontinued)</v>
      </c>
      <c r="D357" s="15" t="str">
        <f>IFERROR(__xludf.DUMMYFUNCTION("""COMPUTED_VALUE"""),"Removed")</f>
        <v>Removed</v>
      </c>
      <c r="E357" s="17">
        <f>IFERROR(__xludf.DUMMYFUNCTION("""COMPUTED_VALUE"""),43102.0)</f>
        <v>43102</v>
      </c>
      <c r="F357" s="54">
        <f>IFERROR(__xludf.DUMMYFUNCTION("""COMPUTED_VALUE"""),43136.0)</f>
        <v>43136</v>
      </c>
      <c r="G357" s="19">
        <f>IFERROR(__xludf.DUMMYFUNCTION("""COMPUTED_VALUE"""),1.0999999999999999)</f>
        <v>1.1</v>
      </c>
      <c r="H357" s="17">
        <f>IFERROR(__xludf.DUMMYFUNCTION("""COMPUTED_VALUE"""),41856.0)</f>
        <v>41856</v>
      </c>
      <c r="I357" s="19">
        <f>IFERROR(__xludf.DUMMYFUNCTION("""COMPUTED_VALUE"""),3.408333333333333)</f>
        <v>3.408333333</v>
      </c>
      <c r="J357" s="21">
        <f>IFERROR(__xludf.DUMMYFUNCTION("""COMPUTED_VALUE"""),56.0)</f>
        <v>56</v>
      </c>
      <c r="K357" s="23">
        <f>IFERROR(__xludf.DUMMYFUNCTION("""COMPUTED_VALUE"""),5.1)</f>
        <v>5.1</v>
      </c>
      <c r="L357" s="24">
        <f>IFERROR(__xludf.DUMMYFUNCTION("""COMPUTED_VALUE"""),10.0)</f>
        <v>10</v>
      </c>
      <c r="M357" s="25" t="str">
        <f>IFERROR(__xludf.DUMMYFUNCTION("""COMPUTED_VALUE"""),"Action-Adventure")</f>
        <v>Action-Adventure</v>
      </c>
      <c r="N357" s="25"/>
      <c r="O357" s="26" t="str">
        <f>IFERROR(__xludf.DUMMYFUNCTION("""COMPUTED_VALUE"""),"No")</f>
        <v>No</v>
      </c>
      <c r="P357" s="26"/>
    </row>
    <row r="358">
      <c r="A358" s="13" t="str">
        <f>IFERROR(__xludf.DUMMYFUNCTION("""COMPUTED_VALUE"""),"Book of Unwritten Tales 2")</f>
        <v>Book of Unwritten Tales 2</v>
      </c>
      <c r="B358" s="15" t="str">
        <f>IFERROR(__xludf.DUMMYFUNCTION("""COMPUTED_VALUE"""),"PS3")</f>
        <v>PS3</v>
      </c>
      <c r="C358" s="16" t="str">
        <f>IFERROR(__xludf.DUMMYFUNCTION("""COMPUTED_VALUE"""),"Playstation Plus (Discontinued)")</f>
        <v>Playstation Plus (Discontinued)</v>
      </c>
      <c r="D358" s="15" t="str">
        <f>IFERROR(__xludf.DUMMYFUNCTION("""COMPUTED_VALUE"""),"Removed")</f>
        <v>Removed</v>
      </c>
      <c r="E358" s="17">
        <f>IFERROR(__xludf.DUMMYFUNCTION("""COMPUTED_VALUE"""),43102.0)</f>
        <v>43102</v>
      </c>
      <c r="F358" s="54">
        <f>IFERROR(__xludf.DUMMYFUNCTION("""COMPUTED_VALUE"""),43136.0)</f>
        <v>43136</v>
      </c>
      <c r="G358" s="19">
        <f>IFERROR(__xludf.DUMMYFUNCTION("""COMPUTED_VALUE"""),1.0999999999999999)</f>
        <v>1.1</v>
      </c>
      <c r="H358" s="17">
        <f>IFERROR(__xludf.DUMMYFUNCTION("""COMPUTED_VALUE"""),42054.0)</f>
        <v>42054</v>
      </c>
      <c r="I358" s="19">
        <f>IFERROR(__xludf.DUMMYFUNCTION("""COMPUTED_VALUE"""),2.8694444444444445)</f>
        <v>2.869444444</v>
      </c>
      <c r="J358" s="21">
        <f>IFERROR(__xludf.DUMMYFUNCTION("""COMPUTED_VALUE"""),75.0)</f>
        <v>75</v>
      </c>
      <c r="K358" s="23">
        <f>IFERROR(__xludf.DUMMYFUNCTION("""COMPUTED_VALUE"""),7.6)</f>
        <v>7.6</v>
      </c>
      <c r="L358" s="24">
        <f>IFERROR(__xludf.DUMMYFUNCTION("""COMPUTED_VALUE"""),13.0)</f>
        <v>13</v>
      </c>
      <c r="M358" s="25" t="str">
        <f>IFERROR(__xludf.DUMMYFUNCTION("""COMPUTED_VALUE"""),"Adventure")</f>
        <v>Adventure</v>
      </c>
      <c r="N358" s="25"/>
      <c r="O358" s="26" t="str">
        <f>IFERROR(__xludf.DUMMYFUNCTION("""COMPUTED_VALUE"""),"No")</f>
        <v>No</v>
      </c>
      <c r="P358" s="26"/>
    </row>
    <row r="359">
      <c r="A359" s="13" t="str">
        <f>IFERROR(__xludf.DUMMYFUNCTION("""COMPUTED_VALUE"""),"Psycho-Pass: Mandatory Happiness")</f>
        <v>Psycho-Pass: Mandatory Happiness</v>
      </c>
      <c r="B359" s="15" t="str">
        <f>IFERROR(__xludf.DUMMYFUNCTION("""COMPUTED_VALUE"""),"PS4/Vita")</f>
        <v>PS4/Vita</v>
      </c>
      <c r="C359" s="16" t="str">
        <f>IFERROR(__xludf.DUMMYFUNCTION("""COMPUTED_VALUE"""),"Playstation Plus (Discontinued)")</f>
        <v>Playstation Plus (Discontinued)</v>
      </c>
      <c r="D359" s="15" t="str">
        <f>IFERROR(__xludf.DUMMYFUNCTION("""COMPUTED_VALUE"""),"Removed")</f>
        <v>Removed</v>
      </c>
      <c r="E359" s="17">
        <f>IFERROR(__xludf.DUMMYFUNCTION("""COMPUTED_VALUE"""),43102.0)</f>
        <v>43102</v>
      </c>
      <c r="F359" s="54">
        <f>IFERROR(__xludf.DUMMYFUNCTION("""COMPUTED_VALUE"""),43136.0)</f>
        <v>43136</v>
      </c>
      <c r="G359" s="19">
        <f>IFERROR(__xludf.DUMMYFUNCTION("""COMPUTED_VALUE"""),1.0999999999999999)</f>
        <v>1.1</v>
      </c>
      <c r="H359" s="17">
        <f>IFERROR(__xludf.DUMMYFUNCTION("""COMPUTED_VALUE"""),42626.0)</f>
        <v>42626</v>
      </c>
      <c r="I359" s="19">
        <f>IFERROR(__xludf.DUMMYFUNCTION("""COMPUTED_VALUE"""),1.3027777777777778)</f>
        <v>1.302777778</v>
      </c>
      <c r="J359" s="21">
        <f>IFERROR(__xludf.DUMMYFUNCTION("""COMPUTED_VALUE"""),64.0)</f>
        <v>64</v>
      </c>
      <c r="K359" s="23">
        <f>IFERROR(__xludf.DUMMYFUNCTION("""COMPUTED_VALUE"""),7.0)</f>
        <v>7</v>
      </c>
      <c r="L359" s="24">
        <f>IFERROR(__xludf.DUMMYFUNCTION("""COMPUTED_VALUE"""),12.0)</f>
        <v>12</v>
      </c>
      <c r="M359" s="25" t="str">
        <f>IFERROR(__xludf.DUMMYFUNCTION("""COMPUTED_VALUE"""),"Adventure")</f>
        <v>Adventure</v>
      </c>
      <c r="N359" s="25"/>
      <c r="O359" s="26" t="str">
        <f>IFERROR(__xludf.DUMMYFUNCTION("""COMPUTED_VALUE"""),"No")</f>
        <v>No</v>
      </c>
      <c r="P359" s="26"/>
    </row>
    <row r="360" hidden="1">
      <c r="A360" s="13" t="str">
        <f>IFERROR(__xludf.DUMMYFUNCTION("""COMPUTED_VALUE"""),"Uncanny Valley")</f>
        <v>Uncanny Valley</v>
      </c>
      <c r="B360" s="15" t="str">
        <f>IFERROR(__xludf.DUMMYFUNCTION("""COMPUTED_VALUE"""),"PS4/Vita")</f>
        <v>PS4/Vita</v>
      </c>
      <c r="C360" s="16" t="str">
        <f>IFERROR(__xludf.DUMMYFUNCTION("""COMPUTED_VALUE"""),"Playstation Plus (Discontinued)")</f>
        <v>Playstation Plus (Discontinued)</v>
      </c>
      <c r="D360" s="15" t="str">
        <f>IFERROR(__xludf.DUMMYFUNCTION("""COMPUTED_VALUE"""),"Removed")</f>
        <v>Removed</v>
      </c>
      <c r="E360" s="17">
        <f>IFERROR(__xludf.DUMMYFUNCTION("""COMPUTED_VALUE"""),43102.0)</f>
        <v>43102</v>
      </c>
      <c r="F360" s="18">
        <f>IFERROR(__xludf.DUMMYFUNCTION("""COMPUTED_VALUE"""),43136.0)</f>
        <v>43136</v>
      </c>
      <c r="G360" s="19">
        <f>IFERROR(__xludf.DUMMYFUNCTION("""COMPUTED_VALUE"""),1.0999999999999999)</f>
        <v>1.1</v>
      </c>
      <c r="H360" s="17">
        <f>IFERROR(__xludf.DUMMYFUNCTION("""COMPUTED_VALUE"""),42781.0)</f>
        <v>42781</v>
      </c>
      <c r="I360" s="19">
        <f>IFERROR(__xludf.DUMMYFUNCTION("""COMPUTED_VALUE"""),0.8805555555555555)</f>
        <v>0.8805555556</v>
      </c>
      <c r="J360" s="21">
        <f>IFERROR(__xludf.DUMMYFUNCTION("""COMPUTED_VALUE"""),52.0)</f>
        <v>52</v>
      </c>
      <c r="K360" s="23">
        <f>IFERROR(__xludf.DUMMYFUNCTION("""COMPUTED_VALUE"""),6.1)</f>
        <v>6.1</v>
      </c>
      <c r="L360" s="24">
        <f>IFERROR(__xludf.DUMMYFUNCTION("""COMPUTED_VALUE"""),5.0)</f>
        <v>5</v>
      </c>
      <c r="M360" s="25" t="str">
        <f>IFERROR(__xludf.DUMMYFUNCTION("""COMPUTED_VALUE"""),"Horror")</f>
        <v>Horror</v>
      </c>
      <c r="N360" s="25"/>
      <c r="O360" s="26" t="str">
        <f>IFERROR(__xludf.DUMMYFUNCTION("""COMPUTED_VALUE"""),"No")</f>
        <v>No</v>
      </c>
      <c r="P360" s="26"/>
    </row>
    <row r="361" hidden="1">
      <c r="A361" s="13" t="str">
        <f>IFERROR(__xludf.DUMMYFUNCTION("""COMPUTED_VALUE"""),"Darksiders II Deathinitive Edition")</f>
        <v>Darksiders II Deathinitive Edition</v>
      </c>
      <c r="B361" s="15" t="str">
        <f>IFERROR(__xludf.DUMMYFUNCTION("""COMPUTED_VALUE"""),"PS4")</f>
        <v>PS4</v>
      </c>
      <c r="C361" s="16" t="str">
        <f>IFERROR(__xludf.DUMMYFUNCTION("""COMPUTED_VALUE"""),"Playstation Plus (Discontinued)")</f>
        <v>Playstation Plus (Discontinued)</v>
      </c>
      <c r="D361" s="15" t="str">
        <f>IFERROR(__xludf.DUMMYFUNCTION("""COMPUTED_VALUE"""),"Removed")</f>
        <v>Removed</v>
      </c>
      <c r="E361" s="17">
        <f>IFERROR(__xludf.DUMMYFUNCTION("""COMPUTED_VALUE"""),43074.0)</f>
        <v>43074</v>
      </c>
      <c r="F361" s="54">
        <f>IFERROR(__xludf.DUMMYFUNCTION("""COMPUTED_VALUE"""),43101.0)</f>
        <v>43101</v>
      </c>
      <c r="G361" s="19">
        <f>IFERROR(__xludf.DUMMYFUNCTION("""COMPUTED_VALUE"""),0.8666666666666666)</f>
        <v>0.8666666667</v>
      </c>
      <c r="H361" s="17">
        <f>IFERROR(__xludf.DUMMYFUNCTION("""COMPUTED_VALUE"""),42304.0)</f>
        <v>42304</v>
      </c>
      <c r="I361" s="19">
        <f>IFERROR(__xludf.DUMMYFUNCTION("""COMPUTED_VALUE"""),2.1055555555555556)</f>
        <v>2.105555556</v>
      </c>
      <c r="J361" s="21">
        <f>IFERROR(__xludf.DUMMYFUNCTION("""COMPUTED_VALUE"""),72.0)</f>
        <v>72</v>
      </c>
      <c r="K361" s="23">
        <f>IFERROR(__xludf.DUMMYFUNCTION("""COMPUTED_VALUE"""),7.4)</f>
        <v>7.4</v>
      </c>
      <c r="L361" s="24">
        <f>IFERROR(__xludf.DUMMYFUNCTION("""COMPUTED_VALUE"""),25.0)</f>
        <v>25</v>
      </c>
      <c r="M361" s="25" t="str">
        <f>IFERROR(__xludf.DUMMYFUNCTION("""COMPUTED_VALUE"""),"Action-Adventure")</f>
        <v>Action-Adventure</v>
      </c>
      <c r="N361" s="25"/>
      <c r="O361" s="26" t="str">
        <f>IFERROR(__xludf.DUMMYFUNCTION("""COMPUTED_VALUE"""),"No")</f>
        <v>No</v>
      </c>
      <c r="P361" s="26"/>
    </row>
    <row r="362" hidden="1">
      <c r="A362" s="13" t="str">
        <f>IFERROR(__xludf.DUMMYFUNCTION("""COMPUTED_VALUE"""),"Kung Fu Panda: Showdown of Legendary Legends")</f>
        <v>Kung Fu Panda: Showdown of Legendary Legends</v>
      </c>
      <c r="B362" s="15" t="str">
        <f>IFERROR(__xludf.DUMMYFUNCTION("""COMPUTED_VALUE"""),"PS4")</f>
        <v>PS4</v>
      </c>
      <c r="C362" s="16" t="str">
        <f>IFERROR(__xludf.DUMMYFUNCTION("""COMPUTED_VALUE"""),"Playstation Plus (Discontinued)")</f>
        <v>Playstation Plus (Discontinued)</v>
      </c>
      <c r="D362" s="15" t="str">
        <f>IFERROR(__xludf.DUMMYFUNCTION("""COMPUTED_VALUE"""),"Removed")</f>
        <v>Removed</v>
      </c>
      <c r="E362" s="17">
        <f>IFERROR(__xludf.DUMMYFUNCTION("""COMPUTED_VALUE"""),43074.0)</f>
        <v>43074</v>
      </c>
      <c r="F362" s="54">
        <f>IFERROR(__xludf.DUMMYFUNCTION("""COMPUTED_VALUE"""),43101.0)</f>
        <v>43101</v>
      </c>
      <c r="G362" s="19">
        <f>IFERROR(__xludf.DUMMYFUNCTION("""COMPUTED_VALUE"""),0.8666666666666666)</f>
        <v>0.8666666667</v>
      </c>
      <c r="H362" s="17">
        <f>IFERROR(__xludf.DUMMYFUNCTION("""COMPUTED_VALUE"""),42325.0)</f>
        <v>42325</v>
      </c>
      <c r="I362" s="19">
        <f>IFERROR(__xludf.DUMMYFUNCTION("""COMPUTED_VALUE"""),2.05)</f>
        <v>2.05</v>
      </c>
      <c r="J362" s="21">
        <f>IFERROR(__xludf.DUMMYFUNCTION("""COMPUTED_VALUE"""),63.0)</f>
        <v>63</v>
      </c>
      <c r="K362" s="23">
        <f>IFERROR(__xludf.DUMMYFUNCTION("""COMPUTED_VALUE"""),6.5)</f>
        <v>6.5</v>
      </c>
      <c r="L362" s="24">
        <f>IFERROR(__xludf.DUMMYFUNCTION("""COMPUTED_VALUE"""),3.0)</f>
        <v>3</v>
      </c>
      <c r="M362" s="25" t="str">
        <f>IFERROR(__xludf.DUMMYFUNCTION("""COMPUTED_VALUE"""),"Fighting")</f>
        <v>Fighting</v>
      </c>
      <c r="N362" s="25"/>
      <c r="O362" s="26" t="str">
        <f>IFERROR(__xludf.DUMMYFUNCTION("""COMPUTED_VALUE"""),"No")</f>
        <v>No</v>
      </c>
      <c r="P362" s="26"/>
    </row>
    <row r="363" hidden="1">
      <c r="A363" s="13" t="str">
        <f>IFERROR(__xludf.DUMMYFUNCTION("""COMPUTED_VALUE"""),"Syberia Collection")</f>
        <v>Syberia Collection</v>
      </c>
      <c r="B363" s="15" t="str">
        <f>IFERROR(__xludf.DUMMYFUNCTION("""COMPUTED_VALUE"""),"PS3")</f>
        <v>PS3</v>
      </c>
      <c r="C363" s="16" t="str">
        <f>IFERROR(__xludf.DUMMYFUNCTION("""COMPUTED_VALUE"""),"Playstation Plus (Discontinued)")</f>
        <v>Playstation Plus (Discontinued)</v>
      </c>
      <c r="D363" s="15" t="str">
        <f>IFERROR(__xludf.DUMMYFUNCTION("""COMPUTED_VALUE"""),"Removed")</f>
        <v>Removed</v>
      </c>
      <c r="E363" s="17">
        <f>IFERROR(__xludf.DUMMYFUNCTION("""COMPUTED_VALUE"""),43074.0)</f>
        <v>43074</v>
      </c>
      <c r="F363" s="54">
        <f>IFERROR(__xludf.DUMMYFUNCTION("""COMPUTED_VALUE"""),43101.0)</f>
        <v>43101</v>
      </c>
      <c r="G363" s="19">
        <f>IFERROR(__xludf.DUMMYFUNCTION("""COMPUTED_VALUE"""),0.8666666666666666)</f>
        <v>0.8666666667</v>
      </c>
      <c r="H363" s="17">
        <f>IFERROR(__xludf.DUMMYFUNCTION("""COMPUTED_VALUE"""),42675.0)</f>
        <v>42675</v>
      </c>
      <c r="I363" s="19">
        <f>IFERROR(__xludf.DUMMYFUNCTION("""COMPUTED_VALUE"""),1.0944444444444446)</f>
        <v>1.094444444</v>
      </c>
      <c r="J363" s="21"/>
      <c r="K363" s="23"/>
      <c r="L363" s="24"/>
      <c r="M363" s="25" t="str">
        <f>IFERROR(__xludf.DUMMYFUNCTION("""COMPUTED_VALUE"""),"Adventure")</f>
        <v>Adventure</v>
      </c>
      <c r="N363" s="25"/>
      <c r="O363" s="26" t="str">
        <f>IFERROR(__xludf.DUMMYFUNCTION("""COMPUTED_VALUE"""),"No")</f>
        <v>No</v>
      </c>
      <c r="P363" s="26"/>
    </row>
    <row r="364" hidden="1">
      <c r="A364" s="13" t="str">
        <f>IFERROR(__xludf.DUMMYFUNCTION("""COMPUTED_VALUE"""),"Xblaze Lost: Memories")</f>
        <v>Xblaze Lost: Memories</v>
      </c>
      <c r="B364" s="15" t="str">
        <f>IFERROR(__xludf.DUMMYFUNCTION("""COMPUTED_VALUE"""),"PS3")</f>
        <v>PS3</v>
      </c>
      <c r="C364" s="16" t="str">
        <f>IFERROR(__xludf.DUMMYFUNCTION("""COMPUTED_VALUE"""),"Playstation Plus (Discontinued)")</f>
        <v>Playstation Plus (Discontinued)</v>
      </c>
      <c r="D364" s="15" t="str">
        <f>IFERROR(__xludf.DUMMYFUNCTION("""COMPUTED_VALUE"""),"Removed")</f>
        <v>Removed</v>
      </c>
      <c r="E364" s="17">
        <f>IFERROR(__xludf.DUMMYFUNCTION("""COMPUTED_VALUE"""),43074.0)</f>
        <v>43074</v>
      </c>
      <c r="F364" s="54">
        <f>IFERROR(__xludf.DUMMYFUNCTION("""COMPUTED_VALUE"""),43101.0)</f>
        <v>43101</v>
      </c>
      <c r="G364" s="19">
        <f>IFERROR(__xludf.DUMMYFUNCTION("""COMPUTED_VALUE"""),0.8666666666666666)</f>
        <v>0.8666666667</v>
      </c>
      <c r="H364" s="17">
        <f>IFERROR(__xludf.DUMMYFUNCTION("""COMPUTED_VALUE"""),42115.0)</f>
        <v>42115</v>
      </c>
      <c r="I364" s="19">
        <f>IFERROR(__xludf.DUMMYFUNCTION("""COMPUTED_VALUE"""),2.6222222222222222)</f>
        <v>2.622222222</v>
      </c>
      <c r="J364" s="21">
        <f>IFERROR(__xludf.DUMMYFUNCTION("""COMPUTED_VALUE"""),63.0)</f>
        <v>63</v>
      </c>
      <c r="K364" s="23">
        <f>IFERROR(__xludf.DUMMYFUNCTION("""COMPUTED_VALUE"""),7.0)</f>
        <v>7</v>
      </c>
      <c r="L364" s="24">
        <f>IFERROR(__xludf.DUMMYFUNCTION("""COMPUTED_VALUE"""),10.0)</f>
        <v>10</v>
      </c>
      <c r="M364" s="25" t="str">
        <f>IFERROR(__xludf.DUMMYFUNCTION("""COMPUTED_VALUE"""),"Visual Novel")</f>
        <v>Visual Novel</v>
      </c>
      <c r="N364" s="25"/>
      <c r="O364" s="26" t="str">
        <f>IFERROR(__xludf.DUMMYFUNCTION("""COMPUTED_VALUE"""),"No")</f>
        <v>No</v>
      </c>
      <c r="P364" s="26"/>
    </row>
    <row r="365">
      <c r="A365" s="13" t="str">
        <f>IFERROR(__xludf.DUMMYFUNCTION("""COMPUTED_VALUE"""),"Forma.8")</f>
        <v>Forma.8</v>
      </c>
      <c r="B365" s="15" t="str">
        <f>IFERROR(__xludf.DUMMYFUNCTION("""COMPUTED_VALUE"""),"PS4/Vita")</f>
        <v>PS4/Vita</v>
      </c>
      <c r="C365" s="16" t="str">
        <f>IFERROR(__xludf.DUMMYFUNCTION("""COMPUTED_VALUE"""),"Playstation Plus (Discontinued)")</f>
        <v>Playstation Plus (Discontinued)</v>
      </c>
      <c r="D365" s="15" t="str">
        <f>IFERROR(__xludf.DUMMYFUNCTION("""COMPUTED_VALUE"""),"Removed")</f>
        <v>Removed</v>
      </c>
      <c r="E365" s="17">
        <f>IFERROR(__xludf.DUMMYFUNCTION("""COMPUTED_VALUE"""),43074.0)</f>
        <v>43074</v>
      </c>
      <c r="F365" s="54">
        <f>IFERROR(__xludf.DUMMYFUNCTION("""COMPUTED_VALUE"""),43101.0)</f>
        <v>43101</v>
      </c>
      <c r="G365" s="19">
        <f>IFERROR(__xludf.DUMMYFUNCTION("""COMPUTED_VALUE"""),0.8666666666666666)</f>
        <v>0.8666666667</v>
      </c>
      <c r="H365" s="17">
        <f>IFERROR(__xludf.DUMMYFUNCTION("""COMPUTED_VALUE"""),42789.0)</f>
        <v>42789</v>
      </c>
      <c r="I365" s="19">
        <f>IFERROR(__xludf.DUMMYFUNCTION("""COMPUTED_VALUE"""),0.7833333333333333)</f>
        <v>0.7833333333</v>
      </c>
      <c r="J365" s="21">
        <f>IFERROR(__xludf.DUMMYFUNCTION("""COMPUTED_VALUE"""),78.0)</f>
        <v>78</v>
      </c>
      <c r="K365" s="23">
        <f>IFERROR(__xludf.DUMMYFUNCTION("""COMPUTED_VALUE"""),6.7)</f>
        <v>6.7</v>
      </c>
      <c r="L365" s="24">
        <f>IFERROR(__xludf.DUMMYFUNCTION("""COMPUTED_VALUE"""),7.0)</f>
        <v>7</v>
      </c>
      <c r="M365" s="25" t="str">
        <f>IFERROR(__xludf.DUMMYFUNCTION("""COMPUTED_VALUE"""),"Action-Adventure")</f>
        <v>Action-Adventure</v>
      </c>
      <c r="N365" s="25"/>
      <c r="O365" s="26" t="str">
        <f>IFERROR(__xludf.DUMMYFUNCTION("""COMPUTED_VALUE"""),"No")</f>
        <v>No</v>
      </c>
      <c r="P365" s="26"/>
    </row>
    <row r="366">
      <c r="A366" s="13" t="str">
        <f>IFERROR(__xludf.DUMMYFUNCTION("""COMPUTED_VALUE"""),"Wanted Corp")</f>
        <v>Wanted Corp</v>
      </c>
      <c r="B366" s="15" t="str">
        <f>IFERROR(__xludf.DUMMYFUNCTION("""COMPUTED_VALUE"""),"Vita")</f>
        <v>Vita</v>
      </c>
      <c r="C366" s="16" t="str">
        <f>IFERROR(__xludf.DUMMYFUNCTION("""COMPUTED_VALUE"""),"Playstation Plus (Discontinued)")</f>
        <v>Playstation Plus (Discontinued)</v>
      </c>
      <c r="D366" s="15" t="str">
        <f>IFERROR(__xludf.DUMMYFUNCTION("""COMPUTED_VALUE"""),"Removed")</f>
        <v>Removed</v>
      </c>
      <c r="E366" s="17">
        <f>IFERROR(__xludf.DUMMYFUNCTION("""COMPUTED_VALUE"""),43074.0)</f>
        <v>43074</v>
      </c>
      <c r="F366" s="54">
        <f>IFERROR(__xludf.DUMMYFUNCTION("""COMPUTED_VALUE"""),43101.0)</f>
        <v>43101</v>
      </c>
      <c r="G366" s="19">
        <f>IFERROR(__xludf.DUMMYFUNCTION("""COMPUTED_VALUE"""),0.8666666666666666)</f>
        <v>0.8666666667</v>
      </c>
      <c r="H366" s="17">
        <f>IFERROR(__xludf.DUMMYFUNCTION("""COMPUTED_VALUE"""),42416.0)</f>
        <v>42416</v>
      </c>
      <c r="I366" s="19">
        <f>IFERROR(__xludf.DUMMYFUNCTION("""COMPUTED_VALUE"""),1.8027777777777778)</f>
        <v>1.802777778</v>
      </c>
      <c r="J366" s="21">
        <f>IFERROR(__xludf.DUMMYFUNCTION("""COMPUTED_VALUE"""),59.0)</f>
        <v>59</v>
      </c>
      <c r="K366" s="23">
        <f>IFERROR(__xludf.DUMMYFUNCTION("""COMPUTED_VALUE"""),5.8)</f>
        <v>5.8</v>
      </c>
      <c r="L366" s="24">
        <f>IFERROR(__xludf.DUMMYFUNCTION("""COMPUTED_VALUE"""),4.0)</f>
        <v>4</v>
      </c>
      <c r="M366" s="25" t="str">
        <f>IFERROR(__xludf.DUMMYFUNCTION("""COMPUTED_VALUE"""),"Shooter")</f>
        <v>Shooter</v>
      </c>
      <c r="N366" s="25"/>
      <c r="O366" s="26" t="str">
        <f>IFERROR(__xludf.DUMMYFUNCTION("""COMPUTED_VALUE"""),"No")</f>
        <v>No</v>
      </c>
      <c r="P366" s="26"/>
    </row>
    <row r="367" hidden="1">
      <c r="A367" s="13" t="str">
        <f>IFERROR(__xludf.DUMMYFUNCTION("""COMPUTED_VALUE"""),"Worms Battlegrounds")</f>
        <v>Worms Battlegrounds</v>
      </c>
      <c r="B367" s="15" t="str">
        <f>IFERROR(__xludf.DUMMYFUNCTION("""COMPUTED_VALUE"""),"PS4")</f>
        <v>PS4</v>
      </c>
      <c r="C367" s="16" t="str">
        <f>IFERROR(__xludf.DUMMYFUNCTION("""COMPUTED_VALUE"""),"Playstation Plus (Discontinued)")</f>
        <v>Playstation Plus (Discontinued)</v>
      </c>
      <c r="D367" s="15" t="str">
        <f>IFERROR(__xludf.DUMMYFUNCTION("""COMPUTED_VALUE"""),"Removed")</f>
        <v>Removed</v>
      </c>
      <c r="E367" s="17">
        <f>IFERROR(__xludf.DUMMYFUNCTION("""COMPUTED_VALUE"""),43046.0)</f>
        <v>43046</v>
      </c>
      <c r="F367" s="54">
        <f>IFERROR(__xludf.DUMMYFUNCTION("""COMPUTED_VALUE"""),43073.0)</f>
        <v>43073</v>
      </c>
      <c r="G367" s="19">
        <f>IFERROR(__xludf.DUMMYFUNCTION("""COMPUTED_VALUE"""),0.8999999999999999)</f>
        <v>0.9</v>
      </c>
      <c r="H367" s="17">
        <f>IFERROR(__xludf.DUMMYFUNCTION("""COMPUTED_VALUE"""),41789.0)</f>
        <v>41789</v>
      </c>
      <c r="I367" s="19">
        <f>IFERROR(__xludf.DUMMYFUNCTION("""COMPUTED_VALUE"""),3.436111111111111)</f>
        <v>3.436111111</v>
      </c>
      <c r="J367" s="21">
        <f>IFERROR(__xludf.DUMMYFUNCTION("""COMPUTED_VALUE"""),62.0)</f>
        <v>62</v>
      </c>
      <c r="K367" s="23">
        <f>IFERROR(__xludf.DUMMYFUNCTION("""COMPUTED_VALUE"""),7.1)</f>
        <v>7.1</v>
      </c>
      <c r="L367" s="24">
        <f>IFERROR(__xludf.DUMMYFUNCTION("""COMPUTED_VALUE"""),8.0)</f>
        <v>8</v>
      </c>
      <c r="M367" s="25" t="str">
        <f>IFERROR(__xludf.DUMMYFUNCTION("""COMPUTED_VALUE"""),"Strategy")</f>
        <v>Strategy</v>
      </c>
      <c r="N367" s="25"/>
      <c r="O367" s="26" t="str">
        <f>IFERROR(__xludf.DUMMYFUNCTION("""COMPUTED_VALUE"""),"No")</f>
        <v>No</v>
      </c>
      <c r="P367" s="26"/>
    </row>
    <row r="368" hidden="1">
      <c r="A368" s="13" t="str">
        <f>IFERROR(__xludf.DUMMYFUNCTION("""COMPUTED_VALUE"""),"Bound")</f>
        <v>Bound</v>
      </c>
      <c r="B368" s="15" t="str">
        <f>IFERROR(__xludf.DUMMYFUNCTION("""COMPUTED_VALUE"""),"PS4/PSVR")</f>
        <v>PS4/PSVR</v>
      </c>
      <c r="C368" s="16" t="str">
        <f>IFERROR(__xludf.DUMMYFUNCTION("""COMPUTED_VALUE"""),"Playstation Plus (Discontinued)")</f>
        <v>Playstation Plus (Discontinued)</v>
      </c>
      <c r="D368" s="15" t="str">
        <f>IFERROR(__xludf.DUMMYFUNCTION("""COMPUTED_VALUE"""),"Removed")</f>
        <v>Removed</v>
      </c>
      <c r="E368" s="17">
        <f>IFERROR(__xludf.DUMMYFUNCTION("""COMPUTED_VALUE"""),43046.0)</f>
        <v>43046</v>
      </c>
      <c r="F368" s="54">
        <f>IFERROR(__xludf.DUMMYFUNCTION("""COMPUTED_VALUE"""),43073.0)</f>
        <v>43073</v>
      </c>
      <c r="G368" s="19">
        <f>IFERROR(__xludf.DUMMYFUNCTION("""COMPUTED_VALUE"""),0.8999999999999999)</f>
        <v>0.9</v>
      </c>
      <c r="H368" s="17">
        <f>IFERROR(__xludf.DUMMYFUNCTION("""COMPUTED_VALUE"""),42598.0)</f>
        <v>42598</v>
      </c>
      <c r="I368" s="19">
        <f>IFERROR(__xludf.DUMMYFUNCTION("""COMPUTED_VALUE"""),1.225)</f>
        <v>1.225</v>
      </c>
      <c r="J368" s="21">
        <f>IFERROR(__xludf.DUMMYFUNCTION("""COMPUTED_VALUE"""),71.0)</f>
        <v>71</v>
      </c>
      <c r="K368" s="23">
        <f>IFERROR(__xludf.DUMMYFUNCTION("""COMPUTED_VALUE"""),6.8)</f>
        <v>6.8</v>
      </c>
      <c r="L368" s="24">
        <f>IFERROR(__xludf.DUMMYFUNCTION("""COMPUTED_VALUE"""),2.0)</f>
        <v>2</v>
      </c>
      <c r="M368" s="25" t="str">
        <f>IFERROR(__xludf.DUMMYFUNCTION("""COMPUTED_VALUE"""),"Action-Adventure")</f>
        <v>Action-Adventure</v>
      </c>
      <c r="N368" s="25"/>
      <c r="O368" s="26" t="str">
        <f>IFERROR(__xludf.DUMMYFUNCTION("""COMPUTED_VALUE"""),"No")</f>
        <v>No</v>
      </c>
      <c r="P368" s="26"/>
    </row>
    <row r="369" hidden="1">
      <c r="A369" s="13" t="str">
        <f>IFERROR(__xludf.DUMMYFUNCTION("""COMPUTED_VALUE"""),"Until Dawn: Rush of Blood")</f>
        <v>Until Dawn: Rush of Blood</v>
      </c>
      <c r="B369" s="15" t="str">
        <f>IFERROR(__xludf.DUMMYFUNCTION("""COMPUTED_VALUE"""),"PS4/PSVR")</f>
        <v>PS4/PSVR</v>
      </c>
      <c r="C369" s="16" t="str">
        <f>IFERROR(__xludf.DUMMYFUNCTION("""COMPUTED_VALUE"""),"Playstation Plus (Discontinued)")</f>
        <v>Playstation Plus (Discontinued)</v>
      </c>
      <c r="D369" s="15" t="str">
        <f>IFERROR(__xludf.DUMMYFUNCTION("""COMPUTED_VALUE"""),"Removed")</f>
        <v>Removed</v>
      </c>
      <c r="E369" s="17">
        <f>IFERROR(__xludf.DUMMYFUNCTION("""COMPUTED_VALUE"""),43046.0)</f>
        <v>43046</v>
      </c>
      <c r="F369" s="54">
        <f>IFERROR(__xludf.DUMMYFUNCTION("""COMPUTED_VALUE"""),43073.0)</f>
        <v>43073</v>
      </c>
      <c r="G369" s="19">
        <f>IFERROR(__xludf.DUMMYFUNCTION("""COMPUTED_VALUE"""),0.8999999999999999)</f>
        <v>0.9</v>
      </c>
      <c r="H369" s="17">
        <f>IFERROR(__xludf.DUMMYFUNCTION("""COMPUTED_VALUE"""),42656.0)</f>
        <v>42656</v>
      </c>
      <c r="I369" s="19">
        <f>IFERROR(__xludf.DUMMYFUNCTION("""COMPUTED_VALUE"""),1.0666666666666667)</f>
        <v>1.066666667</v>
      </c>
      <c r="J369" s="21">
        <f>IFERROR(__xludf.DUMMYFUNCTION("""COMPUTED_VALUE"""),72.0)</f>
        <v>72</v>
      </c>
      <c r="K369" s="23">
        <f>IFERROR(__xludf.DUMMYFUNCTION("""COMPUTED_VALUE"""),7.7)</f>
        <v>7.7</v>
      </c>
      <c r="L369" s="24">
        <f>IFERROR(__xludf.DUMMYFUNCTION("""COMPUTED_VALUE"""),2.0)</f>
        <v>2</v>
      </c>
      <c r="M369" s="25" t="str">
        <f>IFERROR(__xludf.DUMMYFUNCTION("""COMPUTED_VALUE"""),"Shooter")</f>
        <v>Shooter</v>
      </c>
      <c r="N369" s="25"/>
      <c r="O369" s="26" t="str">
        <f>IFERROR(__xludf.DUMMYFUNCTION("""COMPUTED_VALUE"""),"No")</f>
        <v>No</v>
      </c>
      <c r="P369" s="26"/>
    </row>
    <row r="370" hidden="1">
      <c r="A370" s="13" t="str">
        <f>IFERROR(__xludf.DUMMYFUNCTION("""COMPUTED_VALUE"""),"R-Type Dimensions")</f>
        <v>R-Type Dimensions</v>
      </c>
      <c r="B370" s="15" t="str">
        <f>IFERROR(__xludf.DUMMYFUNCTION("""COMPUTED_VALUE"""),"PS3")</f>
        <v>PS3</v>
      </c>
      <c r="C370" s="16" t="str">
        <f>IFERROR(__xludf.DUMMYFUNCTION("""COMPUTED_VALUE"""),"Playstation Plus (Discontinued)")</f>
        <v>Playstation Plus (Discontinued)</v>
      </c>
      <c r="D370" s="15" t="str">
        <f>IFERROR(__xludf.DUMMYFUNCTION("""COMPUTED_VALUE"""),"Removed")</f>
        <v>Removed</v>
      </c>
      <c r="E370" s="17">
        <f>IFERROR(__xludf.DUMMYFUNCTION("""COMPUTED_VALUE"""),43046.0)</f>
        <v>43046</v>
      </c>
      <c r="F370" s="54">
        <f>IFERROR(__xludf.DUMMYFUNCTION("""COMPUTED_VALUE"""),43073.0)</f>
        <v>43073</v>
      </c>
      <c r="G370" s="19">
        <f>IFERROR(__xludf.DUMMYFUNCTION("""COMPUTED_VALUE"""),0.8999999999999999)</f>
        <v>0.9</v>
      </c>
      <c r="H370" s="17">
        <f>IFERROR(__xludf.DUMMYFUNCTION("""COMPUTED_VALUE"""),39848.0)</f>
        <v>39848</v>
      </c>
      <c r="I370" s="19">
        <f>IFERROR(__xludf.DUMMYFUNCTION("""COMPUTED_VALUE"""),8.758333333333333)</f>
        <v>8.758333333</v>
      </c>
      <c r="J370" s="21">
        <f>IFERROR(__xludf.DUMMYFUNCTION("""COMPUTED_VALUE"""),82.0)</f>
        <v>82</v>
      </c>
      <c r="K370" s="23">
        <f>IFERROR(__xludf.DUMMYFUNCTION("""COMPUTED_VALUE"""),6.4)</f>
        <v>6.4</v>
      </c>
      <c r="L370" s="24">
        <f>IFERROR(__xludf.DUMMYFUNCTION("""COMPUTED_VALUE"""),2.0)</f>
        <v>2</v>
      </c>
      <c r="M370" s="25" t="str">
        <f>IFERROR(__xludf.DUMMYFUNCTION("""COMPUTED_VALUE"""),"Shooter")</f>
        <v>Shooter</v>
      </c>
      <c r="N370" s="25"/>
      <c r="O370" s="26" t="str">
        <f>IFERROR(__xludf.DUMMYFUNCTION("""COMPUTED_VALUE"""),"No")</f>
        <v>No</v>
      </c>
      <c r="P370" s="26"/>
    </row>
    <row r="371">
      <c r="A371" s="13" t="str">
        <f>IFERROR(__xludf.DUMMYFUNCTION("""COMPUTED_VALUE"""),"Rag Doll Kung Fu: Fists of Plastic")</f>
        <v>Rag Doll Kung Fu: Fists of Plastic</v>
      </c>
      <c r="B371" s="15" t="str">
        <f>IFERROR(__xludf.DUMMYFUNCTION("""COMPUTED_VALUE"""),"PS3")</f>
        <v>PS3</v>
      </c>
      <c r="C371" s="16" t="str">
        <f>IFERROR(__xludf.DUMMYFUNCTION("""COMPUTED_VALUE"""),"Playstation Plus (Discontinued)")</f>
        <v>Playstation Plus (Discontinued)</v>
      </c>
      <c r="D371" s="15" t="str">
        <f>IFERROR(__xludf.DUMMYFUNCTION("""COMPUTED_VALUE"""),"Removed")</f>
        <v>Removed</v>
      </c>
      <c r="E371" s="17">
        <f>IFERROR(__xludf.DUMMYFUNCTION("""COMPUTED_VALUE"""),43046.0)</f>
        <v>43046</v>
      </c>
      <c r="F371" s="54">
        <f>IFERROR(__xludf.DUMMYFUNCTION("""COMPUTED_VALUE"""),43073.0)</f>
        <v>43073</v>
      </c>
      <c r="G371" s="19">
        <f>IFERROR(__xludf.DUMMYFUNCTION("""COMPUTED_VALUE"""),0.8999999999999999)</f>
        <v>0.9</v>
      </c>
      <c r="H371" s="17">
        <f>IFERROR(__xludf.DUMMYFUNCTION("""COMPUTED_VALUE"""),39912.0)</f>
        <v>39912</v>
      </c>
      <c r="I371" s="19">
        <f>IFERROR(__xludf.DUMMYFUNCTION("""COMPUTED_VALUE"""),8.577777777777778)</f>
        <v>8.577777778</v>
      </c>
      <c r="J371" s="21">
        <f>IFERROR(__xludf.DUMMYFUNCTION("""COMPUTED_VALUE"""),68.0)</f>
        <v>68</v>
      </c>
      <c r="K371" s="23">
        <f>IFERROR(__xludf.DUMMYFUNCTION("""COMPUTED_VALUE"""),6.6)</f>
        <v>6.6</v>
      </c>
      <c r="L371" s="24">
        <f>IFERROR(__xludf.DUMMYFUNCTION("""COMPUTED_VALUE"""),3.0)</f>
        <v>3</v>
      </c>
      <c r="M371" s="25" t="str">
        <f>IFERROR(__xludf.DUMMYFUNCTION("""COMPUTED_VALUE"""),"Fighting")</f>
        <v>Fighting</v>
      </c>
      <c r="N371" s="25"/>
      <c r="O371" s="26" t="str">
        <f>IFERROR(__xludf.DUMMYFUNCTION("""COMPUTED_VALUE"""),"No")</f>
        <v>No</v>
      </c>
      <c r="P371" s="26"/>
    </row>
    <row r="372">
      <c r="A372" s="13" t="str">
        <f>IFERROR(__xludf.DUMMYFUNCTION("""COMPUTED_VALUE"""),"Dungeon Punks")</f>
        <v>Dungeon Punks</v>
      </c>
      <c r="B372" s="15" t="str">
        <f>IFERROR(__xludf.DUMMYFUNCTION("""COMPUTED_VALUE"""),"PS4/Vita")</f>
        <v>PS4/Vita</v>
      </c>
      <c r="C372" s="16" t="str">
        <f>IFERROR(__xludf.DUMMYFUNCTION("""COMPUTED_VALUE"""),"Playstation Plus (Discontinued)")</f>
        <v>Playstation Plus (Discontinued)</v>
      </c>
      <c r="D372" s="15" t="str">
        <f>IFERROR(__xludf.DUMMYFUNCTION("""COMPUTED_VALUE"""),"Removed")</f>
        <v>Removed</v>
      </c>
      <c r="E372" s="17">
        <f>IFERROR(__xludf.DUMMYFUNCTION("""COMPUTED_VALUE"""),43046.0)</f>
        <v>43046</v>
      </c>
      <c r="F372" s="54">
        <f>IFERROR(__xludf.DUMMYFUNCTION("""COMPUTED_VALUE"""),43073.0)</f>
        <v>43073</v>
      </c>
      <c r="G372" s="19">
        <f>IFERROR(__xludf.DUMMYFUNCTION("""COMPUTED_VALUE"""),0.8999999999999999)</f>
        <v>0.9</v>
      </c>
      <c r="H372" s="17">
        <f>IFERROR(__xludf.DUMMYFUNCTION("""COMPUTED_VALUE"""),42577.0)</f>
        <v>42577</v>
      </c>
      <c r="I372" s="19">
        <f>IFERROR(__xludf.DUMMYFUNCTION("""COMPUTED_VALUE"""),1.2805555555555554)</f>
        <v>1.280555556</v>
      </c>
      <c r="J372" s="21">
        <f>IFERROR(__xludf.DUMMYFUNCTION("""COMPUTED_VALUE"""),63.0)</f>
        <v>63</v>
      </c>
      <c r="K372" s="23">
        <f>IFERROR(__xludf.DUMMYFUNCTION("""COMPUTED_VALUE"""),6.9)</f>
        <v>6.9</v>
      </c>
      <c r="L372" s="24">
        <f>IFERROR(__xludf.DUMMYFUNCTION("""COMPUTED_VALUE"""),10.0)</f>
        <v>10</v>
      </c>
      <c r="M372" s="25" t="str">
        <f>IFERROR(__xludf.DUMMYFUNCTION("""COMPUTED_VALUE"""),"RPG")</f>
        <v>RPG</v>
      </c>
      <c r="N372" s="25"/>
      <c r="O372" s="26" t="str">
        <f>IFERROR(__xludf.DUMMYFUNCTION("""COMPUTED_VALUE"""),"No")</f>
        <v>No</v>
      </c>
      <c r="P372" s="26"/>
    </row>
    <row r="373" hidden="1">
      <c r="A373" s="13" t="str">
        <f>IFERROR(__xludf.DUMMYFUNCTION("""COMPUTED_VALUE"""),"Broken Sword 5: The Serpent’s Curse (Episodes 1 &amp; 2)")</f>
        <v>Broken Sword 5: The Serpent’s Curse (Episodes 1 &amp; 2)</v>
      </c>
      <c r="B373" s="15" t="str">
        <f>IFERROR(__xludf.DUMMYFUNCTION("""COMPUTED_VALUE"""),"Vita")</f>
        <v>Vita</v>
      </c>
      <c r="C373" s="16" t="str">
        <f>IFERROR(__xludf.DUMMYFUNCTION("""COMPUTED_VALUE"""),"Playstation Plus (Discontinued)")</f>
        <v>Playstation Plus (Discontinued)</v>
      </c>
      <c r="D373" s="15" t="str">
        <f>IFERROR(__xludf.DUMMYFUNCTION("""COMPUTED_VALUE"""),"Removed")</f>
        <v>Removed</v>
      </c>
      <c r="E373" s="17">
        <f>IFERROR(__xludf.DUMMYFUNCTION("""COMPUTED_VALUE"""),43046.0)</f>
        <v>43046</v>
      </c>
      <c r="F373" s="54">
        <f>IFERROR(__xludf.DUMMYFUNCTION("""COMPUTED_VALUE"""),43073.0)</f>
        <v>43073</v>
      </c>
      <c r="G373" s="19">
        <f>IFERROR(__xludf.DUMMYFUNCTION("""COMPUTED_VALUE"""),0.8999999999999999)</f>
        <v>0.9</v>
      </c>
      <c r="H373" s="17">
        <f>IFERROR(__xludf.DUMMYFUNCTION("""COMPUTED_VALUE"""),42251.0)</f>
        <v>42251</v>
      </c>
      <c r="I373" s="19">
        <f>IFERROR(__xludf.DUMMYFUNCTION("""COMPUTED_VALUE"""),2.175)</f>
        <v>2.175</v>
      </c>
      <c r="J373" s="21">
        <f>IFERROR(__xludf.DUMMYFUNCTION("""COMPUTED_VALUE"""),67.0)</f>
        <v>67</v>
      </c>
      <c r="K373" s="23">
        <f>IFERROR(__xludf.DUMMYFUNCTION("""COMPUTED_VALUE"""),7.5)</f>
        <v>7.5</v>
      </c>
      <c r="L373" s="24">
        <f>IFERROR(__xludf.DUMMYFUNCTION("""COMPUTED_VALUE"""),11.0)</f>
        <v>11</v>
      </c>
      <c r="M373" s="25" t="str">
        <f>IFERROR(__xludf.DUMMYFUNCTION("""COMPUTED_VALUE"""),"Adventure")</f>
        <v>Adventure</v>
      </c>
      <c r="N373" s="25"/>
      <c r="O373" s="26" t="str">
        <f>IFERROR(__xludf.DUMMYFUNCTION("""COMPUTED_VALUE"""),"No")</f>
        <v>No</v>
      </c>
      <c r="P373" s="26"/>
    </row>
    <row r="374" hidden="1">
      <c r="A374" s="13" t="str">
        <f>IFERROR(__xludf.DUMMYFUNCTION("""COMPUTED_VALUE"""),"Metal Gear Solid V: The Phantom Pain")</f>
        <v>Metal Gear Solid V: The Phantom Pain</v>
      </c>
      <c r="B374" s="15" t="str">
        <f>IFERROR(__xludf.DUMMYFUNCTION("""COMPUTED_VALUE"""),"PS4")</f>
        <v>PS4</v>
      </c>
      <c r="C374" s="16" t="str">
        <f>IFERROR(__xludf.DUMMYFUNCTION("""COMPUTED_VALUE"""),"Playstation Plus (Discontinued)")</f>
        <v>Playstation Plus (Discontinued)</v>
      </c>
      <c r="D374" s="15" t="str">
        <f>IFERROR(__xludf.DUMMYFUNCTION("""COMPUTED_VALUE"""),"Removed")</f>
        <v>Removed</v>
      </c>
      <c r="E374" s="17">
        <f>IFERROR(__xludf.DUMMYFUNCTION("""COMPUTED_VALUE"""),43011.0)</f>
        <v>43011</v>
      </c>
      <c r="F374" s="54">
        <f>IFERROR(__xludf.DUMMYFUNCTION("""COMPUTED_VALUE"""),43045.0)</f>
        <v>43045</v>
      </c>
      <c r="G374" s="19">
        <f>IFERROR(__xludf.DUMMYFUNCTION("""COMPUTED_VALUE"""),1.0999999999999999)</f>
        <v>1.1</v>
      </c>
      <c r="H374" s="17">
        <f>IFERROR(__xludf.DUMMYFUNCTION("""COMPUTED_VALUE"""),42248.0)</f>
        <v>42248</v>
      </c>
      <c r="I374" s="19">
        <f>IFERROR(__xludf.DUMMYFUNCTION("""COMPUTED_VALUE"""),2.088888888888889)</f>
        <v>2.088888889</v>
      </c>
      <c r="J374" s="21">
        <f>IFERROR(__xludf.DUMMYFUNCTION("""COMPUTED_VALUE"""),93.0)</f>
        <v>93</v>
      </c>
      <c r="K374" s="23">
        <f>IFERROR(__xludf.DUMMYFUNCTION("""COMPUTED_VALUE"""),8.2)</f>
        <v>8.2</v>
      </c>
      <c r="L374" s="24">
        <f>IFERROR(__xludf.DUMMYFUNCTION("""COMPUTED_VALUE"""),45.0)</f>
        <v>45</v>
      </c>
      <c r="M374" s="25" t="str">
        <f>IFERROR(__xludf.DUMMYFUNCTION("""COMPUTED_VALUE"""),"Action-Adventure")</f>
        <v>Action-Adventure</v>
      </c>
      <c r="N374" s="25"/>
      <c r="O374" s="26" t="str">
        <f>IFERROR(__xludf.DUMMYFUNCTION("""COMPUTED_VALUE"""),"No")</f>
        <v>No</v>
      </c>
      <c r="P374" s="26"/>
    </row>
    <row r="375" hidden="1">
      <c r="A375" s="13" t="str">
        <f>IFERROR(__xludf.DUMMYFUNCTION("""COMPUTED_VALUE"""),"Amnesia: Collection")</f>
        <v>Amnesia: Collection</v>
      </c>
      <c r="B375" s="15" t="str">
        <f>IFERROR(__xludf.DUMMYFUNCTION("""COMPUTED_VALUE"""),"PS4")</f>
        <v>PS4</v>
      </c>
      <c r="C375" s="16" t="str">
        <f>IFERROR(__xludf.DUMMYFUNCTION("""COMPUTED_VALUE"""),"Playstation Plus (Discontinued)")</f>
        <v>Playstation Plus (Discontinued)</v>
      </c>
      <c r="D375" s="15" t="str">
        <f>IFERROR(__xludf.DUMMYFUNCTION("""COMPUTED_VALUE"""),"Removed")</f>
        <v>Removed</v>
      </c>
      <c r="E375" s="17">
        <f>IFERROR(__xludf.DUMMYFUNCTION("""COMPUTED_VALUE"""),43011.0)</f>
        <v>43011</v>
      </c>
      <c r="F375" s="54">
        <f>IFERROR(__xludf.DUMMYFUNCTION("""COMPUTED_VALUE"""),43045.0)</f>
        <v>43045</v>
      </c>
      <c r="G375" s="19">
        <f>IFERROR(__xludf.DUMMYFUNCTION("""COMPUTED_VALUE"""),1.0999999999999999)</f>
        <v>1.1</v>
      </c>
      <c r="H375" s="17">
        <f>IFERROR(__xludf.DUMMYFUNCTION("""COMPUTED_VALUE"""),42696.0)</f>
        <v>42696</v>
      </c>
      <c r="I375" s="19">
        <f>IFERROR(__xludf.DUMMYFUNCTION("""COMPUTED_VALUE"""),0.8638888888888889)</f>
        <v>0.8638888889</v>
      </c>
      <c r="J375" s="21">
        <f>IFERROR(__xludf.DUMMYFUNCTION("""COMPUTED_VALUE"""),78.0)</f>
        <v>78</v>
      </c>
      <c r="K375" s="23">
        <f>IFERROR(__xludf.DUMMYFUNCTION("""COMPUTED_VALUE"""),8.1)</f>
        <v>8.1</v>
      </c>
      <c r="L375" s="24">
        <f>IFERROR(__xludf.DUMMYFUNCTION("""COMPUTED_VALUE"""),17.0)</f>
        <v>17</v>
      </c>
      <c r="M375" s="25" t="str">
        <f>IFERROR(__xludf.DUMMYFUNCTION("""COMPUTED_VALUE"""),"Horror")</f>
        <v>Horror</v>
      </c>
      <c r="N375" s="25"/>
      <c r="O375" s="26" t="str">
        <f>IFERROR(__xludf.DUMMYFUNCTION("""COMPUTED_VALUE"""),"No")</f>
        <v>No</v>
      </c>
      <c r="P375" s="26"/>
    </row>
    <row r="376" hidden="1">
      <c r="A376" s="13" t="str">
        <f>IFERROR(__xludf.DUMMYFUNCTION("""COMPUTED_VALUE"""),"That’s You!")</f>
        <v>That’s You!</v>
      </c>
      <c r="B376" s="15" t="str">
        <f>IFERROR(__xludf.DUMMYFUNCTION("""COMPUTED_VALUE"""),"PS4")</f>
        <v>PS4</v>
      </c>
      <c r="C376" s="16" t="str">
        <f>IFERROR(__xludf.DUMMYFUNCTION("""COMPUTED_VALUE"""),"Playstation Plus (Discontinued)")</f>
        <v>Playstation Plus (Discontinued)</v>
      </c>
      <c r="D376" s="15" t="str">
        <f>IFERROR(__xludf.DUMMYFUNCTION("""COMPUTED_VALUE"""),"Removed")</f>
        <v>Removed</v>
      </c>
      <c r="E376" s="17">
        <f>IFERROR(__xludf.DUMMYFUNCTION("""COMPUTED_VALUE"""),43011.0)</f>
        <v>43011</v>
      </c>
      <c r="F376" s="54">
        <f>IFERROR(__xludf.DUMMYFUNCTION("""COMPUTED_VALUE"""),43045.0)</f>
        <v>43045</v>
      </c>
      <c r="G376" s="19">
        <f>IFERROR(__xludf.DUMMYFUNCTION("""COMPUTED_VALUE"""),1.0999999999999999)</f>
        <v>1.1</v>
      </c>
      <c r="H376" s="17">
        <f>IFERROR(__xludf.DUMMYFUNCTION("""COMPUTED_VALUE"""),42920.0)</f>
        <v>42920</v>
      </c>
      <c r="I376" s="19">
        <f>IFERROR(__xludf.DUMMYFUNCTION("""COMPUTED_VALUE"""),0.24722222222222223)</f>
        <v>0.2472222222</v>
      </c>
      <c r="J376" s="21">
        <f>IFERROR(__xludf.DUMMYFUNCTION("""COMPUTED_VALUE"""),69.0)</f>
        <v>69</v>
      </c>
      <c r="K376" s="23">
        <f>IFERROR(__xludf.DUMMYFUNCTION("""COMPUTED_VALUE"""),7.4)</f>
        <v>7.4</v>
      </c>
      <c r="L376" s="24"/>
      <c r="M376" s="25" t="str">
        <f>IFERROR(__xludf.DUMMYFUNCTION("""COMPUTED_VALUE"""),"Party")</f>
        <v>Party</v>
      </c>
      <c r="N376" s="25"/>
      <c r="O376" s="26" t="str">
        <f>IFERROR(__xludf.DUMMYFUNCTION("""COMPUTED_VALUE"""),"No")</f>
        <v>No</v>
      </c>
      <c r="P376" s="26"/>
    </row>
    <row r="377">
      <c r="A377" s="13" t="str">
        <f>IFERROR(__xludf.DUMMYFUNCTION("""COMPUTED_VALUE"""),"RIGS: Mechanised Combat League")</f>
        <v>RIGS: Mechanised Combat League</v>
      </c>
      <c r="B377" s="15" t="str">
        <f>IFERROR(__xludf.DUMMYFUNCTION("""COMPUTED_VALUE"""),"PS4/PSVR")</f>
        <v>PS4/PSVR</v>
      </c>
      <c r="C377" s="16" t="str">
        <f>IFERROR(__xludf.DUMMYFUNCTION("""COMPUTED_VALUE"""),"Playstation Plus (Discontinued)")</f>
        <v>Playstation Plus (Discontinued)</v>
      </c>
      <c r="D377" s="15" t="str">
        <f>IFERROR(__xludf.DUMMYFUNCTION("""COMPUTED_VALUE"""),"Removed")</f>
        <v>Removed</v>
      </c>
      <c r="E377" s="17">
        <f>IFERROR(__xludf.DUMMYFUNCTION("""COMPUTED_VALUE"""),43011.0)</f>
        <v>43011</v>
      </c>
      <c r="F377" s="54">
        <f>IFERROR(__xludf.DUMMYFUNCTION("""COMPUTED_VALUE"""),43045.0)</f>
        <v>43045</v>
      </c>
      <c r="G377" s="19">
        <f>IFERROR(__xludf.DUMMYFUNCTION("""COMPUTED_VALUE"""),1.0999999999999999)</f>
        <v>1.1</v>
      </c>
      <c r="H377" s="17">
        <f>IFERROR(__xludf.DUMMYFUNCTION("""COMPUTED_VALUE"""),42654.0)</f>
        <v>42654</v>
      </c>
      <c r="I377" s="19">
        <f>IFERROR(__xludf.DUMMYFUNCTION("""COMPUTED_VALUE"""),0.9777777777777777)</f>
        <v>0.9777777778</v>
      </c>
      <c r="J377" s="21">
        <f>IFERROR(__xludf.DUMMYFUNCTION("""COMPUTED_VALUE"""),78.0)</f>
        <v>78</v>
      </c>
      <c r="K377" s="23">
        <f>IFERROR(__xludf.DUMMYFUNCTION("""COMPUTED_VALUE"""),7.5)</f>
        <v>7.5</v>
      </c>
      <c r="L377" s="24"/>
      <c r="M377" s="25" t="str">
        <f>IFERROR(__xludf.DUMMYFUNCTION("""COMPUTED_VALUE"""),"Shooter")</f>
        <v>Shooter</v>
      </c>
      <c r="N377" s="25"/>
      <c r="O377" s="26" t="str">
        <f>IFERROR(__xludf.DUMMYFUNCTION("""COMPUTED_VALUE"""),"No")</f>
        <v>No</v>
      </c>
      <c r="P377" s="26"/>
    </row>
    <row r="378">
      <c r="A378" s="13" t="str">
        <f>IFERROR(__xludf.DUMMYFUNCTION("""COMPUTED_VALUE"""),"Monster Jam Battlegrounds")</f>
        <v>Monster Jam Battlegrounds</v>
      </c>
      <c r="B378" s="15" t="str">
        <f>IFERROR(__xludf.DUMMYFUNCTION("""COMPUTED_VALUE"""),"PS3")</f>
        <v>PS3</v>
      </c>
      <c r="C378" s="16" t="str">
        <f>IFERROR(__xludf.DUMMYFUNCTION("""COMPUTED_VALUE"""),"Playstation Plus (Discontinued)")</f>
        <v>Playstation Plus (Discontinued)</v>
      </c>
      <c r="D378" s="15" t="str">
        <f>IFERROR(__xludf.DUMMYFUNCTION("""COMPUTED_VALUE"""),"Removed")</f>
        <v>Removed</v>
      </c>
      <c r="E378" s="17">
        <f>IFERROR(__xludf.DUMMYFUNCTION("""COMPUTED_VALUE"""),43011.0)</f>
        <v>43011</v>
      </c>
      <c r="F378" s="54">
        <f>IFERROR(__xludf.DUMMYFUNCTION("""COMPUTED_VALUE"""),43045.0)</f>
        <v>43045</v>
      </c>
      <c r="G378" s="19">
        <f>IFERROR(__xludf.DUMMYFUNCTION("""COMPUTED_VALUE"""),1.0999999999999999)</f>
        <v>1.1</v>
      </c>
      <c r="H378" s="17">
        <f>IFERROR(__xludf.DUMMYFUNCTION("""COMPUTED_VALUE"""),42264.0)</f>
        <v>42264</v>
      </c>
      <c r="I378" s="19">
        <f>IFERROR(__xludf.DUMMYFUNCTION("""COMPUTED_VALUE"""),2.0444444444444443)</f>
        <v>2.044444444</v>
      </c>
      <c r="J378" s="21">
        <f>IFERROR(__xludf.DUMMYFUNCTION("""COMPUTED_VALUE"""),50.0)</f>
        <v>50</v>
      </c>
      <c r="K378" s="23">
        <f>IFERROR(__xludf.DUMMYFUNCTION("""COMPUTED_VALUE"""),5.4)</f>
        <v>5.4</v>
      </c>
      <c r="L378" s="24"/>
      <c r="M378" s="25" t="str">
        <f>IFERROR(__xludf.DUMMYFUNCTION("""COMPUTED_VALUE"""),"Racing")</f>
        <v>Racing</v>
      </c>
      <c r="N378" s="25"/>
      <c r="O378" s="26" t="str">
        <f>IFERROR(__xludf.DUMMYFUNCTION("""COMPUTED_VALUE"""),"No")</f>
        <v>No</v>
      </c>
      <c r="P378" s="26"/>
    </row>
    <row r="379" hidden="1">
      <c r="A379" s="13" t="str">
        <f>IFERROR(__xludf.DUMMYFUNCTION("""COMPUTED_VALUE"""),"Hustle Kings")</f>
        <v>Hustle Kings</v>
      </c>
      <c r="B379" s="15" t="str">
        <f>IFERROR(__xludf.DUMMYFUNCTION("""COMPUTED_VALUE"""),"PS3/Vita")</f>
        <v>PS3/Vita</v>
      </c>
      <c r="C379" s="16" t="str">
        <f>IFERROR(__xludf.DUMMYFUNCTION("""COMPUTED_VALUE"""),"Playstation Plus (Discontinued)")</f>
        <v>Playstation Plus (Discontinued)</v>
      </c>
      <c r="D379" s="15" t="str">
        <f>IFERROR(__xludf.DUMMYFUNCTION("""COMPUTED_VALUE"""),"Removed")</f>
        <v>Removed</v>
      </c>
      <c r="E379" s="17">
        <f>IFERROR(__xludf.DUMMYFUNCTION("""COMPUTED_VALUE"""),43011.0)</f>
        <v>43011</v>
      </c>
      <c r="F379" s="54">
        <f>IFERROR(__xludf.DUMMYFUNCTION("""COMPUTED_VALUE"""),43045.0)</f>
        <v>43045</v>
      </c>
      <c r="G379" s="19">
        <f>IFERROR(__xludf.DUMMYFUNCTION("""COMPUTED_VALUE"""),1.0999999999999999)</f>
        <v>1.1</v>
      </c>
      <c r="H379" s="17">
        <f>IFERROR(__xludf.DUMMYFUNCTION("""COMPUTED_VALUE"""),40213.0)</f>
        <v>40213</v>
      </c>
      <c r="I379" s="19">
        <f>IFERROR(__xludf.DUMMYFUNCTION("""COMPUTED_VALUE"""),7.663888888888889)</f>
        <v>7.663888889</v>
      </c>
      <c r="J379" s="21">
        <f>IFERROR(__xludf.DUMMYFUNCTION("""COMPUTED_VALUE"""),81.0)</f>
        <v>81</v>
      </c>
      <c r="K379" s="23">
        <f>IFERROR(__xludf.DUMMYFUNCTION("""COMPUTED_VALUE"""),7.8)</f>
        <v>7.8</v>
      </c>
      <c r="L379" s="24"/>
      <c r="M379" s="25" t="str">
        <f>IFERROR(__xludf.DUMMYFUNCTION("""COMPUTED_VALUE"""),"Billiards")</f>
        <v>Billiards</v>
      </c>
      <c r="N379" s="25"/>
      <c r="O379" s="26" t="str">
        <f>IFERROR(__xludf.DUMMYFUNCTION("""COMPUTED_VALUE"""),"No")</f>
        <v>No</v>
      </c>
      <c r="P379" s="26"/>
    </row>
    <row r="380" hidden="1">
      <c r="A380" s="13" t="str">
        <f>IFERROR(__xludf.DUMMYFUNCTION("""COMPUTED_VALUE"""),"Hue")</f>
        <v>Hue</v>
      </c>
      <c r="B380" s="15" t="str">
        <f>IFERROR(__xludf.DUMMYFUNCTION("""COMPUTED_VALUE"""),"PS4/Vita")</f>
        <v>PS4/Vita</v>
      </c>
      <c r="C380" s="16" t="str">
        <f>IFERROR(__xludf.DUMMYFUNCTION("""COMPUTED_VALUE"""),"Playstation Plus (Discontinued)")</f>
        <v>Playstation Plus (Discontinued)</v>
      </c>
      <c r="D380" s="15" t="str">
        <f>IFERROR(__xludf.DUMMYFUNCTION("""COMPUTED_VALUE"""),"Removed")</f>
        <v>Removed</v>
      </c>
      <c r="E380" s="17">
        <f>IFERROR(__xludf.DUMMYFUNCTION("""COMPUTED_VALUE"""),43011.0)</f>
        <v>43011</v>
      </c>
      <c r="F380" s="54">
        <f>IFERROR(__xludf.DUMMYFUNCTION("""COMPUTED_VALUE"""),43045.0)</f>
        <v>43045</v>
      </c>
      <c r="G380" s="19">
        <f>IFERROR(__xludf.DUMMYFUNCTION("""COMPUTED_VALUE"""),1.0999999999999999)</f>
        <v>1.1</v>
      </c>
      <c r="H380" s="17">
        <f>IFERROR(__xludf.DUMMYFUNCTION("""COMPUTED_VALUE"""),42612.0)</f>
        <v>42612</v>
      </c>
      <c r="I380" s="19">
        <f>IFERROR(__xludf.DUMMYFUNCTION("""COMPUTED_VALUE"""),1.0916666666666666)</f>
        <v>1.091666667</v>
      </c>
      <c r="J380" s="21">
        <f>IFERROR(__xludf.DUMMYFUNCTION("""COMPUTED_VALUE"""),77.0)</f>
        <v>77</v>
      </c>
      <c r="K380" s="23">
        <f>IFERROR(__xludf.DUMMYFUNCTION("""COMPUTED_VALUE"""),7.3)</f>
        <v>7.3</v>
      </c>
      <c r="L380" s="24">
        <f>IFERROR(__xludf.DUMMYFUNCTION("""COMPUTED_VALUE"""),5.0)</f>
        <v>5</v>
      </c>
      <c r="M380" s="25" t="str">
        <f>IFERROR(__xludf.DUMMYFUNCTION("""COMPUTED_VALUE"""),"Puzzle")</f>
        <v>Puzzle</v>
      </c>
      <c r="N380" s="25"/>
      <c r="O380" s="26" t="str">
        <f>IFERROR(__xludf.DUMMYFUNCTION("""COMPUTED_VALUE"""),"No")</f>
        <v>No</v>
      </c>
      <c r="P380" s="26"/>
    </row>
    <row r="381" hidden="1">
      <c r="A381" s="13" t="str">
        <f>IFERROR(__xludf.DUMMYFUNCTION("""COMPUTED_VALUE"""),"Sky Force Anniversary")</f>
        <v>Sky Force Anniversary</v>
      </c>
      <c r="B381" s="15" t="str">
        <f>IFERROR(__xludf.DUMMYFUNCTION("""COMPUTED_VALUE"""),"PS4/Vita")</f>
        <v>PS4/Vita</v>
      </c>
      <c r="C381" s="16" t="str">
        <f>IFERROR(__xludf.DUMMYFUNCTION("""COMPUTED_VALUE"""),"Playstation Plus (Discontinued)")</f>
        <v>Playstation Plus (Discontinued)</v>
      </c>
      <c r="D381" s="15" t="str">
        <f>IFERROR(__xludf.DUMMYFUNCTION("""COMPUTED_VALUE"""),"Removed")</f>
        <v>Removed</v>
      </c>
      <c r="E381" s="17">
        <f>IFERROR(__xludf.DUMMYFUNCTION("""COMPUTED_VALUE"""),43011.0)</f>
        <v>43011</v>
      </c>
      <c r="F381" s="54">
        <f>IFERROR(__xludf.DUMMYFUNCTION("""COMPUTED_VALUE"""),43045.0)</f>
        <v>43045</v>
      </c>
      <c r="G381" s="19">
        <f>IFERROR(__xludf.DUMMYFUNCTION("""COMPUTED_VALUE"""),1.0999999999999999)</f>
        <v>1.1</v>
      </c>
      <c r="H381" s="17">
        <f>IFERROR(__xludf.DUMMYFUNCTION("""COMPUTED_VALUE"""),42346.0)</f>
        <v>42346</v>
      </c>
      <c r="I381" s="19">
        <f>IFERROR(__xludf.DUMMYFUNCTION("""COMPUTED_VALUE"""),1.8194444444444444)</f>
        <v>1.819444444</v>
      </c>
      <c r="J381" s="21">
        <f>IFERROR(__xludf.DUMMYFUNCTION("""COMPUTED_VALUE"""),72.0)</f>
        <v>72</v>
      </c>
      <c r="K381" s="23">
        <f>IFERROR(__xludf.DUMMYFUNCTION("""COMPUTED_VALUE"""),7.1)</f>
        <v>7.1</v>
      </c>
      <c r="L381" s="24">
        <f>IFERROR(__xludf.DUMMYFUNCTION("""COMPUTED_VALUE"""),5.0)</f>
        <v>5</v>
      </c>
      <c r="M381" s="25" t="str">
        <f>IFERROR(__xludf.DUMMYFUNCTION("""COMPUTED_VALUE"""),"Shooter")</f>
        <v>Shooter</v>
      </c>
      <c r="N381" s="25"/>
      <c r="O381" s="26" t="str">
        <f>IFERROR(__xludf.DUMMYFUNCTION("""COMPUTED_VALUE"""),"No")</f>
        <v>No</v>
      </c>
      <c r="P381" s="26"/>
    </row>
    <row r="382" hidden="1">
      <c r="A382" s="13" t="str">
        <f>IFERROR(__xludf.DUMMYFUNCTION("""COMPUTED_VALUE"""),"inFAMOUS: Second Son")</f>
        <v>inFAMOUS: Second Son</v>
      </c>
      <c r="B382" s="15" t="str">
        <f>IFERROR(__xludf.DUMMYFUNCTION("""COMPUTED_VALUE"""),"PS4")</f>
        <v>PS4</v>
      </c>
      <c r="C382" s="16" t="str">
        <f>IFERROR(__xludf.DUMMYFUNCTION("""COMPUTED_VALUE"""),"Playstation Plus (Discontinued)")</f>
        <v>Playstation Plus (Discontinued)</v>
      </c>
      <c r="D382" s="15" t="str">
        <f>IFERROR(__xludf.DUMMYFUNCTION("""COMPUTED_VALUE"""),"Removed")</f>
        <v>Removed</v>
      </c>
      <c r="E382" s="17">
        <f>IFERROR(__xludf.DUMMYFUNCTION("""COMPUTED_VALUE"""),42983.0)</f>
        <v>42983</v>
      </c>
      <c r="F382" s="54">
        <f>IFERROR(__xludf.DUMMYFUNCTION("""COMPUTED_VALUE"""),43010.0)</f>
        <v>43010</v>
      </c>
      <c r="G382" s="19">
        <f>IFERROR(__xludf.DUMMYFUNCTION("""COMPUTED_VALUE"""),0.8999999999999999)</f>
        <v>0.9</v>
      </c>
      <c r="H382" s="17">
        <f>IFERROR(__xludf.DUMMYFUNCTION("""COMPUTED_VALUE"""),41719.0)</f>
        <v>41719</v>
      </c>
      <c r="I382" s="19">
        <f>IFERROR(__xludf.DUMMYFUNCTION("""COMPUTED_VALUE"""),3.4555555555555557)</f>
        <v>3.455555556</v>
      </c>
      <c r="J382" s="21">
        <f>IFERROR(__xludf.DUMMYFUNCTION("""COMPUTED_VALUE"""),80.0)</f>
        <v>80</v>
      </c>
      <c r="K382" s="23">
        <f>IFERROR(__xludf.DUMMYFUNCTION("""COMPUTED_VALUE"""),8.0)</f>
        <v>8</v>
      </c>
      <c r="L382" s="24">
        <f>IFERROR(__xludf.DUMMYFUNCTION("""COMPUTED_VALUE"""),10.0)</f>
        <v>10</v>
      </c>
      <c r="M382" s="25" t="str">
        <f>IFERROR(__xludf.DUMMYFUNCTION("""COMPUTED_VALUE"""),"Action-Adventure")</f>
        <v>Action-Adventure</v>
      </c>
      <c r="N382" s="25"/>
      <c r="O382" s="26" t="str">
        <f>IFERROR(__xludf.DUMMYFUNCTION("""COMPUTED_VALUE"""),"No")</f>
        <v>No</v>
      </c>
      <c r="P382" s="26"/>
    </row>
    <row r="383">
      <c r="A383" s="13" t="str">
        <f>IFERROR(__xludf.DUMMYFUNCTION("""COMPUTED_VALUE"""),"Strike Vector Ex")</f>
        <v>Strike Vector Ex</v>
      </c>
      <c r="B383" s="15" t="str">
        <f>IFERROR(__xludf.DUMMYFUNCTION("""COMPUTED_VALUE"""),"PS4")</f>
        <v>PS4</v>
      </c>
      <c r="C383" s="16" t="str">
        <f>IFERROR(__xludf.DUMMYFUNCTION("""COMPUTED_VALUE"""),"Playstation Plus (Discontinued)")</f>
        <v>Playstation Plus (Discontinued)</v>
      </c>
      <c r="D383" s="15" t="str">
        <f>IFERROR(__xludf.DUMMYFUNCTION("""COMPUTED_VALUE"""),"Removed")</f>
        <v>Removed</v>
      </c>
      <c r="E383" s="17">
        <f>IFERROR(__xludf.DUMMYFUNCTION("""COMPUTED_VALUE"""),42983.0)</f>
        <v>42983</v>
      </c>
      <c r="F383" s="54">
        <f>IFERROR(__xludf.DUMMYFUNCTION("""COMPUTED_VALUE"""),43010.0)</f>
        <v>43010</v>
      </c>
      <c r="G383" s="19">
        <f>IFERROR(__xludf.DUMMYFUNCTION("""COMPUTED_VALUE"""),0.8999999999999999)</f>
        <v>0.9</v>
      </c>
      <c r="H383" s="17">
        <f>IFERROR(__xludf.DUMMYFUNCTION("""COMPUTED_VALUE"""),42983.0)</f>
        <v>42983</v>
      </c>
      <c r="I383" s="19">
        <f>IFERROR(__xludf.DUMMYFUNCTION("""COMPUTED_VALUE"""),0.0)</f>
        <v>0</v>
      </c>
      <c r="J383" s="21">
        <f>IFERROR(__xludf.DUMMYFUNCTION("""COMPUTED_VALUE"""),75.0)</f>
        <v>75</v>
      </c>
      <c r="K383" s="23">
        <f>IFERROR(__xludf.DUMMYFUNCTION("""COMPUTED_VALUE"""),6.7)</f>
        <v>6.7</v>
      </c>
      <c r="L383" s="24"/>
      <c r="M383" s="25" t="str">
        <f>IFERROR(__xludf.DUMMYFUNCTION("""COMPUTED_VALUE"""),"Shooter")</f>
        <v>Shooter</v>
      </c>
      <c r="N383" s="25"/>
      <c r="O383" s="26" t="str">
        <f>IFERROR(__xludf.DUMMYFUNCTION("""COMPUTED_VALUE"""),"No")</f>
        <v>No</v>
      </c>
      <c r="P383" s="26"/>
    </row>
    <row r="384">
      <c r="A384" s="13" t="str">
        <f>IFERROR(__xludf.DUMMYFUNCTION("""COMPUTED_VALUE"""),"That’s You!")</f>
        <v>That’s You!</v>
      </c>
      <c r="B384" s="15" t="str">
        <f>IFERROR(__xludf.DUMMYFUNCTION("""COMPUTED_VALUE"""),"PS4")</f>
        <v>PS4</v>
      </c>
      <c r="C384" s="16" t="str">
        <f>IFERROR(__xludf.DUMMYFUNCTION("""COMPUTED_VALUE"""),"Playstation Plus (Discontinued)")</f>
        <v>Playstation Plus (Discontinued)</v>
      </c>
      <c r="D384" s="15" t="str">
        <f>IFERROR(__xludf.DUMMYFUNCTION("""COMPUTED_VALUE"""),"Removed")</f>
        <v>Removed</v>
      </c>
      <c r="E384" s="17">
        <f>IFERROR(__xludf.DUMMYFUNCTION("""COMPUTED_VALUE"""),42983.0)</f>
        <v>42983</v>
      </c>
      <c r="F384" s="54">
        <f>IFERROR(__xludf.DUMMYFUNCTION("""COMPUTED_VALUE"""),43010.0)</f>
        <v>43010</v>
      </c>
      <c r="G384" s="19">
        <f>IFERROR(__xludf.DUMMYFUNCTION("""COMPUTED_VALUE"""),0.8999999999999999)</f>
        <v>0.9</v>
      </c>
      <c r="H384" s="17">
        <f>IFERROR(__xludf.DUMMYFUNCTION("""COMPUTED_VALUE"""),42920.0)</f>
        <v>42920</v>
      </c>
      <c r="I384" s="19">
        <f>IFERROR(__xludf.DUMMYFUNCTION("""COMPUTED_VALUE"""),0.16944444444444445)</f>
        <v>0.1694444444</v>
      </c>
      <c r="J384" s="21">
        <f>IFERROR(__xludf.DUMMYFUNCTION("""COMPUTED_VALUE"""),69.0)</f>
        <v>69</v>
      </c>
      <c r="K384" s="23">
        <f>IFERROR(__xludf.DUMMYFUNCTION("""COMPUTED_VALUE"""),7.4)</f>
        <v>7.4</v>
      </c>
      <c r="L384" s="24"/>
      <c r="M384" s="25" t="str">
        <f>IFERROR(__xludf.DUMMYFUNCTION("""COMPUTED_VALUE"""),"Party")</f>
        <v>Party</v>
      </c>
      <c r="N384" s="25"/>
      <c r="O384" s="26" t="str">
        <f>IFERROR(__xludf.DUMMYFUNCTION("""COMPUTED_VALUE"""),"No")</f>
        <v>No</v>
      </c>
      <c r="P384" s="26"/>
    </row>
    <row r="385" hidden="1">
      <c r="A385" s="13" t="str">
        <f>IFERROR(__xludf.DUMMYFUNCTION("""COMPUTED_VALUE"""),"RIGS: Mechanised Combat League")</f>
        <v>RIGS: Mechanised Combat League</v>
      </c>
      <c r="B385" s="15" t="str">
        <f>IFERROR(__xludf.DUMMYFUNCTION("""COMPUTED_VALUE"""),"PS4/PSVR")</f>
        <v>PS4/PSVR</v>
      </c>
      <c r="C385" s="16" t="str">
        <f>IFERROR(__xludf.DUMMYFUNCTION("""COMPUTED_VALUE"""),"Playstation Plus (Discontinued)")</f>
        <v>Playstation Plus (Discontinued)</v>
      </c>
      <c r="D385" s="15" t="str">
        <f>IFERROR(__xludf.DUMMYFUNCTION("""COMPUTED_VALUE"""),"Removed")</f>
        <v>Removed</v>
      </c>
      <c r="E385" s="17">
        <f>IFERROR(__xludf.DUMMYFUNCTION("""COMPUTED_VALUE"""),42983.0)</f>
        <v>42983</v>
      </c>
      <c r="F385" s="54">
        <f>IFERROR(__xludf.DUMMYFUNCTION("""COMPUTED_VALUE"""),43010.0)</f>
        <v>43010</v>
      </c>
      <c r="G385" s="19">
        <f>IFERROR(__xludf.DUMMYFUNCTION("""COMPUTED_VALUE"""),0.8999999999999999)</f>
        <v>0.9</v>
      </c>
      <c r="H385" s="17">
        <f>IFERROR(__xludf.DUMMYFUNCTION("""COMPUTED_VALUE"""),42654.0)</f>
        <v>42654</v>
      </c>
      <c r="I385" s="19">
        <f>IFERROR(__xludf.DUMMYFUNCTION("""COMPUTED_VALUE"""),0.9)</f>
        <v>0.9</v>
      </c>
      <c r="J385" s="21">
        <f>IFERROR(__xludf.DUMMYFUNCTION("""COMPUTED_VALUE"""),78.0)</f>
        <v>78</v>
      </c>
      <c r="K385" s="23">
        <f>IFERROR(__xludf.DUMMYFUNCTION("""COMPUTED_VALUE"""),7.5)</f>
        <v>7.5</v>
      </c>
      <c r="L385" s="24"/>
      <c r="M385" s="25" t="str">
        <f>IFERROR(__xludf.DUMMYFUNCTION("""COMPUTED_VALUE"""),"Shooter")</f>
        <v>Shooter</v>
      </c>
      <c r="N385" s="25"/>
      <c r="O385" s="26" t="str">
        <f>IFERROR(__xludf.DUMMYFUNCTION("""COMPUTED_VALUE"""),"No")</f>
        <v>No</v>
      </c>
      <c r="P385" s="26"/>
    </row>
    <row r="386" hidden="1">
      <c r="A386" s="13" t="str">
        <f>IFERROR(__xludf.DUMMYFUNCTION("""COMPUTED_VALUE"""),"Truck Racer")</f>
        <v>Truck Racer</v>
      </c>
      <c r="B386" s="15" t="str">
        <f>IFERROR(__xludf.DUMMYFUNCTION("""COMPUTED_VALUE"""),"PS3")</f>
        <v>PS3</v>
      </c>
      <c r="C386" s="16" t="str">
        <f>IFERROR(__xludf.DUMMYFUNCTION("""COMPUTED_VALUE"""),"Playstation Plus (Discontinued)")</f>
        <v>Playstation Plus (Discontinued)</v>
      </c>
      <c r="D386" s="15" t="str">
        <f>IFERROR(__xludf.DUMMYFUNCTION("""COMPUTED_VALUE"""),"Removed")</f>
        <v>Removed</v>
      </c>
      <c r="E386" s="17">
        <f>IFERROR(__xludf.DUMMYFUNCTION("""COMPUTED_VALUE"""),42983.0)</f>
        <v>42983</v>
      </c>
      <c r="F386" s="54">
        <f>IFERROR(__xludf.DUMMYFUNCTION("""COMPUTED_VALUE"""),43010.0)</f>
        <v>43010</v>
      </c>
      <c r="G386" s="19">
        <f>IFERROR(__xludf.DUMMYFUNCTION("""COMPUTED_VALUE"""),0.8999999999999999)</f>
        <v>0.9</v>
      </c>
      <c r="H386" s="17">
        <f>IFERROR(__xludf.DUMMYFUNCTION("""COMPUTED_VALUE"""),41919.0)</f>
        <v>41919</v>
      </c>
      <c r="I386" s="19">
        <f>IFERROR(__xludf.DUMMYFUNCTION("""COMPUTED_VALUE"""),2.911111111111111)</f>
        <v>2.911111111</v>
      </c>
      <c r="J386" s="21">
        <f>IFERROR(__xludf.DUMMYFUNCTION("""COMPUTED_VALUE"""),49.0)</f>
        <v>49</v>
      </c>
      <c r="K386" s="23">
        <f>IFERROR(__xludf.DUMMYFUNCTION("""COMPUTED_VALUE"""),5.4)</f>
        <v>5.4</v>
      </c>
      <c r="L386" s="24">
        <f>IFERROR(__xludf.DUMMYFUNCTION("""COMPUTED_VALUE"""),5.0)</f>
        <v>5</v>
      </c>
      <c r="M386" s="25" t="str">
        <f>IFERROR(__xludf.DUMMYFUNCTION("""COMPUTED_VALUE"""),"Racing")</f>
        <v>Racing</v>
      </c>
      <c r="N386" s="25"/>
      <c r="O386" s="26" t="str">
        <f>IFERROR(__xludf.DUMMYFUNCTION("""COMPUTED_VALUE"""),"No")</f>
        <v>No</v>
      </c>
      <c r="P386" s="26"/>
    </row>
    <row r="387">
      <c r="A387" s="13" t="str">
        <f>IFERROR(__xludf.DUMMYFUNCTION("""COMPUTED_VALUE"""),"Handball 2016")</f>
        <v>Handball 2016</v>
      </c>
      <c r="B387" s="15" t="str">
        <f>IFERROR(__xludf.DUMMYFUNCTION("""COMPUTED_VALUE"""),"PS3")</f>
        <v>PS3</v>
      </c>
      <c r="C387" s="16" t="str">
        <f>IFERROR(__xludf.DUMMYFUNCTION("""COMPUTED_VALUE"""),"Playstation Plus (Discontinued)")</f>
        <v>Playstation Plus (Discontinued)</v>
      </c>
      <c r="D387" s="15" t="str">
        <f>IFERROR(__xludf.DUMMYFUNCTION("""COMPUTED_VALUE"""),"Removed")</f>
        <v>Removed</v>
      </c>
      <c r="E387" s="17">
        <f>IFERROR(__xludf.DUMMYFUNCTION("""COMPUTED_VALUE"""),42983.0)</f>
        <v>42983</v>
      </c>
      <c r="F387" s="54">
        <f>IFERROR(__xludf.DUMMYFUNCTION("""COMPUTED_VALUE"""),43010.0)</f>
        <v>43010</v>
      </c>
      <c r="G387" s="19">
        <f>IFERROR(__xludf.DUMMYFUNCTION("""COMPUTED_VALUE"""),0.8999999999999999)</f>
        <v>0.9</v>
      </c>
      <c r="H387" s="17">
        <f>IFERROR(__xludf.DUMMYFUNCTION("""COMPUTED_VALUE"""),42335.0)</f>
        <v>42335</v>
      </c>
      <c r="I387" s="19">
        <f>IFERROR(__xludf.DUMMYFUNCTION("""COMPUTED_VALUE"""),1.7722222222222221)</f>
        <v>1.772222222</v>
      </c>
      <c r="J387" s="21">
        <f>IFERROR(__xludf.DUMMYFUNCTION("""COMPUTED_VALUE"""),49.0)</f>
        <v>49</v>
      </c>
      <c r="K387" s="23">
        <f>IFERROR(__xludf.DUMMYFUNCTION("""COMPUTED_VALUE"""),5.5)</f>
        <v>5.5</v>
      </c>
      <c r="L387" s="24"/>
      <c r="M387" s="25" t="str">
        <f>IFERROR(__xludf.DUMMYFUNCTION("""COMPUTED_VALUE"""),"Sports")</f>
        <v>Sports</v>
      </c>
      <c r="N387" s="25"/>
      <c r="O387" s="26" t="str">
        <f>IFERROR(__xludf.DUMMYFUNCTION("""COMPUTED_VALUE"""),"No")</f>
        <v>No</v>
      </c>
      <c r="P387" s="26"/>
    </row>
    <row r="388" hidden="1">
      <c r="A388" s="13" t="str">
        <f>IFERROR(__xludf.DUMMYFUNCTION("""COMPUTED_VALUE"""),"We Are Doomed")</f>
        <v>We Are Doomed</v>
      </c>
      <c r="B388" s="15" t="str">
        <f>IFERROR(__xludf.DUMMYFUNCTION("""COMPUTED_VALUE"""),"PS4/Vita")</f>
        <v>PS4/Vita</v>
      </c>
      <c r="C388" s="16" t="str">
        <f>IFERROR(__xludf.DUMMYFUNCTION("""COMPUTED_VALUE"""),"Playstation Plus (Discontinued)")</f>
        <v>Playstation Plus (Discontinued)</v>
      </c>
      <c r="D388" s="15" t="str">
        <f>IFERROR(__xludf.DUMMYFUNCTION("""COMPUTED_VALUE"""),"Removed")</f>
        <v>Removed</v>
      </c>
      <c r="E388" s="17">
        <f>IFERROR(__xludf.DUMMYFUNCTION("""COMPUTED_VALUE"""),42983.0)</f>
        <v>42983</v>
      </c>
      <c r="F388" s="54">
        <f>IFERROR(__xludf.DUMMYFUNCTION("""COMPUTED_VALUE"""),43010.0)</f>
        <v>43010</v>
      </c>
      <c r="G388" s="19">
        <f>IFERROR(__xludf.DUMMYFUNCTION("""COMPUTED_VALUE"""),0.8999999999999999)</f>
        <v>0.9</v>
      </c>
      <c r="H388" s="17">
        <f>IFERROR(__xludf.DUMMYFUNCTION("""COMPUTED_VALUE"""),42108.0)</f>
        <v>42108</v>
      </c>
      <c r="I388" s="19">
        <f>IFERROR(__xludf.DUMMYFUNCTION("""COMPUTED_VALUE"""),2.3916666666666666)</f>
        <v>2.391666667</v>
      </c>
      <c r="J388" s="21">
        <f>IFERROR(__xludf.DUMMYFUNCTION("""COMPUTED_VALUE"""),61.0)</f>
        <v>61</v>
      </c>
      <c r="K388" s="23">
        <f>IFERROR(__xludf.DUMMYFUNCTION("""COMPUTED_VALUE"""),6.9)</f>
        <v>6.9</v>
      </c>
      <c r="L388" s="24">
        <f>IFERROR(__xludf.DUMMYFUNCTION("""COMPUTED_VALUE"""),2.0)</f>
        <v>2</v>
      </c>
      <c r="M388" s="25" t="str">
        <f>IFERROR(__xludf.DUMMYFUNCTION("""COMPUTED_VALUE"""),"Shooter")</f>
        <v>Shooter</v>
      </c>
      <c r="N388" s="25"/>
      <c r="O388" s="26" t="str">
        <f>IFERROR(__xludf.DUMMYFUNCTION("""COMPUTED_VALUE"""),"No")</f>
        <v>No</v>
      </c>
      <c r="P388" s="26"/>
    </row>
    <row r="389" hidden="1">
      <c r="A389" s="13" t="str">
        <f>IFERROR(__xludf.DUMMYFUNCTION("""COMPUTED_VALUE"""),"Hatoful Boyfriend")</f>
        <v>Hatoful Boyfriend</v>
      </c>
      <c r="B389" s="15" t="str">
        <f>IFERROR(__xludf.DUMMYFUNCTION("""COMPUTED_VALUE"""),"PS4/Vita")</f>
        <v>PS4/Vita</v>
      </c>
      <c r="C389" s="16" t="str">
        <f>IFERROR(__xludf.DUMMYFUNCTION("""COMPUTED_VALUE"""),"Playstation Plus (Discontinued)")</f>
        <v>Playstation Plus (Discontinued)</v>
      </c>
      <c r="D389" s="15" t="str">
        <f>IFERROR(__xludf.DUMMYFUNCTION("""COMPUTED_VALUE"""),"Removed")</f>
        <v>Removed</v>
      </c>
      <c r="E389" s="17">
        <f>IFERROR(__xludf.DUMMYFUNCTION("""COMPUTED_VALUE"""),42983.0)</f>
        <v>42983</v>
      </c>
      <c r="F389" s="54">
        <f>IFERROR(__xludf.DUMMYFUNCTION("""COMPUTED_VALUE"""),43010.0)</f>
        <v>43010</v>
      </c>
      <c r="G389" s="19">
        <f>IFERROR(__xludf.DUMMYFUNCTION("""COMPUTED_VALUE"""),0.8999999999999999)</f>
        <v>0.9</v>
      </c>
      <c r="H389" s="17">
        <f>IFERROR(__xludf.DUMMYFUNCTION("""COMPUTED_VALUE"""),41886.0)</f>
        <v>41886</v>
      </c>
      <c r="I389" s="19">
        <f>IFERROR(__xludf.DUMMYFUNCTION("""COMPUTED_VALUE"""),3.0027777777777778)</f>
        <v>3.002777778</v>
      </c>
      <c r="J389" s="21">
        <f>IFERROR(__xludf.DUMMYFUNCTION("""COMPUTED_VALUE"""),72.0)</f>
        <v>72</v>
      </c>
      <c r="K389" s="23">
        <f>IFERROR(__xludf.DUMMYFUNCTION("""COMPUTED_VALUE"""),7.4)</f>
        <v>7.4</v>
      </c>
      <c r="L389" s="24">
        <f>IFERROR(__xludf.DUMMYFUNCTION("""COMPUTED_VALUE"""),4.0)</f>
        <v>4</v>
      </c>
      <c r="M389" s="25" t="str">
        <f>IFERROR(__xludf.DUMMYFUNCTION("""COMPUTED_VALUE"""),"Visual Novel")</f>
        <v>Visual Novel</v>
      </c>
      <c r="N389" s="25"/>
      <c r="O389" s="26" t="str">
        <f>IFERROR(__xludf.DUMMYFUNCTION("""COMPUTED_VALUE"""),"No")</f>
        <v>No</v>
      </c>
      <c r="P389" s="26"/>
    </row>
    <row r="390">
      <c r="A390" s="13" t="str">
        <f>IFERROR(__xludf.DUMMYFUNCTION("""COMPUTED_VALUE"""),"Just Cause 3")</f>
        <v>Just Cause 3</v>
      </c>
      <c r="B390" s="15" t="str">
        <f>IFERROR(__xludf.DUMMYFUNCTION("""COMPUTED_VALUE"""),"PS4")</f>
        <v>PS4</v>
      </c>
      <c r="C390" s="16" t="str">
        <f>IFERROR(__xludf.DUMMYFUNCTION("""COMPUTED_VALUE"""),"Playstation Plus (Discontinued)")</f>
        <v>Playstation Plus (Discontinued)</v>
      </c>
      <c r="D390" s="15" t="str">
        <f>IFERROR(__xludf.DUMMYFUNCTION("""COMPUTED_VALUE"""),"Removed")</f>
        <v>Removed</v>
      </c>
      <c r="E390" s="17">
        <f>IFERROR(__xludf.DUMMYFUNCTION("""COMPUTED_VALUE"""),42948.0)</f>
        <v>42948</v>
      </c>
      <c r="F390" s="54">
        <f>IFERROR(__xludf.DUMMYFUNCTION("""COMPUTED_VALUE"""),42982.0)</f>
        <v>42982</v>
      </c>
      <c r="G390" s="19">
        <f>IFERROR(__xludf.DUMMYFUNCTION("""COMPUTED_VALUE"""),1.0999999999999999)</f>
        <v>1.1</v>
      </c>
      <c r="H390" s="17">
        <f>IFERROR(__xludf.DUMMYFUNCTION("""COMPUTED_VALUE"""),42339.0)</f>
        <v>42339</v>
      </c>
      <c r="I390" s="19">
        <f>IFERROR(__xludf.DUMMYFUNCTION("""COMPUTED_VALUE"""),1.6666666666666667)</f>
        <v>1.666666667</v>
      </c>
      <c r="J390" s="21">
        <f>IFERROR(__xludf.DUMMYFUNCTION("""COMPUTED_VALUE"""),73.0)</f>
        <v>73</v>
      </c>
      <c r="K390" s="23">
        <f>IFERROR(__xludf.DUMMYFUNCTION("""COMPUTED_VALUE"""),6.2)</f>
        <v>6.2</v>
      </c>
      <c r="L390" s="24">
        <f>IFERROR(__xludf.DUMMYFUNCTION("""COMPUTED_VALUE"""),18.0)</f>
        <v>18</v>
      </c>
      <c r="M390" s="25" t="str">
        <f>IFERROR(__xludf.DUMMYFUNCTION("""COMPUTED_VALUE"""),"Action-Adventure")</f>
        <v>Action-Adventure</v>
      </c>
      <c r="N390" s="25"/>
      <c r="O390" s="26" t="str">
        <f>IFERROR(__xludf.DUMMYFUNCTION("""COMPUTED_VALUE"""),"No")</f>
        <v>No</v>
      </c>
      <c r="P390" s="26"/>
    </row>
    <row r="391" hidden="1">
      <c r="A391" s="13" t="str">
        <f>IFERROR(__xludf.DUMMYFUNCTION("""COMPUTED_VALUE"""),"Assassin’s Creed Freedom Cry")</f>
        <v>Assassin’s Creed Freedom Cry</v>
      </c>
      <c r="B391" s="15" t="str">
        <f>IFERROR(__xludf.DUMMYFUNCTION("""COMPUTED_VALUE"""),"PS4")</f>
        <v>PS4</v>
      </c>
      <c r="C391" s="16" t="str">
        <f>IFERROR(__xludf.DUMMYFUNCTION("""COMPUTED_VALUE"""),"Playstation Plus (Discontinued)")</f>
        <v>Playstation Plus (Discontinued)</v>
      </c>
      <c r="D391" s="15" t="str">
        <f>IFERROR(__xludf.DUMMYFUNCTION("""COMPUTED_VALUE"""),"Removed")</f>
        <v>Removed</v>
      </c>
      <c r="E391" s="17">
        <f>IFERROR(__xludf.DUMMYFUNCTION("""COMPUTED_VALUE"""),42948.0)</f>
        <v>42948</v>
      </c>
      <c r="F391" s="54">
        <f>IFERROR(__xludf.DUMMYFUNCTION("""COMPUTED_VALUE"""),42982.0)</f>
        <v>42982</v>
      </c>
      <c r="G391" s="19">
        <f>IFERROR(__xludf.DUMMYFUNCTION("""COMPUTED_VALUE"""),1.0999999999999999)</f>
        <v>1.1</v>
      </c>
      <c r="H391" s="17">
        <f>IFERROR(__xludf.DUMMYFUNCTION("""COMPUTED_VALUE"""),41688.0)</f>
        <v>41688</v>
      </c>
      <c r="I391" s="19">
        <f>IFERROR(__xludf.DUMMYFUNCTION("""COMPUTED_VALUE"""),3.452777777777778)</f>
        <v>3.452777778</v>
      </c>
      <c r="J391" s="21">
        <f>IFERROR(__xludf.DUMMYFUNCTION("""COMPUTED_VALUE"""),71.0)</f>
        <v>71</v>
      </c>
      <c r="K391" s="23">
        <f>IFERROR(__xludf.DUMMYFUNCTION("""COMPUTED_VALUE"""),6.7)</f>
        <v>6.7</v>
      </c>
      <c r="L391" s="24">
        <f>IFERROR(__xludf.DUMMYFUNCTION("""COMPUTED_VALUE"""),6.0)</f>
        <v>6</v>
      </c>
      <c r="M391" s="25" t="str">
        <f>IFERROR(__xludf.DUMMYFUNCTION("""COMPUTED_VALUE"""),"Action-Adventure")</f>
        <v>Action-Adventure</v>
      </c>
      <c r="N391" s="25"/>
      <c r="O391" s="26" t="str">
        <f>IFERROR(__xludf.DUMMYFUNCTION("""COMPUTED_VALUE"""),"No")</f>
        <v>No</v>
      </c>
      <c r="P391" s="26"/>
    </row>
    <row r="392" hidden="1">
      <c r="A392" s="13" t="str">
        <f>IFERROR(__xludf.DUMMYFUNCTION("""COMPUTED_VALUE"""),"That’s You!")</f>
        <v>That’s You!</v>
      </c>
      <c r="B392" s="15" t="str">
        <f>IFERROR(__xludf.DUMMYFUNCTION("""COMPUTED_VALUE"""),"PS4")</f>
        <v>PS4</v>
      </c>
      <c r="C392" s="16" t="str">
        <f>IFERROR(__xludf.DUMMYFUNCTION("""COMPUTED_VALUE"""),"Playstation Plus (Discontinued)")</f>
        <v>Playstation Plus (Discontinued)</v>
      </c>
      <c r="D392" s="15" t="str">
        <f>IFERROR(__xludf.DUMMYFUNCTION("""COMPUTED_VALUE"""),"Removed")</f>
        <v>Removed</v>
      </c>
      <c r="E392" s="17">
        <f>IFERROR(__xludf.DUMMYFUNCTION("""COMPUTED_VALUE"""),42948.0)</f>
        <v>42948</v>
      </c>
      <c r="F392" s="54">
        <f>IFERROR(__xludf.DUMMYFUNCTION("""COMPUTED_VALUE"""),42982.0)</f>
        <v>42982</v>
      </c>
      <c r="G392" s="19">
        <f>IFERROR(__xludf.DUMMYFUNCTION("""COMPUTED_VALUE"""),1.0999999999999999)</f>
        <v>1.1</v>
      </c>
      <c r="H392" s="17">
        <f>IFERROR(__xludf.DUMMYFUNCTION("""COMPUTED_VALUE"""),42920.0)</f>
        <v>42920</v>
      </c>
      <c r="I392" s="19">
        <f>IFERROR(__xludf.DUMMYFUNCTION("""COMPUTED_VALUE"""),0.075)</f>
        <v>0.075</v>
      </c>
      <c r="J392" s="21">
        <f>IFERROR(__xludf.DUMMYFUNCTION("""COMPUTED_VALUE"""),69.0)</f>
        <v>69</v>
      </c>
      <c r="K392" s="23">
        <f>IFERROR(__xludf.DUMMYFUNCTION("""COMPUTED_VALUE"""),7.4)</f>
        <v>7.4</v>
      </c>
      <c r="L392" s="24"/>
      <c r="M392" s="25" t="str">
        <f>IFERROR(__xludf.DUMMYFUNCTION("""COMPUTED_VALUE"""),"Party")</f>
        <v>Party</v>
      </c>
      <c r="N392" s="25"/>
      <c r="O392" s="26" t="str">
        <f>IFERROR(__xludf.DUMMYFUNCTION("""COMPUTED_VALUE"""),"No")</f>
        <v>No</v>
      </c>
      <c r="P392" s="26"/>
    </row>
    <row r="393" hidden="1">
      <c r="A393" s="13" t="str">
        <f>IFERROR(__xludf.DUMMYFUNCTION("""COMPUTED_VALUE"""),"Super Motherload")</f>
        <v>Super Motherload</v>
      </c>
      <c r="B393" s="15" t="str">
        <f>IFERROR(__xludf.DUMMYFUNCTION("""COMPUTED_VALUE"""),"PS4/PS3")</f>
        <v>PS4/PS3</v>
      </c>
      <c r="C393" s="16" t="str">
        <f>IFERROR(__xludf.DUMMYFUNCTION("""COMPUTED_VALUE"""),"Playstation Plus (Discontinued)")</f>
        <v>Playstation Plus (Discontinued)</v>
      </c>
      <c r="D393" s="15" t="str">
        <f>IFERROR(__xludf.DUMMYFUNCTION("""COMPUTED_VALUE"""),"Removed")</f>
        <v>Removed</v>
      </c>
      <c r="E393" s="17">
        <f>IFERROR(__xludf.DUMMYFUNCTION("""COMPUTED_VALUE"""),42948.0)</f>
        <v>42948</v>
      </c>
      <c r="F393" s="54">
        <f>IFERROR(__xludf.DUMMYFUNCTION("""COMPUTED_VALUE"""),42982.0)</f>
        <v>42982</v>
      </c>
      <c r="G393" s="19">
        <f>IFERROR(__xludf.DUMMYFUNCTION("""COMPUTED_VALUE"""),1.0999999999999999)</f>
        <v>1.1</v>
      </c>
      <c r="H393" s="17">
        <f>IFERROR(__xludf.DUMMYFUNCTION("""COMPUTED_VALUE"""),41582.0)</f>
        <v>41582</v>
      </c>
      <c r="I393" s="19">
        <f>IFERROR(__xludf.DUMMYFUNCTION("""COMPUTED_VALUE"""),3.7416666666666667)</f>
        <v>3.741666667</v>
      </c>
      <c r="J393" s="21">
        <f>IFERROR(__xludf.DUMMYFUNCTION("""COMPUTED_VALUE"""),65.0)</f>
        <v>65</v>
      </c>
      <c r="K393" s="23">
        <f>IFERROR(__xludf.DUMMYFUNCTION("""COMPUTED_VALUE"""),7.1)</f>
        <v>7.1</v>
      </c>
      <c r="L393" s="24">
        <f>IFERROR(__xludf.DUMMYFUNCTION("""COMPUTED_VALUE"""),6.0)</f>
        <v>6</v>
      </c>
      <c r="M393" s="25" t="str">
        <f>IFERROR(__xludf.DUMMYFUNCTION("""COMPUTED_VALUE"""),"Action-Adventure")</f>
        <v>Action-Adventure</v>
      </c>
      <c r="N393" s="25"/>
      <c r="O393" s="26" t="str">
        <f>IFERROR(__xludf.DUMMYFUNCTION("""COMPUTED_VALUE"""),"No")</f>
        <v>No</v>
      </c>
      <c r="P393" s="26"/>
    </row>
    <row r="394" hidden="1">
      <c r="A394" s="13" t="str">
        <f>IFERROR(__xludf.DUMMYFUNCTION("""COMPUTED_VALUE"""),"Snake Ball")</f>
        <v>Snake Ball</v>
      </c>
      <c r="B394" s="15" t="str">
        <f>IFERROR(__xludf.DUMMYFUNCTION("""COMPUTED_VALUE"""),"PS3")</f>
        <v>PS3</v>
      </c>
      <c r="C394" s="16" t="str">
        <f>IFERROR(__xludf.DUMMYFUNCTION("""COMPUTED_VALUE"""),"Playstation Plus (Discontinued)")</f>
        <v>Playstation Plus (Discontinued)</v>
      </c>
      <c r="D394" s="15" t="str">
        <f>IFERROR(__xludf.DUMMYFUNCTION("""COMPUTED_VALUE"""),"Removed")</f>
        <v>Removed</v>
      </c>
      <c r="E394" s="17">
        <f>IFERROR(__xludf.DUMMYFUNCTION("""COMPUTED_VALUE"""),42948.0)</f>
        <v>42948</v>
      </c>
      <c r="F394" s="54">
        <f>IFERROR(__xludf.DUMMYFUNCTION("""COMPUTED_VALUE"""),42982.0)</f>
        <v>42982</v>
      </c>
      <c r="G394" s="19">
        <f>IFERROR(__xludf.DUMMYFUNCTION("""COMPUTED_VALUE"""),1.0999999999999999)</f>
        <v>1.1</v>
      </c>
      <c r="H394" s="17">
        <f>IFERROR(__xludf.DUMMYFUNCTION("""COMPUTED_VALUE"""),39408.0)</f>
        <v>39408</v>
      </c>
      <c r="I394" s="19">
        <f>IFERROR(__xludf.DUMMYFUNCTION("""COMPUTED_VALUE"""),9.691666666666666)</f>
        <v>9.691666667</v>
      </c>
      <c r="J394" s="21">
        <f>IFERROR(__xludf.DUMMYFUNCTION("""COMPUTED_VALUE"""),65.0)</f>
        <v>65</v>
      </c>
      <c r="K394" s="23">
        <f>IFERROR(__xludf.DUMMYFUNCTION("""COMPUTED_VALUE"""),6.8)</f>
        <v>6.8</v>
      </c>
      <c r="L394" s="24">
        <f>IFERROR(__xludf.DUMMYFUNCTION("""COMPUTED_VALUE"""),3.0)</f>
        <v>3</v>
      </c>
      <c r="M394" s="25" t="str">
        <f>IFERROR(__xludf.DUMMYFUNCTION("""COMPUTED_VALUE"""),"Arcade")</f>
        <v>Arcade</v>
      </c>
      <c r="N394" s="25"/>
      <c r="O394" s="26" t="str">
        <f>IFERROR(__xludf.DUMMYFUNCTION("""COMPUTED_VALUE"""),"No")</f>
        <v>No</v>
      </c>
      <c r="P394" s="26"/>
    </row>
    <row r="395">
      <c r="A395" s="13" t="str">
        <f>IFERROR(__xludf.DUMMYFUNCTION("""COMPUTED_VALUE"""),"Downwell")</f>
        <v>Downwell</v>
      </c>
      <c r="B395" s="15" t="str">
        <f>IFERROR(__xludf.DUMMYFUNCTION("""COMPUTED_VALUE"""),"PS4/Vita")</f>
        <v>PS4/Vita</v>
      </c>
      <c r="C395" s="16" t="str">
        <f>IFERROR(__xludf.DUMMYFUNCTION("""COMPUTED_VALUE"""),"Playstation Plus (Discontinued)")</f>
        <v>Playstation Plus (Discontinued)</v>
      </c>
      <c r="D395" s="15" t="str">
        <f>IFERROR(__xludf.DUMMYFUNCTION("""COMPUTED_VALUE"""),"Removed")</f>
        <v>Removed</v>
      </c>
      <c r="E395" s="17">
        <f>IFERROR(__xludf.DUMMYFUNCTION("""COMPUTED_VALUE"""),42948.0)</f>
        <v>42948</v>
      </c>
      <c r="F395" s="54">
        <f>IFERROR(__xludf.DUMMYFUNCTION("""COMPUTED_VALUE"""),42982.0)</f>
        <v>42982</v>
      </c>
      <c r="G395" s="19">
        <f>IFERROR(__xludf.DUMMYFUNCTION("""COMPUTED_VALUE"""),1.0999999999999999)</f>
        <v>1.1</v>
      </c>
      <c r="H395" s="17">
        <f>IFERROR(__xludf.DUMMYFUNCTION("""COMPUTED_VALUE"""),42514.0)</f>
        <v>42514</v>
      </c>
      <c r="I395" s="19">
        <f>IFERROR(__xludf.DUMMYFUNCTION("""COMPUTED_VALUE"""),1.1861111111111111)</f>
        <v>1.186111111</v>
      </c>
      <c r="J395" s="21">
        <f>IFERROR(__xludf.DUMMYFUNCTION("""COMPUTED_VALUE"""),85.0)</f>
        <v>85</v>
      </c>
      <c r="K395" s="23">
        <f>IFERROR(__xludf.DUMMYFUNCTION("""COMPUTED_VALUE"""),7.8)</f>
        <v>7.8</v>
      </c>
      <c r="L395" s="24">
        <f>IFERROR(__xludf.DUMMYFUNCTION("""COMPUTED_VALUE"""),3.0)</f>
        <v>3</v>
      </c>
      <c r="M395" s="25" t="str">
        <f>IFERROR(__xludf.DUMMYFUNCTION("""COMPUTED_VALUE"""),"Platformer")</f>
        <v>Platformer</v>
      </c>
      <c r="N395" s="25"/>
      <c r="O395" s="26" t="str">
        <f>IFERROR(__xludf.DUMMYFUNCTION("""COMPUTED_VALUE"""),"No")</f>
        <v>No</v>
      </c>
      <c r="P395" s="26"/>
    </row>
    <row r="396">
      <c r="A396" s="13" t="str">
        <f>IFERROR(__xludf.DUMMYFUNCTION("""COMPUTED_VALUE"""),"Level 22")</f>
        <v>Level 22</v>
      </c>
      <c r="B396" s="15" t="str">
        <f>IFERROR(__xludf.DUMMYFUNCTION("""COMPUTED_VALUE"""),"Vita")</f>
        <v>Vita</v>
      </c>
      <c r="C396" s="16" t="str">
        <f>IFERROR(__xludf.DUMMYFUNCTION("""COMPUTED_VALUE"""),"Playstation Plus (Discontinued)")</f>
        <v>Playstation Plus (Discontinued)</v>
      </c>
      <c r="D396" s="15" t="str">
        <f>IFERROR(__xludf.DUMMYFUNCTION("""COMPUTED_VALUE"""),"Removed")</f>
        <v>Removed</v>
      </c>
      <c r="E396" s="17">
        <f>IFERROR(__xludf.DUMMYFUNCTION("""COMPUTED_VALUE"""),42948.0)</f>
        <v>42948</v>
      </c>
      <c r="F396" s="54">
        <f>IFERROR(__xludf.DUMMYFUNCTION("""COMPUTED_VALUE"""),42982.0)</f>
        <v>42982</v>
      </c>
      <c r="G396" s="19">
        <f>IFERROR(__xludf.DUMMYFUNCTION("""COMPUTED_VALUE"""),1.0999999999999999)</f>
        <v>1.1</v>
      </c>
      <c r="H396" s="17">
        <f>IFERROR(__xludf.DUMMYFUNCTION("""COMPUTED_VALUE"""),42276.0)</f>
        <v>42276</v>
      </c>
      <c r="I396" s="19">
        <f>IFERROR(__xludf.DUMMYFUNCTION("""COMPUTED_VALUE"""),1.8388888888888888)</f>
        <v>1.838888889</v>
      </c>
      <c r="J396" s="21">
        <f>IFERROR(__xludf.DUMMYFUNCTION("""COMPUTED_VALUE"""),60.0)</f>
        <v>60</v>
      </c>
      <c r="K396" s="23">
        <f>IFERROR(__xludf.DUMMYFUNCTION("""COMPUTED_VALUE"""),6.7)</f>
        <v>6.7</v>
      </c>
      <c r="L396" s="24">
        <f>IFERROR(__xludf.DUMMYFUNCTION("""COMPUTED_VALUE"""),2.0)</f>
        <v>2</v>
      </c>
      <c r="M396" s="25" t="str">
        <f>IFERROR(__xludf.DUMMYFUNCTION("""COMPUTED_VALUE"""),"Strategy")</f>
        <v>Strategy</v>
      </c>
      <c r="N396" s="25"/>
      <c r="O396" s="26" t="str">
        <f>IFERROR(__xludf.DUMMYFUNCTION("""COMPUTED_VALUE"""),"No")</f>
        <v>No</v>
      </c>
      <c r="P396" s="26"/>
    </row>
    <row r="397">
      <c r="A397" s="13" t="str">
        <f>IFERROR(__xludf.DUMMYFUNCTION("""COMPUTED_VALUE"""),"Until Dawn")</f>
        <v>Until Dawn</v>
      </c>
      <c r="B397" s="15" t="str">
        <f>IFERROR(__xludf.DUMMYFUNCTION("""COMPUTED_VALUE"""),"PS4")</f>
        <v>PS4</v>
      </c>
      <c r="C397" s="16" t="str">
        <f>IFERROR(__xludf.DUMMYFUNCTION("""COMPUTED_VALUE"""),"Playstation Plus (Discontinued)")</f>
        <v>Playstation Plus (Discontinued)</v>
      </c>
      <c r="D397" s="15" t="str">
        <f>IFERROR(__xludf.DUMMYFUNCTION("""COMPUTED_VALUE"""),"Removed")</f>
        <v>Removed</v>
      </c>
      <c r="E397" s="17">
        <f>IFERROR(__xludf.DUMMYFUNCTION("""COMPUTED_VALUE"""),42920.0)</f>
        <v>42920</v>
      </c>
      <c r="F397" s="54">
        <f>IFERROR(__xludf.DUMMYFUNCTION("""COMPUTED_VALUE"""),42947.0)</f>
        <v>42947</v>
      </c>
      <c r="G397" s="19">
        <f>IFERROR(__xludf.DUMMYFUNCTION("""COMPUTED_VALUE"""),0.8666666666666666)</f>
        <v>0.8666666667</v>
      </c>
      <c r="H397" s="17">
        <f>IFERROR(__xludf.DUMMYFUNCTION("""COMPUTED_VALUE"""),42241.0)</f>
        <v>42241</v>
      </c>
      <c r="I397" s="19">
        <f>IFERROR(__xludf.DUMMYFUNCTION("""COMPUTED_VALUE"""),1.8583333333333334)</f>
        <v>1.858333333</v>
      </c>
      <c r="J397" s="21">
        <f>IFERROR(__xludf.DUMMYFUNCTION("""COMPUTED_VALUE"""),79.0)</f>
        <v>79</v>
      </c>
      <c r="K397" s="23">
        <f>IFERROR(__xludf.DUMMYFUNCTION("""COMPUTED_VALUE"""),8.3)</f>
        <v>8.3</v>
      </c>
      <c r="L397" s="24">
        <f>IFERROR(__xludf.DUMMYFUNCTION("""COMPUTED_VALUE"""),9.0)</f>
        <v>9</v>
      </c>
      <c r="M397" s="25" t="str">
        <f>IFERROR(__xludf.DUMMYFUNCTION("""COMPUTED_VALUE"""),"Horror")</f>
        <v>Horror</v>
      </c>
      <c r="N397" s="25"/>
      <c r="O397" s="26" t="str">
        <f>IFERROR(__xludf.DUMMYFUNCTION("""COMPUTED_VALUE"""),"No")</f>
        <v>No</v>
      </c>
      <c r="P397" s="26"/>
    </row>
    <row r="398" hidden="1">
      <c r="A398" s="13" t="str">
        <f>IFERROR(__xludf.DUMMYFUNCTION("""COMPUTED_VALUE"""),"Game of Thrones: A Telltale Games Series")</f>
        <v>Game of Thrones: A Telltale Games Series</v>
      </c>
      <c r="B398" s="15" t="str">
        <f>IFERROR(__xludf.DUMMYFUNCTION("""COMPUTED_VALUE"""),"PS4")</f>
        <v>PS4</v>
      </c>
      <c r="C398" s="16" t="str">
        <f>IFERROR(__xludf.DUMMYFUNCTION("""COMPUTED_VALUE"""),"Playstation Plus (Discontinued)")</f>
        <v>Playstation Plus (Discontinued)</v>
      </c>
      <c r="D398" s="15" t="str">
        <f>IFERROR(__xludf.DUMMYFUNCTION("""COMPUTED_VALUE"""),"Removed")</f>
        <v>Removed</v>
      </c>
      <c r="E398" s="17">
        <f>IFERROR(__xludf.DUMMYFUNCTION("""COMPUTED_VALUE"""),42920.0)</f>
        <v>42920</v>
      </c>
      <c r="F398" s="54">
        <f>IFERROR(__xludf.DUMMYFUNCTION("""COMPUTED_VALUE"""),42947.0)</f>
        <v>42947</v>
      </c>
      <c r="G398" s="19">
        <f>IFERROR(__xludf.DUMMYFUNCTION("""COMPUTED_VALUE"""),0.8666666666666666)</f>
        <v>0.8666666667</v>
      </c>
      <c r="H398" s="17">
        <f>IFERROR(__xludf.DUMMYFUNCTION("""COMPUTED_VALUE"""),41975.0)</f>
        <v>41975</v>
      </c>
      <c r="I398" s="19">
        <f>IFERROR(__xludf.DUMMYFUNCTION("""COMPUTED_VALUE"""),2.588888888888889)</f>
        <v>2.588888889</v>
      </c>
      <c r="J398" s="21">
        <f>IFERROR(__xludf.DUMMYFUNCTION("""COMPUTED_VALUE"""),69.0)</f>
        <v>69</v>
      </c>
      <c r="K398" s="23">
        <f>IFERROR(__xludf.DUMMYFUNCTION("""COMPUTED_VALUE"""),7.0)</f>
        <v>7</v>
      </c>
      <c r="L398" s="24">
        <f>IFERROR(__xludf.DUMMYFUNCTION("""COMPUTED_VALUE"""),11.0)</f>
        <v>11</v>
      </c>
      <c r="M398" s="25" t="str">
        <f>IFERROR(__xludf.DUMMYFUNCTION("""COMPUTED_VALUE"""),"Adventure")</f>
        <v>Adventure</v>
      </c>
      <c r="N398" s="25"/>
      <c r="O398" s="26" t="str">
        <f>IFERROR(__xludf.DUMMYFUNCTION("""COMPUTED_VALUE"""),"No")</f>
        <v>No</v>
      </c>
      <c r="P398" s="26"/>
    </row>
    <row r="399" hidden="1">
      <c r="A399" s="13" t="str">
        <f>IFERROR(__xludf.DUMMYFUNCTION("""COMPUTED_VALUE"""),"That’s You!")</f>
        <v>That’s You!</v>
      </c>
      <c r="B399" s="15" t="str">
        <f>IFERROR(__xludf.DUMMYFUNCTION("""COMPUTED_VALUE"""),"PS4")</f>
        <v>PS4</v>
      </c>
      <c r="C399" s="16" t="str">
        <f>IFERROR(__xludf.DUMMYFUNCTION("""COMPUTED_VALUE"""),"Playstation Plus (Discontinued)")</f>
        <v>Playstation Plus (Discontinued)</v>
      </c>
      <c r="D399" s="15" t="str">
        <f>IFERROR(__xludf.DUMMYFUNCTION("""COMPUTED_VALUE"""),"Removed")</f>
        <v>Removed</v>
      </c>
      <c r="E399" s="17">
        <f>IFERROR(__xludf.DUMMYFUNCTION("""COMPUTED_VALUE"""),42920.0)</f>
        <v>42920</v>
      </c>
      <c r="F399" s="54">
        <f>IFERROR(__xludf.DUMMYFUNCTION("""COMPUTED_VALUE"""),42947.0)</f>
        <v>42947</v>
      </c>
      <c r="G399" s="19">
        <f>IFERROR(__xludf.DUMMYFUNCTION("""COMPUTED_VALUE"""),0.8666666666666666)</f>
        <v>0.8666666667</v>
      </c>
      <c r="H399" s="17">
        <f>IFERROR(__xludf.DUMMYFUNCTION("""COMPUTED_VALUE"""),42920.0)</f>
        <v>42920</v>
      </c>
      <c r="I399" s="19">
        <f>IFERROR(__xludf.DUMMYFUNCTION("""COMPUTED_VALUE"""),0.0)</f>
        <v>0</v>
      </c>
      <c r="J399" s="21">
        <f>IFERROR(__xludf.DUMMYFUNCTION("""COMPUTED_VALUE"""),69.0)</f>
        <v>69</v>
      </c>
      <c r="K399" s="23">
        <f>IFERROR(__xludf.DUMMYFUNCTION("""COMPUTED_VALUE"""),7.4)</f>
        <v>7.4</v>
      </c>
      <c r="L399" s="24"/>
      <c r="M399" s="25" t="str">
        <f>IFERROR(__xludf.DUMMYFUNCTION("""COMPUTED_VALUE"""),"Party")</f>
        <v>Party</v>
      </c>
      <c r="N399" s="25"/>
      <c r="O399" s="26" t="str">
        <f>IFERROR(__xludf.DUMMYFUNCTION("""COMPUTED_VALUE"""),"No")</f>
        <v>No</v>
      </c>
      <c r="P399" s="26"/>
    </row>
    <row r="400">
      <c r="A400" s="13" t="str">
        <f>IFERROR(__xludf.DUMMYFUNCTION("""COMPUTED_VALUE"""),"Tokyo Jungle")</f>
        <v>Tokyo Jungle</v>
      </c>
      <c r="B400" s="15" t="str">
        <f>IFERROR(__xludf.DUMMYFUNCTION("""COMPUTED_VALUE"""),"PS3")</f>
        <v>PS3</v>
      </c>
      <c r="C400" s="16" t="str">
        <f>IFERROR(__xludf.DUMMYFUNCTION("""COMPUTED_VALUE"""),"Playstation Plus (Discontinued)")</f>
        <v>Playstation Plus (Discontinued)</v>
      </c>
      <c r="D400" s="15" t="str">
        <f>IFERROR(__xludf.DUMMYFUNCTION("""COMPUTED_VALUE"""),"Removed")</f>
        <v>Removed</v>
      </c>
      <c r="E400" s="17">
        <f>IFERROR(__xludf.DUMMYFUNCTION("""COMPUTED_VALUE"""),42920.0)</f>
        <v>42920</v>
      </c>
      <c r="F400" s="54">
        <f>IFERROR(__xludf.DUMMYFUNCTION("""COMPUTED_VALUE"""),42947.0)</f>
        <v>42947</v>
      </c>
      <c r="G400" s="19">
        <f>IFERROR(__xludf.DUMMYFUNCTION("""COMPUTED_VALUE"""),0.8666666666666666)</f>
        <v>0.8666666667</v>
      </c>
      <c r="H400" s="17">
        <f>IFERROR(__xludf.DUMMYFUNCTION("""COMPUTED_VALUE"""),41177.0)</f>
        <v>41177</v>
      </c>
      <c r="I400" s="19">
        <f>IFERROR(__xludf.DUMMYFUNCTION("""COMPUTED_VALUE"""),4.775)</f>
        <v>4.775</v>
      </c>
      <c r="J400" s="21">
        <f>IFERROR(__xludf.DUMMYFUNCTION("""COMPUTED_VALUE"""),74.0)</f>
        <v>74</v>
      </c>
      <c r="K400" s="23">
        <f>IFERROR(__xludf.DUMMYFUNCTION("""COMPUTED_VALUE"""),7.7)</f>
        <v>7.7</v>
      </c>
      <c r="L400" s="24">
        <f>IFERROR(__xludf.DUMMYFUNCTION("""COMPUTED_VALUE"""),10.0)</f>
        <v>10</v>
      </c>
      <c r="M400" s="25" t="str">
        <f>IFERROR(__xludf.DUMMYFUNCTION("""COMPUTED_VALUE"""),"Action-Adventure")</f>
        <v>Action-Adventure</v>
      </c>
      <c r="N400" s="25"/>
      <c r="O400" s="26" t="str">
        <f>IFERROR(__xludf.DUMMYFUNCTION("""COMPUTED_VALUE"""),"No")</f>
        <v>No</v>
      </c>
      <c r="P400" s="26"/>
    </row>
    <row r="401">
      <c r="A401" s="13" t="str">
        <f>IFERROR(__xludf.DUMMYFUNCTION("""COMPUTED_VALUE"""),"Darkstalkers Resurrection")</f>
        <v>Darkstalkers Resurrection</v>
      </c>
      <c r="B401" s="15" t="str">
        <f>IFERROR(__xludf.DUMMYFUNCTION("""COMPUTED_VALUE"""),"PS3")</f>
        <v>PS3</v>
      </c>
      <c r="C401" s="16" t="str">
        <f>IFERROR(__xludf.DUMMYFUNCTION("""COMPUTED_VALUE"""),"Playstation Plus (Discontinued)")</f>
        <v>Playstation Plus (Discontinued)</v>
      </c>
      <c r="D401" s="15" t="str">
        <f>IFERROR(__xludf.DUMMYFUNCTION("""COMPUTED_VALUE"""),"Removed")</f>
        <v>Removed</v>
      </c>
      <c r="E401" s="17">
        <f>IFERROR(__xludf.DUMMYFUNCTION("""COMPUTED_VALUE"""),42920.0)</f>
        <v>42920</v>
      </c>
      <c r="F401" s="54">
        <f>IFERROR(__xludf.DUMMYFUNCTION("""COMPUTED_VALUE"""),42947.0)</f>
        <v>42947</v>
      </c>
      <c r="G401" s="19">
        <f>IFERROR(__xludf.DUMMYFUNCTION("""COMPUTED_VALUE"""),0.8666666666666666)</f>
        <v>0.8666666667</v>
      </c>
      <c r="H401" s="17">
        <f>IFERROR(__xludf.DUMMYFUNCTION("""COMPUTED_VALUE"""),41345.0)</f>
        <v>41345</v>
      </c>
      <c r="I401" s="19">
        <f>IFERROR(__xludf.DUMMYFUNCTION("""COMPUTED_VALUE"""),4.311111111111111)</f>
        <v>4.311111111</v>
      </c>
      <c r="J401" s="21">
        <f>IFERROR(__xludf.DUMMYFUNCTION("""COMPUTED_VALUE"""),80.0)</f>
        <v>80</v>
      </c>
      <c r="K401" s="23">
        <f>IFERROR(__xludf.DUMMYFUNCTION("""COMPUTED_VALUE"""),7.6)</f>
        <v>7.6</v>
      </c>
      <c r="L401" s="24"/>
      <c r="M401" s="25" t="str">
        <f>IFERROR(__xludf.DUMMYFUNCTION("""COMPUTED_VALUE"""),"Fighting")</f>
        <v>Fighting</v>
      </c>
      <c r="N401" s="25"/>
      <c r="O401" s="26" t="str">
        <f>IFERROR(__xludf.DUMMYFUNCTION("""COMPUTED_VALUE"""),"No")</f>
        <v>No</v>
      </c>
      <c r="P401" s="26"/>
    </row>
    <row r="402">
      <c r="A402" s="13" t="str">
        <f>IFERROR(__xludf.DUMMYFUNCTION("""COMPUTED_VALUE"""),"Don’t Die, Mr. Robot")</f>
        <v>Don’t Die, Mr. Robot</v>
      </c>
      <c r="B402" s="15" t="str">
        <f>IFERROR(__xludf.DUMMYFUNCTION("""COMPUTED_VALUE"""),"PS4/Vita")</f>
        <v>PS4/Vita</v>
      </c>
      <c r="C402" s="16" t="str">
        <f>IFERROR(__xludf.DUMMYFUNCTION("""COMPUTED_VALUE"""),"Playstation Plus (Discontinued)")</f>
        <v>Playstation Plus (Discontinued)</v>
      </c>
      <c r="D402" s="15" t="str">
        <f>IFERROR(__xludf.DUMMYFUNCTION("""COMPUTED_VALUE"""),"Removed")</f>
        <v>Removed</v>
      </c>
      <c r="E402" s="17">
        <f>IFERROR(__xludf.DUMMYFUNCTION("""COMPUTED_VALUE"""),42920.0)</f>
        <v>42920</v>
      </c>
      <c r="F402" s="54">
        <f>IFERROR(__xludf.DUMMYFUNCTION("""COMPUTED_VALUE"""),42947.0)</f>
        <v>42947</v>
      </c>
      <c r="G402" s="19">
        <f>IFERROR(__xludf.DUMMYFUNCTION("""COMPUTED_VALUE"""),0.8666666666666666)</f>
        <v>0.8666666667</v>
      </c>
      <c r="H402" s="17">
        <f>IFERROR(__xludf.DUMMYFUNCTION("""COMPUTED_VALUE"""),42178.0)</f>
        <v>42178</v>
      </c>
      <c r="I402" s="19">
        <f>IFERROR(__xludf.DUMMYFUNCTION("""COMPUTED_VALUE"""),2.0305555555555554)</f>
        <v>2.030555556</v>
      </c>
      <c r="J402" s="21">
        <f>IFERROR(__xludf.DUMMYFUNCTION("""COMPUTED_VALUE"""),76.0)</f>
        <v>76</v>
      </c>
      <c r="K402" s="23">
        <f>IFERROR(__xludf.DUMMYFUNCTION("""COMPUTED_VALUE"""),6.8)</f>
        <v>6.8</v>
      </c>
      <c r="L402" s="24">
        <f>IFERROR(__xludf.DUMMYFUNCTION("""COMPUTED_VALUE"""),2.0)</f>
        <v>2</v>
      </c>
      <c r="M402" s="25" t="str">
        <f>IFERROR(__xludf.DUMMYFUNCTION("""COMPUTED_VALUE"""),"Arcade")</f>
        <v>Arcade</v>
      </c>
      <c r="N402" s="25"/>
      <c r="O402" s="26" t="str">
        <f>IFERROR(__xludf.DUMMYFUNCTION("""COMPUTED_VALUE"""),"No")</f>
        <v>No</v>
      </c>
      <c r="P402" s="26"/>
    </row>
    <row r="403" hidden="1">
      <c r="A403" s="13" t="str">
        <f>IFERROR(__xludf.DUMMYFUNCTION("""COMPUTED_VALUE"""),"Element4l")</f>
        <v>Element4l</v>
      </c>
      <c r="B403" s="15" t="str">
        <f>IFERROR(__xludf.DUMMYFUNCTION("""COMPUTED_VALUE"""),"Vita")</f>
        <v>Vita</v>
      </c>
      <c r="C403" s="16" t="str">
        <f>IFERROR(__xludf.DUMMYFUNCTION("""COMPUTED_VALUE"""),"Playstation Plus (Discontinued)")</f>
        <v>Playstation Plus (Discontinued)</v>
      </c>
      <c r="D403" s="15" t="str">
        <f>IFERROR(__xludf.DUMMYFUNCTION("""COMPUTED_VALUE"""),"Removed")</f>
        <v>Removed</v>
      </c>
      <c r="E403" s="17">
        <f>IFERROR(__xludf.DUMMYFUNCTION("""COMPUTED_VALUE"""),42920.0)</f>
        <v>42920</v>
      </c>
      <c r="F403" s="54">
        <f>IFERROR(__xludf.DUMMYFUNCTION("""COMPUTED_VALUE"""),42947.0)</f>
        <v>42947</v>
      </c>
      <c r="G403" s="19">
        <f>IFERROR(__xludf.DUMMYFUNCTION("""COMPUTED_VALUE"""),0.8666666666666666)</f>
        <v>0.8666666667</v>
      </c>
      <c r="H403" s="17">
        <f>IFERROR(__xludf.DUMMYFUNCTION("""COMPUTED_VALUE"""),42180.0)</f>
        <v>42180</v>
      </c>
      <c r="I403" s="19">
        <f>IFERROR(__xludf.DUMMYFUNCTION("""COMPUTED_VALUE"""),2.025)</f>
        <v>2.025</v>
      </c>
      <c r="J403" s="21">
        <f>IFERROR(__xludf.DUMMYFUNCTION("""COMPUTED_VALUE"""),62.0)</f>
        <v>62</v>
      </c>
      <c r="K403" s="23">
        <f>IFERROR(__xludf.DUMMYFUNCTION("""COMPUTED_VALUE"""),6.2)</f>
        <v>6.2</v>
      </c>
      <c r="L403" s="24">
        <f>IFERROR(__xludf.DUMMYFUNCTION("""COMPUTED_VALUE"""),3.0)</f>
        <v>3</v>
      </c>
      <c r="M403" s="25" t="str">
        <f>IFERROR(__xludf.DUMMYFUNCTION("""COMPUTED_VALUE"""),"Platformer")</f>
        <v>Platformer</v>
      </c>
      <c r="N403" s="25"/>
      <c r="O403" s="26" t="str">
        <f>IFERROR(__xludf.DUMMYFUNCTION("""COMPUTED_VALUE"""),"No")</f>
        <v>No</v>
      </c>
      <c r="P403" s="26"/>
    </row>
    <row r="404" hidden="1">
      <c r="A404" s="13" t="str">
        <f>IFERROR(__xludf.DUMMYFUNCTION("""COMPUTED_VALUE"""),"Killing Floor 2")</f>
        <v>Killing Floor 2</v>
      </c>
      <c r="B404" s="15" t="str">
        <f>IFERROR(__xludf.DUMMYFUNCTION("""COMPUTED_VALUE"""),"PS4")</f>
        <v>PS4</v>
      </c>
      <c r="C404" s="16" t="str">
        <f>IFERROR(__xludf.DUMMYFUNCTION("""COMPUTED_VALUE"""),"Playstation Plus (Discontinued)")</f>
        <v>Playstation Plus (Discontinued)</v>
      </c>
      <c r="D404" s="15" t="str">
        <f>IFERROR(__xludf.DUMMYFUNCTION("""COMPUTED_VALUE"""),"Removed")</f>
        <v>Removed</v>
      </c>
      <c r="E404" s="17">
        <f>IFERROR(__xludf.DUMMYFUNCTION("""COMPUTED_VALUE"""),42892.0)</f>
        <v>42892</v>
      </c>
      <c r="F404" s="54">
        <f>IFERROR(__xludf.DUMMYFUNCTION("""COMPUTED_VALUE"""),42919.0)</f>
        <v>42919</v>
      </c>
      <c r="G404" s="19">
        <f>IFERROR(__xludf.DUMMYFUNCTION("""COMPUTED_VALUE"""),0.8999999999999999)</f>
        <v>0.9</v>
      </c>
      <c r="H404" s="17">
        <f>IFERROR(__xludf.DUMMYFUNCTION("""COMPUTED_VALUE"""),42692.0)</f>
        <v>42692</v>
      </c>
      <c r="I404" s="19">
        <f>IFERROR(__xludf.DUMMYFUNCTION("""COMPUTED_VALUE"""),0.55)</f>
        <v>0.55</v>
      </c>
      <c r="J404" s="21">
        <f>IFERROR(__xludf.DUMMYFUNCTION("""COMPUTED_VALUE"""),75.0)</f>
        <v>75</v>
      </c>
      <c r="K404" s="23">
        <f>IFERROR(__xludf.DUMMYFUNCTION("""COMPUTED_VALUE"""),7.5)</f>
        <v>7.5</v>
      </c>
      <c r="L404" s="24">
        <f>IFERROR(__xludf.DUMMYFUNCTION("""COMPUTED_VALUE"""),16.0)</f>
        <v>16</v>
      </c>
      <c r="M404" s="25" t="str">
        <f>IFERROR(__xludf.DUMMYFUNCTION("""COMPUTED_VALUE"""),"Shooter")</f>
        <v>Shooter</v>
      </c>
      <c r="N404" s="25"/>
      <c r="O404" s="26" t="str">
        <f>IFERROR(__xludf.DUMMYFUNCTION("""COMPUTED_VALUE"""),"No")</f>
        <v>No</v>
      </c>
      <c r="P404" s="26"/>
    </row>
    <row r="405" hidden="1">
      <c r="A405" s="13" t="str">
        <f>IFERROR(__xludf.DUMMYFUNCTION("""COMPUTED_VALUE"""),"Life is Strange")</f>
        <v>Life is Strange</v>
      </c>
      <c r="B405" s="15" t="str">
        <f>IFERROR(__xludf.DUMMYFUNCTION("""COMPUTED_VALUE"""),"PS4")</f>
        <v>PS4</v>
      </c>
      <c r="C405" s="16" t="str">
        <f>IFERROR(__xludf.DUMMYFUNCTION("""COMPUTED_VALUE"""),"Playstation Plus (Discontinued)")</f>
        <v>Playstation Plus (Discontinued)</v>
      </c>
      <c r="D405" s="15" t="str">
        <f>IFERROR(__xludf.DUMMYFUNCTION("""COMPUTED_VALUE"""),"Removed")</f>
        <v>Removed</v>
      </c>
      <c r="E405" s="17">
        <f>IFERROR(__xludf.DUMMYFUNCTION("""COMPUTED_VALUE"""),42892.0)</f>
        <v>42892</v>
      </c>
      <c r="F405" s="54">
        <f>IFERROR(__xludf.DUMMYFUNCTION("""COMPUTED_VALUE"""),42919.0)</f>
        <v>42919</v>
      </c>
      <c r="G405" s="19">
        <f>IFERROR(__xludf.DUMMYFUNCTION("""COMPUTED_VALUE"""),0.8999999999999999)</f>
        <v>0.9</v>
      </c>
      <c r="H405" s="17">
        <f>IFERROR(__xludf.DUMMYFUNCTION("""COMPUTED_VALUE"""),42034.0)</f>
        <v>42034</v>
      </c>
      <c r="I405" s="19">
        <f>IFERROR(__xludf.DUMMYFUNCTION("""COMPUTED_VALUE"""),2.35)</f>
        <v>2.35</v>
      </c>
      <c r="J405" s="21">
        <f>IFERROR(__xludf.DUMMYFUNCTION("""COMPUTED_VALUE"""),85.0)</f>
        <v>85</v>
      </c>
      <c r="K405" s="23">
        <f>IFERROR(__xludf.DUMMYFUNCTION("""COMPUTED_VALUE"""),8.4)</f>
        <v>8.4</v>
      </c>
      <c r="L405" s="24">
        <f>IFERROR(__xludf.DUMMYFUNCTION("""COMPUTED_VALUE"""),14.0)</f>
        <v>14</v>
      </c>
      <c r="M405" s="25" t="str">
        <f>IFERROR(__xludf.DUMMYFUNCTION("""COMPUTED_VALUE"""),"Adventure")</f>
        <v>Adventure</v>
      </c>
      <c r="N405" s="25"/>
      <c r="O405" s="26" t="str">
        <f>IFERROR(__xludf.DUMMYFUNCTION("""COMPUTED_VALUE"""),"No")</f>
        <v>No</v>
      </c>
      <c r="P405" s="26"/>
    </row>
    <row r="406">
      <c r="A406" s="13" t="str">
        <f>IFERROR(__xludf.DUMMYFUNCTION("""COMPUTED_VALUE"""),"Abyss Odyssey")</f>
        <v>Abyss Odyssey</v>
      </c>
      <c r="B406" s="15" t="str">
        <f>IFERROR(__xludf.DUMMYFUNCTION("""COMPUTED_VALUE"""),"PS3")</f>
        <v>PS3</v>
      </c>
      <c r="C406" s="16" t="str">
        <f>IFERROR(__xludf.DUMMYFUNCTION("""COMPUTED_VALUE"""),"Playstation Plus (Discontinued)")</f>
        <v>Playstation Plus (Discontinued)</v>
      </c>
      <c r="D406" s="15" t="str">
        <f>IFERROR(__xludf.DUMMYFUNCTION("""COMPUTED_VALUE"""),"Removed")</f>
        <v>Removed</v>
      </c>
      <c r="E406" s="17">
        <f>IFERROR(__xludf.DUMMYFUNCTION("""COMPUTED_VALUE"""),42892.0)</f>
        <v>42892</v>
      </c>
      <c r="F406" s="54">
        <f>IFERROR(__xludf.DUMMYFUNCTION("""COMPUTED_VALUE"""),42919.0)</f>
        <v>42919</v>
      </c>
      <c r="G406" s="19">
        <f>IFERROR(__xludf.DUMMYFUNCTION("""COMPUTED_VALUE"""),0.8999999999999999)</f>
        <v>0.9</v>
      </c>
      <c r="H406" s="17">
        <f>IFERROR(__xludf.DUMMYFUNCTION("""COMPUTED_VALUE"""),41835.0)</f>
        <v>41835</v>
      </c>
      <c r="I406" s="19">
        <f>IFERROR(__xludf.DUMMYFUNCTION("""COMPUTED_VALUE"""),2.8916666666666666)</f>
        <v>2.891666667</v>
      </c>
      <c r="J406" s="21">
        <f>IFERROR(__xludf.DUMMYFUNCTION("""COMPUTED_VALUE"""),70.0)</f>
        <v>70</v>
      </c>
      <c r="K406" s="23">
        <f>IFERROR(__xludf.DUMMYFUNCTION("""COMPUTED_VALUE"""),6.5)</f>
        <v>6.5</v>
      </c>
      <c r="L406" s="24">
        <f>IFERROR(__xludf.DUMMYFUNCTION("""COMPUTED_VALUE"""),7.0)</f>
        <v>7</v>
      </c>
      <c r="M406" s="25" t="str">
        <f>IFERROR(__xludf.DUMMYFUNCTION("""COMPUTED_VALUE"""),"Action-Adventure")</f>
        <v>Action-Adventure</v>
      </c>
      <c r="N406" s="25"/>
      <c r="O406" s="26" t="str">
        <f>IFERROR(__xludf.DUMMYFUNCTION("""COMPUTED_VALUE"""),"No")</f>
        <v>No</v>
      </c>
      <c r="P406" s="26"/>
    </row>
    <row r="407">
      <c r="A407" s="13" t="str">
        <f>IFERROR(__xludf.DUMMYFUNCTION("""COMPUTED_VALUE"""),"WRC 5: World Rally Championship")</f>
        <v>WRC 5: World Rally Championship</v>
      </c>
      <c r="B407" s="15" t="str">
        <f>IFERROR(__xludf.DUMMYFUNCTION("""COMPUTED_VALUE"""),"PS3")</f>
        <v>PS3</v>
      </c>
      <c r="C407" s="16" t="str">
        <f>IFERROR(__xludf.DUMMYFUNCTION("""COMPUTED_VALUE"""),"Playstation Plus (Discontinued)")</f>
        <v>Playstation Plus (Discontinued)</v>
      </c>
      <c r="D407" s="15" t="str">
        <f>IFERROR(__xludf.DUMMYFUNCTION("""COMPUTED_VALUE"""),"Removed")</f>
        <v>Removed</v>
      </c>
      <c r="E407" s="17">
        <f>IFERROR(__xludf.DUMMYFUNCTION("""COMPUTED_VALUE"""),42892.0)</f>
        <v>42892</v>
      </c>
      <c r="F407" s="54">
        <f>IFERROR(__xludf.DUMMYFUNCTION("""COMPUTED_VALUE"""),42919.0)</f>
        <v>42919</v>
      </c>
      <c r="G407" s="19">
        <f>IFERROR(__xludf.DUMMYFUNCTION("""COMPUTED_VALUE"""),0.8999999999999999)</f>
        <v>0.9</v>
      </c>
      <c r="H407" s="17">
        <f>IFERROR(__xludf.DUMMYFUNCTION("""COMPUTED_VALUE"""),42290.0)</f>
        <v>42290</v>
      </c>
      <c r="I407" s="19">
        <f>IFERROR(__xludf.DUMMYFUNCTION("""COMPUTED_VALUE"""),1.6472222222222221)</f>
        <v>1.647222222</v>
      </c>
      <c r="J407" s="21">
        <f>IFERROR(__xludf.DUMMYFUNCTION("""COMPUTED_VALUE"""),62.0)</f>
        <v>62</v>
      </c>
      <c r="K407" s="23">
        <f>IFERROR(__xludf.DUMMYFUNCTION("""COMPUTED_VALUE"""),6.7)</f>
        <v>6.7</v>
      </c>
      <c r="L407" s="24"/>
      <c r="M407" s="25" t="str">
        <f>IFERROR(__xludf.DUMMYFUNCTION("""COMPUTED_VALUE"""),"Racing")</f>
        <v>Racing</v>
      </c>
      <c r="N407" s="25"/>
      <c r="O407" s="26" t="str">
        <f>IFERROR(__xludf.DUMMYFUNCTION("""COMPUTED_VALUE"""),"No")</f>
        <v>No</v>
      </c>
      <c r="P407" s="26"/>
    </row>
    <row r="408">
      <c r="A408" s="13" t="str">
        <f>IFERROR(__xludf.DUMMYFUNCTION("""COMPUTED_VALUE"""),"Neon Chrome")</f>
        <v>Neon Chrome</v>
      </c>
      <c r="B408" s="15" t="str">
        <f>IFERROR(__xludf.DUMMYFUNCTION("""COMPUTED_VALUE"""),"PS4/Vita")</f>
        <v>PS4/Vita</v>
      </c>
      <c r="C408" s="16" t="str">
        <f>IFERROR(__xludf.DUMMYFUNCTION("""COMPUTED_VALUE"""),"Playstation Plus (Discontinued)")</f>
        <v>Playstation Plus (Discontinued)</v>
      </c>
      <c r="D408" s="15" t="str">
        <f>IFERROR(__xludf.DUMMYFUNCTION("""COMPUTED_VALUE"""),"Removed")</f>
        <v>Removed</v>
      </c>
      <c r="E408" s="17">
        <f>IFERROR(__xludf.DUMMYFUNCTION("""COMPUTED_VALUE"""),42892.0)</f>
        <v>42892</v>
      </c>
      <c r="F408" s="54">
        <f>IFERROR(__xludf.DUMMYFUNCTION("""COMPUTED_VALUE"""),42919.0)</f>
        <v>42919</v>
      </c>
      <c r="G408" s="19">
        <f>IFERROR(__xludf.DUMMYFUNCTION("""COMPUTED_VALUE"""),0.8999999999999999)</f>
        <v>0.9</v>
      </c>
      <c r="H408" s="17">
        <f>IFERROR(__xludf.DUMMYFUNCTION("""COMPUTED_VALUE"""),42514.0)</f>
        <v>42514</v>
      </c>
      <c r="I408" s="19">
        <f>IFERROR(__xludf.DUMMYFUNCTION("""COMPUTED_VALUE"""),1.0333333333333334)</f>
        <v>1.033333333</v>
      </c>
      <c r="J408" s="21">
        <f>IFERROR(__xludf.DUMMYFUNCTION("""COMPUTED_VALUE"""),63.0)</f>
        <v>63</v>
      </c>
      <c r="K408" s="23">
        <f>IFERROR(__xludf.DUMMYFUNCTION("""COMPUTED_VALUE"""),6.9)</f>
        <v>6.9</v>
      </c>
      <c r="L408" s="24">
        <f>IFERROR(__xludf.DUMMYFUNCTION("""COMPUTED_VALUE"""),5.0)</f>
        <v>5</v>
      </c>
      <c r="M408" s="25" t="str">
        <f>IFERROR(__xludf.DUMMYFUNCTION("""COMPUTED_VALUE"""),"Shooter")</f>
        <v>Shooter</v>
      </c>
      <c r="N408" s="25"/>
      <c r="O408" s="26" t="str">
        <f>IFERROR(__xludf.DUMMYFUNCTION("""COMPUTED_VALUE"""),"No")</f>
        <v>No</v>
      </c>
      <c r="P408" s="26"/>
    </row>
    <row r="409" hidden="1">
      <c r="A409" s="13" t="str">
        <f>IFERROR(__xludf.DUMMYFUNCTION("""COMPUTED_VALUE"""),"Spy Chameleon")</f>
        <v>Spy Chameleon</v>
      </c>
      <c r="B409" s="15" t="str">
        <f>IFERROR(__xludf.DUMMYFUNCTION("""COMPUTED_VALUE"""),"PS4/Vita")</f>
        <v>PS4/Vita</v>
      </c>
      <c r="C409" s="16" t="str">
        <f>IFERROR(__xludf.DUMMYFUNCTION("""COMPUTED_VALUE"""),"Playstation Plus (Discontinued)")</f>
        <v>Playstation Plus (Discontinued)</v>
      </c>
      <c r="D409" s="15" t="str">
        <f>IFERROR(__xludf.DUMMYFUNCTION("""COMPUTED_VALUE"""),"Removed")</f>
        <v>Removed</v>
      </c>
      <c r="E409" s="17">
        <f>IFERROR(__xludf.DUMMYFUNCTION("""COMPUTED_VALUE"""),42892.0)</f>
        <v>42892</v>
      </c>
      <c r="F409" s="54">
        <f>IFERROR(__xludf.DUMMYFUNCTION("""COMPUTED_VALUE"""),42919.0)</f>
        <v>42919</v>
      </c>
      <c r="G409" s="19">
        <f>IFERROR(__xludf.DUMMYFUNCTION("""COMPUTED_VALUE"""),0.8999999999999999)</f>
        <v>0.9</v>
      </c>
      <c r="H409" s="17">
        <f>IFERROR(__xludf.DUMMYFUNCTION("""COMPUTED_VALUE"""),42166.0)</f>
        <v>42166</v>
      </c>
      <c r="I409" s="19">
        <f>IFERROR(__xludf.DUMMYFUNCTION("""COMPUTED_VALUE"""),1.9861111111111112)</f>
        <v>1.986111111</v>
      </c>
      <c r="J409" s="21">
        <f>IFERROR(__xludf.DUMMYFUNCTION("""COMPUTED_VALUE"""),65.0)</f>
        <v>65</v>
      </c>
      <c r="K409" s="23">
        <f>IFERROR(__xludf.DUMMYFUNCTION("""COMPUTED_VALUE"""),6.8)</f>
        <v>6.8</v>
      </c>
      <c r="L409" s="24">
        <f>IFERROR(__xludf.DUMMYFUNCTION("""COMPUTED_VALUE"""),3.0)</f>
        <v>3</v>
      </c>
      <c r="M409" s="25" t="str">
        <f>IFERROR(__xludf.DUMMYFUNCTION("""COMPUTED_VALUE"""),"Puzzle")</f>
        <v>Puzzle</v>
      </c>
      <c r="N409" s="25"/>
      <c r="O409" s="26" t="str">
        <f>IFERROR(__xludf.DUMMYFUNCTION("""COMPUTED_VALUE"""),"No")</f>
        <v>No</v>
      </c>
      <c r="P409" s="26"/>
    </row>
    <row r="410" hidden="1">
      <c r="A410" s="13" t="str">
        <f>IFERROR(__xludf.DUMMYFUNCTION("""COMPUTED_VALUE"""),"ABZU")</f>
        <v>ABZU</v>
      </c>
      <c r="B410" s="15" t="str">
        <f>IFERROR(__xludf.DUMMYFUNCTION("""COMPUTED_VALUE"""),"PS4")</f>
        <v>PS4</v>
      </c>
      <c r="C410" s="16" t="str">
        <f>IFERROR(__xludf.DUMMYFUNCTION("""COMPUTED_VALUE"""),"Playstation Plus (Discontinued)")</f>
        <v>Playstation Plus (Discontinued)</v>
      </c>
      <c r="D410" s="15" t="str">
        <f>IFERROR(__xludf.DUMMYFUNCTION("""COMPUTED_VALUE"""),"Removed")</f>
        <v>Removed</v>
      </c>
      <c r="E410" s="17">
        <f>IFERROR(__xludf.DUMMYFUNCTION("""COMPUTED_VALUE"""),42857.0)</f>
        <v>42857</v>
      </c>
      <c r="F410" s="54">
        <f>IFERROR(__xludf.DUMMYFUNCTION("""COMPUTED_VALUE"""),42891.0)</f>
        <v>42891</v>
      </c>
      <c r="G410" s="19">
        <f>IFERROR(__xludf.DUMMYFUNCTION("""COMPUTED_VALUE"""),1.0999999999999999)</f>
        <v>1.1</v>
      </c>
      <c r="H410" s="17">
        <f>IFERROR(__xludf.DUMMYFUNCTION("""COMPUTED_VALUE"""),42584.0)</f>
        <v>42584</v>
      </c>
      <c r="I410" s="19">
        <f>IFERROR(__xludf.DUMMYFUNCTION("""COMPUTED_VALUE"""),0.75)</f>
        <v>0.75</v>
      </c>
      <c r="J410" s="21">
        <f>IFERROR(__xludf.DUMMYFUNCTION("""COMPUTED_VALUE"""),78.0)</f>
        <v>78</v>
      </c>
      <c r="K410" s="23">
        <f>IFERROR(__xludf.DUMMYFUNCTION("""COMPUTED_VALUE"""),7.7)</f>
        <v>7.7</v>
      </c>
      <c r="L410" s="24">
        <f>IFERROR(__xludf.DUMMYFUNCTION("""COMPUTED_VALUE"""),2.0)</f>
        <v>2</v>
      </c>
      <c r="M410" s="25" t="str">
        <f>IFERROR(__xludf.DUMMYFUNCTION("""COMPUTED_VALUE"""),"Adventure")</f>
        <v>Adventure</v>
      </c>
      <c r="N410" s="25"/>
      <c r="O410" s="26" t="str">
        <f>IFERROR(__xludf.DUMMYFUNCTION("""COMPUTED_VALUE"""),"No")</f>
        <v>No</v>
      </c>
      <c r="P410" s="26"/>
    </row>
    <row r="411" hidden="1">
      <c r="A411" s="13" t="str">
        <f>IFERROR(__xludf.DUMMYFUNCTION("""COMPUTED_VALUE"""),"Tales from the Borderlands")</f>
        <v>Tales from the Borderlands</v>
      </c>
      <c r="B411" s="15" t="str">
        <f>IFERROR(__xludf.DUMMYFUNCTION("""COMPUTED_VALUE"""),"PS4")</f>
        <v>PS4</v>
      </c>
      <c r="C411" s="16" t="str">
        <f>IFERROR(__xludf.DUMMYFUNCTION("""COMPUTED_VALUE"""),"Playstation Plus (Discontinued)")</f>
        <v>Playstation Plus (Discontinued)</v>
      </c>
      <c r="D411" s="15" t="str">
        <f>IFERROR(__xludf.DUMMYFUNCTION("""COMPUTED_VALUE"""),"Removed")</f>
        <v>Removed</v>
      </c>
      <c r="E411" s="17">
        <f>IFERROR(__xludf.DUMMYFUNCTION("""COMPUTED_VALUE"""),42857.0)</f>
        <v>42857</v>
      </c>
      <c r="F411" s="54">
        <f>IFERROR(__xludf.DUMMYFUNCTION("""COMPUTED_VALUE"""),42891.0)</f>
        <v>42891</v>
      </c>
      <c r="G411" s="19">
        <f>IFERROR(__xludf.DUMMYFUNCTION("""COMPUTED_VALUE"""),1.0999999999999999)</f>
        <v>1.1</v>
      </c>
      <c r="H411" s="17">
        <f>IFERROR(__xludf.DUMMYFUNCTION("""COMPUTED_VALUE"""),41968.0)</f>
        <v>41968</v>
      </c>
      <c r="I411" s="19">
        <f>IFERROR(__xludf.DUMMYFUNCTION("""COMPUTED_VALUE"""),2.436111111111111)</f>
        <v>2.436111111</v>
      </c>
      <c r="J411" s="21">
        <f>IFERROR(__xludf.DUMMYFUNCTION("""COMPUTED_VALUE"""),86.0)</f>
        <v>86</v>
      </c>
      <c r="K411" s="23">
        <f>IFERROR(__xludf.DUMMYFUNCTION("""COMPUTED_VALUE"""),8.4)</f>
        <v>8.4</v>
      </c>
      <c r="L411" s="24">
        <f>IFERROR(__xludf.DUMMYFUNCTION("""COMPUTED_VALUE"""),12.0)</f>
        <v>12</v>
      </c>
      <c r="M411" s="25" t="str">
        <f>IFERROR(__xludf.DUMMYFUNCTION("""COMPUTED_VALUE"""),"Adventure")</f>
        <v>Adventure</v>
      </c>
      <c r="N411" s="25"/>
      <c r="O411" s="26" t="str">
        <f>IFERROR(__xludf.DUMMYFUNCTION("""COMPUTED_VALUE"""),"No")</f>
        <v>No</v>
      </c>
      <c r="P411" s="26"/>
    </row>
    <row r="412" hidden="1">
      <c r="A412" s="13" t="str">
        <f>IFERROR(__xludf.DUMMYFUNCTION("""COMPUTED_VALUE"""),"Blood Knights")</f>
        <v>Blood Knights</v>
      </c>
      <c r="B412" s="15" t="str">
        <f>IFERROR(__xludf.DUMMYFUNCTION("""COMPUTED_VALUE"""),"PS3")</f>
        <v>PS3</v>
      </c>
      <c r="C412" s="16" t="str">
        <f>IFERROR(__xludf.DUMMYFUNCTION("""COMPUTED_VALUE"""),"Playstation Plus (Discontinued)")</f>
        <v>Playstation Plus (Discontinued)</v>
      </c>
      <c r="D412" s="15" t="str">
        <f>IFERROR(__xludf.DUMMYFUNCTION("""COMPUTED_VALUE"""),"Removed")</f>
        <v>Removed</v>
      </c>
      <c r="E412" s="17">
        <f>IFERROR(__xludf.DUMMYFUNCTION("""COMPUTED_VALUE"""),42857.0)</f>
        <v>42857</v>
      </c>
      <c r="F412" s="54">
        <f>IFERROR(__xludf.DUMMYFUNCTION("""COMPUTED_VALUE"""),42891.0)</f>
        <v>42891</v>
      </c>
      <c r="G412" s="19">
        <f>IFERROR(__xludf.DUMMYFUNCTION("""COMPUTED_VALUE"""),1.0999999999999999)</f>
        <v>1.1</v>
      </c>
      <c r="H412" s="17">
        <f>IFERROR(__xludf.DUMMYFUNCTION("""COMPUTED_VALUE"""),41579.0)</f>
        <v>41579</v>
      </c>
      <c r="I412" s="19">
        <f>IFERROR(__xludf.DUMMYFUNCTION("""COMPUTED_VALUE"""),3.5027777777777778)</f>
        <v>3.502777778</v>
      </c>
      <c r="J412" s="21">
        <f>IFERROR(__xludf.DUMMYFUNCTION("""COMPUTED_VALUE"""),39.0)</f>
        <v>39</v>
      </c>
      <c r="K412" s="23">
        <f>IFERROR(__xludf.DUMMYFUNCTION("""COMPUTED_VALUE"""),4.8)</f>
        <v>4.8</v>
      </c>
      <c r="L412" s="24">
        <f>IFERROR(__xludf.DUMMYFUNCTION("""COMPUTED_VALUE"""),7.0)</f>
        <v>7</v>
      </c>
      <c r="M412" s="25" t="str">
        <f>IFERROR(__xludf.DUMMYFUNCTION("""COMPUTED_VALUE"""),"Action-Adventure")</f>
        <v>Action-Adventure</v>
      </c>
      <c r="N412" s="25"/>
      <c r="O412" s="26" t="str">
        <f>IFERROR(__xludf.DUMMYFUNCTION("""COMPUTED_VALUE"""),"No")</f>
        <v>No</v>
      </c>
      <c r="P412" s="26"/>
    </row>
    <row r="413">
      <c r="A413" s="13" t="str">
        <f>IFERROR(__xludf.DUMMYFUNCTION("""COMPUTED_VALUE"""),"Port Royale 3: Pirates and Merchants")</f>
        <v>Port Royale 3: Pirates and Merchants</v>
      </c>
      <c r="B413" s="15" t="str">
        <f>IFERROR(__xludf.DUMMYFUNCTION("""COMPUTED_VALUE"""),"PS3")</f>
        <v>PS3</v>
      </c>
      <c r="C413" s="16" t="str">
        <f>IFERROR(__xludf.DUMMYFUNCTION("""COMPUTED_VALUE"""),"Playstation Plus (Discontinued)")</f>
        <v>Playstation Plus (Discontinued)</v>
      </c>
      <c r="D413" s="15" t="str">
        <f>IFERROR(__xludf.DUMMYFUNCTION("""COMPUTED_VALUE"""),"Removed")</f>
        <v>Removed</v>
      </c>
      <c r="E413" s="17">
        <f>IFERROR(__xludf.DUMMYFUNCTION("""COMPUTED_VALUE"""),42857.0)</f>
        <v>42857</v>
      </c>
      <c r="F413" s="54">
        <f>IFERROR(__xludf.DUMMYFUNCTION("""COMPUTED_VALUE"""),42891.0)</f>
        <v>42891</v>
      </c>
      <c r="G413" s="19">
        <f>IFERROR(__xludf.DUMMYFUNCTION("""COMPUTED_VALUE"""),1.0999999999999999)</f>
        <v>1.1</v>
      </c>
      <c r="H413" s="17">
        <f>IFERROR(__xludf.DUMMYFUNCTION("""COMPUTED_VALUE"""),41157.0)</f>
        <v>41157</v>
      </c>
      <c r="I413" s="19">
        <f>IFERROR(__xludf.DUMMYFUNCTION("""COMPUTED_VALUE"""),4.658333333333333)</f>
        <v>4.658333333</v>
      </c>
      <c r="J413" s="21">
        <f>IFERROR(__xludf.DUMMYFUNCTION("""COMPUTED_VALUE"""),56.0)</f>
        <v>56</v>
      </c>
      <c r="K413" s="23">
        <f>IFERROR(__xludf.DUMMYFUNCTION("""COMPUTED_VALUE"""),6.6)</f>
        <v>6.6</v>
      </c>
      <c r="L413" s="24">
        <f>IFERROR(__xludf.DUMMYFUNCTION("""COMPUTED_VALUE"""),30.0)</f>
        <v>30</v>
      </c>
      <c r="M413" s="25" t="str">
        <f>IFERROR(__xludf.DUMMYFUNCTION("""COMPUTED_VALUE"""),"RPG")</f>
        <v>RPG</v>
      </c>
      <c r="N413" s="25"/>
      <c r="O413" s="26" t="str">
        <f>IFERROR(__xludf.DUMMYFUNCTION("""COMPUTED_VALUE"""),"No")</f>
        <v>No</v>
      </c>
      <c r="P413" s="26"/>
    </row>
    <row r="414">
      <c r="A414" s="13" t="str">
        <f>IFERROR(__xludf.DUMMYFUNCTION("""COMPUTED_VALUE"""),"Laser Disco Defenders")</f>
        <v>Laser Disco Defenders</v>
      </c>
      <c r="B414" s="15" t="str">
        <f>IFERROR(__xludf.DUMMYFUNCTION("""COMPUTED_VALUE"""),"PS4/Vita")</f>
        <v>PS4/Vita</v>
      </c>
      <c r="C414" s="16" t="str">
        <f>IFERROR(__xludf.DUMMYFUNCTION("""COMPUTED_VALUE"""),"Playstation Plus (Discontinued)")</f>
        <v>Playstation Plus (Discontinued)</v>
      </c>
      <c r="D414" s="15" t="str">
        <f>IFERROR(__xludf.DUMMYFUNCTION("""COMPUTED_VALUE"""),"Removed")</f>
        <v>Removed</v>
      </c>
      <c r="E414" s="17">
        <f>IFERROR(__xludf.DUMMYFUNCTION("""COMPUTED_VALUE"""),42857.0)</f>
        <v>42857</v>
      </c>
      <c r="F414" s="54">
        <f>IFERROR(__xludf.DUMMYFUNCTION("""COMPUTED_VALUE"""),42891.0)</f>
        <v>42891</v>
      </c>
      <c r="G414" s="19">
        <f>IFERROR(__xludf.DUMMYFUNCTION("""COMPUTED_VALUE"""),1.0999999999999999)</f>
        <v>1.1</v>
      </c>
      <c r="H414" s="17">
        <f>IFERROR(__xludf.DUMMYFUNCTION("""COMPUTED_VALUE"""),42502.0)</f>
        <v>42502</v>
      </c>
      <c r="I414" s="19">
        <f>IFERROR(__xludf.DUMMYFUNCTION("""COMPUTED_VALUE"""),0.9722222222222222)</f>
        <v>0.9722222222</v>
      </c>
      <c r="J414" s="21">
        <f>IFERROR(__xludf.DUMMYFUNCTION("""COMPUTED_VALUE"""),80.0)</f>
        <v>80</v>
      </c>
      <c r="K414" s="23">
        <f>IFERROR(__xludf.DUMMYFUNCTION("""COMPUTED_VALUE"""),6.2)</f>
        <v>6.2</v>
      </c>
      <c r="L414" s="24">
        <f>IFERROR(__xludf.DUMMYFUNCTION("""COMPUTED_VALUE"""),3.0)</f>
        <v>3</v>
      </c>
      <c r="M414" s="25" t="str">
        <f>IFERROR(__xludf.DUMMYFUNCTION("""COMPUTED_VALUE"""),"Shooter")</f>
        <v>Shooter</v>
      </c>
      <c r="N414" s="25"/>
      <c r="O414" s="26" t="str">
        <f>IFERROR(__xludf.DUMMYFUNCTION("""COMPUTED_VALUE"""),"No")</f>
        <v>No</v>
      </c>
      <c r="P414" s="26"/>
    </row>
    <row r="415" hidden="1">
      <c r="A415" s="13" t="str">
        <f>IFERROR(__xludf.DUMMYFUNCTION("""COMPUTED_VALUE"""),"Type:Rider")</f>
        <v>Type:Rider</v>
      </c>
      <c r="B415" s="15" t="str">
        <f>IFERROR(__xludf.DUMMYFUNCTION("""COMPUTED_VALUE"""),"PS4/Vita")</f>
        <v>PS4/Vita</v>
      </c>
      <c r="C415" s="16" t="str">
        <f>IFERROR(__xludf.DUMMYFUNCTION("""COMPUTED_VALUE"""),"Playstation Plus (Discontinued)")</f>
        <v>Playstation Plus (Discontinued)</v>
      </c>
      <c r="D415" s="15" t="str">
        <f>IFERROR(__xludf.DUMMYFUNCTION("""COMPUTED_VALUE"""),"Removed")</f>
        <v>Removed</v>
      </c>
      <c r="E415" s="17">
        <f>IFERROR(__xludf.DUMMYFUNCTION("""COMPUTED_VALUE"""),42857.0)</f>
        <v>42857</v>
      </c>
      <c r="F415" s="54">
        <f>IFERROR(__xludf.DUMMYFUNCTION("""COMPUTED_VALUE"""),42891.0)</f>
        <v>42891</v>
      </c>
      <c r="G415" s="19">
        <f>IFERROR(__xludf.DUMMYFUNCTION("""COMPUTED_VALUE"""),1.0999999999999999)</f>
        <v>1.1</v>
      </c>
      <c r="H415" s="17">
        <f>IFERROR(__xludf.DUMMYFUNCTION("""COMPUTED_VALUE"""),42283.0)</f>
        <v>42283</v>
      </c>
      <c r="I415" s="19">
        <f>IFERROR(__xludf.DUMMYFUNCTION("""COMPUTED_VALUE"""),1.5722222222222222)</f>
        <v>1.572222222</v>
      </c>
      <c r="J415" s="21">
        <f>IFERROR(__xludf.DUMMYFUNCTION("""COMPUTED_VALUE"""),68.0)</f>
        <v>68</v>
      </c>
      <c r="K415" s="23">
        <f>IFERROR(__xludf.DUMMYFUNCTION("""COMPUTED_VALUE"""),7.2)</f>
        <v>7.2</v>
      </c>
      <c r="L415" s="24">
        <f>IFERROR(__xludf.DUMMYFUNCTION("""COMPUTED_VALUE"""),2.0)</f>
        <v>2</v>
      </c>
      <c r="M415" s="25" t="str">
        <f>IFERROR(__xludf.DUMMYFUNCTION("""COMPUTED_VALUE"""),"Platformer")</f>
        <v>Platformer</v>
      </c>
      <c r="N415" s="25"/>
      <c r="O415" s="26" t="str">
        <f>IFERROR(__xludf.DUMMYFUNCTION("""COMPUTED_VALUE"""),"No")</f>
        <v>No</v>
      </c>
      <c r="P415" s="26"/>
    </row>
    <row r="416" hidden="1">
      <c r="A416" s="13" t="str">
        <f>IFERROR(__xludf.DUMMYFUNCTION("""COMPUTED_VALUE"""),"Drawn To Death")</f>
        <v>Drawn To Death</v>
      </c>
      <c r="B416" s="15" t="str">
        <f>IFERROR(__xludf.DUMMYFUNCTION("""COMPUTED_VALUE"""),"PS4")</f>
        <v>PS4</v>
      </c>
      <c r="C416" s="16" t="str">
        <f>IFERROR(__xludf.DUMMYFUNCTION("""COMPUTED_VALUE"""),"Playstation Plus (Discontinued)")</f>
        <v>Playstation Plus (Discontinued)</v>
      </c>
      <c r="D416" s="15" t="str">
        <f>IFERROR(__xludf.DUMMYFUNCTION("""COMPUTED_VALUE"""),"Removed")</f>
        <v>Removed</v>
      </c>
      <c r="E416" s="17">
        <f>IFERROR(__xludf.DUMMYFUNCTION("""COMPUTED_VALUE"""),42829.0)</f>
        <v>42829</v>
      </c>
      <c r="F416" s="54">
        <f>IFERROR(__xludf.DUMMYFUNCTION("""COMPUTED_VALUE"""),42856.0)</f>
        <v>42856</v>
      </c>
      <c r="G416" s="19">
        <f>IFERROR(__xludf.DUMMYFUNCTION("""COMPUTED_VALUE"""),0.8999999999999999)</f>
        <v>0.9</v>
      </c>
      <c r="H416" s="17">
        <f>IFERROR(__xludf.DUMMYFUNCTION("""COMPUTED_VALUE"""),42829.0)</f>
        <v>42829</v>
      </c>
      <c r="I416" s="19">
        <f>IFERROR(__xludf.DUMMYFUNCTION("""COMPUTED_VALUE"""),0.0)</f>
        <v>0</v>
      </c>
      <c r="J416" s="21">
        <f>IFERROR(__xludf.DUMMYFUNCTION("""COMPUTED_VALUE"""),54.0)</f>
        <v>54</v>
      </c>
      <c r="K416" s="23">
        <f>IFERROR(__xludf.DUMMYFUNCTION("""COMPUTED_VALUE"""),6.1)</f>
        <v>6.1</v>
      </c>
      <c r="L416" s="24"/>
      <c r="M416" s="25" t="str">
        <f>IFERROR(__xludf.DUMMYFUNCTION("""COMPUTED_VALUE"""),"Shooter")</f>
        <v>Shooter</v>
      </c>
      <c r="N416" s="25"/>
      <c r="O416" s="26" t="str">
        <f>IFERROR(__xludf.DUMMYFUNCTION("""COMPUTED_VALUE"""),"No")</f>
        <v>No</v>
      </c>
      <c r="P416" s="26"/>
    </row>
    <row r="417" hidden="1">
      <c r="A417" s="13" t="str">
        <f>IFERROR(__xludf.DUMMYFUNCTION("""COMPUTED_VALUE"""),"Lovers in a Dangerous Spacetime")</f>
        <v>Lovers in a Dangerous Spacetime</v>
      </c>
      <c r="B417" s="15" t="str">
        <f>IFERROR(__xludf.DUMMYFUNCTION("""COMPUTED_VALUE"""),"PS4")</f>
        <v>PS4</v>
      </c>
      <c r="C417" s="16" t="str">
        <f>IFERROR(__xludf.DUMMYFUNCTION("""COMPUTED_VALUE"""),"Playstation Plus (Discontinued)")</f>
        <v>Playstation Plus (Discontinued)</v>
      </c>
      <c r="D417" s="15" t="str">
        <f>IFERROR(__xludf.DUMMYFUNCTION("""COMPUTED_VALUE"""),"Removed")</f>
        <v>Removed</v>
      </c>
      <c r="E417" s="17">
        <f>IFERROR(__xludf.DUMMYFUNCTION("""COMPUTED_VALUE"""),42829.0)</f>
        <v>42829</v>
      </c>
      <c r="F417" s="54">
        <f>IFERROR(__xludf.DUMMYFUNCTION("""COMPUTED_VALUE"""),42856.0)</f>
        <v>42856</v>
      </c>
      <c r="G417" s="19">
        <f>IFERROR(__xludf.DUMMYFUNCTION("""COMPUTED_VALUE"""),0.8999999999999999)</f>
        <v>0.9</v>
      </c>
      <c r="H417" s="17">
        <f>IFERROR(__xludf.DUMMYFUNCTION("""COMPUTED_VALUE"""),42256.0)</f>
        <v>42256</v>
      </c>
      <c r="I417" s="19">
        <f>IFERROR(__xludf.DUMMYFUNCTION("""COMPUTED_VALUE"""),1.5694444444444444)</f>
        <v>1.569444444</v>
      </c>
      <c r="J417" s="21">
        <f>IFERROR(__xludf.DUMMYFUNCTION("""COMPUTED_VALUE"""),82.0)</f>
        <v>82</v>
      </c>
      <c r="K417" s="23">
        <f>IFERROR(__xludf.DUMMYFUNCTION("""COMPUTED_VALUE"""),7.7)</f>
        <v>7.7</v>
      </c>
      <c r="L417" s="24">
        <f>IFERROR(__xludf.DUMMYFUNCTION("""COMPUTED_VALUE"""),7.0)</f>
        <v>7</v>
      </c>
      <c r="M417" s="25" t="str">
        <f>IFERROR(__xludf.DUMMYFUNCTION("""COMPUTED_VALUE"""),"Action-Adventure")</f>
        <v>Action-Adventure</v>
      </c>
      <c r="N417" s="25"/>
      <c r="O417" s="26" t="str">
        <f>IFERROR(__xludf.DUMMYFUNCTION("""COMPUTED_VALUE"""),"No")</f>
        <v>No</v>
      </c>
      <c r="P417" s="26"/>
    </row>
    <row r="418" hidden="1">
      <c r="A418" s="13" t="str">
        <f>IFERROR(__xludf.DUMMYFUNCTION("""COMPUTED_VALUE"""),"Invizimals: The Lost Kingdom")</f>
        <v>Invizimals: The Lost Kingdom</v>
      </c>
      <c r="B418" s="15" t="str">
        <f>IFERROR(__xludf.DUMMYFUNCTION("""COMPUTED_VALUE"""),"PS3")</f>
        <v>PS3</v>
      </c>
      <c r="C418" s="16" t="str">
        <f>IFERROR(__xludf.DUMMYFUNCTION("""COMPUTED_VALUE"""),"Playstation Plus (Discontinued)")</f>
        <v>Playstation Plus (Discontinued)</v>
      </c>
      <c r="D418" s="15" t="str">
        <f>IFERROR(__xludf.DUMMYFUNCTION("""COMPUTED_VALUE"""),"Removed")</f>
        <v>Removed</v>
      </c>
      <c r="E418" s="17">
        <f>IFERROR(__xludf.DUMMYFUNCTION("""COMPUTED_VALUE"""),42829.0)</f>
        <v>42829</v>
      </c>
      <c r="F418" s="54">
        <f>IFERROR(__xludf.DUMMYFUNCTION("""COMPUTED_VALUE"""),42856.0)</f>
        <v>42856</v>
      </c>
      <c r="G418" s="19">
        <f>IFERROR(__xludf.DUMMYFUNCTION("""COMPUTED_VALUE"""),0.8999999999999999)</f>
        <v>0.9</v>
      </c>
      <c r="H418" s="17">
        <f>IFERROR(__xludf.DUMMYFUNCTION("""COMPUTED_VALUE"""),41901.0)</f>
        <v>41901</v>
      </c>
      <c r="I418" s="19">
        <f>IFERROR(__xludf.DUMMYFUNCTION("""COMPUTED_VALUE"""),2.5416666666666665)</f>
        <v>2.541666667</v>
      </c>
      <c r="J418" s="21">
        <f>IFERROR(__xludf.DUMMYFUNCTION("""COMPUTED_VALUE"""),50.0)</f>
        <v>50</v>
      </c>
      <c r="K418" s="23">
        <f>IFERROR(__xludf.DUMMYFUNCTION("""COMPUTED_VALUE"""),6.2)</f>
        <v>6.2</v>
      </c>
      <c r="L418" s="24">
        <f>IFERROR(__xludf.DUMMYFUNCTION("""COMPUTED_VALUE"""),8.0)</f>
        <v>8</v>
      </c>
      <c r="M418" s="25" t="str">
        <f>IFERROR(__xludf.DUMMYFUNCTION("""COMPUTED_VALUE"""),"Action-Adventure")</f>
        <v>Action-Adventure</v>
      </c>
      <c r="N418" s="25"/>
      <c r="O418" s="26" t="str">
        <f>IFERROR(__xludf.DUMMYFUNCTION("""COMPUTED_VALUE"""),"No")</f>
        <v>No</v>
      </c>
      <c r="P418" s="26"/>
    </row>
    <row r="419">
      <c r="A419" s="13" t="str">
        <f>IFERROR(__xludf.DUMMYFUNCTION("""COMPUTED_VALUE"""),"Alien Rage - Extended Edition")</f>
        <v>Alien Rage - Extended Edition</v>
      </c>
      <c r="B419" s="15" t="str">
        <f>IFERROR(__xludf.DUMMYFUNCTION("""COMPUTED_VALUE"""),"PS3")</f>
        <v>PS3</v>
      </c>
      <c r="C419" s="16" t="str">
        <f>IFERROR(__xludf.DUMMYFUNCTION("""COMPUTED_VALUE"""),"Playstation Plus (Discontinued)")</f>
        <v>Playstation Plus (Discontinued)</v>
      </c>
      <c r="D419" s="15" t="str">
        <f>IFERROR(__xludf.DUMMYFUNCTION("""COMPUTED_VALUE"""),"Removed")</f>
        <v>Removed</v>
      </c>
      <c r="E419" s="17">
        <f>IFERROR(__xludf.DUMMYFUNCTION("""COMPUTED_VALUE"""),42829.0)</f>
        <v>42829</v>
      </c>
      <c r="F419" s="54">
        <f>IFERROR(__xludf.DUMMYFUNCTION("""COMPUTED_VALUE"""),42856.0)</f>
        <v>42856</v>
      </c>
      <c r="G419" s="19">
        <f>IFERROR(__xludf.DUMMYFUNCTION("""COMPUTED_VALUE"""),0.8999999999999999)</f>
        <v>0.9</v>
      </c>
      <c r="H419" s="17">
        <f>IFERROR(__xludf.DUMMYFUNCTION("""COMPUTED_VALUE"""),41555.0)</f>
        <v>41555</v>
      </c>
      <c r="I419" s="19">
        <f>IFERROR(__xludf.DUMMYFUNCTION("""COMPUTED_VALUE"""),3.488888888888889)</f>
        <v>3.488888889</v>
      </c>
      <c r="J419" s="21">
        <f>IFERROR(__xludf.DUMMYFUNCTION("""COMPUTED_VALUE"""),45.0)</f>
        <v>45</v>
      </c>
      <c r="K419" s="23">
        <f>IFERROR(__xludf.DUMMYFUNCTION("""COMPUTED_VALUE"""),5.6)</f>
        <v>5.6</v>
      </c>
      <c r="L419" s="24">
        <f>IFERROR(__xludf.DUMMYFUNCTION("""COMPUTED_VALUE"""),5.0)</f>
        <v>5</v>
      </c>
      <c r="M419" s="25" t="str">
        <f>IFERROR(__xludf.DUMMYFUNCTION("""COMPUTED_VALUE"""),"Shooter")</f>
        <v>Shooter</v>
      </c>
      <c r="N419" s="25"/>
      <c r="O419" s="26" t="str">
        <f>IFERROR(__xludf.DUMMYFUNCTION("""COMPUTED_VALUE"""),"No")</f>
        <v>No</v>
      </c>
      <c r="P419" s="26"/>
    </row>
    <row r="420">
      <c r="A420" s="13" t="str">
        <f>IFERROR(__xludf.DUMMYFUNCTION("""COMPUTED_VALUE"""),"10 Second Ninja X")</f>
        <v>10 Second Ninja X</v>
      </c>
      <c r="B420" s="15" t="str">
        <f>IFERROR(__xludf.DUMMYFUNCTION("""COMPUTED_VALUE"""),"PS4/Vita")</f>
        <v>PS4/Vita</v>
      </c>
      <c r="C420" s="16" t="str">
        <f>IFERROR(__xludf.DUMMYFUNCTION("""COMPUTED_VALUE"""),"Playstation Plus (Discontinued)")</f>
        <v>Playstation Plus (Discontinued)</v>
      </c>
      <c r="D420" s="15" t="str">
        <f>IFERROR(__xludf.DUMMYFUNCTION("""COMPUTED_VALUE"""),"Removed")</f>
        <v>Removed</v>
      </c>
      <c r="E420" s="17">
        <f>IFERROR(__xludf.DUMMYFUNCTION("""COMPUTED_VALUE"""),42829.0)</f>
        <v>42829</v>
      </c>
      <c r="F420" s="54">
        <f>IFERROR(__xludf.DUMMYFUNCTION("""COMPUTED_VALUE"""),42856.0)</f>
        <v>42856</v>
      </c>
      <c r="G420" s="19">
        <f>IFERROR(__xludf.DUMMYFUNCTION("""COMPUTED_VALUE"""),0.8999999999999999)</f>
        <v>0.9</v>
      </c>
      <c r="H420" s="17">
        <f>IFERROR(__xludf.DUMMYFUNCTION("""COMPUTED_VALUE"""),42570.0)</f>
        <v>42570</v>
      </c>
      <c r="I420" s="19">
        <f>IFERROR(__xludf.DUMMYFUNCTION("""COMPUTED_VALUE"""),0.7083333333333334)</f>
        <v>0.7083333333</v>
      </c>
      <c r="J420" s="21">
        <f>IFERROR(__xludf.DUMMYFUNCTION("""COMPUTED_VALUE"""),76.0)</f>
        <v>76</v>
      </c>
      <c r="K420" s="23">
        <f>IFERROR(__xludf.DUMMYFUNCTION("""COMPUTED_VALUE"""),7.3)</f>
        <v>7.3</v>
      </c>
      <c r="L420" s="24">
        <f>IFERROR(__xludf.DUMMYFUNCTION("""COMPUTED_VALUE"""),2.0)</f>
        <v>2</v>
      </c>
      <c r="M420" s="25" t="str">
        <f>IFERROR(__xludf.DUMMYFUNCTION("""COMPUTED_VALUE"""),"Platformer")</f>
        <v>Platformer</v>
      </c>
      <c r="N420" s="25"/>
      <c r="O420" s="26" t="str">
        <f>IFERROR(__xludf.DUMMYFUNCTION("""COMPUTED_VALUE"""),"No")</f>
        <v>No</v>
      </c>
      <c r="P420" s="26"/>
    </row>
    <row r="421" hidden="1">
      <c r="A421" s="13" t="str">
        <f>IFERROR(__xludf.DUMMYFUNCTION("""COMPUTED_VALUE"""),"Curses ‘N Chaos")</f>
        <v>Curses ‘N Chaos</v>
      </c>
      <c r="B421" s="15" t="str">
        <f>IFERROR(__xludf.DUMMYFUNCTION("""COMPUTED_VALUE"""),"PS4/Vita")</f>
        <v>PS4/Vita</v>
      </c>
      <c r="C421" s="16" t="str">
        <f>IFERROR(__xludf.DUMMYFUNCTION("""COMPUTED_VALUE"""),"Playstation Plus (Discontinued)")</f>
        <v>Playstation Plus (Discontinued)</v>
      </c>
      <c r="D421" s="15" t="str">
        <f>IFERROR(__xludf.DUMMYFUNCTION("""COMPUTED_VALUE"""),"Removed")</f>
        <v>Removed</v>
      </c>
      <c r="E421" s="17">
        <f>IFERROR(__xludf.DUMMYFUNCTION("""COMPUTED_VALUE"""),42829.0)</f>
        <v>42829</v>
      </c>
      <c r="F421" s="54">
        <f>IFERROR(__xludf.DUMMYFUNCTION("""COMPUTED_VALUE"""),42856.0)</f>
        <v>42856</v>
      </c>
      <c r="G421" s="19">
        <f>IFERROR(__xludf.DUMMYFUNCTION("""COMPUTED_VALUE"""),0.8999999999999999)</f>
        <v>0.9</v>
      </c>
      <c r="H421" s="17">
        <f>IFERROR(__xludf.DUMMYFUNCTION("""COMPUTED_VALUE"""),42234.0)</f>
        <v>42234</v>
      </c>
      <c r="I421" s="19">
        <f>IFERROR(__xludf.DUMMYFUNCTION("""COMPUTED_VALUE"""),1.6277777777777778)</f>
        <v>1.627777778</v>
      </c>
      <c r="J421" s="21">
        <f>IFERROR(__xludf.DUMMYFUNCTION("""COMPUTED_VALUE"""),70.0)</f>
        <v>70</v>
      </c>
      <c r="K421" s="23">
        <f>IFERROR(__xludf.DUMMYFUNCTION("""COMPUTED_VALUE"""),7.0)</f>
        <v>7</v>
      </c>
      <c r="L421" s="24">
        <f>IFERROR(__xludf.DUMMYFUNCTION("""COMPUTED_VALUE"""),4.0)</f>
        <v>4</v>
      </c>
      <c r="M421" s="25" t="str">
        <f>IFERROR(__xludf.DUMMYFUNCTION("""COMPUTED_VALUE"""),"Platformer")</f>
        <v>Platformer</v>
      </c>
      <c r="N421" s="25"/>
      <c r="O421" s="26" t="str">
        <f>IFERROR(__xludf.DUMMYFUNCTION("""COMPUTED_VALUE"""),"No")</f>
        <v>No</v>
      </c>
      <c r="P421" s="26"/>
    </row>
    <row r="422" hidden="1">
      <c r="A422" s="13" t="str">
        <f>IFERROR(__xludf.DUMMYFUNCTION("""COMPUTED_VALUE"""),"Tearaway Unfolded")</f>
        <v>Tearaway Unfolded</v>
      </c>
      <c r="B422" s="15" t="str">
        <f>IFERROR(__xludf.DUMMYFUNCTION("""COMPUTED_VALUE"""),"PS4")</f>
        <v>PS4</v>
      </c>
      <c r="C422" s="16" t="str">
        <f>IFERROR(__xludf.DUMMYFUNCTION("""COMPUTED_VALUE"""),"Playstation Plus (Discontinued)")</f>
        <v>Playstation Plus (Discontinued)</v>
      </c>
      <c r="D422" s="15" t="str">
        <f>IFERROR(__xludf.DUMMYFUNCTION("""COMPUTED_VALUE"""),"Removed")</f>
        <v>Removed</v>
      </c>
      <c r="E422" s="17">
        <f>IFERROR(__xludf.DUMMYFUNCTION("""COMPUTED_VALUE"""),42801.0)</f>
        <v>42801</v>
      </c>
      <c r="F422" s="54">
        <f>IFERROR(__xludf.DUMMYFUNCTION("""COMPUTED_VALUE"""),42828.0)</f>
        <v>42828</v>
      </c>
      <c r="G422" s="19">
        <f>IFERROR(__xludf.DUMMYFUNCTION("""COMPUTED_VALUE"""),0.8666666666666666)</f>
        <v>0.8666666667</v>
      </c>
      <c r="H422" s="17">
        <f>IFERROR(__xludf.DUMMYFUNCTION("""COMPUTED_VALUE"""),42255.0)</f>
        <v>42255</v>
      </c>
      <c r="I422" s="19">
        <f>IFERROR(__xludf.DUMMYFUNCTION("""COMPUTED_VALUE"""),1.4972222222222222)</f>
        <v>1.497222222</v>
      </c>
      <c r="J422" s="21">
        <f>IFERROR(__xludf.DUMMYFUNCTION("""COMPUTED_VALUE"""),81.0)</f>
        <v>81</v>
      </c>
      <c r="K422" s="23">
        <f>IFERROR(__xludf.DUMMYFUNCTION("""COMPUTED_VALUE"""),7.8)</f>
        <v>7.8</v>
      </c>
      <c r="L422" s="24">
        <f>IFERROR(__xludf.DUMMYFUNCTION("""COMPUTED_VALUE"""),8.0)</f>
        <v>8</v>
      </c>
      <c r="M422" s="25" t="str">
        <f>IFERROR(__xludf.DUMMYFUNCTION("""COMPUTED_VALUE"""),"Platformer")</f>
        <v>Platformer</v>
      </c>
      <c r="N422" s="25"/>
      <c r="O422" s="26" t="str">
        <f>IFERROR(__xludf.DUMMYFUNCTION("""COMPUTED_VALUE"""),"No")</f>
        <v>No</v>
      </c>
      <c r="P422" s="26"/>
    </row>
    <row r="423">
      <c r="A423" s="13" t="str">
        <f>IFERROR(__xludf.DUMMYFUNCTION("""COMPUTED_VALUE"""),"Disc Jam")</f>
        <v>Disc Jam</v>
      </c>
      <c r="B423" s="15" t="str">
        <f>IFERROR(__xludf.DUMMYFUNCTION("""COMPUTED_VALUE"""),"PS4")</f>
        <v>PS4</v>
      </c>
      <c r="C423" s="16" t="str">
        <f>IFERROR(__xludf.DUMMYFUNCTION("""COMPUTED_VALUE"""),"Playstation Plus (Discontinued)")</f>
        <v>Playstation Plus (Discontinued)</v>
      </c>
      <c r="D423" s="15" t="str">
        <f>IFERROR(__xludf.DUMMYFUNCTION("""COMPUTED_VALUE"""),"Removed")</f>
        <v>Removed</v>
      </c>
      <c r="E423" s="17">
        <f>IFERROR(__xludf.DUMMYFUNCTION("""COMPUTED_VALUE"""),42801.0)</f>
        <v>42801</v>
      </c>
      <c r="F423" s="54">
        <f>IFERROR(__xludf.DUMMYFUNCTION("""COMPUTED_VALUE"""),42828.0)</f>
        <v>42828</v>
      </c>
      <c r="G423" s="19">
        <f>IFERROR(__xludf.DUMMYFUNCTION("""COMPUTED_VALUE"""),0.8666666666666666)</f>
        <v>0.8666666667</v>
      </c>
      <c r="H423" s="17">
        <f>IFERROR(__xludf.DUMMYFUNCTION("""COMPUTED_VALUE"""),42801.0)</f>
        <v>42801</v>
      </c>
      <c r="I423" s="19">
        <f>IFERROR(__xludf.DUMMYFUNCTION("""COMPUTED_VALUE"""),0.0)</f>
        <v>0</v>
      </c>
      <c r="J423" s="21">
        <f>IFERROR(__xludf.DUMMYFUNCTION("""COMPUTED_VALUE"""),71.0)</f>
        <v>71</v>
      </c>
      <c r="K423" s="23">
        <f>IFERROR(__xludf.DUMMYFUNCTION("""COMPUTED_VALUE"""),6.8)</f>
        <v>6.8</v>
      </c>
      <c r="L423" s="24"/>
      <c r="M423" s="25" t="str">
        <f>IFERROR(__xludf.DUMMYFUNCTION("""COMPUTED_VALUE"""),"Sports")</f>
        <v>Sports</v>
      </c>
      <c r="N423" s="25"/>
      <c r="O423" s="26" t="str">
        <f>IFERROR(__xludf.DUMMYFUNCTION("""COMPUTED_VALUE"""),"No")</f>
        <v>No</v>
      </c>
      <c r="P423" s="26"/>
    </row>
    <row r="424" hidden="1">
      <c r="A424" s="13" t="str">
        <f>IFERROR(__xludf.DUMMYFUNCTION("""COMPUTED_VALUE"""),"Lumo")</f>
        <v>Lumo</v>
      </c>
      <c r="B424" s="15" t="str">
        <f>IFERROR(__xludf.DUMMYFUNCTION("""COMPUTED_VALUE"""),"PS4/Vita")</f>
        <v>PS4/Vita</v>
      </c>
      <c r="C424" s="16" t="str">
        <f>IFERROR(__xludf.DUMMYFUNCTION("""COMPUTED_VALUE"""),"Playstation Plus (Discontinued)")</f>
        <v>Playstation Plus (Discontinued)</v>
      </c>
      <c r="D424" s="15" t="str">
        <f>IFERROR(__xludf.DUMMYFUNCTION("""COMPUTED_VALUE"""),"Removed")</f>
        <v>Removed</v>
      </c>
      <c r="E424" s="17">
        <f>IFERROR(__xludf.DUMMYFUNCTION("""COMPUTED_VALUE"""),42801.0)</f>
        <v>42801</v>
      </c>
      <c r="F424" s="54">
        <f>IFERROR(__xludf.DUMMYFUNCTION("""COMPUTED_VALUE"""),42828.0)</f>
        <v>42828</v>
      </c>
      <c r="G424" s="19">
        <f>IFERROR(__xludf.DUMMYFUNCTION("""COMPUTED_VALUE"""),0.8666666666666666)</f>
        <v>0.8666666667</v>
      </c>
      <c r="H424" s="17">
        <f>IFERROR(__xludf.DUMMYFUNCTION("""COMPUTED_VALUE"""),42514.0)</f>
        <v>42514</v>
      </c>
      <c r="I424" s="19">
        <f>IFERROR(__xludf.DUMMYFUNCTION("""COMPUTED_VALUE"""),0.7861111111111111)</f>
        <v>0.7861111111</v>
      </c>
      <c r="J424" s="21">
        <f>IFERROR(__xludf.DUMMYFUNCTION("""COMPUTED_VALUE"""),73.0)</f>
        <v>73</v>
      </c>
      <c r="K424" s="23">
        <f>IFERROR(__xludf.DUMMYFUNCTION("""COMPUTED_VALUE"""),7.0)</f>
        <v>7</v>
      </c>
      <c r="L424" s="24">
        <f>IFERROR(__xludf.DUMMYFUNCTION("""COMPUTED_VALUE"""),8.0)</f>
        <v>8</v>
      </c>
      <c r="M424" s="25" t="str">
        <f>IFERROR(__xludf.DUMMYFUNCTION("""COMPUTED_VALUE"""),"Action-Adventure")</f>
        <v>Action-Adventure</v>
      </c>
      <c r="N424" s="25"/>
      <c r="O424" s="26" t="str">
        <f>IFERROR(__xludf.DUMMYFUNCTION("""COMPUTED_VALUE"""),"No")</f>
        <v>No</v>
      </c>
      <c r="P424" s="26"/>
    </row>
    <row r="425" hidden="1">
      <c r="A425" s="13" t="str">
        <f>IFERROR(__xludf.DUMMYFUNCTION("""COMPUTED_VALUE"""),"Under Night In-Birth Exe:Late")</f>
        <v>Under Night In-Birth Exe:Late</v>
      </c>
      <c r="B425" s="15" t="str">
        <f>IFERROR(__xludf.DUMMYFUNCTION("""COMPUTED_VALUE"""),"PS3")</f>
        <v>PS3</v>
      </c>
      <c r="C425" s="16" t="str">
        <f>IFERROR(__xludf.DUMMYFUNCTION("""COMPUTED_VALUE"""),"Playstation Plus (Discontinued)")</f>
        <v>Playstation Plus (Discontinued)</v>
      </c>
      <c r="D425" s="15" t="str">
        <f>IFERROR(__xludf.DUMMYFUNCTION("""COMPUTED_VALUE"""),"Removed")</f>
        <v>Removed</v>
      </c>
      <c r="E425" s="17">
        <f>IFERROR(__xludf.DUMMYFUNCTION("""COMPUTED_VALUE"""),42801.0)</f>
        <v>42801</v>
      </c>
      <c r="F425" s="54">
        <f>IFERROR(__xludf.DUMMYFUNCTION("""COMPUTED_VALUE"""),42828.0)</f>
        <v>42828</v>
      </c>
      <c r="G425" s="19">
        <f>IFERROR(__xludf.DUMMYFUNCTION("""COMPUTED_VALUE"""),0.8666666666666666)</f>
        <v>0.8666666667</v>
      </c>
      <c r="H425" s="17">
        <f>IFERROR(__xludf.DUMMYFUNCTION("""COMPUTED_VALUE"""),42059.0)</f>
        <v>42059</v>
      </c>
      <c r="I425" s="19">
        <f>IFERROR(__xludf.DUMMYFUNCTION("""COMPUTED_VALUE"""),2.036111111111111)</f>
        <v>2.036111111</v>
      </c>
      <c r="J425" s="21">
        <f>IFERROR(__xludf.DUMMYFUNCTION("""COMPUTED_VALUE"""),80.0)</f>
        <v>80</v>
      </c>
      <c r="K425" s="23">
        <f>IFERROR(__xludf.DUMMYFUNCTION("""COMPUTED_VALUE"""),7.7)</f>
        <v>7.7</v>
      </c>
      <c r="L425" s="24"/>
      <c r="M425" s="25" t="str">
        <f>IFERROR(__xludf.DUMMYFUNCTION("""COMPUTED_VALUE"""),"Fighting")</f>
        <v>Fighting</v>
      </c>
      <c r="N425" s="25"/>
      <c r="O425" s="26" t="str">
        <f>IFERROR(__xludf.DUMMYFUNCTION("""COMPUTED_VALUE"""),"No")</f>
        <v>No</v>
      </c>
      <c r="P425" s="26"/>
    </row>
    <row r="426">
      <c r="A426" s="13" t="str">
        <f>IFERROR(__xludf.DUMMYFUNCTION("""COMPUTED_VALUE"""),"Earth Defense Force 2025")</f>
        <v>Earth Defense Force 2025</v>
      </c>
      <c r="B426" s="15" t="str">
        <f>IFERROR(__xludf.DUMMYFUNCTION("""COMPUTED_VALUE"""),"PS3")</f>
        <v>PS3</v>
      </c>
      <c r="C426" s="16" t="str">
        <f>IFERROR(__xludf.DUMMYFUNCTION("""COMPUTED_VALUE"""),"Playstation Plus (Discontinued)")</f>
        <v>Playstation Plus (Discontinued)</v>
      </c>
      <c r="D426" s="15" t="str">
        <f>IFERROR(__xludf.DUMMYFUNCTION("""COMPUTED_VALUE"""),"Removed")</f>
        <v>Removed</v>
      </c>
      <c r="E426" s="17">
        <f>IFERROR(__xludf.DUMMYFUNCTION("""COMPUTED_VALUE"""),42801.0)</f>
        <v>42801</v>
      </c>
      <c r="F426" s="54">
        <f>IFERROR(__xludf.DUMMYFUNCTION("""COMPUTED_VALUE"""),42828.0)</f>
        <v>42828</v>
      </c>
      <c r="G426" s="19">
        <f>IFERROR(__xludf.DUMMYFUNCTION("""COMPUTED_VALUE"""),0.8666666666666666)</f>
        <v>0.8666666667</v>
      </c>
      <c r="H426" s="17">
        <f>IFERROR(__xludf.DUMMYFUNCTION("""COMPUTED_VALUE"""),41688.0)</f>
        <v>41688</v>
      </c>
      <c r="I426" s="19">
        <f>IFERROR(__xludf.DUMMYFUNCTION("""COMPUTED_VALUE"""),3.0527777777777776)</f>
        <v>3.052777778</v>
      </c>
      <c r="J426" s="21">
        <f>IFERROR(__xludf.DUMMYFUNCTION("""COMPUTED_VALUE"""),69.0)</f>
        <v>69</v>
      </c>
      <c r="K426" s="23">
        <f>IFERROR(__xludf.DUMMYFUNCTION("""COMPUTED_VALUE"""),7.8)</f>
        <v>7.8</v>
      </c>
      <c r="L426" s="24">
        <f>IFERROR(__xludf.DUMMYFUNCTION("""COMPUTED_VALUE"""),15.0)</f>
        <v>15</v>
      </c>
      <c r="M426" s="25" t="str">
        <f>IFERROR(__xludf.DUMMYFUNCTION("""COMPUTED_VALUE"""),"Shooter")</f>
        <v>Shooter</v>
      </c>
      <c r="N426" s="25"/>
      <c r="O426" s="26" t="str">
        <f>IFERROR(__xludf.DUMMYFUNCTION("""COMPUTED_VALUE"""),"No")</f>
        <v>No</v>
      </c>
      <c r="P426" s="26"/>
    </row>
    <row r="427" hidden="1">
      <c r="A427" s="13" t="str">
        <f>IFERROR(__xludf.DUMMYFUNCTION("""COMPUTED_VALUE"""),"Severed")</f>
        <v>Severed</v>
      </c>
      <c r="B427" s="15" t="str">
        <f>IFERROR(__xludf.DUMMYFUNCTION("""COMPUTED_VALUE"""),"Vita")</f>
        <v>Vita</v>
      </c>
      <c r="C427" s="16" t="str">
        <f>IFERROR(__xludf.DUMMYFUNCTION("""COMPUTED_VALUE"""),"Playstation Plus (Discontinued)")</f>
        <v>Playstation Plus (Discontinued)</v>
      </c>
      <c r="D427" s="15" t="str">
        <f>IFERROR(__xludf.DUMMYFUNCTION("""COMPUTED_VALUE"""),"Removed")</f>
        <v>Removed</v>
      </c>
      <c r="E427" s="17">
        <f>IFERROR(__xludf.DUMMYFUNCTION("""COMPUTED_VALUE"""),42801.0)</f>
        <v>42801</v>
      </c>
      <c r="F427" s="54">
        <f>IFERROR(__xludf.DUMMYFUNCTION("""COMPUTED_VALUE"""),42828.0)</f>
        <v>42828</v>
      </c>
      <c r="G427" s="19">
        <f>IFERROR(__xludf.DUMMYFUNCTION("""COMPUTED_VALUE"""),0.8666666666666666)</f>
        <v>0.8666666667</v>
      </c>
      <c r="H427" s="17">
        <f>IFERROR(__xludf.DUMMYFUNCTION("""COMPUTED_VALUE"""),42486.0)</f>
        <v>42486</v>
      </c>
      <c r="I427" s="19">
        <f>IFERROR(__xludf.DUMMYFUNCTION("""COMPUTED_VALUE"""),0.8638888888888889)</f>
        <v>0.8638888889</v>
      </c>
      <c r="J427" s="21">
        <f>IFERROR(__xludf.DUMMYFUNCTION("""COMPUTED_VALUE"""),82.0)</f>
        <v>82</v>
      </c>
      <c r="K427" s="23">
        <f>IFERROR(__xludf.DUMMYFUNCTION("""COMPUTED_VALUE"""),7.7)</f>
        <v>7.7</v>
      </c>
      <c r="L427" s="24">
        <f>IFERROR(__xludf.DUMMYFUNCTION("""COMPUTED_VALUE"""),5.0)</f>
        <v>5</v>
      </c>
      <c r="M427" s="25" t="str">
        <f>IFERROR(__xludf.DUMMYFUNCTION("""COMPUTED_VALUE"""),"Action-Adventure")</f>
        <v>Action-Adventure</v>
      </c>
      <c r="N427" s="25"/>
      <c r="O427" s="26" t="str">
        <f>IFERROR(__xludf.DUMMYFUNCTION("""COMPUTED_VALUE"""),"No")</f>
        <v>No</v>
      </c>
      <c r="P427" s="26"/>
    </row>
    <row r="428" hidden="1">
      <c r="A428" s="13" t="str">
        <f>IFERROR(__xludf.DUMMYFUNCTION("""COMPUTED_VALUE"""),"LittleBigPlanet 3")</f>
        <v>LittleBigPlanet 3</v>
      </c>
      <c r="B428" s="15" t="str">
        <f>IFERROR(__xludf.DUMMYFUNCTION("""COMPUTED_VALUE"""),"PS4")</f>
        <v>PS4</v>
      </c>
      <c r="C428" s="16" t="str">
        <f>IFERROR(__xludf.DUMMYFUNCTION("""COMPUTED_VALUE"""),"Playstation Plus (Discontinued)")</f>
        <v>Playstation Plus (Discontinued)</v>
      </c>
      <c r="D428" s="15" t="str">
        <f>IFERROR(__xludf.DUMMYFUNCTION("""COMPUTED_VALUE"""),"Removed")</f>
        <v>Removed</v>
      </c>
      <c r="E428" s="17">
        <f>IFERROR(__xludf.DUMMYFUNCTION("""COMPUTED_VALUE"""),42773.0)</f>
        <v>42773</v>
      </c>
      <c r="F428" s="54">
        <f>IFERROR(__xludf.DUMMYFUNCTION("""COMPUTED_VALUE"""),42800.0)</f>
        <v>42800</v>
      </c>
      <c r="G428" s="19">
        <f>IFERROR(__xludf.DUMMYFUNCTION("""COMPUTED_VALUE"""),0.9666666666666668)</f>
        <v>0.9666666667</v>
      </c>
      <c r="H428" s="17">
        <f>IFERROR(__xludf.DUMMYFUNCTION("""COMPUTED_VALUE"""),41961.0)</f>
        <v>41961</v>
      </c>
      <c r="I428" s="19">
        <f>IFERROR(__xludf.DUMMYFUNCTION("""COMPUTED_VALUE"""),2.2194444444444446)</f>
        <v>2.219444444</v>
      </c>
      <c r="J428" s="21">
        <f>IFERROR(__xludf.DUMMYFUNCTION("""COMPUTED_VALUE"""),79.0)</f>
        <v>79</v>
      </c>
      <c r="K428" s="23">
        <f>IFERROR(__xludf.DUMMYFUNCTION("""COMPUTED_VALUE"""),7.5)</f>
        <v>7.5</v>
      </c>
      <c r="L428" s="24">
        <f>IFERROR(__xludf.DUMMYFUNCTION("""COMPUTED_VALUE"""),9.0)</f>
        <v>9</v>
      </c>
      <c r="M428" s="25" t="str">
        <f>IFERROR(__xludf.DUMMYFUNCTION("""COMPUTED_VALUE"""),"Platformer")</f>
        <v>Platformer</v>
      </c>
      <c r="N428" s="25"/>
      <c r="O428" s="26" t="str">
        <f>IFERROR(__xludf.DUMMYFUNCTION("""COMPUTED_VALUE"""),"No")</f>
        <v>No</v>
      </c>
      <c r="P428" s="26"/>
    </row>
    <row r="429" hidden="1">
      <c r="A429" s="13" t="str">
        <f>IFERROR(__xludf.DUMMYFUNCTION("""COMPUTED_VALUE"""),"Not a Hero")</f>
        <v>Not a Hero</v>
      </c>
      <c r="B429" s="15" t="str">
        <f>IFERROR(__xludf.DUMMYFUNCTION("""COMPUTED_VALUE"""),"PS4")</f>
        <v>PS4</v>
      </c>
      <c r="C429" s="16" t="str">
        <f>IFERROR(__xludf.DUMMYFUNCTION("""COMPUTED_VALUE"""),"Playstation Plus (Discontinued)")</f>
        <v>Playstation Plus (Discontinued)</v>
      </c>
      <c r="D429" s="15" t="str">
        <f>IFERROR(__xludf.DUMMYFUNCTION("""COMPUTED_VALUE"""),"Removed")</f>
        <v>Removed</v>
      </c>
      <c r="E429" s="17">
        <f>IFERROR(__xludf.DUMMYFUNCTION("""COMPUTED_VALUE"""),42773.0)</f>
        <v>42773</v>
      </c>
      <c r="F429" s="54">
        <f>IFERROR(__xludf.DUMMYFUNCTION("""COMPUTED_VALUE"""),42800.0)</f>
        <v>42800</v>
      </c>
      <c r="G429" s="19">
        <f>IFERROR(__xludf.DUMMYFUNCTION("""COMPUTED_VALUE"""),0.9666666666666668)</f>
        <v>0.9666666667</v>
      </c>
      <c r="H429" s="17">
        <f>IFERROR(__xludf.DUMMYFUNCTION("""COMPUTED_VALUE"""),42131.0)</f>
        <v>42131</v>
      </c>
      <c r="I429" s="19">
        <f>IFERROR(__xludf.DUMMYFUNCTION("""COMPUTED_VALUE"""),1.75)</f>
        <v>1.75</v>
      </c>
      <c r="J429" s="21">
        <f>IFERROR(__xludf.DUMMYFUNCTION("""COMPUTED_VALUE"""),74.0)</f>
        <v>74</v>
      </c>
      <c r="K429" s="23">
        <f>IFERROR(__xludf.DUMMYFUNCTION("""COMPUTED_VALUE"""),7.4)</f>
        <v>7.4</v>
      </c>
      <c r="L429" s="24">
        <f>IFERROR(__xludf.DUMMYFUNCTION("""COMPUTED_VALUE"""),4.0)</f>
        <v>4</v>
      </c>
      <c r="M429" s="25" t="str">
        <f>IFERROR(__xludf.DUMMYFUNCTION("""COMPUTED_VALUE"""),"Shooter")</f>
        <v>Shooter</v>
      </c>
      <c r="N429" s="25"/>
      <c r="O429" s="26" t="str">
        <f>IFERROR(__xludf.DUMMYFUNCTION("""COMPUTED_VALUE"""),"No")</f>
        <v>No</v>
      </c>
      <c r="P429" s="26"/>
    </row>
    <row r="430" hidden="1">
      <c r="A430" s="13" t="str">
        <f>IFERROR(__xludf.DUMMYFUNCTION("""COMPUTED_VALUE"""),"Starwhal")</f>
        <v>Starwhal</v>
      </c>
      <c r="B430" s="15" t="str">
        <f>IFERROR(__xludf.DUMMYFUNCTION("""COMPUTED_VALUE"""),"PS4/PS3")</f>
        <v>PS4/PS3</v>
      </c>
      <c r="C430" s="16" t="str">
        <f>IFERROR(__xludf.DUMMYFUNCTION("""COMPUTED_VALUE"""),"Playstation Plus (Discontinued)")</f>
        <v>Playstation Plus (Discontinued)</v>
      </c>
      <c r="D430" s="15" t="str">
        <f>IFERROR(__xludf.DUMMYFUNCTION("""COMPUTED_VALUE"""),"Removed")</f>
        <v>Removed</v>
      </c>
      <c r="E430" s="17">
        <f>IFERROR(__xludf.DUMMYFUNCTION("""COMPUTED_VALUE"""),42773.0)</f>
        <v>42773</v>
      </c>
      <c r="F430" s="54">
        <f>IFERROR(__xludf.DUMMYFUNCTION("""COMPUTED_VALUE"""),42800.0)</f>
        <v>42800</v>
      </c>
      <c r="G430" s="19">
        <f>IFERROR(__xludf.DUMMYFUNCTION("""COMPUTED_VALUE"""),0.9666666666666668)</f>
        <v>0.9666666667</v>
      </c>
      <c r="H430" s="17">
        <f>IFERROR(__xludf.DUMMYFUNCTION("""COMPUTED_VALUE"""),41906.0)</f>
        <v>41906</v>
      </c>
      <c r="I430" s="19">
        <f>IFERROR(__xludf.DUMMYFUNCTION("""COMPUTED_VALUE"""),2.3694444444444445)</f>
        <v>2.369444444</v>
      </c>
      <c r="J430" s="21">
        <f>IFERROR(__xludf.DUMMYFUNCTION("""COMPUTED_VALUE"""),78.0)</f>
        <v>78</v>
      </c>
      <c r="K430" s="23">
        <f>IFERROR(__xludf.DUMMYFUNCTION("""COMPUTED_VALUE"""),7.3)</f>
        <v>7.3</v>
      </c>
      <c r="L430" s="24"/>
      <c r="M430" s="25" t="str">
        <f>IFERROR(__xludf.DUMMYFUNCTION("""COMPUTED_VALUE"""),"Party")</f>
        <v>Party</v>
      </c>
      <c r="N430" s="25"/>
      <c r="O430" s="26" t="str">
        <f>IFERROR(__xludf.DUMMYFUNCTION("""COMPUTED_VALUE"""),"No")</f>
        <v>No</v>
      </c>
      <c r="P430" s="26"/>
    </row>
    <row r="431">
      <c r="A431" s="13" t="str">
        <f>IFERROR(__xludf.DUMMYFUNCTION("""COMPUTED_VALUE"""),"Anna: Extended Edition")</f>
        <v>Anna: Extended Edition</v>
      </c>
      <c r="B431" s="15" t="str">
        <f>IFERROR(__xludf.DUMMYFUNCTION("""COMPUTED_VALUE"""),"PS3")</f>
        <v>PS3</v>
      </c>
      <c r="C431" s="16" t="str">
        <f>IFERROR(__xludf.DUMMYFUNCTION("""COMPUTED_VALUE"""),"Playstation Plus (Discontinued)")</f>
        <v>Playstation Plus (Discontinued)</v>
      </c>
      <c r="D431" s="15" t="str">
        <f>IFERROR(__xludf.DUMMYFUNCTION("""COMPUTED_VALUE"""),"Removed")</f>
        <v>Removed</v>
      </c>
      <c r="E431" s="17">
        <f>IFERROR(__xludf.DUMMYFUNCTION("""COMPUTED_VALUE"""),42773.0)</f>
        <v>42773</v>
      </c>
      <c r="F431" s="54">
        <f>IFERROR(__xludf.DUMMYFUNCTION("""COMPUTED_VALUE"""),42800.0)</f>
        <v>42800</v>
      </c>
      <c r="G431" s="19">
        <f>IFERROR(__xludf.DUMMYFUNCTION("""COMPUTED_VALUE"""),0.9666666666666668)</f>
        <v>0.9666666667</v>
      </c>
      <c r="H431" s="17">
        <f>IFERROR(__xludf.DUMMYFUNCTION("""COMPUTED_VALUE"""),41548.0)</f>
        <v>41548</v>
      </c>
      <c r="I431" s="19">
        <f>IFERROR(__xludf.DUMMYFUNCTION("""COMPUTED_VALUE"""),3.35)</f>
        <v>3.35</v>
      </c>
      <c r="J431" s="21">
        <f>IFERROR(__xludf.DUMMYFUNCTION("""COMPUTED_VALUE"""),56.0)</f>
        <v>56</v>
      </c>
      <c r="K431" s="23">
        <f>IFERROR(__xludf.DUMMYFUNCTION("""COMPUTED_VALUE"""),6.0)</f>
        <v>6</v>
      </c>
      <c r="L431" s="24">
        <f>IFERROR(__xludf.DUMMYFUNCTION("""COMPUTED_VALUE"""),3.0)</f>
        <v>3</v>
      </c>
      <c r="M431" s="25" t="str">
        <f>IFERROR(__xludf.DUMMYFUNCTION("""COMPUTED_VALUE"""),"Horror")</f>
        <v>Horror</v>
      </c>
      <c r="N431" s="25"/>
      <c r="O431" s="26" t="str">
        <f>IFERROR(__xludf.DUMMYFUNCTION("""COMPUTED_VALUE"""),"No")</f>
        <v>No</v>
      </c>
      <c r="P431" s="26"/>
    </row>
    <row r="432">
      <c r="A432" s="13" t="str">
        <f>IFERROR(__xludf.DUMMYFUNCTION("""COMPUTED_VALUE"""),"Ninja Senki DX")</f>
        <v>Ninja Senki DX</v>
      </c>
      <c r="B432" s="15" t="str">
        <f>IFERROR(__xludf.DUMMYFUNCTION("""COMPUTED_VALUE"""),"PS4/Vita")</f>
        <v>PS4/Vita</v>
      </c>
      <c r="C432" s="16" t="str">
        <f>IFERROR(__xludf.DUMMYFUNCTION("""COMPUTED_VALUE"""),"Playstation Plus (Discontinued)")</f>
        <v>Playstation Plus (Discontinued)</v>
      </c>
      <c r="D432" s="15" t="str">
        <f>IFERROR(__xludf.DUMMYFUNCTION("""COMPUTED_VALUE"""),"Removed")</f>
        <v>Removed</v>
      </c>
      <c r="E432" s="17">
        <f>IFERROR(__xludf.DUMMYFUNCTION("""COMPUTED_VALUE"""),42773.0)</f>
        <v>42773</v>
      </c>
      <c r="F432" s="54">
        <f>IFERROR(__xludf.DUMMYFUNCTION("""COMPUTED_VALUE"""),42800.0)</f>
        <v>42800</v>
      </c>
      <c r="G432" s="19">
        <f>IFERROR(__xludf.DUMMYFUNCTION("""COMPUTED_VALUE"""),0.9666666666666668)</f>
        <v>0.9666666667</v>
      </c>
      <c r="H432" s="17">
        <f>IFERROR(__xludf.DUMMYFUNCTION("""COMPUTED_VALUE"""),42423.0)</f>
        <v>42423</v>
      </c>
      <c r="I432" s="19">
        <f>IFERROR(__xludf.DUMMYFUNCTION("""COMPUTED_VALUE"""),0.9555555555555556)</f>
        <v>0.9555555556</v>
      </c>
      <c r="J432" s="21">
        <f>IFERROR(__xludf.DUMMYFUNCTION("""COMPUTED_VALUE"""),64.0)</f>
        <v>64</v>
      </c>
      <c r="K432" s="23">
        <f>IFERROR(__xludf.DUMMYFUNCTION("""COMPUTED_VALUE"""),7.0)</f>
        <v>7</v>
      </c>
      <c r="L432" s="24">
        <f>IFERROR(__xludf.DUMMYFUNCTION("""COMPUTED_VALUE"""),3.0)</f>
        <v>3</v>
      </c>
      <c r="M432" s="25" t="str">
        <f>IFERROR(__xludf.DUMMYFUNCTION("""COMPUTED_VALUE"""),"Platformer")</f>
        <v>Platformer</v>
      </c>
      <c r="N432" s="25"/>
      <c r="O432" s="26" t="str">
        <f>IFERROR(__xludf.DUMMYFUNCTION("""COMPUTED_VALUE"""),"No")</f>
        <v>No</v>
      </c>
      <c r="P432" s="26"/>
    </row>
    <row r="433" hidden="1">
      <c r="A433" s="13" t="str">
        <f>IFERROR(__xludf.DUMMYFUNCTION("""COMPUTED_VALUE"""),"TorqueL")</f>
        <v>TorqueL</v>
      </c>
      <c r="B433" s="15" t="str">
        <f>IFERROR(__xludf.DUMMYFUNCTION("""COMPUTED_VALUE"""),"PS4/Vita")</f>
        <v>PS4/Vita</v>
      </c>
      <c r="C433" s="16" t="str">
        <f>IFERROR(__xludf.DUMMYFUNCTION("""COMPUTED_VALUE"""),"Playstation Plus (Discontinued)")</f>
        <v>Playstation Plus (Discontinued)</v>
      </c>
      <c r="D433" s="15" t="str">
        <f>IFERROR(__xludf.DUMMYFUNCTION("""COMPUTED_VALUE"""),"Removed")</f>
        <v>Removed</v>
      </c>
      <c r="E433" s="17">
        <f>IFERROR(__xludf.DUMMYFUNCTION("""COMPUTED_VALUE"""),42773.0)</f>
        <v>42773</v>
      </c>
      <c r="F433" s="54">
        <f>IFERROR(__xludf.DUMMYFUNCTION("""COMPUTED_VALUE"""),42800.0)</f>
        <v>42800</v>
      </c>
      <c r="G433" s="19">
        <f>IFERROR(__xludf.DUMMYFUNCTION("""COMPUTED_VALUE"""),0.9666666666666668)</f>
        <v>0.9666666667</v>
      </c>
      <c r="H433" s="17">
        <f>IFERROR(__xludf.DUMMYFUNCTION("""COMPUTED_VALUE"""),42018.0)</f>
        <v>42018</v>
      </c>
      <c r="I433" s="19">
        <f>IFERROR(__xludf.DUMMYFUNCTION("""COMPUTED_VALUE"""),2.063888888888889)</f>
        <v>2.063888889</v>
      </c>
      <c r="J433" s="21">
        <f>IFERROR(__xludf.DUMMYFUNCTION("""COMPUTED_VALUE"""),58.0)</f>
        <v>58</v>
      </c>
      <c r="K433" s="23">
        <f>IFERROR(__xludf.DUMMYFUNCTION("""COMPUTED_VALUE"""),6.5)</f>
        <v>6.5</v>
      </c>
      <c r="L433" s="24">
        <f>IFERROR(__xludf.DUMMYFUNCTION("""COMPUTED_VALUE"""),2.0)</f>
        <v>2</v>
      </c>
      <c r="M433" s="25" t="str">
        <f>IFERROR(__xludf.DUMMYFUNCTION("""COMPUTED_VALUE"""),"Puzzle")</f>
        <v>Puzzle</v>
      </c>
      <c r="N433" s="25"/>
      <c r="O433" s="26" t="str">
        <f>IFERROR(__xludf.DUMMYFUNCTION("""COMPUTED_VALUE"""),"No")</f>
        <v>No</v>
      </c>
      <c r="P433" s="26"/>
    </row>
    <row r="434" hidden="1">
      <c r="A434" s="13" t="str">
        <f>IFERROR(__xludf.DUMMYFUNCTION("""COMPUTED_VALUE"""),"Day of the Tentacle Remastered")</f>
        <v>Day of the Tentacle Remastered</v>
      </c>
      <c r="B434" s="15" t="str">
        <f>IFERROR(__xludf.DUMMYFUNCTION("""COMPUTED_VALUE"""),"PS4/Vita")</f>
        <v>PS4/Vita</v>
      </c>
      <c r="C434" s="16" t="str">
        <f>IFERROR(__xludf.DUMMYFUNCTION("""COMPUTED_VALUE"""),"Playstation Plus (Discontinued)")</f>
        <v>Playstation Plus (Discontinued)</v>
      </c>
      <c r="D434" s="15" t="str">
        <f>IFERROR(__xludf.DUMMYFUNCTION("""COMPUTED_VALUE"""),"Removed")</f>
        <v>Removed</v>
      </c>
      <c r="E434" s="17">
        <f>IFERROR(__xludf.DUMMYFUNCTION("""COMPUTED_VALUE"""),42738.0)</f>
        <v>42738</v>
      </c>
      <c r="F434" s="54">
        <f>IFERROR(__xludf.DUMMYFUNCTION("""COMPUTED_VALUE"""),42772.0)</f>
        <v>42772</v>
      </c>
      <c r="G434" s="19">
        <f>IFERROR(__xludf.DUMMYFUNCTION("""COMPUTED_VALUE"""),1.0999999999999999)</f>
        <v>1.1</v>
      </c>
      <c r="H434" s="17">
        <f>IFERROR(__xludf.DUMMYFUNCTION("""COMPUTED_VALUE"""),42450.0)</f>
        <v>42450</v>
      </c>
      <c r="I434" s="19">
        <f>IFERROR(__xludf.DUMMYFUNCTION("""COMPUTED_VALUE"""),0.7833333333333333)</f>
        <v>0.7833333333</v>
      </c>
      <c r="J434" s="21">
        <f>IFERROR(__xludf.DUMMYFUNCTION("""COMPUTED_VALUE"""),86.0)</f>
        <v>86</v>
      </c>
      <c r="K434" s="23">
        <f>IFERROR(__xludf.DUMMYFUNCTION("""COMPUTED_VALUE"""),8.0)</f>
        <v>8</v>
      </c>
      <c r="L434" s="24">
        <f>IFERROR(__xludf.DUMMYFUNCTION("""COMPUTED_VALUE"""),5.0)</f>
        <v>5</v>
      </c>
      <c r="M434" s="25" t="str">
        <f>IFERROR(__xludf.DUMMYFUNCTION("""COMPUTED_VALUE"""),"Adventure")</f>
        <v>Adventure</v>
      </c>
      <c r="N434" s="25"/>
      <c r="O434" s="26" t="str">
        <f>IFERROR(__xludf.DUMMYFUNCTION("""COMPUTED_VALUE"""),"No")</f>
        <v>No</v>
      </c>
      <c r="P434" s="26"/>
    </row>
    <row r="435">
      <c r="A435" s="13" t="str">
        <f>IFERROR(__xludf.DUMMYFUNCTION("""COMPUTED_VALUE"""),"This War of Mine: The Little Ones")</f>
        <v>This War of Mine: The Little Ones</v>
      </c>
      <c r="B435" s="15" t="str">
        <f>IFERROR(__xludf.DUMMYFUNCTION("""COMPUTED_VALUE"""),"PS4")</f>
        <v>PS4</v>
      </c>
      <c r="C435" s="16" t="str">
        <f>IFERROR(__xludf.DUMMYFUNCTION("""COMPUTED_VALUE"""),"Playstation Plus (Discontinued)")</f>
        <v>Playstation Plus (Discontinued)</v>
      </c>
      <c r="D435" s="15" t="str">
        <f>IFERROR(__xludf.DUMMYFUNCTION("""COMPUTED_VALUE"""),"Removed")</f>
        <v>Removed</v>
      </c>
      <c r="E435" s="17">
        <f>IFERROR(__xludf.DUMMYFUNCTION("""COMPUTED_VALUE"""),42738.0)</f>
        <v>42738</v>
      </c>
      <c r="F435" s="54">
        <f>IFERROR(__xludf.DUMMYFUNCTION("""COMPUTED_VALUE"""),42772.0)</f>
        <v>42772</v>
      </c>
      <c r="G435" s="19">
        <f>IFERROR(__xludf.DUMMYFUNCTION("""COMPUTED_VALUE"""),1.0999999999999999)</f>
        <v>1.1</v>
      </c>
      <c r="H435" s="17">
        <f>IFERROR(__xludf.DUMMYFUNCTION("""COMPUTED_VALUE"""),42522.0)</f>
        <v>42522</v>
      </c>
      <c r="I435" s="19">
        <f>IFERROR(__xludf.DUMMYFUNCTION("""COMPUTED_VALUE"""),0.5888888888888889)</f>
        <v>0.5888888889</v>
      </c>
      <c r="J435" s="21">
        <f>IFERROR(__xludf.DUMMYFUNCTION("""COMPUTED_VALUE"""),76.0)</f>
        <v>76</v>
      </c>
      <c r="K435" s="23">
        <f>IFERROR(__xludf.DUMMYFUNCTION("""COMPUTED_VALUE"""),6.9)</f>
        <v>6.9</v>
      </c>
      <c r="L435" s="24">
        <f>IFERROR(__xludf.DUMMYFUNCTION("""COMPUTED_VALUE"""),10.0)</f>
        <v>10</v>
      </c>
      <c r="M435" s="25" t="str">
        <f>IFERROR(__xludf.DUMMYFUNCTION("""COMPUTED_VALUE"""),"Survival")</f>
        <v>Survival</v>
      </c>
      <c r="N435" s="25"/>
      <c r="O435" s="26" t="str">
        <f>IFERROR(__xludf.DUMMYFUNCTION("""COMPUTED_VALUE"""),"No")</f>
        <v>No</v>
      </c>
      <c r="P435" s="26"/>
    </row>
    <row r="436">
      <c r="A436" s="13" t="str">
        <f>IFERROR(__xludf.DUMMYFUNCTION("""COMPUTED_VALUE"""),"Blazerush")</f>
        <v>Blazerush</v>
      </c>
      <c r="B436" s="15" t="str">
        <f>IFERROR(__xludf.DUMMYFUNCTION("""COMPUTED_VALUE"""),"PS3")</f>
        <v>PS3</v>
      </c>
      <c r="C436" s="16" t="str">
        <f>IFERROR(__xludf.DUMMYFUNCTION("""COMPUTED_VALUE"""),"Playstation Plus (Discontinued)")</f>
        <v>Playstation Plus (Discontinued)</v>
      </c>
      <c r="D436" s="15" t="str">
        <f>IFERROR(__xludf.DUMMYFUNCTION("""COMPUTED_VALUE"""),"Removed")</f>
        <v>Removed</v>
      </c>
      <c r="E436" s="17">
        <f>IFERROR(__xludf.DUMMYFUNCTION("""COMPUTED_VALUE"""),42738.0)</f>
        <v>42738</v>
      </c>
      <c r="F436" s="54">
        <f>IFERROR(__xludf.DUMMYFUNCTION("""COMPUTED_VALUE"""),42772.0)</f>
        <v>42772</v>
      </c>
      <c r="G436" s="19">
        <f>IFERROR(__xludf.DUMMYFUNCTION("""COMPUTED_VALUE"""),1.0999999999999999)</f>
        <v>1.1</v>
      </c>
      <c r="H436" s="17">
        <f>IFERROR(__xludf.DUMMYFUNCTION("""COMPUTED_VALUE"""),41940.0)</f>
        <v>41940</v>
      </c>
      <c r="I436" s="19">
        <f>IFERROR(__xludf.DUMMYFUNCTION("""COMPUTED_VALUE"""),2.1805555555555554)</f>
        <v>2.180555556</v>
      </c>
      <c r="J436" s="21">
        <f>IFERROR(__xludf.DUMMYFUNCTION("""COMPUTED_VALUE"""),66.0)</f>
        <v>66</v>
      </c>
      <c r="K436" s="23">
        <f>IFERROR(__xludf.DUMMYFUNCTION("""COMPUTED_VALUE"""),8.5)</f>
        <v>8.5</v>
      </c>
      <c r="L436" s="24"/>
      <c r="M436" s="25" t="str">
        <f>IFERROR(__xludf.DUMMYFUNCTION("""COMPUTED_VALUE"""),"Racing")</f>
        <v>Racing</v>
      </c>
      <c r="N436" s="25"/>
      <c r="O436" s="26" t="str">
        <f>IFERROR(__xludf.DUMMYFUNCTION("""COMPUTED_VALUE"""),"No")</f>
        <v>No</v>
      </c>
      <c r="P436" s="26"/>
    </row>
    <row r="437" hidden="1">
      <c r="A437" s="13" t="str">
        <f>IFERROR(__xludf.DUMMYFUNCTION("""COMPUTED_VALUE"""),"The Swindle")</f>
        <v>The Swindle</v>
      </c>
      <c r="B437" s="15" t="str">
        <f>IFERROR(__xludf.DUMMYFUNCTION("""COMPUTED_VALUE"""),"PS4/PS3/Vita")</f>
        <v>PS4/PS3/Vita</v>
      </c>
      <c r="C437" s="16" t="str">
        <f>IFERROR(__xludf.DUMMYFUNCTION("""COMPUTED_VALUE"""),"Playstation Plus (Discontinued)")</f>
        <v>Playstation Plus (Discontinued)</v>
      </c>
      <c r="D437" s="15" t="str">
        <f>IFERROR(__xludf.DUMMYFUNCTION("""COMPUTED_VALUE"""),"Removed")</f>
        <v>Removed</v>
      </c>
      <c r="E437" s="17">
        <f>IFERROR(__xludf.DUMMYFUNCTION("""COMPUTED_VALUE"""),42738.0)</f>
        <v>42738</v>
      </c>
      <c r="F437" s="54">
        <f>IFERROR(__xludf.DUMMYFUNCTION("""COMPUTED_VALUE"""),42772.0)</f>
        <v>42772</v>
      </c>
      <c r="G437" s="19">
        <f>IFERROR(__xludf.DUMMYFUNCTION("""COMPUTED_VALUE"""),1.0999999999999999)</f>
        <v>1.1</v>
      </c>
      <c r="H437" s="17">
        <f>IFERROR(__xludf.DUMMYFUNCTION("""COMPUTED_VALUE"""),42213.0)</f>
        <v>42213</v>
      </c>
      <c r="I437" s="19">
        <f>IFERROR(__xludf.DUMMYFUNCTION("""COMPUTED_VALUE"""),1.4305555555555556)</f>
        <v>1.430555556</v>
      </c>
      <c r="J437" s="21">
        <f>IFERROR(__xludf.DUMMYFUNCTION("""COMPUTED_VALUE"""),70.0)</f>
        <v>70</v>
      </c>
      <c r="K437" s="23">
        <f>IFERROR(__xludf.DUMMYFUNCTION("""COMPUTED_VALUE"""),7.0)</f>
        <v>7</v>
      </c>
      <c r="L437" s="24">
        <f>IFERROR(__xludf.DUMMYFUNCTION("""COMPUTED_VALUE"""),5.0)</f>
        <v>5</v>
      </c>
      <c r="M437" s="25" t="str">
        <f>IFERROR(__xludf.DUMMYFUNCTION("""COMPUTED_VALUE"""),"Platformer")</f>
        <v>Platformer</v>
      </c>
      <c r="N437" s="25"/>
      <c r="O437" s="26" t="str">
        <f>IFERROR(__xludf.DUMMYFUNCTION("""COMPUTED_VALUE"""),"No")</f>
        <v>No</v>
      </c>
      <c r="P437" s="26"/>
    </row>
    <row r="438" hidden="1">
      <c r="A438" s="13" t="str">
        <f>IFERROR(__xludf.DUMMYFUNCTION("""COMPUTED_VALUE"""),"Azkend 2")</f>
        <v>Azkend 2</v>
      </c>
      <c r="B438" s="15" t="str">
        <f>IFERROR(__xludf.DUMMYFUNCTION("""COMPUTED_VALUE"""),"PS4/Vita")</f>
        <v>PS4/Vita</v>
      </c>
      <c r="C438" s="16" t="str">
        <f>IFERROR(__xludf.DUMMYFUNCTION("""COMPUTED_VALUE"""),"Playstation Plus (Discontinued)")</f>
        <v>Playstation Plus (Discontinued)</v>
      </c>
      <c r="D438" s="15" t="str">
        <f>IFERROR(__xludf.DUMMYFUNCTION("""COMPUTED_VALUE"""),"Removed")</f>
        <v>Removed</v>
      </c>
      <c r="E438" s="17">
        <f>IFERROR(__xludf.DUMMYFUNCTION("""COMPUTED_VALUE"""),42738.0)</f>
        <v>42738</v>
      </c>
      <c r="F438" s="54">
        <f>IFERROR(__xludf.DUMMYFUNCTION("""COMPUTED_VALUE"""),42772.0)</f>
        <v>42772</v>
      </c>
      <c r="G438" s="19">
        <f>IFERROR(__xludf.DUMMYFUNCTION("""COMPUTED_VALUE"""),1.0999999999999999)</f>
        <v>1.1</v>
      </c>
      <c r="H438" s="17">
        <f>IFERROR(__xludf.DUMMYFUNCTION("""COMPUTED_VALUE"""),40982.0)</f>
        <v>40982</v>
      </c>
      <c r="I438" s="19">
        <f>IFERROR(__xludf.DUMMYFUNCTION("""COMPUTED_VALUE"""),4.802777777777778)</f>
        <v>4.802777778</v>
      </c>
      <c r="J438" s="21">
        <f>IFERROR(__xludf.DUMMYFUNCTION("""COMPUTED_VALUE"""),68.0)</f>
        <v>68</v>
      </c>
      <c r="K438" s="23"/>
      <c r="L438" s="24">
        <f>IFERROR(__xludf.DUMMYFUNCTION("""COMPUTED_VALUE"""),3.0)</f>
        <v>3</v>
      </c>
      <c r="M438" s="25" t="str">
        <f>IFERROR(__xludf.DUMMYFUNCTION("""COMPUTED_VALUE"""),"Matching Puzzle")</f>
        <v>Matching Puzzle</v>
      </c>
      <c r="N438" s="25"/>
      <c r="O438" s="26" t="str">
        <f>IFERROR(__xludf.DUMMYFUNCTION("""COMPUTED_VALUE"""),"No")</f>
        <v>No</v>
      </c>
      <c r="P438" s="26"/>
    </row>
    <row r="439" hidden="1">
      <c r="A439" s="13" t="str">
        <f>IFERROR(__xludf.DUMMYFUNCTION("""COMPUTED_VALUE"""),"Titan Souls")</f>
        <v>Titan Souls</v>
      </c>
      <c r="B439" s="15" t="str">
        <f>IFERROR(__xludf.DUMMYFUNCTION("""COMPUTED_VALUE"""),"PS4/Vita")</f>
        <v>PS4/Vita</v>
      </c>
      <c r="C439" s="16" t="str">
        <f>IFERROR(__xludf.DUMMYFUNCTION("""COMPUTED_VALUE"""),"Playstation Plus (Discontinued)")</f>
        <v>Playstation Plus (Discontinued)</v>
      </c>
      <c r="D439" s="15" t="str">
        <f>IFERROR(__xludf.DUMMYFUNCTION("""COMPUTED_VALUE"""),"Removed")</f>
        <v>Removed</v>
      </c>
      <c r="E439" s="17">
        <f>IFERROR(__xludf.DUMMYFUNCTION("""COMPUTED_VALUE"""),42738.0)</f>
        <v>42738</v>
      </c>
      <c r="F439" s="54">
        <f>IFERROR(__xludf.DUMMYFUNCTION("""COMPUTED_VALUE"""),42772.0)</f>
        <v>42772</v>
      </c>
      <c r="G439" s="19">
        <f>IFERROR(__xludf.DUMMYFUNCTION("""COMPUTED_VALUE"""),1.0999999999999999)</f>
        <v>1.1</v>
      </c>
      <c r="H439" s="17">
        <f>IFERROR(__xludf.DUMMYFUNCTION("""COMPUTED_VALUE"""),42108.0)</f>
        <v>42108</v>
      </c>
      <c r="I439" s="19">
        <f>IFERROR(__xludf.DUMMYFUNCTION("""COMPUTED_VALUE"""),1.7194444444444446)</f>
        <v>1.719444444</v>
      </c>
      <c r="J439" s="21">
        <f>IFERROR(__xludf.DUMMYFUNCTION("""COMPUTED_VALUE"""),74.0)</f>
        <v>74</v>
      </c>
      <c r="K439" s="23">
        <f>IFERROR(__xludf.DUMMYFUNCTION("""COMPUTED_VALUE"""),6.2)</f>
        <v>6.2</v>
      </c>
      <c r="L439" s="24">
        <f>IFERROR(__xludf.DUMMYFUNCTION("""COMPUTED_VALUE"""),3.0)</f>
        <v>3</v>
      </c>
      <c r="M439" s="25" t="str">
        <f>IFERROR(__xludf.DUMMYFUNCTION("""COMPUTED_VALUE"""),"Action-Adventure")</f>
        <v>Action-Adventure</v>
      </c>
      <c r="N439" s="25"/>
      <c r="O439" s="26" t="str">
        <f>IFERROR(__xludf.DUMMYFUNCTION("""COMPUTED_VALUE"""),"No")</f>
        <v>No</v>
      </c>
      <c r="P439" s="26"/>
    </row>
    <row r="440" hidden="1">
      <c r="A440" s="13" t="str">
        <f>IFERROR(__xludf.DUMMYFUNCTION("""COMPUTED_VALUE"""),"Stories: The Path of Destinies")</f>
        <v>Stories: The Path of Destinies</v>
      </c>
      <c r="B440" s="15" t="str">
        <f>IFERROR(__xludf.DUMMYFUNCTION("""COMPUTED_VALUE"""),"PS4")</f>
        <v>PS4</v>
      </c>
      <c r="C440" s="16" t="str">
        <f>IFERROR(__xludf.DUMMYFUNCTION("""COMPUTED_VALUE"""),"Playstation Plus (Discontinued)")</f>
        <v>Playstation Plus (Discontinued)</v>
      </c>
      <c r="D440" s="15" t="str">
        <f>IFERROR(__xludf.DUMMYFUNCTION("""COMPUTED_VALUE"""),"Removed")</f>
        <v>Removed</v>
      </c>
      <c r="E440" s="17">
        <f>IFERROR(__xludf.DUMMYFUNCTION("""COMPUTED_VALUE"""),42710.0)</f>
        <v>42710</v>
      </c>
      <c r="F440" s="54">
        <f>IFERROR(__xludf.DUMMYFUNCTION("""COMPUTED_VALUE"""),42737.0)</f>
        <v>42737</v>
      </c>
      <c r="G440" s="19">
        <f>IFERROR(__xludf.DUMMYFUNCTION("""COMPUTED_VALUE"""),0.8666666666666666)</f>
        <v>0.8666666667</v>
      </c>
      <c r="H440" s="17">
        <f>IFERROR(__xludf.DUMMYFUNCTION("""COMPUTED_VALUE"""),42472.0)</f>
        <v>42472</v>
      </c>
      <c r="I440" s="19">
        <f>IFERROR(__xludf.DUMMYFUNCTION("""COMPUTED_VALUE"""),0.65)</f>
        <v>0.65</v>
      </c>
      <c r="J440" s="21">
        <f>IFERROR(__xludf.DUMMYFUNCTION("""COMPUTED_VALUE"""),73.0)</f>
        <v>73</v>
      </c>
      <c r="K440" s="23">
        <f>IFERROR(__xludf.DUMMYFUNCTION("""COMPUTED_VALUE"""),7.3)</f>
        <v>7.3</v>
      </c>
      <c r="L440" s="24">
        <f>IFERROR(__xludf.DUMMYFUNCTION("""COMPUTED_VALUE"""),5.0)</f>
        <v>5</v>
      </c>
      <c r="M440" s="25" t="str">
        <f>IFERROR(__xludf.DUMMYFUNCTION("""COMPUTED_VALUE"""),"RPG")</f>
        <v>RPG</v>
      </c>
      <c r="N440" s="25"/>
      <c r="O440" s="26" t="str">
        <f>IFERROR(__xludf.DUMMYFUNCTION("""COMPUTED_VALUE"""),"No")</f>
        <v>No</v>
      </c>
      <c r="P440" s="26"/>
    </row>
    <row r="441">
      <c r="A441" s="13" t="str">
        <f>IFERROR(__xludf.DUMMYFUNCTION("""COMPUTED_VALUE"""),"Invisible, Inc.")</f>
        <v>Invisible, Inc.</v>
      </c>
      <c r="B441" s="15" t="str">
        <f>IFERROR(__xludf.DUMMYFUNCTION("""COMPUTED_VALUE"""),"PS4")</f>
        <v>PS4</v>
      </c>
      <c r="C441" s="16" t="str">
        <f>IFERROR(__xludf.DUMMYFUNCTION("""COMPUTED_VALUE"""),"Playstation Plus (Discontinued)")</f>
        <v>Playstation Plus (Discontinued)</v>
      </c>
      <c r="D441" s="15" t="str">
        <f>IFERROR(__xludf.DUMMYFUNCTION("""COMPUTED_VALUE"""),"Removed")</f>
        <v>Removed</v>
      </c>
      <c r="E441" s="17">
        <f>IFERROR(__xludf.DUMMYFUNCTION("""COMPUTED_VALUE"""),42710.0)</f>
        <v>42710</v>
      </c>
      <c r="F441" s="54">
        <f>IFERROR(__xludf.DUMMYFUNCTION("""COMPUTED_VALUE"""),42737.0)</f>
        <v>42737</v>
      </c>
      <c r="G441" s="19">
        <f>IFERROR(__xludf.DUMMYFUNCTION("""COMPUTED_VALUE"""),0.8666666666666666)</f>
        <v>0.8666666667</v>
      </c>
      <c r="H441" s="17">
        <f>IFERROR(__xludf.DUMMYFUNCTION("""COMPUTED_VALUE"""),42136.0)</f>
        <v>42136</v>
      </c>
      <c r="I441" s="19">
        <f>IFERROR(__xludf.DUMMYFUNCTION("""COMPUTED_VALUE"""),1.5666666666666667)</f>
        <v>1.566666667</v>
      </c>
      <c r="J441" s="21">
        <f>IFERROR(__xludf.DUMMYFUNCTION("""COMPUTED_VALUE"""),77.0)</f>
        <v>77</v>
      </c>
      <c r="K441" s="23">
        <f>IFERROR(__xludf.DUMMYFUNCTION("""COMPUTED_VALUE"""),7.6)</f>
        <v>7.6</v>
      </c>
      <c r="L441" s="24">
        <f>IFERROR(__xludf.DUMMYFUNCTION("""COMPUTED_VALUE"""),7.0)</f>
        <v>7</v>
      </c>
      <c r="M441" s="25" t="str">
        <f>IFERROR(__xludf.DUMMYFUNCTION("""COMPUTED_VALUE"""),"Strategy")</f>
        <v>Strategy</v>
      </c>
      <c r="N441" s="25"/>
      <c r="O441" s="26" t="str">
        <f>IFERROR(__xludf.DUMMYFUNCTION("""COMPUTED_VALUE"""),"No")</f>
        <v>No</v>
      </c>
      <c r="P441" s="26"/>
    </row>
    <row r="442">
      <c r="A442" s="13" t="str">
        <f>IFERROR(__xludf.DUMMYFUNCTION("""COMPUTED_VALUE"""),"Hyper Void")</f>
        <v>Hyper Void</v>
      </c>
      <c r="B442" s="15" t="str">
        <f>IFERROR(__xludf.DUMMYFUNCTION("""COMPUTED_VALUE"""),"PS4/PS3")</f>
        <v>PS4/PS3</v>
      </c>
      <c r="C442" s="16" t="str">
        <f>IFERROR(__xludf.DUMMYFUNCTION("""COMPUTED_VALUE"""),"Playstation Plus (Discontinued)")</f>
        <v>Playstation Plus (Discontinued)</v>
      </c>
      <c r="D442" s="15" t="str">
        <f>IFERROR(__xludf.DUMMYFUNCTION("""COMPUTED_VALUE"""),"Removed")</f>
        <v>Removed</v>
      </c>
      <c r="E442" s="17">
        <f>IFERROR(__xludf.DUMMYFUNCTION("""COMPUTED_VALUE"""),42710.0)</f>
        <v>42710</v>
      </c>
      <c r="F442" s="54">
        <f>IFERROR(__xludf.DUMMYFUNCTION("""COMPUTED_VALUE"""),42737.0)</f>
        <v>42737</v>
      </c>
      <c r="G442" s="19">
        <f>IFERROR(__xludf.DUMMYFUNCTION("""COMPUTED_VALUE"""),0.8666666666666666)</f>
        <v>0.8666666667</v>
      </c>
      <c r="H442" s="17">
        <f>IFERROR(__xludf.DUMMYFUNCTION("""COMPUTED_VALUE"""),42255.0)</f>
        <v>42255</v>
      </c>
      <c r="I442" s="19">
        <f>IFERROR(__xludf.DUMMYFUNCTION("""COMPUTED_VALUE"""),1.2444444444444445)</f>
        <v>1.244444444</v>
      </c>
      <c r="J442" s="21">
        <f>IFERROR(__xludf.DUMMYFUNCTION("""COMPUTED_VALUE"""),70.0)</f>
        <v>70</v>
      </c>
      <c r="K442" s="23">
        <f>IFERROR(__xludf.DUMMYFUNCTION("""COMPUTED_VALUE"""),6.8)</f>
        <v>6.8</v>
      </c>
      <c r="L442" s="24">
        <f>IFERROR(__xludf.DUMMYFUNCTION("""COMPUTED_VALUE"""),2.0)</f>
        <v>2</v>
      </c>
      <c r="M442" s="25" t="str">
        <f>IFERROR(__xludf.DUMMYFUNCTION("""COMPUTED_VALUE"""),"Shooter")</f>
        <v>Shooter</v>
      </c>
      <c r="N442" s="25"/>
      <c r="O442" s="26" t="str">
        <f>IFERROR(__xludf.DUMMYFUNCTION("""COMPUTED_VALUE"""),"No")</f>
        <v>No</v>
      </c>
      <c r="P442" s="26"/>
    </row>
    <row r="443" hidden="1">
      <c r="A443" s="13" t="str">
        <f>IFERROR(__xludf.DUMMYFUNCTION("""COMPUTED_VALUE"""),"Tiny Troopers Joint Ops")</f>
        <v>Tiny Troopers Joint Ops</v>
      </c>
      <c r="B443" s="15" t="str">
        <f>IFERROR(__xludf.DUMMYFUNCTION("""COMPUTED_VALUE"""),"PS4/PS3/Vita")</f>
        <v>PS4/PS3/Vita</v>
      </c>
      <c r="C443" s="16" t="str">
        <f>IFERROR(__xludf.DUMMYFUNCTION("""COMPUTED_VALUE"""),"Playstation Plus (Discontinued)")</f>
        <v>Playstation Plus (Discontinued)</v>
      </c>
      <c r="D443" s="15" t="str">
        <f>IFERROR(__xludf.DUMMYFUNCTION("""COMPUTED_VALUE"""),"Removed")</f>
        <v>Removed</v>
      </c>
      <c r="E443" s="17">
        <f>IFERROR(__xludf.DUMMYFUNCTION("""COMPUTED_VALUE"""),42710.0)</f>
        <v>42710</v>
      </c>
      <c r="F443" s="54">
        <f>IFERROR(__xludf.DUMMYFUNCTION("""COMPUTED_VALUE"""),42737.0)</f>
        <v>42737</v>
      </c>
      <c r="G443" s="19">
        <f>IFERROR(__xludf.DUMMYFUNCTION("""COMPUTED_VALUE"""),0.8666666666666666)</f>
        <v>0.8666666667</v>
      </c>
      <c r="H443" s="17">
        <f>IFERROR(__xludf.DUMMYFUNCTION("""COMPUTED_VALUE"""),42426.0)</f>
        <v>42426</v>
      </c>
      <c r="I443" s="19">
        <f>IFERROR(__xludf.DUMMYFUNCTION("""COMPUTED_VALUE"""),0.7777777777777778)</f>
        <v>0.7777777778</v>
      </c>
      <c r="J443" s="21">
        <f>IFERROR(__xludf.DUMMYFUNCTION("""COMPUTED_VALUE"""),62.0)</f>
        <v>62</v>
      </c>
      <c r="K443" s="23">
        <f>IFERROR(__xludf.DUMMYFUNCTION("""COMPUTED_VALUE"""),5.3)</f>
        <v>5.3</v>
      </c>
      <c r="L443" s="24">
        <f>IFERROR(__xludf.DUMMYFUNCTION("""COMPUTED_VALUE"""),3.0)</f>
        <v>3</v>
      </c>
      <c r="M443" s="25" t="str">
        <f>IFERROR(__xludf.DUMMYFUNCTION("""COMPUTED_VALUE"""),"Shooter")</f>
        <v>Shooter</v>
      </c>
      <c r="N443" s="25"/>
      <c r="O443" s="26" t="str">
        <f>IFERROR(__xludf.DUMMYFUNCTION("""COMPUTED_VALUE"""),"No")</f>
        <v>No</v>
      </c>
      <c r="P443" s="26"/>
    </row>
    <row r="444" hidden="1">
      <c r="A444" s="13" t="str">
        <f>IFERROR(__xludf.DUMMYFUNCTION("""COMPUTED_VALUE"""),"Color Guardians")</f>
        <v>Color Guardians</v>
      </c>
      <c r="B444" s="15" t="str">
        <f>IFERROR(__xludf.DUMMYFUNCTION("""COMPUTED_VALUE"""),"PS4/Vita")</f>
        <v>PS4/Vita</v>
      </c>
      <c r="C444" s="16" t="str">
        <f>IFERROR(__xludf.DUMMYFUNCTION("""COMPUTED_VALUE"""),"Playstation Plus (Discontinued)")</f>
        <v>Playstation Plus (Discontinued)</v>
      </c>
      <c r="D444" s="15" t="str">
        <f>IFERROR(__xludf.DUMMYFUNCTION("""COMPUTED_VALUE"""),"Removed")</f>
        <v>Removed</v>
      </c>
      <c r="E444" s="17">
        <f>IFERROR(__xludf.DUMMYFUNCTION("""COMPUTED_VALUE"""),42710.0)</f>
        <v>42710</v>
      </c>
      <c r="F444" s="54">
        <f>IFERROR(__xludf.DUMMYFUNCTION("""COMPUTED_VALUE"""),42737.0)</f>
        <v>42737</v>
      </c>
      <c r="G444" s="19">
        <f>IFERROR(__xludf.DUMMYFUNCTION("""COMPUTED_VALUE"""),0.8666666666666666)</f>
        <v>0.8666666667</v>
      </c>
      <c r="H444" s="17">
        <f>IFERROR(__xludf.DUMMYFUNCTION("""COMPUTED_VALUE"""),42136.0)</f>
        <v>42136</v>
      </c>
      <c r="I444" s="19">
        <f>IFERROR(__xludf.DUMMYFUNCTION("""COMPUTED_VALUE"""),1.5666666666666667)</f>
        <v>1.566666667</v>
      </c>
      <c r="J444" s="21">
        <f>IFERROR(__xludf.DUMMYFUNCTION("""COMPUTED_VALUE"""),59.0)</f>
        <v>59</v>
      </c>
      <c r="K444" s="23">
        <f>IFERROR(__xludf.DUMMYFUNCTION("""COMPUTED_VALUE"""),6.7)</f>
        <v>6.7</v>
      </c>
      <c r="L444" s="24">
        <f>IFERROR(__xludf.DUMMYFUNCTION("""COMPUTED_VALUE"""),3.0)</f>
        <v>3</v>
      </c>
      <c r="M444" s="25" t="str">
        <f>IFERROR(__xludf.DUMMYFUNCTION("""COMPUTED_VALUE"""),"Platformer")</f>
        <v>Platformer</v>
      </c>
      <c r="N444" s="25"/>
      <c r="O444" s="26" t="str">
        <f>IFERROR(__xludf.DUMMYFUNCTION("""COMPUTED_VALUE"""),"No")</f>
        <v>No</v>
      </c>
      <c r="P444" s="26"/>
    </row>
    <row r="445" hidden="1">
      <c r="A445" s="13" t="str">
        <f>IFERROR(__xludf.DUMMYFUNCTION("""COMPUTED_VALUE"""),"VVVVVV")</f>
        <v>VVVVVV</v>
      </c>
      <c r="B445" s="15" t="str">
        <f>IFERROR(__xludf.DUMMYFUNCTION("""COMPUTED_VALUE"""),"Vita")</f>
        <v>Vita</v>
      </c>
      <c r="C445" s="16" t="str">
        <f>IFERROR(__xludf.DUMMYFUNCTION("""COMPUTED_VALUE"""),"Playstation Plus (Discontinued)")</f>
        <v>Playstation Plus (Discontinued)</v>
      </c>
      <c r="D445" s="15" t="str">
        <f>IFERROR(__xludf.DUMMYFUNCTION("""COMPUTED_VALUE"""),"Removed")</f>
        <v>Removed</v>
      </c>
      <c r="E445" s="17">
        <f>IFERROR(__xludf.DUMMYFUNCTION("""COMPUTED_VALUE"""),42710.0)</f>
        <v>42710</v>
      </c>
      <c r="F445" s="54">
        <f>IFERROR(__xludf.DUMMYFUNCTION("""COMPUTED_VALUE"""),42737.0)</f>
        <v>42737</v>
      </c>
      <c r="G445" s="19">
        <f>IFERROR(__xludf.DUMMYFUNCTION("""COMPUTED_VALUE"""),0.8666666666666666)</f>
        <v>0.8666666667</v>
      </c>
      <c r="H445" s="17">
        <f>IFERROR(__xludf.DUMMYFUNCTION("""COMPUTED_VALUE"""),40188.0)</f>
        <v>40188</v>
      </c>
      <c r="I445" s="19">
        <f>IFERROR(__xludf.DUMMYFUNCTION("""COMPUTED_VALUE"""),6.905555555555556)</f>
        <v>6.905555556</v>
      </c>
      <c r="J445" s="21">
        <f>IFERROR(__xludf.DUMMYFUNCTION("""COMPUTED_VALUE"""),81.0)</f>
        <v>81</v>
      </c>
      <c r="K445" s="23">
        <f>IFERROR(__xludf.DUMMYFUNCTION("""COMPUTED_VALUE"""),7.9)</f>
        <v>7.9</v>
      </c>
      <c r="L445" s="24">
        <f>IFERROR(__xludf.DUMMYFUNCTION("""COMPUTED_VALUE"""),4.0)</f>
        <v>4</v>
      </c>
      <c r="M445" s="25" t="str">
        <f>IFERROR(__xludf.DUMMYFUNCTION("""COMPUTED_VALUE"""),"Platformer")</f>
        <v>Platformer</v>
      </c>
      <c r="N445" s="25"/>
      <c r="O445" s="26" t="str">
        <f>IFERROR(__xludf.DUMMYFUNCTION("""COMPUTED_VALUE"""),"No")</f>
        <v>No</v>
      </c>
      <c r="P445" s="26"/>
    </row>
    <row r="446" hidden="1">
      <c r="A446" s="13" t="str">
        <f>IFERROR(__xludf.DUMMYFUNCTION("""COMPUTED_VALUE"""),"Everybody’s Gone to the Rapture")</f>
        <v>Everybody’s Gone to the Rapture</v>
      </c>
      <c r="B446" s="15" t="str">
        <f>IFERROR(__xludf.DUMMYFUNCTION("""COMPUTED_VALUE"""),"PS4")</f>
        <v>PS4</v>
      </c>
      <c r="C446" s="16" t="str">
        <f>IFERROR(__xludf.DUMMYFUNCTION("""COMPUTED_VALUE"""),"Playstation Plus (Discontinued)")</f>
        <v>Playstation Plus (Discontinued)</v>
      </c>
      <c r="D446" s="15" t="str">
        <f>IFERROR(__xludf.DUMMYFUNCTION("""COMPUTED_VALUE"""),"Removed")</f>
        <v>Removed</v>
      </c>
      <c r="E446" s="17">
        <f>IFERROR(__xludf.DUMMYFUNCTION("""COMPUTED_VALUE"""),42675.0)</f>
        <v>42675</v>
      </c>
      <c r="F446" s="54">
        <f>IFERROR(__xludf.DUMMYFUNCTION("""COMPUTED_VALUE"""),42709.0)</f>
        <v>42709</v>
      </c>
      <c r="G446" s="19">
        <f>IFERROR(__xludf.DUMMYFUNCTION("""COMPUTED_VALUE"""),1.1333333333333333)</f>
        <v>1.133333333</v>
      </c>
      <c r="H446" s="17">
        <f>IFERROR(__xludf.DUMMYFUNCTION("""COMPUTED_VALUE"""),42227.0)</f>
        <v>42227</v>
      </c>
      <c r="I446" s="19">
        <f>IFERROR(__xludf.DUMMYFUNCTION("""COMPUTED_VALUE"""),1.2222222222222223)</f>
        <v>1.222222222</v>
      </c>
      <c r="J446" s="21">
        <f>IFERROR(__xludf.DUMMYFUNCTION("""COMPUTED_VALUE"""),76.0)</f>
        <v>76</v>
      </c>
      <c r="K446" s="23">
        <f>IFERROR(__xludf.DUMMYFUNCTION("""COMPUTED_VALUE"""),6.5)</f>
        <v>6.5</v>
      </c>
      <c r="L446" s="24">
        <f>IFERROR(__xludf.DUMMYFUNCTION("""COMPUTED_VALUE"""),5.0)</f>
        <v>5</v>
      </c>
      <c r="M446" s="25" t="str">
        <f>IFERROR(__xludf.DUMMYFUNCTION("""COMPUTED_VALUE"""),"Adventure")</f>
        <v>Adventure</v>
      </c>
      <c r="N446" s="25"/>
      <c r="O446" s="26" t="str">
        <f>IFERROR(__xludf.DUMMYFUNCTION("""COMPUTED_VALUE"""),"No")</f>
        <v>No</v>
      </c>
      <c r="P446" s="26"/>
    </row>
    <row r="447">
      <c r="A447" s="13" t="str">
        <f>IFERROR(__xludf.DUMMYFUNCTION("""COMPUTED_VALUE"""),"The Deadly Tower of Monsters")</f>
        <v>The Deadly Tower of Monsters</v>
      </c>
      <c r="B447" s="15" t="str">
        <f>IFERROR(__xludf.DUMMYFUNCTION("""COMPUTED_VALUE"""),"PS4")</f>
        <v>PS4</v>
      </c>
      <c r="C447" s="16" t="str">
        <f>IFERROR(__xludf.DUMMYFUNCTION("""COMPUTED_VALUE"""),"Playstation Plus (Discontinued)")</f>
        <v>Playstation Plus (Discontinued)</v>
      </c>
      <c r="D447" s="15" t="str">
        <f>IFERROR(__xludf.DUMMYFUNCTION("""COMPUTED_VALUE"""),"Removed")</f>
        <v>Removed</v>
      </c>
      <c r="E447" s="17">
        <f>IFERROR(__xludf.DUMMYFUNCTION("""COMPUTED_VALUE"""),42675.0)</f>
        <v>42675</v>
      </c>
      <c r="F447" s="54">
        <f>IFERROR(__xludf.DUMMYFUNCTION("""COMPUTED_VALUE"""),42709.0)</f>
        <v>42709</v>
      </c>
      <c r="G447" s="19">
        <f>IFERROR(__xludf.DUMMYFUNCTION("""COMPUTED_VALUE"""),1.1333333333333333)</f>
        <v>1.133333333</v>
      </c>
      <c r="H447" s="17">
        <f>IFERROR(__xludf.DUMMYFUNCTION("""COMPUTED_VALUE"""),42388.0)</f>
        <v>42388</v>
      </c>
      <c r="I447" s="19">
        <f>IFERROR(__xludf.DUMMYFUNCTION("""COMPUTED_VALUE"""),0.7833333333333333)</f>
        <v>0.7833333333</v>
      </c>
      <c r="J447" s="21">
        <f>IFERROR(__xludf.DUMMYFUNCTION("""COMPUTED_VALUE"""),76.0)</f>
        <v>76</v>
      </c>
      <c r="K447" s="23">
        <f>IFERROR(__xludf.DUMMYFUNCTION("""COMPUTED_VALUE"""),7.4)</f>
        <v>7.4</v>
      </c>
      <c r="L447" s="24">
        <f>IFERROR(__xludf.DUMMYFUNCTION("""COMPUTED_VALUE"""),5.0)</f>
        <v>5</v>
      </c>
      <c r="M447" s="25" t="str">
        <f>IFERROR(__xludf.DUMMYFUNCTION("""COMPUTED_VALUE"""),"Action-Adventure")</f>
        <v>Action-Adventure</v>
      </c>
      <c r="N447" s="25"/>
      <c r="O447" s="26" t="str">
        <f>IFERROR(__xludf.DUMMYFUNCTION("""COMPUTED_VALUE"""),"No")</f>
        <v>No</v>
      </c>
      <c r="P447" s="26"/>
    </row>
    <row r="448">
      <c r="A448" s="13" t="str">
        <f>IFERROR(__xludf.DUMMYFUNCTION("""COMPUTED_VALUE"""),"DiRT 3")</f>
        <v>DiRT 3</v>
      </c>
      <c r="B448" s="15" t="str">
        <f>IFERROR(__xludf.DUMMYFUNCTION("""COMPUTED_VALUE"""),"PS3")</f>
        <v>PS3</v>
      </c>
      <c r="C448" s="16" t="str">
        <f>IFERROR(__xludf.DUMMYFUNCTION("""COMPUTED_VALUE"""),"Playstation Plus (Discontinued)")</f>
        <v>Playstation Plus (Discontinued)</v>
      </c>
      <c r="D448" s="15" t="str">
        <f>IFERROR(__xludf.DUMMYFUNCTION("""COMPUTED_VALUE"""),"Removed")</f>
        <v>Removed</v>
      </c>
      <c r="E448" s="17">
        <f>IFERROR(__xludf.DUMMYFUNCTION("""COMPUTED_VALUE"""),42675.0)</f>
        <v>42675</v>
      </c>
      <c r="F448" s="54">
        <f>IFERROR(__xludf.DUMMYFUNCTION("""COMPUTED_VALUE"""),42709.0)</f>
        <v>42709</v>
      </c>
      <c r="G448" s="19">
        <f>IFERROR(__xludf.DUMMYFUNCTION("""COMPUTED_VALUE"""),1.1333333333333333)</f>
        <v>1.133333333</v>
      </c>
      <c r="H448" s="17">
        <f>IFERROR(__xludf.DUMMYFUNCTION("""COMPUTED_VALUE"""),40687.0)</f>
        <v>40687</v>
      </c>
      <c r="I448" s="19">
        <f>IFERROR(__xludf.DUMMYFUNCTION("""COMPUTED_VALUE"""),5.436111111111111)</f>
        <v>5.436111111</v>
      </c>
      <c r="J448" s="21">
        <f>IFERROR(__xludf.DUMMYFUNCTION("""COMPUTED_VALUE"""),87.0)</f>
        <v>87</v>
      </c>
      <c r="K448" s="23">
        <f>IFERROR(__xludf.DUMMYFUNCTION("""COMPUTED_VALUE"""),8.0)</f>
        <v>8</v>
      </c>
      <c r="L448" s="24">
        <f>IFERROR(__xludf.DUMMYFUNCTION("""COMPUTED_VALUE"""),8.0)</f>
        <v>8</v>
      </c>
      <c r="M448" s="25" t="str">
        <f>IFERROR(__xludf.DUMMYFUNCTION("""COMPUTED_VALUE"""),"Racing")</f>
        <v>Racing</v>
      </c>
      <c r="N448" s="25"/>
      <c r="O448" s="26" t="str">
        <f>IFERROR(__xludf.DUMMYFUNCTION("""COMPUTED_VALUE"""),"No")</f>
        <v>No</v>
      </c>
      <c r="P448" s="26"/>
    </row>
    <row r="449" hidden="1">
      <c r="A449" s="13" t="str">
        <f>IFERROR(__xludf.DUMMYFUNCTION("""COMPUTED_VALUE"""),"Costume Quest 2")</f>
        <v>Costume Quest 2</v>
      </c>
      <c r="B449" s="15" t="str">
        <f>IFERROR(__xludf.DUMMYFUNCTION("""COMPUTED_VALUE"""),"PS3")</f>
        <v>PS3</v>
      </c>
      <c r="C449" s="16" t="str">
        <f>IFERROR(__xludf.DUMMYFUNCTION("""COMPUTED_VALUE"""),"Playstation Plus (Discontinued)")</f>
        <v>Playstation Plus (Discontinued)</v>
      </c>
      <c r="D449" s="15" t="str">
        <f>IFERROR(__xludf.DUMMYFUNCTION("""COMPUTED_VALUE"""),"Removed")</f>
        <v>Removed</v>
      </c>
      <c r="E449" s="17">
        <f>IFERROR(__xludf.DUMMYFUNCTION("""COMPUTED_VALUE"""),42675.0)</f>
        <v>42675</v>
      </c>
      <c r="F449" s="54">
        <f>IFERROR(__xludf.DUMMYFUNCTION("""COMPUTED_VALUE"""),42709.0)</f>
        <v>42709</v>
      </c>
      <c r="G449" s="19">
        <f>IFERROR(__xludf.DUMMYFUNCTION("""COMPUTED_VALUE"""),1.1333333333333333)</f>
        <v>1.133333333</v>
      </c>
      <c r="H449" s="17">
        <f>IFERROR(__xludf.DUMMYFUNCTION("""COMPUTED_VALUE"""),41919.0)</f>
        <v>41919</v>
      </c>
      <c r="I449" s="19">
        <f>IFERROR(__xludf.DUMMYFUNCTION("""COMPUTED_VALUE"""),2.066666666666667)</f>
        <v>2.066666667</v>
      </c>
      <c r="J449" s="21">
        <f>IFERROR(__xludf.DUMMYFUNCTION("""COMPUTED_VALUE"""),72.0)</f>
        <v>72</v>
      </c>
      <c r="K449" s="23">
        <f>IFERROR(__xludf.DUMMYFUNCTION("""COMPUTED_VALUE"""),7.0)</f>
        <v>7</v>
      </c>
      <c r="L449" s="24">
        <f>IFERROR(__xludf.DUMMYFUNCTION("""COMPUTED_VALUE"""),7.0)</f>
        <v>7</v>
      </c>
      <c r="M449" s="25" t="str">
        <f>IFERROR(__xludf.DUMMYFUNCTION("""COMPUTED_VALUE"""),"RPG")</f>
        <v>RPG</v>
      </c>
      <c r="N449" s="25"/>
      <c r="O449" s="26" t="str">
        <f>IFERROR(__xludf.DUMMYFUNCTION("""COMPUTED_VALUE"""),"No")</f>
        <v>No</v>
      </c>
      <c r="P449" s="26"/>
    </row>
    <row r="450" hidden="1">
      <c r="A450" s="13" t="str">
        <f>IFERROR(__xludf.DUMMYFUNCTION("""COMPUTED_VALUE"""),"Letter Quest Remastered")</f>
        <v>Letter Quest Remastered</v>
      </c>
      <c r="B450" s="15" t="str">
        <f>IFERROR(__xludf.DUMMYFUNCTION("""COMPUTED_VALUE"""),"PS4/Vita")</f>
        <v>PS4/Vita</v>
      </c>
      <c r="C450" s="16" t="str">
        <f>IFERROR(__xludf.DUMMYFUNCTION("""COMPUTED_VALUE"""),"Playstation Plus (Discontinued)")</f>
        <v>Playstation Plus (Discontinued)</v>
      </c>
      <c r="D450" s="15" t="str">
        <f>IFERROR(__xludf.DUMMYFUNCTION("""COMPUTED_VALUE"""),"Removed")</f>
        <v>Removed</v>
      </c>
      <c r="E450" s="17">
        <f>IFERROR(__xludf.DUMMYFUNCTION("""COMPUTED_VALUE"""),42675.0)</f>
        <v>42675</v>
      </c>
      <c r="F450" s="54">
        <f>IFERROR(__xludf.DUMMYFUNCTION("""COMPUTED_VALUE"""),42709.0)</f>
        <v>42709</v>
      </c>
      <c r="G450" s="19">
        <f>IFERROR(__xludf.DUMMYFUNCTION("""COMPUTED_VALUE"""),1.1333333333333333)</f>
        <v>1.133333333</v>
      </c>
      <c r="H450" s="17">
        <f>IFERROR(__xludf.DUMMYFUNCTION("""COMPUTED_VALUE"""),42129.0)</f>
        <v>42129</v>
      </c>
      <c r="I450" s="19">
        <f>IFERROR(__xludf.DUMMYFUNCTION("""COMPUTED_VALUE"""),1.488888888888889)</f>
        <v>1.488888889</v>
      </c>
      <c r="J450" s="21">
        <f>IFERROR(__xludf.DUMMYFUNCTION("""COMPUTED_VALUE"""),70.0)</f>
        <v>70</v>
      </c>
      <c r="K450" s="23">
        <f>IFERROR(__xludf.DUMMYFUNCTION("""COMPUTED_VALUE"""),7.2)</f>
        <v>7.2</v>
      </c>
      <c r="L450" s="24">
        <f>IFERROR(__xludf.DUMMYFUNCTION("""COMPUTED_VALUE"""),4.0)</f>
        <v>4</v>
      </c>
      <c r="M450" s="25" t="str">
        <f>IFERROR(__xludf.DUMMYFUNCTION("""COMPUTED_VALUE"""),"Puzzle")</f>
        <v>Puzzle</v>
      </c>
      <c r="N450" s="25"/>
      <c r="O450" s="26" t="str">
        <f>IFERROR(__xludf.DUMMYFUNCTION("""COMPUTED_VALUE"""),"No")</f>
        <v>No</v>
      </c>
      <c r="P450" s="26"/>
    </row>
    <row r="451" hidden="1">
      <c r="A451" s="13" t="str">
        <f>IFERROR(__xludf.DUMMYFUNCTION("""COMPUTED_VALUE"""),"Pumped BMX+")</f>
        <v>Pumped BMX+</v>
      </c>
      <c r="B451" s="15" t="str">
        <f>IFERROR(__xludf.DUMMYFUNCTION("""COMPUTED_VALUE"""),"PS4/PS3/Vita")</f>
        <v>PS4/PS3/Vita</v>
      </c>
      <c r="C451" s="16" t="str">
        <f>IFERROR(__xludf.DUMMYFUNCTION("""COMPUTED_VALUE"""),"Playstation Plus (Discontinued)")</f>
        <v>Playstation Plus (Discontinued)</v>
      </c>
      <c r="D451" s="15" t="str">
        <f>IFERROR(__xludf.DUMMYFUNCTION("""COMPUTED_VALUE"""),"Removed")</f>
        <v>Removed</v>
      </c>
      <c r="E451" s="17">
        <f>IFERROR(__xludf.DUMMYFUNCTION("""COMPUTED_VALUE"""),42675.0)</f>
        <v>42675</v>
      </c>
      <c r="F451" s="54">
        <f>IFERROR(__xludf.DUMMYFUNCTION("""COMPUTED_VALUE"""),42709.0)</f>
        <v>42709</v>
      </c>
      <c r="G451" s="19">
        <f>IFERROR(__xludf.DUMMYFUNCTION("""COMPUTED_VALUE"""),1.1333333333333333)</f>
        <v>1.133333333</v>
      </c>
      <c r="H451" s="17">
        <f>IFERROR(__xludf.DUMMYFUNCTION("""COMPUTED_VALUE"""),42265.0)</f>
        <v>42265</v>
      </c>
      <c r="I451" s="19">
        <f>IFERROR(__xludf.DUMMYFUNCTION("""COMPUTED_VALUE"""),1.1194444444444445)</f>
        <v>1.119444444</v>
      </c>
      <c r="J451" s="21">
        <f>IFERROR(__xludf.DUMMYFUNCTION("""COMPUTED_VALUE"""),69.0)</f>
        <v>69</v>
      </c>
      <c r="K451" s="23">
        <f>IFERROR(__xludf.DUMMYFUNCTION("""COMPUTED_VALUE"""),7.0)</f>
        <v>7</v>
      </c>
      <c r="L451" s="24">
        <f>IFERROR(__xludf.DUMMYFUNCTION("""COMPUTED_VALUE"""),6.0)</f>
        <v>6</v>
      </c>
      <c r="M451" s="25" t="str">
        <f>IFERROR(__xludf.DUMMYFUNCTION("""COMPUTED_VALUE"""),"Sports")</f>
        <v>Sports</v>
      </c>
      <c r="N451" s="25"/>
      <c r="O451" s="26" t="str">
        <f>IFERROR(__xludf.DUMMYFUNCTION("""COMPUTED_VALUE"""),"No")</f>
        <v>No</v>
      </c>
      <c r="P451" s="26"/>
    </row>
    <row r="452" hidden="1">
      <c r="A452" s="13" t="str">
        <f>IFERROR(__xludf.DUMMYFUNCTION("""COMPUTED_VALUE"""),"Resident Evil")</f>
        <v>Resident Evil</v>
      </c>
      <c r="B452" s="15" t="str">
        <f>IFERROR(__xludf.DUMMYFUNCTION("""COMPUTED_VALUE"""),"PS4")</f>
        <v>PS4</v>
      </c>
      <c r="C452" s="16" t="str">
        <f>IFERROR(__xludf.DUMMYFUNCTION("""COMPUTED_VALUE"""),"Playstation Plus (Discontinued)")</f>
        <v>Playstation Plus (Discontinued)</v>
      </c>
      <c r="D452" s="15" t="str">
        <f>IFERROR(__xludf.DUMMYFUNCTION("""COMPUTED_VALUE"""),"Removed")</f>
        <v>Removed</v>
      </c>
      <c r="E452" s="17">
        <f>IFERROR(__xludf.DUMMYFUNCTION("""COMPUTED_VALUE"""),42647.0)</f>
        <v>42647</v>
      </c>
      <c r="F452" s="54">
        <f>IFERROR(__xludf.DUMMYFUNCTION("""COMPUTED_VALUE"""),42674.0)</f>
        <v>42674</v>
      </c>
      <c r="G452" s="19">
        <f>IFERROR(__xludf.DUMMYFUNCTION("""COMPUTED_VALUE"""),0.8666666666666666)</f>
        <v>0.8666666667</v>
      </c>
      <c r="H452" s="17">
        <f>IFERROR(__xludf.DUMMYFUNCTION("""COMPUTED_VALUE"""),38798.0)</f>
        <v>38798</v>
      </c>
      <c r="I452" s="19">
        <f>IFERROR(__xludf.DUMMYFUNCTION("""COMPUTED_VALUE"""),10.533333333333333)</f>
        <v>10.53333333</v>
      </c>
      <c r="J452" s="21">
        <f>IFERROR(__xludf.DUMMYFUNCTION("""COMPUTED_VALUE"""),91.0)</f>
        <v>91</v>
      </c>
      <c r="K452" s="23">
        <f>IFERROR(__xludf.DUMMYFUNCTION("""COMPUTED_VALUE"""),8.7)</f>
        <v>8.7</v>
      </c>
      <c r="L452" s="24">
        <f>IFERROR(__xludf.DUMMYFUNCTION("""COMPUTED_VALUE"""),13.0)</f>
        <v>13</v>
      </c>
      <c r="M452" s="25" t="str">
        <f>IFERROR(__xludf.DUMMYFUNCTION("""COMPUTED_VALUE"""),"Horror")</f>
        <v>Horror</v>
      </c>
      <c r="N452" s="25"/>
      <c r="O452" s="26" t="str">
        <f>IFERROR(__xludf.DUMMYFUNCTION("""COMPUTED_VALUE"""),"No")</f>
        <v>No</v>
      </c>
      <c r="P452" s="26"/>
    </row>
    <row r="453">
      <c r="A453" s="13" t="str">
        <f>IFERROR(__xludf.DUMMYFUNCTION("""COMPUTED_VALUE"""),"Transformers: Devastation")</f>
        <v>Transformers: Devastation</v>
      </c>
      <c r="B453" s="15" t="str">
        <f>IFERROR(__xludf.DUMMYFUNCTION("""COMPUTED_VALUE"""),"PS4/PS3")</f>
        <v>PS4/PS3</v>
      </c>
      <c r="C453" s="16" t="str">
        <f>IFERROR(__xludf.DUMMYFUNCTION("""COMPUTED_VALUE"""),"Playstation Plus (Discontinued)")</f>
        <v>Playstation Plus (Discontinued)</v>
      </c>
      <c r="D453" s="15" t="str">
        <f>IFERROR(__xludf.DUMMYFUNCTION("""COMPUTED_VALUE"""),"Removed")</f>
        <v>Removed</v>
      </c>
      <c r="E453" s="17">
        <f>IFERROR(__xludf.DUMMYFUNCTION("""COMPUTED_VALUE"""),42647.0)</f>
        <v>42647</v>
      </c>
      <c r="F453" s="54">
        <f>IFERROR(__xludf.DUMMYFUNCTION("""COMPUTED_VALUE"""),42674.0)</f>
        <v>42674</v>
      </c>
      <c r="G453" s="19">
        <f>IFERROR(__xludf.DUMMYFUNCTION("""COMPUTED_VALUE"""),0.8666666666666666)</f>
        <v>0.8666666667</v>
      </c>
      <c r="H453" s="17">
        <f>IFERROR(__xludf.DUMMYFUNCTION("""COMPUTED_VALUE"""),42283.0)</f>
        <v>42283</v>
      </c>
      <c r="I453" s="19">
        <f>IFERROR(__xludf.DUMMYFUNCTION("""COMPUTED_VALUE"""),0.9944444444444445)</f>
        <v>0.9944444444</v>
      </c>
      <c r="J453" s="21">
        <f>IFERROR(__xludf.DUMMYFUNCTION("""COMPUTED_VALUE"""),77.0)</f>
        <v>77</v>
      </c>
      <c r="K453" s="23">
        <f>IFERROR(__xludf.DUMMYFUNCTION("""COMPUTED_VALUE"""),8.0)</f>
        <v>8</v>
      </c>
      <c r="L453" s="24">
        <f>IFERROR(__xludf.DUMMYFUNCTION("""COMPUTED_VALUE"""),6.0)</f>
        <v>6</v>
      </c>
      <c r="M453" s="25" t="str">
        <f>IFERROR(__xludf.DUMMYFUNCTION("""COMPUTED_VALUE"""),"Action-Adventure")</f>
        <v>Action-Adventure</v>
      </c>
      <c r="N453" s="25"/>
      <c r="O453" s="26" t="str">
        <f>IFERROR(__xludf.DUMMYFUNCTION("""COMPUTED_VALUE"""),"No")</f>
        <v>No</v>
      </c>
      <c r="P453" s="26"/>
    </row>
    <row r="454">
      <c r="A454" s="13" t="str">
        <f>IFERROR(__xludf.DUMMYFUNCTION("""COMPUTED_VALUE"""),"Mad Riders")</f>
        <v>Mad Riders</v>
      </c>
      <c r="B454" s="15" t="str">
        <f>IFERROR(__xludf.DUMMYFUNCTION("""COMPUTED_VALUE"""),"PS3")</f>
        <v>PS3</v>
      </c>
      <c r="C454" s="16" t="str">
        <f>IFERROR(__xludf.DUMMYFUNCTION("""COMPUTED_VALUE"""),"Playstation Plus (Discontinued)")</f>
        <v>Playstation Plus (Discontinued)</v>
      </c>
      <c r="D454" s="15" t="str">
        <f>IFERROR(__xludf.DUMMYFUNCTION("""COMPUTED_VALUE"""),"Removed")</f>
        <v>Removed</v>
      </c>
      <c r="E454" s="17">
        <f>IFERROR(__xludf.DUMMYFUNCTION("""COMPUTED_VALUE"""),42647.0)</f>
        <v>42647</v>
      </c>
      <c r="F454" s="54">
        <f>IFERROR(__xludf.DUMMYFUNCTION("""COMPUTED_VALUE"""),42674.0)</f>
        <v>42674</v>
      </c>
      <c r="G454" s="19">
        <f>IFERROR(__xludf.DUMMYFUNCTION("""COMPUTED_VALUE"""),0.8666666666666666)</f>
        <v>0.8666666667</v>
      </c>
      <c r="H454" s="17">
        <f>IFERROR(__xludf.DUMMYFUNCTION("""COMPUTED_VALUE"""),41058.0)</f>
        <v>41058</v>
      </c>
      <c r="I454" s="19">
        <f>IFERROR(__xludf.DUMMYFUNCTION("""COMPUTED_VALUE"""),4.347222222222222)</f>
        <v>4.347222222</v>
      </c>
      <c r="J454" s="21">
        <f>IFERROR(__xludf.DUMMYFUNCTION("""COMPUTED_VALUE"""),62.0)</f>
        <v>62</v>
      </c>
      <c r="K454" s="23">
        <f>IFERROR(__xludf.DUMMYFUNCTION("""COMPUTED_VALUE"""),6.2)</f>
        <v>6.2</v>
      </c>
      <c r="L454" s="24">
        <f>IFERROR(__xludf.DUMMYFUNCTION("""COMPUTED_VALUE"""),4.0)</f>
        <v>4</v>
      </c>
      <c r="M454" s="25" t="str">
        <f>IFERROR(__xludf.DUMMYFUNCTION("""COMPUTED_VALUE"""),"Racing")</f>
        <v>Racing</v>
      </c>
      <c r="N454" s="25"/>
      <c r="O454" s="26" t="str">
        <f>IFERROR(__xludf.DUMMYFUNCTION("""COMPUTED_VALUE"""),"No")</f>
        <v>No</v>
      </c>
      <c r="P454" s="26"/>
    </row>
    <row r="455" hidden="1">
      <c r="A455" s="13" t="str">
        <f>IFERROR(__xludf.DUMMYFUNCTION("""COMPUTED_VALUE"""),"From Dust")</f>
        <v>From Dust</v>
      </c>
      <c r="B455" s="15" t="str">
        <f>IFERROR(__xludf.DUMMYFUNCTION("""COMPUTED_VALUE"""),"PS3")</f>
        <v>PS3</v>
      </c>
      <c r="C455" s="16" t="str">
        <f>IFERROR(__xludf.DUMMYFUNCTION("""COMPUTED_VALUE"""),"Playstation Plus (Discontinued)")</f>
        <v>Playstation Plus (Discontinued)</v>
      </c>
      <c r="D455" s="15" t="str">
        <f>IFERROR(__xludf.DUMMYFUNCTION("""COMPUTED_VALUE"""),"Removed")</f>
        <v>Removed</v>
      </c>
      <c r="E455" s="17">
        <f>IFERROR(__xludf.DUMMYFUNCTION("""COMPUTED_VALUE"""),42647.0)</f>
        <v>42647</v>
      </c>
      <c r="F455" s="54">
        <f>IFERROR(__xludf.DUMMYFUNCTION("""COMPUTED_VALUE"""),42674.0)</f>
        <v>42674</v>
      </c>
      <c r="G455" s="19">
        <f>IFERROR(__xludf.DUMMYFUNCTION("""COMPUTED_VALUE"""),0.8666666666666666)</f>
        <v>0.8666666667</v>
      </c>
      <c r="H455" s="17">
        <f>IFERROR(__xludf.DUMMYFUNCTION("""COMPUTED_VALUE"""),40751.0)</f>
        <v>40751</v>
      </c>
      <c r="I455" s="19">
        <f>IFERROR(__xludf.DUMMYFUNCTION("""COMPUTED_VALUE"""),5.186111111111111)</f>
        <v>5.186111111</v>
      </c>
      <c r="J455" s="21">
        <f>IFERROR(__xludf.DUMMYFUNCTION("""COMPUTED_VALUE"""),79.0)</f>
        <v>79</v>
      </c>
      <c r="K455" s="23">
        <f>IFERROR(__xludf.DUMMYFUNCTION("""COMPUTED_VALUE"""),7.2)</f>
        <v>7.2</v>
      </c>
      <c r="L455" s="24">
        <f>IFERROR(__xludf.DUMMYFUNCTION("""COMPUTED_VALUE"""),6.0)</f>
        <v>6</v>
      </c>
      <c r="M455" s="25" t="str">
        <f>IFERROR(__xludf.DUMMYFUNCTION("""COMPUTED_VALUE"""),"Strategy")</f>
        <v>Strategy</v>
      </c>
      <c r="N455" s="25"/>
      <c r="O455" s="26" t="str">
        <f>IFERROR(__xludf.DUMMYFUNCTION("""COMPUTED_VALUE"""),"No")</f>
        <v>No</v>
      </c>
      <c r="P455" s="26"/>
    </row>
    <row r="456" hidden="1">
      <c r="A456" s="13" t="str">
        <f>IFERROR(__xludf.DUMMYFUNCTION("""COMPUTED_VALUE"""),"Code:Realize - Guardian of Rebirth")</f>
        <v>Code:Realize - Guardian of Rebirth</v>
      </c>
      <c r="B456" s="15" t="str">
        <f>IFERROR(__xludf.DUMMYFUNCTION("""COMPUTED_VALUE"""),"Vita")</f>
        <v>Vita</v>
      </c>
      <c r="C456" s="16" t="str">
        <f>IFERROR(__xludf.DUMMYFUNCTION("""COMPUTED_VALUE"""),"Playstation Plus (Discontinued)")</f>
        <v>Playstation Plus (Discontinued)</v>
      </c>
      <c r="D456" s="15" t="str">
        <f>IFERROR(__xludf.DUMMYFUNCTION("""COMPUTED_VALUE"""),"Removed")</f>
        <v>Removed</v>
      </c>
      <c r="E456" s="17">
        <f>IFERROR(__xludf.DUMMYFUNCTION("""COMPUTED_VALUE"""),42647.0)</f>
        <v>42647</v>
      </c>
      <c r="F456" s="54">
        <f>IFERROR(__xludf.DUMMYFUNCTION("""COMPUTED_VALUE"""),42674.0)</f>
        <v>42674</v>
      </c>
      <c r="G456" s="19">
        <f>IFERROR(__xludf.DUMMYFUNCTION("""COMPUTED_VALUE"""),0.8666666666666666)</f>
        <v>0.8666666667</v>
      </c>
      <c r="H456" s="17">
        <f>IFERROR(__xludf.DUMMYFUNCTION("""COMPUTED_VALUE"""),42300.0)</f>
        <v>42300</v>
      </c>
      <c r="I456" s="19">
        <f>IFERROR(__xludf.DUMMYFUNCTION("""COMPUTED_VALUE"""),0.9472222222222222)</f>
        <v>0.9472222222</v>
      </c>
      <c r="J456" s="21">
        <f>IFERROR(__xludf.DUMMYFUNCTION("""COMPUTED_VALUE"""),81.0)</f>
        <v>81</v>
      </c>
      <c r="K456" s="23">
        <f>IFERROR(__xludf.DUMMYFUNCTION("""COMPUTED_VALUE"""),8.1)</f>
        <v>8.1</v>
      </c>
      <c r="L456" s="24">
        <f>IFERROR(__xludf.DUMMYFUNCTION("""COMPUTED_VALUE"""),18.0)</f>
        <v>18</v>
      </c>
      <c r="M456" s="25" t="str">
        <f>IFERROR(__xludf.DUMMYFUNCTION("""COMPUTED_VALUE"""),"Visual Novel")</f>
        <v>Visual Novel</v>
      </c>
      <c r="N456" s="25"/>
      <c r="O456" s="26" t="str">
        <f>IFERROR(__xludf.DUMMYFUNCTION("""COMPUTED_VALUE"""),"No")</f>
        <v>No</v>
      </c>
      <c r="P456" s="26"/>
    </row>
    <row r="457" hidden="1">
      <c r="A457" s="13" t="str">
        <f>IFERROR(__xludf.DUMMYFUNCTION("""COMPUTED_VALUE"""),"Actual Sunlight")</f>
        <v>Actual Sunlight</v>
      </c>
      <c r="B457" s="15" t="str">
        <f>IFERROR(__xludf.DUMMYFUNCTION("""COMPUTED_VALUE"""),"Vita")</f>
        <v>Vita</v>
      </c>
      <c r="C457" s="16" t="str">
        <f>IFERROR(__xludf.DUMMYFUNCTION("""COMPUTED_VALUE"""),"Playstation Plus (Discontinued)")</f>
        <v>Playstation Plus (Discontinued)</v>
      </c>
      <c r="D457" s="15" t="str">
        <f>IFERROR(__xludf.DUMMYFUNCTION("""COMPUTED_VALUE"""),"Removed")</f>
        <v>Removed</v>
      </c>
      <c r="E457" s="17">
        <f>IFERROR(__xludf.DUMMYFUNCTION("""COMPUTED_VALUE"""),42647.0)</f>
        <v>42647</v>
      </c>
      <c r="F457" s="54">
        <f>IFERROR(__xludf.DUMMYFUNCTION("""COMPUTED_VALUE"""),42674.0)</f>
        <v>42674</v>
      </c>
      <c r="G457" s="19">
        <f>IFERROR(__xludf.DUMMYFUNCTION("""COMPUTED_VALUE"""),0.8666666666666666)</f>
        <v>0.8666666667</v>
      </c>
      <c r="H457" s="17">
        <f>IFERROR(__xludf.DUMMYFUNCTION("""COMPUTED_VALUE"""),42097.0)</f>
        <v>42097</v>
      </c>
      <c r="I457" s="19">
        <f>IFERROR(__xludf.DUMMYFUNCTION("""COMPUTED_VALUE"""),1.5027777777777778)</f>
        <v>1.502777778</v>
      </c>
      <c r="J457" s="21">
        <f>IFERROR(__xludf.DUMMYFUNCTION("""COMPUTED_VALUE"""),63.0)</f>
        <v>63</v>
      </c>
      <c r="K457" s="23">
        <f>IFERROR(__xludf.DUMMYFUNCTION("""COMPUTED_VALUE"""),7.1)</f>
        <v>7.1</v>
      </c>
      <c r="L457" s="24">
        <f>IFERROR(__xludf.DUMMYFUNCTION("""COMPUTED_VALUE"""),2.0)</f>
        <v>2</v>
      </c>
      <c r="M457" s="25" t="str">
        <f>IFERROR(__xludf.DUMMYFUNCTION("""COMPUTED_VALUE"""),"Adventure")</f>
        <v>Adventure</v>
      </c>
      <c r="N457" s="25"/>
      <c r="O457" s="26" t="str">
        <f>IFERROR(__xludf.DUMMYFUNCTION("""COMPUTED_VALUE"""),"No")</f>
        <v>No</v>
      </c>
      <c r="P457" s="26"/>
    </row>
    <row r="458" hidden="1">
      <c r="A458" s="13" t="str">
        <f>IFERROR(__xludf.DUMMYFUNCTION("""COMPUTED_VALUE"""),"Lords of the Fallen")</f>
        <v>Lords of the Fallen</v>
      </c>
      <c r="B458" s="15" t="str">
        <f>IFERROR(__xludf.DUMMYFUNCTION("""COMPUTED_VALUE"""),"PS4")</f>
        <v>PS4</v>
      </c>
      <c r="C458" s="16" t="str">
        <f>IFERROR(__xludf.DUMMYFUNCTION("""COMPUTED_VALUE"""),"Playstation Plus (Discontinued)")</f>
        <v>Playstation Plus (Discontinued)</v>
      </c>
      <c r="D458" s="15" t="str">
        <f>IFERROR(__xludf.DUMMYFUNCTION("""COMPUTED_VALUE"""),"Removed")</f>
        <v>Removed</v>
      </c>
      <c r="E458" s="17">
        <f>IFERROR(__xludf.DUMMYFUNCTION("""COMPUTED_VALUE"""),42619.0)</f>
        <v>42619</v>
      </c>
      <c r="F458" s="54">
        <f>IFERROR(__xludf.DUMMYFUNCTION("""COMPUTED_VALUE"""),42646.0)</f>
        <v>42646</v>
      </c>
      <c r="G458" s="19">
        <f>IFERROR(__xludf.DUMMYFUNCTION("""COMPUTED_VALUE"""),0.8999999999999999)</f>
        <v>0.9</v>
      </c>
      <c r="H458" s="17">
        <f>IFERROR(__xludf.DUMMYFUNCTION("""COMPUTED_VALUE"""),41940.0)</f>
        <v>41940</v>
      </c>
      <c r="I458" s="19">
        <f>IFERROR(__xludf.DUMMYFUNCTION("""COMPUTED_VALUE"""),1.8555555555555556)</f>
        <v>1.855555556</v>
      </c>
      <c r="J458" s="21">
        <f>IFERROR(__xludf.DUMMYFUNCTION("""COMPUTED_VALUE"""),73.0)</f>
        <v>73</v>
      </c>
      <c r="K458" s="23">
        <f>IFERROR(__xludf.DUMMYFUNCTION("""COMPUTED_VALUE"""),6.6)</f>
        <v>6.6</v>
      </c>
      <c r="L458" s="24">
        <f>IFERROR(__xludf.DUMMYFUNCTION("""COMPUTED_VALUE"""),17.0)</f>
        <v>17</v>
      </c>
      <c r="M458" s="25" t="str">
        <f>IFERROR(__xludf.DUMMYFUNCTION("""COMPUTED_VALUE"""),"RPG")</f>
        <v>RPG</v>
      </c>
      <c r="N458" s="25"/>
      <c r="O458" s="26" t="str">
        <f>IFERROR(__xludf.DUMMYFUNCTION("""COMPUTED_VALUE"""),"No")</f>
        <v>No</v>
      </c>
      <c r="P458" s="26"/>
    </row>
    <row r="459">
      <c r="A459" s="13" t="str">
        <f>IFERROR(__xludf.DUMMYFUNCTION("""COMPUTED_VALUE"""),"Journey")</f>
        <v>Journey</v>
      </c>
      <c r="B459" s="15" t="str">
        <f>IFERROR(__xludf.DUMMYFUNCTION("""COMPUTED_VALUE"""),"PS4/PS3")</f>
        <v>PS4/PS3</v>
      </c>
      <c r="C459" s="16" t="str">
        <f>IFERROR(__xludf.DUMMYFUNCTION("""COMPUTED_VALUE"""),"Playstation Plus (Discontinued)")</f>
        <v>Playstation Plus (Discontinued)</v>
      </c>
      <c r="D459" s="15" t="str">
        <f>IFERROR(__xludf.DUMMYFUNCTION("""COMPUTED_VALUE"""),"Removed")</f>
        <v>Removed</v>
      </c>
      <c r="E459" s="17">
        <f>IFERROR(__xludf.DUMMYFUNCTION("""COMPUTED_VALUE"""),42619.0)</f>
        <v>42619</v>
      </c>
      <c r="F459" s="54">
        <f>IFERROR(__xludf.DUMMYFUNCTION("""COMPUTED_VALUE"""),42646.0)</f>
        <v>42646</v>
      </c>
      <c r="G459" s="19">
        <f>IFERROR(__xludf.DUMMYFUNCTION("""COMPUTED_VALUE"""),0.8999999999999999)</f>
        <v>0.9</v>
      </c>
      <c r="H459" s="17">
        <f>IFERROR(__xludf.DUMMYFUNCTION("""COMPUTED_VALUE"""),40981.0)</f>
        <v>40981</v>
      </c>
      <c r="I459" s="19">
        <f>IFERROR(__xludf.DUMMYFUNCTION("""COMPUTED_VALUE"""),4.480555555555555)</f>
        <v>4.480555556</v>
      </c>
      <c r="J459" s="21">
        <f>IFERROR(__xludf.DUMMYFUNCTION("""COMPUTED_VALUE"""),92.0)</f>
        <v>92</v>
      </c>
      <c r="K459" s="23">
        <f>IFERROR(__xludf.DUMMYFUNCTION("""COMPUTED_VALUE"""),8.5)</f>
        <v>8.5</v>
      </c>
      <c r="L459" s="24">
        <f>IFERROR(__xludf.DUMMYFUNCTION("""COMPUTED_VALUE"""),2.0)</f>
        <v>2</v>
      </c>
      <c r="M459" s="25" t="str">
        <f>IFERROR(__xludf.DUMMYFUNCTION("""COMPUTED_VALUE"""),"Adventure")</f>
        <v>Adventure</v>
      </c>
      <c r="N459" s="25"/>
      <c r="O459" s="26" t="str">
        <f>IFERROR(__xludf.DUMMYFUNCTION("""COMPUTED_VALUE"""),"No")</f>
        <v>No</v>
      </c>
      <c r="P459" s="26"/>
    </row>
    <row r="460">
      <c r="A460" s="13" t="str">
        <f>IFERROR(__xludf.DUMMYFUNCTION("""COMPUTED_VALUE"""),"Badland")</f>
        <v>Badland</v>
      </c>
      <c r="B460" s="15" t="str">
        <f>IFERROR(__xludf.DUMMYFUNCTION("""COMPUTED_VALUE"""),"PS4/PS3/Vita")</f>
        <v>PS4/PS3/Vita</v>
      </c>
      <c r="C460" s="16" t="str">
        <f>IFERROR(__xludf.DUMMYFUNCTION("""COMPUTED_VALUE"""),"Playstation Plus (Discontinued)")</f>
        <v>Playstation Plus (Discontinued)</v>
      </c>
      <c r="D460" s="15" t="str">
        <f>IFERROR(__xludf.DUMMYFUNCTION("""COMPUTED_VALUE"""),"Removed")</f>
        <v>Removed</v>
      </c>
      <c r="E460" s="17">
        <f>IFERROR(__xludf.DUMMYFUNCTION("""COMPUTED_VALUE"""),42619.0)</f>
        <v>42619</v>
      </c>
      <c r="F460" s="54">
        <f>IFERROR(__xludf.DUMMYFUNCTION("""COMPUTED_VALUE"""),42646.0)</f>
        <v>42646</v>
      </c>
      <c r="G460" s="19">
        <f>IFERROR(__xludf.DUMMYFUNCTION("""COMPUTED_VALUE"""),0.8999999999999999)</f>
        <v>0.9</v>
      </c>
      <c r="H460" s="17">
        <f>IFERROR(__xludf.DUMMYFUNCTION("""COMPUTED_VALUE"""),42130.0)</f>
        <v>42130</v>
      </c>
      <c r="I460" s="19">
        <f>IFERROR(__xludf.DUMMYFUNCTION("""COMPUTED_VALUE"""),1.3333333333333333)</f>
        <v>1.333333333</v>
      </c>
      <c r="J460" s="21">
        <f>IFERROR(__xludf.DUMMYFUNCTION("""COMPUTED_VALUE"""),79.0)</f>
        <v>79</v>
      </c>
      <c r="K460" s="23">
        <f>IFERROR(__xludf.DUMMYFUNCTION("""COMPUTED_VALUE"""),7.1)</f>
        <v>7.1</v>
      </c>
      <c r="L460" s="24">
        <f>IFERROR(__xludf.DUMMYFUNCTION("""COMPUTED_VALUE"""),3.0)</f>
        <v>3</v>
      </c>
      <c r="M460" s="25" t="str">
        <f>IFERROR(__xludf.DUMMYFUNCTION("""COMPUTED_VALUE"""),"Platformer")</f>
        <v>Platformer</v>
      </c>
      <c r="N460" s="25"/>
      <c r="O460" s="26" t="str">
        <f>IFERROR(__xludf.DUMMYFUNCTION("""COMPUTED_VALUE"""),"No")</f>
        <v>No</v>
      </c>
      <c r="P460" s="26"/>
    </row>
    <row r="461" hidden="1">
      <c r="A461" s="13" t="str">
        <f>IFERROR(__xludf.DUMMYFUNCTION("""COMPUTED_VALUE"""),"Prince of Persia: The Forgotten Sands")</f>
        <v>Prince of Persia: The Forgotten Sands</v>
      </c>
      <c r="B461" s="15" t="str">
        <f>IFERROR(__xludf.DUMMYFUNCTION("""COMPUTED_VALUE"""),"PS3")</f>
        <v>PS3</v>
      </c>
      <c r="C461" s="16" t="str">
        <f>IFERROR(__xludf.DUMMYFUNCTION("""COMPUTED_VALUE"""),"Playstation Plus (Discontinued)")</f>
        <v>Playstation Plus (Discontinued)</v>
      </c>
      <c r="D461" s="15" t="str">
        <f>IFERROR(__xludf.DUMMYFUNCTION("""COMPUTED_VALUE"""),"Removed")</f>
        <v>Removed</v>
      </c>
      <c r="E461" s="17">
        <f>IFERROR(__xludf.DUMMYFUNCTION("""COMPUTED_VALUE"""),42619.0)</f>
        <v>42619</v>
      </c>
      <c r="F461" s="54">
        <f>IFERROR(__xludf.DUMMYFUNCTION("""COMPUTED_VALUE"""),42646.0)</f>
        <v>42646</v>
      </c>
      <c r="G461" s="19">
        <f>IFERROR(__xludf.DUMMYFUNCTION("""COMPUTED_VALUE"""),0.8999999999999999)</f>
        <v>0.9</v>
      </c>
      <c r="H461" s="17">
        <f>IFERROR(__xludf.DUMMYFUNCTION("""COMPUTED_VALUE"""),40316.0)</f>
        <v>40316</v>
      </c>
      <c r="I461" s="19">
        <f>IFERROR(__xludf.DUMMYFUNCTION("""COMPUTED_VALUE"""),6.3)</f>
        <v>6.3</v>
      </c>
      <c r="J461" s="21">
        <f>IFERROR(__xludf.DUMMYFUNCTION("""COMPUTED_VALUE"""),75.0)</f>
        <v>75</v>
      </c>
      <c r="K461" s="23">
        <f>IFERROR(__xludf.DUMMYFUNCTION("""COMPUTED_VALUE"""),7.2)</f>
        <v>7.2</v>
      </c>
      <c r="L461" s="24">
        <f>IFERROR(__xludf.DUMMYFUNCTION("""COMPUTED_VALUE"""),7.0)</f>
        <v>7</v>
      </c>
      <c r="M461" s="25" t="str">
        <f>IFERROR(__xludf.DUMMYFUNCTION("""COMPUTED_VALUE"""),"Action-Adventure")</f>
        <v>Action-Adventure</v>
      </c>
      <c r="N461" s="25"/>
      <c r="O461" s="26" t="str">
        <f>IFERROR(__xludf.DUMMYFUNCTION("""COMPUTED_VALUE"""),"No")</f>
        <v>No</v>
      </c>
      <c r="P461" s="26"/>
    </row>
    <row r="462" hidden="1">
      <c r="A462" s="13" t="str">
        <f>IFERROR(__xludf.DUMMYFUNCTION("""COMPUTED_VALUE"""),"Datura")</f>
        <v>Datura</v>
      </c>
      <c r="B462" s="15" t="str">
        <f>IFERROR(__xludf.DUMMYFUNCTION("""COMPUTED_VALUE"""),"PS3")</f>
        <v>PS3</v>
      </c>
      <c r="C462" s="16" t="str">
        <f>IFERROR(__xludf.DUMMYFUNCTION("""COMPUTED_VALUE"""),"Playstation Plus (Discontinued)")</f>
        <v>Playstation Plus (Discontinued)</v>
      </c>
      <c r="D462" s="15" t="str">
        <f>IFERROR(__xludf.DUMMYFUNCTION("""COMPUTED_VALUE"""),"Removed")</f>
        <v>Removed</v>
      </c>
      <c r="E462" s="17">
        <f>IFERROR(__xludf.DUMMYFUNCTION("""COMPUTED_VALUE"""),42619.0)</f>
        <v>42619</v>
      </c>
      <c r="F462" s="54">
        <f>IFERROR(__xludf.DUMMYFUNCTION("""COMPUTED_VALUE"""),42646.0)</f>
        <v>42646</v>
      </c>
      <c r="G462" s="19">
        <f>IFERROR(__xludf.DUMMYFUNCTION("""COMPUTED_VALUE"""),0.8999999999999999)</f>
        <v>0.9</v>
      </c>
      <c r="H462" s="17">
        <f>IFERROR(__xludf.DUMMYFUNCTION("""COMPUTED_VALUE"""),41044.0)</f>
        <v>41044</v>
      </c>
      <c r="I462" s="19">
        <f>IFERROR(__xludf.DUMMYFUNCTION("""COMPUTED_VALUE"""),4.308333333333334)</f>
        <v>4.308333333</v>
      </c>
      <c r="J462" s="21">
        <f>IFERROR(__xludf.DUMMYFUNCTION("""COMPUTED_VALUE"""),59.0)</f>
        <v>59</v>
      </c>
      <c r="K462" s="23">
        <f>IFERROR(__xludf.DUMMYFUNCTION("""COMPUTED_VALUE"""),5.6)</f>
        <v>5.6</v>
      </c>
      <c r="L462" s="24">
        <f>IFERROR(__xludf.DUMMYFUNCTION("""COMPUTED_VALUE"""),2.0)</f>
        <v>2</v>
      </c>
      <c r="M462" s="25" t="str">
        <f>IFERROR(__xludf.DUMMYFUNCTION("""COMPUTED_VALUE"""),"Adventure")</f>
        <v>Adventure</v>
      </c>
      <c r="N462" s="25"/>
      <c r="O462" s="26" t="str">
        <f>IFERROR(__xludf.DUMMYFUNCTION("""COMPUTED_VALUE"""),"No")</f>
        <v>No</v>
      </c>
      <c r="P462" s="26"/>
    </row>
    <row r="463">
      <c r="A463" s="13" t="str">
        <f>IFERROR(__xludf.DUMMYFUNCTION("""COMPUTED_VALUE"""),"Amnesia: Memories")</f>
        <v>Amnesia: Memories</v>
      </c>
      <c r="B463" s="15" t="str">
        <f>IFERROR(__xludf.DUMMYFUNCTION("""COMPUTED_VALUE"""),"Vita")</f>
        <v>Vita</v>
      </c>
      <c r="C463" s="16" t="str">
        <f>IFERROR(__xludf.DUMMYFUNCTION("""COMPUTED_VALUE"""),"Playstation Plus (Discontinued)")</f>
        <v>Playstation Plus (Discontinued)</v>
      </c>
      <c r="D463" s="15" t="str">
        <f>IFERROR(__xludf.DUMMYFUNCTION("""COMPUTED_VALUE"""),"Removed")</f>
        <v>Removed</v>
      </c>
      <c r="E463" s="17">
        <f>IFERROR(__xludf.DUMMYFUNCTION("""COMPUTED_VALUE"""),42619.0)</f>
        <v>42619</v>
      </c>
      <c r="F463" s="54">
        <f>IFERROR(__xludf.DUMMYFUNCTION("""COMPUTED_VALUE"""),42646.0)</f>
        <v>42646</v>
      </c>
      <c r="G463" s="19">
        <f>IFERROR(__xludf.DUMMYFUNCTION("""COMPUTED_VALUE"""),0.8999999999999999)</f>
        <v>0.9</v>
      </c>
      <c r="H463" s="17">
        <f>IFERROR(__xludf.DUMMYFUNCTION("""COMPUTED_VALUE"""),42241.0)</f>
        <v>42241</v>
      </c>
      <c r="I463" s="19">
        <f>IFERROR(__xludf.DUMMYFUNCTION("""COMPUTED_VALUE"""),1.0305555555555554)</f>
        <v>1.030555556</v>
      </c>
      <c r="J463" s="21">
        <f>IFERROR(__xludf.DUMMYFUNCTION("""COMPUTED_VALUE"""),66.0)</f>
        <v>66</v>
      </c>
      <c r="K463" s="23">
        <f>IFERROR(__xludf.DUMMYFUNCTION("""COMPUTED_VALUE"""),7.3)</f>
        <v>7.3</v>
      </c>
      <c r="L463" s="24">
        <f>IFERROR(__xludf.DUMMYFUNCTION("""COMPUTED_VALUE"""),18.0)</f>
        <v>18</v>
      </c>
      <c r="M463" s="25" t="str">
        <f>IFERROR(__xludf.DUMMYFUNCTION("""COMPUTED_VALUE"""),"Visual Novel")</f>
        <v>Visual Novel</v>
      </c>
      <c r="N463" s="25"/>
      <c r="O463" s="26" t="str">
        <f>IFERROR(__xludf.DUMMYFUNCTION("""COMPUTED_VALUE"""),"No")</f>
        <v>No</v>
      </c>
      <c r="P463" s="26"/>
    </row>
    <row r="464" hidden="1">
      <c r="A464" s="13" t="str">
        <f>IFERROR(__xludf.DUMMYFUNCTION("""COMPUTED_VALUE"""),"Tricky Towers")</f>
        <v>Tricky Towers</v>
      </c>
      <c r="B464" s="15" t="str">
        <f>IFERROR(__xludf.DUMMYFUNCTION("""COMPUTED_VALUE"""),"PS4")</f>
        <v>PS4</v>
      </c>
      <c r="C464" s="16" t="str">
        <f>IFERROR(__xludf.DUMMYFUNCTION("""COMPUTED_VALUE"""),"Playstation Plus (Discontinued)")</f>
        <v>Playstation Plus (Discontinued)</v>
      </c>
      <c r="D464" s="15" t="str">
        <f>IFERROR(__xludf.DUMMYFUNCTION("""COMPUTED_VALUE"""),"Removed")</f>
        <v>Removed</v>
      </c>
      <c r="E464" s="17">
        <f>IFERROR(__xludf.DUMMYFUNCTION("""COMPUTED_VALUE"""),42584.0)</f>
        <v>42584</v>
      </c>
      <c r="F464" s="54">
        <f>IFERROR(__xludf.DUMMYFUNCTION("""COMPUTED_VALUE"""),42618.0)</f>
        <v>42618</v>
      </c>
      <c r="G464" s="19">
        <f>IFERROR(__xludf.DUMMYFUNCTION("""COMPUTED_VALUE"""),1.0999999999999999)</f>
        <v>1.1</v>
      </c>
      <c r="H464" s="17">
        <f>IFERROR(__xludf.DUMMYFUNCTION("""COMPUTED_VALUE"""),42584.0)</f>
        <v>42584</v>
      </c>
      <c r="I464" s="19">
        <f>IFERROR(__xludf.DUMMYFUNCTION("""COMPUTED_VALUE"""),0.0)</f>
        <v>0</v>
      </c>
      <c r="J464" s="21">
        <f>IFERROR(__xludf.DUMMYFUNCTION("""COMPUTED_VALUE"""),80.0)</f>
        <v>80</v>
      </c>
      <c r="K464" s="23">
        <f>IFERROR(__xludf.DUMMYFUNCTION("""COMPUTED_VALUE"""),7.2)</f>
        <v>7.2</v>
      </c>
      <c r="L464" s="24">
        <f>IFERROR(__xludf.DUMMYFUNCTION("""COMPUTED_VALUE"""),10.0)</f>
        <v>10</v>
      </c>
      <c r="M464" s="25" t="str">
        <f>IFERROR(__xludf.DUMMYFUNCTION("""COMPUTED_VALUE"""),"Puzzle")</f>
        <v>Puzzle</v>
      </c>
      <c r="N464" s="25"/>
      <c r="O464" s="26" t="str">
        <f>IFERROR(__xludf.DUMMYFUNCTION("""COMPUTED_VALUE"""),"No")</f>
        <v>No</v>
      </c>
      <c r="P464" s="26"/>
    </row>
    <row r="465">
      <c r="A465" s="13" t="str">
        <f>IFERROR(__xludf.DUMMYFUNCTION("""COMPUTED_VALUE"""),"Rebel Galaxy")</f>
        <v>Rebel Galaxy</v>
      </c>
      <c r="B465" s="15" t="str">
        <f>IFERROR(__xludf.DUMMYFUNCTION("""COMPUTED_VALUE"""),"PS4")</f>
        <v>PS4</v>
      </c>
      <c r="C465" s="16" t="str">
        <f>IFERROR(__xludf.DUMMYFUNCTION("""COMPUTED_VALUE"""),"Playstation Plus (Discontinued)")</f>
        <v>Playstation Plus (Discontinued)</v>
      </c>
      <c r="D465" s="15" t="str">
        <f>IFERROR(__xludf.DUMMYFUNCTION("""COMPUTED_VALUE"""),"Removed")</f>
        <v>Removed</v>
      </c>
      <c r="E465" s="17">
        <f>IFERROR(__xludf.DUMMYFUNCTION("""COMPUTED_VALUE"""),42584.0)</f>
        <v>42584</v>
      </c>
      <c r="F465" s="54">
        <f>IFERROR(__xludf.DUMMYFUNCTION("""COMPUTED_VALUE"""),42618.0)</f>
        <v>42618</v>
      </c>
      <c r="G465" s="19">
        <f>IFERROR(__xludf.DUMMYFUNCTION("""COMPUTED_VALUE"""),1.0999999999999999)</f>
        <v>1.1</v>
      </c>
      <c r="H465" s="17">
        <f>IFERROR(__xludf.DUMMYFUNCTION("""COMPUTED_VALUE"""),42290.0)</f>
        <v>42290</v>
      </c>
      <c r="I465" s="19">
        <f>IFERROR(__xludf.DUMMYFUNCTION("""COMPUTED_VALUE"""),0.8027777777777778)</f>
        <v>0.8027777778</v>
      </c>
      <c r="J465" s="21">
        <f>IFERROR(__xludf.DUMMYFUNCTION("""COMPUTED_VALUE"""),76.0)</f>
        <v>76</v>
      </c>
      <c r="K465" s="23">
        <f>IFERROR(__xludf.DUMMYFUNCTION("""COMPUTED_VALUE"""),7.4)</f>
        <v>7.4</v>
      </c>
      <c r="L465" s="24">
        <f>IFERROR(__xludf.DUMMYFUNCTION("""COMPUTED_VALUE"""),20.0)</f>
        <v>20</v>
      </c>
      <c r="M465" s="25" t="str">
        <f>IFERROR(__xludf.DUMMYFUNCTION("""COMPUTED_VALUE"""),"RPG")</f>
        <v>RPG</v>
      </c>
      <c r="N465" s="25"/>
      <c r="O465" s="26" t="str">
        <f>IFERROR(__xludf.DUMMYFUNCTION("""COMPUTED_VALUE"""),"No")</f>
        <v>No</v>
      </c>
      <c r="P465" s="26"/>
    </row>
    <row r="466">
      <c r="A466" s="13" t="str">
        <f>IFERROR(__xludf.DUMMYFUNCTION("""COMPUTED_VALUE"""),"Yakuza 5")</f>
        <v>Yakuza 5</v>
      </c>
      <c r="B466" s="15" t="str">
        <f>IFERROR(__xludf.DUMMYFUNCTION("""COMPUTED_VALUE"""),"PS3")</f>
        <v>PS3</v>
      </c>
      <c r="C466" s="16" t="str">
        <f>IFERROR(__xludf.DUMMYFUNCTION("""COMPUTED_VALUE"""),"Playstation Plus (Discontinued)")</f>
        <v>Playstation Plus (Discontinued)</v>
      </c>
      <c r="D466" s="15" t="str">
        <f>IFERROR(__xludf.DUMMYFUNCTION("""COMPUTED_VALUE"""),"Removed")</f>
        <v>Removed</v>
      </c>
      <c r="E466" s="17">
        <f>IFERROR(__xludf.DUMMYFUNCTION("""COMPUTED_VALUE"""),42584.0)</f>
        <v>42584</v>
      </c>
      <c r="F466" s="54">
        <f>IFERROR(__xludf.DUMMYFUNCTION("""COMPUTED_VALUE"""),42618.0)</f>
        <v>42618</v>
      </c>
      <c r="G466" s="19">
        <f>IFERROR(__xludf.DUMMYFUNCTION("""COMPUTED_VALUE"""),1.0999999999999999)</f>
        <v>1.1</v>
      </c>
      <c r="H466" s="17">
        <f>IFERROR(__xludf.DUMMYFUNCTION("""COMPUTED_VALUE"""),41249.0)</f>
        <v>41249</v>
      </c>
      <c r="I466" s="19">
        <f>IFERROR(__xludf.DUMMYFUNCTION("""COMPUTED_VALUE"""),3.6555555555555554)</f>
        <v>3.655555556</v>
      </c>
      <c r="J466" s="21">
        <f>IFERROR(__xludf.DUMMYFUNCTION("""COMPUTED_VALUE"""),83.0)</f>
        <v>83</v>
      </c>
      <c r="K466" s="23">
        <f>IFERROR(__xludf.DUMMYFUNCTION("""COMPUTED_VALUE"""),8.5)</f>
        <v>8.5</v>
      </c>
      <c r="L466" s="24">
        <f>IFERROR(__xludf.DUMMYFUNCTION("""COMPUTED_VALUE"""),37.0)</f>
        <v>37</v>
      </c>
      <c r="M466" s="25" t="str">
        <f>IFERROR(__xludf.DUMMYFUNCTION("""COMPUTED_VALUE"""),"Action-Adventure")</f>
        <v>Action-Adventure</v>
      </c>
      <c r="N466" s="25"/>
      <c r="O466" s="26" t="str">
        <f>IFERROR(__xludf.DUMMYFUNCTION("""COMPUTED_VALUE"""),"No")</f>
        <v>No</v>
      </c>
      <c r="P466" s="26"/>
    </row>
    <row r="467" hidden="1">
      <c r="A467" s="13" t="str">
        <f>IFERROR(__xludf.DUMMYFUNCTION("""COMPUTED_VALUE"""),"Retro/Grade")</f>
        <v>Retro/Grade</v>
      </c>
      <c r="B467" s="15" t="str">
        <f>IFERROR(__xludf.DUMMYFUNCTION("""COMPUTED_VALUE"""),"PS3")</f>
        <v>PS3</v>
      </c>
      <c r="C467" s="16" t="str">
        <f>IFERROR(__xludf.DUMMYFUNCTION("""COMPUTED_VALUE"""),"Playstation Plus (Discontinued)")</f>
        <v>Playstation Plus (Discontinued)</v>
      </c>
      <c r="D467" s="15" t="str">
        <f>IFERROR(__xludf.DUMMYFUNCTION("""COMPUTED_VALUE"""),"Removed")</f>
        <v>Removed</v>
      </c>
      <c r="E467" s="17">
        <f>IFERROR(__xludf.DUMMYFUNCTION("""COMPUTED_VALUE"""),42584.0)</f>
        <v>42584</v>
      </c>
      <c r="F467" s="54">
        <f>IFERROR(__xludf.DUMMYFUNCTION("""COMPUTED_VALUE"""),42618.0)</f>
        <v>42618</v>
      </c>
      <c r="G467" s="19">
        <f>IFERROR(__xludf.DUMMYFUNCTION("""COMPUTED_VALUE"""),1.0999999999999999)</f>
        <v>1.1</v>
      </c>
      <c r="H467" s="17">
        <f>IFERROR(__xludf.DUMMYFUNCTION("""COMPUTED_VALUE"""),41142.0)</f>
        <v>41142</v>
      </c>
      <c r="I467" s="19">
        <f>IFERROR(__xludf.DUMMYFUNCTION("""COMPUTED_VALUE"""),3.9472222222222224)</f>
        <v>3.947222222</v>
      </c>
      <c r="J467" s="21">
        <f>IFERROR(__xludf.DUMMYFUNCTION("""COMPUTED_VALUE"""),70.0)</f>
        <v>70</v>
      </c>
      <c r="K467" s="23">
        <f>IFERROR(__xludf.DUMMYFUNCTION("""COMPUTED_VALUE"""),6.8)</f>
        <v>6.8</v>
      </c>
      <c r="L467" s="24">
        <f>IFERROR(__xludf.DUMMYFUNCTION("""COMPUTED_VALUE"""),4.0)</f>
        <v>4</v>
      </c>
      <c r="M467" s="25" t="str">
        <f>IFERROR(__xludf.DUMMYFUNCTION("""COMPUTED_VALUE"""),"Shooter")</f>
        <v>Shooter</v>
      </c>
      <c r="N467" s="25"/>
      <c r="O467" s="26" t="str">
        <f>IFERROR(__xludf.DUMMYFUNCTION("""COMPUTED_VALUE"""),"No")</f>
        <v>No</v>
      </c>
      <c r="P467" s="26"/>
    </row>
    <row r="468" hidden="1">
      <c r="A468" s="13" t="str">
        <f>IFERROR(__xludf.DUMMYFUNCTION("""COMPUTED_VALUE"""),"Patapon 3")</f>
        <v>Patapon 3</v>
      </c>
      <c r="B468" s="15" t="str">
        <f>IFERROR(__xludf.DUMMYFUNCTION("""COMPUTED_VALUE"""),"Vita/PSP")</f>
        <v>Vita/PSP</v>
      </c>
      <c r="C468" s="16" t="str">
        <f>IFERROR(__xludf.DUMMYFUNCTION("""COMPUTED_VALUE"""),"Playstation Plus (Discontinued)")</f>
        <v>Playstation Plus (Discontinued)</v>
      </c>
      <c r="D468" s="15" t="str">
        <f>IFERROR(__xludf.DUMMYFUNCTION("""COMPUTED_VALUE"""),"Removed")</f>
        <v>Removed</v>
      </c>
      <c r="E468" s="17">
        <f>IFERROR(__xludf.DUMMYFUNCTION("""COMPUTED_VALUE"""),42584.0)</f>
        <v>42584</v>
      </c>
      <c r="F468" s="54">
        <f>IFERROR(__xludf.DUMMYFUNCTION("""COMPUTED_VALUE"""),42618.0)</f>
        <v>42618</v>
      </c>
      <c r="G468" s="19">
        <f>IFERROR(__xludf.DUMMYFUNCTION("""COMPUTED_VALUE"""),1.0999999999999999)</f>
        <v>1.1</v>
      </c>
      <c r="H468" s="17">
        <f>IFERROR(__xludf.DUMMYFUNCTION("""COMPUTED_VALUE"""),40645.0)</f>
        <v>40645</v>
      </c>
      <c r="I468" s="19">
        <f>IFERROR(__xludf.DUMMYFUNCTION("""COMPUTED_VALUE"""),5.305555555555555)</f>
        <v>5.305555556</v>
      </c>
      <c r="J468" s="21">
        <f>IFERROR(__xludf.DUMMYFUNCTION("""COMPUTED_VALUE"""),86.0)</f>
        <v>86</v>
      </c>
      <c r="K468" s="23">
        <f>IFERROR(__xludf.DUMMYFUNCTION("""COMPUTED_VALUE"""),8.1)</f>
        <v>8.1</v>
      </c>
      <c r="L468" s="24">
        <f>IFERROR(__xludf.DUMMYFUNCTION("""COMPUTED_VALUE"""),18.0)</f>
        <v>18</v>
      </c>
      <c r="M468" s="25" t="str">
        <f>IFERROR(__xludf.DUMMYFUNCTION("""COMPUTED_VALUE"""),"Strategy")</f>
        <v>Strategy</v>
      </c>
      <c r="N468" s="25"/>
      <c r="O468" s="26" t="str">
        <f>IFERROR(__xludf.DUMMYFUNCTION("""COMPUTED_VALUE"""),"No")</f>
        <v>No</v>
      </c>
      <c r="P468" s="26"/>
    </row>
    <row r="469" hidden="1">
      <c r="A469" s="13" t="str">
        <f>IFERROR(__xludf.DUMMYFUNCTION("""COMPUTED_VALUE"""),"Ultratron")</f>
        <v>Ultratron</v>
      </c>
      <c r="B469" s="15" t="str">
        <f>IFERROR(__xludf.DUMMYFUNCTION("""COMPUTED_VALUE"""),"PS4/PS3/Vita")</f>
        <v>PS4/PS3/Vita</v>
      </c>
      <c r="C469" s="16" t="str">
        <f>IFERROR(__xludf.DUMMYFUNCTION("""COMPUTED_VALUE"""),"Playstation Plus (Discontinued)")</f>
        <v>Playstation Plus (Discontinued)</v>
      </c>
      <c r="D469" s="15" t="str">
        <f>IFERROR(__xludf.DUMMYFUNCTION("""COMPUTED_VALUE"""),"Removed")</f>
        <v>Removed</v>
      </c>
      <c r="E469" s="17">
        <f>IFERROR(__xludf.DUMMYFUNCTION("""COMPUTED_VALUE"""),42584.0)</f>
        <v>42584</v>
      </c>
      <c r="F469" s="54">
        <f>IFERROR(__xludf.DUMMYFUNCTION("""COMPUTED_VALUE"""),42618.0)</f>
        <v>42618</v>
      </c>
      <c r="G469" s="19">
        <f>IFERROR(__xludf.DUMMYFUNCTION("""COMPUTED_VALUE"""),1.0999999999999999)</f>
        <v>1.1</v>
      </c>
      <c r="H469" s="17">
        <f>IFERROR(__xludf.DUMMYFUNCTION("""COMPUTED_VALUE"""),42136.0)</f>
        <v>42136</v>
      </c>
      <c r="I469" s="19">
        <f>IFERROR(__xludf.DUMMYFUNCTION("""COMPUTED_VALUE"""),1.2222222222222223)</f>
        <v>1.222222222</v>
      </c>
      <c r="J469" s="21">
        <f>IFERROR(__xludf.DUMMYFUNCTION("""COMPUTED_VALUE"""),72.0)</f>
        <v>72</v>
      </c>
      <c r="K469" s="23">
        <f>IFERROR(__xludf.DUMMYFUNCTION("""COMPUTED_VALUE"""),7.1)</f>
        <v>7.1</v>
      </c>
      <c r="L469" s="24">
        <f>IFERROR(__xludf.DUMMYFUNCTION("""COMPUTED_VALUE"""),5.0)</f>
        <v>5</v>
      </c>
      <c r="M469" s="25" t="str">
        <f>IFERROR(__xludf.DUMMYFUNCTION("""COMPUTED_VALUE"""),"Shooter")</f>
        <v>Shooter</v>
      </c>
      <c r="N469" s="25"/>
      <c r="O469" s="26" t="str">
        <f>IFERROR(__xludf.DUMMYFUNCTION("""COMPUTED_VALUE"""),"No")</f>
        <v>No</v>
      </c>
      <c r="P469" s="26"/>
    </row>
    <row r="470">
      <c r="A470" s="13" t="str">
        <f>IFERROR(__xludf.DUMMYFUNCTION("""COMPUTED_VALUE"""),"Furi")</f>
        <v>Furi</v>
      </c>
      <c r="B470" s="15" t="str">
        <f>IFERROR(__xludf.DUMMYFUNCTION("""COMPUTED_VALUE"""),"PS4")</f>
        <v>PS4</v>
      </c>
      <c r="C470" s="16" t="str">
        <f>IFERROR(__xludf.DUMMYFUNCTION("""COMPUTED_VALUE"""),"Playstation Plus (Discontinued)")</f>
        <v>Playstation Plus (Discontinued)</v>
      </c>
      <c r="D470" s="15" t="str">
        <f>IFERROR(__xludf.DUMMYFUNCTION("""COMPUTED_VALUE"""),"Removed")</f>
        <v>Removed</v>
      </c>
      <c r="E470" s="17">
        <f>IFERROR(__xludf.DUMMYFUNCTION("""COMPUTED_VALUE"""),42556.0)</f>
        <v>42556</v>
      </c>
      <c r="F470" s="54">
        <f>IFERROR(__xludf.DUMMYFUNCTION("""COMPUTED_VALUE"""),42583.0)</f>
        <v>42583</v>
      </c>
      <c r="G470" s="19">
        <f>IFERROR(__xludf.DUMMYFUNCTION("""COMPUTED_VALUE"""),0.8666666666666666)</f>
        <v>0.8666666667</v>
      </c>
      <c r="H470" s="17">
        <f>IFERROR(__xludf.DUMMYFUNCTION("""COMPUTED_VALUE"""),42555.0)</f>
        <v>42555</v>
      </c>
      <c r="I470" s="19">
        <f>IFERROR(__xludf.DUMMYFUNCTION("""COMPUTED_VALUE"""),0.002777777777777778)</f>
        <v>0.002777777778</v>
      </c>
      <c r="J470" s="21">
        <f>IFERROR(__xludf.DUMMYFUNCTION("""COMPUTED_VALUE"""),74.0)</f>
        <v>74</v>
      </c>
      <c r="K470" s="23">
        <f>IFERROR(__xludf.DUMMYFUNCTION("""COMPUTED_VALUE"""),7.8)</f>
        <v>7.8</v>
      </c>
      <c r="L470" s="24">
        <f>IFERROR(__xludf.DUMMYFUNCTION("""COMPUTED_VALUE"""),6.0)</f>
        <v>6</v>
      </c>
      <c r="M470" s="25" t="str">
        <f>IFERROR(__xludf.DUMMYFUNCTION("""COMPUTED_VALUE"""),"Action-Adventure")</f>
        <v>Action-Adventure</v>
      </c>
      <c r="N470" s="25"/>
      <c r="O470" s="26" t="str">
        <f>IFERROR(__xludf.DUMMYFUNCTION("""COMPUTED_VALUE"""),"No")</f>
        <v>No</v>
      </c>
      <c r="P470" s="26"/>
    </row>
    <row r="471">
      <c r="A471" s="13" t="str">
        <f>IFERROR(__xludf.DUMMYFUNCTION("""COMPUTED_VALUE"""),"Saint's Row: Gat Out of Hell")</f>
        <v>Saint's Row: Gat Out of Hell</v>
      </c>
      <c r="B471" s="15" t="str">
        <f>IFERROR(__xludf.DUMMYFUNCTION("""COMPUTED_VALUE"""),"PS4")</f>
        <v>PS4</v>
      </c>
      <c r="C471" s="16" t="str">
        <f>IFERROR(__xludf.DUMMYFUNCTION("""COMPUTED_VALUE"""),"Playstation Plus (Discontinued)")</f>
        <v>Playstation Plus (Discontinued)</v>
      </c>
      <c r="D471" s="15" t="str">
        <f>IFERROR(__xludf.DUMMYFUNCTION("""COMPUTED_VALUE"""),"Removed")</f>
        <v>Removed</v>
      </c>
      <c r="E471" s="17">
        <f>IFERROR(__xludf.DUMMYFUNCTION("""COMPUTED_VALUE"""),42556.0)</f>
        <v>42556</v>
      </c>
      <c r="F471" s="54">
        <f>IFERROR(__xludf.DUMMYFUNCTION("""COMPUTED_VALUE"""),42583.0)</f>
        <v>42583</v>
      </c>
      <c r="G471" s="19">
        <f>IFERROR(__xludf.DUMMYFUNCTION("""COMPUTED_VALUE"""),0.8666666666666666)</f>
        <v>0.8666666667</v>
      </c>
      <c r="H471" s="17">
        <f>IFERROR(__xludf.DUMMYFUNCTION("""COMPUTED_VALUE"""),42024.0)</f>
        <v>42024</v>
      </c>
      <c r="I471" s="19">
        <f>IFERROR(__xludf.DUMMYFUNCTION("""COMPUTED_VALUE"""),1.4583333333333333)</f>
        <v>1.458333333</v>
      </c>
      <c r="J471" s="21">
        <f>IFERROR(__xludf.DUMMYFUNCTION("""COMPUTED_VALUE"""),65.0)</f>
        <v>65</v>
      </c>
      <c r="K471" s="23">
        <f>IFERROR(__xludf.DUMMYFUNCTION("""COMPUTED_VALUE"""),7.1)</f>
        <v>7.1</v>
      </c>
      <c r="L471" s="24">
        <f>IFERROR(__xludf.DUMMYFUNCTION("""COMPUTED_VALUE"""),6.0)</f>
        <v>6</v>
      </c>
      <c r="M471" s="25" t="str">
        <f>IFERROR(__xludf.DUMMYFUNCTION("""COMPUTED_VALUE"""),"Action-Adventure")</f>
        <v>Action-Adventure</v>
      </c>
      <c r="N471" s="25"/>
      <c r="O471" s="26" t="str">
        <f>IFERROR(__xludf.DUMMYFUNCTION("""COMPUTED_VALUE"""),"No")</f>
        <v>No</v>
      </c>
      <c r="P471" s="26"/>
    </row>
    <row r="472">
      <c r="A472" s="13" t="str">
        <f>IFERROR(__xludf.DUMMYFUNCTION("""COMPUTED_VALUE"""),"Oreshika: Tainted Bloodlines")</f>
        <v>Oreshika: Tainted Bloodlines</v>
      </c>
      <c r="B472" s="15" t="str">
        <f>IFERROR(__xludf.DUMMYFUNCTION("""COMPUTED_VALUE"""),"Vita")</f>
        <v>Vita</v>
      </c>
      <c r="C472" s="16" t="str">
        <f>IFERROR(__xludf.DUMMYFUNCTION("""COMPUTED_VALUE"""),"Playstation Plus (Discontinued)")</f>
        <v>Playstation Plus (Discontinued)</v>
      </c>
      <c r="D472" s="15" t="str">
        <f>IFERROR(__xludf.DUMMYFUNCTION("""COMPUTED_VALUE"""),"Removed")</f>
        <v>Removed</v>
      </c>
      <c r="E472" s="17">
        <f>IFERROR(__xludf.DUMMYFUNCTION("""COMPUTED_VALUE"""),42556.0)</f>
        <v>42556</v>
      </c>
      <c r="F472" s="54">
        <f>IFERROR(__xludf.DUMMYFUNCTION("""COMPUTED_VALUE"""),42583.0)</f>
        <v>42583</v>
      </c>
      <c r="G472" s="19">
        <f>IFERROR(__xludf.DUMMYFUNCTION("""COMPUTED_VALUE"""),0.8666666666666666)</f>
        <v>0.8666666667</v>
      </c>
      <c r="H472" s="17">
        <f>IFERROR(__xludf.DUMMYFUNCTION("""COMPUTED_VALUE"""),42066.0)</f>
        <v>42066</v>
      </c>
      <c r="I472" s="19">
        <f>IFERROR(__xludf.DUMMYFUNCTION("""COMPUTED_VALUE"""),1.3388888888888888)</f>
        <v>1.338888889</v>
      </c>
      <c r="J472" s="21">
        <f>IFERROR(__xludf.DUMMYFUNCTION("""COMPUTED_VALUE"""),76.0)</f>
        <v>76</v>
      </c>
      <c r="K472" s="23">
        <f>IFERROR(__xludf.DUMMYFUNCTION("""COMPUTED_VALUE"""),7.8)</f>
        <v>7.8</v>
      </c>
      <c r="L472" s="24">
        <f>IFERROR(__xludf.DUMMYFUNCTION("""COMPUTED_VALUE"""),40.0)</f>
        <v>40</v>
      </c>
      <c r="M472" s="25" t="str">
        <f>IFERROR(__xludf.DUMMYFUNCTION("""COMPUTED_VALUE"""),"RPG")</f>
        <v>RPG</v>
      </c>
      <c r="N472" s="25"/>
      <c r="O472" s="26" t="str">
        <f>IFERROR(__xludf.DUMMYFUNCTION("""COMPUTED_VALUE"""),"No")</f>
        <v>No</v>
      </c>
      <c r="P472" s="26"/>
    </row>
    <row r="473" hidden="1">
      <c r="A473" s="13" t="str">
        <f>IFERROR(__xludf.DUMMYFUNCTION("""COMPUTED_VALUE"""),"Prince of Persia: Revelation")</f>
        <v>Prince of Persia: Revelation</v>
      </c>
      <c r="B473" s="15" t="str">
        <f>IFERROR(__xludf.DUMMYFUNCTION("""COMPUTED_VALUE"""),"Vita/PSP")</f>
        <v>Vita/PSP</v>
      </c>
      <c r="C473" s="16" t="str">
        <f>IFERROR(__xludf.DUMMYFUNCTION("""COMPUTED_VALUE"""),"Playstation Plus (Discontinued)")</f>
        <v>Playstation Plus (Discontinued)</v>
      </c>
      <c r="D473" s="15" t="str">
        <f>IFERROR(__xludf.DUMMYFUNCTION("""COMPUTED_VALUE"""),"Removed")</f>
        <v>Removed</v>
      </c>
      <c r="E473" s="17">
        <f>IFERROR(__xludf.DUMMYFUNCTION("""COMPUTED_VALUE"""),42556.0)</f>
        <v>42556</v>
      </c>
      <c r="F473" s="54">
        <f>IFERROR(__xludf.DUMMYFUNCTION("""COMPUTED_VALUE"""),42583.0)</f>
        <v>42583</v>
      </c>
      <c r="G473" s="19">
        <f>IFERROR(__xludf.DUMMYFUNCTION("""COMPUTED_VALUE"""),0.8666666666666666)</f>
        <v>0.8666666667</v>
      </c>
      <c r="H473" s="17">
        <f>IFERROR(__xludf.DUMMYFUNCTION("""COMPUTED_VALUE"""),38691.0)</f>
        <v>38691</v>
      </c>
      <c r="I473" s="19">
        <f>IFERROR(__xludf.DUMMYFUNCTION("""COMPUTED_VALUE"""),10.583333333333334)</f>
        <v>10.58333333</v>
      </c>
      <c r="J473" s="21">
        <f>IFERROR(__xludf.DUMMYFUNCTION("""COMPUTED_VALUE"""),82.0)</f>
        <v>82</v>
      </c>
      <c r="K473" s="23">
        <f>IFERROR(__xludf.DUMMYFUNCTION("""COMPUTED_VALUE"""),8.3)</f>
        <v>8.3</v>
      </c>
      <c r="L473" s="24">
        <f>IFERROR(__xludf.DUMMYFUNCTION("""COMPUTED_VALUE"""),10.0)</f>
        <v>10</v>
      </c>
      <c r="M473" s="25" t="str">
        <f>IFERROR(__xludf.DUMMYFUNCTION("""COMPUTED_VALUE"""),"Action-Adventure")</f>
        <v>Action-Adventure</v>
      </c>
      <c r="N473" s="25"/>
      <c r="O473" s="26" t="str">
        <f>IFERROR(__xludf.DUMMYFUNCTION("""COMPUTED_VALUE"""),"No")</f>
        <v>No</v>
      </c>
      <c r="P473" s="26"/>
    </row>
    <row r="474" hidden="1">
      <c r="A474" s="13" t="str">
        <f>IFERROR(__xludf.DUMMYFUNCTION("""COMPUTED_VALUE"""),"Fat Princess")</f>
        <v>Fat Princess</v>
      </c>
      <c r="B474" s="15" t="str">
        <f>IFERROR(__xludf.DUMMYFUNCTION("""COMPUTED_VALUE"""),"PS3")</f>
        <v>PS3</v>
      </c>
      <c r="C474" s="16" t="str">
        <f>IFERROR(__xludf.DUMMYFUNCTION("""COMPUTED_VALUE"""),"Playstation Plus (Discontinued)")</f>
        <v>Playstation Plus (Discontinued)</v>
      </c>
      <c r="D474" s="15" t="str">
        <f>IFERROR(__xludf.DUMMYFUNCTION("""COMPUTED_VALUE"""),"Removed")</f>
        <v>Removed</v>
      </c>
      <c r="E474" s="17">
        <f>IFERROR(__xludf.DUMMYFUNCTION("""COMPUTED_VALUE"""),42556.0)</f>
        <v>42556</v>
      </c>
      <c r="F474" s="54">
        <f>IFERROR(__xludf.DUMMYFUNCTION("""COMPUTED_VALUE"""),42583.0)</f>
        <v>42583</v>
      </c>
      <c r="G474" s="19">
        <f>IFERROR(__xludf.DUMMYFUNCTION("""COMPUTED_VALUE"""),0.8666666666666666)</f>
        <v>0.8666666667</v>
      </c>
      <c r="H474" s="17">
        <f>IFERROR(__xludf.DUMMYFUNCTION("""COMPUTED_VALUE"""),40024.0)</f>
        <v>40024</v>
      </c>
      <c r="I474" s="19">
        <f>IFERROR(__xludf.DUMMYFUNCTION("""COMPUTED_VALUE"""),6.930555555555555)</f>
        <v>6.930555556</v>
      </c>
      <c r="J474" s="21">
        <f>IFERROR(__xludf.DUMMYFUNCTION("""COMPUTED_VALUE"""),79.0)</f>
        <v>79</v>
      </c>
      <c r="K474" s="23">
        <f>IFERROR(__xludf.DUMMYFUNCTION("""COMPUTED_VALUE"""),7.7)</f>
        <v>7.7</v>
      </c>
      <c r="L474" s="24"/>
      <c r="M474" s="25" t="str">
        <f>IFERROR(__xludf.DUMMYFUNCTION("""COMPUTED_VALUE"""),"Strategy")</f>
        <v>Strategy</v>
      </c>
      <c r="N474" s="25"/>
      <c r="O474" s="26" t="str">
        <f>IFERROR(__xludf.DUMMYFUNCTION("""COMPUTED_VALUE"""),"No")</f>
        <v>No</v>
      </c>
      <c r="P474" s="26"/>
    </row>
    <row r="475" hidden="1">
      <c r="A475" s="13" t="str">
        <f>IFERROR(__xludf.DUMMYFUNCTION("""COMPUTED_VALUE"""),"Call of Juarez: Bound in Blood")</f>
        <v>Call of Juarez: Bound in Blood</v>
      </c>
      <c r="B475" s="15" t="str">
        <f>IFERROR(__xludf.DUMMYFUNCTION("""COMPUTED_VALUE"""),"PS3")</f>
        <v>PS3</v>
      </c>
      <c r="C475" s="16" t="str">
        <f>IFERROR(__xludf.DUMMYFUNCTION("""COMPUTED_VALUE"""),"Playstation Plus (Discontinued)")</f>
        <v>Playstation Plus (Discontinued)</v>
      </c>
      <c r="D475" s="15" t="str">
        <f>IFERROR(__xludf.DUMMYFUNCTION("""COMPUTED_VALUE"""),"Removed")</f>
        <v>Removed</v>
      </c>
      <c r="E475" s="17">
        <f>IFERROR(__xludf.DUMMYFUNCTION("""COMPUTED_VALUE"""),42556.0)</f>
        <v>42556</v>
      </c>
      <c r="F475" s="54">
        <f>IFERROR(__xludf.DUMMYFUNCTION("""COMPUTED_VALUE"""),42583.0)</f>
        <v>42583</v>
      </c>
      <c r="G475" s="19">
        <f>IFERROR(__xludf.DUMMYFUNCTION("""COMPUTED_VALUE"""),0.8666666666666666)</f>
        <v>0.8666666667</v>
      </c>
      <c r="H475" s="17">
        <f>IFERROR(__xludf.DUMMYFUNCTION("""COMPUTED_VALUE"""),39994.0)</f>
        <v>39994</v>
      </c>
      <c r="I475" s="19">
        <f>IFERROR(__xludf.DUMMYFUNCTION("""COMPUTED_VALUE"""),7.013888888888889)</f>
        <v>7.013888889</v>
      </c>
      <c r="J475" s="21">
        <f>IFERROR(__xludf.DUMMYFUNCTION("""COMPUTED_VALUE"""),78.0)</f>
        <v>78</v>
      </c>
      <c r="K475" s="23">
        <f>IFERROR(__xludf.DUMMYFUNCTION("""COMPUTED_VALUE"""),8.0)</f>
        <v>8</v>
      </c>
      <c r="L475" s="24">
        <f>IFERROR(__xludf.DUMMYFUNCTION("""COMPUTED_VALUE"""),7.0)</f>
        <v>7</v>
      </c>
      <c r="M475" s="25" t="str">
        <f>IFERROR(__xludf.DUMMYFUNCTION("""COMPUTED_VALUE"""),"Shooter")</f>
        <v>Shooter</v>
      </c>
      <c r="N475" s="25"/>
      <c r="O475" s="26" t="str">
        <f>IFERROR(__xludf.DUMMYFUNCTION("""COMPUTED_VALUE"""),"No")</f>
        <v>No</v>
      </c>
      <c r="P475" s="26"/>
    </row>
    <row r="476" hidden="1">
      <c r="A476" s="13" t="str">
        <f>IFERROR(__xludf.DUMMYFUNCTION("""COMPUTED_VALUE"""),"NBA 2K16")</f>
        <v>NBA 2K16</v>
      </c>
      <c r="B476" s="15" t="str">
        <f>IFERROR(__xludf.DUMMYFUNCTION("""COMPUTED_VALUE"""),"PS4")</f>
        <v>PS4</v>
      </c>
      <c r="C476" s="16" t="str">
        <f>IFERROR(__xludf.DUMMYFUNCTION("""COMPUTED_VALUE"""),"Playstation Plus (Discontinued)")</f>
        <v>Playstation Plus (Discontinued)</v>
      </c>
      <c r="D476" s="15" t="str">
        <f>IFERROR(__xludf.DUMMYFUNCTION("""COMPUTED_VALUE"""),"Removed")</f>
        <v>Removed</v>
      </c>
      <c r="E476" s="17">
        <f>IFERROR(__xludf.DUMMYFUNCTION("""COMPUTED_VALUE"""),42528.0)</f>
        <v>42528</v>
      </c>
      <c r="F476" s="54">
        <f>IFERROR(__xludf.DUMMYFUNCTION("""COMPUTED_VALUE"""),42555.0)</f>
        <v>42555</v>
      </c>
      <c r="G476" s="19">
        <f>IFERROR(__xludf.DUMMYFUNCTION("""COMPUTED_VALUE"""),0.8999999999999999)</f>
        <v>0.9</v>
      </c>
      <c r="H476" s="17">
        <f>IFERROR(__xludf.DUMMYFUNCTION("""COMPUTED_VALUE"""),42276.0)</f>
        <v>42276</v>
      </c>
      <c r="I476" s="19">
        <f>IFERROR(__xludf.DUMMYFUNCTION("""COMPUTED_VALUE"""),0.6888888888888889)</f>
        <v>0.6888888889</v>
      </c>
      <c r="J476" s="21">
        <f>IFERROR(__xludf.DUMMYFUNCTION("""COMPUTED_VALUE"""),87.0)</f>
        <v>87</v>
      </c>
      <c r="K476" s="23">
        <f>IFERROR(__xludf.DUMMYFUNCTION("""COMPUTED_VALUE"""),7.1)</f>
        <v>7.1</v>
      </c>
      <c r="L476" s="24"/>
      <c r="M476" s="25" t="str">
        <f>IFERROR(__xludf.DUMMYFUNCTION("""COMPUTED_VALUE"""),"Sports")</f>
        <v>Sports</v>
      </c>
      <c r="N476" s="25"/>
      <c r="O476" s="26" t="str">
        <f>IFERROR(__xludf.DUMMYFUNCTION("""COMPUTED_VALUE"""),"No")</f>
        <v>No</v>
      </c>
      <c r="P476" s="26"/>
    </row>
    <row r="477">
      <c r="A477" s="13" t="str">
        <f>IFERROR(__xludf.DUMMYFUNCTION("""COMPUTED_VALUE"""),"Gone Home")</f>
        <v>Gone Home</v>
      </c>
      <c r="B477" s="15" t="str">
        <f>IFERROR(__xludf.DUMMYFUNCTION("""COMPUTED_VALUE"""),"PS4")</f>
        <v>PS4</v>
      </c>
      <c r="C477" s="16" t="str">
        <f>IFERROR(__xludf.DUMMYFUNCTION("""COMPUTED_VALUE"""),"Playstation Plus (Discontinued)")</f>
        <v>Playstation Plus (Discontinued)</v>
      </c>
      <c r="D477" s="15" t="str">
        <f>IFERROR(__xludf.DUMMYFUNCTION("""COMPUTED_VALUE"""),"Removed")</f>
        <v>Removed</v>
      </c>
      <c r="E477" s="17">
        <f>IFERROR(__xludf.DUMMYFUNCTION("""COMPUTED_VALUE"""),42528.0)</f>
        <v>42528</v>
      </c>
      <c r="F477" s="54">
        <f>IFERROR(__xludf.DUMMYFUNCTION("""COMPUTED_VALUE"""),42555.0)</f>
        <v>42555</v>
      </c>
      <c r="G477" s="19">
        <f>IFERROR(__xludf.DUMMYFUNCTION("""COMPUTED_VALUE"""),0.8999999999999999)</f>
        <v>0.9</v>
      </c>
      <c r="H477" s="17">
        <f>IFERROR(__xludf.DUMMYFUNCTION("""COMPUTED_VALUE"""),41501.0)</f>
        <v>41501</v>
      </c>
      <c r="I477" s="19">
        <f>IFERROR(__xludf.DUMMYFUNCTION("""COMPUTED_VALUE"""),2.811111111111111)</f>
        <v>2.811111111</v>
      </c>
      <c r="J477" s="21">
        <f>IFERROR(__xludf.DUMMYFUNCTION("""COMPUTED_VALUE"""),86.0)</f>
        <v>86</v>
      </c>
      <c r="K477" s="23">
        <f>IFERROR(__xludf.DUMMYFUNCTION("""COMPUTED_VALUE"""),7.7)</f>
        <v>7.7</v>
      </c>
      <c r="L477" s="24">
        <f>IFERROR(__xludf.DUMMYFUNCTION("""COMPUTED_VALUE"""),2.0)</f>
        <v>2</v>
      </c>
      <c r="M477" s="25" t="str">
        <f>IFERROR(__xludf.DUMMYFUNCTION("""COMPUTED_VALUE"""),"Adventure")</f>
        <v>Adventure</v>
      </c>
      <c r="N477" s="25"/>
      <c r="O477" s="26" t="str">
        <f>IFERROR(__xludf.DUMMYFUNCTION("""COMPUTED_VALUE"""),"No")</f>
        <v>No</v>
      </c>
      <c r="P477" s="26"/>
    </row>
    <row r="478">
      <c r="A478" s="13" t="str">
        <f>IFERROR(__xludf.DUMMYFUNCTION("""COMPUTED_VALUE"""),"Little Deviants")</f>
        <v>Little Deviants</v>
      </c>
      <c r="B478" s="15" t="str">
        <f>IFERROR(__xludf.DUMMYFUNCTION("""COMPUTED_VALUE"""),"Vita")</f>
        <v>Vita</v>
      </c>
      <c r="C478" s="16" t="str">
        <f>IFERROR(__xludf.DUMMYFUNCTION("""COMPUTED_VALUE"""),"Playstation Plus (Discontinued)")</f>
        <v>Playstation Plus (Discontinued)</v>
      </c>
      <c r="D478" s="15" t="str">
        <f>IFERROR(__xludf.DUMMYFUNCTION("""COMPUTED_VALUE"""),"Removed")</f>
        <v>Removed</v>
      </c>
      <c r="E478" s="17">
        <f>IFERROR(__xludf.DUMMYFUNCTION("""COMPUTED_VALUE"""),42528.0)</f>
        <v>42528</v>
      </c>
      <c r="F478" s="54">
        <f>IFERROR(__xludf.DUMMYFUNCTION("""COMPUTED_VALUE"""),42555.0)</f>
        <v>42555</v>
      </c>
      <c r="G478" s="19">
        <f>IFERROR(__xludf.DUMMYFUNCTION("""COMPUTED_VALUE"""),0.8999999999999999)</f>
        <v>0.9</v>
      </c>
      <c r="H478" s="17">
        <f>IFERROR(__xludf.DUMMYFUNCTION("""COMPUTED_VALUE"""),40904.0)</f>
        <v>40904</v>
      </c>
      <c r="I478" s="19">
        <f>IFERROR(__xludf.DUMMYFUNCTION("""COMPUTED_VALUE"""),4.444444444444445)</f>
        <v>4.444444444</v>
      </c>
      <c r="J478" s="21">
        <f>IFERROR(__xludf.DUMMYFUNCTION("""COMPUTED_VALUE"""),64.0)</f>
        <v>64</v>
      </c>
      <c r="K478" s="23">
        <f>IFERROR(__xludf.DUMMYFUNCTION("""COMPUTED_VALUE"""),6.4)</f>
        <v>6.4</v>
      </c>
      <c r="L478" s="24">
        <f>IFERROR(__xludf.DUMMYFUNCTION("""COMPUTED_VALUE"""),4.0)</f>
        <v>4</v>
      </c>
      <c r="M478" s="25" t="str">
        <f>IFERROR(__xludf.DUMMYFUNCTION("""COMPUTED_VALUE"""),"Puzzle")</f>
        <v>Puzzle</v>
      </c>
      <c r="N478" s="25"/>
      <c r="O478" s="26" t="str">
        <f>IFERROR(__xludf.DUMMYFUNCTION("""COMPUTED_VALUE"""),"No")</f>
        <v>No</v>
      </c>
      <c r="P478" s="26"/>
    </row>
    <row r="479" hidden="1">
      <c r="A479" s="13" t="str">
        <f>IFERROR(__xludf.DUMMYFUNCTION("""COMPUTED_VALUE"""),"God of War: Chains of Olympus")</f>
        <v>God of War: Chains of Olympus</v>
      </c>
      <c r="B479" s="15" t="str">
        <f>IFERROR(__xludf.DUMMYFUNCTION("""COMPUTED_VALUE"""),"Vita/PSP")</f>
        <v>Vita/PSP</v>
      </c>
      <c r="C479" s="16" t="str">
        <f>IFERROR(__xludf.DUMMYFUNCTION("""COMPUTED_VALUE"""),"Playstation Plus (Discontinued)")</f>
        <v>Playstation Plus (Discontinued)</v>
      </c>
      <c r="D479" s="15" t="str">
        <f>IFERROR(__xludf.DUMMYFUNCTION("""COMPUTED_VALUE"""),"Removed")</f>
        <v>Removed</v>
      </c>
      <c r="E479" s="17">
        <f>IFERROR(__xludf.DUMMYFUNCTION("""COMPUTED_VALUE"""),42528.0)</f>
        <v>42528</v>
      </c>
      <c r="F479" s="54">
        <f>IFERROR(__xludf.DUMMYFUNCTION("""COMPUTED_VALUE"""),42555.0)</f>
        <v>42555</v>
      </c>
      <c r="G479" s="19">
        <f>IFERROR(__xludf.DUMMYFUNCTION("""COMPUTED_VALUE"""),0.8999999999999999)</f>
        <v>0.9</v>
      </c>
      <c r="H479" s="17">
        <f>IFERROR(__xludf.DUMMYFUNCTION("""COMPUTED_VALUE"""),39511.0)</f>
        <v>39511</v>
      </c>
      <c r="I479" s="19">
        <f>IFERROR(__xludf.DUMMYFUNCTION("""COMPUTED_VALUE"""),8.258333333333333)</f>
        <v>8.258333333</v>
      </c>
      <c r="J479" s="21">
        <f>IFERROR(__xludf.DUMMYFUNCTION("""COMPUTED_VALUE"""),91.0)</f>
        <v>91</v>
      </c>
      <c r="K479" s="23">
        <f>IFERROR(__xludf.DUMMYFUNCTION("""COMPUTED_VALUE"""),8.7)</f>
        <v>8.7</v>
      </c>
      <c r="L479" s="24">
        <f>IFERROR(__xludf.DUMMYFUNCTION("""COMPUTED_VALUE"""),5.0)</f>
        <v>5</v>
      </c>
      <c r="M479" s="25" t="str">
        <f>IFERROR(__xludf.DUMMYFUNCTION("""COMPUTED_VALUE"""),"Action-Adventure")</f>
        <v>Action-Adventure</v>
      </c>
      <c r="N479" s="25"/>
      <c r="O479" s="26" t="str">
        <f>IFERROR(__xludf.DUMMYFUNCTION("""COMPUTED_VALUE"""),"No")</f>
        <v>No</v>
      </c>
      <c r="P479" s="26"/>
    </row>
    <row r="480" hidden="1">
      <c r="A480" s="13" t="str">
        <f>IFERROR(__xludf.DUMMYFUNCTION("""COMPUTED_VALUE"""),"Siren: Blood Curse")</f>
        <v>Siren: Blood Curse</v>
      </c>
      <c r="B480" s="15" t="str">
        <f>IFERROR(__xludf.DUMMYFUNCTION("""COMPUTED_VALUE"""),"PS3")</f>
        <v>PS3</v>
      </c>
      <c r="C480" s="16" t="str">
        <f>IFERROR(__xludf.DUMMYFUNCTION("""COMPUTED_VALUE"""),"Playstation Plus (Discontinued)")</f>
        <v>Playstation Plus (Discontinued)</v>
      </c>
      <c r="D480" s="15" t="str">
        <f>IFERROR(__xludf.DUMMYFUNCTION("""COMPUTED_VALUE"""),"Removed")</f>
        <v>Removed</v>
      </c>
      <c r="E480" s="17">
        <f>IFERROR(__xludf.DUMMYFUNCTION("""COMPUTED_VALUE"""),42528.0)</f>
        <v>42528</v>
      </c>
      <c r="F480" s="54">
        <f>IFERROR(__xludf.DUMMYFUNCTION("""COMPUTED_VALUE"""),42555.0)</f>
        <v>42555</v>
      </c>
      <c r="G480" s="19">
        <f>IFERROR(__xludf.DUMMYFUNCTION("""COMPUTED_VALUE"""),0.8999999999999999)</f>
        <v>0.9</v>
      </c>
      <c r="H480" s="17">
        <f>IFERROR(__xludf.DUMMYFUNCTION("""COMPUTED_VALUE"""),39653.0)</f>
        <v>39653</v>
      </c>
      <c r="I480" s="19">
        <f>IFERROR(__xludf.DUMMYFUNCTION("""COMPUTED_VALUE"""),7.8694444444444445)</f>
        <v>7.869444444</v>
      </c>
      <c r="J480" s="21">
        <f>IFERROR(__xludf.DUMMYFUNCTION("""COMPUTED_VALUE"""),78.0)</f>
        <v>78</v>
      </c>
      <c r="K480" s="23">
        <f>IFERROR(__xludf.DUMMYFUNCTION("""COMPUTED_VALUE"""),8.0)</f>
        <v>8</v>
      </c>
      <c r="L480" s="24">
        <f>IFERROR(__xludf.DUMMYFUNCTION("""COMPUTED_VALUE"""),12.0)</f>
        <v>12</v>
      </c>
      <c r="M480" s="25" t="str">
        <f>IFERROR(__xludf.DUMMYFUNCTION("""COMPUTED_VALUE"""),"Horror")</f>
        <v>Horror</v>
      </c>
      <c r="N480" s="25"/>
      <c r="O480" s="26" t="str">
        <f>IFERROR(__xludf.DUMMYFUNCTION("""COMPUTED_VALUE"""),"No")</f>
        <v>No</v>
      </c>
      <c r="P480" s="26"/>
    </row>
    <row r="481" hidden="1">
      <c r="A481" s="13" t="str">
        <f>IFERROR(__xludf.DUMMYFUNCTION("""COMPUTED_VALUE"""),"Echochrome")</f>
        <v>Echochrome</v>
      </c>
      <c r="B481" s="15" t="str">
        <f>IFERROR(__xludf.DUMMYFUNCTION("""COMPUTED_VALUE"""),"PS3")</f>
        <v>PS3</v>
      </c>
      <c r="C481" s="16" t="str">
        <f>IFERROR(__xludf.DUMMYFUNCTION("""COMPUTED_VALUE"""),"Playstation Plus (Discontinued)")</f>
        <v>Playstation Plus (Discontinued)</v>
      </c>
      <c r="D481" s="15" t="str">
        <f>IFERROR(__xludf.DUMMYFUNCTION("""COMPUTED_VALUE"""),"Removed")</f>
        <v>Removed</v>
      </c>
      <c r="E481" s="17">
        <f>IFERROR(__xludf.DUMMYFUNCTION("""COMPUTED_VALUE"""),42528.0)</f>
        <v>42528</v>
      </c>
      <c r="F481" s="54">
        <f>IFERROR(__xludf.DUMMYFUNCTION("""COMPUTED_VALUE"""),42555.0)</f>
        <v>42555</v>
      </c>
      <c r="G481" s="19">
        <f>IFERROR(__xludf.DUMMYFUNCTION("""COMPUTED_VALUE"""),0.8999999999999999)</f>
        <v>0.9</v>
      </c>
      <c r="H481" s="17">
        <f>IFERROR(__xludf.DUMMYFUNCTION("""COMPUTED_VALUE"""),39569.0)</f>
        <v>39569</v>
      </c>
      <c r="I481" s="19">
        <f>IFERROR(__xludf.DUMMYFUNCTION("""COMPUTED_VALUE"""),8.1)</f>
        <v>8.1</v>
      </c>
      <c r="J481" s="21">
        <f>IFERROR(__xludf.DUMMYFUNCTION("""COMPUTED_VALUE"""),79.0)</f>
        <v>79</v>
      </c>
      <c r="K481" s="23">
        <f>IFERROR(__xludf.DUMMYFUNCTION("""COMPUTED_VALUE"""),7.6)</f>
        <v>7.6</v>
      </c>
      <c r="L481" s="24">
        <f>IFERROR(__xludf.DUMMYFUNCTION("""COMPUTED_VALUE"""),5.0)</f>
        <v>5</v>
      </c>
      <c r="M481" s="25" t="str">
        <f>IFERROR(__xludf.DUMMYFUNCTION("""COMPUTED_VALUE"""),"Puzzle")</f>
        <v>Puzzle</v>
      </c>
      <c r="N481" s="25"/>
      <c r="O481" s="26" t="str">
        <f>IFERROR(__xludf.DUMMYFUNCTION("""COMPUTED_VALUE"""),"No")</f>
        <v>No</v>
      </c>
      <c r="P481" s="26"/>
    </row>
    <row r="482" hidden="1">
      <c r="A482" s="13" t="str">
        <f>IFERROR(__xludf.DUMMYFUNCTION("""COMPUTED_VALUE"""),"Tropico 5")</f>
        <v>Tropico 5</v>
      </c>
      <c r="B482" s="15" t="str">
        <f>IFERROR(__xludf.DUMMYFUNCTION("""COMPUTED_VALUE"""),"PS4")</f>
        <v>PS4</v>
      </c>
      <c r="C482" s="16" t="str">
        <f>IFERROR(__xludf.DUMMYFUNCTION("""COMPUTED_VALUE"""),"Playstation Plus (Discontinued)")</f>
        <v>Playstation Plus (Discontinued)</v>
      </c>
      <c r="D482" s="15" t="str">
        <f>IFERROR(__xludf.DUMMYFUNCTION("""COMPUTED_VALUE"""),"Removed")</f>
        <v>Removed</v>
      </c>
      <c r="E482" s="17">
        <f>IFERROR(__xludf.DUMMYFUNCTION("""COMPUTED_VALUE"""),42493.0)</f>
        <v>42493</v>
      </c>
      <c r="F482" s="54">
        <f>IFERROR(__xludf.DUMMYFUNCTION("""COMPUTED_VALUE"""),42527.0)</f>
        <v>42527</v>
      </c>
      <c r="G482" s="19">
        <f>IFERROR(__xludf.DUMMYFUNCTION("""COMPUTED_VALUE"""),1.0999999999999999)</f>
        <v>1.1</v>
      </c>
      <c r="H482" s="17">
        <f>IFERROR(__xludf.DUMMYFUNCTION("""COMPUTED_VALUE"""),41782.0)</f>
        <v>41782</v>
      </c>
      <c r="I482" s="19">
        <f>IFERROR(__xludf.DUMMYFUNCTION("""COMPUTED_VALUE"""),1.9444444444444444)</f>
        <v>1.944444444</v>
      </c>
      <c r="J482" s="21">
        <f>IFERROR(__xludf.DUMMYFUNCTION("""COMPUTED_VALUE"""),75.0)</f>
        <v>75</v>
      </c>
      <c r="K482" s="23">
        <f>IFERROR(__xludf.DUMMYFUNCTION("""COMPUTED_VALUE"""),7.3)</f>
        <v>7.3</v>
      </c>
      <c r="L482" s="24">
        <f>IFERROR(__xludf.DUMMYFUNCTION("""COMPUTED_VALUE"""),20.0)</f>
        <v>20</v>
      </c>
      <c r="M482" s="25" t="str">
        <f>IFERROR(__xludf.DUMMYFUNCTION("""COMPUTED_VALUE"""),"Strategy")</f>
        <v>Strategy</v>
      </c>
      <c r="N482" s="25"/>
      <c r="O482" s="26" t="str">
        <f>IFERROR(__xludf.DUMMYFUNCTION("""COMPUTED_VALUE"""),"No")</f>
        <v>No</v>
      </c>
      <c r="P482" s="26"/>
    </row>
    <row r="483" hidden="1">
      <c r="A483" s="13" t="str">
        <f>IFERROR(__xludf.DUMMYFUNCTION("""COMPUTED_VALUE"""),"Table Top Racing: World Tour")</f>
        <v>Table Top Racing: World Tour</v>
      </c>
      <c r="B483" s="15" t="str">
        <f>IFERROR(__xludf.DUMMYFUNCTION("""COMPUTED_VALUE"""),"PS4")</f>
        <v>PS4</v>
      </c>
      <c r="C483" s="16" t="str">
        <f>IFERROR(__xludf.DUMMYFUNCTION("""COMPUTED_VALUE"""),"Playstation Plus (Discontinued)")</f>
        <v>Playstation Plus (Discontinued)</v>
      </c>
      <c r="D483" s="15" t="str">
        <f>IFERROR(__xludf.DUMMYFUNCTION("""COMPUTED_VALUE"""),"Removed")</f>
        <v>Removed</v>
      </c>
      <c r="E483" s="17">
        <f>IFERROR(__xludf.DUMMYFUNCTION("""COMPUTED_VALUE"""),42493.0)</f>
        <v>42493</v>
      </c>
      <c r="F483" s="54">
        <f>IFERROR(__xludf.DUMMYFUNCTION("""COMPUTED_VALUE"""),42527.0)</f>
        <v>42527</v>
      </c>
      <c r="G483" s="19">
        <f>IFERROR(__xludf.DUMMYFUNCTION("""COMPUTED_VALUE"""),1.0999999999999999)</f>
        <v>1.1</v>
      </c>
      <c r="H483" s="17">
        <f>IFERROR(__xludf.DUMMYFUNCTION("""COMPUTED_VALUE"""),42493.0)</f>
        <v>42493</v>
      </c>
      <c r="I483" s="19">
        <f>IFERROR(__xludf.DUMMYFUNCTION("""COMPUTED_VALUE"""),0.0)</f>
        <v>0</v>
      </c>
      <c r="J483" s="21">
        <f>IFERROR(__xludf.DUMMYFUNCTION("""COMPUTED_VALUE"""),56.0)</f>
        <v>56</v>
      </c>
      <c r="K483" s="23">
        <f>IFERROR(__xludf.DUMMYFUNCTION("""COMPUTED_VALUE"""),5.7)</f>
        <v>5.7</v>
      </c>
      <c r="L483" s="24"/>
      <c r="M483" s="25" t="str">
        <f>IFERROR(__xludf.DUMMYFUNCTION("""COMPUTED_VALUE"""),"Racing")</f>
        <v>Racing</v>
      </c>
      <c r="N483" s="25"/>
      <c r="O483" s="26" t="str">
        <f>IFERROR(__xludf.DUMMYFUNCTION("""COMPUTED_VALUE"""),"No")</f>
        <v>No</v>
      </c>
      <c r="P483" s="26"/>
    </row>
    <row r="484" hidden="1">
      <c r="A484" s="13" t="str">
        <f>IFERROR(__xludf.DUMMYFUNCTION("""COMPUTED_VALUE"""),"Switch Galaxy Ultra")</f>
        <v>Switch Galaxy Ultra</v>
      </c>
      <c r="B484" s="15" t="str">
        <f>IFERROR(__xludf.DUMMYFUNCTION("""COMPUTED_VALUE"""),"PS4/Vita")</f>
        <v>PS4/Vita</v>
      </c>
      <c r="C484" s="16" t="str">
        <f>IFERROR(__xludf.DUMMYFUNCTION("""COMPUTED_VALUE"""),"Playstation Plus (Discontinued)")</f>
        <v>Playstation Plus (Discontinued)</v>
      </c>
      <c r="D484" s="15" t="str">
        <f>IFERROR(__xludf.DUMMYFUNCTION("""COMPUTED_VALUE"""),"Removed")</f>
        <v>Removed</v>
      </c>
      <c r="E484" s="17">
        <f>IFERROR(__xludf.DUMMYFUNCTION("""COMPUTED_VALUE"""),42493.0)</f>
        <v>42493</v>
      </c>
      <c r="F484" s="54">
        <f>IFERROR(__xludf.DUMMYFUNCTION("""COMPUTED_VALUE"""),42527.0)</f>
        <v>42527</v>
      </c>
      <c r="G484" s="19">
        <f>IFERROR(__xludf.DUMMYFUNCTION("""COMPUTED_VALUE"""),1.0999999999999999)</f>
        <v>1.1</v>
      </c>
      <c r="H484" s="17">
        <f>IFERROR(__xludf.DUMMYFUNCTION("""COMPUTED_VALUE"""),42249.0)</f>
        <v>42249</v>
      </c>
      <c r="I484" s="19">
        <f>IFERROR(__xludf.DUMMYFUNCTION("""COMPUTED_VALUE"""),0.6694444444444444)</f>
        <v>0.6694444444</v>
      </c>
      <c r="J484" s="21">
        <f>IFERROR(__xludf.DUMMYFUNCTION("""COMPUTED_VALUE"""),72.0)</f>
        <v>72</v>
      </c>
      <c r="K484" s="23">
        <f>IFERROR(__xludf.DUMMYFUNCTION("""COMPUTED_VALUE"""),6.8)</f>
        <v>6.8</v>
      </c>
      <c r="L484" s="24">
        <f>IFERROR(__xludf.DUMMYFUNCTION("""COMPUTED_VALUE"""),4.0)</f>
        <v>4</v>
      </c>
      <c r="M484" s="25" t="str">
        <f>IFERROR(__xludf.DUMMYFUNCTION("""COMPUTED_VALUE"""),"Shooter")</f>
        <v>Shooter</v>
      </c>
      <c r="N484" s="25"/>
      <c r="O484" s="26" t="str">
        <f>IFERROR(__xludf.DUMMYFUNCTION("""COMPUTED_VALUE"""),"No")</f>
        <v>No</v>
      </c>
      <c r="P484" s="26"/>
    </row>
    <row r="485">
      <c r="A485" s="13" t="str">
        <f>IFERROR(__xludf.DUMMYFUNCTION("""COMPUTED_VALUE"""),"God of War: Ghost of Sparta")</f>
        <v>God of War: Ghost of Sparta</v>
      </c>
      <c r="B485" s="15" t="str">
        <f>IFERROR(__xludf.DUMMYFUNCTION("""COMPUTED_VALUE"""),"Vita/PSP")</f>
        <v>Vita/PSP</v>
      </c>
      <c r="C485" s="16" t="str">
        <f>IFERROR(__xludf.DUMMYFUNCTION("""COMPUTED_VALUE"""),"Playstation Plus (Discontinued)")</f>
        <v>Playstation Plus (Discontinued)</v>
      </c>
      <c r="D485" s="15" t="str">
        <f>IFERROR(__xludf.DUMMYFUNCTION("""COMPUTED_VALUE"""),"Removed")</f>
        <v>Removed</v>
      </c>
      <c r="E485" s="17">
        <f>IFERROR(__xludf.DUMMYFUNCTION("""COMPUTED_VALUE"""),42493.0)</f>
        <v>42493</v>
      </c>
      <c r="F485" s="54">
        <f>IFERROR(__xludf.DUMMYFUNCTION("""COMPUTED_VALUE"""),42527.0)</f>
        <v>42527</v>
      </c>
      <c r="G485" s="19">
        <f>IFERROR(__xludf.DUMMYFUNCTION("""COMPUTED_VALUE"""),1.0999999999999999)</f>
        <v>1.1</v>
      </c>
      <c r="H485" s="17">
        <f>IFERROR(__xludf.DUMMYFUNCTION("""COMPUTED_VALUE"""),40484.0)</f>
        <v>40484</v>
      </c>
      <c r="I485" s="19">
        <f>IFERROR(__xludf.DUMMYFUNCTION("""COMPUTED_VALUE"""),5.502777777777778)</f>
        <v>5.502777778</v>
      </c>
      <c r="J485" s="21">
        <f>IFERROR(__xludf.DUMMYFUNCTION("""COMPUTED_VALUE"""),86.0)</f>
        <v>86</v>
      </c>
      <c r="K485" s="23">
        <f>IFERROR(__xludf.DUMMYFUNCTION("""COMPUTED_VALUE"""),8.5)</f>
        <v>8.5</v>
      </c>
      <c r="L485" s="24">
        <f>IFERROR(__xludf.DUMMYFUNCTION("""COMPUTED_VALUE"""),5.0)</f>
        <v>5</v>
      </c>
      <c r="M485" s="25" t="str">
        <f>IFERROR(__xludf.DUMMYFUNCTION("""COMPUTED_VALUE"""),"Action-Adventure")</f>
        <v>Action-Adventure</v>
      </c>
      <c r="N485" s="25"/>
      <c r="O485" s="26" t="str">
        <f>IFERROR(__xludf.DUMMYFUNCTION("""COMPUTED_VALUE"""),"No")</f>
        <v>No</v>
      </c>
      <c r="P485" s="26"/>
    </row>
    <row r="486">
      <c r="A486" s="13" t="str">
        <f>IFERROR(__xludf.DUMMYFUNCTION("""COMPUTED_VALUE"""),"LocoRoco Cocoreccho!")</f>
        <v>LocoRoco Cocoreccho!</v>
      </c>
      <c r="B486" s="15" t="str">
        <f>IFERROR(__xludf.DUMMYFUNCTION("""COMPUTED_VALUE"""),"PS3")</f>
        <v>PS3</v>
      </c>
      <c r="C486" s="16" t="str">
        <f>IFERROR(__xludf.DUMMYFUNCTION("""COMPUTED_VALUE"""),"Playstation Plus (Discontinued)")</f>
        <v>Playstation Plus (Discontinued)</v>
      </c>
      <c r="D486" s="15" t="str">
        <f>IFERROR(__xludf.DUMMYFUNCTION("""COMPUTED_VALUE"""),"Removed")</f>
        <v>Removed</v>
      </c>
      <c r="E486" s="17">
        <f>IFERROR(__xludf.DUMMYFUNCTION("""COMPUTED_VALUE"""),42493.0)</f>
        <v>42493</v>
      </c>
      <c r="F486" s="54">
        <f>IFERROR(__xludf.DUMMYFUNCTION("""COMPUTED_VALUE"""),42527.0)</f>
        <v>42527</v>
      </c>
      <c r="G486" s="19">
        <f>IFERROR(__xludf.DUMMYFUNCTION("""COMPUTED_VALUE"""),1.0999999999999999)</f>
        <v>1.1</v>
      </c>
      <c r="H486" s="17">
        <f>IFERROR(__xludf.DUMMYFUNCTION("""COMPUTED_VALUE"""),39346.0)</f>
        <v>39346</v>
      </c>
      <c r="I486" s="19">
        <f>IFERROR(__xludf.DUMMYFUNCTION("""COMPUTED_VALUE"""),8.616666666666667)</f>
        <v>8.616666667</v>
      </c>
      <c r="J486" s="21">
        <f>IFERROR(__xludf.DUMMYFUNCTION("""COMPUTED_VALUE"""),76.0)</f>
        <v>76</v>
      </c>
      <c r="K486" s="23">
        <f>IFERROR(__xludf.DUMMYFUNCTION("""COMPUTED_VALUE"""),7.8)</f>
        <v>7.8</v>
      </c>
      <c r="L486" s="24">
        <f>IFERROR(__xludf.DUMMYFUNCTION("""COMPUTED_VALUE"""),2.0)</f>
        <v>2</v>
      </c>
      <c r="M486" s="25" t="str">
        <f>IFERROR(__xludf.DUMMYFUNCTION("""COMPUTED_VALUE"""),"Platformer")</f>
        <v>Platformer</v>
      </c>
      <c r="N486" s="25"/>
      <c r="O486" s="26" t="str">
        <f>IFERROR(__xludf.DUMMYFUNCTION("""COMPUTED_VALUE"""),"No")</f>
        <v>No</v>
      </c>
      <c r="P486" s="26"/>
    </row>
    <row r="487">
      <c r="A487" s="13" t="str">
        <f>IFERROR(__xludf.DUMMYFUNCTION("""COMPUTED_VALUE"""),"Bionic Commando Rearmed")</f>
        <v>Bionic Commando Rearmed</v>
      </c>
      <c r="B487" s="15" t="str">
        <f>IFERROR(__xludf.DUMMYFUNCTION("""COMPUTED_VALUE"""),"PS3")</f>
        <v>PS3</v>
      </c>
      <c r="C487" s="16" t="str">
        <f>IFERROR(__xludf.DUMMYFUNCTION("""COMPUTED_VALUE"""),"Playstation Plus (Discontinued)")</f>
        <v>Playstation Plus (Discontinued)</v>
      </c>
      <c r="D487" s="15" t="str">
        <f>IFERROR(__xludf.DUMMYFUNCTION("""COMPUTED_VALUE"""),"Removed")</f>
        <v>Removed</v>
      </c>
      <c r="E487" s="17">
        <f>IFERROR(__xludf.DUMMYFUNCTION("""COMPUTED_VALUE"""),42493.0)</f>
        <v>42493</v>
      </c>
      <c r="F487" s="54">
        <f>IFERROR(__xludf.DUMMYFUNCTION("""COMPUTED_VALUE"""),42527.0)</f>
        <v>42527</v>
      </c>
      <c r="G487" s="19">
        <f>IFERROR(__xludf.DUMMYFUNCTION("""COMPUTED_VALUE"""),1.0999999999999999)</f>
        <v>1.1</v>
      </c>
      <c r="H487" s="17">
        <f>IFERROR(__xludf.DUMMYFUNCTION("""COMPUTED_VALUE"""),39673.0)</f>
        <v>39673</v>
      </c>
      <c r="I487" s="19">
        <f>IFERROR(__xludf.DUMMYFUNCTION("""COMPUTED_VALUE"""),7.722222222222222)</f>
        <v>7.722222222</v>
      </c>
      <c r="J487" s="21">
        <f>IFERROR(__xludf.DUMMYFUNCTION("""COMPUTED_VALUE"""),85.0)</f>
        <v>85</v>
      </c>
      <c r="K487" s="23">
        <f>IFERROR(__xludf.DUMMYFUNCTION("""COMPUTED_VALUE"""),8.2)</f>
        <v>8.2</v>
      </c>
      <c r="L487" s="24">
        <f>IFERROR(__xludf.DUMMYFUNCTION("""COMPUTED_VALUE"""),5.0)</f>
        <v>5</v>
      </c>
      <c r="M487" s="25" t="str">
        <f>IFERROR(__xludf.DUMMYFUNCTION("""COMPUTED_VALUE"""),"Platformer")</f>
        <v>Platformer</v>
      </c>
      <c r="N487" s="25"/>
      <c r="O487" s="26" t="str">
        <f>IFERROR(__xludf.DUMMYFUNCTION("""COMPUTED_VALUE"""),"No")</f>
        <v>No</v>
      </c>
      <c r="P487" s="26"/>
    </row>
    <row r="488">
      <c r="A488" s="13" t="str">
        <f>IFERROR(__xludf.DUMMYFUNCTION("""COMPUTED_VALUE"""),"Dead Star")</f>
        <v>Dead Star</v>
      </c>
      <c r="B488" s="15" t="str">
        <f>IFERROR(__xludf.DUMMYFUNCTION("""COMPUTED_VALUE"""),"PS4")</f>
        <v>PS4</v>
      </c>
      <c r="C488" s="16" t="str">
        <f>IFERROR(__xludf.DUMMYFUNCTION("""COMPUTED_VALUE"""),"Playstation Plus (Discontinued)")</f>
        <v>Playstation Plus (Discontinued)</v>
      </c>
      <c r="D488" s="15" t="str">
        <f>IFERROR(__xludf.DUMMYFUNCTION("""COMPUTED_VALUE"""),"Removed")</f>
        <v>Removed</v>
      </c>
      <c r="E488" s="17">
        <f>IFERROR(__xludf.DUMMYFUNCTION("""COMPUTED_VALUE"""),42465.0)</f>
        <v>42465</v>
      </c>
      <c r="F488" s="54">
        <f>IFERROR(__xludf.DUMMYFUNCTION("""COMPUTED_VALUE"""),42492.0)</f>
        <v>42492</v>
      </c>
      <c r="G488" s="19">
        <f>IFERROR(__xludf.DUMMYFUNCTION("""COMPUTED_VALUE"""),0.8999999999999999)</f>
        <v>0.9</v>
      </c>
      <c r="H488" s="17">
        <f>IFERROR(__xludf.DUMMYFUNCTION("""COMPUTED_VALUE"""),42465.0)</f>
        <v>42465</v>
      </c>
      <c r="I488" s="19">
        <f>IFERROR(__xludf.DUMMYFUNCTION("""COMPUTED_VALUE"""),0.0)</f>
        <v>0</v>
      </c>
      <c r="J488" s="21">
        <f>IFERROR(__xludf.DUMMYFUNCTION("""COMPUTED_VALUE"""),61.0)</f>
        <v>61</v>
      </c>
      <c r="K488" s="23">
        <f>IFERROR(__xludf.DUMMYFUNCTION("""COMPUTED_VALUE"""),5.8)</f>
        <v>5.8</v>
      </c>
      <c r="L488" s="24"/>
      <c r="M488" s="25" t="str">
        <f>IFERROR(__xludf.DUMMYFUNCTION("""COMPUTED_VALUE"""),"Shooter")</f>
        <v>Shooter</v>
      </c>
      <c r="N488" s="25"/>
      <c r="O488" s="26" t="str">
        <f>IFERROR(__xludf.DUMMYFUNCTION("""COMPUTED_VALUE"""),"No")</f>
        <v>No</v>
      </c>
      <c r="P488" s="26"/>
    </row>
    <row r="489" hidden="1">
      <c r="A489" s="13" t="str">
        <f>IFERROR(__xludf.DUMMYFUNCTION("""COMPUTED_VALUE"""),"Zombi")</f>
        <v>Zombi</v>
      </c>
      <c r="B489" s="15" t="str">
        <f>IFERROR(__xludf.DUMMYFUNCTION("""COMPUTED_VALUE"""),"PS4")</f>
        <v>PS4</v>
      </c>
      <c r="C489" s="16" t="str">
        <f>IFERROR(__xludf.DUMMYFUNCTION("""COMPUTED_VALUE"""),"Playstation Plus (Discontinued)")</f>
        <v>Playstation Plus (Discontinued)</v>
      </c>
      <c r="D489" s="15" t="str">
        <f>IFERROR(__xludf.DUMMYFUNCTION("""COMPUTED_VALUE"""),"Removed")</f>
        <v>Removed</v>
      </c>
      <c r="E489" s="17">
        <f>IFERROR(__xludf.DUMMYFUNCTION("""COMPUTED_VALUE"""),42465.0)</f>
        <v>42465</v>
      </c>
      <c r="F489" s="54">
        <f>IFERROR(__xludf.DUMMYFUNCTION("""COMPUTED_VALUE"""),42492.0)</f>
        <v>42492</v>
      </c>
      <c r="G489" s="19">
        <f>IFERROR(__xludf.DUMMYFUNCTION("""COMPUTED_VALUE"""),0.8999999999999999)</f>
        <v>0.9</v>
      </c>
      <c r="H489" s="17">
        <f>IFERROR(__xludf.DUMMYFUNCTION("""COMPUTED_VALUE"""),42234.0)</f>
        <v>42234</v>
      </c>
      <c r="I489" s="19">
        <f>IFERROR(__xludf.DUMMYFUNCTION("""COMPUTED_VALUE"""),0.6305555555555555)</f>
        <v>0.6305555556</v>
      </c>
      <c r="J489" s="21">
        <f>IFERROR(__xludf.DUMMYFUNCTION("""COMPUTED_VALUE"""),77.0)</f>
        <v>77</v>
      </c>
      <c r="K489" s="23">
        <f>IFERROR(__xludf.DUMMYFUNCTION("""COMPUTED_VALUE"""),6.4)</f>
        <v>6.4</v>
      </c>
      <c r="L489" s="24">
        <f>IFERROR(__xludf.DUMMYFUNCTION("""COMPUTED_VALUE"""),9.0)</f>
        <v>9</v>
      </c>
      <c r="M489" s="25" t="str">
        <f>IFERROR(__xludf.DUMMYFUNCTION("""COMPUTED_VALUE"""),"Horror")</f>
        <v>Horror</v>
      </c>
      <c r="N489" s="25"/>
      <c r="O489" s="26" t="str">
        <f>IFERROR(__xludf.DUMMYFUNCTION("""COMPUTED_VALUE"""),"No")</f>
        <v>No</v>
      </c>
      <c r="P489" s="26"/>
    </row>
    <row r="490">
      <c r="A490" s="13" t="str">
        <f>IFERROR(__xludf.DUMMYFUNCTION("""COMPUTED_VALUE"""),"Shutshimi")</f>
        <v>Shutshimi</v>
      </c>
      <c r="B490" s="15" t="str">
        <f>IFERROR(__xludf.DUMMYFUNCTION("""COMPUTED_VALUE"""),"Vita")</f>
        <v>Vita</v>
      </c>
      <c r="C490" s="16" t="str">
        <f>IFERROR(__xludf.DUMMYFUNCTION("""COMPUTED_VALUE"""),"Playstation Plus (Discontinued)")</f>
        <v>Playstation Plus (Discontinued)</v>
      </c>
      <c r="D490" s="15" t="str">
        <f>IFERROR(__xludf.DUMMYFUNCTION("""COMPUTED_VALUE"""),"Removed")</f>
        <v>Removed</v>
      </c>
      <c r="E490" s="17">
        <f>IFERROR(__xludf.DUMMYFUNCTION("""COMPUTED_VALUE"""),42465.0)</f>
        <v>42465</v>
      </c>
      <c r="F490" s="54">
        <f>IFERROR(__xludf.DUMMYFUNCTION("""COMPUTED_VALUE"""),42492.0)</f>
        <v>42492</v>
      </c>
      <c r="G490" s="19">
        <f>IFERROR(__xludf.DUMMYFUNCTION("""COMPUTED_VALUE"""),0.8999999999999999)</f>
        <v>0.9</v>
      </c>
      <c r="H490" s="17">
        <f>IFERROR(__xludf.DUMMYFUNCTION("""COMPUTED_VALUE"""),42221.0)</f>
        <v>42221</v>
      </c>
      <c r="I490" s="19">
        <f>IFERROR(__xludf.DUMMYFUNCTION("""COMPUTED_VALUE"""),0.6666666666666666)</f>
        <v>0.6666666667</v>
      </c>
      <c r="J490" s="21">
        <f>IFERROR(__xludf.DUMMYFUNCTION("""COMPUTED_VALUE"""),62.0)</f>
        <v>62</v>
      </c>
      <c r="K490" s="23">
        <f>IFERROR(__xludf.DUMMYFUNCTION("""COMPUTED_VALUE"""),6.8)</f>
        <v>6.8</v>
      </c>
      <c r="L490" s="24">
        <f>IFERROR(__xludf.DUMMYFUNCTION("""COMPUTED_VALUE"""),1.0)</f>
        <v>1</v>
      </c>
      <c r="M490" s="25" t="str">
        <f>IFERROR(__xludf.DUMMYFUNCTION("""COMPUTED_VALUE"""),"Shooter")</f>
        <v>Shooter</v>
      </c>
      <c r="N490" s="25"/>
      <c r="O490" s="26" t="str">
        <f>IFERROR(__xludf.DUMMYFUNCTION("""COMPUTED_VALUE"""),"No")</f>
        <v>No</v>
      </c>
      <c r="P490" s="26"/>
    </row>
    <row r="491">
      <c r="A491" s="13" t="str">
        <f>IFERROR(__xludf.DUMMYFUNCTION("""COMPUTED_VALUE"""),"A Virus named Tom")</f>
        <v>A Virus named Tom</v>
      </c>
      <c r="B491" s="15" t="str">
        <f>IFERROR(__xludf.DUMMYFUNCTION("""COMPUTED_VALUE"""),"Vita")</f>
        <v>Vita</v>
      </c>
      <c r="C491" s="16" t="str">
        <f>IFERROR(__xludf.DUMMYFUNCTION("""COMPUTED_VALUE"""),"Playstation Plus (Discontinued)")</f>
        <v>Playstation Plus (Discontinued)</v>
      </c>
      <c r="D491" s="15" t="str">
        <f>IFERROR(__xludf.DUMMYFUNCTION("""COMPUTED_VALUE"""),"Removed")</f>
        <v>Removed</v>
      </c>
      <c r="E491" s="17">
        <f>IFERROR(__xludf.DUMMYFUNCTION("""COMPUTED_VALUE"""),42465.0)</f>
        <v>42465</v>
      </c>
      <c r="F491" s="54">
        <f>IFERROR(__xludf.DUMMYFUNCTION("""COMPUTED_VALUE"""),42492.0)</f>
        <v>42492</v>
      </c>
      <c r="G491" s="19">
        <f>IFERROR(__xludf.DUMMYFUNCTION("""COMPUTED_VALUE"""),0.8999999999999999)</f>
        <v>0.9</v>
      </c>
      <c r="H491" s="17">
        <f>IFERROR(__xludf.DUMMYFUNCTION("""COMPUTED_VALUE"""),41337.0)</f>
        <v>41337</v>
      </c>
      <c r="I491" s="19">
        <f>IFERROR(__xludf.DUMMYFUNCTION("""COMPUTED_VALUE"""),3.0861111111111112)</f>
        <v>3.086111111</v>
      </c>
      <c r="J491" s="21">
        <f>IFERROR(__xludf.DUMMYFUNCTION("""COMPUTED_VALUE"""),69.0)</f>
        <v>69</v>
      </c>
      <c r="K491" s="23">
        <f>IFERROR(__xludf.DUMMYFUNCTION("""COMPUTED_VALUE"""),6.9)</f>
        <v>6.9</v>
      </c>
      <c r="L491" s="24">
        <f>IFERROR(__xludf.DUMMYFUNCTION("""COMPUTED_VALUE"""),4.0)</f>
        <v>4</v>
      </c>
      <c r="M491" s="25" t="str">
        <f>IFERROR(__xludf.DUMMYFUNCTION("""COMPUTED_VALUE"""),"Puzzle")</f>
        <v>Puzzle</v>
      </c>
      <c r="N491" s="25"/>
      <c r="O491" s="26" t="str">
        <f>IFERROR(__xludf.DUMMYFUNCTION("""COMPUTED_VALUE"""),"No")</f>
        <v>No</v>
      </c>
      <c r="P491" s="26"/>
    </row>
    <row r="492" hidden="1">
      <c r="A492" s="13" t="str">
        <f>IFERROR(__xludf.DUMMYFUNCTION("""COMPUTED_VALUE"""),"I am Alive")</f>
        <v>I am Alive</v>
      </c>
      <c r="B492" s="15" t="str">
        <f>IFERROR(__xludf.DUMMYFUNCTION("""COMPUTED_VALUE"""),"PS3")</f>
        <v>PS3</v>
      </c>
      <c r="C492" s="16" t="str">
        <f>IFERROR(__xludf.DUMMYFUNCTION("""COMPUTED_VALUE"""),"Playstation Plus (Discontinued)")</f>
        <v>Playstation Plus (Discontinued)</v>
      </c>
      <c r="D492" s="15" t="str">
        <f>IFERROR(__xludf.DUMMYFUNCTION("""COMPUTED_VALUE"""),"Removed")</f>
        <v>Removed</v>
      </c>
      <c r="E492" s="17">
        <f>IFERROR(__xludf.DUMMYFUNCTION("""COMPUTED_VALUE"""),42465.0)</f>
        <v>42465</v>
      </c>
      <c r="F492" s="54">
        <f>IFERROR(__xludf.DUMMYFUNCTION("""COMPUTED_VALUE"""),42492.0)</f>
        <v>42492</v>
      </c>
      <c r="G492" s="19">
        <f>IFERROR(__xludf.DUMMYFUNCTION("""COMPUTED_VALUE"""),0.8999999999999999)</f>
        <v>0.9</v>
      </c>
      <c r="H492" s="17">
        <f>IFERROR(__xludf.DUMMYFUNCTION("""COMPUTED_VALUE"""),40974.0)</f>
        <v>40974</v>
      </c>
      <c r="I492" s="19">
        <f>IFERROR(__xludf.DUMMYFUNCTION("""COMPUTED_VALUE"""),4.080555555555556)</f>
        <v>4.080555556</v>
      </c>
      <c r="J492" s="21">
        <f>IFERROR(__xludf.DUMMYFUNCTION("""COMPUTED_VALUE"""),75.0)</f>
        <v>75</v>
      </c>
      <c r="K492" s="23">
        <f>IFERROR(__xludf.DUMMYFUNCTION("""COMPUTED_VALUE"""),6.8)</f>
        <v>6.8</v>
      </c>
      <c r="L492" s="24">
        <f>IFERROR(__xludf.DUMMYFUNCTION("""COMPUTED_VALUE"""),6.0)</f>
        <v>6</v>
      </c>
      <c r="M492" s="25" t="str">
        <f>IFERROR(__xludf.DUMMYFUNCTION("""COMPUTED_VALUE"""),"Action-Adventure")</f>
        <v>Action-Adventure</v>
      </c>
      <c r="N492" s="25"/>
      <c r="O492" s="26" t="str">
        <f>IFERROR(__xludf.DUMMYFUNCTION("""COMPUTED_VALUE"""),"No")</f>
        <v>No</v>
      </c>
      <c r="P492" s="26"/>
    </row>
    <row r="493">
      <c r="A493" s="13" t="str">
        <f>IFERROR(__xludf.DUMMYFUNCTION("""COMPUTED_VALUE"""),"Savage Moon")</f>
        <v>Savage Moon</v>
      </c>
      <c r="B493" s="15" t="str">
        <f>IFERROR(__xludf.DUMMYFUNCTION("""COMPUTED_VALUE"""),"PS3")</f>
        <v>PS3</v>
      </c>
      <c r="C493" s="16" t="str">
        <f>IFERROR(__xludf.DUMMYFUNCTION("""COMPUTED_VALUE"""),"Playstation Plus (Discontinued)")</f>
        <v>Playstation Plus (Discontinued)</v>
      </c>
      <c r="D493" s="15" t="str">
        <f>IFERROR(__xludf.DUMMYFUNCTION("""COMPUTED_VALUE"""),"Removed")</f>
        <v>Removed</v>
      </c>
      <c r="E493" s="17">
        <f>IFERROR(__xludf.DUMMYFUNCTION("""COMPUTED_VALUE"""),42465.0)</f>
        <v>42465</v>
      </c>
      <c r="F493" s="54">
        <f>IFERROR(__xludf.DUMMYFUNCTION("""COMPUTED_VALUE"""),42492.0)</f>
        <v>42492</v>
      </c>
      <c r="G493" s="19">
        <f>IFERROR(__xludf.DUMMYFUNCTION("""COMPUTED_VALUE"""),0.8999999999999999)</f>
        <v>0.9</v>
      </c>
      <c r="H493" s="17">
        <f>IFERROR(__xludf.DUMMYFUNCTION("""COMPUTED_VALUE"""),39870.0)</f>
        <v>39870</v>
      </c>
      <c r="I493" s="19">
        <f>IFERROR(__xludf.DUMMYFUNCTION("""COMPUTED_VALUE"""),7.108333333333333)</f>
        <v>7.108333333</v>
      </c>
      <c r="J493" s="21">
        <f>IFERROR(__xludf.DUMMYFUNCTION("""COMPUTED_VALUE"""),72.0)</f>
        <v>72</v>
      </c>
      <c r="K493" s="23">
        <f>IFERROR(__xludf.DUMMYFUNCTION("""COMPUTED_VALUE"""),7.7)</f>
        <v>7.7</v>
      </c>
      <c r="L493" s="24">
        <f>IFERROR(__xludf.DUMMYFUNCTION("""COMPUTED_VALUE"""),6.0)</f>
        <v>6</v>
      </c>
      <c r="M493" s="25" t="str">
        <f>IFERROR(__xludf.DUMMYFUNCTION("""COMPUTED_VALUE"""),"Strategy")</f>
        <v>Strategy</v>
      </c>
      <c r="N493" s="25"/>
      <c r="O493" s="26" t="str">
        <f>IFERROR(__xludf.DUMMYFUNCTION("""COMPUTED_VALUE"""),"No")</f>
        <v>No</v>
      </c>
      <c r="P493" s="26"/>
    </row>
    <row r="494">
      <c r="A494" s="13" t="str">
        <f>IFERROR(__xludf.DUMMYFUNCTION("""COMPUTED_VALUE"""),"Broforce")</f>
        <v>Broforce</v>
      </c>
      <c r="B494" s="15" t="str">
        <f>IFERROR(__xludf.DUMMYFUNCTION("""COMPUTED_VALUE"""),"PS4")</f>
        <v>PS4</v>
      </c>
      <c r="C494" s="16" t="str">
        <f>IFERROR(__xludf.DUMMYFUNCTION("""COMPUTED_VALUE"""),"Playstation Plus (Discontinued)")</f>
        <v>Playstation Plus (Discontinued)</v>
      </c>
      <c r="D494" s="15" t="str">
        <f>IFERROR(__xludf.DUMMYFUNCTION("""COMPUTED_VALUE"""),"Removed")</f>
        <v>Removed</v>
      </c>
      <c r="E494" s="17">
        <f>IFERROR(__xludf.DUMMYFUNCTION("""COMPUTED_VALUE"""),42430.0)</f>
        <v>42430</v>
      </c>
      <c r="F494" s="54">
        <f>IFERROR(__xludf.DUMMYFUNCTION("""COMPUTED_VALUE"""),42464.0)</f>
        <v>42464</v>
      </c>
      <c r="G494" s="19">
        <f>IFERROR(__xludf.DUMMYFUNCTION("""COMPUTED_VALUE"""),1.0999999999999999)</f>
        <v>1.1</v>
      </c>
      <c r="H494" s="17">
        <f>IFERROR(__xludf.DUMMYFUNCTION("""COMPUTED_VALUE"""),42292.0)</f>
        <v>42292</v>
      </c>
      <c r="I494" s="19">
        <f>IFERROR(__xludf.DUMMYFUNCTION("""COMPUTED_VALUE"""),0.37777777777777777)</f>
        <v>0.3777777778</v>
      </c>
      <c r="J494" s="21">
        <f>IFERROR(__xludf.DUMMYFUNCTION("""COMPUTED_VALUE"""),83.0)</f>
        <v>83</v>
      </c>
      <c r="K494" s="23">
        <f>IFERROR(__xludf.DUMMYFUNCTION("""COMPUTED_VALUE"""),8.2)</f>
        <v>8.2</v>
      </c>
      <c r="L494" s="24">
        <f>IFERROR(__xludf.DUMMYFUNCTION("""COMPUTED_VALUE"""),5.0)</f>
        <v>5</v>
      </c>
      <c r="M494" s="25" t="str">
        <f>IFERROR(__xludf.DUMMYFUNCTION("""COMPUTED_VALUE"""),"Platformer")</f>
        <v>Platformer</v>
      </c>
      <c r="N494" s="25"/>
      <c r="O494" s="26" t="str">
        <f>IFERROR(__xludf.DUMMYFUNCTION("""COMPUTED_VALUE"""),"No")</f>
        <v>No</v>
      </c>
      <c r="P494" s="26"/>
    </row>
    <row r="495" hidden="1">
      <c r="A495" s="13" t="str">
        <f>IFERROR(__xludf.DUMMYFUNCTION("""COMPUTED_VALUE"""),"Galak-Z")</f>
        <v>Galak-Z</v>
      </c>
      <c r="B495" s="15" t="str">
        <f>IFERROR(__xludf.DUMMYFUNCTION("""COMPUTED_VALUE"""),"PS4")</f>
        <v>PS4</v>
      </c>
      <c r="C495" s="16" t="str">
        <f>IFERROR(__xludf.DUMMYFUNCTION("""COMPUTED_VALUE"""),"Playstation Plus (Discontinued)")</f>
        <v>Playstation Plus (Discontinued)</v>
      </c>
      <c r="D495" s="15" t="str">
        <f>IFERROR(__xludf.DUMMYFUNCTION("""COMPUTED_VALUE"""),"Removed")</f>
        <v>Removed</v>
      </c>
      <c r="E495" s="17">
        <f>IFERROR(__xludf.DUMMYFUNCTION("""COMPUTED_VALUE"""),42430.0)</f>
        <v>42430</v>
      </c>
      <c r="F495" s="54">
        <f>IFERROR(__xludf.DUMMYFUNCTION("""COMPUTED_VALUE"""),42464.0)</f>
        <v>42464</v>
      </c>
      <c r="G495" s="19">
        <f>IFERROR(__xludf.DUMMYFUNCTION("""COMPUTED_VALUE"""),1.0999999999999999)</f>
        <v>1.1</v>
      </c>
      <c r="H495" s="17">
        <f>IFERROR(__xludf.DUMMYFUNCTION("""COMPUTED_VALUE"""),42220.0)</f>
        <v>42220</v>
      </c>
      <c r="I495" s="19">
        <f>IFERROR(__xludf.DUMMYFUNCTION("""COMPUTED_VALUE"""),0.575)</f>
        <v>0.575</v>
      </c>
      <c r="J495" s="21">
        <f>IFERROR(__xludf.DUMMYFUNCTION("""COMPUTED_VALUE"""),76.0)</f>
        <v>76</v>
      </c>
      <c r="K495" s="23">
        <f>IFERROR(__xludf.DUMMYFUNCTION("""COMPUTED_VALUE"""),7.5)</f>
        <v>7.5</v>
      </c>
      <c r="L495" s="24">
        <f>IFERROR(__xludf.DUMMYFUNCTION("""COMPUTED_VALUE"""),10.0)</f>
        <v>10</v>
      </c>
      <c r="M495" s="25" t="str">
        <f>IFERROR(__xludf.DUMMYFUNCTION("""COMPUTED_VALUE"""),"Shooter")</f>
        <v>Shooter</v>
      </c>
      <c r="N495" s="25"/>
      <c r="O495" s="26" t="str">
        <f>IFERROR(__xludf.DUMMYFUNCTION("""COMPUTED_VALUE"""),"No")</f>
        <v>No</v>
      </c>
      <c r="P495" s="26"/>
    </row>
    <row r="496" hidden="1">
      <c r="A496" s="13" t="str">
        <f>IFERROR(__xludf.DUMMYFUNCTION("""COMPUTED_VALUE"""),"Flame Over")</f>
        <v>Flame Over</v>
      </c>
      <c r="B496" s="15" t="str">
        <f>IFERROR(__xludf.DUMMYFUNCTION("""COMPUTED_VALUE"""),"Vita")</f>
        <v>Vita</v>
      </c>
      <c r="C496" s="16" t="str">
        <f>IFERROR(__xludf.DUMMYFUNCTION("""COMPUTED_VALUE"""),"Playstation Plus (Discontinued)")</f>
        <v>Playstation Plus (Discontinued)</v>
      </c>
      <c r="D496" s="15" t="str">
        <f>IFERROR(__xludf.DUMMYFUNCTION("""COMPUTED_VALUE"""),"Removed")</f>
        <v>Removed</v>
      </c>
      <c r="E496" s="17">
        <f>IFERROR(__xludf.DUMMYFUNCTION("""COMPUTED_VALUE"""),42430.0)</f>
        <v>42430</v>
      </c>
      <c r="F496" s="54">
        <f>IFERROR(__xludf.DUMMYFUNCTION("""COMPUTED_VALUE"""),42464.0)</f>
        <v>42464</v>
      </c>
      <c r="G496" s="19">
        <f>IFERROR(__xludf.DUMMYFUNCTION("""COMPUTED_VALUE"""),1.0999999999999999)</f>
        <v>1.1</v>
      </c>
      <c r="H496" s="17">
        <f>IFERROR(__xludf.DUMMYFUNCTION("""COMPUTED_VALUE"""),42052.0)</f>
        <v>42052</v>
      </c>
      <c r="I496" s="19">
        <f>IFERROR(__xludf.DUMMYFUNCTION("""COMPUTED_VALUE"""),1.038888888888889)</f>
        <v>1.038888889</v>
      </c>
      <c r="J496" s="21">
        <f>IFERROR(__xludf.DUMMYFUNCTION("""COMPUTED_VALUE"""),65.0)</f>
        <v>65</v>
      </c>
      <c r="K496" s="23">
        <f>IFERROR(__xludf.DUMMYFUNCTION("""COMPUTED_VALUE"""),6.9)</f>
        <v>6.9</v>
      </c>
      <c r="L496" s="24">
        <f>IFERROR(__xludf.DUMMYFUNCTION("""COMPUTED_VALUE"""),6.0)</f>
        <v>6</v>
      </c>
      <c r="M496" s="25" t="str">
        <f>IFERROR(__xludf.DUMMYFUNCTION("""COMPUTED_VALUE"""),"Action-Adventure")</f>
        <v>Action-Adventure</v>
      </c>
      <c r="N496" s="25"/>
      <c r="O496" s="26" t="str">
        <f>IFERROR(__xludf.DUMMYFUNCTION("""COMPUTED_VALUE"""),"No")</f>
        <v>No</v>
      </c>
      <c r="P496" s="26"/>
    </row>
    <row r="497">
      <c r="A497" s="13" t="str">
        <f>IFERROR(__xludf.DUMMYFUNCTION("""COMPUTED_VALUE"""),"Reality Fighters")</f>
        <v>Reality Fighters</v>
      </c>
      <c r="B497" s="15" t="str">
        <f>IFERROR(__xludf.DUMMYFUNCTION("""COMPUTED_VALUE"""),"Vita")</f>
        <v>Vita</v>
      </c>
      <c r="C497" s="16" t="str">
        <f>IFERROR(__xludf.DUMMYFUNCTION("""COMPUTED_VALUE"""),"Playstation Plus (Discontinued)")</f>
        <v>Playstation Plus (Discontinued)</v>
      </c>
      <c r="D497" s="15" t="str">
        <f>IFERROR(__xludf.DUMMYFUNCTION("""COMPUTED_VALUE"""),"Removed")</f>
        <v>Removed</v>
      </c>
      <c r="E497" s="17">
        <f>IFERROR(__xludf.DUMMYFUNCTION("""COMPUTED_VALUE"""),42430.0)</f>
        <v>42430</v>
      </c>
      <c r="F497" s="54">
        <f>IFERROR(__xludf.DUMMYFUNCTION("""COMPUTED_VALUE"""),42464.0)</f>
        <v>42464</v>
      </c>
      <c r="G497" s="19">
        <f>IFERROR(__xludf.DUMMYFUNCTION("""COMPUTED_VALUE"""),1.0999999999999999)</f>
        <v>1.1</v>
      </c>
      <c r="H497" s="17">
        <f>IFERROR(__xludf.DUMMYFUNCTION("""COMPUTED_VALUE"""),40960.0)</f>
        <v>40960</v>
      </c>
      <c r="I497" s="19">
        <f>IFERROR(__xludf.DUMMYFUNCTION("""COMPUTED_VALUE"""),4.027777777777778)</f>
        <v>4.027777778</v>
      </c>
      <c r="J497" s="21">
        <f>IFERROR(__xludf.DUMMYFUNCTION("""COMPUTED_VALUE"""),54.0)</f>
        <v>54</v>
      </c>
      <c r="K497" s="23">
        <f>IFERROR(__xludf.DUMMYFUNCTION("""COMPUTED_VALUE"""),6.6)</f>
        <v>6.6</v>
      </c>
      <c r="L497" s="24"/>
      <c r="M497" s="25" t="str">
        <f>IFERROR(__xludf.DUMMYFUNCTION("""COMPUTED_VALUE"""),"Fighting")</f>
        <v>Fighting</v>
      </c>
      <c r="N497" s="25"/>
      <c r="O497" s="26" t="str">
        <f>IFERROR(__xludf.DUMMYFUNCTION("""COMPUTED_VALUE"""),"No")</f>
        <v>No</v>
      </c>
      <c r="P497" s="26"/>
    </row>
    <row r="498" hidden="1">
      <c r="A498" s="13" t="str">
        <f>IFERROR(__xludf.DUMMYFUNCTION("""COMPUTED_VALUE"""),"Super Stardust HD")</f>
        <v>Super Stardust HD</v>
      </c>
      <c r="B498" s="15" t="str">
        <f>IFERROR(__xludf.DUMMYFUNCTION("""COMPUTED_VALUE"""),"PS3")</f>
        <v>PS3</v>
      </c>
      <c r="C498" s="16" t="str">
        <f>IFERROR(__xludf.DUMMYFUNCTION("""COMPUTED_VALUE"""),"Playstation Plus (Discontinued)")</f>
        <v>Playstation Plus (Discontinued)</v>
      </c>
      <c r="D498" s="15" t="str">
        <f>IFERROR(__xludf.DUMMYFUNCTION("""COMPUTED_VALUE"""),"Removed")</f>
        <v>Removed</v>
      </c>
      <c r="E498" s="17">
        <f>IFERROR(__xludf.DUMMYFUNCTION("""COMPUTED_VALUE"""),42430.0)</f>
        <v>42430</v>
      </c>
      <c r="F498" s="54">
        <f>IFERROR(__xludf.DUMMYFUNCTION("""COMPUTED_VALUE"""),42464.0)</f>
        <v>42464</v>
      </c>
      <c r="G498" s="19">
        <f>IFERROR(__xludf.DUMMYFUNCTION("""COMPUTED_VALUE"""),1.0999999999999999)</f>
        <v>1.1</v>
      </c>
      <c r="H498" s="17">
        <f>IFERROR(__xludf.DUMMYFUNCTION("""COMPUTED_VALUE"""),39261.0)</f>
        <v>39261</v>
      </c>
      <c r="I498" s="19">
        <f>IFERROR(__xludf.DUMMYFUNCTION("""COMPUTED_VALUE"""),8.675)</f>
        <v>8.675</v>
      </c>
      <c r="J498" s="21">
        <f>IFERROR(__xludf.DUMMYFUNCTION("""COMPUTED_VALUE"""),86.0)</f>
        <v>86</v>
      </c>
      <c r="K498" s="23">
        <f>IFERROR(__xludf.DUMMYFUNCTION("""COMPUTED_VALUE"""),8.2)</f>
        <v>8.2</v>
      </c>
      <c r="L498" s="24"/>
      <c r="M498" s="25" t="str">
        <f>IFERROR(__xludf.DUMMYFUNCTION("""COMPUTED_VALUE"""),"Shooter")</f>
        <v>Shooter</v>
      </c>
      <c r="N498" s="25"/>
      <c r="O498" s="26" t="str">
        <f>IFERROR(__xludf.DUMMYFUNCTION("""COMPUTED_VALUE"""),"No")</f>
        <v>No</v>
      </c>
      <c r="P498" s="26"/>
    </row>
    <row r="499" hidden="1">
      <c r="A499" s="13" t="str">
        <f>IFERROR(__xludf.DUMMYFUNCTION("""COMPUTED_VALUE"""),"The Last Guy")</f>
        <v>The Last Guy</v>
      </c>
      <c r="B499" s="15" t="str">
        <f>IFERROR(__xludf.DUMMYFUNCTION("""COMPUTED_VALUE"""),"PS3")</f>
        <v>PS3</v>
      </c>
      <c r="C499" s="16" t="str">
        <f>IFERROR(__xludf.DUMMYFUNCTION("""COMPUTED_VALUE"""),"Playstation Plus (Discontinued)")</f>
        <v>Playstation Plus (Discontinued)</v>
      </c>
      <c r="D499" s="15" t="str">
        <f>IFERROR(__xludf.DUMMYFUNCTION("""COMPUTED_VALUE"""),"Removed")</f>
        <v>Removed</v>
      </c>
      <c r="E499" s="17">
        <f>IFERROR(__xludf.DUMMYFUNCTION("""COMPUTED_VALUE"""),42430.0)</f>
        <v>42430</v>
      </c>
      <c r="F499" s="54">
        <f>IFERROR(__xludf.DUMMYFUNCTION("""COMPUTED_VALUE"""),42464.0)</f>
        <v>42464</v>
      </c>
      <c r="G499" s="19">
        <f>IFERROR(__xludf.DUMMYFUNCTION("""COMPUTED_VALUE"""),1.0999999999999999)</f>
        <v>1.1</v>
      </c>
      <c r="H499" s="17">
        <f>IFERROR(__xludf.DUMMYFUNCTION("""COMPUTED_VALUE"""),39688.0)</f>
        <v>39688</v>
      </c>
      <c r="I499" s="19">
        <f>IFERROR(__xludf.DUMMYFUNCTION("""COMPUTED_VALUE"""),7.508333333333334)</f>
        <v>7.508333333</v>
      </c>
      <c r="J499" s="21">
        <f>IFERROR(__xludf.DUMMYFUNCTION("""COMPUTED_VALUE"""),81.0)</f>
        <v>81</v>
      </c>
      <c r="K499" s="23">
        <f>IFERROR(__xludf.DUMMYFUNCTION("""COMPUTED_VALUE"""),7.5)</f>
        <v>7.5</v>
      </c>
      <c r="L499" s="24">
        <f>IFERROR(__xludf.DUMMYFUNCTION("""COMPUTED_VALUE"""),8.0)</f>
        <v>8</v>
      </c>
      <c r="M499" s="25" t="str">
        <f>IFERROR(__xludf.DUMMYFUNCTION("""COMPUTED_VALUE"""),"Strategy")</f>
        <v>Strategy</v>
      </c>
      <c r="N499" s="25"/>
      <c r="O499" s="26" t="str">
        <f>IFERROR(__xludf.DUMMYFUNCTION("""COMPUTED_VALUE"""),"No")</f>
        <v>No</v>
      </c>
      <c r="P499" s="26"/>
    </row>
    <row r="500" hidden="1">
      <c r="A500" s="13" t="str">
        <f>IFERROR(__xludf.DUMMYFUNCTION("""COMPUTED_VALUE"""),"Helldivers")</f>
        <v>Helldivers</v>
      </c>
      <c r="B500" s="15" t="str">
        <f>IFERROR(__xludf.DUMMYFUNCTION("""COMPUTED_VALUE"""),"PS4/PS3/Vita")</f>
        <v>PS4/PS3/Vita</v>
      </c>
      <c r="C500" s="16" t="str">
        <f>IFERROR(__xludf.DUMMYFUNCTION("""COMPUTED_VALUE"""),"Playstation Plus (Discontinued)")</f>
        <v>Playstation Plus (Discontinued)</v>
      </c>
      <c r="D500" s="15" t="str">
        <f>IFERROR(__xludf.DUMMYFUNCTION("""COMPUTED_VALUE"""),"Removed")</f>
        <v>Removed</v>
      </c>
      <c r="E500" s="17">
        <f>IFERROR(__xludf.DUMMYFUNCTION("""COMPUTED_VALUE"""),42402.0)</f>
        <v>42402</v>
      </c>
      <c r="F500" s="54">
        <f>IFERROR(__xludf.DUMMYFUNCTION("""COMPUTED_VALUE"""),42429.0)</f>
        <v>42429</v>
      </c>
      <c r="G500" s="19">
        <f>IFERROR(__xludf.DUMMYFUNCTION("""COMPUTED_VALUE"""),0.8999999999999999)</f>
        <v>0.9</v>
      </c>
      <c r="H500" s="17">
        <f>IFERROR(__xludf.DUMMYFUNCTION("""COMPUTED_VALUE"""),42066.0)</f>
        <v>42066</v>
      </c>
      <c r="I500" s="19">
        <f>IFERROR(__xludf.DUMMYFUNCTION("""COMPUTED_VALUE"""),0.9138888888888889)</f>
        <v>0.9138888889</v>
      </c>
      <c r="J500" s="21">
        <f>IFERROR(__xludf.DUMMYFUNCTION("""COMPUTED_VALUE"""),83.0)</f>
        <v>83</v>
      </c>
      <c r="K500" s="23">
        <f>IFERROR(__xludf.DUMMYFUNCTION("""COMPUTED_VALUE"""),7.8)</f>
        <v>7.8</v>
      </c>
      <c r="L500" s="24">
        <f>IFERROR(__xludf.DUMMYFUNCTION("""COMPUTED_VALUE"""),6.0)</f>
        <v>6</v>
      </c>
      <c r="M500" s="25" t="str">
        <f>IFERROR(__xludf.DUMMYFUNCTION("""COMPUTED_VALUE"""),"Shooter")</f>
        <v>Shooter</v>
      </c>
      <c r="N500" s="25"/>
      <c r="O500" s="26" t="str">
        <f>IFERROR(__xludf.DUMMYFUNCTION("""COMPUTED_VALUE"""),"No")</f>
        <v>No</v>
      </c>
      <c r="P500" s="26"/>
    </row>
    <row r="501">
      <c r="A501" s="13" t="str">
        <f>IFERROR(__xludf.DUMMYFUNCTION("""COMPUTED_VALUE"""),"Nom Nom Galaxy")</f>
        <v>Nom Nom Galaxy</v>
      </c>
      <c r="B501" s="15" t="str">
        <f>IFERROR(__xludf.DUMMYFUNCTION("""COMPUTED_VALUE"""),"PS4")</f>
        <v>PS4</v>
      </c>
      <c r="C501" s="16" t="str">
        <f>IFERROR(__xludf.DUMMYFUNCTION("""COMPUTED_VALUE"""),"Playstation Plus (Discontinued)")</f>
        <v>Playstation Plus (Discontinued)</v>
      </c>
      <c r="D501" s="15" t="str">
        <f>IFERROR(__xludf.DUMMYFUNCTION("""COMPUTED_VALUE"""),"Removed")</f>
        <v>Removed</v>
      </c>
      <c r="E501" s="17">
        <f>IFERROR(__xludf.DUMMYFUNCTION("""COMPUTED_VALUE"""),42402.0)</f>
        <v>42402</v>
      </c>
      <c r="F501" s="54">
        <f>IFERROR(__xludf.DUMMYFUNCTION("""COMPUTED_VALUE"""),42429.0)</f>
        <v>42429</v>
      </c>
      <c r="G501" s="19">
        <f>IFERROR(__xludf.DUMMYFUNCTION("""COMPUTED_VALUE"""),0.8999999999999999)</f>
        <v>0.9</v>
      </c>
      <c r="H501" s="17">
        <f>IFERROR(__xludf.DUMMYFUNCTION("""COMPUTED_VALUE"""),42136.0)</f>
        <v>42136</v>
      </c>
      <c r="I501" s="19">
        <f>IFERROR(__xludf.DUMMYFUNCTION("""COMPUTED_VALUE"""),0.7222222222222222)</f>
        <v>0.7222222222</v>
      </c>
      <c r="J501" s="21">
        <f>IFERROR(__xludf.DUMMYFUNCTION("""COMPUTED_VALUE"""),70.0)</f>
        <v>70</v>
      </c>
      <c r="K501" s="23">
        <f>IFERROR(__xludf.DUMMYFUNCTION("""COMPUTED_VALUE"""),6.7)</f>
        <v>6.7</v>
      </c>
      <c r="L501" s="24">
        <f>IFERROR(__xludf.DUMMYFUNCTION("""COMPUTED_VALUE"""),9.0)</f>
        <v>9</v>
      </c>
      <c r="M501" s="25" t="str">
        <f>IFERROR(__xludf.DUMMYFUNCTION("""COMPUTED_VALUE"""),"Action-Adventure")</f>
        <v>Action-Adventure</v>
      </c>
      <c r="N501" s="25"/>
      <c r="O501" s="26" t="str">
        <f>IFERROR(__xludf.DUMMYFUNCTION("""COMPUTED_VALUE"""),"No")</f>
        <v>No</v>
      </c>
      <c r="P501" s="26"/>
    </row>
    <row r="502">
      <c r="A502" s="13" t="str">
        <f>IFERROR(__xludf.DUMMYFUNCTION("""COMPUTED_VALUE"""),"Nova-111")</f>
        <v>Nova-111</v>
      </c>
      <c r="B502" s="15" t="str">
        <f>IFERROR(__xludf.DUMMYFUNCTION("""COMPUTED_VALUE"""),"Vita")</f>
        <v>Vita</v>
      </c>
      <c r="C502" s="16" t="str">
        <f>IFERROR(__xludf.DUMMYFUNCTION("""COMPUTED_VALUE"""),"Playstation Plus (Discontinued)")</f>
        <v>Playstation Plus (Discontinued)</v>
      </c>
      <c r="D502" s="15" t="str">
        <f>IFERROR(__xludf.DUMMYFUNCTION("""COMPUTED_VALUE"""),"Removed")</f>
        <v>Removed</v>
      </c>
      <c r="E502" s="17">
        <f>IFERROR(__xludf.DUMMYFUNCTION("""COMPUTED_VALUE"""),42402.0)</f>
        <v>42402</v>
      </c>
      <c r="F502" s="54">
        <f>IFERROR(__xludf.DUMMYFUNCTION("""COMPUTED_VALUE"""),42429.0)</f>
        <v>42429</v>
      </c>
      <c r="G502" s="19">
        <f>IFERROR(__xludf.DUMMYFUNCTION("""COMPUTED_VALUE"""),0.8999999999999999)</f>
        <v>0.9</v>
      </c>
      <c r="H502" s="17">
        <f>IFERROR(__xludf.DUMMYFUNCTION("""COMPUTED_VALUE"""),42241.0)</f>
        <v>42241</v>
      </c>
      <c r="I502" s="19">
        <f>IFERROR(__xludf.DUMMYFUNCTION("""COMPUTED_VALUE"""),0.4361111111111111)</f>
        <v>0.4361111111</v>
      </c>
      <c r="J502" s="21">
        <f>IFERROR(__xludf.DUMMYFUNCTION("""COMPUTED_VALUE"""),75.0)</f>
        <v>75</v>
      </c>
      <c r="K502" s="23">
        <f>IFERROR(__xludf.DUMMYFUNCTION("""COMPUTED_VALUE"""),7.1)</f>
        <v>7.1</v>
      </c>
      <c r="L502" s="24">
        <f>IFERROR(__xludf.DUMMYFUNCTION("""COMPUTED_VALUE"""),5.0)</f>
        <v>5</v>
      </c>
      <c r="M502" s="25" t="str">
        <f>IFERROR(__xludf.DUMMYFUNCTION("""COMPUTED_VALUE"""),"Strategy")</f>
        <v>Strategy</v>
      </c>
      <c r="N502" s="25"/>
      <c r="O502" s="26" t="str">
        <f>IFERROR(__xludf.DUMMYFUNCTION("""COMPUTED_VALUE"""),"No")</f>
        <v>No</v>
      </c>
      <c r="P502" s="26"/>
    </row>
    <row r="503" hidden="1">
      <c r="A503" s="13" t="str">
        <f>IFERROR(__xludf.DUMMYFUNCTION("""COMPUTED_VALUE"""),"Lemmings Touch")</f>
        <v>Lemmings Touch</v>
      </c>
      <c r="B503" s="15" t="str">
        <f>IFERROR(__xludf.DUMMYFUNCTION("""COMPUTED_VALUE"""),"Vita")</f>
        <v>Vita</v>
      </c>
      <c r="C503" s="16" t="str">
        <f>IFERROR(__xludf.DUMMYFUNCTION("""COMPUTED_VALUE"""),"Playstation Plus (Discontinued)")</f>
        <v>Playstation Plus (Discontinued)</v>
      </c>
      <c r="D503" s="15" t="str">
        <f>IFERROR(__xludf.DUMMYFUNCTION("""COMPUTED_VALUE"""),"Removed")</f>
        <v>Removed</v>
      </c>
      <c r="E503" s="17">
        <f>IFERROR(__xludf.DUMMYFUNCTION("""COMPUTED_VALUE"""),42402.0)</f>
        <v>42402</v>
      </c>
      <c r="F503" s="54">
        <f>IFERROR(__xludf.DUMMYFUNCTION("""COMPUTED_VALUE"""),42429.0)</f>
        <v>42429</v>
      </c>
      <c r="G503" s="19">
        <f>IFERROR(__xludf.DUMMYFUNCTION("""COMPUTED_VALUE"""),0.8999999999999999)</f>
        <v>0.9</v>
      </c>
      <c r="H503" s="17">
        <f>IFERROR(__xludf.DUMMYFUNCTION("""COMPUTED_VALUE"""),41976.0)</f>
        <v>41976</v>
      </c>
      <c r="I503" s="19">
        <f>IFERROR(__xludf.DUMMYFUNCTION("""COMPUTED_VALUE"""),1.163888888888889)</f>
        <v>1.163888889</v>
      </c>
      <c r="J503" s="21">
        <f>IFERROR(__xludf.DUMMYFUNCTION("""COMPUTED_VALUE"""),68.0)</f>
        <v>68</v>
      </c>
      <c r="K503" s="23">
        <f>IFERROR(__xludf.DUMMYFUNCTION("""COMPUTED_VALUE"""),6.8)</f>
        <v>6.8</v>
      </c>
      <c r="L503" s="24">
        <f>IFERROR(__xludf.DUMMYFUNCTION("""COMPUTED_VALUE"""),5.0)</f>
        <v>5</v>
      </c>
      <c r="M503" s="25" t="str">
        <f>IFERROR(__xludf.DUMMYFUNCTION("""COMPUTED_VALUE"""),"Puzzle")</f>
        <v>Puzzle</v>
      </c>
      <c r="N503" s="25"/>
      <c r="O503" s="26" t="str">
        <f>IFERROR(__xludf.DUMMYFUNCTION("""COMPUTED_VALUE"""),"No")</f>
        <v>No</v>
      </c>
      <c r="P503" s="26"/>
    </row>
    <row r="504">
      <c r="A504" s="13" t="str">
        <f>IFERROR(__xludf.DUMMYFUNCTION("""COMPUTED_VALUE"""),"Persona 4 Arena Ultimax")</f>
        <v>Persona 4 Arena Ultimax</v>
      </c>
      <c r="B504" s="15" t="str">
        <f>IFERROR(__xludf.DUMMYFUNCTION("""COMPUTED_VALUE"""),"PS3")</f>
        <v>PS3</v>
      </c>
      <c r="C504" s="16" t="str">
        <f>IFERROR(__xludf.DUMMYFUNCTION("""COMPUTED_VALUE"""),"Playstation Plus (Discontinued)")</f>
        <v>Playstation Plus (Discontinued)</v>
      </c>
      <c r="D504" s="15" t="str">
        <f>IFERROR(__xludf.DUMMYFUNCTION("""COMPUTED_VALUE"""),"Removed")</f>
        <v>Removed</v>
      </c>
      <c r="E504" s="17">
        <f>IFERROR(__xludf.DUMMYFUNCTION("""COMPUTED_VALUE"""),42402.0)</f>
        <v>42402</v>
      </c>
      <c r="F504" s="54">
        <f>IFERROR(__xludf.DUMMYFUNCTION("""COMPUTED_VALUE"""),42429.0)</f>
        <v>42429</v>
      </c>
      <c r="G504" s="19">
        <f>IFERROR(__xludf.DUMMYFUNCTION("""COMPUTED_VALUE"""),0.8999999999999999)</f>
        <v>0.9</v>
      </c>
      <c r="H504" s="17">
        <f>IFERROR(__xludf.DUMMYFUNCTION("""COMPUTED_VALUE"""),41912.0)</f>
        <v>41912</v>
      </c>
      <c r="I504" s="19">
        <f>IFERROR(__xludf.DUMMYFUNCTION("""COMPUTED_VALUE"""),1.3388888888888888)</f>
        <v>1.338888889</v>
      </c>
      <c r="J504" s="21">
        <f>IFERROR(__xludf.DUMMYFUNCTION("""COMPUTED_VALUE"""),84.0)</f>
        <v>84</v>
      </c>
      <c r="K504" s="23">
        <f>IFERROR(__xludf.DUMMYFUNCTION("""COMPUTED_VALUE"""),8.0)</f>
        <v>8</v>
      </c>
      <c r="L504" s="24"/>
      <c r="M504" s="25" t="str">
        <f>IFERROR(__xludf.DUMMYFUNCTION("""COMPUTED_VALUE"""),"Fighting")</f>
        <v>Fighting</v>
      </c>
      <c r="N504" s="25"/>
      <c r="O504" s="26" t="str">
        <f>IFERROR(__xludf.DUMMYFUNCTION("""COMPUTED_VALUE"""),"No")</f>
        <v>No</v>
      </c>
      <c r="P504" s="26"/>
    </row>
    <row r="505">
      <c r="A505" s="13" t="str">
        <f>IFERROR(__xludf.DUMMYFUNCTION("""COMPUTED_VALUE"""),"Grid Autosport")</f>
        <v>Grid Autosport</v>
      </c>
      <c r="B505" s="15" t="str">
        <f>IFERROR(__xludf.DUMMYFUNCTION("""COMPUTED_VALUE"""),"PS3")</f>
        <v>PS3</v>
      </c>
      <c r="C505" s="16" t="str">
        <f>IFERROR(__xludf.DUMMYFUNCTION("""COMPUTED_VALUE"""),"Playstation Plus (Discontinued)")</f>
        <v>Playstation Plus (Discontinued)</v>
      </c>
      <c r="D505" s="15" t="str">
        <f>IFERROR(__xludf.DUMMYFUNCTION("""COMPUTED_VALUE"""),"Removed")</f>
        <v>Removed</v>
      </c>
      <c r="E505" s="17">
        <f>IFERROR(__xludf.DUMMYFUNCTION("""COMPUTED_VALUE"""),42402.0)</f>
        <v>42402</v>
      </c>
      <c r="F505" s="54">
        <f>IFERROR(__xludf.DUMMYFUNCTION("""COMPUTED_VALUE"""),42429.0)</f>
        <v>42429</v>
      </c>
      <c r="G505" s="19">
        <f>IFERROR(__xludf.DUMMYFUNCTION("""COMPUTED_VALUE"""),0.8999999999999999)</f>
        <v>0.9</v>
      </c>
      <c r="H505" s="17">
        <f>IFERROR(__xludf.DUMMYFUNCTION("""COMPUTED_VALUE"""),41814.0)</f>
        <v>41814</v>
      </c>
      <c r="I505" s="19">
        <f>IFERROR(__xludf.DUMMYFUNCTION("""COMPUTED_VALUE"""),1.6055555555555556)</f>
        <v>1.605555556</v>
      </c>
      <c r="J505" s="21">
        <f>IFERROR(__xludf.DUMMYFUNCTION("""COMPUTED_VALUE"""),78.0)</f>
        <v>78</v>
      </c>
      <c r="K505" s="23">
        <f>IFERROR(__xludf.DUMMYFUNCTION("""COMPUTED_VALUE"""),7.6)</f>
        <v>7.6</v>
      </c>
      <c r="L505" s="24">
        <f>IFERROR(__xludf.DUMMYFUNCTION("""COMPUTED_VALUE"""),32.0)</f>
        <v>32</v>
      </c>
      <c r="M505" s="25" t="str">
        <f>IFERROR(__xludf.DUMMYFUNCTION("""COMPUTED_VALUE"""),"Racing")</f>
        <v>Racing</v>
      </c>
      <c r="N505" s="25"/>
      <c r="O505" s="26" t="str">
        <f>IFERROR(__xludf.DUMMYFUNCTION("""COMPUTED_VALUE"""),"No")</f>
        <v>No</v>
      </c>
      <c r="P505" s="26"/>
    </row>
    <row r="506">
      <c r="A506" s="13" t="str">
        <f>IFERROR(__xludf.DUMMYFUNCTION("""COMPUTED_VALUE"""),"Hardware: Rivals")</f>
        <v>Hardware: Rivals</v>
      </c>
      <c r="B506" s="15" t="str">
        <f>IFERROR(__xludf.DUMMYFUNCTION("""COMPUTED_VALUE"""),"PS4")</f>
        <v>PS4</v>
      </c>
      <c r="C506" s="16" t="str">
        <f>IFERROR(__xludf.DUMMYFUNCTION("""COMPUTED_VALUE"""),"Playstation Plus (Discontinued)")</f>
        <v>Playstation Plus (Discontinued)</v>
      </c>
      <c r="D506" s="15" t="str">
        <f>IFERROR(__xludf.DUMMYFUNCTION("""COMPUTED_VALUE"""),"Removed")</f>
        <v>Removed</v>
      </c>
      <c r="E506" s="17">
        <f>IFERROR(__xludf.DUMMYFUNCTION("""COMPUTED_VALUE"""),42374.0)</f>
        <v>42374</v>
      </c>
      <c r="F506" s="54">
        <f>IFERROR(__xludf.DUMMYFUNCTION("""COMPUTED_VALUE"""),42401.0)</f>
        <v>42401</v>
      </c>
      <c r="G506" s="19">
        <f>IFERROR(__xludf.DUMMYFUNCTION("""COMPUTED_VALUE"""),0.8666666666666666)</f>
        <v>0.8666666667</v>
      </c>
      <c r="H506" s="17">
        <f>IFERROR(__xludf.DUMMYFUNCTION("""COMPUTED_VALUE"""),42374.0)</f>
        <v>42374</v>
      </c>
      <c r="I506" s="19">
        <f>IFERROR(__xludf.DUMMYFUNCTION("""COMPUTED_VALUE"""),0.0)</f>
        <v>0</v>
      </c>
      <c r="J506" s="21">
        <f>IFERROR(__xludf.DUMMYFUNCTION("""COMPUTED_VALUE"""),56.0)</f>
        <v>56</v>
      </c>
      <c r="K506" s="23">
        <f>IFERROR(__xludf.DUMMYFUNCTION("""COMPUTED_VALUE"""),5.9)</f>
        <v>5.9</v>
      </c>
      <c r="L506" s="24"/>
      <c r="M506" s="25" t="str">
        <f>IFERROR(__xludf.DUMMYFUNCTION("""COMPUTED_VALUE"""),"Shooter")</f>
        <v>Shooter</v>
      </c>
      <c r="N506" s="25"/>
      <c r="O506" s="26" t="str">
        <f>IFERROR(__xludf.DUMMYFUNCTION("""COMPUTED_VALUE"""),"No")</f>
        <v>No</v>
      </c>
      <c r="P506" s="26"/>
    </row>
    <row r="507" hidden="1">
      <c r="A507" s="13" t="str">
        <f>IFERROR(__xludf.DUMMYFUNCTION("""COMPUTED_VALUE"""),"Grim Fandango Remastered")</f>
        <v>Grim Fandango Remastered</v>
      </c>
      <c r="B507" s="15" t="str">
        <f>IFERROR(__xludf.DUMMYFUNCTION("""COMPUTED_VALUE"""),"PS4/Vita")</f>
        <v>PS4/Vita</v>
      </c>
      <c r="C507" s="16" t="str">
        <f>IFERROR(__xludf.DUMMYFUNCTION("""COMPUTED_VALUE"""),"Playstation Plus (Discontinued)")</f>
        <v>Playstation Plus (Discontinued)</v>
      </c>
      <c r="D507" s="15" t="str">
        <f>IFERROR(__xludf.DUMMYFUNCTION("""COMPUTED_VALUE"""),"Removed")</f>
        <v>Removed</v>
      </c>
      <c r="E507" s="17">
        <f>IFERROR(__xludf.DUMMYFUNCTION("""COMPUTED_VALUE"""),42374.0)</f>
        <v>42374</v>
      </c>
      <c r="F507" s="54">
        <f>IFERROR(__xludf.DUMMYFUNCTION("""COMPUTED_VALUE"""),42401.0)</f>
        <v>42401</v>
      </c>
      <c r="G507" s="19">
        <f>IFERROR(__xludf.DUMMYFUNCTION("""COMPUTED_VALUE"""),0.8666666666666666)</f>
        <v>0.8666666667</v>
      </c>
      <c r="H507" s="17">
        <f>IFERROR(__xludf.DUMMYFUNCTION("""COMPUTED_VALUE"""),42031.0)</f>
        <v>42031</v>
      </c>
      <c r="I507" s="19">
        <f>IFERROR(__xludf.DUMMYFUNCTION("""COMPUTED_VALUE"""),0.9388888888888889)</f>
        <v>0.9388888889</v>
      </c>
      <c r="J507" s="21">
        <f>IFERROR(__xludf.DUMMYFUNCTION("""COMPUTED_VALUE"""),80.0)</f>
        <v>80</v>
      </c>
      <c r="K507" s="23">
        <f>IFERROR(__xludf.DUMMYFUNCTION("""COMPUTED_VALUE"""),8.2)</f>
        <v>8.2</v>
      </c>
      <c r="L507" s="24">
        <f>IFERROR(__xludf.DUMMYFUNCTION("""COMPUTED_VALUE"""),11.0)</f>
        <v>11</v>
      </c>
      <c r="M507" s="25" t="str">
        <f>IFERROR(__xludf.DUMMYFUNCTION("""COMPUTED_VALUE"""),"Adventure")</f>
        <v>Adventure</v>
      </c>
      <c r="N507" s="25"/>
      <c r="O507" s="26" t="str">
        <f>IFERROR(__xludf.DUMMYFUNCTION("""COMPUTED_VALUE"""),"No")</f>
        <v>No</v>
      </c>
      <c r="P507" s="26"/>
    </row>
    <row r="508" hidden="1">
      <c r="A508" s="13" t="str">
        <f>IFERROR(__xludf.DUMMYFUNCTION("""COMPUTED_VALUE"""),"Nihilumbra")</f>
        <v>Nihilumbra</v>
      </c>
      <c r="B508" s="15" t="str">
        <f>IFERROR(__xludf.DUMMYFUNCTION("""COMPUTED_VALUE"""),"Vita")</f>
        <v>Vita</v>
      </c>
      <c r="C508" s="16" t="str">
        <f>IFERROR(__xludf.DUMMYFUNCTION("""COMPUTED_VALUE"""),"Playstation Plus (Discontinued)")</f>
        <v>Playstation Plus (Discontinued)</v>
      </c>
      <c r="D508" s="15" t="str">
        <f>IFERROR(__xludf.DUMMYFUNCTION("""COMPUTED_VALUE"""),"Removed")</f>
        <v>Removed</v>
      </c>
      <c r="E508" s="17">
        <f>IFERROR(__xludf.DUMMYFUNCTION("""COMPUTED_VALUE"""),42374.0)</f>
        <v>42374</v>
      </c>
      <c r="F508" s="54">
        <f>IFERROR(__xludf.DUMMYFUNCTION("""COMPUTED_VALUE"""),42401.0)</f>
        <v>42401</v>
      </c>
      <c r="G508" s="19">
        <f>IFERROR(__xludf.DUMMYFUNCTION("""COMPUTED_VALUE"""),0.8666666666666666)</f>
        <v>0.8666666667</v>
      </c>
      <c r="H508" s="17">
        <f>IFERROR(__xludf.DUMMYFUNCTION("""COMPUTED_VALUE"""),41817.0)</f>
        <v>41817</v>
      </c>
      <c r="I508" s="19">
        <f>IFERROR(__xludf.DUMMYFUNCTION("""COMPUTED_VALUE"""),1.5222222222222221)</f>
        <v>1.522222222</v>
      </c>
      <c r="J508" s="21">
        <f>IFERROR(__xludf.DUMMYFUNCTION("""COMPUTED_VALUE"""),75.0)</f>
        <v>75</v>
      </c>
      <c r="K508" s="23">
        <f>IFERROR(__xludf.DUMMYFUNCTION("""COMPUTED_VALUE"""),7.2)</f>
        <v>7.2</v>
      </c>
      <c r="L508" s="24">
        <f>IFERROR(__xludf.DUMMYFUNCTION("""COMPUTED_VALUE"""),5.0)</f>
        <v>5</v>
      </c>
      <c r="M508" s="25" t="str">
        <f>IFERROR(__xludf.DUMMYFUNCTION("""COMPUTED_VALUE"""),"Platformer")</f>
        <v>Platformer</v>
      </c>
      <c r="N508" s="25"/>
      <c r="O508" s="26" t="str">
        <f>IFERROR(__xludf.DUMMYFUNCTION("""COMPUTED_VALUE"""),"No")</f>
        <v>No</v>
      </c>
      <c r="P508" s="26"/>
    </row>
    <row r="509">
      <c r="A509" s="13" t="str">
        <f>IFERROR(__xludf.DUMMYFUNCTION("""COMPUTED_VALUE"""),"History Legends of War: Patton")</f>
        <v>History Legends of War: Patton</v>
      </c>
      <c r="B509" s="15" t="str">
        <f>IFERROR(__xludf.DUMMYFUNCTION("""COMPUTED_VALUE"""),"Vita")</f>
        <v>Vita</v>
      </c>
      <c r="C509" s="16" t="str">
        <f>IFERROR(__xludf.DUMMYFUNCTION("""COMPUTED_VALUE"""),"Playstation Plus (Discontinued)")</f>
        <v>Playstation Plus (Discontinued)</v>
      </c>
      <c r="D509" s="15" t="str">
        <f>IFERROR(__xludf.DUMMYFUNCTION("""COMPUTED_VALUE"""),"Removed")</f>
        <v>Removed</v>
      </c>
      <c r="E509" s="17">
        <f>IFERROR(__xludf.DUMMYFUNCTION("""COMPUTED_VALUE"""),42374.0)</f>
        <v>42374</v>
      </c>
      <c r="F509" s="54">
        <f>IFERROR(__xludf.DUMMYFUNCTION("""COMPUTED_VALUE"""),42401.0)</f>
        <v>42401</v>
      </c>
      <c r="G509" s="19">
        <f>IFERROR(__xludf.DUMMYFUNCTION("""COMPUTED_VALUE"""),0.8666666666666666)</f>
        <v>0.8666666667</v>
      </c>
      <c r="H509" s="17">
        <f>IFERROR(__xludf.DUMMYFUNCTION("""COMPUTED_VALUE"""),41801.0)</f>
        <v>41801</v>
      </c>
      <c r="I509" s="19">
        <f>IFERROR(__xludf.DUMMYFUNCTION("""COMPUTED_VALUE"""),1.5666666666666667)</f>
        <v>1.566666667</v>
      </c>
      <c r="J509" s="21">
        <f>IFERROR(__xludf.DUMMYFUNCTION("""COMPUTED_VALUE"""),58.0)</f>
        <v>58</v>
      </c>
      <c r="K509" s="23">
        <f>IFERROR(__xludf.DUMMYFUNCTION("""COMPUTED_VALUE"""),6.8)</f>
        <v>6.8</v>
      </c>
      <c r="L509" s="24">
        <f>IFERROR(__xludf.DUMMYFUNCTION("""COMPUTED_VALUE"""),15.0)</f>
        <v>15</v>
      </c>
      <c r="M509" s="25" t="str">
        <f>IFERROR(__xludf.DUMMYFUNCTION("""COMPUTED_VALUE"""),"Strategy")</f>
        <v>Strategy</v>
      </c>
      <c r="N509" s="25"/>
      <c r="O509" s="26" t="str">
        <f>IFERROR(__xludf.DUMMYFUNCTION("""COMPUTED_VALUE"""),"No")</f>
        <v>No</v>
      </c>
      <c r="P509" s="26"/>
    </row>
    <row r="510" hidden="1">
      <c r="A510" s="13" t="str">
        <f>IFERROR(__xludf.DUMMYFUNCTION("""COMPUTED_VALUE"""),"Dragon Age: Origins")</f>
        <v>Dragon Age: Origins</v>
      </c>
      <c r="B510" s="15" t="str">
        <f>IFERROR(__xludf.DUMMYFUNCTION("""COMPUTED_VALUE"""),"PS3")</f>
        <v>PS3</v>
      </c>
      <c r="C510" s="16" t="str">
        <f>IFERROR(__xludf.DUMMYFUNCTION("""COMPUTED_VALUE"""),"Playstation Plus (Discontinued)")</f>
        <v>Playstation Plus (Discontinued)</v>
      </c>
      <c r="D510" s="15" t="str">
        <f>IFERROR(__xludf.DUMMYFUNCTION("""COMPUTED_VALUE"""),"Removed")</f>
        <v>Removed</v>
      </c>
      <c r="E510" s="17">
        <f>IFERROR(__xludf.DUMMYFUNCTION("""COMPUTED_VALUE"""),42374.0)</f>
        <v>42374</v>
      </c>
      <c r="F510" s="54">
        <f>IFERROR(__xludf.DUMMYFUNCTION("""COMPUTED_VALUE"""),42401.0)</f>
        <v>42401</v>
      </c>
      <c r="G510" s="19">
        <f>IFERROR(__xludf.DUMMYFUNCTION("""COMPUTED_VALUE"""),0.8666666666666666)</f>
        <v>0.8666666667</v>
      </c>
      <c r="H510" s="17">
        <f>IFERROR(__xludf.DUMMYFUNCTION("""COMPUTED_VALUE"""),40120.0)</f>
        <v>40120</v>
      </c>
      <c r="I510" s="19">
        <f>IFERROR(__xludf.DUMMYFUNCTION("""COMPUTED_VALUE"""),6.1722222222222225)</f>
        <v>6.172222222</v>
      </c>
      <c r="J510" s="21">
        <f>IFERROR(__xludf.DUMMYFUNCTION("""COMPUTED_VALUE"""),91.0)</f>
        <v>91</v>
      </c>
      <c r="K510" s="23">
        <f>IFERROR(__xludf.DUMMYFUNCTION("""COMPUTED_VALUE"""),8.9)</f>
        <v>8.9</v>
      </c>
      <c r="L510" s="24">
        <f>IFERROR(__xludf.DUMMYFUNCTION("""COMPUTED_VALUE"""),40.0)</f>
        <v>40</v>
      </c>
      <c r="M510" s="25" t="str">
        <f>IFERROR(__xludf.DUMMYFUNCTION("""COMPUTED_VALUE"""),"RPG")</f>
        <v>RPG</v>
      </c>
      <c r="N510" s="25"/>
      <c r="O510" s="26" t="str">
        <f>IFERROR(__xludf.DUMMYFUNCTION("""COMPUTED_VALUE"""),"No")</f>
        <v>No</v>
      </c>
      <c r="P510" s="26"/>
    </row>
    <row r="511">
      <c r="A511" s="13" t="str">
        <f>IFERROR(__xludf.DUMMYFUNCTION("""COMPUTED_VALUE"""),"Medal of Honor: Warfighter")</f>
        <v>Medal of Honor: Warfighter</v>
      </c>
      <c r="B511" s="15" t="str">
        <f>IFERROR(__xludf.DUMMYFUNCTION("""COMPUTED_VALUE"""),"PS3")</f>
        <v>PS3</v>
      </c>
      <c r="C511" s="16" t="str">
        <f>IFERROR(__xludf.DUMMYFUNCTION("""COMPUTED_VALUE"""),"Playstation Plus (Discontinued)")</f>
        <v>Playstation Plus (Discontinued)</v>
      </c>
      <c r="D511" s="15" t="str">
        <f>IFERROR(__xludf.DUMMYFUNCTION("""COMPUTED_VALUE"""),"Removed")</f>
        <v>Removed</v>
      </c>
      <c r="E511" s="17">
        <f>IFERROR(__xludf.DUMMYFUNCTION("""COMPUTED_VALUE"""),42374.0)</f>
        <v>42374</v>
      </c>
      <c r="F511" s="54">
        <f>IFERROR(__xludf.DUMMYFUNCTION("""COMPUTED_VALUE"""),42401.0)</f>
        <v>42401</v>
      </c>
      <c r="G511" s="19">
        <f>IFERROR(__xludf.DUMMYFUNCTION("""COMPUTED_VALUE"""),0.8666666666666666)</f>
        <v>0.8666666667</v>
      </c>
      <c r="H511" s="17">
        <f>IFERROR(__xludf.DUMMYFUNCTION("""COMPUTED_VALUE"""),41205.0)</f>
        <v>41205</v>
      </c>
      <c r="I511" s="19">
        <f>IFERROR(__xludf.DUMMYFUNCTION("""COMPUTED_VALUE"""),3.2)</f>
        <v>3.2</v>
      </c>
      <c r="J511" s="21">
        <f>IFERROR(__xludf.DUMMYFUNCTION("""COMPUTED_VALUE"""),53.0)</f>
        <v>53</v>
      </c>
      <c r="K511" s="23">
        <f>IFERROR(__xludf.DUMMYFUNCTION("""COMPUTED_VALUE"""),5.9)</f>
        <v>5.9</v>
      </c>
      <c r="L511" s="24">
        <f>IFERROR(__xludf.DUMMYFUNCTION("""COMPUTED_VALUE"""),6.0)</f>
        <v>6</v>
      </c>
      <c r="M511" s="25" t="str">
        <f>IFERROR(__xludf.DUMMYFUNCTION("""COMPUTED_VALUE"""),"Shooter")</f>
        <v>Shooter</v>
      </c>
      <c r="N511" s="25"/>
      <c r="O511" s="26" t="str">
        <f>IFERROR(__xludf.DUMMYFUNCTION("""COMPUTED_VALUE"""),"No")</f>
        <v>No</v>
      </c>
      <c r="P511" s="26"/>
    </row>
    <row r="512">
      <c r="A512" s="13" t="str">
        <f>IFERROR(__xludf.DUMMYFUNCTION("""COMPUTED_VALUE"""),"Gauntlet: Slayer Edition")</f>
        <v>Gauntlet: Slayer Edition</v>
      </c>
      <c r="B512" s="15" t="str">
        <f>IFERROR(__xludf.DUMMYFUNCTION("""COMPUTED_VALUE"""),"PS4")</f>
        <v>PS4</v>
      </c>
      <c r="C512" s="16" t="str">
        <f>IFERROR(__xludf.DUMMYFUNCTION("""COMPUTED_VALUE"""),"Playstation Plus (Discontinued)")</f>
        <v>Playstation Plus (Discontinued)</v>
      </c>
      <c r="D512" s="15" t="str">
        <f>IFERROR(__xludf.DUMMYFUNCTION("""COMPUTED_VALUE"""),"Removed")</f>
        <v>Removed</v>
      </c>
      <c r="E512" s="17">
        <f>IFERROR(__xludf.DUMMYFUNCTION("""COMPUTED_VALUE"""),42339.0)</f>
        <v>42339</v>
      </c>
      <c r="F512" s="54">
        <f>IFERROR(__xludf.DUMMYFUNCTION("""COMPUTED_VALUE"""),42373.0)</f>
        <v>42373</v>
      </c>
      <c r="G512" s="19">
        <f>IFERROR(__xludf.DUMMYFUNCTION("""COMPUTED_VALUE"""),1.0999999999999999)</f>
        <v>1.1</v>
      </c>
      <c r="H512" s="17">
        <f>IFERROR(__xludf.DUMMYFUNCTION("""COMPUTED_VALUE"""),42250.0)</f>
        <v>42250</v>
      </c>
      <c r="I512" s="19">
        <f>IFERROR(__xludf.DUMMYFUNCTION("""COMPUTED_VALUE"""),0.24444444444444444)</f>
        <v>0.2444444444</v>
      </c>
      <c r="J512" s="21">
        <f>IFERROR(__xludf.DUMMYFUNCTION("""COMPUTED_VALUE"""),65.0)</f>
        <v>65</v>
      </c>
      <c r="K512" s="23">
        <f>IFERROR(__xludf.DUMMYFUNCTION("""COMPUTED_VALUE"""),6.8)</f>
        <v>6.8</v>
      </c>
      <c r="L512" s="24">
        <f>IFERROR(__xludf.DUMMYFUNCTION("""COMPUTED_VALUE"""),9.0)</f>
        <v>9</v>
      </c>
      <c r="M512" s="25" t="str">
        <f>IFERROR(__xludf.DUMMYFUNCTION("""COMPUTED_VALUE"""),"Action-Adventure")</f>
        <v>Action-Adventure</v>
      </c>
      <c r="N512" s="25"/>
      <c r="O512" s="26" t="str">
        <f>IFERROR(__xludf.DUMMYFUNCTION("""COMPUTED_VALUE"""),"No")</f>
        <v>No</v>
      </c>
      <c r="P512" s="26"/>
    </row>
    <row r="513" hidden="1">
      <c r="A513" s="13" t="str">
        <f>IFERROR(__xludf.DUMMYFUNCTION("""COMPUTED_VALUE"""),"King's Quest - Chapter 1: A Knight to Remember")</f>
        <v>King's Quest - Chapter 1: A Knight to Remember</v>
      </c>
      <c r="B513" s="15" t="str">
        <f>IFERROR(__xludf.DUMMYFUNCTION("""COMPUTED_VALUE"""),"PS4")</f>
        <v>PS4</v>
      </c>
      <c r="C513" s="16" t="str">
        <f>IFERROR(__xludf.DUMMYFUNCTION("""COMPUTED_VALUE"""),"Playstation Plus (Discontinued)")</f>
        <v>Playstation Plus (Discontinued)</v>
      </c>
      <c r="D513" s="15" t="str">
        <f>IFERROR(__xludf.DUMMYFUNCTION("""COMPUTED_VALUE"""),"Removed")</f>
        <v>Removed</v>
      </c>
      <c r="E513" s="17">
        <f>IFERROR(__xludf.DUMMYFUNCTION("""COMPUTED_VALUE"""),42339.0)</f>
        <v>42339</v>
      </c>
      <c r="F513" s="54">
        <f>IFERROR(__xludf.DUMMYFUNCTION("""COMPUTED_VALUE"""),42373.0)</f>
        <v>42373</v>
      </c>
      <c r="G513" s="19">
        <f>IFERROR(__xludf.DUMMYFUNCTION("""COMPUTED_VALUE"""),1.0999999999999999)</f>
        <v>1.1</v>
      </c>
      <c r="H513" s="17">
        <f>IFERROR(__xludf.DUMMYFUNCTION("""COMPUTED_VALUE"""),42213.0)</f>
        <v>42213</v>
      </c>
      <c r="I513" s="19">
        <f>IFERROR(__xludf.DUMMYFUNCTION("""COMPUTED_VALUE"""),0.3416666666666667)</f>
        <v>0.3416666667</v>
      </c>
      <c r="J513" s="21">
        <f>IFERROR(__xludf.DUMMYFUNCTION("""COMPUTED_VALUE"""),82.0)</f>
        <v>82</v>
      </c>
      <c r="K513" s="23">
        <f>IFERROR(__xludf.DUMMYFUNCTION("""COMPUTED_VALUE"""),7.6)</f>
        <v>7.6</v>
      </c>
      <c r="L513" s="24">
        <f>IFERROR(__xludf.DUMMYFUNCTION("""COMPUTED_VALUE"""),3.0)</f>
        <v>3</v>
      </c>
      <c r="M513" s="25" t="str">
        <f>IFERROR(__xludf.DUMMYFUNCTION("""COMPUTED_VALUE"""),"Adventure")</f>
        <v>Adventure</v>
      </c>
      <c r="N513" s="25"/>
      <c r="O513" s="26" t="str">
        <f>IFERROR(__xludf.DUMMYFUNCTION("""COMPUTED_VALUE"""),"No")</f>
        <v>No</v>
      </c>
      <c r="P513" s="26"/>
    </row>
    <row r="514" hidden="1">
      <c r="A514" s="13" t="str">
        <f>IFERROR(__xludf.DUMMYFUNCTION("""COMPUTED_VALUE"""),"Freedom Wars")</f>
        <v>Freedom Wars</v>
      </c>
      <c r="B514" s="15" t="str">
        <f>IFERROR(__xludf.DUMMYFUNCTION("""COMPUTED_VALUE"""),"Vita")</f>
        <v>Vita</v>
      </c>
      <c r="C514" s="16" t="str">
        <f>IFERROR(__xludf.DUMMYFUNCTION("""COMPUTED_VALUE"""),"Playstation Plus (Discontinued)")</f>
        <v>Playstation Plus (Discontinued)</v>
      </c>
      <c r="D514" s="15" t="str">
        <f>IFERROR(__xludf.DUMMYFUNCTION("""COMPUTED_VALUE"""),"Removed")</f>
        <v>Removed</v>
      </c>
      <c r="E514" s="17">
        <f>IFERROR(__xludf.DUMMYFUNCTION("""COMPUTED_VALUE"""),42339.0)</f>
        <v>42339</v>
      </c>
      <c r="F514" s="54">
        <f>IFERROR(__xludf.DUMMYFUNCTION("""COMPUTED_VALUE"""),42373.0)</f>
        <v>42373</v>
      </c>
      <c r="G514" s="19">
        <f>IFERROR(__xludf.DUMMYFUNCTION("""COMPUTED_VALUE"""),1.0999999999999999)</f>
        <v>1.1</v>
      </c>
      <c r="H514" s="17">
        <f>IFERROR(__xludf.DUMMYFUNCTION("""COMPUTED_VALUE"""),41940.0)</f>
        <v>41940</v>
      </c>
      <c r="I514" s="19">
        <f>IFERROR(__xludf.DUMMYFUNCTION("""COMPUTED_VALUE"""),1.0916666666666666)</f>
        <v>1.091666667</v>
      </c>
      <c r="J514" s="21">
        <f>IFERROR(__xludf.DUMMYFUNCTION("""COMPUTED_VALUE"""),73.0)</f>
        <v>73</v>
      </c>
      <c r="K514" s="23">
        <f>IFERROR(__xludf.DUMMYFUNCTION("""COMPUTED_VALUE"""),7.8)</f>
        <v>7.8</v>
      </c>
      <c r="L514" s="24">
        <f>IFERROR(__xludf.DUMMYFUNCTION("""COMPUTED_VALUE"""),22.0)</f>
        <v>22</v>
      </c>
      <c r="M514" s="25" t="str">
        <f>IFERROR(__xludf.DUMMYFUNCTION("""COMPUTED_VALUE"""),"Action-Adventure")</f>
        <v>Action-Adventure</v>
      </c>
      <c r="N514" s="25"/>
      <c r="O514" s="26" t="str">
        <f>IFERROR(__xludf.DUMMYFUNCTION("""COMPUTED_VALUE"""),"No")</f>
        <v>No</v>
      </c>
      <c r="P514" s="26"/>
    </row>
    <row r="515" hidden="1">
      <c r="A515" s="13" t="str">
        <f>IFERROR(__xludf.DUMMYFUNCTION("""COMPUTED_VALUE"""),"Rocketbirds: Hardboiled Chicken")</f>
        <v>Rocketbirds: Hardboiled Chicken</v>
      </c>
      <c r="B515" s="15" t="str">
        <f>IFERROR(__xludf.DUMMYFUNCTION("""COMPUTED_VALUE"""),"Vita")</f>
        <v>Vita</v>
      </c>
      <c r="C515" s="16" t="str">
        <f>IFERROR(__xludf.DUMMYFUNCTION("""COMPUTED_VALUE"""),"Playstation Plus (Discontinued)")</f>
        <v>Playstation Plus (Discontinued)</v>
      </c>
      <c r="D515" s="15" t="str">
        <f>IFERROR(__xludf.DUMMYFUNCTION("""COMPUTED_VALUE"""),"Removed")</f>
        <v>Removed</v>
      </c>
      <c r="E515" s="17">
        <f>IFERROR(__xludf.DUMMYFUNCTION("""COMPUTED_VALUE"""),42339.0)</f>
        <v>42339</v>
      </c>
      <c r="F515" s="54">
        <f>IFERROR(__xludf.DUMMYFUNCTION("""COMPUTED_VALUE"""),42373.0)</f>
        <v>42373</v>
      </c>
      <c r="G515" s="19">
        <f>IFERROR(__xludf.DUMMYFUNCTION("""COMPUTED_VALUE"""),1.0999999999999999)</f>
        <v>1.1</v>
      </c>
      <c r="H515" s="17">
        <f>IFERROR(__xludf.DUMMYFUNCTION("""COMPUTED_VALUE"""),40834.0)</f>
        <v>40834</v>
      </c>
      <c r="I515" s="19">
        <f>IFERROR(__xludf.DUMMYFUNCTION("""COMPUTED_VALUE"""),4.1194444444444445)</f>
        <v>4.119444444</v>
      </c>
      <c r="J515" s="21">
        <f>IFERROR(__xludf.DUMMYFUNCTION("""COMPUTED_VALUE"""),70.0)</f>
        <v>70</v>
      </c>
      <c r="K515" s="23">
        <f>IFERROR(__xludf.DUMMYFUNCTION("""COMPUTED_VALUE"""),7.2)</f>
        <v>7.2</v>
      </c>
      <c r="L515" s="24">
        <f>IFERROR(__xludf.DUMMYFUNCTION("""COMPUTED_VALUE"""),5.0)</f>
        <v>5</v>
      </c>
      <c r="M515" s="25" t="str">
        <f>IFERROR(__xludf.DUMMYFUNCTION("""COMPUTED_VALUE"""),"Shooter")</f>
        <v>Shooter</v>
      </c>
      <c r="N515" s="25"/>
      <c r="O515" s="26" t="str">
        <f>IFERROR(__xludf.DUMMYFUNCTION("""COMPUTED_VALUE"""),"No")</f>
        <v>No</v>
      </c>
      <c r="P515" s="26"/>
    </row>
    <row r="516" hidden="1">
      <c r="A516" s="13" t="str">
        <f>IFERROR(__xludf.DUMMYFUNCTION("""COMPUTED_VALUE"""),"Far Cry 3: Blood Dragon")</f>
        <v>Far Cry 3: Blood Dragon</v>
      </c>
      <c r="B516" s="15" t="str">
        <f>IFERROR(__xludf.DUMMYFUNCTION("""COMPUTED_VALUE"""),"PS3")</f>
        <v>PS3</v>
      </c>
      <c r="C516" s="16" t="str">
        <f>IFERROR(__xludf.DUMMYFUNCTION("""COMPUTED_VALUE"""),"Playstation Plus (Discontinued)")</f>
        <v>Playstation Plus (Discontinued)</v>
      </c>
      <c r="D516" s="15" t="str">
        <f>IFERROR(__xludf.DUMMYFUNCTION("""COMPUTED_VALUE"""),"Removed")</f>
        <v>Removed</v>
      </c>
      <c r="E516" s="17">
        <f>IFERROR(__xludf.DUMMYFUNCTION("""COMPUTED_VALUE"""),42339.0)</f>
        <v>42339</v>
      </c>
      <c r="F516" s="54">
        <f>IFERROR(__xludf.DUMMYFUNCTION("""COMPUTED_VALUE"""),42373.0)</f>
        <v>42373</v>
      </c>
      <c r="G516" s="19">
        <f>IFERROR(__xludf.DUMMYFUNCTION("""COMPUTED_VALUE"""),1.0999999999999999)</f>
        <v>1.1</v>
      </c>
      <c r="H516" s="17">
        <f>IFERROR(__xludf.DUMMYFUNCTION("""COMPUTED_VALUE"""),41394.0)</f>
        <v>41394</v>
      </c>
      <c r="I516" s="19">
        <f>IFERROR(__xludf.DUMMYFUNCTION("""COMPUTED_VALUE"""),2.5861111111111112)</f>
        <v>2.586111111</v>
      </c>
      <c r="J516" s="21">
        <f>IFERROR(__xludf.DUMMYFUNCTION("""COMPUTED_VALUE"""),82.0)</f>
        <v>82</v>
      </c>
      <c r="K516" s="23">
        <f>IFERROR(__xludf.DUMMYFUNCTION("""COMPUTED_VALUE"""),8.2)</f>
        <v>8.2</v>
      </c>
      <c r="L516" s="24">
        <f>IFERROR(__xludf.DUMMYFUNCTION("""COMPUTED_VALUE"""),6.0)</f>
        <v>6</v>
      </c>
      <c r="M516" s="25" t="str">
        <f>IFERROR(__xludf.DUMMYFUNCTION("""COMPUTED_VALUE"""),"Shooter")</f>
        <v>Shooter</v>
      </c>
      <c r="N516" s="25"/>
      <c r="O516" s="26" t="str">
        <f>IFERROR(__xludf.DUMMYFUNCTION("""COMPUTED_VALUE"""),"No")</f>
        <v>No</v>
      </c>
      <c r="P516" s="26"/>
    </row>
    <row r="517" hidden="1">
      <c r="A517" s="13" t="str">
        <f>IFERROR(__xludf.DUMMYFUNCTION("""COMPUTED_VALUE"""),"SSX")</f>
        <v>SSX</v>
      </c>
      <c r="B517" s="15" t="str">
        <f>IFERROR(__xludf.DUMMYFUNCTION("""COMPUTED_VALUE"""),"PS3")</f>
        <v>PS3</v>
      </c>
      <c r="C517" s="16" t="str">
        <f>IFERROR(__xludf.DUMMYFUNCTION("""COMPUTED_VALUE"""),"Playstation Plus (Discontinued)")</f>
        <v>Playstation Plus (Discontinued)</v>
      </c>
      <c r="D517" s="15" t="str">
        <f>IFERROR(__xludf.DUMMYFUNCTION("""COMPUTED_VALUE"""),"Removed")</f>
        <v>Removed</v>
      </c>
      <c r="E517" s="17">
        <f>IFERROR(__xludf.DUMMYFUNCTION("""COMPUTED_VALUE"""),42339.0)</f>
        <v>42339</v>
      </c>
      <c r="F517" s="54">
        <f>IFERROR(__xludf.DUMMYFUNCTION("""COMPUTED_VALUE"""),42373.0)</f>
        <v>42373</v>
      </c>
      <c r="G517" s="19">
        <f>IFERROR(__xludf.DUMMYFUNCTION("""COMPUTED_VALUE"""),1.0999999999999999)</f>
        <v>1.1</v>
      </c>
      <c r="H517" s="17">
        <f>IFERROR(__xludf.DUMMYFUNCTION("""COMPUTED_VALUE"""),40967.0)</f>
        <v>40967</v>
      </c>
      <c r="I517" s="19">
        <f>IFERROR(__xludf.DUMMYFUNCTION("""COMPUTED_VALUE"""),3.7583333333333333)</f>
        <v>3.758333333</v>
      </c>
      <c r="J517" s="21">
        <f>IFERROR(__xludf.DUMMYFUNCTION("""COMPUTED_VALUE"""),81.0)</f>
        <v>81</v>
      </c>
      <c r="K517" s="23">
        <f>IFERROR(__xludf.DUMMYFUNCTION("""COMPUTED_VALUE"""),7.7)</f>
        <v>7.7</v>
      </c>
      <c r="L517" s="24"/>
      <c r="M517" s="25" t="str">
        <f>IFERROR(__xludf.DUMMYFUNCTION("""COMPUTED_VALUE"""),"Sports")</f>
        <v>Sports</v>
      </c>
      <c r="N517" s="25"/>
      <c r="O517" s="26" t="str">
        <f>IFERROR(__xludf.DUMMYFUNCTION("""COMPUTED_VALUE"""),"No")</f>
        <v>No</v>
      </c>
      <c r="P517" s="26"/>
    </row>
    <row r="518">
      <c r="A518" s="13" t="str">
        <f>IFERROR(__xludf.DUMMYFUNCTION("""COMPUTED_VALUE"""),"The Walking Dead: Season 2")</f>
        <v>The Walking Dead: Season 2</v>
      </c>
      <c r="B518" s="15" t="str">
        <f>IFERROR(__xludf.DUMMYFUNCTION("""COMPUTED_VALUE"""),"PS4")</f>
        <v>PS4</v>
      </c>
      <c r="C518" s="16" t="str">
        <f>IFERROR(__xludf.DUMMYFUNCTION("""COMPUTED_VALUE"""),"Playstation Plus (Discontinued)")</f>
        <v>Playstation Plus (Discontinued)</v>
      </c>
      <c r="D518" s="15" t="str">
        <f>IFERROR(__xludf.DUMMYFUNCTION("""COMPUTED_VALUE"""),"Removed")</f>
        <v>Removed</v>
      </c>
      <c r="E518" s="17">
        <f>IFERROR(__xludf.DUMMYFUNCTION("""COMPUTED_VALUE"""),42311.0)</f>
        <v>42311</v>
      </c>
      <c r="F518" s="54">
        <f>IFERROR(__xludf.DUMMYFUNCTION("""COMPUTED_VALUE"""),42338.0)</f>
        <v>42338</v>
      </c>
      <c r="G518" s="19">
        <f>IFERROR(__xludf.DUMMYFUNCTION("""COMPUTED_VALUE"""),0.8999999999999999)</f>
        <v>0.9</v>
      </c>
      <c r="H518" s="17">
        <f>IFERROR(__xludf.DUMMYFUNCTION("""COMPUTED_VALUE"""),41625.0)</f>
        <v>41625</v>
      </c>
      <c r="I518" s="19">
        <f>IFERROR(__xludf.DUMMYFUNCTION("""COMPUTED_VALUE"""),1.8777777777777778)</f>
        <v>1.877777778</v>
      </c>
      <c r="J518" s="21">
        <f>IFERROR(__xludf.DUMMYFUNCTION("""COMPUTED_VALUE"""),80.0)</f>
        <v>80</v>
      </c>
      <c r="K518" s="23">
        <f>IFERROR(__xludf.DUMMYFUNCTION("""COMPUTED_VALUE"""),7.9)</f>
        <v>7.9</v>
      </c>
      <c r="L518" s="24">
        <f>IFERROR(__xludf.DUMMYFUNCTION("""COMPUTED_VALUE"""),10.0)</f>
        <v>10</v>
      </c>
      <c r="M518" s="25" t="str">
        <f>IFERROR(__xludf.DUMMYFUNCTION("""COMPUTED_VALUE"""),"Adventure")</f>
        <v>Adventure</v>
      </c>
      <c r="N518" s="25"/>
      <c r="O518" s="26" t="str">
        <f>IFERROR(__xludf.DUMMYFUNCTION("""COMPUTED_VALUE"""),"No")</f>
        <v>No</v>
      </c>
      <c r="P518" s="26"/>
    </row>
    <row r="519" hidden="1">
      <c r="A519" s="13" t="str">
        <f>IFERROR(__xludf.DUMMYFUNCTION("""COMPUTED_VALUE"""),"Magicka 2")</f>
        <v>Magicka 2</v>
      </c>
      <c r="B519" s="15" t="str">
        <f>IFERROR(__xludf.DUMMYFUNCTION("""COMPUTED_VALUE"""),"PS4")</f>
        <v>PS4</v>
      </c>
      <c r="C519" s="16" t="str">
        <f>IFERROR(__xludf.DUMMYFUNCTION("""COMPUTED_VALUE"""),"Playstation Plus (Discontinued)")</f>
        <v>Playstation Plus (Discontinued)</v>
      </c>
      <c r="D519" s="15" t="str">
        <f>IFERROR(__xludf.DUMMYFUNCTION("""COMPUTED_VALUE"""),"Removed")</f>
        <v>Removed</v>
      </c>
      <c r="E519" s="17">
        <f>IFERROR(__xludf.DUMMYFUNCTION("""COMPUTED_VALUE"""),42311.0)</f>
        <v>42311</v>
      </c>
      <c r="F519" s="54">
        <f>IFERROR(__xludf.DUMMYFUNCTION("""COMPUTED_VALUE"""),42338.0)</f>
        <v>42338</v>
      </c>
      <c r="G519" s="19">
        <f>IFERROR(__xludf.DUMMYFUNCTION("""COMPUTED_VALUE"""),0.8999999999999999)</f>
        <v>0.9</v>
      </c>
      <c r="H519" s="17">
        <f>IFERROR(__xludf.DUMMYFUNCTION("""COMPUTED_VALUE"""),42150.0)</f>
        <v>42150</v>
      </c>
      <c r="I519" s="19">
        <f>IFERROR(__xludf.DUMMYFUNCTION("""COMPUTED_VALUE"""),0.4361111111111111)</f>
        <v>0.4361111111</v>
      </c>
      <c r="J519" s="21">
        <f>IFERROR(__xludf.DUMMYFUNCTION("""COMPUTED_VALUE"""),74.0)</f>
        <v>74</v>
      </c>
      <c r="K519" s="23">
        <f>IFERROR(__xludf.DUMMYFUNCTION("""COMPUTED_VALUE"""),7.1)</f>
        <v>7.1</v>
      </c>
      <c r="L519" s="24">
        <f>IFERROR(__xludf.DUMMYFUNCTION("""COMPUTED_VALUE"""),10.0)</f>
        <v>10</v>
      </c>
      <c r="M519" s="25" t="str">
        <f>IFERROR(__xludf.DUMMYFUNCTION("""COMPUTED_VALUE"""),"Action-Adventure")</f>
        <v>Action-Adventure</v>
      </c>
      <c r="N519" s="25"/>
      <c r="O519" s="26" t="str">
        <f>IFERROR(__xludf.DUMMYFUNCTION("""COMPUTED_VALUE"""),"No")</f>
        <v>No</v>
      </c>
      <c r="P519" s="26"/>
    </row>
    <row r="520">
      <c r="A520" s="13" t="str">
        <f>IFERROR(__xludf.DUMMYFUNCTION("""COMPUTED_VALUE"""),"Mass Effect 2")</f>
        <v>Mass Effect 2</v>
      </c>
      <c r="B520" s="15" t="str">
        <f>IFERROR(__xludf.DUMMYFUNCTION("""COMPUTED_VALUE"""),"PS3")</f>
        <v>PS3</v>
      </c>
      <c r="C520" s="16" t="str">
        <f>IFERROR(__xludf.DUMMYFUNCTION("""COMPUTED_VALUE"""),"Playstation Plus (Discontinued)")</f>
        <v>Playstation Plus (Discontinued)</v>
      </c>
      <c r="D520" s="15" t="str">
        <f>IFERROR(__xludf.DUMMYFUNCTION("""COMPUTED_VALUE"""),"Removed")</f>
        <v>Removed</v>
      </c>
      <c r="E520" s="17">
        <f>IFERROR(__xludf.DUMMYFUNCTION("""COMPUTED_VALUE"""),42311.0)</f>
        <v>42311</v>
      </c>
      <c r="F520" s="54">
        <f>IFERROR(__xludf.DUMMYFUNCTION("""COMPUTED_VALUE"""),42338.0)</f>
        <v>42338</v>
      </c>
      <c r="G520" s="19">
        <f>IFERROR(__xludf.DUMMYFUNCTION("""COMPUTED_VALUE"""),0.8999999999999999)</f>
        <v>0.9</v>
      </c>
      <c r="H520" s="17">
        <f>IFERROR(__xludf.DUMMYFUNCTION("""COMPUTED_VALUE"""),40204.0)</f>
        <v>40204</v>
      </c>
      <c r="I520" s="19">
        <f>IFERROR(__xludf.DUMMYFUNCTION("""COMPUTED_VALUE"""),5.769444444444445)</f>
        <v>5.769444444</v>
      </c>
      <c r="J520" s="21">
        <f>IFERROR(__xludf.DUMMYFUNCTION("""COMPUTED_VALUE"""),96.0)</f>
        <v>96</v>
      </c>
      <c r="K520" s="23">
        <f>IFERROR(__xludf.DUMMYFUNCTION("""COMPUTED_VALUE"""),9.0)</f>
        <v>9</v>
      </c>
      <c r="L520" s="24">
        <f>IFERROR(__xludf.DUMMYFUNCTION("""COMPUTED_VALUE"""),30.0)</f>
        <v>30</v>
      </c>
      <c r="M520" s="25" t="str">
        <f>IFERROR(__xludf.DUMMYFUNCTION("""COMPUTED_VALUE"""),"RPG")</f>
        <v>RPG</v>
      </c>
      <c r="N520" s="25"/>
      <c r="O520" s="26" t="str">
        <f>IFERROR(__xludf.DUMMYFUNCTION("""COMPUTED_VALUE"""),"No")</f>
        <v>No</v>
      </c>
      <c r="P520" s="26"/>
    </row>
    <row r="521">
      <c r="A521" s="13" t="str">
        <f>IFERROR(__xludf.DUMMYFUNCTION("""COMPUTED_VALUE"""),"Beyond Good &amp; Evil HD")</f>
        <v>Beyond Good &amp; Evil HD</v>
      </c>
      <c r="B521" s="15" t="str">
        <f>IFERROR(__xludf.DUMMYFUNCTION("""COMPUTED_VALUE"""),"PS3")</f>
        <v>PS3</v>
      </c>
      <c r="C521" s="16" t="str">
        <f>IFERROR(__xludf.DUMMYFUNCTION("""COMPUTED_VALUE"""),"Playstation Plus (Discontinued)")</f>
        <v>Playstation Plus (Discontinued)</v>
      </c>
      <c r="D521" s="15" t="str">
        <f>IFERROR(__xludf.DUMMYFUNCTION("""COMPUTED_VALUE"""),"Removed")</f>
        <v>Removed</v>
      </c>
      <c r="E521" s="17">
        <f>IFERROR(__xludf.DUMMYFUNCTION("""COMPUTED_VALUE"""),42311.0)</f>
        <v>42311</v>
      </c>
      <c r="F521" s="54">
        <f>IFERROR(__xludf.DUMMYFUNCTION("""COMPUTED_VALUE"""),42338.0)</f>
        <v>42338</v>
      </c>
      <c r="G521" s="19">
        <f>IFERROR(__xludf.DUMMYFUNCTION("""COMPUTED_VALUE"""),0.8999999999999999)</f>
        <v>0.9</v>
      </c>
      <c r="H521" s="17">
        <f>IFERROR(__xludf.DUMMYFUNCTION("""COMPUTED_VALUE"""),40604.0)</f>
        <v>40604</v>
      </c>
      <c r="I521" s="19">
        <f>IFERROR(__xludf.DUMMYFUNCTION("""COMPUTED_VALUE"""),4.669444444444444)</f>
        <v>4.669444444</v>
      </c>
      <c r="J521" s="21">
        <f>IFERROR(__xludf.DUMMYFUNCTION("""COMPUTED_VALUE"""),85.0)</f>
        <v>85</v>
      </c>
      <c r="K521" s="23">
        <f>IFERROR(__xludf.DUMMYFUNCTION("""COMPUTED_VALUE"""),8.4)</f>
        <v>8.4</v>
      </c>
      <c r="L521" s="24">
        <f>IFERROR(__xludf.DUMMYFUNCTION("""COMPUTED_VALUE"""),12.0)</f>
        <v>12</v>
      </c>
      <c r="M521" s="25" t="str">
        <f>IFERROR(__xludf.DUMMYFUNCTION("""COMPUTED_VALUE"""),"Action-Adventure")</f>
        <v>Action-Adventure</v>
      </c>
      <c r="N521" s="25"/>
      <c r="O521" s="26" t="str">
        <f>IFERROR(__xludf.DUMMYFUNCTION("""COMPUTED_VALUE"""),"No")</f>
        <v>No</v>
      </c>
      <c r="P521" s="26"/>
    </row>
    <row r="522">
      <c r="A522" s="13" t="str">
        <f>IFERROR(__xludf.DUMMYFUNCTION("""COMPUTED_VALUE"""),"Dragon Fin Soup")</f>
        <v>Dragon Fin Soup</v>
      </c>
      <c r="B522" s="15" t="str">
        <f>IFERROR(__xludf.DUMMYFUNCTION("""COMPUTED_VALUE"""),"PS4/PS3/Vita")</f>
        <v>PS4/PS3/Vita</v>
      </c>
      <c r="C522" s="16" t="str">
        <f>IFERROR(__xludf.DUMMYFUNCTION("""COMPUTED_VALUE"""),"Playstation Plus (Discontinued)")</f>
        <v>Playstation Plus (Discontinued)</v>
      </c>
      <c r="D522" s="15" t="str">
        <f>IFERROR(__xludf.DUMMYFUNCTION("""COMPUTED_VALUE"""),"Removed")</f>
        <v>Removed</v>
      </c>
      <c r="E522" s="17">
        <f>IFERROR(__xludf.DUMMYFUNCTION("""COMPUTED_VALUE"""),42311.0)</f>
        <v>42311</v>
      </c>
      <c r="F522" s="54">
        <f>IFERROR(__xludf.DUMMYFUNCTION("""COMPUTED_VALUE"""),42338.0)</f>
        <v>42338</v>
      </c>
      <c r="G522" s="19">
        <f>IFERROR(__xludf.DUMMYFUNCTION("""COMPUTED_VALUE"""),0.8999999999999999)</f>
        <v>0.9</v>
      </c>
      <c r="H522" s="17">
        <f>IFERROR(__xludf.DUMMYFUNCTION("""COMPUTED_VALUE"""),42311.0)</f>
        <v>42311</v>
      </c>
      <c r="I522" s="19">
        <f>IFERROR(__xludf.DUMMYFUNCTION("""COMPUTED_VALUE"""),0.0)</f>
        <v>0</v>
      </c>
      <c r="J522" s="21">
        <f>IFERROR(__xludf.DUMMYFUNCTION("""COMPUTED_VALUE"""),59.0)</f>
        <v>59</v>
      </c>
      <c r="K522" s="23">
        <f>IFERROR(__xludf.DUMMYFUNCTION("""COMPUTED_VALUE"""),5.8)</f>
        <v>5.8</v>
      </c>
      <c r="L522" s="24">
        <f>IFERROR(__xludf.DUMMYFUNCTION("""COMPUTED_VALUE"""),15.0)</f>
        <v>15</v>
      </c>
      <c r="M522" s="25" t="str">
        <f>IFERROR(__xludf.DUMMYFUNCTION("""COMPUTED_VALUE"""),"RPG")</f>
        <v>RPG</v>
      </c>
      <c r="N522" s="25"/>
      <c r="O522" s="26" t="str">
        <f>IFERROR(__xludf.DUMMYFUNCTION("""COMPUTED_VALUE"""),"No")</f>
        <v>No</v>
      </c>
      <c r="P522" s="26"/>
    </row>
    <row r="523">
      <c r="A523" s="13" t="str">
        <f>IFERROR(__xludf.DUMMYFUNCTION("""COMPUTED_VALUE"""),"Invizimals")</f>
        <v>Invizimals</v>
      </c>
      <c r="B523" s="15" t="str">
        <f>IFERROR(__xludf.DUMMYFUNCTION("""COMPUTED_VALUE"""),"PSP")</f>
        <v>PSP</v>
      </c>
      <c r="C523" s="16" t="str">
        <f>IFERROR(__xludf.DUMMYFUNCTION("""COMPUTED_VALUE"""),"Playstation Plus (Discontinued)")</f>
        <v>Playstation Plus (Discontinued)</v>
      </c>
      <c r="D523" s="15" t="str">
        <f>IFERROR(__xludf.DUMMYFUNCTION("""COMPUTED_VALUE"""),"Removed")</f>
        <v>Removed</v>
      </c>
      <c r="E523" s="17">
        <f>IFERROR(__xludf.DUMMYFUNCTION("""COMPUTED_VALUE"""),42311.0)</f>
        <v>42311</v>
      </c>
      <c r="F523" s="54">
        <f>IFERROR(__xludf.DUMMYFUNCTION("""COMPUTED_VALUE"""),42338.0)</f>
        <v>42338</v>
      </c>
      <c r="G523" s="19">
        <f>IFERROR(__xludf.DUMMYFUNCTION("""COMPUTED_VALUE"""),0.8999999999999999)</f>
        <v>0.9</v>
      </c>
      <c r="H523" s="17">
        <f>IFERROR(__xludf.DUMMYFUNCTION("""COMPUTED_VALUE"""),40120.0)</f>
        <v>40120</v>
      </c>
      <c r="I523" s="19">
        <f>IFERROR(__xludf.DUMMYFUNCTION("""COMPUTED_VALUE"""),6.0)</f>
        <v>6</v>
      </c>
      <c r="J523" s="21">
        <f>IFERROR(__xludf.DUMMYFUNCTION("""COMPUTED_VALUE"""),74.0)</f>
        <v>74</v>
      </c>
      <c r="K523" s="23">
        <f>IFERROR(__xludf.DUMMYFUNCTION("""COMPUTED_VALUE"""),7.6)</f>
        <v>7.6</v>
      </c>
      <c r="L523" s="24">
        <f>IFERROR(__xludf.DUMMYFUNCTION("""COMPUTED_VALUE"""),10.0)</f>
        <v>10</v>
      </c>
      <c r="M523" s="25" t="str">
        <f>IFERROR(__xludf.DUMMYFUNCTION("""COMPUTED_VALUE"""),"Action-Adventure")</f>
        <v>Action-Adventure</v>
      </c>
      <c r="N523" s="25"/>
      <c r="O523" s="26" t="str">
        <f>IFERROR(__xludf.DUMMYFUNCTION("""COMPUTED_VALUE"""),"No")</f>
        <v>No</v>
      </c>
      <c r="P523" s="26"/>
    </row>
    <row r="524">
      <c r="A524" s="13" t="str">
        <f>IFERROR(__xludf.DUMMYFUNCTION("""COMPUTED_VALUE"""),"Broken Age")</f>
        <v>Broken Age</v>
      </c>
      <c r="B524" s="15" t="str">
        <f>IFERROR(__xludf.DUMMYFUNCTION("""COMPUTED_VALUE"""),"PS4/Vita")</f>
        <v>PS4/Vita</v>
      </c>
      <c r="C524" s="16" t="str">
        <f>IFERROR(__xludf.DUMMYFUNCTION("""COMPUTED_VALUE"""),"Playstation Plus (Discontinued)")</f>
        <v>Playstation Plus (Discontinued)</v>
      </c>
      <c r="D524" s="15" t="str">
        <f>IFERROR(__xludf.DUMMYFUNCTION("""COMPUTED_VALUE"""),"Removed")</f>
        <v>Removed</v>
      </c>
      <c r="E524" s="17">
        <f>IFERROR(__xludf.DUMMYFUNCTION("""COMPUTED_VALUE"""),42283.0)</f>
        <v>42283</v>
      </c>
      <c r="F524" s="54">
        <f>IFERROR(__xludf.DUMMYFUNCTION("""COMPUTED_VALUE"""),42310.0)</f>
        <v>42310</v>
      </c>
      <c r="G524" s="19">
        <f>IFERROR(__xludf.DUMMYFUNCTION("""COMPUTED_VALUE"""),0.8666666666666666)</f>
        <v>0.8666666667</v>
      </c>
      <c r="H524" s="17">
        <f>IFERROR(__xludf.DUMMYFUNCTION("""COMPUTED_VALUE"""),41667.0)</f>
        <v>41667</v>
      </c>
      <c r="I524" s="19">
        <f>IFERROR(__xludf.DUMMYFUNCTION("""COMPUTED_VALUE"""),1.6888888888888889)</f>
        <v>1.688888889</v>
      </c>
      <c r="J524" s="21">
        <f>IFERROR(__xludf.DUMMYFUNCTION("""COMPUTED_VALUE"""),81.0)</f>
        <v>81</v>
      </c>
      <c r="K524" s="23">
        <f>IFERROR(__xludf.DUMMYFUNCTION("""COMPUTED_VALUE"""),7.7)</f>
        <v>7.7</v>
      </c>
      <c r="L524" s="24">
        <f>IFERROR(__xludf.DUMMYFUNCTION("""COMPUTED_VALUE"""),12.0)</f>
        <v>12</v>
      </c>
      <c r="M524" s="25" t="str">
        <f>IFERROR(__xludf.DUMMYFUNCTION("""COMPUTED_VALUE"""),"Adventure")</f>
        <v>Adventure</v>
      </c>
      <c r="N524" s="25"/>
      <c r="O524" s="26" t="str">
        <f>IFERROR(__xludf.DUMMYFUNCTION("""COMPUTED_VALUE"""),"No")</f>
        <v>No</v>
      </c>
      <c r="P524" s="26"/>
    </row>
    <row r="525" hidden="1">
      <c r="A525" s="13" t="str">
        <f>IFERROR(__xludf.DUMMYFUNCTION("""COMPUTED_VALUE"""),"Super Meat Boy")</f>
        <v>Super Meat Boy</v>
      </c>
      <c r="B525" s="15" t="str">
        <f>IFERROR(__xludf.DUMMYFUNCTION("""COMPUTED_VALUE"""),"PS4/Vita")</f>
        <v>PS4/Vita</v>
      </c>
      <c r="C525" s="16" t="str">
        <f>IFERROR(__xludf.DUMMYFUNCTION("""COMPUTED_VALUE"""),"Playstation Plus (Discontinued)")</f>
        <v>Playstation Plus (Discontinued)</v>
      </c>
      <c r="D525" s="15" t="str">
        <f>IFERROR(__xludf.DUMMYFUNCTION("""COMPUTED_VALUE"""),"Removed")</f>
        <v>Removed</v>
      </c>
      <c r="E525" s="17">
        <f>IFERROR(__xludf.DUMMYFUNCTION("""COMPUTED_VALUE"""),42283.0)</f>
        <v>42283</v>
      </c>
      <c r="F525" s="54">
        <f>IFERROR(__xludf.DUMMYFUNCTION("""COMPUTED_VALUE"""),42310.0)</f>
        <v>42310</v>
      </c>
      <c r="G525" s="19">
        <f>IFERROR(__xludf.DUMMYFUNCTION("""COMPUTED_VALUE"""),0.8666666666666666)</f>
        <v>0.8666666667</v>
      </c>
      <c r="H525" s="17">
        <f>IFERROR(__xludf.DUMMYFUNCTION("""COMPUTED_VALUE"""),40471.0)</f>
        <v>40471</v>
      </c>
      <c r="I525" s="19">
        <f>IFERROR(__xludf.DUMMYFUNCTION("""COMPUTED_VALUE"""),4.961111111111111)</f>
        <v>4.961111111</v>
      </c>
      <c r="J525" s="21">
        <f>IFERROR(__xludf.DUMMYFUNCTION("""COMPUTED_VALUE"""),90.0)</f>
        <v>90</v>
      </c>
      <c r="K525" s="23">
        <f>IFERROR(__xludf.DUMMYFUNCTION("""COMPUTED_VALUE"""),8.3)</f>
        <v>8.3</v>
      </c>
      <c r="L525" s="24">
        <f>IFERROR(__xludf.DUMMYFUNCTION("""COMPUTED_VALUE"""),8.0)</f>
        <v>8</v>
      </c>
      <c r="M525" s="25" t="str">
        <f>IFERROR(__xludf.DUMMYFUNCTION("""COMPUTED_VALUE"""),"Platformer")</f>
        <v>Platformer</v>
      </c>
      <c r="N525" s="25"/>
      <c r="O525" s="26" t="str">
        <f>IFERROR(__xludf.DUMMYFUNCTION("""COMPUTED_VALUE"""),"No")</f>
        <v>No</v>
      </c>
      <c r="P525" s="26"/>
    </row>
    <row r="526" hidden="1">
      <c r="A526" s="13" t="str">
        <f>IFERROR(__xludf.DUMMYFUNCTION("""COMPUTED_VALUE"""),"Unmechanical Extended")</f>
        <v>Unmechanical Extended</v>
      </c>
      <c r="B526" s="15" t="str">
        <f>IFERROR(__xludf.DUMMYFUNCTION("""COMPUTED_VALUE"""),"PS4/PS3")</f>
        <v>PS4/PS3</v>
      </c>
      <c r="C526" s="16" t="str">
        <f>IFERROR(__xludf.DUMMYFUNCTION("""COMPUTED_VALUE"""),"Playstation Plus (Discontinued)")</f>
        <v>Playstation Plus (Discontinued)</v>
      </c>
      <c r="D526" s="15" t="str">
        <f>IFERROR(__xludf.DUMMYFUNCTION("""COMPUTED_VALUE"""),"Removed")</f>
        <v>Removed</v>
      </c>
      <c r="E526" s="17">
        <f>IFERROR(__xludf.DUMMYFUNCTION("""COMPUTED_VALUE"""),42283.0)</f>
        <v>42283</v>
      </c>
      <c r="F526" s="54">
        <f>IFERROR(__xludf.DUMMYFUNCTION("""COMPUTED_VALUE"""),42310.0)</f>
        <v>42310</v>
      </c>
      <c r="G526" s="19">
        <f>IFERROR(__xludf.DUMMYFUNCTION("""COMPUTED_VALUE"""),0.8666666666666666)</f>
        <v>0.8666666667</v>
      </c>
      <c r="H526" s="17">
        <f>IFERROR(__xludf.DUMMYFUNCTION("""COMPUTED_VALUE"""),41234.0)</f>
        <v>41234</v>
      </c>
      <c r="I526" s="19">
        <f>IFERROR(__xludf.DUMMYFUNCTION("""COMPUTED_VALUE"""),2.875)</f>
        <v>2.875</v>
      </c>
      <c r="J526" s="21">
        <f>IFERROR(__xludf.DUMMYFUNCTION("""COMPUTED_VALUE"""),68.0)</f>
        <v>68</v>
      </c>
      <c r="K526" s="23">
        <f>IFERROR(__xludf.DUMMYFUNCTION("""COMPUTED_VALUE"""),6.7)</f>
        <v>6.7</v>
      </c>
      <c r="L526" s="24">
        <f>IFERROR(__xludf.DUMMYFUNCTION("""COMPUTED_VALUE"""),4.0)</f>
        <v>4</v>
      </c>
      <c r="M526" s="25" t="str">
        <f>IFERROR(__xludf.DUMMYFUNCTION("""COMPUTED_VALUE"""),"Puzzle")</f>
        <v>Puzzle</v>
      </c>
      <c r="N526" s="25"/>
      <c r="O526" s="26" t="str">
        <f>IFERROR(__xludf.DUMMYFUNCTION("""COMPUTED_VALUE"""),"No")</f>
        <v>No</v>
      </c>
      <c r="P526" s="26"/>
    </row>
    <row r="527" hidden="1">
      <c r="A527" s="13" t="str">
        <f>IFERROR(__xludf.DUMMYFUNCTION("""COMPUTED_VALUE"""),"Kickbeat")</f>
        <v>Kickbeat</v>
      </c>
      <c r="B527" s="15" t="str">
        <f>IFERROR(__xludf.DUMMYFUNCTION("""COMPUTED_VALUE"""),"PS3/Vita")</f>
        <v>PS3/Vita</v>
      </c>
      <c r="C527" s="16" t="str">
        <f>IFERROR(__xludf.DUMMYFUNCTION("""COMPUTED_VALUE"""),"Playstation Plus (Discontinued)")</f>
        <v>Playstation Plus (Discontinued)</v>
      </c>
      <c r="D527" s="15" t="str">
        <f>IFERROR(__xludf.DUMMYFUNCTION("""COMPUTED_VALUE"""),"Removed")</f>
        <v>Removed</v>
      </c>
      <c r="E527" s="17">
        <f>IFERROR(__xludf.DUMMYFUNCTION("""COMPUTED_VALUE"""),42283.0)</f>
        <v>42283</v>
      </c>
      <c r="F527" s="54">
        <f>IFERROR(__xludf.DUMMYFUNCTION("""COMPUTED_VALUE"""),42310.0)</f>
        <v>42310</v>
      </c>
      <c r="G527" s="19">
        <f>IFERROR(__xludf.DUMMYFUNCTION("""COMPUTED_VALUE"""),0.8666666666666666)</f>
        <v>0.8666666667</v>
      </c>
      <c r="H527" s="17">
        <f>IFERROR(__xludf.DUMMYFUNCTION("""COMPUTED_VALUE"""),41520.0)</f>
        <v>41520</v>
      </c>
      <c r="I527" s="19">
        <f>IFERROR(__xludf.DUMMYFUNCTION("""COMPUTED_VALUE"""),2.091666666666667)</f>
        <v>2.091666667</v>
      </c>
      <c r="J527" s="21">
        <f>IFERROR(__xludf.DUMMYFUNCTION("""COMPUTED_VALUE"""),71.0)</f>
        <v>71</v>
      </c>
      <c r="K527" s="23">
        <f>IFERROR(__xludf.DUMMYFUNCTION("""COMPUTED_VALUE"""),7.2)</f>
        <v>7.2</v>
      </c>
      <c r="L527" s="24">
        <f>IFERROR(__xludf.DUMMYFUNCTION("""COMPUTED_VALUE"""),5.0)</f>
        <v>5</v>
      </c>
      <c r="M527" s="25" t="str">
        <f>IFERROR(__xludf.DUMMYFUNCTION("""COMPUTED_VALUE"""),"Rhythm")</f>
        <v>Rhythm</v>
      </c>
      <c r="N527" s="25"/>
      <c r="O527" s="26" t="str">
        <f>IFERROR(__xludf.DUMMYFUNCTION("""COMPUTED_VALUE"""),"No")</f>
        <v>No</v>
      </c>
      <c r="P527" s="26"/>
    </row>
    <row r="528" hidden="1">
      <c r="A528" s="13" t="str">
        <f>IFERROR(__xludf.DUMMYFUNCTION("""COMPUTED_VALUE"""),"Kung Fu Rabbit")</f>
        <v>Kung Fu Rabbit</v>
      </c>
      <c r="B528" s="15" t="str">
        <f>IFERROR(__xludf.DUMMYFUNCTION("""COMPUTED_VALUE"""),"PS3/Vita")</f>
        <v>PS3/Vita</v>
      </c>
      <c r="C528" s="16" t="str">
        <f>IFERROR(__xludf.DUMMYFUNCTION("""COMPUTED_VALUE"""),"Playstation Plus (Discontinued)")</f>
        <v>Playstation Plus (Discontinued)</v>
      </c>
      <c r="D528" s="15" t="str">
        <f>IFERROR(__xludf.DUMMYFUNCTION("""COMPUTED_VALUE"""),"Removed")</f>
        <v>Removed</v>
      </c>
      <c r="E528" s="17">
        <f>IFERROR(__xludf.DUMMYFUNCTION("""COMPUTED_VALUE"""),42283.0)</f>
        <v>42283</v>
      </c>
      <c r="F528" s="54">
        <f>IFERROR(__xludf.DUMMYFUNCTION("""COMPUTED_VALUE"""),42310.0)</f>
        <v>42310</v>
      </c>
      <c r="G528" s="19">
        <f>IFERROR(__xludf.DUMMYFUNCTION("""COMPUTED_VALUE"""),0.8666666666666666)</f>
        <v>0.8666666667</v>
      </c>
      <c r="H528" s="17">
        <f>IFERROR(__xludf.DUMMYFUNCTION("""COMPUTED_VALUE"""),41394.0)</f>
        <v>41394</v>
      </c>
      <c r="I528" s="19">
        <f>IFERROR(__xludf.DUMMYFUNCTION("""COMPUTED_VALUE"""),2.433333333333333)</f>
        <v>2.433333333</v>
      </c>
      <c r="J528" s="21">
        <f>IFERROR(__xludf.DUMMYFUNCTION("""COMPUTED_VALUE"""),61.0)</f>
        <v>61</v>
      </c>
      <c r="K528" s="23">
        <f>IFERROR(__xludf.DUMMYFUNCTION("""COMPUTED_VALUE"""),6.3)</f>
        <v>6.3</v>
      </c>
      <c r="L528" s="24">
        <f>IFERROR(__xludf.DUMMYFUNCTION("""COMPUTED_VALUE"""),4.0)</f>
        <v>4</v>
      </c>
      <c r="M528" s="25" t="str">
        <f>IFERROR(__xludf.DUMMYFUNCTION("""COMPUTED_VALUE"""),"Platformer")</f>
        <v>Platformer</v>
      </c>
      <c r="N528" s="25"/>
      <c r="O528" s="26" t="str">
        <f>IFERROR(__xludf.DUMMYFUNCTION("""COMPUTED_VALUE"""),"No")</f>
        <v>No</v>
      </c>
      <c r="P528" s="26"/>
    </row>
    <row r="529">
      <c r="A529" s="13" t="str">
        <f>IFERROR(__xludf.DUMMYFUNCTION("""COMPUTED_VALUE"""),"Chariot")</f>
        <v>Chariot</v>
      </c>
      <c r="B529" s="15" t="str">
        <f>IFERROR(__xludf.DUMMYFUNCTION("""COMPUTED_VALUE"""),"PS3")</f>
        <v>PS3</v>
      </c>
      <c r="C529" s="16" t="str">
        <f>IFERROR(__xludf.DUMMYFUNCTION("""COMPUTED_VALUE"""),"Playstation Plus (Discontinued)")</f>
        <v>Playstation Plus (Discontinued)</v>
      </c>
      <c r="D529" s="15" t="str">
        <f>IFERROR(__xludf.DUMMYFUNCTION("""COMPUTED_VALUE"""),"Removed")</f>
        <v>Removed</v>
      </c>
      <c r="E529" s="17">
        <f>IFERROR(__xludf.DUMMYFUNCTION("""COMPUTED_VALUE"""),42283.0)</f>
        <v>42283</v>
      </c>
      <c r="F529" s="54">
        <f>IFERROR(__xludf.DUMMYFUNCTION("""COMPUTED_VALUE"""),42310.0)</f>
        <v>42310</v>
      </c>
      <c r="G529" s="19">
        <f>IFERROR(__xludf.DUMMYFUNCTION("""COMPUTED_VALUE"""),0.8666666666666666)</f>
        <v>0.8666666667</v>
      </c>
      <c r="H529" s="17">
        <f>IFERROR(__xludf.DUMMYFUNCTION("""COMPUTED_VALUE"""),41913.0)</f>
        <v>41913</v>
      </c>
      <c r="I529" s="19">
        <f>IFERROR(__xludf.DUMMYFUNCTION("""COMPUTED_VALUE"""),1.0138888888888888)</f>
        <v>1.013888889</v>
      </c>
      <c r="J529" s="21">
        <f>IFERROR(__xludf.DUMMYFUNCTION("""COMPUTED_VALUE"""),70.0)</f>
        <v>70</v>
      </c>
      <c r="K529" s="23">
        <f>IFERROR(__xludf.DUMMYFUNCTION("""COMPUTED_VALUE"""),6.9)</f>
        <v>6.9</v>
      </c>
      <c r="L529" s="24">
        <f>IFERROR(__xludf.DUMMYFUNCTION("""COMPUTED_VALUE"""),5.0)</f>
        <v>5</v>
      </c>
      <c r="M529" s="25" t="str">
        <f>IFERROR(__xludf.DUMMYFUNCTION("""COMPUTED_VALUE"""),"Platformer")</f>
        <v>Platformer</v>
      </c>
      <c r="N529" s="25"/>
      <c r="O529" s="26" t="str">
        <f>IFERROR(__xludf.DUMMYFUNCTION("""COMPUTED_VALUE"""),"No")</f>
        <v>No</v>
      </c>
      <c r="P529" s="26"/>
    </row>
    <row r="530">
      <c r="A530" s="13" t="str">
        <f>IFERROR(__xludf.DUMMYFUNCTION("""COMPUTED_VALUE"""),"Super Time Force Ultra")</f>
        <v>Super Time Force Ultra</v>
      </c>
      <c r="B530" s="15" t="str">
        <f>IFERROR(__xludf.DUMMYFUNCTION("""COMPUTED_VALUE"""),"PS4/Vita")</f>
        <v>PS4/Vita</v>
      </c>
      <c r="C530" s="16" t="str">
        <f>IFERROR(__xludf.DUMMYFUNCTION("""COMPUTED_VALUE"""),"Playstation Plus (Discontinued)")</f>
        <v>Playstation Plus (Discontinued)</v>
      </c>
      <c r="D530" s="15" t="str">
        <f>IFERROR(__xludf.DUMMYFUNCTION("""COMPUTED_VALUE"""),"Removed")</f>
        <v>Removed</v>
      </c>
      <c r="E530" s="17">
        <f>IFERROR(__xludf.DUMMYFUNCTION("""COMPUTED_VALUE"""),42248.0)</f>
        <v>42248</v>
      </c>
      <c r="F530" s="54">
        <f>IFERROR(__xludf.DUMMYFUNCTION("""COMPUTED_VALUE"""),42282.0)</f>
        <v>42282</v>
      </c>
      <c r="G530" s="19">
        <f>IFERROR(__xludf.DUMMYFUNCTION("""COMPUTED_VALUE"""),1.1333333333333333)</f>
        <v>1.133333333</v>
      </c>
      <c r="H530" s="17">
        <f>IFERROR(__xludf.DUMMYFUNCTION("""COMPUTED_VALUE"""),42241.0)</f>
        <v>42241</v>
      </c>
      <c r="I530" s="19">
        <f>IFERROR(__xludf.DUMMYFUNCTION("""COMPUTED_VALUE"""),0.016666666666666666)</f>
        <v>0.01666666667</v>
      </c>
      <c r="J530" s="21">
        <f>IFERROR(__xludf.DUMMYFUNCTION("""COMPUTED_VALUE"""),80.0)</f>
        <v>80</v>
      </c>
      <c r="K530" s="23">
        <f>IFERROR(__xludf.DUMMYFUNCTION("""COMPUTED_VALUE"""),7.8)</f>
        <v>7.8</v>
      </c>
      <c r="L530" s="24">
        <f>IFERROR(__xludf.DUMMYFUNCTION("""COMPUTED_VALUE"""),6.0)</f>
        <v>6</v>
      </c>
      <c r="M530" s="25" t="str">
        <f>IFERROR(__xludf.DUMMYFUNCTION("""COMPUTED_VALUE"""),"Platformer")</f>
        <v>Platformer</v>
      </c>
      <c r="N530" s="25"/>
      <c r="O530" s="26" t="str">
        <f>IFERROR(__xludf.DUMMYFUNCTION("""COMPUTED_VALUE"""),"No")</f>
        <v>No</v>
      </c>
      <c r="P530" s="26"/>
    </row>
    <row r="531">
      <c r="A531" s="13" t="str">
        <f>IFERROR(__xludf.DUMMYFUNCTION("""COMPUTED_VALUE"""),"Xeodrifter")</f>
        <v>Xeodrifter</v>
      </c>
      <c r="B531" s="15" t="str">
        <f>IFERROR(__xludf.DUMMYFUNCTION("""COMPUTED_VALUE"""),"PS4/Vita")</f>
        <v>PS4/Vita</v>
      </c>
      <c r="C531" s="16" t="str">
        <f>IFERROR(__xludf.DUMMYFUNCTION("""COMPUTED_VALUE"""),"Playstation Plus (Discontinued)")</f>
        <v>Playstation Plus (Discontinued)</v>
      </c>
      <c r="D531" s="15" t="str">
        <f>IFERROR(__xludf.DUMMYFUNCTION("""COMPUTED_VALUE"""),"Removed")</f>
        <v>Removed</v>
      </c>
      <c r="E531" s="17">
        <f>IFERROR(__xludf.DUMMYFUNCTION("""COMPUTED_VALUE"""),42248.0)</f>
        <v>42248</v>
      </c>
      <c r="F531" s="54">
        <f>IFERROR(__xludf.DUMMYFUNCTION("""COMPUTED_VALUE"""),42282.0)</f>
        <v>42282</v>
      </c>
      <c r="G531" s="19">
        <f>IFERROR(__xludf.DUMMYFUNCTION("""COMPUTED_VALUE"""),1.1333333333333333)</f>
        <v>1.133333333</v>
      </c>
      <c r="H531" s="17">
        <f>IFERROR(__xludf.DUMMYFUNCTION("""COMPUTED_VALUE"""),41984.0)</f>
        <v>41984</v>
      </c>
      <c r="I531" s="19">
        <f>IFERROR(__xludf.DUMMYFUNCTION("""COMPUTED_VALUE"""),0.7222222222222222)</f>
        <v>0.7222222222</v>
      </c>
      <c r="J531" s="21">
        <f>IFERROR(__xludf.DUMMYFUNCTION("""COMPUTED_VALUE"""),76.0)</f>
        <v>76</v>
      </c>
      <c r="K531" s="23">
        <f>IFERROR(__xludf.DUMMYFUNCTION("""COMPUTED_VALUE"""),7.3)</f>
        <v>7.3</v>
      </c>
      <c r="L531" s="24">
        <f>IFERROR(__xludf.DUMMYFUNCTION("""COMPUTED_VALUE"""),3.0)</f>
        <v>3</v>
      </c>
      <c r="M531" s="25" t="str">
        <f>IFERROR(__xludf.DUMMYFUNCTION("""COMPUTED_VALUE"""),"Platformer")</f>
        <v>Platformer</v>
      </c>
      <c r="N531" s="25"/>
      <c r="O531" s="26" t="str">
        <f>IFERROR(__xludf.DUMMYFUNCTION("""COMPUTED_VALUE"""),"No")</f>
        <v>No</v>
      </c>
      <c r="P531" s="26"/>
    </row>
    <row r="532" hidden="1">
      <c r="A532" s="13" t="str">
        <f>IFERROR(__xludf.DUMMYFUNCTION("""COMPUTED_VALUE"""),"Teslagrad")</f>
        <v>Teslagrad</v>
      </c>
      <c r="B532" s="15" t="str">
        <f>IFERROR(__xludf.DUMMYFUNCTION("""COMPUTED_VALUE"""),"PS4/PS3")</f>
        <v>PS4/PS3</v>
      </c>
      <c r="C532" s="16" t="str">
        <f>IFERROR(__xludf.DUMMYFUNCTION("""COMPUTED_VALUE"""),"Playstation Plus (Discontinued)")</f>
        <v>Playstation Plus (Discontinued)</v>
      </c>
      <c r="D532" s="15" t="str">
        <f>IFERROR(__xludf.DUMMYFUNCTION("""COMPUTED_VALUE"""),"Removed")</f>
        <v>Removed</v>
      </c>
      <c r="E532" s="17">
        <f>IFERROR(__xludf.DUMMYFUNCTION("""COMPUTED_VALUE"""),42248.0)</f>
        <v>42248</v>
      </c>
      <c r="F532" s="54">
        <f>IFERROR(__xludf.DUMMYFUNCTION("""COMPUTED_VALUE"""),42282.0)</f>
        <v>42282</v>
      </c>
      <c r="G532" s="19">
        <f>IFERROR(__xludf.DUMMYFUNCTION("""COMPUTED_VALUE"""),1.1333333333333333)</f>
        <v>1.133333333</v>
      </c>
      <c r="H532" s="17">
        <f>IFERROR(__xludf.DUMMYFUNCTION("""COMPUTED_VALUE"""),41621.0)</f>
        <v>41621</v>
      </c>
      <c r="I532" s="19">
        <f>IFERROR(__xludf.DUMMYFUNCTION("""COMPUTED_VALUE"""),1.7166666666666666)</f>
        <v>1.716666667</v>
      </c>
      <c r="J532" s="21">
        <f>IFERROR(__xludf.DUMMYFUNCTION("""COMPUTED_VALUE"""),78.0)</f>
        <v>78</v>
      </c>
      <c r="K532" s="23">
        <f>IFERROR(__xludf.DUMMYFUNCTION("""COMPUTED_VALUE"""),7.3)</f>
        <v>7.3</v>
      </c>
      <c r="L532" s="24">
        <f>IFERROR(__xludf.DUMMYFUNCTION("""COMPUTED_VALUE"""),5.0)</f>
        <v>5</v>
      </c>
      <c r="M532" s="25" t="str">
        <f>IFERROR(__xludf.DUMMYFUNCTION("""COMPUTED_VALUE"""),"Platformer")</f>
        <v>Platformer</v>
      </c>
      <c r="N532" s="25"/>
      <c r="O532" s="26" t="str">
        <f>IFERROR(__xludf.DUMMYFUNCTION("""COMPUTED_VALUE"""),"No")</f>
        <v>No</v>
      </c>
      <c r="P532" s="26"/>
    </row>
    <row r="533" hidden="1">
      <c r="A533" s="13" t="str">
        <f>IFERROR(__xludf.DUMMYFUNCTION("""COMPUTED_VALUE"""),"Grow Home")</f>
        <v>Grow Home</v>
      </c>
      <c r="B533" s="15" t="str">
        <f>IFERROR(__xludf.DUMMYFUNCTION("""COMPUTED_VALUE"""),"PS4")</f>
        <v>PS4</v>
      </c>
      <c r="C533" s="16" t="str">
        <f>IFERROR(__xludf.DUMMYFUNCTION("""COMPUTED_VALUE"""),"Playstation Plus (Discontinued)")</f>
        <v>Playstation Plus (Discontinued)</v>
      </c>
      <c r="D533" s="15" t="str">
        <f>IFERROR(__xludf.DUMMYFUNCTION("""COMPUTED_VALUE"""),"Removed")</f>
        <v>Removed</v>
      </c>
      <c r="E533" s="17">
        <f>IFERROR(__xludf.DUMMYFUNCTION("""COMPUTED_VALUE"""),42248.0)</f>
        <v>42248</v>
      </c>
      <c r="F533" s="54">
        <f>IFERROR(__xludf.DUMMYFUNCTION("""COMPUTED_VALUE"""),42282.0)</f>
        <v>42282</v>
      </c>
      <c r="G533" s="19">
        <f>IFERROR(__xludf.DUMMYFUNCTION("""COMPUTED_VALUE"""),1.1333333333333333)</f>
        <v>1.133333333</v>
      </c>
      <c r="H533" s="17">
        <f>IFERROR(__xludf.DUMMYFUNCTION("""COMPUTED_VALUE"""),42039.0)</f>
        <v>42039</v>
      </c>
      <c r="I533" s="19">
        <f>IFERROR(__xludf.DUMMYFUNCTION("""COMPUTED_VALUE"""),0.575)</f>
        <v>0.575</v>
      </c>
      <c r="J533" s="21">
        <f>IFERROR(__xludf.DUMMYFUNCTION("""COMPUTED_VALUE"""),75.0)</f>
        <v>75</v>
      </c>
      <c r="K533" s="23">
        <f>IFERROR(__xludf.DUMMYFUNCTION("""COMPUTED_VALUE"""),7.4)</f>
        <v>7.4</v>
      </c>
      <c r="L533" s="24">
        <f>IFERROR(__xludf.DUMMYFUNCTION("""COMPUTED_VALUE"""),3.0)</f>
        <v>3</v>
      </c>
      <c r="M533" s="25" t="str">
        <f>IFERROR(__xludf.DUMMYFUNCTION("""COMPUTED_VALUE"""),"Platformer")</f>
        <v>Platformer</v>
      </c>
      <c r="N533" s="25"/>
      <c r="O533" s="26" t="str">
        <f>IFERROR(__xludf.DUMMYFUNCTION("""COMPUTED_VALUE"""),"No")</f>
        <v>No</v>
      </c>
      <c r="P533" s="26"/>
    </row>
    <row r="534" hidden="1">
      <c r="A534" s="13" t="str">
        <f>IFERROR(__xludf.DUMMYFUNCTION("""COMPUTED_VALUE"""),"La-Mulana EX")</f>
        <v>La-Mulana EX</v>
      </c>
      <c r="B534" s="15" t="str">
        <f>IFERROR(__xludf.DUMMYFUNCTION("""COMPUTED_VALUE"""),"Vita")</f>
        <v>Vita</v>
      </c>
      <c r="C534" s="16" t="str">
        <f>IFERROR(__xludf.DUMMYFUNCTION("""COMPUTED_VALUE"""),"Playstation Plus (Discontinued)")</f>
        <v>Playstation Plus (Discontinued)</v>
      </c>
      <c r="D534" s="15" t="str">
        <f>IFERROR(__xludf.DUMMYFUNCTION("""COMPUTED_VALUE"""),"Removed")</f>
        <v>Removed</v>
      </c>
      <c r="E534" s="17">
        <f>IFERROR(__xludf.DUMMYFUNCTION("""COMPUTED_VALUE"""),42248.0)</f>
        <v>42248</v>
      </c>
      <c r="F534" s="54">
        <f>IFERROR(__xludf.DUMMYFUNCTION("""COMPUTED_VALUE"""),42282.0)</f>
        <v>42282</v>
      </c>
      <c r="G534" s="19">
        <f>IFERROR(__xludf.DUMMYFUNCTION("""COMPUTED_VALUE"""),1.1333333333333333)</f>
        <v>1.133333333</v>
      </c>
      <c r="H534" s="17">
        <f>IFERROR(__xludf.DUMMYFUNCTION("""COMPUTED_VALUE"""),42158.0)</f>
        <v>42158</v>
      </c>
      <c r="I534" s="19">
        <f>IFERROR(__xludf.DUMMYFUNCTION("""COMPUTED_VALUE"""),0.24444444444444444)</f>
        <v>0.2444444444</v>
      </c>
      <c r="J534" s="21">
        <f>IFERROR(__xludf.DUMMYFUNCTION("""COMPUTED_VALUE"""),72.0)</f>
        <v>72</v>
      </c>
      <c r="K534" s="23">
        <f>IFERROR(__xludf.DUMMYFUNCTION("""COMPUTED_VALUE"""),7.2)</f>
        <v>7.2</v>
      </c>
      <c r="L534" s="24">
        <f>IFERROR(__xludf.DUMMYFUNCTION("""COMPUTED_VALUE"""),15.0)</f>
        <v>15</v>
      </c>
      <c r="M534" s="25" t="str">
        <f>IFERROR(__xludf.DUMMYFUNCTION("""COMPUTED_VALUE"""),"Action-Adventure")</f>
        <v>Action-Adventure</v>
      </c>
      <c r="N534" s="25"/>
      <c r="O534" s="26" t="str">
        <f>IFERROR(__xludf.DUMMYFUNCTION("""COMPUTED_VALUE"""),"No")</f>
        <v>No</v>
      </c>
      <c r="P534" s="26"/>
    </row>
    <row r="535" hidden="1">
      <c r="A535" s="13" t="str">
        <f>IFERROR(__xludf.DUMMYFUNCTION("""COMPUTED_VALUE"""),"Twisted Metal")</f>
        <v>Twisted Metal</v>
      </c>
      <c r="B535" s="15" t="str">
        <f>IFERROR(__xludf.DUMMYFUNCTION("""COMPUTED_VALUE"""),"PS3")</f>
        <v>PS3</v>
      </c>
      <c r="C535" s="16" t="str">
        <f>IFERROR(__xludf.DUMMYFUNCTION("""COMPUTED_VALUE"""),"Playstation Plus (Discontinued)")</f>
        <v>Playstation Plus (Discontinued)</v>
      </c>
      <c r="D535" s="15" t="str">
        <f>IFERROR(__xludf.DUMMYFUNCTION("""COMPUTED_VALUE"""),"Removed")</f>
        <v>Removed</v>
      </c>
      <c r="E535" s="17">
        <f>IFERROR(__xludf.DUMMYFUNCTION("""COMPUTED_VALUE"""),42248.0)</f>
        <v>42248</v>
      </c>
      <c r="F535" s="54">
        <f>IFERROR(__xludf.DUMMYFUNCTION("""COMPUTED_VALUE"""),42282.0)</f>
        <v>42282</v>
      </c>
      <c r="G535" s="19">
        <f>IFERROR(__xludf.DUMMYFUNCTION("""COMPUTED_VALUE"""),1.1333333333333333)</f>
        <v>1.133333333</v>
      </c>
      <c r="H535" s="17">
        <f>IFERROR(__xludf.DUMMYFUNCTION("""COMPUTED_VALUE"""),40820.0)</f>
        <v>40820</v>
      </c>
      <c r="I535" s="19">
        <f>IFERROR(__xludf.DUMMYFUNCTION("""COMPUTED_VALUE"""),3.908333333333333)</f>
        <v>3.908333333</v>
      </c>
      <c r="J535" s="21">
        <f>IFERROR(__xludf.DUMMYFUNCTION("""COMPUTED_VALUE"""),76.0)</f>
        <v>76</v>
      </c>
      <c r="K535" s="23">
        <f>IFERROR(__xludf.DUMMYFUNCTION("""COMPUTED_VALUE"""),7.5)</f>
        <v>7.5</v>
      </c>
      <c r="L535" s="24"/>
      <c r="M535" s="25" t="str">
        <f>IFERROR(__xludf.DUMMYFUNCTION("""COMPUTED_VALUE"""),"Shooter")</f>
        <v>Shooter</v>
      </c>
      <c r="N535" s="25"/>
      <c r="O535" s="26" t="str">
        <f>IFERROR(__xludf.DUMMYFUNCTION("""COMPUTED_VALUE"""),"No")</f>
        <v>No</v>
      </c>
      <c r="P535" s="26"/>
    </row>
    <row r="536">
      <c r="A536" s="13" t="str">
        <f>IFERROR(__xludf.DUMMYFUNCTION("""COMPUTED_VALUE"""),"Lara Croft and the Temple of Osiris")</f>
        <v>Lara Croft and the Temple of Osiris</v>
      </c>
      <c r="B536" s="15" t="str">
        <f>IFERROR(__xludf.DUMMYFUNCTION("""COMPUTED_VALUE"""),"PS4")</f>
        <v>PS4</v>
      </c>
      <c r="C536" s="16" t="str">
        <f>IFERROR(__xludf.DUMMYFUNCTION("""COMPUTED_VALUE"""),"Playstation Plus (Discontinued)")</f>
        <v>Playstation Plus (Discontinued)</v>
      </c>
      <c r="D536" s="15" t="str">
        <f>IFERROR(__xludf.DUMMYFUNCTION("""COMPUTED_VALUE"""),"Removed")</f>
        <v>Removed</v>
      </c>
      <c r="E536" s="17">
        <f>IFERROR(__xludf.DUMMYFUNCTION("""COMPUTED_VALUE"""),42220.0)</f>
        <v>42220</v>
      </c>
      <c r="F536" s="54">
        <f>IFERROR(__xludf.DUMMYFUNCTION("""COMPUTED_VALUE"""),42247.0)</f>
        <v>42247</v>
      </c>
      <c r="G536" s="19">
        <f>IFERROR(__xludf.DUMMYFUNCTION("""COMPUTED_VALUE"""),0.8666666666666666)</f>
        <v>0.8666666667</v>
      </c>
      <c r="H536" s="17">
        <f>IFERROR(__xludf.DUMMYFUNCTION("""COMPUTED_VALUE"""),41982.0)</f>
        <v>41982</v>
      </c>
      <c r="I536" s="19">
        <f>IFERROR(__xludf.DUMMYFUNCTION("""COMPUTED_VALUE"""),0.6527777777777778)</f>
        <v>0.6527777778</v>
      </c>
      <c r="J536" s="21">
        <f>IFERROR(__xludf.DUMMYFUNCTION("""COMPUTED_VALUE"""),74.0)</f>
        <v>74</v>
      </c>
      <c r="K536" s="23">
        <f>IFERROR(__xludf.DUMMYFUNCTION("""COMPUTED_VALUE"""),7.1)</f>
        <v>7.1</v>
      </c>
      <c r="L536" s="24">
        <f>IFERROR(__xludf.DUMMYFUNCTION("""COMPUTED_VALUE"""),7.0)</f>
        <v>7</v>
      </c>
      <c r="M536" s="25" t="str">
        <f>IFERROR(__xludf.DUMMYFUNCTION("""COMPUTED_VALUE"""),"Action-Adventure")</f>
        <v>Action-Adventure</v>
      </c>
      <c r="N536" s="25"/>
      <c r="O536" s="26" t="str">
        <f>IFERROR(__xludf.DUMMYFUNCTION("""COMPUTED_VALUE"""),"No")</f>
        <v>No</v>
      </c>
      <c r="P536" s="26"/>
    </row>
    <row r="537" hidden="1">
      <c r="A537" s="13" t="str">
        <f>IFERROR(__xludf.DUMMYFUNCTION("""COMPUTED_VALUE"""),"Limbo")</f>
        <v>Limbo</v>
      </c>
      <c r="B537" s="15" t="str">
        <f>IFERROR(__xludf.DUMMYFUNCTION("""COMPUTED_VALUE"""),"PS4")</f>
        <v>PS4</v>
      </c>
      <c r="C537" s="16" t="str">
        <f>IFERROR(__xludf.DUMMYFUNCTION("""COMPUTED_VALUE"""),"Playstation Plus (Discontinued)")</f>
        <v>Playstation Plus (Discontinued)</v>
      </c>
      <c r="D537" s="15" t="str">
        <f>IFERROR(__xludf.DUMMYFUNCTION("""COMPUTED_VALUE"""),"Removed")</f>
        <v>Removed</v>
      </c>
      <c r="E537" s="17">
        <f>IFERROR(__xludf.DUMMYFUNCTION("""COMPUTED_VALUE"""),42220.0)</f>
        <v>42220</v>
      </c>
      <c r="F537" s="54">
        <f>IFERROR(__xludf.DUMMYFUNCTION("""COMPUTED_VALUE"""),42247.0)</f>
        <v>42247</v>
      </c>
      <c r="G537" s="19">
        <f>IFERROR(__xludf.DUMMYFUNCTION("""COMPUTED_VALUE"""),0.8666666666666666)</f>
        <v>0.8666666667</v>
      </c>
      <c r="H537" s="17">
        <f>IFERROR(__xludf.DUMMYFUNCTION("""COMPUTED_VALUE"""),40378.0)</f>
        <v>40378</v>
      </c>
      <c r="I537" s="19">
        <f>IFERROR(__xludf.DUMMYFUNCTION("""COMPUTED_VALUE"""),5.041666666666667)</f>
        <v>5.041666667</v>
      </c>
      <c r="J537" s="21">
        <f>IFERROR(__xludf.DUMMYFUNCTION("""COMPUTED_VALUE"""),90.0)</f>
        <v>90</v>
      </c>
      <c r="K537" s="23">
        <f>IFERROR(__xludf.DUMMYFUNCTION("""COMPUTED_VALUE"""),8.2)</f>
        <v>8.2</v>
      </c>
      <c r="L537" s="24">
        <f>IFERROR(__xludf.DUMMYFUNCTION("""COMPUTED_VALUE"""),4.0)</f>
        <v>4</v>
      </c>
      <c r="M537" s="25" t="str">
        <f>IFERROR(__xludf.DUMMYFUNCTION("""COMPUTED_VALUE"""),"Platformer")</f>
        <v>Platformer</v>
      </c>
      <c r="N537" s="25"/>
      <c r="O537" s="26" t="str">
        <f>IFERROR(__xludf.DUMMYFUNCTION("""COMPUTED_VALUE"""),"No")</f>
        <v>No</v>
      </c>
      <c r="P537" s="26"/>
    </row>
    <row r="538" hidden="1">
      <c r="A538" s="13" t="str">
        <f>IFERROR(__xludf.DUMMYFUNCTION("""COMPUTED_VALUE"""),"Sound Shapes")</f>
        <v>Sound Shapes</v>
      </c>
      <c r="B538" s="15" t="str">
        <f>IFERROR(__xludf.DUMMYFUNCTION("""COMPUTED_VALUE"""),"PS4/PS3/Vita")</f>
        <v>PS4/PS3/Vita</v>
      </c>
      <c r="C538" s="16" t="str">
        <f>IFERROR(__xludf.DUMMYFUNCTION("""COMPUTED_VALUE"""),"Playstation Plus (Discontinued)")</f>
        <v>Playstation Plus (Discontinued)</v>
      </c>
      <c r="D538" s="15" t="str">
        <f>IFERROR(__xludf.DUMMYFUNCTION("""COMPUTED_VALUE"""),"Removed")</f>
        <v>Removed</v>
      </c>
      <c r="E538" s="17">
        <f>IFERROR(__xludf.DUMMYFUNCTION("""COMPUTED_VALUE"""),42220.0)</f>
        <v>42220</v>
      </c>
      <c r="F538" s="54">
        <f>IFERROR(__xludf.DUMMYFUNCTION("""COMPUTED_VALUE"""),42247.0)</f>
        <v>42247</v>
      </c>
      <c r="G538" s="19">
        <f>IFERROR(__xludf.DUMMYFUNCTION("""COMPUTED_VALUE"""),0.8666666666666666)</f>
        <v>0.8666666667</v>
      </c>
      <c r="H538" s="17">
        <f>IFERROR(__xludf.DUMMYFUNCTION("""COMPUTED_VALUE"""),41128.0)</f>
        <v>41128</v>
      </c>
      <c r="I538" s="19">
        <f>IFERROR(__xludf.DUMMYFUNCTION("""COMPUTED_VALUE"""),2.9916666666666667)</f>
        <v>2.991666667</v>
      </c>
      <c r="J538" s="21">
        <f>IFERROR(__xludf.DUMMYFUNCTION("""COMPUTED_VALUE"""),86.0)</f>
        <v>86</v>
      </c>
      <c r="K538" s="23">
        <f>IFERROR(__xludf.DUMMYFUNCTION("""COMPUTED_VALUE"""),7.9)</f>
        <v>7.9</v>
      </c>
      <c r="L538" s="24">
        <f>IFERROR(__xludf.DUMMYFUNCTION("""COMPUTED_VALUE"""),6.0)</f>
        <v>6</v>
      </c>
      <c r="M538" s="25" t="str">
        <f>IFERROR(__xludf.DUMMYFUNCTION("""COMPUTED_VALUE"""),"Platformer")</f>
        <v>Platformer</v>
      </c>
      <c r="N538" s="25"/>
      <c r="O538" s="26" t="str">
        <f>IFERROR(__xludf.DUMMYFUNCTION("""COMPUTED_VALUE"""),"No")</f>
        <v>No</v>
      </c>
      <c r="P538" s="26"/>
    </row>
    <row r="539" hidden="1">
      <c r="A539" s="13" t="str">
        <f>IFERROR(__xludf.DUMMYFUNCTION("""COMPUTED_VALUE"""),"Stealth Inc 2: A Game of Clones")</f>
        <v>Stealth Inc 2: A Game of Clones</v>
      </c>
      <c r="B539" s="15" t="str">
        <f>IFERROR(__xludf.DUMMYFUNCTION("""COMPUTED_VALUE"""),"PS4/PS3/Vita")</f>
        <v>PS4/PS3/Vita</v>
      </c>
      <c r="C539" s="16" t="str">
        <f>IFERROR(__xludf.DUMMYFUNCTION("""COMPUTED_VALUE"""),"Playstation Plus (Discontinued)")</f>
        <v>Playstation Plus (Discontinued)</v>
      </c>
      <c r="D539" s="15" t="str">
        <f>IFERROR(__xludf.DUMMYFUNCTION("""COMPUTED_VALUE"""),"Removed")</f>
        <v>Removed</v>
      </c>
      <c r="E539" s="17">
        <f>IFERROR(__xludf.DUMMYFUNCTION("""COMPUTED_VALUE"""),42220.0)</f>
        <v>42220</v>
      </c>
      <c r="F539" s="54">
        <f>IFERROR(__xludf.DUMMYFUNCTION("""COMPUTED_VALUE"""),42247.0)</f>
        <v>42247</v>
      </c>
      <c r="G539" s="19">
        <f>IFERROR(__xludf.DUMMYFUNCTION("""COMPUTED_VALUE"""),0.8666666666666666)</f>
        <v>0.8666666667</v>
      </c>
      <c r="H539" s="17">
        <f>IFERROR(__xludf.DUMMYFUNCTION("""COMPUTED_VALUE"""),41919.0)</f>
        <v>41919</v>
      </c>
      <c r="I539" s="19">
        <f>IFERROR(__xludf.DUMMYFUNCTION("""COMPUTED_VALUE"""),0.825)</f>
        <v>0.825</v>
      </c>
      <c r="J539" s="21">
        <f>IFERROR(__xludf.DUMMYFUNCTION("""COMPUTED_VALUE"""),80.0)</f>
        <v>80</v>
      </c>
      <c r="K539" s="23">
        <f>IFERROR(__xludf.DUMMYFUNCTION("""COMPUTED_VALUE"""),7.4)</f>
        <v>7.4</v>
      </c>
      <c r="L539" s="24">
        <f>IFERROR(__xludf.DUMMYFUNCTION("""COMPUTED_VALUE"""),6.0)</f>
        <v>6</v>
      </c>
      <c r="M539" s="25" t="str">
        <f>IFERROR(__xludf.DUMMYFUNCTION("""COMPUTED_VALUE"""),"Platformer")</f>
        <v>Platformer</v>
      </c>
      <c r="N539" s="25"/>
      <c r="O539" s="26" t="str">
        <f>IFERROR(__xludf.DUMMYFUNCTION("""COMPUTED_VALUE"""),"No")</f>
        <v>No</v>
      </c>
      <c r="P539" s="26"/>
    </row>
    <row r="540" hidden="1">
      <c r="A540" s="13" t="str">
        <f>IFERROR(__xludf.DUMMYFUNCTION("""COMPUTED_VALUE"""),"God of War: Ascension")</f>
        <v>God of War: Ascension</v>
      </c>
      <c r="B540" s="15" t="str">
        <f>IFERROR(__xludf.DUMMYFUNCTION("""COMPUTED_VALUE"""),"PS3")</f>
        <v>PS3</v>
      </c>
      <c r="C540" s="16" t="str">
        <f>IFERROR(__xludf.DUMMYFUNCTION("""COMPUTED_VALUE"""),"Playstation Plus (Discontinued)")</f>
        <v>Playstation Plus (Discontinued)</v>
      </c>
      <c r="D540" s="15" t="str">
        <f>IFERROR(__xludf.DUMMYFUNCTION("""COMPUTED_VALUE"""),"Removed")</f>
        <v>Removed</v>
      </c>
      <c r="E540" s="17">
        <f>IFERROR(__xludf.DUMMYFUNCTION("""COMPUTED_VALUE"""),42220.0)</f>
        <v>42220</v>
      </c>
      <c r="F540" s="54">
        <f>IFERROR(__xludf.DUMMYFUNCTION("""COMPUTED_VALUE"""),42247.0)</f>
        <v>42247</v>
      </c>
      <c r="G540" s="19">
        <f>IFERROR(__xludf.DUMMYFUNCTION("""COMPUTED_VALUE"""),0.8666666666666666)</f>
        <v>0.8666666667</v>
      </c>
      <c r="H540" s="17">
        <f>IFERROR(__xludf.DUMMYFUNCTION("""COMPUTED_VALUE"""),41345.0)</f>
        <v>41345</v>
      </c>
      <c r="I540" s="19">
        <f>IFERROR(__xludf.DUMMYFUNCTION("""COMPUTED_VALUE"""),2.3944444444444444)</f>
        <v>2.394444444</v>
      </c>
      <c r="J540" s="21">
        <f>IFERROR(__xludf.DUMMYFUNCTION("""COMPUTED_VALUE"""),80.0)</f>
        <v>80</v>
      </c>
      <c r="K540" s="23">
        <f>IFERROR(__xludf.DUMMYFUNCTION("""COMPUTED_VALUE"""),7.8)</f>
        <v>7.8</v>
      </c>
      <c r="L540" s="24">
        <f>IFERROR(__xludf.DUMMYFUNCTION("""COMPUTED_VALUE"""),8.0)</f>
        <v>8</v>
      </c>
      <c r="M540" s="25" t="str">
        <f>IFERROR(__xludf.DUMMYFUNCTION("""COMPUTED_VALUE"""),"Action-Adventure")</f>
        <v>Action-Adventure</v>
      </c>
      <c r="N540" s="25"/>
      <c r="O540" s="26" t="str">
        <f>IFERROR(__xludf.DUMMYFUNCTION("""COMPUTED_VALUE"""),"No")</f>
        <v>No</v>
      </c>
      <c r="P540" s="26"/>
    </row>
    <row r="541">
      <c r="A541" s="13" t="str">
        <f>IFERROR(__xludf.DUMMYFUNCTION("""COMPUTED_VALUE"""),"CastleStorm")</f>
        <v>CastleStorm</v>
      </c>
      <c r="B541" s="15" t="str">
        <f>IFERROR(__xludf.DUMMYFUNCTION("""COMPUTED_VALUE"""),"PS3/Vita")</f>
        <v>PS3/Vita</v>
      </c>
      <c r="C541" s="16" t="str">
        <f>IFERROR(__xludf.DUMMYFUNCTION("""COMPUTED_VALUE"""),"Playstation Plus (Discontinued)")</f>
        <v>Playstation Plus (Discontinued)</v>
      </c>
      <c r="D541" s="15" t="str">
        <f>IFERROR(__xludf.DUMMYFUNCTION("""COMPUTED_VALUE"""),"Removed")</f>
        <v>Removed</v>
      </c>
      <c r="E541" s="17">
        <f>IFERROR(__xludf.DUMMYFUNCTION("""COMPUTED_VALUE"""),42220.0)</f>
        <v>42220</v>
      </c>
      <c r="F541" s="54">
        <f>IFERROR(__xludf.DUMMYFUNCTION("""COMPUTED_VALUE"""),42247.0)</f>
        <v>42247</v>
      </c>
      <c r="G541" s="19">
        <f>IFERROR(__xludf.DUMMYFUNCTION("""COMPUTED_VALUE"""),0.8666666666666666)</f>
        <v>0.8666666667</v>
      </c>
      <c r="H541" s="17">
        <f>IFERROR(__xludf.DUMMYFUNCTION("""COMPUTED_VALUE"""),41423.0)</f>
        <v>41423</v>
      </c>
      <c r="I541" s="19">
        <f>IFERROR(__xludf.DUMMYFUNCTION("""COMPUTED_VALUE"""),2.1805555555555554)</f>
        <v>2.180555556</v>
      </c>
      <c r="J541" s="21">
        <f>IFERROR(__xludf.DUMMYFUNCTION("""COMPUTED_VALUE"""),73.0)</f>
        <v>73</v>
      </c>
      <c r="K541" s="23">
        <f>IFERROR(__xludf.DUMMYFUNCTION("""COMPUTED_VALUE"""),7.3)</f>
        <v>7.3</v>
      </c>
      <c r="L541" s="24">
        <f>IFERROR(__xludf.DUMMYFUNCTION("""COMPUTED_VALUE"""),7.0)</f>
        <v>7</v>
      </c>
      <c r="M541" s="25" t="str">
        <f>IFERROR(__xludf.DUMMYFUNCTION("""COMPUTED_VALUE"""),"Strategy")</f>
        <v>Strategy</v>
      </c>
      <c r="N541" s="25"/>
      <c r="O541" s="26" t="str">
        <f>IFERROR(__xludf.DUMMYFUNCTION("""COMPUTED_VALUE"""),"No")</f>
        <v>No</v>
      </c>
      <c r="P541" s="26"/>
    </row>
    <row r="542">
      <c r="A542" s="13" t="str">
        <f>IFERROR(__xludf.DUMMYFUNCTION("""COMPUTED_VALUE"""),"Mousecraft")</f>
        <v>Mousecraft</v>
      </c>
      <c r="B542" s="15" t="str">
        <f>IFERROR(__xludf.DUMMYFUNCTION("""COMPUTED_VALUE"""),"PS4/PS3/Vita")</f>
        <v>PS4/PS3/Vita</v>
      </c>
      <c r="C542" s="16" t="str">
        <f>IFERROR(__xludf.DUMMYFUNCTION("""COMPUTED_VALUE"""),"Playstation Plus (Discontinued)")</f>
        <v>Playstation Plus (Discontinued)</v>
      </c>
      <c r="D542" s="15" t="str">
        <f>IFERROR(__xludf.DUMMYFUNCTION("""COMPUTED_VALUE"""),"Removed")</f>
        <v>Removed</v>
      </c>
      <c r="E542" s="17">
        <f>IFERROR(__xludf.DUMMYFUNCTION("""COMPUTED_VALUE"""),42192.0)</f>
        <v>42192</v>
      </c>
      <c r="F542" s="54">
        <f>IFERROR(__xludf.DUMMYFUNCTION("""COMPUTED_VALUE"""),42219.0)</f>
        <v>42219</v>
      </c>
      <c r="G542" s="19">
        <f>IFERROR(__xludf.DUMMYFUNCTION("""COMPUTED_VALUE"""),0.8666666666666666)</f>
        <v>0.8666666667</v>
      </c>
      <c r="H542" s="17">
        <f>IFERROR(__xludf.DUMMYFUNCTION("""COMPUTED_VALUE"""),41828.0)</f>
        <v>41828</v>
      </c>
      <c r="I542" s="19">
        <f>IFERROR(__xludf.DUMMYFUNCTION("""COMPUTED_VALUE"""),0.9972222222222222)</f>
        <v>0.9972222222</v>
      </c>
      <c r="J542" s="21">
        <f>IFERROR(__xludf.DUMMYFUNCTION("""COMPUTED_VALUE"""),72.0)</f>
        <v>72</v>
      </c>
      <c r="K542" s="23">
        <f>IFERROR(__xludf.DUMMYFUNCTION("""COMPUTED_VALUE"""),6.8)</f>
        <v>6.8</v>
      </c>
      <c r="L542" s="24">
        <f>IFERROR(__xludf.DUMMYFUNCTION("""COMPUTED_VALUE"""),6.0)</f>
        <v>6</v>
      </c>
      <c r="M542" s="25" t="str">
        <f>IFERROR(__xludf.DUMMYFUNCTION("""COMPUTED_VALUE"""),"Puzzle")</f>
        <v>Puzzle</v>
      </c>
      <c r="N542" s="25"/>
      <c r="O542" s="26" t="str">
        <f>IFERROR(__xludf.DUMMYFUNCTION("""COMPUTED_VALUE"""),"No")</f>
        <v>No</v>
      </c>
      <c r="P542" s="26"/>
    </row>
    <row r="543">
      <c r="A543" s="13" t="str">
        <f>IFERROR(__xludf.DUMMYFUNCTION("""COMPUTED_VALUE"""),"Entwined")</f>
        <v>Entwined</v>
      </c>
      <c r="B543" s="15" t="str">
        <f>IFERROR(__xludf.DUMMYFUNCTION("""COMPUTED_VALUE"""),"PS4/PS3/Vita")</f>
        <v>PS4/PS3/Vita</v>
      </c>
      <c r="C543" s="16" t="str">
        <f>IFERROR(__xludf.DUMMYFUNCTION("""COMPUTED_VALUE"""),"Playstation Plus (Discontinued)")</f>
        <v>Playstation Plus (Discontinued)</v>
      </c>
      <c r="D543" s="15" t="str">
        <f>IFERROR(__xludf.DUMMYFUNCTION("""COMPUTED_VALUE"""),"Removed")</f>
        <v>Removed</v>
      </c>
      <c r="E543" s="17">
        <f>IFERROR(__xludf.DUMMYFUNCTION("""COMPUTED_VALUE"""),42192.0)</f>
        <v>42192</v>
      </c>
      <c r="F543" s="54">
        <f>IFERROR(__xludf.DUMMYFUNCTION("""COMPUTED_VALUE"""),42219.0)</f>
        <v>42219</v>
      </c>
      <c r="G543" s="19">
        <f>IFERROR(__xludf.DUMMYFUNCTION("""COMPUTED_VALUE"""),0.8666666666666666)</f>
        <v>0.8666666667</v>
      </c>
      <c r="H543" s="17">
        <f>IFERROR(__xludf.DUMMYFUNCTION("""COMPUTED_VALUE"""),41807.0)</f>
        <v>41807</v>
      </c>
      <c r="I543" s="19">
        <f>IFERROR(__xludf.DUMMYFUNCTION("""COMPUTED_VALUE"""),1.0555555555555556)</f>
        <v>1.055555556</v>
      </c>
      <c r="J543" s="21">
        <f>IFERROR(__xludf.DUMMYFUNCTION("""COMPUTED_VALUE"""),61.0)</f>
        <v>61</v>
      </c>
      <c r="K543" s="23">
        <f>IFERROR(__xludf.DUMMYFUNCTION("""COMPUTED_VALUE"""),6.2)</f>
        <v>6.2</v>
      </c>
      <c r="L543" s="24">
        <f>IFERROR(__xludf.DUMMYFUNCTION("""COMPUTED_VALUE"""),2.0)</f>
        <v>2</v>
      </c>
      <c r="M543" s="25" t="str">
        <f>IFERROR(__xludf.DUMMYFUNCTION("""COMPUTED_VALUE"""),"Adventure")</f>
        <v>Adventure</v>
      </c>
      <c r="N543" s="25"/>
      <c r="O543" s="26" t="str">
        <f>IFERROR(__xludf.DUMMYFUNCTION("""COMPUTED_VALUE"""),"No")</f>
        <v>No</v>
      </c>
      <c r="P543" s="26"/>
    </row>
    <row r="544" hidden="1">
      <c r="A544" s="13" t="str">
        <f>IFERROR(__xludf.DUMMYFUNCTION("""COMPUTED_VALUE"""),"Rocket League")</f>
        <v>Rocket League</v>
      </c>
      <c r="B544" s="15" t="str">
        <f>IFERROR(__xludf.DUMMYFUNCTION("""COMPUTED_VALUE"""),"PS4")</f>
        <v>PS4</v>
      </c>
      <c r="C544" s="16" t="str">
        <f>IFERROR(__xludf.DUMMYFUNCTION("""COMPUTED_VALUE"""),"Playstation Plus (Discontinued)")</f>
        <v>Playstation Plus (Discontinued)</v>
      </c>
      <c r="D544" s="15" t="str">
        <f>IFERROR(__xludf.DUMMYFUNCTION("""COMPUTED_VALUE"""),"Removed")</f>
        <v>Removed</v>
      </c>
      <c r="E544" s="17">
        <f>IFERROR(__xludf.DUMMYFUNCTION("""COMPUTED_VALUE"""),42192.0)</f>
        <v>42192</v>
      </c>
      <c r="F544" s="54">
        <f>IFERROR(__xludf.DUMMYFUNCTION("""COMPUTED_VALUE"""),42219.0)</f>
        <v>42219</v>
      </c>
      <c r="G544" s="19">
        <f>IFERROR(__xludf.DUMMYFUNCTION("""COMPUTED_VALUE"""),0.8666666666666666)</f>
        <v>0.8666666667</v>
      </c>
      <c r="H544" s="17">
        <f>IFERROR(__xludf.DUMMYFUNCTION("""COMPUTED_VALUE"""),42192.0)</f>
        <v>42192</v>
      </c>
      <c r="I544" s="19">
        <f>IFERROR(__xludf.DUMMYFUNCTION("""COMPUTED_VALUE"""),0.0)</f>
        <v>0</v>
      </c>
      <c r="J544" s="21">
        <f>IFERROR(__xludf.DUMMYFUNCTION("""COMPUTED_VALUE"""),86.0)</f>
        <v>86</v>
      </c>
      <c r="K544" s="23">
        <f>IFERROR(__xludf.DUMMYFUNCTION("""COMPUTED_VALUE"""),8.4)</f>
        <v>8.4</v>
      </c>
      <c r="L544" s="24"/>
      <c r="M544" s="25" t="str">
        <f>IFERROR(__xludf.DUMMYFUNCTION("""COMPUTED_VALUE"""),"Racing")</f>
        <v>Racing</v>
      </c>
      <c r="N544" s="25"/>
      <c r="O544" s="26" t="str">
        <f>IFERROR(__xludf.DUMMYFUNCTION("""COMPUTED_VALUE"""),"No")</f>
        <v>No</v>
      </c>
      <c r="P544" s="26"/>
    </row>
    <row r="545" hidden="1">
      <c r="A545" s="13" t="str">
        <f>IFERROR(__xludf.DUMMYFUNCTION("""COMPUTED_VALUE"""),"Styx: Master of Shadows")</f>
        <v>Styx: Master of Shadows</v>
      </c>
      <c r="B545" s="15" t="str">
        <f>IFERROR(__xludf.DUMMYFUNCTION("""COMPUTED_VALUE"""),"PS4")</f>
        <v>PS4</v>
      </c>
      <c r="C545" s="16" t="str">
        <f>IFERROR(__xludf.DUMMYFUNCTION("""COMPUTED_VALUE"""),"Playstation Plus (Discontinued)")</f>
        <v>Playstation Plus (Discontinued)</v>
      </c>
      <c r="D545" s="15" t="str">
        <f>IFERROR(__xludf.DUMMYFUNCTION("""COMPUTED_VALUE"""),"Removed")</f>
        <v>Removed</v>
      </c>
      <c r="E545" s="17">
        <f>IFERROR(__xludf.DUMMYFUNCTION("""COMPUTED_VALUE"""),42192.0)</f>
        <v>42192</v>
      </c>
      <c r="F545" s="54">
        <f>IFERROR(__xludf.DUMMYFUNCTION("""COMPUTED_VALUE"""),42219.0)</f>
        <v>42219</v>
      </c>
      <c r="G545" s="19">
        <f>IFERROR(__xludf.DUMMYFUNCTION("""COMPUTED_VALUE"""),0.8666666666666666)</f>
        <v>0.8666666667</v>
      </c>
      <c r="H545" s="17">
        <f>IFERROR(__xludf.DUMMYFUNCTION("""COMPUTED_VALUE"""),41919.0)</f>
        <v>41919</v>
      </c>
      <c r="I545" s="19">
        <f>IFERROR(__xludf.DUMMYFUNCTION("""COMPUTED_VALUE"""),0.75)</f>
        <v>0.75</v>
      </c>
      <c r="J545" s="21">
        <f>IFERROR(__xludf.DUMMYFUNCTION("""COMPUTED_VALUE"""),71.0)</f>
        <v>71</v>
      </c>
      <c r="K545" s="23">
        <f>IFERROR(__xludf.DUMMYFUNCTION("""COMPUTED_VALUE"""),7.3)</f>
        <v>7.3</v>
      </c>
      <c r="L545" s="24">
        <f>IFERROR(__xludf.DUMMYFUNCTION("""COMPUTED_VALUE"""),14.0)</f>
        <v>14</v>
      </c>
      <c r="M545" s="25" t="str">
        <f>IFERROR(__xludf.DUMMYFUNCTION("""COMPUTED_VALUE"""),"Action-Adventure")</f>
        <v>Action-Adventure</v>
      </c>
      <c r="N545" s="25"/>
      <c r="O545" s="26" t="str">
        <f>IFERROR(__xludf.DUMMYFUNCTION("""COMPUTED_VALUE"""),"No")</f>
        <v>No</v>
      </c>
      <c r="P545" s="26"/>
    </row>
    <row r="546" hidden="1">
      <c r="A546" s="13" t="str">
        <f>IFERROR(__xludf.DUMMYFUNCTION("""COMPUTED_VALUE"""),"Geometry Wars 3: Dimensions")</f>
        <v>Geometry Wars 3: Dimensions</v>
      </c>
      <c r="B546" s="15" t="str">
        <f>IFERROR(__xludf.DUMMYFUNCTION("""COMPUTED_VALUE"""),"Vita")</f>
        <v>Vita</v>
      </c>
      <c r="C546" s="16" t="str">
        <f>IFERROR(__xludf.DUMMYFUNCTION("""COMPUTED_VALUE"""),"Playstation Plus (Discontinued)")</f>
        <v>Playstation Plus (Discontinued)</v>
      </c>
      <c r="D546" s="15" t="str">
        <f>IFERROR(__xludf.DUMMYFUNCTION("""COMPUTED_VALUE"""),"Removed")</f>
        <v>Removed</v>
      </c>
      <c r="E546" s="17">
        <f>IFERROR(__xludf.DUMMYFUNCTION("""COMPUTED_VALUE"""),42192.0)</f>
        <v>42192</v>
      </c>
      <c r="F546" s="54">
        <f>IFERROR(__xludf.DUMMYFUNCTION("""COMPUTED_VALUE"""),42219.0)</f>
        <v>42219</v>
      </c>
      <c r="G546" s="19">
        <f>IFERROR(__xludf.DUMMYFUNCTION("""COMPUTED_VALUE"""),0.8666666666666666)</f>
        <v>0.8666666667</v>
      </c>
      <c r="H546" s="17">
        <f>IFERROR(__xludf.DUMMYFUNCTION("""COMPUTED_VALUE"""),41968.0)</f>
        <v>41968</v>
      </c>
      <c r="I546" s="19">
        <f>IFERROR(__xludf.DUMMYFUNCTION("""COMPUTED_VALUE"""),0.6166666666666667)</f>
        <v>0.6166666667</v>
      </c>
      <c r="J546" s="21">
        <f>IFERROR(__xludf.DUMMYFUNCTION("""COMPUTED_VALUE"""),82.0)</f>
        <v>82</v>
      </c>
      <c r="K546" s="23">
        <f>IFERROR(__xludf.DUMMYFUNCTION("""COMPUTED_VALUE"""),7.7)</f>
        <v>7.7</v>
      </c>
      <c r="L546" s="24"/>
      <c r="M546" s="25" t="str">
        <f>IFERROR(__xludf.DUMMYFUNCTION("""COMPUTED_VALUE"""),"Shooter")</f>
        <v>Shooter</v>
      </c>
      <c r="N546" s="25"/>
      <c r="O546" s="26" t="str">
        <f>IFERROR(__xludf.DUMMYFUNCTION("""COMPUTED_VALUE"""),"No")</f>
        <v>No</v>
      </c>
      <c r="P546" s="26"/>
    </row>
    <row r="547">
      <c r="A547" s="13" t="str">
        <f>IFERROR(__xludf.DUMMYFUNCTION("""COMPUTED_VALUE"""),"Rain")</f>
        <v>Rain</v>
      </c>
      <c r="B547" s="15" t="str">
        <f>IFERROR(__xludf.DUMMYFUNCTION("""COMPUTED_VALUE"""),"PS3")</f>
        <v>PS3</v>
      </c>
      <c r="C547" s="16" t="str">
        <f>IFERROR(__xludf.DUMMYFUNCTION("""COMPUTED_VALUE"""),"Playstation Plus (Discontinued)")</f>
        <v>Playstation Plus (Discontinued)</v>
      </c>
      <c r="D547" s="15" t="str">
        <f>IFERROR(__xludf.DUMMYFUNCTION("""COMPUTED_VALUE"""),"Removed")</f>
        <v>Removed</v>
      </c>
      <c r="E547" s="17">
        <f>IFERROR(__xludf.DUMMYFUNCTION("""COMPUTED_VALUE"""),42192.0)</f>
        <v>42192</v>
      </c>
      <c r="F547" s="54">
        <f>IFERROR(__xludf.DUMMYFUNCTION("""COMPUTED_VALUE"""),42219.0)</f>
        <v>42219</v>
      </c>
      <c r="G547" s="19">
        <f>IFERROR(__xludf.DUMMYFUNCTION("""COMPUTED_VALUE"""),0.8666666666666666)</f>
        <v>0.8666666667</v>
      </c>
      <c r="H547" s="17">
        <f>IFERROR(__xludf.DUMMYFUNCTION("""COMPUTED_VALUE"""),41548.0)</f>
        <v>41548</v>
      </c>
      <c r="I547" s="19">
        <f>IFERROR(__xludf.DUMMYFUNCTION("""COMPUTED_VALUE"""),1.7666666666666666)</f>
        <v>1.766666667</v>
      </c>
      <c r="J547" s="21">
        <f>IFERROR(__xludf.DUMMYFUNCTION("""COMPUTED_VALUE"""),72.0)</f>
        <v>72</v>
      </c>
      <c r="K547" s="23">
        <f>IFERROR(__xludf.DUMMYFUNCTION("""COMPUTED_VALUE"""),6.9)</f>
        <v>6.9</v>
      </c>
      <c r="L547" s="24">
        <f>IFERROR(__xludf.DUMMYFUNCTION("""COMPUTED_VALUE"""),3.0)</f>
        <v>3</v>
      </c>
      <c r="M547" s="25" t="str">
        <f>IFERROR(__xludf.DUMMYFUNCTION("""COMPUTED_VALUE"""),"Adventure")</f>
        <v>Adventure</v>
      </c>
      <c r="N547" s="25"/>
      <c r="O547" s="26" t="str">
        <f>IFERROR(__xludf.DUMMYFUNCTION("""COMPUTED_VALUE"""),"No")</f>
        <v>No</v>
      </c>
      <c r="P547" s="26"/>
    </row>
    <row r="548">
      <c r="A548" s="13" t="str">
        <f>IFERROR(__xludf.DUMMYFUNCTION("""COMPUTED_VALUE"""),"Super Exploding Zoo")</f>
        <v>Super Exploding Zoo</v>
      </c>
      <c r="B548" s="15" t="str">
        <f>IFERROR(__xludf.DUMMYFUNCTION("""COMPUTED_VALUE"""),"PS4/Vita")</f>
        <v>PS4/Vita</v>
      </c>
      <c r="C548" s="16" t="str">
        <f>IFERROR(__xludf.DUMMYFUNCTION("""COMPUTED_VALUE"""),"Playstation Plus (Discontinued)")</f>
        <v>Playstation Plus (Discontinued)</v>
      </c>
      <c r="D548" s="15" t="str">
        <f>IFERROR(__xludf.DUMMYFUNCTION("""COMPUTED_VALUE"""),"Removed")</f>
        <v>Removed</v>
      </c>
      <c r="E548" s="17">
        <f>IFERROR(__xludf.DUMMYFUNCTION("""COMPUTED_VALUE"""),42157.0)</f>
        <v>42157</v>
      </c>
      <c r="F548" s="54">
        <f>IFERROR(__xludf.DUMMYFUNCTION("""COMPUTED_VALUE"""),42191.0)</f>
        <v>42191</v>
      </c>
      <c r="G548" s="19">
        <f>IFERROR(__xludf.DUMMYFUNCTION("""COMPUTED_VALUE"""),1.1333333333333333)</f>
        <v>1.133333333</v>
      </c>
      <c r="H548" s="17">
        <f>IFERROR(__xludf.DUMMYFUNCTION("""COMPUTED_VALUE"""),42157.0)</f>
        <v>42157</v>
      </c>
      <c r="I548" s="19">
        <f>IFERROR(__xludf.DUMMYFUNCTION("""COMPUTED_VALUE"""),0.0)</f>
        <v>0</v>
      </c>
      <c r="J548" s="21">
        <f>IFERROR(__xludf.DUMMYFUNCTION("""COMPUTED_VALUE"""),64.0)</f>
        <v>64</v>
      </c>
      <c r="K548" s="23">
        <f>IFERROR(__xludf.DUMMYFUNCTION("""COMPUTED_VALUE"""),6.9)</f>
        <v>6.9</v>
      </c>
      <c r="L548" s="24">
        <f>IFERROR(__xludf.DUMMYFUNCTION("""COMPUTED_VALUE"""),5.0)</f>
        <v>5</v>
      </c>
      <c r="M548" s="25" t="str">
        <f>IFERROR(__xludf.DUMMYFUNCTION("""COMPUTED_VALUE"""),"Strategy")</f>
        <v>Strategy</v>
      </c>
      <c r="N548" s="25"/>
      <c r="O548" s="26" t="str">
        <f>IFERROR(__xludf.DUMMYFUNCTION("""COMPUTED_VALUE"""),"No")</f>
        <v>No</v>
      </c>
      <c r="P548" s="26"/>
    </row>
    <row r="549">
      <c r="A549" s="13" t="str">
        <f>IFERROR(__xludf.DUMMYFUNCTION("""COMPUTED_VALUE"""),"Futuridum")</f>
        <v>Futuridum</v>
      </c>
      <c r="B549" s="15" t="str">
        <f>IFERROR(__xludf.DUMMYFUNCTION("""COMPUTED_VALUE"""),"PS4/Vita")</f>
        <v>PS4/Vita</v>
      </c>
      <c r="C549" s="16" t="str">
        <f>IFERROR(__xludf.DUMMYFUNCTION("""COMPUTED_VALUE"""),"Playstation Plus (Discontinued)")</f>
        <v>Playstation Plus (Discontinued)</v>
      </c>
      <c r="D549" s="15" t="str">
        <f>IFERROR(__xludf.DUMMYFUNCTION("""COMPUTED_VALUE"""),"Removed")</f>
        <v>Removed</v>
      </c>
      <c r="E549" s="17">
        <f>IFERROR(__xludf.DUMMYFUNCTION("""COMPUTED_VALUE"""),42157.0)</f>
        <v>42157</v>
      </c>
      <c r="F549" s="54">
        <f>IFERROR(__xludf.DUMMYFUNCTION("""COMPUTED_VALUE"""),42191.0)</f>
        <v>42191</v>
      </c>
      <c r="G549" s="19">
        <f>IFERROR(__xludf.DUMMYFUNCTION("""COMPUTED_VALUE"""),1.1333333333333333)</f>
        <v>1.133333333</v>
      </c>
      <c r="H549" s="17">
        <f>IFERROR(__xludf.DUMMYFUNCTION("""COMPUTED_VALUE"""),41913.0)</f>
        <v>41913</v>
      </c>
      <c r="I549" s="19">
        <f>IFERROR(__xludf.DUMMYFUNCTION("""COMPUTED_VALUE"""),0.6694444444444444)</f>
        <v>0.6694444444</v>
      </c>
      <c r="J549" s="21">
        <f>IFERROR(__xludf.DUMMYFUNCTION("""COMPUTED_VALUE"""),68.0)</f>
        <v>68</v>
      </c>
      <c r="K549" s="23">
        <f>IFERROR(__xludf.DUMMYFUNCTION("""COMPUTED_VALUE"""),6.8)</f>
        <v>6.8</v>
      </c>
      <c r="L549" s="24"/>
      <c r="M549" s="25" t="str">
        <f>IFERROR(__xludf.DUMMYFUNCTION("""COMPUTED_VALUE"""),"Shooter")</f>
        <v>Shooter</v>
      </c>
      <c r="N549" s="25"/>
      <c r="O549" s="26" t="str">
        <f>IFERROR(__xludf.DUMMYFUNCTION("""COMPUTED_VALUE"""),"No")</f>
        <v>No</v>
      </c>
      <c r="P549" s="26"/>
    </row>
    <row r="550" hidden="1">
      <c r="A550" s="13" t="str">
        <f>IFERROR(__xludf.DUMMYFUNCTION("""COMPUTED_VALUE"""),"Skulls of the Shogun: Bone-A-Fide Edition")</f>
        <v>Skulls of the Shogun: Bone-A-Fide Edition</v>
      </c>
      <c r="B550" s="15" t="str">
        <f>IFERROR(__xludf.DUMMYFUNCTION("""COMPUTED_VALUE"""),"PS4")</f>
        <v>PS4</v>
      </c>
      <c r="C550" s="16" t="str">
        <f>IFERROR(__xludf.DUMMYFUNCTION("""COMPUTED_VALUE"""),"Playstation Plus (Discontinued)")</f>
        <v>Playstation Plus (Discontinued)</v>
      </c>
      <c r="D550" s="15" t="str">
        <f>IFERROR(__xludf.DUMMYFUNCTION("""COMPUTED_VALUE"""),"Removed")</f>
        <v>Removed</v>
      </c>
      <c r="E550" s="17">
        <f>IFERROR(__xludf.DUMMYFUNCTION("""COMPUTED_VALUE"""),42157.0)</f>
        <v>42157</v>
      </c>
      <c r="F550" s="54">
        <f>IFERROR(__xludf.DUMMYFUNCTION("""COMPUTED_VALUE"""),42191.0)</f>
        <v>42191</v>
      </c>
      <c r="G550" s="19">
        <f>IFERROR(__xludf.DUMMYFUNCTION("""COMPUTED_VALUE"""),1.1333333333333333)</f>
        <v>1.133333333</v>
      </c>
      <c r="H550" s="17">
        <f>IFERROR(__xludf.DUMMYFUNCTION("""COMPUTED_VALUE"""),41954.0)</f>
        <v>41954</v>
      </c>
      <c r="I550" s="19">
        <f>IFERROR(__xludf.DUMMYFUNCTION("""COMPUTED_VALUE"""),0.5583333333333333)</f>
        <v>0.5583333333</v>
      </c>
      <c r="J550" s="21">
        <f>IFERROR(__xludf.DUMMYFUNCTION("""COMPUTED_VALUE"""),77.0)</f>
        <v>77</v>
      </c>
      <c r="K550" s="23">
        <f>IFERROR(__xludf.DUMMYFUNCTION("""COMPUTED_VALUE"""),7.7)</f>
        <v>7.7</v>
      </c>
      <c r="L550" s="24">
        <f>IFERROR(__xludf.DUMMYFUNCTION("""COMPUTED_VALUE"""),11.0)</f>
        <v>11</v>
      </c>
      <c r="M550" s="25" t="str">
        <f>IFERROR(__xludf.DUMMYFUNCTION("""COMPUTED_VALUE"""),"Strategy")</f>
        <v>Strategy</v>
      </c>
      <c r="N550" s="25"/>
      <c r="O550" s="26" t="str">
        <f>IFERROR(__xludf.DUMMYFUNCTION("""COMPUTED_VALUE"""),"No")</f>
        <v>No</v>
      </c>
      <c r="P550" s="26"/>
    </row>
    <row r="551" hidden="1">
      <c r="A551" s="13" t="str">
        <f>IFERROR(__xludf.DUMMYFUNCTION("""COMPUTED_VALUE"""),"Metal Gear Solid V: Ground Zeroes")</f>
        <v>Metal Gear Solid V: Ground Zeroes</v>
      </c>
      <c r="B551" s="15" t="str">
        <f>IFERROR(__xludf.DUMMYFUNCTION("""COMPUTED_VALUE"""),"PS4")</f>
        <v>PS4</v>
      </c>
      <c r="C551" s="16" t="str">
        <f>IFERROR(__xludf.DUMMYFUNCTION("""COMPUTED_VALUE"""),"Playstation Plus (Discontinued)")</f>
        <v>Playstation Plus (Discontinued)</v>
      </c>
      <c r="D551" s="15" t="str">
        <f>IFERROR(__xludf.DUMMYFUNCTION("""COMPUTED_VALUE"""),"Removed")</f>
        <v>Removed</v>
      </c>
      <c r="E551" s="17">
        <f>IFERROR(__xludf.DUMMYFUNCTION("""COMPUTED_VALUE"""),42157.0)</f>
        <v>42157</v>
      </c>
      <c r="F551" s="54">
        <f>IFERROR(__xludf.DUMMYFUNCTION("""COMPUTED_VALUE"""),42191.0)</f>
        <v>42191</v>
      </c>
      <c r="G551" s="19">
        <f>IFERROR(__xludf.DUMMYFUNCTION("""COMPUTED_VALUE"""),1.1333333333333333)</f>
        <v>1.133333333</v>
      </c>
      <c r="H551" s="17">
        <f>IFERROR(__xludf.DUMMYFUNCTION("""COMPUTED_VALUE"""),41716.0)</f>
        <v>41716</v>
      </c>
      <c r="I551" s="19">
        <f>IFERROR(__xludf.DUMMYFUNCTION("""COMPUTED_VALUE"""),1.2055555555555555)</f>
        <v>1.205555556</v>
      </c>
      <c r="J551" s="21">
        <f>IFERROR(__xludf.DUMMYFUNCTION("""COMPUTED_VALUE"""),80.0)</f>
        <v>80</v>
      </c>
      <c r="K551" s="23">
        <f>IFERROR(__xludf.DUMMYFUNCTION("""COMPUTED_VALUE"""),7.6)</f>
        <v>7.6</v>
      </c>
      <c r="L551" s="24">
        <f>IFERROR(__xludf.DUMMYFUNCTION("""COMPUTED_VALUE"""),2.0)</f>
        <v>2</v>
      </c>
      <c r="M551" s="25" t="str">
        <f>IFERROR(__xludf.DUMMYFUNCTION("""COMPUTED_VALUE"""),"Action-Adventure")</f>
        <v>Action-Adventure</v>
      </c>
      <c r="N551" s="25"/>
      <c r="O551" s="26" t="str">
        <f>IFERROR(__xludf.DUMMYFUNCTION("""COMPUTED_VALUE"""),"No")</f>
        <v>No</v>
      </c>
      <c r="P551" s="26"/>
    </row>
    <row r="552" hidden="1">
      <c r="A552" s="13" t="str">
        <f>IFERROR(__xludf.DUMMYFUNCTION("""COMPUTED_VALUE"""),"Call of Juarez: Gunslinger")</f>
        <v>Call of Juarez: Gunslinger</v>
      </c>
      <c r="B552" s="15" t="str">
        <f>IFERROR(__xludf.DUMMYFUNCTION("""COMPUTED_VALUE"""),"PS3")</f>
        <v>PS3</v>
      </c>
      <c r="C552" s="16" t="str">
        <f>IFERROR(__xludf.DUMMYFUNCTION("""COMPUTED_VALUE"""),"Playstation Plus (Discontinued)")</f>
        <v>Playstation Plus (Discontinued)</v>
      </c>
      <c r="D552" s="15" t="str">
        <f>IFERROR(__xludf.DUMMYFUNCTION("""COMPUTED_VALUE"""),"Removed")</f>
        <v>Removed</v>
      </c>
      <c r="E552" s="17">
        <f>IFERROR(__xludf.DUMMYFUNCTION("""COMPUTED_VALUE"""),42157.0)</f>
        <v>42157</v>
      </c>
      <c r="F552" s="54">
        <f>IFERROR(__xludf.DUMMYFUNCTION("""COMPUTED_VALUE"""),42191.0)</f>
        <v>42191</v>
      </c>
      <c r="G552" s="19">
        <f>IFERROR(__xludf.DUMMYFUNCTION("""COMPUTED_VALUE"""),1.1333333333333333)</f>
        <v>1.133333333</v>
      </c>
      <c r="H552" s="17">
        <f>IFERROR(__xludf.DUMMYFUNCTION("""COMPUTED_VALUE"""),41416.0)</f>
        <v>41416</v>
      </c>
      <c r="I552" s="19">
        <f>IFERROR(__xludf.DUMMYFUNCTION("""COMPUTED_VALUE"""),2.0277777777777777)</f>
        <v>2.027777778</v>
      </c>
      <c r="J552" s="21">
        <f>IFERROR(__xludf.DUMMYFUNCTION("""COMPUTED_VALUE"""),79.0)</f>
        <v>79</v>
      </c>
      <c r="K552" s="23">
        <f>IFERROR(__xludf.DUMMYFUNCTION("""COMPUTED_VALUE"""),8.1)</f>
        <v>8.1</v>
      </c>
      <c r="L552" s="24">
        <f>IFERROR(__xludf.DUMMYFUNCTION("""COMPUTED_VALUE"""),5.0)</f>
        <v>5</v>
      </c>
      <c r="M552" s="25" t="str">
        <f>IFERROR(__xludf.DUMMYFUNCTION("""COMPUTED_VALUE"""),"Shooter")</f>
        <v>Shooter</v>
      </c>
      <c r="N552" s="25"/>
      <c r="O552" s="26" t="str">
        <f>IFERROR(__xludf.DUMMYFUNCTION("""COMPUTED_VALUE"""),"No")</f>
        <v>No</v>
      </c>
      <c r="P552" s="26"/>
    </row>
    <row r="553" hidden="1">
      <c r="A553" s="13" t="str">
        <f>IFERROR(__xludf.DUMMYFUNCTION("""COMPUTED_VALUE"""),"Cloudberry Kingdom")</f>
        <v>Cloudberry Kingdom</v>
      </c>
      <c r="B553" s="15" t="str">
        <f>IFERROR(__xludf.DUMMYFUNCTION("""COMPUTED_VALUE"""),"PS3")</f>
        <v>PS3</v>
      </c>
      <c r="C553" s="16" t="str">
        <f>IFERROR(__xludf.DUMMYFUNCTION("""COMPUTED_VALUE"""),"Playstation Plus (Discontinued)")</f>
        <v>Playstation Plus (Discontinued)</v>
      </c>
      <c r="D553" s="15" t="str">
        <f>IFERROR(__xludf.DUMMYFUNCTION("""COMPUTED_VALUE"""),"Removed")</f>
        <v>Removed</v>
      </c>
      <c r="E553" s="17">
        <f>IFERROR(__xludf.DUMMYFUNCTION("""COMPUTED_VALUE"""),42157.0)</f>
        <v>42157</v>
      </c>
      <c r="F553" s="54">
        <f>IFERROR(__xludf.DUMMYFUNCTION("""COMPUTED_VALUE"""),42191.0)</f>
        <v>42191</v>
      </c>
      <c r="G553" s="19">
        <f>IFERROR(__xludf.DUMMYFUNCTION("""COMPUTED_VALUE"""),1.1333333333333333)</f>
        <v>1.133333333</v>
      </c>
      <c r="H553" s="17">
        <f>IFERROR(__xludf.DUMMYFUNCTION("""COMPUTED_VALUE"""),41485.0)</f>
        <v>41485</v>
      </c>
      <c r="I553" s="19">
        <f>IFERROR(__xludf.DUMMYFUNCTION("""COMPUTED_VALUE"""),1.8388888888888888)</f>
        <v>1.838888889</v>
      </c>
      <c r="J553" s="21">
        <f>IFERROR(__xludf.DUMMYFUNCTION("""COMPUTED_VALUE"""),71.0)</f>
        <v>71</v>
      </c>
      <c r="K553" s="23">
        <f>IFERROR(__xludf.DUMMYFUNCTION("""COMPUTED_VALUE"""),7.4)</f>
        <v>7.4</v>
      </c>
      <c r="L553" s="24">
        <f>IFERROR(__xludf.DUMMYFUNCTION("""COMPUTED_VALUE"""),6.0)</f>
        <v>6</v>
      </c>
      <c r="M553" s="25" t="str">
        <f>IFERROR(__xludf.DUMMYFUNCTION("""COMPUTED_VALUE"""),"Platformer")</f>
        <v>Platformer</v>
      </c>
      <c r="N553" s="25"/>
      <c r="O553" s="26" t="str">
        <f>IFERROR(__xludf.DUMMYFUNCTION("""COMPUTED_VALUE"""),"No")</f>
        <v>No</v>
      </c>
      <c r="P553" s="26"/>
    </row>
    <row r="554">
      <c r="A554" s="13" t="str">
        <f>IFERROR(__xludf.DUMMYFUNCTION("""COMPUTED_VALUE"""),"Ether One")</f>
        <v>Ether One</v>
      </c>
      <c r="B554" s="15" t="str">
        <f>IFERROR(__xludf.DUMMYFUNCTION("""COMPUTED_VALUE"""),"PS4")</f>
        <v>PS4</v>
      </c>
      <c r="C554" s="16" t="str">
        <f>IFERROR(__xludf.DUMMYFUNCTION("""COMPUTED_VALUE"""),"Playstation Plus (Discontinued)")</f>
        <v>Playstation Plus (Discontinued)</v>
      </c>
      <c r="D554" s="15" t="str">
        <f>IFERROR(__xludf.DUMMYFUNCTION("""COMPUTED_VALUE"""),"Removed")</f>
        <v>Removed</v>
      </c>
      <c r="E554" s="17">
        <f>IFERROR(__xludf.DUMMYFUNCTION("""COMPUTED_VALUE"""),42129.0)</f>
        <v>42129</v>
      </c>
      <c r="F554" s="54">
        <f>IFERROR(__xludf.DUMMYFUNCTION("""COMPUTED_VALUE"""),42156.0)</f>
        <v>42156</v>
      </c>
      <c r="G554" s="19">
        <f>IFERROR(__xludf.DUMMYFUNCTION("""COMPUTED_VALUE"""),0.8666666666666666)</f>
        <v>0.8666666667</v>
      </c>
      <c r="H554" s="17">
        <f>IFERROR(__xludf.DUMMYFUNCTION("""COMPUTED_VALUE"""),42094.0)</f>
        <v>42094</v>
      </c>
      <c r="I554" s="19">
        <f>IFERROR(__xludf.DUMMYFUNCTION("""COMPUTED_VALUE"""),0.09722222222222222)</f>
        <v>0.09722222222</v>
      </c>
      <c r="J554" s="21">
        <f>IFERROR(__xludf.DUMMYFUNCTION("""COMPUTED_VALUE"""),74.0)</f>
        <v>74</v>
      </c>
      <c r="K554" s="23">
        <f>IFERROR(__xludf.DUMMYFUNCTION("""COMPUTED_VALUE"""),6.8)</f>
        <v>6.8</v>
      </c>
      <c r="L554" s="24">
        <f>IFERROR(__xludf.DUMMYFUNCTION("""COMPUTED_VALUE"""),5.0)</f>
        <v>5</v>
      </c>
      <c r="M554" s="25" t="str">
        <f>IFERROR(__xludf.DUMMYFUNCTION("""COMPUTED_VALUE"""),"Adventure")</f>
        <v>Adventure</v>
      </c>
      <c r="N554" s="25"/>
      <c r="O554" s="26" t="str">
        <f>IFERROR(__xludf.DUMMYFUNCTION("""COMPUTED_VALUE"""),"No")</f>
        <v>No</v>
      </c>
      <c r="P554" s="26"/>
    </row>
    <row r="555">
      <c r="A555" s="13" t="str">
        <f>IFERROR(__xludf.DUMMYFUNCTION("""COMPUTED_VALUE"""),"Hohokum")</f>
        <v>Hohokum</v>
      </c>
      <c r="B555" s="15" t="str">
        <f>IFERROR(__xludf.DUMMYFUNCTION("""COMPUTED_VALUE"""),"PS4/PS3/Vita")</f>
        <v>PS4/PS3/Vita</v>
      </c>
      <c r="C555" s="16" t="str">
        <f>IFERROR(__xludf.DUMMYFUNCTION("""COMPUTED_VALUE"""),"Playstation Plus (Discontinued)")</f>
        <v>Playstation Plus (Discontinued)</v>
      </c>
      <c r="D555" s="15" t="str">
        <f>IFERROR(__xludf.DUMMYFUNCTION("""COMPUTED_VALUE"""),"Removed")</f>
        <v>Removed</v>
      </c>
      <c r="E555" s="17">
        <f>IFERROR(__xludf.DUMMYFUNCTION("""COMPUTED_VALUE"""),42129.0)</f>
        <v>42129</v>
      </c>
      <c r="F555" s="54">
        <f>IFERROR(__xludf.DUMMYFUNCTION("""COMPUTED_VALUE"""),42156.0)</f>
        <v>42156</v>
      </c>
      <c r="G555" s="19">
        <f>IFERROR(__xludf.DUMMYFUNCTION("""COMPUTED_VALUE"""),0.8666666666666666)</f>
        <v>0.8666666667</v>
      </c>
      <c r="H555" s="17">
        <f>IFERROR(__xludf.DUMMYFUNCTION("""COMPUTED_VALUE"""),41863.0)</f>
        <v>41863</v>
      </c>
      <c r="I555" s="19">
        <f>IFERROR(__xludf.DUMMYFUNCTION("""COMPUTED_VALUE"""),0.7305555555555555)</f>
        <v>0.7305555556</v>
      </c>
      <c r="J555" s="21">
        <f>IFERROR(__xludf.DUMMYFUNCTION("""COMPUTED_VALUE"""),70.0)</f>
        <v>70</v>
      </c>
      <c r="K555" s="23">
        <f>IFERROR(__xludf.DUMMYFUNCTION("""COMPUTED_VALUE"""),6.7)</f>
        <v>6.7</v>
      </c>
      <c r="L555" s="24">
        <f>IFERROR(__xludf.DUMMYFUNCTION("""COMPUTED_VALUE"""),4.0)</f>
        <v>4</v>
      </c>
      <c r="M555" s="25" t="str">
        <f>IFERROR(__xludf.DUMMYFUNCTION("""COMPUTED_VALUE"""),"Adventure")</f>
        <v>Adventure</v>
      </c>
      <c r="N555" s="25"/>
      <c r="O555" s="26" t="str">
        <f>IFERROR(__xludf.DUMMYFUNCTION("""COMPUTED_VALUE"""),"No")</f>
        <v>No</v>
      </c>
      <c r="P555" s="26"/>
    </row>
    <row r="556">
      <c r="A556" s="13" t="str">
        <f>IFERROR(__xludf.DUMMYFUNCTION("""COMPUTED_VALUE"""),"Guacamelee! Super Turbo Championship Edition")</f>
        <v>Guacamelee! Super Turbo Championship Edition</v>
      </c>
      <c r="B556" s="15" t="str">
        <f>IFERROR(__xludf.DUMMYFUNCTION("""COMPUTED_VALUE"""),"PS4")</f>
        <v>PS4</v>
      </c>
      <c r="C556" s="16" t="str">
        <f>IFERROR(__xludf.DUMMYFUNCTION("""COMPUTED_VALUE"""),"Playstation Plus (Discontinued)")</f>
        <v>Playstation Plus (Discontinued)</v>
      </c>
      <c r="D556" s="15" t="str">
        <f>IFERROR(__xludf.DUMMYFUNCTION("""COMPUTED_VALUE"""),"Removed")</f>
        <v>Removed</v>
      </c>
      <c r="E556" s="17">
        <f>IFERROR(__xludf.DUMMYFUNCTION("""COMPUTED_VALUE"""),42129.0)</f>
        <v>42129</v>
      </c>
      <c r="F556" s="54">
        <f>IFERROR(__xludf.DUMMYFUNCTION("""COMPUTED_VALUE"""),42156.0)</f>
        <v>42156</v>
      </c>
      <c r="G556" s="19">
        <f>IFERROR(__xludf.DUMMYFUNCTION("""COMPUTED_VALUE"""),0.8666666666666666)</f>
        <v>0.8666666667</v>
      </c>
      <c r="H556" s="17">
        <f>IFERROR(__xludf.DUMMYFUNCTION("""COMPUTED_VALUE"""),41821.0)</f>
        <v>41821</v>
      </c>
      <c r="I556" s="19">
        <f>IFERROR(__xludf.DUMMYFUNCTION("""COMPUTED_VALUE"""),0.8444444444444444)</f>
        <v>0.8444444444</v>
      </c>
      <c r="J556" s="21">
        <f>IFERROR(__xludf.DUMMYFUNCTION("""COMPUTED_VALUE"""),86.0)</f>
        <v>86</v>
      </c>
      <c r="K556" s="23">
        <f>IFERROR(__xludf.DUMMYFUNCTION("""COMPUTED_VALUE"""),8.0)</f>
        <v>8</v>
      </c>
      <c r="L556" s="24">
        <f>IFERROR(__xludf.DUMMYFUNCTION("""COMPUTED_VALUE"""),7.0)</f>
        <v>7</v>
      </c>
      <c r="M556" s="25" t="str">
        <f>IFERROR(__xludf.DUMMYFUNCTION("""COMPUTED_VALUE"""),"Platformer")</f>
        <v>Platformer</v>
      </c>
      <c r="N556" s="25"/>
      <c r="O556" s="26" t="str">
        <f>IFERROR(__xludf.DUMMYFUNCTION("""COMPUTED_VALUE"""),"No")</f>
        <v>No</v>
      </c>
      <c r="P556" s="26"/>
    </row>
    <row r="557">
      <c r="A557" s="13" t="str">
        <f>IFERROR(__xludf.DUMMYFUNCTION("""COMPUTED_VALUE"""),"The Unfinished Swan")</f>
        <v>The Unfinished Swan</v>
      </c>
      <c r="B557" s="15" t="str">
        <f>IFERROR(__xludf.DUMMYFUNCTION("""COMPUTED_VALUE"""),"PS4/PS3/Vita")</f>
        <v>PS4/PS3/Vita</v>
      </c>
      <c r="C557" s="16" t="str">
        <f>IFERROR(__xludf.DUMMYFUNCTION("""COMPUTED_VALUE"""),"Playstation Plus (Discontinued)")</f>
        <v>Playstation Plus (Discontinued)</v>
      </c>
      <c r="D557" s="15" t="str">
        <f>IFERROR(__xludf.DUMMYFUNCTION("""COMPUTED_VALUE"""),"Removed")</f>
        <v>Removed</v>
      </c>
      <c r="E557" s="17">
        <f>IFERROR(__xludf.DUMMYFUNCTION("""COMPUTED_VALUE"""),42129.0)</f>
        <v>42129</v>
      </c>
      <c r="F557" s="54">
        <f>IFERROR(__xludf.DUMMYFUNCTION("""COMPUTED_VALUE"""),42156.0)</f>
        <v>42156</v>
      </c>
      <c r="G557" s="19">
        <f>IFERROR(__xludf.DUMMYFUNCTION("""COMPUTED_VALUE"""),0.8666666666666666)</f>
        <v>0.8666666667</v>
      </c>
      <c r="H557" s="17">
        <f>IFERROR(__xludf.DUMMYFUNCTION("""COMPUTED_VALUE"""),41205.0)</f>
        <v>41205</v>
      </c>
      <c r="I557" s="19">
        <f>IFERROR(__xludf.DUMMYFUNCTION("""COMPUTED_VALUE"""),2.533333333333333)</f>
        <v>2.533333333</v>
      </c>
      <c r="J557" s="21">
        <f>IFERROR(__xludf.DUMMYFUNCTION("""COMPUTED_VALUE"""),79.0)</f>
        <v>79</v>
      </c>
      <c r="K557" s="23">
        <f>IFERROR(__xludf.DUMMYFUNCTION("""COMPUTED_VALUE"""),7.6)</f>
        <v>7.6</v>
      </c>
      <c r="L557" s="24">
        <f>IFERROR(__xludf.DUMMYFUNCTION("""COMPUTED_VALUE"""),3.0)</f>
        <v>3</v>
      </c>
      <c r="M557" s="25" t="str">
        <f>IFERROR(__xludf.DUMMYFUNCTION("""COMPUTED_VALUE"""),"Adventure")</f>
        <v>Adventure</v>
      </c>
      <c r="N557" s="25"/>
      <c r="O557" s="26" t="str">
        <f>IFERROR(__xludf.DUMMYFUNCTION("""COMPUTED_VALUE"""),"No")</f>
        <v>No</v>
      </c>
      <c r="P557" s="26"/>
    </row>
    <row r="558" hidden="1">
      <c r="A558" s="13" t="str">
        <f>IFERROR(__xludf.DUMMYFUNCTION("""COMPUTED_VALUE"""),"Race the Sun")</f>
        <v>Race the Sun</v>
      </c>
      <c r="B558" s="15" t="str">
        <f>IFERROR(__xludf.DUMMYFUNCTION("""COMPUTED_VALUE"""),"PS4/PS3/Vita")</f>
        <v>PS4/PS3/Vita</v>
      </c>
      <c r="C558" s="16" t="str">
        <f>IFERROR(__xludf.DUMMYFUNCTION("""COMPUTED_VALUE"""),"Playstation Plus (Discontinued)")</f>
        <v>Playstation Plus (Discontinued)</v>
      </c>
      <c r="D558" s="15" t="str">
        <f>IFERROR(__xludf.DUMMYFUNCTION("""COMPUTED_VALUE"""),"Removed")</f>
        <v>Removed</v>
      </c>
      <c r="E558" s="17">
        <f>IFERROR(__xludf.DUMMYFUNCTION("""COMPUTED_VALUE"""),42129.0)</f>
        <v>42129</v>
      </c>
      <c r="F558" s="54">
        <f>IFERROR(__xludf.DUMMYFUNCTION("""COMPUTED_VALUE"""),42156.0)</f>
        <v>42156</v>
      </c>
      <c r="G558" s="19">
        <f>IFERROR(__xludf.DUMMYFUNCTION("""COMPUTED_VALUE"""),0.8666666666666666)</f>
        <v>0.8666666667</v>
      </c>
      <c r="H558" s="17">
        <f>IFERROR(__xludf.DUMMYFUNCTION("""COMPUTED_VALUE"""),41982.0)</f>
        <v>41982</v>
      </c>
      <c r="I558" s="19">
        <f>IFERROR(__xludf.DUMMYFUNCTION("""COMPUTED_VALUE"""),0.40555555555555556)</f>
        <v>0.4055555556</v>
      </c>
      <c r="J558" s="21">
        <f>IFERROR(__xludf.DUMMYFUNCTION("""COMPUTED_VALUE"""),88.0)</f>
        <v>88</v>
      </c>
      <c r="K558" s="23">
        <f>IFERROR(__xludf.DUMMYFUNCTION("""COMPUTED_VALUE"""),7.5)</f>
        <v>7.5</v>
      </c>
      <c r="L558" s="24"/>
      <c r="M558" s="25" t="str">
        <f>IFERROR(__xludf.DUMMYFUNCTION("""COMPUTED_VALUE"""),"Racing")</f>
        <v>Racing</v>
      </c>
      <c r="N558" s="25"/>
      <c r="O558" s="26" t="str">
        <f>IFERROR(__xludf.DUMMYFUNCTION("""COMPUTED_VALUE"""),"No")</f>
        <v>No</v>
      </c>
      <c r="P558" s="26"/>
    </row>
    <row r="559">
      <c r="A559" s="13" t="str">
        <f>IFERROR(__xludf.DUMMYFUNCTION("""COMPUTED_VALUE"""),"Murasaki Baby")</f>
        <v>Murasaki Baby</v>
      </c>
      <c r="B559" s="15" t="str">
        <f>IFERROR(__xludf.DUMMYFUNCTION("""COMPUTED_VALUE"""),"Vita")</f>
        <v>Vita</v>
      </c>
      <c r="C559" s="16" t="str">
        <f>IFERROR(__xludf.DUMMYFUNCTION("""COMPUTED_VALUE"""),"Playstation Plus (Discontinued)")</f>
        <v>Playstation Plus (Discontinued)</v>
      </c>
      <c r="D559" s="15" t="str">
        <f>IFERROR(__xludf.DUMMYFUNCTION("""COMPUTED_VALUE"""),"Removed")</f>
        <v>Removed</v>
      </c>
      <c r="E559" s="17">
        <f>IFERROR(__xludf.DUMMYFUNCTION("""COMPUTED_VALUE"""),42129.0)</f>
        <v>42129</v>
      </c>
      <c r="F559" s="54">
        <f>IFERROR(__xludf.DUMMYFUNCTION("""COMPUTED_VALUE"""),42156.0)</f>
        <v>42156</v>
      </c>
      <c r="G559" s="19">
        <f>IFERROR(__xludf.DUMMYFUNCTION("""COMPUTED_VALUE"""),0.8666666666666666)</f>
        <v>0.8666666667</v>
      </c>
      <c r="H559" s="17">
        <f>IFERROR(__xludf.DUMMYFUNCTION("""COMPUTED_VALUE"""),41898.0)</f>
        <v>41898</v>
      </c>
      <c r="I559" s="19">
        <f>IFERROR(__xludf.DUMMYFUNCTION("""COMPUTED_VALUE"""),0.6361111111111111)</f>
        <v>0.6361111111</v>
      </c>
      <c r="J559" s="21">
        <f>IFERROR(__xludf.DUMMYFUNCTION("""COMPUTED_VALUE"""),62.0)</f>
        <v>62</v>
      </c>
      <c r="K559" s="23">
        <f>IFERROR(__xludf.DUMMYFUNCTION("""COMPUTED_VALUE"""),6.4)</f>
        <v>6.4</v>
      </c>
      <c r="L559" s="24">
        <f>IFERROR(__xludf.DUMMYFUNCTION("""COMPUTED_VALUE"""),2.0)</f>
        <v>2</v>
      </c>
      <c r="M559" s="25" t="str">
        <f>IFERROR(__xludf.DUMMYFUNCTION("""COMPUTED_VALUE"""),"Adventure")</f>
        <v>Adventure</v>
      </c>
      <c r="N559" s="25"/>
      <c r="O559" s="26" t="str">
        <f>IFERROR(__xludf.DUMMYFUNCTION("""COMPUTED_VALUE"""),"No")</f>
        <v>No</v>
      </c>
      <c r="P559" s="26"/>
    </row>
    <row r="560">
      <c r="A560" s="13" t="str">
        <f>IFERROR(__xludf.DUMMYFUNCTION("""COMPUTED_VALUE"""),"MonsterBag")</f>
        <v>MonsterBag</v>
      </c>
      <c r="B560" s="15" t="str">
        <f>IFERROR(__xludf.DUMMYFUNCTION("""COMPUTED_VALUE"""),"Vita")</f>
        <v>Vita</v>
      </c>
      <c r="C560" s="16" t="str">
        <f>IFERROR(__xludf.DUMMYFUNCTION("""COMPUTED_VALUE"""),"Playstation Plus (Discontinued)")</f>
        <v>Playstation Plus (Discontinued)</v>
      </c>
      <c r="D560" s="15" t="str">
        <f>IFERROR(__xludf.DUMMYFUNCTION("""COMPUTED_VALUE"""),"Removed")</f>
        <v>Removed</v>
      </c>
      <c r="E560" s="17">
        <f>IFERROR(__xludf.DUMMYFUNCTION("""COMPUTED_VALUE"""),42101.0)</f>
        <v>42101</v>
      </c>
      <c r="F560" s="54">
        <f>IFERROR(__xludf.DUMMYFUNCTION("""COMPUTED_VALUE"""),42128.0)</f>
        <v>42128</v>
      </c>
      <c r="G560" s="19">
        <f>IFERROR(__xludf.DUMMYFUNCTION("""COMPUTED_VALUE"""),0.8999999999999999)</f>
        <v>0.9</v>
      </c>
      <c r="H560" s="17">
        <f>IFERROR(__xludf.DUMMYFUNCTION("""COMPUTED_VALUE"""),42101.0)</f>
        <v>42101</v>
      </c>
      <c r="I560" s="19">
        <f>IFERROR(__xludf.DUMMYFUNCTION("""COMPUTED_VALUE"""),0.0)</f>
        <v>0</v>
      </c>
      <c r="J560" s="21">
        <f>IFERROR(__xludf.DUMMYFUNCTION("""COMPUTED_VALUE"""),61.0)</f>
        <v>61</v>
      </c>
      <c r="K560" s="23">
        <f>IFERROR(__xludf.DUMMYFUNCTION("""COMPUTED_VALUE"""),6.3)</f>
        <v>6.3</v>
      </c>
      <c r="L560" s="24">
        <f>IFERROR(__xludf.DUMMYFUNCTION("""COMPUTED_VALUE"""),4.0)</f>
        <v>4</v>
      </c>
      <c r="M560" s="25" t="str">
        <f>IFERROR(__xludf.DUMMYFUNCTION("""COMPUTED_VALUE"""),"Platformer")</f>
        <v>Platformer</v>
      </c>
      <c r="N560" s="25"/>
      <c r="O560" s="26" t="str">
        <f>IFERROR(__xludf.DUMMYFUNCTION("""COMPUTED_VALUE"""),"No")</f>
        <v>No</v>
      </c>
      <c r="P560" s="26"/>
    </row>
    <row r="561">
      <c r="A561" s="13" t="str">
        <f>IFERROR(__xludf.DUMMYFUNCTION("""COMPUTED_VALUE"""),"Killzone Mercenary")</f>
        <v>Killzone Mercenary</v>
      </c>
      <c r="B561" s="15" t="str">
        <f>IFERROR(__xludf.DUMMYFUNCTION("""COMPUTED_VALUE"""),"Vita")</f>
        <v>Vita</v>
      </c>
      <c r="C561" s="16" t="str">
        <f>IFERROR(__xludf.DUMMYFUNCTION("""COMPUTED_VALUE"""),"Playstation Plus (Discontinued)")</f>
        <v>Playstation Plus (Discontinued)</v>
      </c>
      <c r="D561" s="15" t="str">
        <f>IFERROR(__xludf.DUMMYFUNCTION("""COMPUTED_VALUE"""),"Removed")</f>
        <v>Removed</v>
      </c>
      <c r="E561" s="17">
        <f>IFERROR(__xludf.DUMMYFUNCTION("""COMPUTED_VALUE"""),42101.0)</f>
        <v>42101</v>
      </c>
      <c r="F561" s="54">
        <f>IFERROR(__xludf.DUMMYFUNCTION("""COMPUTED_VALUE"""),42128.0)</f>
        <v>42128</v>
      </c>
      <c r="G561" s="19">
        <f>IFERROR(__xludf.DUMMYFUNCTION("""COMPUTED_VALUE"""),0.8999999999999999)</f>
        <v>0.9</v>
      </c>
      <c r="H561" s="17">
        <f>IFERROR(__xludf.DUMMYFUNCTION("""COMPUTED_VALUE"""),41527.0)</f>
        <v>41527</v>
      </c>
      <c r="I561" s="19">
        <f>IFERROR(__xludf.DUMMYFUNCTION("""COMPUTED_VALUE"""),1.575)</f>
        <v>1.575</v>
      </c>
      <c r="J561" s="21">
        <f>IFERROR(__xludf.DUMMYFUNCTION("""COMPUTED_VALUE"""),78.0)</f>
        <v>78</v>
      </c>
      <c r="K561" s="23">
        <f>IFERROR(__xludf.DUMMYFUNCTION("""COMPUTED_VALUE"""),8.0)</f>
        <v>8</v>
      </c>
      <c r="L561" s="24">
        <f>IFERROR(__xludf.DUMMYFUNCTION("""COMPUTED_VALUE"""),5.0)</f>
        <v>5</v>
      </c>
      <c r="M561" s="25" t="str">
        <f>IFERROR(__xludf.DUMMYFUNCTION("""COMPUTED_VALUE"""),"Shooter")</f>
        <v>Shooter</v>
      </c>
      <c r="N561" s="25"/>
      <c r="O561" s="26" t="str">
        <f>IFERROR(__xludf.DUMMYFUNCTION("""COMPUTED_VALUE"""),"No")</f>
        <v>No</v>
      </c>
      <c r="P561" s="26"/>
    </row>
    <row r="562" hidden="1">
      <c r="A562" s="13" t="str">
        <f>IFERROR(__xludf.DUMMYFUNCTION("""COMPUTED_VALUE"""),"Dishonored")</f>
        <v>Dishonored</v>
      </c>
      <c r="B562" s="15" t="str">
        <f>IFERROR(__xludf.DUMMYFUNCTION("""COMPUTED_VALUE"""),"PS3")</f>
        <v>PS3</v>
      </c>
      <c r="C562" s="16" t="str">
        <f>IFERROR(__xludf.DUMMYFUNCTION("""COMPUTED_VALUE"""),"Playstation Plus (Discontinued)")</f>
        <v>Playstation Plus (Discontinued)</v>
      </c>
      <c r="D562" s="15" t="str">
        <f>IFERROR(__xludf.DUMMYFUNCTION("""COMPUTED_VALUE"""),"Removed")</f>
        <v>Removed</v>
      </c>
      <c r="E562" s="17">
        <f>IFERROR(__xludf.DUMMYFUNCTION("""COMPUTED_VALUE"""),42101.0)</f>
        <v>42101</v>
      </c>
      <c r="F562" s="54">
        <f>IFERROR(__xludf.DUMMYFUNCTION("""COMPUTED_VALUE"""),42128.0)</f>
        <v>42128</v>
      </c>
      <c r="G562" s="19">
        <f>IFERROR(__xludf.DUMMYFUNCTION("""COMPUTED_VALUE"""),0.8999999999999999)</f>
        <v>0.9</v>
      </c>
      <c r="H562" s="17">
        <f>IFERROR(__xludf.DUMMYFUNCTION("""COMPUTED_VALUE"""),41191.0)</f>
        <v>41191</v>
      </c>
      <c r="I562" s="19">
        <f>IFERROR(__xludf.DUMMYFUNCTION("""COMPUTED_VALUE"""),2.4944444444444445)</f>
        <v>2.494444444</v>
      </c>
      <c r="J562" s="21">
        <f>IFERROR(__xludf.DUMMYFUNCTION("""COMPUTED_VALUE"""),88.0)</f>
        <v>88</v>
      </c>
      <c r="K562" s="23">
        <f>IFERROR(__xludf.DUMMYFUNCTION("""COMPUTED_VALUE"""),8.6)</f>
        <v>8.6</v>
      </c>
      <c r="L562" s="24">
        <f>IFERROR(__xludf.DUMMYFUNCTION("""COMPUTED_VALUE"""),12.0)</f>
        <v>12</v>
      </c>
      <c r="M562" s="25" t="str">
        <f>IFERROR(__xludf.DUMMYFUNCTION("""COMPUTED_VALUE"""),"Action-Adventure")</f>
        <v>Action-Adventure</v>
      </c>
      <c r="N562" s="25"/>
      <c r="O562" s="26" t="str">
        <f>IFERROR(__xludf.DUMMYFUNCTION("""COMPUTED_VALUE"""),"No")</f>
        <v>No</v>
      </c>
      <c r="P562" s="26"/>
    </row>
    <row r="563">
      <c r="A563" s="13" t="str">
        <f>IFERROR(__xludf.DUMMYFUNCTION("""COMPUTED_VALUE"""),"Never Alone")</f>
        <v>Never Alone</v>
      </c>
      <c r="B563" s="15" t="str">
        <f>IFERROR(__xludf.DUMMYFUNCTION("""COMPUTED_VALUE"""),"PS4")</f>
        <v>PS4</v>
      </c>
      <c r="C563" s="16" t="str">
        <f>IFERROR(__xludf.DUMMYFUNCTION("""COMPUTED_VALUE"""),"Playstation Plus (Discontinued)")</f>
        <v>Playstation Plus (Discontinued)</v>
      </c>
      <c r="D563" s="15" t="str">
        <f>IFERROR(__xludf.DUMMYFUNCTION("""COMPUTED_VALUE"""),"Removed")</f>
        <v>Removed</v>
      </c>
      <c r="E563" s="17">
        <f>IFERROR(__xludf.DUMMYFUNCTION("""COMPUTED_VALUE"""),42101.0)</f>
        <v>42101</v>
      </c>
      <c r="F563" s="54">
        <f>IFERROR(__xludf.DUMMYFUNCTION("""COMPUTED_VALUE"""),42128.0)</f>
        <v>42128</v>
      </c>
      <c r="G563" s="19">
        <f>IFERROR(__xludf.DUMMYFUNCTION("""COMPUTED_VALUE"""),0.8999999999999999)</f>
        <v>0.9</v>
      </c>
      <c r="H563" s="17">
        <f>IFERROR(__xludf.DUMMYFUNCTION("""COMPUTED_VALUE"""),41961.0)</f>
        <v>41961</v>
      </c>
      <c r="I563" s="19">
        <f>IFERROR(__xludf.DUMMYFUNCTION("""COMPUTED_VALUE"""),0.3861111111111111)</f>
        <v>0.3861111111</v>
      </c>
      <c r="J563" s="21">
        <f>IFERROR(__xludf.DUMMYFUNCTION("""COMPUTED_VALUE"""),69.0)</f>
        <v>69</v>
      </c>
      <c r="K563" s="23">
        <f>IFERROR(__xludf.DUMMYFUNCTION("""COMPUTED_VALUE"""),6.6)</f>
        <v>6.6</v>
      </c>
      <c r="L563" s="24">
        <f>IFERROR(__xludf.DUMMYFUNCTION("""COMPUTED_VALUE"""),4.0)</f>
        <v>4</v>
      </c>
      <c r="M563" s="25" t="str">
        <f>IFERROR(__xludf.DUMMYFUNCTION("""COMPUTED_VALUE"""),"Platformer")</f>
        <v>Platformer</v>
      </c>
      <c r="N563" s="25"/>
      <c r="O563" s="26" t="str">
        <f>IFERROR(__xludf.DUMMYFUNCTION("""COMPUTED_VALUE"""),"No")</f>
        <v>No</v>
      </c>
      <c r="P563" s="26"/>
    </row>
    <row r="564" hidden="1">
      <c r="A564" s="13" t="str">
        <f>IFERROR(__xludf.DUMMYFUNCTION("""COMPUTED_VALUE"""),"Aaru's Awakening")</f>
        <v>Aaru's Awakening</v>
      </c>
      <c r="B564" s="15" t="str">
        <f>IFERROR(__xludf.DUMMYFUNCTION("""COMPUTED_VALUE"""),"PS4/PS3")</f>
        <v>PS4/PS3</v>
      </c>
      <c r="C564" s="16" t="str">
        <f>IFERROR(__xludf.DUMMYFUNCTION("""COMPUTED_VALUE"""),"Playstation Plus (Discontinued)")</f>
        <v>Playstation Plus (Discontinued)</v>
      </c>
      <c r="D564" s="15" t="str">
        <f>IFERROR(__xludf.DUMMYFUNCTION("""COMPUTED_VALUE"""),"Removed")</f>
        <v>Removed</v>
      </c>
      <c r="E564" s="17">
        <f>IFERROR(__xludf.DUMMYFUNCTION("""COMPUTED_VALUE"""),42101.0)</f>
        <v>42101</v>
      </c>
      <c r="F564" s="54">
        <f>IFERROR(__xludf.DUMMYFUNCTION("""COMPUTED_VALUE"""),42128.0)</f>
        <v>42128</v>
      </c>
      <c r="G564" s="19">
        <f>IFERROR(__xludf.DUMMYFUNCTION("""COMPUTED_VALUE"""),0.8999999999999999)</f>
        <v>0.9</v>
      </c>
      <c r="H564" s="17">
        <f>IFERROR(__xludf.DUMMYFUNCTION("""COMPUTED_VALUE"""),42094.0)</f>
        <v>42094</v>
      </c>
      <c r="I564" s="19">
        <f>IFERROR(__xludf.DUMMYFUNCTION("""COMPUTED_VALUE"""),0.019444444444444445)</f>
        <v>0.01944444444</v>
      </c>
      <c r="J564" s="21">
        <f>IFERROR(__xludf.DUMMYFUNCTION("""COMPUTED_VALUE"""),65.0)</f>
        <v>65</v>
      </c>
      <c r="K564" s="23">
        <f>IFERROR(__xludf.DUMMYFUNCTION("""COMPUTED_VALUE"""),6.6)</f>
        <v>6.6</v>
      </c>
      <c r="L564" s="24">
        <f>IFERROR(__xludf.DUMMYFUNCTION("""COMPUTED_VALUE"""),4.0)</f>
        <v>4</v>
      </c>
      <c r="M564" s="25" t="str">
        <f>IFERROR(__xludf.DUMMYFUNCTION("""COMPUTED_VALUE"""),"Platformer")</f>
        <v>Platformer</v>
      </c>
      <c r="N564" s="25"/>
      <c r="O564" s="26" t="str">
        <f>IFERROR(__xludf.DUMMYFUNCTION("""COMPUTED_VALUE"""),"No")</f>
        <v>No</v>
      </c>
      <c r="P564" s="26"/>
    </row>
    <row r="565" hidden="1">
      <c r="A565" s="13" t="str">
        <f>IFERROR(__xludf.DUMMYFUNCTION("""COMPUTED_VALUE"""),"Tower of Guns")</f>
        <v>Tower of Guns</v>
      </c>
      <c r="B565" s="15" t="str">
        <f>IFERROR(__xludf.DUMMYFUNCTION("""COMPUTED_VALUE"""),"PS4/PS3")</f>
        <v>PS4/PS3</v>
      </c>
      <c r="C565" s="16" t="str">
        <f>IFERROR(__xludf.DUMMYFUNCTION("""COMPUTED_VALUE"""),"Playstation Plus (Discontinued)")</f>
        <v>Playstation Plus (Discontinued)</v>
      </c>
      <c r="D565" s="15" t="str">
        <f>IFERROR(__xludf.DUMMYFUNCTION("""COMPUTED_VALUE"""),"Removed")</f>
        <v>Removed</v>
      </c>
      <c r="E565" s="17">
        <f>IFERROR(__xludf.DUMMYFUNCTION("""COMPUTED_VALUE"""),42101.0)</f>
        <v>42101</v>
      </c>
      <c r="F565" s="54">
        <f>IFERROR(__xludf.DUMMYFUNCTION("""COMPUTED_VALUE"""),42128.0)</f>
        <v>42128</v>
      </c>
      <c r="G565" s="19">
        <f>IFERROR(__xludf.DUMMYFUNCTION("""COMPUTED_VALUE"""),0.8999999999999999)</f>
        <v>0.9</v>
      </c>
      <c r="H565" s="17">
        <f>IFERROR(__xludf.DUMMYFUNCTION("""COMPUTED_VALUE"""),42073.0)</f>
        <v>42073</v>
      </c>
      <c r="I565" s="19">
        <f>IFERROR(__xludf.DUMMYFUNCTION("""COMPUTED_VALUE"""),0.075)</f>
        <v>0.075</v>
      </c>
      <c r="J565" s="21">
        <f>IFERROR(__xludf.DUMMYFUNCTION("""COMPUTED_VALUE"""),72.0)</f>
        <v>72</v>
      </c>
      <c r="K565" s="23">
        <f>IFERROR(__xludf.DUMMYFUNCTION("""COMPUTED_VALUE"""),6.9)</f>
        <v>6.9</v>
      </c>
      <c r="L565" s="24">
        <f>IFERROR(__xludf.DUMMYFUNCTION("""COMPUTED_VALUE"""),4.0)</f>
        <v>4</v>
      </c>
      <c r="M565" s="25" t="str">
        <f>IFERROR(__xludf.DUMMYFUNCTION("""COMPUTED_VALUE"""),"Shooter")</f>
        <v>Shooter</v>
      </c>
      <c r="N565" s="25"/>
      <c r="O565" s="26" t="str">
        <f>IFERROR(__xludf.DUMMYFUNCTION("""COMPUTED_VALUE"""),"No")</f>
        <v>No</v>
      </c>
      <c r="P565" s="26"/>
    </row>
    <row r="566">
      <c r="A566" s="13" t="str">
        <f>IFERROR(__xludf.DUMMYFUNCTION("""COMPUTED_VALUE"""),"Mighty Flip Champs! DX")</f>
        <v>Mighty Flip Champs! DX</v>
      </c>
      <c r="B566" s="15" t="str">
        <f>IFERROR(__xludf.DUMMYFUNCTION("""COMPUTED_VALUE"""),"PS3/Vita")</f>
        <v>PS3/Vita</v>
      </c>
      <c r="C566" s="16" t="str">
        <f>IFERROR(__xludf.DUMMYFUNCTION("""COMPUTED_VALUE"""),"Playstation Plus (Discontinued)")</f>
        <v>Playstation Plus (Discontinued)</v>
      </c>
      <c r="D566" s="15" t="str">
        <f>IFERROR(__xludf.DUMMYFUNCTION("""COMPUTED_VALUE"""),"Removed")</f>
        <v>Removed</v>
      </c>
      <c r="E566" s="17">
        <f>IFERROR(__xludf.DUMMYFUNCTION("""COMPUTED_VALUE"""),42074.0)</f>
        <v>42074</v>
      </c>
      <c r="F566" s="54">
        <f>IFERROR(__xludf.DUMMYFUNCTION("""COMPUTED_VALUE"""),42100.0)</f>
        <v>42100</v>
      </c>
      <c r="G566" s="19">
        <f>IFERROR(__xludf.DUMMYFUNCTION("""COMPUTED_VALUE"""),0.8333333333333334)</f>
        <v>0.8333333333</v>
      </c>
      <c r="H566" s="17">
        <f>IFERROR(__xludf.DUMMYFUNCTION("""COMPUTED_VALUE"""),41859.0)</f>
        <v>41859</v>
      </c>
      <c r="I566" s="19">
        <f>IFERROR(__xludf.DUMMYFUNCTION("""COMPUTED_VALUE"""),0.5916666666666667)</f>
        <v>0.5916666667</v>
      </c>
      <c r="J566" s="21">
        <f>IFERROR(__xludf.DUMMYFUNCTION("""COMPUTED_VALUE"""),76.0)</f>
        <v>76</v>
      </c>
      <c r="K566" s="23">
        <f>IFERROR(__xludf.DUMMYFUNCTION("""COMPUTED_VALUE"""),7.0)</f>
        <v>7</v>
      </c>
      <c r="L566" s="24">
        <f>IFERROR(__xludf.DUMMYFUNCTION("""COMPUTED_VALUE"""),2.0)</f>
        <v>2</v>
      </c>
      <c r="M566" s="25" t="str">
        <f>IFERROR(__xludf.DUMMYFUNCTION("""COMPUTED_VALUE"""),"Platformer")</f>
        <v>Platformer</v>
      </c>
      <c r="N566" s="25"/>
      <c r="O566" s="26" t="str">
        <f>IFERROR(__xludf.DUMMYFUNCTION("""COMPUTED_VALUE"""),"No")</f>
        <v>No</v>
      </c>
      <c r="P566" s="26"/>
    </row>
    <row r="567" hidden="1">
      <c r="A567" s="13" t="str">
        <f>IFERROR(__xludf.DUMMYFUNCTION("""COMPUTED_VALUE"""),"OlliOlli2: Welcome to Olliwood")</f>
        <v>OlliOlli2: Welcome to Olliwood</v>
      </c>
      <c r="B567" s="15" t="str">
        <f>IFERROR(__xludf.DUMMYFUNCTION("""COMPUTED_VALUE"""),"PS4/Vita")</f>
        <v>PS4/Vita</v>
      </c>
      <c r="C567" s="16" t="str">
        <f>IFERROR(__xludf.DUMMYFUNCTION("""COMPUTED_VALUE"""),"Playstation Plus (Discontinued)")</f>
        <v>Playstation Plus (Discontinued)</v>
      </c>
      <c r="D567" s="15" t="str">
        <f>IFERROR(__xludf.DUMMYFUNCTION("""COMPUTED_VALUE"""),"Removed")</f>
        <v>Removed</v>
      </c>
      <c r="E567" s="17">
        <f>IFERROR(__xludf.DUMMYFUNCTION("""COMPUTED_VALUE"""),42066.0)</f>
        <v>42066</v>
      </c>
      <c r="F567" s="54">
        <f>IFERROR(__xludf.DUMMYFUNCTION("""COMPUTED_VALUE"""),42073.0)</f>
        <v>42073</v>
      </c>
      <c r="G567" s="19">
        <f>IFERROR(__xludf.DUMMYFUNCTION("""COMPUTED_VALUE"""),0.23333333333333334)</f>
        <v>0.2333333333</v>
      </c>
      <c r="H567" s="17">
        <f>IFERROR(__xludf.DUMMYFUNCTION("""COMPUTED_VALUE"""),42066.0)</f>
        <v>42066</v>
      </c>
      <c r="I567" s="19">
        <f>IFERROR(__xludf.DUMMYFUNCTION("""COMPUTED_VALUE"""),0.0)</f>
        <v>0</v>
      </c>
      <c r="J567" s="21">
        <f>IFERROR(__xludf.DUMMYFUNCTION("""COMPUTED_VALUE"""),79.0)</f>
        <v>79</v>
      </c>
      <c r="K567" s="23">
        <f>IFERROR(__xludf.DUMMYFUNCTION("""COMPUTED_VALUE"""),7.8)</f>
        <v>7.8</v>
      </c>
      <c r="L567" s="24">
        <f>IFERROR(__xludf.DUMMYFUNCTION("""COMPUTED_VALUE"""),5.0)</f>
        <v>5</v>
      </c>
      <c r="M567" s="25" t="str">
        <f>IFERROR(__xludf.DUMMYFUNCTION("""COMPUTED_VALUE"""),"Sports")</f>
        <v>Sports</v>
      </c>
      <c r="N567" s="25"/>
      <c r="O567" s="26" t="str">
        <f>IFERROR(__xludf.DUMMYFUNCTION("""COMPUTED_VALUE"""),"No")</f>
        <v>No</v>
      </c>
      <c r="P567" s="26"/>
    </row>
    <row r="568">
      <c r="A568" s="13" t="str">
        <f>IFERROR(__xludf.DUMMYFUNCTION("""COMPUTED_VALUE"""),"CounterSpy")</f>
        <v>CounterSpy</v>
      </c>
      <c r="B568" s="15" t="str">
        <f>IFERROR(__xludf.DUMMYFUNCTION("""COMPUTED_VALUE"""),"PS4/PS3/Vita")</f>
        <v>PS4/PS3/Vita</v>
      </c>
      <c r="C568" s="16" t="str">
        <f>IFERROR(__xludf.DUMMYFUNCTION("""COMPUTED_VALUE"""),"Playstation Plus (Discontinued)")</f>
        <v>Playstation Plus (Discontinued)</v>
      </c>
      <c r="D568" s="15" t="str">
        <f>IFERROR(__xludf.DUMMYFUNCTION("""COMPUTED_VALUE"""),"Removed")</f>
        <v>Removed</v>
      </c>
      <c r="E568" s="17">
        <f>IFERROR(__xludf.DUMMYFUNCTION("""COMPUTED_VALUE"""),42066.0)</f>
        <v>42066</v>
      </c>
      <c r="F568" s="54">
        <f>IFERROR(__xludf.DUMMYFUNCTION("""COMPUTED_VALUE"""),42073.0)</f>
        <v>42073</v>
      </c>
      <c r="G568" s="19">
        <f>IFERROR(__xludf.DUMMYFUNCTION("""COMPUTED_VALUE"""),0.23333333333333334)</f>
        <v>0.2333333333</v>
      </c>
      <c r="H568" s="17">
        <f>IFERROR(__xludf.DUMMYFUNCTION("""COMPUTED_VALUE"""),41870.0)</f>
        <v>41870</v>
      </c>
      <c r="I568" s="19">
        <f>IFERROR(__xludf.DUMMYFUNCTION("""COMPUTED_VALUE"""),0.5388888888888889)</f>
        <v>0.5388888889</v>
      </c>
      <c r="J568" s="21">
        <f>IFERROR(__xludf.DUMMYFUNCTION("""COMPUTED_VALUE"""),71.0)</f>
        <v>71</v>
      </c>
      <c r="K568" s="23">
        <f>IFERROR(__xludf.DUMMYFUNCTION("""COMPUTED_VALUE"""),7.0)</f>
        <v>7</v>
      </c>
      <c r="L568" s="24">
        <f>IFERROR(__xludf.DUMMYFUNCTION("""COMPUTED_VALUE"""),5.0)</f>
        <v>5</v>
      </c>
      <c r="M568" s="25" t="str">
        <f>IFERROR(__xludf.DUMMYFUNCTION("""COMPUTED_VALUE"""),"Shooter")</f>
        <v>Shooter</v>
      </c>
      <c r="N568" s="25"/>
      <c r="O568" s="26" t="str">
        <f>IFERROR(__xludf.DUMMYFUNCTION("""COMPUTED_VALUE"""),"No")</f>
        <v>No</v>
      </c>
      <c r="P568" s="26"/>
    </row>
    <row r="569" hidden="1">
      <c r="A569" s="13" t="str">
        <f>IFERROR(__xludf.DUMMYFUNCTION("""COMPUTED_VALUE"""),"Sherlock Holmes: Crimes and Punishments")</f>
        <v>Sherlock Holmes: Crimes and Punishments</v>
      </c>
      <c r="B569" s="15" t="str">
        <f>IFERROR(__xludf.DUMMYFUNCTION("""COMPUTED_VALUE"""),"PS3")</f>
        <v>PS3</v>
      </c>
      <c r="C569" s="16" t="str">
        <f>IFERROR(__xludf.DUMMYFUNCTION("""COMPUTED_VALUE"""),"Playstation Plus (Discontinued)")</f>
        <v>Playstation Plus (Discontinued)</v>
      </c>
      <c r="D569" s="15" t="str">
        <f>IFERROR(__xludf.DUMMYFUNCTION("""COMPUTED_VALUE"""),"Removed")</f>
        <v>Removed</v>
      </c>
      <c r="E569" s="17">
        <f>IFERROR(__xludf.DUMMYFUNCTION("""COMPUTED_VALUE"""),42066.0)</f>
        <v>42066</v>
      </c>
      <c r="F569" s="54">
        <f>IFERROR(__xludf.DUMMYFUNCTION("""COMPUTED_VALUE"""),42073.0)</f>
        <v>42073</v>
      </c>
      <c r="G569" s="19">
        <f>IFERROR(__xludf.DUMMYFUNCTION("""COMPUTED_VALUE"""),0.23333333333333334)</f>
        <v>0.2333333333</v>
      </c>
      <c r="H569" s="17">
        <f>IFERROR(__xludf.DUMMYFUNCTION("""COMPUTED_VALUE"""),41912.0)</f>
        <v>41912</v>
      </c>
      <c r="I569" s="19">
        <f>IFERROR(__xludf.DUMMYFUNCTION("""COMPUTED_VALUE"""),0.425)</f>
        <v>0.425</v>
      </c>
      <c r="J569" s="21">
        <f>IFERROR(__xludf.DUMMYFUNCTION("""COMPUTED_VALUE"""),77.0)</f>
        <v>77</v>
      </c>
      <c r="K569" s="23">
        <f>IFERROR(__xludf.DUMMYFUNCTION("""COMPUTED_VALUE"""),7.7)</f>
        <v>7.7</v>
      </c>
      <c r="L569" s="24">
        <f>IFERROR(__xludf.DUMMYFUNCTION("""COMPUTED_VALUE"""),15.0)</f>
        <v>15</v>
      </c>
      <c r="M569" s="25" t="str">
        <f>IFERROR(__xludf.DUMMYFUNCTION("""COMPUTED_VALUE"""),"Adventure")</f>
        <v>Adventure</v>
      </c>
      <c r="N569" s="25"/>
      <c r="O569" s="26" t="str">
        <f>IFERROR(__xludf.DUMMYFUNCTION("""COMPUTED_VALUE"""),"No")</f>
        <v>No</v>
      </c>
      <c r="P569" s="26"/>
    </row>
    <row r="570">
      <c r="A570" s="13" t="str">
        <f>IFERROR(__xludf.DUMMYFUNCTION("""COMPUTED_VALUE"""),"Papo &amp; Yo")</f>
        <v>Papo &amp; Yo</v>
      </c>
      <c r="B570" s="15" t="str">
        <f>IFERROR(__xludf.DUMMYFUNCTION("""COMPUTED_VALUE"""),"PS3")</f>
        <v>PS3</v>
      </c>
      <c r="C570" s="16" t="str">
        <f>IFERROR(__xludf.DUMMYFUNCTION("""COMPUTED_VALUE"""),"Playstation Plus (Discontinued)")</f>
        <v>Playstation Plus (Discontinued)</v>
      </c>
      <c r="D570" s="15" t="str">
        <f>IFERROR(__xludf.DUMMYFUNCTION("""COMPUTED_VALUE"""),"Removed")</f>
        <v>Removed</v>
      </c>
      <c r="E570" s="17">
        <f>IFERROR(__xludf.DUMMYFUNCTION("""COMPUTED_VALUE"""),42066.0)</f>
        <v>42066</v>
      </c>
      <c r="F570" s="54">
        <f>IFERROR(__xludf.DUMMYFUNCTION("""COMPUTED_VALUE"""),42073.0)</f>
        <v>42073</v>
      </c>
      <c r="G570" s="19">
        <f>IFERROR(__xludf.DUMMYFUNCTION("""COMPUTED_VALUE"""),0.23333333333333334)</f>
        <v>0.2333333333</v>
      </c>
      <c r="H570" s="17">
        <f>IFERROR(__xludf.DUMMYFUNCTION("""COMPUTED_VALUE"""),41135.0)</f>
        <v>41135</v>
      </c>
      <c r="I570" s="19">
        <f>IFERROR(__xludf.DUMMYFUNCTION("""COMPUTED_VALUE"""),2.5527777777777776)</f>
        <v>2.552777778</v>
      </c>
      <c r="J570" s="21">
        <f>IFERROR(__xludf.DUMMYFUNCTION("""COMPUTED_VALUE"""),72.0)</f>
        <v>72</v>
      </c>
      <c r="K570" s="23">
        <f>IFERROR(__xludf.DUMMYFUNCTION("""COMPUTED_VALUE"""),7.4)</f>
        <v>7.4</v>
      </c>
      <c r="L570" s="24">
        <f>IFERROR(__xludf.DUMMYFUNCTION("""COMPUTED_VALUE"""),3.0)</f>
        <v>3</v>
      </c>
      <c r="M570" s="25" t="str">
        <f>IFERROR(__xludf.DUMMYFUNCTION("""COMPUTED_VALUE"""),"Adventure")</f>
        <v>Adventure</v>
      </c>
      <c r="N570" s="25"/>
      <c r="O570" s="26" t="str">
        <f>IFERROR(__xludf.DUMMYFUNCTION("""COMPUTED_VALUE"""),"No")</f>
        <v>No</v>
      </c>
      <c r="P570" s="26"/>
    </row>
    <row r="571">
      <c r="A571" s="13" t="str">
        <f>IFERROR(__xludf.DUMMYFUNCTION("""COMPUTED_VALUE"""),"Oddworld: New 'n' Tasty")</f>
        <v>Oddworld: New 'n' Tasty</v>
      </c>
      <c r="B571" s="15" t="str">
        <f>IFERROR(__xludf.DUMMYFUNCTION("""COMPUTED_VALUE"""),"PS4")</f>
        <v>PS4</v>
      </c>
      <c r="C571" s="16" t="str">
        <f>IFERROR(__xludf.DUMMYFUNCTION("""COMPUTED_VALUE"""),"Playstation Plus (Discontinued)")</f>
        <v>Playstation Plus (Discontinued)</v>
      </c>
      <c r="D571" s="15" t="str">
        <f>IFERROR(__xludf.DUMMYFUNCTION("""COMPUTED_VALUE"""),"Removed")</f>
        <v>Removed</v>
      </c>
      <c r="E571" s="17">
        <f>IFERROR(__xludf.DUMMYFUNCTION("""COMPUTED_VALUE"""),42066.0)</f>
        <v>42066</v>
      </c>
      <c r="F571" s="54">
        <f>IFERROR(__xludf.DUMMYFUNCTION("""COMPUTED_VALUE"""),42073.0)</f>
        <v>42073</v>
      </c>
      <c r="G571" s="19">
        <f>IFERROR(__xludf.DUMMYFUNCTION("""COMPUTED_VALUE"""),0.23333333333333334)</f>
        <v>0.2333333333</v>
      </c>
      <c r="H571" s="17">
        <f>IFERROR(__xludf.DUMMYFUNCTION("""COMPUTED_VALUE"""),41842.0)</f>
        <v>41842</v>
      </c>
      <c r="I571" s="19">
        <f>IFERROR(__xludf.DUMMYFUNCTION("""COMPUTED_VALUE"""),0.6138888888888889)</f>
        <v>0.6138888889</v>
      </c>
      <c r="J571" s="21">
        <f>IFERROR(__xludf.DUMMYFUNCTION("""COMPUTED_VALUE"""),84.0)</f>
        <v>84</v>
      </c>
      <c r="K571" s="23">
        <f>IFERROR(__xludf.DUMMYFUNCTION("""COMPUTED_VALUE"""),7.7)</f>
        <v>7.7</v>
      </c>
      <c r="L571" s="24">
        <f>IFERROR(__xludf.DUMMYFUNCTION("""COMPUTED_VALUE"""),9.0)</f>
        <v>9</v>
      </c>
      <c r="M571" s="25" t="str">
        <f>IFERROR(__xludf.DUMMYFUNCTION("""COMPUTED_VALUE"""),"Platformer")</f>
        <v>Platformer</v>
      </c>
      <c r="N571" s="25"/>
      <c r="O571" s="26" t="str">
        <f>IFERROR(__xludf.DUMMYFUNCTION("""COMPUTED_VALUE"""),"No")</f>
        <v>No</v>
      </c>
      <c r="P571" s="26"/>
    </row>
    <row r="572">
      <c r="A572" s="13" t="str">
        <f>IFERROR(__xludf.DUMMYFUNCTION("""COMPUTED_VALUE"""),"Valiant Hearts")</f>
        <v>Valiant Hearts</v>
      </c>
      <c r="B572" s="15" t="str">
        <f>IFERROR(__xludf.DUMMYFUNCTION("""COMPUTED_VALUE"""),"PS4")</f>
        <v>PS4</v>
      </c>
      <c r="C572" s="16" t="str">
        <f>IFERROR(__xludf.DUMMYFUNCTION("""COMPUTED_VALUE"""),"Playstation Plus (Discontinued)")</f>
        <v>Playstation Plus (Discontinued)</v>
      </c>
      <c r="D572" s="15" t="str">
        <f>IFERROR(__xludf.DUMMYFUNCTION("""COMPUTED_VALUE"""),"Removed")</f>
        <v>Removed</v>
      </c>
      <c r="E572" s="17">
        <f>IFERROR(__xludf.DUMMYFUNCTION("""COMPUTED_VALUE"""),42066.0)</f>
        <v>42066</v>
      </c>
      <c r="F572" s="54">
        <f>IFERROR(__xludf.DUMMYFUNCTION("""COMPUTED_VALUE"""),42073.0)</f>
        <v>42073</v>
      </c>
      <c r="G572" s="19">
        <f>IFERROR(__xludf.DUMMYFUNCTION("""COMPUTED_VALUE"""),0.23333333333333334)</f>
        <v>0.2333333333</v>
      </c>
      <c r="H572" s="17">
        <f>IFERROR(__xludf.DUMMYFUNCTION("""COMPUTED_VALUE"""),41815.0)</f>
        <v>41815</v>
      </c>
      <c r="I572" s="19">
        <f>IFERROR(__xludf.DUMMYFUNCTION("""COMPUTED_VALUE"""),0.6888888888888889)</f>
        <v>0.6888888889</v>
      </c>
      <c r="J572" s="21">
        <f>IFERROR(__xludf.DUMMYFUNCTION("""COMPUTED_VALUE"""),77.0)</f>
        <v>77</v>
      </c>
      <c r="K572" s="23">
        <f>IFERROR(__xludf.DUMMYFUNCTION("""COMPUTED_VALUE"""),8.0)</f>
        <v>8</v>
      </c>
      <c r="L572" s="24">
        <f>IFERROR(__xludf.DUMMYFUNCTION("""COMPUTED_VALUE"""),7.0)</f>
        <v>7</v>
      </c>
      <c r="M572" s="25" t="str">
        <f>IFERROR(__xludf.DUMMYFUNCTION("""COMPUTED_VALUE"""),"Adventure")</f>
        <v>Adventure</v>
      </c>
      <c r="N572" s="25"/>
      <c r="O572" s="26" t="str">
        <f>IFERROR(__xludf.DUMMYFUNCTION("""COMPUTED_VALUE"""),"No")</f>
        <v>No</v>
      </c>
      <c r="P572" s="26"/>
    </row>
    <row r="573" hidden="1">
      <c r="A573" s="13" t="str">
        <f>IFERROR(__xludf.DUMMYFUNCTION("""COMPUTED_VALUE"""),"Rogue Legacy")</f>
        <v>Rogue Legacy</v>
      </c>
      <c r="B573" s="15" t="str">
        <f>IFERROR(__xludf.DUMMYFUNCTION("""COMPUTED_VALUE"""),"PS4/PS3/Vita")</f>
        <v>PS4/PS3/Vita</v>
      </c>
      <c r="C573" s="16" t="str">
        <f>IFERROR(__xludf.DUMMYFUNCTION("""COMPUTED_VALUE"""),"Playstation Plus (Discontinued)")</f>
        <v>Playstation Plus (Discontinued)</v>
      </c>
      <c r="D573" s="15" t="str">
        <f>IFERROR(__xludf.DUMMYFUNCTION("""COMPUTED_VALUE"""),"Removed")</f>
        <v>Removed</v>
      </c>
      <c r="E573" s="17">
        <f>IFERROR(__xludf.DUMMYFUNCTION("""COMPUTED_VALUE"""),42038.0)</f>
        <v>42038</v>
      </c>
      <c r="F573" s="54">
        <f>IFERROR(__xludf.DUMMYFUNCTION("""COMPUTED_VALUE"""),42065.0)</f>
        <v>42065</v>
      </c>
      <c r="G573" s="19">
        <f>IFERROR(__xludf.DUMMYFUNCTION("""COMPUTED_VALUE"""),0.9666666666666668)</f>
        <v>0.9666666667</v>
      </c>
      <c r="H573" s="17">
        <f>IFERROR(__xludf.DUMMYFUNCTION("""COMPUTED_VALUE"""),41452.0)</f>
        <v>41452</v>
      </c>
      <c r="I573" s="19">
        <f>IFERROR(__xludf.DUMMYFUNCTION("""COMPUTED_VALUE"""),1.6)</f>
        <v>1.6</v>
      </c>
      <c r="J573" s="21">
        <f>IFERROR(__xludf.DUMMYFUNCTION("""COMPUTED_VALUE"""),85.0)</f>
        <v>85</v>
      </c>
      <c r="K573" s="23">
        <f>IFERROR(__xludf.DUMMYFUNCTION("""COMPUTED_VALUE"""),8.4)</f>
        <v>8.4</v>
      </c>
      <c r="L573" s="24">
        <f>IFERROR(__xludf.DUMMYFUNCTION("""COMPUTED_VALUE"""),13.0)</f>
        <v>13</v>
      </c>
      <c r="M573" s="25" t="str">
        <f>IFERROR(__xludf.DUMMYFUNCTION("""COMPUTED_VALUE"""),"Platformer")</f>
        <v>Platformer</v>
      </c>
      <c r="N573" s="25"/>
      <c r="O573" s="26" t="str">
        <f>IFERROR(__xludf.DUMMYFUNCTION("""COMPUTED_VALUE"""),"No")</f>
        <v>No</v>
      </c>
      <c r="P573" s="26"/>
    </row>
    <row r="574">
      <c r="A574" s="13" t="str">
        <f>IFERROR(__xludf.DUMMYFUNCTION("""COMPUTED_VALUE"""),"Transistor")</f>
        <v>Transistor</v>
      </c>
      <c r="B574" s="15" t="str">
        <f>IFERROR(__xludf.DUMMYFUNCTION("""COMPUTED_VALUE"""),"PS4")</f>
        <v>PS4</v>
      </c>
      <c r="C574" s="16" t="str">
        <f>IFERROR(__xludf.DUMMYFUNCTION("""COMPUTED_VALUE"""),"Playstation Plus (Discontinued)")</f>
        <v>Playstation Plus (Discontinued)</v>
      </c>
      <c r="D574" s="15" t="str">
        <f>IFERROR(__xludf.DUMMYFUNCTION("""COMPUTED_VALUE"""),"Removed")</f>
        <v>Removed</v>
      </c>
      <c r="E574" s="17">
        <f>IFERROR(__xludf.DUMMYFUNCTION("""COMPUTED_VALUE"""),42038.0)</f>
        <v>42038</v>
      </c>
      <c r="F574" s="54">
        <f>IFERROR(__xludf.DUMMYFUNCTION("""COMPUTED_VALUE"""),42065.0)</f>
        <v>42065</v>
      </c>
      <c r="G574" s="19">
        <f>IFERROR(__xludf.DUMMYFUNCTION("""COMPUTED_VALUE"""),0.9666666666666668)</f>
        <v>0.9666666667</v>
      </c>
      <c r="H574" s="17">
        <f>IFERROR(__xludf.DUMMYFUNCTION("""COMPUTED_VALUE"""),41779.0)</f>
        <v>41779</v>
      </c>
      <c r="I574" s="19">
        <f>IFERROR(__xludf.DUMMYFUNCTION("""COMPUTED_VALUE"""),0.7027777777777777)</f>
        <v>0.7027777778</v>
      </c>
      <c r="J574" s="21">
        <f>IFERROR(__xludf.DUMMYFUNCTION("""COMPUTED_VALUE"""),83.0)</f>
        <v>83</v>
      </c>
      <c r="K574" s="23">
        <f>IFERROR(__xludf.DUMMYFUNCTION("""COMPUTED_VALUE"""),8.3)</f>
        <v>8.3</v>
      </c>
      <c r="L574" s="24">
        <f>IFERROR(__xludf.DUMMYFUNCTION("""COMPUTED_VALUE"""),5.0)</f>
        <v>5</v>
      </c>
      <c r="M574" s="25" t="str">
        <f>IFERROR(__xludf.DUMMYFUNCTION("""COMPUTED_VALUE"""),"RPG")</f>
        <v>RPG</v>
      </c>
      <c r="N574" s="25"/>
      <c r="O574" s="26" t="str">
        <f>IFERROR(__xludf.DUMMYFUNCTION("""COMPUTED_VALUE"""),"No")</f>
        <v>No</v>
      </c>
      <c r="P574" s="26"/>
    </row>
    <row r="575">
      <c r="A575" s="13" t="str">
        <f>IFERROR(__xludf.DUMMYFUNCTION("""COMPUTED_VALUE"""),"Apotheon")</f>
        <v>Apotheon</v>
      </c>
      <c r="B575" s="15" t="str">
        <f>IFERROR(__xludf.DUMMYFUNCTION("""COMPUTED_VALUE"""),"PS4")</f>
        <v>PS4</v>
      </c>
      <c r="C575" s="16" t="str">
        <f>IFERROR(__xludf.DUMMYFUNCTION("""COMPUTED_VALUE"""),"Playstation Plus (Discontinued)")</f>
        <v>Playstation Plus (Discontinued)</v>
      </c>
      <c r="D575" s="15" t="str">
        <f>IFERROR(__xludf.DUMMYFUNCTION("""COMPUTED_VALUE"""),"Removed")</f>
        <v>Removed</v>
      </c>
      <c r="E575" s="17">
        <f>IFERROR(__xludf.DUMMYFUNCTION("""COMPUTED_VALUE"""),42038.0)</f>
        <v>42038</v>
      </c>
      <c r="F575" s="54">
        <f>IFERROR(__xludf.DUMMYFUNCTION("""COMPUTED_VALUE"""),42065.0)</f>
        <v>42065</v>
      </c>
      <c r="G575" s="19">
        <f>IFERROR(__xludf.DUMMYFUNCTION("""COMPUTED_VALUE"""),0.9666666666666668)</f>
        <v>0.9666666667</v>
      </c>
      <c r="H575" s="17">
        <f>IFERROR(__xludf.DUMMYFUNCTION("""COMPUTED_VALUE"""),42038.0)</f>
        <v>42038</v>
      </c>
      <c r="I575" s="19">
        <f>IFERROR(__xludf.DUMMYFUNCTION("""COMPUTED_VALUE"""),0.0)</f>
        <v>0</v>
      </c>
      <c r="J575" s="21">
        <f>IFERROR(__xludf.DUMMYFUNCTION("""COMPUTED_VALUE"""),77.0)</f>
        <v>77</v>
      </c>
      <c r="K575" s="23">
        <f>IFERROR(__xludf.DUMMYFUNCTION("""COMPUTED_VALUE"""),7.6)</f>
        <v>7.6</v>
      </c>
      <c r="L575" s="24">
        <f>IFERROR(__xludf.DUMMYFUNCTION("""COMPUTED_VALUE"""),8.0)</f>
        <v>8</v>
      </c>
      <c r="M575" s="25" t="str">
        <f>IFERROR(__xludf.DUMMYFUNCTION("""COMPUTED_VALUE"""),"Platformer")</f>
        <v>Platformer</v>
      </c>
      <c r="N575" s="25"/>
      <c r="O575" s="26" t="str">
        <f>IFERROR(__xludf.DUMMYFUNCTION("""COMPUTED_VALUE"""),"No")</f>
        <v>No</v>
      </c>
      <c r="P575" s="26"/>
    </row>
    <row r="576" hidden="1">
      <c r="A576" s="13" t="str">
        <f>IFERROR(__xludf.DUMMYFUNCTION("""COMPUTED_VALUE"""),"Yakuza 4")</f>
        <v>Yakuza 4</v>
      </c>
      <c r="B576" s="15" t="str">
        <f>IFERROR(__xludf.DUMMYFUNCTION("""COMPUTED_VALUE"""),"PS3")</f>
        <v>PS3</v>
      </c>
      <c r="C576" s="16" t="str">
        <f>IFERROR(__xludf.DUMMYFUNCTION("""COMPUTED_VALUE"""),"Playstation Plus (Discontinued)")</f>
        <v>Playstation Plus (Discontinued)</v>
      </c>
      <c r="D576" s="15" t="str">
        <f>IFERROR(__xludf.DUMMYFUNCTION("""COMPUTED_VALUE"""),"Removed")</f>
        <v>Removed</v>
      </c>
      <c r="E576" s="17">
        <f>IFERROR(__xludf.DUMMYFUNCTION("""COMPUTED_VALUE"""),42038.0)</f>
        <v>42038</v>
      </c>
      <c r="F576" s="54">
        <f>IFERROR(__xludf.DUMMYFUNCTION("""COMPUTED_VALUE"""),42065.0)</f>
        <v>42065</v>
      </c>
      <c r="G576" s="19">
        <f>IFERROR(__xludf.DUMMYFUNCTION("""COMPUTED_VALUE"""),0.9666666666666668)</f>
        <v>0.9666666667</v>
      </c>
      <c r="H576" s="17">
        <f>IFERROR(__xludf.DUMMYFUNCTION("""COMPUTED_VALUE"""),40617.0)</f>
        <v>40617</v>
      </c>
      <c r="I576" s="19">
        <f>IFERROR(__xludf.DUMMYFUNCTION("""COMPUTED_VALUE"""),3.8833333333333333)</f>
        <v>3.883333333</v>
      </c>
      <c r="J576" s="21">
        <f>IFERROR(__xludf.DUMMYFUNCTION("""COMPUTED_VALUE"""),78.0)</f>
        <v>78</v>
      </c>
      <c r="K576" s="23">
        <f>IFERROR(__xludf.DUMMYFUNCTION("""COMPUTED_VALUE"""),8.4)</f>
        <v>8.4</v>
      </c>
      <c r="L576" s="24">
        <f>IFERROR(__xludf.DUMMYFUNCTION("""COMPUTED_VALUE"""),28.0)</f>
        <v>28</v>
      </c>
      <c r="M576" s="25" t="str">
        <f>IFERROR(__xludf.DUMMYFUNCTION("""COMPUTED_VALUE"""),"Action-Adventure")</f>
        <v>Action-Adventure</v>
      </c>
      <c r="N576" s="25"/>
      <c r="O576" s="26" t="str">
        <f>IFERROR(__xludf.DUMMYFUNCTION("""COMPUTED_VALUE"""),"No")</f>
        <v>No</v>
      </c>
      <c r="P576" s="26"/>
    </row>
    <row r="577">
      <c r="A577" s="13" t="str">
        <f>IFERROR(__xludf.DUMMYFUNCTION("""COMPUTED_VALUE"""),"Thief")</f>
        <v>Thief</v>
      </c>
      <c r="B577" s="15" t="str">
        <f>IFERROR(__xludf.DUMMYFUNCTION("""COMPUTED_VALUE"""),"PS3")</f>
        <v>PS3</v>
      </c>
      <c r="C577" s="16" t="str">
        <f>IFERROR(__xludf.DUMMYFUNCTION("""COMPUTED_VALUE"""),"Playstation Plus (Discontinued)")</f>
        <v>Playstation Plus (Discontinued)</v>
      </c>
      <c r="D577" s="15" t="str">
        <f>IFERROR(__xludf.DUMMYFUNCTION("""COMPUTED_VALUE"""),"Removed")</f>
        <v>Removed</v>
      </c>
      <c r="E577" s="17">
        <f>IFERROR(__xludf.DUMMYFUNCTION("""COMPUTED_VALUE"""),42038.0)</f>
        <v>42038</v>
      </c>
      <c r="F577" s="54">
        <f>IFERROR(__xludf.DUMMYFUNCTION("""COMPUTED_VALUE"""),42065.0)</f>
        <v>42065</v>
      </c>
      <c r="G577" s="19">
        <f>IFERROR(__xludf.DUMMYFUNCTION("""COMPUTED_VALUE"""),0.9666666666666668)</f>
        <v>0.9666666667</v>
      </c>
      <c r="H577" s="17">
        <f>IFERROR(__xludf.DUMMYFUNCTION("""COMPUTED_VALUE"""),41695.0)</f>
        <v>41695</v>
      </c>
      <c r="I577" s="19">
        <f>IFERROR(__xludf.DUMMYFUNCTION("""COMPUTED_VALUE"""),0.9388888888888889)</f>
        <v>0.9388888889</v>
      </c>
      <c r="J577" s="21">
        <f>IFERROR(__xludf.DUMMYFUNCTION("""COMPUTED_VALUE"""),70.0)</f>
        <v>70</v>
      </c>
      <c r="K577" s="23">
        <f>IFERROR(__xludf.DUMMYFUNCTION("""COMPUTED_VALUE"""),7.1)</f>
        <v>7.1</v>
      </c>
      <c r="L577" s="24">
        <f>IFERROR(__xludf.DUMMYFUNCTION("""COMPUTED_VALUE"""),15.0)</f>
        <v>15</v>
      </c>
      <c r="M577" s="25" t="str">
        <f>IFERROR(__xludf.DUMMYFUNCTION("""COMPUTED_VALUE"""),"Action-Adventure")</f>
        <v>Action-Adventure</v>
      </c>
      <c r="N577" s="25"/>
      <c r="O577" s="26" t="str">
        <f>IFERROR(__xludf.DUMMYFUNCTION("""COMPUTED_VALUE"""),"No")</f>
        <v>No</v>
      </c>
      <c r="P577" s="26"/>
    </row>
    <row r="578">
      <c r="A578" s="13" t="str">
        <f>IFERROR(__xludf.DUMMYFUNCTION("""COMPUTED_VALUE"""),"Kick &amp; Fennick")</f>
        <v>Kick &amp; Fennick</v>
      </c>
      <c r="B578" s="15" t="str">
        <f>IFERROR(__xludf.DUMMYFUNCTION("""COMPUTED_VALUE"""),"Vita")</f>
        <v>Vita</v>
      </c>
      <c r="C578" s="16" t="str">
        <f>IFERROR(__xludf.DUMMYFUNCTION("""COMPUTED_VALUE"""),"Playstation Plus (Discontinued)")</f>
        <v>Playstation Plus (Discontinued)</v>
      </c>
      <c r="D578" s="15" t="str">
        <f>IFERROR(__xludf.DUMMYFUNCTION("""COMPUTED_VALUE"""),"Removed")</f>
        <v>Removed</v>
      </c>
      <c r="E578" s="17">
        <f>IFERROR(__xludf.DUMMYFUNCTION("""COMPUTED_VALUE"""),42038.0)</f>
        <v>42038</v>
      </c>
      <c r="F578" s="54">
        <f>IFERROR(__xludf.DUMMYFUNCTION("""COMPUTED_VALUE"""),42065.0)</f>
        <v>42065</v>
      </c>
      <c r="G578" s="19">
        <f>IFERROR(__xludf.DUMMYFUNCTION("""COMPUTED_VALUE"""),0.9666666666666668)</f>
        <v>0.9666666667</v>
      </c>
      <c r="H578" s="17">
        <f>IFERROR(__xludf.DUMMYFUNCTION("""COMPUTED_VALUE"""),42038.0)</f>
        <v>42038</v>
      </c>
      <c r="I578" s="19">
        <f>IFERROR(__xludf.DUMMYFUNCTION("""COMPUTED_VALUE"""),0.0)</f>
        <v>0</v>
      </c>
      <c r="J578" s="21">
        <f>IFERROR(__xludf.DUMMYFUNCTION("""COMPUTED_VALUE"""),52.0)</f>
        <v>52</v>
      </c>
      <c r="K578" s="23">
        <f>IFERROR(__xludf.DUMMYFUNCTION("""COMPUTED_VALUE"""),6.1)</f>
        <v>6.1</v>
      </c>
      <c r="L578" s="24">
        <f>IFERROR(__xludf.DUMMYFUNCTION("""COMPUTED_VALUE"""),4.0)</f>
        <v>4</v>
      </c>
      <c r="M578" s="25" t="str">
        <f>IFERROR(__xludf.DUMMYFUNCTION("""COMPUTED_VALUE"""),"Platformer")</f>
        <v>Platformer</v>
      </c>
      <c r="N578" s="25"/>
      <c r="O578" s="26" t="str">
        <f>IFERROR(__xludf.DUMMYFUNCTION("""COMPUTED_VALUE"""),"No")</f>
        <v>No</v>
      </c>
      <c r="P578" s="26"/>
    </row>
    <row r="579" hidden="1">
      <c r="A579" s="13" t="str">
        <f>IFERROR(__xludf.DUMMYFUNCTION("""COMPUTED_VALUE"""),"The Swapper")</f>
        <v>The Swapper</v>
      </c>
      <c r="B579" s="15" t="str">
        <f>IFERROR(__xludf.DUMMYFUNCTION("""COMPUTED_VALUE"""),"PS4/PS3/Vita")</f>
        <v>PS4/PS3/Vita</v>
      </c>
      <c r="C579" s="16" t="str">
        <f>IFERROR(__xludf.DUMMYFUNCTION("""COMPUTED_VALUE"""),"Playstation Plus (Discontinued)")</f>
        <v>Playstation Plus (Discontinued)</v>
      </c>
      <c r="D579" s="15" t="str">
        <f>IFERROR(__xludf.DUMMYFUNCTION("""COMPUTED_VALUE"""),"Removed")</f>
        <v>Removed</v>
      </c>
      <c r="E579" s="17">
        <f>IFERROR(__xludf.DUMMYFUNCTION("""COMPUTED_VALUE"""),42010.0)</f>
        <v>42010</v>
      </c>
      <c r="F579" s="54">
        <f>IFERROR(__xludf.DUMMYFUNCTION("""COMPUTED_VALUE"""),42037.0)</f>
        <v>42037</v>
      </c>
      <c r="G579" s="19">
        <f>IFERROR(__xludf.DUMMYFUNCTION("""COMPUTED_VALUE"""),0.8666666666666666)</f>
        <v>0.8666666667</v>
      </c>
      <c r="H579" s="17">
        <f>IFERROR(__xludf.DUMMYFUNCTION("""COMPUTED_VALUE"""),41807.0)</f>
        <v>41807</v>
      </c>
      <c r="I579" s="19">
        <f>IFERROR(__xludf.DUMMYFUNCTION("""COMPUTED_VALUE"""),0.5527777777777778)</f>
        <v>0.5527777778</v>
      </c>
      <c r="J579" s="21">
        <f>IFERROR(__xludf.DUMMYFUNCTION("""COMPUTED_VALUE"""),87.0)</f>
        <v>87</v>
      </c>
      <c r="K579" s="23">
        <f>IFERROR(__xludf.DUMMYFUNCTION("""COMPUTED_VALUE"""),7.8)</f>
        <v>7.8</v>
      </c>
      <c r="L579" s="24">
        <f>IFERROR(__xludf.DUMMYFUNCTION("""COMPUTED_VALUE"""),5.0)</f>
        <v>5</v>
      </c>
      <c r="M579" s="25" t="str">
        <f>IFERROR(__xludf.DUMMYFUNCTION("""COMPUTED_VALUE"""),"Puzzle")</f>
        <v>Puzzle</v>
      </c>
      <c r="N579" s="25"/>
      <c r="O579" s="26" t="str">
        <f>IFERROR(__xludf.DUMMYFUNCTION("""COMPUTED_VALUE"""),"No")</f>
        <v>No</v>
      </c>
      <c r="P579" s="26"/>
    </row>
    <row r="580" hidden="1">
      <c r="A580" s="13" t="str">
        <f>IFERROR(__xludf.DUMMYFUNCTION("""COMPUTED_VALUE"""),"Whoa Dave!")</f>
        <v>Whoa Dave!</v>
      </c>
      <c r="B580" s="15" t="str">
        <f>IFERROR(__xludf.DUMMYFUNCTION("""COMPUTED_VALUE"""),"PS4/Vita")</f>
        <v>PS4/Vita</v>
      </c>
      <c r="C580" s="16" t="str">
        <f>IFERROR(__xludf.DUMMYFUNCTION("""COMPUTED_VALUE"""),"Playstation Plus (Discontinued)")</f>
        <v>Playstation Plus (Discontinued)</v>
      </c>
      <c r="D580" s="15" t="str">
        <f>IFERROR(__xludf.DUMMYFUNCTION("""COMPUTED_VALUE"""),"Removed")</f>
        <v>Removed</v>
      </c>
      <c r="E580" s="17">
        <f>IFERROR(__xludf.DUMMYFUNCTION("""COMPUTED_VALUE"""),42010.0)</f>
        <v>42010</v>
      </c>
      <c r="F580" s="54">
        <f>IFERROR(__xludf.DUMMYFUNCTION("""COMPUTED_VALUE"""),42037.0)</f>
        <v>42037</v>
      </c>
      <c r="G580" s="19">
        <f>IFERROR(__xludf.DUMMYFUNCTION("""COMPUTED_VALUE"""),0.8666666666666666)</f>
        <v>0.8666666667</v>
      </c>
      <c r="H580" s="17">
        <f>IFERROR(__xludf.DUMMYFUNCTION("""COMPUTED_VALUE"""),42010.0)</f>
        <v>42010</v>
      </c>
      <c r="I580" s="19">
        <f>IFERROR(__xludf.DUMMYFUNCTION("""COMPUTED_VALUE"""),0.0)</f>
        <v>0</v>
      </c>
      <c r="J580" s="21">
        <f>IFERROR(__xludf.DUMMYFUNCTION("""COMPUTED_VALUE"""),66.0)</f>
        <v>66</v>
      </c>
      <c r="K580" s="23">
        <f>IFERROR(__xludf.DUMMYFUNCTION("""COMPUTED_VALUE"""),6.8)</f>
        <v>6.8</v>
      </c>
      <c r="L580" s="24">
        <f>IFERROR(__xludf.DUMMYFUNCTION("""COMPUTED_VALUE"""),1.0)</f>
        <v>1</v>
      </c>
      <c r="M580" s="25" t="str">
        <f>IFERROR(__xludf.DUMMYFUNCTION("""COMPUTED_VALUE"""),"Arcade")</f>
        <v>Arcade</v>
      </c>
      <c r="N580" s="25"/>
      <c r="O580" s="26" t="str">
        <f>IFERROR(__xludf.DUMMYFUNCTION("""COMPUTED_VALUE"""),"No")</f>
        <v>No</v>
      </c>
      <c r="P580" s="26"/>
    </row>
    <row r="581" hidden="1">
      <c r="A581" s="13" t="str">
        <f>IFERROR(__xludf.DUMMYFUNCTION("""COMPUTED_VALUE"""),"InFamous: First Light")</f>
        <v>InFamous: First Light</v>
      </c>
      <c r="B581" s="15" t="str">
        <f>IFERROR(__xludf.DUMMYFUNCTION("""COMPUTED_VALUE"""),"PS4")</f>
        <v>PS4</v>
      </c>
      <c r="C581" s="16" t="str">
        <f>IFERROR(__xludf.DUMMYFUNCTION("""COMPUTED_VALUE"""),"Playstation Plus (Discontinued)")</f>
        <v>Playstation Plus (Discontinued)</v>
      </c>
      <c r="D581" s="15" t="str">
        <f>IFERROR(__xludf.DUMMYFUNCTION("""COMPUTED_VALUE"""),"Removed")</f>
        <v>Removed</v>
      </c>
      <c r="E581" s="17">
        <f>IFERROR(__xludf.DUMMYFUNCTION("""COMPUTED_VALUE"""),42010.0)</f>
        <v>42010</v>
      </c>
      <c r="F581" s="54">
        <f>IFERROR(__xludf.DUMMYFUNCTION("""COMPUTED_VALUE"""),42037.0)</f>
        <v>42037</v>
      </c>
      <c r="G581" s="19">
        <f>IFERROR(__xludf.DUMMYFUNCTION("""COMPUTED_VALUE"""),0.8666666666666666)</f>
        <v>0.8666666667</v>
      </c>
      <c r="H581" s="17">
        <f>IFERROR(__xludf.DUMMYFUNCTION("""COMPUTED_VALUE"""),41877.0)</f>
        <v>41877</v>
      </c>
      <c r="I581" s="19">
        <f>IFERROR(__xludf.DUMMYFUNCTION("""COMPUTED_VALUE"""),0.3611111111111111)</f>
        <v>0.3611111111</v>
      </c>
      <c r="J581" s="21">
        <f>IFERROR(__xludf.DUMMYFUNCTION("""COMPUTED_VALUE"""),73.0)</f>
        <v>73</v>
      </c>
      <c r="K581" s="23">
        <f>IFERROR(__xludf.DUMMYFUNCTION("""COMPUTED_VALUE"""),7.3)</f>
        <v>7.3</v>
      </c>
      <c r="L581" s="24">
        <f>IFERROR(__xludf.DUMMYFUNCTION("""COMPUTED_VALUE"""),4.0)</f>
        <v>4</v>
      </c>
      <c r="M581" s="25" t="str">
        <f>IFERROR(__xludf.DUMMYFUNCTION("""COMPUTED_VALUE"""),"Action-Adventure")</f>
        <v>Action-Adventure</v>
      </c>
      <c r="N581" s="25"/>
      <c r="O581" s="26" t="str">
        <f>IFERROR(__xludf.DUMMYFUNCTION("""COMPUTED_VALUE"""),"No")</f>
        <v>No</v>
      </c>
      <c r="P581" s="26"/>
    </row>
    <row r="582" hidden="1">
      <c r="A582" s="13" t="str">
        <f>IFERROR(__xludf.DUMMYFUNCTION("""COMPUTED_VALUE"""),"Prototype 2")</f>
        <v>Prototype 2</v>
      </c>
      <c r="B582" s="15" t="str">
        <f>IFERROR(__xludf.DUMMYFUNCTION("""COMPUTED_VALUE"""),"PS3")</f>
        <v>PS3</v>
      </c>
      <c r="C582" s="16" t="str">
        <f>IFERROR(__xludf.DUMMYFUNCTION("""COMPUTED_VALUE"""),"Playstation Plus (Discontinued)")</f>
        <v>Playstation Plus (Discontinued)</v>
      </c>
      <c r="D582" s="15" t="str">
        <f>IFERROR(__xludf.DUMMYFUNCTION("""COMPUTED_VALUE"""),"Removed")</f>
        <v>Removed</v>
      </c>
      <c r="E582" s="17">
        <f>IFERROR(__xludf.DUMMYFUNCTION("""COMPUTED_VALUE"""),42010.0)</f>
        <v>42010</v>
      </c>
      <c r="F582" s="54">
        <f>IFERROR(__xludf.DUMMYFUNCTION("""COMPUTED_VALUE"""),42037.0)</f>
        <v>42037</v>
      </c>
      <c r="G582" s="19">
        <f>IFERROR(__xludf.DUMMYFUNCTION("""COMPUTED_VALUE"""),0.8666666666666666)</f>
        <v>0.8666666667</v>
      </c>
      <c r="H582" s="17">
        <f>IFERROR(__xludf.DUMMYFUNCTION("""COMPUTED_VALUE"""),41023.0)</f>
        <v>41023</v>
      </c>
      <c r="I582" s="19">
        <f>IFERROR(__xludf.DUMMYFUNCTION("""COMPUTED_VALUE"""),2.7)</f>
        <v>2.7</v>
      </c>
      <c r="J582" s="21">
        <f>IFERROR(__xludf.DUMMYFUNCTION("""COMPUTED_VALUE"""),79.0)</f>
        <v>79</v>
      </c>
      <c r="K582" s="23">
        <f>IFERROR(__xludf.DUMMYFUNCTION("""COMPUTED_VALUE"""),7.8)</f>
        <v>7.8</v>
      </c>
      <c r="L582" s="24">
        <f>IFERROR(__xludf.DUMMYFUNCTION("""COMPUTED_VALUE"""),13.0)</f>
        <v>13</v>
      </c>
      <c r="M582" s="25" t="str">
        <f>IFERROR(__xludf.DUMMYFUNCTION("""COMPUTED_VALUE"""),"Action-Adventure")</f>
        <v>Action-Adventure</v>
      </c>
      <c r="N582" s="25"/>
      <c r="O582" s="26" t="str">
        <f>IFERROR(__xludf.DUMMYFUNCTION("""COMPUTED_VALUE"""),"No")</f>
        <v>No</v>
      </c>
      <c r="P582" s="26"/>
    </row>
    <row r="583">
      <c r="A583" s="13" t="str">
        <f>IFERROR(__xludf.DUMMYFUNCTION("""COMPUTED_VALUE"""),"DuckTales Remastered")</f>
        <v>DuckTales Remastered</v>
      </c>
      <c r="B583" s="15" t="str">
        <f>IFERROR(__xludf.DUMMYFUNCTION("""COMPUTED_VALUE"""),"PS3")</f>
        <v>PS3</v>
      </c>
      <c r="C583" s="16" t="str">
        <f>IFERROR(__xludf.DUMMYFUNCTION("""COMPUTED_VALUE"""),"Playstation Plus (Discontinued)")</f>
        <v>Playstation Plus (Discontinued)</v>
      </c>
      <c r="D583" s="15" t="str">
        <f>IFERROR(__xludf.DUMMYFUNCTION("""COMPUTED_VALUE"""),"Removed")</f>
        <v>Removed</v>
      </c>
      <c r="E583" s="17">
        <f>IFERROR(__xludf.DUMMYFUNCTION("""COMPUTED_VALUE"""),42010.0)</f>
        <v>42010</v>
      </c>
      <c r="F583" s="54">
        <f>IFERROR(__xludf.DUMMYFUNCTION("""COMPUTED_VALUE"""),42037.0)</f>
        <v>42037</v>
      </c>
      <c r="G583" s="19">
        <f>IFERROR(__xludf.DUMMYFUNCTION("""COMPUTED_VALUE"""),0.8666666666666666)</f>
        <v>0.8666666667</v>
      </c>
      <c r="H583" s="17">
        <f>IFERROR(__xludf.DUMMYFUNCTION("""COMPUTED_VALUE"""),41499.0)</f>
        <v>41499</v>
      </c>
      <c r="I583" s="19">
        <f>IFERROR(__xludf.DUMMYFUNCTION("""COMPUTED_VALUE"""),1.3972222222222221)</f>
        <v>1.397222222</v>
      </c>
      <c r="J583" s="21">
        <f>IFERROR(__xludf.DUMMYFUNCTION("""COMPUTED_VALUE"""),74.0)</f>
        <v>74</v>
      </c>
      <c r="K583" s="23">
        <f>IFERROR(__xludf.DUMMYFUNCTION("""COMPUTED_VALUE"""),7.8)</f>
        <v>7.8</v>
      </c>
      <c r="L583" s="24">
        <f>IFERROR(__xludf.DUMMYFUNCTION("""COMPUTED_VALUE"""),5.0)</f>
        <v>5</v>
      </c>
      <c r="M583" s="25" t="str">
        <f>IFERROR(__xludf.DUMMYFUNCTION("""COMPUTED_VALUE"""),"Platformer")</f>
        <v>Platformer</v>
      </c>
      <c r="N583" s="25"/>
      <c r="O583" s="26" t="str">
        <f>IFERROR(__xludf.DUMMYFUNCTION("""COMPUTED_VALUE"""),"No")</f>
        <v>No</v>
      </c>
      <c r="P583" s="26"/>
    </row>
    <row r="584">
      <c r="A584" s="13" t="str">
        <f>IFERROR(__xludf.DUMMYFUNCTION("""COMPUTED_VALUE"""),"Duke Nukem 3D: Megaton Edition")</f>
        <v>Duke Nukem 3D: Megaton Edition</v>
      </c>
      <c r="B584" s="15" t="str">
        <f>IFERROR(__xludf.DUMMYFUNCTION("""COMPUTED_VALUE"""),"PS3/Vita")</f>
        <v>PS3/Vita</v>
      </c>
      <c r="C584" s="16" t="str">
        <f>IFERROR(__xludf.DUMMYFUNCTION("""COMPUTED_VALUE"""),"Playstation Plus (Discontinued)")</f>
        <v>Playstation Plus (Discontinued)</v>
      </c>
      <c r="D584" s="15" t="str">
        <f>IFERROR(__xludf.DUMMYFUNCTION("""COMPUTED_VALUE"""),"Removed")</f>
        <v>Removed</v>
      </c>
      <c r="E584" s="17">
        <f>IFERROR(__xludf.DUMMYFUNCTION("""COMPUTED_VALUE"""),42010.0)</f>
        <v>42010</v>
      </c>
      <c r="F584" s="54">
        <f>IFERROR(__xludf.DUMMYFUNCTION("""COMPUTED_VALUE"""),42037.0)</f>
        <v>42037</v>
      </c>
      <c r="G584" s="19">
        <f>IFERROR(__xludf.DUMMYFUNCTION("""COMPUTED_VALUE"""),0.8666666666666666)</f>
        <v>0.8666666667</v>
      </c>
      <c r="H584" s="17">
        <f>IFERROR(__xludf.DUMMYFUNCTION("""COMPUTED_VALUE"""),41294.0)</f>
        <v>41294</v>
      </c>
      <c r="I584" s="19">
        <f>IFERROR(__xludf.DUMMYFUNCTION("""COMPUTED_VALUE"""),1.961111111111111)</f>
        <v>1.961111111</v>
      </c>
      <c r="J584" s="21">
        <f>IFERROR(__xludf.DUMMYFUNCTION("""COMPUTED_VALUE"""),79.0)</f>
        <v>79</v>
      </c>
      <c r="K584" s="23">
        <f>IFERROR(__xludf.DUMMYFUNCTION("""COMPUTED_VALUE"""),8.3)</f>
        <v>8.3</v>
      </c>
      <c r="L584" s="24">
        <f>IFERROR(__xludf.DUMMYFUNCTION("""COMPUTED_VALUE"""),4.0)</f>
        <v>4</v>
      </c>
      <c r="M584" s="25" t="str">
        <f>IFERROR(__xludf.DUMMYFUNCTION("""COMPUTED_VALUE"""),"Shooter")</f>
        <v>Shooter</v>
      </c>
      <c r="N584" s="25"/>
      <c r="O584" s="26" t="str">
        <f>IFERROR(__xludf.DUMMYFUNCTION("""COMPUTED_VALUE"""),"No")</f>
        <v>No</v>
      </c>
      <c r="P584" s="26"/>
    </row>
    <row r="585">
      <c r="A585" s="13" t="str">
        <f>IFERROR(__xludf.DUMMYFUNCTION("""COMPUTED_VALUE"""),"Final Horizon")</f>
        <v>Final Horizon</v>
      </c>
      <c r="B585" s="15" t="str">
        <f>IFERROR(__xludf.DUMMYFUNCTION("""COMPUTED_VALUE"""),"Vita")</f>
        <v>Vita</v>
      </c>
      <c r="C585" s="16" t="str">
        <f>IFERROR(__xludf.DUMMYFUNCTION("""COMPUTED_VALUE"""),"Playstation Plus (Discontinued)")</f>
        <v>Playstation Plus (Discontinued)</v>
      </c>
      <c r="D585" s="15" t="str">
        <f>IFERROR(__xludf.DUMMYFUNCTION("""COMPUTED_VALUE"""),"Removed")</f>
        <v>Removed</v>
      </c>
      <c r="E585" s="17">
        <f>IFERROR(__xludf.DUMMYFUNCTION("""COMPUTED_VALUE"""),41975.0)</f>
        <v>41975</v>
      </c>
      <c r="F585" s="54">
        <f>IFERROR(__xludf.DUMMYFUNCTION("""COMPUTED_VALUE"""),42009.0)</f>
        <v>42009</v>
      </c>
      <c r="G585" s="19">
        <f>IFERROR(__xludf.DUMMYFUNCTION("""COMPUTED_VALUE"""),1.0999999999999999)</f>
        <v>1.1</v>
      </c>
      <c r="H585" s="17">
        <f>IFERROR(__xludf.DUMMYFUNCTION("""COMPUTED_VALUE"""),41947.0)</f>
        <v>41947</v>
      </c>
      <c r="I585" s="19">
        <f>IFERROR(__xludf.DUMMYFUNCTION("""COMPUTED_VALUE"""),0.07777777777777778)</f>
        <v>0.07777777778</v>
      </c>
      <c r="J585" s="21">
        <f>IFERROR(__xludf.DUMMYFUNCTION("""COMPUTED_VALUE"""),68.0)</f>
        <v>68</v>
      </c>
      <c r="K585" s="23">
        <f>IFERROR(__xludf.DUMMYFUNCTION("""COMPUTED_VALUE"""),6.9)</f>
        <v>6.9</v>
      </c>
      <c r="L585" s="24">
        <f>IFERROR(__xludf.DUMMYFUNCTION("""COMPUTED_VALUE"""),6.0)</f>
        <v>6</v>
      </c>
      <c r="M585" s="25" t="str">
        <f>IFERROR(__xludf.DUMMYFUNCTION("""COMPUTED_VALUE"""),"Strategy")</f>
        <v>Strategy</v>
      </c>
      <c r="N585" s="25"/>
      <c r="O585" s="26" t="str">
        <f>IFERROR(__xludf.DUMMYFUNCTION("""COMPUTED_VALUE"""),"No")</f>
        <v>No</v>
      </c>
      <c r="P585" s="26"/>
    </row>
    <row r="586">
      <c r="A586" s="13" t="str">
        <f>IFERROR(__xludf.DUMMYFUNCTION("""COMPUTED_VALUE"""),"Titan Attacks!")</f>
        <v>Titan Attacks!</v>
      </c>
      <c r="B586" s="15" t="str">
        <f>IFERROR(__xludf.DUMMYFUNCTION("""COMPUTED_VALUE"""),"PS4/PS3/Vita")</f>
        <v>PS4/PS3/Vita</v>
      </c>
      <c r="C586" s="16" t="str">
        <f>IFERROR(__xludf.DUMMYFUNCTION("""COMPUTED_VALUE"""),"Playstation Plus (Discontinued)")</f>
        <v>Playstation Plus (Discontinued)</v>
      </c>
      <c r="D586" s="15" t="str">
        <f>IFERROR(__xludf.DUMMYFUNCTION("""COMPUTED_VALUE"""),"Removed")</f>
        <v>Removed</v>
      </c>
      <c r="E586" s="17">
        <f>IFERROR(__xludf.DUMMYFUNCTION("""COMPUTED_VALUE"""),41975.0)</f>
        <v>41975</v>
      </c>
      <c r="F586" s="54">
        <f>IFERROR(__xludf.DUMMYFUNCTION("""COMPUTED_VALUE"""),42009.0)</f>
        <v>42009</v>
      </c>
      <c r="G586" s="19">
        <f>IFERROR(__xludf.DUMMYFUNCTION("""COMPUTED_VALUE"""),1.0999999999999999)</f>
        <v>1.1</v>
      </c>
      <c r="H586" s="17">
        <f>IFERROR(__xludf.DUMMYFUNCTION("""COMPUTED_VALUE"""),38789.0)</f>
        <v>38789</v>
      </c>
      <c r="I586" s="19">
        <f>IFERROR(__xludf.DUMMYFUNCTION("""COMPUTED_VALUE"""),8.719444444444445)</f>
        <v>8.719444444</v>
      </c>
      <c r="J586" s="21">
        <f>IFERROR(__xludf.DUMMYFUNCTION("""COMPUTED_VALUE"""),77.0)</f>
        <v>77</v>
      </c>
      <c r="K586" s="23">
        <f>IFERROR(__xludf.DUMMYFUNCTION("""COMPUTED_VALUE"""),7.0)</f>
        <v>7</v>
      </c>
      <c r="L586" s="24">
        <f>IFERROR(__xludf.DUMMYFUNCTION("""COMPUTED_VALUE"""),5.0)</f>
        <v>5</v>
      </c>
      <c r="M586" s="25" t="str">
        <f>IFERROR(__xludf.DUMMYFUNCTION("""COMPUTED_VALUE"""),"Shooter")</f>
        <v>Shooter</v>
      </c>
      <c r="N586" s="25"/>
      <c r="O586" s="26" t="str">
        <f>IFERROR(__xludf.DUMMYFUNCTION("""COMPUTED_VALUE"""),"No")</f>
        <v>No</v>
      </c>
      <c r="P586" s="26"/>
    </row>
    <row r="587">
      <c r="A587" s="13" t="str">
        <f>IFERROR(__xludf.DUMMYFUNCTION("""COMPUTED_VALUE"""),"Secret Ponchos")</f>
        <v>Secret Ponchos</v>
      </c>
      <c r="B587" s="15" t="str">
        <f>IFERROR(__xludf.DUMMYFUNCTION("""COMPUTED_VALUE"""),"PS4")</f>
        <v>PS4</v>
      </c>
      <c r="C587" s="16" t="str">
        <f>IFERROR(__xludf.DUMMYFUNCTION("""COMPUTED_VALUE"""),"Playstation Plus (Discontinued)")</f>
        <v>Playstation Plus (Discontinued)</v>
      </c>
      <c r="D587" s="15" t="str">
        <f>IFERROR(__xludf.DUMMYFUNCTION("""COMPUTED_VALUE"""),"Removed")</f>
        <v>Removed</v>
      </c>
      <c r="E587" s="17">
        <f>IFERROR(__xludf.DUMMYFUNCTION("""COMPUTED_VALUE"""),41975.0)</f>
        <v>41975</v>
      </c>
      <c r="F587" s="54">
        <f>IFERROR(__xludf.DUMMYFUNCTION("""COMPUTED_VALUE"""),42009.0)</f>
        <v>42009</v>
      </c>
      <c r="G587" s="19">
        <f>IFERROR(__xludf.DUMMYFUNCTION("""COMPUTED_VALUE"""),1.0999999999999999)</f>
        <v>1.1</v>
      </c>
      <c r="H587" s="17">
        <f>IFERROR(__xludf.DUMMYFUNCTION("""COMPUTED_VALUE"""),41975.0)</f>
        <v>41975</v>
      </c>
      <c r="I587" s="19">
        <f>IFERROR(__xludf.DUMMYFUNCTION("""COMPUTED_VALUE"""),0.0)</f>
        <v>0</v>
      </c>
      <c r="J587" s="21">
        <f>IFERROR(__xludf.DUMMYFUNCTION("""COMPUTED_VALUE"""),71.0)</f>
        <v>71</v>
      </c>
      <c r="K587" s="23">
        <f>IFERROR(__xludf.DUMMYFUNCTION("""COMPUTED_VALUE"""),7.0)</f>
        <v>7</v>
      </c>
      <c r="L587" s="24"/>
      <c r="M587" s="25" t="str">
        <f>IFERROR(__xludf.DUMMYFUNCTION("""COMPUTED_VALUE"""),"Shooter")</f>
        <v>Shooter</v>
      </c>
      <c r="N587" s="25"/>
      <c r="O587" s="26" t="str">
        <f>IFERROR(__xludf.DUMMYFUNCTION("""COMPUTED_VALUE"""),"No")</f>
        <v>No</v>
      </c>
      <c r="P587" s="26"/>
    </row>
    <row r="588" hidden="1">
      <c r="A588" s="13" t="str">
        <f>IFERROR(__xludf.DUMMYFUNCTION("""COMPUTED_VALUE"""),"Deadly Premonition: The Director’s Cut")</f>
        <v>Deadly Premonition: The Director’s Cut</v>
      </c>
      <c r="B588" s="15" t="str">
        <f>IFERROR(__xludf.DUMMYFUNCTION("""COMPUTED_VALUE"""),"PS3")</f>
        <v>PS3</v>
      </c>
      <c r="C588" s="16" t="str">
        <f>IFERROR(__xludf.DUMMYFUNCTION("""COMPUTED_VALUE"""),"Playstation Plus (Discontinued)")</f>
        <v>Playstation Plus (Discontinued)</v>
      </c>
      <c r="D588" s="15" t="str">
        <f>IFERROR(__xludf.DUMMYFUNCTION("""COMPUTED_VALUE"""),"Removed")</f>
        <v>Removed</v>
      </c>
      <c r="E588" s="17">
        <f>IFERROR(__xludf.DUMMYFUNCTION("""COMPUTED_VALUE"""),41975.0)</f>
        <v>41975</v>
      </c>
      <c r="F588" s="54">
        <f>IFERROR(__xludf.DUMMYFUNCTION("""COMPUTED_VALUE"""),42009.0)</f>
        <v>42009</v>
      </c>
      <c r="G588" s="19">
        <f>IFERROR(__xludf.DUMMYFUNCTION("""COMPUTED_VALUE"""),1.0999999999999999)</f>
        <v>1.1</v>
      </c>
      <c r="H588" s="17">
        <f>IFERROR(__xludf.DUMMYFUNCTION("""COMPUTED_VALUE"""),41394.0)</f>
        <v>41394</v>
      </c>
      <c r="I588" s="19">
        <f>IFERROR(__xludf.DUMMYFUNCTION("""COMPUTED_VALUE"""),1.5888888888888888)</f>
        <v>1.588888889</v>
      </c>
      <c r="J588" s="21">
        <f>IFERROR(__xludf.DUMMYFUNCTION("""COMPUTED_VALUE"""),70.0)</f>
        <v>70</v>
      </c>
      <c r="K588" s="23">
        <f>IFERROR(__xludf.DUMMYFUNCTION("""COMPUTED_VALUE"""),8.1)</f>
        <v>8.1</v>
      </c>
      <c r="L588" s="24">
        <f>IFERROR(__xludf.DUMMYFUNCTION("""COMPUTED_VALUE"""),19.0)</f>
        <v>19</v>
      </c>
      <c r="M588" s="25" t="str">
        <f>IFERROR(__xludf.DUMMYFUNCTION("""COMPUTED_VALUE"""),"Horror")</f>
        <v>Horror</v>
      </c>
      <c r="N588" s="25"/>
      <c r="O588" s="26" t="str">
        <f>IFERROR(__xludf.DUMMYFUNCTION("""COMPUTED_VALUE"""),"No")</f>
        <v>No</v>
      </c>
      <c r="P588" s="26"/>
    </row>
    <row r="589" hidden="1">
      <c r="A589" s="13" t="str">
        <f>IFERROR(__xludf.DUMMYFUNCTION("""COMPUTED_VALUE"""),"Hitman HD Trilogy")</f>
        <v>Hitman HD Trilogy</v>
      </c>
      <c r="B589" s="15" t="str">
        <f>IFERROR(__xludf.DUMMYFUNCTION("""COMPUTED_VALUE"""),"PS3")</f>
        <v>PS3</v>
      </c>
      <c r="C589" s="16" t="str">
        <f>IFERROR(__xludf.DUMMYFUNCTION("""COMPUTED_VALUE"""),"Playstation Plus (Discontinued)")</f>
        <v>Playstation Plus (Discontinued)</v>
      </c>
      <c r="D589" s="15" t="str">
        <f>IFERROR(__xludf.DUMMYFUNCTION("""COMPUTED_VALUE"""),"Removed")</f>
        <v>Removed</v>
      </c>
      <c r="E589" s="17">
        <f>IFERROR(__xludf.DUMMYFUNCTION("""COMPUTED_VALUE"""),41975.0)</f>
        <v>41975</v>
      </c>
      <c r="F589" s="54">
        <f>IFERROR(__xludf.DUMMYFUNCTION("""COMPUTED_VALUE"""),42009.0)</f>
        <v>42009</v>
      </c>
      <c r="G589" s="19">
        <f>IFERROR(__xludf.DUMMYFUNCTION("""COMPUTED_VALUE"""),1.0999999999999999)</f>
        <v>1.1</v>
      </c>
      <c r="H589" s="17">
        <f>IFERROR(__xludf.DUMMYFUNCTION("""COMPUTED_VALUE"""),41303.0)</f>
        <v>41303</v>
      </c>
      <c r="I589" s="19">
        <f>IFERROR(__xludf.DUMMYFUNCTION("""COMPUTED_VALUE"""),1.8416666666666666)</f>
        <v>1.841666667</v>
      </c>
      <c r="J589" s="21">
        <f>IFERROR(__xludf.DUMMYFUNCTION("""COMPUTED_VALUE"""),67.0)</f>
        <v>67</v>
      </c>
      <c r="K589" s="23">
        <f>IFERROR(__xludf.DUMMYFUNCTION("""COMPUTED_VALUE"""),7.9)</f>
        <v>7.9</v>
      </c>
      <c r="L589" s="24">
        <f>IFERROR(__xludf.DUMMYFUNCTION("""COMPUTED_VALUE"""),30.0)</f>
        <v>30</v>
      </c>
      <c r="M589" s="25" t="str">
        <f>IFERROR(__xludf.DUMMYFUNCTION("""COMPUTED_VALUE"""),"Action-Adventure")</f>
        <v>Action-Adventure</v>
      </c>
      <c r="N589" s="25"/>
      <c r="O589" s="26" t="str">
        <f>IFERROR(__xludf.DUMMYFUNCTION("""COMPUTED_VALUE"""),"No")</f>
        <v>No</v>
      </c>
      <c r="P589" s="26"/>
    </row>
    <row r="590">
      <c r="A590" s="13" t="str">
        <f>IFERROR(__xludf.DUMMYFUNCTION("""COMPUTED_VALUE"""),"Injustice: Gods Among Us")</f>
        <v>Injustice: Gods Among Us</v>
      </c>
      <c r="B590" s="15" t="str">
        <f>IFERROR(__xludf.DUMMYFUNCTION("""COMPUTED_VALUE"""),"PS4")</f>
        <v>PS4</v>
      </c>
      <c r="C590" s="16" t="str">
        <f>IFERROR(__xludf.DUMMYFUNCTION("""COMPUTED_VALUE"""),"Playstation Plus (Discontinued)")</f>
        <v>Playstation Plus (Discontinued)</v>
      </c>
      <c r="D590" s="15" t="str">
        <f>IFERROR(__xludf.DUMMYFUNCTION("""COMPUTED_VALUE"""),"Removed")</f>
        <v>Removed</v>
      </c>
      <c r="E590" s="17">
        <f>IFERROR(__xludf.DUMMYFUNCTION("""COMPUTED_VALUE"""),41975.0)</f>
        <v>41975</v>
      </c>
      <c r="F590" s="54">
        <f>IFERROR(__xludf.DUMMYFUNCTION("""COMPUTED_VALUE"""),42009.0)</f>
        <v>42009</v>
      </c>
      <c r="G590" s="19">
        <f>IFERROR(__xludf.DUMMYFUNCTION("""COMPUTED_VALUE"""),1.0999999999999999)</f>
        <v>1.1</v>
      </c>
      <c r="H590" s="17">
        <f>IFERROR(__xludf.DUMMYFUNCTION("""COMPUTED_VALUE"""),41380.0)</f>
        <v>41380</v>
      </c>
      <c r="I590" s="19">
        <f>IFERROR(__xludf.DUMMYFUNCTION("""COMPUTED_VALUE"""),1.6277777777777778)</f>
        <v>1.627777778</v>
      </c>
      <c r="J590" s="21">
        <f>IFERROR(__xludf.DUMMYFUNCTION("""COMPUTED_VALUE"""),81.0)</f>
        <v>81</v>
      </c>
      <c r="K590" s="23">
        <f>IFERROR(__xludf.DUMMYFUNCTION("""COMPUTED_VALUE"""),7.9)</f>
        <v>7.9</v>
      </c>
      <c r="L590" s="24">
        <f>IFERROR(__xludf.DUMMYFUNCTION("""COMPUTED_VALUE"""),8.0)</f>
        <v>8</v>
      </c>
      <c r="M590" s="25" t="str">
        <f>IFERROR(__xludf.DUMMYFUNCTION("""COMPUTED_VALUE"""),"Fighting")</f>
        <v>Fighting</v>
      </c>
      <c r="N590" s="25"/>
      <c r="O590" s="26" t="str">
        <f>IFERROR(__xludf.DUMMYFUNCTION("""COMPUTED_VALUE"""),"No")</f>
        <v>No</v>
      </c>
      <c r="P590" s="26"/>
    </row>
    <row r="591" hidden="1">
      <c r="A591" s="13" t="str">
        <f>IFERROR(__xludf.DUMMYFUNCTION("""COMPUTED_VALUE"""),"The Binding of Isaac Rebirth")</f>
        <v>The Binding of Isaac Rebirth</v>
      </c>
      <c r="B591" s="15" t="str">
        <f>IFERROR(__xludf.DUMMYFUNCTION("""COMPUTED_VALUE"""),"PS4/Vita")</f>
        <v>PS4/Vita</v>
      </c>
      <c r="C591" s="16" t="str">
        <f>IFERROR(__xludf.DUMMYFUNCTION("""COMPUTED_VALUE"""),"Playstation Plus (Discontinued)")</f>
        <v>Playstation Plus (Discontinued)</v>
      </c>
      <c r="D591" s="15" t="str">
        <f>IFERROR(__xludf.DUMMYFUNCTION("""COMPUTED_VALUE"""),"Removed")</f>
        <v>Removed</v>
      </c>
      <c r="E591" s="17">
        <f>IFERROR(__xludf.DUMMYFUNCTION("""COMPUTED_VALUE"""),41947.0)</f>
        <v>41947</v>
      </c>
      <c r="F591" s="54">
        <f>IFERROR(__xludf.DUMMYFUNCTION("""COMPUTED_VALUE"""),41974.0)</f>
        <v>41974</v>
      </c>
      <c r="G591" s="19">
        <f>IFERROR(__xludf.DUMMYFUNCTION("""COMPUTED_VALUE"""),0.8999999999999999)</f>
        <v>0.9</v>
      </c>
      <c r="H591" s="17">
        <f>IFERROR(__xludf.DUMMYFUNCTION("""COMPUTED_VALUE"""),41947.0)</f>
        <v>41947</v>
      </c>
      <c r="I591" s="19">
        <f>IFERROR(__xludf.DUMMYFUNCTION("""COMPUTED_VALUE"""),0.0)</f>
        <v>0</v>
      </c>
      <c r="J591" s="21">
        <f>IFERROR(__xludf.DUMMYFUNCTION("""COMPUTED_VALUE"""),86.0)</f>
        <v>86</v>
      </c>
      <c r="K591" s="23">
        <f>IFERROR(__xludf.DUMMYFUNCTION("""COMPUTED_VALUE"""),8.5)</f>
        <v>8.5</v>
      </c>
      <c r="L591" s="24">
        <f>IFERROR(__xludf.DUMMYFUNCTION("""COMPUTED_VALUE"""),7.0)</f>
        <v>7</v>
      </c>
      <c r="M591" s="25" t="str">
        <f>IFERROR(__xludf.DUMMYFUNCTION("""COMPUTED_VALUE"""),"Action-Adventure")</f>
        <v>Action-Adventure</v>
      </c>
      <c r="N591" s="25"/>
      <c r="O591" s="26" t="str">
        <f>IFERROR(__xludf.DUMMYFUNCTION("""COMPUTED_VALUE"""),"No")</f>
        <v>No</v>
      </c>
      <c r="P591" s="26"/>
    </row>
    <row r="592">
      <c r="A592" s="13" t="str">
        <f>IFERROR(__xludf.DUMMYFUNCTION("""COMPUTED_VALUE"""),"SteamWorld Dig: A Fistful of Dirt")</f>
        <v>SteamWorld Dig: A Fistful of Dirt</v>
      </c>
      <c r="B592" s="15" t="str">
        <f>IFERROR(__xludf.DUMMYFUNCTION("""COMPUTED_VALUE"""),"PS4/Vita")</f>
        <v>PS4/Vita</v>
      </c>
      <c r="C592" s="16" t="str">
        <f>IFERROR(__xludf.DUMMYFUNCTION("""COMPUTED_VALUE"""),"Playstation Plus (Discontinued)")</f>
        <v>Playstation Plus (Discontinued)</v>
      </c>
      <c r="D592" s="15" t="str">
        <f>IFERROR(__xludf.DUMMYFUNCTION("""COMPUTED_VALUE"""),"Removed")</f>
        <v>Removed</v>
      </c>
      <c r="E592" s="17">
        <f>IFERROR(__xludf.DUMMYFUNCTION("""COMPUTED_VALUE"""),41947.0)</f>
        <v>41947</v>
      </c>
      <c r="F592" s="54">
        <f>IFERROR(__xludf.DUMMYFUNCTION("""COMPUTED_VALUE"""),41974.0)</f>
        <v>41974</v>
      </c>
      <c r="G592" s="19">
        <f>IFERROR(__xludf.DUMMYFUNCTION("""COMPUTED_VALUE"""),0.8999999999999999)</f>
        <v>0.9</v>
      </c>
      <c r="H592" s="17">
        <f>IFERROR(__xludf.DUMMYFUNCTION("""COMPUTED_VALUE"""),41869.0)</f>
        <v>41869</v>
      </c>
      <c r="I592" s="19">
        <f>IFERROR(__xludf.DUMMYFUNCTION("""COMPUTED_VALUE"""),0.2111111111111111)</f>
        <v>0.2111111111</v>
      </c>
      <c r="J592" s="21">
        <f>IFERROR(__xludf.DUMMYFUNCTION("""COMPUTED_VALUE"""),76.0)</f>
        <v>76</v>
      </c>
      <c r="K592" s="23">
        <f>IFERROR(__xludf.DUMMYFUNCTION("""COMPUTED_VALUE"""),7.9)</f>
        <v>7.9</v>
      </c>
      <c r="L592" s="24">
        <f>IFERROR(__xludf.DUMMYFUNCTION("""COMPUTED_VALUE"""),5.0)</f>
        <v>5</v>
      </c>
      <c r="M592" s="25" t="str">
        <f>IFERROR(__xludf.DUMMYFUNCTION("""COMPUTED_VALUE"""),"Platformer")</f>
        <v>Platformer</v>
      </c>
      <c r="N592" s="25"/>
      <c r="O592" s="26" t="str">
        <f>IFERROR(__xludf.DUMMYFUNCTION("""COMPUTED_VALUE"""),"No")</f>
        <v>No</v>
      </c>
      <c r="P592" s="26"/>
    </row>
    <row r="593" hidden="1">
      <c r="A593" s="13" t="str">
        <f>IFERROR(__xludf.DUMMYFUNCTION("""COMPUTED_VALUE"""),"Escape Plan")</f>
        <v>Escape Plan</v>
      </c>
      <c r="B593" s="15" t="str">
        <f>IFERROR(__xludf.DUMMYFUNCTION("""COMPUTED_VALUE"""),"PS4/Vita")</f>
        <v>PS4/Vita</v>
      </c>
      <c r="C593" s="16" t="str">
        <f>IFERROR(__xludf.DUMMYFUNCTION("""COMPUTED_VALUE"""),"Playstation Plus (Discontinued)")</f>
        <v>Playstation Plus (Discontinued)</v>
      </c>
      <c r="D593" s="15" t="str">
        <f>IFERROR(__xludf.DUMMYFUNCTION("""COMPUTED_VALUE"""),"Removed")</f>
        <v>Removed</v>
      </c>
      <c r="E593" s="17">
        <f>IFERROR(__xludf.DUMMYFUNCTION("""COMPUTED_VALUE"""),41947.0)</f>
        <v>41947</v>
      </c>
      <c r="F593" s="54">
        <f>IFERROR(__xludf.DUMMYFUNCTION("""COMPUTED_VALUE"""),41974.0)</f>
        <v>41974</v>
      </c>
      <c r="G593" s="19">
        <f>IFERROR(__xludf.DUMMYFUNCTION("""COMPUTED_VALUE"""),0.8999999999999999)</f>
        <v>0.9</v>
      </c>
      <c r="H593" s="17">
        <f>IFERROR(__xludf.DUMMYFUNCTION("""COMPUTED_VALUE"""),40961.0)</f>
        <v>40961</v>
      </c>
      <c r="I593" s="19">
        <f>IFERROR(__xludf.DUMMYFUNCTION("""COMPUTED_VALUE"""),2.7)</f>
        <v>2.7</v>
      </c>
      <c r="J593" s="21">
        <f>IFERROR(__xludf.DUMMYFUNCTION("""COMPUTED_VALUE"""),62.0)</f>
        <v>62</v>
      </c>
      <c r="K593" s="23">
        <f>IFERROR(__xludf.DUMMYFUNCTION("""COMPUTED_VALUE"""),6.7)</f>
        <v>6.7</v>
      </c>
      <c r="L593" s="24">
        <f>IFERROR(__xludf.DUMMYFUNCTION("""COMPUTED_VALUE"""),3.0)</f>
        <v>3</v>
      </c>
      <c r="M593" s="25" t="str">
        <f>IFERROR(__xludf.DUMMYFUNCTION("""COMPUTED_VALUE"""),"Puzzle")</f>
        <v>Puzzle</v>
      </c>
      <c r="N593" s="25"/>
      <c r="O593" s="26" t="str">
        <f>IFERROR(__xludf.DUMMYFUNCTION("""COMPUTED_VALUE"""),"No")</f>
        <v>No</v>
      </c>
      <c r="P593" s="26"/>
    </row>
    <row r="594" hidden="1">
      <c r="A594" s="13" t="str">
        <f>IFERROR(__xludf.DUMMYFUNCTION("""COMPUTED_VALUE"""),"Luftrausers")</f>
        <v>Luftrausers</v>
      </c>
      <c r="B594" s="15" t="str">
        <f>IFERROR(__xludf.DUMMYFUNCTION("""COMPUTED_VALUE"""),"PS3/Vita")</f>
        <v>PS3/Vita</v>
      </c>
      <c r="C594" s="16" t="str">
        <f>IFERROR(__xludf.DUMMYFUNCTION("""COMPUTED_VALUE"""),"Playstation Plus (Discontinued)")</f>
        <v>Playstation Plus (Discontinued)</v>
      </c>
      <c r="D594" s="15" t="str">
        <f>IFERROR(__xludf.DUMMYFUNCTION("""COMPUTED_VALUE"""),"Removed")</f>
        <v>Removed</v>
      </c>
      <c r="E594" s="17">
        <f>IFERROR(__xludf.DUMMYFUNCTION("""COMPUTED_VALUE"""),41947.0)</f>
        <v>41947</v>
      </c>
      <c r="F594" s="54">
        <f>IFERROR(__xludf.DUMMYFUNCTION("""COMPUTED_VALUE"""),41974.0)</f>
        <v>41974</v>
      </c>
      <c r="G594" s="19">
        <f>IFERROR(__xludf.DUMMYFUNCTION("""COMPUTED_VALUE"""),0.8999999999999999)</f>
        <v>0.9</v>
      </c>
      <c r="H594" s="17">
        <f>IFERROR(__xludf.DUMMYFUNCTION("""COMPUTED_VALUE"""),41716.0)</f>
        <v>41716</v>
      </c>
      <c r="I594" s="19">
        <f>IFERROR(__xludf.DUMMYFUNCTION("""COMPUTED_VALUE"""),0.6277777777777778)</f>
        <v>0.6277777778</v>
      </c>
      <c r="J594" s="21">
        <f>IFERROR(__xludf.DUMMYFUNCTION("""COMPUTED_VALUE"""),80.0)</f>
        <v>80</v>
      </c>
      <c r="K594" s="23">
        <f>IFERROR(__xludf.DUMMYFUNCTION("""COMPUTED_VALUE"""),7.7)</f>
        <v>7.7</v>
      </c>
      <c r="L594" s="24">
        <f>IFERROR(__xludf.DUMMYFUNCTION("""COMPUTED_VALUE"""),3.0)</f>
        <v>3</v>
      </c>
      <c r="M594" s="25" t="str">
        <f>IFERROR(__xludf.DUMMYFUNCTION("""COMPUTED_VALUE"""),"Shooter")</f>
        <v>Shooter</v>
      </c>
      <c r="N594" s="25"/>
      <c r="O594" s="26" t="str">
        <f>IFERROR(__xludf.DUMMYFUNCTION("""COMPUTED_VALUE"""),"No")</f>
        <v>No</v>
      </c>
      <c r="P594" s="26"/>
    </row>
    <row r="595" hidden="1">
      <c r="A595" s="13" t="str">
        <f>IFERROR(__xludf.DUMMYFUNCTION("""COMPUTED_VALUE"""),"Frozen Synapse Prime")</f>
        <v>Frozen Synapse Prime</v>
      </c>
      <c r="B595" s="15" t="str">
        <f>IFERROR(__xludf.DUMMYFUNCTION("""COMPUTED_VALUE"""),"PS3")</f>
        <v>PS3</v>
      </c>
      <c r="C595" s="16" t="str">
        <f>IFERROR(__xludf.DUMMYFUNCTION("""COMPUTED_VALUE"""),"Playstation Plus (Discontinued)")</f>
        <v>Playstation Plus (Discontinued)</v>
      </c>
      <c r="D595" s="15" t="str">
        <f>IFERROR(__xludf.DUMMYFUNCTION("""COMPUTED_VALUE"""),"Removed")</f>
        <v>Removed</v>
      </c>
      <c r="E595" s="17">
        <f>IFERROR(__xludf.DUMMYFUNCTION("""COMPUTED_VALUE"""),41947.0)</f>
        <v>41947</v>
      </c>
      <c r="F595" s="54">
        <f>IFERROR(__xludf.DUMMYFUNCTION("""COMPUTED_VALUE"""),41974.0)</f>
        <v>41974</v>
      </c>
      <c r="G595" s="19">
        <f>IFERROR(__xludf.DUMMYFUNCTION("""COMPUTED_VALUE"""),0.8999999999999999)</f>
        <v>0.9</v>
      </c>
      <c r="H595" s="17">
        <f>IFERROR(__xludf.DUMMYFUNCTION("""COMPUTED_VALUE"""),41541.0)</f>
        <v>41541</v>
      </c>
      <c r="I595" s="19">
        <f>IFERROR(__xludf.DUMMYFUNCTION("""COMPUTED_VALUE"""),1.1111111111111112)</f>
        <v>1.111111111</v>
      </c>
      <c r="J595" s="21">
        <f>IFERROR(__xludf.DUMMYFUNCTION("""COMPUTED_VALUE"""),69.0)</f>
        <v>69</v>
      </c>
      <c r="K595" s="23">
        <f>IFERROR(__xludf.DUMMYFUNCTION("""COMPUTED_VALUE"""),6.6)</f>
        <v>6.6</v>
      </c>
      <c r="L595" s="24">
        <f>IFERROR(__xludf.DUMMYFUNCTION("""COMPUTED_VALUE"""),8.0)</f>
        <v>8</v>
      </c>
      <c r="M595" s="25" t="str">
        <f>IFERROR(__xludf.DUMMYFUNCTION("""COMPUTED_VALUE"""),"Strategy")</f>
        <v>Strategy</v>
      </c>
      <c r="N595" s="25"/>
      <c r="O595" s="26" t="str">
        <f>IFERROR(__xludf.DUMMYFUNCTION("""COMPUTED_VALUE"""),"No")</f>
        <v>No</v>
      </c>
      <c r="P595" s="26"/>
    </row>
    <row r="596">
      <c r="A596" s="13" t="str">
        <f>IFERROR(__xludf.DUMMYFUNCTION("""COMPUTED_VALUE"""),"The Hungry Horde")</f>
        <v>The Hungry Horde</v>
      </c>
      <c r="B596" s="15" t="str">
        <f>IFERROR(__xludf.DUMMYFUNCTION("""COMPUTED_VALUE"""),"Vita")</f>
        <v>Vita</v>
      </c>
      <c r="C596" s="16" t="str">
        <f>IFERROR(__xludf.DUMMYFUNCTION("""COMPUTED_VALUE"""),"Playstation Plus (Discontinued)")</f>
        <v>Playstation Plus (Discontinued)</v>
      </c>
      <c r="D596" s="15" t="str">
        <f>IFERROR(__xludf.DUMMYFUNCTION("""COMPUTED_VALUE"""),"Removed")</f>
        <v>Removed</v>
      </c>
      <c r="E596" s="17">
        <f>IFERROR(__xludf.DUMMYFUNCTION("""COMPUTED_VALUE"""),41947.0)</f>
        <v>41947</v>
      </c>
      <c r="F596" s="54">
        <f>IFERROR(__xludf.DUMMYFUNCTION("""COMPUTED_VALUE"""),41974.0)</f>
        <v>41974</v>
      </c>
      <c r="G596" s="19">
        <f>IFERROR(__xludf.DUMMYFUNCTION("""COMPUTED_VALUE"""),0.8999999999999999)</f>
        <v>0.9</v>
      </c>
      <c r="H596" s="17">
        <f>IFERROR(__xludf.DUMMYFUNCTION("""COMPUTED_VALUE"""),41947.0)</f>
        <v>41947</v>
      </c>
      <c r="I596" s="19">
        <f>IFERROR(__xludf.DUMMYFUNCTION("""COMPUTED_VALUE"""),0.0)</f>
        <v>0</v>
      </c>
      <c r="J596" s="21">
        <f>IFERROR(__xludf.DUMMYFUNCTION("""COMPUTED_VALUE"""),68.0)</f>
        <v>68</v>
      </c>
      <c r="K596" s="23">
        <f>IFERROR(__xludf.DUMMYFUNCTION("""COMPUTED_VALUE"""),6.6)</f>
        <v>6.6</v>
      </c>
      <c r="L596" s="24">
        <f>IFERROR(__xludf.DUMMYFUNCTION("""COMPUTED_VALUE"""),3.0)</f>
        <v>3</v>
      </c>
      <c r="M596" s="25" t="str">
        <f>IFERROR(__xludf.DUMMYFUNCTION("""COMPUTED_VALUE"""),"Strategy")</f>
        <v>Strategy</v>
      </c>
      <c r="N596" s="25"/>
      <c r="O596" s="26" t="str">
        <f>IFERROR(__xludf.DUMMYFUNCTION("""COMPUTED_VALUE"""),"No")</f>
        <v>No</v>
      </c>
      <c r="P596" s="26"/>
    </row>
    <row r="597">
      <c r="A597" s="13" t="str">
        <f>IFERROR(__xludf.DUMMYFUNCTION("""COMPUTED_VALUE"""),"Spelunky")</f>
        <v>Spelunky</v>
      </c>
      <c r="B597" s="15" t="str">
        <f>IFERROR(__xludf.DUMMYFUNCTION("""COMPUTED_VALUE"""),"PS4/PS3/Vita")</f>
        <v>PS4/PS3/Vita</v>
      </c>
      <c r="C597" s="16" t="str">
        <f>IFERROR(__xludf.DUMMYFUNCTION("""COMPUTED_VALUE"""),"Playstation Plus (Discontinued)")</f>
        <v>Playstation Plus (Discontinued)</v>
      </c>
      <c r="D597" s="15" t="str">
        <f>IFERROR(__xludf.DUMMYFUNCTION("""COMPUTED_VALUE"""),"Removed")</f>
        <v>Removed</v>
      </c>
      <c r="E597" s="17">
        <f>IFERROR(__xludf.DUMMYFUNCTION("""COMPUTED_VALUE"""),41919.0)</f>
        <v>41919</v>
      </c>
      <c r="F597" s="54">
        <f>IFERROR(__xludf.DUMMYFUNCTION("""COMPUTED_VALUE"""),41946.0)</f>
        <v>41946</v>
      </c>
      <c r="G597" s="19">
        <f>IFERROR(__xludf.DUMMYFUNCTION("""COMPUTED_VALUE"""),0.8666666666666666)</f>
        <v>0.8666666667</v>
      </c>
      <c r="H597" s="17">
        <f>IFERROR(__xludf.DUMMYFUNCTION("""COMPUTED_VALUE"""),41094.0)</f>
        <v>41094</v>
      </c>
      <c r="I597" s="19">
        <f>IFERROR(__xludf.DUMMYFUNCTION("""COMPUTED_VALUE"""),2.2583333333333333)</f>
        <v>2.258333333</v>
      </c>
      <c r="J597" s="21">
        <f>IFERROR(__xludf.DUMMYFUNCTION("""COMPUTED_VALUE"""),90.0)</f>
        <v>90</v>
      </c>
      <c r="K597" s="23">
        <f>IFERROR(__xludf.DUMMYFUNCTION("""COMPUTED_VALUE"""),8.5)</f>
        <v>8.5</v>
      </c>
      <c r="L597" s="24">
        <f>IFERROR(__xludf.DUMMYFUNCTION("""COMPUTED_VALUE"""),5.0)</f>
        <v>5</v>
      </c>
      <c r="M597" s="25" t="str">
        <f>IFERROR(__xludf.DUMMYFUNCTION("""COMPUTED_VALUE"""),"Platformer")</f>
        <v>Platformer</v>
      </c>
      <c r="N597" s="25"/>
      <c r="O597" s="26" t="str">
        <f>IFERROR(__xludf.DUMMYFUNCTION("""COMPUTED_VALUE"""),"No")</f>
        <v>No</v>
      </c>
      <c r="P597" s="26"/>
    </row>
    <row r="598" hidden="1">
      <c r="A598" s="13" t="str">
        <f>IFERROR(__xludf.DUMMYFUNCTION("""COMPUTED_VALUE"""),"Pix the Cat")</f>
        <v>Pix the Cat</v>
      </c>
      <c r="B598" s="15" t="str">
        <f>IFERROR(__xludf.DUMMYFUNCTION("""COMPUTED_VALUE"""),"PS4/Vita")</f>
        <v>PS4/Vita</v>
      </c>
      <c r="C598" s="16" t="str">
        <f>IFERROR(__xludf.DUMMYFUNCTION("""COMPUTED_VALUE"""),"Playstation Plus (Discontinued)")</f>
        <v>Playstation Plus (Discontinued)</v>
      </c>
      <c r="D598" s="15" t="str">
        <f>IFERROR(__xludf.DUMMYFUNCTION("""COMPUTED_VALUE"""),"Removed")</f>
        <v>Removed</v>
      </c>
      <c r="E598" s="17">
        <f>IFERROR(__xludf.DUMMYFUNCTION("""COMPUTED_VALUE"""),41919.0)</f>
        <v>41919</v>
      </c>
      <c r="F598" s="54">
        <f>IFERROR(__xludf.DUMMYFUNCTION("""COMPUTED_VALUE"""),41946.0)</f>
        <v>41946</v>
      </c>
      <c r="G598" s="19">
        <f>IFERROR(__xludf.DUMMYFUNCTION("""COMPUTED_VALUE"""),0.8666666666666666)</f>
        <v>0.8666666667</v>
      </c>
      <c r="H598" s="17">
        <f>IFERROR(__xludf.DUMMYFUNCTION("""COMPUTED_VALUE"""),41919.0)</f>
        <v>41919</v>
      </c>
      <c r="I598" s="19">
        <f>IFERROR(__xludf.DUMMYFUNCTION("""COMPUTED_VALUE"""),0.0)</f>
        <v>0</v>
      </c>
      <c r="J598" s="21">
        <f>IFERROR(__xludf.DUMMYFUNCTION("""COMPUTED_VALUE"""),73.0)</f>
        <v>73</v>
      </c>
      <c r="K598" s="23">
        <f>IFERROR(__xludf.DUMMYFUNCTION("""COMPUTED_VALUE"""),7.1)</f>
        <v>7.1</v>
      </c>
      <c r="L598" s="24">
        <f>IFERROR(__xludf.DUMMYFUNCTION("""COMPUTED_VALUE"""),4.0)</f>
        <v>4</v>
      </c>
      <c r="M598" s="25" t="str">
        <f>IFERROR(__xludf.DUMMYFUNCTION("""COMPUTED_VALUE"""),"Arcade")</f>
        <v>Arcade</v>
      </c>
      <c r="N598" s="25"/>
      <c r="O598" s="26" t="str">
        <f>IFERROR(__xludf.DUMMYFUNCTION("""COMPUTED_VALUE"""),"No")</f>
        <v>No</v>
      </c>
      <c r="P598" s="26"/>
    </row>
    <row r="599">
      <c r="A599" s="13" t="str">
        <f>IFERROR(__xludf.DUMMYFUNCTION("""COMPUTED_VALUE"""),"Dust: An Elysian Tail")</f>
        <v>Dust: An Elysian Tail</v>
      </c>
      <c r="B599" s="15" t="str">
        <f>IFERROR(__xludf.DUMMYFUNCTION("""COMPUTED_VALUE"""),"PS4")</f>
        <v>PS4</v>
      </c>
      <c r="C599" s="16" t="str">
        <f>IFERROR(__xludf.DUMMYFUNCTION("""COMPUTED_VALUE"""),"Playstation Plus (Discontinued)")</f>
        <v>Playstation Plus (Discontinued)</v>
      </c>
      <c r="D599" s="15" t="str">
        <f>IFERROR(__xludf.DUMMYFUNCTION("""COMPUTED_VALUE"""),"Removed")</f>
        <v>Removed</v>
      </c>
      <c r="E599" s="17">
        <f>IFERROR(__xludf.DUMMYFUNCTION("""COMPUTED_VALUE"""),41919.0)</f>
        <v>41919</v>
      </c>
      <c r="F599" s="54">
        <f>IFERROR(__xludf.DUMMYFUNCTION("""COMPUTED_VALUE"""),41946.0)</f>
        <v>41946</v>
      </c>
      <c r="G599" s="19">
        <f>IFERROR(__xludf.DUMMYFUNCTION("""COMPUTED_VALUE"""),0.8666666666666666)</f>
        <v>0.8666666667</v>
      </c>
      <c r="H599" s="17">
        <f>IFERROR(__xludf.DUMMYFUNCTION("""COMPUTED_VALUE"""),41410.0)</f>
        <v>41410</v>
      </c>
      <c r="I599" s="19">
        <f>IFERROR(__xludf.DUMMYFUNCTION("""COMPUTED_VALUE"""),1.3916666666666666)</f>
        <v>1.391666667</v>
      </c>
      <c r="J599" s="21">
        <f>IFERROR(__xludf.DUMMYFUNCTION("""COMPUTED_VALUE"""),77.0)</f>
        <v>77</v>
      </c>
      <c r="K599" s="23">
        <f>IFERROR(__xludf.DUMMYFUNCTION("""COMPUTED_VALUE"""),8.0)</f>
        <v>8</v>
      </c>
      <c r="L599" s="24">
        <f>IFERROR(__xludf.DUMMYFUNCTION("""COMPUTED_VALUE"""),12.0)</f>
        <v>12</v>
      </c>
      <c r="M599" s="25" t="str">
        <f>IFERROR(__xludf.DUMMYFUNCTION("""COMPUTED_VALUE"""),"Platformer")</f>
        <v>Platformer</v>
      </c>
      <c r="N599" s="25"/>
      <c r="O599" s="26" t="str">
        <f>IFERROR(__xludf.DUMMYFUNCTION("""COMPUTED_VALUE"""),"No")</f>
        <v>No</v>
      </c>
      <c r="P599" s="26"/>
    </row>
    <row r="600" hidden="1">
      <c r="A600" s="13" t="str">
        <f>IFERROR(__xludf.DUMMYFUNCTION("""COMPUTED_VALUE"""),"Rainbow Moon")</f>
        <v>Rainbow Moon</v>
      </c>
      <c r="B600" s="15" t="str">
        <f>IFERROR(__xludf.DUMMYFUNCTION("""COMPUTED_VALUE"""),"PS3/Vita")</f>
        <v>PS3/Vita</v>
      </c>
      <c r="C600" s="16" t="str">
        <f>IFERROR(__xludf.DUMMYFUNCTION("""COMPUTED_VALUE"""),"Playstation Plus (Discontinued)")</f>
        <v>Playstation Plus (Discontinued)</v>
      </c>
      <c r="D600" s="15" t="str">
        <f>IFERROR(__xludf.DUMMYFUNCTION("""COMPUTED_VALUE"""),"Removed")</f>
        <v>Removed</v>
      </c>
      <c r="E600" s="17">
        <f>IFERROR(__xludf.DUMMYFUNCTION("""COMPUTED_VALUE"""),41919.0)</f>
        <v>41919</v>
      </c>
      <c r="F600" s="54">
        <f>IFERROR(__xludf.DUMMYFUNCTION("""COMPUTED_VALUE"""),41946.0)</f>
        <v>41946</v>
      </c>
      <c r="G600" s="19">
        <f>IFERROR(__xludf.DUMMYFUNCTION("""COMPUTED_VALUE"""),0.8666666666666666)</f>
        <v>0.8666666667</v>
      </c>
      <c r="H600" s="17">
        <f>IFERROR(__xludf.DUMMYFUNCTION("""COMPUTED_VALUE"""),41226.0)</f>
        <v>41226</v>
      </c>
      <c r="I600" s="19">
        <f>IFERROR(__xludf.DUMMYFUNCTION("""COMPUTED_VALUE"""),1.9)</f>
        <v>1.9</v>
      </c>
      <c r="J600" s="21">
        <f>IFERROR(__xludf.DUMMYFUNCTION("""COMPUTED_VALUE"""),81.0)</f>
        <v>81</v>
      </c>
      <c r="K600" s="23">
        <f>IFERROR(__xludf.DUMMYFUNCTION("""COMPUTED_VALUE"""),7.9)</f>
        <v>7.9</v>
      </c>
      <c r="L600" s="24">
        <f>IFERROR(__xludf.DUMMYFUNCTION("""COMPUTED_VALUE"""),35.0)</f>
        <v>35</v>
      </c>
      <c r="M600" s="25" t="str">
        <f>IFERROR(__xludf.DUMMYFUNCTION("""COMPUTED_VALUE"""),"RPG")</f>
        <v>RPG</v>
      </c>
      <c r="N600" s="25"/>
      <c r="O600" s="26" t="str">
        <f>IFERROR(__xludf.DUMMYFUNCTION("""COMPUTED_VALUE"""),"No")</f>
        <v>No</v>
      </c>
      <c r="P600" s="26"/>
    </row>
    <row r="601" hidden="1">
      <c r="A601" s="13" t="str">
        <f>IFERROR(__xludf.DUMMYFUNCTION("""COMPUTED_VALUE"""),"Batman: Arkham Asylum")</f>
        <v>Batman: Arkham Asylum</v>
      </c>
      <c r="B601" s="15" t="str">
        <f>IFERROR(__xludf.DUMMYFUNCTION("""COMPUTED_VALUE"""),"PS3")</f>
        <v>PS3</v>
      </c>
      <c r="C601" s="16" t="str">
        <f>IFERROR(__xludf.DUMMYFUNCTION("""COMPUTED_VALUE"""),"Playstation Plus (Discontinued)")</f>
        <v>Playstation Plus (Discontinued)</v>
      </c>
      <c r="D601" s="15" t="str">
        <f>IFERROR(__xludf.DUMMYFUNCTION("""COMPUTED_VALUE"""),"Removed")</f>
        <v>Removed</v>
      </c>
      <c r="E601" s="17">
        <f>IFERROR(__xludf.DUMMYFUNCTION("""COMPUTED_VALUE"""),41919.0)</f>
        <v>41919</v>
      </c>
      <c r="F601" s="54">
        <f>IFERROR(__xludf.DUMMYFUNCTION("""COMPUTED_VALUE"""),41946.0)</f>
        <v>41946</v>
      </c>
      <c r="G601" s="19">
        <f>IFERROR(__xludf.DUMMYFUNCTION("""COMPUTED_VALUE"""),0.8666666666666666)</f>
        <v>0.8666666667</v>
      </c>
      <c r="H601" s="17">
        <f>IFERROR(__xludf.DUMMYFUNCTION("""COMPUTED_VALUE"""),40050.0)</f>
        <v>40050</v>
      </c>
      <c r="I601" s="19">
        <f>IFERROR(__xludf.DUMMYFUNCTION("""COMPUTED_VALUE"""),5.116666666666666)</f>
        <v>5.116666667</v>
      </c>
      <c r="J601" s="21">
        <f>IFERROR(__xludf.DUMMYFUNCTION("""COMPUTED_VALUE"""),92.0)</f>
        <v>92</v>
      </c>
      <c r="K601" s="23">
        <f>IFERROR(__xludf.DUMMYFUNCTION("""COMPUTED_VALUE"""),8.8)</f>
        <v>8.8</v>
      </c>
      <c r="L601" s="24">
        <f>IFERROR(__xludf.DUMMYFUNCTION("""COMPUTED_VALUE"""),12.0)</f>
        <v>12</v>
      </c>
      <c r="M601" s="25" t="str">
        <f>IFERROR(__xludf.DUMMYFUNCTION("""COMPUTED_VALUE"""),"Action-Adventure")</f>
        <v>Action-Adventure</v>
      </c>
      <c r="N601" s="25"/>
      <c r="O601" s="26" t="str">
        <f>IFERROR(__xludf.DUMMYFUNCTION("""COMPUTED_VALUE"""),"No")</f>
        <v>No</v>
      </c>
      <c r="P601" s="26"/>
    </row>
    <row r="602">
      <c r="A602" s="13" t="str">
        <f>IFERROR(__xludf.DUMMYFUNCTION("""COMPUTED_VALUE"""),"Dungeons &amp; Dragons: Chronicles of Mystara")</f>
        <v>Dungeons &amp; Dragons: Chronicles of Mystara</v>
      </c>
      <c r="B602" s="15" t="str">
        <f>IFERROR(__xludf.DUMMYFUNCTION("""COMPUTED_VALUE"""),"PS3")</f>
        <v>PS3</v>
      </c>
      <c r="C602" s="16" t="str">
        <f>IFERROR(__xludf.DUMMYFUNCTION("""COMPUTED_VALUE"""),"Playstation Plus (Discontinued)")</f>
        <v>Playstation Plus (Discontinued)</v>
      </c>
      <c r="D602" s="15" t="str">
        <f>IFERROR(__xludf.DUMMYFUNCTION("""COMPUTED_VALUE"""),"Removed")</f>
        <v>Removed</v>
      </c>
      <c r="E602" s="17">
        <f>IFERROR(__xludf.DUMMYFUNCTION("""COMPUTED_VALUE"""),41919.0)</f>
        <v>41919</v>
      </c>
      <c r="F602" s="54">
        <f>IFERROR(__xludf.DUMMYFUNCTION("""COMPUTED_VALUE"""),41946.0)</f>
        <v>41946</v>
      </c>
      <c r="G602" s="19">
        <f>IFERROR(__xludf.DUMMYFUNCTION("""COMPUTED_VALUE"""),0.8666666666666666)</f>
        <v>0.8666666667</v>
      </c>
      <c r="H602" s="17">
        <f>IFERROR(__xludf.DUMMYFUNCTION("""COMPUTED_VALUE"""),41443.0)</f>
        <v>41443</v>
      </c>
      <c r="I602" s="19">
        <f>IFERROR(__xludf.DUMMYFUNCTION("""COMPUTED_VALUE"""),1.3027777777777778)</f>
        <v>1.302777778</v>
      </c>
      <c r="J602" s="21">
        <f>IFERROR(__xludf.DUMMYFUNCTION("""COMPUTED_VALUE"""),77.0)</f>
        <v>77</v>
      </c>
      <c r="K602" s="23">
        <f>IFERROR(__xludf.DUMMYFUNCTION("""COMPUTED_VALUE"""),7.6)</f>
        <v>7.6</v>
      </c>
      <c r="L602" s="24">
        <f>IFERROR(__xludf.DUMMYFUNCTION("""COMPUTED_VALUE"""),5.0)</f>
        <v>5</v>
      </c>
      <c r="M602" s="25" t="str">
        <f>IFERROR(__xludf.DUMMYFUNCTION("""COMPUTED_VALUE"""),"Action-Adventure")</f>
        <v>Action-Adventure</v>
      </c>
      <c r="N602" s="25"/>
      <c r="O602" s="26" t="str">
        <f>IFERROR(__xludf.DUMMYFUNCTION("""COMPUTED_VALUE"""),"No")</f>
        <v>No</v>
      </c>
      <c r="P602" s="26"/>
    </row>
    <row r="603">
      <c r="A603" s="13" t="str">
        <f>IFERROR(__xludf.DUMMYFUNCTION("""COMPUTED_VALUE"""),"Velocity 2X")</f>
        <v>Velocity 2X</v>
      </c>
      <c r="B603" s="15" t="str">
        <f>IFERROR(__xludf.DUMMYFUNCTION("""COMPUTED_VALUE"""),"PS4/Vita")</f>
        <v>PS4/Vita</v>
      </c>
      <c r="C603" s="16" t="str">
        <f>IFERROR(__xludf.DUMMYFUNCTION("""COMPUTED_VALUE"""),"Playstation Plus (Discontinued)")</f>
        <v>Playstation Plus (Discontinued)</v>
      </c>
      <c r="D603" s="15" t="str">
        <f>IFERROR(__xludf.DUMMYFUNCTION("""COMPUTED_VALUE"""),"Removed")</f>
        <v>Removed</v>
      </c>
      <c r="E603" s="17">
        <f>IFERROR(__xludf.DUMMYFUNCTION("""COMPUTED_VALUE"""),41884.0)</f>
        <v>41884</v>
      </c>
      <c r="F603" s="54">
        <f>IFERROR(__xludf.DUMMYFUNCTION("""COMPUTED_VALUE"""),41918.0)</f>
        <v>41918</v>
      </c>
      <c r="G603" s="19">
        <f>IFERROR(__xludf.DUMMYFUNCTION("""COMPUTED_VALUE"""),1.1333333333333333)</f>
        <v>1.133333333</v>
      </c>
      <c r="H603" s="17">
        <f>IFERROR(__xludf.DUMMYFUNCTION("""COMPUTED_VALUE"""),41884.0)</f>
        <v>41884</v>
      </c>
      <c r="I603" s="19">
        <f>IFERROR(__xludf.DUMMYFUNCTION("""COMPUTED_VALUE"""),0.0)</f>
        <v>0</v>
      </c>
      <c r="J603" s="21">
        <f>IFERROR(__xludf.DUMMYFUNCTION("""COMPUTED_VALUE"""),86.0)</f>
        <v>86</v>
      </c>
      <c r="K603" s="23">
        <f>IFERROR(__xludf.DUMMYFUNCTION("""COMPUTED_VALUE"""),8.0)</f>
        <v>8</v>
      </c>
      <c r="L603" s="24">
        <f>IFERROR(__xludf.DUMMYFUNCTION("""COMPUTED_VALUE"""),6.0)</f>
        <v>6</v>
      </c>
      <c r="M603" s="25" t="str">
        <f>IFERROR(__xludf.DUMMYFUNCTION("""COMPUTED_VALUE"""),"Shooter")</f>
        <v>Shooter</v>
      </c>
      <c r="N603" s="25"/>
      <c r="O603" s="26" t="str">
        <f>IFERROR(__xludf.DUMMYFUNCTION("""COMPUTED_VALUE"""),"No")</f>
        <v>No</v>
      </c>
      <c r="P603" s="26"/>
    </row>
    <row r="604">
      <c r="A604" s="13" t="str">
        <f>IFERROR(__xludf.DUMMYFUNCTION("""COMPUTED_VALUE"""),"Sportsfriends")</f>
        <v>Sportsfriends</v>
      </c>
      <c r="B604" s="15" t="str">
        <f>IFERROR(__xludf.DUMMYFUNCTION("""COMPUTED_VALUE"""),"PS4/PS3")</f>
        <v>PS4/PS3</v>
      </c>
      <c r="C604" s="16" t="str">
        <f>IFERROR(__xludf.DUMMYFUNCTION("""COMPUTED_VALUE"""),"Playstation Plus (Discontinued)")</f>
        <v>Playstation Plus (Discontinued)</v>
      </c>
      <c r="D604" s="15" t="str">
        <f>IFERROR(__xludf.DUMMYFUNCTION("""COMPUTED_VALUE"""),"Removed")</f>
        <v>Removed</v>
      </c>
      <c r="E604" s="17">
        <f>IFERROR(__xludf.DUMMYFUNCTION("""COMPUTED_VALUE"""),41884.0)</f>
        <v>41884</v>
      </c>
      <c r="F604" s="54">
        <f>IFERROR(__xludf.DUMMYFUNCTION("""COMPUTED_VALUE"""),41918.0)</f>
        <v>41918</v>
      </c>
      <c r="G604" s="19">
        <f>IFERROR(__xludf.DUMMYFUNCTION("""COMPUTED_VALUE"""),1.1333333333333333)</f>
        <v>1.133333333</v>
      </c>
      <c r="H604" s="17">
        <f>IFERROR(__xludf.DUMMYFUNCTION("""COMPUTED_VALUE"""),41765.0)</f>
        <v>41765</v>
      </c>
      <c r="I604" s="19">
        <f>IFERROR(__xludf.DUMMYFUNCTION("""COMPUTED_VALUE"""),0.32222222222222224)</f>
        <v>0.3222222222</v>
      </c>
      <c r="J604" s="21">
        <f>IFERROR(__xludf.DUMMYFUNCTION("""COMPUTED_VALUE"""),69.0)</f>
        <v>69</v>
      </c>
      <c r="K604" s="23">
        <f>IFERROR(__xludf.DUMMYFUNCTION("""COMPUTED_VALUE"""),6.7)</f>
        <v>6.7</v>
      </c>
      <c r="L604" s="24"/>
      <c r="M604" s="25" t="str">
        <f>IFERROR(__xludf.DUMMYFUNCTION("""COMPUTED_VALUE"""),"Sports")</f>
        <v>Sports</v>
      </c>
      <c r="N604" s="25"/>
      <c r="O604" s="26" t="str">
        <f>IFERROR(__xludf.DUMMYFUNCTION("""COMPUTED_VALUE"""),"No")</f>
        <v>No</v>
      </c>
      <c r="P604" s="26"/>
    </row>
    <row r="605">
      <c r="A605" s="13" t="str">
        <f>IFERROR(__xludf.DUMMYFUNCTION("""COMPUTED_VALUE"""),"Playstation All-Stars Battle Royale")</f>
        <v>Playstation All-Stars Battle Royale</v>
      </c>
      <c r="B605" s="15" t="str">
        <f>IFERROR(__xludf.DUMMYFUNCTION("""COMPUTED_VALUE"""),"PS3/Vita")</f>
        <v>PS3/Vita</v>
      </c>
      <c r="C605" s="16" t="str">
        <f>IFERROR(__xludf.DUMMYFUNCTION("""COMPUTED_VALUE"""),"Playstation Plus (Discontinued)")</f>
        <v>Playstation Plus (Discontinued)</v>
      </c>
      <c r="D605" s="15" t="str">
        <f>IFERROR(__xludf.DUMMYFUNCTION("""COMPUTED_VALUE"""),"Removed")</f>
        <v>Removed</v>
      </c>
      <c r="E605" s="17">
        <f>IFERROR(__xludf.DUMMYFUNCTION("""COMPUTED_VALUE"""),41884.0)</f>
        <v>41884</v>
      </c>
      <c r="F605" s="54">
        <f>IFERROR(__xludf.DUMMYFUNCTION("""COMPUTED_VALUE"""),41918.0)</f>
        <v>41918</v>
      </c>
      <c r="G605" s="19">
        <f>IFERROR(__xludf.DUMMYFUNCTION("""COMPUTED_VALUE"""),1.1333333333333333)</f>
        <v>1.133333333</v>
      </c>
      <c r="H605" s="17">
        <f>IFERROR(__xludf.DUMMYFUNCTION("""COMPUTED_VALUE"""),41233.0)</f>
        <v>41233</v>
      </c>
      <c r="I605" s="19">
        <f>IFERROR(__xludf.DUMMYFUNCTION("""COMPUTED_VALUE"""),1.7833333333333334)</f>
        <v>1.783333333</v>
      </c>
      <c r="J605" s="21">
        <f>IFERROR(__xludf.DUMMYFUNCTION("""COMPUTED_VALUE"""),74.0)</f>
        <v>74</v>
      </c>
      <c r="K605" s="23">
        <f>IFERROR(__xludf.DUMMYFUNCTION("""COMPUTED_VALUE"""),7.4)</f>
        <v>7.4</v>
      </c>
      <c r="L605" s="24">
        <f>IFERROR(__xludf.DUMMYFUNCTION("""COMPUTED_VALUE"""),12.0)</f>
        <v>12</v>
      </c>
      <c r="M605" s="25" t="str">
        <f>IFERROR(__xludf.DUMMYFUNCTION("""COMPUTED_VALUE"""),"Fighting")</f>
        <v>Fighting</v>
      </c>
      <c r="N605" s="25"/>
      <c r="O605" s="26" t="str">
        <f>IFERROR(__xludf.DUMMYFUNCTION("""COMPUTED_VALUE"""),"No")</f>
        <v>No</v>
      </c>
      <c r="P605" s="26"/>
    </row>
    <row r="606" hidden="1">
      <c r="A606" s="13" t="str">
        <f>IFERROR(__xludf.DUMMYFUNCTION("""COMPUTED_VALUE"""),"Hoard")</f>
        <v>Hoard</v>
      </c>
      <c r="B606" s="15" t="str">
        <f>IFERROR(__xludf.DUMMYFUNCTION("""COMPUTED_VALUE"""),"PS3")</f>
        <v>PS3</v>
      </c>
      <c r="C606" s="16" t="str">
        <f>IFERROR(__xludf.DUMMYFUNCTION("""COMPUTED_VALUE"""),"Playstation Plus (Discontinued)")</f>
        <v>Playstation Plus (Discontinued)</v>
      </c>
      <c r="D606" s="15" t="str">
        <f>IFERROR(__xludf.DUMMYFUNCTION("""COMPUTED_VALUE"""),"Removed")</f>
        <v>Removed</v>
      </c>
      <c r="E606" s="17">
        <f>IFERROR(__xludf.DUMMYFUNCTION("""COMPUTED_VALUE"""),41884.0)</f>
        <v>41884</v>
      </c>
      <c r="F606" s="54">
        <f>IFERROR(__xludf.DUMMYFUNCTION("""COMPUTED_VALUE"""),41918.0)</f>
        <v>41918</v>
      </c>
      <c r="G606" s="19">
        <f>IFERROR(__xludf.DUMMYFUNCTION("""COMPUTED_VALUE"""),1.1333333333333333)</f>
        <v>1.133333333</v>
      </c>
      <c r="H606" s="17">
        <f>IFERROR(__xludf.DUMMYFUNCTION("""COMPUTED_VALUE"""),40122.0)</f>
        <v>40122</v>
      </c>
      <c r="I606" s="19">
        <f>IFERROR(__xludf.DUMMYFUNCTION("""COMPUTED_VALUE"""),4.825)</f>
        <v>4.825</v>
      </c>
      <c r="J606" s="21">
        <f>IFERROR(__xludf.DUMMYFUNCTION("""COMPUTED_VALUE"""),71.0)</f>
        <v>71</v>
      </c>
      <c r="K606" s="23">
        <f>IFERROR(__xludf.DUMMYFUNCTION("""COMPUTED_VALUE"""),6.8)</f>
        <v>6.8</v>
      </c>
      <c r="L606" s="24"/>
      <c r="M606" s="25" t="str">
        <f>IFERROR(__xludf.DUMMYFUNCTION("""COMPUTED_VALUE"""),"Strategy")</f>
        <v>Strategy</v>
      </c>
      <c r="N606" s="25"/>
      <c r="O606" s="26" t="str">
        <f>IFERROR(__xludf.DUMMYFUNCTION("""COMPUTED_VALUE"""),"No")</f>
        <v>No</v>
      </c>
      <c r="P606" s="26"/>
    </row>
    <row r="607" hidden="1">
      <c r="A607" s="13" t="str">
        <f>IFERROR(__xludf.DUMMYFUNCTION("""COMPUTED_VALUE"""),"Joe Danger")</f>
        <v>Joe Danger</v>
      </c>
      <c r="B607" s="15" t="str">
        <f>IFERROR(__xludf.DUMMYFUNCTION("""COMPUTED_VALUE"""),"Vita")</f>
        <v>Vita</v>
      </c>
      <c r="C607" s="16" t="str">
        <f>IFERROR(__xludf.DUMMYFUNCTION("""COMPUTED_VALUE"""),"Playstation Plus (Discontinued)")</f>
        <v>Playstation Plus (Discontinued)</v>
      </c>
      <c r="D607" s="15" t="str">
        <f>IFERROR(__xludf.DUMMYFUNCTION("""COMPUTED_VALUE"""),"Removed")</f>
        <v>Removed</v>
      </c>
      <c r="E607" s="17">
        <f>IFERROR(__xludf.DUMMYFUNCTION("""COMPUTED_VALUE"""),41884.0)</f>
        <v>41884</v>
      </c>
      <c r="F607" s="54">
        <f>IFERROR(__xludf.DUMMYFUNCTION("""COMPUTED_VALUE"""),41918.0)</f>
        <v>41918</v>
      </c>
      <c r="G607" s="19">
        <f>IFERROR(__xludf.DUMMYFUNCTION("""COMPUTED_VALUE"""),1.1333333333333333)</f>
        <v>1.133333333</v>
      </c>
      <c r="H607" s="17">
        <f>IFERROR(__xludf.DUMMYFUNCTION("""COMPUTED_VALUE"""),40703.0)</f>
        <v>40703</v>
      </c>
      <c r="I607" s="19">
        <f>IFERROR(__xludf.DUMMYFUNCTION("""COMPUTED_VALUE"""),3.2305555555555556)</f>
        <v>3.230555556</v>
      </c>
      <c r="J607" s="21">
        <f>IFERROR(__xludf.DUMMYFUNCTION("""COMPUTED_VALUE"""),74.0)</f>
        <v>74</v>
      </c>
      <c r="K607" s="23">
        <f>IFERROR(__xludf.DUMMYFUNCTION("""COMPUTED_VALUE"""),7.7)</f>
        <v>7.7</v>
      </c>
      <c r="L607" s="24">
        <f>IFERROR(__xludf.DUMMYFUNCTION("""COMPUTED_VALUE"""),7.0)</f>
        <v>7</v>
      </c>
      <c r="M607" s="25" t="str">
        <f>IFERROR(__xludf.DUMMYFUNCTION("""COMPUTED_VALUE"""),"Racing")</f>
        <v>Racing</v>
      </c>
      <c r="N607" s="25"/>
      <c r="O607" s="26" t="str">
        <f>IFERROR(__xludf.DUMMYFUNCTION("""COMPUTED_VALUE"""),"No")</f>
        <v>No</v>
      </c>
      <c r="P607" s="26"/>
    </row>
    <row r="608">
      <c r="A608" s="13" t="str">
        <f>IFERROR(__xludf.DUMMYFUNCTION("""COMPUTED_VALUE"""),"TxK")</f>
        <v>TxK</v>
      </c>
      <c r="B608" s="15" t="str">
        <f>IFERROR(__xludf.DUMMYFUNCTION("""COMPUTED_VALUE"""),"Vita")</f>
        <v>Vita</v>
      </c>
      <c r="C608" s="16" t="str">
        <f>IFERROR(__xludf.DUMMYFUNCTION("""COMPUTED_VALUE"""),"Playstation Plus (Discontinued)")</f>
        <v>Playstation Plus (Discontinued)</v>
      </c>
      <c r="D608" s="15" t="str">
        <f>IFERROR(__xludf.DUMMYFUNCTION("""COMPUTED_VALUE"""),"Removed")</f>
        <v>Removed</v>
      </c>
      <c r="E608" s="17">
        <f>IFERROR(__xludf.DUMMYFUNCTION("""COMPUTED_VALUE"""),41884.0)</f>
        <v>41884</v>
      </c>
      <c r="F608" s="54">
        <f>IFERROR(__xludf.DUMMYFUNCTION("""COMPUTED_VALUE"""),41918.0)</f>
        <v>41918</v>
      </c>
      <c r="G608" s="19">
        <f>IFERROR(__xludf.DUMMYFUNCTION("""COMPUTED_VALUE"""),1.1333333333333333)</f>
        <v>1.133333333</v>
      </c>
      <c r="H608" s="17">
        <f>IFERROR(__xludf.DUMMYFUNCTION("""COMPUTED_VALUE"""),41681.0)</f>
        <v>41681</v>
      </c>
      <c r="I608" s="19">
        <f>IFERROR(__xludf.DUMMYFUNCTION("""COMPUTED_VALUE"""),0.5583333333333333)</f>
        <v>0.5583333333</v>
      </c>
      <c r="J608" s="21">
        <f>IFERROR(__xludf.DUMMYFUNCTION("""COMPUTED_VALUE"""),80.0)</f>
        <v>80</v>
      </c>
      <c r="K608" s="23">
        <f>IFERROR(__xludf.DUMMYFUNCTION("""COMPUTED_VALUE"""),7.8)</f>
        <v>7.8</v>
      </c>
      <c r="L608" s="24"/>
      <c r="M608" s="25" t="str">
        <f>IFERROR(__xludf.DUMMYFUNCTION("""COMPUTED_VALUE"""),"Shooter")</f>
        <v>Shooter</v>
      </c>
      <c r="N608" s="25"/>
      <c r="O608" s="26" t="str">
        <f>IFERROR(__xludf.DUMMYFUNCTION("""COMPUTED_VALUE"""),"No")</f>
        <v>No</v>
      </c>
      <c r="P608" s="26"/>
    </row>
    <row r="609" hidden="1">
      <c r="A609" s="13" t="str">
        <f>IFERROR(__xludf.DUMMYFUNCTION("""COMPUTED_VALUE"""),"Fez")</f>
        <v>Fez</v>
      </c>
      <c r="B609" s="15" t="str">
        <f>IFERROR(__xludf.DUMMYFUNCTION("""COMPUTED_VALUE"""),"PS4/PS3/Vita")</f>
        <v>PS4/PS3/Vita</v>
      </c>
      <c r="C609" s="16" t="str">
        <f>IFERROR(__xludf.DUMMYFUNCTION("""COMPUTED_VALUE"""),"Playstation Plus (Discontinued)")</f>
        <v>Playstation Plus (Discontinued)</v>
      </c>
      <c r="D609" s="15" t="str">
        <f>IFERROR(__xludf.DUMMYFUNCTION("""COMPUTED_VALUE"""),"Removed")</f>
        <v>Removed</v>
      </c>
      <c r="E609" s="17">
        <f>IFERROR(__xludf.DUMMYFUNCTION("""COMPUTED_VALUE"""),41856.0)</f>
        <v>41856</v>
      </c>
      <c r="F609" s="54">
        <f>IFERROR(__xludf.DUMMYFUNCTION("""COMPUTED_VALUE"""),41883.0)</f>
        <v>41883</v>
      </c>
      <c r="G609" s="19">
        <f>IFERROR(__xludf.DUMMYFUNCTION("""COMPUTED_VALUE"""),0.8666666666666666)</f>
        <v>0.8666666667</v>
      </c>
      <c r="H609" s="17">
        <f>IFERROR(__xludf.DUMMYFUNCTION("""COMPUTED_VALUE"""),41012.0)</f>
        <v>41012</v>
      </c>
      <c r="I609" s="19">
        <f>IFERROR(__xludf.DUMMYFUNCTION("""COMPUTED_VALUE"""),2.311111111111111)</f>
        <v>2.311111111</v>
      </c>
      <c r="J609" s="21">
        <f>IFERROR(__xludf.DUMMYFUNCTION("""COMPUTED_VALUE"""),91.0)</f>
        <v>91</v>
      </c>
      <c r="K609" s="23">
        <f>IFERROR(__xludf.DUMMYFUNCTION("""COMPUTED_VALUE"""),8.4)</f>
        <v>8.4</v>
      </c>
      <c r="L609" s="24">
        <f>IFERROR(__xludf.DUMMYFUNCTION("""COMPUTED_VALUE"""),5.0)</f>
        <v>5</v>
      </c>
      <c r="M609" s="25" t="str">
        <f>IFERROR(__xludf.DUMMYFUNCTION("""COMPUTED_VALUE"""),"Platformer")</f>
        <v>Platformer</v>
      </c>
      <c r="N609" s="25"/>
      <c r="O609" s="26" t="str">
        <f>IFERROR(__xludf.DUMMYFUNCTION("""COMPUTED_VALUE"""),"No")</f>
        <v>No</v>
      </c>
      <c r="P609" s="26"/>
    </row>
    <row r="610">
      <c r="A610" s="13" t="str">
        <f>IFERROR(__xludf.DUMMYFUNCTION("""COMPUTED_VALUE"""),"Road Not Taken")</f>
        <v>Road Not Taken</v>
      </c>
      <c r="B610" s="15" t="str">
        <f>IFERROR(__xludf.DUMMYFUNCTION("""COMPUTED_VALUE"""),"PS4")</f>
        <v>PS4</v>
      </c>
      <c r="C610" s="16" t="str">
        <f>IFERROR(__xludf.DUMMYFUNCTION("""COMPUTED_VALUE"""),"Playstation Plus (Discontinued)")</f>
        <v>Playstation Plus (Discontinued)</v>
      </c>
      <c r="D610" s="15" t="str">
        <f>IFERROR(__xludf.DUMMYFUNCTION("""COMPUTED_VALUE"""),"Removed")</f>
        <v>Removed</v>
      </c>
      <c r="E610" s="17">
        <f>IFERROR(__xludf.DUMMYFUNCTION("""COMPUTED_VALUE"""),41856.0)</f>
        <v>41856</v>
      </c>
      <c r="F610" s="54">
        <f>IFERROR(__xludf.DUMMYFUNCTION("""COMPUTED_VALUE"""),41883.0)</f>
        <v>41883</v>
      </c>
      <c r="G610" s="19">
        <f>IFERROR(__xludf.DUMMYFUNCTION("""COMPUTED_VALUE"""),0.8666666666666666)</f>
        <v>0.8666666667</v>
      </c>
      <c r="H610" s="17">
        <f>IFERROR(__xludf.DUMMYFUNCTION("""COMPUTED_VALUE"""),41856.0)</f>
        <v>41856</v>
      </c>
      <c r="I610" s="19">
        <f>IFERROR(__xludf.DUMMYFUNCTION("""COMPUTED_VALUE"""),0.0)</f>
        <v>0</v>
      </c>
      <c r="J610" s="21">
        <f>IFERROR(__xludf.DUMMYFUNCTION("""COMPUTED_VALUE"""),68.0)</f>
        <v>68</v>
      </c>
      <c r="K610" s="23">
        <f>IFERROR(__xludf.DUMMYFUNCTION("""COMPUTED_VALUE"""),6.6)</f>
        <v>6.6</v>
      </c>
      <c r="L610" s="24">
        <f>IFERROR(__xludf.DUMMYFUNCTION("""COMPUTED_VALUE"""),6.0)</f>
        <v>6</v>
      </c>
      <c r="M610" s="25" t="str">
        <f>IFERROR(__xludf.DUMMYFUNCTION("""COMPUTED_VALUE"""),"Puzzle")</f>
        <v>Puzzle</v>
      </c>
      <c r="N610" s="25"/>
      <c r="O610" s="26" t="str">
        <f>IFERROR(__xludf.DUMMYFUNCTION("""COMPUTED_VALUE"""),"No")</f>
        <v>No</v>
      </c>
      <c r="P610" s="26"/>
    </row>
    <row r="611" hidden="1">
      <c r="A611" s="13" t="str">
        <f>IFERROR(__xludf.DUMMYFUNCTION("""COMPUTED_VALUE"""),"Dragon's Crown")</f>
        <v>Dragon's Crown</v>
      </c>
      <c r="B611" s="15" t="str">
        <f>IFERROR(__xludf.DUMMYFUNCTION("""COMPUTED_VALUE"""),"PS3/Vita")</f>
        <v>PS3/Vita</v>
      </c>
      <c r="C611" s="16" t="str">
        <f>IFERROR(__xludf.DUMMYFUNCTION("""COMPUTED_VALUE"""),"Playstation Plus (Discontinued)")</f>
        <v>Playstation Plus (Discontinued)</v>
      </c>
      <c r="D611" s="15" t="str">
        <f>IFERROR(__xludf.DUMMYFUNCTION("""COMPUTED_VALUE"""),"Removed")</f>
        <v>Removed</v>
      </c>
      <c r="E611" s="17">
        <f>IFERROR(__xludf.DUMMYFUNCTION("""COMPUTED_VALUE"""),41856.0)</f>
        <v>41856</v>
      </c>
      <c r="F611" s="54">
        <f>IFERROR(__xludf.DUMMYFUNCTION("""COMPUTED_VALUE"""),41883.0)</f>
        <v>41883</v>
      </c>
      <c r="G611" s="19">
        <f>IFERROR(__xludf.DUMMYFUNCTION("""COMPUTED_VALUE"""),0.8666666666666666)</f>
        <v>0.8666666667</v>
      </c>
      <c r="H611" s="17">
        <f>IFERROR(__xludf.DUMMYFUNCTION("""COMPUTED_VALUE"""),41492.0)</f>
        <v>41492</v>
      </c>
      <c r="I611" s="19">
        <f>IFERROR(__xludf.DUMMYFUNCTION("""COMPUTED_VALUE"""),0.9972222222222222)</f>
        <v>0.9972222222</v>
      </c>
      <c r="J611" s="21">
        <f>IFERROR(__xludf.DUMMYFUNCTION("""COMPUTED_VALUE"""),87.0)</f>
        <v>87</v>
      </c>
      <c r="K611" s="23">
        <f>IFERROR(__xludf.DUMMYFUNCTION("""COMPUTED_VALUE"""),8.3)</f>
        <v>8.3</v>
      </c>
      <c r="L611" s="24">
        <f>IFERROR(__xludf.DUMMYFUNCTION("""COMPUTED_VALUE"""),20.0)</f>
        <v>20</v>
      </c>
      <c r="M611" s="25" t="str">
        <f>IFERROR(__xludf.DUMMYFUNCTION("""COMPUTED_VALUE"""),"RPG")</f>
        <v>RPG</v>
      </c>
      <c r="N611" s="25"/>
      <c r="O611" s="26" t="str">
        <f>IFERROR(__xludf.DUMMYFUNCTION("""COMPUTED_VALUE"""),"No")</f>
        <v>No</v>
      </c>
      <c r="P611" s="26"/>
    </row>
    <row r="612" hidden="1">
      <c r="A612" s="13" t="str">
        <f>IFERROR(__xludf.DUMMYFUNCTION("""COMPUTED_VALUE"""),"Proteus")</f>
        <v>Proteus</v>
      </c>
      <c r="B612" s="15" t="str">
        <f>IFERROR(__xludf.DUMMYFUNCTION("""COMPUTED_VALUE"""),"PS3/Vita")</f>
        <v>PS3/Vita</v>
      </c>
      <c r="C612" s="16" t="str">
        <f>IFERROR(__xludf.DUMMYFUNCTION("""COMPUTED_VALUE"""),"Playstation Plus (Discontinued)")</f>
        <v>Playstation Plus (Discontinued)</v>
      </c>
      <c r="D612" s="15" t="str">
        <f>IFERROR(__xludf.DUMMYFUNCTION("""COMPUTED_VALUE"""),"Removed")</f>
        <v>Removed</v>
      </c>
      <c r="E612" s="17">
        <f>IFERROR(__xludf.DUMMYFUNCTION("""COMPUTED_VALUE"""),41856.0)</f>
        <v>41856</v>
      </c>
      <c r="F612" s="54">
        <f>IFERROR(__xludf.DUMMYFUNCTION("""COMPUTED_VALUE"""),41883.0)</f>
        <v>41883</v>
      </c>
      <c r="G612" s="19">
        <f>IFERROR(__xludf.DUMMYFUNCTION("""COMPUTED_VALUE"""),0.8666666666666666)</f>
        <v>0.8666666667</v>
      </c>
      <c r="H612" s="17">
        <f>IFERROR(__xludf.DUMMYFUNCTION("""COMPUTED_VALUE"""),41306.0)</f>
        <v>41306</v>
      </c>
      <c r="I612" s="19">
        <f>IFERROR(__xludf.DUMMYFUNCTION("""COMPUTED_VALUE"""),1.511111111111111)</f>
        <v>1.511111111</v>
      </c>
      <c r="J612" s="21">
        <f>IFERROR(__xludf.DUMMYFUNCTION("""COMPUTED_VALUE"""),80.0)</f>
        <v>80</v>
      </c>
      <c r="K612" s="23">
        <f>IFERROR(__xludf.DUMMYFUNCTION("""COMPUTED_VALUE"""),7.1)</f>
        <v>7.1</v>
      </c>
      <c r="L612" s="24">
        <f>IFERROR(__xludf.DUMMYFUNCTION("""COMPUTED_VALUE"""),1.0)</f>
        <v>1</v>
      </c>
      <c r="M612" s="25" t="str">
        <f>IFERROR(__xludf.DUMMYFUNCTION("""COMPUTED_VALUE"""),"Adventure")</f>
        <v>Adventure</v>
      </c>
      <c r="N612" s="25"/>
      <c r="O612" s="26" t="str">
        <f>IFERROR(__xludf.DUMMYFUNCTION("""COMPUTED_VALUE"""),"No")</f>
        <v>No</v>
      </c>
      <c r="P612" s="26"/>
    </row>
    <row r="613" hidden="1">
      <c r="A613" s="13" t="str">
        <f>IFERROR(__xludf.DUMMYFUNCTION("""COMPUTED_VALUE"""),"Crysis 3")</f>
        <v>Crysis 3</v>
      </c>
      <c r="B613" s="15" t="str">
        <f>IFERROR(__xludf.DUMMYFUNCTION("""COMPUTED_VALUE"""),"PS3")</f>
        <v>PS3</v>
      </c>
      <c r="C613" s="16" t="str">
        <f>IFERROR(__xludf.DUMMYFUNCTION("""COMPUTED_VALUE"""),"Playstation Plus (Discontinued)")</f>
        <v>Playstation Plus (Discontinued)</v>
      </c>
      <c r="D613" s="15" t="str">
        <f>IFERROR(__xludf.DUMMYFUNCTION("""COMPUTED_VALUE"""),"Removed")</f>
        <v>Removed</v>
      </c>
      <c r="E613" s="17">
        <f>IFERROR(__xludf.DUMMYFUNCTION("""COMPUTED_VALUE"""),41856.0)</f>
        <v>41856</v>
      </c>
      <c r="F613" s="54">
        <f>IFERROR(__xludf.DUMMYFUNCTION("""COMPUTED_VALUE"""),41883.0)</f>
        <v>41883</v>
      </c>
      <c r="G613" s="19">
        <f>IFERROR(__xludf.DUMMYFUNCTION("""COMPUTED_VALUE"""),0.8666666666666666)</f>
        <v>0.8666666667</v>
      </c>
      <c r="H613" s="17">
        <f>IFERROR(__xludf.DUMMYFUNCTION("""COMPUTED_VALUE"""),41324.0)</f>
        <v>41324</v>
      </c>
      <c r="I613" s="19">
        <f>IFERROR(__xludf.DUMMYFUNCTION("""COMPUTED_VALUE"""),1.461111111111111)</f>
        <v>1.461111111</v>
      </c>
      <c r="J613" s="21">
        <f>IFERROR(__xludf.DUMMYFUNCTION("""COMPUTED_VALUE"""),76.0)</f>
        <v>76</v>
      </c>
      <c r="K613" s="23">
        <f>IFERROR(__xludf.DUMMYFUNCTION("""COMPUTED_VALUE"""),7.2)</f>
        <v>7.2</v>
      </c>
      <c r="L613" s="24">
        <f>IFERROR(__xludf.DUMMYFUNCTION("""COMPUTED_VALUE"""),7.0)</f>
        <v>7</v>
      </c>
      <c r="M613" s="25" t="str">
        <f>IFERROR(__xludf.DUMMYFUNCTION("""COMPUTED_VALUE"""),"Shooter")</f>
        <v>Shooter</v>
      </c>
      <c r="N613" s="25"/>
      <c r="O613" s="26" t="str">
        <f>IFERROR(__xludf.DUMMYFUNCTION("""COMPUTED_VALUE"""),"No")</f>
        <v>No</v>
      </c>
      <c r="P613" s="26"/>
    </row>
    <row r="614">
      <c r="A614" s="13" t="str">
        <f>IFERROR(__xludf.DUMMYFUNCTION("""COMPUTED_VALUE"""),"Metrico")</f>
        <v>Metrico</v>
      </c>
      <c r="B614" s="15" t="str">
        <f>IFERROR(__xludf.DUMMYFUNCTION("""COMPUTED_VALUE"""),"Vita")</f>
        <v>Vita</v>
      </c>
      <c r="C614" s="16" t="str">
        <f>IFERROR(__xludf.DUMMYFUNCTION("""COMPUTED_VALUE"""),"Playstation Plus (Discontinued)")</f>
        <v>Playstation Plus (Discontinued)</v>
      </c>
      <c r="D614" s="15" t="str">
        <f>IFERROR(__xludf.DUMMYFUNCTION("""COMPUTED_VALUE"""),"Removed")</f>
        <v>Removed</v>
      </c>
      <c r="E614" s="17">
        <f>IFERROR(__xludf.DUMMYFUNCTION("""COMPUTED_VALUE"""),41856.0)</f>
        <v>41856</v>
      </c>
      <c r="F614" s="54">
        <f>IFERROR(__xludf.DUMMYFUNCTION("""COMPUTED_VALUE"""),41883.0)</f>
        <v>41883</v>
      </c>
      <c r="G614" s="19">
        <f>IFERROR(__xludf.DUMMYFUNCTION("""COMPUTED_VALUE"""),0.8666666666666666)</f>
        <v>0.8666666667</v>
      </c>
      <c r="H614" s="17">
        <f>IFERROR(__xludf.DUMMYFUNCTION("""COMPUTED_VALUE"""),41856.0)</f>
        <v>41856</v>
      </c>
      <c r="I614" s="19">
        <f>IFERROR(__xludf.DUMMYFUNCTION("""COMPUTED_VALUE"""),0.0)</f>
        <v>0</v>
      </c>
      <c r="J614" s="21">
        <f>IFERROR(__xludf.DUMMYFUNCTION("""COMPUTED_VALUE"""),68.0)</f>
        <v>68</v>
      </c>
      <c r="K614" s="23">
        <f>IFERROR(__xludf.DUMMYFUNCTION("""COMPUTED_VALUE"""),6.8)</f>
        <v>6.8</v>
      </c>
      <c r="L614" s="24">
        <f>IFERROR(__xludf.DUMMYFUNCTION("""COMPUTED_VALUE"""),3.0)</f>
        <v>3</v>
      </c>
      <c r="M614" s="25" t="str">
        <f>IFERROR(__xludf.DUMMYFUNCTION("""COMPUTED_VALUE"""),"Puzzle")</f>
        <v>Puzzle</v>
      </c>
      <c r="N614" s="25"/>
      <c r="O614" s="26" t="str">
        <f>IFERROR(__xludf.DUMMYFUNCTION("""COMPUTED_VALUE"""),"No")</f>
        <v>No</v>
      </c>
      <c r="P614" s="26"/>
    </row>
    <row r="615">
      <c r="A615" s="13" t="str">
        <f>IFERROR(__xludf.DUMMYFUNCTION("""COMPUTED_VALUE"""),"Doki-Doki Universe")</f>
        <v>Doki-Doki Universe</v>
      </c>
      <c r="B615" s="15" t="str">
        <f>IFERROR(__xludf.DUMMYFUNCTION("""COMPUTED_VALUE"""),"PS4/PS3/Vita")</f>
        <v>PS4/PS3/Vita</v>
      </c>
      <c r="C615" s="16" t="str">
        <f>IFERROR(__xludf.DUMMYFUNCTION("""COMPUTED_VALUE"""),"Playstation Plus (Discontinued)")</f>
        <v>Playstation Plus (Discontinued)</v>
      </c>
      <c r="D615" s="15" t="str">
        <f>IFERROR(__xludf.DUMMYFUNCTION("""COMPUTED_VALUE"""),"Removed")</f>
        <v>Removed</v>
      </c>
      <c r="E615" s="17">
        <f>IFERROR(__xludf.DUMMYFUNCTION("""COMPUTED_VALUE"""),41821.0)</f>
        <v>41821</v>
      </c>
      <c r="F615" s="54">
        <f>IFERROR(__xludf.DUMMYFUNCTION("""COMPUTED_VALUE"""),41855.0)</f>
        <v>41855</v>
      </c>
      <c r="G615" s="19">
        <f>IFERROR(__xludf.DUMMYFUNCTION("""COMPUTED_VALUE"""),1.0999999999999999)</f>
        <v>1.1</v>
      </c>
      <c r="H615" s="17">
        <f>IFERROR(__xludf.DUMMYFUNCTION("""COMPUTED_VALUE"""),41618.0)</f>
        <v>41618</v>
      </c>
      <c r="I615" s="19">
        <f>IFERROR(__xludf.DUMMYFUNCTION("""COMPUTED_VALUE"""),0.5583333333333333)</f>
        <v>0.5583333333</v>
      </c>
      <c r="J615" s="21">
        <f>IFERROR(__xludf.DUMMYFUNCTION("""COMPUTED_VALUE"""),70.0)</f>
        <v>70</v>
      </c>
      <c r="K615" s="23">
        <f>IFERROR(__xludf.DUMMYFUNCTION("""COMPUTED_VALUE"""),7.1)</f>
        <v>7.1</v>
      </c>
      <c r="L615" s="24"/>
      <c r="M615" s="25" t="str">
        <f>IFERROR(__xludf.DUMMYFUNCTION("""COMPUTED_VALUE"""),"Adventure")</f>
        <v>Adventure</v>
      </c>
      <c r="N615" s="25"/>
      <c r="O615" s="26" t="str">
        <f>IFERROR(__xludf.DUMMYFUNCTION("""COMPUTED_VALUE"""),"No")</f>
        <v>No</v>
      </c>
      <c r="P615" s="26"/>
    </row>
    <row r="616" hidden="1">
      <c r="A616" s="13" t="str">
        <f>IFERROR(__xludf.DUMMYFUNCTION("""COMPUTED_VALUE"""),"Towerfall Ascension")</f>
        <v>Towerfall Ascension</v>
      </c>
      <c r="B616" s="15" t="str">
        <f>IFERROR(__xludf.DUMMYFUNCTION("""COMPUTED_VALUE"""),"PS4")</f>
        <v>PS4</v>
      </c>
      <c r="C616" s="16" t="str">
        <f>IFERROR(__xludf.DUMMYFUNCTION("""COMPUTED_VALUE"""),"Playstation Plus (Discontinued)")</f>
        <v>Playstation Plus (Discontinued)</v>
      </c>
      <c r="D616" s="15" t="str">
        <f>IFERROR(__xludf.DUMMYFUNCTION("""COMPUTED_VALUE"""),"Removed")</f>
        <v>Removed</v>
      </c>
      <c r="E616" s="17">
        <f>IFERROR(__xludf.DUMMYFUNCTION("""COMPUTED_VALUE"""),41821.0)</f>
        <v>41821</v>
      </c>
      <c r="F616" s="54">
        <f>IFERROR(__xludf.DUMMYFUNCTION("""COMPUTED_VALUE"""),41855.0)</f>
        <v>41855</v>
      </c>
      <c r="G616" s="19">
        <f>IFERROR(__xludf.DUMMYFUNCTION("""COMPUTED_VALUE"""),1.0999999999999999)</f>
        <v>1.1</v>
      </c>
      <c r="H616" s="17">
        <f>IFERROR(__xludf.DUMMYFUNCTION("""COMPUTED_VALUE"""),41709.0)</f>
        <v>41709</v>
      </c>
      <c r="I616" s="19">
        <f>IFERROR(__xludf.DUMMYFUNCTION("""COMPUTED_VALUE"""),0.3055555555555556)</f>
        <v>0.3055555556</v>
      </c>
      <c r="J616" s="21">
        <f>IFERROR(__xludf.DUMMYFUNCTION("""COMPUTED_VALUE"""),87.0)</f>
        <v>87</v>
      </c>
      <c r="K616" s="23">
        <f>IFERROR(__xludf.DUMMYFUNCTION("""COMPUTED_VALUE"""),8.4)</f>
        <v>8.4</v>
      </c>
      <c r="L616" s="24">
        <f>IFERROR(__xludf.DUMMYFUNCTION("""COMPUTED_VALUE"""),4.0)</f>
        <v>4</v>
      </c>
      <c r="M616" s="25" t="str">
        <f>IFERROR(__xludf.DUMMYFUNCTION("""COMPUTED_VALUE"""),"Platformer")</f>
        <v>Platformer</v>
      </c>
      <c r="N616" s="25"/>
      <c r="O616" s="26" t="str">
        <f>IFERROR(__xludf.DUMMYFUNCTION("""COMPUTED_VALUE"""),"No")</f>
        <v>No</v>
      </c>
      <c r="P616" s="26"/>
    </row>
    <row r="617" hidden="1">
      <c r="A617" s="13" t="str">
        <f>IFERROR(__xludf.DUMMYFUNCTION("""COMPUTED_VALUE"""),"Strider")</f>
        <v>Strider</v>
      </c>
      <c r="B617" s="15" t="str">
        <f>IFERROR(__xludf.DUMMYFUNCTION("""COMPUTED_VALUE"""),"PS4")</f>
        <v>PS4</v>
      </c>
      <c r="C617" s="16" t="str">
        <f>IFERROR(__xludf.DUMMYFUNCTION("""COMPUTED_VALUE"""),"Playstation Plus (Discontinued)")</f>
        <v>Playstation Plus (Discontinued)</v>
      </c>
      <c r="D617" s="15" t="str">
        <f>IFERROR(__xludf.DUMMYFUNCTION("""COMPUTED_VALUE"""),"Removed")</f>
        <v>Removed</v>
      </c>
      <c r="E617" s="17">
        <f>IFERROR(__xludf.DUMMYFUNCTION("""COMPUTED_VALUE"""),41821.0)</f>
        <v>41821</v>
      </c>
      <c r="F617" s="54">
        <f>IFERROR(__xludf.DUMMYFUNCTION("""COMPUTED_VALUE"""),41855.0)</f>
        <v>41855</v>
      </c>
      <c r="G617" s="19">
        <f>IFERROR(__xludf.DUMMYFUNCTION("""COMPUTED_VALUE"""),1.0999999999999999)</f>
        <v>1.1</v>
      </c>
      <c r="H617" s="17">
        <f>IFERROR(__xludf.DUMMYFUNCTION("""COMPUTED_VALUE"""),41688.0)</f>
        <v>41688</v>
      </c>
      <c r="I617" s="19">
        <f>IFERROR(__xludf.DUMMYFUNCTION("""COMPUTED_VALUE"""),0.36944444444444446)</f>
        <v>0.3694444444</v>
      </c>
      <c r="J617" s="21">
        <f>IFERROR(__xludf.DUMMYFUNCTION("""COMPUTED_VALUE"""),78.0)</f>
        <v>78</v>
      </c>
      <c r="K617" s="23">
        <f>IFERROR(__xludf.DUMMYFUNCTION("""COMPUTED_VALUE"""),7.6)</f>
        <v>7.6</v>
      </c>
      <c r="L617" s="24">
        <f>IFERROR(__xludf.DUMMYFUNCTION("""COMPUTED_VALUE"""),5.0)</f>
        <v>5</v>
      </c>
      <c r="M617" s="25" t="str">
        <f>IFERROR(__xludf.DUMMYFUNCTION("""COMPUTED_VALUE"""),"Platformer")</f>
        <v>Platformer</v>
      </c>
      <c r="N617" s="25"/>
      <c r="O617" s="26" t="str">
        <f>IFERROR(__xludf.DUMMYFUNCTION("""COMPUTED_VALUE"""),"No")</f>
        <v>No</v>
      </c>
      <c r="P617" s="26"/>
    </row>
    <row r="618" hidden="1">
      <c r="A618" s="13" t="str">
        <f>IFERROR(__xludf.DUMMYFUNCTION("""COMPUTED_VALUE"""),"Dead Space 3")</f>
        <v>Dead Space 3</v>
      </c>
      <c r="B618" s="15" t="str">
        <f>IFERROR(__xludf.DUMMYFUNCTION("""COMPUTED_VALUE"""),"PS3")</f>
        <v>PS3</v>
      </c>
      <c r="C618" s="16" t="str">
        <f>IFERROR(__xludf.DUMMYFUNCTION("""COMPUTED_VALUE"""),"Playstation Plus (Discontinued)")</f>
        <v>Playstation Plus (Discontinued)</v>
      </c>
      <c r="D618" s="15" t="str">
        <f>IFERROR(__xludf.DUMMYFUNCTION("""COMPUTED_VALUE"""),"Removed")</f>
        <v>Removed</v>
      </c>
      <c r="E618" s="17">
        <f>IFERROR(__xludf.DUMMYFUNCTION("""COMPUTED_VALUE"""),41821.0)</f>
        <v>41821</v>
      </c>
      <c r="F618" s="54">
        <f>IFERROR(__xludf.DUMMYFUNCTION("""COMPUTED_VALUE"""),41855.0)</f>
        <v>41855</v>
      </c>
      <c r="G618" s="19">
        <f>IFERROR(__xludf.DUMMYFUNCTION("""COMPUTED_VALUE"""),1.0999999999999999)</f>
        <v>1.1</v>
      </c>
      <c r="H618" s="17">
        <f>IFERROR(__xludf.DUMMYFUNCTION("""COMPUTED_VALUE"""),41310.0)</f>
        <v>41310</v>
      </c>
      <c r="I618" s="19">
        <f>IFERROR(__xludf.DUMMYFUNCTION("""COMPUTED_VALUE"""),1.4055555555555554)</f>
        <v>1.405555556</v>
      </c>
      <c r="J618" s="21">
        <f>IFERROR(__xludf.DUMMYFUNCTION("""COMPUTED_VALUE"""),78.0)</f>
        <v>78</v>
      </c>
      <c r="K618" s="23">
        <f>IFERROR(__xludf.DUMMYFUNCTION("""COMPUTED_VALUE"""),6.6)</f>
        <v>6.6</v>
      </c>
      <c r="L618" s="24">
        <f>IFERROR(__xludf.DUMMYFUNCTION("""COMPUTED_VALUE"""),13.0)</f>
        <v>13</v>
      </c>
      <c r="M618" s="25" t="str">
        <f>IFERROR(__xludf.DUMMYFUNCTION("""COMPUTED_VALUE"""),"Horror")</f>
        <v>Horror</v>
      </c>
      <c r="N618" s="25"/>
      <c r="O618" s="26" t="str">
        <f>IFERROR(__xludf.DUMMYFUNCTION("""COMPUTED_VALUE"""),"No")</f>
        <v>No</v>
      </c>
      <c r="P618" s="26"/>
    </row>
    <row r="619" hidden="1">
      <c r="A619" s="13" t="str">
        <f>IFERROR(__xludf.DUMMYFUNCTION("""COMPUTED_VALUE"""),"Vessel")</f>
        <v>Vessel</v>
      </c>
      <c r="B619" s="15" t="str">
        <f>IFERROR(__xludf.DUMMYFUNCTION("""COMPUTED_VALUE"""),"PS3")</f>
        <v>PS3</v>
      </c>
      <c r="C619" s="16" t="str">
        <f>IFERROR(__xludf.DUMMYFUNCTION("""COMPUTED_VALUE"""),"Playstation Plus (Discontinued)")</f>
        <v>Playstation Plus (Discontinued)</v>
      </c>
      <c r="D619" s="15" t="str">
        <f>IFERROR(__xludf.DUMMYFUNCTION("""COMPUTED_VALUE"""),"Removed")</f>
        <v>Removed</v>
      </c>
      <c r="E619" s="17">
        <f>IFERROR(__xludf.DUMMYFUNCTION("""COMPUTED_VALUE"""),41821.0)</f>
        <v>41821</v>
      </c>
      <c r="F619" s="54">
        <f>IFERROR(__xludf.DUMMYFUNCTION("""COMPUTED_VALUE"""),41855.0)</f>
        <v>41855</v>
      </c>
      <c r="G619" s="19">
        <f>IFERROR(__xludf.DUMMYFUNCTION("""COMPUTED_VALUE"""),1.0999999999999999)</f>
        <v>1.1</v>
      </c>
      <c r="H619" s="17">
        <f>IFERROR(__xludf.DUMMYFUNCTION("""COMPUTED_VALUE"""),40969.0)</f>
        <v>40969</v>
      </c>
      <c r="I619" s="19">
        <f>IFERROR(__xludf.DUMMYFUNCTION("""COMPUTED_VALUE"""),2.3333333333333335)</f>
        <v>2.333333333</v>
      </c>
      <c r="J619" s="21">
        <f>IFERROR(__xludf.DUMMYFUNCTION("""COMPUTED_VALUE"""),79.0)</f>
        <v>79</v>
      </c>
      <c r="K619" s="23">
        <f>IFERROR(__xludf.DUMMYFUNCTION("""COMPUTED_VALUE"""),7.4)</f>
        <v>7.4</v>
      </c>
      <c r="L619" s="24">
        <f>IFERROR(__xludf.DUMMYFUNCTION("""COMPUTED_VALUE"""),6.0)</f>
        <v>6</v>
      </c>
      <c r="M619" s="25" t="str">
        <f>IFERROR(__xludf.DUMMYFUNCTION("""COMPUTED_VALUE"""),"Platformer")</f>
        <v>Platformer</v>
      </c>
      <c r="N619" s="25"/>
      <c r="O619" s="26" t="str">
        <f>IFERROR(__xludf.DUMMYFUNCTION("""COMPUTED_VALUE"""),"No")</f>
        <v>No</v>
      </c>
      <c r="P619" s="26"/>
    </row>
    <row r="620">
      <c r="A620" s="13" t="str">
        <f>IFERROR(__xludf.DUMMYFUNCTION("""COMPUTED_VALUE"""),"Muramasa Rebirth")</f>
        <v>Muramasa Rebirth</v>
      </c>
      <c r="B620" s="15" t="str">
        <f>IFERROR(__xludf.DUMMYFUNCTION("""COMPUTED_VALUE"""),"Vita")</f>
        <v>Vita</v>
      </c>
      <c r="C620" s="16" t="str">
        <f>IFERROR(__xludf.DUMMYFUNCTION("""COMPUTED_VALUE"""),"Playstation Plus (Discontinued)")</f>
        <v>Playstation Plus (Discontinued)</v>
      </c>
      <c r="D620" s="15" t="str">
        <f>IFERROR(__xludf.DUMMYFUNCTION("""COMPUTED_VALUE"""),"Removed")</f>
        <v>Removed</v>
      </c>
      <c r="E620" s="17">
        <f>IFERROR(__xludf.DUMMYFUNCTION("""COMPUTED_VALUE"""),41821.0)</f>
        <v>41821</v>
      </c>
      <c r="F620" s="54">
        <f>IFERROR(__xludf.DUMMYFUNCTION("""COMPUTED_VALUE"""),41855.0)</f>
        <v>41855</v>
      </c>
      <c r="G620" s="19">
        <f>IFERROR(__xludf.DUMMYFUNCTION("""COMPUTED_VALUE"""),1.0999999999999999)</f>
        <v>1.1</v>
      </c>
      <c r="H620" s="17">
        <f>IFERROR(__xludf.DUMMYFUNCTION("""COMPUTED_VALUE"""),41450.0)</f>
        <v>41450</v>
      </c>
      <c r="I620" s="19">
        <f>IFERROR(__xludf.DUMMYFUNCTION("""COMPUTED_VALUE"""),1.0166666666666666)</f>
        <v>1.016666667</v>
      </c>
      <c r="J620" s="21">
        <f>IFERROR(__xludf.DUMMYFUNCTION("""COMPUTED_VALUE"""),81.0)</f>
        <v>81</v>
      </c>
      <c r="K620" s="23">
        <f>IFERROR(__xludf.DUMMYFUNCTION("""COMPUTED_VALUE"""),8.3)</f>
        <v>8.3</v>
      </c>
      <c r="L620" s="24">
        <f>IFERROR(__xludf.DUMMYFUNCTION("""COMPUTED_VALUE"""),15.0)</f>
        <v>15</v>
      </c>
      <c r="M620" s="25" t="str">
        <f>IFERROR(__xludf.DUMMYFUNCTION("""COMPUTED_VALUE"""),"Platformer")</f>
        <v>Platformer</v>
      </c>
      <c r="N620" s="25"/>
      <c r="O620" s="26" t="str">
        <f>IFERROR(__xludf.DUMMYFUNCTION("""COMPUTED_VALUE"""),"No")</f>
        <v>No</v>
      </c>
      <c r="P620" s="26"/>
    </row>
    <row r="621">
      <c r="A621" s="13" t="str">
        <f>IFERROR(__xludf.DUMMYFUNCTION("""COMPUTED_VALUE"""),"Mutant Mudds Deluxe")</f>
        <v>Mutant Mudds Deluxe</v>
      </c>
      <c r="B621" s="15" t="str">
        <f>IFERROR(__xludf.DUMMYFUNCTION("""COMPUTED_VALUE"""),"PS3/Vita")</f>
        <v>PS3/Vita</v>
      </c>
      <c r="C621" s="16" t="str">
        <f>IFERROR(__xludf.DUMMYFUNCTION("""COMPUTED_VALUE"""),"Playstation Plus (Discontinued)")</f>
        <v>Playstation Plus (Discontinued)</v>
      </c>
      <c r="D621" s="15" t="str">
        <f>IFERROR(__xludf.DUMMYFUNCTION("""COMPUTED_VALUE"""),"Removed")</f>
        <v>Removed</v>
      </c>
      <c r="E621" s="17">
        <f>IFERROR(__xludf.DUMMYFUNCTION("""COMPUTED_VALUE"""),41814.0)</f>
        <v>41814</v>
      </c>
      <c r="F621" s="54">
        <f>IFERROR(__xludf.DUMMYFUNCTION("""COMPUTED_VALUE"""),41820.0)</f>
        <v>41820</v>
      </c>
      <c r="G621" s="19">
        <f>IFERROR(__xludf.DUMMYFUNCTION("""COMPUTED_VALUE"""),0.2)</f>
        <v>0.2</v>
      </c>
      <c r="H621" s="17">
        <f>IFERROR(__xludf.DUMMYFUNCTION("""COMPUTED_VALUE"""),41499.0)</f>
        <v>41499</v>
      </c>
      <c r="I621" s="19">
        <f>IFERROR(__xludf.DUMMYFUNCTION("""COMPUTED_VALUE"""),0.8638888888888889)</f>
        <v>0.8638888889</v>
      </c>
      <c r="J621" s="21">
        <f>IFERROR(__xludf.DUMMYFUNCTION("""COMPUTED_VALUE"""),79.0)</f>
        <v>79</v>
      </c>
      <c r="K621" s="23">
        <f>IFERROR(__xludf.DUMMYFUNCTION("""COMPUTED_VALUE"""),7.6)</f>
        <v>7.6</v>
      </c>
      <c r="L621" s="24">
        <f>IFERROR(__xludf.DUMMYFUNCTION("""COMPUTED_VALUE"""),5.0)</f>
        <v>5</v>
      </c>
      <c r="M621" s="25" t="str">
        <f>IFERROR(__xludf.DUMMYFUNCTION("""COMPUTED_VALUE"""),"Platformer")</f>
        <v>Platformer</v>
      </c>
      <c r="N621" s="25"/>
      <c r="O621" s="26" t="str">
        <f>IFERROR(__xludf.DUMMYFUNCTION("""COMPUTED_VALUE"""),"No")</f>
        <v>No</v>
      </c>
      <c r="P621" s="26"/>
    </row>
    <row r="622" hidden="1">
      <c r="A622" s="13" t="str">
        <f>IFERROR(__xludf.DUMMYFUNCTION("""COMPUTED_VALUE"""),"Terraria")</f>
        <v>Terraria</v>
      </c>
      <c r="B622" s="15" t="str">
        <f>IFERROR(__xludf.DUMMYFUNCTION("""COMPUTED_VALUE"""),"Vita")</f>
        <v>Vita</v>
      </c>
      <c r="C622" s="16" t="str">
        <f>IFERROR(__xludf.DUMMYFUNCTION("""COMPUTED_VALUE"""),"Playstation Plus (Discontinued)")</f>
        <v>Playstation Plus (Discontinued)</v>
      </c>
      <c r="D622" s="15" t="str">
        <f>IFERROR(__xludf.DUMMYFUNCTION("""COMPUTED_VALUE"""),"Removed")</f>
        <v>Removed</v>
      </c>
      <c r="E622" s="17">
        <f>IFERROR(__xludf.DUMMYFUNCTION("""COMPUTED_VALUE"""),41807.0)</f>
        <v>41807</v>
      </c>
      <c r="F622" s="54">
        <f>IFERROR(__xludf.DUMMYFUNCTION("""COMPUTED_VALUE"""),41813.0)</f>
        <v>41813</v>
      </c>
      <c r="G622" s="19">
        <f>IFERROR(__xludf.DUMMYFUNCTION("""COMPUTED_VALUE"""),0.2)</f>
        <v>0.2</v>
      </c>
      <c r="H622" s="17">
        <f>IFERROR(__xludf.DUMMYFUNCTION("""COMPUTED_VALUE"""),41359.0)</f>
        <v>41359</v>
      </c>
      <c r="I622" s="19">
        <f>IFERROR(__xludf.DUMMYFUNCTION("""COMPUTED_VALUE"""),1.225)</f>
        <v>1.225</v>
      </c>
      <c r="J622" s="21">
        <f>IFERROR(__xludf.DUMMYFUNCTION("""COMPUTED_VALUE"""),83.0)</f>
        <v>83</v>
      </c>
      <c r="K622" s="23">
        <f>IFERROR(__xludf.DUMMYFUNCTION("""COMPUTED_VALUE"""),8.2)</f>
        <v>8.2</v>
      </c>
      <c r="L622" s="24">
        <f>IFERROR(__xludf.DUMMYFUNCTION("""COMPUTED_VALUE"""),50.0)</f>
        <v>50</v>
      </c>
      <c r="M622" s="25" t="str">
        <f>IFERROR(__xludf.DUMMYFUNCTION("""COMPUTED_VALUE"""),"Action-Adventure")</f>
        <v>Action-Adventure</v>
      </c>
      <c r="N622" s="25"/>
      <c r="O622" s="26" t="str">
        <f>IFERROR(__xludf.DUMMYFUNCTION("""COMPUTED_VALUE"""),"No")</f>
        <v>No</v>
      </c>
      <c r="P622" s="26"/>
    </row>
    <row r="623" hidden="1">
      <c r="A623" s="13" t="str">
        <f>IFERROR(__xludf.DUMMYFUNCTION("""COMPUTED_VALUE"""),"Sly Cooper: Thieves in Time")</f>
        <v>Sly Cooper: Thieves in Time</v>
      </c>
      <c r="B623" s="15" t="str">
        <f>IFERROR(__xludf.DUMMYFUNCTION("""COMPUTED_VALUE"""),"PS3/Vita")</f>
        <v>PS3/Vita</v>
      </c>
      <c r="C623" s="16" t="str">
        <f>IFERROR(__xludf.DUMMYFUNCTION("""COMPUTED_VALUE"""),"Playstation Plus (Discontinued)")</f>
        <v>Playstation Plus (Discontinued)</v>
      </c>
      <c r="D623" s="15" t="str">
        <f>IFERROR(__xludf.DUMMYFUNCTION("""COMPUTED_VALUE"""),"Removed")</f>
        <v>Removed</v>
      </c>
      <c r="E623" s="17">
        <f>IFERROR(__xludf.DUMMYFUNCTION("""COMPUTED_VALUE"""),41799.0)</f>
        <v>41799</v>
      </c>
      <c r="F623" s="54">
        <f>IFERROR(__xludf.DUMMYFUNCTION("""COMPUTED_VALUE"""),41806.0)</f>
        <v>41806</v>
      </c>
      <c r="G623" s="19">
        <f>IFERROR(__xludf.DUMMYFUNCTION("""COMPUTED_VALUE"""),0.23333333333333334)</f>
        <v>0.2333333333</v>
      </c>
      <c r="H623" s="17">
        <f>IFERROR(__xludf.DUMMYFUNCTION("""COMPUTED_VALUE"""),41310.0)</f>
        <v>41310</v>
      </c>
      <c r="I623" s="19">
        <f>IFERROR(__xludf.DUMMYFUNCTION("""COMPUTED_VALUE"""),1.3444444444444446)</f>
        <v>1.344444444</v>
      </c>
      <c r="J623" s="21">
        <f>IFERROR(__xludf.DUMMYFUNCTION("""COMPUTED_VALUE"""),75.0)</f>
        <v>75</v>
      </c>
      <c r="K623" s="23">
        <f>IFERROR(__xludf.DUMMYFUNCTION("""COMPUTED_VALUE"""),8.0)</f>
        <v>8</v>
      </c>
      <c r="L623" s="24">
        <f>IFERROR(__xludf.DUMMYFUNCTION("""COMPUTED_VALUE"""),13.0)</f>
        <v>13</v>
      </c>
      <c r="M623" s="25" t="str">
        <f>IFERROR(__xludf.DUMMYFUNCTION("""COMPUTED_VALUE"""),"Platformer")</f>
        <v>Platformer</v>
      </c>
      <c r="N623" s="25"/>
      <c r="O623" s="26" t="str">
        <f>IFERROR(__xludf.DUMMYFUNCTION("""COMPUTED_VALUE"""),"No")</f>
        <v>No</v>
      </c>
      <c r="P623" s="26"/>
    </row>
    <row r="624" hidden="1">
      <c r="A624" s="13" t="str">
        <f>IFERROR(__xludf.DUMMYFUNCTION("""COMPUTED_VALUE"""),"PixelJunk Shooter Ultimate")</f>
        <v>PixelJunk Shooter Ultimate</v>
      </c>
      <c r="B624" s="15" t="str">
        <f>IFERROR(__xludf.DUMMYFUNCTION("""COMPUTED_VALUE"""),"PS4/Vita")</f>
        <v>PS4/Vita</v>
      </c>
      <c r="C624" s="16" t="str">
        <f>IFERROR(__xludf.DUMMYFUNCTION("""COMPUTED_VALUE"""),"Playstation Plus (Discontinued)")</f>
        <v>Playstation Plus (Discontinued)</v>
      </c>
      <c r="D624" s="15" t="str">
        <f>IFERROR(__xludf.DUMMYFUNCTION("""COMPUTED_VALUE"""),"Removed")</f>
        <v>Removed</v>
      </c>
      <c r="E624" s="17">
        <f>IFERROR(__xludf.DUMMYFUNCTION("""COMPUTED_VALUE"""),41793.0)</f>
        <v>41793</v>
      </c>
      <c r="F624" s="54">
        <f>IFERROR(__xludf.DUMMYFUNCTION("""COMPUTED_VALUE"""),41798.0)</f>
        <v>41798</v>
      </c>
      <c r="G624" s="19">
        <f>IFERROR(__xludf.DUMMYFUNCTION("""COMPUTED_VALUE"""),0.16666666666666666)</f>
        <v>0.1666666667</v>
      </c>
      <c r="H624" s="17">
        <f>IFERROR(__xludf.DUMMYFUNCTION("""COMPUTED_VALUE"""),41793.0)</f>
        <v>41793</v>
      </c>
      <c r="I624" s="19">
        <f>IFERROR(__xludf.DUMMYFUNCTION("""COMPUTED_VALUE"""),0.0)</f>
        <v>0</v>
      </c>
      <c r="J624" s="21">
        <f>IFERROR(__xludf.DUMMYFUNCTION("""COMPUTED_VALUE"""),84.0)</f>
        <v>84</v>
      </c>
      <c r="K624" s="23">
        <f>IFERROR(__xludf.DUMMYFUNCTION("""COMPUTED_VALUE"""),7.5)</f>
        <v>7.5</v>
      </c>
      <c r="L624" s="24">
        <f>IFERROR(__xludf.DUMMYFUNCTION("""COMPUTED_VALUE"""),7.0)</f>
        <v>7</v>
      </c>
      <c r="M624" s="25" t="str">
        <f>IFERROR(__xludf.DUMMYFUNCTION("""COMPUTED_VALUE"""),"Shooter")</f>
        <v>Shooter</v>
      </c>
      <c r="N624" s="25"/>
      <c r="O624" s="26" t="str">
        <f>IFERROR(__xludf.DUMMYFUNCTION("""COMPUTED_VALUE"""),"No")</f>
        <v>No</v>
      </c>
      <c r="P624" s="26"/>
    </row>
    <row r="625">
      <c r="A625" s="13" t="str">
        <f>IFERROR(__xludf.DUMMYFUNCTION("""COMPUTED_VALUE"""),"Trine 2: Complete Story")</f>
        <v>Trine 2: Complete Story</v>
      </c>
      <c r="B625" s="15" t="str">
        <f>IFERROR(__xludf.DUMMYFUNCTION("""COMPUTED_VALUE"""),"PS4")</f>
        <v>PS4</v>
      </c>
      <c r="C625" s="16" t="str">
        <f>IFERROR(__xludf.DUMMYFUNCTION("""COMPUTED_VALUE"""),"Playstation Plus (Discontinued)")</f>
        <v>Playstation Plus (Discontinued)</v>
      </c>
      <c r="D625" s="15" t="str">
        <f>IFERROR(__xludf.DUMMYFUNCTION("""COMPUTED_VALUE"""),"Removed")</f>
        <v>Removed</v>
      </c>
      <c r="E625" s="17">
        <f>IFERROR(__xludf.DUMMYFUNCTION("""COMPUTED_VALUE"""),41793.0)</f>
        <v>41793</v>
      </c>
      <c r="F625" s="54">
        <f>IFERROR(__xludf.DUMMYFUNCTION("""COMPUTED_VALUE"""),41798.0)</f>
        <v>41798</v>
      </c>
      <c r="G625" s="19">
        <f>IFERROR(__xludf.DUMMYFUNCTION("""COMPUTED_VALUE"""),0.16666666666666666)</f>
        <v>0.1666666667</v>
      </c>
      <c r="H625" s="17">
        <f>IFERROR(__xludf.DUMMYFUNCTION("""COMPUTED_VALUE"""),41625.0)</f>
        <v>41625</v>
      </c>
      <c r="I625" s="19">
        <f>IFERROR(__xludf.DUMMYFUNCTION("""COMPUTED_VALUE"""),0.46111111111111114)</f>
        <v>0.4611111111</v>
      </c>
      <c r="J625" s="21">
        <f>IFERROR(__xludf.DUMMYFUNCTION("""COMPUTED_VALUE"""),85.0)</f>
        <v>85</v>
      </c>
      <c r="K625" s="23">
        <f>IFERROR(__xludf.DUMMYFUNCTION("""COMPUTED_VALUE"""),8.2)</f>
        <v>8.2</v>
      </c>
      <c r="L625" s="24">
        <f>IFERROR(__xludf.DUMMYFUNCTION("""COMPUTED_VALUE"""),10.0)</f>
        <v>10</v>
      </c>
      <c r="M625" s="25" t="str">
        <f>IFERROR(__xludf.DUMMYFUNCTION("""COMPUTED_VALUE"""),"Platformer")</f>
        <v>Platformer</v>
      </c>
      <c r="N625" s="25"/>
      <c r="O625" s="26" t="str">
        <f>IFERROR(__xludf.DUMMYFUNCTION("""COMPUTED_VALUE"""),"No")</f>
        <v>No</v>
      </c>
      <c r="P625" s="26"/>
    </row>
    <row r="626">
      <c r="A626" s="13" t="str">
        <f>IFERROR(__xludf.DUMMYFUNCTION("""COMPUTED_VALUE"""),"NBA 2K14")</f>
        <v>NBA 2K14</v>
      </c>
      <c r="B626" s="15" t="str">
        <f>IFERROR(__xludf.DUMMYFUNCTION("""COMPUTED_VALUE"""),"PS3")</f>
        <v>PS3</v>
      </c>
      <c r="C626" s="16" t="str">
        <f>IFERROR(__xludf.DUMMYFUNCTION("""COMPUTED_VALUE"""),"Playstation Plus (Discontinued)")</f>
        <v>Playstation Plus (Discontinued)</v>
      </c>
      <c r="D626" s="15" t="str">
        <f>IFERROR(__xludf.DUMMYFUNCTION("""COMPUTED_VALUE"""),"Removed")</f>
        <v>Removed</v>
      </c>
      <c r="E626" s="17">
        <f>IFERROR(__xludf.DUMMYFUNCTION("""COMPUTED_VALUE"""),41793.0)</f>
        <v>41793</v>
      </c>
      <c r="F626" s="54">
        <f>IFERROR(__xludf.DUMMYFUNCTION("""COMPUTED_VALUE"""),41798.0)</f>
        <v>41798</v>
      </c>
      <c r="G626" s="19">
        <f>IFERROR(__xludf.DUMMYFUNCTION("""COMPUTED_VALUE"""),0.16666666666666666)</f>
        <v>0.1666666667</v>
      </c>
      <c r="H626" s="17">
        <f>IFERROR(__xludf.DUMMYFUNCTION("""COMPUTED_VALUE"""),41548.0)</f>
        <v>41548</v>
      </c>
      <c r="I626" s="19">
        <f>IFERROR(__xludf.DUMMYFUNCTION("""COMPUTED_VALUE"""),0.6722222222222223)</f>
        <v>0.6722222222</v>
      </c>
      <c r="J626" s="21">
        <f>IFERROR(__xludf.DUMMYFUNCTION("""COMPUTED_VALUE"""),85.0)</f>
        <v>85</v>
      </c>
      <c r="K626" s="23">
        <f>IFERROR(__xludf.DUMMYFUNCTION("""COMPUTED_VALUE"""),7.1)</f>
        <v>7.1</v>
      </c>
      <c r="L626" s="24"/>
      <c r="M626" s="25" t="str">
        <f>IFERROR(__xludf.DUMMYFUNCTION("""COMPUTED_VALUE"""),"Sports")</f>
        <v>Sports</v>
      </c>
      <c r="N626" s="25"/>
      <c r="O626" s="26" t="str">
        <f>IFERROR(__xludf.DUMMYFUNCTION("""COMPUTED_VALUE"""),"No")</f>
        <v>No</v>
      </c>
      <c r="P626" s="26"/>
    </row>
    <row r="627" hidden="1">
      <c r="A627" s="13" t="str">
        <f>IFERROR(__xludf.DUMMYFUNCTION("""COMPUTED_VALUE"""),"Limbo")</f>
        <v>Limbo</v>
      </c>
      <c r="B627" s="15" t="str">
        <f>IFERROR(__xludf.DUMMYFUNCTION("""COMPUTED_VALUE"""),"Vita")</f>
        <v>Vita</v>
      </c>
      <c r="C627" s="16" t="str">
        <f>IFERROR(__xludf.DUMMYFUNCTION("""COMPUTED_VALUE"""),"Playstation Plus (Discontinued)")</f>
        <v>Playstation Plus (Discontinued)</v>
      </c>
      <c r="D627" s="15" t="str">
        <f>IFERROR(__xludf.DUMMYFUNCTION("""COMPUTED_VALUE"""),"Removed")</f>
        <v>Removed</v>
      </c>
      <c r="E627" s="17">
        <f>IFERROR(__xludf.DUMMYFUNCTION("""COMPUTED_VALUE"""),41786.0)</f>
        <v>41786</v>
      </c>
      <c r="F627" s="54">
        <f>IFERROR(__xludf.DUMMYFUNCTION("""COMPUTED_VALUE"""),41792.0)</f>
        <v>41792</v>
      </c>
      <c r="G627" s="19">
        <f>IFERROR(__xludf.DUMMYFUNCTION("""COMPUTED_VALUE"""),0.16666666666666666)</f>
        <v>0.1666666667</v>
      </c>
      <c r="H627" s="17">
        <f>IFERROR(__xludf.DUMMYFUNCTION("""COMPUTED_VALUE"""),40378.0)</f>
        <v>40378</v>
      </c>
      <c r="I627" s="19">
        <f>IFERROR(__xludf.DUMMYFUNCTION("""COMPUTED_VALUE"""),3.8555555555555556)</f>
        <v>3.855555556</v>
      </c>
      <c r="J627" s="21">
        <f>IFERROR(__xludf.DUMMYFUNCTION("""COMPUTED_VALUE"""),90.0)</f>
        <v>90</v>
      </c>
      <c r="K627" s="23">
        <f>IFERROR(__xludf.DUMMYFUNCTION("""COMPUTED_VALUE"""),8.2)</f>
        <v>8.2</v>
      </c>
      <c r="L627" s="24">
        <f>IFERROR(__xludf.DUMMYFUNCTION("""COMPUTED_VALUE"""),4.0)</f>
        <v>4</v>
      </c>
      <c r="M627" s="25" t="str">
        <f>IFERROR(__xludf.DUMMYFUNCTION("""COMPUTED_VALUE"""),"Platformer")</f>
        <v>Platformer</v>
      </c>
      <c r="N627" s="25"/>
      <c r="O627" s="26" t="str">
        <f>IFERROR(__xludf.DUMMYFUNCTION("""COMPUTED_VALUE"""),"No")</f>
        <v>No</v>
      </c>
      <c r="P627" s="26"/>
    </row>
    <row r="628" hidden="1">
      <c r="A628" s="13" t="str">
        <f>IFERROR(__xludf.DUMMYFUNCTION("""COMPUTED_VALUE"""),"Puppeteer")</f>
        <v>Puppeteer</v>
      </c>
      <c r="B628" s="15" t="str">
        <f>IFERROR(__xludf.DUMMYFUNCTION("""COMPUTED_VALUE"""),"PS3")</f>
        <v>PS3</v>
      </c>
      <c r="C628" s="16" t="str">
        <f>IFERROR(__xludf.DUMMYFUNCTION("""COMPUTED_VALUE"""),"Playstation Plus (Discontinued)")</f>
        <v>Playstation Plus (Discontinued)</v>
      </c>
      <c r="D628" s="15" t="str">
        <f>IFERROR(__xludf.DUMMYFUNCTION("""COMPUTED_VALUE"""),"Removed")</f>
        <v>Removed</v>
      </c>
      <c r="E628" s="17">
        <f>IFERROR(__xludf.DUMMYFUNCTION("""COMPUTED_VALUE"""),41779.0)</f>
        <v>41779</v>
      </c>
      <c r="F628" s="54">
        <f>IFERROR(__xludf.DUMMYFUNCTION("""COMPUTED_VALUE"""),41785.0)</f>
        <v>41785</v>
      </c>
      <c r="G628" s="19">
        <f>IFERROR(__xludf.DUMMYFUNCTION("""COMPUTED_VALUE"""),0.2)</f>
        <v>0.2</v>
      </c>
      <c r="H628" s="17">
        <f>IFERROR(__xludf.DUMMYFUNCTION("""COMPUTED_VALUE"""),41527.0)</f>
        <v>41527</v>
      </c>
      <c r="I628" s="19">
        <f>IFERROR(__xludf.DUMMYFUNCTION("""COMPUTED_VALUE"""),0.6944444444444444)</f>
        <v>0.6944444444</v>
      </c>
      <c r="J628" s="21">
        <f>IFERROR(__xludf.DUMMYFUNCTION("""COMPUTED_VALUE"""),80.0)</f>
        <v>80</v>
      </c>
      <c r="K628" s="23">
        <f>IFERROR(__xludf.DUMMYFUNCTION("""COMPUTED_VALUE"""),8.2)</f>
        <v>8.2</v>
      </c>
      <c r="L628" s="24">
        <f>IFERROR(__xludf.DUMMYFUNCTION("""COMPUTED_VALUE"""),8.0)</f>
        <v>8</v>
      </c>
      <c r="M628" s="25" t="str">
        <f>IFERROR(__xludf.DUMMYFUNCTION("""COMPUTED_VALUE"""),"Platformer")</f>
        <v>Platformer</v>
      </c>
      <c r="N628" s="25"/>
      <c r="O628" s="26" t="str">
        <f>IFERROR(__xludf.DUMMYFUNCTION("""COMPUTED_VALUE"""),"No")</f>
        <v>No</v>
      </c>
      <c r="P628" s="26"/>
    </row>
    <row r="629" hidden="1">
      <c r="A629" s="13" t="str">
        <f>IFERROR(__xludf.DUMMYFUNCTION("""COMPUTED_VALUE"""),"Surge Deluxe")</f>
        <v>Surge Deluxe</v>
      </c>
      <c r="B629" s="15" t="str">
        <f>IFERROR(__xludf.DUMMYFUNCTION("""COMPUTED_VALUE"""),"Vita")</f>
        <v>Vita</v>
      </c>
      <c r="C629" s="16" t="str">
        <f>IFERROR(__xludf.DUMMYFUNCTION("""COMPUTED_VALUE"""),"Playstation Plus (Discontinued)")</f>
        <v>Playstation Plus (Discontinued)</v>
      </c>
      <c r="D629" s="15" t="str">
        <f>IFERROR(__xludf.DUMMYFUNCTION("""COMPUTED_VALUE"""),"Removed")</f>
        <v>Removed</v>
      </c>
      <c r="E629" s="17">
        <f>IFERROR(__xludf.DUMMYFUNCTION("""COMPUTED_VALUE"""),41779.0)</f>
        <v>41779</v>
      </c>
      <c r="F629" s="54">
        <f>IFERROR(__xludf.DUMMYFUNCTION("""COMPUTED_VALUE"""),41785.0)</f>
        <v>41785</v>
      </c>
      <c r="G629" s="19">
        <f>IFERROR(__xludf.DUMMYFUNCTION("""COMPUTED_VALUE"""),0.2)</f>
        <v>0.2</v>
      </c>
      <c r="H629" s="17">
        <f>IFERROR(__xludf.DUMMYFUNCTION("""COMPUTED_VALUE"""),41674.0)</f>
        <v>41674</v>
      </c>
      <c r="I629" s="19">
        <f>IFERROR(__xludf.DUMMYFUNCTION("""COMPUTED_VALUE"""),0.29444444444444445)</f>
        <v>0.2944444444</v>
      </c>
      <c r="J629" s="21">
        <f>IFERROR(__xludf.DUMMYFUNCTION("""COMPUTED_VALUE"""),64.0)</f>
        <v>64</v>
      </c>
      <c r="K629" s="23">
        <f>IFERROR(__xludf.DUMMYFUNCTION("""COMPUTED_VALUE"""),6.8)</f>
        <v>6.8</v>
      </c>
      <c r="L629" s="24">
        <f>IFERROR(__xludf.DUMMYFUNCTION("""COMPUTED_VALUE"""),4.0)</f>
        <v>4</v>
      </c>
      <c r="M629" s="25" t="str">
        <f>IFERROR(__xludf.DUMMYFUNCTION("""COMPUTED_VALUE"""),"Puzzle")</f>
        <v>Puzzle</v>
      </c>
      <c r="N629" s="25"/>
      <c r="O629" s="26" t="str">
        <f>IFERROR(__xludf.DUMMYFUNCTION("""COMPUTED_VALUE"""),"No")</f>
        <v>No</v>
      </c>
      <c r="P629" s="26"/>
    </row>
    <row r="630" hidden="1">
      <c r="A630" s="13" t="str">
        <f>IFERROR(__xludf.DUMMYFUNCTION("""COMPUTED_VALUE"""),"Skullgirls Encore")</f>
        <v>Skullgirls Encore</v>
      </c>
      <c r="B630" s="15" t="str">
        <f>IFERROR(__xludf.DUMMYFUNCTION("""COMPUTED_VALUE"""),"PS3")</f>
        <v>PS3</v>
      </c>
      <c r="C630" s="16" t="str">
        <f>IFERROR(__xludf.DUMMYFUNCTION("""COMPUTED_VALUE"""),"Playstation Plus (Discontinued)")</f>
        <v>Playstation Plus (Discontinued)</v>
      </c>
      <c r="D630" s="15" t="str">
        <f>IFERROR(__xludf.DUMMYFUNCTION("""COMPUTED_VALUE"""),"Removed")</f>
        <v>Removed</v>
      </c>
      <c r="E630" s="17">
        <f>IFERROR(__xludf.DUMMYFUNCTION("""COMPUTED_VALUE"""),41772.0)</f>
        <v>41772</v>
      </c>
      <c r="F630" s="54">
        <f>IFERROR(__xludf.DUMMYFUNCTION("""COMPUTED_VALUE"""),41778.0)</f>
        <v>41778</v>
      </c>
      <c r="G630" s="19">
        <f>IFERROR(__xludf.DUMMYFUNCTION("""COMPUTED_VALUE"""),0.2)</f>
        <v>0.2</v>
      </c>
      <c r="H630" s="17">
        <f>IFERROR(__xludf.DUMMYFUNCTION("""COMPUTED_VALUE"""),41681.0)</f>
        <v>41681</v>
      </c>
      <c r="I630" s="19">
        <f>IFERROR(__xludf.DUMMYFUNCTION("""COMPUTED_VALUE"""),0.25555555555555554)</f>
        <v>0.2555555556</v>
      </c>
      <c r="J630" s="21">
        <f>IFERROR(__xludf.DUMMYFUNCTION("""COMPUTED_VALUE"""),80.0)</f>
        <v>80</v>
      </c>
      <c r="K630" s="23">
        <f>IFERROR(__xludf.DUMMYFUNCTION("""COMPUTED_VALUE"""),7.7)</f>
        <v>7.7</v>
      </c>
      <c r="L630" s="24"/>
      <c r="M630" s="25" t="str">
        <f>IFERROR(__xludf.DUMMYFUNCTION("""COMPUTED_VALUE"""),"Fighting")</f>
        <v>Fighting</v>
      </c>
      <c r="N630" s="25"/>
      <c r="O630" s="26" t="str">
        <f>IFERROR(__xludf.DUMMYFUNCTION("""COMPUTED_VALUE"""),"No")</f>
        <v>No</v>
      </c>
      <c r="P630" s="26"/>
    </row>
    <row r="631" hidden="1">
      <c r="A631" s="13" t="str">
        <f>IFERROR(__xludf.DUMMYFUNCTION("""COMPUTED_VALUE"""),"Stick It to the Man")</f>
        <v>Stick It to the Man</v>
      </c>
      <c r="B631" s="15" t="str">
        <f>IFERROR(__xludf.DUMMYFUNCTION("""COMPUTED_VALUE"""),"PS4")</f>
        <v>PS4</v>
      </c>
      <c r="C631" s="16" t="str">
        <f>IFERROR(__xludf.DUMMYFUNCTION("""COMPUTED_VALUE"""),"Playstation Plus (Discontinued)")</f>
        <v>Playstation Plus (Discontinued)</v>
      </c>
      <c r="D631" s="15" t="str">
        <f>IFERROR(__xludf.DUMMYFUNCTION("""COMPUTED_VALUE"""),"Removed")</f>
        <v>Removed</v>
      </c>
      <c r="E631" s="17">
        <f>IFERROR(__xludf.DUMMYFUNCTION("""COMPUTED_VALUE"""),41765.0)</f>
        <v>41765</v>
      </c>
      <c r="F631" s="54">
        <f>IFERROR(__xludf.DUMMYFUNCTION("""COMPUTED_VALUE"""),41771.0)</f>
        <v>41771</v>
      </c>
      <c r="G631" s="19">
        <f>IFERROR(__xludf.DUMMYFUNCTION("""COMPUTED_VALUE"""),0.2)</f>
        <v>0.2</v>
      </c>
      <c r="H631" s="17">
        <f>IFERROR(__xludf.DUMMYFUNCTION("""COMPUTED_VALUE"""),41597.0)</f>
        <v>41597</v>
      </c>
      <c r="I631" s="19">
        <f>IFERROR(__xludf.DUMMYFUNCTION("""COMPUTED_VALUE"""),0.4638888888888889)</f>
        <v>0.4638888889</v>
      </c>
      <c r="J631" s="21">
        <f>IFERROR(__xludf.DUMMYFUNCTION("""COMPUTED_VALUE"""),82.0)</f>
        <v>82</v>
      </c>
      <c r="K631" s="23">
        <f>IFERROR(__xludf.DUMMYFUNCTION("""COMPUTED_VALUE"""),7.8)</f>
        <v>7.8</v>
      </c>
      <c r="L631" s="24">
        <f>IFERROR(__xludf.DUMMYFUNCTION("""COMPUTED_VALUE"""),5.0)</f>
        <v>5</v>
      </c>
      <c r="M631" s="25" t="str">
        <f>IFERROR(__xludf.DUMMYFUNCTION("""COMPUTED_VALUE"""),"Platformer")</f>
        <v>Platformer</v>
      </c>
      <c r="N631" s="25"/>
      <c r="O631" s="26" t="str">
        <f>IFERROR(__xludf.DUMMYFUNCTION("""COMPUTED_VALUE"""),"No")</f>
        <v>No</v>
      </c>
      <c r="P631" s="26"/>
    </row>
    <row r="632">
      <c r="A632" s="13" t="str">
        <f>IFERROR(__xludf.DUMMYFUNCTION("""COMPUTED_VALUE"""),"Pro Evolution Soccer 2014")</f>
        <v>Pro Evolution Soccer 2014</v>
      </c>
      <c r="B632" s="15" t="str">
        <f>IFERROR(__xludf.DUMMYFUNCTION("""COMPUTED_VALUE"""),"PS3")</f>
        <v>PS3</v>
      </c>
      <c r="C632" s="16" t="str">
        <f>IFERROR(__xludf.DUMMYFUNCTION("""COMPUTED_VALUE"""),"Playstation Plus (Discontinued)")</f>
        <v>Playstation Plus (Discontinued)</v>
      </c>
      <c r="D632" s="15" t="str">
        <f>IFERROR(__xludf.DUMMYFUNCTION("""COMPUTED_VALUE"""),"Removed")</f>
        <v>Removed</v>
      </c>
      <c r="E632" s="17">
        <f>IFERROR(__xludf.DUMMYFUNCTION("""COMPUTED_VALUE"""),41765.0)</f>
        <v>41765</v>
      </c>
      <c r="F632" s="54">
        <f>IFERROR(__xludf.DUMMYFUNCTION("""COMPUTED_VALUE"""),41771.0)</f>
        <v>41771</v>
      </c>
      <c r="G632" s="19">
        <f>IFERROR(__xludf.DUMMYFUNCTION("""COMPUTED_VALUE"""),0.2)</f>
        <v>0.2</v>
      </c>
      <c r="H632" s="17">
        <f>IFERROR(__xludf.DUMMYFUNCTION("""COMPUTED_VALUE"""),41541.0)</f>
        <v>41541</v>
      </c>
      <c r="I632" s="19">
        <f>IFERROR(__xludf.DUMMYFUNCTION("""COMPUTED_VALUE"""),0.6166666666666667)</f>
        <v>0.6166666667</v>
      </c>
      <c r="J632" s="21">
        <f>IFERROR(__xludf.DUMMYFUNCTION("""COMPUTED_VALUE"""),82.0)</f>
        <v>82</v>
      </c>
      <c r="K632" s="23">
        <f>IFERROR(__xludf.DUMMYFUNCTION("""COMPUTED_VALUE"""),7.1)</f>
        <v>7.1</v>
      </c>
      <c r="L632" s="24"/>
      <c r="M632" s="25" t="str">
        <f>IFERROR(__xludf.DUMMYFUNCTION("""COMPUTED_VALUE"""),"Sports")</f>
        <v>Sports</v>
      </c>
      <c r="N632" s="25"/>
      <c r="O632" s="26" t="str">
        <f>IFERROR(__xludf.DUMMYFUNCTION("""COMPUTED_VALUE"""),"No")</f>
        <v>No</v>
      </c>
      <c r="P632" s="26"/>
    </row>
    <row r="633">
      <c r="A633" s="13" t="str">
        <f>IFERROR(__xludf.DUMMYFUNCTION("""COMPUTED_VALUE"""),"Velocity Ultra")</f>
        <v>Velocity Ultra</v>
      </c>
      <c r="B633" s="15" t="str">
        <f>IFERROR(__xludf.DUMMYFUNCTION("""COMPUTED_VALUE"""),"Vita")</f>
        <v>Vita</v>
      </c>
      <c r="C633" s="16" t="str">
        <f>IFERROR(__xludf.DUMMYFUNCTION("""COMPUTED_VALUE"""),"Playstation Plus (Discontinued)")</f>
        <v>Playstation Plus (Discontinued)</v>
      </c>
      <c r="D633" s="15" t="str">
        <f>IFERROR(__xludf.DUMMYFUNCTION("""COMPUTED_VALUE"""),"Removed")</f>
        <v>Removed</v>
      </c>
      <c r="E633" s="17">
        <f>IFERROR(__xludf.DUMMYFUNCTION("""COMPUTED_VALUE"""),41758.0)</f>
        <v>41758</v>
      </c>
      <c r="F633" s="54">
        <f>IFERROR(__xludf.DUMMYFUNCTION("""COMPUTED_VALUE"""),41764.0)</f>
        <v>41764</v>
      </c>
      <c r="G633" s="19">
        <f>IFERROR(__xludf.DUMMYFUNCTION("""COMPUTED_VALUE"""),0.2)</f>
        <v>0.2</v>
      </c>
      <c r="H633" s="17">
        <f>IFERROR(__xludf.DUMMYFUNCTION("""COMPUTED_VALUE"""),41485.0)</f>
        <v>41485</v>
      </c>
      <c r="I633" s="19">
        <f>IFERROR(__xludf.DUMMYFUNCTION("""COMPUTED_VALUE"""),0.7472222222222222)</f>
        <v>0.7472222222</v>
      </c>
      <c r="J633" s="21">
        <f>IFERROR(__xludf.DUMMYFUNCTION("""COMPUTED_VALUE"""),87.0)</f>
        <v>87</v>
      </c>
      <c r="K633" s="23">
        <f>IFERROR(__xludf.DUMMYFUNCTION("""COMPUTED_VALUE"""),8.1)</f>
        <v>8.1</v>
      </c>
      <c r="L633" s="24">
        <f>IFERROR(__xludf.DUMMYFUNCTION("""COMPUTED_VALUE"""),5.0)</f>
        <v>5</v>
      </c>
      <c r="M633" s="25" t="str">
        <f>IFERROR(__xludf.DUMMYFUNCTION("""COMPUTED_VALUE"""),"Shooter")</f>
        <v>Shooter</v>
      </c>
      <c r="N633" s="25"/>
      <c r="O633" s="26" t="str">
        <f>IFERROR(__xludf.DUMMYFUNCTION("""COMPUTED_VALUE"""),"No")</f>
        <v>No</v>
      </c>
      <c r="P633" s="26"/>
    </row>
    <row r="634" hidden="1">
      <c r="A634" s="13" t="str">
        <f>IFERROR(__xludf.DUMMYFUNCTION("""COMPUTED_VALUE"""),"PixelJunk Monsters Ultimate HD")</f>
        <v>PixelJunk Monsters Ultimate HD</v>
      </c>
      <c r="B634" s="15" t="str">
        <f>IFERROR(__xludf.DUMMYFUNCTION("""COMPUTED_VALUE"""),"Vita")</f>
        <v>Vita</v>
      </c>
      <c r="C634" s="16" t="str">
        <f>IFERROR(__xludf.DUMMYFUNCTION("""COMPUTED_VALUE"""),"Playstation Plus (Discontinued)")</f>
        <v>Playstation Plus (Discontinued)</v>
      </c>
      <c r="D634" s="15" t="str">
        <f>IFERROR(__xludf.DUMMYFUNCTION("""COMPUTED_VALUE"""),"Removed")</f>
        <v>Removed</v>
      </c>
      <c r="E634" s="17">
        <f>IFERROR(__xludf.DUMMYFUNCTION("""COMPUTED_VALUE"""),41751.0)</f>
        <v>41751</v>
      </c>
      <c r="F634" s="54">
        <f>IFERROR(__xludf.DUMMYFUNCTION("""COMPUTED_VALUE"""),41757.0)</f>
        <v>41757</v>
      </c>
      <c r="G634" s="19">
        <f>IFERROR(__xludf.DUMMYFUNCTION("""COMPUTED_VALUE"""),0.2)</f>
        <v>0.2</v>
      </c>
      <c r="H634" s="17">
        <f>IFERROR(__xludf.DUMMYFUNCTION("""COMPUTED_VALUE"""),41485.0)</f>
        <v>41485</v>
      </c>
      <c r="I634" s="19">
        <f>IFERROR(__xludf.DUMMYFUNCTION("""COMPUTED_VALUE"""),0.7277777777777777)</f>
        <v>0.7277777778</v>
      </c>
      <c r="J634" s="21">
        <f>IFERROR(__xludf.DUMMYFUNCTION("""COMPUTED_VALUE"""),84.0)</f>
        <v>84</v>
      </c>
      <c r="K634" s="23">
        <f>IFERROR(__xludf.DUMMYFUNCTION("""COMPUTED_VALUE"""),7.7)</f>
        <v>7.7</v>
      </c>
      <c r="L634" s="24">
        <f>IFERROR(__xludf.DUMMYFUNCTION("""COMPUTED_VALUE"""),15.0)</f>
        <v>15</v>
      </c>
      <c r="M634" s="25" t="str">
        <f>IFERROR(__xludf.DUMMYFUNCTION("""COMPUTED_VALUE"""),"Tower Defense")</f>
        <v>Tower Defense</v>
      </c>
      <c r="N634" s="25"/>
      <c r="O634" s="26" t="str">
        <f>IFERROR(__xludf.DUMMYFUNCTION("""COMPUTED_VALUE"""),"No")</f>
        <v>No</v>
      </c>
      <c r="P634" s="26"/>
    </row>
    <row r="635" hidden="1">
      <c r="A635" s="13" t="str">
        <f>IFERROR(__xludf.DUMMYFUNCTION("""COMPUTED_VALUE"""),"Castle of Illusion Starring Mickey Mouse")</f>
        <v>Castle of Illusion Starring Mickey Mouse</v>
      </c>
      <c r="B635" s="15" t="str">
        <f>IFERROR(__xludf.DUMMYFUNCTION("""COMPUTED_VALUE"""),"PS3")</f>
        <v>PS3</v>
      </c>
      <c r="C635" s="16" t="str">
        <f>IFERROR(__xludf.DUMMYFUNCTION("""COMPUTED_VALUE"""),"Playstation Plus (Discontinued)")</f>
        <v>Playstation Plus (Discontinued)</v>
      </c>
      <c r="D635" s="15" t="str">
        <f>IFERROR(__xludf.DUMMYFUNCTION("""COMPUTED_VALUE"""),"Removed")</f>
        <v>Removed</v>
      </c>
      <c r="E635" s="17">
        <f>IFERROR(__xludf.DUMMYFUNCTION("""COMPUTED_VALUE"""),41744.0)</f>
        <v>41744</v>
      </c>
      <c r="F635" s="54">
        <f>IFERROR(__xludf.DUMMYFUNCTION("""COMPUTED_VALUE"""),41750.0)</f>
        <v>41750</v>
      </c>
      <c r="G635" s="19">
        <f>IFERROR(__xludf.DUMMYFUNCTION("""COMPUTED_VALUE"""),0.2)</f>
        <v>0.2</v>
      </c>
      <c r="H635" s="17">
        <f>IFERROR(__xludf.DUMMYFUNCTION("""COMPUTED_VALUE"""),41506.0)</f>
        <v>41506</v>
      </c>
      <c r="I635" s="19">
        <f>IFERROR(__xludf.DUMMYFUNCTION("""COMPUTED_VALUE"""),0.6527777777777778)</f>
        <v>0.6527777778</v>
      </c>
      <c r="J635" s="21">
        <f>IFERROR(__xludf.DUMMYFUNCTION("""COMPUTED_VALUE"""),67.0)</f>
        <v>67</v>
      </c>
      <c r="K635" s="23">
        <f>IFERROR(__xludf.DUMMYFUNCTION("""COMPUTED_VALUE"""),7.5)</f>
        <v>7.5</v>
      </c>
      <c r="L635" s="24">
        <f>IFERROR(__xludf.DUMMYFUNCTION("""COMPUTED_VALUE"""),3.0)</f>
        <v>3</v>
      </c>
      <c r="M635" s="25" t="str">
        <f>IFERROR(__xludf.DUMMYFUNCTION("""COMPUTED_VALUE"""),"Platformer")</f>
        <v>Platformer</v>
      </c>
      <c r="N635" s="25"/>
      <c r="O635" s="26" t="str">
        <f>IFERROR(__xludf.DUMMYFUNCTION("""COMPUTED_VALUE"""),"No")</f>
        <v>No</v>
      </c>
      <c r="P635" s="26"/>
    </row>
    <row r="636" hidden="1">
      <c r="A636" s="13" t="str">
        <f>IFERROR(__xludf.DUMMYFUNCTION("""COMPUTED_VALUE"""),"Stealth Inc. A Clone in the Dark")</f>
        <v>Stealth Inc. A Clone in the Dark</v>
      </c>
      <c r="B636" s="15" t="str">
        <f>IFERROR(__xludf.DUMMYFUNCTION("""COMPUTED_VALUE"""),"PS3/Vita")</f>
        <v>PS3/Vita</v>
      </c>
      <c r="C636" s="16" t="str">
        <f>IFERROR(__xludf.DUMMYFUNCTION("""COMPUTED_VALUE"""),"Playstation Plus (Discontinued)")</f>
        <v>Playstation Plus (Discontinued)</v>
      </c>
      <c r="D636" s="15" t="str">
        <f>IFERROR(__xludf.DUMMYFUNCTION("""COMPUTED_VALUE"""),"Removed")</f>
        <v>Removed</v>
      </c>
      <c r="E636" s="17">
        <f>IFERROR(__xludf.DUMMYFUNCTION("""COMPUTED_VALUE"""),41737.0)</f>
        <v>41737</v>
      </c>
      <c r="F636" s="54">
        <f>IFERROR(__xludf.DUMMYFUNCTION("""COMPUTED_VALUE"""),41743.0)</f>
        <v>41743</v>
      </c>
      <c r="G636" s="19">
        <f>IFERROR(__xludf.DUMMYFUNCTION("""COMPUTED_VALUE"""),0.2)</f>
        <v>0.2</v>
      </c>
      <c r="H636" s="17">
        <f>IFERROR(__xludf.DUMMYFUNCTION("""COMPUTED_VALUE"""),41478.0)</f>
        <v>41478</v>
      </c>
      <c r="I636" s="19">
        <f>IFERROR(__xludf.DUMMYFUNCTION("""COMPUTED_VALUE"""),0.7083333333333334)</f>
        <v>0.7083333333</v>
      </c>
      <c r="J636" s="21">
        <f>IFERROR(__xludf.DUMMYFUNCTION("""COMPUTED_VALUE"""),78.0)</f>
        <v>78</v>
      </c>
      <c r="K636" s="23">
        <f>IFERROR(__xludf.DUMMYFUNCTION("""COMPUTED_VALUE"""),7.3)</f>
        <v>7.3</v>
      </c>
      <c r="L636" s="24">
        <f>IFERROR(__xludf.DUMMYFUNCTION("""COMPUTED_VALUE"""),5.0)</f>
        <v>5</v>
      </c>
      <c r="M636" s="25" t="str">
        <f>IFERROR(__xludf.DUMMYFUNCTION("""COMPUTED_VALUE"""),"Platformer")</f>
        <v>Platformer</v>
      </c>
      <c r="N636" s="25"/>
      <c r="O636" s="26" t="str">
        <f>IFERROR(__xludf.DUMMYFUNCTION("""COMPUTED_VALUE"""),"No")</f>
        <v>No</v>
      </c>
      <c r="P636" s="26"/>
    </row>
    <row r="637">
      <c r="A637" s="13" t="str">
        <f>IFERROR(__xludf.DUMMYFUNCTION("""COMPUTED_VALUE"""),"Mercenary Kings")</f>
        <v>Mercenary Kings</v>
      </c>
      <c r="B637" s="15" t="str">
        <f>IFERROR(__xludf.DUMMYFUNCTION("""COMPUTED_VALUE"""),"PS4")</f>
        <v>PS4</v>
      </c>
      <c r="C637" s="16" t="str">
        <f>IFERROR(__xludf.DUMMYFUNCTION("""COMPUTED_VALUE"""),"Playstation Plus (Discontinued)")</f>
        <v>Playstation Plus (Discontinued)</v>
      </c>
      <c r="D637" s="15" t="str">
        <f>IFERROR(__xludf.DUMMYFUNCTION("""COMPUTED_VALUE"""),"Removed")</f>
        <v>Removed</v>
      </c>
      <c r="E637" s="17">
        <f>IFERROR(__xludf.DUMMYFUNCTION("""COMPUTED_VALUE"""),41730.0)</f>
        <v>41730</v>
      </c>
      <c r="F637" s="54">
        <f>IFERROR(__xludf.DUMMYFUNCTION("""COMPUTED_VALUE"""),41736.0)</f>
        <v>41736</v>
      </c>
      <c r="G637" s="19">
        <f>IFERROR(__xludf.DUMMYFUNCTION("""COMPUTED_VALUE"""),0.2)</f>
        <v>0.2</v>
      </c>
      <c r="H637" s="17">
        <f>IFERROR(__xludf.DUMMYFUNCTION("""COMPUTED_VALUE"""),41730.0)</f>
        <v>41730</v>
      </c>
      <c r="I637" s="19">
        <f>IFERROR(__xludf.DUMMYFUNCTION("""COMPUTED_VALUE"""),0.0)</f>
        <v>0</v>
      </c>
      <c r="J637" s="21">
        <f>IFERROR(__xludf.DUMMYFUNCTION("""COMPUTED_VALUE"""),68.0)</f>
        <v>68</v>
      </c>
      <c r="K637" s="23">
        <f>IFERROR(__xludf.DUMMYFUNCTION("""COMPUTED_VALUE"""),7.1)</f>
        <v>7.1</v>
      </c>
      <c r="L637" s="24">
        <f>IFERROR(__xludf.DUMMYFUNCTION("""COMPUTED_VALUE"""),8.0)</f>
        <v>8</v>
      </c>
      <c r="M637" s="25" t="str">
        <f>IFERROR(__xludf.DUMMYFUNCTION("""COMPUTED_VALUE"""),"Shooter")</f>
        <v>Shooter</v>
      </c>
      <c r="N637" s="25"/>
      <c r="O637" s="26" t="str">
        <f>IFERROR(__xludf.DUMMYFUNCTION("""COMPUTED_VALUE"""),"No")</f>
        <v>No</v>
      </c>
      <c r="P637" s="26"/>
    </row>
    <row r="638">
      <c r="A638" s="13" t="str">
        <f>IFERROR(__xludf.DUMMYFUNCTION("""COMPUTED_VALUE"""),"Batman: Arkham City")</f>
        <v>Batman: Arkham City</v>
      </c>
      <c r="B638" s="15" t="str">
        <f>IFERROR(__xludf.DUMMYFUNCTION("""COMPUTED_VALUE"""),"PS3")</f>
        <v>PS3</v>
      </c>
      <c r="C638" s="16" t="str">
        <f>IFERROR(__xludf.DUMMYFUNCTION("""COMPUTED_VALUE"""),"Playstation Plus (Discontinued)")</f>
        <v>Playstation Plus (Discontinued)</v>
      </c>
      <c r="D638" s="15" t="str">
        <f>IFERROR(__xludf.DUMMYFUNCTION("""COMPUTED_VALUE"""),"Removed")</f>
        <v>Removed</v>
      </c>
      <c r="E638" s="17">
        <f>IFERROR(__xludf.DUMMYFUNCTION("""COMPUTED_VALUE"""),41730.0)</f>
        <v>41730</v>
      </c>
      <c r="F638" s="54">
        <f>IFERROR(__xludf.DUMMYFUNCTION("""COMPUTED_VALUE"""),41736.0)</f>
        <v>41736</v>
      </c>
      <c r="G638" s="19">
        <f>IFERROR(__xludf.DUMMYFUNCTION("""COMPUTED_VALUE"""),0.2)</f>
        <v>0.2</v>
      </c>
      <c r="H638" s="17">
        <f>IFERROR(__xludf.DUMMYFUNCTION("""COMPUTED_VALUE"""),40834.0)</f>
        <v>40834</v>
      </c>
      <c r="I638" s="19">
        <f>IFERROR(__xludf.DUMMYFUNCTION("""COMPUTED_VALUE"""),2.452777777777778)</f>
        <v>2.452777778</v>
      </c>
      <c r="J638" s="21">
        <f>IFERROR(__xludf.DUMMYFUNCTION("""COMPUTED_VALUE"""),94.0)</f>
        <v>94</v>
      </c>
      <c r="K638" s="23">
        <f>IFERROR(__xludf.DUMMYFUNCTION("""COMPUTED_VALUE"""),8.8)</f>
        <v>8.8</v>
      </c>
      <c r="L638" s="24">
        <f>IFERROR(__xludf.DUMMYFUNCTION("""COMPUTED_VALUE"""),12.0)</f>
        <v>12</v>
      </c>
      <c r="M638" s="25" t="str">
        <f>IFERROR(__xludf.DUMMYFUNCTION("""COMPUTED_VALUE"""),"Action-Adventure")</f>
        <v>Action-Adventure</v>
      </c>
      <c r="N638" s="25"/>
      <c r="O638" s="26" t="str">
        <f>IFERROR(__xludf.DUMMYFUNCTION("""COMPUTED_VALUE"""),"No")</f>
        <v>No</v>
      </c>
      <c r="P638" s="26"/>
    </row>
    <row r="639" hidden="1">
      <c r="A639" s="13" t="str">
        <f>IFERROR(__xludf.DUMMYFUNCTION("""COMPUTED_VALUE"""),"Monster Hunter: Freedom Unite")</f>
        <v>Monster Hunter: Freedom Unite</v>
      </c>
      <c r="B639" s="15" t="str">
        <f>IFERROR(__xludf.DUMMYFUNCTION("""COMPUTED_VALUE"""),"PSP")</f>
        <v>PSP</v>
      </c>
      <c r="C639" s="16" t="str">
        <f>IFERROR(__xludf.DUMMYFUNCTION("""COMPUTED_VALUE"""),"Playstation Plus (Discontinued)")</f>
        <v>Playstation Plus (Discontinued)</v>
      </c>
      <c r="D639" s="15" t="str">
        <f>IFERROR(__xludf.DUMMYFUNCTION("""COMPUTED_VALUE"""),"Removed")</f>
        <v>Removed</v>
      </c>
      <c r="E639" s="17">
        <f>IFERROR(__xludf.DUMMYFUNCTION("""COMPUTED_VALUE"""),41723.0)</f>
        <v>41723</v>
      </c>
      <c r="F639" s="54">
        <f>IFERROR(__xludf.DUMMYFUNCTION("""COMPUTED_VALUE"""),41729.0)</f>
        <v>41729</v>
      </c>
      <c r="G639" s="19">
        <f>IFERROR(__xludf.DUMMYFUNCTION("""COMPUTED_VALUE"""),0.16666666666666666)</f>
        <v>0.1666666667</v>
      </c>
      <c r="H639" s="17">
        <f>IFERROR(__xludf.DUMMYFUNCTION("""COMPUTED_VALUE"""),39986.0)</f>
        <v>39986</v>
      </c>
      <c r="I639" s="19">
        <f>IFERROR(__xludf.DUMMYFUNCTION("""COMPUTED_VALUE"""),4.758333333333334)</f>
        <v>4.758333333</v>
      </c>
      <c r="J639" s="21">
        <f>IFERROR(__xludf.DUMMYFUNCTION("""COMPUTED_VALUE"""),81.0)</f>
        <v>81</v>
      </c>
      <c r="K639" s="23">
        <f>IFERROR(__xludf.DUMMYFUNCTION("""COMPUTED_VALUE"""),8.5)</f>
        <v>8.5</v>
      </c>
      <c r="L639" s="24">
        <f>IFERROR(__xludf.DUMMYFUNCTION("""COMPUTED_VALUE"""),45.0)</f>
        <v>45</v>
      </c>
      <c r="M639" s="25" t="str">
        <f>IFERROR(__xludf.DUMMYFUNCTION("""COMPUTED_VALUE"""),"RPG")</f>
        <v>RPG</v>
      </c>
      <c r="N639" s="25"/>
      <c r="O639" s="26" t="str">
        <f>IFERROR(__xludf.DUMMYFUNCTION("""COMPUTED_VALUE"""),"No")</f>
        <v>No</v>
      </c>
      <c r="P639" s="26"/>
    </row>
    <row r="640" hidden="1">
      <c r="A640" s="13" t="str">
        <f>IFERROR(__xludf.DUMMYFUNCTION("""COMPUTED_VALUE"""),"Thomas Was Alone")</f>
        <v>Thomas Was Alone</v>
      </c>
      <c r="B640" s="15" t="str">
        <f>IFERROR(__xludf.DUMMYFUNCTION("""COMPUTED_VALUE"""),"PS4/PS3/Vita")</f>
        <v>PS4/PS3/Vita</v>
      </c>
      <c r="C640" s="16" t="str">
        <f>IFERROR(__xludf.DUMMYFUNCTION("""COMPUTED_VALUE"""),"Playstation Plus (Discontinued)")</f>
        <v>Playstation Plus (Discontinued)</v>
      </c>
      <c r="D640" s="15" t="str">
        <f>IFERROR(__xludf.DUMMYFUNCTION("""COMPUTED_VALUE"""),"Removed")</f>
        <v>Removed</v>
      </c>
      <c r="E640" s="17">
        <f>IFERROR(__xludf.DUMMYFUNCTION("""COMPUTED_VALUE"""),41716.0)</f>
        <v>41716</v>
      </c>
      <c r="F640" s="54">
        <f>IFERROR(__xludf.DUMMYFUNCTION("""COMPUTED_VALUE"""),41722.0)</f>
        <v>41722</v>
      </c>
      <c r="G640" s="19">
        <f>IFERROR(__xludf.DUMMYFUNCTION("""COMPUTED_VALUE"""),0.2)</f>
        <v>0.2</v>
      </c>
      <c r="H640" s="17">
        <f>IFERROR(__xludf.DUMMYFUNCTION("""COMPUTED_VALUE"""),41387.0)</f>
        <v>41387</v>
      </c>
      <c r="I640" s="19">
        <f>IFERROR(__xludf.DUMMYFUNCTION("""COMPUTED_VALUE"""),0.9027777777777778)</f>
        <v>0.9027777778</v>
      </c>
      <c r="J640" s="21">
        <f>IFERROR(__xludf.DUMMYFUNCTION("""COMPUTED_VALUE"""),75.0)</f>
        <v>75</v>
      </c>
      <c r="K640" s="23">
        <f>IFERROR(__xludf.DUMMYFUNCTION("""COMPUTED_VALUE"""),7.7)</f>
        <v>7.7</v>
      </c>
      <c r="L640" s="24">
        <f>IFERROR(__xludf.DUMMYFUNCTION("""COMPUTED_VALUE"""),3.0)</f>
        <v>3</v>
      </c>
      <c r="M640" s="25" t="str">
        <f>IFERROR(__xludf.DUMMYFUNCTION("""COMPUTED_VALUE"""),"Platformer")</f>
        <v>Platformer</v>
      </c>
      <c r="N640" s="25"/>
      <c r="O640" s="26" t="str">
        <f>IFERROR(__xludf.DUMMYFUNCTION("""COMPUTED_VALUE"""),"No")</f>
        <v>No</v>
      </c>
      <c r="P640" s="26"/>
    </row>
    <row r="641" hidden="1">
      <c r="A641" s="13" t="str">
        <f>IFERROR(__xludf.DUMMYFUNCTION("""COMPUTED_VALUE"""),"Unit 13")</f>
        <v>Unit 13</v>
      </c>
      <c r="B641" s="15" t="str">
        <f>IFERROR(__xludf.DUMMYFUNCTION("""COMPUTED_VALUE"""),"Vita")</f>
        <v>Vita</v>
      </c>
      <c r="C641" s="16" t="str">
        <f>IFERROR(__xludf.DUMMYFUNCTION("""COMPUTED_VALUE"""),"Playstation Plus (Discontinued)")</f>
        <v>Playstation Plus (Discontinued)</v>
      </c>
      <c r="D641" s="15" t="str">
        <f>IFERROR(__xludf.DUMMYFUNCTION("""COMPUTED_VALUE"""),"Removed")</f>
        <v>Removed</v>
      </c>
      <c r="E641" s="17">
        <f>IFERROR(__xludf.DUMMYFUNCTION("""COMPUTED_VALUE"""),41716.0)</f>
        <v>41716</v>
      </c>
      <c r="F641" s="54">
        <f>IFERROR(__xludf.DUMMYFUNCTION("""COMPUTED_VALUE"""),41722.0)</f>
        <v>41722</v>
      </c>
      <c r="G641" s="19">
        <f>IFERROR(__xludf.DUMMYFUNCTION("""COMPUTED_VALUE"""),0.2)</f>
        <v>0.2</v>
      </c>
      <c r="H641" s="17">
        <f>IFERROR(__xludf.DUMMYFUNCTION("""COMPUTED_VALUE"""),40974.0)</f>
        <v>40974</v>
      </c>
      <c r="I641" s="19">
        <f>IFERROR(__xludf.DUMMYFUNCTION("""COMPUTED_VALUE"""),2.033333333333333)</f>
        <v>2.033333333</v>
      </c>
      <c r="J641" s="21">
        <f>IFERROR(__xludf.DUMMYFUNCTION("""COMPUTED_VALUE"""),80.0)</f>
        <v>80</v>
      </c>
      <c r="K641" s="23">
        <f>IFERROR(__xludf.DUMMYFUNCTION("""COMPUTED_VALUE"""),7.7)</f>
        <v>7.7</v>
      </c>
      <c r="L641" s="24">
        <f>IFERROR(__xludf.DUMMYFUNCTION("""COMPUTED_VALUE"""),7.0)</f>
        <v>7</v>
      </c>
      <c r="M641" s="25" t="str">
        <f>IFERROR(__xludf.DUMMYFUNCTION("""COMPUTED_VALUE"""),"Shooter")</f>
        <v>Shooter</v>
      </c>
      <c r="N641" s="25"/>
      <c r="O641" s="26" t="str">
        <f>IFERROR(__xludf.DUMMYFUNCTION("""COMPUTED_VALUE"""),"No")</f>
        <v>No</v>
      </c>
      <c r="P641" s="26"/>
    </row>
    <row r="642">
      <c r="A642" s="13" t="str">
        <f>IFERROR(__xludf.DUMMYFUNCTION("""COMPUTED_VALUE"""),"Lone Survivor: The Director’s Cut")</f>
        <v>Lone Survivor: The Director’s Cut</v>
      </c>
      <c r="B642" s="15" t="str">
        <f>IFERROR(__xludf.DUMMYFUNCTION("""COMPUTED_VALUE"""),"PS3/Vita")</f>
        <v>PS3/Vita</v>
      </c>
      <c r="C642" s="16" t="str">
        <f>IFERROR(__xludf.DUMMYFUNCTION("""COMPUTED_VALUE"""),"Playstation Plus (Discontinued)")</f>
        <v>Playstation Plus (Discontinued)</v>
      </c>
      <c r="D642" s="15" t="str">
        <f>IFERROR(__xludf.DUMMYFUNCTION("""COMPUTED_VALUE"""),"Removed")</f>
        <v>Removed</v>
      </c>
      <c r="E642" s="17">
        <f>IFERROR(__xludf.DUMMYFUNCTION("""COMPUTED_VALUE"""),41709.0)</f>
        <v>41709</v>
      </c>
      <c r="F642" s="54">
        <f>IFERROR(__xludf.DUMMYFUNCTION("""COMPUTED_VALUE"""),41715.0)</f>
        <v>41715</v>
      </c>
      <c r="G642" s="19">
        <f>IFERROR(__xludf.DUMMYFUNCTION("""COMPUTED_VALUE"""),0.2)</f>
        <v>0.2</v>
      </c>
      <c r="H642" s="17">
        <f>IFERROR(__xludf.DUMMYFUNCTION("""COMPUTED_VALUE"""),41534.0)</f>
        <v>41534</v>
      </c>
      <c r="I642" s="19">
        <f>IFERROR(__xludf.DUMMYFUNCTION("""COMPUTED_VALUE"""),0.48333333333333334)</f>
        <v>0.4833333333</v>
      </c>
      <c r="J642" s="21">
        <f>IFERROR(__xludf.DUMMYFUNCTION("""COMPUTED_VALUE"""),76.0)</f>
        <v>76</v>
      </c>
      <c r="K642" s="23">
        <f>IFERROR(__xludf.DUMMYFUNCTION("""COMPUTED_VALUE"""),7.4)</f>
        <v>7.4</v>
      </c>
      <c r="L642" s="24">
        <f>IFERROR(__xludf.DUMMYFUNCTION("""COMPUTED_VALUE"""),5.0)</f>
        <v>5</v>
      </c>
      <c r="M642" s="25" t="str">
        <f>IFERROR(__xludf.DUMMYFUNCTION("""COMPUTED_VALUE"""),"Horror")</f>
        <v>Horror</v>
      </c>
      <c r="N642" s="25"/>
      <c r="O642" s="26" t="str">
        <f>IFERROR(__xludf.DUMMYFUNCTION("""COMPUTED_VALUE"""),"No")</f>
        <v>No</v>
      </c>
      <c r="P642" s="26"/>
    </row>
    <row r="643">
      <c r="A643" s="13" t="str">
        <f>IFERROR(__xludf.DUMMYFUNCTION("""COMPUTED_VALUE"""),"Dead Nation: Apocalypse Edition")</f>
        <v>Dead Nation: Apocalypse Edition</v>
      </c>
      <c r="B643" s="15" t="str">
        <f>IFERROR(__xludf.DUMMYFUNCTION("""COMPUTED_VALUE"""),"PS4")</f>
        <v>PS4</v>
      </c>
      <c r="C643" s="16" t="str">
        <f>IFERROR(__xludf.DUMMYFUNCTION("""COMPUTED_VALUE"""),"Playstation Plus (Discontinued)")</f>
        <v>Playstation Plus (Discontinued)</v>
      </c>
      <c r="D643" s="15" t="str">
        <f>IFERROR(__xludf.DUMMYFUNCTION("""COMPUTED_VALUE"""),"Removed")</f>
        <v>Removed</v>
      </c>
      <c r="E643" s="17">
        <f>IFERROR(__xludf.DUMMYFUNCTION("""COMPUTED_VALUE"""),41702.0)</f>
        <v>41702</v>
      </c>
      <c r="F643" s="54">
        <f>IFERROR(__xludf.DUMMYFUNCTION("""COMPUTED_VALUE"""),41708.0)</f>
        <v>41708</v>
      </c>
      <c r="G643" s="19">
        <f>IFERROR(__xludf.DUMMYFUNCTION("""COMPUTED_VALUE"""),0.2)</f>
        <v>0.2</v>
      </c>
      <c r="H643" s="17">
        <f>IFERROR(__xludf.DUMMYFUNCTION("""COMPUTED_VALUE"""),41702.0)</f>
        <v>41702</v>
      </c>
      <c r="I643" s="19">
        <f>IFERROR(__xludf.DUMMYFUNCTION("""COMPUTED_VALUE"""),0.0)</f>
        <v>0</v>
      </c>
      <c r="J643" s="21">
        <f>IFERROR(__xludf.DUMMYFUNCTION("""COMPUTED_VALUE"""),74.0)</f>
        <v>74</v>
      </c>
      <c r="K643" s="23">
        <f>IFERROR(__xludf.DUMMYFUNCTION("""COMPUTED_VALUE"""),7.2)</f>
        <v>7.2</v>
      </c>
      <c r="L643" s="24">
        <f>IFERROR(__xludf.DUMMYFUNCTION("""COMPUTED_VALUE"""),7.0)</f>
        <v>7</v>
      </c>
      <c r="M643" s="25" t="str">
        <f>IFERROR(__xludf.DUMMYFUNCTION("""COMPUTED_VALUE"""),"Shooter")</f>
        <v>Shooter</v>
      </c>
      <c r="N643" s="25"/>
      <c r="O643" s="26" t="str">
        <f>IFERROR(__xludf.DUMMYFUNCTION("""COMPUTED_VALUE"""),"No")</f>
        <v>No</v>
      </c>
      <c r="P643" s="26"/>
    </row>
    <row r="644">
      <c r="A644" s="13" t="str">
        <f>IFERROR(__xludf.DUMMYFUNCTION("""COMPUTED_VALUE"""),"Tomb Raider")</f>
        <v>Tomb Raider</v>
      </c>
      <c r="B644" s="15" t="str">
        <f>IFERROR(__xludf.DUMMYFUNCTION("""COMPUTED_VALUE"""),"PS3")</f>
        <v>PS3</v>
      </c>
      <c r="C644" s="16" t="str">
        <f>IFERROR(__xludf.DUMMYFUNCTION("""COMPUTED_VALUE"""),"Playstation Plus (Discontinued)")</f>
        <v>Playstation Plus (Discontinued)</v>
      </c>
      <c r="D644" s="15" t="str">
        <f>IFERROR(__xludf.DUMMYFUNCTION("""COMPUTED_VALUE"""),"Removed")</f>
        <v>Removed</v>
      </c>
      <c r="E644" s="17">
        <f>IFERROR(__xludf.DUMMYFUNCTION("""COMPUTED_VALUE"""),41702.0)</f>
        <v>41702</v>
      </c>
      <c r="F644" s="54">
        <f>IFERROR(__xludf.DUMMYFUNCTION("""COMPUTED_VALUE"""),41708.0)</f>
        <v>41708</v>
      </c>
      <c r="G644" s="19">
        <f>IFERROR(__xludf.DUMMYFUNCTION("""COMPUTED_VALUE"""),0.2)</f>
        <v>0.2</v>
      </c>
      <c r="H644" s="17">
        <f>IFERROR(__xludf.DUMMYFUNCTION("""COMPUTED_VALUE"""),41338.0)</f>
        <v>41338</v>
      </c>
      <c r="I644" s="19">
        <f>IFERROR(__xludf.DUMMYFUNCTION("""COMPUTED_VALUE"""),0.9972222222222222)</f>
        <v>0.9972222222</v>
      </c>
      <c r="J644" s="21">
        <f>IFERROR(__xludf.DUMMYFUNCTION("""COMPUTED_VALUE"""),86.0)</f>
        <v>86</v>
      </c>
      <c r="K644" s="23">
        <f>IFERROR(__xludf.DUMMYFUNCTION("""COMPUTED_VALUE"""),8.2)</f>
        <v>8.2</v>
      </c>
      <c r="L644" s="24">
        <f>IFERROR(__xludf.DUMMYFUNCTION("""COMPUTED_VALUE"""),12.0)</f>
        <v>12</v>
      </c>
      <c r="M644" s="25" t="str">
        <f>IFERROR(__xludf.DUMMYFUNCTION("""COMPUTED_VALUE"""),"Action-Adventure")</f>
        <v>Action-Adventure</v>
      </c>
      <c r="N644" s="25"/>
      <c r="O644" s="26" t="str">
        <f>IFERROR(__xludf.DUMMYFUNCTION("""COMPUTED_VALUE"""),"No")</f>
        <v>No</v>
      </c>
      <c r="P644" s="26"/>
    </row>
    <row r="645" hidden="1">
      <c r="A645" s="13" t="str">
        <f>IFERROR(__xludf.DUMMYFUNCTION("""COMPUTED_VALUE"""),"ModNation Racers: Road Trip")</f>
        <v>ModNation Racers: Road Trip</v>
      </c>
      <c r="B645" s="15" t="str">
        <f>IFERROR(__xludf.DUMMYFUNCTION("""COMPUTED_VALUE"""),"Vita")</f>
        <v>Vita</v>
      </c>
      <c r="C645" s="16" t="str">
        <f>IFERROR(__xludf.DUMMYFUNCTION("""COMPUTED_VALUE"""),"Playstation Plus (Discontinued)")</f>
        <v>Playstation Plus (Discontinued)</v>
      </c>
      <c r="D645" s="15" t="str">
        <f>IFERROR(__xludf.DUMMYFUNCTION("""COMPUTED_VALUE"""),"Removed")</f>
        <v>Removed</v>
      </c>
      <c r="E645" s="17">
        <f>IFERROR(__xludf.DUMMYFUNCTION("""COMPUTED_VALUE"""),41695.0)</f>
        <v>41695</v>
      </c>
      <c r="F645" s="54">
        <f>IFERROR(__xludf.DUMMYFUNCTION("""COMPUTED_VALUE"""),41701.0)</f>
        <v>41701</v>
      </c>
      <c r="G645" s="19">
        <f>IFERROR(__xludf.DUMMYFUNCTION("""COMPUTED_VALUE"""),0.26666666666666666)</f>
        <v>0.2666666667</v>
      </c>
      <c r="H645" s="17">
        <f>IFERROR(__xludf.DUMMYFUNCTION("""COMPUTED_VALUE"""),40946.0)</f>
        <v>40946</v>
      </c>
      <c r="I645" s="19">
        <f>IFERROR(__xludf.DUMMYFUNCTION("""COMPUTED_VALUE"""),2.05)</f>
        <v>2.05</v>
      </c>
      <c r="J645" s="21">
        <f>IFERROR(__xludf.DUMMYFUNCTION("""COMPUTED_VALUE"""),62.0)</f>
        <v>62</v>
      </c>
      <c r="K645" s="23">
        <f>IFERROR(__xludf.DUMMYFUNCTION("""COMPUTED_VALUE"""),6.2)</f>
        <v>6.2</v>
      </c>
      <c r="L645" s="24">
        <f>IFERROR(__xludf.DUMMYFUNCTION("""COMPUTED_VALUE"""),12.0)</f>
        <v>12</v>
      </c>
      <c r="M645" s="25" t="str">
        <f>IFERROR(__xludf.DUMMYFUNCTION("""COMPUTED_VALUE"""),"Racing")</f>
        <v>Racing</v>
      </c>
      <c r="N645" s="25"/>
      <c r="O645" s="26" t="str">
        <f>IFERROR(__xludf.DUMMYFUNCTION("""COMPUTED_VALUE"""),"No")</f>
        <v>No</v>
      </c>
      <c r="P645" s="26"/>
    </row>
    <row r="646" hidden="1">
      <c r="A646" s="13" t="str">
        <f>IFERROR(__xludf.DUMMYFUNCTION("""COMPUTED_VALUE"""),"Remember Me")</f>
        <v>Remember Me</v>
      </c>
      <c r="B646" s="15" t="str">
        <f>IFERROR(__xludf.DUMMYFUNCTION("""COMPUTED_VALUE"""),"PS3")</f>
        <v>PS3</v>
      </c>
      <c r="C646" s="16" t="str">
        <f>IFERROR(__xludf.DUMMYFUNCTION("""COMPUTED_VALUE"""),"Playstation Plus (Discontinued)")</f>
        <v>Playstation Plus (Discontinued)</v>
      </c>
      <c r="D646" s="15" t="str">
        <f>IFERROR(__xludf.DUMMYFUNCTION("""COMPUTED_VALUE"""),"Removed")</f>
        <v>Removed</v>
      </c>
      <c r="E646" s="17">
        <f>IFERROR(__xludf.DUMMYFUNCTION("""COMPUTED_VALUE"""),41688.0)</f>
        <v>41688</v>
      </c>
      <c r="F646" s="54">
        <f>IFERROR(__xludf.DUMMYFUNCTION("""COMPUTED_VALUE"""),41694.0)</f>
        <v>41694</v>
      </c>
      <c r="G646" s="19">
        <f>IFERROR(__xludf.DUMMYFUNCTION("""COMPUTED_VALUE"""),0.2)</f>
        <v>0.2</v>
      </c>
      <c r="H646" s="17">
        <f>IFERROR(__xludf.DUMMYFUNCTION("""COMPUTED_VALUE"""),41429.0)</f>
        <v>41429</v>
      </c>
      <c r="I646" s="19">
        <f>IFERROR(__xludf.DUMMYFUNCTION("""COMPUTED_VALUE"""),0.7055555555555556)</f>
        <v>0.7055555556</v>
      </c>
      <c r="J646" s="21">
        <f>IFERROR(__xludf.DUMMYFUNCTION("""COMPUTED_VALUE"""),70.0)</f>
        <v>70</v>
      </c>
      <c r="K646" s="23">
        <f>IFERROR(__xludf.DUMMYFUNCTION("""COMPUTED_VALUE"""),7.5)</f>
        <v>7.5</v>
      </c>
      <c r="L646" s="24">
        <f>IFERROR(__xludf.DUMMYFUNCTION("""COMPUTED_VALUE"""),12.0)</f>
        <v>12</v>
      </c>
      <c r="M646" s="25" t="str">
        <f>IFERROR(__xludf.DUMMYFUNCTION("""COMPUTED_VALUE"""),"Action-Adventure")</f>
        <v>Action-Adventure</v>
      </c>
      <c r="N646" s="25"/>
      <c r="O646" s="26" t="str">
        <f>IFERROR(__xludf.DUMMYFUNCTION("""COMPUTED_VALUE"""),"No")</f>
        <v>No</v>
      </c>
      <c r="P646" s="26"/>
    </row>
    <row r="647" hidden="1">
      <c r="A647" s="13" t="str">
        <f>IFERROR(__xludf.DUMMYFUNCTION("""COMPUTED_VALUE"""),"Street Fighter X Tekken")</f>
        <v>Street Fighter X Tekken</v>
      </c>
      <c r="B647" s="15" t="str">
        <f>IFERROR(__xludf.DUMMYFUNCTION("""COMPUTED_VALUE"""),"Vita")</f>
        <v>Vita</v>
      </c>
      <c r="C647" s="16" t="str">
        <f>IFERROR(__xludf.DUMMYFUNCTION("""COMPUTED_VALUE"""),"Playstation Plus (Discontinued)")</f>
        <v>Playstation Plus (Discontinued)</v>
      </c>
      <c r="D647" s="15" t="str">
        <f>IFERROR(__xludf.DUMMYFUNCTION("""COMPUTED_VALUE"""),"Removed")</f>
        <v>Removed</v>
      </c>
      <c r="E647" s="17">
        <f>IFERROR(__xludf.DUMMYFUNCTION("""COMPUTED_VALUE"""),41688.0)</f>
        <v>41688</v>
      </c>
      <c r="F647" s="54">
        <f>IFERROR(__xludf.DUMMYFUNCTION("""COMPUTED_VALUE"""),41694.0)</f>
        <v>41694</v>
      </c>
      <c r="G647" s="19">
        <f>IFERROR(__xludf.DUMMYFUNCTION("""COMPUTED_VALUE"""),0.2)</f>
        <v>0.2</v>
      </c>
      <c r="H647" s="17">
        <f>IFERROR(__xludf.DUMMYFUNCTION("""COMPUTED_VALUE"""),40974.0)</f>
        <v>40974</v>
      </c>
      <c r="I647" s="19">
        <f>IFERROR(__xludf.DUMMYFUNCTION("""COMPUTED_VALUE"""),1.95)</f>
        <v>1.95</v>
      </c>
      <c r="J647" s="21">
        <f>IFERROR(__xludf.DUMMYFUNCTION("""COMPUTED_VALUE"""),84.0)</f>
        <v>84</v>
      </c>
      <c r="K647" s="23">
        <f>IFERROR(__xludf.DUMMYFUNCTION("""COMPUTED_VALUE"""),5.8)</f>
        <v>5.8</v>
      </c>
      <c r="L647" s="24"/>
      <c r="M647" s="25" t="str">
        <f>IFERROR(__xludf.DUMMYFUNCTION("""COMPUTED_VALUE"""),"Fighting")</f>
        <v>Fighting</v>
      </c>
      <c r="N647" s="25"/>
      <c r="O647" s="26" t="str">
        <f>IFERROR(__xludf.DUMMYFUNCTION("""COMPUTED_VALUE"""),"No")</f>
        <v>No</v>
      </c>
      <c r="P647" s="26"/>
    </row>
    <row r="648">
      <c r="A648" s="13" t="str">
        <f>IFERROR(__xludf.DUMMYFUNCTION("""COMPUTED_VALUE"""),"Payday 2")</f>
        <v>Payday 2</v>
      </c>
      <c r="B648" s="15" t="str">
        <f>IFERROR(__xludf.DUMMYFUNCTION("""COMPUTED_VALUE"""),"PS3")</f>
        <v>PS3</v>
      </c>
      <c r="C648" s="16" t="str">
        <f>IFERROR(__xludf.DUMMYFUNCTION("""COMPUTED_VALUE"""),"Playstation Plus (Discontinued)")</f>
        <v>Playstation Plus (Discontinued)</v>
      </c>
      <c r="D648" s="15" t="str">
        <f>IFERROR(__xludf.DUMMYFUNCTION("""COMPUTED_VALUE"""),"Removed")</f>
        <v>Removed</v>
      </c>
      <c r="E648" s="17">
        <f>IFERROR(__xludf.DUMMYFUNCTION("""COMPUTED_VALUE"""),41681.0)</f>
        <v>41681</v>
      </c>
      <c r="F648" s="54">
        <f>IFERROR(__xludf.DUMMYFUNCTION("""COMPUTED_VALUE"""),41687.0)</f>
        <v>41687</v>
      </c>
      <c r="G648" s="19">
        <f>IFERROR(__xludf.DUMMYFUNCTION("""COMPUTED_VALUE"""),0.2)</f>
        <v>0.2</v>
      </c>
      <c r="H648" s="17">
        <f>IFERROR(__xludf.DUMMYFUNCTION("""COMPUTED_VALUE"""),41499.0)</f>
        <v>41499</v>
      </c>
      <c r="I648" s="19">
        <f>IFERROR(__xludf.DUMMYFUNCTION("""COMPUTED_VALUE"""),0.49444444444444446)</f>
        <v>0.4944444444</v>
      </c>
      <c r="J648" s="21">
        <f>IFERROR(__xludf.DUMMYFUNCTION("""COMPUTED_VALUE"""),79.0)</f>
        <v>79</v>
      </c>
      <c r="K648" s="23">
        <f>IFERROR(__xludf.DUMMYFUNCTION("""COMPUTED_VALUE"""),7.6)</f>
        <v>7.6</v>
      </c>
      <c r="L648" s="24">
        <f>IFERROR(__xludf.DUMMYFUNCTION("""COMPUTED_VALUE"""),17.0)</f>
        <v>17</v>
      </c>
      <c r="M648" s="25" t="str">
        <f>IFERROR(__xludf.DUMMYFUNCTION("""COMPUTED_VALUE"""),"Shooter")</f>
        <v>Shooter</v>
      </c>
      <c r="N648" s="25"/>
      <c r="O648" s="26" t="str">
        <f>IFERROR(__xludf.DUMMYFUNCTION("""COMPUTED_VALUE"""),"No")</f>
        <v>No</v>
      </c>
      <c r="P648" s="26"/>
    </row>
    <row r="649" hidden="1">
      <c r="A649" s="13" t="str">
        <f>IFERROR(__xludf.DUMMYFUNCTION("""COMPUTED_VALUE"""),"Outlast")</f>
        <v>Outlast</v>
      </c>
      <c r="B649" s="15" t="str">
        <f>IFERROR(__xludf.DUMMYFUNCTION("""COMPUTED_VALUE"""),"PS4")</f>
        <v>PS4</v>
      </c>
      <c r="C649" s="16" t="str">
        <f>IFERROR(__xludf.DUMMYFUNCTION("""COMPUTED_VALUE"""),"Playstation Plus (Discontinued)")</f>
        <v>Playstation Plus (Discontinued)</v>
      </c>
      <c r="D649" s="15" t="str">
        <f>IFERROR(__xludf.DUMMYFUNCTION("""COMPUTED_VALUE"""),"Removed")</f>
        <v>Removed</v>
      </c>
      <c r="E649" s="17">
        <f>IFERROR(__xludf.DUMMYFUNCTION("""COMPUTED_VALUE"""),41674.0)</f>
        <v>41674</v>
      </c>
      <c r="F649" s="54">
        <f>IFERROR(__xludf.DUMMYFUNCTION("""COMPUTED_VALUE"""),41680.0)</f>
        <v>41680</v>
      </c>
      <c r="G649" s="19">
        <f>IFERROR(__xludf.DUMMYFUNCTION("""COMPUTED_VALUE"""),0.2)</f>
        <v>0.2</v>
      </c>
      <c r="H649" s="17">
        <f>IFERROR(__xludf.DUMMYFUNCTION("""COMPUTED_VALUE"""),41674.0)</f>
        <v>41674</v>
      </c>
      <c r="I649" s="19">
        <f>IFERROR(__xludf.DUMMYFUNCTION("""COMPUTED_VALUE"""),0.0)</f>
        <v>0</v>
      </c>
      <c r="J649" s="21">
        <f>IFERROR(__xludf.DUMMYFUNCTION("""COMPUTED_VALUE"""),78.0)</f>
        <v>78</v>
      </c>
      <c r="K649" s="23">
        <f>IFERROR(__xludf.DUMMYFUNCTION("""COMPUTED_VALUE"""),7.7)</f>
        <v>7.7</v>
      </c>
      <c r="L649" s="24">
        <f>IFERROR(__xludf.DUMMYFUNCTION("""COMPUTED_VALUE"""),5.0)</f>
        <v>5</v>
      </c>
      <c r="M649" s="25" t="str">
        <f>IFERROR(__xludf.DUMMYFUNCTION("""COMPUTED_VALUE"""),"Horror")</f>
        <v>Horror</v>
      </c>
      <c r="N649" s="25"/>
      <c r="O649" s="26" t="str">
        <f>IFERROR(__xludf.DUMMYFUNCTION("""COMPUTED_VALUE"""),"No")</f>
        <v>No</v>
      </c>
      <c r="P649" s="26"/>
    </row>
    <row r="650">
      <c r="A650" s="13" t="str">
        <f>IFERROR(__xludf.DUMMYFUNCTION("""COMPUTED_VALUE"""),"Metro: Last Light")</f>
        <v>Metro: Last Light</v>
      </c>
      <c r="B650" s="15" t="str">
        <f>IFERROR(__xludf.DUMMYFUNCTION("""COMPUTED_VALUE"""),"PS3")</f>
        <v>PS3</v>
      </c>
      <c r="C650" s="16" t="str">
        <f>IFERROR(__xludf.DUMMYFUNCTION("""COMPUTED_VALUE"""),"Playstation Plus (Discontinued)")</f>
        <v>Playstation Plus (Discontinued)</v>
      </c>
      <c r="D650" s="15" t="str">
        <f>IFERROR(__xludf.DUMMYFUNCTION("""COMPUTED_VALUE"""),"Removed")</f>
        <v>Removed</v>
      </c>
      <c r="E650" s="17">
        <f>IFERROR(__xludf.DUMMYFUNCTION("""COMPUTED_VALUE"""),41674.0)</f>
        <v>41674</v>
      </c>
      <c r="F650" s="54">
        <f>IFERROR(__xludf.DUMMYFUNCTION("""COMPUTED_VALUE"""),41680.0)</f>
        <v>41680</v>
      </c>
      <c r="G650" s="19">
        <f>IFERROR(__xludf.DUMMYFUNCTION("""COMPUTED_VALUE"""),0.2)</f>
        <v>0.2</v>
      </c>
      <c r="H650" s="17">
        <f>IFERROR(__xludf.DUMMYFUNCTION("""COMPUTED_VALUE"""),41408.0)</f>
        <v>41408</v>
      </c>
      <c r="I650" s="19">
        <f>IFERROR(__xludf.DUMMYFUNCTION("""COMPUTED_VALUE"""),0.7222222222222222)</f>
        <v>0.7222222222</v>
      </c>
      <c r="J650" s="21">
        <f>IFERROR(__xludf.DUMMYFUNCTION("""COMPUTED_VALUE"""),81.0)</f>
        <v>81</v>
      </c>
      <c r="K650" s="23">
        <f>IFERROR(__xludf.DUMMYFUNCTION("""COMPUTED_VALUE"""),8.1)</f>
        <v>8.1</v>
      </c>
      <c r="L650" s="24">
        <f>IFERROR(__xludf.DUMMYFUNCTION("""COMPUTED_VALUE"""),10.0)</f>
        <v>10</v>
      </c>
      <c r="M650" s="25" t="str">
        <f>IFERROR(__xludf.DUMMYFUNCTION("""COMPUTED_VALUE"""),"Shooter")</f>
        <v>Shooter</v>
      </c>
      <c r="N650" s="25"/>
      <c r="O650" s="26" t="str">
        <f>IFERROR(__xludf.DUMMYFUNCTION("""COMPUTED_VALUE"""),"No")</f>
        <v>No</v>
      </c>
      <c r="P650" s="26"/>
    </row>
    <row r="651" hidden="1">
      <c r="A651" s="13" t="str">
        <f>IFERROR(__xludf.DUMMYFUNCTION("""COMPUTED_VALUE"""),"Smart As")</f>
        <v>Smart As</v>
      </c>
      <c r="B651" s="15" t="str">
        <f>IFERROR(__xludf.DUMMYFUNCTION("""COMPUTED_VALUE"""),"Vita")</f>
        <v>Vita</v>
      </c>
      <c r="C651" s="16" t="str">
        <f>IFERROR(__xludf.DUMMYFUNCTION("""COMPUTED_VALUE"""),"Playstation Plus (Discontinued)")</f>
        <v>Playstation Plus (Discontinued)</v>
      </c>
      <c r="D651" s="15" t="str">
        <f>IFERROR(__xludf.DUMMYFUNCTION("""COMPUTED_VALUE"""),"Removed")</f>
        <v>Removed</v>
      </c>
      <c r="E651" s="17">
        <f>IFERROR(__xludf.DUMMYFUNCTION("""COMPUTED_VALUE"""),41667.0)</f>
        <v>41667</v>
      </c>
      <c r="F651" s="54">
        <f>IFERROR(__xludf.DUMMYFUNCTION("""COMPUTED_VALUE"""),41673.0)</f>
        <v>41673</v>
      </c>
      <c r="G651" s="19">
        <f>IFERROR(__xludf.DUMMYFUNCTION("""COMPUTED_VALUE"""),0.16666666666666666)</f>
        <v>0.1666666667</v>
      </c>
      <c r="H651" s="17">
        <f>IFERROR(__xludf.DUMMYFUNCTION("""COMPUTED_VALUE"""),41233.0)</f>
        <v>41233</v>
      </c>
      <c r="I651" s="19">
        <f>IFERROR(__xludf.DUMMYFUNCTION("""COMPUTED_VALUE"""),1.1888888888888889)</f>
        <v>1.188888889</v>
      </c>
      <c r="J651" s="21">
        <f>IFERROR(__xludf.DUMMYFUNCTION("""COMPUTED_VALUE"""),69.0)</f>
        <v>69</v>
      </c>
      <c r="K651" s="23">
        <f>IFERROR(__xludf.DUMMYFUNCTION("""COMPUTED_VALUE"""),6.8)</f>
        <v>6.8</v>
      </c>
      <c r="L651" s="24">
        <f>IFERROR(__xludf.DUMMYFUNCTION("""COMPUTED_VALUE"""),5.0)</f>
        <v>5</v>
      </c>
      <c r="M651" s="25" t="str">
        <f>IFERROR(__xludf.DUMMYFUNCTION("""COMPUTED_VALUE"""),"Puzzle")</f>
        <v>Puzzle</v>
      </c>
      <c r="N651" s="25"/>
      <c r="O651" s="26" t="str">
        <f>IFERROR(__xludf.DUMMYFUNCTION("""COMPUTED_VALUE"""),"No")</f>
        <v>No</v>
      </c>
      <c r="P651" s="26"/>
    </row>
    <row r="652" hidden="1">
      <c r="A652" s="13" t="str">
        <f>IFERROR(__xludf.DUMMYFUNCTION("""COMPUTED_VALUE"""),"Worms Battle Islands")</f>
        <v>Worms Battle Islands</v>
      </c>
      <c r="B652" s="15" t="str">
        <f>IFERROR(__xludf.DUMMYFUNCTION("""COMPUTED_VALUE"""),"PSP")</f>
        <v>PSP</v>
      </c>
      <c r="C652" s="16" t="str">
        <f>IFERROR(__xludf.DUMMYFUNCTION("""COMPUTED_VALUE"""),"Playstation Plus (Discontinued)")</f>
        <v>Playstation Plus (Discontinued)</v>
      </c>
      <c r="D652" s="15" t="str">
        <f>IFERROR(__xludf.DUMMYFUNCTION("""COMPUTED_VALUE"""),"Removed")</f>
        <v>Removed</v>
      </c>
      <c r="E652" s="17">
        <f>IFERROR(__xludf.DUMMYFUNCTION("""COMPUTED_VALUE"""),41660.0)</f>
        <v>41660</v>
      </c>
      <c r="F652" s="54">
        <f>IFERROR(__xludf.DUMMYFUNCTION("""COMPUTED_VALUE"""),41666.0)</f>
        <v>41666</v>
      </c>
      <c r="G652" s="19">
        <f>IFERROR(__xludf.DUMMYFUNCTION("""COMPUTED_VALUE"""),0.2)</f>
        <v>0.2</v>
      </c>
      <c r="H652" s="17">
        <f>IFERROR(__xludf.DUMMYFUNCTION("""COMPUTED_VALUE"""),40512.0)</f>
        <v>40512</v>
      </c>
      <c r="I652" s="19">
        <f>IFERROR(__xludf.DUMMYFUNCTION("""COMPUTED_VALUE"""),3.1416666666666666)</f>
        <v>3.141666667</v>
      </c>
      <c r="J652" s="21">
        <f>IFERROR(__xludf.DUMMYFUNCTION("""COMPUTED_VALUE"""),62.0)</f>
        <v>62</v>
      </c>
      <c r="K652" s="23">
        <f>IFERROR(__xludf.DUMMYFUNCTION("""COMPUTED_VALUE"""),6.4)</f>
        <v>6.4</v>
      </c>
      <c r="L652" s="24"/>
      <c r="M652" s="25" t="str">
        <f>IFERROR(__xludf.DUMMYFUNCTION("""COMPUTED_VALUE"""),"Strategy")</f>
        <v>Strategy</v>
      </c>
      <c r="N652" s="25"/>
      <c r="O652" s="26" t="str">
        <f>IFERROR(__xludf.DUMMYFUNCTION("""COMPUTED_VALUE"""),"No")</f>
        <v>No</v>
      </c>
      <c r="P652" s="26"/>
    </row>
    <row r="653" hidden="1">
      <c r="A653" s="13" t="str">
        <f>IFERROR(__xludf.DUMMYFUNCTION("""COMPUTED_VALUE"""),"Brothers: A Tale of Two Sons")</f>
        <v>Brothers: A Tale of Two Sons</v>
      </c>
      <c r="B653" s="15" t="str">
        <f>IFERROR(__xludf.DUMMYFUNCTION("""COMPUTED_VALUE"""),"PS3")</f>
        <v>PS3</v>
      </c>
      <c r="C653" s="16" t="str">
        <f>IFERROR(__xludf.DUMMYFUNCTION("""COMPUTED_VALUE"""),"Playstation Plus (Discontinued)")</f>
        <v>Playstation Plus (Discontinued)</v>
      </c>
      <c r="D653" s="15" t="str">
        <f>IFERROR(__xludf.DUMMYFUNCTION("""COMPUTED_VALUE"""),"Removed")</f>
        <v>Removed</v>
      </c>
      <c r="E653" s="17">
        <f>IFERROR(__xludf.DUMMYFUNCTION("""COMPUTED_VALUE"""),41660.0)</f>
        <v>41660</v>
      </c>
      <c r="F653" s="54">
        <f>IFERROR(__xludf.DUMMYFUNCTION("""COMPUTED_VALUE"""),41666.0)</f>
        <v>41666</v>
      </c>
      <c r="G653" s="19">
        <f>IFERROR(__xludf.DUMMYFUNCTION("""COMPUTED_VALUE"""),0.2)</f>
        <v>0.2</v>
      </c>
      <c r="H653" s="17">
        <f>IFERROR(__xludf.DUMMYFUNCTION("""COMPUTED_VALUE"""),41493.0)</f>
        <v>41493</v>
      </c>
      <c r="I653" s="19">
        <f>IFERROR(__xludf.DUMMYFUNCTION("""COMPUTED_VALUE"""),0.45555555555555555)</f>
        <v>0.4555555556</v>
      </c>
      <c r="J653" s="21">
        <f>IFERROR(__xludf.DUMMYFUNCTION("""COMPUTED_VALUE"""),90.0)</f>
        <v>90</v>
      </c>
      <c r="K653" s="23">
        <f>IFERROR(__xludf.DUMMYFUNCTION("""COMPUTED_VALUE"""),8.5)</f>
        <v>8.5</v>
      </c>
      <c r="L653" s="24">
        <f>IFERROR(__xludf.DUMMYFUNCTION("""COMPUTED_VALUE"""),3.0)</f>
        <v>3</v>
      </c>
      <c r="M653" s="25" t="str">
        <f>IFERROR(__xludf.DUMMYFUNCTION("""COMPUTED_VALUE"""),"Adventure")</f>
        <v>Adventure</v>
      </c>
      <c r="N653" s="25"/>
      <c r="O653" s="26" t="str">
        <f>IFERROR(__xludf.DUMMYFUNCTION("""COMPUTED_VALUE"""),"No")</f>
        <v>No</v>
      </c>
      <c r="P653" s="26"/>
    </row>
    <row r="654" hidden="1">
      <c r="A654" s="13" t="str">
        <f>IFERROR(__xludf.DUMMYFUNCTION("""COMPUTED_VALUE"""),"BioShock Infinite")</f>
        <v>BioShock Infinite</v>
      </c>
      <c r="B654" s="15" t="str">
        <f>IFERROR(__xludf.DUMMYFUNCTION("""COMPUTED_VALUE"""),"PS3")</f>
        <v>PS3</v>
      </c>
      <c r="C654" s="16" t="str">
        <f>IFERROR(__xludf.DUMMYFUNCTION("""COMPUTED_VALUE"""),"Playstation Plus (Discontinued)")</f>
        <v>Playstation Plus (Discontinued)</v>
      </c>
      <c r="D654" s="15" t="str">
        <f>IFERROR(__xludf.DUMMYFUNCTION("""COMPUTED_VALUE"""),"Removed")</f>
        <v>Removed</v>
      </c>
      <c r="E654" s="17">
        <f>IFERROR(__xludf.DUMMYFUNCTION("""COMPUTED_VALUE"""),41653.0)</f>
        <v>41653</v>
      </c>
      <c r="F654" s="54">
        <f>IFERROR(__xludf.DUMMYFUNCTION("""COMPUTED_VALUE"""),41659.0)</f>
        <v>41659</v>
      </c>
      <c r="G654" s="19">
        <f>IFERROR(__xludf.DUMMYFUNCTION("""COMPUTED_VALUE"""),0.2)</f>
        <v>0.2</v>
      </c>
      <c r="H654" s="17">
        <f>IFERROR(__xludf.DUMMYFUNCTION("""COMPUTED_VALUE"""),41359.0)</f>
        <v>41359</v>
      </c>
      <c r="I654" s="19">
        <f>IFERROR(__xludf.DUMMYFUNCTION("""COMPUTED_VALUE"""),0.8)</f>
        <v>0.8</v>
      </c>
      <c r="J654" s="21">
        <f>IFERROR(__xludf.DUMMYFUNCTION("""COMPUTED_VALUE"""),94.0)</f>
        <v>94</v>
      </c>
      <c r="K654" s="23">
        <f>IFERROR(__xludf.DUMMYFUNCTION("""COMPUTED_VALUE"""),8.5)</f>
        <v>8.5</v>
      </c>
      <c r="L654" s="24">
        <f>IFERROR(__xludf.DUMMYFUNCTION("""COMPUTED_VALUE"""),11.0)</f>
        <v>11</v>
      </c>
      <c r="M654" s="25" t="str">
        <f>IFERROR(__xludf.DUMMYFUNCTION("""COMPUTED_VALUE"""),"Shooter")</f>
        <v>Shooter</v>
      </c>
      <c r="N654" s="25"/>
      <c r="O654" s="26" t="str">
        <f>IFERROR(__xludf.DUMMYFUNCTION("""COMPUTED_VALUE"""),"No")</f>
        <v>No</v>
      </c>
      <c r="P654" s="26"/>
    </row>
    <row r="655">
      <c r="A655" s="13" t="str">
        <f>IFERROR(__xludf.DUMMYFUNCTION("""COMPUTED_VALUE"""),"DmC: Devil May Cry")</f>
        <v>DmC: Devil May Cry</v>
      </c>
      <c r="B655" s="15" t="str">
        <f>IFERROR(__xludf.DUMMYFUNCTION("""COMPUTED_VALUE"""),"PS3")</f>
        <v>PS3</v>
      </c>
      <c r="C655" s="16" t="str">
        <f>IFERROR(__xludf.DUMMYFUNCTION("""COMPUTED_VALUE"""),"Playstation Plus (Discontinued)")</f>
        <v>Playstation Plus (Discontinued)</v>
      </c>
      <c r="D655" s="15" t="str">
        <f>IFERROR(__xludf.DUMMYFUNCTION("""COMPUTED_VALUE"""),"Removed")</f>
        <v>Removed</v>
      </c>
      <c r="E655" s="17">
        <f>IFERROR(__xludf.DUMMYFUNCTION("""COMPUTED_VALUE"""),41646.0)</f>
        <v>41646</v>
      </c>
      <c r="F655" s="54">
        <f>IFERROR(__xludf.DUMMYFUNCTION("""COMPUTED_VALUE"""),41652.0)</f>
        <v>41652</v>
      </c>
      <c r="G655" s="19">
        <f>IFERROR(__xludf.DUMMYFUNCTION("""COMPUTED_VALUE"""),0.2)</f>
        <v>0.2</v>
      </c>
      <c r="H655" s="17">
        <f>IFERROR(__xludf.DUMMYFUNCTION("""COMPUTED_VALUE"""),41289.0)</f>
        <v>41289</v>
      </c>
      <c r="I655" s="19">
        <f>IFERROR(__xludf.DUMMYFUNCTION("""COMPUTED_VALUE"""),0.9777777777777777)</f>
        <v>0.9777777778</v>
      </c>
      <c r="J655" s="21">
        <f>IFERROR(__xludf.DUMMYFUNCTION("""COMPUTED_VALUE"""),85.0)</f>
        <v>85</v>
      </c>
      <c r="K655" s="23">
        <f>IFERROR(__xludf.DUMMYFUNCTION("""COMPUTED_VALUE"""),8.1)</f>
        <v>8.1</v>
      </c>
      <c r="L655" s="24">
        <f>IFERROR(__xludf.DUMMYFUNCTION("""COMPUTED_VALUE"""),9.0)</f>
        <v>9</v>
      </c>
      <c r="M655" s="25" t="str">
        <f>IFERROR(__xludf.DUMMYFUNCTION("""COMPUTED_VALUE"""),"Action-Adventure")</f>
        <v>Action-Adventure</v>
      </c>
      <c r="N655" s="25"/>
      <c r="O655" s="26" t="str">
        <f>IFERROR(__xludf.DUMMYFUNCTION("""COMPUTED_VALUE"""),"No")</f>
        <v>No</v>
      </c>
      <c r="P655" s="26"/>
    </row>
    <row r="656">
      <c r="A656" s="13" t="str">
        <f>IFERROR(__xludf.DUMMYFUNCTION("""COMPUTED_VALUE"""),"Don’t Starve")</f>
        <v>Don’t Starve</v>
      </c>
      <c r="B656" s="15" t="str">
        <f>IFERROR(__xludf.DUMMYFUNCTION("""COMPUTED_VALUE"""),"PS4")</f>
        <v>PS4</v>
      </c>
      <c r="C656" s="16" t="str">
        <f>IFERROR(__xludf.DUMMYFUNCTION("""COMPUTED_VALUE"""),"Playstation Plus (Discontinued)")</f>
        <v>Playstation Plus (Discontinued)</v>
      </c>
      <c r="D656" s="15" t="str">
        <f>IFERROR(__xludf.DUMMYFUNCTION("""COMPUTED_VALUE"""),"Removed")</f>
        <v>Removed</v>
      </c>
      <c r="E656" s="17">
        <f>IFERROR(__xludf.DUMMYFUNCTION("""COMPUTED_VALUE"""),41646.0)</f>
        <v>41646</v>
      </c>
      <c r="F656" s="54">
        <f>IFERROR(__xludf.DUMMYFUNCTION("""COMPUTED_VALUE"""),41652.0)</f>
        <v>41652</v>
      </c>
      <c r="G656" s="19">
        <f>IFERROR(__xludf.DUMMYFUNCTION("""COMPUTED_VALUE"""),0.2)</f>
        <v>0.2</v>
      </c>
      <c r="H656" s="17">
        <f>IFERROR(__xludf.DUMMYFUNCTION("""COMPUTED_VALUE"""),41646.0)</f>
        <v>41646</v>
      </c>
      <c r="I656" s="19">
        <f>IFERROR(__xludf.DUMMYFUNCTION("""COMPUTED_VALUE"""),0.0)</f>
        <v>0</v>
      </c>
      <c r="J656" s="21">
        <f>IFERROR(__xludf.DUMMYFUNCTION("""COMPUTED_VALUE"""),79.0)</f>
        <v>79</v>
      </c>
      <c r="K656" s="23">
        <f>IFERROR(__xludf.DUMMYFUNCTION("""COMPUTED_VALUE"""),8.2)</f>
        <v>8.2</v>
      </c>
      <c r="L656" s="24">
        <f>IFERROR(__xludf.DUMMYFUNCTION("""COMPUTED_VALUE"""),16.0)</f>
        <v>16</v>
      </c>
      <c r="M656" s="25" t="str">
        <f>IFERROR(__xludf.DUMMYFUNCTION("""COMPUTED_VALUE"""),"Survival")</f>
        <v>Survival</v>
      </c>
      <c r="N656" s="25"/>
      <c r="O656" s="26" t="str">
        <f>IFERROR(__xludf.DUMMYFUNCTION("""COMPUTED_VALUE"""),"No")</f>
        <v>No</v>
      </c>
      <c r="P656" s="26"/>
    </row>
    <row r="657" hidden="1">
      <c r="A657" s="13" t="str">
        <f>IFERROR(__xludf.DUMMYFUNCTION("""COMPUTED_VALUE"""),"Urban Trial Freestyle")</f>
        <v>Urban Trial Freestyle</v>
      </c>
      <c r="B657" s="15" t="str">
        <f>IFERROR(__xludf.DUMMYFUNCTION("""COMPUTED_VALUE"""),"Vita")</f>
        <v>Vita</v>
      </c>
      <c r="C657" s="16" t="str">
        <f>IFERROR(__xludf.DUMMYFUNCTION("""COMPUTED_VALUE"""),"Playstation Plus (Discontinued)")</f>
        <v>Playstation Plus (Discontinued)</v>
      </c>
      <c r="D657" s="15" t="str">
        <f>IFERROR(__xludf.DUMMYFUNCTION("""COMPUTED_VALUE"""),"Removed")</f>
        <v>Removed</v>
      </c>
      <c r="E657" s="17">
        <f>IFERROR(__xludf.DUMMYFUNCTION("""COMPUTED_VALUE"""),41611.0)</f>
        <v>41611</v>
      </c>
      <c r="F657" s="54">
        <f>IFERROR(__xludf.DUMMYFUNCTION("""COMPUTED_VALUE"""),41645.0)</f>
        <v>41645</v>
      </c>
      <c r="G657" s="19">
        <f>IFERROR(__xludf.DUMMYFUNCTION("""COMPUTED_VALUE"""),1.0999999999999999)</f>
        <v>1.1</v>
      </c>
      <c r="H657" s="17">
        <f>IFERROR(__xludf.DUMMYFUNCTION("""COMPUTED_VALUE"""),41324.0)</f>
        <v>41324</v>
      </c>
      <c r="I657" s="19">
        <f>IFERROR(__xludf.DUMMYFUNCTION("""COMPUTED_VALUE"""),0.7888888888888889)</f>
        <v>0.7888888889</v>
      </c>
      <c r="J657" s="21">
        <f>IFERROR(__xludf.DUMMYFUNCTION("""COMPUTED_VALUE"""),60.0)</f>
        <v>60</v>
      </c>
      <c r="K657" s="23">
        <f>IFERROR(__xludf.DUMMYFUNCTION("""COMPUTED_VALUE"""),6.7)</f>
        <v>6.7</v>
      </c>
      <c r="L657" s="24">
        <f>IFERROR(__xludf.DUMMYFUNCTION("""COMPUTED_VALUE"""),4.0)</f>
        <v>4</v>
      </c>
      <c r="M657" s="25" t="str">
        <f>IFERROR(__xludf.DUMMYFUNCTION("""COMPUTED_VALUE"""),"Racing")</f>
        <v>Racing</v>
      </c>
      <c r="N657" s="25"/>
      <c r="O657" s="26" t="str">
        <f>IFERROR(__xludf.DUMMYFUNCTION("""COMPUTED_VALUE"""),"No")</f>
        <v>No</v>
      </c>
      <c r="P657" s="26"/>
    </row>
    <row r="658">
      <c r="A658" s="13" t="str">
        <f>IFERROR(__xludf.DUMMYFUNCTION("""COMPUTED_VALUE"""),"Sonic &amp; All-Stars Racing Transformed")</f>
        <v>Sonic &amp; All-Stars Racing Transformed</v>
      </c>
      <c r="B658" s="15" t="str">
        <f>IFERROR(__xludf.DUMMYFUNCTION("""COMPUTED_VALUE"""),"Vita")</f>
        <v>Vita</v>
      </c>
      <c r="C658" s="16" t="str">
        <f>IFERROR(__xludf.DUMMYFUNCTION("""COMPUTED_VALUE"""),"Playstation Plus (Discontinued)")</f>
        <v>Playstation Plus (Discontinued)</v>
      </c>
      <c r="D658" s="15" t="str">
        <f>IFERROR(__xludf.DUMMYFUNCTION("""COMPUTED_VALUE"""),"Removed")</f>
        <v>Removed</v>
      </c>
      <c r="E658" s="17">
        <f>IFERROR(__xludf.DUMMYFUNCTION("""COMPUTED_VALUE"""),41611.0)</f>
        <v>41611</v>
      </c>
      <c r="F658" s="54">
        <f>IFERROR(__xludf.DUMMYFUNCTION("""COMPUTED_VALUE"""),41645.0)</f>
        <v>41645</v>
      </c>
      <c r="G658" s="19">
        <f>IFERROR(__xludf.DUMMYFUNCTION("""COMPUTED_VALUE"""),1.0999999999999999)</f>
        <v>1.1</v>
      </c>
      <c r="H658" s="17">
        <f>IFERROR(__xludf.DUMMYFUNCTION("""COMPUTED_VALUE"""),41233.0)</f>
        <v>41233</v>
      </c>
      <c r="I658" s="19">
        <f>IFERROR(__xludf.DUMMYFUNCTION("""COMPUTED_VALUE"""),1.0361111111111112)</f>
        <v>1.036111111</v>
      </c>
      <c r="J658" s="21">
        <f>IFERROR(__xludf.DUMMYFUNCTION("""COMPUTED_VALUE"""),82.0)</f>
        <v>82</v>
      </c>
      <c r="K658" s="23">
        <f>IFERROR(__xludf.DUMMYFUNCTION("""COMPUTED_VALUE"""),8.1)</f>
        <v>8.1</v>
      </c>
      <c r="L658" s="24"/>
      <c r="M658" s="25" t="str">
        <f>IFERROR(__xludf.DUMMYFUNCTION("""COMPUTED_VALUE"""),"Racing")</f>
        <v>Racing</v>
      </c>
      <c r="N658" s="25"/>
      <c r="O658" s="26" t="str">
        <f>IFERROR(__xludf.DUMMYFUNCTION("""COMPUTED_VALUE"""),"No")</f>
        <v>No</v>
      </c>
      <c r="P658" s="26"/>
    </row>
    <row r="659" hidden="1">
      <c r="A659" s="13" t="str">
        <f>IFERROR(__xludf.DUMMYFUNCTION("""COMPUTED_VALUE"""),"Dyad")</f>
        <v>Dyad</v>
      </c>
      <c r="B659" s="15" t="str">
        <f>IFERROR(__xludf.DUMMYFUNCTION("""COMPUTED_VALUE"""),"PS3")</f>
        <v>PS3</v>
      </c>
      <c r="C659" s="16" t="str">
        <f>IFERROR(__xludf.DUMMYFUNCTION("""COMPUTED_VALUE"""),"Playstation Plus (Discontinued)")</f>
        <v>Playstation Plus (Discontinued)</v>
      </c>
      <c r="D659" s="15" t="str">
        <f>IFERROR(__xludf.DUMMYFUNCTION("""COMPUTED_VALUE"""),"Removed")</f>
        <v>Removed</v>
      </c>
      <c r="E659" s="17">
        <f>IFERROR(__xludf.DUMMYFUNCTION("""COMPUTED_VALUE"""),41611.0)</f>
        <v>41611</v>
      </c>
      <c r="F659" s="54">
        <f>IFERROR(__xludf.DUMMYFUNCTION("""COMPUTED_VALUE"""),41645.0)</f>
        <v>41645</v>
      </c>
      <c r="G659" s="19">
        <f>IFERROR(__xludf.DUMMYFUNCTION("""COMPUTED_VALUE"""),1.0999999999999999)</f>
        <v>1.1</v>
      </c>
      <c r="H659" s="17">
        <f>IFERROR(__xludf.DUMMYFUNCTION("""COMPUTED_VALUE"""),41107.0)</f>
        <v>41107</v>
      </c>
      <c r="I659" s="19">
        <f>IFERROR(__xludf.DUMMYFUNCTION("""COMPUTED_VALUE"""),1.3777777777777778)</f>
        <v>1.377777778</v>
      </c>
      <c r="J659" s="21">
        <f>IFERROR(__xludf.DUMMYFUNCTION("""COMPUTED_VALUE"""),79.0)</f>
        <v>79</v>
      </c>
      <c r="K659" s="23">
        <f>IFERROR(__xludf.DUMMYFUNCTION("""COMPUTED_VALUE"""),7.5)</f>
        <v>7.5</v>
      </c>
      <c r="L659" s="24">
        <f>IFERROR(__xludf.DUMMYFUNCTION("""COMPUTED_VALUE"""),3.0)</f>
        <v>3</v>
      </c>
      <c r="M659" s="25" t="str">
        <f>IFERROR(__xludf.DUMMYFUNCTION("""COMPUTED_VALUE"""),"Racing")</f>
        <v>Racing</v>
      </c>
      <c r="N659" s="25"/>
      <c r="O659" s="26" t="str">
        <f>IFERROR(__xludf.DUMMYFUNCTION("""COMPUTED_VALUE"""),"No")</f>
        <v>No</v>
      </c>
      <c r="P659" s="26"/>
    </row>
    <row r="660">
      <c r="A660" s="13" t="str">
        <f>IFERROR(__xludf.DUMMYFUNCTION("""COMPUTED_VALUE"""),"GRID 2")</f>
        <v>GRID 2</v>
      </c>
      <c r="B660" s="15" t="str">
        <f>IFERROR(__xludf.DUMMYFUNCTION("""COMPUTED_VALUE"""),"PS3")</f>
        <v>PS3</v>
      </c>
      <c r="C660" s="16" t="str">
        <f>IFERROR(__xludf.DUMMYFUNCTION("""COMPUTED_VALUE"""),"Playstation Plus (Discontinued)")</f>
        <v>Playstation Plus (Discontinued)</v>
      </c>
      <c r="D660" s="15" t="str">
        <f>IFERROR(__xludf.DUMMYFUNCTION("""COMPUTED_VALUE"""),"Removed")</f>
        <v>Removed</v>
      </c>
      <c r="E660" s="17">
        <f>IFERROR(__xludf.DUMMYFUNCTION("""COMPUTED_VALUE"""),41611.0)</f>
        <v>41611</v>
      </c>
      <c r="F660" s="54">
        <f>IFERROR(__xludf.DUMMYFUNCTION("""COMPUTED_VALUE"""),41645.0)</f>
        <v>41645</v>
      </c>
      <c r="G660" s="19">
        <f>IFERROR(__xludf.DUMMYFUNCTION("""COMPUTED_VALUE"""),1.0999999999999999)</f>
        <v>1.1</v>
      </c>
      <c r="H660" s="17">
        <f>IFERROR(__xludf.DUMMYFUNCTION("""COMPUTED_VALUE"""),41422.0)</f>
        <v>41422</v>
      </c>
      <c r="I660" s="19">
        <f>IFERROR(__xludf.DUMMYFUNCTION("""COMPUTED_VALUE"""),0.5138888888888888)</f>
        <v>0.5138888889</v>
      </c>
      <c r="J660" s="21">
        <f>IFERROR(__xludf.DUMMYFUNCTION("""COMPUTED_VALUE"""),80.0)</f>
        <v>80</v>
      </c>
      <c r="K660" s="23">
        <f>IFERROR(__xludf.DUMMYFUNCTION("""COMPUTED_VALUE"""),7.4)</f>
        <v>7.4</v>
      </c>
      <c r="L660" s="24"/>
      <c r="M660" s="25" t="str">
        <f>IFERROR(__xludf.DUMMYFUNCTION("""COMPUTED_VALUE"""),"Racing")</f>
        <v>Racing</v>
      </c>
      <c r="N660" s="25"/>
      <c r="O660" s="26" t="str">
        <f>IFERROR(__xludf.DUMMYFUNCTION("""COMPUTED_VALUE"""),"No")</f>
        <v>No</v>
      </c>
      <c r="P660" s="26"/>
    </row>
    <row r="661">
      <c r="A661" s="13" t="str">
        <f>IFERROR(__xludf.DUMMYFUNCTION("""COMPUTED_VALUE"""),"Borderlands 2")</f>
        <v>Borderlands 2</v>
      </c>
      <c r="B661" s="15" t="str">
        <f>IFERROR(__xludf.DUMMYFUNCTION("""COMPUTED_VALUE"""),"PS3")</f>
        <v>PS3</v>
      </c>
      <c r="C661" s="16" t="str">
        <f>IFERROR(__xludf.DUMMYFUNCTION("""COMPUTED_VALUE"""),"Playstation Plus (Discontinued)")</f>
        <v>Playstation Plus (Discontinued)</v>
      </c>
      <c r="D661" s="15" t="str">
        <f>IFERROR(__xludf.DUMMYFUNCTION("""COMPUTED_VALUE"""),"Removed")</f>
        <v>Removed</v>
      </c>
      <c r="E661" s="17">
        <f>IFERROR(__xludf.DUMMYFUNCTION("""COMPUTED_VALUE"""),41611.0)</f>
        <v>41611</v>
      </c>
      <c r="F661" s="54">
        <f>IFERROR(__xludf.DUMMYFUNCTION("""COMPUTED_VALUE"""),41645.0)</f>
        <v>41645</v>
      </c>
      <c r="G661" s="19">
        <f>IFERROR(__xludf.DUMMYFUNCTION("""COMPUTED_VALUE"""),1.0999999999999999)</f>
        <v>1.1</v>
      </c>
      <c r="H661" s="17">
        <f>IFERROR(__xludf.DUMMYFUNCTION("""COMPUTED_VALUE"""),41170.0)</f>
        <v>41170</v>
      </c>
      <c r="I661" s="19">
        <f>IFERROR(__xludf.DUMMYFUNCTION("""COMPUTED_VALUE"""),1.2083333333333333)</f>
        <v>1.208333333</v>
      </c>
      <c r="J661" s="21">
        <f>IFERROR(__xludf.DUMMYFUNCTION("""COMPUTED_VALUE"""),89.0)</f>
        <v>89</v>
      </c>
      <c r="K661" s="23">
        <f>IFERROR(__xludf.DUMMYFUNCTION("""COMPUTED_VALUE"""),8.3)</f>
        <v>8.3</v>
      </c>
      <c r="L661" s="24">
        <f>IFERROR(__xludf.DUMMYFUNCTION("""COMPUTED_VALUE"""),22.0)</f>
        <v>22</v>
      </c>
      <c r="M661" s="25" t="str">
        <f>IFERROR(__xludf.DUMMYFUNCTION("""COMPUTED_VALUE"""),"Shooter")</f>
        <v>Shooter</v>
      </c>
      <c r="N661" s="25"/>
      <c r="O661" s="26" t="str">
        <f>IFERROR(__xludf.DUMMYFUNCTION("""COMPUTED_VALUE"""),"No")</f>
        <v>No</v>
      </c>
      <c r="P661" s="26"/>
    </row>
    <row r="662">
      <c r="A662" s="13" t="str">
        <f>IFERROR(__xludf.DUMMYFUNCTION("""COMPUTED_VALUE"""),"Resogun")</f>
        <v>Resogun</v>
      </c>
      <c r="B662" s="15" t="str">
        <f>IFERROR(__xludf.DUMMYFUNCTION("""COMPUTED_VALUE"""),"PS4")</f>
        <v>PS4</v>
      </c>
      <c r="C662" s="16" t="str">
        <f>IFERROR(__xludf.DUMMYFUNCTION("""COMPUTED_VALUE"""),"Playstation Plus (Discontinued)")</f>
        <v>Playstation Plus (Discontinued)</v>
      </c>
      <c r="D662" s="15" t="str">
        <f>IFERROR(__xludf.DUMMYFUNCTION("""COMPUTED_VALUE"""),"Removed")</f>
        <v>Removed</v>
      </c>
      <c r="E662" s="17">
        <f>IFERROR(__xludf.DUMMYFUNCTION("""COMPUTED_VALUE"""),41593.0)</f>
        <v>41593</v>
      </c>
      <c r="F662" s="54">
        <f>IFERROR(__xludf.DUMMYFUNCTION("""COMPUTED_VALUE"""),41610.0)</f>
        <v>41610</v>
      </c>
      <c r="G662" s="19">
        <f>IFERROR(__xludf.DUMMYFUNCTION("""COMPUTED_VALUE"""),0.5666666666666667)</f>
        <v>0.5666666667</v>
      </c>
      <c r="H662" s="17">
        <f>IFERROR(__xludf.DUMMYFUNCTION("""COMPUTED_VALUE"""),41593.0)</f>
        <v>41593</v>
      </c>
      <c r="I662" s="19">
        <f>IFERROR(__xludf.DUMMYFUNCTION("""COMPUTED_VALUE"""),0.0)</f>
        <v>0</v>
      </c>
      <c r="J662" s="21">
        <f>IFERROR(__xludf.DUMMYFUNCTION("""COMPUTED_VALUE"""),84.0)</f>
        <v>84</v>
      </c>
      <c r="K662" s="23">
        <f>IFERROR(__xludf.DUMMYFUNCTION("""COMPUTED_VALUE"""),8.1)</f>
        <v>8.1</v>
      </c>
      <c r="L662" s="24">
        <f>IFERROR(__xludf.DUMMYFUNCTION("""COMPUTED_VALUE"""),4.0)</f>
        <v>4</v>
      </c>
      <c r="M662" s="25" t="str">
        <f>IFERROR(__xludf.DUMMYFUNCTION("""COMPUTED_VALUE"""),"Shooter")</f>
        <v>Shooter</v>
      </c>
      <c r="N662" s="25"/>
      <c r="O662" s="26" t="str">
        <f>IFERROR(__xludf.DUMMYFUNCTION("""COMPUTED_VALUE"""),"No")</f>
        <v>No</v>
      </c>
      <c r="P662" s="26"/>
    </row>
    <row r="663">
      <c r="A663" s="13" t="str">
        <f>IFERROR(__xludf.DUMMYFUNCTION("""COMPUTED_VALUE"""),"Contrast")</f>
        <v>Contrast</v>
      </c>
      <c r="B663" s="15" t="str">
        <f>IFERROR(__xludf.DUMMYFUNCTION("""COMPUTED_VALUE"""),"PS4")</f>
        <v>PS4</v>
      </c>
      <c r="C663" s="16" t="str">
        <f>IFERROR(__xludf.DUMMYFUNCTION("""COMPUTED_VALUE"""),"Playstation Plus (Discontinued)")</f>
        <v>Playstation Plus (Discontinued)</v>
      </c>
      <c r="D663" s="15" t="str">
        <f>IFERROR(__xludf.DUMMYFUNCTION("""COMPUTED_VALUE"""),"Removed")</f>
        <v>Removed</v>
      </c>
      <c r="E663" s="17">
        <f>IFERROR(__xludf.DUMMYFUNCTION("""COMPUTED_VALUE"""),41593.0)</f>
        <v>41593</v>
      </c>
      <c r="F663" s="54">
        <f>IFERROR(__xludf.DUMMYFUNCTION("""COMPUTED_VALUE"""),41610.0)</f>
        <v>41610</v>
      </c>
      <c r="G663" s="19">
        <f>IFERROR(__xludf.DUMMYFUNCTION("""COMPUTED_VALUE"""),0.5666666666666667)</f>
        <v>0.5666666667</v>
      </c>
      <c r="H663" s="17">
        <f>IFERROR(__xludf.DUMMYFUNCTION("""COMPUTED_VALUE"""),41593.0)</f>
        <v>41593</v>
      </c>
      <c r="I663" s="19">
        <f>IFERROR(__xludf.DUMMYFUNCTION("""COMPUTED_VALUE"""),0.0)</f>
        <v>0</v>
      </c>
      <c r="J663" s="21">
        <f>IFERROR(__xludf.DUMMYFUNCTION("""COMPUTED_VALUE"""),62.0)</f>
        <v>62</v>
      </c>
      <c r="K663" s="23">
        <f>IFERROR(__xludf.DUMMYFUNCTION("""COMPUTED_VALUE"""),6.9)</f>
        <v>6.9</v>
      </c>
      <c r="L663" s="24">
        <f>IFERROR(__xludf.DUMMYFUNCTION("""COMPUTED_VALUE"""),3.0)</f>
        <v>3</v>
      </c>
      <c r="M663" s="25" t="str">
        <f>IFERROR(__xludf.DUMMYFUNCTION("""COMPUTED_VALUE"""),"Platformer")</f>
        <v>Platformer</v>
      </c>
      <c r="N663" s="25"/>
      <c r="O663" s="26" t="str">
        <f>IFERROR(__xludf.DUMMYFUNCTION("""COMPUTED_VALUE"""),"No")</f>
        <v>No</v>
      </c>
      <c r="P663" s="26"/>
    </row>
    <row r="664" hidden="1">
      <c r="A664" s="13" t="str">
        <f>IFERROR(__xludf.DUMMYFUNCTION("""COMPUTED_VALUE"""),"Soul Sacrifice")</f>
        <v>Soul Sacrifice</v>
      </c>
      <c r="B664" s="15" t="str">
        <f>IFERROR(__xludf.DUMMYFUNCTION("""COMPUTED_VALUE"""),"Vita")</f>
        <v>Vita</v>
      </c>
      <c r="C664" s="16" t="str">
        <f>IFERROR(__xludf.DUMMYFUNCTION("""COMPUTED_VALUE"""),"Playstation Plus (Discontinued)")</f>
        <v>Playstation Plus (Discontinued)</v>
      </c>
      <c r="D664" s="15" t="str">
        <f>IFERROR(__xludf.DUMMYFUNCTION("""COMPUTED_VALUE"""),"Removed")</f>
        <v>Removed</v>
      </c>
      <c r="E664" s="17">
        <f>IFERROR(__xludf.DUMMYFUNCTION("""COMPUTED_VALUE"""),41583.0)</f>
        <v>41583</v>
      </c>
      <c r="F664" s="54">
        <f>IFERROR(__xludf.DUMMYFUNCTION("""COMPUTED_VALUE"""),41610.0)</f>
        <v>41610</v>
      </c>
      <c r="G664" s="19">
        <f>IFERROR(__xludf.DUMMYFUNCTION("""COMPUTED_VALUE"""),0.8999999999999999)</f>
        <v>0.9</v>
      </c>
      <c r="H664" s="17">
        <f>IFERROR(__xludf.DUMMYFUNCTION("""COMPUTED_VALUE"""),41394.0)</f>
        <v>41394</v>
      </c>
      <c r="I664" s="19">
        <f>IFERROR(__xludf.DUMMYFUNCTION("""COMPUTED_VALUE"""),0.5138888888888888)</f>
        <v>0.5138888889</v>
      </c>
      <c r="J664" s="21">
        <f>IFERROR(__xludf.DUMMYFUNCTION("""COMPUTED_VALUE"""),76.0)</f>
        <v>76</v>
      </c>
      <c r="K664" s="23">
        <f>IFERROR(__xludf.DUMMYFUNCTION("""COMPUTED_VALUE"""),7.8)</f>
        <v>7.8</v>
      </c>
      <c r="L664" s="24">
        <f>IFERROR(__xludf.DUMMYFUNCTION("""COMPUTED_VALUE"""),21.0)</f>
        <v>21</v>
      </c>
      <c r="M664" s="25" t="str">
        <f>IFERROR(__xludf.DUMMYFUNCTION("""COMPUTED_VALUE"""),"RPG")</f>
        <v>RPG</v>
      </c>
      <c r="N664" s="25"/>
      <c r="O664" s="26" t="str">
        <f>IFERROR(__xludf.DUMMYFUNCTION("""COMPUTED_VALUE"""),"No")</f>
        <v>No</v>
      </c>
      <c r="P664" s="26"/>
    </row>
    <row r="665">
      <c r="A665" s="13" t="str">
        <f>IFERROR(__xludf.DUMMYFUNCTION("""COMPUTED_VALUE"""),"Oddworld: Stranger's Wrath")</f>
        <v>Oddworld: Stranger's Wrath</v>
      </c>
      <c r="B665" s="15" t="str">
        <f>IFERROR(__xludf.DUMMYFUNCTION("""COMPUTED_VALUE"""),"Vita")</f>
        <v>Vita</v>
      </c>
      <c r="C665" s="16" t="str">
        <f>IFERROR(__xludf.DUMMYFUNCTION("""COMPUTED_VALUE"""),"Playstation Plus (Discontinued)")</f>
        <v>Playstation Plus (Discontinued)</v>
      </c>
      <c r="D665" s="15" t="str">
        <f>IFERROR(__xludf.DUMMYFUNCTION("""COMPUTED_VALUE"""),"Removed")</f>
        <v>Removed</v>
      </c>
      <c r="E665" s="17">
        <f>IFERROR(__xludf.DUMMYFUNCTION("""COMPUTED_VALUE"""),41583.0)</f>
        <v>41583</v>
      </c>
      <c r="F665" s="54">
        <f>IFERROR(__xludf.DUMMYFUNCTION("""COMPUTED_VALUE"""),41610.0)</f>
        <v>41610</v>
      </c>
      <c r="G665" s="19">
        <f>IFERROR(__xludf.DUMMYFUNCTION("""COMPUTED_VALUE"""),0.8999999999999999)</f>
        <v>0.9</v>
      </c>
      <c r="H665" s="17">
        <f>IFERROR(__xludf.DUMMYFUNCTION("""COMPUTED_VALUE"""),38713.0)</f>
        <v>38713</v>
      </c>
      <c r="I665" s="19">
        <f>IFERROR(__xludf.DUMMYFUNCTION("""COMPUTED_VALUE"""),7.855555555555555)</f>
        <v>7.855555556</v>
      </c>
      <c r="J665" s="21">
        <f>IFERROR(__xludf.DUMMYFUNCTION("""COMPUTED_VALUE"""),88.0)</f>
        <v>88</v>
      </c>
      <c r="K665" s="23">
        <f>IFERROR(__xludf.DUMMYFUNCTION("""COMPUTED_VALUE"""),8.6)</f>
        <v>8.6</v>
      </c>
      <c r="L665" s="24">
        <f>IFERROR(__xludf.DUMMYFUNCTION("""COMPUTED_VALUE"""),11.0)</f>
        <v>11</v>
      </c>
      <c r="M665" s="25" t="str">
        <f>IFERROR(__xludf.DUMMYFUNCTION("""COMPUTED_VALUE"""),"Shooter")</f>
        <v>Shooter</v>
      </c>
      <c r="N665" s="25"/>
      <c r="O665" s="26" t="str">
        <f>IFERROR(__xludf.DUMMYFUNCTION("""COMPUTED_VALUE"""),"No")</f>
        <v>No</v>
      </c>
      <c r="P665" s="26"/>
    </row>
    <row r="666">
      <c r="A666" s="13" t="str">
        <f>IFERROR(__xludf.DUMMYFUNCTION("""COMPUTED_VALUE"""),"Binary Domain")</f>
        <v>Binary Domain</v>
      </c>
      <c r="B666" s="15" t="str">
        <f>IFERROR(__xludf.DUMMYFUNCTION("""COMPUTED_VALUE"""),"PS3")</f>
        <v>PS3</v>
      </c>
      <c r="C666" s="16" t="str">
        <f>IFERROR(__xludf.DUMMYFUNCTION("""COMPUTED_VALUE"""),"Playstation Plus (Discontinued)")</f>
        <v>Playstation Plus (Discontinued)</v>
      </c>
      <c r="D666" s="15" t="str">
        <f>IFERROR(__xludf.DUMMYFUNCTION("""COMPUTED_VALUE"""),"Removed")</f>
        <v>Removed</v>
      </c>
      <c r="E666" s="17">
        <f>IFERROR(__xludf.DUMMYFUNCTION("""COMPUTED_VALUE"""),41583.0)</f>
        <v>41583</v>
      </c>
      <c r="F666" s="54">
        <f>IFERROR(__xludf.DUMMYFUNCTION("""COMPUTED_VALUE"""),41610.0)</f>
        <v>41610</v>
      </c>
      <c r="G666" s="19">
        <f>IFERROR(__xludf.DUMMYFUNCTION("""COMPUTED_VALUE"""),0.8999999999999999)</f>
        <v>0.9</v>
      </c>
      <c r="H666" s="17">
        <f>IFERROR(__xludf.DUMMYFUNCTION("""COMPUTED_VALUE"""),40967.0)</f>
        <v>40967</v>
      </c>
      <c r="I666" s="19">
        <f>IFERROR(__xludf.DUMMYFUNCTION("""COMPUTED_VALUE"""),1.6861111111111111)</f>
        <v>1.686111111</v>
      </c>
      <c r="J666" s="21">
        <f>IFERROR(__xludf.DUMMYFUNCTION("""COMPUTED_VALUE"""),74.0)</f>
        <v>74</v>
      </c>
      <c r="K666" s="23">
        <f>IFERROR(__xludf.DUMMYFUNCTION("""COMPUTED_VALUE"""),7.5)</f>
        <v>7.5</v>
      </c>
      <c r="L666" s="24">
        <f>IFERROR(__xludf.DUMMYFUNCTION("""COMPUTED_VALUE"""),10.0)</f>
        <v>10</v>
      </c>
      <c r="M666" s="25" t="str">
        <f>IFERROR(__xludf.DUMMYFUNCTION("""COMPUTED_VALUE"""),"Shooter")</f>
        <v>Shooter</v>
      </c>
      <c r="N666" s="25"/>
      <c r="O666" s="26" t="str">
        <f>IFERROR(__xludf.DUMMYFUNCTION("""COMPUTED_VALUE"""),"No")</f>
        <v>No</v>
      </c>
      <c r="P666" s="26"/>
    </row>
    <row r="667" hidden="1">
      <c r="A667" s="13" t="str">
        <f>IFERROR(__xludf.DUMMYFUNCTION("""COMPUTED_VALUE"""),"Dragon’s Dogma: Dark Arisen")</f>
        <v>Dragon’s Dogma: Dark Arisen</v>
      </c>
      <c r="B667" s="15" t="str">
        <f>IFERROR(__xludf.DUMMYFUNCTION("""COMPUTED_VALUE"""),"PS3")</f>
        <v>PS3</v>
      </c>
      <c r="C667" s="16" t="str">
        <f>IFERROR(__xludf.DUMMYFUNCTION("""COMPUTED_VALUE"""),"Playstation Plus (Discontinued)")</f>
        <v>Playstation Plus (Discontinued)</v>
      </c>
      <c r="D667" s="15" t="str">
        <f>IFERROR(__xludf.DUMMYFUNCTION("""COMPUTED_VALUE"""),"Removed")</f>
        <v>Removed</v>
      </c>
      <c r="E667" s="17">
        <f>IFERROR(__xludf.DUMMYFUNCTION("""COMPUTED_VALUE"""),41583.0)</f>
        <v>41583</v>
      </c>
      <c r="F667" s="54">
        <f>IFERROR(__xludf.DUMMYFUNCTION("""COMPUTED_VALUE"""),41610.0)</f>
        <v>41610</v>
      </c>
      <c r="G667" s="19">
        <f>IFERROR(__xludf.DUMMYFUNCTION("""COMPUTED_VALUE"""),0.8999999999999999)</f>
        <v>0.9</v>
      </c>
      <c r="H667" s="17">
        <f>IFERROR(__xludf.DUMMYFUNCTION("""COMPUTED_VALUE"""),41387.0)</f>
        <v>41387</v>
      </c>
      <c r="I667" s="19">
        <f>IFERROR(__xludf.DUMMYFUNCTION("""COMPUTED_VALUE"""),0.5333333333333333)</f>
        <v>0.5333333333</v>
      </c>
      <c r="J667" s="21">
        <f>IFERROR(__xludf.DUMMYFUNCTION("""COMPUTED_VALUE"""),78.0)</f>
        <v>78</v>
      </c>
      <c r="K667" s="23">
        <f>IFERROR(__xludf.DUMMYFUNCTION("""COMPUTED_VALUE"""),8.2)</f>
        <v>8.2</v>
      </c>
      <c r="L667" s="24">
        <f>IFERROR(__xludf.DUMMYFUNCTION("""COMPUTED_VALUE"""),35.0)</f>
        <v>35</v>
      </c>
      <c r="M667" s="25" t="str">
        <f>IFERROR(__xludf.DUMMYFUNCTION("""COMPUTED_VALUE"""),"RPG")</f>
        <v>RPG</v>
      </c>
      <c r="N667" s="25"/>
      <c r="O667" s="26" t="str">
        <f>IFERROR(__xludf.DUMMYFUNCTION("""COMPUTED_VALUE"""),"No")</f>
        <v>No</v>
      </c>
      <c r="P667" s="26"/>
    </row>
    <row r="668" hidden="1">
      <c r="A668" s="13" t="str">
        <f>IFERROR(__xludf.DUMMYFUNCTION("""COMPUTED_VALUE"""),"Ibb &amp; obb")</f>
        <v>Ibb &amp; obb</v>
      </c>
      <c r="B668" s="15" t="str">
        <f>IFERROR(__xludf.DUMMYFUNCTION("""COMPUTED_VALUE"""),"PS3")</f>
        <v>PS3</v>
      </c>
      <c r="C668" s="16" t="str">
        <f>IFERROR(__xludf.DUMMYFUNCTION("""COMPUTED_VALUE"""),"Playstation Plus (Discontinued)")</f>
        <v>Playstation Plus (Discontinued)</v>
      </c>
      <c r="D668" s="15" t="str">
        <f>IFERROR(__xludf.DUMMYFUNCTION("""COMPUTED_VALUE"""),"Removed")</f>
        <v>Removed</v>
      </c>
      <c r="E668" s="17">
        <f>IFERROR(__xludf.DUMMYFUNCTION("""COMPUTED_VALUE"""),41583.0)</f>
        <v>41583</v>
      </c>
      <c r="F668" s="54">
        <f>IFERROR(__xludf.DUMMYFUNCTION("""COMPUTED_VALUE"""),41610.0)</f>
        <v>41610</v>
      </c>
      <c r="G668" s="19">
        <f>IFERROR(__xludf.DUMMYFUNCTION("""COMPUTED_VALUE"""),0.8999999999999999)</f>
        <v>0.9</v>
      </c>
      <c r="H668" s="17">
        <f>IFERROR(__xludf.DUMMYFUNCTION("""COMPUTED_VALUE"""),41492.0)</f>
        <v>41492</v>
      </c>
      <c r="I668" s="19">
        <f>IFERROR(__xludf.DUMMYFUNCTION("""COMPUTED_VALUE"""),0.24722222222222223)</f>
        <v>0.2472222222</v>
      </c>
      <c r="J668" s="21">
        <f>IFERROR(__xludf.DUMMYFUNCTION("""COMPUTED_VALUE"""),77.0)</f>
        <v>77</v>
      </c>
      <c r="K668" s="23">
        <f>IFERROR(__xludf.DUMMYFUNCTION("""COMPUTED_VALUE"""),7.4)</f>
        <v>7.4</v>
      </c>
      <c r="L668" s="24">
        <f>IFERROR(__xludf.DUMMYFUNCTION("""COMPUTED_VALUE"""),3.0)</f>
        <v>3</v>
      </c>
      <c r="M668" s="25" t="str">
        <f>IFERROR(__xludf.DUMMYFUNCTION("""COMPUTED_VALUE"""),"Puzzle")</f>
        <v>Puzzle</v>
      </c>
      <c r="N668" s="25"/>
      <c r="O668" s="26" t="str">
        <f>IFERROR(__xludf.DUMMYFUNCTION("""COMPUTED_VALUE"""),"No")</f>
        <v>No</v>
      </c>
      <c r="P668" s="26"/>
    </row>
    <row r="669" hidden="1">
      <c r="A669" s="13" t="str">
        <f>IFERROR(__xludf.DUMMYFUNCTION("""COMPUTED_VALUE"""),"Sine Mora")</f>
        <v>Sine Mora</v>
      </c>
      <c r="B669" s="15" t="str">
        <f>IFERROR(__xludf.DUMMYFUNCTION("""COMPUTED_VALUE"""),"Vita")</f>
        <v>Vita</v>
      </c>
      <c r="C669" s="16" t="str">
        <f>IFERROR(__xludf.DUMMYFUNCTION("""COMPUTED_VALUE"""),"Playstation Plus (Discontinued)")</f>
        <v>Playstation Plus (Discontinued)</v>
      </c>
      <c r="D669" s="15" t="str">
        <f>IFERROR(__xludf.DUMMYFUNCTION("""COMPUTED_VALUE"""),"Removed")</f>
        <v>Removed</v>
      </c>
      <c r="E669" s="17">
        <f>IFERROR(__xludf.DUMMYFUNCTION("""COMPUTED_VALUE"""),41548.0)</f>
        <v>41548</v>
      </c>
      <c r="F669" s="54">
        <f>IFERROR(__xludf.DUMMYFUNCTION("""COMPUTED_VALUE"""),41582.0)</f>
        <v>41582</v>
      </c>
      <c r="G669" s="19">
        <f>IFERROR(__xludf.DUMMYFUNCTION("""COMPUTED_VALUE"""),1.0999999999999999)</f>
        <v>1.1</v>
      </c>
      <c r="H669" s="17">
        <f>IFERROR(__xludf.DUMMYFUNCTION("""COMPUTED_VALUE"""),41177.0)</f>
        <v>41177</v>
      </c>
      <c r="I669" s="19">
        <f>IFERROR(__xludf.DUMMYFUNCTION("""COMPUTED_VALUE"""),1.0166666666666666)</f>
        <v>1.016666667</v>
      </c>
      <c r="J669" s="21">
        <f>IFERROR(__xludf.DUMMYFUNCTION("""COMPUTED_VALUE"""),77.0)</f>
        <v>77</v>
      </c>
      <c r="K669" s="23">
        <f>IFERROR(__xludf.DUMMYFUNCTION("""COMPUTED_VALUE"""),7.8)</f>
        <v>7.8</v>
      </c>
      <c r="L669" s="24">
        <f>IFERROR(__xludf.DUMMYFUNCTION("""COMPUTED_VALUE"""),4.0)</f>
        <v>4</v>
      </c>
      <c r="M669" s="25" t="str">
        <f>IFERROR(__xludf.DUMMYFUNCTION("""COMPUTED_VALUE"""),"Shooter")</f>
        <v>Shooter</v>
      </c>
      <c r="N669" s="25"/>
      <c r="O669" s="26" t="str">
        <f>IFERROR(__xludf.DUMMYFUNCTION("""COMPUTED_VALUE"""),"No")</f>
        <v>No</v>
      </c>
      <c r="P669" s="26"/>
    </row>
    <row r="670" hidden="1">
      <c r="A670" s="13" t="str">
        <f>IFERROR(__xludf.DUMMYFUNCTION("""COMPUTED_VALUE"""),"Hotline Miami")</f>
        <v>Hotline Miami</v>
      </c>
      <c r="B670" s="15" t="str">
        <f>IFERROR(__xludf.DUMMYFUNCTION("""COMPUTED_VALUE"""),"PS3/Vita")</f>
        <v>PS3/Vita</v>
      </c>
      <c r="C670" s="16" t="str">
        <f>IFERROR(__xludf.DUMMYFUNCTION("""COMPUTED_VALUE"""),"Playstation Plus (Discontinued)")</f>
        <v>Playstation Plus (Discontinued)</v>
      </c>
      <c r="D670" s="15" t="str">
        <f>IFERROR(__xludf.DUMMYFUNCTION("""COMPUTED_VALUE"""),"Removed")</f>
        <v>Removed</v>
      </c>
      <c r="E670" s="17">
        <f>IFERROR(__xludf.DUMMYFUNCTION("""COMPUTED_VALUE"""),41548.0)</f>
        <v>41548</v>
      </c>
      <c r="F670" s="54">
        <f>IFERROR(__xludf.DUMMYFUNCTION("""COMPUTED_VALUE"""),41582.0)</f>
        <v>41582</v>
      </c>
      <c r="G670" s="19">
        <f>IFERROR(__xludf.DUMMYFUNCTION("""COMPUTED_VALUE"""),1.0999999999999999)</f>
        <v>1.1</v>
      </c>
      <c r="H670" s="17">
        <f>IFERROR(__xludf.DUMMYFUNCTION("""COMPUTED_VALUE"""),41205.0)</f>
        <v>41205</v>
      </c>
      <c r="I670" s="19">
        <f>IFERROR(__xludf.DUMMYFUNCTION("""COMPUTED_VALUE"""),0.9388888888888889)</f>
        <v>0.9388888889</v>
      </c>
      <c r="J670" s="21">
        <f>IFERROR(__xludf.DUMMYFUNCTION("""COMPUTED_VALUE"""),85.0)</f>
        <v>85</v>
      </c>
      <c r="K670" s="23">
        <f>IFERROR(__xludf.DUMMYFUNCTION("""COMPUTED_VALUE"""),8.4)</f>
        <v>8.4</v>
      </c>
      <c r="L670" s="24">
        <f>IFERROR(__xludf.DUMMYFUNCTION("""COMPUTED_VALUE"""),4.0)</f>
        <v>4</v>
      </c>
      <c r="M670" s="25" t="str">
        <f>IFERROR(__xludf.DUMMYFUNCTION("""COMPUTED_VALUE"""),"Action-Adventure")</f>
        <v>Action-Adventure</v>
      </c>
      <c r="N670" s="25"/>
      <c r="O670" s="26" t="str">
        <f>IFERROR(__xludf.DUMMYFUNCTION("""COMPUTED_VALUE"""),"No")</f>
        <v>No</v>
      </c>
      <c r="P670" s="26"/>
    </row>
    <row r="671">
      <c r="A671" s="13" t="str">
        <f>IFERROR(__xludf.DUMMYFUNCTION("""COMPUTED_VALUE"""),"Poker Night 2")</f>
        <v>Poker Night 2</v>
      </c>
      <c r="B671" s="15" t="str">
        <f>IFERROR(__xludf.DUMMYFUNCTION("""COMPUTED_VALUE"""),"PS3")</f>
        <v>PS3</v>
      </c>
      <c r="C671" s="16" t="str">
        <f>IFERROR(__xludf.DUMMYFUNCTION("""COMPUTED_VALUE"""),"Playstation Plus (Discontinued)")</f>
        <v>Playstation Plus (Discontinued)</v>
      </c>
      <c r="D671" s="15" t="str">
        <f>IFERROR(__xludf.DUMMYFUNCTION("""COMPUTED_VALUE"""),"Removed")</f>
        <v>Removed</v>
      </c>
      <c r="E671" s="17">
        <f>IFERROR(__xludf.DUMMYFUNCTION("""COMPUTED_VALUE"""),41548.0)</f>
        <v>41548</v>
      </c>
      <c r="F671" s="54">
        <f>IFERROR(__xludf.DUMMYFUNCTION("""COMPUTED_VALUE"""),41582.0)</f>
        <v>41582</v>
      </c>
      <c r="G671" s="19">
        <f>IFERROR(__xludf.DUMMYFUNCTION("""COMPUTED_VALUE"""),1.0999999999999999)</f>
        <v>1.1</v>
      </c>
      <c r="H671" s="17">
        <f>IFERROR(__xludf.DUMMYFUNCTION("""COMPUTED_VALUE"""),41390.0)</f>
        <v>41390</v>
      </c>
      <c r="I671" s="19">
        <f>IFERROR(__xludf.DUMMYFUNCTION("""COMPUTED_VALUE"""),0.4305555555555556)</f>
        <v>0.4305555556</v>
      </c>
      <c r="J671" s="21">
        <f>IFERROR(__xludf.DUMMYFUNCTION("""COMPUTED_VALUE"""),66.0)</f>
        <v>66</v>
      </c>
      <c r="K671" s="23">
        <f>IFERROR(__xludf.DUMMYFUNCTION("""COMPUTED_VALUE"""),7.5)</f>
        <v>7.5</v>
      </c>
      <c r="L671" s="24">
        <f>IFERROR(__xludf.DUMMYFUNCTION("""COMPUTED_VALUE"""),3.0)</f>
        <v>3</v>
      </c>
      <c r="M671" s="25" t="str">
        <f>IFERROR(__xludf.DUMMYFUNCTION("""COMPUTED_VALUE"""),"Card &amp; Board")</f>
        <v>Card &amp; Board</v>
      </c>
      <c r="N671" s="25"/>
      <c r="O671" s="26" t="str">
        <f>IFERROR(__xludf.DUMMYFUNCTION("""COMPUTED_VALUE"""),"No")</f>
        <v>No</v>
      </c>
      <c r="P671" s="26"/>
    </row>
    <row r="672">
      <c r="A672" s="13" t="str">
        <f>IFERROR(__xludf.DUMMYFUNCTION("""COMPUTED_VALUE"""),"Shadow of the Colossus")</f>
        <v>Shadow of the Colossus</v>
      </c>
      <c r="B672" s="15" t="str">
        <f>IFERROR(__xludf.DUMMYFUNCTION("""COMPUTED_VALUE"""),"PS3")</f>
        <v>PS3</v>
      </c>
      <c r="C672" s="16" t="str">
        <f>IFERROR(__xludf.DUMMYFUNCTION("""COMPUTED_VALUE"""),"Playstation Plus (Discontinued)")</f>
        <v>Playstation Plus (Discontinued)</v>
      </c>
      <c r="D672" s="15" t="str">
        <f>IFERROR(__xludf.DUMMYFUNCTION("""COMPUTED_VALUE"""),"Removed")</f>
        <v>Removed</v>
      </c>
      <c r="E672" s="17">
        <f>IFERROR(__xludf.DUMMYFUNCTION("""COMPUTED_VALUE"""),41548.0)</f>
        <v>41548</v>
      </c>
      <c r="F672" s="54">
        <f>IFERROR(__xludf.DUMMYFUNCTION("""COMPUTED_VALUE"""),41582.0)</f>
        <v>41582</v>
      </c>
      <c r="G672" s="19">
        <f>IFERROR(__xludf.DUMMYFUNCTION("""COMPUTED_VALUE"""),1.0999999999999999)</f>
        <v>1.1</v>
      </c>
      <c r="H672" s="17">
        <f>IFERROR(__xludf.DUMMYFUNCTION("""COMPUTED_VALUE"""),38643.0)</f>
        <v>38643</v>
      </c>
      <c r="I672" s="19">
        <f>IFERROR(__xludf.DUMMYFUNCTION("""COMPUTED_VALUE"""),7.9527777777777775)</f>
        <v>7.952777778</v>
      </c>
      <c r="J672" s="21">
        <f>IFERROR(__xludf.DUMMYFUNCTION("""COMPUTED_VALUE"""),91.0)</f>
        <v>91</v>
      </c>
      <c r="K672" s="23">
        <f>IFERROR(__xludf.DUMMYFUNCTION("""COMPUTED_VALUE"""),8.8)</f>
        <v>8.8</v>
      </c>
      <c r="L672" s="24">
        <f>IFERROR(__xludf.DUMMYFUNCTION("""COMPUTED_VALUE"""),8.0)</f>
        <v>8</v>
      </c>
      <c r="M672" s="25" t="str">
        <f>IFERROR(__xludf.DUMMYFUNCTION("""COMPUTED_VALUE"""),"Action-Adventure")</f>
        <v>Action-Adventure</v>
      </c>
      <c r="N672" s="25"/>
      <c r="O672" s="26" t="str">
        <f>IFERROR(__xludf.DUMMYFUNCTION("""COMPUTED_VALUE"""),"No")</f>
        <v>No</v>
      </c>
      <c r="P672" s="26"/>
    </row>
    <row r="673" hidden="1">
      <c r="A673" s="13" t="str">
        <f>IFERROR(__xludf.DUMMYFUNCTION("""COMPUTED_VALUE"""),"Kingdoms of Amalur: Reckoning")</f>
        <v>Kingdoms of Amalur: Reckoning</v>
      </c>
      <c r="B673" s="15" t="str">
        <f>IFERROR(__xludf.DUMMYFUNCTION("""COMPUTED_VALUE"""),"PS3")</f>
        <v>PS3</v>
      </c>
      <c r="C673" s="16" t="str">
        <f>IFERROR(__xludf.DUMMYFUNCTION("""COMPUTED_VALUE"""),"Playstation Plus (Discontinued)")</f>
        <v>Playstation Plus (Discontinued)</v>
      </c>
      <c r="D673" s="15" t="str">
        <f>IFERROR(__xludf.DUMMYFUNCTION("""COMPUTED_VALUE"""),"Removed")</f>
        <v>Removed</v>
      </c>
      <c r="E673" s="17">
        <f>IFERROR(__xludf.DUMMYFUNCTION("""COMPUTED_VALUE"""),41548.0)</f>
        <v>41548</v>
      </c>
      <c r="F673" s="54">
        <f>IFERROR(__xludf.DUMMYFUNCTION("""COMPUTED_VALUE"""),41582.0)</f>
        <v>41582</v>
      </c>
      <c r="G673" s="19">
        <f>IFERROR(__xludf.DUMMYFUNCTION("""COMPUTED_VALUE"""),1.0999999999999999)</f>
        <v>1.1</v>
      </c>
      <c r="H673" s="17">
        <f>IFERROR(__xludf.DUMMYFUNCTION("""COMPUTED_VALUE"""),40946.0)</f>
        <v>40946</v>
      </c>
      <c r="I673" s="19">
        <f>IFERROR(__xludf.DUMMYFUNCTION("""COMPUTED_VALUE"""),1.65)</f>
        <v>1.65</v>
      </c>
      <c r="J673" s="21">
        <f>IFERROR(__xludf.DUMMYFUNCTION("""COMPUTED_VALUE"""),81.0)</f>
        <v>81</v>
      </c>
      <c r="K673" s="23">
        <f>IFERROR(__xludf.DUMMYFUNCTION("""COMPUTED_VALUE"""),8.2)</f>
        <v>8.2</v>
      </c>
      <c r="L673" s="24">
        <f>IFERROR(__xludf.DUMMYFUNCTION("""COMPUTED_VALUE"""),31.0)</f>
        <v>31</v>
      </c>
      <c r="M673" s="25" t="str">
        <f>IFERROR(__xludf.DUMMYFUNCTION("""COMPUTED_VALUE"""),"RPG")</f>
        <v>RPG</v>
      </c>
      <c r="N673" s="25"/>
      <c r="O673" s="26" t="str">
        <f>IFERROR(__xludf.DUMMYFUNCTION("""COMPUTED_VALUE"""),"No")</f>
        <v>No</v>
      </c>
      <c r="P673" s="26"/>
    </row>
    <row r="674" hidden="1">
      <c r="A674" s="13" t="str">
        <f>IFERROR(__xludf.DUMMYFUNCTION("""COMPUTED_VALUE"""),"Rayman Origins")</f>
        <v>Rayman Origins</v>
      </c>
      <c r="B674" s="15" t="str">
        <f>IFERROR(__xludf.DUMMYFUNCTION("""COMPUTED_VALUE"""),"Vita")</f>
        <v>Vita</v>
      </c>
      <c r="C674" s="16" t="str">
        <f>IFERROR(__xludf.DUMMYFUNCTION("""COMPUTED_VALUE"""),"Playstation Plus (Discontinued)")</f>
        <v>Playstation Plus (Discontinued)</v>
      </c>
      <c r="D674" s="15" t="str">
        <f>IFERROR(__xludf.DUMMYFUNCTION("""COMPUTED_VALUE"""),"Removed")</f>
        <v>Removed</v>
      </c>
      <c r="E674" s="17">
        <f>IFERROR(__xludf.DUMMYFUNCTION("""COMPUTED_VALUE"""),41520.0)</f>
        <v>41520</v>
      </c>
      <c r="F674" s="54">
        <f>IFERROR(__xludf.DUMMYFUNCTION("""COMPUTED_VALUE"""),41547.0)</f>
        <v>41547</v>
      </c>
      <c r="G674" s="19">
        <f>IFERROR(__xludf.DUMMYFUNCTION("""COMPUTED_VALUE"""),0.8999999999999999)</f>
        <v>0.9</v>
      </c>
      <c r="H674" s="17">
        <f>IFERROR(__xludf.DUMMYFUNCTION("""COMPUTED_VALUE"""),40862.0)</f>
        <v>40862</v>
      </c>
      <c r="I674" s="19">
        <f>IFERROR(__xludf.DUMMYFUNCTION("""COMPUTED_VALUE"""),1.8)</f>
        <v>1.8</v>
      </c>
      <c r="J674" s="21">
        <f>IFERROR(__xludf.DUMMYFUNCTION("""COMPUTED_VALUE"""),87.0)</f>
        <v>87</v>
      </c>
      <c r="K674" s="23">
        <f>IFERROR(__xludf.DUMMYFUNCTION("""COMPUTED_VALUE"""),8.6)</f>
        <v>8.6</v>
      </c>
      <c r="L674" s="24">
        <f>IFERROR(__xludf.DUMMYFUNCTION("""COMPUTED_VALUE"""),9.0)</f>
        <v>9</v>
      </c>
      <c r="M674" s="25" t="str">
        <f>IFERROR(__xludf.DUMMYFUNCTION("""COMPUTED_VALUE"""),"Platformer")</f>
        <v>Platformer</v>
      </c>
      <c r="N674" s="25"/>
      <c r="O674" s="26" t="str">
        <f>IFERROR(__xludf.DUMMYFUNCTION("""COMPUTED_VALUE"""),"No")</f>
        <v>No</v>
      </c>
      <c r="P674" s="26"/>
    </row>
    <row r="675">
      <c r="A675" s="13" t="str">
        <f>IFERROR(__xludf.DUMMYFUNCTION("""COMPUTED_VALUE"""),"Grand Theft Auto: Liberty City Stories")</f>
        <v>Grand Theft Auto: Liberty City Stories</v>
      </c>
      <c r="B675" s="15" t="str">
        <f>IFERROR(__xludf.DUMMYFUNCTION("""COMPUTED_VALUE"""),"PSP")</f>
        <v>PSP</v>
      </c>
      <c r="C675" s="16" t="str">
        <f>IFERROR(__xludf.DUMMYFUNCTION("""COMPUTED_VALUE"""),"Playstation Plus (Discontinued)")</f>
        <v>Playstation Plus (Discontinued)</v>
      </c>
      <c r="D675" s="15" t="str">
        <f>IFERROR(__xludf.DUMMYFUNCTION("""COMPUTED_VALUE"""),"Removed")</f>
        <v>Removed</v>
      </c>
      <c r="E675" s="17">
        <f>IFERROR(__xludf.DUMMYFUNCTION("""COMPUTED_VALUE"""),41520.0)</f>
        <v>41520</v>
      </c>
      <c r="F675" s="54">
        <f>IFERROR(__xludf.DUMMYFUNCTION("""COMPUTED_VALUE"""),41547.0)</f>
        <v>41547</v>
      </c>
      <c r="G675" s="19">
        <f>IFERROR(__xludf.DUMMYFUNCTION("""COMPUTED_VALUE"""),0.8999999999999999)</f>
        <v>0.9</v>
      </c>
      <c r="H675" s="17">
        <f>IFERROR(__xludf.DUMMYFUNCTION("""COMPUTED_VALUE"""),38650.0)</f>
        <v>38650</v>
      </c>
      <c r="I675" s="19">
        <f>IFERROR(__xludf.DUMMYFUNCTION("""COMPUTED_VALUE"""),7.855555555555555)</f>
        <v>7.855555556</v>
      </c>
      <c r="J675" s="21">
        <f>IFERROR(__xludf.DUMMYFUNCTION("""COMPUTED_VALUE"""),88.0)</f>
        <v>88</v>
      </c>
      <c r="K675" s="23">
        <f>IFERROR(__xludf.DUMMYFUNCTION("""COMPUTED_VALUE"""),8.7)</f>
        <v>8.7</v>
      </c>
      <c r="L675" s="24">
        <f>IFERROR(__xludf.DUMMYFUNCTION("""COMPUTED_VALUE"""),22.0)</f>
        <v>22</v>
      </c>
      <c r="M675" s="25" t="str">
        <f>IFERROR(__xludf.DUMMYFUNCTION("""COMPUTED_VALUE"""),"Action-Adventure")</f>
        <v>Action-Adventure</v>
      </c>
      <c r="N675" s="25"/>
      <c r="O675" s="26" t="str">
        <f>IFERROR(__xludf.DUMMYFUNCTION("""COMPUTED_VALUE"""),"No")</f>
        <v>No</v>
      </c>
      <c r="P675" s="26"/>
    </row>
    <row r="676" hidden="1">
      <c r="A676" s="13" t="str">
        <f>IFERROR(__xludf.DUMMYFUNCTION("""COMPUTED_VALUE"""),"Galaga Legions DX")</f>
        <v>Galaga Legions DX</v>
      </c>
      <c r="B676" s="15" t="str">
        <f>IFERROR(__xludf.DUMMYFUNCTION("""COMPUTED_VALUE"""),"PS3")</f>
        <v>PS3</v>
      </c>
      <c r="C676" s="16" t="str">
        <f>IFERROR(__xludf.DUMMYFUNCTION("""COMPUTED_VALUE"""),"Playstation Plus (Discontinued)")</f>
        <v>Playstation Plus (Discontinued)</v>
      </c>
      <c r="D676" s="15" t="str">
        <f>IFERROR(__xludf.DUMMYFUNCTION("""COMPUTED_VALUE"""),"Removed")</f>
        <v>Removed</v>
      </c>
      <c r="E676" s="17">
        <f>IFERROR(__xludf.DUMMYFUNCTION("""COMPUTED_VALUE"""),41520.0)</f>
        <v>41520</v>
      </c>
      <c r="F676" s="54">
        <f>IFERROR(__xludf.DUMMYFUNCTION("""COMPUTED_VALUE"""),41547.0)</f>
        <v>41547</v>
      </c>
      <c r="G676" s="19">
        <f>IFERROR(__xludf.DUMMYFUNCTION("""COMPUTED_VALUE"""),0.8999999999999999)</f>
        <v>0.9</v>
      </c>
      <c r="H676" s="17">
        <f>IFERROR(__xludf.DUMMYFUNCTION("""COMPUTED_VALUE"""),40729.0)</f>
        <v>40729</v>
      </c>
      <c r="I676" s="19">
        <f>IFERROR(__xludf.DUMMYFUNCTION("""COMPUTED_VALUE"""),2.161111111111111)</f>
        <v>2.161111111</v>
      </c>
      <c r="J676" s="21">
        <f>IFERROR(__xludf.DUMMYFUNCTION("""COMPUTED_VALUE"""),75.0)</f>
        <v>75</v>
      </c>
      <c r="K676" s="23">
        <f>IFERROR(__xludf.DUMMYFUNCTION("""COMPUTED_VALUE"""),7.8)</f>
        <v>7.8</v>
      </c>
      <c r="L676" s="24"/>
      <c r="M676" s="25" t="str">
        <f>IFERROR(__xludf.DUMMYFUNCTION("""COMPUTED_VALUE"""),"Shooter")</f>
        <v>Shooter</v>
      </c>
      <c r="N676" s="25"/>
      <c r="O676" s="26" t="str">
        <f>IFERROR(__xludf.DUMMYFUNCTION("""COMPUTED_VALUE"""),"No")</f>
        <v>No</v>
      </c>
      <c r="P676" s="26"/>
    </row>
    <row r="677">
      <c r="A677" s="13" t="str">
        <f>IFERROR(__xludf.DUMMYFUNCTION("""COMPUTED_VALUE"""),"Resident Evil Chronicles HD Collection")</f>
        <v>Resident Evil Chronicles HD Collection</v>
      </c>
      <c r="B677" s="15" t="str">
        <f>IFERROR(__xludf.DUMMYFUNCTION("""COMPUTED_VALUE"""),"PS3")</f>
        <v>PS3</v>
      </c>
      <c r="C677" s="16" t="str">
        <f>IFERROR(__xludf.DUMMYFUNCTION("""COMPUTED_VALUE"""),"Playstation Plus (Discontinued)")</f>
        <v>Playstation Plus (Discontinued)</v>
      </c>
      <c r="D677" s="15" t="str">
        <f>IFERROR(__xludf.DUMMYFUNCTION("""COMPUTED_VALUE"""),"Removed")</f>
        <v>Removed</v>
      </c>
      <c r="E677" s="17">
        <f>IFERROR(__xludf.DUMMYFUNCTION("""COMPUTED_VALUE"""),41520.0)</f>
        <v>41520</v>
      </c>
      <c r="F677" s="54">
        <f>IFERROR(__xludf.DUMMYFUNCTION("""COMPUTED_VALUE"""),41547.0)</f>
        <v>41547</v>
      </c>
      <c r="G677" s="19">
        <f>IFERROR(__xludf.DUMMYFUNCTION("""COMPUTED_VALUE"""),0.8999999999999999)</f>
        <v>0.9</v>
      </c>
      <c r="H677" s="17">
        <f>IFERROR(__xludf.DUMMYFUNCTION("""COMPUTED_VALUE"""),41086.0)</f>
        <v>41086</v>
      </c>
      <c r="I677" s="19">
        <f>IFERROR(__xludf.DUMMYFUNCTION("""COMPUTED_VALUE"""),1.1861111111111111)</f>
        <v>1.186111111</v>
      </c>
      <c r="J677" s="21">
        <f>IFERROR(__xludf.DUMMYFUNCTION("""COMPUTED_VALUE"""),65.0)</f>
        <v>65</v>
      </c>
      <c r="K677" s="23">
        <f>IFERROR(__xludf.DUMMYFUNCTION("""COMPUTED_VALUE"""),7.5)</f>
        <v>7.5</v>
      </c>
      <c r="L677" s="24">
        <f>IFERROR(__xludf.DUMMYFUNCTION("""COMPUTED_VALUE"""),13.0)</f>
        <v>13</v>
      </c>
      <c r="M677" s="25" t="str">
        <f>IFERROR(__xludf.DUMMYFUNCTION("""COMPUTED_VALUE"""),"Shooter")</f>
        <v>Shooter</v>
      </c>
      <c r="N677" s="25"/>
      <c r="O677" s="26" t="str">
        <f>IFERROR(__xludf.DUMMYFUNCTION("""COMPUTED_VALUE"""),"No")</f>
        <v>No</v>
      </c>
      <c r="P677" s="26"/>
    </row>
    <row r="678" hidden="1">
      <c r="A678" s="13" t="str">
        <f>IFERROR(__xludf.DUMMYFUNCTION("""COMPUTED_VALUE"""),"ICO HD")</f>
        <v>ICO HD</v>
      </c>
      <c r="B678" s="15" t="str">
        <f>IFERROR(__xludf.DUMMYFUNCTION("""COMPUTED_VALUE"""),"PS3")</f>
        <v>PS3</v>
      </c>
      <c r="C678" s="16" t="str">
        <f>IFERROR(__xludf.DUMMYFUNCTION("""COMPUTED_VALUE"""),"Playstation Plus (Discontinued)")</f>
        <v>Playstation Plus (Discontinued)</v>
      </c>
      <c r="D678" s="15" t="str">
        <f>IFERROR(__xludf.DUMMYFUNCTION("""COMPUTED_VALUE"""),"Removed")</f>
        <v>Removed</v>
      </c>
      <c r="E678" s="17">
        <f>IFERROR(__xludf.DUMMYFUNCTION("""COMPUTED_VALUE"""),41520.0)</f>
        <v>41520</v>
      </c>
      <c r="F678" s="54">
        <f>IFERROR(__xludf.DUMMYFUNCTION("""COMPUTED_VALUE"""),41547.0)</f>
        <v>41547</v>
      </c>
      <c r="G678" s="19">
        <f>IFERROR(__xludf.DUMMYFUNCTION("""COMPUTED_VALUE"""),0.8999999999999999)</f>
        <v>0.9</v>
      </c>
      <c r="H678" s="17">
        <f>IFERROR(__xludf.DUMMYFUNCTION("""COMPUTED_VALUE"""),40813.0)</f>
        <v>40813</v>
      </c>
      <c r="I678" s="19">
        <f>IFERROR(__xludf.DUMMYFUNCTION("""COMPUTED_VALUE"""),1.9333333333333333)</f>
        <v>1.933333333</v>
      </c>
      <c r="J678" s="21">
        <f>IFERROR(__xludf.DUMMYFUNCTION("""COMPUTED_VALUE"""),90.0)</f>
        <v>90</v>
      </c>
      <c r="K678" s="23">
        <f>IFERROR(__xludf.DUMMYFUNCTION("""COMPUTED_VALUE"""),8.8)</f>
        <v>8.8</v>
      </c>
      <c r="L678" s="24">
        <f>IFERROR(__xludf.DUMMYFUNCTION("""COMPUTED_VALUE"""),7.0)</f>
        <v>7</v>
      </c>
      <c r="M678" s="25" t="str">
        <f>IFERROR(__xludf.DUMMYFUNCTION("""COMPUTED_VALUE"""),"Action-Adventure")</f>
        <v>Action-Adventure</v>
      </c>
      <c r="N678" s="25"/>
      <c r="O678" s="26" t="str">
        <f>IFERROR(__xludf.DUMMYFUNCTION("""COMPUTED_VALUE"""),"No")</f>
        <v>No</v>
      </c>
      <c r="P678" s="26"/>
    </row>
    <row r="679" hidden="1">
      <c r="A679" s="13" t="str">
        <f>IFERROR(__xludf.DUMMYFUNCTION("""COMPUTED_VALUE"""),"Machinarium")</f>
        <v>Machinarium</v>
      </c>
      <c r="B679" s="15" t="str">
        <f>IFERROR(__xludf.DUMMYFUNCTION("""COMPUTED_VALUE"""),"Vita")</f>
        <v>Vita</v>
      </c>
      <c r="C679" s="16" t="str">
        <f>IFERROR(__xludf.DUMMYFUNCTION("""COMPUTED_VALUE"""),"Playstation Plus (Discontinued)")</f>
        <v>Playstation Plus (Discontinued)</v>
      </c>
      <c r="D679" s="15" t="str">
        <f>IFERROR(__xludf.DUMMYFUNCTION("""COMPUTED_VALUE"""),"Removed")</f>
        <v>Removed</v>
      </c>
      <c r="E679" s="17">
        <f>IFERROR(__xludf.DUMMYFUNCTION("""COMPUTED_VALUE"""),41492.0)</f>
        <v>41492</v>
      </c>
      <c r="F679" s="54">
        <f>IFERROR(__xludf.DUMMYFUNCTION("""COMPUTED_VALUE"""),41519.0)</f>
        <v>41519</v>
      </c>
      <c r="G679" s="19">
        <f>IFERROR(__xludf.DUMMYFUNCTION("""COMPUTED_VALUE"""),0.8666666666666666)</f>
        <v>0.8666666667</v>
      </c>
      <c r="H679" s="17">
        <f>IFERROR(__xludf.DUMMYFUNCTION("""COMPUTED_VALUE"""),40102.0)</f>
        <v>40102</v>
      </c>
      <c r="I679" s="19">
        <f>IFERROR(__xludf.DUMMYFUNCTION("""COMPUTED_VALUE"""),3.8055555555555554)</f>
        <v>3.805555556</v>
      </c>
      <c r="J679" s="21">
        <f>IFERROR(__xludf.DUMMYFUNCTION("""COMPUTED_VALUE"""),85.0)</f>
        <v>85</v>
      </c>
      <c r="K679" s="23">
        <f>IFERROR(__xludf.DUMMYFUNCTION("""COMPUTED_VALUE"""),8.4)</f>
        <v>8.4</v>
      </c>
      <c r="L679" s="24">
        <f>IFERROR(__xludf.DUMMYFUNCTION("""COMPUTED_VALUE"""),6.0)</f>
        <v>6</v>
      </c>
      <c r="M679" s="25" t="str">
        <f>IFERROR(__xludf.DUMMYFUNCTION("""COMPUTED_VALUE"""),"Adventure")</f>
        <v>Adventure</v>
      </c>
      <c r="N679" s="25"/>
      <c r="O679" s="26" t="str">
        <f>IFERROR(__xludf.DUMMYFUNCTION("""COMPUTED_VALUE"""),"No")</f>
        <v>No</v>
      </c>
      <c r="P679" s="26"/>
    </row>
    <row r="680">
      <c r="A680" s="13" t="str">
        <f>IFERROR(__xludf.DUMMYFUNCTION("""COMPUTED_VALUE"""),"Darkstalkers Chronicle: The Chaos Tower")</f>
        <v>Darkstalkers Chronicle: The Chaos Tower</v>
      </c>
      <c r="B680" s="15" t="str">
        <f>IFERROR(__xludf.DUMMYFUNCTION("""COMPUTED_VALUE"""),"PSP")</f>
        <v>PSP</v>
      </c>
      <c r="C680" s="16" t="str">
        <f>IFERROR(__xludf.DUMMYFUNCTION("""COMPUTED_VALUE"""),"Playstation Plus (Discontinued)")</f>
        <v>Playstation Plus (Discontinued)</v>
      </c>
      <c r="D680" s="15" t="str">
        <f>IFERROR(__xludf.DUMMYFUNCTION("""COMPUTED_VALUE"""),"Removed")</f>
        <v>Removed</v>
      </c>
      <c r="E680" s="17">
        <f>IFERROR(__xludf.DUMMYFUNCTION("""COMPUTED_VALUE"""),41492.0)</f>
        <v>41492</v>
      </c>
      <c r="F680" s="54">
        <f>IFERROR(__xludf.DUMMYFUNCTION("""COMPUTED_VALUE"""),41519.0)</f>
        <v>41519</v>
      </c>
      <c r="G680" s="19">
        <f>IFERROR(__xludf.DUMMYFUNCTION("""COMPUTED_VALUE"""),0.8666666666666666)</f>
        <v>0.8666666667</v>
      </c>
      <c r="H680" s="17">
        <f>IFERROR(__xludf.DUMMYFUNCTION("""COMPUTED_VALUE"""),38407.0)</f>
        <v>38407</v>
      </c>
      <c r="I680" s="19">
        <f>IFERROR(__xludf.DUMMYFUNCTION("""COMPUTED_VALUE"""),8.45)</f>
        <v>8.45</v>
      </c>
      <c r="J680" s="21">
        <f>IFERROR(__xludf.DUMMYFUNCTION("""COMPUTED_VALUE"""),76.0)</f>
        <v>76</v>
      </c>
      <c r="K680" s="23">
        <f>IFERROR(__xludf.DUMMYFUNCTION("""COMPUTED_VALUE"""),8.0)</f>
        <v>8</v>
      </c>
      <c r="L680" s="24"/>
      <c r="M680" s="25" t="str">
        <f>IFERROR(__xludf.DUMMYFUNCTION("""COMPUTED_VALUE"""),"Fighting")</f>
        <v>Fighting</v>
      </c>
      <c r="N680" s="25"/>
      <c r="O680" s="26" t="str">
        <f>IFERROR(__xludf.DUMMYFUNCTION("""COMPUTED_VALUE"""),"No")</f>
        <v>No</v>
      </c>
      <c r="P680" s="26"/>
    </row>
    <row r="681">
      <c r="A681" s="13" t="str">
        <f>IFERROR(__xludf.DUMMYFUNCTION("""COMPUTED_VALUE"""),"Zen Pinball 2: Star Wars Pinball")</f>
        <v>Zen Pinball 2: Star Wars Pinball</v>
      </c>
      <c r="B681" s="15" t="str">
        <f>IFERROR(__xludf.DUMMYFUNCTION("""COMPUTED_VALUE"""),"PS3/Vita")</f>
        <v>PS3/Vita</v>
      </c>
      <c r="C681" s="16" t="str">
        <f>IFERROR(__xludf.DUMMYFUNCTION("""COMPUTED_VALUE"""),"Playstation Plus (Discontinued)")</f>
        <v>Playstation Plus (Discontinued)</v>
      </c>
      <c r="D681" s="15" t="str">
        <f>IFERROR(__xludf.DUMMYFUNCTION("""COMPUTED_VALUE"""),"Removed")</f>
        <v>Removed</v>
      </c>
      <c r="E681" s="17">
        <f>IFERROR(__xludf.DUMMYFUNCTION("""COMPUTED_VALUE"""),41492.0)</f>
        <v>41492</v>
      </c>
      <c r="F681" s="54">
        <f>IFERROR(__xludf.DUMMYFUNCTION("""COMPUTED_VALUE"""),41519.0)</f>
        <v>41519</v>
      </c>
      <c r="G681" s="19">
        <f>IFERROR(__xludf.DUMMYFUNCTION("""COMPUTED_VALUE"""),0.8666666666666666)</f>
        <v>0.8666666667</v>
      </c>
      <c r="H681" s="17">
        <f>IFERROR(__xludf.DUMMYFUNCTION("""COMPUTED_VALUE"""),41331.0)</f>
        <v>41331</v>
      </c>
      <c r="I681" s="19">
        <f>IFERROR(__xludf.DUMMYFUNCTION("""COMPUTED_VALUE"""),0.4444444444444444)</f>
        <v>0.4444444444</v>
      </c>
      <c r="J681" s="21">
        <f>IFERROR(__xludf.DUMMYFUNCTION("""COMPUTED_VALUE"""),73.0)</f>
        <v>73</v>
      </c>
      <c r="K681" s="23">
        <f>IFERROR(__xludf.DUMMYFUNCTION("""COMPUTED_VALUE"""),7.7)</f>
        <v>7.7</v>
      </c>
      <c r="L681" s="24"/>
      <c r="M681" s="25" t="str">
        <f>IFERROR(__xludf.DUMMYFUNCTION("""COMPUTED_VALUE"""),"Pinball")</f>
        <v>Pinball</v>
      </c>
      <c r="N681" s="25"/>
      <c r="O681" s="26" t="str">
        <f>IFERROR(__xludf.DUMMYFUNCTION("""COMPUTED_VALUE"""),"No")</f>
        <v>No</v>
      </c>
      <c r="P681" s="26"/>
    </row>
    <row r="682" hidden="1">
      <c r="A682" s="13" t="str">
        <f>IFERROR(__xludf.DUMMYFUNCTION("""COMPUTED_VALUE"""),"Bit.Trip Presents...Runner2: Future Legend of Rhythm Alien")</f>
        <v>Bit.Trip Presents...Runner2: Future Legend of Rhythm Alien</v>
      </c>
      <c r="B682" s="15" t="str">
        <f>IFERROR(__xludf.DUMMYFUNCTION("""COMPUTED_VALUE"""),"PS3")</f>
        <v>PS3</v>
      </c>
      <c r="C682" s="16" t="str">
        <f>IFERROR(__xludf.DUMMYFUNCTION("""COMPUTED_VALUE"""),"Playstation Plus (Discontinued)")</f>
        <v>Playstation Plus (Discontinued)</v>
      </c>
      <c r="D682" s="15" t="str">
        <f>IFERROR(__xludf.DUMMYFUNCTION("""COMPUTED_VALUE"""),"Removed")</f>
        <v>Removed</v>
      </c>
      <c r="E682" s="17">
        <f>IFERROR(__xludf.DUMMYFUNCTION("""COMPUTED_VALUE"""),41492.0)</f>
        <v>41492</v>
      </c>
      <c r="F682" s="54">
        <f>IFERROR(__xludf.DUMMYFUNCTION("""COMPUTED_VALUE"""),41519.0)</f>
        <v>41519</v>
      </c>
      <c r="G682" s="19">
        <f>IFERROR(__xludf.DUMMYFUNCTION("""COMPUTED_VALUE"""),0.8666666666666666)</f>
        <v>0.8666666667</v>
      </c>
      <c r="H682" s="17">
        <f>IFERROR(__xludf.DUMMYFUNCTION("""COMPUTED_VALUE"""),41331.0)</f>
        <v>41331</v>
      </c>
      <c r="I682" s="19">
        <f>IFERROR(__xludf.DUMMYFUNCTION("""COMPUTED_VALUE"""),0.4444444444444444)</f>
        <v>0.4444444444</v>
      </c>
      <c r="J682" s="21">
        <f>IFERROR(__xludf.DUMMYFUNCTION("""COMPUTED_VALUE"""),85.0)</f>
        <v>85</v>
      </c>
      <c r="K682" s="23">
        <f>IFERROR(__xludf.DUMMYFUNCTION("""COMPUTED_VALUE"""),8.0)</f>
        <v>8</v>
      </c>
      <c r="L682" s="24">
        <f>IFERROR(__xludf.DUMMYFUNCTION("""COMPUTED_VALUE"""),6.0)</f>
        <v>6</v>
      </c>
      <c r="M682" s="25" t="str">
        <f>IFERROR(__xludf.DUMMYFUNCTION("""COMPUTED_VALUE"""),"Platformer")</f>
        <v>Platformer</v>
      </c>
      <c r="N682" s="25"/>
      <c r="O682" s="26" t="str">
        <f>IFERROR(__xludf.DUMMYFUNCTION("""COMPUTED_VALUE"""),"No")</f>
        <v>No</v>
      </c>
      <c r="P682" s="26"/>
    </row>
    <row r="683" hidden="1">
      <c r="A683" s="13" t="str">
        <f>IFERROR(__xludf.DUMMYFUNCTION("""COMPUTED_VALUE"""),"Hitman: Absolution")</f>
        <v>Hitman: Absolution</v>
      </c>
      <c r="B683" s="15" t="str">
        <f>IFERROR(__xludf.DUMMYFUNCTION("""COMPUTED_VALUE"""),"PS3")</f>
        <v>PS3</v>
      </c>
      <c r="C683" s="16" t="str">
        <f>IFERROR(__xludf.DUMMYFUNCTION("""COMPUTED_VALUE"""),"Playstation Plus (Discontinued)")</f>
        <v>Playstation Plus (Discontinued)</v>
      </c>
      <c r="D683" s="15" t="str">
        <f>IFERROR(__xludf.DUMMYFUNCTION("""COMPUTED_VALUE"""),"Removed")</f>
        <v>Removed</v>
      </c>
      <c r="E683" s="17">
        <f>IFERROR(__xludf.DUMMYFUNCTION("""COMPUTED_VALUE"""),41492.0)</f>
        <v>41492</v>
      </c>
      <c r="F683" s="54">
        <f>IFERROR(__xludf.DUMMYFUNCTION("""COMPUTED_VALUE"""),41519.0)</f>
        <v>41519</v>
      </c>
      <c r="G683" s="19">
        <f>IFERROR(__xludf.DUMMYFUNCTION("""COMPUTED_VALUE"""),0.8666666666666666)</f>
        <v>0.8666666667</v>
      </c>
      <c r="H683" s="17">
        <f>IFERROR(__xludf.DUMMYFUNCTION("""COMPUTED_VALUE"""),41233.0)</f>
        <v>41233</v>
      </c>
      <c r="I683" s="19">
        <f>IFERROR(__xludf.DUMMYFUNCTION("""COMPUTED_VALUE"""),0.7111111111111111)</f>
        <v>0.7111111111</v>
      </c>
      <c r="J683" s="21">
        <f>IFERROR(__xludf.DUMMYFUNCTION("""COMPUTED_VALUE"""),79.0)</f>
        <v>79</v>
      </c>
      <c r="K683" s="23">
        <f>IFERROR(__xludf.DUMMYFUNCTION("""COMPUTED_VALUE"""),7.6)</f>
        <v>7.6</v>
      </c>
      <c r="L683" s="24">
        <f>IFERROR(__xludf.DUMMYFUNCTION("""COMPUTED_VALUE"""),11.0)</f>
        <v>11</v>
      </c>
      <c r="M683" s="25" t="str">
        <f>IFERROR(__xludf.DUMMYFUNCTION("""COMPUTED_VALUE"""),"Action-Adventure")</f>
        <v>Action-Adventure</v>
      </c>
      <c r="N683" s="25"/>
      <c r="O683" s="26" t="str">
        <f>IFERROR(__xludf.DUMMYFUNCTION("""COMPUTED_VALUE"""),"No")</f>
        <v>No</v>
      </c>
      <c r="P683" s="26"/>
    </row>
    <row r="684" hidden="1">
      <c r="A684" s="13" t="str">
        <f>IFERROR(__xludf.DUMMYFUNCTION("""COMPUTED_VALUE"""),"Oddworld: Munch's Oddysey HD")</f>
        <v>Oddworld: Munch's Oddysey HD</v>
      </c>
      <c r="B684" s="15" t="str">
        <f>IFERROR(__xludf.DUMMYFUNCTION("""COMPUTED_VALUE"""),"PS3")</f>
        <v>PS3</v>
      </c>
      <c r="C684" s="16" t="str">
        <f>IFERROR(__xludf.DUMMYFUNCTION("""COMPUTED_VALUE"""),"Playstation Plus (Discontinued)")</f>
        <v>Playstation Plus (Discontinued)</v>
      </c>
      <c r="D684" s="15" t="str">
        <f>IFERROR(__xludf.DUMMYFUNCTION("""COMPUTED_VALUE"""),"Removed")</f>
        <v>Removed</v>
      </c>
      <c r="E684" s="17">
        <f>IFERROR(__xludf.DUMMYFUNCTION("""COMPUTED_VALUE"""),41457.0)</f>
        <v>41457</v>
      </c>
      <c r="F684" s="54">
        <f>IFERROR(__xludf.DUMMYFUNCTION("""COMPUTED_VALUE"""),41491.0)</f>
        <v>41491</v>
      </c>
      <c r="G684" s="19">
        <f>IFERROR(__xludf.DUMMYFUNCTION("""COMPUTED_VALUE"""),1.0999999999999999)</f>
        <v>1.1</v>
      </c>
      <c r="H684" s="17">
        <f>IFERROR(__xludf.DUMMYFUNCTION("""COMPUTED_VALUE"""),40896.0)</f>
        <v>40896</v>
      </c>
      <c r="I684" s="19">
        <f>IFERROR(__xludf.DUMMYFUNCTION("""COMPUTED_VALUE"""),1.5361111111111112)</f>
        <v>1.536111111</v>
      </c>
      <c r="J684" s="21">
        <f>IFERROR(__xludf.DUMMYFUNCTION("""COMPUTED_VALUE"""),66.0)</f>
        <v>66</v>
      </c>
      <c r="K684" s="23">
        <f>IFERROR(__xludf.DUMMYFUNCTION("""COMPUTED_VALUE"""),7.5)</f>
        <v>7.5</v>
      </c>
      <c r="L684" s="24">
        <f>IFERROR(__xludf.DUMMYFUNCTION("""COMPUTED_VALUE"""),11.0)</f>
        <v>11</v>
      </c>
      <c r="M684" s="25" t="str">
        <f>IFERROR(__xludf.DUMMYFUNCTION("""COMPUTED_VALUE"""),"Action-Adventure")</f>
        <v>Action-Adventure</v>
      </c>
      <c r="N684" s="25"/>
      <c r="O684" s="26" t="str">
        <f>IFERROR(__xludf.DUMMYFUNCTION("""COMPUTED_VALUE"""),"No")</f>
        <v>No</v>
      </c>
      <c r="P684" s="26"/>
    </row>
    <row r="685">
      <c r="A685" s="13" t="str">
        <f>IFERROR(__xludf.DUMMYFUNCTION("""COMPUTED_VALUE"""),"Dokuro")</f>
        <v>Dokuro</v>
      </c>
      <c r="B685" s="15" t="str">
        <f>IFERROR(__xludf.DUMMYFUNCTION("""COMPUTED_VALUE"""),"Vita")</f>
        <v>Vita</v>
      </c>
      <c r="C685" s="16" t="str">
        <f>IFERROR(__xludf.DUMMYFUNCTION("""COMPUTED_VALUE"""),"Playstation Plus (Discontinued)")</f>
        <v>Playstation Plus (Discontinued)</v>
      </c>
      <c r="D685" s="15" t="str">
        <f>IFERROR(__xludf.DUMMYFUNCTION("""COMPUTED_VALUE"""),"Removed")</f>
        <v>Removed</v>
      </c>
      <c r="E685" s="17">
        <f>IFERROR(__xludf.DUMMYFUNCTION("""COMPUTED_VALUE"""),41457.0)</f>
        <v>41457</v>
      </c>
      <c r="F685" s="54">
        <f>IFERROR(__xludf.DUMMYFUNCTION("""COMPUTED_VALUE"""),41491.0)</f>
        <v>41491</v>
      </c>
      <c r="G685" s="19">
        <f>IFERROR(__xludf.DUMMYFUNCTION("""COMPUTED_VALUE"""),1.0999999999999999)</f>
        <v>1.1</v>
      </c>
      <c r="H685" s="17">
        <f>IFERROR(__xludf.DUMMYFUNCTION("""COMPUTED_VALUE"""),41219.0)</f>
        <v>41219</v>
      </c>
      <c r="I685" s="19">
        <f>IFERROR(__xludf.DUMMYFUNCTION("""COMPUTED_VALUE"""),0.6555555555555556)</f>
        <v>0.6555555556</v>
      </c>
      <c r="J685" s="21">
        <f>IFERROR(__xludf.DUMMYFUNCTION("""COMPUTED_VALUE"""),76.0)</f>
        <v>76</v>
      </c>
      <c r="K685" s="23">
        <f>IFERROR(__xludf.DUMMYFUNCTION("""COMPUTED_VALUE"""),7.6)</f>
        <v>7.6</v>
      </c>
      <c r="L685" s="24">
        <f>IFERROR(__xludf.DUMMYFUNCTION("""COMPUTED_VALUE"""),6.0)</f>
        <v>6</v>
      </c>
      <c r="M685" s="25" t="str">
        <f>IFERROR(__xludf.DUMMYFUNCTION("""COMPUTED_VALUE"""),"Platformer")</f>
        <v>Platformer</v>
      </c>
      <c r="N685" s="25"/>
      <c r="O685" s="26" t="str">
        <f>IFERROR(__xludf.DUMMYFUNCTION("""COMPUTED_VALUE"""),"No")</f>
        <v>No</v>
      </c>
      <c r="P685" s="26"/>
    </row>
    <row r="686" hidden="1">
      <c r="A686" s="13" t="str">
        <f>IFERROR(__xludf.DUMMYFUNCTION("""COMPUTED_VALUE"""),"Jet Set Radio")</f>
        <v>Jet Set Radio</v>
      </c>
      <c r="B686" s="15" t="str">
        <f>IFERROR(__xludf.DUMMYFUNCTION("""COMPUTED_VALUE"""),"PS3")</f>
        <v>PS3</v>
      </c>
      <c r="C686" s="16" t="str">
        <f>IFERROR(__xludf.DUMMYFUNCTION("""COMPUTED_VALUE"""),"Playstation Plus (Discontinued)")</f>
        <v>Playstation Plus (Discontinued)</v>
      </c>
      <c r="D686" s="15" t="str">
        <f>IFERROR(__xludf.DUMMYFUNCTION("""COMPUTED_VALUE"""),"Removed")</f>
        <v>Removed</v>
      </c>
      <c r="E686" s="17">
        <f>IFERROR(__xludf.DUMMYFUNCTION("""COMPUTED_VALUE"""),41457.0)</f>
        <v>41457</v>
      </c>
      <c r="F686" s="54">
        <f>IFERROR(__xludf.DUMMYFUNCTION("""COMPUTED_VALUE"""),41491.0)</f>
        <v>41491</v>
      </c>
      <c r="G686" s="19">
        <f>IFERROR(__xludf.DUMMYFUNCTION("""COMPUTED_VALUE"""),1.0999999999999999)</f>
        <v>1.1</v>
      </c>
      <c r="H686" s="17">
        <f>IFERROR(__xludf.DUMMYFUNCTION("""COMPUTED_VALUE"""),41170.0)</f>
        <v>41170</v>
      </c>
      <c r="I686" s="19">
        <f>IFERROR(__xludf.DUMMYFUNCTION("""COMPUTED_VALUE"""),0.7888888888888889)</f>
        <v>0.7888888889</v>
      </c>
      <c r="J686" s="21">
        <f>IFERROR(__xludf.DUMMYFUNCTION("""COMPUTED_VALUE"""),78.0)</f>
        <v>78</v>
      </c>
      <c r="K686" s="23">
        <f>IFERROR(__xludf.DUMMYFUNCTION("""COMPUTED_VALUE"""),7.7)</f>
        <v>7.7</v>
      </c>
      <c r="L686" s="24">
        <f>IFERROR(__xludf.DUMMYFUNCTION("""COMPUTED_VALUE"""),9.0)</f>
        <v>9</v>
      </c>
      <c r="M686" s="25" t="str">
        <f>IFERROR(__xludf.DUMMYFUNCTION("""COMPUTED_VALUE"""),"Action-Adventure")</f>
        <v>Action-Adventure</v>
      </c>
      <c r="N686" s="25"/>
      <c r="O686" s="26" t="str">
        <f>IFERROR(__xludf.DUMMYFUNCTION("""COMPUTED_VALUE"""),"No")</f>
        <v>No</v>
      </c>
      <c r="P686" s="26"/>
    </row>
    <row r="687">
      <c r="A687" s="13" t="str">
        <f>IFERROR(__xludf.DUMMYFUNCTION("""COMPUTED_VALUE"""),"Metal Slug XX")</f>
        <v>Metal Slug XX</v>
      </c>
      <c r="B687" s="15" t="str">
        <f>IFERROR(__xludf.DUMMYFUNCTION("""COMPUTED_VALUE"""),"PSP")</f>
        <v>PSP</v>
      </c>
      <c r="C687" s="16" t="str">
        <f>IFERROR(__xludf.DUMMYFUNCTION("""COMPUTED_VALUE"""),"Playstation Plus (Discontinued)")</f>
        <v>Playstation Plus (Discontinued)</v>
      </c>
      <c r="D687" s="15" t="str">
        <f>IFERROR(__xludf.DUMMYFUNCTION("""COMPUTED_VALUE"""),"Removed")</f>
        <v>Removed</v>
      </c>
      <c r="E687" s="17">
        <f>IFERROR(__xludf.DUMMYFUNCTION("""COMPUTED_VALUE"""),41457.0)</f>
        <v>41457</v>
      </c>
      <c r="F687" s="54">
        <f>IFERROR(__xludf.DUMMYFUNCTION("""COMPUTED_VALUE"""),41491.0)</f>
        <v>41491</v>
      </c>
      <c r="G687" s="19">
        <f>IFERROR(__xludf.DUMMYFUNCTION("""COMPUTED_VALUE"""),1.0999999999999999)</f>
        <v>1.1</v>
      </c>
      <c r="H687" s="17">
        <f>IFERROR(__xludf.DUMMYFUNCTION("""COMPUTED_VALUE"""),40109.0)</f>
        <v>40109</v>
      </c>
      <c r="I687" s="19">
        <f>IFERROR(__xludf.DUMMYFUNCTION("""COMPUTED_VALUE"""),3.691666666666667)</f>
        <v>3.691666667</v>
      </c>
      <c r="J687" s="21">
        <f>IFERROR(__xludf.DUMMYFUNCTION("""COMPUTED_VALUE"""),79.0)</f>
        <v>79</v>
      </c>
      <c r="K687" s="23">
        <f>IFERROR(__xludf.DUMMYFUNCTION("""COMPUTED_VALUE"""),7.9)</f>
        <v>7.9</v>
      </c>
      <c r="L687" s="24">
        <f>IFERROR(__xludf.DUMMYFUNCTION("""COMPUTED_VALUE"""),3.0)</f>
        <v>3</v>
      </c>
      <c r="M687" s="25" t="str">
        <f>IFERROR(__xludf.DUMMYFUNCTION("""COMPUTED_VALUE"""),"Shooter")</f>
        <v>Shooter</v>
      </c>
      <c r="N687" s="25"/>
      <c r="O687" s="26" t="str">
        <f>IFERROR(__xludf.DUMMYFUNCTION("""COMPUTED_VALUE"""),"No")</f>
        <v>No</v>
      </c>
      <c r="P687" s="26"/>
    </row>
    <row r="688" hidden="1">
      <c r="A688" s="13" t="str">
        <f>IFERROR(__xludf.DUMMYFUNCTION("""COMPUTED_VALUE"""),"Battlefield 3")</f>
        <v>Battlefield 3</v>
      </c>
      <c r="B688" s="15" t="str">
        <f>IFERROR(__xludf.DUMMYFUNCTION("""COMPUTED_VALUE"""),"PS3")</f>
        <v>PS3</v>
      </c>
      <c r="C688" s="16" t="str">
        <f>IFERROR(__xludf.DUMMYFUNCTION("""COMPUTED_VALUE"""),"Playstation Plus (Discontinued)")</f>
        <v>Playstation Plus (Discontinued)</v>
      </c>
      <c r="D688" s="15" t="str">
        <f>IFERROR(__xludf.DUMMYFUNCTION("""COMPUTED_VALUE"""),"Removed")</f>
        <v>Removed</v>
      </c>
      <c r="E688" s="17">
        <f>IFERROR(__xludf.DUMMYFUNCTION("""COMPUTED_VALUE"""),41457.0)</f>
        <v>41457</v>
      </c>
      <c r="F688" s="54">
        <f>IFERROR(__xludf.DUMMYFUNCTION("""COMPUTED_VALUE"""),41491.0)</f>
        <v>41491</v>
      </c>
      <c r="G688" s="19">
        <f>IFERROR(__xludf.DUMMYFUNCTION("""COMPUTED_VALUE"""),1.0999999999999999)</f>
        <v>1.1</v>
      </c>
      <c r="H688" s="17">
        <f>IFERROR(__xludf.DUMMYFUNCTION("""COMPUTED_VALUE"""),40841.0)</f>
        <v>40841</v>
      </c>
      <c r="I688" s="19">
        <f>IFERROR(__xludf.DUMMYFUNCTION("""COMPUTED_VALUE"""),1.6861111111111111)</f>
        <v>1.686111111</v>
      </c>
      <c r="J688" s="21">
        <f>IFERROR(__xludf.DUMMYFUNCTION("""COMPUTED_VALUE"""),85.0)</f>
        <v>85</v>
      </c>
      <c r="K688" s="23">
        <f>IFERROR(__xludf.DUMMYFUNCTION("""COMPUTED_VALUE"""),7.4)</f>
        <v>7.4</v>
      </c>
      <c r="L688" s="24">
        <f>IFERROR(__xludf.DUMMYFUNCTION("""COMPUTED_VALUE"""),6.0)</f>
        <v>6</v>
      </c>
      <c r="M688" s="25" t="str">
        <f>IFERROR(__xludf.DUMMYFUNCTION("""COMPUTED_VALUE"""),"Shooter")</f>
        <v>Shooter</v>
      </c>
      <c r="N688" s="25"/>
      <c r="O688" s="26" t="str">
        <f>IFERROR(__xludf.DUMMYFUNCTION("""COMPUTED_VALUE"""),"No")</f>
        <v>No</v>
      </c>
      <c r="P688" s="26"/>
    </row>
    <row r="689" hidden="1">
      <c r="A689" s="13" t="str">
        <f>IFERROR(__xludf.DUMMYFUNCTION("""COMPUTED_VALUE"""),"LittleBigPlanet Karting")</f>
        <v>LittleBigPlanet Karting</v>
      </c>
      <c r="B689" s="15" t="str">
        <f>IFERROR(__xludf.DUMMYFUNCTION("""COMPUTED_VALUE"""),"PS3")</f>
        <v>PS3</v>
      </c>
      <c r="C689" s="16" t="str">
        <f>IFERROR(__xludf.DUMMYFUNCTION("""COMPUTED_VALUE"""),"Playstation Plus (Discontinued)")</f>
        <v>Playstation Plus (Discontinued)</v>
      </c>
      <c r="D689" s="15" t="str">
        <f>IFERROR(__xludf.DUMMYFUNCTION("""COMPUTED_VALUE"""),"Removed")</f>
        <v>Removed</v>
      </c>
      <c r="E689" s="17">
        <f>IFERROR(__xludf.DUMMYFUNCTION("""COMPUTED_VALUE"""),41429.0)</f>
        <v>41429</v>
      </c>
      <c r="F689" s="54">
        <f>IFERROR(__xludf.DUMMYFUNCTION("""COMPUTED_VALUE"""),41456.0)</f>
        <v>41456</v>
      </c>
      <c r="G689" s="19">
        <f>IFERROR(__xludf.DUMMYFUNCTION("""COMPUTED_VALUE"""),0.8999999999999999)</f>
        <v>0.9</v>
      </c>
      <c r="H689" s="17">
        <f>IFERROR(__xludf.DUMMYFUNCTION("""COMPUTED_VALUE"""),41219.0)</f>
        <v>41219</v>
      </c>
      <c r="I689" s="19">
        <f>IFERROR(__xludf.DUMMYFUNCTION("""COMPUTED_VALUE"""),0.5777777777777777)</f>
        <v>0.5777777778</v>
      </c>
      <c r="J689" s="21">
        <f>IFERROR(__xludf.DUMMYFUNCTION("""COMPUTED_VALUE"""),68.0)</f>
        <v>68</v>
      </c>
      <c r="K689" s="23">
        <f>IFERROR(__xludf.DUMMYFUNCTION("""COMPUTED_VALUE"""),6.8)</f>
        <v>6.8</v>
      </c>
      <c r="L689" s="24">
        <f>IFERROR(__xludf.DUMMYFUNCTION("""COMPUTED_VALUE"""),10.0)</f>
        <v>10</v>
      </c>
      <c r="M689" s="25" t="str">
        <f>IFERROR(__xludf.DUMMYFUNCTION("""COMPUTED_VALUE"""),"Racing")</f>
        <v>Racing</v>
      </c>
      <c r="N689" s="25"/>
      <c r="O689" s="26" t="str">
        <f>IFERROR(__xludf.DUMMYFUNCTION("""COMPUTED_VALUE"""),"No")</f>
        <v>No</v>
      </c>
      <c r="P689" s="26"/>
    </row>
    <row r="690" hidden="1">
      <c r="A690" s="13" t="str">
        <f>IFERROR(__xludf.DUMMYFUNCTION("""COMPUTED_VALUE"""),"XCOM: Enemy Unknown")</f>
        <v>XCOM: Enemy Unknown</v>
      </c>
      <c r="B690" s="15" t="str">
        <f>IFERROR(__xludf.DUMMYFUNCTION("""COMPUTED_VALUE"""),"PS3")</f>
        <v>PS3</v>
      </c>
      <c r="C690" s="16" t="str">
        <f>IFERROR(__xludf.DUMMYFUNCTION("""COMPUTED_VALUE"""),"Playstation Plus (Discontinued)")</f>
        <v>Playstation Plus (Discontinued)</v>
      </c>
      <c r="D690" s="15" t="str">
        <f>IFERROR(__xludf.DUMMYFUNCTION("""COMPUTED_VALUE"""),"Removed")</f>
        <v>Removed</v>
      </c>
      <c r="E690" s="17">
        <f>IFERROR(__xludf.DUMMYFUNCTION("""COMPUTED_VALUE"""),41429.0)</f>
        <v>41429</v>
      </c>
      <c r="F690" s="54">
        <f>IFERROR(__xludf.DUMMYFUNCTION("""COMPUTED_VALUE"""),41456.0)</f>
        <v>41456</v>
      </c>
      <c r="G690" s="19">
        <f>IFERROR(__xludf.DUMMYFUNCTION("""COMPUTED_VALUE"""),0.8999999999999999)</f>
        <v>0.9</v>
      </c>
      <c r="H690" s="17">
        <f>IFERROR(__xludf.DUMMYFUNCTION("""COMPUTED_VALUE"""),41191.0)</f>
        <v>41191</v>
      </c>
      <c r="I690" s="19">
        <f>IFERROR(__xludf.DUMMYFUNCTION("""COMPUTED_VALUE"""),0.6527777777777778)</f>
        <v>0.6527777778</v>
      </c>
      <c r="J690" s="21">
        <f>IFERROR(__xludf.DUMMYFUNCTION("""COMPUTED_VALUE"""),89.0)</f>
        <v>89</v>
      </c>
      <c r="K690" s="23">
        <f>IFERROR(__xludf.DUMMYFUNCTION("""COMPUTED_VALUE"""),8.7)</f>
        <v>8.7</v>
      </c>
      <c r="L690" s="24">
        <f>IFERROR(__xludf.DUMMYFUNCTION("""COMPUTED_VALUE"""),26.0)</f>
        <v>26</v>
      </c>
      <c r="M690" s="25" t="str">
        <f>IFERROR(__xludf.DUMMYFUNCTION("""COMPUTED_VALUE"""),"Strategy")</f>
        <v>Strategy</v>
      </c>
      <c r="N690" s="25"/>
      <c r="O690" s="26" t="str">
        <f>IFERROR(__xludf.DUMMYFUNCTION("""COMPUTED_VALUE"""),"No")</f>
        <v>No</v>
      </c>
      <c r="P690" s="26"/>
    </row>
    <row r="691" hidden="1">
      <c r="A691" s="13" t="str">
        <f>IFERROR(__xludf.DUMMYFUNCTION("""COMPUTED_VALUE"""),"Uncharted 3: Drake's Deception (single-player)")</f>
        <v>Uncharted 3: Drake's Deception (single-player)</v>
      </c>
      <c r="B691" s="15" t="str">
        <f>IFERROR(__xludf.DUMMYFUNCTION("""COMPUTED_VALUE"""),"PS3")</f>
        <v>PS3</v>
      </c>
      <c r="C691" s="16" t="str">
        <f>IFERROR(__xludf.DUMMYFUNCTION("""COMPUTED_VALUE"""),"Playstation Plus (Discontinued)")</f>
        <v>Playstation Plus (Discontinued)</v>
      </c>
      <c r="D691" s="15" t="str">
        <f>IFERROR(__xludf.DUMMYFUNCTION("""COMPUTED_VALUE"""),"Removed")</f>
        <v>Removed</v>
      </c>
      <c r="E691" s="17">
        <f>IFERROR(__xludf.DUMMYFUNCTION("""COMPUTED_VALUE"""),41429.0)</f>
        <v>41429</v>
      </c>
      <c r="F691" s="54">
        <f>IFERROR(__xludf.DUMMYFUNCTION("""COMPUTED_VALUE"""),41456.0)</f>
        <v>41456</v>
      </c>
      <c r="G691" s="19">
        <f>IFERROR(__xludf.DUMMYFUNCTION("""COMPUTED_VALUE"""),0.8999999999999999)</f>
        <v>0.9</v>
      </c>
      <c r="H691" s="17">
        <f>IFERROR(__xludf.DUMMYFUNCTION("""COMPUTED_VALUE"""),40848.0)</f>
        <v>40848</v>
      </c>
      <c r="I691" s="19">
        <f>IFERROR(__xludf.DUMMYFUNCTION("""COMPUTED_VALUE"""),1.5916666666666666)</f>
        <v>1.591666667</v>
      </c>
      <c r="J691" s="21">
        <f>IFERROR(__xludf.DUMMYFUNCTION("""COMPUTED_VALUE"""),92.0)</f>
        <v>92</v>
      </c>
      <c r="K691" s="23">
        <f>IFERROR(__xludf.DUMMYFUNCTION("""COMPUTED_VALUE"""),8.3)</f>
        <v>8.3</v>
      </c>
      <c r="L691" s="24">
        <f>IFERROR(__xludf.DUMMYFUNCTION("""COMPUTED_VALUE"""),9.0)</f>
        <v>9</v>
      </c>
      <c r="M691" s="25" t="str">
        <f>IFERROR(__xludf.DUMMYFUNCTION("""COMPUTED_VALUE"""),"Action-Adventure")</f>
        <v>Action-Adventure</v>
      </c>
      <c r="N691" s="25"/>
      <c r="O691" s="26" t="str">
        <f>IFERROR(__xludf.DUMMYFUNCTION("""COMPUTED_VALUE"""),"No")</f>
        <v>No</v>
      </c>
      <c r="P691" s="26"/>
    </row>
    <row r="692" hidden="1">
      <c r="A692" s="13" t="str">
        <f>IFERROR(__xludf.DUMMYFUNCTION("""COMPUTED_VALUE"""),"Zero Escape: Virtue's Last Reward")</f>
        <v>Zero Escape: Virtue's Last Reward</v>
      </c>
      <c r="B692" s="15" t="str">
        <f>IFERROR(__xludf.DUMMYFUNCTION("""COMPUTED_VALUE"""),"Vita")</f>
        <v>Vita</v>
      </c>
      <c r="C692" s="16" t="str">
        <f>IFERROR(__xludf.DUMMYFUNCTION("""COMPUTED_VALUE"""),"Playstation Plus (Discontinued)")</f>
        <v>Playstation Plus (Discontinued)</v>
      </c>
      <c r="D692" s="15" t="str">
        <f>IFERROR(__xludf.DUMMYFUNCTION("""COMPUTED_VALUE"""),"Removed")</f>
        <v>Removed</v>
      </c>
      <c r="E692" s="17">
        <f>IFERROR(__xludf.DUMMYFUNCTION("""COMPUTED_VALUE"""),41429.0)</f>
        <v>41429</v>
      </c>
      <c r="F692" s="54">
        <f>IFERROR(__xludf.DUMMYFUNCTION("""COMPUTED_VALUE"""),41456.0)</f>
        <v>41456</v>
      </c>
      <c r="G692" s="19">
        <f>IFERROR(__xludf.DUMMYFUNCTION("""COMPUTED_VALUE"""),0.8999999999999999)</f>
        <v>0.9</v>
      </c>
      <c r="H692" s="17">
        <f>IFERROR(__xludf.DUMMYFUNCTION("""COMPUTED_VALUE"""),41205.0)</f>
        <v>41205</v>
      </c>
      <c r="I692" s="19">
        <f>IFERROR(__xludf.DUMMYFUNCTION("""COMPUTED_VALUE"""),0.6138888888888889)</f>
        <v>0.6138888889</v>
      </c>
      <c r="J692" s="21">
        <f>IFERROR(__xludf.DUMMYFUNCTION("""COMPUTED_VALUE"""),84.0)</f>
        <v>84</v>
      </c>
      <c r="K692" s="23">
        <f>IFERROR(__xludf.DUMMYFUNCTION("""COMPUTED_VALUE"""),8.8)</f>
        <v>8.8</v>
      </c>
      <c r="L692" s="24">
        <f>IFERROR(__xludf.DUMMYFUNCTION("""COMPUTED_VALUE"""),36.0)</f>
        <v>36</v>
      </c>
      <c r="M692" s="25" t="str">
        <f>IFERROR(__xludf.DUMMYFUNCTION("""COMPUTED_VALUE"""),"Adventure")</f>
        <v>Adventure</v>
      </c>
      <c r="N692" s="25"/>
      <c r="O692" s="26" t="str">
        <f>IFERROR(__xludf.DUMMYFUNCTION("""COMPUTED_VALUE"""),"No")</f>
        <v>No</v>
      </c>
      <c r="P692" s="26"/>
    </row>
    <row r="693" hidden="1">
      <c r="A693" s="13" t="str">
        <f>IFERROR(__xludf.DUMMYFUNCTION("""COMPUTED_VALUE"""),"Gods Eater Burst")</f>
        <v>Gods Eater Burst</v>
      </c>
      <c r="B693" s="15" t="str">
        <f>IFERROR(__xludf.DUMMYFUNCTION("""COMPUTED_VALUE"""),"PSP")</f>
        <v>PSP</v>
      </c>
      <c r="C693" s="16" t="str">
        <f>IFERROR(__xludf.DUMMYFUNCTION("""COMPUTED_VALUE"""),"Playstation Plus (Discontinued)")</f>
        <v>Playstation Plus (Discontinued)</v>
      </c>
      <c r="D693" s="15" t="str">
        <f>IFERROR(__xludf.DUMMYFUNCTION("""COMPUTED_VALUE"""),"Removed")</f>
        <v>Removed</v>
      </c>
      <c r="E693" s="17">
        <f>IFERROR(__xludf.DUMMYFUNCTION("""COMPUTED_VALUE"""),41429.0)</f>
        <v>41429</v>
      </c>
      <c r="F693" s="54">
        <f>IFERROR(__xludf.DUMMYFUNCTION("""COMPUTED_VALUE"""),41456.0)</f>
        <v>41456</v>
      </c>
      <c r="G693" s="19">
        <f>IFERROR(__xludf.DUMMYFUNCTION("""COMPUTED_VALUE"""),0.8999999999999999)</f>
        <v>0.9</v>
      </c>
      <c r="H693" s="17">
        <f>IFERROR(__xludf.DUMMYFUNCTION("""COMPUTED_VALUE"""),40620.0)</f>
        <v>40620</v>
      </c>
      <c r="I693" s="19">
        <f>IFERROR(__xludf.DUMMYFUNCTION("""COMPUTED_VALUE"""),2.2111111111111112)</f>
        <v>2.211111111</v>
      </c>
      <c r="J693" s="21">
        <f>IFERROR(__xludf.DUMMYFUNCTION("""COMPUTED_VALUE"""),71.0)</f>
        <v>71</v>
      </c>
      <c r="K693" s="23">
        <f>IFERROR(__xludf.DUMMYFUNCTION("""COMPUTED_VALUE"""),7.7)</f>
        <v>7.7</v>
      </c>
      <c r="L693" s="24">
        <f>IFERROR(__xludf.DUMMYFUNCTION("""COMPUTED_VALUE"""),47.0)</f>
        <v>47</v>
      </c>
      <c r="M693" s="25" t="str">
        <f>IFERROR(__xludf.DUMMYFUNCTION("""COMPUTED_VALUE"""),"RPG")</f>
        <v>RPG</v>
      </c>
      <c r="N693" s="25"/>
      <c r="O693" s="26" t="str">
        <f>IFERROR(__xludf.DUMMYFUNCTION("""COMPUTED_VALUE"""),"No")</f>
        <v>No</v>
      </c>
      <c r="P693" s="26"/>
    </row>
    <row r="694">
      <c r="A694" s="13" t="str">
        <f>IFERROR(__xludf.DUMMYFUNCTION("""COMPUTED_VALUE"""),"Saints Row: The Third")</f>
        <v>Saints Row: The Third</v>
      </c>
      <c r="B694" s="15" t="str">
        <f>IFERROR(__xludf.DUMMYFUNCTION("""COMPUTED_VALUE"""),"PS3")</f>
        <v>PS3</v>
      </c>
      <c r="C694" s="16" t="str">
        <f>IFERROR(__xludf.DUMMYFUNCTION("""COMPUTED_VALUE"""),"Playstation Plus (Discontinued)")</f>
        <v>Playstation Plus (Discontinued)</v>
      </c>
      <c r="D694" s="15" t="str">
        <f>IFERROR(__xludf.DUMMYFUNCTION("""COMPUTED_VALUE"""),"Removed")</f>
        <v>Removed</v>
      </c>
      <c r="E694" s="17">
        <f>IFERROR(__xludf.DUMMYFUNCTION("""COMPUTED_VALUE"""),41429.0)</f>
        <v>41429</v>
      </c>
      <c r="F694" s="54">
        <f>IFERROR(__xludf.DUMMYFUNCTION("""COMPUTED_VALUE"""),41456.0)</f>
        <v>41456</v>
      </c>
      <c r="G694" s="19">
        <f>IFERROR(__xludf.DUMMYFUNCTION("""COMPUTED_VALUE"""),0.8999999999999999)</f>
        <v>0.9</v>
      </c>
      <c r="H694" s="17">
        <f>IFERROR(__xludf.DUMMYFUNCTION("""COMPUTED_VALUE"""),40862.0)</f>
        <v>40862</v>
      </c>
      <c r="I694" s="19">
        <f>IFERROR(__xludf.DUMMYFUNCTION("""COMPUTED_VALUE"""),1.5527777777777778)</f>
        <v>1.552777778</v>
      </c>
      <c r="J694" s="21">
        <f>IFERROR(__xludf.DUMMYFUNCTION("""COMPUTED_VALUE"""),84.0)</f>
        <v>84</v>
      </c>
      <c r="K694" s="23">
        <f>IFERROR(__xludf.DUMMYFUNCTION("""COMPUTED_VALUE"""),8.3)</f>
        <v>8.3</v>
      </c>
      <c r="L694" s="24">
        <f>IFERROR(__xludf.DUMMYFUNCTION("""COMPUTED_VALUE"""),16.0)</f>
        <v>16</v>
      </c>
      <c r="M694" s="25" t="str">
        <f>IFERROR(__xludf.DUMMYFUNCTION("""COMPUTED_VALUE"""),"Action-Adventure")</f>
        <v>Action-Adventure</v>
      </c>
      <c r="N694" s="25"/>
      <c r="O694" s="26" t="str">
        <f>IFERROR(__xludf.DUMMYFUNCTION("""COMPUTED_VALUE"""),"No")</f>
        <v>No</v>
      </c>
      <c r="P694" s="26"/>
    </row>
    <row r="695">
      <c r="A695" s="13" t="str">
        <f>IFERROR(__xludf.DUMMYFUNCTION("""COMPUTED_VALUE"""),"Machinarium")</f>
        <v>Machinarium</v>
      </c>
      <c r="B695" s="15" t="str">
        <f>IFERROR(__xludf.DUMMYFUNCTION("""COMPUTED_VALUE"""),"PS3/Vita")</f>
        <v>PS3/Vita</v>
      </c>
      <c r="C695" s="16" t="str">
        <f>IFERROR(__xludf.DUMMYFUNCTION("""COMPUTED_VALUE"""),"Playstation Plus (Discontinued)")</f>
        <v>Playstation Plus (Discontinued)</v>
      </c>
      <c r="D695" s="15" t="str">
        <f>IFERROR(__xludf.DUMMYFUNCTION("""COMPUTED_VALUE"""),"Removed")</f>
        <v>Removed</v>
      </c>
      <c r="E695" s="17">
        <f>IFERROR(__xludf.DUMMYFUNCTION("""COMPUTED_VALUE"""),41429.0)</f>
        <v>41429</v>
      </c>
      <c r="F695" s="54">
        <f>IFERROR(__xludf.DUMMYFUNCTION("""COMPUTED_VALUE"""),41456.0)</f>
        <v>41456</v>
      </c>
      <c r="G695" s="19">
        <f>IFERROR(__xludf.DUMMYFUNCTION("""COMPUTED_VALUE"""),0.8999999999999999)</f>
        <v>0.9</v>
      </c>
      <c r="H695" s="17">
        <f>IFERROR(__xludf.DUMMYFUNCTION("""COMPUTED_VALUE"""),40102.0)</f>
        <v>40102</v>
      </c>
      <c r="I695" s="19">
        <f>IFERROR(__xludf.DUMMYFUNCTION("""COMPUTED_VALUE"""),3.6333333333333333)</f>
        <v>3.633333333</v>
      </c>
      <c r="J695" s="21">
        <f>IFERROR(__xludf.DUMMYFUNCTION("""COMPUTED_VALUE"""),85.0)</f>
        <v>85</v>
      </c>
      <c r="K695" s="23">
        <f>IFERROR(__xludf.DUMMYFUNCTION("""COMPUTED_VALUE"""),8.4)</f>
        <v>8.4</v>
      </c>
      <c r="L695" s="24">
        <f>IFERROR(__xludf.DUMMYFUNCTION("""COMPUTED_VALUE"""),6.0)</f>
        <v>6</v>
      </c>
      <c r="M695" s="25" t="str">
        <f>IFERROR(__xludf.DUMMYFUNCTION("""COMPUTED_VALUE"""),"Adventure")</f>
        <v>Adventure</v>
      </c>
      <c r="N695" s="25"/>
      <c r="O695" s="26" t="str">
        <f>IFERROR(__xludf.DUMMYFUNCTION("""COMPUTED_VALUE"""),"No")</f>
        <v>No</v>
      </c>
      <c r="P695" s="26"/>
    </row>
    <row r="696">
      <c r="A696" s="13" t="str">
        <f>IFERROR(__xludf.DUMMYFUNCTION("""COMPUTED_VALUE"""),"Deus Ex: Human Revolution")</f>
        <v>Deus Ex: Human Revolution</v>
      </c>
      <c r="B696" s="15" t="str">
        <f>IFERROR(__xludf.DUMMYFUNCTION("""COMPUTED_VALUE"""),"PS3")</f>
        <v>PS3</v>
      </c>
      <c r="C696" s="16" t="str">
        <f>IFERROR(__xludf.DUMMYFUNCTION("""COMPUTED_VALUE"""),"Playstation Plus (Discontinued)")</f>
        <v>Playstation Plus (Discontinued)</v>
      </c>
      <c r="D696" s="15" t="str">
        <f>IFERROR(__xludf.DUMMYFUNCTION("""COMPUTED_VALUE"""),"Removed")</f>
        <v>Removed</v>
      </c>
      <c r="E696" s="17">
        <f>IFERROR(__xludf.DUMMYFUNCTION("""COMPUTED_VALUE"""),41429.0)</f>
        <v>41429</v>
      </c>
      <c r="F696" s="54">
        <f>IFERROR(__xludf.DUMMYFUNCTION("""COMPUTED_VALUE"""),41456.0)</f>
        <v>41456</v>
      </c>
      <c r="G696" s="19">
        <f>IFERROR(__xludf.DUMMYFUNCTION("""COMPUTED_VALUE"""),0.8999999999999999)</f>
        <v>0.9</v>
      </c>
      <c r="H696" s="17">
        <f>IFERROR(__xludf.DUMMYFUNCTION("""COMPUTED_VALUE"""),40778.0)</f>
        <v>40778</v>
      </c>
      <c r="I696" s="19">
        <f>IFERROR(__xludf.DUMMYFUNCTION("""COMPUTED_VALUE"""),1.7805555555555554)</f>
        <v>1.780555556</v>
      </c>
      <c r="J696" s="21">
        <f>IFERROR(__xludf.DUMMYFUNCTION("""COMPUTED_VALUE"""),89.0)</f>
        <v>89</v>
      </c>
      <c r="K696" s="23">
        <f>IFERROR(__xludf.DUMMYFUNCTION("""COMPUTED_VALUE"""),8.7)</f>
        <v>8.7</v>
      </c>
      <c r="L696" s="24">
        <f>IFERROR(__xludf.DUMMYFUNCTION("""COMPUTED_VALUE"""),22.0)</f>
        <v>22</v>
      </c>
      <c r="M696" s="25" t="str">
        <f>IFERROR(__xludf.DUMMYFUNCTION("""COMPUTED_VALUE"""),"Action-Adventure")</f>
        <v>Action-Adventure</v>
      </c>
      <c r="N696" s="25"/>
      <c r="O696" s="26" t="str">
        <f>IFERROR(__xludf.DUMMYFUNCTION("""COMPUTED_VALUE"""),"No")</f>
        <v>No</v>
      </c>
      <c r="P696" s="26"/>
    </row>
    <row r="697">
      <c r="A697" s="13" t="str">
        <f>IFERROR(__xludf.DUMMYFUNCTION("""COMPUTED_VALUE"""),"Germinator")</f>
        <v>Germinator</v>
      </c>
      <c r="B697" s="15" t="str">
        <f>IFERROR(__xludf.DUMMYFUNCTION("""COMPUTED_VALUE"""),"Vita")</f>
        <v>Vita</v>
      </c>
      <c r="C697" s="16" t="str">
        <f>IFERROR(__xludf.DUMMYFUNCTION("""COMPUTED_VALUE"""),"Playstation Plus (Discontinued)")</f>
        <v>Playstation Plus (Discontinued)</v>
      </c>
      <c r="D697" s="15" t="str">
        <f>IFERROR(__xludf.DUMMYFUNCTION("""COMPUTED_VALUE"""),"Removed")</f>
        <v>Removed</v>
      </c>
      <c r="E697" s="17">
        <f>IFERROR(__xludf.DUMMYFUNCTION("""COMPUTED_VALUE"""),41401.0)</f>
        <v>41401</v>
      </c>
      <c r="F697" s="54">
        <f>IFERROR(__xludf.DUMMYFUNCTION("""COMPUTED_VALUE"""),41428.0)</f>
        <v>41428</v>
      </c>
      <c r="G697" s="19">
        <f>IFERROR(__xludf.DUMMYFUNCTION("""COMPUTED_VALUE"""),0.8666666666666666)</f>
        <v>0.8666666667</v>
      </c>
      <c r="H697" s="17">
        <f>IFERROR(__xludf.DUMMYFUNCTION("""COMPUTED_VALUE"""),41303.0)</f>
        <v>41303</v>
      </c>
      <c r="I697" s="19">
        <f>IFERROR(__xludf.DUMMYFUNCTION("""COMPUTED_VALUE"""),0.2722222222222222)</f>
        <v>0.2722222222</v>
      </c>
      <c r="J697" s="21">
        <f>IFERROR(__xludf.DUMMYFUNCTION("""COMPUTED_VALUE"""),59.0)</f>
        <v>59</v>
      </c>
      <c r="K697" s="23">
        <f>IFERROR(__xludf.DUMMYFUNCTION("""COMPUTED_VALUE"""),6.7)</f>
        <v>6.7</v>
      </c>
      <c r="L697" s="24"/>
      <c r="M697" s="25" t="str">
        <f>IFERROR(__xludf.DUMMYFUNCTION("""COMPUTED_VALUE"""),"Shooter")</f>
        <v>Shooter</v>
      </c>
      <c r="N697" s="25"/>
      <c r="O697" s="26" t="str">
        <f>IFERROR(__xludf.DUMMYFUNCTION("""COMPUTED_VALUE"""),"No")</f>
        <v>No</v>
      </c>
      <c r="P697" s="26"/>
    </row>
    <row r="698">
      <c r="A698" s="13" t="str">
        <f>IFERROR(__xludf.DUMMYFUNCTION("""COMPUTED_VALUE"""),"Pinball Arcade")</f>
        <v>Pinball Arcade</v>
      </c>
      <c r="B698" s="15" t="str">
        <f>IFERROR(__xludf.DUMMYFUNCTION("""COMPUTED_VALUE"""),"PS3/Vita")</f>
        <v>PS3/Vita</v>
      </c>
      <c r="C698" s="16" t="str">
        <f>IFERROR(__xludf.DUMMYFUNCTION("""COMPUTED_VALUE"""),"Playstation Plus (Discontinued)")</f>
        <v>Playstation Plus (Discontinued)</v>
      </c>
      <c r="D698" s="15" t="str">
        <f>IFERROR(__xludf.DUMMYFUNCTION("""COMPUTED_VALUE"""),"Removed")</f>
        <v>Removed</v>
      </c>
      <c r="E698" s="17">
        <f>IFERROR(__xludf.DUMMYFUNCTION("""COMPUTED_VALUE"""),41401.0)</f>
        <v>41401</v>
      </c>
      <c r="F698" s="54">
        <f>IFERROR(__xludf.DUMMYFUNCTION("""COMPUTED_VALUE"""),41428.0)</f>
        <v>41428</v>
      </c>
      <c r="G698" s="19">
        <f>IFERROR(__xludf.DUMMYFUNCTION("""COMPUTED_VALUE"""),0.8666666666666666)</f>
        <v>0.8666666667</v>
      </c>
      <c r="H698" s="17">
        <f>IFERROR(__xludf.DUMMYFUNCTION("""COMPUTED_VALUE"""),41262.0)</f>
        <v>41262</v>
      </c>
      <c r="I698" s="19">
        <f>IFERROR(__xludf.DUMMYFUNCTION("""COMPUTED_VALUE"""),0.38333333333333336)</f>
        <v>0.3833333333</v>
      </c>
      <c r="J698" s="21">
        <f>IFERROR(__xludf.DUMMYFUNCTION("""COMPUTED_VALUE"""),73.0)</f>
        <v>73</v>
      </c>
      <c r="K698" s="23">
        <f>IFERROR(__xludf.DUMMYFUNCTION("""COMPUTED_VALUE"""),7.8)</f>
        <v>7.8</v>
      </c>
      <c r="L698" s="24"/>
      <c r="M698" s="25" t="str">
        <f>IFERROR(__xludf.DUMMYFUNCTION("""COMPUTED_VALUE"""),"Pinball")</f>
        <v>Pinball</v>
      </c>
      <c r="N698" s="25"/>
      <c r="O698" s="26" t="str">
        <f>IFERROR(__xludf.DUMMYFUNCTION("""COMPUTED_VALUE"""),"No")</f>
        <v>No</v>
      </c>
      <c r="P698" s="26"/>
    </row>
    <row r="699">
      <c r="A699" s="13" t="str">
        <f>IFERROR(__xludf.DUMMYFUNCTION("""COMPUTED_VALUE"""),"BlazBlue: Continuum Shift Extend")</f>
        <v>BlazBlue: Continuum Shift Extend</v>
      </c>
      <c r="B699" s="15" t="str">
        <f>IFERROR(__xludf.DUMMYFUNCTION("""COMPUTED_VALUE"""),"Vita")</f>
        <v>Vita</v>
      </c>
      <c r="C699" s="16" t="str">
        <f>IFERROR(__xludf.DUMMYFUNCTION("""COMPUTED_VALUE"""),"Playstation Plus (Discontinued)")</f>
        <v>Playstation Plus (Discontinued)</v>
      </c>
      <c r="D699" s="15" t="str">
        <f>IFERROR(__xludf.DUMMYFUNCTION("""COMPUTED_VALUE"""),"Removed")</f>
        <v>Removed</v>
      </c>
      <c r="E699" s="17">
        <f>IFERROR(__xludf.DUMMYFUNCTION("""COMPUTED_VALUE"""),41401.0)</f>
        <v>41401</v>
      </c>
      <c r="F699" s="54">
        <f>IFERROR(__xludf.DUMMYFUNCTION("""COMPUTED_VALUE"""),41428.0)</f>
        <v>41428</v>
      </c>
      <c r="G699" s="19">
        <f>IFERROR(__xludf.DUMMYFUNCTION("""COMPUTED_VALUE"""),0.8666666666666666)</f>
        <v>0.8666666667</v>
      </c>
      <c r="H699" s="17">
        <f>IFERROR(__xludf.DUMMYFUNCTION("""COMPUTED_VALUE"""),40908.0)</f>
        <v>40908</v>
      </c>
      <c r="I699" s="19">
        <f>IFERROR(__xludf.DUMMYFUNCTION("""COMPUTED_VALUE"""),1.3527777777777779)</f>
        <v>1.352777778</v>
      </c>
      <c r="J699" s="21">
        <f>IFERROR(__xludf.DUMMYFUNCTION("""COMPUTED_VALUE"""),83.0)</f>
        <v>83</v>
      </c>
      <c r="K699" s="23">
        <f>IFERROR(__xludf.DUMMYFUNCTION("""COMPUTED_VALUE"""),7.9)</f>
        <v>7.9</v>
      </c>
      <c r="L699" s="24"/>
      <c r="M699" s="25" t="str">
        <f>IFERROR(__xludf.DUMMYFUNCTION("""COMPUTED_VALUE"""),"Fighting")</f>
        <v>Fighting</v>
      </c>
      <c r="N699" s="25"/>
      <c r="O699" s="26" t="str">
        <f>IFERROR(__xludf.DUMMYFUNCTION("""COMPUTED_VALUE"""),"No")</f>
        <v>No</v>
      </c>
      <c r="P699" s="26"/>
    </row>
    <row r="700" hidden="1">
      <c r="A700" s="13" t="str">
        <f>IFERROR(__xludf.DUMMYFUNCTION("""COMPUTED_VALUE"""),"Knytt Underground")</f>
        <v>Knytt Underground</v>
      </c>
      <c r="B700" s="15" t="str">
        <f>IFERROR(__xludf.DUMMYFUNCTION("""COMPUTED_VALUE"""),"PS3/Vita")</f>
        <v>PS3/Vita</v>
      </c>
      <c r="C700" s="16" t="str">
        <f>IFERROR(__xludf.DUMMYFUNCTION("""COMPUTED_VALUE"""),"Playstation Plus (Discontinued)")</f>
        <v>Playstation Plus (Discontinued)</v>
      </c>
      <c r="D700" s="15" t="str">
        <f>IFERROR(__xludf.DUMMYFUNCTION("""COMPUTED_VALUE"""),"Removed")</f>
        <v>Removed</v>
      </c>
      <c r="E700" s="17">
        <f>IFERROR(__xludf.DUMMYFUNCTION("""COMPUTED_VALUE"""),41401.0)</f>
        <v>41401</v>
      </c>
      <c r="F700" s="54">
        <f>IFERROR(__xludf.DUMMYFUNCTION("""COMPUTED_VALUE"""),41428.0)</f>
        <v>41428</v>
      </c>
      <c r="G700" s="19">
        <f>IFERROR(__xludf.DUMMYFUNCTION("""COMPUTED_VALUE"""),0.8666666666666666)</f>
        <v>0.8666666667</v>
      </c>
      <c r="H700" s="17">
        <f>IFERROR(__xludf.DUMMYFUNCTION("""COMPUTED_VALUE"""),41264.0)</f>
        <v>41264</v>
      </c>
      <c r="I700" s="19">
        <f>IFERROR(__xludf.DUMMYFUNCTION("""COMPUTED_VALUE"""),0.37777777777777777)</f>
        <v>0.3777777778</v>
      </c>
      <c r="J700" s="21">
        <f>IFERROR(__xludf.DUMMYFUNCTION("""COMPUTED_VALUE"""),68.0)</f>
        <v>68</v>
      </c>
      <c r="K700" s="23">
        <f>IFERROR(__xludf.DUMMYFUNCTION("""COMPUTED_VALUE"""),7.2)</f>
        <v>7.2</v>
      </c>
      <c r="L700" s="24">
        <f>IFERROR(__xludf.DUMMYFUNCTION("""COMPUTED_VALUE"""),20.0)</f>
        <v>20</v>
      </c>
      <c r="M700" s="25" t="str">
        <f>IFERROR(__xludf.DUMMYFUNCTION("""COMPUTED_VALUE"""),"Platformer")</f>
        <v>Platformer</v>
      </c>
      <c r="N700" s="25"/>
      <c r="O700" s="26" t="str">
        <f>IFERROR(__xludf.DUMMYFUNCTION("""COMPUTED_VALUE"""),"No")</f>
        <v>No</v>
      </c>
      <c r="P700" s="26"/>
    </row>
    <row r="701" hidden="1">
      <c r="A701" s="13" t="str">
        <f>IFERROR(__xludf.DUMMYFUNCTION("""COMPUTED_VALUE"""),"Sleeping Dogs")</f>
        <v>Sleeping Dogs</v>
      </c>
      <c r="B701" s="15" t="str">
        <f>IFERROR(__xludf.DUMMYFUNCTION("""COMPUTED_VALUE"""),"PS3")</f>
        <v>PS3</v>
      </c>
      <c r="C701" s="16" t="str">
        <f>IFERROR(__xludf.DUMMYFUNCTION("""COMPUTED_VALUE"""),"Playstation Plus (Discontinued)")</f>
        <v>Playstation Plus (Discontinued)</v>
      </c>
      <c r="D701" s="15" t="str">
        <f>IFERROR(__xludf.DUMMYFUNCTION("""COMPUTED_VALUE"""),"Removed")</f>
        <v>Removed</v>
      </c>
      <c r="E701" s="17">
        <f>IFERROR(__xludf.DUMMYFUNCTION("""COMPUTED_VALUE"""),41401.0)</f>
        <v>41401</v>
      </c>
      <c r="F701" s="54">
        <f>IFERROR(__xludf.DUMMYFUNCTION("""COMPUTED_VALUE"""),41428.0)</f>
        <v>41428</v>
      </c>
      <c r="G701" s="19">
        <f>IFERROR(__xludf.DUMMYFUNCTION("""COMPUTED_VALUE"""),0.8666666666666666)</f>
        <v>0.8666666667</v>
      </c>
      <c r="H701" s="17">
        <f>IFERROR(__xludf.DUMMYFUNCTION("""COMPUTED_VALUE"""),41135.0)</f>
        <v>41135</v>
      </c>
      <c r="I701" s="19">
        <f>IFERROR(__xludf.DUMMYFUNCTION("""COMPUTED_VALUE"""),0.7305555555555555)</f>
        <v>0.7305555556</v>
      </c>
      <c r="J701" s="21">
        <f>IFERROR(__xludf.DUMMYFUNCTION("""COMPUTED_VALUE"""),80.0)</f>
        <v>80</v>
      </c>
      <c r="K701" s="23">
        <f>IFERROR(__xludf.DUMMYFUNCTION("""COMPUTED_VALUE"""),8.1)</f>
        <v>8.1</v>
      </c>
      <c r="L701" s="24">
        <f>IFERROR(__xludf.DUMMYFUNCTION("""COMPUTED_VALUE"""),15.0)</f>
        <v>15</v>
      </c>
      <c r="M701" s="25" t="str">
        <f>IFERROR(__xludf.DUMMYFUNCTION("""COMPUTED_VALUE"""),"Action-Adventure")</f>
        <v>Action-Adventure</v>
      </c>
      <c r="N701" s="25"/>
      <c r="O701" s="26" t="str">
        <f>IFERROR(__xludf.DUMMYFUNCTION("""COMPUTED_VALUE"""),"No")</f>
        <v>No</v>
      </c>
      <c r="P701" s="26"/>
    </row>
    <row r="702" hidden="1">
      <c r="A702" s="13" t="str">
        <f>IFERROR(__xludf.DUMMYFUNCTION("""COMPUTED_VALUE"""),"Zombie Tycoon 2")</f>
        <v>Zombie Tycoon 2</v>
      </c>
      <c r="B702" s="15" t="str">
        <f>IFERROR(__xludf.DUMMYFUNCTION("""COMPUTED_VALUE"""),"PS3/Vita")</f>
        <v>PS3/Vita</v>
      </c>
      <c r="C702" s="16" t="str">
        <f>IFERROR(__xludf.DUMMYFUNCTION("""COMPUTED_VALUE"""),"Playstation Plus (Discontinued)")</f>
        <v>Playstation Plus (Discontinued)</v>
      </c>
      <c r="D702" s="15" t="str">
        <f>IFERROR(__xludf.DUMMYFUNCTION("""COMPUTED_VALUE"""),"Removed")</f>
        <v>Removed</v>
      </c>
      <c r="E702" s="17">
        <f>IFERROR(__xludf.DUMMYFUNCTION("""COMPUTED_VALUE"""),41394.0)</f>
        <v>41394</v>
      </c>
      <c r="F702" s="54">
        <f>IFERROR(__xludf.DUMMYFUNCTION("""COMPUTED_VALUE"""),41400.0)</f>
        <v>41400</v>
      </c>
      <c r="G702" s="19">
        <f>IFERROR(__xludf.DUMMYFUNCTION("""COMPUTED_VALUE"""),0.2)</f>
        <v>0.2</v>
      </c>
      <c r="H702" s="17">
        <f>IFERROR(__xludf.DUMMYFUNCTION("""COMPUTED_VALUE"""),41394.0)</f>
        <v>41394</v>
      </c>
      <c r="I702" s="19">
        <f>IFERROR(__xludf.DUMMYFUNCTION("""COMPUTED_VALUE"""),0.0)</f>
        <v>0</v>
      </c>
      <c r="J702" s="21">
        <f>IFERROR(__xludf.DUMMYFUNCTION("""COMPUTED_VALUE"""),59.0)</f>
        <v>59</v>
      </c>
      <c r="K702" s="23">
        <f>IFERROR(__xludf.DUMMYFUNCTION("""COMPUTED_VALUE"""),6.5)</f>
        <v>6.5</v>
      </c>
      <c r="L702" s="24">
        <f>IFERROR(__xludf.DUMMYFUNCTION("""COMPUTED_VALUE"""),6.0)</f>
        <v>6</v>
      </c>
      <c r="M702" s="25" t="str">
        <f>IFERROR(__xludf.DUMMYFUNCTION("""COMPUTED_VALUE"""),"Strategy")</f>
        <v>Strategy</v>
      </c>
      <c r="N702" s="25"/>
      <c r="O702" s="26" t="str">
        <f>IFERROR(__xludf.DUMMYFUNCTION("""COMPUTED_VALUE"""),"No")</f>
        <v>No</v>
      </c>
      <c r="P702" s="26"/>
    </row>
    <row r="703" hidden="1">
      <c r="A703" s="13" t="str">
        <f>IFERROR(__xludf.DUMMYFUNCTION("""COMPUTED_VALUE"""),"SoulCalibur: Broken Destiny")</f>
        <v>SoulCalibur: Broken Destiny</v>
      </c>
      <c r="B703" s="15" t="str">
        <f>IFERROR(__xludf.DUMMYFUNCTION("""COMPUTED_VALUE"""),"PSP")</f>
        <v>PSP</v>
      </c>
      <c r="C703" s="16" t="str">
        <f>IFERROR(__xludf.DUMMYFUNCTION("""COMPUTED_VALUE"""),"Playstation Plus (Discontinued)")</f>
        <v>Playstation Plus (Discontinued)</v>
      </c>
      <c r="D703" s="15" t="str">
        <f>IFERROR(__xludf.DUMMYFUNCTION("""COMPUTED_VALUE"""),"Removed")</f>
        <v>Removed</v>
      </c>
      <c r="E703" s="17">
        <f>IFERROR(__xludf.DUMMYFUNCTION("""COMPUTED_VALUE"""),41366.0)</f>
        <v>41366</v>
      </c>
      <c r="F703" s="54">
        <f>IFERROR(__xludf.DUMMYFUNCTION("""COMPUTED_VALUE"""),41400.0)</f>
        <v>41400</v>
      </c>
      <c r="G703" s="19">
        <f>IFERROR(__xludf.DUMMYFUNCTION("""COMPUTED_VALUE"""),1.1333333333333333)</f>
        <v>1.133333333</v>
      </c>
      <c r="H703" s="17">
        <f>IFERROR(__xludf.DUMMYFUNCTION("""COMPUTED_VALUE"""),40052.0)</f>
        <v>40052</v>
      </c>
      <c r="I703" s="19">
        <f>IFERROR(__xludf.DUMMYFUNCTION("""COMPUTED_VALUE"""),3.5972222222222223)</f>
        <v>3.597222222</v>
      </c>
      <c r="J703" s="21">
        <f>IFERROR(__xludf.DUMMYFUNCTION("""COMPUTED_VALUE"""),79.0)</f>
        <v>79</v>
      </c>
      <c r="K703" s="23">
        <f>IFERROR(__xludf.DUMMYFUNCTION("""COMPUTED_VALUE"""),7.9)</f>
        <v>7.9</v>
      </c>
      <c r="L703" s="24"/>
      <c r="M703" s="25" t="str">
        <f>IFERROR(__xludf.DUMMYFUNCTION("""COMPUTED_VALUE"""),"Fighting")</f>
        <v>Fighting</v>
      </c>
      <c r="N703" s="25"/>
      <c r="O703" s="26" t="str">
        <f>IFERROR(__xludf.DUMMYFUNCTION("""COMPUTED_VALUE"""),"No")</f>
        <v>No</v>
      </c>
      <c r="P703" s="26"/>
    </row>
    <row r="704" hidden="1">
      <c r="A704" s="13" t="str">
        <f>IFERROR(__xludf.DUMMYFUNCTION("""COMPUTED_VALUE"""),"Labyrinth Legends")</f>
        <v>Labyrinth Legends</v>
      </c>
      <c r="B704" s="15" t="str">
        <f>IFERROR(__xludf.DUMMYFUNCTION("""COMPUTED_VALUE"""),"PS3")</f>
        <v>PS3</v>
      </c>
      <c r="C704" s="16" t="str">
        <f>IFERROR(__xludf.DUMMYFUNCTION("""COMPUTED_VALUE"""),"Playstation Plus (Discontinued)")</f>
        <v>Playstation Plus (Discontinued)</v>
      </c>
      <c r="D704" s="15" t="str">
        <f>IFERROR(__xludf.DUMMYFUNCTION("""COMPUTED_VALUE"""),"Removed")</f>
        <v>Removed</v>
      </c>
      <c r="E704" s="17">
        <f>IFERROR(__xludf.DUMMYFUNCTION("""COMPUTED_VALUE"""),41366.0)</f>
        <v>41366</v>
      </c>
      <c r="F704" s="54">
        <f>IFERROR(__xludf.DUMMYFUNCTION("""COMPUTED_VALUE"""),41400.0)</f>
        <v>41400</v>
      </c>
      <c r="G704" s="19">
        <f>IFERROR(__xludf.DUMMYFUNCTION("""COMPUTED_VALUE"""),1.1333333333333333)</f>
        <v>1.133333333</v>
      </c>
      <c r="H704" s="17">
        <f>IFERROR(__xludf.DUMMYFUNCTION("""COMPUTED_VALUE"""),41261.0)</f>
        <v>41261</v>
      </c>
      <c r="I704" s="19">
        <f>IFERROR(__xludf.DUMMYFUNCTION("""COMPUTED_VALUE"""),0.28888888888888886)</f>
        <v>0.2888888889</v>
      </c>
      <c r="J704" s="21">
        <f>IFERROR(__xludf.DUMMYFUNCTION("""COMPUTED_VALUE"""),64.0)</f>
        <v>64</v>
      </c>
      <c r="K704" s="23">
        <f>IFERROR(__xludf.DUMMYFUNCTION("""COMPUTED_VALUE"""),6.8)</f>
        <v>6.8</v>
      </c>
      <c r="L704" s="24">
        <f>IFERROR(__xludf.DUMMYFUNCTION("""COMPUTED_VALUE"""),6.0)</f>
        <v>6</v>
      </c>
      <c r="M704" s="25" t="str">
        <f>IFERROR(__xludf.DUMMYFUNCTION("""COMPUTED_VALUE"""),"Action-Adventure")</f>
        <v>Action-Adventure</v>
      </c>
      <c r="N704" s="25"/>
      <c r="O704" s="26" t="str">
        <f>IFERROR(__xludf.DUMMYFUNCTION("""COMPUTED_VALUE"""),"No")</f>
        <v>No</v>
      </c>
      <c r="P704" s="26"/>
    </row>
    <row r="705" hidden="1">
      <c r="A705" s="13" t="str">
        <f>IFERROR(__xludf.DUMMYFUNCTION("""COMPUTED_VALUE"""),"Malicious")</f>
        <v>Malicious</v>
      </c>
      <c r="B705" s="15" t="str">
        <f>IFERROR(__xludf.DUMMYFUNCTION("""COMPUTED_VALUE"""),"PS3")</f>
        <v>PS3</v>
      </c>
      <c r="C705" s="16" t="str">
        <f>IFERROR(__xludf.DUMMYFUNCTION("""COMPUTED_VALUE"""),"Playstation Plus (Discontinued)")</f>
        <v>Playstation Plus (Discontinued)</v>
      </c>
      <c r="D705" s="15" t="str">
        <f>IFERROR(__xludf.DUMMYFUNCTION("""COMPUTED_VALUE"""),"Removed")</f>
        <v>Removed</v>
      </c>
      <c r="E705" s="17">
        <f>IFERROR(__xludf.DUMMYFUNCTION("""COMPUTED_VALUE"""),41366.0)</f>
        <v>41366</v>
      </c>
      <c r="F705" s="54">
        <f>IFERROR(__xludf.DUMMYFUNCTION("""COMPUTED_VALUE"""),41400.0)</f>
        <v>41400</v>
      </c>
      <c r="G705" s="19">
        <f>IFERROR(__xludf.DUMMYFUNCTION("""COMPUTED_VALUE"""),1.1333333333333333)</f>
        <v>1.133333333</v>
      </c>
      <c r="H705" s="17">
        <f>IFERROR(__xludf.DUMMYFUNCTION("""COMPUTED_VALUE"""),40478.0)</f>
        <v>40478</v>
      </c>
      <c r="I705" s="19">
        <f>IFERROR(__xludf.DUMMYFUNCTION("""COMPUTED_VALUE"""),2.4305555555555554)</f>
        <v>2.430555556</v>
      </c>
      <c r="J705" s="21">
        <f>IFERROR(__xludf.DUMMYFUNCTION("""COMPUTED_VALUE"""),68.0)</f>
        <v>68</v>
      </c>
      <c r="K705" s="23">
        <f>IFERROR(__xludf.DUMMYFUNCTION("""COMPUTED_VALUE"""),7.2)</f>
        <v>7.2</v>
      </c>
      <c r="L705" s="24">
        <f>IFERROR(__xludf.DUMMYFUNCTION("""COMPUTED_VALUE"""),5.0)</f>
        <v>5</v>
      </c>
      <c r="M705" s="25" t="str">
        <f>IFERROR(__xludf.DUMMYFUNCTION("""COMPUTED_VALUE"""),"Action-Adventure")</f>
        <v>Action-Adventure</v>
      </c>
      <c r="N705" s="25"/>
      <c r="O705" s="26" t="str">
        <f>IFERROR(__xludf.DUMMYFUNCTION("""COMPUTED_VALUE"""),"No")</f>
        <v>No</v>
      </c>
      <c r="P705" s="26"/>
    </row>
    <row r="706" hidden="1">
      <c r="A706" s="13" t="str">
        <f>IFERROR(__xludf.DUMMYFUNCTION("""COMPUTED_VALUE"""),"Demon’s Souls")</f>
        <v>Demon’s Souls</v>
      </c>
      <c r="B706" s="15" t="str">
        <f>IFERROR(__xludf.DUMMYFUNCTION("""COMPUTED_VALUE"""),"PS3")</f>
        <v>PS3</v>
      </c>
      <c r="C706" s="16" t="str">
        <f>IFERROR(__xludf.DUMMYFUNCTION("""COMPUTED_VALUE"""),"Playstation Plus (Discontinued)")</f>
        <v>Playstation Plus (Discontinued)</v>
      </c>
      <c r="D706" s="15" t="str">
        <f>IFERROR(__xludf.DUMMYFUNCTION("""COMPUTED_VALUE"""),"Removed")</f>
        <v>Removed</v>
      </c>
      <c r="E706" s="17">
        <f>IFERROR(__xludf.DUMMYFUNCTION("""COMPUTED_VALUE"""),41366.0)</f>
        <v>41366</v>
      </c>
      <c r="F706" s="54">
        <f>IFERROR(__xludf.DUMMYFUNCTION("""COMPUTED_VALUE"""),41400.0)</f>
        <v>41400</v>
      </c>
      <c r="G706" s="19">
        <f>IFERROR(__xludf.DUMMYFUNCTION("""COMPUTED_VALUE"""),1.1333333333333333)</f>
        <v>1.133333333</v>
      </c>
      <c r="H706" s="17">
        <f>IFERROR(__xludf.DUMMYFUNCTION("""COMPUTED_VALUE"""),40092.0)</f>
        <v>40092</v>
      </c>
      <c r="I706" s="19">
        <f>IFERROR(__xludf.DUMMYFUNCTION("""COMPUTED_VALUE"""),3.488888888888889)</f>
        <v>3.488888889</v>
      </c>
      <c r="J706" s="21">
        <f>IFERROR(__xludf.DUMMYFUNCTION("""COMPUTED_VALUE"""),92.0)</f>
        <v>92</v>
      </c>
      <c r="K706" s="23">
        <f>IFERROR(__xludf.DUMMYFUNCTION("""COMPUTED_VALUE"""),8.9)</f>
        <v>8.9</v>
      </c>
      <c r="L706" s="24">
        <f>IFERROR(__xludf.DUMMYFUNCTION("""COMPUTED_VALUE"""),25.0)</f>
        <v>25</v>
      </c>
      <c r="M706" s="25" t="str">
        <f>IFERROR(__xludf.DUMMYFUNCTION("""COMPUTED_VALUE"""),"RPG")</f>
        <v>RPG</v>
      </c>
      <c r="N706" s="25"/>
      <c r="O706" s="26" t="str">
        <f>IFERROR(__xludf.DUMMYFUNCTION("""COMPUTED_VALUE"""),"No")</f>
        <v>No</v>
      </c>
      <c r="P706" s="26"/>
    </row>
    <row r="707" hidden="1">
      <c r="A707" s="13" t="str">
        <f>IFERROR(__xludf.DUMMYFUNCTION("""COMPUTED_VALUE"""),"The Cave")</f>
        <v>The Cave</v>
      </c>
      <c r="B707" s="15" t="str">
        <f>IFERROR(__xludf.DUMMYFUNCTION("""COMPUTED_VALUE"""),"PS3")</f>
        <v>PS3</v>
      </c>
      <c r="C707" s="16" t="str">
        <f>IFERROR(__xludf.DUMMYFUNCTION("""COMPUTED_VALUE"""),"Playstation Plus (Discontinued)")</f>
        <v>Playstation Plus (Discontinued)</v>
      </c>
      <c r="D707" s="15" t="str">
        <f>IFERROR(__xludf.DUMMYFUNCTION("""COMPUTED_VALUE"""),"Removed")</f>
        <v>Removed</v>
      </c>
      <c r="E707" s="17">
        <f>IFERROR(__xludf.DUMMYFUNCTION("""COMPUTED_VALUE"""),41338.0)</f>
        <v>41338</v>
      </c>
      <c r="F707" s="54">
        <f>IFERROR(__xludf.DUMMYFUNCTION("""COMPUTED_VALUE"""),41365.0)</f>
        <v>41365</v>
      </c>
      <c r="G707" s="19">
        <f>IFERROR(__xludf.DUMMYFUNCTION("""COMPUTED_VALUE"""),0.8666666666666666)</f>
        <v>0.8666666667</v>
      </c>
      <c r="H707" s="17">
        <f>IFERROR(__xludf.DUMMYFUNCTION("""COMPUTED_VALUE"""),41296.0)</f>
        <v>41296</v>
      </c>
      <c r="I707" s="19">
        <f>IFERROR(__xludf.DUMMYFUNCTION("""COMPUTED_VALUE"""),0.11944444444444445)</f>
        <v>0.1194444444</v>
      </c>
      <c r="J707" s="21">
        <f>IFERROR(__xludf.DUMMYFUNCTION("""COMPUTED_VALUE"""),72.0)</f>
        <v>72</v>
      </c>
      <c r="K707" s="23">
        <f>IFERROR(__xludf.DUMMYFUNCTION("""COMPUTED_VALUE"""),7.0)</f>
        <v>7</v>
      </c>
      <c r="L707" s="24">
        <f>IFERROR(__xludf.DUMMYFUNCTION("""COMPUTED_VALUE"""),6.0)</f>
        <v>6</v>
      </c>
      <c r="M707" s="25" t="str">
        <f>IFERROR(__xludf.DUMMYFUNCTION("""COMPUTED_VALUE"""),"Adventure")</f>
        <v>Adventure</v>
      </c>
      <c r="N707" s="25"/>
      <c r="O707" s="26" t="str">
        <f>IFERROR(__xludf.DUMMYFUNCTION("""COMPUTED_VALUE"""),"No")</f>
        <v>No</v>
      </c>
      <c r="P707" s="26"/>
    </row>
    <row r="708" hidden="1">
      <c r="A708" s="13" t="str">
        <f>IFERROR(__xludf.DUMMYFUNCTION("""COMPUTED_VALUE"""),"Tekken VI")</f>
        <v>Tekken VI</v>
      </c>
      <c r="B708" s="15" t="str">
        <f>IFERROR(__xludf.DUMMYFUNCTION("""COMPUTED_VALUE"""),"PSP")</f>
        <v>PSP</v>
      </c>
      <c r="C708" s="16" t="str">
        <f>IFERROR(__xludf.DUMMYFUNCTION("""COMPUTED_VALUE"""),"Playstation Plus (Discontinued)")</f>
        <v>Playstation Plus (Discontinued)</v>
      </c>
      <c r="D708" s="15" t="str">
        <f>IFERROR(__xludf.DUMMYFUNCTION("""COMPUTED_VALUE"""),"Removed")</f>
        <v>Removed</v>
      </c>
      <c r="E708" s="17">
        <f>IFERROR(__xludf.DUMMYFUNCTION("""COMPUTED_VALUE"""),41338.0)</f>
        <v>41338</v>
      </c>
      <c r="F708" s="54">
        <f>IFERROR(__xludf.DUMMYFUNCTION("""COMPUTED_VALUE"""),41365.0)</f>
        <v>41365</v>
      </c>
      <c r="G708" s="19">
        <f>IFERROR(__xludf.DUMMYFUNCTION("""COMPUTED_VALUE"""),0.8666666666666666)</f>
        <v>0.8666666667</v>
      </c>
      <c r="H708" s="17">
        <f>IFERROR(__xludf.DUMMYFUNCTION("""COMPUTED_VALUE"""),40113.0)</f>
        <v>40113</v>
      </c>
      <c r="I708" s="19">
        <f>IFERROR(__xludf.DUMMYFUNCTION("""COMPUTED_VALUE"""),3.3555555555555556)</f>
        <v>3.355555556</v>
      </c>
      <c r="J708" s="21">
        <f>IFERROR(__xludf.DUMMYFUNCTION("""COMPUTED_VALUE"""),82.0)</f>
        <v>82</v>
      </c>
      <c r="K708" s="23">
        <f>IFERROR(__xludf.DUMMYFUNCTION("""COMPUTED_VALUE"""),8.2)</f>
        <v>8.2</v>
      </c>
      <c r="L708" s="24"/>
      <c r="M708" s="25" t="str">
        <f>IFERROR(__xludf.DUMMYFUNCTION("""COMPUTED_VALUE"""),"Fighting")</f>
        <v>Fighting</v>
      </c>
      <c r="N708" s="25"/>
      <c r="O708" s="26" t="str">
        <f>IFERROR(__xludf.DUMMYFUNCTION("""COMPUTED_VALUE"""),"No")</f>
        <v>No</v>
      </c>
      <c r="P708" s="26"/>
    </row>
    <row r="709" hidden="1">
      <c r="A709" s="13" t="str">
        <f>IFERROR(__xludf.DUMMYFUNCTION("""COMPUTED_VALUE"""),"Disgaea 3: Absence of Detention")</f>
        <v>Disgaea 3: Absence of Detention</v>
      </c>
      <c r="B709" s="15" t="str">
        <f>IFERROR(__xludf.DUMMYFUNCTION("""COMPUTED_VALUE"""),"Vita")</f>
        <v>Vita</v>
      </c>
      <c r="C709" s="16" t="str">
        <f>IFERROR(__xludf.DUMMYFUNCTION("""COMPUTED_VALUE"""),"Playstation Plus (Discontinued)")</f>
        <v>Playstation Plus (Discontinued)</v>
      </c>
      <c r="D709" s="15" t="str">
        <f>IFERROR(__xludf.DUMMYFUNCTION("""COMPUTED_VALUE"""),"Removed")</f>
        <v>Removed</v>
      </c>
      <c r="E709" s="17">
        <f>IFERROR(__xludf.DUMMYFUNCTION("""COMPUTED_VALUE"""),41338.0)</f>
        <v>41338</v>
      </c>
      <c r="F709" s="54">
        <f>IFERROR(__xludf.DUMMYFUNCTION("""COMPUTED_VALUE"""),41365.0)</f>
        <v>41365</v>
      </c>
      <c r="G709" s="19">
        <f>IFERROR(__xludf.DUMMYFUNCTION("""COMPUTED_VALUE"""),0.8666666666666666)</f>
        <v>0.8666666667</v>
      </c>
      <c r="H709" s="17">
        <f>IFERROR(__xludf.DUMMYFUNCTION("""COMPUTED_VALUE"""),41142.0)</f>
        <v>41142</v>
      </c>
      <c r="I709" s="19">
        <f>IFERROR(__xludf.DUMMYFUNCTION("""COMPUTED_VALUE"""),0.5388888888888889)</f>
        <v>0.5388888889</v>
      </c>
      <c r="J709" s="21">
        <f>IFERROR(__xludf.DUMMYFUNCTION("""COMPUTED_VALUE"""),78.0)</f>
        <v>78</v>
      </c>
      <c r="K709" s="23">
        <f>IFERROR(__xludf.DUMMYFUNCTION("""COMPUTED_VALUE"""),8.1)</f>
        <v>8.1</v>
      </c>
      <c r="L709" s="24">
        <f>IFERROR(__xludf.DUMMYFUNCTION("""COMPUTED_VALUE"""),40.0)</f>
        <v>40</v>
      </c>
      <c r="M709" s="25" t="str">
        <f>IFERROR(__xludf.DUMMYFUNCTION("""COMPUTED_VALUE"""),"RPG")</f>
        <v>RPG</v>
      </c>
      <c r="N709" s="25"/>
      <c r="O709" s="26" t="str">
        <f>IFERROR(__xludf.DUMMYFUNCTION("""COMPUTED_VALUE"""),"No")</f>
        <v>No</v>
      </c>
      <c r="P709" s="26"/>
    </row>
    <row r="710" hidden="1">
      <c r="A710" s="13" t="str">
        <f>IFERROR(__xludf.DUMMYFUNCTION("""COMPUTED_VALUE"""),"Joe Danger 2: The Movie")</f>
        <v>Joe Danger 2: The Movie</v>
      </c>
      <c r="B710" s="15" t="str">
        <f>IFERROR(__xludf.DUMMYFUNCTION("""COMPUTED_VALUE"""),"PS3")</f>
        <v>PS3</v>
      </c>
      <c r="C710" s="16" t="str">
        <f>IFERROR(__xludf.DUMMYFUNCTION("""COMPUTED_VALUE"""),"Playstation Plus (Discontinued)")</f>
        <v>Playstation Plus (Discontinued)</v>
      </c>
      <c r="D710" s="15" t="str">
        <f>IFERROR(__xludf.DUMMYFUNCTION("""COMPUTED_VALUE"""),"Removed")</f>
        <v>Removed</v>
      </c>
      <c r="E710" s="17">
        <f>IFERROR(__xludf.DUMMYFUNCTION("""COMPUTED_VALUE"""),41338.0)</f>
        <v>41338</v>
      </c>
      <c r="F710" s="54">
        <f>IFERROR(__xludf.DUMMYFUNCTION("""COMPUTED_VALUE"""),41365.0)</f>
        <v>41365</v>
      </c>
      <c r="G710" s="19">
        <f>IFERROR(__xludf.DUMMYFUNCTION("""COMPUTED_VALUE"""),0.8666666666666666)</f>
        <v>0.8666666667</v>
      </c>
      <c r="H710" s="17">
        <f>IFERROR(__xludf.DUMMYFUNCTION("""COMPUTED_VALUE"""),41165.0)</f>
        <v>41165</v>
      </c>
      <c r="I710" s="19">
        <f>IFERROR(__xludf.DUMMYFUNCTION("""COMPUTED_VALUE"""),0.4777777777777778)</f>
        <v>0.4777777778</v>
      </c>
      <c r="J710" s="21">
        <f>IFERROR(__xludf.DUMMYFUNCTION("""COMPUTED_VALUE"""),82.0)</f>
        <v>82</v>
      </c>
      <c r="K710" s="23">
        <f>IFERROR(__xludf.DUMMYFUNCTION("""COMPUTED_VALUE"""),7.7)</f>
        <v>7.7</v>
      </c>
      <c r="L710" s="24">
        <f>IFERROR(__xludf.DUMMYFUNCTION("""COMPUTED_VALUE"""),7.0)</f>
        <v>7</v>
      </c>
      <c r="M710" s="25" t="str">
        <f>IFERROR(__xludf.DUMMYFUNCTION("""COMPUTED_VALUE"""),"Racing")</f>
        <v>Racing</v>
      </c>
      <c r="N710" s="25"/>
      <c r="O710" s="26" t="str">
        <f>IFERROR(__xludf.DUMMYFUNCTION("""COMPUTED_VALUE"""),"No")</f>
        <v>No</v>
      </c>
      <c r="P710" s="26"/>
    </row>
    <row r="711" hidden="1">
      <c r="A711" s="13" t="str">
        <f>IFERROR(__xludf.DUMMYFUNCTION("""COMPUTED_VALUE"""),"Spec Ops: The Line")</f>
        <v>Spec Ops: The Line</v>
      </c>
      <c r="B711" s="15" t="str">
        <f>IFERROR(__xludf.DUMMYFUNCTION("""COMPUTED_VALUE"""),"PS3")</f>
        <v>PS3</v>
      </c>
      <c r="C711" s="16" t="str">
        <f>IFERROR(__xludf.DUMMYFUNCTION("""COMPUTED_VALUE"""),"Playstation Plus (Discontinued)")</f>
        <v>Playstation Plus (Discontinued)</v>
      </c>
      <c r="D711" s="15" t="str">
        <f>IFERROR(__xludf.DUMMYFUNCTION("""COMPUTED_VALUE"""),"Removed")</f>
        <v>Removed</v>
      </c>
      <c r="E711" s="17">
        <f>IFERROR(__xludf.DUMMYFUNCTION("""COMPUTED_VALUE"""),41338.0)</f>
        <v>41338</v>
      </c>
      <c r="F711" s="54">
        <f>IFERROR(__xludf.DUMMYFUNCTION("""COMPUTED_VALUE"""),41365.0)</f>
        <v>41365</v>
      </c>
      <c r="G711" s="19">
        <f>IFERROR(__xludf.DUMMYFUNCTION("""COMPUTED_VALUE"""),0.8666666666666666)</f>
        <v>0.8666666667</v>
      </c>
      <c r="H711" s="17">
        <f>IFERROR(__xludf.DUMMYFUNCTION("""COMPUTED_VALUE"""),41086.0)</f>
        <v>41086</v>
      </c>
      <c r="I711" s="19">
        <f>IFERROR(__xludf.DUMMYFUNCTION("""COMPUTED_VALUE"""),0.6916666666666667)</f>
        <v>0.6916666667</v>
      </c>
      <c r="J711" s="21">
        <f>IFERROR(__xludf.DUMMYFUNCTION("""COMPUTED_VALUE"""),76.0)</f>
        <v>76</v>
      </c>
      <c r="K711" s="23">
        <f>IFERROR(__xludf.DUMMYFUNCTION("""COMPUTED_VALUE"""),8.2)</f>
        <v>8.2</v>
      </c>
      <c r="L711" s="24">
        <f>IFERROR(__xludf.DUMMYFUNCTION("""COMPUTED_VALUE"""),7.0)</f>
        <v>7</v>
      </c>
      <c r="M711" s="25" t="str">
        <f>IFERROR(__xludf.DUMMYFUNCTION("""COMPUTED_VALUE"""),"Shooter")</f>
        <v>Shooter</v>
      </c>
      <c r="N711" s="25"/>
      <c r="O711" s="26" t="str">
        <f>IFERROR(__xludf.DUMMYFUNCTION("""COMPUTED_VALUE"""),"No")</f>
        <v>No</v>
      </c>
      <c r="P711" s="26"/>
    </row>
    <row r="712" hidden="1">
      <c r="A712" s="13" t="str">
        <f>IFERROR(__xludf.DUMMYFUNCTION("""COMPUTED_VALUE"""),"Plants vs. Zombies")</f>
        <v>Plants vs. Zombies</v>
      </c>
      <c r="B712" s="15" t="str">
        <f>IFERROR(__xludf.DUMMYFUNCTION("""COMPUTED_VALUE"""),"Vita")</f>
        <v>Vita</v>
      </c>
      <c r="C712" s="16" t="str">
        <f>IFERROR(__xludf.DUMMYFUNCTION("""COMPUTED_VALUE"""),"Playstation Plus (Discontinued)")</f>
        <v>Playstation Plus (Discontinued)</v>
      </c>
      <c r="D712" s="15" t="str">
        <f>IFERROR(__xludf.DUMMYFUNCTION("""COMPUTED_VALUE"""),"Removed")</f>
        <v>Removed</v>
      </c>
      <c r="E712" s="17">
        <f>IFERROR(__xludf.DUMMYFUNCTION("""COMPUTED_VALUE"""),41310.0)</f>
        <v>41310</v>
      </c>
      <c r="F712" s="54">
        <f>IFERROR(__xludf.DUMMYFUNCTION("""COMPUTED_VALUE"""),41337.0)</f>
        <v>41337</v>
      </c>
      <c r="G712" s="19">
        <f>IFERROR(__xludf.DUMMYFUNCTION("""COMPUTED_VALUE"""),0.9666666666666668)</f>
        <v>0.9666666667</v>
      </c>
      <c r="H712" s="17">
        <f>IFERROR(__xludf.DUMMYFUNCTION("""COMPUTED_VALUE"""),39938.0)</f>
        <v>39938</v>
      </c>
      <c r="I712" s="19">
        <f>IFERROR(__xludf.DUMMYFUNCTION("""COMPUTED_VALUE"""),3.75)</f>
        <v>3.75</v>
      </c>
      <c r="J712" s="21">
        <f>IFERROR(__xludf.DUMMYFUNCTION("""COMPUTED_VALUE"""),87.0)</f>
        <v>87</v>
      </c>
      <c r="K712" s="23">
        <f>IFERROR(__xludf.DUMMYFUNCTION("""COMPUTED_VALUE"""),8.7)</f>
        <v>8.7</v>
      </c>
      <c r="L712" s="24">
        <f>IFERROR(__xludf.DUMMYFUNCTION("""COMPUTED_VALUE"""),6.0)</f>
        <v>6</v>
      </c>
      <c r="M712" s="25" t="str">
        <f>IFERROR(__xludf.DUMMYFUNCTION("""COMPUTED_VALUE"""),"Strategy")</f>
        <v>Strategy</v>
      </c>
      <c r="N712" s="25"/>
      <c r="O712" s="26" t="str">
        <f>IFERROR(__xludf.DUMMYFUNCTION("""COMPUTED_VALUE"""),"No")</f>
        <v>No</v>
      </c>
      <c r="P712" s="26"/>
    </row>
    <row r="713" hidden="1">
      <c r="A713" s="13" t="str">
        <f>IFERROR(__xludf.DUMMYFUNCTION("""COMPUTED_VALUE"""),"Vanquish")</f>
        <v>Vanquish</v>
      </c>
      <c r="B713" s="15" t="str">
        <f>IFERROR(__xludf.DUMMYFUNCTION("""COMPUTED_VALUE"""),"PS3")</f>
        <v>PS3</v>
      </c>
      <c r="C713" s="16" t="str">
        <f>IFERROR(__xludf.DUMMYFUNCTION("""COMPUTED_VALUE"""),"Playstation Plus (Discontinued)")</f>
        <v>Playstation Plus (Discontinued)</v>
      </c>
      <c r="D713" s="15" t="str">
        <f>IFERROR(__xludf.DUMMYFUNCTION("""COMPUTED_VALUE"""),"Removed")</f>
        <v>Removed</v>
      </c>
      <c r="E713" s="17">
        <f>IFERROR(__xludf.DUMMYFUNCTION("""COMPUTED_VALUE"""),41310.0)</f>
        <v>41310</v>
      </c>
      <c r="F713" s="54">
        <f>IFERROR(__xludf.DUMMYFUNCTION("""COMPUTED_VALUE"""),41337.0)</f>
        <v>41337</v>
      </c>
      <c r="G713" s="19">
        <f>IFERROR(__xludf.DUMMYFUNCTION("""COMPUTED_VALUE"""),0.9666666666666668)</f>
        <v>0.9666666667</v>
      </c>
      <c r="H713" s="17">
        <f>IFERROR(__xludf.DUMMYFUNCTION("""COMPUTED_VALUE"""),40470.0)</f>
        <v>40470</v>
      </c>
      <c r="I713" s="19">
        <f>IFERROR(__xludf.DUMMYFUNCTION("""COMPUTED_VALUE"""),2.2944444444444443)</f>
        <v>2.294444444</v>
      </c>
      <c r="J713" s="21">
        <f>IFERROR(__xludf.DUMMYFUNCTION("""COMPUTED_VALUE"""),78.0)</f>
        <v>78</v>
      </c>
      <c r="K713" s="23">
        <f>IFERROR(__xludf.DUMMYFUNCTION("""COMPUTED_VALUE"""),8.5)</f>
        <v>8.5</v>
      </c>
      <c r="L713" s="24">
        <f>IFERROR(__xludf.DUMMYFUNCTION("""COMPUTED_VALUE"""),6.0)</f>
        <v>6</v>
      </c>
      <c r="M713" s="25" t="str">
        <f>IFERROR(__xludf.DUMMYFUNCTION("""COMPUTED_VALUE"""),"Shooter")</f>
        <v>Shooter</v>
      </c>
      <c r="N713" s="25"/>
      <c r="O713" s="26" t="str">
        <f>IFERROR(__xludf.DUMMYFUNCTION("""COMPUTED_VALUE"""),"No")</f>
        <v>No</v>
      </c>
      <c r="P713" s="26"/>
    </row>
    <row r="714" hidden="1">
      <c r="A714" s="13" t="str">
        <f>IFERROR(__xludf.DUMMYFUNCTION("""COMPUTED_VALUE"""),"Mega Man Maverick Hunter X")</f>
        <v>Mega Man Maverick Hunter X</v>
      </c>
      <c r="B714" s="15" t="str">
        <f>IFERROR(__xludf.DUMMYFUNCTION("""COMPUTED_VALUE"""),"PSP")</f>
        <v>PSP</v>
      </c>
      <c r="C714" s="16" t="str">
        <f>IFERROR(__xludf.DUMMYFUNCTION("""COMPUTED_VALUE"""),"Playstation Plus (Discontinued)")</f>
        <v>Playstation Plus (Discontinued)</v>
      </c>
      <c r="D714" s="15" t="str">
        <f>IFERROR(__xludf.DUMMYFUNCTION("""COMPUTED_VALUE"""),"Removed")</f>
        <v>Removed</v>
      </c>
      <c r="E714" s="17">
        <f>IFERROR(__xludf.DUMMYFUNCTION("""COMPUTED_VALUE"""),41310.0)</f>
        <v>41310</v>
      </c>
      <c r="F714" s="54">
        <f>IFERROR(__xludf.DUMMYFUNCTION("""COMPUTED_VALUE"""),41337.0)</f>
        <v>41337</v>
      </c>
      <c r="G714" s="19">
        <f>IFERROR(__xludf.DUMMYFUNCTION("""COMPUTED_VALUE"""),0.9666666666666668)</f>
        <v>0.9666666667</v>
      </c>
      <c r="H714" s="17">
        <f>IFERROR(__xludf.DUMMYFUNCTION("""COMPUTED_VALUE"""),38705.0)</f>
        <v>38705</v>
      </c>
      <c r="I714" s="19">
        <f>IFERROR(__xludf.DUMMYFUNCTION("""COMPUTED_VALUE"""),7.127777777777778)</f>
        <v>7.127777778</v>
      </c>
      <c r="J714" s="21">
        <f>IFERROR(__xludf.DUMMYFUNCTION("""COMPUTED_VALUE"""),79.0)</f>
        <v>79</v>
      </c>
      <c r="K714" s="23">
        <f>IFERROR(__xludf.DUMMYFUNCTION("""COMPUTED_VALUE"""),8.0)</f>
        <v>8</v>
      </c>
      <c r="L714" s="24">
        <f>IFERROR(__xludf.DUMMYFUNCTION("""COMPUTED_VALUE"""),4.0)</f>
        <v>4</v>
      </c>
      <c r="M714" s="25" t="str">
        <f>IFERROR(__xludf.DUMMYFUNCTION("""COMPUTED_VALUE"""),"Platformer")</f>
        <v>Platformer</v>
      </c>
      <c r="N714" s="25"/>
      <c r="O714" s="26" t="str">
        <f>IFERROR(__xludf.DUMMYFUNCTION("""COMPUTED_VALUE"""),"No")</f>
        <v>No</v>
      </c>
      <c r="P714" s="26"/>
    </row>
    <row r="715" hidden="1">
      <c r="A715" s="13" t="str">
        <f>IFERROR(__xludf.DUMMYFUNCTION("""COMPUTED_VALUE"""),"Closure")</f>
        <v>Closure</v>
      </c>
      <c r="B715" s="15" t="str">
        <f>IFERROR(__xludf.DUMMYFUNCTION("""COMPUTED_VALUE"""),"PS3")</f>
        <v>PS3</v>
      </c>
      <c r="C715" s="16" t="str">
        <f>IFERROR(__xludf.DUMMYFUNCTION("""COMPUTED_VALUE"""),"Playstation Plus (Discontinued)")</f>
        <v>Playstation Plus (Discontinued)</v>
      </c>
      <c r="D715" s="15" t="str">
        <f>IFERROR(__xludf.DUMMYFUNCTION("""COMPUTED_VALUE"""),"Removed")</f>
        <v>Removed</v>
      </c>
      <c r="E715" s="17">
        <f>IFERROR(__xludf.DUMMYFUNCTION("""COMPUTED_VALUE"""),41310.0)</f>
        <v>41310</v>
      </c>
      <c r="F715" s="54">
        <f>IFERROR(__xludf.DUMMYFUNCTION("""COMPUTED_VALUE"""),41337.0)</f>
        <v>41337</v>
      </c>
      <c r="G715" s="19">
        <f>IFERROR(__xludf.DUMMYFUNCTION("""COMPUTED_VALUE"""),0.9666666666666668)</f>
        <v>0.9666666667</v>
      </c>
      <c r="H715" s="17">
        <f>IFERROR(__xludf.DUMMYFUNCTION("""COMPUTED_VALUE"""),40995.0)</f>
        <v>40995</v>
      </c>
      <c r="I715" s="19">
        <f>IFERROR(__xludf.DUMMYFUNCTION("""COMPUTED_VALUE"""),0.8555555555555555)</f>
        <v>0.8555555556</v>
      </c>
      <c r="J715" s="21">
        <f>IFERROR(__xludf.DUMMYFUNCTION("""COMPUTED_VALUE"""),79.0)</f>
        <v>79</v>
      </c>
      <c r="K715" s="23">
        <f>IFERROR(__xludf.DUMMYFUNCTION("""COMPUTED_VALUE"""),7.4)</f>
        <v>7.4</v>
      </c>
      <c r="L715" s="24">
        <f>IFERROR(__xludf.DUMMYFUNCTION("""COMPUTED_VALUE"""),5.0)</f>
        <v>5</v>
      </c>
      <c r="M715" s="25" t="str">
        <f>IFERROR(__xludf.DUMMYFUNCTION("""COMPUTED_VALUE"""),"Puzzle")</f>
        <v>Puzzle</v>
      </c>
      <c r="N715" s="25"/>
      <c r="O715" s="26" t="str">
        <f>IFERROR(__xludf.DUMMYFUNCTION("""COMPUTED_VALUE"""),"No")</f>
        <v>No</v>
      </c>
      <c r="P715" s="26"/>
    </row>
    <row r="716" hidden="1">
      <c r="A716" s="13" t="str">
        <f>IFERROR(__xludf.DUMMYFUNCTION("""COMPUTED_VALUE"""),"Guardians of Middle Earth")</f>
        <v>Guardians of Middle Earth</v>
      </c>
      <c r="B716" s="15" t="str">
        <f>IFERROR(__xludf.DUMMYFUNCTION("""COMPUTED_VALUE"""),"PS3")</f>
        <v>PS3</v>
      </c>
      <c r="C716" s="16" t="str">
        <f>IFERROR(__xludf.DUMMYFUNCTION("""COMPUTED_VALUE"""),"Playstation Plus (Discontinued)")</f>
        <v>Playstation Plus (Discontinued)</v>
      </c>
      <c r="D716" s="15" t="str">
        <f>IFERROR(__xludf.DUMMYFUNCTION("""COMPUTED_VALUE"""),"Removed")</f>
        <v>Removed</v>
      </c>
      <c r="E716" s="17">
        <f>IFERROR(__xludf.DUMMYFUNCTION("""COMPUTED_VALUE"""),41310.0)</f>
        <v>41310</v>
      </c>
      <c r="F716" s="54">
        <f>IFERROR(__xludf.DUMMYFUNCTION("""COMPUTED_VALUE"""),41337.0)</f>
        <v>41337</v>
      </c>
      <c r="G716" s="19">
        <f>IFERROR(__xludf.DUMMYFUNCTION("""COMPUTED_VALUE"""),0.9666666666666668)</f>
        <v>0.9666666667</v>
      </c>
      <c r="H716" s="17">
        <f>IFERROR(__xludf.DUMMYFUNCTION("""COMPUTED_VALUE"""),41247.0)</f>
        <v>41247</v>
      </c>
      <c r="I716" s="19">
        <f>IFERROR(__xludf.DUMMYFUNCTION("""COMPUTED_VALUE"""),0.16944444444444445)</f>
        <v>0.1694444444</v>
      </c>
      <c r="J716" s="21">
        <f>IFERROR(__xludf.DUMMYFUNCTION("""COMPUTED_VALUE"""),56.0)</f>
        <v>56</v>
      </c>
      <c r="K716" s="23">
        <f>IFERROR(__xludf.DUMMYFUNCTION("""COMPUTED_VALUE"""),5.8)</f>
        <v>5.8</v>
      </c>
      <c r="L716" s="24"/>
      <c r="M716" s="25" t="str">
        <f>IFERROR(__xludf.DUMMYFUNCTION("""COMPUTED_VALUE"""),"Strategy")</f>
        <v>Strategy</v>
      </c>
      <c r="N716" s="25"/>
      <c r="O716" s="26" t="str">
        <f>IFERROR(__xludf.DUMMYFUNCTION("""COMPUTED_VALUE"""),"No")</f>
        <v>No</v>
      </c>
      <c r="P716" s="26"/>
    </row>
    <row r="717" hidden="1">
      <c r="A717" s="13" t="str">
        <f>IFERROR(__xludf.DUMMYFUNCTION("""COMPUTED_VALUE"""),"Ninja Gaiden Sigma Plus")</f>
        <v>Ninja Gaiden Sigma Plus</v>
      </c>
      <c r="B717" s="15" t="str">
        <f>IFERROR(__xludf.DUMMYFUNCTION("""COMPUTED_VALUE"""),"Vita")</f>
        <v>Vita</v>
      </c>
      <c r="C717" s="16" t="str">
        <f>IFERROR(__xludf.DUMMYFUNCTION("""COMPUTED_VALUE"""),"Playstation Plus (Discontinued)")</f>
        <v>Playstation Plus (Discontinued)</v>
      </c>
      <c r="D717" s="15" t="str">
        <f>IFERROR(__xludf.DUMMYFUNCTION("""COMPUTED_VALUE"""),"Removed")</f>
        <v>Removed</v>
      </c>
      <c r="E717" s="17">
        <f>IFERROR(__xludf.DUMMYFUNCTION("""COMPUTED_VALUE"""),41275.0)</f>
        <v>41275</v>
      </c>
      <c r="F717" s="54">
        <f>IFERROR(__xludf.DUMMYFUNCTION("""COMPUTED_VALUE"""),41309.0)</f>
        <v>41309</v>
      </c>
      <c r="G717" s="19">
        <f>IFERROR(__xludf.DUMMYFUNCTION("""COMPUTED_VALUE"""),1.0999999999999999)</f>
        <v>1.1</v>
      </c>
      <c r="H717" s="17">
        <f>IFERROR(__xludf.DUMMYFUNCTION("""COMPUTED_VALUE"""),40960.0)</f>
        <v>40960</v>
      </c>
      <c r="I717" s="19">
        <f>IFERROR(__xludf.DUMMYFUNCTION("""COMPUTED_VALUE"""),0.8611111111111112)</f>
        <v>0.8611111111</v>
      </c>
      <c r="J717" s="21">
        <f>IFERROR(__xludf.DUMMYFUNCTION("""COMPUTED_VALUE"""),72.0)</f>
        <v>72</v>
      </c>
      <c r="K717" s="23">
        <f>IFERROR(__xludf.DUMMYFUNCTION("""COMPUTED_VALUE"""),7.7)</f>
        <v>7.7</v>
      </c>
      <c r="L717" s="24">
        <f>IFERROR(__xludf.DUMMYFUNCTION("""COMPUTED_VALUE"""),16.0)</f>
        <v>16</v>
      </c>
      <c r="M717" s="25" t="str">
        <f>IFERROR(__xludf.DUMMYFUNCTION("""COMPUTED_VALUE"""),"Action-Adventure")</f>
        <v>Action-Adventure</v>
      </c>
      <c r="N717" s="25"/>
      <c r="O717" s="26" t="str">
        <f>IFERROR(__xludf.DUMMYFUNCTION("""COMPUTED_VALUE"""),"No")</f>
        <v>No</v>
      </c>
      <c r="P717" s="26"/>
    </row>
    <row r="718" hidden="1">
      <c r="A718" s="13" t="str">
        <f>IFERROR(__xludf.DUMMYFUNCTION("""COMPUTED_VALUE"""),"Foosball 2012")</f>
        <v>Foosball 2012</v>
      </c>
      <c r="B718" s="15" t="str">
        <f>IFERROR(__xludf.DUMMYFUNCTION("""COMPUTED_VALUE"""),"PS3/Vita")</f>
        <v>PS3/Vita</v>
      </c>
      <c r="C718" s="16" t="str">
        <f>IFERROR(__xludf.DUMMYFUNCTION("""COMPUTED_VALUE"""),"Playstation Plus (Discontinued)")</f>
        <v>Playstation Plus (Discontinued)</v>
      </c>
      <c r="D718" s="15" t="str">
        <f>IFERROR(__xludf.DUMMYFUNCTION("""COMPUTED_VALUE"""),"Removed")</f>
        <v>Removed</v>
      </c>
      <c r="E718" s="17">
        <f>IFERROR(__xludf.DUMMYFUNCTION("""COMPUTED_VALUE"""),41275.0)</f>
        <v>41275</v>
      </c>
      <c r="F718" s="54">
        <f>IFERROR(__xludf.DUMMYFUNCTION("""COMPUTED_VALUE"""),41309.0)</f>
        <v>41309</v>
      </c>
      <c r="G718" s="19">
        <f>IFERROR(__xludf.DUMMYFUNCTION("""COMPUTED_VALUE"""),1.0999999999999999)</f>
        <v>1.1</v>
      </c>
      <c r="H718" s="17">
        <f>IFERROR(__xludf.DUMMYFUNCTION("""COMPUTED_VALUE"""),41170.0)</f>
        <v>41170</v>
      </c>
      <c r="I718" s="19">
        <f>IFERROR(__xludf.DUMMYFUNCTION("""COMPUTED_VALUE"""),0.2861111111111111)</f>
        <v>0.2861111111</v>
      </c>
      <c r="J718" s="21">
        <f>IFERROR(__xludf.DUMMYFUNCTION("""COMPUTED_VALUE"""),65.0)</f>
        <v>65</v>
      </c>
      <c r="K718" s="23">
        <f>IFERROR(__xludf.DUMMYFUNCTION("""COMPUTED_VALUE"""),6.7)</f>
        <v>6.7</v>
      </c>
      <c r="L718" s="24"/>
      <c r="M718" s="25" t="str">
        <f>IFERROR(__xludf.DUMMYFUNCTION("""COMPUTED_VALUE"""),"Sports")</f>
        <v>Sports</v>
      </c>
      <c r="N718" s="25"/>
      <c r="O718" s="26" t="str">
        <f>IFERROR(__xludf.DUMMYFUNCTION("""COMPUTED_VALUE"""),"No")</f>
        <v>No</v>
      </c>
      <c r="P718" s="26"/>
    </row>
    <row r="719" hidden="1">
      <c r="A719" s="13" t="str">
        <f>IFERROR(__xludf.DUMMYFUNCTION("""COMPUTED_VALUE"""),"Darksiders")</f>
        <v>Darksiders</v>
      </c>
      <c r="B719" s="15" t="str">
        <f>IFERROR(__xludf.DUMMYFUNCTION("""COMPUTED_VALUE"""),"PS3")</f>
        <v>PS3</v>
      </c>
      <c r="C719" s="16" t="str">
        <f>IFERROR(__xludf.DUMMYFUNCTION("""COMPUTED_VALUE"""),"Playstation Plus (Discontinued)")</f>
        <v>Playstation Plus (Discontinued)</v>
      </c>
      <c r="D719" s="15" t="str">
        <f>IFERROR(__xludf.DUMMYFUNCTION("""COMPUTED_VALUE"""),"Removed")</f>
        <v>Removed</v>
      </c>
      <c r="E719" s="17">
        <f>IFERROR(__xludf.DUMMYFUNCTION("""COMPUTED_VALUE"""),41275.0)</f>
        <v>41275</v>
      </c>
      <c r="F719" s="54">
        <f>IFERROR(__xludf.DUMMYFUNCTION("""COMPUTED_VALUE"""),41309.0)</f>
        <v>41309</v>
      </c>
      <c r="G719" s="19">
        <f>IFERROR(__xludf.DUMMYFUNCTION("""COMPUTED_VALUE"""),1.0999999999999999)</f>
        <v>1.1</v>
      </c>
      <c r="H719" s="17">
        <f>IFERROR(__xludf.DUMMYFUNCTION("""COMPUTED_VALUE"""),40183.0)</f>
        <v>40183</v>
      </c>
      <c r="I719" s="19">
        <f>IFERROR(__xludf.DUMMYFUNCTION("""COMPUTED_VALUE"""),2.988888888888889)</f>
        <v>2.988888889</v>
      </c>
      <c r="J719" s="21">
        <f>IFERROR(__xludf.DUMMYFUNCTION("""COMPUTED_VALUE"""),83.0)</f>
        <v>83</v>
      </c>
      <c r="K719" s="23">
        <f>IFERROR(__xludf.DUMMYFUNCTION("""COMPUTED_VALUE"""),8.1)</f>
        <v>8.1</v>
      </c>
      <c r="L719" s="24">
        <f>IFERROR(__xludf.DUMMYFUNCTION("""COMPUTED_VALUE"""),17.0)</f>
        <v>17</v>
      </c>
      <c r="M719" s="25" t="str">
        <f>IFERROR(__xludf.DUMMYFUNCTION("""COMPUTED_VALUE"""),"Action-Adventure")</f>
        <v>Action-Adventure</v>
      </c>
      <c r="N719" s="25"/>
      <c r="O719" s="26" t="str">
        <f>IFERROR(__xludf.DUMMYFUNCTION("""COMPUTED_VALUE"""),"No")</f>
        <v>No</v>
      </c>
      <c r="P719" s="26"/>
    </row>
    <row r="720" hidden="1">
      <c r="A720" s="13" t="str">
        <f>IFERROR(__xludf.DUMMYFUNCTION("""COMPUTED_VALUE"""),"Mega Man 10")</f>
        <v>Mega Man 10</v>
      </c>
      <c r="B720" s="15" t="str">
        <f>IFERROR(__xludf.DUMMYFUNCTION("""COMPUTED_VALUE"""),"PS3")</f>
        <v>PS3</v>
      </c>
      <c r="C720" s="16" t="str">
        <f>IFERROR(__xludf.DUMMYFUNCTION("""COMPUTED_VALUE"""),"Playstation Plus (Discontinued)")</f>
        <v>Playstation Plus (Discontinued)</v>
      </c>
      <c r="D720" s="15" t="str">
        <f>IFERROR(__xludf.DUMMYFUNCTION("""COMPUTED_VALUE"""),"Removed")</f>
        <v>Removed</v>
      </c>
      <c r="E720" s="17">
        <f>IFERROR(__xludf.DUMMYFUNCTION("""COMPUTED_VALUE"""),41275.0)</f>
        <v>41275</v>
      </c>
      <c r="F720" s="54">
        <f>IFERROR(__xludf.DUMMYFUNCTION("""COMPUTED_VALUE"""),41309.0)</f>
        <v>41309</v>
      </c>
      <c r="G720" s="19">
        <f>IFERROR(__xludf.DUMMYFUNCTION("""COMPUTED_VALUE"""),1.0999999999999999)</f>
        <v>1.1</v>
      </c>
      <c r="H720" s="17">
        <f>IFERROR(__xludf.DUMMYFUNCTION("""COMPUTED_VALUE"""),40242.0)</f>
        <v>40242</v>
      </c>
      <c r="I720" s="19">
        <f>IFERROR(__xludf.DUMMYFUNCTION("""COMPUTED_VALUE"""),2.8222222222222224)</f>
        <v>2.822222222</v>
      </c>
      <c r="J720" s="21">
        <f>IFERROR(__xludf.DUMMYFUNCTION("""COMPUTED_VALUE"""),82.0)</f>
        <v>82</v>
      </c>
      <c r="K720" s="23">
        <f>IFERROR(__xludf.DUMMYFUNCTION("""COMPUTED_VALUE"""),7.8)</f>
        <v>7.8</v>
      </c>
      <c r="L720" s="24">
        <f>IFERROR(__xludf.DUMMYFUNCTION("""COMPUTED_VALUE"""),5.0)</f>
        <v>5</v>
      </c>
      <c r="M720" s="25" t="str">
        <f>IFERROR(__xludf.DUMMYFUNCTION("""COMPUTED_VALUE"""),"Platformer")</f>
        <v>Platformer</v>
      </c>
      <c r="N720" s="25"/>
      <c r="O720" s="26" t="str">
        <f>IFERROR(__xludf.DUMMYFUNCTION("""COMPUTED_VALUE"""),"No")</f>
        <v>No</v>
      </c>
      <c r="P720" s="26"/>
    </row>
    <row r="721" hidden="1">
      <c r="A721" s="13" t="str">
        <f>IFERROR(__xludf.DUMMYFUNCTION("""COMPUTED_VALUE"""),"Mega Man 9")</f>
        <v>Mega Man 9</v>
      </c>
      <c r="B721" s="15" t="str">
        <f>IFERROR(__xludf.DUMMYFUNCTION("""COMPUTED_VALUE"""),"PS3")</f>
        <v>PS3</v>
      </c>
      <c r="C721" s="16" t="str">
        <f>IFERROR(__xludf.DUMMYFUNCTION("""COMPUTED_VALUE"""),"Playstation Plus (Discontinued)")</f>
        <v>Playstation Plus (Discontinued)</v>
      </c>
      <c r="D721" s="15" t="str">
        <f>IFERROR(__xludf.DUMMYFUNCTION("""COMPUTED_VALUE"""),"Removed")</f>
        <v>Removed</v>
      </c>
      <c r="E721" s="17">
        <f>IFERROR(__xludf.DUMMYFUNCTION("""COMPUTED_VALUE"""),41275.0)</f>
        <v>41275</v>
      </c>
      <c r="F721" s="54">
        <f>IFERROR(__xludf.DUMMYFUNCTION("""COMPUTED_VALUE"""),41309.0)</f>
        <v>41309</v>
      </c>
      <c r="G721" s="19">
        <f>IFERROR(__xludf.DUMMYFUNCTION("""COMPUTED_VALUE"""),1.0999999999999999)</f>
        <v>1.1</v>
      </c>
      <c r="H721" s="17">
        <f>IFERROR(__xludf.DUMMYFUNCTION("""COMPUTED_VALUE"""),39713.0)</f>
        <v>39713</v>
      </c>
      <c r="I721" s="19">
        <f>IFERROR(__xludf.DUMMYFUNCTION("""COMPUTED_VALUE"""),4.275)</f>
        <v>4.275</v>
      </c>
      <c r="J721" s="21">
        <f>IFERROR(__xludf.DUMMYFUNCTION("""COMPUTED_VALUE"""),82.0)</f>
        <v>82</v>
      </c>
      <c r="K721" s="23">
        <f>IFERROR(__xludf.DUMMYFUNCTION("""COMPUTED_VALUE"""),7.8)</f>
        <v>7.8</v>
      </c>
      <c r="L721" s="24">
        <f>IFERROR(__xludf.DUMMYFUNCTION("""COMPUTED_VALUE"""),5.0)</f>
        <v>5</v>
      </c>
      <c r="M721" s="25" t="str">
        <f>IFERROR(__xludf.DUMMYFUNCTION("""COMPUTED_VALUE"""),"Platformer")</f>
        <v>Platformer</v>
      </c>
      <c r="N721" s="25"/>
      <c r="O721" s="26" t="str">
        <f>IFERROR(__xludf.DUMMYFUNCTION("""COMPUTED_VALUE"""),"No")</f>
        <v>No</v>
      </c>
      <c r="P721" s="26"/>
    </row>
    <row r="722" hidden="1">
      <c r="A722" s="13" t="str">
        <f>IFERROR(__xludf.DUMMYFUNCTION("""COMPUTED_VALUE"""),"Chronovolt")</f>
        <v>Chronovolt</v>
      </c>
      <c r="B722" s="15" t="str">
        <f>IFERROR(__xludf.DUMMYFUNCTION("""COMPUTED_VALUE"""),"Vita")</f>
        <v>Vita</v>
      </c>
      <c r="C722" s="16" t="str">
        <f>IFERROR(__xludf.DUMMYFUNCTION("""COMPUTED_VALUE"""),"Playstation Plus (Discontinued)")</f>
        <v>Playstation Plus (Discontinued)</v>
      </c>
      <c r="D722" s="15" t="str">
        <f>IFERROR(__xludf.DUMMYFUNCTION("""COMPUTED_VALUE"""),"Removed")</f>
        <v>Removed</v>
      </c>
      <c r="E722" s="17">
        <f>IFERROR(__xludf.DUMMYFUNCTION("""COMPUTED_VALUE"""),41247.0)</f>
        <v>41247</v>
      </c>
      <c r="F722" s="54">
        <f>IFERROR(__xludf.DUMMYFUNCTION("""COMPUTED_VALUE"""),41274.0)</f>
        <v>41274</v>
      </c>
      <c r="G722" s="19">
        <f>IFERROR(__xludf.DUMMYFUNCTION("""COMPUTED_VALUE"""),0.8666666666666666)</f>
        <v>0.8666666667</v>
      </c>
      <c r="H722" s="17">
        <f>IFERROR(__xludf.DUMMYFUNCTION("""COMPUTED_VALUE"""),41226.0)</f>
        <v>41226</v>
      </c>
      <c r="I722" s="19">
        <f>IFERROR(__xludf.DUMMYFUNCTION("""COMPUTED_VALUE"""),0.058333333333333334)</f>
        <v>0.05833333333</v>
      </c>
      <c r="J722" s="21">
        <f>IFERROR(__xludf.DUMMYFUNCTION("""COMPUTED_VALUE"""),51.0)</f>
        <v>51</v>
      </c>
      <c r="K722" s="23">
        <f>IFERROR(__xludf.DUMMYFUNCTION("""COMPUTED_VALUE"""),5.8)</f>
        <v>5.8</v>
      </c>
      <c r="L722" s="24">
        <f>IFERROR(__xludf.DUMMYFUNCTION("""COMPUTED_VALUE"""),4.0)</f>
        <v>4</v>
      </c>
      <c r="M722" s="25" t="str">
        <f>IFERROR(__xludf.DUMMYFUNCTION("""COMPUTED_VALUE"""),"Puzzle")</f>
        <v>Puzzle</v>
      </c>
      <c r="N722" s="25"/>
      <c r="O722" s="26" t="str">
        <f>IFERROR(__xludf.DUMMYFUNCTION("""COMPUTED_VALUE"""),"No")</f>
        <v>No</v>
      </c>
      <c r="P722" s="26"/>
    </row>
    <row r="723" hidden="1">
      <c r="A723" s="13" t="str">
        <f>IFERROR(__xludf.DUMMYFUNCTION("""COMPUTED_VALUE"""),"NBA Jam: On Fire")</f>
        <v>NBA Jam: On Fire</v>
      </c>
      <c r="B723" s="15" t="str">
        <f>IFERROR(__xludf.DUMMYFUNCTION("""COMPUTED_VALUE"""),"PS3")</f>
        <v>PS3</v>
      </c>
      <c r="C723" s="16" t="str">
        <f>IFERROR(__xludf.DUMMYFUNCTION("""COMPUTED_VALUE"""),"Playstation Plus (Discontinued)")</f>
        <v>Playstation Plus (Discontinued)</v>
      </c>
      <c r="D723" s="15" t="str">
        <f>IFERROR(__xludf.DUMMYFUNCTION("""COMPUTED_VALUE"""),"Removed")</f>
        <v>Removed</v>
      </c>
      <c r="E723" s="17">
        <f>IFERROR(__xludf.DUMMYFUNCTION("""COMPUTED_VALUE"""),41247.0)</f>
        <v>41247</v>
      </c>
      <c r="F723" s="54">
        <f>IFERROR(__xludf.DUMMYFUNCTION("""COMPUTED_VALUE"""),41274.0)</f>
        <v>41274</v>
      </c>
      <c r="G723" s="19">
        <f>IFERROR(__xludf.DUMMYFUNCTION("""COMPUTED_VALUE"""),0.8666666666666666)</f>
        <v>0.8666666667</v>
      </c>
      <c r="H723" s="17">
        <f>IFERROR(__xludf.DUMMYFUNCTION("""COMPUTED_VALUE"""),40820.0)</f>
        <v>40820</v>
      </c>
      <c r="I723" s="19">
        <f>IFERROR(__xludf.DUMMYFUNCTION("""COMPUTED_VALUE"""),1.1666666666666667)</f>
        <v>1.166666667</v>
      </c>
      <c r="J723" s="21">
        <f>IFERROR(__xludf.DUMMYFUNCTION("""COMPUTED_VALUE"""),82.0)</f>
        <v>82</v>
      </c>
      <c r="K723" s="23">
        <f>IFERROR(__xludf.DUMMYFUNCTION("""COMPUTED_VALUE"""),8.3)</f>
        <v>8.3</v>
      </c>
      <c r="L723" s="24"/>
      <c r="M723" s="25" t="str">
        <f>IFERROR(__xludf.DUMMYFUNCTION("""COMPUTED_VALUE"""),"Sports")</f>
        <v>Sports</v>
      </c>
      <c r="N723" s="25"/>
      <c r="O723" s="26" t="str">
        <f>IFERROR(__xludf.DUMMYFUNCTION("""COMPUTED_VALUE"""),"No")</f>
        <v>No</v>
      </c>
      <c r="P723" s="26"/>
    </row>
    <row r="724" hidden="1">
      <c r="A724" s="13" t="str">
        <f>IFERROR(__xludf.DUMMYFUNCTION("""COMPUTED_VALUE"""),"Retro City Rampage")</f>
        <v>Retro City Rampage</v>
      </c>
      <c r="B724" s="15" t="str">
        <f>IFERROR(__xludf.DUMMYFUNCTION("""COMPUTED_VALUE"""),"PS3/Vita")</f>
        <v>PS3/Vita</v>
      </c>
      <c r="C724" s="16" t="str">
        <f>IFERROR(__xludf.DUMMYFUNCTION("""COMPUTED_VALUE"""),"Playstation Plus (Discontinued)")</f>
        <v>Playstation Plus (Discontinued)</v>
      </c>
      <c r="D724" s="15" t="str">
        <f>IFERROR(__xludf.DUMMYFUNCTION("""COMPUTED_VALUE"""),"Removed")</f>
        <v>Removed</v>
      </c>
      <c r="E724" s="17">
        <f>IFERROR(__xludf.DUMMYFUNCTION("""COMPUTED_VALUE"""),41247.0)</f>
        <v>41247</v>
      </c>
      <c r="F724" s="54">
        <f>IFERROR(__xludf.DUMMYFUNCTION("""COMPUTED_VALUE"""),41274.0)</f>
        <v>41274</v>
      </c>
      <c r="G724" s="19">
        <f>IFERROR(__xludf.DUMMYFUNCTION("""COMPUTED_VALUE"""),0.8666666666666666)</f>
        <v>0.8666666667</v>
      </c>
      <c r="H724" s="17">
        <f>IFERROR(__xludf.DUMMYFUNCTION("""COMPUTED_VALUE"""),41191.0)</f>
        <v>41191</v>
      </c>
      <c r="I724" s="19">
        <f>IFERROR(__xludf.DUMMYFUNCTION("""COMPUTED_VALUE"""),0.1527777777777778)</f>
        <v>0.1527777778</v>
      </c>
      <c r="J724" s="21">
        <f>IFERROR(__xludf.DUMMYFUNCTION("""COMPUTED_VALUE"""),79.0)</f>
        <v>79</v>
      </c>
      <c r="K724" s="23">
        <f>IFERROR(__xludf.DUMMYFUNCTION("""COMPUTED_VALUE"""),7.7)</f>
        <v>7.7</v>
      </c>
      <c r="L724" s="24">
        <f>IFERROR(__xludf.DUMMYFUNCTION("""COMPUTED_VALUE"""),5.0)</f>
        <v>5</v>
      </c>
      <c r="M724" s="25" t="str">
        <f>IFERROR(__xludf.DUMMYFUNCTION("""COMPUTED_VALUE"""),"Action-Adventure")</f>
        <v>Action-Adventure</v>
      </c>
      <c r="N724" s="25"/>
      <c r="O724" s="26" t="str">
        <f>IFERROR(__xludf.DUMMYFUNCTION("""COMPUTED_VALUE"""),"No")</f>
        <v>No</v>
      </c>
      <c r="P724" s="26"/>
    </row>
    <row r="725" hidden="1">
      <c r="A725" s="13" t="str">
        <f>IFERROR(__xludf.DUMMYFUNCTION("""COMPUTED_VALUE"""),"Anomaly: Warzone Earth")</f>
        <v>Anomaly: Warzone Earth</v>
      </c>
      <c r="B725" s="15" t="str">
        <f>IFERROR(__xludf.DUMMYFUNCTION("""COMPUTED_VALUE"""),"PS3")</f>
        <v>PS3</v>
      </c>
      <c r="C725" s="16" t="str">
        <f>IFERROR(__xludf.DUMMYFUNCTION("""COMPUTED_VALUE"""),"Playstation Plus (Discontinued)")</f>
        <v>Playstation Plus (Discontinued)</v>
      </c>
      <c r="D725" s="15" t="str">
        <f>IFERROR(__xludf.DUMMYFUNCTION("""COMPUTED_VALUE"""),"Removed")</f>
        <v>Removed</v>
      </c>
      <c r="E725" s="17">
        <f>IFERROR(__xludf.DUMMYFUNCTION("""COMPUTED_VALUE"""),41247.0)</f>
        <v>41247</v>
      </c>
      <c r="F725" s="54">
        <f>IFERROR(__xludf.DUMMYFUNCTION("""COMPUTED_VALUE"""),41274.0)</f>
        <v>41274</v>
      </c>
      <c r="G725" s="19">
        <f>IFERROR(__xludf.DUMMYFUNCTION("""COMPUTED_VALUE"""),0.8666666666666666)</f>
        <v>0.8666666667</v>
      </c>
      <c r="H725" s="17">
        <f>IFERROR(__xludf.DUMMYFUNCTION("""COMPUTED_VALUE"""),40641.0)</f>
        <v>40641</v>
      </c>
      <c r="I725" s="19">
        <f>IFERROR(__xludf.DUMMYFUNCTION("""COMPUTED_VALUE"""),1.6555555555555554)</f>
        <v>1.655555556</v>
      </c>
      <c r="J725" s="21">
        <f>IFERROR(__xludf.DUMMYFUNCTION("""COMPUTED_VALUE"""),80.0)</f>
        <v>80</v>
      </c>
      <c r="K725" s="23">
        <f>IFERROR(__xludf.DUMMYFUNCTION("""COMPUTED_VALUE"""),7.7)</f>
        <v>7.7</v>
      </c>
      <c r="L725" s="24">
        <f>IFERROR(__xludf.DUMMYFUNCTION("""COMPUTED_VALUE"""),7.0)</f>
        <v>7</v>
      </c>
      <c r="M725" s="25" t="str">
        <f>IFERROR(__xludf.DUMMYFUNCTION("""COMPUTED_VALUE"""),"Strategy")</f>
        <v>Strategy</v>
      </c>
      <c r="N725" s="25"/>
      <c r="O725" s="26" t="str">
        <f>IFERROR(__xludf.DUMMYFUNCTION("""COMPUTED_VALUE"""),"No")</f>
        <v>No</v>
      </c>
      <c r="P725" s="26"/>
    </row>
    <row r="726" hidden="1">
      <c r="A726" s="13" t="str">
        <f>IFERROR(__xludf.DUMMYFUNCTION("""COMPUTED_VALUE"""),"Rochard")</f>
        <v>Rochard</v>
      </c>
      <c r="B726" s="15" t="str">
        <f>IFERROR(__xludf.DUMMYFUNCTION("""COMPUTED_VALUE"""),"PS3")</f>
        <v>PS3</v>
      </c>
      <c r="C726" s="16" t="str">
        <f>IFERROR(__xludf.DUMMYFUNCTION("""COMPUTED_VALUE"""),"Playstation Plus (Discontinued)")</f>
        <v>Playstation Plus (Discontinued)</v>
      </c>
      <c r="D726" s="15" t="str">
        <f>IFERROR(__xludf.DUMMYFUNCTION("""COMPUTED_VALUE"""),"Removed")</f>
        <v>Removed</v>
      </c>
      <c r="E726" s="17">
        <f>IFERROR(__xludf.DUMMYFUNCTION("""COMPUTED_VALUE"""),41247.0)</f>
        <v>41247</v>
      </c>
      <c r="F726" s="54">
        <f>IFERROR(__xludf.DUMMYFUNCTION("""COMPUTED_VALUE"""),41274.0)</f>
        <v>41274</v>
      </c>
      <c r="G726" s="19">
        <f>IFERROR(__xludf.DUMMYFUNCTION("""COMPUTED_VALUE"""),0.8666666666666666)</f>
        <v>0.8666666667</v>
      </c>
      <c r="H726" s="17">
        <f>IFERROR(__xludf.DUMMYFUNCTION("""COMPUTED_VALUE"""),40862.0)</f>
        <v>40862</v>
      </c>
      <c r="I726" s="19">
        <f>IFERROR(__xludf.DUMMYFUNCTION("""COMPUTED_VALUE"""),1.0527777777777778)</f>
        <v>1.052777778</v>
      </c>
      <c r="J726" s="21">
        <f>IFERROR(__xludf.DUMMYFUNCTION("""COMPUTED_VALUE"""),75.0)</f>
        <v>75</v>
      </c>
      <c r="K726" s="23">
        <f>IFERROR(__xludf.DUMMYFUNCTION("""COMPUTED_VALUE"""),7.3)</f>
        <v>7.3</v>
      </c>
      <c r="L726" s="24">
        <f>IFERROR(__xludf.DUMMYFUNCTION("""COMPUTED_VALUE"""),5.0)</f>
        <v>5</v>
      </c>
      <c r="M726" s="25" t="str">
        <f>IFERROR(__xludf.DUMMYFUNCTION("""COMPUTED_VALUE"""),"Platformer")</f>
        <v>Platformer</v>
      </c>
      <c r="N726" s="25"/>
      <c r="O726" s="26" t="str">
        <f>IFERROR(__xludf.DUMMYFUNCTION("""COMPUTED_VALUE"""),"No")</f>
        <v>No</v>
      </c>
      <c r="P726" s="26"/>
    </row>
    <row r="727" hidden="1">
      <c r="A727" s="13" t="str">
        <f>IFERROR(__xludf.DUMMYFUNCTION("""COMPUTED_VALUE"""),"Street Fighter IV: Arcade Edition")</f>
        <v>Street Fighter IV: Arcade Edition</v>
      </c>
      <c r="B727" s="15" t="str">
        <f>IFERROR(__xludf.DUMMYFUNCTION("""COMPUTED_VALUE"""),"PS3")</f>
        <v>PS3</v>
      </c>
      <c r="C727" s="16" t="str">
        <f>IFERROR(__xludf.DUMMYFUNCTION("""COMPUTED_VALUE"""),"Playstation Plus (Discontinued)")</f>
        <v>Playstation Plus (Discontinued)</v>
      </c>
      <c r="D727" s="15" t="str">
        <f>IFERROR(__xludf.DUMMYFUNCTION("""COMPUTED_VALUE"""),"Removed")</f>
        <v>Removed</v>
      </c>
      <c r="E727" s="17">
        <f>IFERROR(__xludf.DUMMYFUNCTION("""COMPUTED_VALUE"""),41247.0)</f>
        <v>41247</v>
      </c>
      <c r="F727" s="54">
        <f>IFERROR(__xludf.DUMMYFUNCTION("""COMPUTED_VALUE"""),41274.0)</f>
        <v>41274</v>
      </c>
      <c r="G727" s="19">
        <f>IFERROR(__xludf.DUMMYFUNCTION("""COMPUTED_VALUE"""),0.8666666666666666)</f>
        <v>0.8666666667</v>
      </c>
      <c r="H727" s="17">
        <f>IFERROR(__xludf.DUMMYFUNCTION("""COMPUTED_VALUE"""),40701.0)</f>
        <v>40701</v>
      </c>
      <c r="I727" s="19">
        <f>IFERROR(__xludf.DUMMYFUNCTION("""COMPUTED_VALUE"""),1.4916666666666667)</f>
        <v>1.491666667</v>
      </c>
      <c r="J727" s="21">
        <f>IFERROR(__xludf.DUMMYFUNCTION("""COMPUTED_VALUE"""),84.0)</f>
        <v>84</v>
      </c>
      <c r="K727" s="23">
        <f>IFERROR(__xludf.DUMMYFUNCTION("""COMPUTED_VALUE"""),7.9)</f>
        <v>7.9</v>
      </c>
      <c r="L727" s="24"/>
      <c r="M727" s="25" t="str">
        <f>IFERROR(__xludf.DUMMYFUNCTION("""COMPUTED_VALUE"""),"Fighting")</f>
        <v>Fighting</v>
      </c>
      <c r="N727" s="25"/>
      <c r="O727" s="26" t="str">
        <f>IFERROR(__xludf.DUMMYFUNCTION("""COMPUTED_VALUE"""),"No")</f>
        <v>No</v>
      </c>
      <c r="P727" s="26"/>
    </row>
    <row r="728" hidden="1">
      <c r="A728" s="13" t="str">
        <f>IFERROR(__xludf.DUMMYFUNCTION("""COMPUTED_VALUE"""),"Bioshock 2")</f>
        <v>Bioshock 2</v>
      </c>
      <c r="B728" s="15" t="str">
        <f>IFERROR(__xludf.DUMMYFUNCTION("""COMPUTED_VALUE"""),"PS3")</f>
        <v>PS3</v>
      </c>
      <c r="C728" s="16" t="str">
        <f>IFERROR(__xludf.DUMMYFUNCTION("""COMPUTED_VALUE"""),"Playstation Plus (Discontinued)")</f>
        <v>Playstation Plus (Discontinued)</v>
      </c>
      <c r="D728" s="15" t="str">
        <f>IFERROR(__xludf.DUMMYFUNCTION("""COMPUTED_VALUE"""),"Removed")</f>
        <v>Removed</v>
      </c>
      <c r="E728" s="17">
        <f>IFERROR(__xludf.DUMMYFUNCTION("""COMPUTED_VALUE"""),41247.0)</f>
        <v>41247</v>
      </c>
      <c r="F728" s="54">
        <f>IFERROR(__xludf.DUMMYFUNCTION("""COMPUTED_VALUE"""),41274.0)</f>
        <v>41274</v>
      </c>
      <c r="G728" s="19">
        <f>IFERROR(__xludf.DUMMYFUNCTION("""COMPUTED_VALUE"""),0.8666666666666666)</f>
        <v>0.8666666667</v>
      </c>
      <c r="H728" s="17">
        <f>IFERROR(__xludf.DUMMYFUNCTION("""COMPUTED_VALUE"""),40218.0)</f>
        <v>40218</v>
      </c>
      <c r="I728" s="19">
        <f>IFERROR(__xludf.DUMMYFUNCTION("""COMPUTED_VALUE"""),2.8194444444444446)</f>
        <v>2.819444444</v>
      </c>
      <c r="J728" s="21">
        <f>IFERROR(__xludf.DUMMYFUNCTION("""COMPUTED_VALUE"""),88.0)</f>
        <v>88</v>
      </c>
      <c r="K728" s="23">
        <f>IFERROR(__xludf.DUMMYFUNCTION("""COMPUTED_VALUE"""),8.0)</f>
        <v>8</v>
      </c>
      <c r="L728" s="24">
        <f>IFERROR(__xludf.DUMMYFUNCTION("""COMPUTED_VALUE"""),11.0)</f>
        <v>11</v>
      </c>
      <c r="M728" s="25" t="str">
        <f>IFERROR(__xludf.DUMMYFUNCTION("""COMPUTED_VALUE"""),"Shooter")</f>
        <v>Shooter</v>
      </c>
      <c r="N728" s="25"/>
      <c r="O728" s="26" t="str">
        <f>IFERROR(__xludf.DUMMYFUNCTION("""COMPUTED_VALUE"""),"No")</f>
        <v>No</v>
      </c>
      <c r="P728" s="26"/>
    </row>
    <row r="729" hidden="1">
      <c r="A729" s="13" t="str">
        <f>IFERROR(__xludf.DUMMYFUNCTION("""COMPUTED_VALUE"""),"Sonic the Hedgehog 2")</f>
        <v>Sonic the Hedgehog 2</v>
      </c>
      <c r="B729" s="15" t="str">
        <f>IFERROR(__xludf.DUMMYFUNCTION("""COMPUTED_VALUE"""),"PS3")</f>
        <v>PS3</v>
      </c>
      <c r="C729" s="16" t="str">
        <f>IFERROR(__xludf.DUMMYFUNCTION("""COMPUTED_VALUE"""),"Playstation Plus (Discontinued)")</f>
        <v>Playstation Plus (Discontinued)</v>
      </c>
      <c r="D729" s="15" t="str">
        <f>IFERROR(__xludf.DUMMYFUNCTION("""COMPUTED_VALUE"""),"Removed")</f>
        <v>Removed</v>
      </c>
      <c r="E729" s="17">
        <f>IFERROR(__xludf.DUMMYFUNCTION("""COMPUTED_VALUE"""),41219.0)</f>
        <v>41219</v>
      </c>
      <c r="F729" s="54">
        <f>IFERROR(__xludf.DUMMYFUNCTION("""COMPUTED_VALUE"""),41246.0)</f>
        <v>41246</v>
      </c>
      <c r="G729" s="19">
        <f>IFERROR(__xludf.DUMMYFUNCTION("""COMPUTED_VALUE"""),0.8999999999999999)</f>
        <v>0.9</v>
      </c>
      <c r="H729" s="17">
        <f>IFERROR(__xludf.DUMMYFUNCTION("""COMPUTED_VALUE"""),40715.0)</f>
        <v>40715</v>
      </c>
      <c r="I729" s="19">
        <f>IFERROR(__xludf.DUMMYFUNCTION("""COMPUTED_VALUE"""),1.375)</f>
        <v>1.375</v>
      </c>
      <c r="J729" s="21">
        <f>IFERROR(__xludf.DUMMYFUNCTION("""COMPUTED_VALUE"""),69.0)</f>
        <v>69</v>
      </c>
      <c r="K729" s="23">
        <f>IFERROR(__xludf.DUMMYFUNCTION("""COMPUTED_VALUE"""),7.9)</f>
        <v>7.9</v>
      </c>
      <c r="L729" s="24">
        <f>IFERROR(__xludf.DUMMYFUNCTION("""COMPUTED_VALUE"""),4.0)</f>
        <v>4</v>
      </c>
      <c r="M729" s="25" t="str">
        <f>IFERROR(__xludf.DUMMYFUNCTION("""COMPUTED_VALUE"""),"Platformer")</f>
        <v>Platformer</v>
      </c>
      <c r="N729" s="25"/>
      <c r="O729" s="26" t="str">
        <f>IFERROR(__xludf.DUMMYFUNCTION("""COMPUTED_VALUE"""),"No")</f>
        <v>No</v>
      </c>
      <c r="P729" s="26"/>
    </row>
    <row r="730" hidden="1">
      <c r="A730" s="13" t="str">
        <f>IFERROR(__xludf.DUMMYFUNCTION("""COMPUTED_VALUE"""),"Sonic the Hedgehog")</f>
        <v>Sonic the Hedgehog</v>
      </c>
      <c r="B730" s="15" t="str">
        <f>IFERROR(__xludf.DUMMYFUNCTION("""COMPUTED_VALUE"""),"PS3")</f>
        <v>PS3</v>
      </c>
      <c r="C730" s="16" t="str">
        <f>IFERROR(__xludf.DUMMYFUNCTION("""COMPUTED_VALUE"""),"Playstation Plus (Discontinued)")</f>
        <v>Playstation Plus (Discontinued)</v>
      </c>
      <c r="D730" s="15" t="str">
        <f>IFERROR(__xludf.DUMMYFUNCTION("""COMPUTED_VALUE"""),"Removed")</f>
        <v>Removed</v>
      </c>
      <c r="E730" s="17">
        <f>IFERROR(__xludf.DUMMYFUNCTION("""COMPUTED_VALUE"""),41219.0)</f>
        <v>41219</v>
      </c>
      <c r="F730" s="54">
        <f>IFERROR(__xludf.DUMMYFUNCTION("""COMPUTED_VALUE"""),41246.0)</f>
        <v>41246</v>
      </c>
      <c r="G730" s="19">
        <f>IFERROR(__xludf.DUMMYFUNCTION("""COMPUTED_VALUE"""),0.8999999999999999)</f>
        <v>0.9</v>
      </c>
      <c r="H730" s="17">
        <f>IFERROR(__xludf.DUMMYFUNCTION("""COMPUTED_VALUE"""),40714.0)</f>
        <v>40714</v>
      </c>
      <c r="I730" s="19">
        <f>IFERROR(__xludf.DUMMYFUNCTION("""COMPUTED_VALUE"""),1.3777777777777778)</f>
        <v>1.377777778</v>
      </c>
      <c r="J730" s="21">
        <f>IFERROR(__xludf.DUMMYFUNCTION("""COMPUTED_VALUE"""),50.0)</f>
        <v>50</v>
      </c>
      <c r="K730" s="23">
        <f>IFERROR(__xludf.DUMMYFUNCTION("""COMPUTED_VALUE"""),7.2)</f>
        <v>7.2</v>
      </c>
      <c r="L730" s="24">
        <f>IFERROR(__xludf.DUMMYFUNCTION("""COMPUTED_VALUE"""),3.0)</f>
        <v>3</v>
      </c>
      <c r="M730" s="25" t="str">
        <f>IFERROR(__xludf.DUMMYFUNCTION("""COMPUTED_VALUE"""),"Platformer")</f>
        <v>Platformer</v>
      </c>
      <c r="N730" s="25"/>
      <c r="O730" s="26" t="str">
        <f>IFERROR(__xludf.DUMMYFUNCTION("""COMPUTED_VALUE"""),"No")</f>
        <v>No</v>
      </c>
      <c r="P730" s="26"/>
    </row>
    <row r="731" hidden="1">
      <c r="A731" s="13" t="str">
        <f>IFERROR(__xludf.DUMMYFUNCTION("""COMPUTED_VALUE"""),"Final Fantasy Tactics: The War of the Lions")</f>
        <v>Final Fantasy Tactics: The War of the Lions</v>
      </c>
      <c r="B731" s="15" t="str">
        <f>IFERROR(__xludf.DUMMYFUNCTION("""COMPUTED_VALUE"""),"PSP")</f>
        <v>PSP</v>
      </c>
      <c r="C731" s="16" t="str">
        <f>IFERROR(__xludf.DUMMYFUNCTION("""COMPUTED_VALUE"""),"Playstation Plus (Discontinued)")</f>
        <v>Playstation Plus (Discontinued)</v>
      </c>
      <c r="D731" s="15" t="str">
        <f>IFERROR(__xludf.DUMMYFUNCTION("""COMPUTED_VALUE"""),"Removed")</f>
        <v>Removed</v>
      </c>
      <c r="E731" s="17">
        <f>IFERROR(__xludf.DUMMYFUNCTION("""COMPUTED_VALUE"""),41219.0)</f>
        <v>41219</v>
      </c>
      <c r="F731" s="54">
        <f>IFERROR(__xludf.DUMMYFUNCTION("""COMPUTED_VALUE"""),41246.0)</f>
        <v>41246</v>
      </c>
      <c r="G731" s="19">
        <f>IFERROR(__xludf.DUMMYFUNCTION("""COMPUTED_VALUE"""),0.8999999999999999)</f>
        <v>0.9</v>
      </c>
      <c r="H731" s="17">
        <f>IFERROR(__xludf.DUMMYFUNCTION("""COMPUTED_VALUE"""),39212.0)</f>
        <v>39212</v>
      </c>
      <c r="I731" s="19">
        <f>IFERROR(__xludf.DUMMYFUNCTION("""COMPUTED_VALUE"""),5.488888888888889)</f>
        <v>5.488888889</v>
      </c>
      <c r="J731" s="21">
        <f>IFERROR(__xludf.DUMMYFUNCTION("""COMPUTED_VALUE"""),88.0)</f>
        <v>88</v>
      </c>
      <c r="K731" s="23">
        <f>IFERROR(__xludf.DUMMYFUNCTION("""COMPUTED_VALUE"""),8.8)</f>
        <v>8.8</v>
      </c>
      <c r="L731" s="24">
        <f>IFERROR(__xludf.DUMMYFUNCTION("""COMPUTED_VALUE"""),40.0)</f>
        <v>40</v>
      </c>
      <c r="M731" s="25" t="str">
        <f>IFERROR(__xludf.DUMMYFUNCTION("""COMPUTED_VALUE"""),"RPG")</f>
        <v>RPG</v>
      </c>
      <c r="N731" s="25"/>
      <c r="O731" s="26" t="str">
        <f>IFERROR(__xludf.DUMMYFUNCTION("""COMPUTED_VALUE"""),"No")</f>
        <v>No</v>
      </c>
      <c r="P731" s="26"/>
    </row>
    <row r="732" hidden="1">
      <c r="A732" s="13" t="str">
        <f>IFERROR(__xludf.DUMMYFUNCTION("""COMPUTED_VALUE"""),"WipEout 2048")</f>
        <v>WipEout 2048</v>
      </c>
      <c r="B732" s="15" t="str">
        <f>IFERROR(__xludf.DUMMYFUNCTION("""COMPUTED_VALUE"""),"Vita")</f>
        <v>Vita</v>
      </c>
      <c r="C732" s="16" t="str">
        <f>IFERROR(__xludf.DUMMYFUNCTION("""COMPUTED_VALUE"""),"Playstation Plus (Discontinued)")</f>
        <v>Playstation Plus (Discontinued)</v>
      </c>
      <c r="D732" s="15" t="str">
        <f>IFERROR(__xludf.DUMMYFUNCTION("""COMPUTED_VALUE"""),"Removed")</f>
        <v>Removed</v>
      </c>
      <c r="E732" s="17">
        <f>IFERROR(__xludf.DUMMYFUNCTION("""COMPUTED_VALUE"""),41219.0)</f>
        <v>41219</v>
      </c>
      <c r="F732" s="54">
        <f>IFERROR(__xludf.DUMMYFUNCTION("""COMPUTED_VALUE"""),41246.0)</f>
        <v>41246</v>
      </c>
      <c r="G732" s="19">
        <f>IFERROR(__xludf.DUMMYFUNCTION("""COMPUTED_VALUE"""),0.8999999999999999)</f>
        <v>0.9</v>
      </c>
      <c r="H732" s="17">
        <f>IFERROR(__xludf.DUMMYFUNCTION("""COMPUTED_VALUE"""),40953.0)</f>
        <v>40953</v>
      </c>
      <c r="I732" s="19">
        <f>IFERROR(__xludf.DUMMYFUNCTION("""COMPUTED_VALUE"""),0.7277777777777777)</f>
        <v>0.7277777778</v>
      </c>
      <c r="J732" s="21">
        <f>IFERROR(__xludf.DUMMYFUNCTION("""COMPUTED_VALUE"""),79.0)</f>
        <v>79</v>
      </c>
      <c r="K732" s="23">
        <f>IFERROR(__xludf.DUMMYFUNCTION("""COMPUTED_VALUE"""),7.7)</f>
        <v>7.7</v>
      </c>
      <c r="L732" s="24">
        <f>IFERROR(__xludf.DUMMYFUNCTION("""COMPUTED_VALUE"""),10.0)</f>
        <v>10</v>
      </c>
      <c r="M732" s="25" t="str">
        <f>IFERROR(__xludf.DUMMYFUNCTION("""COMPUTED_VALUE"""),"Racing")</f>
        <v>Racing</v>
      </c>
      <c r="N732" s="25"/>
      <c r="O732" s="26" t="str">
        <f>IFERROR(__xludf.DUMMYFUNCTION("""COMPUTED_VALUE"""),"No")</f>
        <v>No</v>
      </c>
      <c r="P732" s="26"/>
    </row>
    <row r="733" hidden="1">
      <c r="A733" s="13" t="str">
        <f>IFERROR(__xludf.DUMMYFUNCTION("""COMPUTED_VALUE"""),"Uncharted: Golden Abyss")</f>
        <v>Uncharted: Golden Abyss</v>
      </c>
      <c r="B733" s="15" t="str">
        <f>IFERROR(__xludf.DUMMYFUNCTION("""COMPUTED_VALUE"""),"Vita")</f>
        <v>Vita</v>
      </c>
      <c r="C733" s="16" t="str">
        <f>IFERROR(__xludf.DUMMYFUNCTION("""COMPUTED_VALUE"""),"Playstation Plus (Discontinued)")</f>
        <v>Playstation Plus (Discontinued)</v>
      </c>
      <c r="D733" s="15" t="str">
        <f>IFERROR(__xludf.DUMMYFUNCTION("""COMPUTED_VALUE"""),"Removed")</f>
        <v>Removed</v>
      </c>
      <c r="E733" s="17">
        <f>IFERROR(__xludf.DUMMYFUNCTION("""COMPUTED_VALUE"""),41219.0)</f>
        <v>41219</v>
      </c>
      <c r="F733" s="54">
        <f>IFERROR(__xludf.DUMMYFUNCTION("""COMPUTED_VALUE"""),41246.0)</f>
        <v>41246</v>
      </c>
      <c r="G733" s="19">
        <f>IFERROR(__xludf.DUMMYFUNCTION("""COMPUTED_VALUE"""),0.8999999999999999)</f>
        <v>0.9</v>
      </c>
      <c r="H733" s="17">
        <f>IFERROR(__xludf.DUMMYFUNCTION("""COMPUTED_VALUE"""),40954.0)</f>
        <v>40954</v>
      </c>
      <c r="I733" s="19">
        <f>IFERROR(__xludf.DUMMYFUNCTION("""COMPUTED_VALUE"""),0.725)</f>
        <v>0.725</v>
      </c>
      <c r="J733" s="21">
        <f>IFERROR(__xludf.DUMMYFUNCTION("""COMPUTED_VALUE"""),80.0)</f>
        <v>80</v>
      </c>
      <c r="K733" s="23">
        <f>IFERROR(__xludf.DUMMYFUNCTION("""COMPUTED_VALUE"""),8.0)</f>
        <v>8</v>
      </c>
      <c r="L733" s="24">
        <f>IFERROR(__xludf.DUMMYFUNCTION("""COMPUTED_VALUE"""),12.0)</f>
        <v>12</v>
      </c>
      <c r="M733" s="25" t="str">
        <f>IFERROR(__xludf.DUMMYFUNCTION("""COMPUTED_VALUE"""),"Action-Adventure")</f>
        <v>Action-Adventure</v>
      </c>
      <c r="N733" s="25"/>
      <c r="O733" s="26" t="str">
        <f>IFERROR(__xludf.DUMMYFUNCTION("""COMPUTED_VALUE"""),"No")</f>
        <v>No</v>
      </c>
      <c r="P733" s="26"/>
    </row>
    <row r="734" hidden="1">
      <c r="A734" s="13" t="str">
        <f>IFERROR(__xludf.DUMMYFUNCTION("""COMPUTED_VALUE"""),"Tales from Space: Mutant Blobs Attack")</f>
        <v>Tales from Space: Mutant Blobs Attack</v>
      </c>
      <c r="B734" s="15" t="str">
        <f>IFERROR(__xludf.DUMMYFUNCTION("""COMPUTED_VALUE"""),"Vita")</f>
        <v>Vita</v>
      </c>
      <c r="C734" s="16" t="str">
        <f>IFERROR(__xludf.DUMMYFUNCTION("""COMPUTED_VALUE"""),"Playstation Plus (Discontinued)")</f>
        <v>Playstation Plus (Discontinued)</v>
      </c>
      <c r="D734" s="15" t="str">
        <f>IFERROR(__xludf.DUMMYFUNCTION("""COMPUTED_VALUE"""),"Removed")</f>
        <v>Removed</v>
      </c>
      <c r="E734" s="17">
        <f>IFERROR(__xludf.DUMMYFUNCTION("""COMPUTED_VALUE"""),41219.0)</f>
        <v>41219</v>
      </c>
      <c r="F734" s="54">
        <f>IFERROR(__xludf.DUMMYFUNCTION("""COMPUTED_VALUE"""),41246.0)</f>
        <v>41246</v>
      </c>
      <c r="G734" s="19">
        <f>IFERROR(__xludf.DUMMYFUNCTION("""COMPUTED_VALUE"""),0.8999999999999999)</f>
        <v>0.9</v>
      </c>
      <c r="H734" s="17">
        <f>IFERROR(__xludf.DUMMYFUNCTION("""COMPUTED_VALUE"""),40960.0)</f>
        <v>40960</v>
      </c>
      <c r="I734" s="19">
        <f>IFERROR(__xludf.DUMMYFUNCTION("""COMPUTED_VALUE"""),0.7083333333333334)</f>
        <v>0.7083333333</v>
      </c>
      <c r="J734" s="21">
        <f>IFERROR(__xludf.DUMMYFUNCTION("""COMPUTED_VALUE"""),83.0)</f>
        <v>83</v>
      </c>
      <c r="K734" s="23">
        <f>IFERROR(__xludf.DUMMYFUNCTION("""COMPUTED_VALUE"""),7.7)</f>
        <v>7.7</v>
      </c>
      <c r="L734" s="24">
        <f>IFERROR(__xludf.DUMMYFUNCTION("""COMPUTED_VALUE"""),4.0)</f>
        <v>4</v>
      </c>
      <c r="M734" s="25" t="str">
        <f>IFERROR(__xludf.DUMMYFUNCTION("""COMPUTED_VALUE"""),"Platformer")</f>
        <v>Platformer</v>
      </c>
      <c r="N734" s="25"/>
      <c r="O734" s="26" t="str">
        <f>IFERROR(__xludf.DUMMYFUNCTION("""COMPUTED_VALUE"""),"No")</f>
        <v>No</v>
      </c>
      <c r="P734" s="26"/>
    </row>
    <row r="735" hidden="1">
      <c r="A735" s="13" t="str">
        <f>IFERROR(__xludf.DUMMYFUNCTION("""COMPUTED_VALUE"""),"Jet Set Radio")</f>
        <v>Jet Set Radio</v>
      </c>
      <c r="B735" s="15" t="str">
        <f>IFERROR(__xludf.DUMMYFUNCTION("""COMPUTED_VALUE"""),"Vita")</f>
        <v>Vita</v>
      </c>
      <c r="C735" s="16" t="str">
        <f>IFERROR(__xludf.DUMMYFUNCTION("""COMPUTED_VALUE"""),"Playstation Plus (Discontinued)")</f>
        <v>Playstation Plus (Discontinued)</v>
      </c>
      <c r="D735" s="15" t="str">
        <f>IFERROR(__xludf.DUMMYFUNCTION("""COMPUTED_VALUE"""),"Removed")</f>
        <v>Removed</v>
      </c>
      <c r="E735" s="17">
        <f>IFERROR(__xludf.DUMMYFUNCTION("""COMPUTED_VALUE"""),41219.0)</f>
        <v>41219</v>
      </c>
      <c r="F735" s="54">
        <f>IFERROR(__xludf.DUMMYFUNCTION("""COMPUTED_VALUE"""),41246.0)</f>
        <v>41246</v>
      </c>
      <c r="G735" s="19">
        <f>IFERROR(__xludf.DUMMYFUNCTION("""COMPUTED_VALUE"""),0.8999999999999999)</f>
        <v>0.9</v>
      </c>
      <c r="H735" s="17">
        <f>IFERROR(__xludf.DUMMYFUNCTION("""COMPUTED_VALUE"""),41170.0)</f>
        <v>41170</v>
      </c>
      <c r="I735" s="19">
        <f>IFERROR(__xludf.DUMMYFUNCTION("""COMPUTED_VALUE"""),0.13333333333333333)</f>
        <v>0.1333333333</v>
      </c>
      <c r="J735" s="21">
        <f>IFERROR(__xludf.DUMMYFUNCTION("""COMPUTED_VALUE"""),78.0)</f>
        <v>78</v>
      </c>
      <c r="K735" s="23">
        <f>IFERROR(__xludf.DUMMYFUNCTION("""COMPUTED_VALUE"""),7.7)</f>
        <v>7.7</v>
      </c>
      <c r="L735" s="24">
        <f>IFERROR(__xludf.DUMMYFUNCTION("""COMPUTED_VALUE"""),9.0)</f>
        <v>9</v>
      </c>
      <c r="M735" s="25" t="str">
        <f>IFERROR(__xludf.DUMMYFUNCTION("""COMPUTED_VALUE"""),"Action-Adventure")</f>
        <v>Action-Adventure</v>
      </c>
      <c r="N735" s="25"/>
      <c r="O735" s="26" t="str">
        <f>IFERROR(__xludf.DUMMYFUNCTION("""COMPUTED_VALUE"""),"No")</f>
        <v>No</v>
      </c>
      <c r="P735" s="26"/>
    </row>
    <row r="736" hidden="1">
      <c r="A736" s="13" t="str">
        <f>IFERROR(__xludf.DUMMYFUNCTION("""COMPUTED_VALUE"""),"Gravity Rush")</f>
        <v>Gravity Rush</v>
      </c>
      <c r="B736" s="15" t="str">
        <f>IFERROR(__xludf.DUMMYFUNCTION("""COMPUTED_VALUE"""),"Vita")</f>
        <v>Vita</v>
      </c>
      <c r="C736" s="16" t="str">
        <f>IFERROR(__xludf.DUMMYFUNCTION("""COMPUTED_VALUE"""),"Playstation Plus (Discontinued)")</f>
        <v>Playstation Plus (Discontinued)</v>
      </c>
      <c r="D736" s="15" t="str">
        <f>IFERROR(__xludf.DUMMYFUNCTION("""COMPUTED_VALUE"""),"Removed")</f>
        <v>Removed</v>
      </c>
      <c r="E736" s="17">
        <f>IFERROR(__xludf.DUMMYFUNCTION("""COMPUTED_VALUE"""),41219.0)</f>
        <v>41219</v>
      </c>
      <c r="F736" s="54">
        <f>IFERROR(__xludf.DUMMYFUNCTION("""COMPUTED_VALUE"""),41246.0)</f>
        <v>41246</v>
      </c>
      <c r="G736" s="19">
        <f>IFERROR(__xludf.DUMMYFUNCTION("""COMPUTED_VALUE"""),0.8999999999999999)</f>
        <v>0.9</v>
      </c>
      <c r="H736" s="17">
        <f>IFERROR(__xludf.DUMMYFUNCTION("""COMPUTED_VALUE"""),41072.0)</f>
        <v>41072</v>
      </c>
      <c r="I736" s="19">
        <f>IFERROR(__xludf.DUMMYFUNCTION("""COMPUTED_VALUE"""),0.4)</f>
        <v>0.4</v>
      </c>
      <c r="J736" s="21">
        <f>IFERROR(__xludf.DUMMYFUNCTION("""COMPUTED_VALUE"""),83.0)</f>
        <v>83</v>
      </c>
      <c r="K736" s="23">
        <f>IFERROR(__xludf.DUMMYFUNCTION("""COMPUTED_VALUE"""),8.2)</f>
        <v>8.2</v>
      </c>
      <c r="L736" s="24">
        <f>IFERROR(__xludf.DUMMYFUNCTION("""COMPUTED_VALUE"""),12.0)</f>
        <v>12</v>
      </c>
      <c r="M736" s="25" t="str">
        <f>IFERROR(__xludf.DUMMYFUNCTION("""COMPUTED_VALUE"""),"Action-Adventure")</f>
        <v>Action-Adventure</v>
      </c>
      <c r="N736" s="25"/>
      <c r="O736" s="26" t="str">
        <f>IFERROR(__xludf.DUMMYFUNCTION("""COMPUTED_VALUE"""),"No")</f>
        <v>No</v>
      </c>
      <c r="P736" s="26"/>
    </row>
    <row r="737" hidden="1">
      <c r="A737" s="13" t="str">
        <f>IFERROR(__xludf.DUMMYFUNCTION("""COMPUTED_VALUE"""),"Resident Evil 5: Gold Edition")</f>
        <v>Resident Evil 5: Gold Edition</v>
      </c>
      <c r="B737" s="15" t="str">
        <f>IFERROR(__xludf.DUMMYFUNCTION("""COMPUTED_VALUE"""),"PS3")</f>
        <v>PS3</v>
      </c>
      <c r="C737" s="16" t="str">
        <f>IFERROR(__xludf.DUMMYFUNCTION("""COMPUTED_VALUE"""),"Playstation Plus (Discontinued)")</f>
        <v>Playstation Plus (Discontinued)</v>
      </c>
      <c r="D737" s="15" t="str">
        <f>IFERROR(__xludf.DUMMYFUNCTION("""COMPUTED_VALUE"""),"Removed")</f>
        <v>Removed</v>
      </c>
      <c r="E737" s="17">
        <f>IFERROR(__xludf.DUMMYFUNCTION("""COMPUTED_VALUE"""),41219.0)</f>
        <v>41219</v>
      </c>
      <c r="F737" s="54">
        <f>IFERROR(__xludf.DUMMYFUNCTION("""COMPUTED_VALUE"""),41246.0)</f>
        <v>41246</v>
      </c>
      <c r="G737" s="19">
        <f>IFERROR(__xludf.DUMMYFUNCTION("""COMPUTED_VALUE"""),0.8999999999999999)</f>
        <v>0.9</v>
      </c>
      <c r="H737" s="17">
        <f>IFERROR(__xludf.DUMMYFUNCTION("""COMPUTED_VALUE"""),40610.0)</f>
        <v>40610</v>
      </c>
      <c r="I737" s="19">
        <f>IFERROR(__xludf.DUMMYFUNCTION("""COMPUTED_VALUE"""),1.6611111111111112)</f>
        <v>1.661111111</v>
      </c>
      <c r="J737" s="21">
        <f>IFERROR(__xludf.DUMMYFUNCTION("""COMPUTED_VALUE"""),84.0)</f>
        <v>84</v>
      </c>
      <c r="K737" s="23">
        <f>IFERROR(__xludf.DUMMYFUNCTION("""COMPUTED_VALUE"""),7.8)</f>
        <v>7.8</v>
      </c>
      <c r="L737" s="24">
        <f>IFERROR(__xludf.DUMMYFUNCTION("""COMPUTED_VALUE"""),16.0)</f>
        <v>16</v>
      </c>
      <c r="M737" s="25" t="str">
        <f>IFERROR(__xludf.DUMMYFUNCTION("""COMPUTED_VALUE"""),"Horror")</f>
        <v>Horror</v>
      </c>
      <c r="N737" s="25"/>
      <c r="O737" s="26" t="str">
        <f>IFERROR(__xludf.DUMMYFUNCTION("""COMPUTED_VALUE"""),"No")</f>
        <v>No</v>
      </c>
      <c r="P737" s="26"/>
    </row>
    <row r="738" hidden="1">
      <c r="A738" s="13" t="str">
        <f>IFERROR(__xludf.DUMMYFUNCTION("""COMPUTED_VALUE"""),"Quantum Conundrum")</f>
        <v>Quantum Conundrum</v>
      </c>
      <c r="B738" s="15" t="str">
        <f>IFERROR(__xludf.DUMMYFUNCTION("""COMPUTED_VALUE"""),"PS3")</f>
        <v>PS3</v>
      </c>
      <c r="C738" s="16" t="str">
        <f>IFERROR(__xludf.DUMMYFUNCTION("""COMPUTED_VALUE"""),"Playstation Plus (Discontinued)")</f>
        <v>Playstation Plus (Discontinued)</v>
      </c>
      <c r="D738" s="15" t="str">
        <f>IFERROR(__xludf.DUMMYFUNCTION("""COMPUTED_VALUE"""),"Removed")</f>
        <v>Removed</v>
      </c>
      <c r="E738" s="17">
        <f>IFERROR(__xludf.DUMMYFUNCTION("""COMPUTED_VALUE"""),41219.0)</f>
        <v>41219</v>
      </c>
      <c r="F738" s="54">
        <f>IFERROR(__xludf.DUMMYFUNCTION("""COMPUTED_VALUE"""),41246.0)</f>
        <v>41246</v>
      </c>
      <c r="G738" s="19">
        <f>IFERROR(__xludf.DUMMYFUNCTION("""COMPUTED_VALUE"""),0.8999999999999999)</f>
        <v>0.9</v>
      </c>
      <c r="H738" s="17">
        <f>IFERROR(__xludf.DUMMYFUNCTION("""COMPUTED_VALUE"""),41081.0)</f>
        <v>41081</v>
      </c>
      <c r="I738" s="19">
        <f>IFERROR(__xludf.DUMMYFUNCTION("""COMPUTED_VALUE"""),0.375)</f>
        <v>0.375</v>
      </c>
      <c r="J738" s="21">
        <f>IFERROR(__xludf.DUMMYFUNCTION("""COMPUTED_VALUE"""),77.0)</f>
        <v>77</v>
      </c>
      <c r="K738" s="23">
        <f>IFERROR(__xludf.DUMMYFUNCTION("""COMPUTED_VALUE"""),7.1)</f>
        <v>7.1</v>
      </c>
      <c r="L738" s="24">
        <f>IFERROR(__xludf.DUMMYFUNCTION("""COMPUTED_VALUE"""),6.0)</f>
        <v>6</v>
      </c>
      <c r="M738" s="25" t="str">
        <f>IFERROR(__xludf.DUMMYFUNCTION("""COMPUTED_VALUE"""),"Puzzle")</f>
        <v>Puzzle</v>
      </c>
      <c r="N738" s="25"/>
      <c r="O738" s="26" t="str">
        <f>IFERROR(__xludf.DUMMYFUNCTION("""COMPUTED_VALUE"""),"No")</f>
        <v>No</v>
      </c>
      <c r="P738" s="26"/>
    </row>
    <row r="739" hidden="1">
      <c r="A739" s="13" t="str">
        <f>IFERROR(__xludf.DUMMYFUNCTION("""COMPUTED_VALUE"""),"Dungeon Defenders")</f>
        <v>Dungeon Defenders</v>
      </c>
      <c r="B739" s="15" t="str">
        <f>IFERROR(__xludf.DUMMYFUNCTION("""COMPUTED_VALUE"""),"PS3")</f>
        <v>PS3</v>
      </c>
      <c r="C739" s="16" t="str">
        <f>IFERROR(__xludf.DUMMYFUNCTION("""COMPUTED_VALUE"""),"Playstation Plus (Discontinued)")</f>
        <v>Playstation Plus (Discontinued)</v>
      </c>
      <c r="D739" s="15" t="str">
        <f>IFERROR(__xludf.DUMMYFUNCTION("""COMPUTED_VALUE"""),"Removed")</f>
        <v>Removed</v>
      </c>
      <c r="E739" s="17">
        <f>IFERROR(__xludf.DUMMYFUNCTION("""COMPUTED_VALUE"""),41219.0)</f>
        <v>41219</v>
      </c>
      <c r="F739" s="54">
        <f>IFERROR(__xludf.DUMMYFUNCTION("""COMPUTED_VALUE"""),41246.0)</f>
        <v>41246</v>
      </c>
      <c r="G739" s="19">
        <f>IFERROR(__xludf.DUMMYFUNCTION("""COMPUTED_VALUE"""),0.8999999999999999)</f>
        <v>0.9</v>
      </c>
      <c r="H739" s="17">
        <f>IFERROR(__xludf.DUMMYFUNCTION("""COMPUTED_VALUE"""),40834.0)</f>
        <v>40834</v>
      </c>
      <c r="I739" s="19">
        <f>IFERROR(__xludf.DUMMYFUNCTION("""COMPUTED_VALUE"""),1.05)</f>
        <v>1.05</v>
      </c>
      <c r="J739" s="21">
        <f>IFERROR(__xludf.DUMMYFUNCTION("""COMPUTED_VALUE"""),81.0)</f>
        <v>81</v>
      </c>
      <c r="K739" s="23">
        <f>IFERROR(__xludf.DUMMYFUNCTION("""COMPUTED_VALUE"""),7.6)</f>
        <v>7.6</v>
      </c>
      <c r="L739" s="24">
        <f>IFERROR(__xludf.DUMMYFUNCTION("""COMPUTED_VALUE"""),20.0)</f>
        <v>20</v>
      </c>
      <c r="M739" s="25" t="str">
        <f>IFERROR(__xludf.DUMMYFUNCTION("""COMPUTED_VALUE"""),"Strategy")</f>
        <v>Strategy</v>
      </c>
      <c r="N739" s="25"/>
      <c r="O739" s="26" t="str">
        <f>IFERROR(__xludf.DUMMYFUNCTION("""COMPUTED_VALUE"""),"No")</f>
        <v>No</v>
      </c>
      <c r="P739" s="26"/>
    </row>
    <row r="740" hidden="1">
      <c r="A740" s="13" t="str">
        <f>IFERROR(__xludf.DUMMYFUNCTION("""COMPUTED_VALUE"""),"King of Fighters XIII")</f>
        <v>King of Fighters XIII</v>
      </c>
      <c r="B740" s="15" t="str">
        <f>IFERROR(__xludf.DUMMYFUNCTION("""COMPUTED_VALUE"""),"PS3")</f>
        <v>PS3</v>
      </c>
      <c r="C740" s="16" t="str">
        <f>IFERROR(__xludf.DUMMYFUNCTION("""COMPUTED_VALUE"""),"Playstation Plus (Discontinued)")</f>
        <v>Playstation Plus (Discontinued)</v>
      </c>
      <c r="D740" s="15" t="str">
        <f>IFERROR(__xludf.DUMMYFUNCTION("""COMPUTED_VALUE"""),"Removed")</f>
        <v>Removed</v>
      </c>
      <c r="E740" s="17">
        <f>IFERROR(__xludf.DUMMYFUNCTION("""COMPUTED_VALUE"""),41184.0)</f>
        <v>41184</v>
      </c>
      <c r="F740" s="54">
        <f>IFERROR(__xludf.DUMMYFUNCTION("""COMPUTED_VALUE"""),41218.0)</f>
        <v>41218</v>
      </c>
      <c r="G740" s="19">
        <f>IFERROR(__xludf.DUMMYFUNCTION("""COMPUTED_VALUE"""),1.0999999999999999)</f>
        <v>1.1</v>
      </c>
      <c r="H740" s="17">
        <f>IFERROR(__xludf.DUMMYFUNCTION("""COMPUTED_VALUE"""),40869.0)</f>
        <v>40869</v>
      </c>
      <c r="I740" s="19">
        <f>IFERROR(__xludf.DUMMYFUNCTION("""COMPUTED_VALUE"""),0.8611111111111112)</f>
        <v>0.8611111111</v>
      </c>
      <c r="J740" s="21">
        <f>IFERROR(__xludf.DUMMYFUNCTION("""COMPUTED_VALUE"""),77.0)</f>
        <v>77</v>
      </c>
      <c r="K740" s="23">
        <f>IFERROR(__xludf.DUMMYFUNCTION("""COMPUTED_VALUE"""),7.8)</f>
        <v>7.8</v>
      </c>
      <c r="L740" s="24"/>
      <c r="M740" s="25" t="str">
        <f>IFERROR(__xludf.DUMMYFUNCTION("""COMPUTED_VALUE"""),"Fighting")</f>
        <v>Fighting</v>
      </c>
      <c r="N740" s="25"/>
      <c r="O740" s="26" t="str">
        <f>IFERROR(__xludf.DUMMYFUNCTION("""COMPUTED_VALUE"""),"No")</f>
        <v>No</v>
      </c>
      <c r="P740" s="26"/>
    </row>
    <row r="741" hidden="1">
      <c r="A741" s="13" t="str">
        <f>IFERROR(__xludf.DUMMYFUNCTION("""COMPUTED_VALUE"""),"PAYDAY: The Heist")</f>
        <v>PAYDAY: The Heist</v>
      </c>
      <c r="B741" s="15" t="str">
        <f>IFERROR(__xludf.DUMMYFUNCTION("""COMPUTED_VALUE"""),"PS3")</f>
        <v>PS3</v>
      </c>
      <c r="C741" s="16" t="str">
        <f>IFERROR(__xludf.DUMMYFUNCTION("""COMPUTED_VALUE"""),"Playstation Plus (Discontinued)")</f>
        <v>Playstation Plus (Discontinued)</v>
      </c>
      <c r="D741" s="15" t="str">
        <f>IFERROR(__xludf.DUMMYFUNCTION("""COMPUTED_VALUE"""),"Removed")</f>
        <v>Removed</v>
      </c>
      <c r="E741" s="17">
        <f>IFERROR(__xludf.DUMMYFUNCTION("""COMPUTED_VALUE"""),41184.0)</f>
        <v>41184</v>
      </c>
      <c r="F741" s="54">
        <f>IFERROR(__xludf.DUMMYFUNCTION("""COMPUTED_VALUE"""),41218.0)</f>
        <v>41218</v>
      </c>
      <c r="G741" s="19">
        <f>IFERROR(__xludf.DUMMYFUNCTION("""COMPUTED_VALUE"""),1.0999999999999999)</f>
        <v>1.1</v>
      </c>
      <c r="H741" s="17">
        <f>IFERROR(__xludf.DUMMYFUNCTION("""COMPUTED_VALUE"""),40834.0)</f>
        <v>40834</v>
      </c>
      <c r="I741" s="19">
        <f>IFERROR(__xludf.DUMMYFUNCTION("""COMPUTED_VALUE"""),0.9555555555555556)</f>
        <v>0.9555555556</v>
      </c>
      <c r="J741" s="21">
        <f>IFERROR(__xludf.DUMMYFUNCTION("""COMPUTED_VALUE"""),77.0)</f>
        <v>77</v>
      </c>
      <c r="K741" s="23">
        <f>IFERROR(__xludf.DUMMYFUNCTION("""COMPUTED_VALUE"""),7.8)</f>
        <v>7.8</v>
      </c>
      <c r="L741" s="24">
        <f>IFERROR(__xludf.DUMMYFUNCTION("""COMPUTED_VALUE"""),14.0)</f>
        <v>14</v>
      </c>
      <c r="M741" s="25" t="str">
        <f>IFERROR(__xludf.DUMMYFUNCTION("""COMPUTED_VALUE"""),"Shooter")</f>
        <v>Shooter</v>
      </c>
      <c r="N741" s="25"/>
      <c r="O741" s="26" t="str">
        <f>IFERROR(__xludf.DUMMYFUNCTION("""COMPUTED_VALUE"""),"No")</f>
        <v>No</v>
      </c>
      <c r="P741" s="26"/>
    </row>
    <row r="742" hidden="1">
      <c r="A742" s="13" t="str">
        <f>IFERROR(__xludf.DUMMYFUNCTION("""COMPUTED_VALUE"""),"NFL Blitz")</f>
        <v>NFL Blitz</v>
      </c>
      <c r="B742" s="15" t="str">
        <f>IFERROR(__xludf.DUMMYFUNCTION("""COMPUTED_VALUE"""),"PS3")</f>
        <v>PS3</v>
      </c>
      <c r="C742" s="16" t="str">
        <f>IFERROR(__xludf.DUMMYFUNCTION("""COMPUTED_VALUE"""),"Playstation Plus (Discontinued)")</f>
        <v>Playstation Plus (Discontinued)</v>
      </c>
      <c r="D742" s="15" t="str">
        <f>IFERROR(__xludf.DUMMYFUNCTION("""COMPUTED_VALUE"""),"Removed")</f>
        <v>Removed</v>
      </c>
      <c r="E742" s="17">
        <f>IFERROR(__xludf.DUMMYFUNCTION("""COMPUTED_VALUE"""),41184.0)</f>
        <v>41184</v>
      </c>
      <c r="F742" s="54">
        <f>IFERROR(__xludf.DUMMYFUNCTION("""COMPUTED_VALUE"""),41218.0)</f>
        <v>41218</v>
      </c>
      <c r="G742" s="19">
        <f>IFERROR(__xludf.DUMMYFUNCTION("""COMPUTED_VALUE"""),1.0999999999999999)</f>
        <v>1.1</v>
      </c>
      <c r="H742" s="17">
        <f>IFERROR(__xludf.DUMMYFUNCTION("""COMPUTED_VALUE"""),40911.0)</f>
        <v>40911</v>
      </c>
      <c r="I742" s="19">
        <f>IFERROR(__xludf.DUMMYFUNCTION("""COMPUTED_VALUE"""),0.7472222222222222)</f>
        <v>0.7472222222</v>
      </c>
      <c r="J742" s="21">
        <f>IFERROR(__xludf.DUMMYFUNCTION("""COMPUTED_VALUE"""),76.0)</f>
        <v>76</v>
      </c>
      <c r="K742" s="23">
        <f>IFERROR(__xludf.DUMMYFUNCTION("""COMPUTED_VALUE"""),7.5)</f>
        <v>7.5</v>
      </c>
      <c r="L742" s="24"/>
      <c r="M742" s="25" t="str">
        <f>IFERROR(__xludf.DUMMYFUNCTION("""COMPUTED_VALUE"""),"Sports")</f>
        <v>Sports</v>
      </c>
      <c r="N742" s="25"/>
      <c r="O742" s="26" t="str">
        <f>IFERROR(__xludf.DUMMYFUNCTION("""COMPUTED_VALUE"""),"No")</f>
        <v>No</v>
      </c>
      <c r="P742" s="26"/>
    </row>
    <row r="743" hidden="1">
      <c r="A743" s="13" t="str">
        <f>IFERROR(__xludf.DUMMYFUNCTION("""COMPUTED_VALUE"""),"Double Dragon Neon")</f>
        <v>Double Dragon Neon</v>
      </c>
      <c r="B743" s="15" t="str">
        <f>IFERROR(__xludf.DUMMYFUNCTION("""COMPUTED_VALUE"""),"PS3")</f>
        <v>PS3</v>
      </c>
      <c r="C743" s="16" t="str">
        <f>IFERROR(__xludf.DUMMYFUNCTION("""COMPUTED_VALUE"""),"Playstation Plus (Discontinued)")</f>
        <v>Playstation Plus (Discontinued)</v>
      </c>
      <c r="D743" s="15" t="str">
        <f>IFERROR(__xludf.DUMMYFUNCTION("""COMPUTED_VALUE"""),"Removed")</f>
        <v>Removed</v>
      </c>
      <c r="E743" s="17">
        <f>IFERROR(__xludf.DUMMYFUNCTION("""COMPUTED_VALUE"""),41163.0)</f>
        <v>41163</v>
      </c>
      <c r="F743" s="54">
        <f>IFERROR(__xludf.DUMMYFUNCTION("""COMPUTED_VALUE"""),41183.0)</f>
        <v>41183</v>
      </c>
      <c r="G743" s="19">
        <f>IFERROR(__xludf.DUMMYFUNCTION("""COMPUTED_VALUE"""),0.6666666666666666)</f>
        <v>0.6666666667</v>
      </c>
      <c r="H743" s="17">
        <f>IFERROR(__xludf.DUMMYFUNCTION("""COMPUTED_VALUE"""),41163.0)</f>
        <v>41163</v>
      </c>
      <c r="I743" s="19">
        <f>IFERROR(__xludf.DUMMYFUNCTION("""COMPUTED_VALUE"""),0.0)</f>
        <v>0</v>
      </c>
      <c r="J743" s="21">
        <f>IFERROR(__xludf.DUMMYFUNCTION("""COMPUTED_VALUE"""),70.0)</f>
        <v>70</v>
      </c>
      <c r="K743" s="23">
        <f>IFERROR(__xludf.DUMMYFUNCTION("""COMPUTED_VALUE"""),7.5)</f>
        <v>7.5</v>
      </c>
      <c r="L743" s="24">
        <f>IFERROR(__xludf.DUMMYFUNCTION("""COMPUTED_VALUE"""),4.0)</f>
        <v>4</v>
      </c>
      <c r="M743" s="25" t="str">
        <f>IFERROR(__xludf.DUMMYFUNCTION("""COMPUTED_VALUE"""),"Platformer")</f>
        <v>Platformer</v>
      </c>
      <c r="N743" s="25"/>
      <c r="O743" s="26" t="str">
        <f>IFERROR(__xludf.DUMMYFUNCTION("""COMPUTED_VALUE"""),"No")</f>
        <v>No</v>
      </c>
      <c r="P743" s="26"/>
    </row>
    <row r="744" hidden="1">
      <c r="A744" s="13" t="str">
        <f>IFERROR(__xludf.DUMMYFUNCTION("""COMPUTED_VALUE"""),"Ronnie O'Sullivan's Snooker")</f>
        <v>Ronnie O'Sullivan's Snooker</v>
      </c>
      <c r="B744" s="15" t="str">
        <f>IFERROR(__xludf.DUMMYFUNCTION("""COMPUTED_VALUE"""),"PS3")</f>
        <v>PS3</v>
      </c>
      <c r="C744" s="16" t="str">
        <f>IFERROR(__xludf.DUMMYFUNCTION("""COMPUTED_VALUE"""),"Playstation Plus (Discontinued)")</f>
        <v>Playstation Plus (Discontinued)</v>
      </c>
      <c r="D744" s="15" t="str">
        <f>IFERROR(__xludf.DUMMYFUNCTION("""COMPUTED_VALUE"""),"Removed")</f>
        <v>Removed</v>
      </c>
      <c r="E744" s="17">
        <f>IFERROR(__xludf.DUMMYFUNCTION("""COMPUTED_VALUE"""),41156.0)</f>
        <v>41156</v>
      </c>
      <c r="F744" s="54">
        <f>IFERROR(__xludf.DUMMYFUNCTION("""COMPUTED_VALUE"""),41183.0)</f>
        <v>41183</v>
      </c>
      <c r="G744" s="19">
        <f>IFERROR(__xludf.DUMMYFUNCTION("""COMPUTED_VALUE"""),0.8999999999999999)</f>
        <v>0.9</v>
      </c>
      <c r="H744" s="17">
        <f>IFERROR(__xludf.DUMMYFUNCTION("""COMPUTED_VALUE"""),41149.0)</f>
        <v>41149</v>
      </c>
      <c r="I744" s="19">
        <f>IFERROR(__xludf.DUMMYFUNCTION("""COMPUTED_VALUE"""),0.016666666666666666)</f>
        <v>0.01666666667</v>
      </c>
      <c r="J744" s="21">
        <f>IFERROR(__xludf.DUMMYFUNCTION("""COMPUTED_VALUE"""),68.0)</f>
        <v>68</v>
      </c>
      <c r="K744" s="23">
        <f>IFERROR(__xludf.DUMMYFUNCTION("""COMPUTED_VALUE"""),7.1)</f>
        <v>7.1</v>
      </c>
      <c r="L744" s="24"/>
      <c r="M744" s="25" t="str">
        <f>IFERROR(__xludf.DUMMYFUNCTION("""COMPUTED_VALUE"""),"Sports")</f>
        <v>Sports</v>
      </c>
      <c r="N744" s="25" t="str">
        <f>IFERROR(__xludf.DUMMYFUNCTION("""COMPUTED_VALUE"""),"PS Minis")</f>
        <v>PS Minis</v>
      </c>
      <c r="O744" s="26" t="str">
        <f>IFERROR(__xludf.DUMMYFUNCTION("""COMPUTED_VALUE"""),"No")</f>
        <v>No</v>
      </c>
      <c r="P744" s="26"/>
    </row>
    <row r="745" hidden="1">
      <c r="A745" s="13" t="str">
        <f>IFERROR(__xludf.DUMMYFUNCTION("""COMPUTED_VALUE"""),"Starhawk (single-player ONLY)")</f>
        <v>Starhawk (single-player ONLY)</v>
      </c>
      <c r="B745" s="15" t="str">
        <f>IFERROR(__xludf.DUMMYFUNCTION("""COMPUTED_VALUE"""),"PS3")</f>
        <v>PS3</v>
      </c>
      <c r="C745" s="16" t="str">
        <f>IFERROR(__xludf.DUMMYFUNCTION("""COMPUTED_VALUE"""),"Playstation Plus (Discontinued)")</f>
        <v>Playstation Plus (Discontinued)</v>
      </c>
      <c r="D745" s="15" t="str">
        <f>IFERROR(__xludf.DUMMYFUNCTION("""COMPUTED_VALUE"""),"Removed")</f>
        <v>Removed</v>
      </c>
      <c r="E745" s="17">
        <f>IFERROR(__xludf.DUMMYFUNCTION("""COMPUTED_VALUE"""),41156.0)</f>
        <v>41156</v>
      </c>
      <c r="F745" s="54">
        <f>IFERROR(__xludf.DUMMYFUNCTION("""COMPUTED_VALUE"""),41183.0)</f>
        <v>41183</v>
      </c>
      <c r="G745" s="19">
        <f>IFERROR(__xludf.DUMMYFUNCTION("""COMPUTED_VALUE"""),0.8999999999999999)</f>
        <v>0.9</v>
      </c>
      <c r="H745" s="17">
        <f>IFERROR(__xludf.DUMMYFUNCTION("""COMPUTED_VALUE"""),41037.0)</f>
        <v>41037</v>
      </c>
      <c r="I745" s="19">
        <f>IFERROR(__xludf.DUMMYFUNCTION("""COMPUTED_VALUE"""),0.32222222222222224)</f>
        <v>0.3222222222</v>
      </c>
      <c r="J745" s="21">
        <f>IFERROR(__xludf.DUMMYFUNCTION("""COMPUTED_VALUE"""),75.0)</f>
        <v>75</v>
      </c>
      <c r="K745" s="23">
        <f>IFERROR(__xludf.DUMMYFUNCTION("""COMPUTED_VALUE"""),7.4)</f>
        <v>7.4</v>
      </c>
      <c r="L745" s="24">
        <f>IFERROR(__xludf.DUMMYFUNCTION("""COMPUTED_VALUE"""),8.0)</f>
        <v>8</v>
      </c>
      <c r="M745" s="25" t="str">
        <f>IFERROR(__xludf.DUMMYFUNCTION("""COMPUTED_VALUE"""),"Shooter")</f>
        <v>Shooter</v>
      </c>
      <c r="N745" s="25"/>
      <c r="O745" s="26" t="str">
        <f>IFERROR(__xludf.DUMMYFUNCTION("""COMPUTED_VALUE"""),"No")</f>
        <v>No</v>
      </c>
      <c r="P745" s="26"/>
    </row>
    <row r="746" hidden="1">
      <c r="A746" s="13" t="str">
        <f>IFERROR(__xludf.DUMMYFUNCTION("""COMPUTED_VALUE"""),"Scott Pilgrim vs. The World")</f>
        <v>Scott Pilgrim vs. The World</v>
      </c>
      <c r="B746" s="15" t="str">
        <f>IFERROR(__xludf.DUMMYFUNCTION("""COMPUTED_VALUE"""),"PS3")</f>
        <v>PS3</v>
      </c>
      <c r="C746" s="16" t="str">
        <f>IFERROR(__xludf.DUMMYFUNCTION("""COMPUTED_VALUE"""),"Playstation Plus (Discontinued)")</f>
        <v>Playstation Plus (Discontinued)</v>
      </c>
      <c r="D746" s="15" t="str">
        <f>IFERROR(__xludf.DUMMYFUNCTION("""COMPUTED_VALUE"""),"Removed")</f>
        <v>Removed</v>
      </c>
      <c r="E746" s="17">
        <f>IFERROR(__xludf.DUMMYFUNCTION("""COMPUTED_VALUE"""),41156.0)</f>
        <v>41156</v>
      </c>
      <c r="F746" s="54">
        <f>IFERROR(__xludf.DUMMYFUNCTION("""COMPUTED_VALUE"""),41183.0)</f>
        <v>41183</v>
      </c>
      <c r="G746" s="19">
        <f>IFERROR(__xludf.DUMMYFUNCTION("""COMPUTED_VALUE"""),0.8999999999999999)</f>
        <v>0.9</v>
      </c>
      <c r="H746" s="17">
        <f>IFERROR(__xludf.DUMMYFUNCTION("""COMPUTED_VALUE"""),40415.0)</f>
        <v>40415</v>
      </c>
      <c r="I746" s="19">
        <f>IFERROR(__xludf.DUMMYFUNCTION("""COMPUTED_VALUE"""),2.025)</f>
        <v>2.025</v>
      </c>
      <c r="J746" s="21">
        <f>IFERROR(__xludf.DUMMYFUNCTION("""COMPUTED_VALUE"""),78.0)</f>
        <v>78</v>
      </c>
      <c r="K746" s="23">
        <f>IFERROR(__xludf.DUMMYFUNCTION("""COMPUTED_VALUE"""),8.0)</f>
        <v>8</v>
      </c>
      <c r="L746" s="24">
        <f>IFERROR(__xludf.DUMMYFUNCTION("""COMPUTED_VALUE"""),5.0)</f>
        <v>5</v>
      </c>
      <c r="M746" s="25" t="str">
        <f>IFERROR(__xludf.DUMMYFUNCTION("""COMPUTED_VALUE"""),"Platformer")</f>
        <v>Platformer</v>
      </c>
      <c r="N746" s="25"/>
      <c r="O746" s="26" t="str">
        <f>IFERROR(__xludf.DUMMYFUNCTION("""COMPUTED_VALUE"""),"No")</f>
        <v>No</v>
      </c>
      <c r="P746" s="26"/>
    </row>
    <row r="747" hidden="1">
      <c r="A747" s="35" t="str">
        <f>IFERROR(__xludf.DUMMYFUNCTION("""COMPUTED_VALUE"""),"Borderlands")</f>
        <v>Borderlands</v>
      </c>
      <c r="B747" s="15" t="str">
        <f>IFERROR(__xludf.DUMMYFUNCTION("""COMPUTED_VALUE"""),"PS3")</f>
        <v>PS3</v>
      </c>
      <c r="C747" s="16" t="str">
        <f>IFERROR(__xludf.DUMMYFUNCTION("""COMPUTED_VALUE"""),"Playstation Plus (Discontinued)")</f>
        <v>Playstation Plus (Discontinued)</v>
      </c>
      <c r="D747" s="15" t="str">
        <f>IFERROR(__xludf.DUMMYFUNCTION("""COMPUTED_VALUE"""),"Removed")</f>
        <v>Removed</v>
      </c>
      <c r="E747" s="17">
        <f>IFERROR(__xludf.DUMMYFUNCTION("""COMPUTED_VALUE"""),41156.0)</f>
        <v>41156</v>
      </c>
      <c r="F747" s="54">
        <f>IFERROR(__xludf.DUMMYFUNCTION("""COMPUTED_VALUE"""),41183.0)</f>
        <v>41183</v>
      </c>
      <c r="G747" s="19">
        <f>IFERROR(__xludf.DUMMYFUNCTION("""COMPUTED_VALUE"""),0.8999999999999999)</f>
        <v>0.9</v>
      </c>
      <c r="H747" s="17">
        <f>IFERROR(__xludf.DUMMYFUNCTION("""COMPUTED_VALUE"""),40106.0)</f>
        <v>40106</v>
      </c>
      <c r="I747" s="19">
        <f>IFERROR(__xludf.DUMMYFUNCTION("""COMPUTED_VALUE"""),2.8722222222222222)</f>
        <v>2.872222222</v>
      </c>
      <c r="J747" s="21">
        <f>IFERROR(__xludf.DUMMYFUNCTION("""COMPUTED_VALUE"""),81.0)</f>
        <v>81</v>
      </c>
      <c r="K747" s="23">
        <f>IFERROR(__xludf.DUMMYFUNCTION("""COMPUTED_VALUE"""),8.1)</f>
        <v>8.1</v>
      </c>
      <c r="L747" s="24">
        <f>IFERROR(__xludf.DUMMYFUNCTION("""COMPUTED_VALUE"""),23.0)</f>
        <v>23</v>
      </c>
      <c r="M747" s="25" t="str">
        <f>IFERROR(__xludf.DUMMYFUNCTION("""COMPUTED_VALUE"""),"Shooter")</f>
        <v>Shooter</v>
      </c>
      <c r="N747" s="25"/>
      <c r="O747" s="26" t="str">
        <f>IFERROR(__xludf.DUMMYFUNCTION("""COMPUTED_VALUE"""),"No")</f>
        <v>No</v>
      </c>
      <c r="P747" s="26"/>
    </row>
    <row r="748" hidden="1">
      <c r="A748" s="35" t="str">
        <f>IFERROR(__xludf.DUMMYFUNCTION("""COMPUTED_VALUE"""),"Outland")</f>
        <v>Outland</v>
      </c>
      <c r="B748" s="15" t="str">
        <f>IFERROR(__xludf.DUMMYFUNCTION("""COMPUTED_VALUE"""),"PS3")</f>
        <v>PS3</v>
      </c>
      <c r="C748" s="16" t="str">
        <f>IFERROR(__xludf.DUMMYFUNCTION("""COMPUTED_VALUE"""),"Playstation Plus (Discontinued)")</f>
        <v>Playstation Plus (Discontinued)</v>
      </c>
      <c r="D748" s="15" t="str">
        <f>IFERROR(__xludf.DUMMYFUNCTION("""COMPUTED_VALUE"""),"Removed")</f>
        <v>Removed</v>
      </c>
      <c r="E748" s="17">
        <f>IFERROR(__xludf.DUMMYFUNCTION("""COMPUTED_VALUE"""),41128.0)</f>
        <v>41128</v>
      </c>
      <c r="F748" s="54">
        <f>IFERROR(__xludf.DUMMYFUNCTION("""COMPUTED_VALUE"""),41155.0)</f>
        <v>41155</v>
      </c>
      <c r="G748" s="19">
        <f>IFERROR(__xludf.DUMMYFUNCTION("""COMPUTED_VALUE"""),0.8666666666666666)</f>
        <v>0.8666666667</v>
      </c>
      <c r="H748" s="17">
        <f>IFERROR(__xludf.DUMMYFUNCTION("""COMPUTED_VALUE"""),40659.0)</f>
        <v>40659</v>
      </c>
      <c r="I748" s="19">
        <f>IFERROR(__xludf.DUMMYFUNCTION("""COMPUTED_VALUE"""),1.2805555555555554)</f>
        <v>1.280555556</v>
      </c>
      <c r="J748" s="21">
        <f>IFERROR(__xludf.DUMMYFUNCTION("""COMPUTED_VALUE"""),83.0)</f>
        <v>83</v>
      </c>
      <c r="K748" s="23">
        <f>IFERROR(__xludf.DUMMYFUNCTION("""COMPUTED_VALUE"""),8.0)</f>
        <v>8</v>
      </c>
      <c r="L748" s="24">
        <f>IFERROR(__xludf.DUMMYFUNCTION("""COMPUTED_VALUE"""),8.0)</f>
        <v>8</v>
      </c>
      <c r="M748" s="25" t="str">
        <f>IFERROR(__xludf.DUMMYFUNCTION("""COMPUTED_VALUE"""),"Platformer")</f>
        <v>Platformer</v>
      </c>
      <c r="N748" s="25"/>
      <c r="O748" s="26" t="str">
        <f>IFERROR(__xludf.DUMMYFUNCTION("""COMPUTED_VALUE"""),"No")</f>
        <v>No</v>
      </c>
      <c r="P748" s="26"/>
    </row>
    <row r="749" hidden="1">
      <c r="A749" s="35" t="str">
        <f>IFERROR(__xludf.DUMMYFUNCTION("""COMPUTED_VALUE"""),"Bloodrayne Betrayal")</f>
        <v>Bloodrayne Betrayal</v>
      </c>
      <c r="B749" s="15" t="str">
        <f>IFERROR(__xludf.DUMMYFUNCTION("""COMPUTED_VALUE"""),"PS3")</f>
        <v>PS3</v>
      </c>
      <c r="C749" s="16" t="str">
        <f>IFERROR(__xludf.DUMMYFUNCTION("""COMPUTED_VALUE"""),"Playstation Plus (Discontinued)")</f>
        <v>Playstation Plus (Discontinued)</v>
      </c>
      <c r="D749" s="15" t="str">
        <f>IFERROR(__xludf.DUMMYFUNCTION("""COMPUTED_VALUE"""),"Removed")</f>
        <v>Removed</v>
      </c>
      <c r="E749" s="17">
        <f>IFERROR(__xludf.DUMMYFUNCTION("""COMPUTED_VALUE"""),41128.0)</f>
        <v>41128</v>
      </c>
      <c r="F749" s="54">
        <f>IFERROR(__xludf.DUMMYFUNCTION("""COMPUTED_VALUE"""),41155.0)</f>
        <v>41155</v>
      </c>
      <c r="G749" s="19">
        <f>IFERROR(__xludf.DUMMYFUNCTION("""COMPUTED_VALUE"""),0.8666666666666666)</f>
        <v>0.8666666667</v>
      </c>
      <c r="H749" s="17">
        <f>IFERROR(__xludf.DUMMYFUNCTION("""COMPUTED_VALUE"""),40786.0)</f>
        <v>40786</v>
      </c>
      <c r="I749" s="19">
        <f>IFERROR(__xludf.DUMMYFUNCTION("""COMPUTED_VALUE"""),0.9361111111111111)</f>
        <v>0.9361111111</v>
      </c>
      <c r="J749" s="21">
        <f>IFERROR(__xludf.DUMMYFUNCTION("""COMPUTED_VALUE"""),52.0)</f>
        <v>52</v>
      </c>
      <c r="K749" s="23">
        <f>IFERROR(__xludf.DUMMYFUNCTION("""COMPUTED_VALUE"""),6.4)</f>
        <v>6.4</v>
      </c>
      <c r="L749" s="24">
        <f>IFERROR(__xludf.DUMMYFUNCTION("""COMPUTED_VALUE"""),6.0)</f>
        <v>6</v>
      </c>
      <c r="M749" s="25" t="str">
        <f>IFERROR(__xludf.DUMMYFUNCTION("""COMPUTED_VALUE"""),"Platformer")</f>
        <v>Platformer</v>
      </c>
      <c r="N749" s="25"/>
      <c r="O749" s="26" t="str">
        <f>IFERROR(__xludf.DUMMYFUNCTION("""COMPUTED_VALUE"""),"No")</f>
        <v>No</v>
      </c>
      <c r="P749" s="26"/>
    </row>
    <row r="750" hidden="1">
      <c r="A750" s="35" t="str">
        <f>IFERROR(__xludf.DUMMYFUNCTION("""COMPUTED_VALUE"""),"Farm Frenzy 2")</f>
        <v>Farm Frenzy 2</v>
      </c>
      <c r="B750" s="15" t="str">
        <f>IFERROR(__xludf.DUMMYFUNCTION("""COMPUTED_VALUE"""),"PS3")</f>
        <v>PS3</v>
      </c>
      <c r="C750" s="16" t="str">
        <f>IFERROR(__xludf.DUMMYFUNCTION("""COMPUTED_VALUE"""),"Playstation Plus (Discontinued)")</f>
        <v>Playstation Plus (Discontinued)</v>
      </c>
      <c r="D750" s="15" t="str">
        <f>IFERROR(__xludf.DUMMYFUNCTION("""COMPUTED_VALUE"""),"Removed")</f>
        <v>Removed</v>
      </c>
      <c r="E750" s="17">
        <f>IFERROR(__xludf.DUMMYFUNCTION("""COMPUTED_VALUE"""),41128.0)</f>
        <v>41128</v>
      </c>
      <c r="F750" s="54">
        <f>IFERROR(__xludf.DUMMYFUNCTION("""COMPUTED_VALUE"""),41155.0)</f>
        <v>41155</v>
      </c>
      <c r="G750" s="19">
        <f>IFERROR(__xludf.DUMMYFUNCTION("""COMPUTED_VALUE"""),0.8666666666666666)</f>
        <v>0.8666666667</v>
      </c>
      <c r="H750" s="17">
        <f>IFERROR(__xludf.DUMMYFUNCTION("""COMPUTED_VALUE"""),40478.0)</f>
        <v>40478</v>
      </c>
      <c r="I750" s="19">
        <f>IFERROR(__xludf.DUMMYFUNCTION("""COMPUTED_VALUE"""),1.7777777777777777)</f>
        <v>1.777777778</v>
      </c>
      <c r="J750" s="21">
        <f>IFERROR(__xludf.DUMMYFUNCTION("""COMPUTED_VALUE"""),62.0)</f>
        <v>62</v>
      </c>
      <c r="K750" s="23">
        <f>IFERROR(__xludf.DUMMYFUNCTION("""COMPUTED_VALUE"""),7.0)</f>
        <v>7</v>
      </c>
      <c r="L750" s="24">
        <f>IFERROR(__xludf.DUMMYFUNCTION("""COMPUTED_VALUE"""),6.0)</f>
        <v>6</v>
      </c>
      <c r="M750" s="25" t="str">
        <f>IFERROR(__xludf.DUMMYFUNCTION("""COMPUTED_VALUE"""),"Strategy")</f>
        <v>Strategy</v>
      </c>
      <c r="N750" s="25" t="str">
        <f>IFERROR(__xludf.DUMMYFUNCTION("""COMPUTED_VALUE"""),"PS Minis")</f>
        <v>PS Minis</v>
      </c>
      <c r="O750" s="26" t="str">
        <f>IFERROR(__xludf.DUMMYFUNCTION("""COMPUTED_VALUE"""),"No")</f>
        <v>No</v>
      </c>
      <c r="P750" s="26"/>
    </row>
    <row r="751" hidden="1">
      <c r="A751" s="13" t="str">
        <f>IFERROR(__xludf.DUMMYFUNCTION("""COMPUTED_VALUE"""),"The Walking Dead (Ep. 1 &amp; 2)")</f>
        <v>The Walking Dead (Ep. 1 &amp; 2)</v>
      </c>
      <c r="B751" s="15" t="str">
        <f>IFERROR(__xludf.DUMMYFUNCTION("""COMPUTED_VALUE"""),"PS3")</f>
        <v>PS3</v>
      </c>
      <c r="C751" s="16" t="str">
        <f>IFERROR(__xludf.DUMMYFUNCTION("""COMPUTED_VALUE"""),"Playstation Plus (Discontinued)")</f>
        <v>Playstation Plus (Discontinued)</v>
      </c>
      <c r="D751" s="15" t="str">
        <f>IFERROR(__xludf.DUMMYFUNCTION("""COMPUTED_VALUE"""),"Removed")</f>
        <v>Removed</v>
      </c>
      <c r="E751" s="17">
        <f>IFERROR(__xludf.DUMMYFUNCTION("""COMPUTED_VALUE"""),41128.0)</f>
        <v>41128</v>
      </c>
      <c r="F751" s="54">
        <f>IFERROR(__xludf.DUMMYFUNCTION("""COMPUTED_VALUE"""),41155.0)</f>
        <v>41155</v>
      </c>
      <c r="G751" s="19">
        <f>IFERROR(__xludf.DUMMYFUNCTION("""COMPUTED_VALUE"""),0.8666666666666666)</f>
        <v>0.8666666667</v>
      </c>
      <c r="H751" s="17">
        <f>IFERROR(__xludf.DUMMYFUNCTION("""COMPUTED_VALUE"""),41023.0)</f>
        <v>41023</v>
      </c>
      <c r="I751" s="19">
        <f>IFERROR(__xludf.DUMMYFUNCTION("""COMPUTED_VALUE"""),0.2861111111111111)</f>
        <v>0.2861111111</v>
      </c>
      <c r="J751" s="21">
        <f>IFERROR(__xludf.DUMMYFUNCTION("""COMPUTED_VALUE"""),89.0)</f>
        <v>89</v>
      </c>
      <c r="K751" s="23">
        <f>IFERROR(__xludf.DUMMYFUNCTION("""COMPUTED_VALUE"""),8.8)</f>
        <v>8.8</v>
      </c>
      <c r="L751" s="24">
        <f>IFERROR(__xludf.DUMMYFUNCTION("""COMPUTED_VALUE"""),5.0)</f>
        <v>5</v>
      </c>
      <c r="M751" s="25" t="str">
        <f>IFERROR(__xludf.DUMMYFUNCTION("""COMPUTED_VALUE"""),"Adventure")</f>
        <v>Adventure</v>
      </c>
      <c r="N751" s="25"/>
      <c r="O751" s="26" t="str">
        <f>IFERROR(__xludf.DUMMYFUNCTION("""COMPUTED_VALUE"""),"No")</f>
        <v>No</v>
      </c>
      <c r="P751" s="26"/>
    </row>
    <row r="752" hidden="1">
      <c r="A752" s="13" t="str">
        <f>IFERROR(__xludf.DUMMYFUNCTION("""COMPUTED_VALUE"""),"Renegade Ops")</f>
        <v>Renegade Ops</v>
      </c>
      <c r="B752" s="15" t="str">
        <f>IFERROR(__xludf.DUMMYFUNCTION("""COMPUTED_VALUE"""),"PS3")</f>
        <v>PS3</v>
      </c>
      <c r="C752" s="16" t="str">
        <f>IFERROR(__xludf.DUMMYFUNCTION("""COMPUTED_VALUE"""),"Playstation Plus (Discontinued)")</f>
        <v>Playstation Plus (Discontinued)</v>
      </c>
      <c r="D752" s="15" t="str">
        <f>IFERROR(__xludf.DUMMYFUNCTION("""COMPUTED_VALUE"""),"Removed")</f>
        <v>Removed</v>
      </c>
      <c r="E752" s="17">
        <f>IFERROR(__xludf.DUMMYFUNCTION("""COMPUTED_VALUE"""),41093.0)</f>
        <v>41093</v>
      </c>
      <c r="F752" s="54">
        <f>IFERROR(__xludf.DUMMYFUNCTION("""COMPUTED_VALUE"""),41127.0)</f>
        <v>41127</v>
      </c>
      <c r="G752" s="19">
        <f>IFERROR(__xludf.DUMMYFUNCTION("""COMPUTED_VALUE"""),1.0999999999999999)</f>
        <v>1.1</v>
      </c>
      <c r="H752" s="17">
        <f>IFERROR(__xludf.DUMMYFUNCTION("""COMPUTED_VALUE"""),40800.0)</f>
        <v>40800</v>
      </c>
      <c r="I752" s="19">
        <f>IFERROR(__xludf.DUMMYFUNCTION("""COMPUTED_VALUE"""),0.8027777777777778)</f>
        <v>0.8027777778</v>
      </c>
      <c r="J752" s="21">
        <f>IFERROR(__xludf.DUMMYFUNCTION("""COMPUTED_VALUE"""),76.0)</f>
        <v>76</v>
      </c>
      <c r="K752" s="23">
        <f>IFERROR(__xludf.DUMMYFUNCTION("""COMPUTED_VALUE"""),7.6)</f>
        <v>7.6</v>
      </c>
      <c r="L752" s="24">
        <f>IFERROR(__xludf.DUMMYFUNCTION("""COMPUTED_VALUE"""),6.0)</f>
        <v>6</v>
      </c>
      <c r="M752" s="25" t="str">
        <f>IFERROR(__xludf.DUMMYFUNCTION("""COMPUTED_VALUE"""),"Shooter")</f>
        <v>Shooter</v>
      </c>
      <c r="N752" s="25"/>
      <c r="O752" s="26" t="str">
        <f>IFERROR(__xludf.DUMMYFUNCTION("""COMPUTED_VALUE"""),"No")</f>
        <v>No</v>
      </c>
      <c r="P752" s="26"/>
    </row>
    <row r="753" hidden="1">
      <c r="A753" s="13" t="str">
        <f>IFERROR(__xludf.DUMMYFUNCTION("""COMPUTED_VALUE"""),"Gotham City Imposters")</f>
        <v>Gotham City Imposters</v>
      </c>
      <c r="B753" s="15" t="str">
        <f>IFERROR(__xludf.DUMMYFUNCTION("""COMPUTED_VALUE"""),"PS3")</f>
        <v>PS3</v>
      </c>
      <c r="C753" s="16" t="str">
        <f>IFERROR(__xludf.DUMMYFUNCTION("""COMPUTED_VALUE"""),"Playstation Plus (Discontinued)")</f>
        <v>Playstation Plus (Discontinued)</v>
      </c>
      <c r="D753" s="15" t="str">
        <f>IFERROR(__xludf.DUMMYFUNCTION("""COMPUTED_VALUE"""),"Removed")</f>
        <v>Removed</v>
      </c>
      <c r="E753" s="17">
        <f>IFERROR(__xludf.DUMMYFUNCTION("""COMPUTED_VALUE"""),41093.0)</f>
        <v>41093</v>
      </c>
      <c r="F753" s="54">
        <f>IFERROR(__xludf.DUMMYFUNCTION("""COMPUTED_VALUE"""),41127.0)</f>
        <v>41127</v>
      </c>
      <c r="G753" s="19">
        <f>IFERROR(__xludf.DUMMYFUNCTION("""COMPUTED_VALUE"""),1.0999999999999999)</f>
        <v>1.1</v>
      </c>
      <c r="H753" s="17">
        <f>IFERROR(__xludf.DUMMYFUNCTION("""COMPUTED_VALUE"""),40946.0)</f>
        <v>40946</v>
      </c>
      <c r="I753" s="19">
        <f>IFERROR(__xludf.DUMMYFUNCTION("""COMPUTED_VALUE"""),0.40555555555555556)</f>
        <v>0.4055555556</v>
      </c>
      <c r="J753" s="21">
        <f>IFERROR(__xludf.DUMMYFUNCTION("""COMPUTED_VALUE"""),61.0)</f>
        <v>61</v>
      </c>
      <c r="K753" s="23">
        <f>IFERROR(__xludf.DUMMYFUNCTION("""COMPUTED_VALUE"""),6.6)</f>
        <v>6.6</v>
      </c>
      <c r="L753" s="24"/>
      <c r="M753" s="25" t="str">
        <f>IFERROR(__xludf.DUMMYFUNCTION("""COMPUTED_VALUE"""),"Shooter")</f>
        <v>Shooter</v>
      </c>
      <c r="N753" s="25"/>
      <c r="O753" s="26" t="str">
        <f>IFERROR(__xludf.DUMMYFUNCTION("""COMPUTED_VALUE"""),"No")</f>
        <v>No</v>
      </c>
      <c r="P753" s="26"/>
    </row>
    <row r="754" hidden="1">
      <c r="A754" s="13" t="str">
        <f>IFERROR(__xludf.DUMMYFUNCTION("""COMPUTED_VALUE"""),"Pac-Man Championship Edition DX")</f>
        <v>Pac-Man Championship Edition DX</v>
      </c>
      <c r="B754" s="15" t="str">
        <f>IFERROR(__xludf.DUMMYFUNCTION("""COMPUTED_VALUE"""),"PS3")</f>
        <v>PS3</v>
      </c>
      <c r="C754" s="16" t="str">
        <f>IFERROR(__xludf.DUMMYFUNCTION("""COMPUTED_VALUE"""),"Playstation Plus (Discontinued)")</f>
        <v>Playstation Plus (Discontinued)</v>
      </c>
      <c r="D754" s="15" t="str">
        <f>IFERROR(__xludf.DUMMYFUNCTION("""COMPUTED_VALUE"""),"Removed")</f>
        <v>Removed</v>
      </c>
      <c r="E754" s="17">
        <f>IFERROR(__xludf.DUMMYFUNCTION("""COMPUTED_VALUE"""),41093.0)</f>
        <v>41093</v>
      </c>
      <c r="F754" s="54">
        <f>IFERROR(__xludf.DUMMYFUNCTION("""COMPUTED_VALUE"""),41127.0)</f>
        <v>41127</v>
      </c>
      <c r="G754" s="19">
        <f>IFERROR(__xludf.DUMMYFUNCTION("""COMPUTED_VALUE"""),1.0999999999999999)</f>
        <v>1.1</v>
      </c>
      <c r="H754" s="17">
        <f>IFERROR(__xludf.DUMMYFUNCTION("""COMPUTED_VALUE"""),40499.0)</f>
        <v>40499</v>
      </c>
      <c r="I754" s="19">
        <f>IFERROR(__xludf.DUMMYFUNCTION("""COMPUTED_VALUE"""),1.6277777777777778)</f>
        <v>1.627777778</v>
      </c>
      <c r="J754" s="21">
        <f>IFERROR(__xludf.DUMMYFUNCTION("""COMPUTED_VALUE"""),93.0)</f>
        <v>93</v>
      </c>
      <c r="K754" s="23">
        <f>IFERROR(__xludf.DUMMYFUNCTION("""COMPUTED_VALUE"""),8.6)</f>
        <v>8.6</v>
      </c>
      <c r="L754" s="24"/>
      <c r="M754" s="25" t="str">
        <f>IFERROR(__xludf.DUMMYFUNCTION("""COMPUTED_VALUE"""),"Arcade")</f>
        <v>Arcade</v>
      </c>
      <c r="N754" s="25"/>
      <c r="O754" s="26" t="str">
        <f>IFERROR(__xludf.DUMMYFUNCTION("""COMPUTED_VALUE"""),"No")</f>
        <v>No</v>
      </c>
      <c r="P754" s="26"/>
    </row>
    <row r="755" hidden="1">
      <c r="A755" s="13" t="str">
        <f>IFERROR(__xludf.DUMMYFUNCTION("""COMPUTED_VALUE"""),"Hot Shots Golf 2")</f>
        <v>Hot Shots Golf 2</v>
      </c>
      <c r="B755" s="15" t="str">
        <f>IFERROR(__xludf.DUMMYFUNCTION("""COMPUTED_VALUE"""),"PS3")</f>
        <v>PS3</v>
      </c>
      <c r="C755" s="16" t="str">
        <f>IFERROR(__xludf.DUMMYFUNCTION("""COMPUTED_VALUE"""),"Playstation Plus (Discontinued)")</f>
        <v>Playstation Plus (Discontinued)</v>
      </c>
      <c r="D755" s="15" t="str">
        <f>IFERROR(__xludf.DUMMYFUNCTION("""COMPUTED_VALUE"""),"Removed")</f>
        <v>Removed</v>
      </c>
      <c r="E755" s="17">
        <f>IFERROR(__xludf.DUMMYFUNCTION("""COMPUTED_VALUE"""),41093.0)</f>
        <v>41093</v>
      </c>
      <c r="F755" s="54">
        <f>IFERROR(__xludf.DUMMYFUNCTION("""COMPUTED_VALUE"""),41127.0)</f>
        <v>41127</v>
      </c>
      <c r="G755" s="19">
        <f>IFERROR(__xludf.DUMMYFUNCTION("""COMPUTED_VALUE"""),1.0999999999999999)</f>
        <v>1.1</v>
      </c>
      <c r="H755" s="17">
        <f>IFERROR(__xludf.DUMMYFUNCTION("""COMPUTED_VALUE"""),36278.0)</f>
        <v>36278</v>
      </c>
      <c r="I755" s="19">
        <f>IFERROR(__xludf.DUMMYFUNCTION("""COMPUTED_VALUE"""),13.180555555555555)</f>
        <v>13.18055556</v>
      </c>
      <c r="J755" s="21">
        <f>IFERROR(__xludf.DUMMYFUNCTION("""COMPUTED_VALUE"""),88.0)</f>
        <v>88</v>
      </c>
      <c r="K755" s="23">
        <f>IFERROR(__xludf.DUMMYFUNCTION("""COMPUTED_VALUE"""),8.7)</f>
        <v>8.7</v>
      </c>
      <c r="L755" s="24"/>
      <c r="M755" s="25" t="str">
        <f>IFERROR(__xludf.DUMMYFUNCTION("""COMPUTED_VALUE"""),"Sports")</f>
        <v>Sports</v>
      </c>
      <c r="N755" s="25" t="str">
        <f>IFERROR(__xludf.DUMMYFUNCTION("""COMPUTED_VALUE"""),"PS1")</f>
        <v>PS1</v>
      </c>
      <c r="O755" s="26" t="str">
        <f>IFERROR(__xludf.DUMMYFUNCTION("""COMPUTED_VALUE"""),"No")</f>
        <v>No</v>
      </c>
      <c r="P755" s="26"/>
    </row>
    <row r="756" hidden="1">
      <c r="A756" s="13" t="str">
        <f>IFERROR(__xludf.DUMMYFUNCTION("""COMPUTED_VALUE"""),"International Track and Field")</f>
        <v>International Track and Field</v>
      </c>
      <c r="B756" s="15" t="str">
        <f>IFERROR(__xludf.DUMMYFUNCTION("""COMPUTED_VALUE"""),"PS3")</f>
        <v>PS3</v>
      </c>
      <c r="C756" s="16" t="str">
        <f>IFERROR(__xludf.DUMMYFUNCTION("""COMPUTED_VALUE"""),"Playstation Plus (Discontinued)")</f>
        <v>Playstation Plus (Discontinued)</v>
      </c>
      <c r="D756" s="15" t="str">
        <f>IFERROR(__xludf.DUMMYFUNCTION("""COMPUTED_VALUE"""),"Removed")</f>
        <v>Removed</v>
      </c>
      <c r="E756" s="17">
        <f>IFERROR(__xludf.DUMMYFUNCTION("""COMPUTED_VALUE"""),41093.0)</f>
        <v>41093</v>
      </c>
      <c r="F756" s="54">
        <f>IFERROR(__xludf.DUMMYFUNCTION("""COMPUTED_VALUE"""),41127.0)</f>
        <v>41127</v>
      </c>
      <c r="G756" s="19">
        <f>IFERROR(__xludf.DUMMYFUNCTION("""COMPUTED_VALUE"""),1.0999999999999999)</f>
        <v>1.1</v>
      </c>
      <c r="H756" s="17">
        <f>IFERROR(__xludf.DUMMYFUNCTION("""COMPUTED_VALUE"""),36796.0)</f>
        <v>36796</v>
      </c>
      <c r="I756" s="19">
        <f>IFERROR(__xludf.DUMMYFUNCTION("""COMPUTED_VALUE"""),11.766666666666667)</f>
        <v>11.76666667</v>
      </c>
      <c r="J756" s="21">
        <f>IFERROR(__xludf.DUMMYFUNCTION("""COMPUTED_VALUE"""),78.0)</f>
        <v>78</v>
      </c>
      <c r="K756" s="23">
        <f>IFERROR(__xludf.DUMMYFUNCTION("""COMPUTED_VALUE"""),8.2)</f>
        <v>8.2</v>
      </c>
      <c r="L756" s="24"/>
      <c r="M756" s="25" t="str">
        <f>IFERROR(__xludf.DUMMYFUNCTION("""COMPUTED_VALUE"""),"Sports")</f>
        <v>Sports</v>
      </c>
      <c r="N756" s="25" t="str">
        <f>IFERROR(__xludf.DUMMYFUNCTION("""COMPUTED_VALUE"""),"PS1")</f>
        <v>PS1</v>
      </c>
      <c r="O756" s="26" t="str">
        <f>IFERROR(__xludf.DUMMYFUNCTION("""COMPUTED_VALUE"""),"No")</f>
        <v>No</v>
      </c>
      <c r="P756" s="26"/>
    </row>
    <row r="757" hidden="1">
      <c r="A757" s="13" t="str">
        <f>IFERROR(__xludf.DUMMYFUNCTION("""COMPUTED_VALUE"""),"Kaleidoscope")</f>
        <v>Kaleidoscope</v>
      </c>
      <c r="B757" s="15" t="str">
        <f>IFERROR(__xludf.DUMMYFUNCTION("""COMPUTED_VALUE"""),"PS3")</f>
        <v>PS3</v>
      </c>
      <c r="C757" s="16" t="str">
        <f>IFERROR(__xludf.DUMMYFUNCTION("""COMPUTED_VALUE"""),"Playstation Plus (Discontinued)")</f>
        <v>Playstation Plus (Discontinued)</v>
      </c>
      <c r="D757" s="15" t="str">
        <f>IFERROR(__xludf.DUMMYFUNCTION("""COMPUTED_VALUE"""),"Removed")</f>
        <v>Removed</v>
      </c>
      <c r="E757" s="17">
        <f>IFERROR(__xludf.DUMMYFUNCTION("""COMPUTED_VALUE"""),41065.0)</f>
        <v>41065</v>
      </c>
      <c r="F757" s="54">
        <f>IFERROR(__xludf.DUMMYFUNCTION("""COMPUTED_VALUE"""),41092.0)</f>
        <v>41092</v>
      </c>
      <c r="G757" s="19">
        <f>IFERROR(__xludf.DUMMYFUNCTION("""COMPUTED_VALUE"""),0.8999999999999999)</f>
        <v>0.9</v>
      </c>
      <c r="H757" s="17">
        <f>IFERROR(__xludf.DUMMYFUNCTION("""COMPUTED_VALUE"""),40771.0)</f>
        <v>40771</v>
      </c>
      <c r="I757" s="19">
        <f>IFERROR(__xludf.DUMMYFUNCTION("""COMPUTED_VALUE"""),0.8027777777777778)</f>
        <v>0.8027777778</v>
      </c>
      <c r="J757" s="21">
        <f>IFERROR(__xludf.DUMMYFUNCTION("""COMPUTED_VALUE"""),67.0)</f>
        <v>67</v>
      </c>
      <c r="K757" s="23">
        <f>IFERROR(__xludf.DUMMYFUNCTION("""COMPUTED_VALUE"""),6.9)</f>
        <v>6.9</v>
      </c>
      <c r="L757" s="24"/>
      <c r="M757" s="25" t="str">
        <f>IFERROR(__xludf.DUMMYFUNCTION("""COMPUTED_VALUE"""),"Puzzle")</f>
        <v>Puzzle</v>
      </c>
      <c r="N757" s="25" t="str">
        <f>IFERROR(__xludf.DUMMYFUNCTION("""COMPUTED_VALUE"""),"PS Minis")</f>
        <v>PS Minis</v>
      </c>
      <c r="O757" s="26" t="str">
        <f>IFERROR(__xludf.DUMMYFUNCTION("""COMPUTED_VALUE"""),"No")</f>
        <v>No</v>
      </c>
      <c r="P757" s="26"/>
    </row>
    <row r="758" hidden="1">
      <c r="A758" s="13" t="str">
        <f>IFERROR(__xludf.DUMMYFUNCTION("""COMPUTED_VALUE"""),"Virtua Fighter 5 Final Showdown")</f>
        <v>Virtua Fighter 5 Final Showdown</v>
      </c>
      <c r="B758" s="15" t="str">
        <f>IFERROR(__xludf.DUMMYFUNCTION("""COMPUTED_VALUE"""),"PS3")</f>
        <v>PS3</v>
      </c>
      <c r="C758" s="16" t="str">
        <f>IFERROR(__xludf.DUMMYFUNCTION("""COMPUTED_VALUE"""),"Playstation Plus (Discontinued)")</f>
        <v>Playstation Plus (Discontinued)</v>
      </c>
      <c r="D758" s="15" t="str">
        <f>IFERROR(__xludf.DUMMYFUNCTION("""COMPUTED_VALUE"""),"Removed")</f>
        <v>Removed</v>
      </c>
      <c r="E758" s="17">
        <f>IFERROR(__xludf.DUMMYFUNCTION("""COMPUTED_VALUE"""),41065.0)</f>
        <v>41065</v>
      </c>
      <c r="F758" s="54">
        <f>IFERROR(__xludf.DUMMYFUNCTION("""COMPUTED_VALUE"""),41092.0)</f>
        <v>41092</v>
      </c>
      <c r="G758" s="19">
        <f>IFERROR(__xludf.DUMMYFUNCTION("""COMPUTED_VALUE"""),0.8999999999999999)</f>
        <v>0.9</v>
      </c>
      <c r="H758" s="17">
        <f>IFERROR(__xludf.DUMMYFUNCTION("""COMPUTED_VALUE"""),41065.0)</f>
        <v>41065</v>
      </c>
      <c r="I758" s="19">
        <f>IFERROR(__xludf.DUMMYFUNCTION("""COMPUTED_VALUE"""),0.0)</f>
        <v>0</v>
      </c>
      <c r="J758" s="21">
        <f>IFERROR(__xludf.DUMMYFUNCTION("""COMPUTED_VALUE"""),84.0)</f>
        <v>84</v>
      </c>
      <c r="K758" s="23">
        <f>IFERROR(__xludf.DUMMYFUNCTION("""COMPUTED_VALUE"""),8.0)</f>
        <v>8</v>
      </c>
      <c r="L758" s="24"/>
      <c r="M758" s="25" t="str">
        <f>IFERROR(__xludf.DUMMYFUNCTION("""COMPUTED_VALUE"""),"Fighting")</f>
        <v>Fighting</v>
      </c>
      <c r="N758" s="25"/>
      <c r="O758" s="26" t="str">
        <f>IFERROR(__xludf.DUMMYFUNCTION("""COMPUTED_VALUE"""),"No")</f>
        <v>No</v>
      </c>
      <c r="P758" s="26"/>
    </row>
    <row r="759" hidden="1">
      <c r="A759" s="13" t="str">
        <f>IFERROR(__xludf.DUMMYFUNCTION("""COMPUTED_VALUE"""),"Lara Croft and the Guardian of Light")</f>
        <v>Lara Croft and the Guardian of Light</v>
      </c>
      <c r="B759" s="15" t="str">
        <f>IFERROR(__xludf.DUMMYFUNCTION("""COMPUTED_VALUE"""),"PS3")</f>
        <v>PS3</v>
      </c>
      <c r="C759" s="16" t="str">
        <f>IFERROR(__xludf.DUMMYFUNCTION("""COMPUTED_VALUE"""),"Playstation Plus (Discontinued)")</f>
        <v>Playstation Plus (Discontinued)</v>
      </c>
      <c r="D759" s="15" t="str">
        <f>IFERROR(__xludf.DUMMYFUNCTION("""COMPUTED_VALUE"""),"Removed")</f>
        <v>Removed</v>
      </c>
      <c r="E759" s="17">
        <f>IFERROR(__xludf.DUMMYFUNCTION("""COMPUTED_VALUE"""),41065.0)</f>
        <v>41065</v>
      </c>
      <c r="F759" s="54">
        <f>IFERROR(__xludf.DUMMYFUNCTION("""COMPUTED_VALUE"""),41092.0)</f>
        <v>41092</v>
      </c>
      <c r="G759" s="19">
        <f>IFERROR(__xludf.DUMMYFUNCTION("""COMPUTED_VALUE"""),0.8999999999999999)</f>
        <v>0.9</v>
      </c>
      <c r="H759" s="17">
        <f>IFERROR(__xludf.DUMMYFUNCTION("""COMPUTED_VALUE"""),40408.0)</f>
        <v>40408</v>
      </c>
      <c r="I759" s="19">
        <f>IFERROR(__xludf.DUMMYFUNCTION("""COMPUTED_VALUE"""),1.7972222222222223)</f>
        <v>1.797222222</v>
      </c>
      <c r="J759" s="21">
        <f>IFERROR(__xludf.DUMMYFUNCTION("""COMPUTED_VALUE"""),85.0)</f>
        <v>85</v>
      </c>
      <c r="K759" s="23">
        <f>IFERROR(__xludf.DUMMYFUNCTION("""COMPUTED_VALUE"""),8.0)</f>
        <v>8</v>
      </c>
      <c r="L759" s="24">
        <f>IFERROR(__xludf.DUMMYFUNCTION("""COMPUTED_VALUE"""),6.0)</f>
        <v>6</v>
      </c>
      <c r="M759" s="25" t="str">
        <f>IFERROR(__xludf.DUMMYFUNCTION("""COMPUTED_VALUE"""),"Action-Adventure")</f>
        <v>Action-Adventure</v>
      </c>
      <c r="N759" s="25"/>
      <c r="O759" s="26" t="str">
        <f>IFERROR(__xludf.DUMMYFUNCTION("""COMPUTED_VALUE"""),"No")</f>
        <v>No</v>
      </c>
      <c r="P759" s="26"/>
    </row>
    <row r="760" hidden="1">
      <c r="A760" s="13" t="str">
        <f>IFERROR(__xludf.DUMMYFUNCTION("""COMPUTED_VALUE"""),"Warhammer 40,000: Space Marine")</f>
        <v>Warhammer 40,000: Space Marine</v>
      </c>
      <c r="B760" s="15" t="str">
        <f>IFERROR(__xludf.DUMMYFUNCTION("""COMPUTED_VALUE"""),"PS3")</f>
        <v>PS3</v>
      </c>
      <c r="C760" s="16" t="str">
        <f>IFERROR(__xludf.DUMMYFUNCTION("""COMPUTED_VALUE"""),"Playstation Plus (Discontinued)")</f>
        <v>Playstation Plus (Discontinued)</v>
      </c>
      <c r="D760" s="15" t="str">
        <f>IFERROR(__xludf.DUMMYFUNCTION("""COMPUTED_VALUE"""),"Removed")</f>
        <v>Removed</v>
      </c>
      <c r="E760" s="17">
        <f>IFERROR(__xludf.DUMMYFUNCTION("""COMPUTED_VALUE"""),41065.0)</f>
        <v>41065</v>
      </c>
      <c r="F760" s="54">
        <f>IFERROR(__xludf.DUMMYFUNCTION("""COMPUTED_VALUE"""),41092.0)</f>
        <v>41092</v>
      </c>
      <c r="G760" s="19">
        <f>IFERROR(__xludf.DUMMYFUNCTION("""COMPUTED_VALUE"""),0.8999999999999999)</f>
        <v>0.9</v>
      </c>
      <c r="H760" s="17">
        <f>IFERROR(__xludf.DUMMYFUNCTION("""COMPUTED_VALUE"""),40792.0)</f>
        <v>40792</v>
      </c>
      <c r="I760" s="19">
        <f>IFERROR(__xludf.DUMMYFUNCTION("""COMPUTED_VALUE"""),0.7472222222222222)</f>
        <v>0.7472222222</v>
      </c>
      <c r="J760" s="21">
        <f>IFERROR(__xludf.DUMMYFUNCTION("""COMPUTED_VALUE"""),74.0)</f>
        <v>74</v>
      </c>
      <c r="K760" s="23">
        <f>IFERROR(__xludf.DUMMYFUNCTION("""COMPUTED_VALUE"""),7.7)</f>
        <v>7.7</v>
      </c>
      <c r="L760" s="24">
        <f>IFERROR(__xludf.DUMMYFUNCTION("""COMPUTED_VALUE"""),10.0)</f>
        <v>10</v>
      </c>
      <c r="M760" s="25" t="str">
        <f>IFERROR(__xludf.DUMMYFUNCTION("""COMPUTED_VALUE"""),"Shooter")</f>
        <v>Shooter</v>
      </c>
      <c r="N760" s="25"/>
      <c r="O760" s="26" t="str">
        <f>IFERROR(__xludf.DUMMYFUNCTION("""COMPUTED_VALUE"""),"No")</f>
        <v>No</v>
      </c>
      <c r="P760" s="26"/>
    </row>
    <row r="761" hidden="1">
      <c r="A761" s="13" t="str">
        <f>IFERROR(__xludf.DUMMYFUNCTION("""COMPUTED_VALUE"""),"Ratchet and Clank: All 4 One")</f>
        <v>Ratchet and Clank: All 4 One</v>
      </c>
      <c r="B761" s="15" t="str">
        <f>IFERROR(__xludf.DUMMYFUNCTION("""COMPUTED_VALUE"""),"PS3")</f>
        <v>PS3</v>
      </c>
      <c r="C761" s="16" t="str">
        <f>IFERROR(__xludf.DUMMYFUNCTION("""COMPUTED_VALUE"""),"Playstation Plus (Discontinued)")</f>
        <v>Playstation Plus (Discontinued)</v>
      </c>
      <c r="D761" s="15" t="str">
        <f>IFERROR(__xludf.DUMMYFUNCTION("""COMPUTED_VALUE"""),"Removed")</f>
        <v>Removed</v>
      </c>
      <c r="E761" s="17">
        <f>IFERROR(__xludf.DUMMYFUNCTION("""COMPUTED_VALUE"""),41065.0)</f>
        <v>41065</v>
      </c>
      <c r="F761" s="54">
        <f>IFERROR(__xludf.DUMMYFUNCTION("""COMPUTED_VALUE"""),41092.0)</f>
        <v>41092</v>
      </c>
      <c r="G761" s="19">
        <f>IFERROR(__xludf.DUMMYFUNCTION("""COMPUTED_VALUE"""),0.8999999999999999)</f>
        <v>0.9</v>
      </c>
      <c r="H761" s="17">
        <f>IFERROR(__xludf.DUMMYFUNCTION("""COMPUTED_VALUE"""),40834.0)</f>
        <v>40834</v>
      </c>
      <c r="I761" s="19">
        <f>IFERROR(__xludf.DUMMYFUNCTION("""COMPUTED_VALUE"""),0.6305555555555555)</f>
        <v>0.6305555556</v>
      </c>
      <c r="J761" s="21">
        <f>IFERROR(__xludf.DUMMYFUNCTION("""COMPUTED_VALUE"""),70.0)</f>
        <v>70</v>
      </c>
      <c r="K761" s="23">
        <f>IFERROR(__xludf.DUMMYFUNCTION("""COMPUTED_VALUE"""),7.0)</f>
        <v>7</v>
      </c>
      <c r="L761" s="24">
        <f>IFERROR(__xludf.DUMMYFUNCTION("""COMPUTED_VALUE"""),10.0)</f>
        <v>10</v>
      </c>
      <c r="M761" s="25" t="str">
        <f>IFERROR(__xludf.DUMMYFUNCTION("""COMPUTED_VALUE"""),"Platformer")</f>
        <v>Platformer</v>
      </c>
      <c r="N761" s="25"/>
      <c r="O761" s="26" t="str">
        <f>IFERROR(__xludf.DUMMYFUNCTION("""COMPUTED_VALUE"""),"No")</f>
        <v>No</v>
      </c>
      <c r="P761" s="26"/>
    </row>
    <row r="762" hidden="1">
      <c r="A762" s="13" t="str">
        <f>IFERROR(__xludf.DUMMYFUNCTION("""COMPUTED_VALUE"""),"Saints Row 2")</f>
        <v>Saints Row 2</v>
      </c>
      <c r="B762" s="15" t="str">
        <f>IFERROR(__xludf.DUMMYFUNCTION("""COMPUTED_VALUE"""),"PS3")</f>
        <v>PS3</v>
      </c>
      <c r="C762" s="16" t="str">
        <f>IFERROR(__xludf.DUMMYFUNCTION("""COMPUTED_VALUE"""),"Playstation Plus (Discontinued)")</f>
        <v>Playstation Plus (Discontinued)</v>
      </c>
      <c r="D762" s="15" t="str">
        <f>IFERROR(__xludf.DUMMYFUNCTION("""COMPUTED_VALUE"""),"Removed")</f>
        <v>Removed</v>
      </c>
      <c r="E762" s="17">
        <f>IFERROR(__xludf.DUMMYFUNCTION("""COMPUTED_VALUE"""),41065.0)</f>
        <v>41065</v>
      </c>
      <c r="F762" s="54">
        <f>IFERROR(__xludf.DUMMYFUNCTION("""COMPUTED_VALUE"""),41092.0)</f>
        <v>41092</v>
      </c>
      <c r="G762" s="19">
        <f>IFERROR(__xludf.DUMMYFUNCTION("""COMPUTED_VALUE"""),0.8999999999999999)</f>
        <v>0.9</v>
      </c>
      <c r="H762" s="17">
        <f>IFERROR(__xludf.DUMMYFUNCTION("""COMPUTED_VALUE"""),39735.0)</f>
        <v>39735</v>
      </c>
      <c r="I762" s="19">
        <f>IFERROR(__xludf.DUMMYFUNCTION("""COMPUTED_VALUE"""),3.6416666666666666)</f>
        <v>3.641666667</v>
      </c>
      <c r="J762" s="21">
        <f>IFERROR(__xludf.DUMMYFUNCTION("""COMPUTED_VALUE"""),82.0)</f>
        <v>82</v>
      </c>
      <c r="K762" s="23">
        <f>IFERROR(__xludf.DUMMYFUNCTION("""COMPUTED_VALUE"""),8.1)</f>
        <v>8.1</v>
      </c>
      <c r="L762" s="24">
        <f>IFERROR(__xludf.DUMMYFUNCTION("""COMPUTED_VALUE"""),19.0)</f>
        <v>19</v>
      </c>
      <c r="M762" s="25" t="str">
        <f>IFERROR(__xludf.DUMMYFUNCTION("""COMPUTED_VALUE"""),"Action-Adventure")</f>
        <v>Action-Adventure</v>
      </c>
      <c r="N762" s="25"/>
      <c r="O762" s="26" t="str">
        <f>IFERROR(__xludf.DUMMYFUNCTION("""COMPUTED_VALUE"""),"No")</f>
        <v>No</v>
      </c>
      <c r="P762" s="26"/>
    </row>
    <row r="763" hidden="1">
      <c r="A763" s="13" t="str">
        <f>IFERROR(__xludf.DUMMYFUNCTION("""COMPUTED_VALUE"""),"Just Cause 2")</f>
        <v>Just Cause 2</v>
      </c>
      <c r="B763" s="15" t="str">
        <f>IFERROR(__xludf.DUMMYFUNCTION("""COMPUTED_VALUE"""),"PS3")</f>
        <v>PS3</v>
      </c>
      <c r="C763" s="16" t="str">
        <f>IFERROR(__xludf.DUMMYFUNCTION("""COMPUTED_VALUE"""),"Playstation Plus (Discontinued)")</f>
        <v>Playstation Plus (Discontinued)</v>
      </c>
      <c r="D763" s="15" t="str">
        <f>IFERROR(__xludf.DUMMYFUNCTION("""COMPUTED_VALUE"""),"Removed")</f>
        <v>Removed</v>
      </c>
      <c r="E763" s="17">
        <f>IFERROR(__xludf.DUMMYFUNCTION("""COMPUTED_VALUE"""),41065.0)</f>
        <v>41065</v>
      </c>
      <c r="F763" s="54">
        <f>IFERROR(__xludf.DUMMYFUNCTION("""COMPUTED_VALUE"""),41092.0)</f>
        <v>41092</v>
      </c>
      <c r="G763" s="19">
        <f>IFERROR(__xludf.DUMMYFUNCTION("""COMPUTED_VALUE"""),0.8999999999999999)</f>
        <v>0.9</v>
      </c>
      <c r="H763" s="17">
        <f>IFERROR(__xludf.DUMMYFUNCTION("""COMPUTED_VALUE"""),40260.0)</f>
        <v>40260</v>
      </c>
      <c r="I763" s="19">
        <f>IFERROR(__xludf.DUMMYFUNCTION("""COMPUTED_VALUE"""),2.2)</f>
        <v>2.2</v>
      </c>
      <c r="J763" s="21">
        <f>IFERROR(__xludf.DUMMYFUNCTION("""COMPUTED_VALUE"""),84.0)</f>
        <v>84</v>
      </c>
      <c r="K763" s="23">
        <f>IFERROR(__xludf.DUMMYFUNCTION("""COMPUTED_VALUE"""),8.5)</f>
        <v>8.5</v>
      </c>
      <c r="L763" s="24">
        <f>IFERROR(__xludf.DUMMYFUNCTION("""COMPUTED_VALUE"""),18.0)</f>
        <v>18</v>
      </c>
      <c r="M763" s="25" t="str">
        <f>IFERROR(__xludf.DUMMYFUNCTION("""COMPUTED_VALUE"""),"Action-Adventure")</f>
        <v>Action-Adventure</v>
      </c>
      <c r="N763" s="25"/>
      <c r="O763" s="26" t="str">
        <f>IFERROR(__xludf.DUMMYFUNCTION("""COMPUTED_VALUE"""),"No")</f>
        <v>No</v>
      </c>
      <c r="P763" s="26"/>
    </row>
    <row r="764" hidden="1">
      <c r="A764" s="13" t="str">
        <f>IFERROR(__xludf.DUMMYFUNCTION("""COMPUTED_VALUE"""),"inFAMOUS 2")</f>
        <v>inFAMOUS 2</v>
      </c>
      <c r="B764" s="15" t="str">
        <f>IFERROR(__xludf.DUMMYFUNCTION("""COMPUTED_VALUE"""),"PS3")</f>
        <v>PS3</v>
      </c>
      <c r="C764" s="16" t="str">
        <f>IFERROR(__xludf.DUMMYFUNCTION("""COMPUTED_VALUE"""),"Playstation Plus (Discontinued)")</f>
        <v>Playstation Plus (Discontinued)</v>
      </c>
      <c r="D764" s="15" t="str">
        <f>IFERROR(__xludf.DUMMYFUNCTION("""COMPUTED_VALUE"""),"Removed")</f>
        <v>Removed</v>
      </c>
      <c r="E764" s="17">
        <f>IFERROR(__xludf.DUMMYFUNCTION("""COMPUTED_VALUE"""),41065.0)</f>
        <v>41065</v>
      </c>
      <c r="F764" s="54">
        <f>IFERROR(__xludf.DUMMYFUNCTION("""COMPUTED_VALUE"""),41092.0)</f>
        <v>41092</v>
      </c>
      <c r="G764" s="19">
        <f>IFERROR(__xludf.DUMMYFUNCTION("""COMPUTED_VALUE"""),0.8999999999999999)</f>
        <v>0.9</v>
      </c>
      <c r="H764" s="17">
        <f>IFERROR(__xludf.DUMMYFUNCTION("""COMPUTED_VALUE"""),40701.0)</f>
        <v>40701</v>
      </c>
      <c r="I764" s="19">
        <f>IFERROR(__xludf.DUMMYFUNCTION("""COMPUTED_VALUE"""),0.9944444444444445)</f>
        <v>0.9944444444</v>
      </c>
      <c r="J764" s="21">
        <f>IFERROR(__xludf.DUMMYFUNCTION("""COMPUTED_VALUE"""),83.0)</f>
        <v>83</v>
      </c>
      <c r="K764" s="23">
        <f>IFERROR(__xludf.DUMMYFUNCTION("""COMPUTED_VALUE"""),8.1)</f>
        <v>8.1</v>
      </c>
      <c r="L764" s="24">
        <f>IFERROR(__xludf.DUMMYFUNCTION("""COMPUTED_VALUE"""),13.0)</f>
        <v>13</v>
      </c>
      <c r="M764" s="25" t="str">
        <f>IFERROR(__xludf.DUMMYFUNCTION("""COMPUTED_VALUE"""),"Action-Adventure")</f>
        <v>Action-Adventure</v>
      </c>
      <c r="N764" s="25"/>
      <c r="O764" s="26" t="str">
        <f>IFERROR(__xludf.DUMMYFUNCTION("""COMPUTED_VALUE"""),"No")</f>
        <v>No</v>
      </c>
      <c r="P764" s="26"/>
    </row>
    <row r="765" hidden="1">
      <c r="A765" s="13" t="str">
        <f>IFERROR(__xludf.DUMMYFUNCTION("""COMPUTED_VALUE"""),"Little Big Planet 2")</f>
        <v>Little Big Planet 2</v>
      </c>
      <c r="B765" s="15" t="str">
        <f>IFERROR(__xludf.DUMMYFUNCTION("""COMPUTED_VALUE"""),"PS3")</f>
        <v>PS3</v>
      </c>
      <c r="C765" s="16" t="str">
        <f>IFERROR(__xludf.DUMMYFUNCTION("""COMPUTED_VALUE"""),"Playstation Plus (Discontinued)")</f>
        <v>Playstation Plus (Discontinued)</v>
      </c>
      <c r="D765" s="15" t="str">
        <f>IFERROR(__xludf.DUMMYFUNCTION("""COMPUTED_VALUE"""),"Removed")</f>
        <v>Removed</v>
      </c>
      <c r="E765" s="17">
        <f>IFERROR(__xludf.DUMMYFUNCTION("""COMPUTED_VALUE"""),41065.0)</f>
        <v>41065</v>
      </c>
      <c r="F765" s="54">
        <f>IFERROR(__xludf.DUMMYFUNCTION("""COMPUTED_VALUE"""),41092.0)</f>
        <v>41092</v>
      </c>
      <c r="G765" s="19">
        <f>IFERROR(__xludf.DUMMYFUNCTION("""COMPUTED_VALUE"""),0.8999999999999999)</f>
        <v>0.9</v>
      </c>
      <c r="H765" s="17">
        <f>IFERROR(__xludf.DUMMYFUNCTION("""COMPUTED_VALUE"""),40561.0)</f>
        <v>40561</v>
      </c>
      <c r="I765" s="19">
        <f>IFERROR(__xludf.DUMMYFUNCTION("""COMPUTED_VALUE"""),1.3805555555555555)</f>
        <v>1.380555556</v>
      </c>
      <c r="J765" s="21">
        <f>IFERROR(__xludf.DUMMYFUNCTION("""COMPUTED_VALUE"""),91.0)</f>
        <v>91</v>
      </c>
      <c r="K765" s="23">
        <f>IFERROR(__xludf.DUMMYFUNCTION("""COMPUTED_VALUE"""),8.4)</f>
        <v>8.4</v>
      </c>
      <c r="L765" s="24">
        <f>IFERROR(__xludf.DUMMYFUNCTION("""COMPUTED_VALUE"""),9.0)</f>
        <v>9</v>
      </c>
      <c r="M765" s="25" t="str">
        <f>IFERROR(__xludf.DUMMYFUNCTION("""COMPUTED_VALUE"""),"Platformer")</f>
        <v>Platformer</v>
      </c>
      <c r="N765" s="25"/>
      <c r="O765" s="26" t="str">
        <f>IFERROR(__xludf.DUMMYFUNCTION("""COMPUTED_VALUE"""),"No")</f>
        <v>No</v>
      </c>
      <c r="P765" s="26"/>
    </row>
    <row r="766" hidden="1">
      <c r="A766" s="13" t="str">
        <f>IFERROR(__xludf.DUMMYFUNCTION("""COMPUTED_VALUE"""),"Zombie Apocalypse: Never Die Alone")</f>
        <v>Zombie Apocalypse: Never Die Alone</v>
      </c>
      <c r="B766" s="15" t="str">
        <f>IFERROR(__xludf.DUMMYFUNCTION("""COMPUTED_VALUE"""),"PS3")</f>
        <v>PS3</v>
      </c>
      <c r="C766" s="16" t="str">
        <f>IFERROR(__xludf.DUMMYFUNCTION("""COMPUTED_VALUE"""),"Playstation Plus (Discontinued)")</f>
        <v>Playstation Plus (Discontinued)</v>
      </c>
      <c r="D766" s="15" t="str">
        <f>IFERROR(__xludf.DUMMYFUNCTION("""COMPUTED_VALUE"""),"Removed")</f>
        <v>Removed</v>
      </c>
      <c r="E766" s="17">
        <f>IFERROR(__xludf.DUMMYFUNCTION("""COMPUTED_VALUE"""),41065.0)</f>
        <v>41065</v>
      </c>
      <c r="F766" s="54">
        <f>IFERROR(__xludf.DUMMYFUNCTION("""COMPUTED_VALUE"""),41092.0)</f>
        <v>41092</v>
      </c>
      <c r="G766" s="19">
        <f>IFERROR(__xludf.DUMMYFUNCTION("""COMPUTED_VALUE"""),0.8999999999999999)</f>
        <v>0.9</v>
      </c>
      <c r="H766" s="17">
        <f>IFERROR(__xludf.DUMMYFUNCTION("""COMPUTED_VALUE"""),40820.0)</f>
        <v>40820</v>
      </c>
      <c r="I766" s="19">
        <f>IFERROR(__xludf.DUMMYFUNCTION("""COMPUTED_VALUE"""),0.6694444444444444)</f>
        <v>0.6694444444</v>
      </c>
      <c r="J766" s="21">
        <f>IFERROR(__xludf.DUMMYFUNCTION("""COMPUTED_VALUE"""),58.0)</f>
        <v>58</v>
      </c>
      <c r="K766" s="23">
        <f>IFERROR(__xludf.DUMMYFUNCTION("""COMPUTED_VALUE"""),6.4)</f>
        <v>6.4</v>
      </c>
      <c r="L766" s="24">
        <f>IFERROR(__xludf.DUMMYFUNCTION("""COMPUTED_VALUE"""),5.0)</f>
        <v>5</v>
      </c>
      <c r="M766" s="25" t="str">
        <f>IFERROR(__xludf.DUMMYFUNCTION("""COMPUTED_VALUE"""),"Shooter")</f>
        <v>Shooter</v>
      </c>
      <c r="N766" s="25"/>
      <c r="O766" s="26" t="str">
        <f>IFERROR(__xludf.DUMMYFUNCTION("""COMPUTED_VALUE"""),"No")</f>
        <v>No</v>
      </c>
      <c r="P766" s="26"/>
    </row>
    <row r="767" hidden="1">
      <c r="A767" s="13" t="str">
        <f>IFERROR(__xludf.DUMMYFUNCTION("""COMPUTED_VALUE"""),"Choplifter HD")</f>
        <v>Choplifter HD</v>
      </c>
      <c r="B767" s="15" t="str">
        <f>IFERROR(__xludf.DUMMYFUNCTION("""COMPUTED_VALUE"""),"PS3")</f>
        <v>PS3</v>
      </c>
      <c r="C767" s="16" t="str">
        <f>IFERROR(__xludf.DUMMYFUNCTION("""COMPUTED_VALUE"""),"Playstation Plus (Discontinued)")</f>
        <v>Playstation Plus (Discontinued)</v>
      </c>
      <c r="D767" s="15" t="str">
        <f>IFERROR(__xludf.DUMMYFUNCTION("""COMPUTED_VALUE"""),"Removed")</f>
        <v>Removed</v>
      </c>
      <c r="E767" s="17">
        <f>IFERROR(__xludf.DUMMYFUNCTION("""COMPUTED_VALUE"""),41065.0)</f>
        <v>41065</v>
      </c>
      <c r="F767" s="54">
        <f>IFERROR(__xludf.DUMMYFUNCTION("""COMPUTED_VALUE"""),41092.0)</f>
        <v>41092</v>
      </c>
      <c r="G767" s="19">
        <f>IFERROR(__xludf.DUMMYFUNCTION("""COMPUTED_VALUE"""),0.8999999999999999)</f>
        <v>0.9</v>
      </c>
      <c r="H767" s="17">
        <f>IFERROR(__xludf.DUMMYFUNCTION("""COMPUTED_VALUE"""),40919.0)</f>
        <v>40919</v>
      </c>
      <c r="I767" s="19">
        <f>IFERROR(__xludf.DUMMYFUNCTION("""COMPUTED_VALUE"""),0.4)</f>
        <v>0.4</v>
      </c>
      <c r="J767" s="21">
        <f>IFERROR(__xludf.DUMMYFUNCTION("""COMPUTED_VALUE"""),62.0)</f>
        <v>62</v>
      </c>
      <c r="K767" s="23">
        <f>IFERROR(__xludf.DUMMYFUNCTION("""COMPUTED_VALUE"""),6.8)</f>
        <v>6.8</v>
      </c>
      <c r="L767" s="24">
        <f>IFERROR(__xludf.DUMMYFUNCTION("""COMPUTED_VALUE"""),5.0)</f>
        <v>5</v>
      </c>
      <c r="M767" s="25" t="str">
        <f>IFERROR(__xludf.DUMMYFUNCTION("""COMPUTED_VALUE"""),"Shooter")</f>
        <v>Shooter</v>
      </c>
      <c r="N767" s="25"/>
      <c r="O767" s="26" t="str">
        <f>IFERROR(__xludf.DUMMYFUNCTION("""COMPUTED_VALUE"""),"No")</f>
        <v>No</v>
      </c>
      <c r="P767" s="26"/>
    </row>
    <row r="768" hidden="1">
      <c r="A768" s="13" t="str">
        <f>IFERROR(__xludf.DUMMYFUNCTION("""COMPUTED_VALUE"""),"Sideway: New York")</f>
        <v>Sideway: New York</v>
      </c>
      <c r="B768" s="15" t="str">
        <f>IFERROR(__xludf.DUMMYFUNCTION("""COMPUTED_VALUE"""),"PS3")</f>
        <v>PS3</v>
      </c>
      <c r="C768" s="16" t="str">
        <f>IFERROR(__xludf.DUMMYFUNCTION("""COMPUTED_VALUE"""),"Playstation Plus (Discontinued)")</f>
        <v>Playstation Plus (Discontinued)</v>
      </c>
      <c r="D768" s="15" t="str">
        <f>IFERROR(__xludf.DUMMYFUNCTION("""COMPUTED_VALUE"""),"Removed")</f>
        <v>Removed</v>
      </c>
      <c r="E768" s="17">
        <f>IFERROR(__xludf.DUMMYFUNCTION("""COMPUTED_VALUE"""),41065.0)</f>
        <v>41065</v>
      </c>
      <c r="F768" s="54">
        <f>IFERROR(__xludf.DUMMYFUNCTION("""COMPUTED_VALUE"""),41092.0)</f>
        <v>41092</v>
      </c>
      <c r="G768" s="19">
        <f>IFERROR(__xludf.DUMMYFUNCTION("""COMPUTED_VALUE"""),0.8999999999999999)</f>
        <v>0.9</v>
      </c>
      <c r="H768" s="17">
        <f>IFERROR(__xludf.DUMMYFUNCTION("""COMPUTED_VALUE"""),40827.0)</f>
        <v>40827</v>
      </c>
      <c r="I768" s="19">
        <f>IFERROR(__xludf.DUMMYFUNCTION("""COMPUTED_VALUE"""),0.65)</f>
        <v>0.65</v>
      </c>
      <c r="J768" s="21">
        <f>IFERROR(__xludf.DUMMYFUNCTION("""COMPUTED_VALUE"""),71.0)</f>
        <v>71</v>
      </c>
      <c r="K768" s="23">
        <f>IFERROR(__xludf.DUMMYFUNCTION("""COMPUTED_VALUE"""),7.1)</f>
        <v>7.1</v>
      </c>
      <c r="L768" s="24">
        <f>IFERROR(__xludf.DUMMYFUNCTION("""COMPUTED_VALUE"""),4.0)</f>
        <v>4</v>
      </c>
      <c r="M768" s="25" t="str">
        <f>IFERROR(__xludf.DUMMYFUNCTION("""COMPUTED_VALUE"""),"Platformer")</f>
        <v>Platformer</v>
      </c>
      <c r="N768" s="25"/>
      <c r="O768" s="26" t="str">
        <f>IFERROR(__xludf.DUMMYFUNCTION("""COMPUTED_VALUE"""),"No")</f>
        <v>No</v>
      </c>
      <c r="P768" s="26"/>
    </row>
    <row r="769" hidden="1">
      <c r="A769" s="13" t="str">
        <f>IFERROR(__xludf.DUMMYFUNCTION("""COMPUTED_VALUE"""),"Hard Corps: Uprising")</f>
        <v>Hard Corps: Uprising</v>
      </c>
      <c r="B769" s="15" t="str">
        <f>IFERROR(__xludf.DUMMYFUNCTION("""COMPUTED_VALUE"""),"PS3")</f>
        <v>PS3</v>
      </c>
      <c r="C769" s="16" t="str">
        <f>IFERROR(__xludf.DUMMYFUNCTION("""COMPUTED_VALUE"""),"Playstation Plus (Discontinued)")</f>
        <v>Playstation Plus (Discontinued)</v>
      </c>
      <c r="D769" s="15" t="str">
        <f>IFERROR(__xludf.DUMMYFUNCTION("""COMPUTED_VALUE"""),"Removed")</f>
        <v>Removed</v>
      </c>
      <c r="E769" s="17">
        <f>IFERROR(__xludf.DUMMYFUNCTION("""COMPUTED_VALUE"""),41065.0)</f>
        <v>41065</v>
      </c>
      <c r="F769" s="54">
        <f>IFERROR(__xludf.DUMMYFUNCTION("""COMPUTED_VALUE"""),41092.0)</f>
        <v>41092</v>
      </c>
      <c r="G769" s="19">
        <f>IFERROR(__xludf.DUMMYFUNCTION("""COMPUTED_VALUE"""),0.8999999999999999)</f>
        <v>0.9</v>
      </c>
      <c r="H769" s="17">
        <f>IFERROR(__xludf.DUMMYFUNCTION("""COMPUTED_VALUE"""),40590.0)</f>
        <v>40590</v>
      </c>
      <c r="I769" s="19">
        <f>IFERROR(__xludf.DUMMYFUNCTION("""COMPUTED_VALUE"""),1.3027777777777778)</f>
        <v>1.302777778</v>
      </c>
      <c r="J769" s="21">
        <f>IFERROR(__xludf.DUMMYFUNCTION("""COMPUTED_VALUE"""),78.0)</f>
        <v>78</v>
      </c>
      <c r="K769" s="23">
        <f>IFERROR(__xludf.DUMMYFUNCTION("""COMPUTED_VALUE"""),7.8)</f>
        <v>7.8</v>
      </c>
      <c r="L769" s="24">
        <f>IFERROR(__xludf.DUMMYFUNCTION("""COMPUTED_VALUE"""),5.0)</f>
        <v>5</v>
      </c>
      <c r="M769" s="25" t="str">
        <f>IFERROR(__xludf.DUMMYFUNCTION("""COMPUTED_VALUE"""),"Platformer")</f>
        <v>Platformer</v>
      </c>
      <c r="N769" s="25"/>
      <c r="O769" s="26" t="str">
        <f>IFERROR(__xludf.DUMMYFUNCTION("""COMPUTED_VALUE"""),"No")</f>
        <v>No</v>
      </c>
      <c r="P769" s="26"/>
    </row>
    <row r="770" hidden="1">
      <c r="A770" s="13" t="str">
        <f>IFERROR(__xludf.DUMMYFUNCTION("""COMPUTED_VALUE"""),"Awesomenauts")</f>
        <v>Awesomenauts</v>
      </c>
      <c r="B770" s="15" t="str">
        <f>IFERROR(__xludf.DUMMYFUNCTION("""COMPUTED_VALUE"""),"PS3")</f>
        <v>PS3</v>
      </c>
      <c r="C770" s="16" t="str">
        <f>IFERROR(__xludf.DUMMYFUNCTION("""COMPUTED_VALUE"""),"Playstation Plus (Discontinued)")</f>
        <v>Playstation Plus (Discontinued)</v>
      </c>
      <c r="D770" s="15" t="str">
        <f>IFERROR(__xludf.DUMMYFUNCTION("""COMPUTED_VALUE"""),"Removed")</f>
        <v>Removed</v>
      </c>
      <c r="E770" s="17">
        <f>IFERROR(__xludf.DUMMYFUNCTION("""COMPUTED_VALUE"""),41030.0)</f>
        <v>41030</v>
      </c>
      <c r="F770" s="54">
        <f>IFERROR(__xludf.DUMMYFUNCTION("""COMPUTED_VALUE"""),41064.0)</f>
        <v>41064</v>
      </c>
      <c r="G770" s="19">
        <f>IFERROR(__xludf.DUMMYFUNCTION("""COMPUTED_VALUE"""),1.0999999999999999)</f>
        <v>1.1</v>
      </c>
      <c r="H770" s="17">
        <f>IFERROR(__xludf.DUMMYFUNCTION("""COMPUTED_VALUE"""),41030.0)</f>
        <v>41030</v>
      </c>
      <c r="I770" s="19">
        <f>IFERROR(__xludf.DUMMYFUNCTION("""COMPUTED_VALUE"""),0.0)</f>
        <v>0</v>
      </c>
      <c r="J770" s="21">
        <f>IFERROR(__xludf.DUMMYFUNCTION("""COMPUTED_VALUE"""),77.0)</f>
        <v>77</v>
      </c>
      <c r="K770" s="23">
        <f>IFERROR(__xludf.DUMMYFUNCTION("""COMPUTED_VALUE"""),7.8)</f>
        <v>7.8</v>
      </c>
      <c r="L770" s="24"/>
      <c r="M770" s="25" t="str">
        <f>IFERROR(__xludf.DUMMYFUNCTION("""COMPUTED_VALUE"""),"Strategy")</f>
        <v>Strategy</v>
      </c>
      <c r="N770" s="25"/>
      <c r="O770" s="26" t="str">
        <f>IFERROR(__xludf.DUMMYFUNCTION("""COMPUTED_VALUE"""),"No")</f>
        <v>No</v>
      </c>
      <c r="P770" s="26"/>
    </row>
    <row r="771" hidden="1">
      <c r="A771" s="13" t="str">
        <f>IFERROR(__xludf.DUMMYFUNCTION("""COMPUTED_VALUE"""),"Velocity")</f>
        <v>Velocity</v>
      </c>
      <c r="B771" s="15" t="str">
        <f>IFERROR(__xludf.DUMMYFUNCTION("""COMPUTED_VALUE"""),"PS3")</f>
        <v>PS3</v>
      </c>
      <c r="C771" s="16" t="str">
        <f>IFERROR(__xludf.DUMMYFUNCTION("""COMPUTED_VALUE"""),"Playstation Plus (Discontinued)")</f>
        <v>Playstation Plus (Discontinued)</v>
      </c>
      <c r="D771" s="15" t="str">
        <f>IFERROR(__xludf.DUMMYFUNCTION("""COMPUTED_VALUE"""),"Removed")</f>
        <v>Removed</v>
      </c>
      <c r="E771" s="17">
        <f>IFERROR(__xludf.DUMMYFUNCTION("""COMPUTED_VALUE"""),41030.0)</f>
        <v>41030</v>
      </c>
      <c r="F771" s="54">
        <f>IFERROR(__xludf.DUMMYFUNCTION("""COMPUTED_VALUE"""),41064.0)</f>
        <v>41064</v>
      </c>
      <c r="G771" s="19">
        <f>IFERROR(__xludf.DUMMYFUNCTION("""COMPUTED_VALUE"""),1.0999999999999999)</f>
        <v>1.1</v>
      </c>
      <c r="H771" s="17">
        <f>IFERROR(__xludf.DUMMYFUNCTION("""COMPUTED_VALUE"""),40933.0)</f>
        <v>40933</v>
      </c>
      <c r="I771" s="19">
        <f>IFERROR(__xludf.DUMMYFUNCTION("""COMPUTED_VALUE"""),0.26666666666666666)</f>
        <v>0.2666666667</v>
      </c>
      <c r="J771" s="21">
        <f>IFERROR(__xludf.DUMMYFUNCTION("""COMPUTED_VALUE"""),78.0)</f>
        <v>78</v>
      </c>
      <c r="K771" s="23">
        <f>IFERROR(__xludf.DUMMYFUNCTION("""COMPUTED_VALUE"""),7.7)</f>
        <v>7.7</v>
      </c>
      <c r="L771" s="24">
        <f>IFERROR(__xludf.DUMMYFUNCTION("""COMPUTED_VALUE"""),4.0)</f>
        <v>4</v>
      </c>
      <c r="M771" s="25" t="str">
        <f>IFERROR(__xludf.DUMMYFUNCTION("""COMPUTED_VALUE"""),"Shooter")</f>
        <v>Shooter</v>
      </c>
      <c r="N771" s="25" t="str">
        <f>IFERROR(__xludf.DUMMYFUNCTION("""COMPUTED_VALUE"""),"PS Minis")</f>
        <v>PS Minis</v>
      </c>
      <c r="O771" s="26" t="str">
        <f>IFERROR(__xludf.DUMMYFUNCTION("""COMPUTED_VALUE"""),"No")</f>
        <v>No</v>
      </c>
      <c r="P771" s="26"/>
    </row>
    <row r="772" hidden="1">
      <c r="A772" s="13" t="str">
        <f>IFERROR(__xludf.DUMMYFUNCTION("""COMPUTED_VALUE"""),"Floating Cloud God Saves The Pilgrims")</f>
        <v>Floating Cloud God Saves The Pilgrims</v>
      </c>
      <c r="B772" s="15" t="str">
        <f>IFERROR(__xludf.DUMMYFUNCTION("""COMPUTED_VALUE"""),"PS3")</f>
        <v>PS3</v>
      </c>
      <c r="C772" s="16" t="str">
        <f>IFERROR(__xludf.DUMMYFUNCTION("""COMPUTED_VALUE"""),"Playstation Plus (Discontinued)")</f>
        <v>Playstation Plus (Discontinued)</v>
      </c>
      <c r="D772" s="15" t="str">
        <f>IFERROR(__xludf.DUMMYFUNCTION("""COMPUTED_VALUE"""),"Removed")</f>
        <v>Removed</v>
      </c>
      <c r="E772" s="17">
        <f>IFERROR(__xludf.DUMMYFUNCTION("""COMPUTED_VALUE"""),41030.0)</f>
        <v>41030</v>
      </c>
      <c r="F772" s="54">
        <f>IFERROR(__xludf.DUMMYFUNCTION("""COMPUTED_VALUE"""),41064.0)</f>
        <v>41064</v>
      </c>
      <c r="G772" s="19">
        <f>IFERROR(__xludf.DUMMYFUNCTION("""COMPUTED_VALUE"""),1.0999999999999999)</f>
        <v>1.1</v>
      </c>
      <c r="H772" s="17">
        <f>IFERROR(__xludf.DUMMYFUNCTION("""COMPUTED_VALUE"""),40806.0)</f>
        <v>40806</v>
      </c>
      <c r="I772" s="19">
        <f>IFERROR(__xludf.DUMMYFUNCTION("""COMPUTED_VALUE"""),0.6138888888888889)</f>
        <v>0.6138888889</v>
      </c>
      <c r="J772" s="21">
        <f>IFERROR(__xludf.DUMMYFUNCTION("""COMPUTED_VALUE"""),55.0)</f>
        <v>55</v>
      </c>
      <c r="K772" s="23">
        <f>IFERROR(__xludf.DUMMYFUNCTION("""COMPUTED_VALUE"""),6.2)</f>
        <v>6.2</v>
      </c>
      <c r="L772" s="24">
        <f>IFERROR(__xludf.DUMMYFUNCTION("""COMPUTED_VALUE"""),3.0)</f>
        <v>3</v>
      </c>
      <c r="M772" s="25" t="str">
        <f>IFERROR(__xludf.DUMMYFUNCTION("""COMPUTED_VALUE"""),"Shooter")</f>
        <v>Shooter</v>
      </c>
      <c r="N772" s="25" t="str">
        <f>IFERROR(__xludf.DUMMYFUNCTION("""COMPUTED_VALUE"""),"PS Minis")</f>
        <v>PS Minis</v>
      </c>
      <c r="O772" s="26" t="str">
        <f>IFERROR(__xludf.DUMMYFUNCTION("""COMPUTED_VALUE"""),"No")</f>
        <v>No</v>
      </c>
      <c r="P772" s="26"/>
    </row>
    <row r="773" hidden="1">
      <c r="A773" s="13" t="str">
        <f>IFERROR(__xludf.DUMMYFUNCTION("""COMPUTED_VALUE"""),"Trine 2")</f>
        <v>Trine 2</v>
      </c>
      <c r="B773" s="15" t="str">
        <f>IFERROR(__xludf.DUMMYFUNCTION("""COMPUTED_VALUE"""),"PS3")</f>
        <v>PS3</v>
      </c>
      <c r="C773" s="16" t="str">
        <f>IFERROR(__xludf.DUMMYFUNCTION("""COMPUTED_VALUE"""),"Playstation Plus (Discontinued)")</f>
        <v>Playstation Plus (Discontinued)</v>
      </c>
      <c r="D773" s="15" t="str">
        <f>IFERROR(__xludf.DUMMYFUNCTION("""COMPUTED_VALUE"""),"Removed")</f>
        <v>Removed</v>
      </c>
      <c r="E773" s="17">
        <f>IFERROR(__xludf.DUMMYFUNCTION("""COMPUTED_VALUE"""),41030.0)</f>
        <v>41030</v>
      </c>
      <c r="F773" s="54">
        <f>IFERROR(__xludf.DUMMYFUNCTION("""COMPUTED_VALUE"""),41064.0)</f>
        <v>41064</v>
      </c>
      <c r="G773" s="19">
        <f>IFERROR(__xludf.DUMMYFUNCTION("""COMPUTED_VALUE"""),1.0999999999999999)</f>
        <v>1.1</v>
      </c>
      <c r="H773" s="17">
        <f>IFERROR(__xludf.DUMMYFUNCTION("""COMPUTED_VALUE"""),40884.0)</f>
        <v>40884</v>
      </c>
      <c r="I773" s="19">
        <f>IFERROR(__xludf.DUMMYFUNCTION("""COMPUTED_VALUE"""),0.4)</f>
        <v>0.4</v>
      </c>
      <c r="J773" s="21">
        <f>IFERROR(__xludf.DUMMYFUNCTION("""COMPUTED_VALUE"""),84.0)</f>
        <v>84</v>
      </c>
      <c r="K773" s="23">
        <f>IFERROR(__xludf.DUMMYFUNCTION("""COMPUTED_VALUE"""),8.2)</f>
        <v>8.2</v>
      </c>
      <c r="L773" s="24">
        <f>IFERROR(__xludf.DUMMYFUNCTION("""COMPUTED_VALUE"""),10.0)</f>
        <v>10</v>
      </c>
      <c r="M773" s="25" t="str">
        <f>IFERROR(__xludf.DUMMYFUNCTION("""COMPUTED_VALUE"""),"Platformer")</f>
        <v>Platformer</v>
      </c>
      <c r="N773" s="25"/>
      <c r="O773" s="26" t="str">
        <f>IFERROR(__xludf.DUMMYFUNCTION("""COMPUTED_VALUE"""),"No")</f>
        <v>No</v>
      </c>
      <c r="P773" s="26"/>
    </row>
    <row r="774" hidden="1">
      <c r="A774" s="13" t="str">
        <f>IFERROR(__xludf.DUMMYFUNCTION("""COMPUTED_VALUE"""),"Rock of Ages")</f>
        <v>Rock of Ages</v>
      </c>
      <c r="B774" s="15" t="str">
        <f>IFERROR(__xludf.DUMMYFUNCTION("""COMPUTED_VALUE"""),"PS3")</f>
        <v>PS3</v>
      </c>
      <c r="C774" s="16" t="str">
        <f>IFERROR(__xludf.DUMMYFUNCTION("""COMPUTED_VALUE"""),"Playstation Plus (Discontinued)")</f>
        <v>Playstation Plus (Discontinued)</v>
      </c>
      <c r="D774" s="15" t="str">
        <f>IFERROR(__xludf.DUMMYFUNCTION("""COMPUTED_VALUE"""),"Removed")</f>
        <v>Removed</v>
      </c>
      <c r="E774" s="17">
        <f>IFERROR(__xludf.DUMMYFUNCTION("""COMPUTED_VALUE"""),41030.0)</f>
        <v>41030</v>
      </c>
      <c r="F774" s="54">
        <f>IFERROR(__xludf.DUMMYFUNCTION("""COMPUTED_VALUE"""),41064.0)</f>
        <v>41064</v>
      </c>
      <c r="G774" s="19">
        <f>IFERROR(__xludf.DUMMYFUNCTION("""COMPUTED_VALUE"""),1.0999999999999999)</f>
        <v>1.1</v>
      </c>
      <c r="H774" s="17">
        <f>IFERROR(__xludf.DUMMYFUNCTION("""COMPUTED_VALUE"""),40786.0)</f>
        <v>40786</v>
      </c>
      <c r="I774" s="19">
        <f>IFERROR(__xludf.DUMMYFUNCTION("""COMPUTED_VALUE"""),0.6694444444444444)</f>
        <v>0.6694444444</v>
      </c>
      <c r="J774" s="21">
        <f>IFERROR(__xludf.DUMMYFUNCTION("""COMPUTED_VALUE"""),76.0)</f>
        <v>76</v>
      </c>
      <c r="K774" s="23">
        <f>IFERROR(__xludf.DUMMYFUNCTION("""COMPUTED_VALUE"""),7.6)</f>
        <v>7.6</v>
      </c>
      <c r="L774" s="24">
        <f>IFERROR(__xludf.DUMMYFUNCTION("""COMPUTED_VALUE"""),4.0)</f>
        <v>4</v>
      </c>
      <c r="M774" s="25" t="str">
        <f>IFERROR(__xludf.DUMMYFUNCTION("""COMPUTED_VALUE"""),"Strategy")</f>
        <v>Strategy</v>
      </c>
      <c r="N774" s="25"/>
      <c r="O774" s="26" t="str">
        <f>IFERROR(__xludf.DUMMYFUNCTION("""COMPUTED_VALUE"""),"No")</f>
        <v>No</v>
      </c>
      <c r="P774" s="26"/>
    </row>
    <row r="775" hidden="1">
      <c r="A775" s="13" t="str">
        <f>IFERROR(__xludf.DUMMYFUNCTION("""COMPUTED_VALUE"""),"Castlevania: Symphony of the Night")</f>
        <v>Castlevania: Symphony of the Night</v>
      </c>
      <c r="B775" s="15" t="str">
        <f>IFERROR(__xludf.DUMMYFUNCTION("""COMPUTED_VALUE"""),"PS3")</f>
        <v>PS3</v>
      </c>
      <c r="C775" s="16" t="str">
        <f>IFERROR(__xludf.DUMMYFUNCTION("""COMPUTED_VALUE"""),"Playstation Plus (Discontinued)")</f>
        <v>Playstation Plus (Discontinued)</v>
      </c>
      <c r="D775" s="15" t="str">
        <f>IFERROR(__xludf.DUMMYFUNCTION("""COMPUTED_VALUE"""),"Removed")</f>
        <v>Removed</v>
      </c>
      <c r="E775" s="17">
        <f>IFERROR(__xludf.DUMMYFUNCTION("""COMPUTED_VALUE"""),41030.0)</f>
        <v>41030</v>
      </c>
      <c r="F775" s="54">
        <f>IFERROR(__xludf.DUMMYFUNCTION("""COMPUTED_VALUE"""),41064.0)</f>
        <v>41064</v>
      </c>
      <c r="G775" s="19">
        <f>IFERROR(__xludf.DUMMYFUNCTION("""COMPUTED_VALUE"""),1.0999999999999999)</f>
        <v>1.1</v>
      </c>
      <c r="H775" s="17">
        <f>IFERROR(__xludf.DUMMYFUNCTION("""COMPUTED_VALUE"""),39357.0)</f>
        <v>39357</v>
      </c>
      <c r="I775" s="19">
        <f>IFERROR(__xludf.DUMMYFUNCTION("""COMPUTED_VALUE"""),4.580555555555556)</f>
        <v>4.580555556</v>
      </c>
      <c r="J775" s="21">
        <f>IFERROR(__xludf.DUMMYFUNCTION("""COMPUTED_VALUE"""),89.0)</f>
        <v>89</v>
      </c>
      <c r="K775" s="23">
        <f>IFERROR(__xludf.DUMMYFUNCTION("""COMPUTED_VALUE"""),9.2)</f>
        <v>9.2</v>
      </c>
      <c r="L775" s="24">
        <f>IFERROR(__xludf.DUMMYFUNCTION("""COMPUTED_VALUE"""),9.0)</f>
        <v>9</v>
      </c>
      <c r="M775" s="25" t="str">
        <f>IFERROR(__xludf.DUMMYFUNCTION("""COMPUTED_VALUE"""),"Action-Adventure")</f>
        <v>Action-Adventure</v>
      </c>
      <c r="N775" s="25" t="str">
        <f>IFERROR(__xludf.DUMMYFUNCTION("""COMPUTED_VALUE"""),"PS1")</f>
        <v>PS1</v>
      </c>
      <c r="O775" s="26" t="str">
        <f>IFERROR(__xludf.DUMMYFUNCTION("""COMPUTED_VALUE"""),"No")</f>
        <v>No</v>
      </c>
      <c r="P775" s="26"/>
    </row>
    <row r="776" hidden="1">
      <c r="A776" s="13" t="str">
        <f>IFERROR(__xludf.DUMMYFUNCTION("""COMPUTED_VALUE"""),"Castlevania: Chronicles")</f>
        <v>Castlevania: Chronicles</v>
      </c>
      <c r="B776" s="15" t="str">
        <f>IFERROR(__xludf.DUMMYFUNCTION("""COMPUTED_VALUE"""),"PS3")</f>
        <v>PS3</v>
      </c>
      <c r="C776" s="16" t="str">
        <f>IFERROR(__xludf.DUMMYFUNCTION("""COMPUTED_VALUE"""),"Playstation Plus (Discontinued)")</f>
        <v>Playstation Plus (Discontinued)</v>
      </c>
      <c r="D776" s="15" t="str">
        <f>IFERROR(__xludf.DUMMYFUNCTION("""COMPUTED_VALUE"""),"Removed")</f>
        <v>Removed</v>
      </c>
      <c r="E776" s="17">
        <f>IFERROR(__xludf.DUMMYFUNCTION("""COMPUTED_VALUE"""),41030.0)</f>
        <v>41030</v>
      </c>
      <c r="F776" s="54">
        <f>IFERROR(__xludf.DUMMYFUNCTION("""COMPUTED_VALUE"""),41064.0)</f>
        <v>41064</v>
      </c>
      <c r="G776" s="19">
        <f>IFERROR(__xludf.DUMMYFUNCTION("""COMPUTED_VALUE"""),1.0999999999999999)</f>
        <v>1.1</v>
      </c>
      <c r="H776" s="17">
        <f>IFERROR(__xludf.DUMMYFUNCTION("""COMPUTED_VALUE"""),37110.0)</f>
        <v>37110</v>
      </c>
      <c r="I776" s="19">
        <f>IFERROR(__xludf.DUMMYFUNCTION("""COMPUTED_VALUE"""),10.733333333333333)</f>
        <v>10.73333333</v>
      </c>
      <c r="J776" s="21">
        <f>IFERROR(__xludf.DUMMYFUNCTION("""COMPUTED_VALUE"""),73.0)</f>
        <v>73</v>
      </c>
      <c r="K776" s="23">
        <f>IFERROR(__xludf.DUMMYFUNCTION("""COMPUTED_VALUE"""),8.0)</f>
        <v>8</v>
      </c>
      <c r="L776" s="24">
        <f>IFERROR(__xludf.DUMMYFUNCTION("""COMPUTED_VALUE"""),6.0)</f>
        <v>6</v>
      </c>
      <c r="M776" s="25" t="str">
        <f>IFERROR(__xludf.DUMMYFUNCTION("""COMPUTED_VALUE"""),"Platformer")</f>
        <v>Platformer</v>
      </c>
      <c r="N776" s="25" t="str">
        <f>IFERROR(__xludf.DUMMYFUNCTION("""COMPUTED_VALUE"""),"PS1")</f>
        <v>PS1</v>
      </c>
      <c r="O776" s="26" t="str">
        <f>IFERROR(__xludf.DUMMYFUNCTION("""COMPUTED_VALUE"""),"No")</f>
        <v>No</v>
      </c>
      <c r="P776" s="26"/>
    </row>
    <row r="777" hidden="1">
      <c r="A777" s="13" t="str">
        <f>IFERROR(__xludf.DUMMYFUNCTION("""COMPUTED_VALUE"""),"Defenders of the Mystic Garden")</f>
        <v>Defenders of the Mystic Garden</v>
      </c>
      <c r="B777" s="15" t="str">
        <f>IFERROR(__xludf.DUMMYFUNCTION("""COMPUTED_VALUE"""),"PS3")</f>
        <v>PS3</v>
      </c>
      <c r="C777" s="16" t="str">
        <f>IFERROR(__xludf.DUMMYFUNCTION("""COMPUTED_VALUE"""),"Playstation Plus (Discontinued)")</f>
        <v>Playstation Plus (Discontinued)</v>
      </c>
      <c r="D777" s="15" t="str">
        <f>IFERROR(__xludf.DUMMYFUNCTION("""COMPUTED_VALUE"""),"Removed")</f>
        <v>Removed</v>
      </c>
      <c r="E777" s="17">
        <f>IFERROR(__xludf.DUMMYFUNCTION("""COMPUTED_VALUE"""),41002.0)</f>
        <v>41002</v>
      </c>
      <c r="F777" s="54">
        <f>IFERROR(__xludf.DUMMYFUNCTION("""COMPUTED_VALUE"""),41029.0)</f>
        <v>41029</v>
      </c>
      <c r="G777" s="19">
        <f>IFERROR(__xludf.DUMMYFUNCTION("""COMPUTED_VALUE"""),0.8999999999999999)</f>
        <v>0.9</v>
      </c>
      <c r="H777" s="17">
        <f>IFERROR(__xludf.DUMMYFUNCTION("""COMPUTED_VALUE"""),40800.0)</f>
        <v>40800</v>
      </c>
      <c r="I777" s="19">
        <f>IFERROR(__xludf.DUMMYFUNCTION("""COMPUTED_VALUE"""),0.5527777777777778)</f>
        <v>0.5527777778</v>
      </c>
      <c r="J777" s="21">
        <f>IFERROR(__xludf.DUMMYFUNCTION("""COMPUTED_VALUE"""),52.0)</f>
        <v>52</v>
      </c>
      <c r="K777" s="23">
        <f>IFERROR(__xludf.DUMMYFUNCTION("""COMPUTED_VALUE"""),6.1)</f>
        <v>6.1</v>
      </c>
      <c r="L777" s="24"/>
      <c r="M777" s="25" t="str">
        <f>IFERROR(__xludf.DUMMYFUNCTION("""COMPUTED_VALUE"""),"Strategy")</f>
        <v>Strategy</v>
      </c>
      <c r="N777" s="25" t="str">
        <f>IFERROR(__xludf.DUMMYFUNCTION("""COMPUTED_VALUE"""),"PS Minis")</f>
        <v>PS Minis</v>
      </c>
      <c r="O777" s="26" t="str">
        <f>IFERROR(__xludf.DUMMYFUNCTION("""COMPUTED_VALUE"""),"No")</f>
        <v>No</v>
      </c>
      <c r="P777" s="26"/>
    </row>
    <row r="778" hidden="1">
      <c r="A778" s="13" t="str">
        <f>IFERROR(__xludf.DUMMYFUNCTION("""COMPUTED_VALUE"""),"Shank 2")</f>
        <v>Shank 2</v>
      </c>
      <c r="B778" s="15" t="str">
        <f>IFERROR(__xludf.DUMMYFUNCTION("""COMPUTED_VALUE"""),"PS3")</f>
        <v>PS3</v>
      </c>
      <c r="C778" s="16" t="str">
        <f>IFERROR(__xludf.DUMMYFUNCTION("""COMPUTED_VALUE"""),"Playstation Plus (Discontinued)")</f>
        <v>Playstation Plus (Discontinued)</v>
      </c>
      <c r="D778" s="15" t="str">
        <f>IFERROR(__xludf.DUMMYFUNCTION("""COMPUTED_VALUE"""),"Removed")</f>
        <v>Removed</v>
      </c>
      <c r="E778" s="17">
        <f>IFERROR(__xludf.DUMMYFUNCTION("""COMPUTED_VALUE"""),41002.0)</f>
        <v>41002</v>
      </c>
      <c r="F778" s="54">
        <f>IFERROR(__xludf.DUMMYFUNCTION("""COMPUTED_VALUE"""),41029.0)</f>
        <v>41029</v>
      </c>
      <c r="G778" s="19">
        <f>IFERROR(__xludf.DUMMYFUNCTION("""COMPUTED_VALUE"""),0.8999999999999999)</f>
        <v>0.9</v>
      </c>
      <c r="H778" s="17">
        <f>IFERROR(__xludf.DUMMYFUNCTION("""COMPUTED_VALUE"""),40946.0)</f>
        <v>40946</v>
      </c>
      <c r="I778" s="19">
        <f>IFERROR(__xludf.DUMMYFUNCTION("""COMPUTED_VALUE"""),0.15555555555555556)</f>
        <v>0.1555555556</v>
      </c>
      <c r="J778" s="21">
        <f>IFERROR(__xludf.DUMMYFUNCTION("""COMPUTED_VALUE"""),72.0)</f>
        <v>72</v>
      </c>
      <c r="K778" s="23">
        <f>IFERROR(__xludf.DUMMYFUNCTION("""COMPUTED_VALUE"""),7.1)</f>
        <v>7.1</v>
      </c>
      <c r="L778" s="24">
        <f>IFERROR(__xludf.DUMMYFUNCTION("""COMPUTED_VALUE"""),5.0)</f>
        <v>5</v>
      </c>
      <c r="M778" s="25" t="str">
        <f>IFERROR(__xludf.DUMMYFUNCTION("""COMPUTED_VALUE"""),"Platformer")</f>
        <v>Platformer</v>
      </c>
      <c r="N778" s="25"/>
      <c r="O778" s="26" t="str">
        <f>IFERROR(__xludf.DUMMYFUNCTION("""COMPUTED_VALUE"""),"No")</f>
        <v>No</v>
      </c>
      <c r="P778" s="26"/>
    </row>
    <row r="779" hidden="1">
      <c r="A779" s="13" t="str">
        <f>IFERROR(__xludf.DUMMYFUNCTION("""COMPUTED_VALUE"""),"Shift 2: Unleashed")</f>
        <v>Shift 2: Unleashed</v>
      </c>
      <c r="B779" s="15" t="str">
        <f>IFERROR(__xludf.DUMMYFUNCTION("""COMPUTED_VALUE"""),"PS3")</f>
        <v>PS3</v>
      </c>
      <c r="C779" s="16" t="str">
        <f>IFERROR(__xludf.DUMMYFUNCTION("""COMPUTED_VALUE"""),"Playstation Plus (Discontinued)")</f>
        <v>Playstation Plus (Discontinued)</v>
      </c>
      <c r="D779" s="15" t="str">
        <f>IFERROR(__xludf.DUMMYFUNCTION("""COMPUTED_VALUE"""),"Removed")</f>
        <v>Removed</v>
      </c>
      <c r="E779" s="17">
        <f>IFERROR(__xludf.DUMMYFUNCTION("""COMPUTED_VALUE"""),41002.0)</f>
        <v>41002</v>
      </c>
      <c r="F779" s="54">
        <f>IFERROR(__xludf.DUMMYFUNCTION("""COMPUTED_VALUE"""),41029.0)</f>
        <v>41029</v>
      </c>
      <c r="G779" s="19">
        <f>IFERROR(__xludf.DUMMYFUNCTION("""COMPUTED_VALUE"""),0.8999999999999999)</f>
        <v>0.9</v>
      </c>
      <c r="H779" s="17">
        <f>IFERROR(__xludf.DUMMYFUNCTION("""COMPUTED_VALUE"""),40631.0)</f>
        <v>40631</v>
      </c>
      <c r="I779" s="19">
        <f>IFERROR(__xludf.DUMMYFUNCTION("""COMPUTED_VALUE"""),1.011111111111111)</f>
        <v>1.011111111</v>
      </c>
      <c r="J779" s="21">
        <f>IFERROR(__xludf.DUMMYFUNCTION("""COMPUTED_VALUE"""),84.0)</f>
        <v>84</v>
      </c>
      <c r="K779" s="23">
        <f>IFERROR(__xludf.DUMMYFUNCTION("""COMPUTED_VALUE"""),7.5)</f>
        <v>7.5</v>
      </c>
      <c r="L779" s="24"/>
      <c r="M779" s="25" t="str">
        <f>IFERROR(__xludf.DUMMYFUNCTION("""COMPUTED_VALUE"""),"Racing")</f>
        <v>Racing</v>
      </c>
      <c r="N779" s="25"/>
      <c r="O779" s="26" t="str">
        <f>IFERROR(__xludf.DUMMYFUNCTION("""COMPUTED_VALUE"""),"No")</f>
        <v>No</v>
      </c>
      <c r="P779" s="26"/>
    </row>
    <row r="780">
      <c r="A780" s="13" t="str">
        <f>IFERROR(__xludf.DUMMYFUNCTION("""COMPUTED_VALUE"""),"Silent Hill")</f>
        <v>Silent Hill</v>
      </c>
      <c r="B780" s="15" t="str">
        <f>IFERROR(__xludf.DUMMYFUNCTION("""COMPUTED_VALUE"""),"PS3")</f>
        <v>PS3</v>
      </c>
      <c r="C780" s="16" t="str">
        <f>IFERROR(__xludf.DUMMYFUNCTION("""COMPUTED_VALUE"""),"Playstation Plus (Discontinued)")</f>
        <v>Playstation Plus (Discontinued)</v>
      </c>
      <c r="D780" s="15" t="str">
        <f>IFERROR(__xludf.DUMMYFUNCTION("""COMPUTED_VALUE"""),"Removed")</f>
        <v>Removed</v>
      </c>
      <c r="E780" s="17">
        <f>IFERROR(__xludf.DUMMYFUNCTION("""COMPUTED_VALUE"""),41002.0)</f>
        <v>41002</v>
      </c>
      <c r="F780" s="54">
        <f>IFERROR(__xludf.DUMMYFUNCTION("""COMPUTED_VALUE"""),41029.0)</f>
        <v>41029</v>
      </c>
      <c r="G780" s="19">
        <f>IFERROR(__xludf.DUMMYFUNCTION("""COMPUTED_VALUE"""),0.8999999999999999)</f>
        <v>0.9</v>
      </c>
      <c r="H780" s="17">
        <f>IFERROR(__xludf.DUMMYFUNCTION("""COMPUTED_VALUE"""),36191.0)</f>
        <v>36191</v>
      </c>
      <c r="I780" s="19">
        <f>IFERROR(__xludf.DUMMYFUNCTION("""COMPUTED_VALUE"""),13.175)</f>
        <v>13.175</v>
      </c>
      <c r="J780" s="21">
        <f>IFERROR(__xludf.DUMMYFUNCTION("""COMPUTED_VALUE"""),86.0)</f>
        <v>86</v>
      </c>
      <c r="K780" s="23">
        <f>IFERROR(__xludf.DUMMYFUNCTION("""COMPUTED_VALUE"""),8.8)</f>
        <v>8.8</v>
      </c>
      <c r="L780" s="24">
        <f>IFERROR(__xludf.DUMMYFUNCTION("""COMPUTED_VALUE"""),7.0)</f>
        <v>7</v>
      </c>
      <c r="M780" s="25" t="str">
        <f>IFERROR(__xludf.DUMMYFUNCTION("""COMPUTED_VALUE"""),"Horror")</f>
        <v>Horror</v>
      </c>
      <c r="N780" s="25" t="str">
        <f>IFERROR(__xludf.DUMMYFUNCTION("""COMPUTED_VALUE"""),"PS1")</f>
        <v>PS1</v>
      </c>
      <c r="O780" s="26" t="str">
        <f>IFERROR(__xludf.DUMMYFUNCTION("""COMPUTED_VALUE"""),"No")</f>
        <v>No</v>
      </c>
      <c r="P780" s="26"/>
    </row>
    <row r="781">
      <c r="A781" s="13" t="str">
        <f>IFERROR(__xludf.DUMMYFUNCTION("""COMPUTED_VALUE"""),"Frogger Returns")</f>
        <v>Frogger Returns</v>
      </c>
      <c r="B781" s="15" t="str">
        <f>IFERROR(__xludf.DUMMYFUNCTION("""COMPUTED_VALUE"""),"PS3")</f>
        <v>PS3</v>
      </c>
      <c r="C781" s="16" t="str">
        <f>IFERROR(__xludf.DUMMYFUNCTION("""COMPUTED_VALUE"""),"Playstation Plus (Discontinued)")</f>
        <v>Playstation Plus (Discontinued)</v>
      </c>
      <c r="D781" s="15" t="str">
        <f>IFERROR(__xludf.DUMMYFUNCTION("""COMPUTED_VALUE"""),"Removed")</f>
        <v>Removed</v>
      </c>
      <c r="E781" s="17">
        <f>IFERROR(__xludf.DUMMYFUNCTION("""COMPUTED_VALUE"""),41002.0)</f>
        <v>41002</v>
      </c>
      <c r="F781" s="54">
        <f>IFERROR(__xludf.DUMMYFUNCTION("""COMPUTED_VALUE"""),41029.0)</f>
        <v>41029</v>
      </c>
      <c r="G781" s="19">
        <f>IFERROR(__xludf.DUMMYFUNCTION("""COMPUTED_VALUE"""),0.8999999999999999)</f>
        <v>0.9</v>
      </c>
      <c r="H781" s="17">
        <f>IFERROR(__xludf.DUMMYFUNCTION("""COMPUTED_VALUE"""),40159.0)</f>
        <v>40159</v>
      </c>
      <c r="I781" s="19">
        <f>IFERROR(__xludf.DUMMYFUNCTION("""COMPUTED_VALUE"""),2.308333333333333)</f>
        <v>2.308333333</v>
      </c>
      <c r="J781" s="21">
        <f>IFERROR(__xludf.DUMMYFUNCTION("""COMPUTED_VALUE"""),59.0)</f>
        <v>59</v>
      </c>
      <c r="K781" s="23">
        <f>IFERROR(__xludf.DUMMYFUNCTION("""COMPUTED_VALUE"""),6.3)</f>
        <v>6.3</v>
      </c>
      <c r="L781" s="24">
        <f>IFERROR(__xludf.DUMMYFUNCTION("""COMPUTED_VALUE"""),3.0)</f>
        <v>3</v>
      </c>
      <c r="M781" s="25" t="str">
        <f>IFERROR(__xludf.DUMMYFUNCTION("""COMPUTED_VALUE"""),"Platformer")</f>
        <v>Platformer</v>
      </c>
      <c r="N781" s="25" t="str">
        <f>IFERROR(__xludf.DUMMYFUNCTION("""COMPUTED_VALUE"""),"PS Minis")</f>
        <v>PS Minis</v>
      </c>
      <c r="O781" s="26" t="str">
        <f>IFERROR(__xludf.DUMMYFUNCTION("""COMPUTED_VALUE"""),"No")</f>
        <v>No</v>
      </c>
      <c r="P781" s="26"/>
    </row>
    <row r="782">
      <c r="A782" s="13" t="str">
        <f>IFERROR(__xludf.DUMMYFUNCTION("""COMPUTED_VALUE"""),"Canabalt")</f>
        <v>Canabalt</v>
      </c>
      <c r="B782" s="15" t="str">
        <f>IFERROR(__xludf.DUMMYFUNCTION("""COMPUTED_VALUE"""),"PS3")</f>
        <v>PS3</v>
      </c>
      <c r="C782" s="16" t="str">
        <f>IFERROR(__xludf.DUMMYFUNCTION("""COMPUTED_VALUE"""),"Playstation Plus (Discontinued)")</f>
        <v>Playstation Plus (Discontinued)</v>
      </c>
      <c r="D782" s="15" t="str">
        <f>IFERROR(__xludf.DUMMYFUNCTION("""COMPUTED_VALUE"""),"Removed")</f>
        <v>Removed</v>
      </c>
      <c r="E782" s="17">
        <f>IFERROR(__xludf.DUMMYFUNCTION("""COMPUTED_VALUE"""),41002.0)</f>
        <v>41002</v>
      </c>
      <c r="F782" s="54">
        <f>IFERROR(__xludf.DUMMYFUNCTION("""COMPUTED_VALUE"""),41029.0)</f>
        <v>41029</v>
      </c>
      <c r="G782" s="19">
        <f>IFERROR(__xludf.DUMMYFUNCTION("""COMPUTED_VALUE"""),0.8999999999999999)</f>
        <v>0.9</v>
      </c>
      <c r="H782" s="17">
        <f>IFERROR(__xludf.DUMMYFUNCTION("""COMPUTED_VALUE"""),40421.0)</f>
        <v>40421</v>
      </c>
      <c r="I782" s="19">
        <f>IFERROR(__xludf.DUMMYFUNCTION("""COMPUTED_VALUE"""),1.5916666666666666)</f>
        <v>1.591666667</v>
      </c>
      <c r="J782" s="21">
        <f>IFERROR(__xludf.DUMMYFUNCTION("""COMPUTED_VALUE"""),69.0)</f>
        <v>69</v>
      </c>
      <c r="K782" s="23">
        <f>IFERROR(__xludf.DUMMYFUNCTION("""COMPUTED_VALUE"""),7.1)</f>
        <v>7.1</v>
      </c>
      <c r="L782" s="24"/>
      <c r="M782" s="25" t="str">
        <f>IFERROR(__xludf.DUMMYFUNCTION("""COMPUTED_VALUE"""),"Platformer")</f>
        <v>Platformer</v>
      </c>
      <c r="N782" s="25" t="str">
        <f>IFERROR(__xludf.DUMMYFUNCTION("""COMPUTED_VALUE"""),"PS Minis")</f>
        <v>PS Minis</v>
      </c>
      <c r="O782" s="26" t="str">
        <f>IFERROR(__xludf.DUMMYFUNCTION("""COMPUTED_VALUE"""),"No")</f>
        <v>No</v>
      </c>
      <c r="P782" s="26"/>
    </row>
    <row r="783">
      <c r="A783" s="13" t="str">
        <f>IFERROR(__xludf.DUMMYFUNCTION("""COMPUTED_VALUE"""),"Bermuda Triangle")</f>
        <v>Bermuda Triangle</v>
      </c>
      <c r="B783" s="15" t="str">
        <f>IFERROR(__xludf.DUMMYFUNCTION("""COMPUTED_VALUE"""),"PS3")</f>
        <v>PS3</v>
      </c>
      <c r="C783" s="16" t="str">
        <f>IFERROR(__xludf.DUMMYFUNCTION("""COMPUTED_VALUE"""),"Playstation Plus (Discontinued)")</f>
        <v>Playstation Plus (Discontinued)</v>
      </c>
      <c r="D783" s="15" t="str">
        <f>IFERROR(__xludf.DUMMYFUNCTION("""COMPUTED_VALUE"""),"Removed")</f>
        <v>Removed</v>
      </c>
      <c r="E783" s="17">
        <f>IFERROR(__xludf.DUMMYFUNCTION("""COMPUTED_VALUE"""),40974.0)</f>
        <v>40974</v>
      </c>
      <c r="F783" s="54">
        <f>IFERROR(__xludf.DUMMYFUNCTION("""COMPUTED_VALUE"""),41001.0)</f>
        <v>41001</v>
      </c>
      <c r="G783" s="19">
        <f>IFERROR(__xludf.DUMMYFUNCTION("""COMPUTED_VALUE"""),0.8666666666666666)</f>
        <v>0.8666666667</v>
      </c>
      <c r="H783" s="17">
        <f>IFERROR(__xludf.DUMMYFUNCTION("""COMPUTED_VALUE"""),40785.0)</f>
        <v>40785</v>
      </c>
      <c r="I783" s="19">
        <f>IFERROR(__xludf.DUMMYFUNCTION("""COMPUTED_VALUE"""),0.5166666666666667)</f>
        <v>0.5166666667</v>
      </c>
      <c r="J783" s="21">
        <f>IFERROR(__xludf.DUMMYFUNCTION("""COMPUTED_VALUE"""),55.0)</f>
        <v>55</v>
      </c>
      <c r="K783" s="23">
        <f>IFERROR(__xludf.DUMMYFUNCTION("""COMPUTED_VALUE"""),6.2)</f>
        <v>6.2</v>
      </c>
      <c r="L783" s="24"/>
      <c r="M783" s="25" t="str">
        <f>IFERROR(__xludf.DUMMYFUNCTION("""COMPUTED_VALUE"""),"Arcade")</f>
        <v>Arcade</v>
      </c>
      <c r="N783" s="25" t="str">
        <f>IFERROR(__xludf.DUMMYFUNCTION("""COMPUTED_VALUE"""),"PS Minis")</f>
        <v>PS Minis</v>
      </c>
      <c r="O783" s="26" t="str">
        <f>IFERROR(__xludf.DUMMYFUNCTION("""COMPUTED_VALUE"""),"No")</f>
        <v>No</v>
      </c>
      <c r="P783" s="26"/>
    </row>
    <row r="784">
      <c r="A784" s="13" t="str">
        <f>IFERROR(__xludf.DUMMYFUNCTION("""COMPUTED_VALUE"""),"Sly Cooper and the Thievius Raccoonus")</f>
        <v>Sly Cooper and the Thievius Raccoonus</v>
      </c>
      <c r="B784" s="15" t="str">
        <f>IFERROR(__xludf.DUMMYFUNCTION("""COMPUTED_VALUE"""),"PS3")</f>
        <v>PS3</v>
      </c>
      <c r="C784" s="16" t="str">
        <f>IFERROR(__xludf.DUMMYFUNCTION("""COMPUTED_VALUE"""),"Playstation Plus (Discontinued)")</f>
        <v>Playstation Plus (Discontinued)</v>
      </c>
      <c r="D784" s="15" t="str">
        <f>IFERROR(__xludf.DUMMYFUNCTION("""COMPUTED_VALUE"""),"Removed")</f>
        <v>Removed</v>
      </c>
      <c r="E784" s="17">
        <f>IFERROR(__xludf.DUMMYFUNCTION("""COMPUTED_VALUE"""),40974.0)</f>
        <v>40974</v>
      </c>
      <c r="F784" s="54">
        <f>IFERROR(__xludf.DUMMYFUNCTION("""COMPUTED_VALUE"""),41001.0)</f>
        <v>41001</v>
      </c>
      <c r="G784" s="19">
        <f>IFERROR(__xludf.DUMMYFUNCTION("""COMPUTED_VALUE"""),0.8666666666666666)</f>
        <v>0.8666666667</v>
      </c>
      <c r="H784" s="17">
        <f>IFERROR(__xludf.DUMMYFUNCTION("""COMPUTED_VALUE"""),37583.0)</f>
        <v>37583</v>
      </c>
      <c r="I784" s="19">
        <f>IFERROR(__xludf.DUMMYFUNCTION("""COMPUTED_VALUE"""),9.286111111111111)</f>
        <v>9.286111111</v>
      </c>
      <c r="J784" s="21">
        <f>IFERROR(__xludf.DUMMYFUNCTION("""COMPUTED_VALUE"""),86.0)</f>
        <v>86</v>
      </c>
      <c r="K784" s="23">
        <f>IFERROR(__xludf.DUMMYFUNCTION("""COMPUTED_VALUE"""),8.8)</f>
        <v>8.8</v>
      </c>
      <c r="L784" s="24">
        <f>IFERROR(__xludf.DUMMYFUNCTION("""COMPUTED_VALUE"""),14.0)</f>
        <v>14</v>
      </c>
      <c r="M784" s="25" t="str">
        <f>IFERROR(__xludf.DUMMYFUNCTION("""COMPUTED_VALUE"""),"Platformer")</f>
        <v>Platformer</v>
      </c>
      <c r="N784" s="25"/>
      <c r="O784" s="26" t="str">
        <f>IFERROR(__xludf.DUMMYFUNCTION("""COMPUTED_VALUE"""),"No")</f>
        <v>No</v>
      </c>
      <c r="P784" s="26"/>
    </row>
    <row r="785">
      <c r="A785" s="13" t="str">
        <f>IFERROR(__xludf.DUMMYFUNCTION("""COMPUTED_VALUE"""),"Super Street Fighter II Turbo HD Remix")</f>
        <v>Super Street Fighter II Turbo HD Remix</v>
      </c>
      <c r="B785" s="15" t="str">
        <f>IFERROR(__xludf.DUMMYFUNCTION("""COMPUTED_VALUE"""),"PS3")</f>
        <v>PS3</v>
      </c>
      <c r="C785" s="16" t="str">
        <f>IFERROR(__xludf.DUMMYFUNCTION("""COMPUTED_VALUE"""),"Playstation Plus (Discontinued)")</f>
        <v>Playstation Plus (Discontinued)</v>
      </c>
      <c r="D785" s="15" t="str">
        <f>IFERROR(__xludf.DUMMYFUNCTION("""COMPUTED_VALUE"""),"Removed")</f>
        <v>Removed</v>
      </c>
      <c r="E785" s="17">
        <f>IFERROR(__xludf.DUMMYFUNCTION("""COMPUTED_VALUE"""),40974.0)</f>
        <v>40974</v>
      </c>
      <c r="F785" s="54">
        <f>IFERROR(__xludf.DUMMYFUNCTION("""COMPUTED_VALUE"""),41001.0)</f>
        <v>41001</v>
      </c>
      <c r="G785" s="19">
        <f>IFERROR(__xludf.DUMMYFUNCTION("""COMPUTED_VALUE"""),0.8666666666666666)</f>
        <v>0.8666666667</v>
      </c>
      <c r="H785" s="17">
        <f>IFERROR(__xludf.DUMMYFUNCTION("""COMPUTED_VALUE"""),39777.0)</f>
        <v>39777</v>
      </c>
      <c r="I785" s="19">
        <f>IFERROR(__xludf.DUMMYFUNCTION("""COMPUTED_VALUE"""),3.2805555555555554)</f>
        <v>3.280555556</v>
      </c>
      <c r="J785" s="21">
        <f>IFERROR(__xludf.DUMMYFUNCTION("""COMPUTED_VALUE"""),85.0)</f>
        <v>85</v>
      </c>
      <c r="K785" s="23">
        <f>IFERROR(__xludf.DUMMYFUNCTION("""COMPUTED_VALUE"""),8.2)</f>
        <v>8.2</v>
      </c>
      <c r="L785" s="24"/>
      <c r="M785" s="25" t="str">
        <f>IFERROR(__xludf.DUMMYFUNCTION("""COMPUTED_VALUE"""),"Fighting")</f>
        <v>Fighting</v>
      </c>
      <c r="N785" s="25"/>
      <c r="O785" s="26" t="str">
        <f>IFERROR(__xludf.DUMMYFUNCTION("""COMPUTED_VALUE"""),"No")</f>
        <v>No</v>
      </c>
      <c r="P785" s="26"/>
    </row>
    <row r="786">
      <c r="A786" s="13" t="str">
        <f>IFERROR(__xludf.DUMMYFUNCTION("""COMPUTED_VALUE"""),"Um Jammer Lammy")</f>
        <v>Um Jammer Lammy</v>
      </c>
      <c r="B786" s="15" t="str">
        <f>IFERROR(__xludf.DUMMYFUNCTION("""COMPUTED_VALUE"""),"PS3")</f>
        <v>PS3</v>
      </c>
      <c r="C786" s="16" t="str">
        <f>IFERROR(__xludf.DUMMYFUNCTION("""COMPUTED_VALUE"""),"Playstation Plus (Discontinued)")</f>
        <v>Playstation Plus (Discontinued)</v>
      </c>
      <c r="D786" s="15" t="str">
        <f>IFERROR(__xludf.DUMMYFUNCTION("""COMPUTED_VALUE"""),"Removed")</f>
        <v>Removed</v>
      </c>
      <c r="E786" s="17">
        <f>IFERROR(__xludf.DUMMYFUNCTION("""COMPUTED_VALUE"""),40974.0)</f>
        <v>40974</v>
      </c>
      <c r="F786" s="54">
        <f>IFERROR(__xludf.DUMMYFUNCTION("""COMPUTED_VALUE"""),41001.0)</f>
        <v>41001</v>
      </c>
      <c r="G786" s="19">
        <f>IFERROR(__xludf.DUMMYFUNCTION("""COMPUTED_VALUE"""),0.8666666666666666)</f>
        <v>0.8666666667</v>
      </c>
      <c r="H786" s="17">
        <f>IFERROR(__xludf.DUMMYFUNCTION("""COMPUTED_VALUE"""),36161.0)</f>
        <v>36161</v>
      </c>
      <c r="I786" s="19">
        <f>IFERROR(__xludf.DUMMYFUNCTION("""COMPUTED_VALUE"""),13.180555555555555)</f>
        <v>13.18055556</v>
      </c>
      <c r="J786" s="21">
        <f>IFERROR(__xludf.DUMMYFUNCTION("""COMPUTED_VALUE"""),80.0)</f>
        <v>80</v>
      </c>
      <c r="K786" s="23">
        <f>IFERROR(__xludf.DUMMYFUNCTION("""COMPUTED_VALUE"""),8.1)</f>
        <v>8.1</v>
      </c>
      <c r="L786" s="24"/>
      <c r="M786" s="25" t="str">
        <f>IFERROR(__xludf.DUMMYFUNCTION("""COMPUTED_VALUE"""),"Rhythm")</f>
        <v>Rhythm</v>
      </c>
      <c r="N786" s="25" t="str">
        <f>IFERROR(__xludf.DUMMYFUNCTION("""COMPUTED_VALUE"""),"PS1")</f>
        <v>PS1</v>
      </c>
      <c r="O786" s="26" t="str">
        <f>IFERROR(__xludf.DUMMYFUNCTION("""COMPUTED_VALUE"""),"No")</f>
        <v>No</v>
      </c>
      <c r="P786" s="26"/>
    </row>
    <row r="787">
      <c r="A787" s="13" t="str">
        <f>IFERROR(__xludf.DUMMYFUNCTION("""COMPUTED_VALUE"""),"Far Cry 2")</f>
        <v>Far Cry 2</v>
      </c>
      <c r="B787" s="15" t="str">
        <f>IFERROR(__xludf.DUMMYFUNCTION("""COMPUTED_VALUE"""),"PS3")</f>
        <v>PS3</v>
      </c>
      <c r="C787" s="16" t="str">
        <f>IFERROR(__xludf.DUMMYFUNCTION("""COMPUTED_VALUE"""),"Playstation Plus (Discontinued)")</f>
        <v>Playstation Plus (Discontinued)</v>
      </c>
      <c r="D787" s="15" t="str">
        <f>IFERROR(__xludf.DUMMYFUNCTION("""COMPUTED_VALUE"""),"Removed")</f>
        <v>Removed</v>
      </c>
      <c r="E787" s="17">
        <f>IFERROR(__xludf.DUMMYFUNCTION("""COMPUTED_VALUE"""),40946.0)</f>
        <v>40946</v>
      </c>
      <c r="F787" s="54">
        <f>IFERROR(__xludf.DUMMYFUNCTION("""COMPUTED_VALUE"""),40973.0)</f>
        <v>40973</v>
      </c>
      <c r="G787" s="19">
        <f>IFERROR(__xludf.DUMMYFUNCTION("""COMPUTED_VALUE"""),0.9333333333333333)</f>
        <v>0.9333333333</v>
      </c>
      <c r="H787" s="17">
        <f>IFERROR(__xludf.DUMMYFUNCTION("""COMPUTED_VALUE"""),39742.0)</f>
        <v>39742</v>
      </c>
      <c r="I787" s="19">
        <f>IFERROR(__xludf.DUMMYFUNCTION("""COMPUTED_VALUE"""),3.2944444444444443)</f>
        <v>3.294444444</v>
      </c>
      <c r="J787" s="21">
        <f>IFERROR(__xludf.DUMMYFUNCTION("""COMPUTED_VALUE"""),85.0)</f>
        <v>85</v>
      </c>
      <c r="K787" s="23">
        <f>IFERROR(__xludf.DUMMYFUNCTION("""COMPUTED_VALUE"""),7.6)</f>
        <v>7.6</v>
      </c>
      <c r="L787" s="24">
        <f>IFERROR(__xludf.DUMMYFUNCTION("""COMPUTED_VALUE"""),15.0)</f>
        <v>15</v>
      </c>
      <c r="M787" s="25" t="str">
        <f>IFERROR(__xludf.DUMMYFUNCTION("""COMPUTED_VALUE"""),"Shooter")</f>
        <v>Shooter</v>
      </c>
      <c r="N787" s="25"/>
      <c r="O787" s="26" t="str">
        <f>IFERROR(__xludf.DUMMYFUNCTION("""COMPUTED_VALUE"""),"No")</f>
        <v>No</v>
      </c>
      <c r="P787" s="26"/>
    </row>
    <row r="788">
      <c r="A788" s="13" t="str">
        <f>IFERROR(__xludf.DUMMYFUNCTION("""COMPUTED_VALUE"""),"The Simpsons Arcade Game")</f>
        <v>The Simpsons Arcade Game</v>
      </c>
      <c r="B788" s="15" t="str">
        <f>IFERROR(__xludf.DUMMYFUNCTION("""COMPUTED_VALUE"""),"PS3")</f>
        <v>PS3</v>
      </c>
      <c r="C788" s="16" t="str">
        <f>IFERROR(__xludf.DUMMYFUNCTION("""COMPUTED_VALUE"""),"Playstation Plus (Discontinued)")</f>
        <v>Playstation Plus (Discontinued)</v>
      </c>
      <c r="D788" s="15" t="str">
        <f>IFERROR(__xludf.DUMMYFUNCTION("""COMPUTED_VALUE"""),"Removed")</f>
        <v>Removed</v>
      </c>
      <c r="E788" s="17">
        <f>IFERROR(__xludf.DUMMYFUNCTION("""COMPUTED_VALUE"""),40946.0)</f>
        <v>40946</v>
      </c>
      <c r="F788" s="54">
        <f>IFERROR(__xludf.DUMMYFUNCTION("""COMPUTED_VALUE"""),40973.0)</f>
        <v>40973</v>
      </c>
      <c r="G788" s="19">
        <f>IFERROR(__xludf.DUMMYFUNCTION("""COMPUTED_VALUE"""),0.9333333333333333)</f>
        <v>0.9333333333</v>
      </c>
      <c r="H788" s="17">
        <f>IFERROR(__xludf.DUMMYFUNCTION("""COMPUTED_VALUE"""),40946.0)</f>
        <v>40946</v>
      </c>
      <c r="I788" s="19">
        <f>IFERROR(__xludf.DUMMYFUNCTION("""COMPUTED_VALUE"""),0.0)</f>
        <v>0</v>
      </c>
      <c r="J788" s="21">
        <f>IFERROR(__xludf.DUMMYFUNCTION("""COMPUTED_VALUE"""),71.0)</f>
        <v>71</v>
      </c>
      <c r="K788" s="23">
        <f>IFERROR(__xludf.DUMMYFUNCTION("""COMPUTED_VALUE"""),7.5)</f>
        <v>7.5</v>
      </c>
      <c r="L788" s="24">
        <f>IFERROR(__xludf.DUMMYFUNCTION("""COMPUTED_VALUE"""),2.0)</f>
        <v>2</v>
      </c>
      <c r="M788" s="25" t="str">
        <f>IFERROR(__xludf.DUMMYFUNCTION("""COMPUTED_VALUE"""),"Platformer")</f>
        <v>Platformer</v>
      </c>
      <c r="N788" s="25"/>
      <c r="O788" s="26" t="str">
        <f>IFERROR(__xludf.DUMMYFUNCTION("""COMPUTED_VALUE"""),"No")</f>
        <v>No</v>
      </c>
      <c r="P788" s="26"/>
    </row>
    <row r="789">
      <c r="A789" s="13" t="str">
        <f>IFERROR(__xludf.DUMMYFUNCTION("""COMPUTED_VALUE"""),"Altered Beast")</f>
        <v>Altered Beast</v>
      </c>
      <c r="B789" s="15" t="str">
        <f>IFERROR(__xludf.DUMMYFUNCTION("""COMPUTED_VALUE"""),"PS3")</f>
        <v>PS3</v>
      </c>
      <c r="C789" s="16" t="str">
        <f>IFERROR(__xludf.DUMMYFUNCTION("""COMPUTED_VALUE"""),"Playstation Plus (Discontinued)")</f>
        <v>Playstation Plus (Discontinued)</v>
      </c>
      <c r="D789" s="15" t="str">
        <f>IFERROR(__xludf.DUMMYFUNCTION("""COMPUTED_VALUE"""),"Removed")</f>
        <v>Removed</v>
      </c>
      <c r="E789" s="17">
        <f>IFERROR(__xludf.DUMMYFUNCTION("""COMPUTED_VALUE"""),40946.0)</f>
        <v>40946</v>
      </c>
      <c r="F789" s="54">
        <f>IFERROR(__xludf.DUMMYFUNCTION("""COMPUTED_VALUE"""),40973.0)</f>
        <v>40973</v>
      </c>
      <c r="G789" s="19">
        <f>IFERROR(__xludf.DUMMYFUNCTION("""COMPUTED_VALUE"""),0.9333333333333333)</f>
        <v>0.9333333333</v>
      </c>
      <c r="H789" s="17">
        <f>IFERROR(__xludf.DUMMYFUNCTION("""COMPUTED_VALUE"""),39434.0)</f>
        <v>39434</v>
      </c>
      <c r="I789" s="19">
        <f>IFERROR(__xludf.DUMMYFUNCTION("""COMPUTED_VALUE"""),4.136111111111111)</f>
        <v>4.136111111</v>
      </c>
      <c r="J789" s="21">
        <f>IFERROR(__xludf.DUMMYFUNCTION("""COMPUTED_VALUE"""),60.0)</f>
        <v>60</v>
      </c>
      <c r="K789" s="23">
        <f>IFERROR(__xludf.DUMMYFUNCTION("""COMPUTED_VALUE"""),6.9)</f>
        <v>6.9</v>
      </c>
      <c r="L789" s="24"/>
      <c r="M789" s="25" t="str">
        <f>IFERROR(__xludf.DUMMYFUNCTION("""COMPUTED_VALUE"""),"Platformer")</f>
        <v>Platformer</v>
      </c>
      <c r="N789" s="25"/>
      <c r="O789" s="26" t="str">
        <f>IFERROR(__xludf.DUMMYFUNCTION("""COMPUTED_VALUE"""),"No")</f>
        <v>No</v>
      </c>
      <c r="P789" s="26"/>
    </row>
    <row r="790">
      <c r="A790" s="13" t="str">
        <f>IFERROR(__xludf.DUMMYFUNCTION("""COMPUTED_VALUE"""),"Comix Zone")</f>
        <v>Comix Zone</v>
      </c>
      <c r="B790" s="15" t="str">
        <f>IFERROR(__xludf.DUMMYFUNCTION("""COMPUTED_VALUE"""),"PS3")</f>
        <v>PS3</v>
      </c>
      <c r="C790" s="16" t="str">
        <f>IFERROR(__xludf.DUMMYFUNCTION("""COMPUTED_VALUE"""),"Playstation Plus (Discontinued)")</f>
        <v>Playstation Plus (Discontinued)</v>
      </c>
      <c r="D790" s="15" t="str">
        <f>IFERROR(__xludf.DUMMYFUNCTION("""COMPUTED_VALUE"""),"Removed")</f>
        <v>Removed</v>
      </c>
      <c r="E790" s="17">
        <f>IFERROR(__xludf.DUMMYFUNCTION("""COMPUTED_VALUE"""),40946.0)</f>
        <v>40946</v>
      </c>
      <c r="F790" s="54">
        <f>IFERROR(__xludf.DUMMYFUNCTION("""COMPUTED_VALUE"""),40973.0)</f>
        <v>40973</v>
      </c>
      <c r="G790" s="19">
        <f>IFERROR(__xludf.DUMMYFUNCTION("""COMPUTED_VALUE"""),0.9333333333333333)</f>
        <v>0.9333333333</v>
      </c>
      <c r="H790" s="17">
        <f>IFERROR(__xludf.DUMMYFUNCTION("""COMPUTED_VALUE"""),40856.0)</f>
        <v>40856</v>
      </c>
      <c r="I790" s="19">
        <f>IFERROR(__xludf.DUMMYFUNCTION("""COMPUTED_VALUE"""),0.24444444444444444)</f>
        <v>0.2444444444</v>
      </c>
      <c r="J790" s="21">
        <f>IFERROR(__xludf.DUMMYFUNCTION("""COMPUTED_VALUE"""),75.0)</f>
        <v>75</v>
      </c>
      <c r="K790" s="23">
        <f>IFERROR(__xludf.DUMMYFUNCTION("""COMPUTED_VALUE"""),7.7)</f>
        <v>7.7</v>
      </c>
      <c r="L790" s="24">
        <f>IFERROR(__xludf.DUMMYFUNCTION("""COMPUTED_VALUE"""),2.0)</f>
        <v>2</v>
      </c>
      <c r="M790" s="25" t="str">
        <f>IFERROR(__xludf.DUMMYFUNCTION("""COMPUTED_VALUE"""),"Platformer")</f>
        <v>Platformer</v>
      </c>
      <c r="N790" s="25"/>
      <c r="O790" s="26" t="str">
        <f>IFERROR(__xludf.DUMMYFUNCTION("""COMPUTED_VALUE"""),"No")</f>
        <v>No</v>
      </c>
      <c r="P790" s="26"/>
    </row>
    <row r="791">
      <c r="A791" s="13" t="str">
        <f>IFERROR(__xludf.DUMMYFUNCTION("""COMPUTED_VALUE"""),"Battle Fantasia")</f>
        <v>Battle Fantasia</v>
      </c>
      <c r="B791" s="15" t="str">
        <f>IFERROR(__xludf.DUMMYFUNCTION("""COMPUTED_VALUE"""),"PS3")</f>
        <v>PS3</v>
      </c>
      <c r="C791" s="16" t="str">
        <f>IFERROR(__xludf.DUMMYFUNCTION("""COMPUTED_VALUE"""),"Playstation Plus (Discontinued)")</f>
        <v>Playstation Plus (Discontinued)</v>
      </c>
      <c r="D791" s="15" t="str">
        <f>IFERROR(__xludf.DUMMYFUNCTION("""COMPUTED_VALUE"""),"Removed")</f>
        <v>Removed</v>
      </c>
      <c r="E791" s="17">
        <f>IFERROR(__xludf.DUMMYFUNCTION("""COMPUTED_VALUE"""),40946.0)</f>
        <v>40946</v>
      </c>
      <c r="F791" s="54">
        <f>IFERROR(__xludf.DUMMYFUNCTION("""COMPUTED_VALUE"""),40973.0)</f>
        <v>40973</v>
      </c>
      <c r="G791" s="19">
        <f>IFERROR(__xludf.DUMMYFUNCTION("""COMPUTED_VALUE"""),0.9333333333333333)</f>
        <v>0.9333333333</v>
      </c>
      <c r="H791" s="17">
        <f>IFERROR(__xludf.DUMMYFUNCTION("""COMPUTED_VALUE"""),39686.0)</f>
        <v>39686</v>
      </c>
      <c r="I791" s="19">
        <f>IFERROR(__xludf.DUMMYFUNCTION("""COMPUTED_VALUE"""),3.4472222222222224)</f>
        <v>3.447222222</v>
      </c>
      <c r="J791" s="21">
        <f>IFERROR(__xludf.DUMMYFUNCTION("""COMPUTED_VALUE"""),70.0)</f>
        <v>70</v>
      </c>
      <c r="K791" s="23">
        <f>IFERROR(__xludf.DUMMYFUNCTION("""COMPUTED_VALUE"""),7.1)</f>
        <v>7.1</v>
      </c>
      <c r="L791" s="24"/>
      <c r="M791" s="25" t="str">
        <f>IFERROR(__xludf.DUMMYFUNCTION("""COMPUTED_VALUE"""),"Fighting")</f>
        <v>Fighting</v>
      </c>
      <c r="N791" s="25"/>
      <c r="O791" s="26" t="str">
        <f>IFERROR(__xludf.DUMMYFUNCTION("""COMPUTED_VALUE"""),"No")</f>
        <v>No</v>
      </c>
      <c r="P791" s="26"/>
    </row>
    <row r="792">
      <c r="A792" s="13" t="str">
        <f>IFERROR(__xludf.DUMMYFUNCTION("""COMPUTED_VALUE"""),"Fatal Inertia EX")</f>
        <v>Fatal Inertia EX</v>
      </c>
      <c r="B792" s="15" t="str">
        <f>IFERROR(__xludf.DUMMYFUNCTION("""COMPUTED_VALUE"""),"PS3")</f>
        <v>PS3</v>
      </c>
      <c r="C792" s="16" t="str">
        <f>IFERROR(__xludf.DUMMYFUNCTION("""COMPUTED_VALUE"""),"Playstation Plus (Discontinued)")</f>
        <v>Playstation Plus (Discontinued)</v>
      </c>
      <c r="D792" s="15" t="str">
        <f>IFERROR(__xludf.DUMMYFUNCTION("""COMPUTED_VALUE"""),"Removed")</f>
        <v>Removed</v>
      </c>
      <c r="E792" s="17">
        <f>IFERROR(__xludf.DUMMYFUNCTION("""COMPUTED_VALUE"""),40946.0)</f>
        <v>40946</v>
      </c>
      <c r="F792" s="54">
        <f>IFERROR(__xludf.DUMMYFUNCTION("""COMPUTED_VALUE"""),40973.0)</f>
        <v>40973</v>
      </c>
      <c r="G792" s="19">
        <f>IFERROR(__xludf.DUMMYFUNCTION("""COMPUTED_VALUE"""),0.9333333333333333)</f>
        <v>0.9333333333</v>
      </c>
      <c r="H792" s="17">
        <f>IFERROR(__xludf.DUMMYFUNCTION("""COMPUTED_VALUE"""),39511.0)</f>
        <v>39511</v>
      </c>
      <c r="I792" s="19">
        <f>IFERROR(__xludf.DUMMYFUNCTION("""COMPUTED_VALUE"""),3.925)</f>
        <v>3.925</v>
      </c>
      <c r="J792" s="21">
        <f>IFERROR(__xludf.DUMMYFUNCTION("""COMPUTED_VALUE"""),54.0)</f>
        <v>54</v>
      </c>
      <c r="K792" s="23">
        <f>IFERROR(__xludf.DUMMYFUNCTION("""COMPUTED_VALUE"""),6.4)</f>
        <v>6.4</v>
      </c>
      <c r="L792" s="24"/>
      <c r="M792" s="25" t="str">
        <f>IFERROR(__xludf.DUMMYFUNCTION("""COMPUTED_VALUE"""),"Racing")</f>
        <v>Racing</v>
      </c>
      <c r="N792" s="25"/>
      <c r="O792" s="26" t="str">
        <f>IFERROR(__xludf.DUMMYFUNCTION("""COMPUTED_VALUE"""),"No")</f>
        <v>No</v>
      </c>
      <c r="P792" s="26"/>
    </row>
    <row r="793">
      <c r="A793" s="13" t="str">
        <f>IFERROR(__xludf.DUMMYFUNCTION("""COMPUTED_VALUE"""),"Hamsterball")</f>
        <v>Hamsterball</v>
      </c>
      <c r="B793" s="15" t="str">
        <f>IFERROR(__xludf.DUMMYFUNCTION("""COMPUTED_VALUE"""),"PS3")</f>
        <v>PS3</v>
      </c>
      <c r="C793" s="16" t="str">
        <f>IFERROR(__xludf.DUMMYFUNCTION("""COMPUTED_VALUE"""),"Playstation Plus (Discontinued)")</f>
        <v>Playstation Plus (Discontinued)</v>
      </c>
      <c r="D793" s="15" t="str">
        <f>IFERROR(__xludf.DUMMYFUNCTION("""COMPUTED_VALUE"""),"Removed")</f>
        <v>Removed</v>
      </c>
      <c r="E793" s="17">
        <f>IFERROR(__xludf.DUMMYFUNCTION("""COMPUTED_VALUE"""),40946.0)</f>
        <v>40946</v>
      </c>
      <c r="F793" s="54">
        <f>IFERROR(__xludf.DUMMYFUNCTION("""COMPUTED_VALUE"""),40973.0)</f>
        <v>40973</v>
      </c>
      <c r="G793" s="19">
        <f>IFERROR(__xludf.DUMMYFUNCTION("""COMPUTED_VALUE"""),0.9333333333333333)</f>
        <v>0.9333333333</v>
      </c>
      <c r="H793" s="17">
        <f>IFERROR(__xludf.DUMMYFUNCTION("""COMPUTED_VALUE"""),40479.0)</f>
        <v>40479</v>
      </c>
      <c r="I793" s="19">
        <f>IFERROR(__xludf.DUMMYFUNCTION("""COMPUTED_VALUE"""),1.275)</f>
        <v>1.275</v>
      </c>
      <c r="J793" s="21">
        <f>IFERROR(__xludf.DUMMYFUNCTION("""COMPUTED_VALUE"""),59.0)</f>
        <v>59</v>
      </c>
      <c r="K793" s="23">
        <f>IFERROR(__xludf.DUMMYFUNCTION("""COMPUTED_VALUE"""),6.8)</f>
        <v>6.8</v>
      </c>
      <c r="L793" s="24">
        <f>IFERROR(__xludf.DUMMYFUNCTION("""COMPUTED_VALUE"""),3.0)</f>
        <v>3</v>
      </c>
      <c r="M793" s="25" t="str">
        <f>IFERROR(__xludf.DUMMYFUNCTION("""COMPUTED_VALUE"""),"Arcade")</f>
        <v>Arcade</v>
      </c>
      <c r="N793" s="25"/>
      <c r="O793" s="26" t="str">
        <f>IFERROR(__xludf.DUMMYFUNCTION("""COMPUTED_VALUE"""),"No")</f>
        <v>No</v>
      </c>
      <c r="P793" s="26"/>
    </row>
    <row r="794">
      <c r="A794" s="13" t="str">
        <f>IFERROR(__xludf.DUMMYFUNCTION("""COMPUTED_VALUE"""),"Inferno Pool")</f>
        <v>Inferno Pool</v>
      </c>
      <c r="B794" s="15" t="str">
        <f>IFERROR(__xludf.DUMMYFUNCTION("""COMPUTED_VALUE"""),"PS3")</f>
        <v>PS3</v>
      </c>
      <c r="C794" s="16" t="str">
        <f>IFERROR(__xludf.DUMMYFUNCTION("""COMPUTED_VALUE"""),"Playstation Plus (Discontinued)")</f>
        <v>Playstation Plus (Discontinued)</v>
      </c>
      <c r="D794" s="15" t="str">
        <f>IFERROR(__xludf.DUMMYFUNCTION("""COMPUTED_VALUE"""),"Removed")</f>
        <v>Removed</v>
      </c>
      <c r="E794" s="17">
        <f>IFERROR(__xludf.DUMMYFUNCTION("""COMPUTED_VALUE"""),40946.0)</f>
        <v>40946</v>
      </c>
      <c r="F794" s="54">
        <f>IFERROR(__xludf.DUMMYFUNCTION("""COMPUTED_VALUE"""),40973.0)</f>
        <v>40973</v>
      </c>
      <c r="G794" s="19">
        <f>IFERROR(__xludf.DUMMYFUNCTION("""COMPUTED_VALUE"""),0.9333333333333333)</f>
        <v>0.9333333333</v>
      </c>
      <c r="H794" s="17">
        <f>IFERROR(__xludf.DUMMYFUNCTION("""COMPUTED_VALUE"""),40003.0)</f>
        <v>40003</v>
      </c>
      <c r="I794" s="19">
        <f>IFERROR(__xludf.DUMMYFUNCTION("""COMPUTED_VALUE"""),2.577777777777778)</f>
        <v>2.577777778</v>
      </c>
      <c r="J794" s="21">
        <f>IFERROR(__xludf.DUMMYFUNCTION("""COMPUTED_VALUE"""),61.0)</f>
        <v>61</v>
      </c>
      <c r="K794" s="23">
        <f>IFERROR(__xludf.DUMMYFUNCTION("""COMPUTED_VALUE"""),6.4)</f>
        <v>6.4</v>
      </c>
      <c r="L794" s="24"/>
      <c r="M794" s="25" t="str">
        <f>IFERROR(__xludf.DUMMYFUNCTION("""COMPUTED_VALUE"""),"Sports")</f>
        <v>Sports</v>
      </c>
      <c r="N794" s="25"/>
      <c r="O794" s="26" t="str">
        <f>IFERROR(__xludf.DUMMYFUNCTION("""COMPUTED_VALUE"""),"No")</f>
        <v>No</v>
      </c>
      <c r="P794" s="26"/>
    </row>
    <row r="795">
      <c r="A795" s="13" t="str">
        <f>IFERROR(__xludf.DUMMYFUNCTION("""COMPUTED_VALUE"""),"Mahjong Tales: Ancient Wisdom")</f>
        <v>Mahjong Tales: Ancient Wisdom</v>
      </c>
      <c r="B795" s="15" t="str">
        <f>IFERROR(__xludf.DUMMYFUNCTION("""COMPUTED_VALUE"""),"PS3")</f>
        <v>PS3</v>
      </c>
      <c r="C795" s="16" t="str">
        <f>IFERROR(__xludf.DUMMYFUNCTION("""COMPUTED_VALUE"""),"Playstation Plus (Discontinued)")</f>
        <v>Playstation Plus (Discontinued)</v>
      </c>
      <c r="D795" s="15" t="str">
        <f>IFERROR(__xludf.DUMMYFUNCTION("""COMPUTED_VALUE"""),"Removed")</f>
        <v>Removed</v>
      </c>
      <c r="E795" s="17">
        <f>IFERROR(__xludf.DUMMYFUNCTION("""COMPUTED_VALUE"""),40946.0)</f>
        <v>40946</v>
      </c>
      <c r="F795" s="54">
        <f>IFERROR(__xludf.DUMMYFUNCTION("""COMPUTED_VALUE"""),40973.0)</f>
        <v>40973</v>
      </c>
      <c r="G795" s="19">
        <f>IFERROR(__xludf.DUMMYFUNCTION("""COMPUTED_VALUE"""),0.9333333333333333)</f>
        <v>0.9333333333</v>
      </c>
      <c r="H795" s="17">
        <f>IFERROR(__xludf.DUMMYFUNCTION("""COMPUTED_VALUE"""),39799.0)</f>
        <v>39799</v>
      </c>
      <c r="I795" s="19">
        <f>IFERROR(__xludf.DUMMYFUNCTION("""COMPUTED_VALUE"""),3.138888888888889)</f>
        <v>3.138888889</v>
      </c>
      <c r="J795" s="21">
        <f>IFERROR(__xludf.DUMMYFUNCTION("""COMPUTED_VALUE"""),59.0)</f>
        <v>59</v>
      </c>
      <c r="K795" s="23">
        <f>IFERROR(__xludf.DUMMYFUNCTION("""COMPUTED_VALUE"""),6.5)</f>
        <v>6.5</v>
      </c>
      <c r="L795" s="24"/>
      <c r="M795" s="25" t="str">
        <f>IFERROR(__xludf.DUMMYFUNCTION("""COMPUTED_VALUE"""),"Puzzle")</f>
        <v>Puzzle</v>
      </c>
      <c r="N795" s="25"/>
      <c r="O795" s="26" t="str">
        <f>IFERROR(__xludf.DUMMYFUNCTION("""COMPUTED_VALUE"""),"No")</f>
        <v>No</v>
      </c>
      <c r="P795" s="26"/>
    </row>
    <row r="796">
      <c r="A796" s="13" t="str">
        <f>IFERROR(__xludf.DUMMYFUNCTION("""COMPUTED_VALUE"""),"Supersonic Acrobatic Rocket Powered Battle Cars")</f>
        <v>Supersonic Acrobatic Rocket Powered Battle Cars</v>
      </c>
      <c r="B796" s="15" t="str">
        <f>IFERROR(__xludf.DUMMYFUNCTION("""COMPUTED_VALUE"""),"PS3")</f>
        <v>PS3</v>
      </c>
      <c r="C796" s="16" t="str">
        <f>IFERROR(__xludf.DUMMYFUNCTION("""COMPUTED_VALUE"""),"Playstation Plus (Discontinued)")</f>
        <v>Playstation Plus (Discontinued)</v>
      </c>
      <c r="D796" s="15" t="str">
        <f>IFERROR(__xludf.DUMMYFUNCTION("""COMPUTED_VALUE"""),"Removed")</f>
        <v>Removed</v>
      </c>
      <c r="E796" s="17">
        <f>IFERROR(__xludf.DUMMYFUNCTION("""COMPUTED_VALUE"""),40946.0)</f>
        <v>40946</v>
      </c>
      <c r="F796" s="54">
        <f>IFERROR(__xludf.DUMMYFUNCTION("""COMPUTED_VALUE"""),40973.0)</f>
        <v>40973</v>
      </c>
      <c r="G796" s="19">
        <f>IFERROR(__xludf.DUMMYFUNCTION("""COMPUTED_VALUE"""),0.9333333333333333)</f>
        <v>0.9333333333</v>
      </c>
      <c r="H796" s="17">
        <f>IFERROR(__xludf.DUMMYFUNCTION("""COMPUTED_VALUE"""),39729.0)</f>
        <v>39729</v>
      </c>
      <c r="I796" s="19">
        <f>IFERROR(__xludf.DUMMYFUNCTION("""COMPUTED_VALUE"""),3.3305555555555557)</f>
        <v>3.330555556</v>
      </c>
      <c r="J796" s="21">
        <f>IFERROR(__xludf.DUMMYFUNCTION("""COMPUTED_VALUE"""),67.0)</f>
        <v>67</v>
      </c>
      <c r="K796" s="23">
        <f>IFERROR(__xludf.DUMMYFUNCTION("""COMPUTED_VALUE"""),7.8)</f>
        <v>7.8</v>
      </c>
      <c r="L796" s="24"/>
      <c r="M796" s="25" t="str">
        <f>IFERROR(__xludf.DUMMYFUNCTION("""COMPUTED_VALUE"""),"Racing")</f>
        <v>Racing</v>
      </c>
      <c r="N796" s="25"/>
      <c r="O796" s="26" t="str">
        <f>IFERROR(__xludf.DUMMYFUNCTION("""COMPUTED_VALUE"""),"No")</f>
        <v>No</v>
      </c>
      <c r="P796" s="26"/>
    </row>
    <row r="797">
      <c r="A797" s="13" t="str">
        <f>IFERROR(__xludf.DUMMYFUNCTION("""COMPUTED_VALUE"""),"Final Fantasy V")</f>
        <v>Final Fantasy V</v>
      </c>
      <c r="B797" s="15" t="str">
        <f>IFERROR(__xludf.DUMMYFUNCTION("""COMPUTED_VALUE"""),"PS3")</f>
        <v>PS3</v>
      </c>
      <c r="C797" s="16" t="str">
        <f>IFERROR(__xludf.DUMMYFUNCTION("""COMPUTED_VALUE"""),"Playstation Plus (Discontinued)")</f>
        <v>Playstation Plus (Discontinued)</v>
      </c>
      <c r="D797" s="15" t="str">
        <f>IFERROR(__xludf.DUMMYFUNCTION("""COMPUTED_VALUE"""),"Removed")</f>
        <v>Removed</v>
      </c>
      <c r="E797" s="17">
        <f>IFERROR(__xludf.DUMMYFUNCTION("""COMPUTED_VALUE"""),40946.0)</f>
        <v>40946</v>
      </c>
      <c r="F797" s="54">
        <f>IFERROR(__xludf.DUMMYFUNCTION("""COMPUTED_VALUE"""),40973.0)</f>
        <v>40973</v>
      </c>
      <c r="G797" s="19">
        <f>IFERROR(__xludf.DUMMYFUNCTION("""COMPUTED_VALUE"""),0.9333333333333333)</f>
        <v>0.9333333333</v>
      </c>
      <c r="H797" s="17">
        <f>IFERROR(__xludf.DUMMYFUNCTION("""COMPUTED_VALUE"""),33914.0)</f>
        <v>33914</v>
      </c>
      <c r="I797" s="19">
        <f>IFERROR(__xludf.DUMMYFUNCTION("""COMPUTED_VALUE"""),19.252777777777776)</f>
        <v>19.25277778</v>
      </c>
      <c r="J797" s="21">
        <f>IFERROR(__xludf.DUMMYFUNCTION("""COMPUTED_VALUE"""),94.0)</f>
        <v>94</v>
      </c>
      <c r="K797" s="23">
        <f>IFERROR(__xludf.DUMMYFUNCTION("""COMPUTED_VALUE"""),8.8)</f>
        <v>8.8</v>
      </c>
      <c r="L797" s="24">
        <f>IFERROR(__xludf.DUMMYFUNCTION("""COMPUTED_VALUE"""),32.0)</f>
        <v>32</v>
      </c>
      <c r="M797" s="25" t="str">
        <f>IFERROR(__xludf.DUMMYFUNCTION("""COMPUTED_VALUE"""),"RPG")</f>
        <v>RPG</v>
      </c>
      <c r="N797" s="25" t="str">
        <f>IFERROR(__xludf.DUMMYFUNCTION("""COMPUTED_VALUE"""),"PS1")</f>
        <v>PS1</v>
      </c>
      <c r="O797" s="26" t="str">
        <f>IFERROR(__xludf.DUMMYFUNCTION("""COMPUTED_VALUE"""),"No")</f>
        <v>No</v>
      </c>
      <c r="P797" s="26"/>
    </row>
    <row r="798">
      <c r="A798" s="13" t="str">
        <f>IFERROR(__xludf.DUMMYFUNCTION("""COMPUTED_VALUE"""),"Gold Medalist")</f>
        <v>Gold Medalist</v>
      </c>
      <c r="B798" s="15" t="str">
        <f>IFERROR(__xludf.DUMMYFUNCTION("""COMPUTED_VALUE"""),"PS3")</f>
        <v>PS3</v>
      </c>
      <c r="C798" s="16" t="str">
        <f>IFERROR(__xludf.DUMMYFUNCTION("""COMPUTED_VALUE"""),"Playstation Plus (Discontinued)")</f>
        <v>Playstation Plus (Discontinued)</v>
      </c>
      <c r="D798" s="15" t="str">
        <f>IFERROR(__xludf.DUMMYFUNCTION("""COMPUTED_VALUE"""),"Removed")</f>
        <v>Removed</v>
      </c>
      <c r="E798" s="17">
        <f>IFERROR(__xludf.DUMMYFUNCTION("""COMPUTED_VALUE"""),40946.0)</f>
        <v>40946</v>
      </c>
      <c r="F798" s="54">
        <f>IFERROR(__xludf.DUMMYFUNCTION("""COMPUTED_VALUE"""),40973.0)</f>
        <v>40973</v>
      </c>
      <c r="G798" s="19">
        <f>IFERROR(__xludf.DUMMYFUNCTION("""COMPUTED_VALUE"""),0.9333333333333333)</f>
        <v>0.9333333333</v>
      </c>
      <c r="H798" s="17">
        <f>IFERROR(__xludf.DUMMYFUNCTION("""COMPUTED_VALUE"""),40414.0)</f>
        <v>40414</v>
      </c>
      <c r="I798" s="19">
        <f>IFERROR(__xludf.DUMMYFUNCTION("""COMPUTED_VALUE"""),1.4527777777777777)</f>
        <v>1.452777778</v>
      </c>
      <c r="J798" s="21">
        <f>IFERROR(__xludf.DUMMYFUNCTION("""COMPUTED_VALUE"""),57.0)</f>
        <v>57</v>
      </c>
      <c r="K798" s="23">
        <f>IFERROR(__xludf.DUMMYFUNCTION("""COMPUTED_VALUE"""),6.5)</f>
        <v>6.5</v>
      </c>
      <c r="L798" s="24"/>
      <c r="M798" s="25" t="str">
        <f>IFERROR(__xludf.DUMMYFUNCTION("""COMPUTED_VALUE"""),"Sports")</f>
        <v>Sports</v>
      </c>
      <c r="N798" s="25" t="str">
        <f>IFERROR(__xludf.DUMMYFUNCTION("""COMPUTED_VALUE"""),"PS Minis")</f>
        <v>PS Minis</v>
      </c>
      <c r="O798" s="26" t="str">
        <f>IFERROR(__xludf.DUMMYFUNCTION("""COMPUTED_VALUE"""),"No")</f>
        <v>No</v>
      </c>
      <c r="P798" s="26"/>
    </row>
    <row r="799">
      <c r="A799" s="13" t="str">
        <f>IFERROR(__xludf.DUMMYFUNCTION("""COMPUTED_VALUE"""),"Hungry Giraffe")</f>
        <v>Hungry Giraffe</v>
      </c>
      <c r="B799" s="15" t="str">
        <f>IFERROR(__xludf.DUMMYFUNCTION("""COMPUTED_VALUE"""),"PS3")</f>
        <v>PS3</v>
      </c>
      <c r="C799" s="16" t="str">
        <f>IFERROR(__xludf.DUMMYFUNCTION("""COMPUTED_VALUE"""),"Playstation Plus (Discontinued)")</f>
        <v>Playstation Plus (Discontinued)</v>
      </c>
      <c r="D799" s="15" t="str">
        <f>IFERROR(__xludf.DUMMYFUNCTION("""COMPUTED_VALUE"""),"Removed")</f>
        <v>Removed</v>
      </c>
      <c r="E799" s="17">
        <f>IFERROR(__xludf.DUMMYFUNCTION("""COMPUTED_VALUE"""),40946.0)</f>
        <v>40946</v>
      </c>
      <c r="F799" s="54">
        <f>IFERROR(__xludf.DUMMYFUNCTION("""COMPUTED_VALUE"""),40973.0)</f>
        <v>40973</v>
      </c>
      <c r="G799" s="19">
        <f>IFERROR(__xludf.DUMMYFUNCTION("""COMPUTED_VALUE"""),0.9333333333333333)</f>
        <v>0.9333333333</v>
      </c>
      <c r="H799" s="17">
        <f>IFERROR(__xludf.DUMMYFUNCTION("""COMPUTED_VALUE"""),40940.0)</f>
        <v>40940</v>
      </c>
      <c r="I799" s="19">
        <f>IFERROR(__xludf.DUMMYFUNCTION("""COMPUTED_VALUE"""),0.016666666666666666)</f>
        <v>0.01666666667</v>
      </c>
      <c r="J799" s="21">
        <f>IFERROR(__xludf.DUMMYFUNCTION("""COMPUTED_VALUE"""),54.0)</f>
        <v>54</v>
      </c>
      <c r="K799" s="23">
        <f>IFERROR(__xludf.DUMMYFUNCTION("""COMPUTED_VALUE"""),6.5)</f>
        <v>6.5</v>
      </c>
      <c r="L799" s="24"/>
      <c r="M799" s="25" t="str">
        <f>IFERROR(__xludf.DUMMYFUNCTION("""COMPUTED_VALUE"""),"Arcade")</f>
        <v>Arcade</v>
      </c>
      <c r="N799" s="25" t="str">
        <f>IFERROR(__xludf.DUMMYFUNCTION("""COMPUTED_VALUE"""),"PS Minis")</f>
        <v>PS Minis</v>
      </c>
      <c r="O799" s="26" t="str">
        <f>IFERROR(__xludf.DUMMYFUNCTION("""COMPUTED_VALUE"""),"No")</f>
        <v>No</v>
      </c>
      <c r="P799" s="26"/>
    </row>
    <row r="800">
      <c r="A800" s="13" t="str">
        <f>IFERROR(__xludf.DUMMYFUNCTION("""COMPUTED_VALUE"""),"Back to the Future The Game")</f>
        <v>Back to the Future The Game</v>
      </c>
      <c r="B800" s="15" t="str">
        <f>IFERROR(__xludf.DUMMYFUNCTION("""COMPUTED_VALUE"""),"PS3")</f>
        <v>PS3</v>
      </c>
      <c r="C800" s="16" t="str">
        <f>IFERROR(__xludf.DUMMYFUNCTION("""COMPUTED_VALUE"""),"Playstation Plus (Discontinued)")</f>
        <v>Playstation Plus (Discontinued)</v>
      </c>
      <c r="D800" s="15" t="str">
        <f>IFERROR(__xludf.DUMMYFUNCTION("""COMPUTED_VALUE"""),"Removed")</f>
        <v>Removed</v>
      </c>
      <c r="E800" s="17">
        <f>IFERROR(__xludf.DUMMYFUNCTION("""COMPUTED_VALUE"""),40911.0)</f>
        <v>40911</v>
      </c>
      <c r="F800" s="54">
        <f>IFERROR(__xludf.DUMMYFUNCTION("""COMPUTED_VALUE"""),40945.0)</f>
        <v>40945</v>
      </c>
      <c r="G800" s="19">
        <f>IFERROR(__xludf.DUMMYFUNCTION("""COMPUTED_VALUE"""),1.0999999999999999)</f>
        <v>1.1</v>
      </c>
      <c r="H800" s="17">
        <f>IFERROR(__xludf.DUMMYFUNCTION("""COMPUTED_VALUE"""),40534.0)</f>
        <v>40534</v>
      </c>
      <c r="I800" s="19">
        <f>IFERROR(__xludf.DUMMYFUNCTION("""COMPUTED_VALUE"""),1.0305555555555554)</f>
        <v>1.030555556</v>
      </c>
      <c r="J800" s="21">
        <f>IFERROR(__xludf.DUMMYFUNCTION("""COMPUTED_VALUE"""),74.0)</f>
        <v>74</v>
      </c>
      <c r="K800" s="23">
        <f>IFERROR(__xludf.DUMMYFUNCTION("""COMPUTED_VALUE"""),7.5)</f>
        <v>7.5</v>
      </c>
      <c r="L800" s="24">
        <f>IFERROR(__xludf.DUMMYFUNCTION("""COMPUTED_VALUE"""),10.0)</f>
        <v>10</v>
      </c>
      <c r="M800" s="25" t="str">
        <f>IFERROR(__xludf.DUMMYFUNCTION("""COMPUTED_VALUE"""),"Adventure")</f>
        <v>Adventure</v>
      </c>
      <c r="N800" s="25"/>
      <c r="O800" s="26" t="str">
        <f>IFERROR(__xludf.DUMMYFUNCTION("""COMPUTED_VALUE"""),"No")</f>
        <v>No</v>
      </c>
      <c r="P800" s="26"/>
    </row>
    <row r="801">
      <c r="A801" s="13" t="str">
        <f>IFERROR(__xludf.DUMMYFUNCTION("""COMPUTED_VALUE"""),"Sword &amp; Soldiers")</f>
        <v>Sword &amp; Soldiers</v>
      </c>
      <c r="B801" s="15" t="str">
        <f>IFERROR(__xludf.DUMMYFUNCTION("""COMPUTED_VALUE"""),"PS3")</f>
        <v>PS3</v>
      </c>
      <c r="C801" s="16" t="str">
        <f>IFERROR(__xludf.DUMMYFUNCTION("""COMPUTED_VALUE"""),"Playstation Plus (Discontinued)")</f>
        <v>Playstation Plus (Discontinued)</v>
      </c>
      <c r="D801" s="15" t="str">
        <f>IFERROR(__xludf.DUMMYFUNCTION("""COMPUTED_VALUE"""),"Removed")</f>
        <v>Removed</v>
      </c>
      <c r="E801" s="17">
        <f>IFERROR(__xludf.DUMMYFUNCTION("""COMPUTED_VALUE"""),40911.0)</f>
        <v>40911</v>
      </c>
      <c r="F801" s="54">
        <f>IFERROR(__xludf.DUMMYFUNCTION("""COMPUTED_VALUE"""),40945.0)</f>
        <v>40945</v>
      </c>
      <c r="G801" s="19">
        <f>IFERROR(__xludf.DUMMYFUNCTION("""COMPUTED_VALUE"""),1.0999999999999999)</f>
        <v>1.1</v>
      </c>
      <c r="H801" s="17">
        <f>IFERROR(__xludf.DUMMYFUNCTION("""COMPUTED_VALUE"""),39959.0)</f>
        <v>39959</v>
      </c>
      <c r="I801" s="19">
        <f>IFERROR(__xludf.DUMMYFUNCTION("""COMPUTED_VALUE"""),2.602777777777778)</f>
        <v>2.602777778</v>
      </c>
      <c r="J801" s="21">
        <f>IFERROR(__xludf.DUMMYFUNCTION("""COMPUTED_VALUE"""),78.0)</f>
        <v>78</v>
      </c>
      <c r="K801" s="23">
        <f>IFERROR(__xludf.DUMMYFUNCTION("""COMPUTED_VALUE"""),7.5)</f>
        <v>7.5</v>
      </c>
      <c r="L801" s="24">
        <f>IFERROR(__xludf.DUMMYFUNCTION("""COMPUTED_VALUE"""),7.0)</f>
        <v>7</v>
      </c>
      <c r="M801" s="25" t="str">
        <f>IFERROR(__xludf.DUMMYFUNCTION("""COMPUTED_VALUE"""),"Strategy")</f>
        <v>Strategy</v>
      </c>
      <c r="N801" s="25"/>
      <c r="O801" s="26" t="str">
        <f>IFERROR(__xludf.DUMMYFUNCTION("""COMPUTED_VALUE"""),"No")</f>
        <v>No</v>
      </c>
      <c r="P801" s="26"/>
    </row>
    <row r="802">
      <c r="A802" s="13" t="str">
        <f>IFERROR(__xludf.DUMMYFUNCTION("""COMPUTED_VALUE"""),"Stick Man Rescue")</f>
        <v>Stick Man Rescue</v>
      </c>
      <c r="B802" s="15" t="str">
        <f>IFERROR(__xludf.DUMMYFUNCTION("""COMPUTED_VALUE"""),"PS3")</f>
        <v>PS3</v>
      </c>
      <c r="C802" s="16" t="str">
        <f>IFERROR(__xludf.DUMMYFUNCTION("""COMPUTED_VALUE"""),"Playstation Plus (Discontinued)")</f>
        <v>Playstation Plus (Discontinued)</v>
      </c>
      <c r="D802" s="15" t="str">
        <f>IFERROR(__xludf.DUMMYFUNCTION("""COMPUTED_VALUE"""),"Removed")</f>
        <v>Removed</v>
      </c>
      <c r="E802" s="17">
        <f>IFERROR(__xludf.DUMMYFUNCTION("""COMPUTED_VALUE"""),40911.0)</f>
        <v>40911</v>
      </c>
      <c r="F802" s="54">
        <f>IFERROR(__xludf.DUMMYFUNCTION("""COMPUTED_VALUE"""),40945.0)</f>
        <v>40945</v>
      </c>
      <c r="G802" s="19">
        <f>IFERROR(__xludf.DUMMYFUNCTION("""COMPUTED_VALUE"""),1.0999999999999999)</f>
        <v>1.1</v>
      </c>
      <c r="H802" s="17">
        <f>IFERROR(__xludf.DUMMYFUNCTION("""COMPUTED_VALUE"""),40848.0)</f>
        <v>40848</v>
      </c>
      <c r="I802" s="19">
        <f>IFERROR(__xludf.DUMMYFUNCTION("""COMPUTED_VALUE"""),0.17222222222222222)</f>
        <v>0.1722222222</v>
      </c>
      <c r="J802" s="21">
        <f>IFERROR(__xludf.DUMMYFUNCTION("""COMPUTED_VALUE"""),54.0)</f>
        <v>54</v>
      </c>
      <c r="K802" s="23">
        <f>IFERROR(__xludf.DUMMYFUNCTION("""COMPUTED_VALUE"""),6.4)</f>
        <v>6.4</v>
      </c>
      <c r="L802" s="24">
        <f>IFERROR(__xludf.DUMMYFUNCTION("""COMPUTED_VALUE"""),2.0)</f>
        <v>2</v>
      </c>
      <c r="M802" s="25" t="str">
        <f>IFERROR(__xludf.DUMMYFUNCTION("""COMPUTED_VALUE"""),"Puzzle")</f>
        <v>Puzzle</v>
      </c>
      <c r="N802" s="25" t="str">
        <f>IFERROR(__xludf.DUMMYFUNCTION("""COMPUTED_VALUE"""),"PS Minis")</f>
        <v>PS Minis</v>
      </c>
      <c r="O802" s="26" t="str">
        <f>IFERROR(__xludf.DUMMYFUNCTION("""COMPUTED_VALUE"""),"No")</f>
        <v>No</v>
      </c>
      <c r="P802" s="26"/>
    </row>
    <row r="803">
      <c r="A803" s="13" t="str">
        <f>IFERROR(__xludf.DUMMYFUNCTION("""COMPUTED_VALUE"""),"Syphon Filter 3")</f>
        <v>Syphon Filter 3</v>
      </c>
      <c r="B803" s="15" t="str">
        <f>IFERROR(__xludf.DUMMYFUNCTION("""COMPUTED_VALUE"""),"PS3")</f>
        <v>PS3</v>
      </c>
      <c r="C803" s="16" t="str">
        <f>IFERROR(__xludf.DUMMYFUNCTION("""COMPUTED_VALUE"""),"Playstation Plus (Discontinued)")</f>
        <v>Playstation Plus (Discontinued)</v>
      </c>
      <c r="D803" s="15" t="str">
        <f>IFERROR(__xludf.DUMMYFUNCTION("""COMPUTED_VALUE"""),"Removed")</f>
        <v>Removed</v>
      </c>
      <c r="E803" s="17">
        <f>IFERROR(__xludf.DUMMYFUNCTION("""COMPUTED_VALUE"""),40911.0)</f>
        <v>40911</v>
      </c>
      <c r="F803" s="54">
        <f>IFERROR(__xludf.DUMMYFUNCTION("""COMPUTED_VALUE"""),40945.0)</f>
        <v>40945</v>
      </c>
      <c r="G803" s="19">
        <f>IFERROR(__xludf.DUMMYFUNCTION("""COMPUTED_VALUE"""),1.0999999999999999)</f>
        <v>1.1</v>
      </c>
      <c r="H803" s="17">
        <f>IFERROR(__xludf.DUMMYFUNCTION("""COMPUTED_VALUE"""),37201.0)</f>
        <v>37201</v>
      </c>
      <c r="I803" s="19">
        <f>IFERROR(__xludf.DUMMYFUNCTION("""COMPUTED_VALUE"""),10.158333333333333)</f>
        <v>10.15833333</v>
      </c>
      <c r="J803" s="21">
        <f>IFERROR(__xludf.DUMMYFUNCTION("""COMPUTED_VALUE"""),81.0)</f>
        <v>81</v>
      </c>
      <c r="K803" s="23">
        <f>IFERROR(__xludf.DUMMYFUNCTION("""COMPUTED_VALUE"""),8.2)</f>
        <v>8.2</v>
      </c>
      <c r="L803" s="24">
        <f>IFERROR(__xludf.DUMMYFUNCTION("""COMPUTED_VALUE"""),10.0)</f>
        <v>10</v>
      </c>
      <c r="M803" s="25" t="str">
        <f>IFERROR(__xludf.DUMMYFUNCTION("""COMPUTED_VALUE"""),"Shooter")</f>
        <v>Shooter</v>
      </c>
      <c r="N803" s="25" t="str">
        <f>IFERROR(__xludf.DUMMYFUNCTION("""COMPUTED_VALUE"""),"PS1")</f>
        <v>PS1</v>
      </c>
      <c r="O803" s="26" t="str">
        <f>IFERROR(__xludf.DUMMYFUNCTION("""COMPUTED_VALUE"""),"No")</f>
        <v>No</v>
      </c>
      <c r="P803" s="26"/>
    </row>
    <row r="804">
      <c r="A804" s="13" t="str">
        <f>IFERROR(__xludf.DUMMYFUNCTION("""COMPUTED_VALUE"""),"Syphon Filter 2")</f>
        <v>Syphon Filter 2</v>
      </c>
      <c r="B804" s="15" t="str">
        <f>IFERROR(__xludf.DUMMYFUNCTION("""COMPUTED_VALUE"""),"PS3")</f>
        <v>PS3</v>
      </c>
      <c r="C804" s="16" t="str">
        <f>IFERROR(__xludf.DUMMYFUNCTION("""COMPUTED_VALUE"""),"Playstation Plus (Discontinued)")</f>
        <v>Playstation Plus (Discontinued)</v>
      </c>
      <c r="D804" s="15" t="str">
        <f>IFERROR(__xludf.DUMMYFUNCTION("""COMPUTED_VALUE"""),"Removed")</f>
        <v>Removed</v>
      </c>
      <c r="E804" s="17">
        <f>IFERROR(__xludf.DUMMYFUNCTION("""COMPUTED_VALUE"""),40911.0)</f>
        <v>40911</v>
      </c>
      <c r="F804" s="54">
        <f>IFERROR(__xludf.DUMMYFUNCTION("""COMPUTED_VALUE"""),40945.0)</f>
        <v>40945</v>
      </c>
      <c r="G804" s="19">
        <f>IFERROR(__xludf.DUMMYFUNCTION("""COMPUTED_VALUE"""),1.0999999999999999)</f>
        <v>1.1</v>
      </c>
      <c r="H804" s="17">
        <f>IFERROR(__xludf.DUMMYFUNCTION("""COMPUTED_VALUE"""),36936.0)</f>
        <v>36936</v>
      </c>
      <c r="I804" s="19">
        <f>IFERROR(__xludf.DUMMYFUNCTION("""COMPUTED_VALUE"""),10.886111111111111)</f>
        <v>10.88611111</v>
      </c>
      <c r="J804" s="21">
        <f>IFERROR(__xludf.DUMMYFUNCTION("""COMPUTED_VALUE"""),81.0)</f>
        <v>81</v>
      </c>
      <c r="K804" s="23">
        <f>IFERROR(__xludf.DUMMYFUNCTION("""COMPUTED_VALUE"""),8.7)</f>
        <v>8.7</v>
      </c>
      <c r="L804" s="24">
        <f>IFERROR(__xludf.DUMMYFUNCTION("""COMPUTED_VALUE"""),10.0)</f>
        <v>10</v>
      </c>
      <c r="M804" s="25" t="str">
        <f>IFERROR(__xludf.DUMMYFUNCTION("""COMPUTED_VALUE"""),"Shooter")</f>
        <v>Shooter</v>
      </c>
      <c r="N804" s="25" t="str">
        <f>IFERROR(__xludf.DUMMYFUNCTION("""COMPUTED_VALUE"""),"PS1")</f>
        <v>PS1</v>
      </c>
      <c r="O804" s="26" t="str">
        <f>IFERROR(__xludf.DUMMYFUNCTION("""COMPUTED_VALUE"""),"No")</f>
        <v>No</v>
      </c>
      <c r="P804" s="26"/>
    </row>
    <row r="805">
      <c r="A805" s="13" t="str">
        <f>IFERROR(__xludf.DUMMYFUNCTION("""COMPUTED_VALUE"""),"Syphon Filter")</f>
        <v>Syphon Filter</v>
      </c>
      <c r="B805" s="15" t="str">
        <f>IFERROR(__xludf.DUMMYFUNCTION("""COMPUTED_VALUE"""),"PS3")</f>
        <v>PS3</v>
      </c>
      <c r="C805" s="16" t="str">
        <f>IFERROR(__xludf.DUMMYFUNCTION("""COMPUTED_VALUE"""),"Playstation Plus (Discontinued)")</f>
        <v>Playstation Plus (Discontinued)</v>
      </c>
      <c r="D805" s="15" t="str">
        <f>IFERROR(__xludf.DUMMYFUNCTION("""COMPUTED_VALUE"""),"Removed")</f>
        <v>Removed</v>
      </c>
      <c r="E805" s="17">
        <f>IFERROR(__xludf.DUMMYFUNCTION("""COMPUTED_VALUE"""),40911.0)</f>
        <v>40911</v>
      </c>
      <c r="F805" s="54">
        <f>IFERROR(__xludf.DUMMYFUNCTION("""COMPUTED_VALUE"""),40945.0)</f>
        <v>40945</v>
      </c>
      <c r="G805" s="19">
        <f>IFERROR(__xludf.DUMMYFUNCTION("""COMPUTED_VALUE"""),1.0999999999999999)</f>
        <v>1.1</v>
      </c>
      <c r="H805" s="17">
        <f>IFERROR(__xludf.DUMMYFUNCTION("""COMPUTED_VALUE"""),36556.0)</f>
        <v>36556</v>
      </c>
      <c r="I805" s="19">
        <f>IFERROR(__xludf.DUMMYFUNCTION("""COMPUTED_VALUE"""),11.925)</f>
        <v>11.925</v>
      </c>
      <c r="J805" s="21">
        <f>IFERROR(__xludf.DUMMYFUNCTION("""COMPUTED_VALUE"""),90.0)</f>
        <v>90</v>
      </c>
      <c r="K805" s="23">
        <f>IFERROR(__xludf.DUMMYFUNCTION("""COMPUTED_VALUE"""),8.7)</f>
        <v>8.7</v>
      </c>
      <c r="L805" s="24">
        <f>IFERROR(__xludf.DUMMYFUNCTION("""COMPUTED_VALUE"""),10.0)</f>
        <v>10</v>
      </c>
      <c r="M805" s="25" t="str">
        <f>IFERROR(__xludf.DUMMYFUNCTION("""COMPUTED_VALUE"""),"Shooter")</f>
        <v>Shooter</v>
      </c>
      <c r="N805" s="25" t="str">
        <f>IFERROR(__xludf.DUMMYFUNCTION("""COMPUTED_VALUE"""),"PS1")</f>
        <v>PS1</v>
      </c>
      <c r="O805" s="26" t="str">
        <f>IFERROR(__xludf.DUMMYFUNCTION("""COMPUTED_VALUE"""),"No")</f>
        <v>No</v>
      </c>
      <c r="P805" s="26"/>
    </row>
    <row r="806">
      <c r="A806" s="13" t="str">
        <f>IFERROR(__xludf.DUMMYFUNCTION("""COMPUTED_VALUE"""),"Tomb Raider: Underworld")</f>
        <v>Tomb Raider: Underworld</v>
      </c>
      <c r="B806" s="15" t="str">
        <f>IFERROR(__xludf.DUMMYFUNCTION("""COMPUTED_VALUE"""),"PS3")</f>
        <v>PS3</v>
      </c>
      <c r="C806" s="16" t="str">
        <f>IFERROR(__xludf.DUMMYFUNCTION("""COMPUTED_VALUE"""),"Playstation Plus (Discontinued)")</f>
        <v>Playstation Plus (Discontinued)</v>
      </c>
      <c r="D806" s="15" t="str">
        <f>IFERROR(__xludf.DUMMYFUNCTION("""COMPUTED_VALUE"""),"Removed")</f>
        <v>Removed</v>
      </c>
      <c r="E806" s="17">
        <f>IFERROR(__xludf.DUMMYFUNCTION("""COMPUTED_VALUE"""),40883.0)</f>
        <v>40883</v>
      </c>
      <c r="F806" s="54">
        <f>IFERROR(__xludf.DUMMYFUNCTION("""COMPUTED_VALUE"""),40910.0)</f>
        <v>40910</v>
      </c>
      <c r="G806" s="19">
        <f>IFERROR(__xludf.DUMMYFUNCTION("""COMPUTED_VALUE"""),0.8666666666666666)</f>
        <v>0.8666666667</v>
      </c>
      <c r="H806" s="17">
        <f>IFERROR(__xludf.DUMMYFUNCTION("""COMPUTED_VALUE"""),39770.0)</f>
        <v>39770</v>
      </c>
      <c r="I806" s="19">
        <f>IFERROR(__xludf.DUMMYFUNCTION("""COMPUTED_VALUE"""),3.05)</f>
        <v>3.05</v>
      </c>
      <c r="J806" s="21">
        <f>IFERROR(__xludf.DUMMYFUNCTION("""COMPUTED_VALUE"""),80.0)</f>
        <v>80</v>
      </c>
      <c r="K806" s="23">
        <f>IFERROR(__xludf.DUMMYFUNCTION("""COMPUTED_VALUE"""),7.7)</f>
        <v>7.7</v>
      </c>
      <c r="L806" s="24">
        <f>IFERROR(__xludf.DUMMYFUNCTION("""COMPUTED_VALUE"""),9.0)</f>
        <v>9</v>
      </c>
      <c r="M806" s="25" t="str">
        <f>IFERROR(__xludf.DUMMYFUNCTION("""COMPUTED_VALUE"""),"Action-Adventure")</f>
        <v>Action-Adventure</v>
      </c>
      <c r="N806" s="25"/>
      <c r="O806" s="26" t="str">
        <f>IFERROR(__xludf.DUMMYFUNCTION("""COMPUTED_VALUE"""),"No")</f>
        <v>No</v>
      </c>
      <c r="P806" s="26"/>
    </row>
    <row r="807">
      <c r="A807" s="13" t="str">
        <f>IFERROR(__xludf.DUMMYFUNCTION("""COMPUTED_VALUE"""),"Marvel Pinball")</f>
        <v>Marvel Pinball</v>
      </c>
      <c r="B807" s="15" t="str">
        <f>IFERROR(__xludf.DUMMYFUNCTION("""COMPUTED_VALUE"""),"PS3")</f>
        <v>PS3</v>
      </c>
      <c r="C807" s="16" t="str">
        <f>IFERROR(__xludf.DUMMYFUNCTION("""COMPUTED_VALUE"""),"Playstation Plus (Discontinued)")</f>
        <v>Playstation Plus (Discontinued)</v>
      </c>
      <c r="D807" s="15" t="str">
        <f>IFERROR(__xludf.DUMMYFUNCTION("""COMPUTED_VALUE"""),"Removed")</f>
        <v>Removed</v>
      </c>
      <c r="E807" s="17">
        <f>IFERROR(__xludf.DUMMYFUNCTION("""COMPUTED_VALUE"""),40883.0)</f>
        <v>40883</v>
      </c>
      <c r="F807" s="54">
        <f>IFERROR(__xludf.DUMMYFUNCTION("""COMPUTED_VALUE"""),40910.0)</f>
        <v>40910</v>
      </c>
      <c r="G807" s="19">
        <f>IFERROR(__xludf.DUMMYFUNCTION("""COMPUTED_VALUE"""),0.8666666666666666)</f>
        <v>0.8666666667</v>
      </c>
      <c r="H807" s="17">
        <f>IFERROR(__xludf.DUMMYFUNCTION("""COMPUTED_VALUE"""),40520.0)</f>
        <v>40520</v>
      </c>
      <c r="I807" s="19">
        <f>IFERROR(__xludf.DUMMYFUNCTION("""COMPUTED_VALUE"""),0.9944444444444445)</f>
        <v>0.9944444444</v>
      </c>
      <c r="J807" s="21">
        <f>IFERROR(__xludf.DUMMYFUNCTION("""COMPUTED_VALUE"""),79.0)</f>
        <v>79</v>
      </c>
      <c r="K807" s="23">
        <f>IFERROR(__xludf.DUMMYFUNCTION("""COMPUTED_VALUE"""),7.7)</f>
        <v>7.7</v>
      </c>
      <c r="L807" s="24"/>
      <c r="M807" s="25" t="str">
        <f>IFERROR(__xludf.DUMMYFUNCTION("""COMPUTED_VALUE"""),"Pinball")</f>
        <v>Pinball</v>
      </c>
      <c r="N807" s="25"/>
      <c r="O807" s="26" t="str">
        <f>IFERROR(__xludf.DUMMYFUNCTION("""COMPUTED_VALUE"""),"No")</f>
        <v>No</v>
      </c>
      <c r="P807" s="26"/>
    </row>
    <row r="808">
      <c r="A808" s="13" t="str">
        <f>IFERROR(__xludf.DUMMYFUNCTION("""COMPUTED_VALUE"""),"Orbit")</f>
        <v>Orbit</v>
      </c>
      <c r="B808" s="15" t="str">
        <f>IFERROR(__xludf.DUMMYFUNCTION("""COMPUTED_VALUE"""),"PS3")</f>
        <v>PS3</v>
      </c>
      <c r="C808" s="16" t="str">
        <f>IFERROR(__xludf.DUMMYFUNCTION("""COMPUTED_VALUE"""),"Playstation Plus (Discontinued)")</f>
        <v>Playstation Plus (Discontinued)</v>
      </c>
      <c r="D808" s="15" t="str">
        <f>IFERROR(__xludf.DUMMYFUNCTION("""COMPUTED_VALUE"""),"Removed")</f>
        <v>Removed</v>
      </c>
      <c r="E808" s="17">
        <f>IFERROR(__xludf.DUMMYFUNCTION("""COMPUTED_VALUE"""),40883.0)</f>
        <v>40883</v>
      </c>
      <c r="F808" s="54">
        <f>IFERROR(__xludf.DUMMYFUNCTION("""COMPUTED_VALUE"""),40910.0)</f>
        <v>40910</v>
      </c>
      <c r="G808" s="19">
        <f>IFERROR(__xludf.DUMMYFUNCTION("""COMPUTED_VALUE"""),0.8666666666666666)</f>
        <v>0.8666666667</v>
      </c>
      <c r="H808" s="17">
        <f>IFERROR(__xludf.DUMMYFUNCTION("""COMPUTED_VALUE"""),40834.0)</f>
        <v>40834</v>
      </c>
      <c r="I808" s="19">
        <f>IFERROR(__xludf.DUMMYFUNCTION("""COMPUTED_VALUE"""),0.13333333333333333)</f>
        <v>0.1333333333</v>
      </c>
      <c r="J808" s="21">
        <f>IFERROR(__xludf.DUMMYFUNCTION("""COMPUTED_VALUE"""),54.0)</f>
        <v>54</v>
      </c>
      <c r="K808" s="23">
        <f>IFERROR(__xludf.DUMMYFUNCTION("""COMPUTED_VALUE"""),6.3)</f>
        <v>6.3</v>
      </c>
      <c r="L808" s="24"/>
      <c r="M808" s="25" t="str">
        <f>IFERROR(__xludf.DUMMYFUNCTION("""COMPUTED_VALUE"""),"Arcade")</f>
        <v>Arcade</v>
      </c>
      <c r="N808" s="25" t="str">
        <f>IFERROR(__xludf.DUMMYFUNCTION("""COMPUTED_VALUE"""),"PS Minis")</f>
        <v>PS Minis</v>
      </c>
      <c r="O808" s="26" t="str">
        <f>IFERROR(__xludf.DUMMYFUNCTION("""COMPUTED_VALUE"""),"No")</f>
        <v>No</v>
      </c>
      <c r="P808" s="26"/>
    </row>
    <row r="809">
      <c r="A809" s="13" t="str">
        <f>IFERROR(__xludf.DUMMYFUNCTION("""COMPUTED_VALUE"""),"Mad Blocker Alpha")</f>
        <v>Mad Blocker Alpha</v>
      </c>
      <c r="B809" s="15" t="str">
        <f>IFERROR(__xludf.DUMMYFUNCTION("""COMPUTED_VALUE"""),"PS3")</f>
        <v>PS3</v>
      </c>
      <c r="C809" s="16" t="str">
        <f>IFERROR(__xludf.DUMMYFUNCTION("""COMPUTED_VALUE"""),"Playstation Plus (Discontinued)")</f>
        <v>Playstation Plus (Discontinued)</v>
      </c>
      <c r="D809" s="15" t="str">
        <f>IFERROR(__xludf.DUMMYFUNCTION("""COMPUTED_VALUE"""),"Removed")</f>
        <v>Removed</v>
      </c>
      <c r="E809" s="17">
        <f>IFERROR(__xludf.DUMMYFUNCTION("""COMPUTED_VALUE"""),40883.0)</f>
        <v>40883</v>
      </c>
      <c r="F809" s="54">
        <f>IFERROR(__xludf.DUMMYFUNCTION("""COMPUTED_VALUE"""),40910.0)</f>
        <v>40910</v>
      </c>
      <c r="G809" s="19">
        <f>IFERROR(__xludf.DUMMYFUNCTION("""COMPUTED_VALUE"""),0.8666666666666666)</f>
        <v>0.8666666667</v>
      </c>
      <c r="H809" s="17">
        <f>IFERROR(__xludf.DUMMYFUNCTION("""COMPUTED_VALUE"""),40806.0)</f>
        <v>40806</v>
      </c>
      <c r="I809" s="19">
        <f>IFERROR(__xludf.DUMMYFUNCTION("""COMPUTED_VALUE"""),0.2111111111111111)</f>
        <v>0.2111111111</v>
      </c>
      <c r="J809" s="21">
        <f>IFERROR(__xludf.DUMMYFUNCTION("""COMPUTED_VALUE"""),62.0)</f>
        <v>62</v>
      </c>
      <c r="K809" s="23">
        <f>IFERROR(__xludf.DUMMYFUNCTION("""COMPUTED_VALUE"""),6.7)</f>
        <v>6.7</v>
      </c>
      <c r="L809" s="24"/>
      <c r="M809" s="25" t="str">
        <f>IFERROR(__xludf.DUMMYFUNCTION("""COMPUTED_VALUE"""),"Puzzle")</f>
        <v>Puzzle</v>
      </c>
      <c r="N809" s="25" t="str">
        <f>IFERROR(__xludf.DUMMYFUNCTION("""COMPUTED_VALUE"""),"PS Minis")</f>
        <v>PS Minis</v>
      </c>
      <c r="O809" s="26" t="str">
        <f>IFERROR(__xludf.DUMMYFUNCTION("""COMPUTED_VALUE"""),"No")</f>
        <v>No</v>
      </c>
      <c r="P809" s="26"/>
    </row>
    <row r="810">
      <c r="A810" s="13" t="str">
        <f>IFERROR(__xludf.DUMMYFUNCTION("""COMPUTED_VALUE"""),"A Space Shooter for 2 Bucks!")</f>
        <v>A Space Shooter for 2 Bucks!</v>
      </c>
      <c r="B810" s="15" t="str">
        <f>IFERROR(__xludf.DUMMYFUNCTION("""COMPUTED_VALUE"""),"PS3")</f>
        <v>PS3</v>
      </c>
      <c r="C810" s="16" t="str">
        <f>IFERROR(__xludf.DUMMYFUNCTION("""COMPUTED_VALUE"""),"Playstation Plus (Discontinued)")</f>
        <v>Playstation Plus (Discontinued)</v>
      </c>
      <c r="D810" s="15" t="str">
        <f>IFERROR(__xludf.DUMMYFUNCTION("""COMPUTED_VALUE"""),"Removed")</f>
        <v>Removed</v>
      </c>
      <c r="E810" s="17">
        <f>IFERROR(__xludf.DUMMYFUNCTION("""COMPUTED_VALUE"""),40883.0)</f>
        <v>40883</v>
      </c>
      <c r="F810" s="54">
        <f>IFERROR(__xludf.DUMMYFUNCTION("""COMPUTED_VALUE"""),40910.0)</f>
        <v>40910</v>
      </c>
      <c r="G810" s="19">
        <f>IFERROR(__xludf.DUMMYFUNCTION("""COMPUTED_VALUE"""),0.8666666666666666)</f>
        <v>0.8666666667</v>
      </c>
      <c r="H810" s="17">
        <f>IFERROR(__xludf.DUMMYFUNCTION("""COMPUTED_VALUE"""),40491.0)</f>
        <v>40491</v>
      </c>
      <c r="I810" s="19">
        <f>IFERROR(__xludf.DUMMYFUNCTION("""COMPUTED_VALUE"""),1.075)</f>
        <v>1.075</v>
      </c>
      <c r="J810" s="21">
        <f>IFERROR(__xludf.DUMMYFUNCTION("""COMPUTED_VALUE"""),61.0)</f>
        <v>61</v>
      </c>
      <c r="K810" s="23">
        <f>IFERROR(__xludf.DUMMYFUNCTION("""COMPUTED_VALUE"""),6.3)</f>
        <v>6.3</v>
      </c>
      <c r="L810" s="24"/>
      <c r="M810" s="25" t="str">
        <f>IFERROR(__xludf.DUMMYFUNCTION("""COMPUTED_VALUE"""),"Shooter")</f>
        <v>Shooter</v>
      </c>
      <c r="N810" s="25" t="str">
        <f>IFERROR(__xludf.DUMMYFUNCTION("""COMPUTED_VALUE"""),"PS Minis")</f>
        <v>PS Minis</v>
      </c>
      <c r="O810" s="26" t="str">
        <f>IFERROR(__xludf.DUMMYFUNCTION("""COMPUTED_VALUE"""),"No")</f>
        <v>No</v>
      </c>
      <c r="P810" s="26"/>
    </row>
    <row r="811">
      <c r="A811" s="13" t="str">
        <f>IFERROR(__xludf.DUMMYFUNCTION("""COMPUTED_VALUE"""),"Spyro Year of the Dragon")</f>
        <v>Spyro Year of the Dragon</v>
      </c>
      <c r="B811" s="15" t="str">
        <f>IFERROR(__xludf.DUMMYFUNCTION("""COMPUTED_VALUE"""),"PS3")</f>
        <v>PS3</v>
      </c>
      <c r="C811" s="16" t="str">
        <f>IFERROR(__xludf.DUMMYFUNCTION("""COMPUTED_VALUE"""),"Playstation Plus (Discontinued)")</f>
        <v>Playstation Plus (Discontinued)</v>
      </c>
      <c r="D811" s="15" t="str">
        <f>IFERROR(__xludf.DUMMYFUNCTION("""COMPUTED_VALUE"""),"Removed")</f>
        <v>Removed</v>
      </c>
      <c r="E811" s="17">
        <f>IFERROR(__xludf.DUMMYFUNCTION("""COMPUTED_VALUE"""),40883.0)</f>
        <v>40883</v>
      </c>
      <c r="F811" s="54">
        <f>IFERROR(__xludf.DUMMYFUNCTION("""COMPUTED_VALUE"""),40910.0)</f>
        <v>40910</v>
      </c>
      <c r="G811" s="19">
        <f>IFERROR(__xludf.DUMMYFUNCTION("""COMPUTED_VALUE"""),0.8666666666666666)</f>
        <v>0.8666666667</v>
      </c>
      <c r="H811" s="17">
        <f>IFERROR(__xludf.DUMMYFUNCTION("""COMPUTED_VALUE"""),36854.0)</f>
        <v>36854</v>
      </c>
      <c r="I811" s="19">
        <f>IFERROR(__xludf.DUMMYFUNCTION("""COMPUTED_VALUE"""),11.033333333333333)</f>
        <v>11.03333333</v>
      </c>
      <c r="J811" s="21">
        <f>IFERROR(__xludf.DUMMYFUNCTION("""COMPUTED_VALUE"""),91.0)</f>
        <v>91</v>
      </c>
      <c r="K811" s="23">
        <f>IFERROR(__xludf.DUMMYFUNCTION("""COMPUTED_VALUE"""),9.1)</f>
        <v>9.1</v>
      </c>
      <c r="L811" s="24">
        <f>IFERROR(__xludf.DUMMYFUNCTION("""COMPUTED_VALUE"""),16.0)</f>
        <v>16</v>
      </c>
      <c r="M811" s="25" t="str">
        <f>IFERROR(__xludf.DUMMYFUNCTION("""COMPUTED_VALUE"""),"Platformer")</f>
        <v>Platformer</v>
      </c>
      <c r="N811" s="25" t="str">
        <f>IFERROR(__xludf.DUMMYFUNCTION("""COMPUTED_VALUE"""),"PS1")</f>
        <v>PS1</v>
      </c>
      <c r="O811" s="26" t="str">
        <f>IFERROR(__xludf.DUMMYFUNCTION("""COMPUTED_VALUE"""),"No")</f>
        <v>No</v>
      </c>
      <c r="P811" s="26"/>
    </row>
    <row r="812">
      <c r="A812" s="13" t="str">
        <f>IFERROR(__xludf.DUMMYFUNCTION("""COMPUTED_VALUE"""),"Spyro 2: Ripto’s Rage")</f>
        <v>Spyro 2: Ripto’s Rage</v>
      </c>
      <c r="B812" s="15" t="str">
        <f>IFERROR(__xludf.DUMMYFUNCTION("""COMPUTED_VALUE"""),"PS3")</f>
        <v>PS3</v>
      </c>
      <c r="C812" s="16" t="str">
        <f>IFERROR(__xludf.DUMMYFUNCTION("""COMPUTED_VALUE"""),"Playstation Plus (Discontinued)")</f>
        <v>Playstation Plus (Discontinued)</v>
      </c>
      <c r="D812" s="15" t="str">
        <f>IFERROR(__xludf.DUMMYFUNCTION("""COMPUTED_VALUE"""),"Removed")</f>
        <v>Removed</v>
      </c>
      <c r="E812" s="17">
        <f>IFERROR(__xludf.DUMMYFUNCTION("""COMPUTED_VALUE"""),40883.0)</f>
        <v>40883</v>
      </c>
      <c r="F812" s="54">
        <f>IFERROR(__xludf.DUMMYFUNCTION("""COMPUTED_VALUE"""),40910.0)</f>
        <v>40910</v>
      </c>
      <c r="G812" s="19">
        <f>IFERROR(__xludf.DUMMYFUNCTION("""COMPUTED_VALUE"""),0.8666666666666666)</f>
        <v>0.8666666667</v>
      </c>
      <c r="H812" s="17">
        <f>IFERROR(__xludf.DUMMYFUNCTION("""COMPUTED_VALUE"""),36466.0)</f>
        <v>36466</v>
      </c>
      <c r="I812" s="19">
        <f>IFERROR(__xludf.DUMMYFUNCTION("""COMPUTED_VALUE"""),12.094444444444445)</f>
        <v>12.09444444</v>
      </c>
      <c r="J812" s="21">
        <f>IFERROR(__xludf.DUMMYFUNCTION("""COMPUTED_VALUE"""),87.0)</f>
        <v>87</v>
      </c>
      <c r="K812" s="23">
        <f>IFERROR(__xludf.DUMMYFUNCTION("""COMPUTED_VALUE"""),8.9)</f>
        <v>8.9</v>
      </c>
      <c r="L812" s="24">
        <f>IFERROR(__xludf.DUMMYFUNCTION("""COMPUTED_VALUE"""),13.0)</f>
        <v>13</v>
      </c>
      <c r="M812" s="25" t="str">
        <f>IFERROR(__xludf.DUMMYFUNCTION("""COMPUTED_VALUE"""),"Platformer")</f>
        <v>Platformer</v>
      </c>
      <c r="N812" s="25" t="str">
        <f>IFERROR(__xludf.DUMMYFUNCTION("""COMPUTED_VALUE"""),"PS1")</f>
        <v>PS1</v>
      </c>
      <c r="O812" s="26" t="str">
        <f>IFERROR(__xludf.DUMMYFUNCTION("""COMPUTED_VALUE"""),"No")</f>
        <v>No</v>
      </c>
      <c r="P812" s="26"/>
    </row>
    <row r="813">
      <c r="A813" s="13" t="str">
        <f>IFERROR(__xludf.DUMMYFUNCTION("""COMPUTED_VALUE"""),"Spyro the Dragon")</f>
        <v>Spyro the Dragon</v>
      </c>
      <c r="B813" s="15" t="str">
        <f>IFERROR(__xludf.DUMMYFUNCTION("""COMPUTED_VALUE"""),"PS3")</f>
        <v>PS3</v>
      </c>
      <c r="C813" s="16" t="str">
        <f>IFERROR(__xludf.DUMMYFUNCTION("""COMPUTED_VALUE"""),"Playstation Plus (Discontinued)")</f>
        <v>Playstation Plus (Discontinued)</v>
      </c>
      <c r="D813" s="15" t="str">
        <f>IFERROR(__xludf.DUMMYFUNCTION("""COMPUTED_VALUE"""),"Removed")</f>
        <v>Removed</v>
      </c>
      <c r="E813" s="17">
        <f>IFERROR(__xludf.DUMMYFUNCTION("""COMPUTED_VALUE"""),40883.0)</f>
        <v>40883</v>
      </c>
      <c r="F813" s="54">
        <f>IFERROR(__xludf.DUMMYFUNCTION("""COMPUTED_VALUE"""),40910.0)</f>
        <v>40910</v>
      </c>
      <c r="G813" s="19">
        <f>IFERROR(__xludf.DUMMYFUNCTION("""COMPUTED_VALUE"""),0.8666666666666666)</f>
        <v>0.8666666667</v>
      </c>
      <c r="H813" s="17">
        <f>IFERROR(__xludf.DUMMYFUNCTION("""COMPUTED_VALUE"""),36047.0)</f>
        <v>36047</v>
      </c>
      <c r="I813" s="19">
        <f>IFERROR(__xludf.DUMMYFUNCTION("""COMPUTED_VALUE"""),13.241666666666667)</f>
        <v>13.24166667</v>
      </c>
      <c r="J813" s="21">
        <f>IFERROR(__xludf.DUMMYFUNCTION("""COMPUTED_VALUE"""),91.0)</f>
        <v>91</v>
      </c>
      <c r="K813" s="23">
        <f>IFERROR(__xludf.DUMMYFUNCTION("""COMPUTED_VALUE"""),9.1)</f>
        <v>9.1</v>
      </c>
      <c r="L813" s="24">
        <f>IFERROR(__xludf.DUMMYFUNCTION("""COMPUTED_VALUE"""),13.0)</f>
        <v>13</v>
      </c>
      <c r="M813" s="25" t="str">
        <f>IFERROR(__xludf.DUMMYFUNCTION("""COMPUTED_VALUE"""),"Platformer")</f>
        <v>Platformer</v>
      </c>
      <c r="N813" s="25" t="str">
        <f>IFERROR(__xludf.DUMMYFUNCTION("""COMPUTED_VALUE"""),"PS1")</f>
        <v>PS1</v>
      </c>
      <c r="O813" s="26" t="str">
        <f>IFERROR(__xludf.DUMMYFUNCTION("""COMPUTED_VALUE"""),"No")</f>
        <v>No</v>
      </c>
      <c r="P813" s="26"/>
    </row>
    <row r="814">
      <c r="A814" s="13" t="str">
        <f>IFERROR(__xludf.DUMMYFUNCTION("""COMPUTED_VALUE"""),"Hydrophobia: Prophecy")</f>
        <v>Hydrophobia: Prophecy</v>
      </c>
      <c r="B814" s="15" t="str">
        <f>IFERROR(__xludf.DUMMYFUNCTION("""COMPUTED_VALUE"""),"PS3")</f>
        <v>PS3</v>
      </c>
      <c r="C814" s="16" t="str">
        <f>IFERROR(__xludf.DUMMYFUNCTION("""COMPUTED_VALUE"""),"Playstation Plus (Discontinued)")</f>
        <v>Playstation Plus (Discontinued)</v>
      </c>
      <c r="D814" s="15" t="str">
        <f>IFERROR(__xludf.DUMMYFUNCTION("""COMPUTED_VALUE"""),"Removed")</f>
        <v>Removed</v>
      </c>
      <c r="E814" s="17">
        <f>IFERROR(__xludf.DUMMYFUNCTION("""COMPUTED_VALUE"""),40848.0)</f>
        <v>40848</v>
      </c>
      <c r="F814" s="54">
        <f>IFERROR(__xludf.DUMMYFUNCTION("""COMPUTED_VALUE"""),40882.0)</f>
        <v>40882</v>
      </c>
      <c r="G814" s="19">
        <f>IFERROR(__xludf.DUMMYFUNCTION("""COMPUTED_VALUE"""),1.1333333333333333)</f>
        <v>1.133333333</v>
      </c>
      <c r="H814" s="17">
        <f>IFERROR(__xludf.DUMMYFUNCTION("""COMPUTED_VALUE"""),40672.0)</f>
        <v>40672</v>
      </c>
      <c r="I814" s="19">
        <f>IFERROR(__xludf.DUMMYFUNCTION("""COMPUTED_VALUE"""),0.4777777777777778)</f>
        <v>0.4777777778</v>
      </c>
      <c r="J814" s="21">
        <f>IFERROR(__xludf.DUMMYFUNCTION("""COMPUTED_VALUE"""),63.0)</f>
        <v>63</v>
      </c>
      <c r="K814" s="23">
        <f>IFERROR(__xludf.DUMMYFUNCTION("""COMPUTED_VALUE"""),6.7)</f>
        <v>6.7</v>
      </c>
      <c r="L814" s="24">
        <f>IFERROR(__xludf.DUMMYFUNCTION("""COMPUTED_VALUE"""),5.0)</f>
        <v>5</v>
      </c>
      <c r="M814" s="25" t="str">
        <f>IFERROR(__xludf.DUMMYFUNCTION("""COMPUTED_VALUE"""),"Action-Adventure")</f>
        <v>Action-Adventure</v>
      </c>
      <c r="N814" s="25"/>
      <c r="O814" s="26" t="str">
        <f>IFERROR(__xludf.DUMMYFUNCTION("""COMPUTED_VALUE"""),"No")</f>
        <v>No</v>
      </c>
      <c r="P814" s="26"/>
    </row>
    <row r="815">
      <c r="A815" s="13" t="str">
        <f>IFERROR(__xludf.DUMMYFUNCTION("""COMPUTED_VALUE"""),"CTR: Crash Team Racing")</f>
        <v>CTR: Crash Team Racing</v>
      </c>
      <c r="B815" s="15" t="str">
        <f>IFERROR(__xludf.DUMMYFUNCTION("""COMPUTED_VALUE"""),"PS3")</f>
        <v>PS3</v>
      </c>
      <c r="C815" s="16" t="str">
        <f>IFERROR(__xludf.DUMMYFUNCTION("""COMPUTED_VALUE"""),"Playstation Plus (Discontinued)")</f>
        <v>Playstation Plus (Discontinued)</v>
      </c>
      <c r="D815" s="15" t="str">
        <f>IFERROR(__xludf.DUMMYFUNCTION("""COMPUTED_VALUE"""),"Removed")</f>
        <v>Removed</v>
      </c>
      <c r="E815" s="17">
        <f>IFERROR(__xludf.DUMMYFUNCTION("""COMPUTED_VALUE"""),40848.0)</f>
        <v>40848</v>
      </c>
      <c r="F815" s="54">
        <f>IFERROR(__xludf.DUMMYFUNCTION("""COMPUTED_VALUE"""),40882.0)</f>
        <v>40882</v>
      </c>
      <c r="G815" s="19">
        <f>IFERROR(__xludf.DUMMYFUNCTION("""COMPUTED_VALUE"""),1.1333333333333333)</f>
        <v>1.133333333</v>
      </c>
      <c r="H815" s="17">
        <f>IFERROR(__xludf.DUMMYFUNCTION("""COMPUTED_VALUE"""),36453.0)</f>
        <v>36453</v>
      </c>
      <c r="I815" s="19">
        <f>IFERROR(__xludf.DUMMYFUNCTION("""COMPUTED_VALUE"""),12.030555555555555)</f>
        <v>12.03055556</v>
      </c>
      <c r="J815" s="21">
        <f>IFERROR(__xludf.DUMMYFUNCTION("""COMPUTED_VALUE"""),88.0)</f>
        <v>88</v>
      </c>
      <c r="K815" s="23">
        <f>IFERROR(__xludf.DUMMYFUNCTION("""COMPUTED_VALUE"""),8.8)</f>
        <v>8.8</v>
      </c>
      <c r="L815" s="24">
        <f>IFERROR(__xludf.DUMMYFUNCTION("""COMPUTED_VALUE"""),6.0)</f>
        <v>6</v>
      </c>
      <c r="M815" s="25" t="str">
        <f>IFERROR(__xludf.DUMMYFUNCTION("""COMPUTED_VALUE"""),"Racing")</f>
        <v>Racing</v>
      </c>
      <c r="N815" s="25" t="str">
        <f>IFERROR(__xludf.DUMMYFUNCTION("""COMPUTED_VALUE"""),"PS1")</f>
        <v>PS1</v>
      </c>
      <c r="O815" s="26" t="str">
        <f>IFERROR(__xludf.DUMMYFUNCTION("""COMPUTED_VALUE"""),"No")</f>
        <v>No</v>
      </c>
      <c r="P815" s="26"/>
    </row>
    <row r="816">
      <c r="A816" s="13" t="str">
        <f>IFERROR(__xludf.DUMMYFUNCTION("""COMPUTED_VALUE"""),"Crash Bandicoot3: Warped")</f>
        <v>Crash Bandicoot3: Warped</v>
      </c>
      <c r="B816" s="15" t="str">
        <f>IFERROR(__xludf.DUMMYFUNCTION("""COMPUTED_VALUE"""),"PS3")</f>
        <v>PS3</v>
      </c>
      <c r="C816" s="16" t="str">
        <f>IFERROR(__xludf.DUMMYFUNCTION("""COMPUTED_VALUE"""),"Playstation Plus (Discontinued)")</f>
        <v>Playstation Plus (Discontinued)</v>
      </c>
      <c r="D816" s="15" t="str">
        <f>IFERROR(__xludf.DUMMYFUNCTION("""COMPUTED_VALUE"""),"Removed")</f>
        <v>Removed</v>
      </c>
      <c r="E816" s="17">
        <f>IFERROR(__xludf.DUMMYFUNCTION("""COMPUTED_VALUE"""),40848.0)</f>
        <v>40848</v>
      </c>
      <c r="F816" s="54">
        <f>IFERROR(__xludf.DUMMYFUNCTION("""COMPUTED_VALUE"""),40882.0)</f>
        <v>40882</v>
      </c>
      <c r="G816" s="19">
        <f>IFERROR(__xludf.DUMMYFUNCTION("""COMPUTED_VALUE"""),1.1333333333333333)</f>
        <v>1.133333333</v>
      </c>
      <c r="H816" s="17">
        <f>IFERROR(__xludf.DUMMYFUNCTION("""COMPUTED_VALUE"""),36099.0)</f>
        <v>36099</v>
      </c>
      <c r="I816" s="19">
        <f>IFERROR(__xludf.DUMMYFUNCTION("""COMPUTED_VALUE"""),13.002777777777778)</f>
        <v>13.00277778</v>
      </c>
      <c r="J816" s="21">
        <f>IFERROR(__xludf.DUMMYFUNCTION("""COMPUTED_VALUE"""),91.0)</f>
        <v>91</v>
      </c>
      <c r="K816" s="23">
        <f>IFERROR(__xludf.DUMMYFUNCTION("""COMPUTED_VALUE"""),9.1)</f>
        <v>9.1</v>
      </c>
      <c r="L816" s="24">
        <f>IFERROR(__xludf.DUMMYFUNCTION("""COMPUTED_VALUE"""),9.0)</f>
        <v>9</v>
      </c>
      <c r="M816" s="25" t="str">
        <f>IFERROR(__xludf.DUMMYFUNCTION("""COMPUTED_VALUE"""),"Platformer")</f>
        <v>Platformer</v>
      </c>
      <c r="N816" s="25" t="str">
        <f>IFERROR(__xludf.DUMMYFUNCTION("""COMPUTED_VALUE"""),"PS1")</f>
        <v>PS1</v>
      </c>
      <c r="O816" s="26" t="str">
        <f>IFERROR(__xludf.DUMMYFUNCTION("""COMPUTED_VALUE"""),"No")</f>
        <v>No</v>
      </c>
      <c r="P816" s="26"/>
    </row>
    <row r="817">
      <c r="A817" s="13" t="str">
        <f>IFERROR(__xludf.DUMMYFUNCTION("""COMPUTED_VALUE"""),"Crash Bandicoot 2")</f>
        <v>Crash Bandicoot 2</v>
      </c>
      <c r="B817" s="15" t="str">
        <f>IFERROR(__xludf.DUMMYFUNCTION("""COMPUTED_VALUE"""),"PS3")</f>
        <v>PS3</v>
      </c>
      <c r="C817" s="16" t="str">
        <f>IFERROR(__xludf.DUMMYFUNCTION("""COMPUTED_VALUE"""),"Playstation Plus (Discontinued)")</f>
        <v>Playstation Plus (Discontinued)</v>
      </c>
      <c r="D817" s="15" t="str">
        <f>IFERROR(__xludf.DUMMYFUNCTION("""COMPUTED_VALUE"""),"Removed")</f>
        <v>Removed</v>
      </c>
      <c r="E817" s="17">
        <f>IFERROR(__xludf.DUMMYFUNCTION("""COMPUTED_VALUE"""),40848.0)</f>
        <v>40848</v>
      </c>
      <c r="F817" s="54">
        <f>IFERROR(__xludf.DUMMYFUNCTION("""COMPUTED_VALUE"""),40882.0)</f>
        <v>40882</v>
      </c>
      <c r="G817" s="19">
        <f>IFERROR(__xludf.DUMMYFUNCTION("""COMPUTED_VALUE"""),1.1333333333333333)</f>
        <v>1.133333333</v>
      </c>
      <c r="H817" s="17">
        <f>IFERROR(__xludf.DUMMYFUNCTION("""COMPUTED_VALUE"""),35739.0)</f>
        <v>35739</v>
      </c>
      <c r="I817" s="19">
        <f>IFERROR(__xludf.DUMMYFUNCTION("""COMPUTED_VALUE"""),13.988888888888889)</f>
        <v>13.98888889</v>
      </c>
      <c r="J817" s="21">
        <f>IFERROR(__xludf.DUMMYFUNCTION("""COMPUTED_VALUE"""),93.0)</f>
        <v>93</v>
      </c>
      <c r="K817" s="23">
        <f>IFERROR(__xludf.DUMMYFUNCTION("""COMPUTED_VALUE"""),9.0)</f>
        <v>9</v>
      </c>
      <c r="L817" s="24">
        <f>IFERROR(__xludf.DUMMYFUNCTION("""COMPUTED_VALUE"""),8.0)</f>
        <v>8</v>
      </c>
      <c r="M817" s="25" t="str">
        <f>IFERROR(__xludf.DUMMYFUNCTION("""COMPUTED_VALUE"""),"Platformer")</f>
        <v>Platformer</v>
      </c>
      <c r="N817" s="25" t="str">
        <f>IFERROR(__xludf.DUMMYFUNCTION("""COMPUTED_VALUE"""),"PS1")</f>
        <v>PS1</v>
      </c>
      <c r="O817" s="26" t="str">
        <f>IFERROR(__xludf.DUMMYFUNCTION("""COMPUTED_VALUE"""),"No")</f>
        <v>No</v>
      </c>
      <c r="P817" s="26"/>
    </row>
    <row r="818">
      <c r="A818" s="13" t="str">
        <f>IFERROR(__xludf.DUMMYFUNCTION("""COMPUTED_VALUE"""),"Crash Bandicoot")</f>
        <v>Crash Bandicoot</v>
      </c>
      <c r="B818" s="15" t="str">
        <f>IFERROR(__xludf.DUMMYFUNCTION("""COMPUTED_VALUE"""),"PS3")</f>
        <v>PS3</v>
      </c>
      <c r="C818" s="16" t="str">
        <f>IFERROR(__xludf.DUMMYFUNCTION("""COMPUTED_VALUE"""),"Playstation Plus (Discontinued)")</f>
        <v>Playstation Plus (Discontinued)</v>
      </c>
      <c r="D818" s="15" t="str">
        <f>IFERROR(__xludf.DUMMYFUNCTION("""COMPUTED_VALUE"""),"Removed")</f>
        <v>Removed</v>
      </c>
      <c r="E818" s="17">
        <f>IFERROR(__xludf.DUMMYFUNCTION("""COMPUTED_VALUE"""),40848.0)</f>
        <v>40848</v>
      </c>
      <c r="F818" s="54">
        <f>IFERROR(__xludf.DUMMYFUNCTION("""COMPUTED_VALUE"""),40882.0)</f>
        <v>40882</v>
      </c>
      <c r="G818" s="19">
        <f>IFERROR(__xludf.DUMMYFUNCTION("""COMPUTED_VALUE"""),1.1333333333333333)</f>
        <v>1.133333333</v>
      </c>
      <c r="H818" s="17">
        <f>IFERROR(__xludf.DUMMYFUNCTION("""COMPUTED_VALUE"""),35317.0)</f>
        <v>35317</v>
      </c>
      <c r="I818" s="19">
        <f>IFERROR(__xludf.DUMMYFUNCTION("""COMPUTED_VALUE"""),15.144444444444444)</f>
        <v>15.14444444</v>
      </c>
      <c r="J818" s="21">
        <f>IFERROR(__xludf.DUMMYFUNCTION("""COMPUTED_VALUE"""),80.0)</f>
        <v>80</v>
      </c>
      <c r="K818" s="23">
        <f>IFERROR(__xludf.DUMMYFUNCTION("""COMPUTED_VALUE"""),8.5)</f>
        <v>8.5</v>
      </c>
      <c r="L818" s="24">
        <f>IFERROR(__xludf.DUMMYFUNCTION("""COMPUTED_VALUE"""),7.0)</f>
        <v>7</v>
      </c>
      <c r="M818" s="25" t="str">
        <f>IFERROR(__xludf.DUMMYFUNCTION("""COMPUTED_VALUE"""),"Platformer")</f>
        <v>Platformer</v>
      </c>
      <c r="N818" s="25" t="str">
        <f>IFERROR(__xludf.DUMMYFUNCTION("""COMPUTED_VALUE"""),"PS1")</f>
        <v>PS1</v>
      </c>
      <c r="O818" s="26" t="str">
        <f>IFERROR(__xludf.DUMMYFUNCTION("""COMPUTED_VALUE"""),"No")</f>
        <v>No</v>
      </c>
      <c r="P818" s="26"/>
    </row>
    <row r="819">
      <c r="A819" s="81" t="str">
        <f>IFERROR(__xludf.DUMMYFUNCTION("""COMPUTED_VALUE"""),"Doodle Fit")</f>
        <v>Doodle Fit</v>
      </c>
      <c r="B819" s="82" t="str">
        <f>IFERROR(__xludf.DUMMYFUNCTION("""COMPUTED_VALUE"""),"PS3")</f>
        <v>PS3</v>
      </c>
      <c r="C819" s="83" t="str">
        <f>IFERROR(__xludf.DUMMYFUNCTION("""COMPUTED_VALUE"""),"Playstation Plus (Discontinued)")</f>
        <v>Playstation Plus (Discontinued)</v>
      </c>
      <c r="D819" s="82" t="str">
        <f>IFERROR(__xludf.DUMMYFUNCTION("""COMPUTED_VALUE"""),"Removed")</f>
        <v>Removed</v>
      </c>
      <c r="E819" s="84">
        <f>IFERROR(__xludf.DUMMYFUNCTION("""COMPUTED_VALUE"""),40848.0)</f>
        <v>40848</v>
      </c>
      <c r="F819" s="85">
        <f>IFERROR(__xludf.DUMMYFUNCTION("""COMPUTED_VALUE"""),40882.0)</f>
        <v>40882</v>
      </c>
      <c r="G819" s="86">
        <f>IFERROR(__xludf.DUMMYFUNCTION("""COMPUTED_VALUE"""),1.1333333333333333)</f>
        <v>1.133333333</v>
      </c>
      <c r="H819" s="84">
        <f>IFERROR(__xludf.DUMMYFUNCTION("""COMPUTED_VALUE"""),40806.0)</f>
        <v>40806</v>
      </c>
      <c r="I819" s="86">
        <f>IFERROR(__xludf.DUMMYFUNCTION("""COMPUTED_VALUE"""),0.11388888888888889)</f>
        <v>0.1138888889</v>
      </c>
      <c r="J819" s="87">
        <f>IFERROR(__xludf.DUMMYFUNCTION("""COMPUTED_VALUE"""),69.0)</f>
        <v>69</v>
      </c>
      <c r="K819" s="88">
        <f>IFERROR(__xludf.DUMMYFUNCTION("""COMPUTED_VALUE"""),7.0)</f>
        <v>7</v>
      </c>
      <c r="L819" s="89"/>
      <c r="M819" s="26" t="str">
        <f>IFERROR(__xludf.DUMMYFUNCTION("""COMPUTED_VALUE"""),"Puzzle")</f>
        <v>Puzzle</v>
      </c>
      <c r="N819" s="26" t="str">
        <f>IFERROR(__xludf.DUMMYFUNCTION("""COMPUTED_VALUE"""),"PS Minis")</f>
        <v>PS Minis</v>
      </c>
      <c r="O819" s="26" t="str">
        <f>IFERROR(__xludf.DUMMYFUNCTION("""COMPUTED_VALUE"""),"No")</f>
        <v>No</v>
      </c>
      <c r="P819" s="26"/>
    </row>
    <row r="820">
      <c r="A820" s="81" t="str">
        <f>IFERROR(__xludf.DUMMYFUNCTION("""COMPUTED_VALUE"""),"Where is my Heart")</f>
        <v>Where is my Heart</v>
      </c>
      <c r="B820" s="82" t="str">
        <f>IFERROR(__xludf.DUMMYFUNCTION("""COMPUTED_VALUE"""),"PS3")</f>
        <v>PS3</v>
      </c>
      <c r="C820" s="83" t="str">
        <f>IFERROR(__xludf.DUMMYFUNCTION("""COMPUTED_VALUE"""),"Playstation Plus (Discontinued)")</f>
        <v>Playstation Plus (Discontinued)</v>
      </c>
      <c r="D820" s="82" t="str">
        <f>IFERROR(__xludf.DUMMYFUNCTION("""COMPUTED_VALUE"""),"Removed")</f>
        <v>Removed</v>
      </c>
      <c r="E820" s="84">
        <f>IFERROR(__xludf.DUMMYFUNCTION("""COMPUTED_VALUE"""),40848.0)</f>
        <v>40848</v>
      </c>
      <c r="F820" s="85">
        <f>IFERROR(__xludf.DUMMYFUNCTION("""COMPUTED_VALUE"""),40882.0)</f>
        <v>40882</v>
      </c>
      <c r="G820" s="86">
        <f>IFERROR(__xludf.DUMMYFUNCTION("""COMPUTED_VALUE"""),1.1333333333333333)</f>
        <v>1.133333333</v>
      </c>
      <c r="H820" s="84">
        <f>IFERROR(__xludf.DUMMYFUNCTION("""COMPUTED_VALUE"""),40842.0)</f>
        <v>40842</v>
      </c>
      <c r="I820" s="86">
        <f>IFERROR(__xludf.DUMMYFUNCTION("""COMPUTED_VALUE"""),0.013888888888888888)</f>
        <v>0.01388888889</v>
      </c>
      <c r="J820" s="87">
        <f>IFERROR(__xludf.DUMMYFUNCTION("""COMPUTED_VALUE"""),67.0)</f>
        <v>67</v>
      </c>
      <c r="K820" s="88">
        <f>IFERROR(__xludf.DUMMYFUNCTION("""COMPUTED_VALUE"""),6.9)</f>
        <v>6.9</v>
      </c>
      <c r="L820" s="89">
        <f>IFERROR(__xludf.DUMMYFUNCTION("""COMPUTED_VALUE"""),3.0)</f>
        <v>3</v>
      </c>
      <c r="M820" s="26" t="str">
        <f>IFERROR(__xludf.DUMMYFUNCTION("""COMPUTED_VALUE"""),"Platformer")</f>
        <v>Platformer</v>
      </c>
      <c r="N820" s="26" t="str">
        <f>IFERROR(__xludf.DUMMYFUNCTION("""COMPUTED_VALUE"""),"PS Minis")</f>
        <v>PS Minis</v>
      </c>
      <c r="O820" s="26" t="str">
        <f>IFERROR(__xludf.DUMMYFUNCTION("""COMPUTED_VALUE"""),"No")</f>
        <v>No</v>
      </c>
      <c r="P820" s="26"/>
    </row>
    <row r="821">
      <c r="A821" s="81" t="str">
        <f>IFERROR(__xludf.DUMMYFUNCTION("""COMPUTED_VALUE"""),"Rumble Trucks")</f>
        <v>Rumble Trucks</v>
      </c>
      <c r="B821" s="82" t="str">
        <f>IFERROR(__xludf.DUMMYFUNCTION("""COMPUTED_VALUE"""),"PS3")</f>
        <v>PS3</v>
      </c>
      <c r="C821" s="83" t="str">
        <f>IFERROR(__xludf.DUMMYFUNCTION("""COMPUTED_VALUE"""),"Playstation Plus (Discontinued)")</f>
        <v>Playstation Plus (Discontinued)</v>
      </c>
      <c r="D821" s="82" t="str">
        <f>IFERROR(__xludf.DUMMYFUNCTION("""COMPUTED_VALUE"""),"Removed")</f>
        <v>Removed</v>
      </c>
      <c r="E821" s="84">
        <f>IFERROR(__xludf.DUMMYFUNCTION("""COMPUTED_VALUE"""),40848.0)</f>
        <v>40848</v>
      </c>
      <c r="F821" s="85">
        <f>IFERROR(__xludf.DUMMYFUNCTION("""COMPUTED_VALUE"""),40882.0)</f>
        <v>40882</v>
      </c>
      <c r="G821" s="86">
        <f>IFERROR(__xludf.DUMMYFUNCTION("""COMPUTED_VALUE"""),1.1333333333333333)</f>
        <v>1.133333333</v>
      </c>
      <c r="H821" s="84">
        <f>IFERROR(__xludf.DUMMYFUNCTION("""COMPUTED_VALUE"""),40806.0)</f>
        <v>40806</v>
      </c>
      <c r="I821" s="86">
        <f>IFERROR(__xludf.DUMMYFUNCTION("""COMPUTED_VALUE"""),0.11388888888888889)</f>
        <v>0.1138888889</v>
      </c>
      <c r="J821" s="87">
        <f>IFERROR(__xludf.DUMMYFUNCTION("""COMPUTED_VALUE"""),52.0)</f>
        <v>52</v>
      </c>
      <c r="K821" s="88">
        <f>IFERROR(__xludf.DUMMYFUNCTION("""COMPUTED_VALUE"""),6.2)</f>
        <v>6.2</v>
      </c>
      <c r="L821" s="89"/>
      <c r="M821" s="26" t="str">
        <f>IFERROR(__xludf.DUMMYFUNCTION("""COMPUTED_VALUE"""),"Racing")</f>
        <v>Racing</v>
      </c>
      <c r="N821" s="26" t="str">
        <f>IFERROR(__xludf.DUMMYFUNCTION("""COMPUTED_VALUE"""),"PS Minis")</f>
        <v>PS Minis</v>
      </c>
      <c r="O821" s="26" t="str">
        <f>IFERROR(__xludf.DUMMYFUNCTION("""COMPUTED_VALUE"""),"No")</f>
        <v>No</v>
      </c>
      <c r="P821" s="26"/>
    </row>
    <row r="822">
      <c r="A822" s="81" t="str">
        <f>IFERROR(__xludf.DUMMYFUNCTION("""COMPUTED_VALUE"""),"Costume Quest")</f>
        <v>Costume Quest</v>
      </c>
      <c r="B822" s="82" t="str">
        <f>IFERROR(__xludf.DUMMYFUNCTION("""COMPUTED_VALUE"""),"PS3")</f>
        <v>PS3</v>
      </c>
      <c r="C822" s="83" t="str">
        <f>IFERROR(__xludf.DUMMYFUNCTION("""COMPUTED_VALUE"""),"Playstation Plus (Discontinued)")</f>
        <v>Playstation Plus (Discontinued)</v>
      </c>
      <c r="D822" s="82" t="str">
        <f>IFERROR(__xludf.DUMMYFUNCTION("""COMPUTED_VALUE"""),"Removed")</f>
        <v>Removed</v>
      </c>
      <c r="E822" s="84">
        <f>IFERROR(__xludf.DUMMYFUNCTION("""COMPUTED_VALUE"""),40820.0)</f>
        <v>40820</v>
      </c>
      <c r="F822" s="85">
        <f>IFERROR(__xludf.DUMMYFUNCTION("""COMPUTED_VALUE"""),40847.0)</f>
        <v>40847</v>
      </c>
      <c r="G822" s="86">
        <f>IFERROR(__xludf.DUMMYFUNCTION("""COMPUTED_VALUE"""),0.8666666666666666)</f>
        <v>0.8666666667</v>
      </c>
      <c r="H822" s="84">
        <f>IFERROR(__xludf.DUMMYFUNCTION("""COMPUTED_VALUE"""),40470.0)</f>
        <v>40470</v>
      </c>
      <c r="I822" s="86">
        <f>IFERROR(__xludf.DUMMYFUNCTION("""COMPUTED_VALUE"""),0.9583333333333334)</f>
        <v>0.9583333333</v>
      </c>
      <c r="J822" s="87">
        <f>IFERROR(__xludf.DUMMYFUNCTION("""COMPUTED_VALUE"""),79.0)</f>
        <v>79</v>
      </c>
      <c r="K822" s="88">
        <f>IFERROR(__xludf.DUMMYFUNCTION("""COMPUTED_VALUE"""),8.0)</f>
        <v>8</v>
      </c>
      <c r="L822" s="89">
        <f>IFERROR(__xludf.DUMMYFUNCTION("""COMPUTED_VALUE"""),7.0)</f>
        <v>7</v>
      </c>
      <c r="M822" s="26" t="str">
        <f>IFERROR(__xludf.DUMMYFUNCTION("""COMPUTED_VALUE"""),"RPG")</f>
        <v>RPG</v>
      </c>
      <c r="N822" s="26"/>
      <c r="O822" s="26" t="str">
        <f>IFERROR(__xludf.DUMMYFUNCTION("""COMPUTED_VALUE"""),"No")</f>
        <v>No</v>
      </c>
      <c r="P822" s="26"/>
    </row>
    <row r="823">
      <c r="A823" s="81" t="str">
        <f>IFERROR(__xludf.DUMMYFUNCTION("""COMPUTED_VALUE"""),"Elemental Monster")</f>
        <v>Elemental Monster</v>
      </c>
      <c r="B823" s="82" t="str">
        <f>IFERROR(__xludf.DUMMYFUNCTION("""COMPUTED_VALUE"""),"PS3")</f>
        <v>PS3</v>
      </c>
      <c r="C823" s="83" t="str">
        <f>IFERROR(__xludf.DUMMYFUNCTION("""COMPUTED_VALUE"""),"Playstation Plus (Discontinued)")</f>
        <v>Playstation Plus (Discontinued)</v>
      </c>
      <c r="D823" s="82" t="str">
        <f>IFERROR(__xludf.DUMMYFUNCTION("""COMPUTED_VALUE"""),"Removed")</f>
        <v>Removed</v>
      </c>
      <c r="E823" s="84">
        <f>IFERROR(__xludf.DUMMYFUNCTION("""COMPUTED_VALUE"""),40820.0)</f>
        <v>40820</v>
      </c>
      <c r="F823" s="85">
        <f>IFERROR(__xludf.DUMMYFUNCTION("""COMPUTED_VALUE"""),40847.0)</f>
        <v>40847</v>
      </c>
      <c r="G823" s="86">
        <f>IFERROR(__xludf.DUMMYFUNCTION("""COMPUTED_VALUE"""),0.8666666666666666)</f>
        <v>0.8666666667</v>
      </c>
      <c r="H823" s="84">
        <f>IFERROR(__xludf.DUMMYFUNCTION("""COMPUTED_VALUE"""),40806.0)</f>
        <v>40806</v>
      </c>
      <c r="I823" s="86">
        <f>IFERROR(__xludf.DUMMYFUNCTION("""COMPUTED_VALUE"""),0.03888888888888889)</f>
        <v>0.03888888889</v>
      </c>
      <c r="J823" s="87">
        <f>IFERROR(__xludf.DUMMYFUNCTION("""COMPUTED_VALUE"""),56.0)</f>
        <v>56</v>
      </c>
      <c r="K823" s="88">
        <f>IFERROR(__xludf.DUMMYFUNCTION("""COMPUTED_VALUE"""),6.2)</f>
        <v>6.2</v>
      </c>
      <c r="L823" s="89"/>
      <c r="M823" s="26" t="str">
        <f>IFERROR(__xludf.DUMMYFUNCTION("""COMPUTED_VALUE"""),"Card &amp; Board")</f>
        <v>Card &amp; Board</v>
      </c>
      <c r="N823" s="26"/>
      <c r="O823" s="26" t="str">
        <f>IFERROR(__xludf.DUMMYFUNCTION("""COMPUTED_VALUE"""),"No")</f>
        <v>No</v>
      </c>
      <c r="P823" s="26"/>
    </row>
    <row r="824">
      <c r="A824" s="81" t="str">
        <f>IFERROR(__xludf.DUMMYFUNCTION("""COMPUTED_VALUE"""),"Dead Nation")</f>
        <v>Dead Nation</v>
      </c>
      <c r="B824" s="82" t="str">
        <f>IFERROR(__xludf.DUMMYFUNCTION("""COMPUTED_VALUE"""),"PS3")</f>
        <v>PS3</v>
      </c>
      <c r="C824" s="83" t="str">
        <f>IFERROR(__xludf.DUMMYFUNCTION("""COMPUTED_VALUE"""),"Playstation Plus (Discontinued)")</f>
        <v>Playstation Plus (Discontinued)</v>
      </c>
      <c r="D824" s="82" t="str">
        <f>IFERROR(__xludf.DUMMYFUNCTION("""COMPUTED_VALUE"""),"Removed")</f>
        <v>Removed</v>
      </c>
      <c r="E824" s="84">
        <f>IFERROR(__xludf.DUMMYFUNCTION("""COMPUTED_VALUE"""),40820.0)</f>
        <v>40820</v>
      </c>
      <c r="F824" s="85">
        <f>IFERROR(__xludf.DUMMYFUNCTION("""COMPUTED_VALUE"""),40847.0)</f>
        <v>40847</v>
      </c>
      <c r="G824" s="86">
        <f>IFERROR(__xludf.DUMMYFUNCTION("""COMPUTED_VALUE"""),0.8666666666666666)</f>
        <v>0.8666666667</v>
      </c>
      <c r="H824" s="84">
        <f>IFERROR(__xludf.DUMMYFUNCTION("""COMPUTED_VALUE"""),40512.0)</f>
        <v>40512</v>
      </c>
      <c r="I824" s="86">
        <f>IFERROR(__xludf.DUMMYFUNCTION("""COMPUTED_VALUE"""),0.8444444444444444)</f>
        <v>0.8444444444</v>
      </c>
      <c r="J824" s="87">
        <f>IFERROR(__xludf.DUMMYFUNCTION("""COMPUTED_VALUE"""),74.0)</f>
        <v>74</v>
      </c>
      <c r="K824" s="88">
        <f>IFERROR(__xludf.DUMMYFUNCTION("""COMPUTED_VALUE"""),7.7)</f>
        <v>7.7</v>
      </c>
      <c r="L824" s="89">
        <f>IFERROR(__xludf.DUMMYFUNCTION("""COMPUTED_VALUE"""),7.0)</f>
        <v>7</v>
      </c>
      <c r="M824" s="26" t="str">
        <f>IFERROR(__xludf.DUMMYFUNCTION("""COMPUTED_VALUE"""),"Shooter")</f>
        <v>Shooter</v>
      </c>
      <c r="N824" s="26"/>
      <c r="O824" s="26" t="str">
        <f>IFERROR(__xludf.DUMMYFUNCTION("""COMPUTED_VALUE"""),"No")</f>
        <v>No</v>
      </c>
      <c r="P824" s="26"/>
    </row>
    <row r="825">
      <c r="A825" s="81" t="str">
        <f>IFERROR(__xludf.DUMMYFUNCTION("""COMPUTED_VALUE"""),"Warhawk")</f>
        <v>Warhawk</v>
      </c>
      <c r="B825" s="82" t="str">
        <f>IFERROR(__xludf.DUMMYFUNCTION("""COMPUTED_VALUE"""),"PS3")</f>
        <v>PS3</v>
      </c>
      <c r="C825" s="83" t="str">
        <f>IFERROR(__xludf.DUMMYFUNCTION("""COMPUTED_VALUE"""),"Playstation Plus (Discontinued)")</f>
        <v>Playstation Plus (Discontinued)</v>
      </c>
      <c r="D825" s="82" t="str">
        <f>IFERROR(__xludf.DUMMYFUNCTION("""COMPUTED_VALUE"""),"Removed")</f>
        <v>Removed</v>
      </c>
      <c r="E825" s="84">
        <f>IFERROR(__xludf.DUMMYFUNCTION("""COMPUTED_VALUE"""),40820.0)</f>
        <v>40820</v>
      </c>
      <c r="F825" s="85">
        <f>IFERROR(__xludf.DUMMYFUNCTION("""COMPUTED_VALUE"""),40847.0)</f>
        <v>40847</v>
      </c>
      <c r="G825" s="86">
        <f>IFERROR(__xludf.DUMMYFUNCTION("""COMPUTED_VALUE"""),0.8666666666666666)</f>
        <v>0.8666666667</v>
      </c>
      <c r="H825" s="84">
        <f>IFERROR(__xludf.DUMMYFUNCTION("""COMPUTED_VALUE"""),39322.0)</f>
        <v>39322</v>
      </c>
      <c r="I825" s="86">
        <f>IFERROR(__xludf.DUMMYFUNCTION("""COMPUTED_VALUE"""),4.1)</f>
        <v>4.1</v>
      </c>
      <c r="J825" s="87">
        <f>IFERROR(__xludf.DUMMYFUNCTION("""COMPUTED_VALUE"""),84.0)</f>
        <v>84</v>
      </c>
      <c r="K825" s="88">
        <f>IFERROR(__xludf.DUMMYFUNCTION("""COMPUTED_VALUE"""),8.5)</f>
        <v>8.5</v>
      </c>
      <c r="L825" s="89"/>
      <c r="M825" s="26" t="str">
        <f>IFERROR(__xludf.DUMMYFUNCTION("""COMPUTED_VALUE"""),"Shooter")</f>
        <v>Shooter</v>
      </c>
      <c r="N825" s="26" t="str">
        <f>IFERROR(__xludf.DUMMYFUNCTION("""COMPUTED_VALUE"""),"PS1")</f>
        <v>PS1</v>
      </c>
      <c r="O825" s="26" t="str">
        <f>IFERROR(__xludf.DUMMYFUNCTION("""COMPUTED_VALUE"""),"No")</f>
        <v>No</v>
      </c>
      <c r="P825" s="26"/>
    </row>
    <row r="826">
      <c r="A826" s="81" t="str">
        <f>IFERROR(__xludf.DUMMYFUNCTION("""COMPUTED_VALUE"""),"Street Smart")</f>
        <v>Street Smart</v>
      </c>
      <c r="B826" s="82" t="str">
        <f>IFERROR(__xludf.DUMMYFUNCTION("""COMPUTED_VALUE"""),"PS3")</f>
        <v>PS3</v>
      </c>
      <c r="C826" s="83" t="str">
        <f>IFERROR(__xludf.DUMMYFUNCTION("""COMPUTED_VALUE"""),"Playstation Plus (Discontinued)")</f>
        <v>Playstation Plus (Discontinued)</v>
      </c>
      <c r="D826" s="82" t="str">
        <f>IFERROR(__xludf.DUMMYFUNCTION("""COMPUTED_VALUE"""),"Removed")</f>
        <v>Removed</v>
      </c>
      <c r="E826" s="84">
        <f>IFERROR(__xludf.DUMMYFUNCTION("""COMPUTED_VALUE"""),40820.0)</f>
        <v>40820</v>
      </c>
      <c r="F826" s="85">
        <f>IFERROR(__xludf.DUMMYFUNCTION("""COMPUTED_VALUE"""),40847.0)</f>
        <v>40847</v>
      </c>
      <c r="G826" s="86">
        <f>IFERROR(__xludf.DUMMYFUNCTION("""COMPUTED_VALUE"""),0.8666666666666666)</f>
        <v>0.8666666667</v>
      </c>
      <c r="H826" s="84">
        <f>IFERROR(__xludf.DUMMYFUNCTION("""COMPUTED_VALUE"""),40813.0)</f>
        <v>40813</v>
      </c>
      <c r="I826" s="86">
        <f>IFERROR(__xludf.DUMMYFUNCTION("""COMPUTED_VALUE"""),0.019444444444444445)</f>
        <v>0.01944444444</v>
      </c>
      <c r="J826" s="87"/>
      <c r="K826" s="88"/>
      <c r="L826" s="89"/>
      <c r="M826" s="26" t="str">
        <f>IFERROR(__xludf.DUMMYFUNCTION("""COMPUTED_VALUE"""),"Fighting")</f>
        <v>Fighting</v>
      </c>
      <c r="N826" s="26" t="str">
        <f>IFERROR(__xludf.DUMMYFUNCTION("""COMPUTED_VALUE"""),"PS Minis")</f>
        <v>PS Minis</v>
      </c>
      <c r="O826" s="26" t="str">
        <f>IFERROR(__xludf.DUMMYFUNCTION("""COMPUTED_VALUE"""),"No")</f>
        <v>No</v>
      </c>
      <c r="P826" s="26"/>
    </row>
    <row r="827">
      <c r="A827" s="81" t="str">
        <f>IFERROR(__xludf.DUMMYFUNCTION("""COMPUTED_VALUE"""),"Speedball 2")</f>
        <v>Speedball 2</v>
      </c>
      <c r="B827" s="82" t="str">
        <f>IFERROR(__xludf.DUMMYFUNCTION("""COMPUTED_VALUE"""),"PS3")</f>
        <v>PS3</v>
      </c>
      <c r="C827" s="83" t="str">
        <f>IFERROR(__xludf.DUMMYFUNCTION("""COMPUTED_VALUE"""),"Playstation Plus (Discontinued)")</f>
        <v>Playstation Plus (Discontinued)</v>
      </c>
      <c r="D827" s="82" t="str">
        <f>IFERROR(__xludf.DUMMYFUNCTION("""COMPUTED_VALUE"""),"Removed")</f>
        <v>Removed</v>
      </c>
      <c r="E827" s="84">
        <f>IFERROR(__xludf.DUMMYFUNCTION("""COMPUTED_VALUE"""),40820.0)</f>
        <v>40820</v>
      </c>
      <c r="F827" s="85">
        <f>IFERROR(__xludf.DUMMYFUNCTION("""COMPUTED_VALUE"""),40847.0)</f>
        <v>40847</v>
      </c>
      <c r="G827" s="86">
        <f>IFERROR(__xludf.DUMMYFUNCTION("""COMPUTED_VALUE"""),0.8666666666666666)</f>
        <v>0.8666666667</v>
      </c>
      <c r="H827" s="84">
        <f>IFERROR(__xludf.DUMMYFUNCTION("""COMPUTED_VALUE"""),33239.0)</f>
        <v>33239</v>
      </c>
      <c r="I827" s="86">
        <f>IFERROR(__xludf.DUMMYFUNCTION("""COMPUTED_VALUE"""),20.758333333333333)</f>
        <v>20.75833333</v>
      </c>
      <c r="J827" s="87">
        <f>IFERROR(__xludf.DUMMYFUNCTION("""COMPUTED_VALUE"""),75.0)</f>
        <v>75</v>
      </c>
      <c r="K827" s="88">
        <f>IFERROR(__xludf.DUMMYFUNCTION("""COMPUTED_VALUE"""),7.8)</f>
        <v>7.8</v>
      </c>
      <c r="L827" s="89"/>
      <c r="M827" s="26" t="str">
        <f>IFERROR(__xludf.DUMMYFUNCTION("""COMPUTED_VALUE"""),"Sports")</f>
        <v>Sports</v>
      </c>
      <c r="N827" s="26" t="str">
        <f>IFERROR(__xludf.DUMMYFUNCTION("""COMPUTED_VALUE"""),"PS Minis")</f>
        <v>PS Minis</v>
      </c>
      <c r="O827" s="26" t="str">
        <f>IFERROR(__xludf.DUMMYFUNCTION("""COMPUTED_VALUE"""),"No")</f>
        <v>No</v>
      </c>
      <c r="P827" s="26"/>
    </row>
    <row r="828">
      <c r="A828" s="81" t="str">
        <f>IFERROR(__xludf.DUMMYFUNCTION("""COMPUTED_VALUE"""),"1000 Tiny Claws")</f>
        <v>1000 Tiny Claws</v>
      </c>
      <c r="B828" s="82" t="str">
        <f>IFERROR(__xludf.DUMMYFUNCTION("""COMPUTED_VALUE"""),"PS3")</f>
        <v>PS3</v>
      </c>
      <c r="C828" s="83" t="str">
        <f>IFERROR(__xludf.DUMMYFUNCTION("""COMPUTED_VALUE"""),"Playstation Plus (Discontinued)")</f>
        <v>Playstation Plus (Discontinued)</v>
      </c>
      <c r="D828" s="82" t="str">
        <f>IFERROR(__xludf.DUMMYFUNCTION("""COMPUTED_VALUE"""),"Removed")</f>
        <v>Removed</v>
      </c>
      <c r="E828" s="84">
        <f>IFERROR(__xludf.DUMMYFUNCTION("""COMPUTED_VALUE"""),40820.0)</f>
        <v>40820</v>
      </c>
      <c r="F828" s="85">
        <f>IFERROR(__xludf.DUMMYFUNCTION("""COMPUTED_VALUE"""),40847.0)</f>
        <v>40847</v>
      </c>
      <c r="G828" s="86">
        <f>IFERROR(__xludf.DUMMYFUNCTION("""COMPUTED_VALUE"""),0.8666666666666666)</f>
        <v>0.8666666667</v>
      </c>
      <c r="H828" s="84">
        <f>IFERROR(__xludf.DUMMYFUNCTION("""COMPUTED_VALUE"""),40806.0)</f>
        <v>40806</v>
      </c>
      <c r="I828" s="86">
        <f>IFERROR(__xludf.DUMMYFUNCTION("""COMPUTED_VALUE"""),0.03888888888888889)</f>
        <v>0.03888888889</v>
      </c>
      <c r="J828" s="87">
        <f>IFERROR(__xludf.DUMMYFUNCTION("""COMPUTED_VALUE"""),58.0)</f>
        <v>58</v>
      </c>
      <c r="K828" s="88">
        <f>IFERROR(__xludf.DUMMYFUNCTION("""COMPUTED_VALUE"""),6.3)</f>
        <v>6.3</v>
      </c>
      <c r="L828" s="89"/>
      <c r="M828" s="26" t="str">
        <f>IFERROR(__xludf.DUMMYFUNCTION("""COMPUTED_VALUE"""),"Platformer")</f>
        <v>Platformer</v>
      </c>
      <c r="N828" s="26" t="str">
        <f>IFERROR(__xludf.DUMMYFUNCTION("""COMPUTED_VALUE"""),"PS Minis")</f>
        <v>PS Minis</v>
      </c>
      <c r="O828" s="26" t="str">
        <f>IFERROR(__xludf.DUMMYFUNCTION("""COMPUTED_VALUE"""),"No")</f>
        <v>No</v>
      </c>
      <c r="P828" s="26"/>
    </row>
    <row r="829">
      <c r="A829" s="81" t="str">
        <f>IFERROR(__xludf.DUMMYFUNCTION("""COMPUTED_VALUE"""),"Street Smart")</f>
        <v>Street Smart</v>
      </c>
      <c r="B829" s="82" t="str">
        <f>IFERROR(__xludf.DUMMYFUNCTION("""COMPUTED_VALUE"""),"PS3")</f>
        <v>PS3</v>
      </c>
      <c r="C829" s="83" t="str">
        <f>IFERROR(__xludf.DUMMYFUNCTION("""COMPUTED_VALUE"""),"Playstation Plus (Discontinued)")</f>
        <v>Playstation Plus (Discontinued)</v>
      </c>
      <c r="D829" s="82" t="str">
        <f>IFERROR(__xludf.DUMMYFUNCTION("""COMPUTED_VALUE"""),"Removed")</f>
        <v>Removed</v>
      </c>
      <c r="E829" s="84">
        <f>IFERROR(__xludf.DUMMYFUNCTION("""COMPUTED_VALUE"""),40820.0)</f>
        <v>40820</v>
      </c>
      <c r="F829" s="85">
        <f>IFERROR(__xludf.DUMMYFUNCTION("""COMPUTED_VALUE"""),40847.0)</f>
        <v>40847</v>
      </c>
      <c r="G829" s="86">
        <f>IFERROR(__xludf.DUMMYFUNCTION("""COMPUTED_VALUE"""),0.8666666666666666)</f>
        <v>0.8666666667</v>
      </c>
      <c r="H829" s="84">
        <f>IFERROR(__xludf.DUMMYFUNCTION("""COMPUTED_VALUE"""),40813.0)</f>
        <v>40813</v>
      </c>
      <c r="I829" s="86">
        <f>IFERROR(__xludf.DUMMYFUNCTION("""COMPUTED_VALUE"""),0.019444444444444445)</f>
        <v>0.01944444444</v>
      </c>
      <c r="J829" s="87"/>
      <c r="K829" s="88"/>
      <c r="L829" s="89"/>
      <c r="M829" s="26" t="str">
        <f>IFERROR(__xludf.DUMMYFUNCTION("""COMPUTED_VALUE"""),"Fighting")</f>
        <v>Fighting</v>
      </c>
      <c r="N829" s="26"/>
      <c r="O829" s="26" t="str">
        <f>IFERROR(__xludf.DUMMYFUNCTION("""COMPUTED_VALUE"""),"No")</f>
        <v>No</v>
      </c>
      <c r="P829" s="26"/>
    </row>
    <row r="830">
      <c r="A830" s="81" t="str">
        <f>IFERROR(__xludf.DUMMYFUNCTION("""COMPUTED_VALUE"""),"Burn Zombie Burn")</f>
        <v>Burn Zombie Burn</v>
      </c>
      <c r="B830" s="82" t="str">
        <f>IFERROR(__xludf.DUMMYFUNCTION("""COMPUTED_VALUE"""),"PS3")</f>
        <v>PS3</v>
      </c>
      <c r="C830" s="83" t="str">
        <f>IFERROR(__xludf.DUMMYFUNCTION("""COMPUTED_VALUE"""),"Playstation Plus (Discontinued)")</f>
        <v>Playstation Plus (Discontinued)</v>
      </c>
      <c r="D830" s="82" t="str">
        <f>IFERROR(__xludf.DUMMYFUNCTION("""COMPUTED_VALUE"""),"Removed")</f>
        <v>Removed</v>
      </c>
      <c r="E830" s="84">
        <f>IFERROR(__xludf.DUMMYFUNCTION("""COMPUTED_VALUE"""),40820.0)</f>
        <v>40820</v>
      </c>
      <c r="F830" s="85">
        <f>IFERROR(__xludf.DUMMYFUNCTION("""COMPUTED_VALUE"""),40847.0)</f>
        <v>40847</v>
      </c>
      <c r="G830" s="86">
        <f>IFERROR(__xludf.DUMMYFUNCTION("""COMPUTED_VALUE"""),0.8666666666666666)</f>
        <v>0.8666666667</v>
      </c>
      <c r="H830" s="84">
        <f>IFERROR(__xludf.DUMMYFUNCTION("""COMPUTED_VALUE"""),39889.0)</f>
        <v>39889</v>
      </c>
      <c r="I830" s="86">
        <f>IFERROR(__xludf.DUMMYFUNCTION("""COMPUTED_VALUE"""),2.547222222222222)</f>
        <v>2.547222222</v>
      </c>
      <c r="J830" s="87">
        <f>IFERROR(__xludf.DUMMYFUNCTION("""COMPUTED_VALUE"""),75.0)</f>
        <v>75</v>
      </c>
      <c r="K830" s="88">
        <f>IFERROR(__xludf.DUMMYFUNCTION("""COMPUTED_VALUE"""),7.5)</f>
        <v>7.5</v>
      </c>
      <c r="L830" s="89">
        <f>IFERROR(__xludf.DUMMYFUNCTION("""COMPUTED_VALUE"""),5.0)</f>
        <v>5</v>
      </c>
      <c r="M830" s="26" t="str">
        <f>IFERROR(__xludf.DUMMYFUNCTION("""COMPUTED_VALUE"""),"Shooter")</f>
        <v>Shooter</v>
      </c>
      <c r="N830" s="26"/>
      <c r="O830" s="26" t="str">
        <f>IFERROR(__xludf.DUMMYFUNCTION("""COMPUTED_VALUE"""),"No")</f>
        <v>No</v>
      </c>
      <c r="P830" s="26"/>
    </row>
    <row r="831">
      <c r="A831" s="81" t="str">
        <f>IFERROR(__xludf.DUMMYFUNCTION("""COMPUTED_VALUE"""),"Jelly Pops")</f>
        <v>Jelly Pops</v>
      </c>
      <c r="B831" s="82" t="str">
        <f>IFERROR(__xludf.DUMMYFUNCTION("""COMPUTED_VALUE"""),"PS3")</f>
        <v>PS3</v>
      </c>
      <c r="C831" s="83" t="str">
        <f>IFERROR(__xludf.DUMMYFUNCTION("""COMPUTED_VALUE"""),"Playstation Plus (Discontinued)")</f>
        <v>Playstation Plus (Discontinued)</v>
      </c>
      <c r="D831" s="82" t="str">
        <f>IFERROR(__xludf.DUMMYFUNCTION("""COMPUTED_VALUE"""),"Removed")</f>
        <v>Removed</v>
      </c>
      <c r="E831" s="84">
        <f>IFERROR(__xludf.DUMMYFUNCTION("""COMPUTED_VALUE"""),40799.0)</f>
        <v>40799</v>
      </c>
      <c r="F831" s="85">
        <f>IFERROR(__xludf.DUMMYFUNCTION("""COMPUTED_VALUE"""),40819.0)</f>
        <v>40819</v>
      </c>
      <c r="G831" s="86">
        <f>IFERROR(__xludf.DUMMYFUNCTION("""COMPUTED_VALUE"""),0.6666666666666666)</f>
        <v>0.6666666667</v>
      </c>
      <c r="H831" s="84">
        <f>IFERROR(__xludf.DUMMYFUNCTION("""COMPUTED_VALUE"""),40799.0)</f>
        <v>40799</v>
      </c>
      <c r="I831" s="86">
        <f>IFERROR(__xludf.DUMMYFUNCTION("""COMPUTED_VALUE"""),0.0)</f>
        <v>0</v>
      </c>
      <c r="J831" s="87">
        <f>IFERROR(__xludf.DUMMYFUNCTION("""COMPUTED_VALUE"""),51.0)</f>
        <v>51</v>
      </c>
      <c r="K831" s="88">
        <f>IFERROR(__xludf.DUMMYFUNCTION("""COMPUTED_VALUE"""),6.1)</f>
        <v>6.1</v>
      </c>
      <c r="L831" s="89"/>
      <c r="M831" s="26" t="str">
        <f>IFERROR(__xludf.DUMMYFUNCTION("""COMPUTED_VALUE"""),"Puzzle")</f>
        <v>Puzzle</v>
      </c>
      <c r="N831" s="26" t="str">
        <f>IFERROR(__xludf.DUMMYFUNCTION("""COMPUTED_VALUE"""),"PS Minis")</f>
        <v>PS Minis</v>
      </c>
      <c r="O831" s="26" t="str">
        <f>IFERROR(__xludf.DUMMYFUNCTION("""COMPUTED_VALUE"""),"No")</f>
        <v>No</v>
      </c>
      <c r="P831" s="26"/>
    </row>
    <row r="832">
      <c r="A832" s="81" t="str">
        <f>IFERROR(__xludf.DUMMYFUNCTION("""COMPUTED_VALUE"""),"Plants vs. Zombies")</f>
        <v>Plants vs. Zombies</v>
      </c>
      <c r="B832" s="82" t="str">
        <f>IFERROR(__xludf.DUMMYFUNCTION("""COMPUTED_VALUE"""),"PS3")</f>
        <v>PS3</v>
      </c>
      <c r="C832" s="83" t="str">
        <f>IFERROR(__xludf.DUMMYFUNCTION("""COMPUTED_VALUE"""),"Playstation Plus (Discontinued)")</f>
        <v>Playstation Plus (Discontinued)</v>
      </c>
      <c r="D832" s="82" t="str">
        <f>IFERROR(__xludf.DUMMYFUNCTION("""COMPUTED_VALUE"""),"Removed")</f>
        <v>Removed</v>
      </c>
      <c r="E832" s="84">
        <f>IFERROR(__xludf.DUMMYFUNCTION("""COMPUTED_VALUE"""),40792.0)</f>
        <v>40792</v>
      </c>
      <c r="F832" s="85">
        <f>IFERROR(__xludf.DUMMYFUNCTION("""COMPUTED_VALUE"""),40819.0)</f>
        <v>40819</v>
      </c>
      <c r="G832" s="86">
        <f>IFERROR(__xludf.DUMMYFUNCTION("""COMPUTED_VALUE"""),0.8999999999999999)</f>
        <v>0.9</v>
      </c>
      <c r="H832" s="84">
        <f>IFERROR(__xludf.DUMMYFUNCTION("""COMPUTED_VALUE"""),39938.0)</f>
        <v>39938</v>
      </c>
      <c r="I832" s="86">
        <f>IFERROR(__xludf.DUMMYFUNCTION("""COMPUTED_VALUE"""),2.3361111111111112)</f>
        <v>2.336111111</v>
      </c>
      <c r="J832" s="87">
        <f>IFERROR(__xludf.DUMMYFUNCTION("""COMPUTED_VALUE"""),87.0)</f>
        <v>87</v>
      </c>
      <c r="K832" s="88">
        <f>IFERROR(__xludf.DUMMYFUNCTION("""COMPUTED_VALUE"""),8.7)</f>
        <v>8.7</v>
      </c>
      <c r="L832" s="89">
        <f>IFERROR(__xludf.DUMMYFUNCTION("""COMPUTED_VALUE"""),6.0)</f>
        <v>6</v>
      </c>
      <c r="M832" s="26" t="str">
        <f>IFERROR(__xludf.DUMMYFUNCTION("""COMPUTED_VALUE"""),"Strategy")</f>
        <v>Strategy</v>
      </c>
      <c r="N832" s="26"/>
      <c r="O832" s="26" t="str">
        <f>IFERROR(__xludf.DUMMYFUNCTION("""COMPUTED_VALUE"""),"No")</f>
        <v>No</v>
      </c>
      <c r="P832" s="26"/>
    </row>
    <row r="833">
      <c r="A833" s="81" t="str">
        <f>IFERROR(__xludf.DUMMYFUNCTION("""COMPUTED_VALUE"""),"Astro Tripper")</f>
        <v>Astro Tripper</v>
      </c>
      <c r="B833" s="82" t="str">
        <f>IFERROR(__xludf.DUMMYFUNCTION("""COMPUTED_VALUE"""),"PS3")</f>
        <v>PS3</v>
      </c>
      <c r="C833" s="83" t="str">
        <f>IFERROR(__xludf.DUMMYFUNCTION("""COMPUTED_VALUE"""),"Playstation Plus (Discontinued)")</f>
        <v>Playstation Plus (Discontinued)</v>
      </c>
      <c r="D833" s="82" t="str">
        <f>IFERROR(__xludf.DUMMYFUNCTION("""COMPUTED_VALUE"""),"Removed")</f>
        <v>Removed</v>
      </c>
      <c r="E833" s="84">
        <f>IFERROR(__xludf.DUMMYFUNCTION("""COMPUTED_VALUE"""),40792.0)</f>
        <v>40792</v>
      </c>
      <c r="F833" s="85">
        <f>IFERROR(__xludf.DUMMYFUNCTION("""COMPUTED_VALUE"""),40819.0)</f>
        <v>40819</v>
      </c>
      <c r="G833" s="86">
        <f>IFERROR(__xludf.DUMMYFUNCTION("""COMPUTED_VALUE"""),0.8999999999999999)</f>
        <v>0.9</v>
      </c>
      <c r="H833" s="84">
        <f>IFERROR(__xludf.DUMMYFUNCTION("""COMPUTED_VALUE"""),39791.0)</f>
        <v>39791</v>
      </c>
      <c r="I833" s="86">
        <f>IFERROR(__xludf.DUMMYFUNCTION("""COMPUTED_VALUE"""),2.7416666666666667)</f>
        <v>2.741666667</v>
      </c>
      <c r="J833" s="87">
        <f>IFERROR(__xludf.DUMMYFUNCTION("""COMPUTED_VALUE"""),66.0)</f>
        <v>66</v>
      </c>
      <c r="K833" s="88">
        <f>IFERROR(__xludf.DUMMYFUNCTION("""COMPUTED_VALUE"""),6.8)</f>
        <v>6.8</v>
      </c>
      <c r="L833" s="89"/>
      <c r="M833" s="26" t="str">
        <f>IFERROR(__xludf.DUMMYFUNCTION("""COMPUTED_VALUE"""),"Shooter")</f>
        <v>Shooter</v>
      </c>
      <c r="N833" s="26"/>
      <c r="O833" s="26" t="str">
        <f>IFERROR(__xludf.DUMMYFUNCTION("""COMPUTED_VALUE"""),"No")</f>
        <v>No</v>
      </c>
      <c r="P833" s="26"/>
    </row>
    <row r="834">
      <c r="A834" s="81" t="str">
        <f>IFERROR(__xludf.DUMMYFUNCTION("""COMPUTED_VALUE"""),"Bashi Blocks")</f>
        <v>Bashi Blocks</v>
      </c>
      <c r="B834" s="82" t="str">
        <f>IFERROR(__xludf.DUMMYFUNCTION("""COMPUTED_VALUE"""),"PS3")</f>
        <v>PS3</v>
      </c>
      <c r="C834" s="83" t="str">
        <f>IFERROR(__xludf.DUMMYFUNCTION("""COMPUTED_VALUE"""),"Playstation Plus (Discontinued)")</f>
        <v>Playstation Plus (Discontinued)</v>
      </c>
      <c r="D834" s="82" t="str">
        <f>IFERROR(__xludf.DUMMYFUNCTION("""COMPUTED_VALUE"""),"Removed")</f>
        <v>Removed</v>
      </c>
      <c r="E834" s="84">
        <f>IFERROR(__xludf.DUMMYFUNCTION("""COMPUTED_VALUE"""),40792.0)</f>
        <v>40792</v>
      </c>
      <c r="F834" s="85">
        <f>IFERROR(__xludf.DUMMYFUNCTION("""COMPUTED_VALUE"""),40819.0)</f>
        <v>40819</v>
      </c>
      <c r="G834" s="86">
        <f>IFERROR(__xludf.DUMMYFUNCTION("""COMPUTED_VALUE"""),0.8999999999999999)</f>
        <v>0.9</v>
      </c>
      <c r="H834" s="84">
        <f>IFERROR(__xludf.DUMMYFUNCTION("""COMPUTED_VALUE"""),40589.0)</f>
        <v>40589</v>
      </c>
      <c r="I834" s="86">
        <f>IFERROR(__xludf.DUMMYFUNCTION("""COMPUTED_VALUE"""),0.5583333333333333)</f>
        <v>0.5583333333</v>
      </c>
      <c r="J834" s="87">
        <f>IFERROR(__xludf.DUMMYFUNCTION("""COMPUTED_VALUE"""),60.0)</f>
        <v>60</v>
      </c>
      <c r="K834" s="88">
        <f>IFERROR(__xludf.DUMMYFUNCTION("""COMPUTED_VALUE"""),7.0)</f>
        <v>7</v>
      </c>
      <c r="L834" s="89"/>
      <c r="M834" s="26" t="str">
        <f>IFERROR(__xludf.DUMMYFUNCTION("""COMPUTED_VALUE"""),"Puzzle")</f>
        <v>Puzzle</v>
      </c>
      <c r="N834" s="26" t="str">
        <f>IFERROR(__xludf.DUMMYFUNCTION("""COMPUTED_VALUE"""),"PS Minis")</f>
        <v>PS Minis</v>
      </c>
      <c r="O834" s="26" t="str">
        <f>IFERROR(__xludf.DUMMYFUNCTION("""COMPUTED_VALUE"""),"No")</f>
        <v>No</v>
      </c>
      <c r="P834" s="26"/>
    </row>
    <row r="835">
      <c r="A835" s="81" t="str">
        <f>IFERROR(__xludf.DUMMYFUNCTION("""COMPUTED_VALUE"""),"Resident Evil 3")</f>
        <v>Resident Evil 3</v>
      </c>
      <c r="B835" s="82" t="str">
        <f>IFERROR(__xludf.DUMMYFUNCTION("""COMPUTED_VALUE"""),"PS3")</f>
        <v>PS3</v>
      </c>
      <c r="C835" s="83" t="str">
        <f>IFERROR(__xludf.DUMMYFUNCTION("""COMPUTED_VALUE"""),"Playstation Plus (Discontinued)")</f>
        <v>Playstation Plus (Discontinued)</v>
      </c>
      <c r="D835" s="82" t="str">
        <f>IFERROR(__xludf.DUMMYFUNCTION("""COMPUTED_VALUE"""),"Removed")</f>
        <v>Removed</v>
      </c>
      <c r="E835" s="84">
        <f>IFERROR(__xludf.DUMMYFUNCTION("""COMPUTED_VALUE"""),40792.0)</f>
        <v>40792</v>
      </c>
      <c r="F835" s="85">
        <f>IFERROR(__xludf.DUMMYFUNCTION("""COMPUTED_VALUE"""),40819.0)</f>
        <v>40819</v>
      </c>
      <c r="G835" s="86">
        <f>IFERROR(__xludf.DUMMYFUNCTION("""COMPUTED_VALUE"""),0.8999999999999999)</f>
        <v>0.9</v>
      </c>
      <c r="H835" s="84">
        <f>IFERROR(__xludf.DUMMYFUNCTION("""COMPUTED_VALUE"""),36425.0)</f>
        <v>36425</v>
      </c>
      <c r="I835" s="86">
        <f>IFERROR(__xludf.DUMMYFUNCTION("""COMPUTED_VALUE"""),11.955555555555556)</f>
        <v>11.95555556</v>
      </c>
      <c r="J835" s="87">
        <f>IFERROR(__xludf.DUMMYFUNCTION("""COMPUTED_VALUE"""),91.0)</f>
        <v>91</v>
      </c>
      <c r="K835" s="88">
        <f>IFERROR(__xludf.DUMMYFUNCTION("""COMPUTED_VALUE"""),8.9)</f>
        <v>8.9</v>
      </c>
      <c r="L835" s="89">
        <f>IFERROR(__xludf.DUMMYFUNCTION("""COMPUTED_VALUE"""),7.0)</f>
        <v>7</v>
      </c>
      <c r="M835" s="26" t="str">
        <f>IFERROR(__xludf.DUMMYFUNCTION("""COMPUTED_VALUE"""),"Horror")</f>
        <v>Horror</v>
      </c>
      <c r="N835" s="26" t="str">
        <f>IFERROR(__xludf.DUMMYFUNCTION("""COMPUTED_VALUE"""),"PS1")</f>
        <v>PS1</v>
      </c>
      <c r="O835" s="26" t="str">
        <f>IFERROR(__xludf.DUMMYFUNCTION("""COMPUTED_VALUE"""),"No")</f>
        <v>No</v>
      </c>
      <c r="P835" s="26"/>
    </row>
    <row r="836">
      <c r="A836" s="81" t="str">
        <f>IFERROR(__xludf.DUMMYFUNCTION("""COMPUTED_VALUE"""),"Resident Evil 2")</f>
        <v>Resident Evil 2</v>
      </c>
      <c r="B836" s="82" t="str">
        <f>IFERROR(__xludf.DUMMYFUNCTION("""COMPUTED_VALUE"""),"PS3")</f>
        <v>PS3</v>
      </c>
      <c r="C836" s="83" t="str">
        <f>IFERROR(__xludf.DUMMYFUNCTION("""COMPUTED_VALUE"""),"Playstation Plus (Discontinued)")</f>
        <v>Playstation Plus (Discontinued)</v>
      </c>
      <c r="D836" s="82" t="str">
        <f>IFERROR(__xludf.DUMMYFUNCTION("""COMPUTED_VALUE"""),"Removed")</f>
        <v>Removed</v>
      </c>
      <c r="E836" s="84">
        <f>IFERROR(__xludf.DUMMYFUNCTION("""COMPUTED_VALUE"""),40792.0)</f>
        <v>40792</v>
      </c>
      <c r="F836" s="85">
        <f>IFERROR(__xludf.DUMMYFUNCTION("""COMPUTED_VALUE"""),40819.0)</f>
        <v>40819</v>
      </c>
      <c r="G836" s="86">
        <f>IFERROR(__xludf.DUMMYFUNCTION("""COMPUTED_VALUE"""),0.8999999999999999)</f>
        <v>0.9</v>
      </c>
      <c r="H836" s="84">
        <f>IFERROR(__xludf.DUMMYFUNCTION("""COMPUTED_VALUE"""),35816.0)</f>
        <v>35816</v>
      </c>
      <c r="I836" s="86">
        <f>IFERROR(__xludf.DUMMYFUNCTION("""COMPUTED_VALUE"""),13.625)</f>
        <v>13.625</v>
      </c>
      <c r="J836" s="87">
        <f>IFERROR(__xludf.DUMMYFUNCTION("""COMPUTED_VALUE"""),89.0)</f>
        <v>89</v>
      </c>
      <c r="K836" s="88">
        <f>IFERROR(__xludf.DUMMYFUNCTION("""COMPUTED_VALUE"""),8.8)</f>
        <v>8.8</v>
      </c>
      <c r="L836" s="89">
        <f>IFERROR(__xludf.DUMMYFUNCTION("""COMPUTED_VALUE"""),7.0)</f>
        <v>7</v>
      </c>
      <c r="M836" s="26" t="str">
        <f>IFERROR(__xludf.DUMMYFUNCTION("""COMPUTED_VALUE"""),"Horror")</f>
        <v>Horror</v>
      </c>
      <c r="N836" s="26" t="str">
        <f>IFERROR(__xludf.DUMMYFUNCTION("""COMPUTED_VALUE"""),"PS1")</f>
        <v>PS1</v>
      </c>
      <c r="O836" s="26" t="str">
        <f>IFERROR(__xludf.DUMMYFUNCTION("""COMPUTED_VALUE"""),"No")</f>
        <v>No</v>
      </c>
      <c r="P836" s="26"/>
    </row>
    <row r="837">
      <c r="A837" s="81" t="str">
        <f>IFERROR(__xludf.DUMMYFUNCTION("""COMPUTED_VALUE"""),"Resident Evil Director’s Cut")</f>
        <v>Resident Evil Director’s Cut</v>
      </c>
      <c r="B837" s="82" t="str">
        <f>IFERROR(__xludf.DUMMYFUNCTION("""COMPUTED_VALUE"""),"PS3")</f>
        <v>PS3</v>
      </c>
      <c r="C837" s="83" t="str">
        <f>IFERROR(__xludf.DUMMYFUNCTION("""COMPUTED_VALUE"""),"Playstation Plus (Discontinued)")</f>
        <v>Playstation Plus (Discontinued)</v>
      </c>
      <c r="D837" s="82" t="str">
        <f>IFERROR(__xludf.DUMMYFUNCTION("""COMPUTED_VALUE"""),"Removed")</f>
        <v>Removed</v>
      </c>
      <c r="E837" s="84">
        <f>IFERROR(__xludf.DUMMYFUNCTION("""COMPUTED_VALUE"""),40792.0)</f>
        <v>40792</v>
      </c>
      <c r="F837" s="85">
        <f>IFERROR(__xludf.DUMMYFUNCTION("""COMPUTED_VALUE"""),40819.0)</f>
        <v>40819</v>
      </c>
      <c r="G837" s="86">
        <f>IFERROR(__xludf.DUMMYFUNCTION("""COMPUTED_VALUE"""),0.8999999999999999)</f>
        <v>0.9</v>
      </c>
      <c r="H837" s="84">
        <f>IFERROR(__xludf.DUMMYFUNCTION("""COMPUTED_VALUE"""),35703.0)</f>
        <v>35703</v>
      </c>
      <c r="I837" s="86">
        <f>IFERROR(__xludf.DUMMYFUNCTION("""COMPUTED_VALUE"""),13.933333333333334)</f>
        <v>13.93333333</v>
      </c>
      <c r="J837" s="87">
        <f>IFERROR(__xludf.DUMMYFUNCTION("""COMPUTED_VALUE"""),8.0)</f>
        <v>8</v>
      </c>
      <c r="K837" s="88">
        <f>IFERROR(__xludf.DUMMYFUNCTION("""COMPUTED_VALUE"""),7.0)</f>
        <v>7</v>
      </c>
      <c r="L837" s="89">
        <f>IFERROR(__xludf.DUMMYFUNCTION("""COMPUTED_VALUE"""),7.0)</f>
        <v>7</v>
      </c>
      <c r="M837" s="26" t="str">
        <f>IFERROR(__xludf.DUMMYFUNCTION("""COMPUTED_VALUE"""),"Survival")</f>
        <v>Survival</v>
      </c>
      <c r="N837" s="26" t="str">
        <f>IFERROR(__xludf.DUMMYFUNCTION("""COMPUTED_VALUE"""),"PS1")</f>
        <v>PS1</v>
      </c>
      <c r="O837" s="26" t="str">
        <f>IFERROR(__xludf.DUMMYFUNCTION("""COMPUTED_VALUE"""),"No")</f>
        <v>No</v>
      </c>
      <c r="P837" s="26"/>
    </row>
    <row r="838">
      <c r="A838" s="81" t="str">
        <f>IFERROR(__xludf.DUMMYFUNCTION("""COMPUTED_VALUE"""),"Jet Moto")</f>
        <v>Jet Moto</v>
      </c>
      <c r="B838" s="82" t="str">
        <f>IFERROR(__xludf.DUMMYFUNCTION("""COMPUTED_VALUE"""),"PS3")</f>
        <v>PS3</v>
      </c>
      <c r="C838" s="83" t="str">
        <f>IFERROR(__xludf.DUMMYFUNCTION("""COMPUTED_VALUE"""),"Playstation Plus (Discontinued)")</f>
        <v>Playstation Plus (Discontinued)</v>
      </c>
      <c r="D838" s="82" t="str">
        <f>IFERROR(__xludf.DUMMYFUNCTION("""COMPUTED_VALUE"""),"Removed")</f>
        <v>Removed</v>
      </c>
      <c r="E838" s="84">
        <f>IFERROR(__xludf.DUMMYFUNCTION("""COMPUTED_VALUE"""),40792.0)</f>
        <v>40792</v>
      </c>
      <c r="F838" s="85">
        <f>IFERROR(__xludf.DUMMYFUNCTION("""COMPUTED_VALUE"""),40819.0)</f>
        <v>40819</v>
      </c>
      <c r="G838" s="86">
        <f>IFERROR(__xludf.DUMMYFUNCTION("""COMPUTED_VALUE"""),0.8999999999999999)</f>
        <v>0.9</v>
      </c>
      <c r="H838" s="84">
        <f>IFERROR(__xludf.DUMMYFUNCTION("""COMPUTED_VALUE"""),35764.0)</f>
        <v>35764</v>
      </c>
      <c r="I838" s="86">
        <f>IFERROR(__xludf.DUMMYFUNCTION("""COMPUTED_VALUE"""),13.766666666666667)</f>
        <v>13.76666667</v>
      </c>
      <c r="J838" s="87">
        <f>IFERROR(__xludf.DUMMYFUNCTION("""COMPUTED_VALUE"""),7.6)</f>
        <v>7.6</v>
      </c>
      <c r="K838" s="88">
        <f>IFERROR(__xludf.DUMMYFUNCTION("""COMPUTED_VALUE"""),7.6)</f>
        <v>7.6</v>
      </c>
      <c r="L838" s="89"/>
      <c r="M838" s="26" t="str">
        <f>IFERROR(__xludf.DUMMYFUNCTION("""COMPUTED_VALUE"""),"Racing")</f>
        <v>Racing</v>
      </c>
      <c r="N838" s="26" t="str">
        <f>IFERROR(__xludf.DUMMYFUNCTION("""COMPUTED_VALUE"""),"PS1")</f>
        <v>PS1</v>
      </c>
      <c r="O838" s="26" t="str">
        <f>IFERROR(__xludf.DUMMYFUNCTION("""COMPUTED_VALUE"""),"No")</f>
        <v>No</v>
      </c>
      <c r="P838" s="26"/>
    </row>
    <row r="839">
      <c r="A839" s="81" t="str">
        <f>IFERROR(__xludf.DUMMYFUNCTION("""COMPUTED_VALUE"""),"Destruction Derby")</f>
        <v>Destruction Derby</v>
      </c>
      <c r="B839" s="82" t="str">
        <f>IFERROR(__xludf.DUMMYFUNCTION("""COMPUTED_VALUE"""),"PS3")</f>
        <v>PS3</v>
      </c>
      <c r="C839" s="83" t="str">
        <f>IFERROR(__xludf.DUMMYFUNCTION("""COMPUTED_VALUE"""),"Playstation Plus (Discontinued)")</f>
        <v>Playstation Plus (Discontinued)</v>
      </c>
      <c r="D839" s="82" t="str">
        <f>IFERROR(__xludf.DUMMYFUNCTION("""COMPUTED_VALUE"""),"Removed")</f>
        <v>Removed</v>
      </c>
      <c r="E839" s="84">
        <f>IFERROR(__xludf.DUMMYFUNCTION("""COMPUTED_VALUE"""),40757.0)</f>
        <v>40757</v>
      </c>
      <c r="F839" s="85">
        <f>IFERROR(__xludf.DUMMYFUNCTION("""COMPUTED_VALUE"""),40791.0)</f>
        <v>40791</v>
      </c>
      <c r="G839" s="86">
        <f>IFERROR(__xludf.DUMMYFUNCTION("""COMPUTED_VALUE"""),1.0999999999999999)</f>
        <v>1.1</v>
      </c>
      <c r="H839" s="84">
        <f>IFERROR(__xludf.DUMMYFUNCTION("""COMPUTED_VALUE"""),35003.0)</f>
        <v>35003</v>
      </c>
      <c r="I839" s="86">
        <f>IFERROR(__xludf.DUMMYFUNCTION("""COMPUTED_VALUE"""),15.755555555555556)</f>
        <v>15.75555556</v>
      </c>
      <c r="J839" s="87">
        <f>IFERROR(__xludf.DUMMYFUNCTION("""COMPUTED_VALUE"""),74.0)</f>
        <v>74</v>
      </c>
      <c r="K839" s="88">
        <f>IFERROR(__xludf.DUMMYFUNCTION("""COMPUTED_VALUE"""),8.0)</f>
        <v>8</v>
      </c>
      <c r="L839" s="89">
        <f>IFERROR(__xludf.DUMMYFUNCTION("""COMPUTED_VALUE"""),6.0)</f>
        <v>6</v>
      </c>
      <c r="M839" s="26" t="str">
        <f>IFERROR(__xludf.DUMMYFUNCTION("""COMPUTED_VALUE"""),"Racing")</f>
        <v>Racing</v>
      </c>
      <c r="N839" s="26" t="str">
        <f>IFERROR(__xludf.DUMMYFUNCTION("""COMPUTED_VALUE"""),"PS1")</f>
        <v>PS1</v>
      </c>
      <c r="O839" s="26" t="str">
        <f>IFERROR(__xludf.DUMMYFUNCTION("""COMPUTED_VALUE"""),"No")</f>
        <v>No</v>
      </c>
      <c r="P839" s="26"/>
    </row>
    <row r="840">
      <c r="A840" s="81" t="str">
        <f>IFERROR(__xludf.DUMMYFUNCTION("""COMPUTED_VALUE"""),"OMG-Z!")</f>
        <v>OMG-Z!</v>
      </c>
      <c r="B840" s="82" t="str">
        <f>IFERROR(__xludf.DUMMYFUNCTION("""COMPUTED_VALUE"""),"PS3")</f>
        <v>PS3</v>
      </c>
      <c r="C840" s="83" t="str">
        <f>IFERROR(__xludf.DUMMYFUNCTION("""COMPUTED_VALUE"""),"Playstation Plus (Discontinued)")</f>
        <v>Playstation Plus (Discontinued)</v>
      </c>
      <c r="D840" s="82" t="str">
        <f>IFERROR(__xludf.DUMMYFUNCTION("""COMPUTED_VALUE"""),"Removed")</f>
        <v>Removed</v>
      </c>
      <c r="E840" s="84">
        <f>IFERROR(__xludf.DUMMYFUNCTION("""COMPUTED_VALUE"""),40757.0)</f>
        <v>40757</v>
      </c>
      <c r="F840" s="85">
        <f>IFERROR(__xludf.DUMMYFUNCTION("""COMPUTED_VALUE"""),40791.0)</f>
        <v>40791</v>
      </c>
      <c r="G840" s="86">
        <f>IFERROR(__xludf.DUMMYFUNCTION("""COMPUTED_VALUE"""),1.0999999999999999)</f>
        <v>1.1</v>
      </c>
      <c r="H840" s="84">
        <f>IFERROR(__xludf.DUMMYFUNCTION("""COMPUTED_VALUE"""),40582.0)</f>
        <v>40582</v>
      </c>
      <c r="I840" s="86">
        <f>IFERROR(__xludf.DUMMYFUNCTION("""COMPUTED_VALUE"""),0.48333333333333334)</f>
        <v>0.4833333333</v>
      </c>
      <c r="J840" s="87">
        <f>IFERROR(__xludf.DUMMYFUNCTION("""COMPUTED_VALUE"""),68.0)</f>
        <v>68</v>
      </c>
      <c r="K840" s="88">
        <f>IFERROR(__xludf.DUMMYFUNCTION("""COMPUTED_VALUE"""),7.1)</f>
        <v>7.1</v>
      </c>
      <c r="L840" s="89">
        <f>IFERROR(__xludf.DUMMYFUNCTION("""COMPUTED_VALUE"""),2.0)</f>
        <v>2</v>
      </c>
      <c r="M840" s="26" t="str">
        <f>IFERROR(__xludf.DUMMYFUNCTION("""COMPUTED_VALUE"""),"Puzzle")</f>
        <v>Puzzle</v>
      </c>
      <c r="N840" s="26" t="str">
        <f>IFERROR(__xludf.DUMMYFUNCTION("""COMPUTED_VALUE"""),"PS Minis")</f>
        <v>PS Minis</v>
      </c>
      <c r="O840" s="26" t="str">
        <f>IFERROR(__xludf.DUMMYFUNCTION("""COMPUTED_VALUE"""),"No")</f>
        <v>No</v>
      </c>
      <c r="P840" s="26"/>
    </row>
    <row r="841">
      <c r="A841" s="81" t="str">
        <f>IFERROR(__xludf.DUMMYFUNCTION("""COMPUTED_VALUE"""),"Dr. Maybe and the Adventures of Scarygirl")</f>
        <v>Dr. Maybe and the Adventures of Scarygirl</v>
      </c>
      <c r="B841" s="82" t="str">
        <f>IFERROR(__xludf.DUMMYFUNCTION("""COMPUTED_VALUE"""),"PS3")</f>
        <v>PS3</v>
      </c>
      <c r="C841" s="83" t="str">
        <f>IFERROR(__xludf.DUMMYFUNCTION("""COMPUTED_VALUE"""),"Playstation Plus (Discontinued)")</f>
        <v>Playstation Plus (Discontinued)</v>
      </c>
      <c r="D841" s="82" t="str">
        <f>IFERROR(__xludf.DUMMYFUNCTION("""COMPUTED_VALUE"""),"Removed")</f>
        <v>Removed</v>
      </c>
      <c r="E841" s="84">
        <f>IFERROR(__xludf.DUMMYFUNCTION("""COMPUTED_VALUE"""),40757.0)</f>
        <v>40757</v>
      </c>
      <c r="F841" s="85">
        <f>IFERROR(__xludf.DUMMYFUNCTION("""COMPUTED_VALUE"""),40791.0)</f>
        <v>40791</v>
      </c>
      <c r="G841" s="86">
        <f>IFERROR(__xludf.DUMMYFUNCTION("""COMPUTED_VALUE"""),1.0999999999999999)</f>
        <v>1.1</v>
      </c>
      <c r="H841" s="84">
        <f>IFERROR(__xludf.DUMMYFUNCTION("""COMPUTED_VALUE"""),40757.0)</f>
        <v>40757</v>
      </c>
      <c r="I841" s="86">
        <f>IFERROR(__xludf.DUMMYFUNCTION("""COMPUTED_VALUE"""),0.0)</f>
        <v>0</v>
      </c>
      <c r="J841" s="87">
        <f>IFERROR(__xludf.DUMMYFUNCTION("""COMPUTED_VALUE"""),65.0)</f>
        <v>65</v>
      </c>
      <c r="K841" s="88">
        <f>IFERROR(__xludf.DUMMYFUNCTION("""COMPUTED_VALUE"""),6.8)</f>
        <v>6.8</v>
      </c>
      <c r="L841" s="89">
        <f>IFERROR(__xludf.DUMMYFUNCTION("""COMPUTED_VALUE"""),3.0)</f>
        <v>3</v>
      </c>
      <c r="M841" s="26" t="str">
        <f>IFERROR(__xludf.DUMMYFUNCTION("""COMPUTED_VALUE"""),"Platformer")</f>
        <v>Platformer</v>
      </c>
      <c r="N841" s="26" t="str">
        <f>IFERROR(__xludf.DUMMYFUNCTION("""COMPUTED_VALUE"""),"PS Minis")</f>
        <v>PS Minis</v>
      </c>
      <c r="O841" s="26" t="str">
        <f>IFERROR(__xludf.DUMMYFUNCTION("""COMPUTED_VALUE"""),"No")</f>
        <v>No</v>
      </c>
      <c r="P841" s="26"/>
    </row>
    <row r="842">
      <c r="A842" s="81" t="str">
        <f>IFERROR(__xludf.DUMMYFUNCTION("""COMPUTED_VALUE"""),"Crash Commando")</f>
        <v>Crash Commando</v>
      </c>
      <c r="B842" s="82" t="str">
        <f>IFERROR(__xludf.DUMMYFUNCTION("""COMPUTED_VALUE"""),"PS3")</f>
        <v>PS3</v>
      </c>
      <c r="C842" s="83" t="str">
        <f>IFERROR(__xludf.DUMMYFUNCTION("""COMPUTED_VALUE"""),"Playstation Plus (Discontinued)")</f>
        <v>Playstation Plus (Discontinued)</v>
      </c>
      <c r="D842" s="82" t="str">
        <f>IFERROR(__xludf.DUMMYFUNCTION("""COMPUTED_VALUE"""),"Removed")</f>
        <v>Removed</v>
      </c>
      <c r="E842" s="84">
        <f>IFERROR(__xludf.DUMMYFUNCTION("""COMPUTED_VALUE"""),40757.0)</f>
        <v>40757</v>
      </c>
      <c r="F842" s="85">
        <f>IFERROR(__xludf.DUMMYFUNCTION("""COMPUTED_VALUE"""),40791.0)</f>
        <v>40791</v>
      </c>
      <c r="G842" s="86">
        <f>IFERROR(__xludf.DUMMYFUNCTION("""COMPUTED_VALUE"""),1.0999999999999999)</f>
        <v>1.1</v>
      </c>
      <c r="H842" s="84">
        <f>IFERROR(__xludf.DUMMYFUNCTION("""COMPUTED_VALUE"""),39800.0)</f>
        <v>39800</v>
      </c>
      <c r="I842" s="86">
        <f>IFERROR(__xludf.DUMMYFUNCTION("""COMPUTED_VALUE"""),2.6222222222222222)</f>
        <v>2.622222222</v>
      </c>
      <c r="J842" s="87">
        <f>IFERROR(__xludf.DUMMYFUNCTION("""COMPUTED_VALUE"""),78.0)</f>
        <v>78</v>
      </c>
      <c r="K842" s="88">
        <f>IFERROR(__xludf.DUMMYFUNCTION("""COMPUTED_VALUE"""),7.8)</f>
        <v>7.8</v>
      </c>
      <c r="L842" s="89">
        <f>IFERROR(__xludf.DUMMYFUNCTION("""COMPUTED_VALUE"""),4.0)</f>
        <v>4</v>
      </c>
      <c r="M842" s="26" t="str">
        <f>IFERROR(__xludf.DUMMYFUNCTION("""COMPUTED_VALUE"""),"Shooter")</f>
        <v>Shooter</v>
      </c>
      <c r="N842" s="26"/>
      <c r="O842" s="26" t="str">
        <f>IFERROR(__xludf.DUMMYFUNCTION("""COMPUTED_VALUE"""),"No")</f>
        <v>No</v>
      </c>
      <c r="P842" s="26"/>
    </row>
    <row r="843">
      <c r="A843" s="81" t="str">
        <f>IFERROR(__xludf.DUMMYFUNCTION("""COMPUTED_VALUE"""),"Me Monstar: Hear Me Roar")</f>
        <v>Me Monstar: Hear Me Roar</v>
      </c>
      <c r="B843" s="82" t="str">
        <f>IFERROR(__xludf.DUMMYFUNCTION("""COMPUTED_VALUE"""),"PS3")</f>
        <v>PS3</v>
      </c>
      <c r="C843" s="83" t="str">
        <f>IFERROR(__xludf.DUMMYFUNCTION("""COMPUTED_VALUE"""),"Playstation Plus (Discontinued)")</f>
        <v>Playstation Plus (Discontinued)</v>
      </c>
      <c r="D843" s="82" t="str">
        <f>IFERROR(__xludf.DUMMYFUNCTION("""COMPUTED_VALUE"""),"Removed")</f>
        <v>Removed</v>
      </c>
      <c r="E843" s="84">
        <f>IFERROR(__xludf.DUMMYFUNCTION("""COMPUTED_VALUE"""),40743.0)</f>
        <v>40743</v>
      </c>
      <c r="F843" s="85">
        <f>IFERROR(__xludf.DUMMYFUNCTION("""COMPUTED_VALUE"""),40756.0)</f>
        <v>40756</v>
      </c>
      <c r="G843" s="86">
        <f>IFERROR(__xludf.DUMMYFUNCTION("""COMPUTED_VALUE"""),0.4)</f>
        <v>0.4</v>
      </c>
      <c r="H843" s="84">
        <f>IFERROR(__xludf.DUMMYFUNCTION("""COMPUTED_VALUE"""),40743.0)</f>
        <v>40743</v>
      </c>
      <c r="I843" s="86">
        <f>IFERROR(__xludf.DUMMYFUNCTION("""COMPUTED_VALUE"""),0.0)</f>
        <v>0</v>
      </c>
      <c r="J843" s="87">
        <f>IFERROR(__xludf.DUMMYFUNCTION("""COMPUTED_VALUE"""),76.0)</f>
        <v>76</v>
      </c>
      <c r="K843" s="88">
        <f>IFERROR(__xludf.DUMMYFUNCTION("""COMPUTED_VALUE"""),7.4)</f>
        <v>7.4</v>
      </c>
      <c r="L843" s="89">
        <f>IFERROR(__xludf.DUMMYFUNCTION("""COMPUTED_VALUE"""),1.0)</f>
        <v>1</v>
      </c>
      <c r="M843" s="26" t="str">
        <f>IFERROR(__xludf.DUMMYFUNCTION("""COMPUTED_VALUE"""),"Platformer")</f>
        <v>Platformer</v>
      </c>
      <c r="N843" s="26" t="str">
        <f>IFERROR(__xludf.DUMMYFUNCTION("""COMPUTED_VALUE"""),"PS Minis")</f>
        <v>PS Minis</v>
      </c>
      <c r="O843" s="26" t="str">
        <f>IFERROR(__xludf.DUMMYFUNCTION("""COMPUTED_VALUE"""),"No")</f>
        <v>No</v>
      </c>
      <c r="P843" s="26"/>
    </row>
    <row r="844">
      <c r="A844" s="81" t="str">
        <f>IFERROR(__xludf.DUMMYFUNCTION("""COMPUTED_VALUE"""),"Alien Zombie Death")</f>
        <v>Alien Zombie Death</v>
      </c>
      <c r="B844" s="82" t="str">
        <f>IFERROR(__xludf.DUMMYFUNCTION("""COMPUTED_VALUE"""),"PS3")</f>
        <v>PS3</v>
      </c>
      <c r="C844" s="83" t="str">
        <f>IFERROR(__xludf.DUMMYFUNCTION("""COMPUTED_VALUE"""),"Playstation Plus (Discontinued)")</f>
        <v>Playstation Plus (Discontinued)</v>
      </c>
      <c r="D844" s="82" t="str">
        <f>IFERROR(__xludf.DUMMYFUNCTION("""COMPUTED_VALUE"""),"Removed")</f>
        <v>Removed</v>
      </c>
      <c r="E844" s="84">
        <f>IFERROR(__xludf.DUMMYFUNCTION("""COMPUTED_VALUE"""),40729.0)</f>
        <v>40729</v>
      </c>
      <c r="F844" s="85">
        <f>IFERROR(__xludf.DUMMYFUNCTION("""COMPUTED_VALUE"""),40756.0)</f>
        <v>40756</v>
      </c>
      <c r="G844" s="86">
        <f>IFERROR(__xludf.DUMMYFUNCTION("""COMPUTED_VALUE"""),0.8666666666666666)</f>
        <v>0.8666666667</v>
      </c>
      <c r="H844" s="84">
        <f>IFERROR(__xludf.DUMMYFUNCTION("""COMPUTED_VALUE"""),40262.0)</f>
        <v>40262</v>
      </c>
      <c r="I844" s="86">
        <f>IFERROR(__xludf.DUMMYFUNCTION("""COMPUTED_VALUE"""),1.2777777777777777)</f>
        <v>1.277777778</v>
      </c>
      <c r="J844" s="87">
        <f>IFERROR(__xludf.DUMMYFUNCTION("""COMPUTED_VALUE"""),76.0)</f>
        <v>76</v>
      </c>
      <c r="K844" s="88">
        <f>IFERROR(__xludf.DUMMYFUNCTION("""COMPUTED_VALUE"""),5.2)</f>
        <v>5.2</v>
      </c>
      <c r="L844" s="89">
        <f>IFERROR(__xludf.DUMMYFUNCTION("""COMPUTED_VALUE"""),2.0)</f>
        <v>2</v>
      </c>
      <c r="M844" s="26" t="str">
        <f>IFERROR(__xludf.DUMMYFUNCTION("""COMPUTED_VALUE"""),"Platformer")</f>
        <v>Platformer</v>
      </c>
      <c r="N844" s="26" t="str">
        <f>IFERROR(__xludf.DUMMYFUNCTION("""COMPUTED_VALUE"""),"PS Minis")</f>
        <v>PS Minis</v>
      </c>
      <c r="O844" s="26" t="str">
        <f>IFERROR(__xludf.DUMMYFUNCTION("""COMPUTED_VALUE"""),"No")</f>
        <v>No</v>
      </c>
      <c r="P844" s="26"/>
    </row>
    <row r="845">
      <c r="A845" s="81" t="str">
        <f>IFERROR(__xludf.DUMMYFUNCTION("""COMPUTED_VALUE"""),"Guerilla War")</f>
        <v>Guerilla War</v>
      </c>
      <c r="B845" s="82" t="str">
        <f>IFERROR(__xludf.DUMMYFUNCTION("""COMPUTED_VALUE"""),"PS3")</f>
        <v>PS3</v>
      </c>
      <c r="C845" s="83" t="str">
        <f>IFERROR(__xludf.DUMMYFUNCTION("""COMPUTED_VALUE"""),"Playstation Plus (Discontinued)")</f>
        <v>Playstation Plus (Discontinued)</v>
      </c>
      <c r="D845" s="82" t="str">
        <f>IFERROR(__xludf.DUMMYFUNCTION("""COMPUTED_VALUE"""),"Removed")</f>
        <v>Removed</v>
      </c>
      <c r="E845" s="84">
        <f>IFERROR(__xludf.DUMMYFUNCTION("""COMPUTED_VALUE"""),40729.0)</f>
        <v>40729</v>
      </c>
      <c r="F845" s="85">
        <f>IFERROR(__xludf.DUMMYFUNCTION("""COMPUTED_VALUE"""),40756.0)</f>
        <v>40756</v>
      </c>
      <c r="G845" s="86">
        <f>IFERROR(__xludf.DUMMYFUNCTION("""COMPUTED_VALUE"""),0.8666666666666666)</f>
        <v>0.8666666667</v>
      </c>
      <c r="H845" s="84">
        <f>IFERROR(__xludf.DUMMYFUNCTION("""COMPUTED_VALUE"""),32417.0)</f>
        <v>32417</v>
      </c>
      <c r="I845" s="86">
        <f>IFERROR(__xludf.DUMMYFUNCTION("""COMPUTED_VALUE"""),22.761111111111113)</f>
        <v>22.76111111</v>
      </c>
      <c r="J845" s="87"/>
      <c r="K845" s="88"/>
      <c r="L845" s="89"/>
      <c r="M845" s="26" t="str">
        <f>IFERROR(__xludf.DUMMYFUNCTION("""COMPUTED_VALUE"""),"Shooter")</f>
        <v>Shooter</v>
      </c>
      <c r="N845" s="26" t="str">
        <f>IFERROR(__xludf.DUMMYFUNCTION("""COMPUTED_VALUE"""),"PS Minis")</f>
        <v>PS Minis</v>
      </c>
      <c r="O845" s="26" t="str">
        <f>IFERROR(__xludf.DUMMYFUNCTION("""COMPUTED_VALUE"""),"No")</f>
        <v>No</v>
      </c>
      <c r="P845" s="26"/>
    </row>
    <row r="846">
      <c r="A846" s="81" t="str">
        <f>IFERROR(__xludf.DUMMYFUNCTION("""COMPUTED_VALUE"""),"Golden Axe")</f>
        <v>Golden Axe</v>
      </c>
      <c r="B846" s="82" t="str">
        <f>IFERROR(__xludf.DUMMYFUNCTION("""COMPUTED_VALUE"""),"PS3")</f>
        <v>PS3</v>
      </c>
      <c r="C846" s="83" t="str">
        <f>IFERROR(__xludf.DUMMYFUNCTION("""COMPUTED_VALUE"""),"Playstation Plus (Discontinued)")</f>
        <v>Playstation Plus (Discontinued)</v>
      </c>
      <c r="D846" s="82" t="str">
        <f>IFERROR(__xludf.DUMMYFUNCTION("""COMPUTED_VALUE"""),"Removed")</f>
        <v>Removed</v>
      </c>
      <c r="E846" s="84">
        <f>IFERROR(__xludf.DUMMYFUNCTION("""COMPUTED_VALUE"""),40729.0)</f>
        <v>40729</v>
      </c>
      <c r="F846" s="85">
        <f>IFERROR(__xludf.DUMMYFUNCTION("""COMPUTED_VALUE"""),40756.0)</f>
        <v>40756</v>
      </c>
      <c r="G846" s="86">
        <f>IFERROR(__xludf.DUMMYFUNCTION("""COMPUTED_VALUE"""),0.8666666666666666)</f>
        <v>0.8666666667</v>
      </c>
      <c r="H846" s="84">
        <f>IFERROR(__xludf.DUMMYFUNCTION("""COMPUTED_VALUE"""),39274.0)</f>
        <v>39274</v>
      </c>
      <c r="I846" s="86">
        <f>IFERROR(__xludf.DUMMYFUNCTION("""COMPUTED_VALUE"""),3.9833333333333334)</f>
        <v>3.983333333</v>
      </c>
      <c r="J846" s="87">
        <f>IFERROR(__xludf.DUMMYFUNCTION("""COMPUTED_VALUE"""),68.0)</f>
        <v>68</v>
      </c>
      <c r="K846" s="88"/>
      <c r="L846" s="89">
        <f>IFERROR(__xludf.DUMMYFUNCTION("""COMPUTED_VALUE"""),1.5)</f>
        <v>1.5</v>
      </c>
      <c r="M846" s="26" t="str">
        <f>IFERROR(__xludf.DUMMYFUNCTION("""COMPUTED_VALUE"""),"Action-Adventure")</f>
        <v>Action-Adventure</v>
      </c>
      <c r="N846" s="26"/>
      <c r="O846" s="26" t="str">
        <f>IFERROR(__xludf.DUMMYFUNCTION("""COMPUTED_VALUE"""),"No")</f>
        <v>No</v>
      </c>
      <c r="P846" s="26"/>
    </row>
    <row r="847">
      <c r="A847" s="81" t="str">
        <f>IFERROR(__xludf.DUMMYFUNCTION("""COMPUTED_VALUE"""),"Bomberman ULTRA")</f>
        <v>Bomberman ULTRA</v>
      </c>
      <c r="B847" s="82" t="str">
        <f>IFERROR(__xludf.DUMMYFUNCTION("""COMPUTED_VALUE"""),"PS3")</f>
        <v>PS3</v>
      </c>
      <c r="C847" s="83" t="str">
        <f>IFERROR(__xludf.DUMMYFUNCTION("""COMPUTED_VALUE"""),"Playstation Plus (Discontinued)")</f>
        <v>Playstation Plus (Discontinued)</v>
      </c>
      <c r="D847" s="82" t="str">
        <f>IFERROR(__xludf.DUMMYFUNCTION("""COMPUTED_VALUE"""),"Removed")</f>
        <v>Removed</v>
      </c>
      <c r="E847" s="84">
        <f>IFERROR(__xludf.DUMMYFUNCTION("""COMPUTED_VALUE"""),40729.0)</f>
        <v>40729</v>
      </c>
      <c r="F847" s="85">
        <f>IFERROR(__xludf.DUMMYFUNCTION("""COMPUTED_VALUE"""),40756.0)</f>
        <v>40756</v>
      </c>
      <c r="G847" s="86">
        <f>IFERROR(__xludf.DUMMYFUNCTION("""COMPUTED_VALUE"""),0.8666666666666666)</f>
        <v>0.8666666667</v>
      </c>
      <c r="H847" s="84">
        <f>IFERROR(__xludf.DUMMYFUNCTION("""COMPUTED_VALUE"""),39975.0)</f>
        <v>39975</v>
      </c>
      <c r="I847" s="86">
        <f>IFERROR(__xludf.DUMMYFUNCTION("""COMPUTED_VALUE"""),2.066666666666667)</f>
        <v>2.066666667</v>
      </c>
      <c r="J847" s="87">
        <f>IFERROR(__xludf.DUMMYFUNCTION("""COMPUTED_VALUE"""),81.0)</f>
        <v>81</v>
      </c>
      <c r="K847" s="88">
        <f>IFERROR(__xludf.DUMMYFUNCTION("""COMPUTED_VALUE"""),7.7)</f>
        <v>7.7</v>
      </c>
      <c r="L847" s="89"/>
      <c r="M847" s="26" t="str">
        <f>IFERROR(__xludf.DUMMYFUNCTION("""COMPUTED_VALUE"""),"Puzzle")</f>
        <v>Puzzle</v>
      </c>
      <c r="N847" s="26"/>
      <c r="O847" s="26" t="str">
        <f>IFERROR(__xludf.DUMMYFUNCTION("""COMPUTED_VALUE"""),"No")</f>
        <v>No</v>
      </c>
      <c r="P847" s="26"/>
    </row>
    <row r="848">
      <c r="A848" s="81" t="str">
        <f>IFERROR(__xludf.DUMMYFUNCTION("""COMPUTED_VALUE"""),"Medievil")</f>
        <v>Medievil</v>
      </c>
      <c r="B848" s="82" t="str">
        <f>IFERROR(__xludf.DUMMYFUNCTION("""COMPUTED_VALUE"""),"PS3")</f>
        <v>PS3</v>
      </c>
      <c r="C848" s="83" t="str">
        <f>IFERROR(__xludf.DUMMYFUNCTION("""COMPUTED_VALUE"""),"Playstation Plus (Discontinued)")</f>
        <v>Playstation Plus (Discontinued)</v>
      </c>
      <c r="D848" s="82" t="str">
        <f>IFERROR(__xludf.DUMMYFUNCTION("""COMPUTED_VALUE"""),"Removed")</f>
        <v>Removed</v>
      </c>
      <c r="E848" s="84">
        <f>IFERROR(__xludf.DUMMYFUNCTION("""COMPUTED_VALUE"""),40729.0)</f>
        <v>40729</v>
      </c>
      <c r="F848" s="85">
        <f>IFERROR(__xludf.DUMMYFUNCTION("""COMPUTED_VALUE"""),40756.0)</f>
        <v>40756</v>
      </c>
      <c r="G848" s="86">
        <f>IFERROR(__xludf.DUMMYFUNCTION("""COMPUTED_VALUE"""),0.8666666666666666)</f>
        <v>0.8666666667</v>
      </c>
      <c r="H848" s="84">
        <f>IFERROR(__xludf.DUMMYFUNCTION("""COMPUTED_VALUE"""),36069.0)</f>
        <v>36069</v>
      </c>
      <c r="I848" s="86">
        <f>IFERROR(__xludf.DUMMYFUNCTION("""COMPUTED_VALUE"""),12.761111111111111)</f>
        <v>12.76111111</v>
      </c>
      <c r="J848" s="87">
        <f>IFERROR(__xludf.DUMMYFUNCTION("""COMPUTED_VALUE"""),67.0)</f>
        <v>67</v>
      </c>
      <c r="K848" s="88">
        <f>IFERROR(__xludf.DUMMYFUNCTION("""COMPUTED_VALUE"""),8.0)</f>
        <v>8</v>
      </c>
      <c r="L848" s="89">
        <f>IFERROR(__xludf.DUMMYFUNCTION("""COMPUTED_VALUE"""),7.0)</f>
        <v>7</v>
      </c>
      <c r="M848" s="26" t="str">
        <f>IFERROR(__xludf.DUMMYFUNCTION("""COMPUTED_VALUE"""),"Action-Adventure")</f>
        <v>Action-Adventure</v>
      </c>
      <c r="N848" s="26" t="str">
        <f>IFERROR(__xludf.DUMMYFUNCTION("""COMPUTED_VALUE"""),"PS1")</f>
        <v>PS1</v>
      </c>
      <c r="O848" s="26" t="str">
        <f>IFERROR(__xludf.DUMMYFUNCTION("""COMPUTED_VALUE"""),"No")</f>
        <v>No</v>
      </c>
      <c r="P848" s="26"/>
    </row>
    <row r="849">
      <c r="A849" s="81" t="str">
        <f>IFERROR(__xludf.DUMMYFUNCTION("""COMPUTED_VALUE"""),"Streets of Rage 2")</f>
        <v>Streets of Rage 2</v>
      </c>
      <c r="B849" s="82" t="str">
        <f>IFERROR(__xludf.DUMMYFUNCTION("""COMPUTED_VALUE"""),"PS3")</f>
        <v>PS3</v>
      </c>
      <c r="C849" s="83" t="str">
        <f>IFERROR(__xludf.DUMMYFUNCTION("""COMPUTED_VALUE"""),"Playstation Plus (Discontinued)")</f>
        <v>Playstation Plus (Discontinued)</v>
      </c>
      <c r="D849" s="82" t="str">
        <f>IFERROR(__xludf.DUMMYFUNCTION("""COMPUTED_VALUE"""),"Removed")</f>
        <v>Removed</v>
      </c>
      <c r="E849" s="84">
        <f>IFERROR(__xludf.DUMMYFUNCTION("""COMPUTED_VALUE"""),40701.0)</f>
        <v>40701</v>
      </c>
      <c r="F849" s="85">
        <f>IFERROR(__xludf.DUMMYFUNCTION("""COMPUTED_VALUE"""),40728.0)</f>
        <v>40728</v>
      </c>
      <c r="G849" s="86">
        <f>IFERROR(__xludf.DUMMYFUNCTION("""COMPUTED_VALUE"""),0.8999999999999999)</f>
        <v>0.9</v>
      </c>
      <c r="H849" s="84">
        <f>IFERROR(__xludf.DUMMYFUNCTION("""COMPUTED_VALUE"""),33958.0)</f>
        <v>33958</v>
      </c>
      <c r="I849" s="86">
        <f>IFERROR(__xludf.DUMMYFUNCTION("""COMPUTED_VALUE"""),18.46388888888889)</f>
        <v>18.46388889</v>
      </c>
      <c r="J849" s="87">
        <f>IFERROR(__xludf.DUMMYFUNCTION("""COMPUTED_VALUE"""),85.0)</f>
        <v>85</v>
      </c>
      <c r="K849" s="88">
        <f>IFERROR(__xludf.DUMMYFUNCTION("""COMPUTED_VALUE"""),8.9)</f>
        <v>8.9</v>
      </c>
      <c r="L849" s="89">
        <f>IFERROR(__xludf.DUMMYFUNCTION("""COMPUTED_VALUE"""),3.0)</f>
        <v>3</v>
      </c>
      <c r="M849" s="26" t="str">
        <f>IFERROR(__xludf.DUMMYFUNCTION("""COMPUTED_VALUE"""),"Beat-'Em-Up")</f>
        <v>Beat-'Em-Up</v>
      </c>
      <c r="N849" s="26"/>
      <c r="O849" s="26" t="str">
        <f>IFERROR(__xludf.DUMMYFUNCTION("""COMPUTED_VALUE"""),"No")</f>
        <v>No</v>
      </c>
      <c r="P849" s="26"/>
    </row>
    <row r="850">
      <c r="A850" s="81" t="str">
        <f>IFERROR(__xludf.DUMMYFUNCTION("""COMPUTED_VALUE"""),"Magic the Gathering: Duels of the Planeswalkers 2011")</f>
        <v>Magic the Gathering: Duels of the Planeswalkers 2011</v>
      </c>
      <c r="B850" s="82" t="str">
        <f>IFERROR(__xludf.DUMMYFUNCTION("""COMPUTED_VALUE"""),"PS3")</f>
        <v>PS3</v>
      </c>
      <c r="C850" s="83" t="str">
        <f>IFERROR(__xludf.DUMMYFUNCTION("""COMPUTED_VALUE"""),"Playstation Plus (Discontinued)")</f>
        <v>Playstation Plus (Discontinued)</v>
      </c>
      <c r="D850" s="82" t="str">
        <f>IFERROR(__xludf.DUMMYFUNCTION("""COMPUTED_VALUE"""),"Removed")</f>
        <v>Removed</v>
      </c>
      <c r="E850" s="84">
        <f>IFERROR(__xludf.DUMMYFUNCTION("""COMPUTED_VALUE"""),40701.0)</f>
        <v>40701</v>
      </c>
      <c r="F850" s="85">
        <f>IFERROR(__xludf.DUMMYFUNCTION("""COMPUTED_VALUE"""),40728.0)</f>
        <v>40728</v>
      </c>
      <c r="G850" s="86">
        <f>IFERROR(__xludf.DUMMYFUNCTION("""COMPUTED_VALUE"""),0.8999999999999999)</f>
        <v>0.9</v>
      </c>
      <c r="H850" s="84">
        <f>IFERROR(__xludf.DUMMYFUNCTION("""COMPUTED_VALUE"""),40344.0)</f>
        <v>40344</v>
      </c>
      <c r="I850" s="86">
        <f>IFERROR(__xludf.DUMMYFUNCTION("""COMPUTED_VALUE"""),0.9777777777777777)</f>
        <v>0.9777777778</v>
      </c>
      <c r="J850" s="87">
        <f>IFERROR(__xludf.DUMMYFUNCTION("""COMPUTED_VALUE"""),80.0)</f>
        <v>80</v>
      </c>
      <c r="K850" s="88">
        <f>IFERROR(__xludf.DUMMYFUNCTION("""COMPUTED_VALUE"""),7.6)</f>
        <v>7.6</v>
      </c>
      <c r="L850" s="89"/>
      <c r="M850" s="26" t="str">
        <f>IFERROR(__xludf.DUMMYFUNCTION("""COMPUTED_VALUE"""),"Card &amp; Board")</f>
        <v>Card &amp; Board</v>
      </c>
      <c r="N850" s="26"/>
      <c r="O850" s="26" t="str">
        <f>IFERROR(__xludf.DUMMYFUNCTION("""COMPUTED_VALUE"""),"No")</f>
        <v>No</v>
      </c>
      <c r="P850" s="26"/>
    </row>
    <row r="851">
      <c r="A851" s="81" t="str">
        <f>IFERROR(__xludf.DUMMYFUNCTION("""COMPUTED_VALUE"""),"Lilo &amp; Stitch")</f>
        <v>Lilo &amp; Stitch</v>
      </c>
      <c r="B851" s="82" t="str">
        <f>IFERROR(__xludf.DUMMYFUNCTION("""COMPUTED_VALUE"""),"PS3")</f>
        <v>PS3</v>
      </c>
      <c r="C851" s="83" t="str">
        <f>IFERROR(__xludf.DUMMYFUNCTION("""COMPUTED_VALUE"""),"Playstation Plus (Discontinued)")</f>
        <v>Playstation Plus (Discontinued)</v>
      </c>
      <c r="D851" s="82" t="str">
        <f>IFERROR(__xludf.DUMMYFUNCTION("""COMPUTED_VALUE"""),"Removed")</f>
        <v>Removed</v>
      </c>
      <c r="E851" s="84">
        <f>IFERROR(__xludf.DUMMYFUNCTION("""COMPUTED_VALUE"""),40701.0)</f>
        <v>40701</v>
      </c>
      <c r="F851" s="85">
        <f>IFERROR(__xludf.DUMMYFUNCTION("""COMPUTED_VALUE"""),40728.0)</f>
        <v>40728</v>
      </c>
      <c r="G851" s="86">
        <f>IFERROR(__xludf.DUMMYFUNCTION("""COMPUTED_VALUE"""),0.8999999999999999)</f>
        <v>0.9</v>
      </c>
      <c r="H851" s="84">
        <f>IFERROR(__xludf.DUMMYFUNCTION("""COMPUTED_VALUE"""),37566.0)</f>
        <v>37566</v>
      </c>
      <c r="I851" s="86">
        <f>IFERROR(__xludf.DUMMYFUNCTION("""COMPUTED_VALUE"""),8.58611111111111)</f>
        <v>8.586111111</v>
      </c>
      <c r="J851" s="87">
        <f>IFERROR(__xludf.DUMMYFUNCTION("""COMPUTED_VALUE"""),54.0)</f>
        <v>54</v>
      </c>
      <c r="K851" s="88"/>
      <c r="L851" s="89"/>
      <c r="M851" s="26" t="str">
        <f>IFERROR(__xludf.DUMMYFUNCTION("""COMPUTED_VALUE"""),"Action-Adventure")</f>
        <v>Action-Adventure</v>
      </c>
      <c r="N851" s="26" t="str">
        <f>IFERROR(__xludf.DUMMYFUNCTION("""COMPUTED_VALUE"""),"PS1")</f>
        <v>PS1</v>
      </c>
      <c r="O851" s="26" t="str">
        <f>IFERROR(__xludf.DUMMYFUNCTION("""COMPUTED_VALUE"""),"No")</f>
        <v>No</v>
      </c>
      <c r="P851" s="26"/>
    </row>
    <row r="852">
      <c r="A852" s="81" t="str">
        <f>IFERROR(__xludf.DUMMYFUNCTION("""COMPUTED_VALUE"""),"The 2D Adventures of Rotating Octopus Character")</f>
        <v>The 2D Adventures of Rotating Octopus Character</v>
      </c>
      <c r="B852" s="82" t="str">
        <f>IFERROR(__xludf.DUMMYFUNCTION("""COMPUTED_VALUE"""),"PS3")</f>
        <v>PS3</v>
      </c>
      <c r="C852" s="83" t="str">
        <f>IFERROR(__xludf.DUMMYFUNCTION("""COMPUTED_VALUE"""),"Playstation Plus (Discontinued)")</f>
        <v>Playstation Plus (Discontinued)</v>
      </c>
      <c r="D852" s="82" t="str">
        <f>IFERROR(__xludf.DUMMYFUNCTION("""COMPUTED_VALUE"""),"Removed")</f>
        <v>Removed</v>
      </c>
      <c r="E852" s="84">
        <f>IFERROR(__xludf.DUMMYFUNCTION("""COMPUTED_VALUE"""),40701.0)</f>
        <v>40701</v>
      </c>
      <c r="F852" s="85">
        <f>IFERROR(__xludf.DUMMYFUNCTION("""COMPUTED_VALUE"""),40728.0)</f>
        <v>40728</v>
      </c>
      <c r="G852" s="86">
        <f>IFERROR(__xludf.DUMMYFUNCTION("""COMPUTED_VALUE"""),0.8999999999999999)</f>
        <v>0.9</v>
      </c>
      <c r="H852" s="84">
        <f>IFERROR(__xludf.DUMMYFUNCTION("""COMPUTED_VALUE"""),40696.0)</f>
        <v>40696</v>
      </c>
      <c r="I852" s="86">
        <f>IFERROR(__xludf.DUMMYFUNCTION("""COMPUTED_VALUE"""),0.013888888888888888)</f>
        <v>0.01388888889</v>
      </c>
      <c r="J852" s="87">
        <f>IFERROR(__xludf.DUMMYFUNCTION("""COMPUTED_VALUE"""),65.0)</f>
        <v>65</v>
      </c>
      <c r="K852" s="88">
        <f>IFERROR(__xludf.DUMMYFUNCTION("""COMPUTED_VALUE"""),6.7)</f>
        <v>6.7</v>
      </c>
      <c r="L852" s="89">
        <f>IFERROR(__xludf.DUMMYFUNCTION("""COMPUTED_VALUE"""),2.0)</f>
        <v>2</v>
      </c>
      <c r="M852" s="26" t="str">
        <f>IFERROR(__xludf.DUMMYFUNCTION("""COMPUTED_VALUE"""),"Platformer")</f>
        <v>Platformer</v>
      </c>
      <c r="N852" s="26" t="str">
        <f>IFERROR(__xludf.DUMMYFUNCTION("""COMPUTED_VALUE"""),"PS Minis")</f>
        <v>PS Minis</v>
      </c>
      <c r="O852" s="26" t="str">
        <f>IFERROR(__xludf.DUMMYFUNCTION("""COMPUTED_VALUE"""),"No")</f>
        <v>No</v>
      </c>
      <c r="P852" s="26"/>
    </row>
    <row r="853">
      <c r="A853" s="81" t="str">
        <f>IFERROR(__xludf.DUMMYFUNCTION("""COMPUTED_VALUE"""),"Babel the King of Blocks")</f>
        <v>Babel the King of Blocks</v>
      </c>
      <c r="B853" s="82" t="str">
        <f>IFERROR(__xludf.DUMMYFUNCTION("""COMPUTED_VALUE"""),"PS3")</f>
        <v>PS3</v>
      </c>
      <c r="C853" s="83" t="str">
        <f>IFERROR(__xludf.DUMMYFUNCTION("""COMPUTED_VALUE"""),"Playstation Plus (Discontinued)")</f>
        <v>Playstation Plus (Discontinued)</v>
      </c>
      <c r="D853" s="82" t="str">
        <f>IFERROR(__xludf.DUMMYFUNCTION("""COMPUTED_VALUE"""),"Removed")</f>
        <v>Removed</v>
      </c>
      <c r="E853" s="84">
        <f>IFERROR(__xludf.DUMMYFUNCTION("""COMPUTED_VALUE"""),40701.0)</f>
        <v>40701</v>
      </c>
      <c r="F853" s="85">
        <f>IFERROR(__xludf.DUMMYFUNCTION("""COMPUTED_VALUE"""),40728.0)</f>
        <v>40728</v>
      </c>
      <c r="G853" s="86">
        <f>IFERROR(__xludf.DUMMYFUNCTION("""COMPUTED_VALUE"""),0.8999999999999999)</f>
        <v>0.9</v>
      </c>
      <c r="H853" s="84">
        <f>IFERROR(__xludf.DUMMYFUNCTION("""COMPUTED_VALUE"""),40695.0)</f>
        <v>40695</v>
      </c>
      <c r="I853" s="86">
        <f>IFERROR(__xludf.DUMMYFUNCTION("""COMPUTED_VALUE"""),0.016666666666666666)</f>
        <v>0.01666666667</v>
      </c>
      <c r="J853" s="87">
        <f>IFERROR(__xludf.DUMMYFUNCTION("""COMPUTED_VALUE"""),62.0)</f>
        <v>62</v>
      </c>
      <c r="K853" s="88">
        <f>IFERROR(__xludf.DUMMYFUNCTION("""COMPUTED_VALUE"""),6.3)</f>
        <v>6.3</v>
      </c>
      <c r="L853" s="89">
        <f>IFERROR(__xludf.DUMMYFUNCTION("""COMPUTED_VALUE"""),2.0)</f>
        <v>2</v>
      </c>
      <c r="M853" s="26" t="str">
        <f>IFERROR(__xludf.DUMMYFUNCTION("""COMPUTED_VALUE"""),"Puzzle")</f>
        <v>Puzzle</v>
      </c>
      <c r="N853" s="26" t="str">
        <f>IFERROR(__xludf.DUMMYFUNCTION("""COMPUTED_VALUE"""),"PS Minis")</f>
        <v>PS Minis</v>
      </c>
      <c r="O853" s="26" t="str">
        <f>IFERROR(__xludf.DUMMYFUNCTION("""COMPUTED_VALUE"""),"No")</f>
        <v>No</v>
      </c>
      <c r="P853" s="26"/>
    </row>
    <row r="854">
      <c r="A854" s="81" t="str">
        <f>IFERROR(__xludf.DUMMYFUNCTION("""COMPUTED_VALUE"""),"Duael Invaders")</f>
        <v>Duael Invaders</v>
      </c>
      <c r="B854" s="82" t="str">
        <f>IFERROR(__xludf.DUMMYFUNCTION("""COMPUTED_VALUE"""),"PS3")</f>
        <v>PS3</v>
      </c>
      <c r="C854" s="83" t="str">
        <f>IFERROR(__xludf.DUMMYFUNCTION("""COMPUTED_VALUE"""),"Playstation Plus (Discontinued)")</f>
        <v>Playstation Plus (Discontinued)</v>
      </c>
      <c r="D854" s="82" t="str">
        <f>IFERROR(__xludf.DUMMYFUNCTION("""COMPUTED_VALUE"""),"Removed")</f>
        <v>Removed</v>
      </c>
      <c r="E854" s="84">
        <f>IFERROR(__xludf.DUMMYFUNCTION("""COMPUTED_VALUE"""),40638.0)</f>
        <v>40638</v>
      </c>
      <c r="F854" s="85">
        <f>IFERROR(__xludf.DUMMYFUNCTION("""COMPUTED_VALUE"""),40700.0)</f>
        <v>40700</v>
      </c>
      <c r="G854" s="86">
        <f>IFERROR(__xludf.DUMMYFUNCTION("""COMPUTED_VALUE"""),2.033333333333333)</f>
        <v>2.033333333</v>
      </c>
      <c r="H854" s="84">
        <f>IFERROR(__xludf.DUMMYFUNCTION("""COMPUTED_VALUE"""),40638.0)</f>
        <v>40638</v>
      </c>
      <c r="I854" s="86">
        <f>IFERROR(__xludf.DUMMYFUNCTION("""COMPUTED_VALUE"""),0.0)</f>
        <v>0</v>
      </c>
      <c r="J854" s="87">
        <f>IFERROR(__xludf.DUMMYFUNCTION("""COMPUTED_VALUE"""),52.0)</f>
        <v>52</v>
      </c>
      <c r="K854" s="88">
        <f>IFERROR(__xludf.DUMMYFUNCTION("""COMPUTED_VALUE"""),6.1)</f>
        <v>6.1</v>
      </c>
      <c r="L854" s="89">
        <f>IFERROR(__xludf.DUMMYFUNCTION("""COMPUTED_VALUE"""),1.0)</f>
        <v>1</v>
      </c>
      <c r="M854" s="26" t="str">
        <f>IFERROR(__xludf.DUMMYFUNCTION("""COMPUTED_VALUE"""),"Shooter")</f>
        <v>Shooter</v>
      </c>
      <c r="N854" s="26" t="str">
        <f>IFERROR(__xludf.DUMMYFUNCTION("""COMPUTED_VALUE"""),"PS Minis")</f>
        <v>PS Minis</v>
      </c>
      <c r="O854" s="26" t="str">
        <f>IFERROR(__xludf.DUMMYFUNCTION("""COMPUTED_VALUE"""),"No")</f>
        <v>No</v>
      </c>
      <c r="P854" s="26"/>
    </row>
    <row r="855">
      <c r="A855" s="81" t="str">
        <f>IFERROR(__xludf.DUMMYFUNCTION("""COMPUTED_VALUE"""),"Sonic the Hedgehog 2")</f>
        <v>Sonic the Hedgehog 2</v>
      </c>
      <c r="B855" s="82" t="str">
        <f>IFERROR(__xludf.DUMMYFUNCTION("""COMPUTED_VALUE"""),"PS3")</f>
        <v>PS3</v>
      </c>
      <c r="C855" s="83" t="str">
        <f>IFERROR(__xludf.DUMMYFUNCTION("""COMPUTED_VALUE"""),"Playstation Plus (Discontinued)")</f>
        <v>Playstation Plus (Discontinued)</v>
      </c>
      <c r="D855" s="82" t="str">
        <f>IFERROR(__xludf.DUMMYFUNCTION("""COMPUTED_VALUE"""),"Removed")</f>
        <v>Removed</v>
      </c>
      <c r="E855" s="84">
        <f>IFERROR(__xludf.DUMMYFUNCTION("""COMPUTED_VALUE"""),40638.0)</f>
        <v>40638</v>
      </c>
      <c r="F855" s="85">
        <f>IFERROR(__xludf.DUMMYFUNCTION("""COMPUTED_VALUE"""),40700.0)</f>
        <v>40700</v>
      </c>
      <c r="G855" s="86">
        <f>IFERROR(__xludf.DUMMYFUNCTION("""COMPUTED_VALUE"""),2.033333333333333)</f>
        <v>2.033333333</v>
      </c>
      <c r="H855" s="84">
        <f>IFERROR(__xludf.DUMMYFUNCTION("""COMPUTED_VALUE"""),33929.0)</f>
        <v>33929</v>
      </c>
      <c r="I855" s="86">
        <f>IFERROR(__xludf.DUMMYFUNCTION("""COMPUTED_VALUE"""),18.372222222222224)</f>
        <v>18.37222222</v>
      </c>
      <c r="J855" s="87">
        <f>IFERROR(__xludf.DUMMYFUNCTION("""COMPUTED_VALUE"""),69.0)</f>
        <v>69</v>
      </c>
      <c r="K855" s="88">
        <f>IFERROR(__xludf.DUMMYFUNCTION("""COMPUTED_VALUE"""),7.9)</f>
        <v>7.9</v>
      </c>
      <c r="L855" s="89">
        <f>IFERROR(__xludf.DUMMYFUNCTION("""COMPUTED_VALUE"""),4.0)</f>
        <v>4</v>
      </c>
      <c r="M855" s="26" t="str">
        <f>IFERROR(__xludf.DUMMYFUNCTION("""COMPUTED_VALUE"""),"Platformer")</f>
        <v>Platformer</v>
      </c>
      <c r="N855" s="26"/>
      <c r="O855" s="26" t="str">
        <f>IFERROR(__xludf.DUMMYFUNCTION("""COMPUTED_VALUE"""),"No")</f>
        <v>No</v>
      </c>
      <c r="P855" s="26"/>
    </row>
    <row r="856">
      <c r="A856" s="81" t="str">
        <f>IFERROR(__xludf.DUMMYFUNCTION("""COMPUTED_VALUE"""),"Vector TD")</f>
        <v>Vector TD</v>
      </c>
      <c r="B856" s="82" t="str">
        <f>IFERROR(__xludf.DUMMYFUNCTION("""COMPUTED_VALUE"""),"PS3")</f>
        <v>PS3</v>
      </c>
      <c r="C856" s="83" t="str">
        <f>IFERROR(__xludf.DUMMYFUNCTION("""COMPUTED_VALUE"""),"Playstation Plus (Discontinued)")</f>
        <v>Playstation Plus (Discontinued)</v>
      </c>
      <c r="D856" s="82" t="str">
        <f>IFERROR(__xludf.DUMMYFUNCTION("""COMPUTED_VALUE"""),"Removed")</f>
        <v>Removed</v>
      </c>
      <c r="E856" s="84">
        <f>IFERROR(__xludf.DUMMYFUNCTION("""COMPUTED_VALUE"""),40603.0)</f>
        <v>40603</v>
      </c>
      <c r="F856" s="85">
        <f>IFERROR(__xludf.DUMMYFUNCTION("""COMPUTED_VALUE"""),40637.0)</f>
        <v>40637</v>
      </c>
      <c r="G856" s="86">
        <f>IFERROR(__xludf.DUMMYFUNCTION("""COMPUTED_VALUE"""),1.0999999999999999)</f>
        <v>1.1</v>
      </c>
      <c r="H856" s="84">
        <f>IFERROR(__xludf.DUMMYFUNCTION("""COMPUTED_VALUE"""),40205.0)</f>
        <v>40205</v>
      </c>
      <c r="I856" s="86">
        <f>IFERROR(__xludf.DUMMYFUNCTION("""COMPUTED_VALUE"""),1.0944444444444446)</f>
        <v>1.094444444</v>
      </c>
      <c r="J856" s="87">
        <f>IFERROR(__xludf.DUMMYFUNCTION("""COMPUTED_VALUE"""),72.0)</f>
        <v>72</v>
      </c>
      <c r="K856" s="88">
        <f>IFERROR(__xludf.DUMMYFUNCTION("""COMPUTED_VALUE"""),7.0)</f>
        <v>7</v>
      </c>
      <c r="L856" s="89"/>
      <c r="M856" s="26" t="str">
        <f>IFERROR(__xludf.DUMMYFUNCTION("""COMPUTED_VALUE"""),"Strategy")</f>
        <v>Strategy</v>
      </c>
      <c r="N856" s="26" t="str">
        <f>IFERROR(__xludf.DUMMYFUNCTION("""COMPUTED_VALUE"""),"PS Minis")</f>
        <v>PS Minis</v>
      </c>
      <c r="O856" s="26" t="str">
        <f>IFERROR(__xludf.DUMMYFUNCTION("""COMPUTED_VALUE"""),"No")</f>
        <v>No</v>
      </c>
      <c r="P856" s="26"/>
    </row>
    <row r="857">
      <c r="A857" s="81" t="str">
        <f>IFERROR(__xludf.DUMMYFUNCTION("""COMPUTED_VALUE"""),"A Space Shooter for 2 Bucks!")</f>
        <v>A Space Shooter for 2 Bucks!</v>
      </c>
      <c r="B857" s="82" t="str">
        <f>IFERROR(__xludf.DUMMYFUNCTION("""COMPUTED_VALUE"""),"PS3")</f>
        <v>PS3</v>
      </c>
      <c r="C857" s="83" t="str">
        <f>IFERROR(__xludf.DUMMYFUNCTION("""COMPUTED_VALUE"""),"Playstation Plus (Discontinued)")</f>
        <v>Playstation Plus (Discontinued)</v>
      </c>
      <c r="D857" s="82" t="str">
        <f>IFERROR(__xludf.DUMMYFUNCTION("""COMPUTED_VALUE"""),"Removed")</f>
        <v>Removed</v>
      </c>
      <c r="E857" s="84">
        <f>IFERROR(__xludf.DUMMYFUNCTION("""COMPUTED_VALUE"""),40603.0)</f>
        <v>40603</v>
      </c>
      <c r="F857" s="85">
        <f>IFERROR(__xludf.DUMMYFUNCTION("""COMPUTED_VALUE"""),40637.0)</f>
        <v>40637</v>
      </c>
      <c r="G857" s="86">
        <f>IFERROR(__xludf.DUMMYFUNCTION("""COMPUTED_VALUE"""),1.0999999999999999)</f>
        <v>1.1</v>
      </c>
      <c r="H857" s="84">
        <f>IFERROR(__xludf.DUMMYFUNCTION("""COMPUTED_VALUE"""),40491.0)</f>
        <v>40491</v>
      </c>
      <c r="I857" s="86">
        <f>IFERROR(__xludf.DUMMYFUNCTION("""COMPUTED_VALUE"""),0.3111111111111111)</f>
        <v>0.3111111111</v>
      </c>
      <c r="J857" s="87">
        <f>IFERROR(__xludf.DUMMYFUNCTION("""COMPUTED_VALUE"""),61.0)</f>
        <v>61</v>
      </c>
      <c r="K857" s="88">
        <f>IFERROR(__xludf.DUMMYFUNCTION("""COMPUTED_VALUE"""),6.3)</f>
        <v>6.3</v>
      </c>
      <c r="L857" s="89"/>
      <c r="M857" s="26" t="str">
        <f>IFERROR(__xludf.DUMMYFUNCTION("""COMPUTED_VALUE"""),"Shooter")</f>
        <v>Shooter</v>
      </c>
      <c r="N857" s="26" t="str">
        <f>IFERROR(__xludf.DUMMYFUNCTION("""COMPUTED_VALUE"""),"PS Minis")</f>
        <v>PS Minis</v>
      </c>
      <c r="O857" s="26" t="str">
        <f>IFERROR(__xludf.DUMMYFUNCTION("""COMPUTED_VALUE"""),"No")</f>
        <v>No</v>
      </c>
      <c r="P857" s="26"/>
    </row>
    <row r="858">
      <c r="A858" s="81" t="str">
        <f>IFERROR(__xludf.DUMMYFUNCTION("""COMPUTED_VALUE"""),"Comet Crash")</f>
        <v>Comet Crash</v>
      </c>
      <c r="B858" s="82" t="str">
        <f>IFERROR(__xludf.DUMMYFUNCTION("""COMPUTED_VALUE"""),"PS3")</f>
        <v>PS3</v>
      </c>
      <c r="C858" s="83" t="str">
        <f>IFERROR(__xludf.DUMMYFUNCTION("""COMPUTED_VALUE"""),"Playstation Plus (Discontinued)")</f>
        <v>Playstation Plus (Discontinued)</v>
      </c>
      <c r="D858" s="82" t="str">
        <f>IFERROR(__xludf.DUMMYFUNCTION("""COMPUTED_VALUE"""),"Removed")</f>
        <v>Removed</v>
      </c>
      <c r="E858" s="84">
        <f>IFERROR(__xludf.DUMMYFUNCTION("""COMPUTED_VALUE"""),40603.0)</f>
        <v>40603</v>
      </c>
      <c r="F858" s="85">
        <f>IFERROR(__xludf.DUMMYFUNCTION("""COMPUTED_VALUE"""),40637.0)</f>
        <v>40637</v>
      </c>
      <c r="G858" s="86">
        <f>IFERROR(__xludf.DUMMYFUNCTION("""COMPUTED_VALUE"""),1.0999999999999999)</f>
        <v>1.1</v>
      </c>
      <c r="H858" s="84">
        <f>IFERROR(__xludf.DUMMYFUNCTION("""COMPUTED_VALUE"""),39849.0)</f>
        <v>39849</v>
      </c>
      <c r="I858" s="86">
        <f>IFERROR(__xludf.DUMMYFUNCTION("""COMPUTED_VALUE"""),2.0722222222222224)</f>
        <v>2.072222222</v>
      </c>
      <c r="J858" s="87">
        <f>IFERROR(__xludf.DUMMYFUNCTION("""COMPUTED_VALUE"""),75.0)</f>
        <v>75</v>
      </c>
      <c r="K858" s="88">
        <f>IFERROR(__xludf.DUMMYFUNCTION("""COMPUTED_VALUE"""),7.6)</f>
        <v>7.6</v>
      </c>
      <c r="L858" s="89"/>
      <c r="M858" s="26" t="str">
        <f>IFERROR(__xludf.DUMMYFUNCTION("""COMPUTED_VALUE"""),"Strategy")</f>
        <v>Strategy</v>
      </c>
      <c r="N858" s="26"/>
      <c r="O858" s="26" t="str">
        <f>IFERROR(__xludf.DUMMYFUNCTION("""COMPUTED_VALUE"""),"No")</f>
        <v>No</v>
      </c>
      <c r="P858" s="26"/>
    </row>
    <row r="859">
      <c r="A859" s="81" t="str">
        <f>IFERROR(__xludf.DUMMYFUNCTION("""COMPUTED_VALUE"""),"Oddworld: Abe’s Exoddus")</f>
        <v>Oddworld: Abe’s Exoddus</v>
      </c>
      <c r="B859" s="82" t="str">
        <f>IFERROR(__xludf.DUMMYFUNCTION("""COMPUTED_VALUE"""),"PS3")</f>
        <v>PS3</v>
      </c>
      <c r="C859" s="83" t="str">
        <f>IFERROR(__xludf.DUMMYFUNCTION("""COMPUTED_VALUE"""),"Playstation Plus (Discontinued)")</f>
        <v>Playstation Plus (Discontinued)</v>
      </c>
      <c r="D859" s="82" t="str">
        <f>IFERROR(__xludf.DUMMYFUNCTION("""COMPUTED_VALUE"""),"Removed")</f>
        <v>Removed</v>
      </c>
      <c r="E859" s="84">
        <f>IFERROR(__xludf.DUMMYFUNCTION("""COMPUTED_VALUE"""),40603.0)</f>
        <v>40603</v>
      </c>
      <c r="F859" s="85">
        <f>IFERROR(__xludf.DUMMYFUNCTION("""COMPUTED_VALUE"""),40637.0)</f>
        <v>40637</v>
      </c>
      <c r="G859" s="86">
        <f>IFERROR(__xludf.DUMMYFUNCTION("""COMPUTED_VALUE"""),1.0999999999999999)</f>
        <v>1.1</v>
      </c>
      <c r="H859" s="84">
        <f>IFERROR(__xludf.DUMMYFUNCTION("""COMPUTED_VALUE"""),36116.0)</f>
        <v>36116</v>
      </c>
      <c r="I859" s="86">
        <f>IFERROR(__xludf.DUMMYFUNCTION("""COMPUTED_VALUE"""),12.28888888888889)</f>
        <v>12.28888889</v>
      </c>
      <c r="J859" s="87">
        <f>IFERROR(__xludf.DUMMYFUNCTION("""COMPUTED_VALUE"""),88.0)</f>
        <v>88</v>
      </c>
      <c r="K859" s="88">
        <f>IFERROR(__xludf.DUMMYFUNCTION("""COMPUTED_VALUE"""),8.8)</f>
        <v>8.8</v>
      </c>
      <c r="L859" s="89">
        <f>IFERROR(__xludf.DUMMYFUNCTION("""COMPUTED_VALUE"""),13.0)</f>
        <v>13</v>
      </c>
      <c r="M859" s="26" t="str">
        <f>IFERROR(__xludf.DUMMYFUNCTION("""COMPUTED_VALUE"""),"Platformer")</f>
        <v>Platformer</v>
      </c>
      <c r="N859" s="26" t="str">
        <f>IFERROR(__xludf.DUMMYFUNCTION("""COMPUTED_VALUE"""),"PS1")</f>
        <v>PS1</v>
      </c>
      <c r="O859" s="26" t="str">
        <f>IFERROR(__xludf.DUMMYFUNCTION("""COMPUTED_VALUE"""),"No")</f>
        <v>No</v>
      </c>
      <c r="P859" s="26"/>
    </row>
    <row r="860">
      <c r="A860" s="81" t="str">
        <f>IFERROR(__xludf.DUMMYFUNCTION("""COMPUTED_VALUE"""),"Pix’n Love Rush")</f>
        <v>Pix’n Love Rush</v>
      </c>
      <c r="B860" s="82" t="str">
        <f>IFERROR(__xludf.DUMMYFUNCTION("""COMPUTED_VALUE"""),"PS3")</f>
        <v>PS3</v>
      </c>
      <c r="C860" s="83" t="str">
        <f>IFERROR(__xludf.DUMMYFUNCTION("""COMPUTED_VALUE"""),"Playstation Plus (Discontinued)")</f>
        <v>Playstation Plus (Discontinued)</v>
      </c>
      <c r="D860" s="82" t="str">
        <f>IFERROR(__xludf.DUMMYFUNCTION("""COMPUTED_VALUE"""),"Removed")</f>
        <v>Removed</v>
      </c>
      <c r="E860" s="84">
        <f>IFERROR(__xludf.DUMMYFUNCTION("""COMPUTED_VALUE"""),40603.0)</f>
        <v>40603</v>
      </c>
      <c r="F860" s="85">
        <f>IFERROR(__xludf.DUMMYFUNCTION("""COMPUTED_VALUE"""),40637.0)</f>
        <v>40637</v>
      </c>
      <c r="G860" s="86">
        <f>IFERROR(__xludf.DUMMYFUNCTION("""COMPUTED_VALUE"""),1.0999999999999999)</f>
        <v>1.1</v>
      </c>
      <c r="H860" s="84">
        <f>IFERROR(__xludf.DUMMYFUNCTION("""COMPUTED_VALUE"""),40414.0)</f>
        <v>40414</v>
      </c>
      <c r="I860" s="86">
        <f>IFERROR(__xludf.DUMMYFUNCTION("""COMPUTED_VALUE"""),0.5194444444444445)</f>
        <v>0.5194444444</v>
      </c>
      <c r="J860" s="87">
        <f>IFERROR(__xludf.DUMMYFUNCTION("""COMPUTED_VALUE"""),74.0)</f>
        <v>74</v>
      </c>
      <c r="K860" s="88">
        <f>IFERROR(__xludf.DUMMYFUNCTION("""COMPUTED_VALUE"""),7.2)</f>
        <v>7.2</v>
      </c>
      <c r="L860" s="89">
        <f>IFERROR(__xludf.DUMMYFUNCTION("""COMPUTED_VALUE"""),2.0)</f>
        <v>2</v>
      </c>
      <c r="M860" s="26" t="str">
        <f>IFERROR(__xludf.DUMMYFUNCTION("""COMPUTED_VALUE"""),"Platformer")</f>
        <v>Platformer</v>
      </c>
      <c r="N860" s="26" t="str">
        <f>IFERROR(__xludf.DUMMYFUNCTION("""COMPUTED_VALUE"""),"PS Minis")</f>
        <v>PS Minis</v>
      </c>
      <c r="O860" s="26" t="str">
        <f>IFERROR(__xludf.DUMMYFUNCTION("""COMPUTED_VALUE"""),"No")</f>
        <v>No</v>
      </c>
      <c r="P860" s="26"/>
    </row>
    <row r="861">
      <c r="A861" s="81" t="str">
        <f>IFERROR(__xludf.DUMMYFUNCTION("""COMPUTED_VALUE"""),"Enigmo")</f>
        <v>Enigmo</v>
      </c>
      <c r="B861" s="82" t="str">
        <f>IFERROR(__xludf.DUMMYFUNCTION("""COMPUTED_VALUE"""),"PS3")</f>
        <v>PS3</v>
      </c>
      <c r="C861" s="83" t="str">
        <f>IFERROR(__xludf.DUMMYFUNCTION("""COMPUTED_VALUE"""),"Playstation Plus (Discontinued)")</f>
        <v>Playstation Plus (Discontinued)</v>
      </c>
      <c r="D861" s="82" t="str">
        <f>IFERROR(__xludf.DUMMYFUNCTION("""COMPUTED_VALUE"""),"Removed")</f>
        <v>Removed</v>
      </c>
      <c r="E861" s="84">
        <f>IFERROR(__xludf.DUMMYFUNCTION("""COMPUTED_VALUE"""),40603.0)</f>
        <v>40603</v>
      </c>
      <c r="F861" s="85">
        <f>IFERROR(__xludf.DUMMYFUNCTION("""COMPUTED_VALUE"""),40637.0)</f>
        <v>40637</v>
      </c>
      <c r="G861" s="86">
        <f>IFERROR(__xludf.DUMMYFUNCTION("""COMPUTED_VALUE"""),1.0999999999999999)</f>
        <v>1.1</v>
      </c>
      <c r="H861" s="84">
        <f>IFERROR(__xludf.DUMMYFUNCTION("""COMPUTED_VALUE"""),39996.0)</f>
        <v>39996</v>
      </c>
      <c r="I861" s="86">
        <f>IFERROR(__xludf.DUMMYFUNCTION("""COMPUTED_VALUE"""),1.663888888888889)</f>
        <v>1.663888889</v>
      </c>
      <c r="J861" s="87">
        <f>IFERROR(__xludf.DUMMYFUNCTION("""COMPUTED_VALUE"""),78.0)</f>
        <v>78</v>
      </c>
      <c r="K861" s="88">
        <f>IFERROR(__xludf.DUMMYFUNCTION("""COMPUTED_VALUE"""),7.1)</f>
        <v>7.1</v>
      </c>
      <c r="L861" s="89">
        <f>IFERROR(__xludf.DUMMYFUNCTION("""COMPUTED_VALUE"""),4.0)</f>
        <v>4</v>
      </c>
      <c r="M861" s="26" t="str">
        <f>IFERROR(__xludf.DUMMYFUNCTION("""COMPUTED_VALUE"""),"Puzzle")</f>
        <v>Puzzle</v>
      </c>
      <c r="N861" s="26" t="str">
        <f>IFERROR(__xludf.DUMMYFUNCTION("""COMPUTED_VALUE"""),"PS Minis")</f>
        <v>PS Minis</v>
      </c>
      <c r="O861" s="26" t="str">
        <f>IFERROR(__xludf.DUMMYFUNCTION("""COMPUTED_VALUE"""),"No")</f>
        <v>No</v>
      </c>
      <c r="P861" s="26"/>
    </row>
    <row r="862">
      <c r="A862" s="81" t="str">
        <f>IFERROR(__xludf.DUMMYFUNCTION("""COMPUTED_VALUE"""),"Sonic the Hedgehog")</f>
        <v>Sonic the Hedgehog</v>
      </c>
      <c r="B862" s="82" t="str">
        <f>IFERROR(__xludf.DUMMYFUNCTION("""COMPUTED_VALUE"""),"PS3")</f>
        <v>PS3</v>
      </c>
      <c r="C862" s="83" t="str">
        <f>IFERROR(__xludf.DUMMYFUNCTION("""COMPUTED_VALUE"""),"Playstation Plus (Discontinued)")</f>
        <v>Playstation Plus (Discontinued)</v>
      </c>
      <c r="D862" s="82" t="str">
        <f>IFERROR(__xludf.DUMMYFUNCTION("""COMPUTED_VALUE"""),"Removed")</f>
        <v>Removed</v>
      </c>
      <c r="E862" s="84">
        <f>IFERROR(__xludf.DUMMYFUNCTION("""COMPUTED_VALUE"""),40603.0)</f>
        <v>40603</v>
      </c>
      <c r="F862" s="85">
        <f>IFERROR(__xludf.DUMMYFUNCTION("""COMPUTED_VALUE"""),40637.0)</f>
        <v>40637</v>
      </c>
      <c r="G862" s="86">
        <f>IFERROR(__xludf.DUMMYFUNCTION("""COMPUTED_VALUE"""),1.0999999999999999)</f>
        <v>1.1</v>
      </c>
      <c r="H862" s="84">
        <f>IFERROR(__xludf.DUMMYFUNCTION("""COMPUTED_VALUE"""),33412.0)</f>
        <v>33412</v>
      </c>
      <c r="I862" s="86">
        <f>IFERROR(__xludf.DUMMYFUNCTION("""COMPUTED_VALUE"""),19.68888888888889)</f>
        <v>19.68888889</v>
      </c>
      <c r="J862" s="87">
        <f>IFERROR(__xludf.DUMMYFUNCTION("""COMPUTED_VALUE"""),50.0)</f>
        <v>50</v>
      </c>
      <c r="K862" s="88">
        <f>IFERROR(__xludf.DUMMYFUNCTION("""COMPUTED_VALUE"""),7.2)</f>
        <v>7.2</v>
      </c>
      <c r="L862" s="89">
        <f>IFERROR(__xludf.DUMMYFUNCTION("""COMPUTED_VALUE"""),3.0)</f>
        <v>3</v>
      </c>
      <c r="M862" s="26" t="str">
        <f>IFERROR(__xludf.DUMMYFUNCTION("""COMPUTED_VALUE"""),"Platformer")</f>
        <v>Platformer</v>
      </c>
      <c r="N862" s="26"/>
      <c r="O862" s="26" t="str">
        <f>IFERROR(__xludf.DUMMYFUNCTION("""COMPUTED_VALUE"""),"No")</f>
        <v>No</v>
      </c>
      <c r="P862" s="26"/>
    </row>
    <row r="863">
      <c r="A863" s="81" t="str">
        <f>IFERROR(__xludf.DUMMYFUNCTION("""COMPUTED_VALUE"""),"Spyro Year of the Dragon")</f>
        <v>Spyro Year of the Dragon</v>
      </c>
      <c r="B863" s="82" t="str">
        <f>IFERROR(__xludf.DUMMYFUNCTION("""COMPUTED_VALUE"""),"PS3")</f>
        <v>PS3</v>
      </c>
      <c r="C863" s="83" t="str">
        <f>IFERROR(__xludf.DUMMYFUNCTION("""COMPUTED_VALUE"""),"Playstation Plus (Discontinued)")</f>
        <v>Playstation Plus (Discontinued)</v>
      </c>
      <c r="D863" s="82" t="str">
        <f>IFERROR(__xludf.DUMMYFUNCTION("""COMPUTED_VALUE"""),"Removed")</f>
        <v>Removed</v>
      </c>
      <c r="E863" s="84">
        <f>IFERROR(__xludf.DUMMYFUNCTION("""COMPUTED_VALUE"""),40603.0)</f>
        <v>40603</v>
      </c>
      <c r="F863" s="85">
        <f>IFERROR(__xludf.DUMMYFUNCTION("""COMPUTED_VALUE"""),40637.0)</f>
        <v>40637</v>
      </c>
      <c r="G863" s="86">
        <f>IFERROR(__xludf.DUMMYFUNCTION("""COMPUTED_VALUE"""),1.0999999999999999)</f>
        <v>1.1</v>
      </c>
      <c r="H863" s="84">
        <f>IFERROR(__xludf.DUMMYFUNCTION("""COMPUTED_VALUE"""),36854.0)</f>
        <v>36854</v>
      </c>
      <c r="I863" s="86">
        <f>IFERROR(__xludf.DUMMYFUNCTION("""COMPUTED_VALUE"""),10.269444444444444)</f>
        <v>10.26944444</v>
      </c>
      <c r="J863" s="87">
        <f>IFERROR(__xludf.DUMMYFUNCTION("""COMPUTED_VALUE"""),91.0)</f>
        <v>91</v>
      </c>
      <c r="K863" s="88">
        <f>IFERROR(__xludf.DUMMYFUNCTION("""COMPUTED_VALUE"""),9.1)</f>
        <v>9.1</v>
      </c>
      <c r="L863" s="89">
        <f>IFERROR(__xludf.DUMMYFUNCTION("""COMPUTED_VALUE"""),16.0)</f>
        <v>16</v>
      </c>
      <c r="M863" s="26" t="str">
        <f>IFERROR(__xludf.DUMMYFUNCTION("""COMPUTED_VALUE"""),"Platformer")</f>
        <v>Platformer</v>
      </c>
      <c r="N863" s="26" t="str">
        <f>IFERROR(__xludf.DUMMYFUNCTION("""COMPUTED_VALUE"""),"PS1")</f>
        <v>PS1</v>
      </c>
      <c r="O863" s="26" t="str">
        <f>IFERROR(__xludf.DUMMYFUNCTION("""COMPUTED_VALUE"""),"No")</f>
        <v>No</v>
      </c>
      <c r="P863" s="26"/>
    </row>
    <row r="864">
      <c r="A864" s="81" t="str">
        <f>IFERROR(__xludf.DUMMYFUNCTION("""COMPUTED_VALUE"""),"Stacking")</f>
        <v>Stacking</v>
      </c>
      <c r="B864" s="82" t="str">
        <f>IFERROR(__xludf.DUMMYFUNCTION("""COMPUTED_VALUE"""),"PS3")</f>
        <v>PS3</v>
      </c>
      <c r="C864" s="83" t="str">
        <f>IFERROR(__xludf.DUMMYFUNCTION("""COMPUTED_VALUE"""),"Playstation Plus (Discontinued)")</f>
        <v>Playstation Plus (Discontinued)</v>
      </c>
      <c r="D864" s="82" t="str">
        <f>IFERROR(__xludf.DUMMYFUNCTION("""COMPUTED_VALUE"""),"Removed")</f>
        <v>Removed</v>
      </c>
      <c r="E864" s="84">
        <f>IFERROR(__xludf.DUMMYFUNCTION("""COMPUTED_VALUE"""),40582.0)</f>
        <v>40582</v>
      </c>
      <c r="F864" s="85">
        <f>IFERROR(__xludf.DUMMYFUNCTION("""COMPUTED_VALUE"""),40602.0)</f>
        <v>40602</v>
      </c>
      <c r="G864" s="86">
        <f>IFERROR(__xludf.DUMMYFUNCTION("""COMPUTED_VALUE"""),0.6666666666666666)</f>
        <v>0.6666666667</v>
      </c>
      <c r="H864" s="84">
        <f>IFERROR(__xludf.DUMMYFUNCTION("""COMPUTED_VALUE"""),40582.0)</f>
        <v>40582</v>
      </c>
      <c r="I864" s="86">
        <f>IFERROR(__xludf.DUMMYFUNCTION("""COMPUTED_VALUE"""),0.0)</f>
        <v>0</v>
      </c>
      <c r="J864" s="87">
        <f>IFERROR(__xludf.DUMMYFUNCTION("""COMPUTED_VALUE"""),82.0)</f>
        <v>82</v>
      </c>
      <c r="K864" s="88">
        <f>IFERROR(__xludf.DUMMYFUNCTION("""COMPUTED_VALUE"""),7.6)</f>
        <v>7.6</v>
      </c>
      <c r="L864" s="89">
        <f>IFERROR(__xludf.DUMMYFUNCTION("""COMPUTED_VALUE"""),4.0)</f>
        <v>4</v>
      </c>
      <c r="M864" s="26" t="str">
        <f>IFERROR(__xludf.DUMMYFUNCTION("""COMPUTED_VALUE"""),"Adventure")</f>
        <v>Adventure</v>
      </c>
      <c r="N864" s="26"/>
      <c r="O864" s="26" t="str">
        <f>IFERROR(__xludf.DUMMYFUNCTION("""COMPUTED_VALUE"""),"No")</f>
        <v>No</v>
      </c>
      <c r="P864" s="26"/>
    </row>
    <row r="865">
      <c r="A865" s="81" t="str">
        <f>IFERROR(__xludf.DUMMYFUNCTION("""COMPUTED_VALUE"""),"Let’s Golf")</f>
        <v>Let’s Golf</v>
      </c>
      <c r="B865" s="82" t="str">
        <f>IFERROR(__xludf.DUMMYFUNCTION("""COMPUTED_VALUE"""),"PS3")</f>
        <v>PS3</v>
      </c>
      <c r="C865" s="83" t="str">
        <f>IFERROR(__xludf.DUMMYFUNCTION("""COMPUTED_VALUE"""),"Playstation Plus (Discontinued)")</f>
        <v>Playstation Plus (Discontinued)</v>
      </c>
      <c r="D865" s="82" t="str">
        <f>IFERROR(__xludf.DUMMYFUNCTION("""COMPUTED_VALUE"""),"Removed")</f>
        <v>Removed</v>
      </c>
      <c r="E865" s="84">
        <f>IFERROR(__xludf.DUMMYFUNCTION("""COMPUTED_VALUE"""),40575.0)</f>
        <v>40575</v>
      </c>
      <c r="F865" s="85">
        <f>IFERROR(__xludf.DUMMYFUNCTION("""COMPUTED_VALUE"""),40602.0)</f>
        <v>40602</v>
      </c>
      <c r="G865" s="86">
        <f>IFERROR(__xludf.DUMMYFUNCTION("""COMPUTED_VALUE"""),0.8999999999999999)</f>
        <v>0.9</v>
      </c>
      <c r="H865" s="84">
        <f>IFERROR(__xludf.DUMMYFUNCTION("""COMPUTED_VALUE"""),40414.0)</f>
        <v>40414</v>
      </c>
      <c r="I865" s="86">
        <f>IFERROR(__xludf.DUMMYFUNCTION("""COMPUTED_VALUE"""),0.4361111111111111)</f>
        <v>0.4361111111</v>
      </c>
      <c r="J865" s="87">
        <f>IFERROR(__xludf.DUMMYFUNCTION("""COMPUTED_VALUE"""),72.0)</f>
        <v>72</v>
      </c>
      <c r="K865" s="88">
        <f>IFERROR(__xludf.DUMMYFUNCTION("""COMPUTED_VALUE"""),7.2)</f>
        <v>7.2</v>
      </c>
      <c r="L865" s="89"/>
      <c r="M865" s="26" t="str">
        <f>IFERROR(__xludf.DUMMYFUNCTION("""COMPUTED_VALUE"""),"Sports")</f>
        <v>Sports</v>
      </c>
      <c r="N865" s="26" t="str">
        <f>IFERROR(__xludf.DUMMYFUNCTION("""COMPUTED_VALUE"""),"PS Minis")</f>
        <v>PS Minis</v>
      </c>
      <c r="O865" s="26" t="str">
        <f>IFERROR(__xludf.DUMMYFUNCTION("""COMPUTED_VALUE"""),"No")</f>
        <v>No</v>
      </c>
      <c r="P865" s="26"/>
    </row>
    <row r="866">
      <c r="A866" s="81" t="str">
        <f>IFERROR(__xludf.DUMMYFUNCTION("""COMPUTED_VALUE"""),"Karimogi")</f>
        <v>Karimogi</v>
      </c>
      <c r="B866" s="82" t="str">
        <f>IFERROR(__xludf.DUMMYFUNCTION("""COMPUTED_VALUE"""),"PS3")</f>
        <v>PS3</v>
      </c>
      <c r="C866" s="83" t="str">
        <f>IFERROR(__xludf.DUMMYFUNCTION("""COMPUTED_VALUE"""),"Playstation Plus (Discontinued)")</f>
        <v>Playstation Plus (Discontinued)</v>
      </c>
      <c r="D866" s="82" t="str">
        <f>IFERROR(__xludf.DUMMYFUNCTION("""COMPUTED_VALUE"""),"Removed")</f>
        <v>Removed</v>
      </c>
      <c r="E866" s="84">
        <f>IFERROR(__xludf.DUMMYFUNCTION("""COMPUTED_VALUE"""),40575.0)</f>
        <v>40575</v>
      </c>
      <c r="F866" s="85">
        <f>IFERROR(__xludf.DUMMYFUNCTION("""COMPUTED_VALUE"""),40602.0)</f>
        <v>40602</v>
      </c>
      <c r="G866" s="86">
        <f>IFERROR(__xludf.DUMMYFUNCTION("""COMPUTED_VALUE"""),0.8999999999999999)</f>
        <v>0.9</v>
      </c>
      <c r="H866" s="84">
        <f>IFERROR(__xludf.DUMMYFUNCTION("""COMPUTED_VALUE"""),40561.0)</f>
        <v>40561</v>
      </c>
      <c r="I866" s="86">
        <f>IFERROR(__xludf.DUMMYFUNCTION("""COMPUTED_VALUE"""),0.03611111111111111)</f>
        <v>0.03611111111</v>
      </c>
      <c r="J866" s="87">
        <f>IFERROR(__xludf.DUMMYFUNCTION("""COMPUTED_VALUE"""),55.0)</f>
        <v>55</v>
      </c>
      <c r="K866" s="88">
        <f>IFERROR(__xludf.DUMMYFUNCTION("""COMPUTED_VALUE"""),6.2)</f>
        <v>6.2</v>
      </c>
      <c r="L866" s="89">
        <f>IFERROR(__xludf.DUMMYFUNCTION("""COMPUTED_VALUE"""),1.0)</f>
        <v>1</v>
      </c>
      <c r="M866" s="26" t="str">
        <f>IFERROR(__xludf.DUMMYFUNCTION("""COMPUTED_VALUE"""),"Puzzle")</f>
        <v>Puzzle</v>
      </c>
      <c r="N866" s="26" t="str">
        <f>IFERROR(__xludf.DUMMYFUNCTION("""COMPUTED_VALUE"""),"PS Minis")</f>
        <v>PS Minis</v>
      </c>
      <c r="O866" s="26" t="str">
        <f>IFERROR(__xludf.DUMMYFUNCTION("""COMPUTED_VALUE"""),"No")</f>
        <v>No</v>
      </c>
      <c r="P866" s="26"/>
    </row>
    <row r="867">
      <c r="A867" s="81" t="str">
        <f>IFERROR(__xludf.DUMMYFUNCTION("""COMPUTED_VALUE"""),"Digger HD")</f>
        <v>Digger HD</v>
      </c>
      <c r="B867" s="82" t="str">
        <f>IFERROR(__xludf.DUMMYFUNCTION("""COMPUTED_VALUE"""),"PS3")</f>
        <v>PS3</v>
      </c>
      <c r="C867" s="83" t="str">
        <f>IFERROR(__xludf.DUMMYFUNCTION("""COMPUTED_VALUE"""),"Playstation Plus (Discontinued)")</f>
        <v>Playstation Plus (Discontinued)</v>
      </c>
      <c r="D867" s="82" t="str">
        <f>IFERROR(__xludf.DUMMYFUNCTION("""COMPUTED_VALUE"""),"Removed")</f>
        <v>Removed</v>
      </c>
      <c r="E867" s="84">
        <f>IFERROR(__xludf.DUMMYFUNCTION("""COMPUTED_VALUE"""),40575.0)</f>
        <v>40575</v>
      </c>
      <c r="F867" s="85">
        <f>IFERROR(__xludf.DUMMYFUNCTION("""COMPUTED_VALUE"""),40602.0)</f>
        <v>40602</v>
      </c>
      <c r="G867" s="86">
        <f>IFERROR(__xludf.DUMMYFUNCTION("""COMPUTED_VALUE"""),0.8999999999999999)</f>
        <v>0.9</v>
      </c>
      <c r="H867" s="84">
        <f>IFERROR(__xludf.DUMMYFUNCTION("""COMPUTED_VALUE"""),40087.0)</f>
        <v>40087</v>
      </c>
      <c r="I867" s="86">
        <f>IFERROR(__xludf.DUMMYFUNCTION("""COMPUTED_VALUE"""),1.3333333333333333)</f>
        <v>1.333333333</v>
      </c>
      <c r="J867" s="87">
        <f>IFERROR(__xludf.DUMMYFUNCTION("""COMPUTED_VALUE"""),58.0)</f>
        <v>58</v>
      </c>
      <c r="K867" s="88">
        <f>IFERROR(__xludf.DUMMYFUNCTION("""COMPUTED_VALUE"""),6.3)</f>
        <v>6.3</v>
      </c>
      <c r="L867" s="89"/>
      <c r="M867" s="26" t="str">
        <f>IFERROR(__xludf.DUMMYFUNCTION("""COMPUTED_VALUE"""),"Arcade")</f>
        <v>Arcade</v>
      </c>
      <c r="N867" s="26"/>
      <c r="O867" s="26" t="str">
        <f>IFERROR(__xludf.DUMMYFUNCTION("""COMPUTED_VALUE"""),"No")</f>
        <v>No</v>
      </c>
      <c r="P867" s="26"/>
    </row>
    <row r="868">
      <c r="A868" s="81" t="str">
        <f>IFERROR(__xludf.DUMMYFUNCTION("""COMPUTED_VALUE"""),"Spyro 2: Ripto’s Rage")</f>
        <v>Spyro 2: Ripto’s Rage</v>
      </c>
      <c r="B868" s="82" t="str">
        <f>IFERROR(__xludf.DUMMYFUNCTION("""COMPUTED_VALUE"""),"PS3")</f>
        <v>PS3</v>
      </c>
      <c r="C868" s="83" t="str">
        <f>IFERROR(__xludf.DUMMYFUNCTION("""COMPUTED_VALUE"""),"Playstation Plus (Discontinued)")</f>
        <v>Playstation Plus (Discontinued)</v>
      </c>
      <c r="D868" s="82" t="str">
        <f>IFERROR(__xludf.DUMMYFUNCTION("""COMPUTED_VALUE"""),"Removed")</f>
        <v>Removed</v>
      </c>
      <c r="E868" s="84">
        <f>IFERROR(__xludf.DUMMYFUNCTION("""COMPUTED_VALUE"""),40575.0)</f>
        <v>40575</v>
      </c>
      <c r="F868" s="85">
        <f>IFERROR(__xludf.DUMMYFUNCTION("""COMPUTED_VALUE"""),40602.0)</f>
        <v>40602</v>
      </c>
      <c r="G868" s="86">
        <f>IFERROR(__xludf.DUMMYFUNCTION("""COMPUTED_VALUE"""),0.8999999999999999)</f>
        <v>0.9</v>
      </c>
      <c r="H868" s="84">
        <f>IFERROR(__xludf.DUMMYFUNCTION("""COMPUTED_VALUE"""),36466.0)</f>
        <v>36466</v>
      </c>
      <c r="I868" s="86">
        <f>IFERROR(__xludf.DUMMYFUNCTION("""COMPUTED_VALUE"""),11.247222222222222)</f>
        <v>11.24722222</v>
      </c>
      <c r="J868" s="87">
        <f>IFERROR(__xludf.DUMMYFUNCTION("""COMPUTED_VALUE"""),87.0)</f>
        <v>87</v>
      </c>
      <c r="K868" s="88">
        <f>IFERROR(__xludf.DUMMYFUNCTION("""COMPUTED_VALUE"""),8.9)</f>
        <v>8.9</v>
      </c>
      <c r="L868" s="89">
        <f>IFERROR(__xludf.DUMMYFUNCTION("""COMPUTED_VALUE"""),13.0)</f>
        <v>13</v>
      </c>
      <c r="M868" s="26" t="str">
        <f>IFERROR(__xludf.DUMMYFUNCTION("""COMPUTED_VALUE"""),"Platformer")</f>
        <v>Platformer</v>
      </c>
      <c r="N868" s="26" t="str">
        <f>IFERROR(__xludf.DUMMYFUNCTION("""COMPUTED_VALUE"""),"PS1")</f>
        <v>PS1</v>
      </c>
      <c r="O868" s="26" t="str">
        <f>IFERROR(__xludf.DUMMYFUNCTION("""COMPUTED_VALUE"""),"No")</f>
        <v>No</v>
      </c>
      <c r="P868" s="26"/>
    </row>
    <row r="869">
      <c r="A869" s="81" t="str">
        <f>IFERROR(__xludf.DUMMYFUNCTION("""COMPUTED_VALUE"""),"Hero of Sparta")</f>
        <v>Hero of Sparta</v>
      </c>
      <c r="B869" s="82" t="str">
        <f>IFERROR(__xludf.DUMMYFUNCTION("""COMPUTED_VALUE"""),"PS3")</f>
        <v>PS3</v>
      </c>
      <c r="C869" s="83" t="str">
        <f>IFERROR(__xludf.DUMMYFUNCTION("""COMPUTED_VALUE"""),"Playstation Plus (Discontinued)")</f>
        <v>Playstation Plus (Discontinued)</v>
      </c>
      <c r="D869" s="82" t="str">
        <f>IFERROR(__xludf.DUMMYFUNCTION("""COMPUTED_VALUE"""),"Removed")</f>
        <v>Removed</v>
      </c>
      <c r="E869" s="84">
        <f>IFERROR(__xludf.DUMMYFUNCTION("""COMPUTED_VALUE"""),40547.0)</f>
        <v>40547</v>
      </c>
      <c r="F869" s="85">
        <f>IFERROR(__xludf.DUMMYFUNCTION("""COMPUTED_VALUE"""),40574.0)</f>
        <v>40574</v>
      </c>
      <c r="G869" s="86">
        <f>IFERROR(__xludf.DUMMYFUNCTION("""COMPUTED_VALUE"""),0.8666666666666666)</f>
        <v>0.8666666667</v>
      </c>
      <c r="H869" s="84">
        <f>IFERROR(__xludf.DUMMYFUNCTION("""COMPUTED_VALUE"""),40087.0)</f>
        <v>40087</v>
      </c>
      <c r="I869" s="86">
        <f>IFERROR(__xludf.DUMMYFUNCTION("""COMPUTED_VALUE"""),1.2583333333333333)</f>
        <v>1.258333333</v>
      </c>
      <c r="J869" s="87">
        <f>IFERROR(__xludf.DUMMYFUNCTION("""COMPUTED_VALUE"""),62.0)</f>
        <v>62</v>
      </c>
      <c r="K869" s="88">
        <f>IFERROR(__xludf.DUMMYFUNCTION("""COMPUTED_VALUE"""),6.5)</f>
        <v>6.5</v>
      </c>
      <c r="L869" s="89">
        <f>IFERROR(__xludf.DUMMYFUNCTION("""COMPUTED_VALUE"""),3.0)</f>
        <v>3</v>
      </c>
      <c r="M869" s="26" t="str">
        <f>IFERROR(__xludf.DUMMYFUNCTION("""COMPUTED_VALUE"""),"Action-Adventure")</f>
        <v>Action-Adventure</v>
      </c>
      <c r="N869" s="26" t="str">
        <f>IFERROR(__xludf.DUMMYFUNCTION("""COMPUTED_VALUE"""),"PS Minis")</f>
        <v>PS Minis</v>
      </c>
      <c r="O869" s="26" t="str">
        <f>IFERROR(__xludf.DUMMYFUNCTION("""COMPUTED_VALUE"""),"No")</f>
        <v>No</v>
      </c>
      <c r="P869" s="26"/>
    </row>
    <row r="870">
      <c r="A870" s="81" t="str">
        <f>IFERROR(__xludf.DUMMYFUNCTION("""COMPUTED_VALUE"""),"Pipe Madness")</f>
        <v>Pipe Madness</v>
      </c>
      <c r="B870" s="82" t="str">
        <f>IFERROR(__xludf.DUMMYFUNCTION("""COMPUTED_VALUE"""),"PS3")</f>
        <v>PS3</v>
      </c>
      <c r="C870" s="83" t="str">
        <f>IFERROR(__xludf.DUMMYFUNCTION("""COMPUTED_VALUE"""),"Playstation Plus (Discontinued)")</f>
        <v>Playstation Plus (Discontinued)</v>
      </c>
      <c r="D870" s="82" t="str">
        <f>IFERROR(__xludf.DUMMYFUNCTION("""COMPUTED_VALUE"""),"Removed")</f>
        <v>Removed</v>
      </c>
      <c r="E870" s="84">
        <f>IFERROR(__xludf.DUMMYFUNCTION("""COMPUTED_VALUE"""),40547.0)</f>
        <v>40547</v>
      </c>
      <c r="F870" s="85">
        <f>IFERROR(__xludf.DUMMYFUNCTION("""COMPUTED_VALUE"""),40574.0)</f>
        <v>40574</v>
      </c>
      <c r="G870" s="86">
        <f>IFERROR(__xludf.DUMMYFUNCTION("""COMPUTED_VALUE"""),0.8666666666666666)</f>
        <v>0.8666666667</v>
      </c>
      <c r="H870" s="84">
        <f>IFERROR(__xludf.DUMMYFUNCTION("""COMPUTED_VALUE"""),40547.0)</f>
        <v>40547</v>
      </c>
      <c r="I870" s="86">
        <f>IFERROR(__xludf.DUMMYFUNCTION("""COMPUTED_VALUE"""),0.0)</f>
        <v>0</v>
      </c>
      <c r="J870" s="87">
        <f>IFERROR(__xludf.DUMMYFUNCTION("""COMPUTED_VALUE"""),59.0)</f>
        <v>59</v>
      </c>
      <c r="K870" s="88">
        <f>IFERROR(__xludf.DUMMYFUNCTION("""COMPUTED_VALUE"""),6.5)</f>
        <v>6.5</v>
      </c>
      <c r="L870" s="89">
        <f>IFERROR(__xludf.DUMMYFUNCTION("""COMPUTED_VALUE"""),2.0)</f>
        <v>2</v>
      </c>
      <c r="M870" s="26" t="str">
        <f>IFERROR(__xludf.DUMMYFUNCTION("""COMPUTED_VALUE"""),"Puzzle")</f>
        <v>Puzzle</v>
      </c>
      <c r="N870" s="26" t="str">
        <f>IFERROR(__xludf.DUMMYFUNCTION("""COMPUTED_VALUE"""),"PS Minis")</f>
        <v>PS Minis</v>
      </c>
      <c r="O870" s="26" t="str">
        <f>IFERROR(__xludf.DUMMYFUNCTION("""COMPUTED_VALUE"""),"No")</f>
        <v>No</v>
      </c>
      <c r="P870" s="26"/>
    </row>
    <row r="871">
      <c r="A871" s="81" t="str">
        <f>IFERROR(__xludf.DUMMYFUNCTION("""COMPUTED_VALUE"""),"Lead &amp; Gold")</f>
        <v>Lead &amp; Gold</v>
      </c>
      <c r="B871" s="82" t="str">
        <f>IFERROR(__xludf.DUMMYFUNCTION("""COMPUTED_VALUE"""),"PS3")</f>
        <v>PS3</v>
      </c>
      <c r="C871" s="83" t="str">
        <f>IFERROR(__xludf.DUMMYFUNCTION("""COMPUTED_VALUE"""),"Playstation Plus (Discontinued)")</f>
        <v>Playstation Plus (Discontinued)</v>
      </c>
      <c r="D871" s="82" t="str">
        <f>IFERROR(__xludf.DUMMYFUNCTION("""COMPUTED_VALUE"""),"Removed")</f>
        <v>Removed</v>
      </c>
      <c r="E871" s="84">
        <f>IFERROR(__xludf.DUMMYFUNCTION("""COMPUTED_VALUE"""),40547.0)</f>
        <v>40547</v>
      </c>
      <c r="F871" s="85">
        <f>IFERROR(__xludf.DUMMYFUNCTION("""COMPUTED_VALUE"""),40574.0)</f>
        <v>40574</v>
      </c>
      <c r="G871" s="86">
        <f>IFERROR(__xludf.DUMMYFUNCTION("""COMPUTED_VALUE"""),0.8666666666666666)</f>
        <v>0.8666666667</v>
      </c>
      <c r="H871" s="84">
        <f>IFERROR(__xludf.DUMMYFUNCTION("""COMPUTED_VALUE"""),40276.0)</f>
        <v>40276</v>
      </c>
      <c r="I871" s="86">
        <f>IFERROR(__xludf.DUMMYFUNCTION("""COMPUTED_VALUE"""),0.7388888888888889)</f>
        <v>0.7388888889</v>
      </c>
      <c r="J871" s="87">
        <f>IFERROR(__xludf.DUMMYFUNCTION("""COMPUTED_VALUE"""),75.0)</f>
        <v>75</v>
      </c>
      <c r="K871" s="88">
        <f>IFERROR(__xludf.DUMMYFUNCTION("""COMPUTED_VALUE"""),7.1)</f>
        <v>7.1</v>
      </c>
      <c r="L871" s="89"/>
      <c r="M871" s="26" t="str">
        <f>IFERROR(__xludf.DUMMYFUNCTION("""COMPUTED_VALUE"""),"Shooter")</f>
        <v>Shooter</v>
      </c>
      <c r="N871" s="26"/>
      <c r="O871" s="26" t="str">
        <f>IFERROR(__xludf.DUMMYFUNCTION("""COMPUTED_VALUE"""),"No")</f>
        <v>No</v>
      </c>
      <c r="P871" s="26"/>
    </row>
    <row r="872">
      <c r="A872" s="81" t="str">
        <f>IFERROR(__xludf.DUMMYFUNCTION("""COMPUTED_VALUE"""),"Spyro the Dragon")</f>
        <v>Spyro the Dragon</v>
      </c>
      <c r="B872" s="82" t="str">
        <f>IFERROR(__xludf.DUMMYFUNCTION("""COMPUTED_VALUE"""),"PS3")</f>
        <v>PS3</v>
      </c>
      <c r="C872" s="83" t="str">
        <f>IFERROR(__xludf.DUMMYFUNCTION("""COMPUTED_VALUE"""),"Playstation Plus (Discontinued)")</f>
        <v>Playstation Plus (Discontinued)</v>
      </c>
      <c r="D872" s="82" t="str">
        <f>IFERROR(__xludf.DUMMYFUNCTION("""COMPUTED_VALUE"""),"Removed")</f>
        <v>Removed</v>
      </c>
      <c r="E872" s="84">
        <f>IFERROR(__xludf.DUMMYFUNCTION("""COMPUTED_VALUE"""),40547.0)</f>
        <v>40547</v>
      </c>
      <c r="F872" s="85">
        <f>IFERROR(__xludf.DUMMYFUNCTION("""COMPUTED_VALUE"""),40574.0)</f>
        <v>40574</v>
      </c>
      <c r="G872" s="86">
        <f>IFERROR(__xludf.DUMMYFUNCTION("""COMPUTED_VALUE"""),0.8666666666666666)</f>
        <v>0.8666666667</v>
      </c>
      <c r="H872" s="84">
        <f>IFERROR(__xludf.DUMMYFUNCTION("""COMPUTED_VALUE"""),36047.0)</f>
        <v>36047</v>
      </c>
      <c r="I872" s="86">
        <f>IFERROR(__xludf.DUMMYFUNCTION("""COMPUTED_VALUE"""),12.319444444444445)</f>
        <v>12.31944444</v>
      </c>
      <c r="J872" s="87">
        <f>IFERROR(__xludf.DUMMYFUNCTION("""COMPUTED_VALUE"""),91.0)</f>
        <v>91</v>
      </c>
      <c r="K872" s="88">
        <f>IFERROR(__xludf.DUMMYFUNCTION("""COMPUTED_VALUE"""),9.1)</f>
        <v>9.1</v>
      </c>
      <c r="L872" s="89">
        <f>IFERROR(__xludf.DUMMYFUNCTION("""COMPUTED_VALUE"""),13.0)</f>
        <v>13</v>
      </c>
      <c r="M872" s="26" t="str">
        <f>IFERROR(__xludf.DUMMYFUNCTION("""COMPUTED_VALUE"""),"Platformer")</f>
        <v>Platformer</v>
      </c>
      <c r="N872" s="26" t="str">
        <f>IFERROR(__xludf.DUMMYFUNCTION("""COMPUTED_VALUE"""),"PS1")</f>
        <v>PS1</v>
      </c>
      <c r="O872" s="26" t="str">
        <f>IFERROR(__xludf.DUMMYFUNCTION("""COMPUTED_VALUE"""),"No")</f>
        <v>No</v>
      </c>
      <c r="P872" s="26"/>
    </row>
    <row r="873">
      <c r="A873" s="81" t="str">
        <f>IFERROR(__xludf.DUMMYFUNCTION("""COMPUTED_VALUE"""),"Sackboy's Prehistoric Moves")</f>
        <v>Sackboy's Prehistoric Moves</v>
      </c>
      <c r="B873" s="82" t="str">
        <f>IFERROR(__xludf.DUMMYFUNCTION("""COMPUTED_VALUE"""),"PS3")</f>
        <v>PS3</v>
      </c>
      <c r="C873" s="83" t="str">
        <f>IFERROR(__xludf.DUMMYFUNCTION("""COMPUTED_VALUE"""),"Playstation Plus (Discontinued)")</f>
        <v>Playstation Plus (Discontinued)</v>
      </c>
      <c r="D873" s="82" t="str">
        <f>IFERROR(__xludf.DUMMYFUNCTION("""COMPUTED_VALUE"""),"Removed")</f>
        <v>Removed</v>
      </c>
      <c r="E873" s="84">
        <f>IFERROR(__xludf.DUMMYFUNCTION("""COMPUTED_VALUE"""),40526.0)</f>
        <v>40526</v>
      </c>
      <c r="F873" s="85">
        <f>IFERROR(__xludf.DUMMYFUNCTION("""COMPUTED_VALUE"""),40546.0)</f>
        <v>40546</v>
      </c>
      <c r="G873" s="86">
        <f>IFERROR(__xludf.DUMMYFUNCTION("""COMPUTED_VALUE"""),0.6333333333333333)</f>
        <v>0.6333333333</v>
      </c>
      <c r="H873" s="84">
        <f>IFERROR(__xludf.DUMMYFUNCTION("""COMPUTED_VALUE"""),40526.0)</f>
        <v>40526</v>
      </c>
      <c r="I873" s="86">
        <f>IFERROR(__xludf.DUMMYFUNCTION("""COMPUTED_VALUE"""),0.0)</f>
        <v>0</v>
      </c>
      <c r="J873" s="87">
        <f>IFERROR(__xludf.DUMMYFUNCTION("""COMPUTED_VALUE"""),62.0)</f>
        <v>62</v>
      </c>
      <c r="K873" s="88">
        <f>IFERROR(__xludf.DUMMYFUNCTION("""COMPUTED_VALUE"""),6.6)</f>
        <v>6.6</v>
      </c>
      <c r="L873" s="89">
        <f>IFERROR(__xludf.DUMMYFUNCTION("""COMPUTED_VALUE"""),1.0)</f>
        <v>1</v>
      </c>
      <c r="M873" s="26" t="str">
        <f>IFERROR(__xludf.DUMMYFUNCTION("""COMPUTED_VALUE"""),"Platformer")</f>
        <v>Platformer</v>
      </c>
      <c r="N873" s="26"/>
      <c r="O873" s="26" t="str">
        <f>IFERROR(__xludf.DUMMYFUNCTION("""COMPUTED_VALUE"""),"No")</f>
        <v>No</v>
      </c>
      <c r="P873" s="26"/>
    </row>
    <row r="874">
      <c r="A874" s="81" t="str">
        <f>IFERROR(__xludf.DUMMYFUNCTION("""COMPUTED_VALUE"""),"I Must Run!")</f>
        <v>I Must Run!</v>
      </c>
      <c r="B874" s="82" t="str">
        <f>IFERROR(__xludf.DUMMYFUNCTION("""COMPUTED_VALUE"""),"PS3")</f>
        <v>PS3</v>
      </c>
      <c r="C874" s="83" t="str">
        <f>IFERROR(__xludf.DUMMYFUNCTION("""COMPUTED_VALUE"""),"Playstation Plus (Discontinued)")</f>
        <v>Playstation Plus (Discontinued)</v>
      </c>
      <c r="D874" s="82" t="str">
        <f>IFERROR(__xludf.DUMMYFUNCTION("""COMPUTED_VALUE"""),"Removed")</f>
        <v>Removed</v>
      </c>
      <c r="E874" s="84">
        <f>IFERROR(__xludf.DUMMYFUNCTION("""COMPUTED_VALUE"""),40526.0)</f>
        <v>40526</v>
      </c>
      <c r="F874" s="85">
        <f>IFERROR(__xludf.DUMMYFUNCTION("""COMPUTED_VALUE"""),40546.0)</f>
        <v>40546</v>
      </c>
      <c r="G874" s="86">
        <f>IFERROR(__xludf.DUMMYFUNCTION("""COMPUTED_VALUE"""),0.6333333333333333)</f>
        <v>0.6333333333</v>
      </c>
      <c r="H874" s="84">
        <f>IFERROR(__xludf.DUMMYFUNCTION("""COMPUTED_VALUE"""),40526.0)</f>
        <v>40526</v>
      </c>
      <c r="I874" s="86">
        <f>IFERROR(__xludf.DUMMYFUNCTION("""COMPUTED_VALUE"""),0.0)</f>
        <v>0</v>
      </c>
      <c r="J874" s="87">
        <f>IFERROR(__xludf.DUMMYFUNCTION("""COMPUTED_VALUE"""),54.0)</f>
        <v>54</v>
      </c>
      <c r="K874" s="88">
        <f>IFERROR(__xludf.DUMMYFUNCTION("""COMPUTED_VALUE"""),6.1)</f>
        <v>6.1</v>
      </c>
      <c r="L874" s="89">
        <f>IFERROR(__xludf.DUMMYFUNCTION("""COMPUTED_VALUE"""),2.0)</f>
        <v>2</v>
      </c>
      <c r="M874" s="26" t="str">
        <f>IFERROR(__xludf.DUMMYFUNCTION("""COMPUTED_VALUE"""),"Platformer")</f>
        <v>Platformer</v>
      </c>
      <c r="N874" s="26" t="str">
        <f>IFERROR(__xludf.DUMMYFUNCTION("""COMPUTED_VALUE"""),"PS Minis")</f>
        <v>PS Minis</v>
      </c>
      <c r="O874" s="26" t="str">
        <f>IFERROR(__xludf.DUMMYFUNCTION("""COMPUTED_VALUE"""),"No")</f>
        <v>No</v>
      </c>
      <c r="P874" s="26"/>
    </row>
    <row r="875">
      <c r="A875" s="81" t="str">
        <f>IFERROR(__xludf.DUMMYFUNCTION("""COMPUTED_VALUE"""),"A Space Shooter For 2 Bucks")</f>
        <v>A Space Shooter For 2 Bucks</v>
      </c>
      <c r="B875" s="82" t="str">
        <f>IFERROR(__xludf.DUMMYFUNCTION("""COMPUTED_VALUE"""),"PS3")</f>
        <v>PS3</v>
      </c>
      <c r="C875" s="83" t="str">
        <f>IFERROR(__xludf.DUMMYFUNCTION("""COMPUTED_VALUE"""),"Playstation Plus (Discontinued)")</f>
        <v>Playstation Plus (Discontinued)</v>
      </c>
      <c r="D875" s="82" t="str">
        <f>IFERROR(__xludf.DUMMYFUNCTION("""COMPUTED_VALUE"""),"Removed")</f>
        <v>Removed</v>
      </c>
      <c r="E875" s="84">
        <f>IFERROR(__xludf.DUMMYFUNCTION("""COMPUTED_VALUE"""),40519.0)</f>
        <v>40519</v>
      </c>
      <c r="F875" s="85">
        <f>IFERROR(__xludf.DUMMYFUNCTION("""COMPUTED_VALUE"""),40546.0)</f>
        <v>40546</v>
      </c>
      <c r="G875" s="86">
        <f>IFERROR(__xludf.DUMMYFUNCTION("""COMPUTED_VALUE"""),0.8666666666666666)</f>
        <v>0.8666666667</v>
      </c>
      <c r="H875" s="84">
        <f>IFERROR(__xludf.DUMMYFUNCTION("""COMPUTED_VALUE"""),40491.0)</f>
        <v>40491</v>
      </c>
      <c r="I875" s="86">
        <f>IFERROR(__xludf.DUMMYFUNCTION("""COMPUTED_VALUE"""),0.07777777777777778)</f>
        <v>0.07777777778</v>
      </c>
      <c r="J875" s="87">
        <f>IFERROR(__xludf.DUMMYFUNCTION("""COMPUTED_VALUE"""),61.0)</f>
        <v>61</v>
      </c>
      <c r="K875" s="88">
        <f>IFERROR(__xludf.DUMMYFUNCTION("""COMPUTED_VALUE"""),6.3)</f>
        <v>6.3</v>
      </c>
      <c r="L875" s="89"/>
      <c r="M875" s="26" t="str">
        <f>IFERROR(__xludf.DUMMYFUNCTION("""COMPUTED_VALUE"""),"Shooter")</f>
        <v>Shooter</v>
      </c>
      <c r="N875" s="26" t="str">
        <f>IFERROR(__xludf.DUMMYFUNCTION("""COMPUTED_VALUE"""),"PS Minis")</f>
        <v>PS Minis</v>
      </c>
      <c r="O875" s="26" t="str">
        <f>IFERROR(__xludf.DUMMYFUNCTION("""COMPUTED_VALUE"""),"No")</f>
        <v>No</v>
      </c>
      <c r="P875" s="26"/>
    </row>
    <row r="876">
      <c r="A876" s="81" t="str">
        <f>IFERROR(__xludf.DUMMYFUNCTION("""COMPUTED_VALUE"""),"Crash Team Racing")</f>
        <v>Crash Team Racing</v>
      </c>
      <c r="B876" s="82" t="str">
        <f>IFERROR(__xludf.DUMMYFUNCTION("""COMPUTED_VALUE"""),"PS3")</f>
        <v>PS3</v>
      </c>
      <c r="C876" s="83" t="str">
        <f>IFERROR(__xludf.DUMMYFUNCTION("""COMPUTED_VALUE"""),"Playstation Plus (Discontinued)")</f>
        <v>Playstation Plus (Discontinued)</v>
      </c>
      <c r="D876" s="82" t="str">
        <f>IFERROR(__xludf.DUMMYFUNCTION("""COMPUTED_VALUE"""),"Removed")</f>
        <v>Removed</v>
      </c>
      <c r="E876" s="84">
        <f>IFERROR(__xludf.DUMMYFUNCTION("""COMPUTED_VALUE"""),40519.0)</f>
        <v>40519</v>
      </c>
      <c r="F876" s="85">
        <f>IFERROR(__xludf.DUMMYFUNCTION("""COMPUTED_VALUE"""),40546.0)</f>
        <v>40546</v>
      </c>
      <c r="G876" s="86">
        <f>IFERROR(__xludf.DUMMYFUNCTION("""COMPUTED_VALUE"""),0.8666666666666666)</f>
        <v>0.8666666667</v>
      </c>
      <c r="H876" s="84">
        <f>IFERROR(__xludf.DUMMYFUNCTION("""COMPUTED_VALUE"""),36453.0)</f>
        <v>36453</v>
      </c>
      <c r="I876" s="86">
        <f>IFERROR(__xludf.DUMMYFUNCTION("""COMPUTED_VALUE"""),11.130555555555556)</f>
        <v>11.13055556</v>
      </c>
      <c r="J876" s="87">
        <f>IFERROR(__xludf.DUMMYFUNCTION("""COMPUTED_VALUE"""),88.0)</f>
        <v>88</v>
      </c>
      <c r="K876" s="88">
        <f>IFERROR(__xludf.DUMMYFUNCTION("""COMPUTED_VALUE"""),8.8)</f>
        <v>8.8</v>
      </c>
      <c r="L876" s="89">
        <f>IFERROR(__xludf.DUMMYFUNCTION("""COMPUTED_VALUE"""),6.0)</f>
        <v>6</v>
      </c>
      <c r="M876" s="26" t="str">
        <f>IFERROR(__xludf.DUMMYFUNCTION("""COMPUTED_VALUE"""),"Racing")</f>
        <v>Racing</v>
      </c>
      <c r="N876" s="26" t="str">
        <f>IFERROR(__xludf.DUMMYFUNCTION("""COMPUTED_VALUE"""),"PS1")</f>
        <v>PS1</v>
      </c>
      <c r="O876" s="26" t="str">
        <f>IFERROR(__xludf.DUMMYFUNCTION("""COMPUTED_VALUE"""),"No")</f>
        <v>No</v>
      </c>
      <c r="P876" s="26"/>
    </row>
    <row r="877">
      <c r="A877" s="81" t="str">
        <f>IFERROR(__xludf.DUMMYFUNCTION("""COMPUTED_VALUE"""),"Sam &amp; Max: The Devil’s Playhouse (Episodes 1-5)")</f>
        <v>Sam &amp; Max: The Devil’s Playhouse (Episodes 1-5)</v>
      </c>
      <c r="B877" s="82" t="str">
        <f>IFERROR(__xludf.DUMMYFUNCTION("""COMPUTED_VALUE"""),"PS3")</f>
        <v>PS3</v>
      </c>
      <c r="C877" s="83" t="str">
        <f>IFERROR(__xludf.DUMMYFUNCTION("""COMPUTED_VALUE"""),"Playstation Plus (Discontinued)")</f>
        <v>Playstation Plus (Discontinued)</v>
      </c>
      <c r="D877" s="82" t="str">
        <f>IFERROR(__xludf.DUMMYFUNCTION("""COMPUTED_VALUE"""),"Removed")</f>
        <v>Removed</v>
      </c>
      <c r="E877" s="84">
        <f>IFERROR(__xludf.DUMMYFUNCTION("""COMPUTED_VALUE"""),40519.0)</f>
        <v>40519</v>
      </c>
      <c r="F877" s="85">
        <f>IFERROR(__xludf.DUMMYFUNCTION("""COMPUTED_VALUE"""),40546.0)</f>
        <v>40546</v>
      </c>
      <c r="G877" s="86">
        <f>IFERROR(__xludf.DUMMYFUNCTION("""COMPUTED_VALUE"""),0.8666666666666666)</f>
        <v>0.8666666667</v>
      </c>
      <c r="H877" s="84">
        <f>IFERROR(__xludf.DUMMYFUNCTION("""COMPUTED_VALUE"""),40283.0)</f>
        <v>40283</v>
      </c>
      <c r="I877" s="86">
        <f>IFERROR(__xludf.DUMMYFUNCTION("""COMPUTED_VALUE"""),0.6444444444444445)</f>
        <v>0.6444444444</v>
      </c>
      <c r="J877" s="87">
        <f>IFERROR(__xludf.DUMMYFUNCTION("""COMPUTED_VALUE"""),82.0)</f>
        <v>82</v>
      </c>
      <c r="K877" s="88">
        <f>IFERROR(__xludf.DUMMYFUNCTION("""COMPUTED_VALUE"""),8.1)</f>
        <v>8.1</v>
      </c>
      <c r="L877" s="89">
        <f>IFERROR(__xludf.DUMMYFUNCTION("""COMPUTED_VALUE"""),11.0)</f>
        <v>11</v>
      </c>
      <c r="M877" s="26" t="str">
        <f>IFERROR(__xludf.DUMMYFUNCTION("""COMPUTED_VALUE"""),"Adventure")</f>
        <v>Adventure</v>
      </c>
      <c r="N877" s="26"/>
      <c r="O877" s="26" t="str">
        <f>IFERROR(__xludf.DUMMYFUNCTION("""COMPUTED_VALUE"""),"No")</f>
        <v>No</v>
      </c>
      <c r="P877" s="26"/>
    </row>
    <row r="878">
      <c r="A878" s="81" t="str">
        <f>IFERROR(__xludf.DUMMYFUNCTION("""COMPUTED_VALUE"""),"Vector TD")</f>
        <v>Vector TD</v>
      </c>
      <c r="B878" s="82" t="str">
        <f>IFERROR(__xludf.DUMMYFUNCTION("""COMPUTED_VALUE"""),"PS3")</f>
        <v>PS3</v>
      </c>
      <c r="C878" s="83" t="str">
        <f>IFERROR(__xludf.DUMMYFUNCTION("""COMPUTED_VALUE"""),"Playstation Plus (Discontinued)")</f>
        <v>Playstation Plus (Discontinued)</v>
      </c>
      <c r="D878" s="82" t="str">
        <f>IFERROR(__xludf.DUMMYFUNCTION("""COMPUTED_VALUE"""),"Removed")</f>
        <v>Removed</v>
      </c>
      <c r="E878" s="84">
        <f>IFERROR(__xludf.DUMMYFUNCTION("""COMPUTED_VALUE"""),40484.0)</f>
        <v>40484</v>
      </c>
      <c r="F878" s="85">
        <f>IFERROR(__xludf.DUMMYFUNCTION("""COMPUTED_VALUE"""),40518.0)</f>
        <v>40518</v>
      </c>
      <c r="G878" s="86">
        <f>IFERROR(__xludf.DUMMYFUNCTION("""COMPUTED_VALUE"""),1.1333333333333333)</f>
        <v>1.133333333</v>
      </c>
      <c r="H878" s="84">
        <f>IFERROR(__xludf.DUMMYFUNCTION("""COMPUTED_VALUE"""),40205.0)</f>
        <v>40205</v>
      </c>
      <c r="I878" s="86">
        <f>IFERROR(__xludf.DUMMYFUNCTION("""COMPUTED_VALUE"""),0.7638888888888888)</f>
        <v>0.7638888889</v>
      </c>
      <c r="J878" s="87">
        <f>IFERROR(__xludf.DUMMYFUNCTION("""COMPUTED_VALUE"""),72.0)</f>
        <v>72</v>
      </c>
      <c r="K878" s="88">
        <f>IFERROR(__xludf.DUMMYFUNCTION("""COMPUTED_VALUE"""),7.0)</f>
        <v>7</v>
      </c>
      <c r="L878" s="89"/>
      <c r="M878" s="26" t="str">
        <f>IFERROR(__xludf.DUMMYFUNCTION("""COMPUTED_VALUE"""),"Strategy")</f>
        <v>Strategy</v>
      </c>
      <c r="N878" s="26" t="str">
        <f>IFERROR(__xludf.DUMMYFUNCTION("""COMPUTED_VALUE"""),"PS Minis")</f>
        <v>PS Minis</v>
      </c>
      <c r="O878" s="26" t="str">
        <f>IFERROR(__xludf.DUMMYFUNCTION("""COMPUTED_VALUE"""),"No")</f>
        <v>No</v>
      </c>
      <c r="P878" s="26"/>
    </row>
    <row r="879">
      <c r="A879" s="81" t="str">
        <f>IFERROR(__xludf.DUMMYFUNCTION("""COMPUTED_VALUE"""),"DYNOGEMS")</f>
        <v>DYNOGEMS</v>
      </c>
      <c r="B879" s="82" t="str">
        <f>IFERROR(__xludf.DUMMYFUNCTION("""COMPUTED_VALUE"""),"PS3")</f>
        <v>PS3</v>
      </c>
      <c r="C879" s="83" t="str">
        <f>IFERROR(__xludf.DUMMYFUNCTION("""COMPUTED_VALUE"""),"Playstation Plus (Discontinued)")</f>
        <v>Playstation Plus (Discontinued)</v>
      </c>
      <c r="D879" s="82" t="str">
        <f>IFERROR(__xludf.DUMMYFUNCTION("""COMPUTED_VALUE"""),"Removed")</f>
        <v>Removed</v>
      </c>
      <c r="E879" s="84">
        <f>IFERROR(__xludf.DUMMYFUNCTION("""COMPUTED_VALUE"""),40484.0)</f>
        <v>40484</v>
      </c>
      <c r="F879" s="85">
        <f>IFERROR(__xludf.DUMMYFUNCTION("""COMPUTED_VALUE"""),40518.0)</f>
        <v>40518</v>
      </c>
      <c r="G879" s="86">
        <f>IFERROR(__xludf.DUMMYFUNCTION("""COMPUTED_VALUE"""),1.1333333333333333)</f>
        <v>1.133333333</v>
      </c>
      <c r="H879" s="84">
        <f>IFERROR(__xludf.DUMMYFUNCTION("""COMPUTED_VALUE"""),40157.0)</f>
        <v>40157</v>
      </c>
      <c r="I879" s="86">
        <f>IFERROR(__xludf.DUMMYFUNCTION("""COMPUTED_VALUE"""),0.8944444444444445)</f>
        <v>0.8944444444</v>
      </c>
      <c r="J879" s="87">
        <f>IFERROR(__xludf.DUMMYFUNCTION("""COMPUTED_VALUE"""),58.0)</f>
        <v>58</v>
      </c>
      <c r="K879" s="88">
        <f>IFERROR(__xludf.DUMMYFUNCTION("""COMPUTED_VALUE"""),6.2)</f>
        <v>6.2</v>
      </c>
      <c r="L879" s="89"/>
      <c r="M879" s="26" t="str">
        <f>IFERROR(__xludf.DUMMYFUNCTION("""COMPUTED_VALUE"""),"Puzzle")</f>
        <v>Puzzle</v>
      </c>
      <c r="N879" s="26" t="str">
        <f>IFERROR(__xludf.DUMMYFUNCTION("""COMPUTED_VALUE"""),"PS Minis")</f>
        <v>PS Minis</v>
      </c>
      <c r="O879" s="26" t="str">
        <f>IFERROR(__xludf.DUMMYFUNCTION("""COMPUTED_VALUE"""),"No")</f>
        <v>No</v>
      </c>
      <c r="P879" s="26"/>
    </row>
    <row r="880">
      <c r="A880" s="81" t="str">
        <f>IFERROR(__xludf.DUMMYFUNCTION("""COMPUTED_VALUE"""),"Oddworld: Abe’s Exoddus")</f>
        <v>Oddworld: Abe’s Exoddus</v>
      </c>
      <c r="B880" s="82" t="str">
        <f>IFERROR(__xludf.DUMMYFUNCTION("""COMPUTED_VALUE"""),"PS3")</f>
        <v>PS3</v>
      </c>
      <c r="C880" s="83" t="str">
        <f>IFERROR(__xludf.DUMMYFUNCTION("""COMPUTED_VALUE"""),"Playstation Plus (Discontinued)")</f>
        <v>Playstation Plus (Discontinued)</v>
      </c>
      <c r="D880" s="82" t="str">
        <f>IFERROR(__xludf.DUMMYFUNCTION("""COMPUTED_VALUE"""),"Removed")</f>
        <v>Removed</v>
      </c>
      <c r="E880" s="84">
        <f>IFERROR(__xludf.DUMMYFUNCTION("""COMPUTED_VALUE"""),40484.0)</f>
        <v>40484</v>
      </c>
      <c r="F880" s="85">
        <f>IFERROR(__xludf.DUMMYFUNCTION("""COMPUTED_VALUE"""),40518.0)</f>
        <v>40518</v>
      </c>
      <c r="G880" s="86">
        <f>IFERROR(__xludf.DUMMYFUNCTION("""COMPUTED_VALUE"""),1.1333333333333333)</f>
        <v>1.133333333</v>
      </c>
      <c r="H880" s="84">
        <f>IFERROR(__xludf.DUMMYFUNCTION("""COMPUTED_VALUE"""),36116.0)</f>
        <v>36116</v>
      </c>
      <c r="I880" s="86">
        <f>IFERROR(__xludf.DUMMYFUNCTION("""COMPUTED_VALUE"""),11.958333333333334)</f>
        <v>11.95833333</v>
      </c>
      <c r="J880" s="87">
        <f>IFERROR(__xludf.DUMMYFUNCTION("""COMPUTED_VALUE"""),88.0)</f>
        <v>88</v>
      </c>
      <c r="K880" s="88">
        <f>IFERROR(__xludf.DUMMYFUNCTION("""COMPUTED_VALUE"""),8.8)</f>
        <v>8.8</v>
      </c>
      <c r="L880" s="89">
        <f>IFERROR(__xludf.DUMMYFUNCTION("""COMPUTED_VALUE"""),13.0)</f>
        <v>13</v>
      </c>
      <c r="M880" s="26" t="str">
        <f>IFERROR(__xludf.DUMMYFUNCTION("""COMPUTED_VALUE"""),"Platformer")</f>
        <v>Platformer</v>
      </c>
      <c r="N880" s="26" t="str">
        <f>IFERROR(__xludf.DUMMYFUNCTION("""COMPUTED_VALUE"""),"PS1")</f>
        <v>PS1</v>
      </c>
      <c r="O880" s="26" t="str">
        <f>IFERROR(__xludf.DUMMYFUNCTION("""COMPUTED_VALUE"""),"No")</f>
        <v>No</v>
      </c>
      <c r="P880" s="26"/>
    </row>
    <row r="881">
      <c r="A881" s="81" t="str">
        <f>IFERROR(__xludf.DUMMYFUNCTION("""COMPUTED_VALUE"""),"Shatter")</f>
        <v>Shatter</v>
      </c>
      <c r="B881" s="82" t="str">
        <f>IFERROR(__xludf.DUMMYFUNCTION("""COMPUTED_VALUE"""),"PS3")</f>
        <v>PS3</v>
      </c>
      <c r="C881" s="83" t="str">
        <f>IFERROR(__xludf.DUMMYFUNCTION("""COMPUTED_VALUE"""),"Playstation Plus (Discontinued)")</f>
        <v>Playstation Plus (Discontinued)</v>
      </c>
      <c r="D881" s="82" t="str">
        <f>IFERROR(__xludf.DUMMYFUNCTION("""COMPUTED_VALUE"""),"Removed")</f>
        <v>Removed</v>
      </c>
      <c r="E881" s="84">
        <f>IFERROR(__xludf.DUMMYFUNCTION("""COMPUTED_VALUE"""),40484.0)</f>
        <v>40484</v>
      </c>
      <c r="F881" s="85">
        <f>IFERROR(__xludf.DUMMYFUNCTION("""COMPUTED_VALUE"""),40518.0)</f>
        <v>40518</v>
      </c>
      <c r="G881" s="86">
        <f>IFERROR(__xludf.DUMMYFUNCTION("""COMPUTED_VALUE"""),1.1333333333333333)</f>
        <v>1.133333333</v>
      </c>
      <c r="H881" s="84">
        <f>IFERROR(__xludf.DUMMYFUNCTION("""COMPUTED_VALUE"""),40017.0)</f>
        <v>40017</v>
      </c>
      <c r="I881" s="86">
        <f>IFERROR(__xludf.DUMMYFUNCTION("""COMPUTED_VALUE"""),1.275)</f>
        <v>1.275</v>
      </c>
      <c r="J881" s="87">
        <f>IFERROR(__xludf.DUMMYFUNCTION("""COMPUTED_VALUE"""),82.0)</f>
        <v>82</v>
      </c>
      <c r="K881" s="88">
        <f>IFERROR(__xludf.DUMMYFUNCTION("""COMPUTED_VALUE"""),8.1)</f>
        <v>8.1</v>
      </c>
      <c r="L881" s="89">
        <f>IFERROR(__xludf.DUMMYFUNCTION("""COMPUTED_VALUE"""),4.0)</f>
        <v>4</v>
      </c>
      <c r="M881" s="26" t="str">
        <f>IFERROR(__xludf.DUMMYFUNCTION("""COMPUTED_VALUE"""),"Arcade")</f>
        <v>Arcade</v>
      </c>
      <c r="N881" s="26"/>
      <c r="O881" s="26" t="str">
        <f>IFERROR(__xludf.DUMMYFUNCTION("""COMPUTED_VALUE"""),"No")</f>
        <v>No</v>
      </c>
      <c r="P881" s="26"/>
    </row>
    <row r="882">
      <c r="A882" s="81" t="str">
        <f>IFERROR(__xludf.DUMMYFUNCTION("""COMPUTED_VALUE"""),"BreakQuest")</f>
        <v>BreakQuest</v>
      </c>
      <c r="B882" s="82" t="str">
        <f>IFERROR(__xludf.DUMMYFUNCTION("""COMPUTED_VALUE"""),"PS3")</f>
        <v>PS3</v>
      </c>
      <c r="C882" s="83" t="str">
        <f>IFERROR(__xludf.DUMMYFUNCTION("""COMPUTED_VALUE"""),"Playstation Plus (Discontinued)")</f>
        <v>Playstation Plus (Discontinued)</v>
      </c>
      <c r="D882" s="82" t="str">
        <f>IFERROR(__xludf.DUMMYFUNCTION("""COMPUTED_VALUE"""),"Removed")</f>
        <v>Removed</v>
      </c>
      <c r="E882" s="84">
        <f>IFERROR(__xludf.DUMMYFUNCTION("""COMPUTED_VALUE"""),40484.0)</f>
        <v>40484</v>
      </c>
      <c r="F882" s="85">
        <f>IFERROR(__xludf.DUMMYFUNCTION("""COMPUTED_VALUE"""),40518.0)</f>
        <v>40518</v>
      </c>
      <c r="G882" s="86">
        <f>IFERROR(__xludf.DUMMYFUNCTION("""COMPUTED_VALUE"""),1.1333333333333333)</f>
        <v>1.133333333</v>
      </c>
      <c r="H882" s="84">
        <f>IFERROR(__xludf.DUMMYFUNCTION("""COMPUTED_VALUE"""),40087.0)</f>
        <v>40087</v>
      </c>
      <c r="I882" s="86">
        <f>IFERROR(__xludf.DUMMYFUNCTION("""COMPUTED_VALUE"""),1.086111111111111)</f>
        <v>1.086111111</v>
      </c>
      <c r="J882" s="87">
        <f>IFERROR(__xludf.DUMMYFUNCTION("""COMPUTED_VALUE"""),68.0)</f>
        <v>68</v>
      </c>
      <c r="K882" s="88">
        <f>IFERROR(__xludf.DUMMYFUNCTION("""COMPUTED_VALUE"""),6.9)</f>
        <v>6.9</v>
      </c>
      <c r="L882" s="89">
        <f>IFERROR(__xludf.DUMMYFUNCTION("""COMPUTED_VALUE"""),3.0)</f>
        <v>3</v>
      </c>
      <c r="M882" s="26" t="str">
        <f>IFERROR(__xludf.DUMMYFUNCTION("""COMPUTED_VALUE"""),"Puzzle")</f>
        <v>Puzzle</v>
      </c>
      <c r="N882" s="26" t="str">
        <f>IFERROR(__xludf.DUMMYFUNCTION("""COMPUTED_VALUE"""),"PS Minis")</f>
        <v>PS Minis</v>
      </c>
      <c r="O882" s="26" t="str">
        <f>IFERROR(__xludf.DUMMYFUNCTION("""COMPUTED_VALUE"""),"No")</f>
        <v>No</v>
      </c>
      <c r="P882" s="26"/>
    </row>
    <row r="883">
      <c r="A883" s="81" t="str">
        <f>IFERROR(__xludf.DUMMYFUNCTION("""COMPUTED_VALUE"""),"Bubble Trubble")</f>
        <v>Bubble Trubble</v>
      </c>
      <c r="B883" s="82" t="str">
        <f>IFERROR(__xludf.DUMMYFUNCTION("""COMPUTED_VALUE"""),"PS3")</f>
        <v>PS3</v>
      </c>
      <c r="C883" s="83" t="str">
        <f>IFERROR(__xludf.DUMMYFUNCTION("""COMPUTED_VALUE"""),"Playstation Plus (Discontinued)")</f>
        <v>Playstation Plus (Discontinued)</v>
      </c>
      <c r="D883" s="82" t="str">
        <f>IFERROR(__xludf.DUMMYFUNCTION("""COMPUTED_VALUE"""),"Removed")</f>
        <v>Removed</v>
      </c>
      <c r="E883" s="84">
        <f>IFERROR(__xludf.DUMMYFUNCTION("""COMPUTED_VALUE"""),40456.0)</f>
        <v>40456</v>
      </c>
      <c r="F883" s="85">
        <f>IFERROR(__xludf.DUMMYFUNCTION("""COMPUTED_VALUE"""),40483.0)</f>
        <v>40483</v>
      </c>
      <c r="G883" s="86">
        <f>IFERROR(__xludf.DUMMYFUNCTION("""COMPUTED_VALUE"""),0.8666666666666666)</f>
        <v>0.8666666667</v>
      </c>
      <c r="H883" s="84">
        <f>IFERROR(__xludf.DUMMYFUNCTION("""COMPUTED_VALUE"""),40129.0)</f>
        <v>40129</v>
      </c>
      <c r="I883" s="86">
        <f>IFERROR(__xludf.DUMMYFUNCTION("""COMPUTED_VALUE"""),0.8972222222222223)</f>
        <v>0.8972222222</v>
      </c>
      <c r="J883" s="87">
        <f>IFERROR(__xludf.DUMMYFUNCTION("""COMPUTED_VALUE"""),55.0)</f>
        <v>55</v>
      </c>
      <c r="K883" s="88">
        <f>IFERROR(__xludf.DUMMYFUNCTION("""COMPUTED_VALUE"""),6.3)</f>
        <v>6.3</v>
      </c>
      <c r="L883" s="89">
        <f>IFERROR(__xludf.DUMMYFUNCTION("""COMPUTED_VALUE"""),1.0)</f>
        <v>1</v>
      </c>
      <c r="M883" s="26" t="str">
        <f>IFERROR(__xludf.DUMMYFUNCTION("""COMPUTED_VALUE"""),"Puzzle")</f>
        <v>Puzzle</v>
      </c>
      <c r="N883" s="26" t="str">
        <f>IFERROR(__xludf.DUMMYFUNCTION("""COMPUTED_VALUE"""),"PS Minis")</f>
        <v>PS Minis</v>
      </c>
      <c r="O883" s="26" t="str">
        <f>IFERROR(__xludf.DUMMYFUNCTION("""COMPUTED_VALUE"""),"No")</f>
        <v>No</v>
      </c>
      <c r="P883" s="26"/>
    </row>
    <row r="884">
      <c r="A884" s="81" t="str">
        <f>IFERROR(__xludf.DUMMYFUNCTION("""COMPUTED_VALUE"""),"Bloons")</f>
        <v>Bloons</v>
      </c>
      <c r="B884" s="82" t="str">
        <f>IFERROR(__xludf.DUMMYFUNCTION("""COMPUTED_VALUE"""),"PS3")</f>
        <v>PS3</v>
      </c>
      <c r="C884" s="83" t="str">
        <f>IFERROR(__xludf.DUMMYFUNCTION("""COMPUTED_VALUE"""),"Playstation Plus (Discontinued)")</f>
        <v>Playstation Plus (Discontinued)</v>
      </c>
      <c r="D884" s="82" t="str">
        <f>IFERROR(__xludf.DUMMYFUNCTION("""COMPUTED_VALUE"""),"Removed")</f>
        <v>Removed</v>
      </c>
      <c r="E884" s="84">
        <f>IFERROR(__xludf.DUMMYFUNCTION("""COMPUTED_VALUE"""),40456.0)</f>
        <v>40456</v>
      </c>
      <c r="F884" s="85">
        <f>IFERROR(__xludf.DUMMYFUNCTION("""COMPUTED_VALUE"""),40483.0)</f>
        <v>40483</v>
      </c>
      <c r="G884" s="86">
        <f>IFERROR(__xludf.DUMMYFUNCTION("""COMPUTED_VALUE"""),0.8666666666666666)</f>
        <v>0.8666666667</v>
      </c>
      <c r="H884" s="84">
        <f>IFERROR(__xludf.DUMMYFUNCTION("""COMPUTED_VALUE"""),40087.0)</f>
        <v>40087</v>
      </c>
      <c r="I884" s="86">
        <f>IFERROR(__xludf.DUMMYFUNCTION("""COMPUTED_VALUE"""),1.011111111111111)</f>
        <v>1.011111111</v>
      </c>
      <c r="J884" s="87">
        <f>IFERROR(__xludf.DUMMYFUNCTION("""COMPUTED_VALUE"""),63.0)</f>
        <v>63</v>
      </c>
      <c r="K884" s="88">
        <f>IFERROR(__xludf.DUMMYFUNCTION("""COMPUTED_VALUE"""),6.7)</f>
        <v>6.7</v>
      </c>
      <c r="L884" s="89"/>
      <c r="M884" s="26" t="str">
        <f>IFERROR(__xludf.DUMMYFUNCTION("""COMPUTED_VALUE"""),"Strategy")</f>
        <v>Strategy</v>
      </c>
      <c r="N884" s="26" t="str">
        <f>IFERROR(__xludf.DUMMYFUNCTION("""COMPUTED_VALUE"""),"PS Minis")</f>
        <v>PS Minis</v>
      </c>
      <c r="O884" s="26" t="str">
        <f>IFERROR(__xludf.DUMMYFUNCTION("""COMPUTED_VALUE"""),"No")</f>
        <v>No</v>
      </c>
      <c r="P884" s="26"/>
    </row>
    <row r="885">
      <c r="A885" s="81" t="str">
        <f>IFERROR(__xludf.DUMMYFUNCTION("""COMPUTED_VALUE"""),"Oddworld: Abe’s Oddysee")</f>
        <v>Oddworld: Abe’s Oddysee</v>
      </c>
      <c r="B885" s="82" t="str">
        <f>IFERROR(__xludf.DUMMYFUNCTION("""COMPUTED_VALUE"""),"PS3")</f>
        <v>PS3</v>
      </c>
      <c r="C885" s="83" t="str">
        <f>IFERROR(__xludf.DUMMYFUNCTION("""COMPUTED_VALUE"""),"Playstation Plus (Discontinued)")</f>
        <v>Playstation Plus (Discontinued)</v>
      </c>
      <c r="D885" s="82" t="str">
        <f>IFERROR(__xludf.DUMMYFUNCTION("""COMPUTED_VALUE"""),"Removed")</f>
        <v>Removed</v>
      </c>
      <c r="E885" s="84">
        <f>IFERROR(__xludf.DUMMYFUNCTION("""COMPUTED_VALUE"""),40456.0)</f>
        <v>40456</v>
      </c>
      <c r="F885" s="85">
        <f>IFERROR(__xludf.DUMMYFUNCTION("""COMPUTED_VALUE"""),40483.0)</f>
        <v>40483</v>
      </c>
      <c r="G885" s="86">
        <f>IFERROR(__xludf.DUMMYFUNCTION("""COMPUTED_VALUE"""),0.8666666666666666)</f>
        <v>0.8666666667</v>
      </c>
      <c r="H885" s="84">
        <f>IFERROR(__xludf.DUMMYFUNCTION("""COMPUTED_VALUE"""),35691.0)</f>
        <v>35691</v>
      </c>
      <c r="I885" s="86">
        <f>IFERROR(__xludf.DUMMYFUNCTION("""COMPUTED_VALUE"""),13.047222222222222)</f>
        <v>13.04722222</v>
      </c>
      <c r="J885" s="87">
        <f>IFERROR(__xludf.DUMMYFUNCTION("""COMPUTED_VALUE"""),88.0)</f>
        <v>88</v>
      </c>
      <c r="K885" s="88">
        <f>IFERROR(__xludf.DUMMYFUNCTION("""COMPUTED_VALUE"""),8.8)</f>
        <v>8.8</v>
      </c>
      <c r="L885" s="89">
        <f>IFERROR(__xludf.DUMMYFUNCTION("""COMPUTED_VALUE"""),12.0)</f>
        <v>12</v>
      </c>
      <c r="M885" s="26" t="str">
        <f>IFERROR(__xludf.DUMMYFUNCTION("""COMPUTED_VALUE"""),"Platformer")</f>
        <v>Platformer</v>
      </c>
      <c r="N885" s="26" t="str">
        <f>IFERROR(__xludf.DUMMYFUNCTION("""COMPUTED_VALUE"""),"PS1")</f>
        <v>PS1</v>
      </c>
      <c r="O885" s="26" t="str">
        <f>IFERROR(__xludf.DUMMYFUNCTION("""COMPUTED_VALUE"""),"No")</f>
        <v>No</v>
      </c>
      <c r="P885" s="26"/>
    </row>
    <row r="886">
      <c r="A886" s="81" t="str">
        <f>IFERROR(__xludf.DUMMYFUNCTION("""COMPUTED_VALUE"""),"Echoes")</f>
        <v>Echoes</v>
      </c>
      <c r="B886" s="82" t="str">
        <f>IFERROR(__xludf.DUMMYFUNCTION("""COMPUTED_VALUE"""),"PS3")</f>
        <v>PS3</v>
      </c>
      <c r="C886" s="83" t="str">
        <f>IFERROR(__xludf.DUMMYFUNCTION("""COMPUTED_VALUE"""),"Playstation Plus (Discontinued)")</f>
        <v>Playstation Plus (Discontinued)</v>
      </c>
      <c r="D886" s="82" t="str">
        <f>IFERROR(__xludf.DUMMYFUNCTION("""COMPUTED_VALUE"""),"Removed")</f>
        <v>Removed</v>
      </c>
      <c r="E886" s="84">
        <f>IFERROR(__xludf.DUMMYFUNCTION("""COMPUTED_VALUE"""),40428.0)</f>
        <v>40428</v>
      </c>
      <c r="F886" s="85">
        <f>IFERROR(__xludf.DUMMYFUNCTION("""COMPUTED_VALUE"""),40455.0)</f>
        <v>40455</v>
      </c>
      <c r="G886" s="86">
        <f>IFERROR(__xludf.DUMMYFUNCTION("""COMPUTED_VALUE"""),0.8999999999999999)</f>
        <v>0.9</v>
      </c>
      <c r="H886" s="84">
        <f>IFERROR(__xludf.DUMMYFUNCTION("""COMPUTED_VALUE"""),40136.0)</f>
        <v>40136</v>
      </c>
      <c r="I886" s="86">
        <f>IFERROR(__xludf.DUMMYFUNCTION("""COMPUTED_VALUE"""),0.8)</f>
        <v>0.8</v>
      </c>
      <c r="J886" s="87">
        <f>IFERROR(__xludf.DUMMYFUNCTION("""COMPUTED_VALUE"""),59.0)</f>
        <v>59</v>
      </c>
      <c r="K886" s="88">
        <f>IFERROR(__xludf.DUMMYFUNCTION("""COMPUTED_VALUE"""),6.3)</f>
        <v>6.3</v>
      </c>
      <c r="L886" s="89">
        <f>IFERROR(__xludf.DUMMYFUNCTION("""COMPUTED_VALUE"""),2.0)</f>
        <v>2</v>
      </c>
      <c r="M886" s="26" t="str">
        <f>IFERROR(__xludf.DUMMYFUNCTION("""COMPUTED_VALUE"""),"Shooter")</f>
        <v>Shooter</v>
      </c>
      <c r="N886" s="26" t="str">
        <f>IFERROR(__xludf.DUMMYFUNCTION("""COMPUTED_VALUE"""),"PS Minis")</f>
        <v>PS Minis</v>
      </c>
      <c r="O886" s="26" t="str">
        <f>IFERROR(__xludf.DUMMYFUNCTION("""COMPUTED_VALUE"""),"No")</f>
        <v>No</v>
      </c>
      <c r="P886" s="26"/>
    </row>
    <row r="887">
      <c r="A887" s="81" t="str">
        <f>IFERROR(__xludf.DUMMYFUNCTION("""COMPUTED_VALUE"""),"Syphon Filter 3")</f>
        <v>Syphon Filter 3</v>
      </c>
      <c r="B887" s="82" t="str">
        <f>IFERROR(__xludf.DUMMYFUNCTION("""COMPUTED_VALUE"""),"PS3")</f>
        <v>PS3</v>
      </c>
      <c r="C887" s="83" t="str">
        <f>IFERROR(__xludf.DUMMYFUNCTION("""COMPUTED_VALUE"""),"Playstation Plus (Discontinued)")</f>
        <v>Playstation Plus (Discontinued)</v>
      </c>
      <c r="D887" s="82" t="str">
        <f>IFERROR(__xludf.DUMMYFUNCTION("""COMPUTED_VALUE"""),"Removed")</f>
        <v>Removed</v>
      </c>
      <c r="E887" s="84">
        <f>IFERROR(__xludf.DUMMYFUNCTION("""COMPUTED_VALUE"""),40428.0)</f>
        <v>40428</v>
      </c>
      <c r="F887" s="85">
        <f>IFERROR(__xludf.DUMMYFUNCTION("""COMPUTED_VALUE"""),40455.0)</f>
        <v>40455</v>
      </c>
      <c r="G887" s="86">
        <f>IFERROR(__xludf.DUMMYFUNCTION("""COMPUTED_VALUE"""),0.8999999999999999)</f>
        <v>0.9</v>
      </c>
      <c r="H887" s="84">
        <f>IFERROR(__xludf.DUMMYFUNCTION("""COMPUTED_VALUE"""),37201.0)</f>
        <v>37201</v>
      </c>
      <c r="I887" s="86">
        <f>IFERROR(__xludf.DUMMYFUNCTION("""COMPUTED_VALUE"""),8.83611111111111)</f>
        <v>8.836111111</v>
      </c>
      <c r="J887" s="87">
        <f>IFERROR(__xludf.DUMMYFUNCTION("""COMPUTED_VALUE"""),81.0)</f>
        <v>81</v>
      </c>
      <c r="K887" s="88">
        <f>IFERROR(__xludf.DUMMYFUNCTION("""COMPUTED_VALUE"""),8.2)</f>
        <v>8.2</v>
      </c>
      <c r="L887" s="89">
        <f>IFERROR(__xludf.DUMMYFUNCTION("""COMPUTED_VALUE"""),10.0)</f>
        <v>10</v>
      </c>
      <c r="M887" s="26" t="str">
        <f>IFERROR(__xludf.DUMMYFUNCTION("""COMPUTED_VALUE"""),"Shooter")</f>
        <v>Shooter</v>
      </c>
      <c r="N887" s="26" t="str">
        <f>IFERROR(__xludf.DUMMYFUNCTION("""COMPUTED_VALUE"""),"PS1")</f>
        <v>PS1</v>
      </c>
      <c r="O887" s="26" t="str">
        <f>IFERROR(__xludf.DUMMYFUNCTION("""COMPUTED_VALUE"""),"No")</f>
        <v>No</v>
      </c>
      <c r="P887" s="26"/>
    </row>
    <row r="888">
      <c r="A888" s="81" t="str">
        <f>IFERROR(__xludf.DUMMYFUNCTION("""COMPUTED_VALUE"""),"Zen Pinball")</f>
        <v>Zen Pinball</v>
      </c>
      <c r="B888" s="82" t="str">
        <f>IFERROR(__xludf.DUMMYFUNCTION("""COMPUTED_VALUE"""),"PS3")</f>
        <v>PS3</v>
      </c>
      <c r="C888" s="83" t="str">
        <f>IFERROR(__xludf.DUMMYFUNCTION("""COMPUTED_VALUE"""),"Playstation Plus (Discontinued)")</f>
        <v>Playstation Plus (Discontinued)</v>
      </c>
      <c r="D888" s="82" t="str">
        <f>IFERROR(__xludf.DUMMYFUNCTION("""COMPUTED_VALUE"""),"Removed")</f>
        <v>Removed</v>
      </c>
      <c r="E888" s="84">
        <f>IFERROR(__xludf.DUMMYFUNCTION("""COMPUTED_VALUE"""),40428.0)</f>
        <v>40428</v>
      </c>
      <c r="F888" s="85">
        <f>IFERROR(__xludf.DUMMYFUNCTION("""COMPUTED_VALUE"""),40455.0)</f>
        <v>40455</v>
      </c>
      <c r="G888" s="86">
        <f>IFERROR(__xludf.DUMMYFUNCTION("""COMPUTED_VALUE"""),0.8999999999999999)</f>
        <v>0.9</v>
      </c>
      <c r="H888" s="84">
        <f>IFERROR(__xludf.DUMMYFUNCTION("""COMPUTED_VALUE"""),39947.0)</f>
        <v>39947</v>
      </c>
      <c r="I888" s="86">
        <f>IFERROR(__xludf.DUMMYFUNCTION("""COMPUTED_VALUE"""),1.3138888888888889)</f>
        <v>1.313888889</v>
      </c>
      <c r="J888" s="87">
        <f>IFERROR(__xludf.DUMMYFUNCTION("""COMPUTED_VALUE"""),80.0)</f>
        <v>80</v>
      </c>
      <c r="K888" s="88">
        <f>IFERROR(__xludf.DUMMYFUNCTION("""COMPUTED_VALUE"""),7.8)</f>
        <v>7.8</v>
      </c>
      <c r="L888" s="89"/>
      <c r="M888" s="26" t="str">
        <f>IFERROR(__xludf.DUMMYFUNCTION("""COMPUTED_VALUE"""),"Pinball")</f>
        <v>Pinball</v>
      </c>
      <c r="N888" s="26"/>
      <c r="O888" s="26" t="str">
        <f>IFERROR(__xludf.DUMMYFUNCTION("""COMPUTED_VALUE"""),"No")</f>
        <v>No</v>
      </c>
      <c r="P888" s="26"/>
    </row>
    <row r="889">
      <c r="A889" s="81" t="str">
        <f>IFERROR(__xludf.DUMMYFUNCTION("""COMPUTED_VALUE"""),"Blast Off")</f>
        <v>Blast Off</v>
      </c>
      <c r="B889" s="82" t="str">
        <f>IFERROR(__xludf.DUMMYFUNCTION("""COMPUTED_VALUE"""),"PS3")</f>
        <v>PS3</v>
      </c>
      <c r="C889" s="83" t="str">
        <f>IFERROR(__xludf.DUMMYFUNCTION("""COMPUTED_VALUE"""),"Playstation Plus (Discontinued)")</f>
        <v>Playstation Plus (Discontinued)</v>
      </c>
      <c r="D889" s="82" t="str">
        <f>IFERROR(__xludf.DUMMYFUNCTION("""COMPUTED_VALUE"""),"Removed")</f>
        <v>Removed</v>
      </c>
      <c r="E889" s="84">
        <f>IFERROR(__xludf.DUMMYFUNCTION("""COMPUTED_VALUE"""),40428.0)</f>
        <v>40428</v>
      </c>
      <c r="F889" s="85">
        <f>IFERROR(__xludf.DUMMYFUNCTION("""COMPUTED_VALUE"""),40455.0)</f>
        <v>40455</v>
      </c>
      <c r="G889" s="86">
        <f>IFERROR(__xludf.DUMMYFUNCTION("""COMPUTED_VALUE"""),0.8999999999999999)</f>
        <v>0.9</v>
      </c>
      <c r="H889" s="84">
        <f>IFERROR(__xludf.DUMMYFUNCTION("""COMPUTED_VALUE"""),40108.0)</f>
        <v>40108</v>
      </c>
      <c r="I889" s="86">
        <f>IFERROR(__xludf.DUMMYFUNCTION("""COMPUTED_VALUE"""),0.875)</f>
        <v>0.875</v>
      </c>
      <c r="J889" s="87">
        <f>IFERROR(__xludf.DUMMYFUNCTION("""COMPUTED_VALUE"""),69.0)</f>
        <v>69</v>
      </c>
      <c r="K889" s="88">
        <f>IFERROR(__xludf.DUMMYFUNCTION("""COMPUTED_VALUE"""),6.7)</f>
        <v>6.7</v>
      </c>
      <c r="L889" s="89">
        <f>IFERROR(__xludf.DUMMYFUNCTION("""COMPUTED_VALUE"""),2.0)</f>
        <v>2</v>
      </c>
      <c r="M889" s="26" t="str">
        <f>IFERROR(__xludf.DUMMYFUNCTION("""COMPUTED_VALUE"""),"Shooter")</f>
        <v>Shooter</v>
      </c>
      <c r="N889" s="26" t="str">
        <f>IFERROR(__xludf.DUMMYFUNCTION("""COMPUTED_VALUE"""),"PS Minis")</f>
        <v>PS Minis</v>
      </c>
      <c r="O889" s="26" t="str">
        <f>IFERROR(__xludf.DUMMYFUNCTION("""COMPUTED_VALUE"""),"No")</f>
        <v>No</v>
      </c>
      <c r="P889" s="26"/>
    </row>
    <row r="890">
      <c r="A890" s="81" t="str">
        <f>IFERROR(__xludf.DUMMYFUNCTION("""COMPUTED_VALUE"""),"Vempires")</f>
        <v>Vempires</v>
      </c>
      <c r="B890" s="82" t="str">
        <f>IFERROR(__xludf.DUMMYFUNCTION("""COMPUTED_VALUE"""),"PS3")</f>
        <v>PS3</v>
      </c>
      <c r="C890" s="83" t="str">
        <f>IFERROR(__xludf.DUMMYFUNCTION("""COMPUTED_VALUE"""),"Playstation Plus (Discontinued)")</f>
        <v>Playstation Plus (Discontinued)</v>
      </c>
      <c r="D890" s="82" t="str">
        <f>IFERROR(__xludf.DUMMYFUNCTION("""COMPUTED_VALUE"""),"Removed")</f>
        <v>Removed</v>
      </c>
      <c r="E890" s="84">
        <f>IFERROR(__xludf.DUMMYFUNCTION("""COMPUTED_VALUE"""),40393.0)</f>
        <v>40393</v>
      </c>
      <c r="F890" s="85">
        <f>IFERROR(__xludf.DUMMYFUNCTION("""COMPUTED_VALUE"""),40427.0)</f>
        <v>40427</v>
      </c>
      <c r="G890" s="86">
        <f>IFERROR(__xludf.DUMMYFUNCTION("""COMPUTED_VALUE"""),1.0999999999999999)</f>
        <v>1.1</v>
      </c>
      <c r="H890" s="84">
        <f>IFERROR(__xludf.DUMMYFUNCTION("""COMPUTED_VALUE"""),40190.0)</f>
        <v>40190</v>
      </c>
      <c r="I890" s="86">
        <f>IFERROR(__xludf.DUMMYFUNCTION("""COMPUTED_VALUE"""),0.5583333333333333)</f>
        <v>0.5583333333</v>
      </c>
      <c r="J890" s="87">
        <f>IFERROR(__xludf.DUMMYFUNCTION("""COMPUTED_VALUE"""),51.0)</f>
        <v>51</v>
      </c>
      <c r="K890" s="88">
        <f>IFERROR(__xludf.DUMMYFUNCTION("""COMPUTED_VALUE"""),6.2)</f>
        <v>6.2</v>
      </c>
      <c r="L890" s="89">
        <f>IFERROR(__xludf.DUMMYFUNCTION("""COMPUTED_VALUE"""),2.0)</f>
        <v>2</v>
      </c>
      <c r="M890" s="26" t="str">
        <f>IFERROR(__xludf.DUMMYFUNCTION("""COMPUTED_VALUE"""),"Platformer")</f>
        <v>Platformer</v>
      </c>
      <c r="N890" s="26" t="str">
        <f>IFERROR(__xludf.DUMMYFUNCTION("""COMPUTED_VALUE"""),"PS Minis")</f>
        <v>PS Minis</v>
      </c>
      <c r="O890" s="26" t="str">
        <f>IFERROR(__xludf.DUMMYFUNCTION("""COMPUTED_VALUE"""),"No")</f>
        <v>No</v>
      </c>
      <c r="P890" s="26"/>
    </row>
    <row r="891">
      <c r="A891" s="81" t="str">
        <f>IFERROR(__xludf.DUMMYFUNCTION("""COMPUTED_VALUE"""),"2Xtreme")</f>
        <v>2Xtreme</v>
      </c>
      <c r="B891" s="82" t="str">
        <f>IFERROR(__xludf.DUMMYFUNCTION("""COMPUTED_VALUE"""),"PS3")</f>
        <v>PS3</v>
      </c>
      <c r="C891" s="83" t="str">
        <f>IFERROR(__xludf.DUMMYFUNCTION("""COMPUTED_VALUE"""),"Playstation Plus (Discontinued)")</f>
        <v>Playstation Plus (Discontinued)</v>
      </c>
      <c r="D891" s="82" t="str">
        <f>IFERROR(__xludf.DUMMYFUNCTION("""COMPUTED_VALUE"""),"Removed")</f>
        <v>Removed</v>
      </c>
      <c r="E891" s="84">
        <f>IFERROR(__xludf.DUMMYFUNCTION("""COMPUTED_VALUE"""),40393.0)</f>
        <v>40393</v>
      </c>
      <c r="F891" s="85">
        <f>IFERROR(__xludf.DUMMYFUNCTION("""COMPUTED_VALUE"""),40427.0)</f>
        <v>40427</v>
      </c>
      <c r="G891" s="86">
        <f>IFERROR(__xludf.DUMMYFUNCTION("""COMPUTED_VALUE"""),1.0999999999999999)</f>
        <v>1.1</v>
      </c>
      <c r="H891" s="84">
        <f>IFERROR(__xludf.DUMMYFUNCTION("""COMPUTED_VALUE"""),35370.0)</f>
        <v>35370</v>
      </c>
      <c r="I891" s="86">
        <f>IFERROR(__xludf.DUMMYFUNCTION("""COMPUTED_VALUE"""),13.755555555555556)</f>
        <v>13.75555556</v>
      </c>
      <c r="J891" s="87">
        <f>IFERROR(__xludf.DUMMYFUNCTION("""COMPUTED_VALUE"""),68.0)</f>
        <v>68</v>
      </c>
      <c r="K891" s="88">
        <f>IFERROR(__xludf.DUMMYFUNCTION("""COMPUTED_VALUE"""),7.5)</f>
        <v>7.5</v>
      </c>
      <c r="L891" s="89"/>
      <c r="M891" s="26" t="str">
        <f>IFERROR(__xludf.DUMMYFUNCTION("""COMPUTED_VALUE"""),"Racing")</f>
        <v>Racing</v>
      </c>
      <c r="N891" s="26" t="str">
        <f>IFERROR(__xludf.DUMMYFUNCTION("""COMPUTED_VALUE"""),"PS1")</f>
        <v>PS1</v>
      </c>
      <c r="O891" s="26" t="str">
        <f>IFERROR(__xludf.DUMMYFUNCTION("""COMPUTED_VALUE"""),"No")</f>
        <v>No</v>
      </c>
      <c r="P891" s="26"/>
    </row>
    <row r="892">
      <c r="A892" s="81" t="str">
        <f>IFERROR(__xludf.DUMMYFUNCTION("""COMPUTED_VALUE"""),"Mushroom Wars")</f>
        <v>Mushroom Wars</v>
      </c>
      <c r="B892" s="82" t="str">
        <f>IFERROR(__xludf.DUMMYFUNCTION("""COMPUTED_VALUE"""),"PS3")</f>
        <v>PS3</v>
      </c>
      <c r="C892" s="83" t="str">
        <f>IFERROR(__xludf.DUMMYFUNCTION("""COMPUTED_VALUE"""),"Playstation Plus (Discontinued)")</f>
        <v>Playstation Plus (Discontinued)</v>
      </c>
      <c r="D892" s="82" t="str">
        <f>IFERROR(__xludf.DUMMYFUNCTION("""COMPUTED_VALUE"""),"Removed")</f>
        <v>Removed</v>
      </c>
      <c r="E892" s="84">
        <f>IFERROR(__xludf.DUMMYFUNCTION("""COMPUTED_VALUE"""),40393.0)</f>
        <v>40393</v>
      </c>
      <c r="F892" s="85">
        <f>IFERROR(__xludf.DUMMYFUNCTION("""COMPUTED_VALUE"""),40427.0)</f>
        <v>40427</v>
      </c>
      <c r="G892" s="86">
        <f>IFERROR(__xludf.DUMMYFUNCTION("""COMPUTED_VALUE"""),1.0999999999999999)</f>
        <v>1.1</v>
      </c>
      <c r="H892" s="84">
        <f>IFERROR(__xludf.DUMMYFUNCTION("""COMPUTED_VALUE"""),40101.0)</f>
        <v>40101</v>
      </c>
      <c r="I892" s="86">
        <f>IFERROR(__xludf.DUMMYFUNCTION("""COMPUTED_VALUE"""),0.8)</f>
        <v>0.8</v>
      </c>
      <c r="J892" s="87">
        <f>IFERROR(__xludf.DUMMYFUNCTION("""COMPUTED_VALUE"""),79.0)</f>
        <v>79</v>
      </c>
      <c r="K892" s="88">
        <f>IFERROR(__xludf.DUMMYFUNCTION("""COMPUTED_VALUE"""),7.8)</f>
        <v>7.8</v>
      </c>
      <c r="L892" s="89"/>
      <c r="M892" s="26" t="str">
        <f>IFERROR(__xludf.DUMMYFUNCTION("""COMPUTED_VALUE"""),"Strategy")</f>
        <v>Strategy</v>
      </c>
      <c r="N892" s="26"/>
      <c r="O892" s="26" t="str">
        <f>IFERROR(__xludf.DUMMYFUNCTION("""COMPUTED_VALUE"""),"No")</f>
        <v>No</v>
      </c>
      <c r="P892" s="26"/>
    </row>
    <row r="893">
      <c r="A893" s="81" t="str">
        <f>IFERROR(__xludf.DUMMYFUNCTION("""COMPUTED_VALUE"""),"Aero Racer")</f>
        <v>Aero Racer</v>
      </c>
      <c r="B893" s="82" t="str">
        <f>IFERROR(__xludf.DUMMYFUNCTION("""COMPUTED_VALUE"""),"PS3")</f>
        <v>PS3</v>
      </c>
      <c r="C893" s="83" t="str">
        <f>IFERROR(__xludf.DUMMYFUNCTION("""COMPUTED_VALUE"""),"Playstation Plus (Discontinued)")</f>
        <v>Playstation Plus (Discontinued)</v>
      </c>
      <c r="D893" s="82" t="str">
        <f>IFERROR(__xludf.DUMMYFUNCTION("""COMPUTED_VALUE"""),"Removed")</f>
        <v>Removed</v>
      </c>
      <c r="E893" s="84">
        <f>IFERROR(__xludf.DUMMYFUNCTION("""COMPUTED_VALUE"""),40393.0)</f>
        <v>40393</v>
      </c>
      <c r="F893" s="85">
        <f>IFERROR(__xludf.DUMMYFUNCTION("""COMPUTED_VALUE"""),40427.0)</f>
        <v>40427</v>
      </c>
      <c r="G893" s="86">
        <f>IFERROR(__xludf.DUMMYFUNCTION("""COMPUTED_VALUE"""),1.0999999999999999)</f>
        <v>1.1</v>
      </c>
      <c r="H893" s="84">
        <f>IFERROR(__xludf.DUMMYFUNCTION("""COMPUTED_VALUE"""),40248.0)</f>
        <v>40248</v>
      </c>
      <c r="I893" s="86">
        <f>IFERROR(__xludf.DUMMYFUNCTION("""COMPUTED_VALUE"""),0.39444444444444443)</f>
        <v>0.3944444444</v>
      </c>
      <c r="J893" s="87">
        <f>IFERROR(__xludf.DUMMYFUNCTION("""COMPUTED_VALUE"""),53.0)</f>
        <v>53</v>
      </c>
      <c r="K893" s="88">
        <f>IFERROR(__xludf.DUMMYFUNCTION("""COMPUTED_VALUE"""),6.2)</f>
        <v>6.2</v>
      </c>
      <c r="L893" s="89"/>
      <c r="M893" s="26" t="str">
        <f>IFERROR(__xludf.DUMMYFUNCTION("""COMPUTED_VALUE"""),"Racing")</f>
        <v>Racing</v>
      </c>
      <c r="N893" s="26" t="str">
        <f>IFERROR(__xludf.DUMMYFUNCTION("""COMPUTED_VALUE"""),"PS Minis")</f>
        <v>PS Minis</v>
      </c>
      <c r="O893" s="26" t="str">
        <f>IFERROR(__xludf.DUMMYFUNCTION("""COMPUTED_VALUE"""),"No")</f>
        <v>No</v>
      </c>
      <c r="P893" s="26"/>
    </row>
    <row r="894">
      <c r="A894" s="81" t="str">
        <f>IFERROR(__xludf.DUMMYFUNCTION("""COMPUTED_VALUE"""),"Kahoots")</f>
        <v>Kahoots</v>
      </c>
      <c r="B894" s="82" t="str">
        <f>IFERROR(__xludf.DUMMYFUNCTION("""COMPUTED_VALUE"""),"PS3")</f>
        <v>PS3</v>
      </c>
      <c r="C894" s="83" t="str">
        <f>IFERROR(__xludf.DUMMYFUNCTION("""COMPUTED_VALUE"""),"Playstation Plus (Discontinued)")</f>
        <v>Playstation Plus (Discontinued)</v>
      </c>
      <c r="D894" s="82" t="str">
        <f>IFERROR(__xludf.DUMMYFUNCTION("""COMPUTED_VALUE"""),"Removed")</f>
        <v>Removed</v>
      </c>
      <c r="E894" s="84">
        <f>IFERROR(__xludf.DUMMYFUNCTION("""COMPUTED_VALUE"""),40365.0)</f>
        <v>40365</v>
      </c>
      <c r="F894" s="85">
        <f>IFERROR(__xludf.DUMMYFUNCTION("""COMPUTED_VALUE"""),40392.0)</f>
        <v>40392</v>
      </c>
      <c r="G894" s="86">
        <f>IFERROR(__xludf.DUMMYFUNCTION("""COMPUTED_VALUE"""),0.8666666666666666)</f>
        <v>0.8666666667</v>
      </c>
      <c r="H894" s="84">
        <f>IFERROR(__xludf.DUMMYFUNCTION("""COMPUTED_VALUE"""),40087.0)</f>
        <v>40087</v>
      </c>
      <c r="I894" s="86">
        <f>IFERROR(__xludf.DUMMYFUNCTION("""COMPUTED_VALUE"""),0.7638888888888888)</f>
        <v>0.7638888889</v>
      </c>
      <c r="J894" s="87">
        <f>IFERROR(__xludf.DUMMYFUNCTION("""COMPUTED_VALUE"""),55.0)</f>
        <v>55</v>
      </c>
      <c r="K894" s="88">
        <f>IFERROR(__xludf.DUMMYFUNCTION("""COMPUTED_VALUE"""),6.4)</f>
        <v>6.4</v>
      </c>
      <c r="L894" s="89"/>
      <c r="M894" s="26" t="str">
        <f>IFERROR(__xludf.DUMMYFUNCTION("""COMPUTED_VALUE"""),"Puzzle")</f>
        <v>Puzzle</v>
      </c>
      <c r="N894" s="26" t="str">
        <f>IFERROR(__xludf.DUMMYFUNCTION("""COMPUTED_VALUE"""),"PS Minis")</f>
        <v>PS Minis</v>
      </c>
      <c r="O894" s="26" t="str">
        <f>IFERROR(__xludf.DUMMYFUNCTION("""COMPUTED_VALUE"""),"No")</f>
        <v>No</v>
      </c>
      <c r="P894" s="26"/>
    </row>
    <row r="895">
      <c r="A895" s="81" t="str">
        <f>IFERROR(__xludf.DUMMYFUNCTION("""COMPUTED_VALUE"""),"Syphon Filter")</f>
        <v>Syphon Filter</v>
      </c>
      <c r="B895" s="82" t="str">
        <f>IFERROR(__xludf.DUMMYFUNCTION("""COMPUTED_VALUE"""),"PS3")</f>
        <v>PS3</v>
      </c>
      <c r="C895" s="83" t="str">
        <f>IFERROR(__xludf.DUMMYFUNCTION("""COMPUTED_VALUE"""),"Playstation Plus (Discontinued)")</f>
        <v>Playstation Plus (Discontinued)</v>
      </c>
      <c r="D895" s="82" t="str">
        <f>IFERROR(__xludf.DUMMYFUNCTION("""COMPUTED_VALUE"""),"Removed")</f>
        <v>Removed</v>
      </c>
      <c r="E895" s="84">
        <f>IFERROR(__xludf.DUMMYFUNCTION("""COMPUTED_VALUE"""),40365.0)</f>
        <v>40365</v>
      </c>
      <c r="F895" s="85">
        <f>IFERROR(__xludf.DUMMYFUNCTION("""COMPUTED_VALUE"""),40392.0)</f>
        <v>40392</v>
      </c>
      <c r="G895" s="86">
        <f>IFERROR(__xludf.DUMMYFUNCTION("""COMPUTED_VALUE"""),0.8666666666666666)</f>
        <v>0.8666666667</v>
      </c>
      <c r="H895" s="84">
        <f>IFERROR(__xludf.DUMMYFUNCTION("""COMPUTED_VALUE"""),36192.0)</f>
        <v>36192</v>
      </c>
      <c r="I895" s="86">
        <f>IFERROR(__xludf.DUMMYFUNCTION("""COMPUTED_VALUE"""),11.430555555555555)</f>
        <v>11.43055556</v>
      </c>
      <c r="J895" s="87">
        <f>IFERROR(__xludf.DUMMYFUNCTION("""COMPUTED_VALUE"""),90.0)</f>
        <v>90</v>
      </c>
      <c r="K895" s="88">
        <f>IFERROR(__xludf.DUMMYFUNCTION("""COMPUTED_VALUE"""),8.7)</f>
        <v>8.7</v>
      </c>
      <c r="L895" s="89">
        <f>IFERROR(__xludf.DUMMYFUNCTION("""COMPUTED_VALUE"""),10.0)</f>
        <v>10</v>
      </c>
      <c r="M895" s="26" t="str">
        <f>IFERROR(__xludf.DUMMYFUNCTION("""COMPUTED_VALUE"""),"Shooter")</f>
        <v>Shooter</v>
      </c>
      <c r="N895" s="26" t="str">
        <f>IFERROR(__xludf.DUMMYFUNCTION("""COMPUTED_VALUE"""),"PS1")</f>
        <v>PS1</v>
      </c>
      <c r="O895" s="26" t="str">
        <f>IFERROR(__xludf.DUMMYFUNCTION("""COMPUTED_VALUE"""),"No")</f>
        <v>No</v>
      </c>
      <c r="P895" s="26"/>
    </row>
    <row r="896">
      <c r="A896" s="81" t="str">
        <f>IFERROR(__xludf.DUMMYFUNCTION("""COMPUTED_VALUE"""),"Critter Crunch")</f>
        <v>Critter Crunch</v>
      </c>
      <c r="B896" s="82" t="str">
        <f>IFERROR(__xludf.DUMMYFUNCTION("""COMPUTED_VALUE"""),"PS3")</f>
        <v>PS3</v>
      </c>
      <c r="C896" s="83" t="str">
        <f>IFERROR(__xludf.DUMMYFUNCTION("""COMPUTED_VALUE"""),"Playstation Plus (Discontinued)")</f>
        <v>Playstation Plus (Discontinued)</v>
      </c>
      <c r="D896" s="82" t="str">
        <f>IFERROR(__xludf.DUMMYFUNCTION("""COMPUTED_VALUE"""),"Removed")</f>
        <v>Removed</v>
      </c>
      <c r="E896" s="84">
        <f>IFERROR(__xludf.DUMMYFUNCTION("""COMPUTED_VALUE"""),40365.0)</f>
        <v>40365</v>
      </c>
      <c r="F896" s="85">
        <f>IFERROR(__xludf.DUMMYFUNCTION("""COMPUTED_VALUE"""),40392.0)</f>
        <v>40392</v>
      </c>
      <c r="G896" s="86">
        <f>IFERROR(__xludf.DUMMYFUNCTION("""COMPUTED_VALUE"""),0.8666666666666666)</f>
        <v>0.8666666667</v>
      </c>
      <c r="H896" s="84">
        <f>IFERROR(__xludf.DUMMYFUNCTION("""COMPUTED_VALUE"""),40094.0)</f>
        <v>40094</v>
      </c>
      <c r="I896" s="86">
        <f>IFERROR(__xludf.DUMMYFUNCTION("""COMPUTED_VALUE"""),0.7444444444444445)</f>
        <v>0.7444444444</v>
      </c>
      <c r="J896" s="87">
        <f>IFERROR(__xludf.DUMMYFUNCTION("""COMPUTED_VALUE"""),82.0)</f>
        <v>82</v>
      </c>
      <c r="K896" s="88">
        <f>IFERROR(__xludf.DUMMYFUNCTION("""COMPUTED_VALUE"""),7.7)</f>
        <v>7.7</v>
      </c>
      <c r="L896" s="89">
        <f>IFERROR(__xludf.DUMMYFUNCTION("""COMPUTED_VALUE"""),3.0)</f>
        <v>3</v>
      </c>
      <c r="M896" s="26" t="str">
        <f>IFERROR(__xludf.DUMMYFUNCTION("""COMPUTED_VALUE"""),"Puzzle")</f>
        <v>Puzzle</v>
      </c>
      <c r="N896" s="26"/>
      <c r="O896" s="26" t="str">
        <f>IFERROR(__xludf.DUMMYFUNCTION("""COMPUTED_VALUE"""),"No")</f>
        <v>No</v>
      </c>
      <c r="P896" s="26"/>
    </row>
    <row r="897">
      <c r="A897" s="81" t="str">
        <f>IFERROR(__xludf.DUMMYFUNCTION("""COMPUTED_VALUE"""),"Field Runners")</f>
        <v>Field Runners</v>
      </c>
      <c r="B897" s="82" t="str">
        <f>IFERROR(__xludf.DUMMYFUNCTION("""COMPUTED_VALUE"""),"PS3")</f>
        <v>PS3</v>
      </c>
      <c r="C897" s="83" t="str">
        <f>IFERROR(__xludf.DUMMYFUNCTION("""COMPUTED_VALUE"""),"Playstation Plus (Discontinued)")</f>
        <v>Playstation Plus (Discontinued)</v>
      </c>
      <c r="D897" s="82" t="str">
        <f>IFERROR(__xludf.DUMMYFUNCTION("""COMPUTED_VALUE"""),"Removed")</f>
        <v>Removed</v>
      </c>
      <c r="E897" s="84">
        <f>IFERROR(__xludf.DUMMYFUNCTION("""COMPUTED_VALUE"""),40365.0)</f>
        <v>40365</v>
      </c>
      <c r="F897" s="85">
        <f>IFERROR(__xludf.DUMMYFUNCTION("""COMPUTED_VALUE"""),40392.0)</f>
        <v>40392</v>
      </c>
      <c r="G897" s="86">
        <f>IFERROR(__xludf.DUMMYFUNCTION("""COMPUTED_VALUE"""),0.8666666666666666)</f>
        <v>0.8666666667</v>
      </c>
      <c r="H897" s="84">
        <f>IFERROR(__xludf.DUMMYFUNCTION("""COMPUTED_VALUE"""),39723.0)</f>
        <v>39723</v>
      </c>
      <c r="I897" s="86">
        <f>IFERROR(__xludf.DUMMYFUNCTION("""COMPUTED_VALUE"""),1.761111111111111)</f>
        <v>1.761111111</v>
      </c>
      <c r="J897" s="87">
        <f>IFERROR(__xludf.DUMMYFUNCTION("""COMPUTED_VALUE"""),79.0)</f>
        <v>79</v>
      </c>
      <c r="K897" s="88">
        <f>IFERROR(__xludf.DUMMYFUNCTION("""COMPUTED_VALUE"""),7.6)</f>
        <v>7.6</v>
      </c>
      <c r="L897" s="89"/>
      <c r="M897" s="26" t="str">
        <f>IFERROR(__xludf.DUMMYFUNCTION("""COMPUTED_VALUE"""),"Strategy")</f>
        <v>Strategy</v>
      </c>
      <c r="N897" s="26" t="str">
        <f>IFERROR(__xludf.DUMMYFUNCTION("""COMPUTED_VALUE"""),"PS Minis")</f>
        <v>PS Minis</v>
      </c>
      <c r="O897" s="26" t="str">
        <f>IFERROR(__xludf.DUMMYFUNCTION("""COMPUTED_VALUE"""),"No")</f>
        <v>No</v>
      </c>
      <c r="P897" s="26"/>
    </row>
    <row r="898">
      <c r="A898" s="81" t="str">
        <f>IFERROR(__xludf.DUMMYFUNCTION("""COMPUTED_VALUE"""),"Age of Zombies")</f>
        <v>Age of Zombies</v>
      </c>
      <c r="B898" s="82" t="str">
        <f>IFERROR(__xludf.DUMMYFUNCTION("""COMPUTED_VALUE"""),"PS3")</f>
        <v>PS3</v>
      </c>
      <c r="C898" s="83" t="str">
        <f>IFERROR(__xludf.DUMMYFUNCTION("""COMPUTED_VALUE"""),"Playstation Plus (Discontinued)")</f>
        <v>Playstation Plus (Discontinued)</v>
      </c>
      <c r="D898" s="82" t="str">
        <f>IFERROR(__xludf.DUMMYFUNCTION("""COMPUTED_VALUE"""),"Removed")</f>
        <v>Removed</v>
      </c>
      <c r="E898" s="84">
        <f>IFERROR(__xludf.DUMMYFUNCTION("""COMPUTED_VALUE"""),40330.0)</f>
        <v>40330</v>
      </c>
      <c r="F898" s="85">
        <f>IFERROR(__xludf.DUMMYFUNCTION("""COMPUTED_VALUE"""),40364.0)</f>
        <v>40364</v>
      </c>
      <c r="G898" s="86">
        <f>IFERROR(__xludf.DUMMYFUNCTION("""COMPUTED_VALUE"""),1.1333333333333333)</f>
        <v>1.133333333</v>
      </c>
      <c r="H898" s="84">
        <f>IFERROR(__xludf.DUMMYFUNCTION("""COMPUTED_VALUE"""),40234.0)</f>
        <v>40234</v>
      </c>
      <c r="I898" s="86">
        <f>IFERROR(__xludf.DUMMYFUNCTION("""COMPUTED_VALUE"""),0.26666666666666666)</f>
        <v>0.2666666667</v>
      </c>
      <c r="J898" s="87">
        <f>IFERROR(__xludf.DUMMYFUNCTION("""COMPUTED_VALUE"""),77.0)</f>
        <v>77</v>
      </c>
      <c r="K898" s="88">
        <f>IFERROR(__xludf.DUMMYFUNCTION("""COMPUTED_VALUE"""),7.5)</f>
        <v>7.5</v>
      </c>
      <c r="L898" s="89">
        <f>IFERROR(__xludf.DUMMYFUNCTION("""COMPUTED_VALUE"""),3.0)</f>
        <v>3</v>
      </c>
      <c r="M898" s="26" t="str">
        <f>IFERROR(__xludf.DUMMYFUNCTION("""COMPUTED_VALUE"""),"Platformer")</f>
        <v>Platformer</v>
      </c>
      <c r="N898" s="26" t="str">
        <f>IFERROR(__xludf.DUMMYFUNCTION("""COMPUTED_VALUE"""),"PS Minis")</f>
        <v>PS Minis</v>
      </c>
      <c r="O898" s="26" t="str">
        <f>IFERROR(__xludf.DUMMYFUNCTION("""COMPUTED_VALUE"""),"No")</f>
        <v>No</v>
      </c>
      <c r="P898" s="26"/>
    </row>
    <row r="899">
      <c r="A899" s="81" t="str">
        <f>IFERROR(__xludf.DUMMYFUNCTION("""COMPUTED_VALUE"""),"Rally Cross")</f>
        <v>Rally Cross</v>
      </c>
      <c r="B899" s="82" t="str">
        <f>IFERROR(__xludf.DUMMYFUNCTION("""COMPUTED_VALUE"""),"PS3")</f>
        <v>PS3</v>
      </c>
      <c r="C899" s="83" t="str">
        <f>IFERROR(__xludf.DUMMYFUNCTION("""COMPUTED_VALUE"""),"Playstation Plus (Discontinued)")</f>
        <v>Playstation Plus (Discontinued)</v>
      </c>
      <c r="D899" s="82" t="str">
        <f>IFERROR(__xludf.DUMMYFUNCTION("""COMPUTED_VALUE"""),"Removed")</f>
        <v>Removed</v>
      </c>
      <c r="E899" s="84">
        <f>IFERROR(__xludf.DUMMYFUNCTION("""COMPUTED_VALUE"""),40330.0)</f>
        <v>40330</v>
      </c>
      <c r="F899" s="85">
        <f>IFERROR(__xludf.DUMMYFUNCTION("""COMPUTED_VALUE"""),40364.0)</f>
        <v>40364</v>
      </c>
      <c r="G899" s="86">
        <f>IFERROR(__xludf.DUMMYFUNCTION("""COMPUTED_VALUE"""),1.1333333333333333)</f>
        <v>1.133333333</v>
      </c>
      <c r="H899" s="84">
        <f>IFERROR(__xludf.DUMMYFUNCTION("""COMPUTED_VALUE"""),35734.0)</f>
        <v>35734</v>
      </c>
      <c r="I899" s="86">
        <f>IFERROR(__xludf.DUMMYFUNCTION("""COMPUTED_VALUE"""),12.58611111111111)</f>
        <v>12.58611111</v>
      </c>
      <c r="J899" s="87">
        <f>IFERROR(__xludf.DUMMYFUNCTION("""COMPUTED_VALUE"""),79.0)</f>
        <v>79</v>
      </c>
      <c r="K899" s="88">
        <f>IFERROR(__xludf.DUMMYFUNCTION("""COMPUTED_VALUE"""),7.8)</f>
        <v>7.8</v>
      </c>
      <c r="L899" s="89"/>
      <c r="M899" s="26" t="str">
        <f>IFERROR(__xludf.DUMMYFUNCTION("""COMPUTED_VALUE"""),"Racing")</f>
        <v>Racing</v>
      </c>
      <c r="N899" s="26" t="str">
        <f>IFERROR(__xludf.DUMMYFUNCTION("""COMPUTED_VALUE"""),"PS1")</f>
        <v>PS1</v>
      </c>
      <c r="O899" s="26" t="str">
        <f>IFERROR(__xludf.DUMMYFUNCTION("""COMPUTED_VALUE"""),"No")</f>
        <v>No</v>
      </c>
      <c r="P899" s="26"/>
    </row>
    <row r="900">
      <c r="A900" s="81" t="str">
        <f>IFERROR(__xludf.DUMMYFUNCTION("""COMPUTED_VALUE"""),"WipEout HD")</f>
        <v>WipEout HD</v>
      </c>
      <c r="B900" s="82" t="str">
        <f>IFERROR(__xludf.DUMMYFUNCTION("""COMPUTED_VALUE"""),"PS3")</f>
        <v>PS3</v>
      </c>
      <c r="C900" s="83" t="str">
        <f>IFERROR(__xludf.DUMMYFUNCTION("""COMPUTED_VALUE"""),"Playstation Plus (Discontinued)")</f>
        <v>Playstation Plus (Discontinued)</v>
      </c>
      <c r="D900" s="82" t="str">
        <f>IFERROR(__xludf.DUMMYFUNCTION("""COMPUTED_VALUE"""),"Removed")</f>
        <v>Removed</v>
      </c>
      <c r="E900" s="84">
        <f>IFERROR(__xludf.DUMMYFUNCTION("""COMPUTED_VALUE"""),40330.0)</f>
        <v>40330</v>
      </c>
      <c r="F900" s="85">
        <f>IFERROR(__xludf.DUMMYFUNCTION("""COMPUTED_VALUE"""),40364.0)</f>
        <v>40364</v>
      </c>
      <c r="G900" s="86">
        <f>IFERROR(__xludf.DUMMYFUNCTION("""COMPUTED_VALUE"""),1.1333333333333333)</f>
        <v>1.133333333</v>
      </c>
      <c r="H900" s="84">
        <f>IFERROR(__xludf.DUMMYFUNCTION("""COMPUTED_VALUE"""),39716.0)</f>
        <v>39716</v>
      </c>
      <c r="I900" s="86">
        <f>IFERROR(__xludf.DUMMYFUNCTION("""COMPUTED_VALUE"""),1.6833333333333333)</f>
        <v>1.683333333</v>
      </c>
      <c r="J900" s="87">
        <f>IFERROR(__xludf.DUMMYFUNCTION("""COMPUTED_VALUE"""),88.0)</f>
        <v>88</v>
      </c>
      <c r="K900" s="88">
        <f>IFERROR(__xludf.DUMMYFUNCTION("""COMPUTED_VALUE"""),8.3)</f>
        <v>8.3</v>
      </c>
      <c r="L900" s="89">
        <f>IFERROR(__xludf.DUMMYFUNCTION("""COMPUTED_VALUE"""),8.0)</f>
        <v>8</v>
      </c>
      <c r="M900" s="26" t="str">
        <f>IFERROR(__xludf.DUMMYFUNCTION("""COMPUTED_VALUE"""),"Racing")</f>
        <v>Racing</v>
      </c>
      <c r="N900" s="26"/>
      <c r="O900" s="26" t="str">
        <f>IFERROR(__xludf.DUMMYFUNCTION("""COMPUTED_VALUE"""),"No")</f>
        <v>No</v>
      </c>
      <c r="P900" s="26"/>
    </row>
    <row r="901">
      <c r="A901" s="90"/>
      <c r="B901" s="82"/>
      <c r="C901" s="83"/>
      <c r="D901" s="82"/>
      <c r="E901" s="84"/>
      <c r="F901" s="85"/>
      <c r="G901" s="86"/>
      <c r="H901" s="84"/>
      <c r="I901" s="86"/>
      <c r="J901" s="87"/>
      <c r="K901" s="91"/>
      <c r="L901" s="89"/>
      <c r="M901" s="26"/>
      <c r="N901" s="26"/>
      <c r="O901" s="26"/>
      <c r="P901" s="26"/>
    </row>
    <row r="902">
      <c r="A902" s="90"/>
      <c r="B902" s="82"/>
      <c r="C902" s="83"/>
      <c r="D902" s="82"/>
      <c r="E902" s="84"/>
      <c r="F902" s="85"/>
      <c r="G902" s="86"/>
      <c r="H902" s="84"/>
      <c r="I902" s="86"/>
      <c r="J902" s="87"/>
      <c r="K902" s="91"/>
      <c r="L902" s="89"/>
      <c r="M902" s="26"/>
      <c r="N902" s="26"/>
      <c r="O902" s="26"/>
      <c r="P902" s="26"/>
    </row>
    <row r="903">
      <c r="A903" s="90"/>
      <c r="B903" s="82"/>
      <c r="C903" s="83"/>
      <c r="D903" s="82"/>
      <c r="E903" s="84"/>
      <c r="F903" s="85"/>
      <c r="G903" s="86"/>
      <c r="H903" s="84"/>
      <c r="I903" s="86"/>
      <c r="J903" s="87"/>
      <c r="K903" s="91"/>
      <c r="L903" s="89"/>
      <c r="M903" s="26"/>
      <c r="N903" s="26"/>
      <c r="O903" s="26"/>
      <c r="P903" s="26"/>
    </row>
    <row r="904">
      <c r="A904" s="90"/>
      <c r="B904" s="82"/>
      <c r="C904" s="83"/>
      <c r="D904" s="82"/>
      <c r="E904" s="84"/>
      <c r="F904" s="85"/>
      <c r="G904" s="86"/>
      <c r="H904" s="84"/>
      <c r="I904" s="86"/>
      <c r="J904" s="87"/>
      <c r="K904" s="91"/>
      <c r="L904" s="89"/>
      <c r="M904" s="26"/>
      <c r="N904" s="26"/>
      <c r="O904" s="26"/>
      <c r="P904" s="26"/>
    </row>
    <row r="905">
      <c r="A905" s="90"/>
      <c r="B905" s="82"/>
      <c r="C905" s="83"/>
      <c r="D905" s="82"/>
      <c r="E905" s="84"/>
      <c r="F905" s="85"/>
      <c r="G905" s="86"/>
      <c r="H905" s="84"/>
      <c r="I905" s="86"/>
      <c r="J905" s="87"/>
      <c r="K905" s="91"/>
      <c r="L905" s="89"/>
      <c r="M905" s="26"/>
      <c r="N905" s="26"/>
      <c r="O905" s="26"/>
      <c r="P905" s="26"/>
    </row>
    <row r="906">
      <c r="A906" s="90"/>
      <c r="B906" s="82"/>
      <c r="C906" s="83"/>
      <c r="D906" s="82"/>
      <c r="E906" s="84"/>
      <c r="F906" s="85"/>
      <c r="G906" s="86"/>
      <c r="H906" s="84"/>
      <c r="I906" s="86"/>
      <c r="J906" s="87"/>
      <c r="K906" s="91"/>
      <c r="L906" s="89"/>
      <c r="M906" s="26"/>
      <c r="N906" s="26"/>
      <c r="O906" s="26"/>
      <c r="P906" s="26"/>
    </row>
    <row r="907">
      <c r="A907" s="90"/>
      <c r="B907" s="82"/>
      <c r="C907" s="83"/>
      <c r="D907" s="82"/>
      <c r="E907" s="84"/>
      <c r="F907" s="85"/>
      <c r="G907" s="86"/>
      <c r="H907" s="84"/>
      <c r="I907" s="86"/>
      <c r="J907" s="87"/>
      <c r="K907" s="91"/>
      <c r="L907" s="89"/>
      <c r="M907" s="26"/>
      <c r="N907" s="26"/>
      <c r="O907" s="26"/>
      <c r="P907" s="26"/>
    </row>
    <row r="908">
      <c r="A908" s="90"/>
      <c r="B908" s="82"/>
      <c r="C908" s="83"/>
      <c r="D908" s="82"/>
      <c r="E908" s="84"/>
      <c r="F908" s="85"/>
      <c r="G908" s="86"/>
      <c r="H908" s="84"/>
      <c r="I908" s="86"/>
      <c r="J908" s="87"/>
      <c r="K908" s="91"/>
      <c r="L908" s="89"/>
      <c r="M908" s="26"/>
      <c r="N908" s="26"/>
      <c r="O908" s="26"/>
      <c r="P908" s="26"/>
    </row>
    <row r="909">
      <c r="A909" s="90"/>
      <c r="B909" s="82"/>
      <c r="C909" s="83"/>
      <c r="D909" s="82"/>
      <c r="E909" s="84"/>
      <c r="F909" s="85"/>
      <c r="G909" s="86"/>
      <c r="H909" s="84"/>
      <c r="I909" s="86"/>
      <c r="J909" s="87"/>
      <c r="K909" s="91"/>
      <c r="L909" s="89"/>
      <c r="M909" s="26"/>
      <c r="N909" s="26"/>
      <c r="O909" s="26"/>
      <c r="P909" s="26"/>
    </row>
    <row r="910">
      <c r="A910" s="90"/>
      <c r="B910" s="82"/>
      <c r="C910" s="83"/>
      <c r="D910" s="82"/>
      <c r="E910" s="84"/>
      <c r="F910" s="85"/>
      <c r="G910" s="86"/>
      <c r="H910" s="84"/>
      <c r="I910" s="86"/>
      <c r="J910" s="87"/>
      <c r="K910" s="91"/>
      <c r="L910" s="89"/>
      <c r="M910" s="26"/>
      <c r="N910" s="26"/>
      <c r="O910" s="26"/>
      <c r="P910" s="26"/>
    </row>
    <row r="911">
      <c r="A911" s="90"/>
      <c r="B911" s="82"/>
      <c r="C911" s="83"/>
      <c r="D911" s="82"/>
      <c r="E911" s="84"/>
      <c r="F911" s="85"/>
      <c r="G911" s="86"/>
      <c r="H911" s="84"/>
      <c r="I911" s="86"/>
      <c r="J911" s="87"/>
      <c r="K911" s="91"/>
      <c r="L911" s="89"/>
      <c r="M911" s="26"/>
      <c r="N911" s="26"/>
      <c r="O911" s="26"/>
      <c r="P911" s="26"/>
    </row>
    <row r="912">
      <c r="A912" s="90"/>
      <c r="B912" s="82"/>
      <c r="C912" s="83"/>
      <c r="D912" s="82"/>
      <c r="E912" s="84"/>
      <c r="F912" s="85"/>
      <c r="G912" s="86"/>
      <c r="H912" s="84"/>
      <c r="I912" s="86"/>
      <c r="J912" s="87"/>
      <c r="K912" s="91"/>
      <c r="L912" s="89"/>
      <c r="M912" s="26"/>
      <c r="N912" s="26"/>
      <c r="O912" s="26"/>
      <c r="P912" s="26"/>
    </row>
    <row r="913">
      <c r="A913" s="90"/>
      <c r="B913" s="82"/>
      <c r="C913" s="83"/>
      <c r="D913" s="82"/>
      <c r="E913" s="84"/>
      <c r="F913" s="85"/>
      <c r="G913" s="86"/>
      <c r="H913" s="84"/>
      <c r="I913" s="86"/>
      <c r="J913" s="87"/>
      <c r="K913" s="91"/>
      <c r="L913" s="89"/>
      <c r="M913" s="26"/>
      <c r="N913" s="26"/>
      <c r="O913" s="26"/>
      <c r="P913" s="26"/>
    </row>
    <row r="914">
      <c r="A914" s="90"/>
      <c r="B914" s="82"/>
      <c r="C914" s="83"/>
      <c r="D914" s="82"/>
      <c r="E914" s="84"/>
      <c r="F914" s="85"/>
      <c r="G914" s="86"/>
      <c r="H914" s="84"/>
      <c r="I914" s="86"/>
      <c r="J914" s="87"/>
      <c r="K914" s="91"/>
      <c r="L914" s="89"/>
      <c r="M914" s="26"/>
      <c r="N914" s="26"/>
      <c r="O914" s="26"/>
      <c r="P914" s="26"/>
    </row>
    <row r="915">
      <c r="A915" s="90"/>
      <c r="B915" s="82"/>
      <c r="C915" s="83"/>
      <c r="D915" s="82"/>
      <c r="E915" s="84"/>
      <c r="F915" s="85"/>
      <c r="G915" s="86"/>
      <c r="H915" s="84"/>
      <c r="I915" s="86"/>
      <c r="J915" s="87"/>
      <c r="K915" s="91"/>
      <c r="L915" s="89"/>
      <c r="M915" s="26"/>
      <c r="N915" s="26"/>
      <c r="O915" s="26"/>
      <c r="P915" s="26"/>
    </row>
    <row r="916">
      <c r="A916" s="90"/>
      <c r="B916" s="82"/>
      <c r="C916" s="83"/>
      <c r="D916" s="82"/>
      <c r="E916" s="84"/>
      <c r="F916" s="85"/>
      <c r="G916" s="86"/>
      <c r="H916" s="84"/>
      <c r="I916" s="86"/>
      <c r="J916" s="87"/>
      <c r="K916" s="91"/>
      <c r="L916" s="89"/>
      <c r="M916" s="26"/>
      <c r="N916" s="26"/>
      <c r="O916" s="26"/>
      <c r="P916" s="26"/>
    </row>
    <row r="917">
      <c r="A917" s="90"/>
      <c r="B917" s="82"/>
      <c r="C917" s="83"/>
      <c r="D917" s="82"/>
      <c r="E917" s="84"/>
      <c r="F917" s="85"/>
      <c r="G917" s="86"/>
      <c r="H917" s="84"/>
      <c r="I917" s="86"/>
      <c r="J917" s="87"/>
      <c r="K917" s="91"/>
      <c r="L917" s="89"/>
      <c r="M917" s="26"/>
      <c r="N917" s="26"/>
      <c r="O917" s="26"/>
      <c r="P917" s="26"/>
    </row>
    <row r="918">
      <c r="A918" s="90"/>
      <c r="B918" s="82"/>
      <c r="C918" s="83"/>
      <c r="D918" s="82"/>
      <c r="E918" s="84"/>
      <c r="F918" s="85"/>
      <c r="G918" s="86"/>
      <c r="H918" s="84"/>
      <c r="I918" s="86"/>
      <c r="J918" s="87"/>
      <c r="K918" s="91"/>
      <c r="L918" s="89"/>
      <c r="M918" s="26"/>
      <c r="N918" s="26"/>
      <c r="O918" s="26"/>
      <c r="P918" s="26"/>
    </row>
    <row r="919">
      <c r="A919" s="90"/>
      <c r="B919" s="82"/>
      <c r="C919" s="83"/>
      <c r="D919" s="82"/>
      <c r="E919" s="84"/>
      <c r="F919" s="85"/>
      <c r="G919" s="86"/>
      <c r="H919" s="84"/>
      <c r="I919" s="86"/>
      <c r="J919" s="87"/>
      <c r="K919" s="91"/>
      <c r="L919" s="89"/>
      <c r="M919" s="26"/>
      <c r="N919" s="26"/>
      <c r="O919" s="26"/>
      <c r="P919" s="26"/>
    </row>
    <row r="920">
      <c r="A920" s="90"/>
      <c r="B920" s="82"/>
      <c r="C920" s="83"/>
      <c r="D920" s="82"/>
      <c r="E920" s="84"/>
      <c r="F920" s="85"/>
      <c r="G920" s="86"/>
      <c r="H920" s="84"/>
      <c r="I920" s="86"/>
      <c r="J920" s="87"/>
      <c r="K920" s="91"/>
      <c r="L920" s="89"/>
      <c r="M920" s="26"/>
      <c r="N920" s="26"/>
      <c r="O920" s="26"/>
      <c r="P920" s="26"/>
    </row>
    <row r="921">
      <c r="A921" s="90"/>
      <c r="B921" s="82"/>
      <c r="C921" s="83"/>
      <c r="D921" s="82"/>
      <c r="E921" s="84"/>
      <c r="F921" s="85"/>
      <c r="G921" s="86"/>
      <c r="H921" s="84"/>
      <c r="I921" s="86"/>
      <c r="J921" s="87"/>
      <c r="K921" s="91"/>
      <c r="L921" s="89"/>
      <c r="M921" s="26"/>
      <c r="N921" s="26"/>
      <c r="O921" s="26"/>
      <c r="P921" s="26"/>
    </row>
    <row r="922">
      <c r="A922" s="90"/>
      <c r="B922" s="82"/>
      <c r="C922" s="83"/>
      <c r="D922" s="82"/>
      <c r="E922" s="84"/>
      <c r="F922" s="85"/>
      <c r="G922" s="86"/>
      <c r="H922" s="84"/>
      <c r="I922" s="86"/>
      <c r="J922" s="87"/>
      <c r="K922" s="91"/>
      <c r="L922" s="89"/>
      <c r="M922" s="26"/>
      <c r="N922" s="26"/>
      <c r="O922" s="26"/>
      <c r="P922" s="26"/>
    </row>
    <row r="923">
      <c r="A923" s="90"/>
      <c r="B923" s="82"/>
      <c r="C923" s="83"/>
      <c r="D923" s="82"/>
      <c r="E923" s="84"/>
      <c r="F923" s="85"/>
      <c r="G923" s="86"/>
      <c r="H923" s="84"/>
      <c r="I923" s="86"/>
      <c r="J923" s="87"/>
      <c r="K923" s="91"/>
      <c r="L923" s="89"/>
      <c r="M923" s="26"/>
      <c r="N923" s="26"/>
      <c r="O923" s="26"/>
      <c r="P923" s="26"/>
    </row>
    <row r="924">
      <c r="A924" s="90"/>
      <c r="B924" s="82"/>
      <c r="C924" s="83"/>
      <c r="D924" s="82"/>
      <c r="E924" s="84"/>
      <c r="F924" s="85"/>
      <c r="G924" s="86"/>
      <c r="H924" s="84"/>
      <c r="I924" s="86"/>
      <c r="J924" s="87"/>
      <c r="K924" s="91"/>
      <c r="L924" s="89"/>
      <c r="M924" s="26"/>
      <c r="N924" s="26"/>
      <c r="O924" s="26"/>
      <c r="P924" s="26"/>
    </row>
    <row r="925">
      <c r="A925" s="90"/>
      <c r="B925" s="82"/>
      <c r="C925" s="83"/>
      <c r="D925" s="82"/>
      <c r="E925" s="84"/>
      <c r="F925" s="85"/>
      <c r="G925" s="86"/>
      <c r="H925" s="84"/>
      <c r="I925" s="86"/>
      <c r="J925" s="87"/>
      <c r="K925" s="91"/>
      <c r="L925" s="89"/>
      <c r="M925" s="26"/>
      <c r="N925" s="26"/>
      <c r="O925" s="26"/>
      <c r="P925" s="26"/>
    </row>
    <row r="926">
      <c r="A926" s="90"/>
      <c r="B926" s="82"/>
      <c r="C926" s="83"/>
      <c r="D926" s="82"/>
      <c r="E926" s="84"/>
      <c r="F926" s="85"/>
      <c r="G926" s="86"/>
      <c r="H926" s="84"/>
      <c r="I926" s="86"/>
      <c r="J926" s="87"/>
      <c r="K926" s="91"/>
      <c r="L926" s="89"/>
      <c r="M926" s="26"/>
      <c r="N926" s="26"/>
      <c r="O926" s="26"/>
      <c r="P926" s="26"/>
    </row>
    <row r="927">
      <c r="A927" s="90"/>
      <c r="B927" s="82"/>
      <c r="C927" s="83"/>
      <c r="D927" s="82"/>
      <c r="E927" s="84"/>
      <c r="F927" s="85"/>
      <c r="G927" s="86"/>
      <c r="H927" s="84"/>
      <c r="I927" s="86"/>
      <c r="J927" s="87"/>
      <c r="K927" s="91"/>
      <c r="L927" s="89"/>
      <c r="M927" s="26"/>
      <c r="N927" s="26"/>
      <c r="O927" s="26"/>
      <c r="P927" s="26"/>
    </row>
    <row r="928">
      <c r="A928" s="90"/>
      <c r="B928" s="82"/>
      <c r="C928" s="83"/>
      <c r="D928" s="82"/>
      <c r="E928" s="84"/>
      <c r="F928" s="85"/>
      <c r="G928" s="86"/>
      <c r="H928" s="84"/>
      <c r="I928" s="86"/>
      <c r="J928" s="87"/>
      <c r="K928" s="91"/>
      <c r="L928" s="89"/>
      <c r="M928" s="26"/>
      <c r="N928" s="26"/>
      <c r="O928" s="26"/>
      <c r="P928" s="26"/>
    </row>
    <row r="929">
      <c r="A929" s="90"/>
      <c r="B929" s="82"/>
      <c r="C929" s="83"/>
      <c r="D929" s="82"/>
      <c r="E929" s="84"/>
      <c r="F929" s="85"/>
      <c r="G929" s="86"/>
      <c r="H929" s="84"/>
      <c r="I929" s="86"/>
      <c r="J929" s="87"/>
      <c r="K929" s="91"/>
      <c r="L929" s="89"/>
      <c r="M929" s="26"/>
      <c r="N929" s="26"/>
      <c r="O929" s="26"/>
      <c r="P929" s="26"/>
    </row>
    <row r="930">
      <c r="A930" s="90"/>
      <c r="B930" s="82"/>
      <c r="C930" s="83"/>
      <c r="D930" s="82"/>
      <c r="E930" s="84"/>
      <c r="F930" s="85"/>
      <c r="G930" s="86"/>
      <c r="H930" s="84"/>
      <c r="I930" s="86"/>
      <c r="J930" s="87"/>
      <c r="K930" s="91"/>
      <c r="L930" s="89"/>
      <c r="M930" s="26"/>
      <c r="N930" s="26"/>
      <c r="O930" s="26"/>
      <c r="P930" s="26"/>
    </row>
    <row r="931">
      <c r="A931" s="90"/>
      <c r="B931" s="82"/>
      <c r="C931" s="83"/>
      <c r="D931" s="82"/>
      <c r="E931" s="84"/>
      <c r="F931" s="85"/>
      <c r="G931" s="86"/>
      <c r="H931" s="84"/>
      <c r="I931" s="86"/>
      <c r="J931" s="87"/>
      <c r="K931" s="91"/>
      <c r="L931" s="89"/>
      <c r="M931" s="26"/>
      <c r="N931" s="26"/>
      <c r="O931" s="26"/>
      <c r="P931" s="26"/>
    </row>
    <row r="932">
      <c r="A932" s="90"/>
      <c r="B932" s="82"/>
      <c r="C932" s="83"/>
      <c r="D932" s="82"/>
      <c r="E932" s="84"/>
      <c r="F932" s="85"/>
      <c r="G932" s="86"/>
      <c r="H932" s="84"/>
      <c r="I932" s="86"/>
      <c r="J932" s="87"/>
      <c r="K932" s="91"/>
      <c r="L932" s="89"/>
      <c r="M932" s="26"/>
      <c r="N932" s="26"/>
      <c r="O932" s="26"/>
      <c r="P932" s="26"/>
    </row>
    <row r="933">
      <c r="A933" s="90"/>
      <c r="B933" s="82"/>
      <c r="C933" s="83"/>
      <c r="D933" s="82"/>
      <c r="E933" s="84"/>
      <c r="F933" s="85"/>
      <c r="G933" s="86"/>
      <c r="H933" s="84"/>
      <c r="I933" s="86"/>
      <c r="J933" s="87"/>
      <c r="K933" s="91"/>
      <c r="L933" s="89"/>
      <c r="M933" s="26"/>
      <c r="N933" s="26"/>
      <c r="O933" s="26"/>
      <c r="P933" s="26"/>
    </row>
    <row r="934">
      <c r="A934" s="90"/>
      <c r="B934" s="82"/>
      <c r="C934" s="83"/>
      <c r="D934" s="82"/>
      <c r="E934" s="84"/>
      <c r="F934" s="85"/>
      <c r="G934" s="86"/>
      <c r="H934" s="84"/>
      <c r="I934" s="86"/>
      <c r="J934" s="87"/>
      <c r="K934" s="91"/>
      <c r="L934" s="89"/>
      <c r="M934" s="26"/>
      <c r="N934" s="26"/>
      <c r="O934" s="26"/>
      <c r="P934" s="26"/>
    </row>
    <row r="935">
      <c r="A935" s="90"/>
      <c r="B935" s="82"/>
      <c r="C935" s="83"/>
      <c r="D935" s="82"/>
      <c r="E935" s="84"/>
      <c r="F935" s="85"/>
      <c r="G935" s="86"/>
      <c r="H935" s="84"/>
      <c r="I935" s="86"/>
      <c r="J935" s="87"/>
      <c r="K935" s="91"/>
      <c r="L935" s="89"/>
      <c r="M935" s="26"/>
      <c r="N935" s="26"/>
      <c r="O935" s="26"/>
      <c r="P935" s="26"/>
    </row>
    <row r="936">
      <c r="A936" s="90"/>
      <c r="B936" s="82"/>
      <c r="C936" s="83"/>
      <c r="D936" s="82"/>
      <c r="E936" s="84"/>
      <c r="F936" s="85"/>
      <c r="G936" s="86"/>
      <c r="H936" s="84"/>
      <c r="I936" s="86"/>
      <c r="J936" s="87"/>
      <c r="K936" s="91"/>
      <c r="L936" s="89"/>
      <c r="M936" s="26"/>
      <c r="N936" s="26"/>
      <c r="O936" s="26"/>
      <c r="P936" s="26"/>
    </row>
    <row r="937">
      <c r="A937" s="90"/>
      <c r="B937" s="82"/>
      <c r="C937" s="83"/>
      <c r="D937" s="82"/>
      <c r="E937" s="84"/>
      <c r="F937" s="85"/>
      <c r="G937" s="86"/>
      <c r="H937" s="84"/>
      <c r="I937" s="86"/>
      <c r="J937" s="87"/>
      <c r="K937" s="91"/>
      <c r="L937" s="89"/>
      <c r="M937" s="26"/>
      <c r="N937" s="26"/>
      <c r="O937" s="26"/>
      <c r="P937" s="26"/>
    </row>
    <row r="938">
      <c r="A938" s="90"/>
      <c r="B938" s="82"/>
      <c r="C938" s="83"/>
      <c r="D938" s="82"/>
      <c r="E938" s="84"/>
      <c r="F938" s="85"/>
      <c r="G938" s="86"/>
      <c r="H938" s="84"/>
      <c r="I938" s="86"/>
      <c r="J938" s="87"/>
      <c r="K938" s="91"/>
      <c r="L938" s="89"/>
      <c r="M938" s="26"/>
      <c r="N938" s="26"/>
      <c r="O938" s="26"/>
      <c r="P938" s="26"/>
    </row>
    <row r="939">
      <c r="A939" s="90"/>
      <c r="B939" s="82"/>
      <c r="C939" s="83"/>
      <c r="D939" s="82"/>
      <c r="E939" s="84"/>
      <c r="F939" s="85"/>
      <c r="G939" s="86"/>
      <c r="H939" s="84"/>
      <c r="I939" s="86"/>
      <c r="J939" s="87"/>
      <c r="K939" s="91"/>
      <c r="L939" s="89"/>
      <c r="M939" s="26"/>
      <c r="N939" s="26"/>
      <c r="O939" s="26"/>
      <c r="P939" s="26"/>
    </row>
    <row r="940">
      <c r="A940" s="90"/>
      <c r="B940" s="82"/>
      <c r="C940" s="83"/>
      <c r="D940" s="82"/>
      <c r="E940" s="84"/>
      <c r="F940" s="85"/>
      <c r="G940" s="86"/>
      <c r="H940" s="84"/>
      <c r="I940" s="86"/>
      <c r="J940" s="87"/>
      <c r="K940" s="91"/>
      <c r="L940" s="89"/>
      <c r="M940" s="26"/>
      <c r="N940" s="26"/>
      <c r="O940" s="26"/>
      <c r="P940" s="26"/>
    </row>
    <row r="941">
      <c r="A941" s="90"/>
      <c r="B941" s="82"/>
      <c r="C941" s="83"/>
      <c r="D941" s="82"/>
      <c r="E941" s="84"/>
      <c r="F941" s="85"/>
      <c r="G941" s="86"/>
      <c r="H941" s="84"/>
      <c r="I941" s="86"/>
      <c r="J941" s="87"/>
      <c r="K941" s="91"/>
      <c r="L941" s="89"/>
      <c r="M941" s="26"/>
      <c r="N941" s="26"/>
      <c r="O941" s="26"/>
      <c r="P941" s="26"/>
    </row>
    <row r="942">
      <c r="A942" s="90"/>
      <c r="B942" s="82"/>
      <c r="C942" s="83"/>
      <c r="D942" s="82"/>
      <c r="E942" s="84"/>
      <c r="F942" s="85"/>
      <c r="G942" s="86"/>
      <c r="H942" s="84"/>
      <c r="I942" s="86"/>
      <c r="J942" s="87"/>
      <c r="K942" s="91"/>
      <c r="L942" s="89"/>
      <c r="M942" s="26"/>
      <c r="N942" s="26"/>
      <c r="O942" s="26"/>
      <c r="P942" s="26"/>
    </row>
    <row r="943">
      <c r="A943" s="90"/>
      <c r="B943" s="82"/>
      <c r="C943" s="83"/>
      <c r="D943" s="82"/>
      <c r="E943" s="84"/>
      <c r="F943" s="85"/>
      <c r="G943" s="86"/>
      <c r="H943" s="84"/>
      <c r="I943" s="86"/>
      <c r="J943" s="87"/>
      <c r="K943" s="91"/>
      <c r="L943" s="89"/>
      <c r="M943" s="26"/>
      <c r="N943" s="26"/>
      <c r="O943" s="26"/>
      <c r="P943" s="26"/>
    </row>
    <row r="944">
      <c r="A944" s="90"/>
      <c r="B944" s="82"/>
      <c r="C944" s="83"/>
      <c r="D944" s="82"/>
      <c r="E944" s="84"/>
      <c r="F944" s="85"/>
      <c r="G944" s="86"/>
      <c r="H944" s="84"/>
      <c r="I944" s="86"/>
      <c r="J944" s="87"/>
      <c r="K944" s="91"/>
      <c r="L944" s="89"/>
      <c r="M944" s="26"/>
      <c r="N944" s="26"/>
      <c r="O944" s="26"/>
      <c r="P944" s="26"/>
    </row>
    <row r="945">
      <c r="A945" s="90"/>
      <c r="B945" s="82"/>
      <c r="C945" s="83"/>
      <c r="D945" s="82"/>
      <c r="E945" s="84"/>
      <c r="F945" s="85"/>
      <c r="G945" s="86"/>
      <c r="H945" s="84"/>
      <c r="I945" s="86"/>
      <c r="J945" s="87"/>
      <c r="K945" s="91"/>
      <c r="L945" s="89"/>
      <c r="M945" s="26"/>
      <c r="N945" s="26"/>
      <c r="O945" s="26"/>
      <c r="P945" s="26"/>
    </row>
    <row r="946">
      <c r="A946" s="90"/>
      <c r="B946" s="82"/>
      <c r="C946" s="83"/>
      <c r="D946" s="82"/>
      <c r="E946" s="84"/>
      <c r="F946" s="85"/>
      <c r="G946" s="86"/>
      <c r="H946" s="84"/>
      <c r="I946" s="86"/>
      <c r="J946" s="87"/>
      <c r="K946" s="91"/>
      <c r="L946" s="89"/>
      <c r="M946" s="26"/>
      <c r="N946" s="26"/>
      <c r="O946" s="26"/>
      <c r="P946" s="26"/>
    </row>
    <row r="947">
      <c r="A947" s="90"/>
      <c r="B947" s="82"/>
      <c r="C947" s="83"/>
      <c r="D947" s="82"/>
      <c r="E947" s="84"/>
      <c r="F947" s="85"/>
      <c r="G947" s="86"/>
      <c r="H947" s="84"/>
      <c r="I947" s="86"/>
      <c r="J947" s="87"/>
      <c r="K947" s="91"/>
      <c r="L947" s="89"/>
      <c r="M947" s="26"/>
      <c r="N947" s="26"/>
      <c r="O947" s="26"/>
      <c r="P947" s="26"/>
    </row>
    <row r="948">
      <c r="A948" s="90"/>
      <c r="B948" s="82"/>
      <c r="C948" s="83"/>
      <c r="D948" s="82"/>
      <c r="E948" s="84"/>
      <c r="F948" s="85"/>
      <c r="G948" s="86"/>
      <c r="H948" s="84"/>
      <c r="I948" s="86"/>
      <c r="J948" s="87"/>
      <c r="K948" s="91"/>
      <c r="L948" s="89"/>
      <c r="M948" s="26"/>
      <c r="N948" s="26"/>
      <c r="O948" s="26"/>
      <c r="P948" s="26"/>
    </row>
    <row r="949">
      <c r="A949" s="90"/>
      <c r="B949" s="82"/>
      <c r="C949" s="83"/>
      <c r="D949" s="82"/>
      <c r="E949" s="84"/>
      <c r="F949" s="85"/>
      <c r="G949" s="86"/>
      <c r="H949" s="84"/>
      <c r="I949" s="86"/>
      <c r="J949" s="87"/>
      <c r="K949" s="91"/>
      <c r="L949" s="89"/>
      <c r="M949" s="26"/>
      <c r="N949" s="26"/>
      <c r="O949" s="26"/>
      <c r="P949" s="26"/>
    </row>
    <row r="950">
      <c r="A950" s="90"/>
      <c r="B950" s="82"/>
      <c r="C950" s="83"/>
      <c r="D950" s="82"/>
      <c r="E950" s="84"/>
      <c r="F950" s="85"/>
      <c r="G950" s="86"/>
      <c r="H950" s="84"/>
      <c r="I950" s="86"/>
      <c r="J950" s="87"/>
      <c r="K950" s="91"/>
      <c r="L950" s="89"/>
      <c r="M950" s="26"/>
      <c r="N950" s="26"/>
      <c r="O950" s="26"/>
      <c r="P950" s="26"/>
    </row>
    <row r="951">
      <c r="A951" s="90"/>
      <c r="B951" s="82"/>
      <c r="C951" s="83"/>
      <c r="D951" s="82"/>
      <c r="E951" s="84"/>
      <c r="F951" s="85"/>
      <c r="G951" s="86"/>
      <c r="H951" s="84"/>
      <c r="I951" s="86"/>
      <c r="J951" s="87"/>
      <c r="K951" s="91"/>
      <c r="L951" s="89"/>
      <c r="M951" s="26"/>
      <c r="N951" s="26"/>
      <c r="O951" s="26"/>
      <c r="P951" s="26"/>
    </row>
    <row r="952">
      <c r="A952" s="90"/>
      <c r="B952" s="82"/>
      <c r="C952" s="83"/>
      <c r="D952" s="82"/>
      <c r="E952" s="84"/>
      <c r="F952" s="85"/>
      <c r="G952" s="86"/>
      <c r="H952" s="84"/>
      <c r="I952" s="86"/>
      <c r="J952" s="87"/>
      <c r="K952" s="91"/>
      <c r="L952" s="89"/>
      <c r="M952" s="26"/>
      <c r="N952" s="26"/>
      <c r="O952" s="26"/>
      <c r="P952" s="26"/>
    </row>
    <row r="953">
      <c r="A953" s="90"/>
      <c r="B953" s="82"/>
      <c r="C953" s="83"/>
      <c r="D953" s="82"/>
      <c r="E953" s="84"/>
      <c r="F953" s="85"/>
      <c r="G953" s="86"/>
      <c r="H953" s="84"/>
      <c r="I953" s="86"/>
      <c r="J953" s="87"/>
      <c r="K953" s="91"/>
      <c r="L953" s="89"/>
      <c r="M953" s="26"/>
      <c r="N953" s="26"/>
      <c r="O953" s="26"/>
      <c r="P953" s="26"/>
    </row>
    <row r="954">
      <c r="A954" s="90"/>
      <c r="B954" s="82"/>
      <c r="C954" s="83"/>
      <c r="D954" s="82"/>
      <c r="E954" s="84"/>
      <c r="F954" s="85"/>
      <c r="G954" s="86"/>
      <c r="H954" s="84"/>
      <c r="I954" s="86"/>
      <c r="J954" s="87"/>
      <c r="K954" s="91"/>
      <c r="L954" s="89"/>
      <c r="M954" s="26"/>
      <c r="N954" s="26"/>
      <c r="O954" s="26"/>
      <c r="P954" s="26"/>
    </row>
    <row r="955">
      <c r="A955" s="90"/>
      <c r="B955" s="82"/>
      <c r="C955" s="83"/>
      <c r="D955" s="82"/>
      <c r="E955" s="84"/>
      <c r="F955" s="85"/>
      <c r="G955" s="86"/>
      <c r="H955" s="84"/>
      <c r="I955" s="86"/>
      <c r="J955" s="87"/>
      <c r="K955" s="91"/>
      <c r="L955" s="89"/>
      <c r="M955" s="26"/>
      <c r="N955" s="26"/>
      <c r="O955" s="26"/>
      <c r="P955" s="26"/>
    </row>
    <row r="956">
      <c r="A956" s="90"/>
      <c r="B956" s="82"/>
      <c r="C956" s="83"/>
      <c r="D956" s="82"/>
      <c r="E956" s="84"/>
      <c r="F956" s="85"/>
      <c r="G956" s="86"/>
      <c r="H956" s="84"/>
      <c r="I956" s="86"/>
      <c r="J956" s="87"/>
      <c r="K956" s="91"/>
      <c r="L956" s="89"/>
      <c r="M956" s="26"/>
      <c r="N956" s="26"/>
      <c r="O956" s="26"/>
      <c r="P956" s="26"/>
    </row>
    <row r="957">
      <c r="A957" s="90"/>
      <c r="B957" s="82"/>
      <c r="C957" s="83"/>
      <c r="D957" s="82"/>
      <c r="E957" s="84"/>
      <c r="F957" s="85"/>
      <c r="G957" s="86"/>
      <c r="H957" s="84"/>
      <c r="I957" s="86"/>
      <c r="J957" s="87"/>
      <c r="K957" s="91"/>
      <c r="L957" s="89"/>
      <c r="M957" s="26"/>
      <c r="N957" s="26"/>
      <c r="O957" s="26"/>
      <c r="P957" s="26"/>
    </row>
    <row r="958">
      <c r="A958" s="90"/>
      <c r="B958" s="82"/>
      <c r="C958" s="83"/>
      <c r="D958" s="82"/>
      <c r="E958" s="84"/>
      <c r="F958" s="85"/>
      <c r="G958" s="86"/>
      <c r="H958" s="84"/>
      <c r="I958" s="86"/>
      <c r="J958" s="87"/>
      <c r="K958" s="91"/>
      <c r="L958" s="89"/>
      <c r="M958" s="26"/>
      <c r="N958" s="26"/>
      <c r="O958" s="26"/>
      <c r="P958" s="26"/>
    </row>
    <row r="959">
      <c r="A959" s="90"/>
      <c r="B959" s="82"/>
      <c r="C959" s="83"/>
      <c r="D959" s="82"/>
      <c r="E959" s="84"/>
      <c r="F959" s="85"/>
      <c r="G959" s="86"/>
      <c r="H959" s="84"/>
      <c r="I959" s="86"/>
      <c r="J959" s="87"/>
      <c r="K959" s="91"/>
      <c r="L959" s="89"/>
      <c r="M959" s="26"/>
      <c r="N959" s="26"/>
      <c r="O959" s="26"/>
      <c r="P959" s="26"/>
    </row>
    <row r="960">
      <c r="A960" s="90"/>
      <c r="B960" s="82"/>
      <c r="C960" s="83"/>
      <c r="D960" s="82"/>
      <c r="E960" s="84"/>
      <c r="F960" s="85"/>
      <c r="G960" s="86"/>
      <c r="H960" s="84"/>
      <c r="I960" s="86"/>
      <c r="J960" s="87"/>
      <c r="K960" s="91"/>
      <c r="L960" s="89"/>
      <c r="M960" s="26"/>
      <c r="N960" s="26"/>
      <c r="O960" s="26"/>
      <c r="P960" s="26"/>
    </row>
    <row r="961">
      <c r="A961" s="90"/>
      <c r="B961" s="82"/>
      <c r="C961" s="83"/>
      <c r="D961" s="82"/>
      <c r="E961" s="84"/>
      <c r="F961" s="85"/>
      <c r="G961" s="86"/>
      <c r="H961" s="84"/>
      <c r="I961" s="86"/>
      <c r="J961" s="87"/>
      <c r="K961" s="91"/>
      <c r="L961" s="89"/>
      <c r="M961" s="26"/>
      <c r="N961" s="26"/>
      <c r="O961" s="26"/>
      <c r="P961" s="26"/>
    </row>
    <row r="962">
      <c r="A962" s="90"/>
      <c r="B962" s="82"/>
      <c r="C962" s="83"/>
      <c r="D962" s="82"/>
      <c r="E962" s="84"/>
      <c r="F962" s="85"/>
      <c r="G962" s="86"/>
      <c r="H962" s="84"/>
      <c r="I962" s="86"/>
      <c r="J962" s="87"/>
      <c r="K962" s="91"/>
      <c r="L962" s="89"/>
      <c r="M962" s="26"/>
      <c r="N962" s="26"/>
      <c r="O962" s="26"/>
      <c r="P962" s="26"/>
    </row>
    <row r="963">
      <c r="A963" s="90"/>
      <c r="B963" s="82"/>
      <c r="C963" s="83"/>
      <c r="D963" s="82"/>
      <c r="E963" s="84"/>
      <c r="F963" s="85"/>
      <c r="G963" s="86"/>
      <c r="H963" s="84"/>
      <c r="I963" s="86"/>
      <c r="J963" s="87"/>
      <c r="K963" s="91"/>
      <c r="L963" s="89"/>
      <c r="M963" s="26"/>
      <c r="N963" s="26"/>
      <c r="O963" s="26"/>
      <c r="P963" s="26"/>
    </row>
    <row r="964">
      <c r="A964" s="90"/>
      <c r="B964" s="82"/>
      <c r="C964" s="83"/>
      <c r="D964" s="82"/>
      <c r="E964" s="84"/>
      <c r="F964" s="85"/>
      <c r="G964" s="86"/>
      <c r="H964" s="84"/>
      <c r="I964" s="86"/>
      <c r="J964" s="87"/>
      <c r="K964" s="91"/>
      <c r="L964" s="89"/>
      <c r="M964" s="26"/>
      <c r="N964" s="26"/>
      <c r="O964" s="26"/>
      <c r="P964" s="26"/>
    </row>
    <row r="965">
      <c r="A965" s="90"/>
      <c r="B965" s="82"/>
      <c r="C965" s="83"/>
      <c r="D965" s="82"/>
      <c r="E965" s="84"/>
      <c r="F965" s="85"/>
      <c r="G965" s="86"/>
      <c r="H965" s="84"/>
      <c r="I965" s="86"/>
      <c r="J965" s="87"/>
      <c r="K965" s="91"/>
      <c r="L965" s="89"/>
      <c r="M965" s="26"/>
      <c r="N965" s="26"/>
      <c r="O965" s="26"/>
      <c r="P965" s="26"/>
    </row>
    <row r="966">
      <c r="A966" s="90"/>
      <c r="B966" s="82"/>
      <c r="C966" s="83"/>
      <c r="D966" s="82"/>
      <c r="E966" s="84"/>
      <c r="F966" s="85"/>
      <c r="G966" s="86"/>
      <c r="H966" s="84"/>
      <c r="I966" s="86"/>
      <c r="J966" s="87"/>
      <c r="K966" s="91"/>
      <c r="L966" s="89"/>
      <c r="M966" s="26"/>
      <c r="N966" s="26"/>
      <c r="O966" s="26"/>
      <c r="P966" s="26"/>
    </row>
    <row r="967">
      <c r="A967" s="90"/>
      <c r="B967" s="82"/>
      <c r="C967" s="83"/>
      <c r="D967" s="82"/>
      <c r="E967" s="84"/>
      <c r="F967" s="85"/>
      <c r="G967" s="86"/>
      <c r="H967" s="84"/>
      <c r="I967" s="86"/>
      <c r="J967" s="87"/>
      <c r="K967" s="91"/>
      <c r="L967" s="89"/>
      <c r="M967" s="26"/>
      <c r="N967" s="26"/>
      <c r="O967" s="26"/>
      <c r="P967" s="26"/>
    </row>
    <row r="968">
      <c r="A968" s="90"/>
      <c r="B968" s="82"/>
      <c r="C968" s="83"/>
      <c r="D968" s="82"/>
      <c r="E968" s="84"/>
      <c r="F968" s="85"/>
      <c r="G968" s="86"/>
      <c r="H968" s="84"/>
      <c r="I968" s="86"/>
      <c r="J968" s="87"/>
      <c r="K968" s="91"/>
      <c r="L968" s="89"/>
      <c r="M968" s="26"/>
      <c r="N968" s="26"/>
      <c r="O968" s="26"/>
      <c r="P968" s="26"/>
    </row>
    <row r="969">
      <c r="A969" s="90"/>
      <c r="B969" s="82"/>
      <c r="C969" s="83"/>
      <c r="D969" s="82"/>
      <c r="E969" s="84"/>
      <c r="F969" s="85"/>
      <c r="G969" s="86"/>
      <c r="H969" s="84"/>
      <c r="I969" s="86"/>
      <c r="J969" s="87"/>
      <c r="K969" s="91"/>
      <c r="L969" s="89"/>
      <c r="M969" s="26"/>
      <c r="N969" s="26"/>
      <c r="O969" s="26"/>
      <c r="P969" s="26"/>
    </row>
    <row r="970">
      <c r="A970" s="90"/>
      <c r="B970" s="82"/>
      <c r="C970" s="83"/>
      <c r="D970" s="82"/>
      <c r="E970" s="84"/>
      <c r="F970" s="85"/>
      <c r="G970" s="86"/>
      <c r="H970" s="84"/>
      <c r="I970" s="86"/>
      <c r="J970" s="87"/>
      <c r="K970" s="91"/>
      <c r="L970" s="89"/>
      <c r="M970" s="26"/>
      <c r="N970" s="26"/>
      <c r="O970" s="26"/>
      <c r="P970" s="26"/>
    </row>
    <row r="971">
      <c r="A971" s="90"/>
      <c r="B971" s="82"/>
      <c r="C971" s="83"/>
      <c r="D971" s="82"/>
      <c r="E971" s="84"/>
      <c r="F971" s="85"/>
      <c r="G971" s="86"/>
      <c r="H971" s="84"/>
      <c r="I971" s="86"/>
      <c r="J971" s="87"/>
      <c r="K971" s="91"/>
      <c r="L971" s="89"/>
      <c r="M971" s="26"/>
      <c r="N971" s="26"/>
      <c r="O971" s="26"/>
      <c r="P971" s="26"/>
    </row>
    <row r="972">
      <c r="A972" s="90"/>
      <c r="B972" s="82"/>
      <c r="C972" s="83"/>
      <c r="D972" s="82"/>
      <c r="E972" s="84"/>
      <c r="F972" s="85"/>
      <c r="G972" s="86"/>
      <c r="H972" s="84"/>
      <c r="I972" s="86"/>
      <c r="J972" s="87"/>
      <c r="K972" s="91"/>
      <c r="L972" s="89"/>
      <c r="M972" s="26"/>
      <c r="N972" s="26"/>
      <c r="O972" s="26"/>
      <c r="P972" s="26"/>
    </row>
    <row r="973">
      <c r="A973" s="90"/>
      <c r="B973" s="82"/>
      <c r="C973" s="83"/>
      <c r="D973" s="82"/>
      <c r="E973" s="84"/>
      <c r="F973" s="85"/>
      <c r="G973" s="86"/>
      <c r="H973" s="84"/>
      <c r="I973" s="86"/>
      <c r="J973" s="87"/>
      <c r="K973" s="91"/>
      <c r="L973" s="89"/>
      <c r="M973" s="26"/>
      <c r="N973" s="26"/>
      <c r="O973" s="26"/>
      <c r="P973" s="26"/>
    </row>
    <row r="974">
      <c r="A974" s="90"/>
      <c r="B974" s="82"/>
      <c r="C974" s="83"/>
      <c r="D974" s="82"/>
      <c r="E974" s="84"/>
      <c r="F974" s="85"/>
      <c r="G974" s="86"/>
      <c r="H974" s="84"/>
      <c r="I974" s="86"/>
      <c r="J974" s="87"/>
      <c r="K974" s="91"/>
      <c r="L974" s="89"/>
      <c r="M974" s="26"/>
      <c r="N974" s="26"/>
      <c r="O974" s="26"/>
      <c r="P974" s="26"/>
    </row>
    <row r="975">
      <c r="A975" s="90"/>
      <c r="B975" s="82"/>
      <c r="C975" s="83"/>
      <c r="D975" s="82"/>
      <c r="E975" s="84"/>
      <c r="F975" s="85"/>
      <c r="G975" s="86"/>
      <c r="H975" s="84"/>
      <c r="I975" s="86"/>
      <c r="J975" s="87"/>
      <c r="K975" s="91"/>
      <c r="L975" s="89"/>
      <c r="M975" s="26"/>
      <c r="N975" s="26"/>
      <c r="O975" s="26"/>
      <c r="P975" s="26"/>
    </row>
    <row r="976">
      <c r="A976" s="90"/>
      <c r="B976" s="82"/>
      <c r="C976" s="83"/>
      <c r="D976" s="82"/>
      <c r="E976" s="84"/>
      <c r="F976" s="85"/>
      <c r="G976" s="86"/>
      <c r="H976" s="84"/>
      <c r="I976" s="86"/>
      <c r="J976" s="87"/>
      <c r="K976" s="91"/>
      <c r="L976" s="89"/>
      <c r="M976" s="26"/>
      <c r="N976" s="26"/>
      <c r="O976" s="26"/>
      <c r="P976" s="26"/>
    </row>
    <row r="977">
      <c r="A977" s="90"/>
      <c r="B977" s="82"/>
      <c r="C977" s="83"/>
      <c r="D977" s="82"/>
      <c r="E977" s="84"/>
      <c r="F977" s="85"/>
      <c r="G977" s="86"/>
      <c r="H977" s="84"/>
      <c r="I977" s="86"/>
      <c r="J977" s="87"/>
      <c r="K977" s="91"/>
      <c r="L977" s="89"/>
      <c r="M977" s="26"/>
      <c r="N977" s="26"/>
      <c r="O977" s="26"/>
      <c r="P977" s="26"/>
    </row>
    <row r="978">
      <c r="A978" s="90"/>
      <c r="B978" s="82"/>
      <c r="C978" s="83"/>
      <c r="D978" s="82"/>
      <c r="E978" s="84"/>
      <c r="F978" s="85"/>
      <c r="G978" s="86"/>
      <c r="H978" s="84"/>
      <c r="I978" s="86"/>
      <c r="J978" s="87"/>
      <c r="K978" s="91"/>
      <c r="L978" s="89"/>
      <c r="M978" s="26"/>
      <c r="N978" s="26"/>
      <c r="O978" s="26"/>
      <c r="P978" s="26"/>
    </row>
    <row r="979">
      <c r="A979" s="90"/>
      <c r="B979" s="82"/>
      <c r="C979" s="83"/>
      <c r="D979" s="82"/>
      <c r="E979" s="84"/>
      <c r="F979" s="85"/>
      <c r="G979" s="86"/>
      <c r="H979" s="84"/>
      <c r="I979" s="86"/>
      <c r="J979" s="87"/>
      <c r="K979" s="91"/>
      <c r="L979" s="89"/>
      <c r="M979" s="26"/>
      <c r="N979" s="26"/>
      <c r="O979" s="26"/>
      <c r="P979" s="26"/>
    </row>
    <row r="980">
      <c r="A980" s="90"/>
      <c r="B980" s="82"/>
      <c r="C980" s="83"/>
      <c r="D980" s="82"/>
      <c r="E980" s="84"/>
      <c r="F980" s="85"/>
      <c r="G980" s="86"/>
      <c r="H980" s="84"/>
      <c r="I980" s="86"/>
      <c r="J980" s="87"/>
      <c r="K980" s="91"/>
      <c r="L980" s="89"/>
      <c r="M980" s="26"/>
      <c r="N980" s="26"/>
      <c r="O980" s="26"/>
      <c r="P980" s="26"/>
    </row>
    <row r="981">
      <c r="A981" s="90"/>
      <c r="B981" s="82"/>
      <c r="C981" s="83"/>
      <c r="D981" s="82"/>
      <c r="E981" s="84"/>
      <c r="F981" s="85"/>
      <c r="G981" s="86"/>
      <c r="H981" s="84"/>
      <c r="I981" s="86"/>
      <c r="J981" s="87"/>
      <c r="K981" s="91"/>
      <c r="L981" s="89"/>
      <c r="M981" s="26"/>
      <c r="N981" s="26"/>
      <c r="O981" s="26"/>
      <c r="P981" s="26"/>
    </row>
    <row r="982">
      <c r="A982" s="90"/>
      <c r="B982" s="82"/>
      <c r="C982" s="83"/>
      <c r="D982" s="82"/>
      <c r="E982" s="84"/>
      <c r="F982" s="85"/>
      <c r="G982" s="86"/>
      <c r="H982" s="84"/>
      <c r="I982" s="86"/>
      <c r="J982" s="87"/>
      <c r="K982" s="91"/>
      <c r="L982" s="89"/>
      <c r="M982" s="26"/>
      <c r="N982" s="26"/>
      <c r="O982" s="26"/>
      <c r="P982" s="26"/>
    </row>
    <row r="983">
      <c r="A983" s="90"/>
      <c r="B983" s="82"/>
      <c r="C983" s="83"/>
      <c r="D983" s="82"/>
      <c r="E983" s="84"/>
      <c r="F983" s="85"/>
      <c r="G983" s="86"/>
      <c r="H983" s="84"/>
      <c r="I983" s="86"/>
      <c r="J983" s="87"/>
      <c r="K983" s="91"/>
      <c r="L983" s="89"/>
      <c r="M983" s="26"/>
      <c r="N983" s="26"/>
      <c r="O983" s="26"/>
      <c r="P983" s="26"/>
    </row>
    <row r="984">
      <c r="A984" s="90"/>
      <c r="B984" s="82"/>
      <c r="C984" s="83"/>
      <c r="D984" s="82"/>
      <c r="E984" s="84"/>
      <c r="F984" s="85"/>
      <c r="G984" s="86"/>
      <c r="H984" s="84"/>
      <c r="I984" s="86"/>
      <c r="J984" s="87"/>
      <c r="K984" s="91"/>
      <c r="L984" s="89"/>
      <c r="M984" s="26"/>
      <c r="N984" s="26"/>
      <c r="O984" s="26"/>
      <c r="P984" s="26"/>
    </row>
    <row r="985">
      <c r="A985" s="90"/>
      <c r="B985" s="82"/>
      <c r="C985" s="83"/>
      <c r="D985" s="82"/>
      <c r="E985" s="84"/>
      <c r="F985" s="85"/>
      <c r="G985" s="86"/>
      <c r="H985" s="84"/>
      <c r="I985" s="86"/>
      <c r="J985" s="87"/>
      <c r="K985" s="91"/>
      <c r="L985" s="89"/>
      <c r="M985" s="26"/>
      <c r="N985" s="26"/>
      <c r="O985" s="26"/>
      <c r="P985" s="26"/>
    </row>
    <row r="986">
      <c r="A986" s="90"/>
      <c r="B986" s="82"/>
      <c r="C986" s="83"/>
      <c r="D986" s="82"/>
      <c r="E986" s="84"/>
      <c r="F986" s="85"/>
      <c r="G986" s="86"/>
      <c r="H986" s="84"/>
      <c r="I986" s="86"/>
      <c r="J986" s="87"/>
      <c r="K986" s="91"/>
      <c r="L986" s="89"/>
      <c r="M986" s="26"/>
      <c r="N986" s="26"/>
      <c r="O986" s="26"/>
      <c r="P986" s="26"/>
    </row>
    <row r="987">
      <c r="A987" s="90"/>
      <c r="B987" s="82"/>
      <c r="C987" s="83"/>
      <c r="D987" s="82"/>
      <c r="E987" s="84"/>
      <c r="F987" s="85"/>
      <c r="G987" s="86"/>
      <c r="H987" s="84"/>
      <c r="I987" s="86"/>
      <c r="J987" s="87"/>
      <c r="K987" s="91"/>
      <c r="L987" s="89"/>
      <c r="M987" s="26"/>
      <c r="N987" s="26"/>
      <c r="O987" s="26"/>
      <c r="P987" s="26"/>
    </row>
    <row r="988">
      <c r="A988" s="90"/>
      <c r="B988" s="82"/>
      <c r="C988" s="83"/>
      <c r="D988" s="82"/>
      <c r="E988" s="84"/>
      <c r="F988" s="85"/>
      <c r="G988" s="86"/>
      <c r="H988" s="84"/>
      <c r="I988" s="86"/>
      <c r="J988" s="87"/>
      <c r="K988" s="91"/>
      <c r="L988" s="89"/>
      <c r="M988" s="26"/>
      <c r="N988" s="26"/>
      <c r="O988" s="26"/>
      <c r="P988" s="26"/>
    </row>
    <row r="989">
      <c r="A989" s="90"/>
      <c r="B989" s="82"/>
      <c r="C989" s="83"/>
      <c r="D989" s="82"/>
      <c r="E989" s="84"/>
      <c r="F989" s="85"/>
      <c r="G989" s="86"/>
      <c r="H989" s="84"/>
      <c r="I989" s="86"/>
      <c r="J989" s="87"/>
      <c r="K989" s="91"/>
      <c r="L989" s="89"/>
      <c r="M989" s="26"/>
      <c r="N989" s="26"/>
      <c r="O989" s="26"/>
      <c r="P989" s="26"/>
    </row>
    <row r="990">
      <c r="A990" s="90"/>
      <c r="B990" s="82"/>
      <c r="C990" s="83"/>
      <c r="D990" s="82"/>
      <c r="E990" s="84"/>
      <c r="F990" s="85"/>
      <c r="G990" s="86"/>
      <c r="H990" s="84"/>
      <c r="I990" s="86"/>
      <c r="J990" s="87"/>
      <c r="K990" s="91"/>
      <c r="L990" s="89"/>
      <c r="M990" s="26"/>
      <c r="N990" s="26"/>
      <c r="O990" s="26"/>
      <c r="P990" s="26"/>
    </row>
    <row r="991">
      <c r="A991" s="90"/>
      <c r="B991" s="82"/>
      <c r="C991" s="83"/>
      <c r="D991" s="82"/>
      <c r="E991" s="84"/>
      <c r="F991" s="85"/>
      <c r="G991" s="86"/>
      <c r="H991" s="84"/>
      <c r="I991" s="86"/>
      <c r="J991" s="87"/>
      <c r="K991" s="91"/>
      <c r="L991" s="89"/>
      <c r="M991" s="26"/>
      <c r="N991" s="26"/>
      <c r="O991" s="26"/>
      <c r="P991" s="26"/>
    </row>
    <row r="992">
      <c r="A992" s="90"/>
      <c r="B992" s="82"/>
      <c r="C992" s="83"/>
      <c r="D992" s="82"/>
      <c r="E992" s="84"/>
      <c r="F992" s="85"/>
      <c r="G992" s="86"/>
      <c r="H992" s="84"/>
      <c r="I992" s="86"/>
      <c r="J992" s="87"/>
      <c r="K992" s="91"/>
      <c r="L992" s="89"/>
      <c r="M992" s="26"/>
      <c r="N992" s="26"/>
      <c r="O992" s="26"/>
      <c r="P992" s="26"/>
    </row>
    <row r="993">
      <c r="A993" s="90"/>
      <c r="B993" s="82"/>
      <c r="C993" s="83"/>
      <c r="D993" s="82"/>
      <c r="E993" s="84"/>
      <c r="F993" s="85"/>
      <c r="G993" s="86"/>
      <c r="H993" s="84"/>
      <c r="I993" s="86"/>
      <c r="J993" s="87"/>
      <c r="K993" s="91"/>
      <c r="L993" s="89"/>
      <c r="M993" s="26"/>
      <c r="N993" s="26"/>
      <c r="O993" s="26"/>
      <c r="P993" s="26"/>
    </row>
    <row r="994">
      <c r="A994" s="90"/>
      <c r="B994" s="82"/>
      <c r="C994" s="83"/>
      <c r="D994" s="82"/>
      <c r="E994" s="84"/>
      <c r="F994" s="85"/>
      <c r="G994" s="86"/>
      <c r="H994" s="84"/>
      <c r="I994" s="86"/>
      <c r="J994" s="87"/>
      <c r="K994" s="91"/>
      <c r="L994" s="89"/>
      <c r="M994" s="26"/>
      <c r="N994" s="26"/>
      <c r="O994" s="26"/>
      <c r="P994" s="26"/>
    </row>
    <row r="995">
      <c r="A995" s="90"/>
      <c r="B995" s="82"/>
      <c r="C995" s="83"/>
      <c r="D995" s="82"/>
      <c r="E995" s="84"/>
      <c r="F995" s="85"/>
      <c r="G995" s="86"/>
      <c r="H995" s="84"/>
      <c r="I995" s="86"/>
      <c r="J995" s="87"/>
      <c r="K995" s="91"/>
      <c r="L995" s="89"/>
      <c r="M995" s="26"/>
      <c r="N995" s="26"/>
      <c r="O995" s="26"/>
      <c r="P995" s="26"/>
    </row>
    <row r="996">
      <c r="A996" s="90"/>
      <c r="B996" s="82"/>
      <c r="C996" s="83"/>
      <c r="D996" s="82"/>
      <c r="E996" s="84"/>
      <c r="F996" s="85"/>
      <c r="G996" s="86"/>
      <c r="H996" s="84"/>
      <c r="I996" s="86"/>
      <c r="J996" s="87"/>
      <c r="K996" s="91"/>
      <c r="L996" s="89"/>
      <c r="M996" s="26"/>
      <c r="N996" s="26"/>
      <c r="O996" s="26"/>
      <c r="P996" s="26"/>
    </row>
    <row r="997">
      <c r="A997" s="90"/>
      <c r="B997" s="82"/>
      <c r="C997" s="83"/>
      <c r="D997" s="82"/>
      <c r="E997" s="84"/>
      <c r="F997" s="85"/>
      <c r="G997" s="86"/>
      <c r="H997" s="84"/>
      <c r="I997" s="86"/>
      <c r="J997" s="87"/>
      <c r="K997" s="91"/>
      <c r="L997" s="89"/>
      <c r="M997" s="26"/>
      <c r="N997" s="26"/>
      <c r="O997" s="26"/>
      <c r="P997" s="26"/>
    </row>
    <row r="998">
      <c r="A998" s="90"/>
      <c r="B998" s="82"/>
      <c r="C998" s="83"/>
      <c r="D998" s="82"/>
      <c r="E998" s="84"/>
      <c r="F998" s="85"/>
      <c r="G998" s="86"/>
      <c r="H998" s="84"/>
      <c r="I998" s="86"/>
      <c r="J998" s="87"/>
      <c r="K998" s="91"/>
      <c r="L998" s="89"/>
      <c r="M998" s="26"/>
      <c r="N998" s="26"/>
      <c r="O998" s="26"/>
      <c r="P998" s="26"/>
    </row>
    <row r="999">
      <c r="A999" s="90"/>
      <c r="B999" s="82"/>
      <c r="C999" s="83"/>
      <c r="D999" s="82"/>
      <c r="E999" s="84"/>
      <c r="F999" s="85"/>
      <c r="G999" s="86"/>
      <c r="H999" s="84"/>
      <c r="I999" s="86"/>
      <c r="J999" s="87"/>
      <c r="K999" s="91"/>
      <c r="L999" s="89"/>
      <c r="M999" s="26"/>
      <c r="N999" s="26"/>
      <c r="O999" s="26"/>
      <c r="P999" s="26"/>
    </row>
    <row r="1000">
      <c r="A1000" s="90"/>
      <c r="B1000" s="82"/>
      <c r="C1000" s="83"/>
      <c r="D1000" s="82"/>
      <c r="E1000" s="84"/>
      <c r="F1000" s="85"/>
      <c r="G1000" s="86"/>
      <c r="H1000" s="84"/>
      <c r="I1000" s="86"/>
      <c r="J1000" s="87"/>
      <c r="K1000" s="91"/>
      <c r="L1000" s="89"/>
      <c r="M1000" s="26"/>
      <c r="N1000" s="26"/>
      <c r="O1000" s="26"/>
      <c r="P1000" s="26"/>
    </row>
    <row r="1001">
      <c r="A1001" s="90"/>
      <c r="B1001" s="82"/>
      <c r="C1001" s="83"/>
      <c r="D1001" s="82"/>
      <c r="E1001" s="84"/>
      <c r="F1001" s="85"/>
      <c r="G1001" s="86"/>
      <c r="H1001" s="84"/>
      <c r="I1001" s="86"/>
      <c r="J1001" s="87"/>
      <c r="K1001" s="91"/>
      <c r="L1001" s="89"/>
      <c r="M1001" s="26"/>
      <c r="N1001" s="26"/>
      <c r="O1001" s="26"/>
      <c r="P1001" s="26"/>
    </row>
    <row r="1002">
      <c r="A1002" s="90"/>
      <c r="B1002" s="82"/>
      <c r="C1002" s="83"/>
      <c r="D1002" s="82"/>
      <c r="E1002" s="84"/>
      <c r="F1002" s="85"/>
      <c r="G1002" s="86"/>
      <c r="H1002" s="84"/>
      <c r="I1002" s="86"/>
      <c r="J1002" s="87"/>
      <c r="K1002" s="91"/>
      <c r="L1002" s="89"/>
      <c r="M1002" s="26"/>
      <c r="N1002" s="26"/>
      <c r="O1002" s="26"/>
      <c r="P1002" s="26"/>
    </row>
    <row r="1003">
      <c r="A1003" s="90"/>
      <c r="B1003" s="82"/>
      <c r="C1003" s="83"/>
      <c r="D1003" s="82"/>
      <c r="E1003" s="84"/>
      <c r="F1003" s="85"/>
      <c r="G1003" s="86"/>
      <c r="H1003" s="84"/>
      <c r="I1003" s="86"/>
      <c r="J1003" s="87"/>
      <c r="K1003" s="91"/>
      <c r="L1003" s="89"/>
      <c r="M1003" s="26"/>
      <c r="N1003" s="26"/>
      <c r="O1003" s="26"/>
      <c r="P1003" s="26"/>
    </row>
    <row r="1004">
      <c r="A1004" s="90"/>
      <c r="B1004" s="82"/>
      <c r="C1004" s="83"/>
      <c r="D1004" s="82"/>
      <c r="E1004" s="84"/>
      <c r="F1004" s="85"/>
      <c r="G1004" s="86"/>
      <c r="H1004" s="84"/>
      <c r="I1004" s="86"/>
      <c r="J1004" s="87"/>
      <c r="K1004" s="91"/>
      <c r="L1004" s="89"/>
      <c r="M1004" s="26"/>
      <c r="N1004" s="26"/>
      <c r="O1004" s="26"/>
      <c r="P1004" s="26"/>
    </row>
    <row r="1005">
      <c r="A1005" s="90"/>
      <c r="B1005" s="82"/>
      <c r="C1005" s="83"/>
      <c r="D1005" s="82"/>
      <c r="E1005" s="84"/>
      <c r="F1005" s="85"/>
      <c r="G1005" s="86"/>
      <c r="H1005" s="84"/>
      <c r="I1005" s="86"/>
      <c r="J1005" s="87"/>
      <c r="K1005" s="91"/>
      <c r="L1005" s="89"/>
      <c r="M1005" s="26"/>
      <c r="N1005" s="26"/>
      <c r="O1005" s="26"/>
      <c r="P1005" s="26"/>
    </row>
    <row r="1006">
      <c r="A1006" s="90"/>
      <c r="B1006" s="82"/>
      <c r="C1006" s="83"/>
      <c r="D1006" s="82"/>
      <c r="E1006" s="84"/>
      <c r="F1006" s="85"/>
      <c r="G1006" s="86"/>
      <c r="H1006" s="84"/>
      <c r="I1006" s="86"/>
      <c r="J1006" s="87"/>
      <c r="K1006" s="91"/>
      <c r="L1006" s="89"/>
      <c r="M1006" s="26"/>
      <c r="N1006" s="26"/>
      <c r="O1006" s="26"/>
      <c r="P1006" s="26"/>
    </row>
    <row r="1007">
      <c r="A1007" s="90"/>
      <c r="B1007" s="82"/>
      <c r="C1007" s="83"/>
      <c r="D1007" s="82"/>
      <c r="E1007" s="84"/>
      <c r="F1007" s="85"/>
      <c r="G1007" s="86"/>
      <c r="H1007" s="84"/>
      <c r="I1007" s="86"/>
      <c r="J1007" s="87"/>
      <c r="K1007" s="91"/>
      <c r="L1007" s="89"/>
      <c r="M1007" s="26"/>
      <c r="N1007" s="26"/>
      <c r="O1007" s="26"/>
      <c r="P1007" s="26"/>
    </row>
    <row r="1008">
      <c r="A1008" s="90"/>
      <c r="B1008" s="82"/>
      <c r="C1008" s="83"/>
      <c r="D1008" s="82"/>
      <c r="E1008" s="84"/>
      <c r="F1008" s="85"/>
      <c r="G1008" s="86"/>
      <c r="H1008" s="84"/>
      <c r="I1008" s="86"/>
      <c r="J1008" s="87"/>
      <c r="K1008" s="91"/>
      <c r="L1008" s="89"/>
      <c r="M1008" s="26"/>
      <c r="N1008" s="26"/>
      <c r="O1008" s="26"/>
      <c r="P1008" s="26"/>
    </row>
    <row r="1009">
      <c r="A1009" s="90"/>
      <c r="B1009" s="82"/>
      <c r="C1009" s="83"/>
      <c r="D1009" s="82"/>
      <c r="E1009" s="84"/>
      <c r="F1009" s="85"/>
      <c r="G1009" s="86"/>
      <c r="H1009" s="84"/>
      <c r="I1009" s="86"/>
      <c r="J1009" s="87"/>
      <c r="K1009" s="91"/>
      <c r="L1009" s="89"/>
      <c r="M1009" s="26"/>
      <c r="N1009" s="26"/>
      <c r="O1009" s="26"/>
      <c r="P1009" s="26"/>
    </row>
    <row r="1010">
      <c r="A1010" s="90"/>
      <c r="B1010" s="82"/>
      <c r="C1010" s="83"/>
      <c r="D1010" s="82"/>
      <c r="E1010" s="84"/>
      <c r="F1010" s="85"/>
      <c r="G1010" s="86"/>
      <c r="H1010" s="84"/>
      <c r="I1010" s="86"/>
      <c r="J1010" s="87"/>
      <c r="K1010" s="91"/>
      <c r="L1010" s="89"/>
      <c r="M1010" s="26"/>
      <c r="N1010" s="26"/>
      <c r="O1010" s="26"/>
      <c r="P1010" s="26"/>
    </row>
    <row r="1011">
      <c r="A1011" s="90"/>
      <c r="B1011" s="82"/>
      <c r="C1011" s="83"/>
      <c r="D1011" s="82"/>
      <c r="E1011" s="84"/>
      <c r="F1011" s="85"/>
      <c r="G1011" s="86"/>
      <c r="H1011" s="84"/>
      <c r="I1011" s="86"/>
      <c r="J1011" s="87"/>
      <c r="K1011" s="91"/>
      <c r="L1011" s="89"/>
      <c r="M1011" s="26"/>
      <c r="N1011" s="26"/>
      <c r="O1011" s="26"/>
      <c r="P1011" s="26"/>
    </row>
    <row r="1012">
      <c r="A1012" s="90"/>
      <c r="B1012" s="82"/>
      <c r="C1012" s="83"/>
      <c r="D1012" s="82"/>
      <c r="E1012" s="84"/>
      <c r="F1012" s="85"/>
      <c r="G1012" s="86"/>
      <c r="H1012" s="84"/>
      <c r="I1012" s="86"/>
      <c r="J1012" s="87"/>
      <c r="K1012" s="91"/>
      <c r="L1012" s="89"/>
      <c r="M1012" s="26"/>
      <c r="N1012" s="26"/>
      <c r="O1012" s="26"/>
      <c r="P1012" s="26"/>
    </row>
    <row r="1013">
      <c r="A1013" s="90"/>
      <c r="B1013" s="82"/>
      <c r="C1013" s="83"/>
      <c r="D1013" s="82"/>
      <c r="E1013" s="84"/>
      <c r="F1013" s="85"/>
      <c r="G1013" s="86"/>
      <c r="H1013" s="84"/>
      <c r="I1013" s="86"/>
      <c r="J1013" s="87"/>
      <c r="K1013" s="91"/>
      <c r="L1013" s="89"/>
      <c r="M1013" s="26"/>
      <c r="N1013" s="26"/>
      <c r="O1013" s="26"/>
      <c r="P1013" s="26"/>
    </row>
    <row r="1014">
      <c r="A1014" s="90"/>
      <c r="B1014" s="82"/>
      <c r="C1014" s="83"/>
      <c r="D1014" s="82"/>
      <c r="E1014" s="84"/>
      <c r="F1014" s="85"/>
      <c r="G1014" s="86"/>
      <c r="H1014" s="84"/>
      <c r="I1014" s="86"/>
      <c r="J1014" s="87"/>
      <c r="K1014" s="91"/>
      <c r="L1014" s="89"/>
      <c r="M1014" s="26"/>
      <c r="N1014" s="26"/>
      <c r="O1014" s="26"/>
      <c r="P1014" s="26"/>
    </row>
    <row r="1015">
      <c r="A1015" s="90"/>
      <c r="B1015" s="82"/>
      <c r="C1015" s="83"/>
      <c r="D1015" s="82"/>
      <c r="E1015" s="84"/>
      <c r="F1015" s="85"/>
      <c r="G1015" s="86"/>
      <c r="H1015" s="84"/>
      <c r="I1015" s="86"/>
      <c r="J1015" s="87"/>
      <c r="K1015" s="91"/>
      <c r="L1015" s="89"/>
      <c r="M1015" s="26"/>
      <c r="N1015" s="26"/>
      <c r="O1015" s="26"/>
      <c r="P1015" s="26"/>
    </row>
    <row r="1016">
      <c r="A1016" s="90"/>
      <c r="B1016" s="82"/>
      <c r="C1016" s="83"/>
      <c r="D1016" s="82"/>
      <c r="E1016" s="84"/>
      <c r="F1016" s="85"/>
      <c r="G1016" s="86"/>
      <c r="H1016" s="84"/>
      <c r="I1016" s="86"/>
      <c r="J1016" s="87"/>
      <c r="K1016" s="91"/>
      <c r="L1016" s="89"/>
      <c r="M1016" s="26"/>
      <c r="N1016" s="26"/>
      <c r="O1016" s="26"/>
      <c r="P1016" s="26"/>
    </row>
    <row r="1017">
      <c r="A1017" s="90"/>
      <c r="B1017" s="82"/>
      <c r="C1017" s="83"/>
      <c r="D1017" s="82"/>
      <c r="E1017" s="84"/>
      <c r="F1017" s="85"/>
      <c r="G1017" s="86"/>
      <c r="H1017" s="84"/>
      <c r="I1017" s="86"/>
      <c r="J1017" s="87"/>
      <c r="K1017" s="91"/>
      <c r="L1017" s="89"/>
      <c r="M1017" s="26"/>
      <c r="N1017" s="26"/>
      <c r="O1017" s="26"/>
      <c r="P1017" s="26"/>
    </row>
    <row r="1018">
      <c r="A1018" s="90"/>
      <c r="B1018" s="82"/>
      <c r="C1018" s="83"/>
      <c r="D1018" s="82"/>
      <c r="E1018" s="84"/>
      <c r="F1018" s="85"/>
      <c r="G1018" s="86"/>
      <c r="H1018" s="84"/>
      <c r="I1018" s="86"/>
      <c r="J1018" s="87"/>
      <c r="K1018" s="91"/>
      <c r="L1018" s="89"/>
      <c r="M1018" s="26"/>
      <c r="N1018" s="26"/>
      <c r="O1018" s="26"/>
      <c r="P1018" s="26"/>
    </row>
    <row r="1019">
      <c r="A1019" s="90"/>
      <c r="B1019" s="82"/>
      <c r="C1019" s="83"/>
      <c r="D1019" s="82"/>
      <c r="E1019" s="84"/>
      <c r="F1019" s="85"/>
      <c r="G1019" s="86"/>
      <c r="H1019" s="84"/>
      <c r="I1019" s="86"/>
      <c r="J1019" s="87"/>
      <c r="K1019" s="91"/>
      <c r="L1019" s="89"/>
      <c r="M1019" s="26"/>
      <c r="N1019" s="26"/>
      <c r="O1019" s="26"/>
      <c r="P1019" s="26"/>
    </row>
    <row r="1020">
      <c r="A1020" s="90"/>
      <c r="B1020" s="82"/>
      <c r="C1020" s="83"/>
      <c r="D1020" s="82"/>
      <c r="E1020" s="84"/>
      <c r="F1020" s="85"/>
      <c r="G1020" s="86"/>
      <c r="H1020" s="84"/>
      <c r="I1020" s="86"/>
      <c r="J1020" s="87"/>
      <c r="K1020" s="91"/>
      <c r="L1020" s="89"/>
      <c r="M1020" s="26"/>
      <c r="N1020" s="26"/>
      <c r="O1020" s="26"/>
      <c r="P1020" s="26"/>
    </row>
    <row r="1021">
      <c r="A1021" s="90"/>
      <c r="B1021" s="82"/>
      <c r="C1021" s="83"/>
      <c r="D1021" s="82"/>
      <c r="E1021" s="84"/>
      <c r="F1021" s="85"/>
      <c r="G1021" s="86"/>
      <c r="H1021" s="84"/>
      <c r="I1021" s="86"/>
      <c r="J1021" s="87"/>
      <c r="K1021" s="91"/>
      <c r="L1021" s="89"/>
      <c r="M1021" s="26"/>
      <c r="N1021" s="26"/>
      <c r="O1021" s="26"/>
      <c r="P1021" s="26"/>
    </row>
    <row r="1022">
      <c r="A1022" s="90"/>
      <c r="B1022" s="82"/>
      <c r="C1022" s="83"/>
      <c r="D1022" s="82"/>
      <c r="E1022" s="84"/>
      <c r="F1022" s="85"/>
      <c r="G1022" s="86"/>
      <c r="H1022" s="84"/>
      <c r="I1022" s="86"/>
      <c r="J1022" s="87"/>
      <c r="K1022" s="91"/>
      <c r="L1022" s="89"/>
      <c r="M1022" s="26"/>
      <c r="N1022" s="26"/>
      <c r="O1022" s="26"/>
      <c r="P1022" s="26"/>
    </row>
    <row r="1023">
      <c r="A1023" s="90"/>
      <c r="B1023" s="82"/>
      <c r="C1023" s="83"/>
      <c r="D1023" s="82"/>
      <c r="E1023" s="84"/>
      <c r="F1023" s="85"/>
      <c r="G1023" s="86"/>
      <c r="H1023" s="84"/>
      <c r="I1023" s="86"/>
      <c r="J1023" s="87"/>
      <c r="K1023" s="91"/>
      <c r="L1023" s="89"/>
      <c r="M1023" s="26"/>
      <c r="N1023" s="26"/>
      <c r="O1023" s="26"/>
      <c r="P1023" s="26"/>
    </row>
    <row r="1024">
      <c r="A1024" s="90"/>
      <c r="B1024" s="82"/>
      <c r="C1024" s="83"/>
      <c r="D1024" s="82"/>
      <c r="E1024" s="84"/>
      <c r="F1024" s="85"/>
      <c r="G1024" s="86"/>
      <c r="H1024" s="84"/>
      <c r="I1024" s="86"/>
      <c r="J1024" s="87"/>
      <c r="K1024" s="91"/>
      <c r="L1024" s="89"/>
      <c r="M1024" s="26"/>
      <c r="N1024" s="26"/>
      <c r="O1024" s="26"/>
      <c r="P1024" s="26"/>
    </row>
    <row r="1025">
      <c r="A1025" s="90"/>
      <c r="B1025" s="82"/>
      <c r="C1025" s="83"/>
      <c r="D1025" s="82"/>
      <c r="E1025" s="84"/>
      <c r="F1025" s="85"/>
      <c r="G1025" s="86"/>
      <c r="H1025" s="84"/>
      <c r="I1025" s="86"/>
      <c r="J1025" s="87"/>
      <c r="K1025" s="91"/>
      <c r="L1025" s="89"/>
      <c r="M1025" s="26"/>
      <c r="N1025" s="26"/>
      <c r="O1025" s="26"/>
      <c r="P1025" s="26"/>
    </row>
    <row r="1026">
      <c r="A1026" s="90"/>
      <c r="B1026" s="82"/>
      <c r="C1026" s="83"/>
      <c r="D1026" s="82"/>
      <c r="E1026" s="84"/>
      <c r="F1026" s="85"/>
      <c r="G1026" s="86"/>
      <c r="H1026" s="84"/>
      <c r="I1026" s="86"/>
      <c r="J1026" s="87"/>
      <c r="K1026" s="91"/>
      <c r="L1026" s="89"/>
      <c r="M1026" s="26"/>
      <c r="N1026" s="26"/>
      <c r="O1026" s="26"/>
      <c r="P1026" s="26"/>
    </row>
    <row r="1027">
      <c r="A1027" s="90"/>
      <c r="B1027" s="82"/>
      <c r="C1027" s="83"/>
      <c r="D1027" s="82"/>
      <c r="E1027" s="84"/>
      <c r="F1027" s="85"/>
      <c r="G1027" s="86"/>
      <c r="H1027" s="84"/>
      <c r="I1027" s="86"/>
      <c r="J1027" s="87"/>
      <c r="K1027" s="91"/>
      <c r="L1027" s="89"/>
      <c r="M1027" s="26"/>
      <c r="N1027" s="26"/>
      <c r="O1027" s="26"/>
      <c r="P1027" s="26"/>
    </row>
    <row r="1028">
      <c r="A1028" s="90"/>
      <c r="B1028" s="82"/>
      <c r="C1028" s="83"/>
      <c r="D1028" s="82"/>
      <c r="E1028" s="84"/>
      <c r="F1028" s="85"/>
      <c r="G1028" s="86"/>
      <c r="H1028" s="84"/>
      <c r="I1028" s="86"/>
      <c r="J1028" s="87"/>
      <c r="K1028" s="91"/>
      <c r="L1028" s="89"/>
      <c r="M1028" s="26"/>
      <c r="N1028" s="26"/>
      <c r="O1028" s="26"/>
      <c r="P1028" s="26"/>
    </row>
    <row r="1029">
      <c r="A1029" s="90"/>
      <c r="B1029" s="82"/>
      <c r="C1029" s="83"/>
      <c r="D1029" s="82"/>
      <c r="E1029" s="84"/>
      <c r="F1029" s="85"/>
      <c r="G1029" s="86"/>
      <c r="H1029" s="84"/>
      <c r="I1029" s="86"/>
      <c r="J1029" s="87"/>
      <c r="K1029" s="91"/>
      <c r="L1029" s="89"/>
      <c r="M1029" s="26"/>
      <c r="N1029" s="26"/>
      <c r="O1029" s="26"/>
      <c r="P1029" s="26"/>
    </row>
    <row r="1030">
      <c r="A1030" s="90"/>
      <c r="B1030" s="82"/>
      <c r="C1030" s="83"/>
      <c r="D1030" s="82"/>
      <c r="E1030" s="84"/>
      <c r="F1030" s="85"/>
      <c r="G1030" s="86"/>
      <c r="H1030" s="84"/>
      <c r="I1030" s="86"/>
      <c r="J1030" s="87"/>
      <c r="K1030" s="91"/>
      <c r="L1030" s="89"/>
      <c r="M1030" s="26"/>
      <c r="N1030" s="26"/>
      <c r="O1030" s="26"/>
      <c r="P1030" s="26"/>
    </row>
    <row r="1031">
      <c r="A1031" s="90"/>
      <c r="B1031" s="82"/>
      <c r="C1031" s="83"/>
      <c r="D1031" s="82"/>
      <c r="E1031" s="84"/>
      <c r="F1031" s="85"/>
      <c r="G1031" s="86"/>
      <c r="H1031" s="84"/>
      <c r="I1031" s="86"/>
      <c r="J1031" s="87"/>
      <c r="K1031" s="91"/>
      <c r="L1031" s="89"/>
      <c r="M1031" s="26"/>
      <c r="N1031" s="26"/>
      <c r="O1031" s="26"/>
      <c r="P1031" s="26"/>
    </row>
    <row r="1032">
      <c r="A1032" s="90"/>
      <c r="B1032" s="82"/>
      <c r="C1032" s="83"/>
      <c r="D1032" s="82"/>
      <c r="E1032" s="84"/>
      <c r="F1032" s="85"/>
      <c r="G1032" s="86"/>
      <c r="H1032" s="84"/>
      <c r="I1032" s="86"/>
      <c r="J1032" s="87"/>
      <c r="K1032" s="91"/>
      <c r="L1032" s="89"/>
      <c r="M1032" s="26"/>
      <c r="N1032" s="26"/>
      <c r="O1032" s="26"/>
      <c r="P1032" s="26"/>
    </row>
    <row r="1033">
      <c r="A1033" s="90"/>
      <c r="B1033" s="82"/>
      <c r="C1033" s="83"/>
      <c r="D1033" s="82"/>
      <c r="E1033" s="84"/>
      <c r="F1033" s="85"/>
      <c r="G1033" s="86"/>
      <c r="H1033" s="84"/>
      <c r="I1033" s="86"/>
      <c r="J1033" s="87"/>
      <c r="K1033" s="91"/>
      <c r="L1033" s="89"/>
      <c r="M1033" s="26"/>
      <c r="N1033" s="26"/>
      <c r="O1033" s="26"/>
      <c r="P1033" s="26"/>
    </row>
    <row r="1034">
      <c r="A1034" s="90"/>
      <c r="B1034" s="82"/>
      <c r="C1034" s="83"/>
      <c r="D1034" s="82"/>
      <c r="E1034" s="84"/>
      <c r="F1034" s="85"/>
      <c r="G1034" s="86"/>
      <c r="H1034" s="84"/>
      <c r="I1034" s="86"/>
      <c r="J1034" s="87"/>
      <c r="K1034" s="91"/>
      <c r="L1034" s="89"/>
      <c r="M1034" s="26"/>
      <c r="N1034" s="26"/>
      <c r="O1034" s="26"/>
      <c r="P1034" s="26"/>
    </row>
    <row r="1035">
      <c r="A1035" s="90"/>
      <c r="B1035" s="82"/>
      <c r="C1035" s="83"/>
      <c r="D1035" s="82"/>
      <c r="E1035" s="84"/>
      <c r="F1035" s="85"/>
      <c r="G1035" s="86"/>
      <c r="H1035" s="84"/>
      <c r="I1035" s="86"/>
      <c r="J1035" s="87"/>
      <c r="K1035" s="91"/>
      <c r="L1035" s="89"/>
      <c r="M1035" s="26"/>
      <c r="N1035" s="26"/>
      <c r="O1035" s="26"/>
      <c r="P1035" s="26"/>
    </row>
    <row r="1036">
      <c r="A1036" s="90"/>
      <c r="B1036" s="82"/>
      <c r="C1036" s="83"/>
      <c r="D1036" s="82"/>
      <c r="E1036" s="84"/>
      <c r="F1036" s="85"/>
      <c r="G1036" s="86"/>
      <c r="H1036" s="84"/>
      <c r="I1036" s="86"/>
      <c r="J1036" s="87"/>
      <c r="K1036" s="91"/>
      <c r="L1036" s="89"/>
      <c r="M1036" s="26"/>
      <c r="N1036" s="26"/>
      <c r="O1036" s="26"/>
      <c r="P1036" s="26"/>
    </row>
    <row r="1037">
      <c r="A1037" s="90"/>
      <c r="B1037" s="82"/>
      <c r="C1037" s="83"/>
      <c r="D1037" s="82"/>
      <c r="E1037" s="84"/>
      <c r="F1037" s="85"/>
      <c r="G1037" s="86"/>
      <c r="H1037" s="84"/>
      <c r="I1037" s="86"/>
      <c r="J1037" s="87"/>
      <c r="K1037" s="91"/>
      <c r="L1037" s="89"/>
      <c r="M1037" s="26"/>
      <c r="N1037" s="26"/>
      <c r="O1037" s="26"/>
      <c r="P1037" s="26"/>
    </row>
    <row r="1038">
      <c r="A1038" s="90"/>
      <c r="B1038" s="82"/>
      <c r="C1038" s="83"/>
      <c r="D1038" s="82"/>
      <c r="E1038" s="84"/>
      <c r="F1038" s="85"/>
      <c r="G1038" s="86"/>
      <c r="H1038" s="84"/>
      <c r="I1038" s="86"/>
      <c r="J1038" s="87"/>
      <c r="K1038" s="91"/>
      <c r="L1038" s="89"/>
      <c r="M1038" s="26"/>
      <c r="N1038" s="26"/>
      <c r="O1038" s="26"/>
      <c r="P1038" s="26"/>
    </row>
    <row r="1039">
      <c r="A1039" s="90"/>
      <c r="B1039" s="82"/>
      <c r="C1039" s="83"/>
      <c r="D1039" s="82"/>
      <c r="E1039" s="84"/>
      <c r="F1039" s="85"/>
      <c r="G1039" s="86"/>
      <c r="H1039" s="84"/>
      <c r="I1039" s="86"/>
      <c r="J1039" s="87"/>
      <c r="K1039" s="91"/>
      <c r="L1039" s="89"/>
      <c r="M1039" s="26"/>
      <c r="N1039" s="26"/>
      <c r="O1039" s="26"/>
      <c r="P1039" s="26"/>
    </row>
    <row r="1040">
      <c r="A1040" s="90"/>
      <c r="B1040" s="82"/>
      <c r="C1040" s="83"/>
      <c r="D1040" s="82"/>
      <c r="E1040" s="84"/>
      <c r="F1040" s="85"/>
      <c r="G1040" s="86"/>
      <c r="H1040" s="84"/>
      <c r="I1040" s="86"/>
      <c r="J1040" s="87"/>
      <c r="K1040" s="91"/>
      <c r="L1040" s="89"/>
      <c r="M1040" s="26"/>
      <c r="N1040" s="26"/>
      <c r="O1040" s="26"/>
      <c r="P1040" s="26"/>
    </row>
    <row r="1041">
      <c r="A1041" s="90"/>
      <c r="B1041" s="82"/>
      <c r="C1041" s="83"/>
      <c r="D1041" s="82"/>
      <c r="E1041" s="84"/>
      <c r="F1041" s="85"/>
      <c r="G1041" s="86"/>
      <c r="H1041" s="84"/>
      <c r="I1041" s="86"/>
      <c r="J1041" s="87"/>
      <c r="K1041" s="91"/>
      <c r="L1041" s="89"/>
      <c r="M1041" s="26"/>
      <c r="N1041" s="26"/>
      <c r="O1041" s="26"/>
      <c r="P1041" s="26"/>
    </row>
    <row r="1042">
      <c r="A1042" s="90"/>
      <c r="B1042" s="82"/>
      <c r="C1042" s="83"/>
      <c r="D1042" s="82"/>
      <c r="E1042" s="84"/>
      <c r="F1042" s="85"/>
      <c r="G1042" s="86"/>
      <c r="H1042" s="84"/>
      <c r="I1042" s="86"/>
      <c r="J1042" s="87"/>
      <c r="K1042" s="91"/>
      <c r="L1042" s="89"/>
      <c r="M1042" s="26"/>
      <c r="N1042" s="26"/>
      <c r="O1042" s="26"/>
      <c r="P1042" s="26"/>
    </row>
    <row r="1043">
      <c r="A1043" s="90"/>
      <c r="B1043" s="82"/>
      <c r="C1043" s="83"/>
      <c r="D1043" s="82"/>
      <c r="E1043" s="84"/>
      <c r="F1043" s="85"/>
      <c r="G1043" s="86"/>
      <c r="H1043" s="84"/>
      <c r="I1043" s="86"/>
      <c r="J1043" s="87"/>
      <c r="K1043" s="91"/>
      <c r="L1043" s="89"/>
      <c r="M1043" s="26"/>
      <c r="N1043" s="26"/>
      <c r="O1043" s="26"/>
      <c r="P1043" s="26"/>
    </row>
    <row r="1044">
      <c r="A1044" s="90"/>
      <c r="B1044" s="82"/>
      <c r="C1044" s="83"/>
      <c r="D1044" s="82"/>
      <c r="E1044" s="84"/>
      <c r="F1044" s="85"/>
      <c r="G1044" s="86"/>
      <c r="H1044" s="84"/>
      <c r="I1044" s="86"/>
      <c r="J1044" s="87"/>
      <c r="K1044" s="91"/>
      <c r="L1044" s="89"/>
      <c r="M1044" s="26"/>
      <c r="N1044" s="26"/>
      <c r="O1044" s="26"/>
      <c r="P1044" s="26"/>
    </row>
    <row r="1045">
      <c r="A1045" s="90"/>
      <c r="B1045" s="82"/>
      <c r="C1045" s="83"/>
      <c r="D1045" s="82"/>
      <c r="E1045" s="84"/>
      <c r="F1045" s="85"/>
      <c r="G1045" s="86"/>
      <c r="H1045" s="84"/>
      <c r="I1045" s="86"/>
      <c r="J1045" s="87"/>
      <c r="K1045" s="91"/>
      <c r="L1045" s="89"/>
      <c r="M1045" s="26"/>
      <c r="N1045" s="26"/>
      <c r="O1045" s="26"/>
      <c r="P1045" s="26"/>
    </row>
    <row r="1046">
      <c r="A1046" s="90"/>
      <c r="B1046" s="82"/>
      <c r="C1046" s="83"/>
      <c r="D1046" s="82"/>
      <c r="E1046" s="84"/>
      <c r="F1046" s="85"/>
      <c r="G1046" s="86"/>
      <c r="H1046" s="84"/>
      <c r="I1046" s="86"/>
      <c r="J1046" s="87"/>
      <c r="K1046" s="91"/>
      <c r="L1046" s="89"/>
      <c r="M1046" s="26"/>
      <c r="N1046" s="26"/>
      <c r="O1046" s="26"/>
      <c r="P1046" s="26"/>
    </row>
    <row r="1047">
      <c r="A1047" s="90"/>
      <c r="B1047" s="82"/>
      <c r="C1047" s="83"/>
      <c r="D1047" s="82"/>
      <c r="E1047" s="84"/>
      <c r="F1047" s="85"/>
      <c r="G1047" s="86"/>
      <c r="H1047" s="84"/>
      <c r="I1047" s="86"/>
      <c r="J1047" s="87"/>
      <c r="K1047" s="91"/>
      <c r="L1047" s="89"/>
      <c r="M1047" s="26"/>
      <c r="N1047" s="26"/>
      <c r="O1047" s="26"/>
      <c r="P1047" s="26"/>
    </row>
    <row r="1048">
      <c r="A1048" s="90"/>
      <c r="B1048" s="82"/>
      <c r="C1048" s="83"/>
      <c r="D1048" s="82"/>
      <c r="E1048" s="84"/>
      <c r="F1048" s="85"/>
      <c r="G1048" s="86"/>
      <c r="H1048" s="84"/>
      <c r="I1048" s="86"/>
      <c r="J1048" s="87"/>
      <c r="K1048" s="91"/>
      <c r="L1048" s="89"/>
      <c r="M1048" s="26"/>
      <c r="N1048" s="26"/>
      <c r="O1048" s="26"/>
      <c r="P1048" s="26"/>
    </row>
    <row r="1049">
      <c r="A1049" s="90"/>
      <c r="B1049" s="82"/>
      <c r="C1049" s="83"/>
      <c r="D1049" s="82"/>
      <c r="E1049" s="84"/>
      <c r="F1049" s="85"/>
      <c r="G1049" s="86"/>
      <c r="H1049" s="84"/>
      <c r="I1049" s="86"/>
      <c r="J1049" s="87"/>
      <c r="K1049" s="91"/>
      <c r="L1049" s="89"/>
      <c r="M1049" s="26"/>
      <c r="N1049" s="26"/>
      <c r="O1049" s="26"/>
      <c r="P1049" s="26"/>
    </row>
    <row r="1050">
      <c r="A1050" s="90"/>
      <c r="B1050" s="82"/>
      <c r="C1050" s="83"/>
      <c r="D1050" s="82"/>
      <c r="E1050" s="84"/>
      <c r="F1050" s="85"/>
      <c r="G1050" s="86"/>
      <c r="H1050" s="84"/>
      <c r="I1050" s="86"/>
      <c r="J1050" s="87"/>
      <c r="K1050" s="91"/>
      <c r="L1050" s="89"/>
      <c r="M1050" s="26"/>
      <c r="N1050" s="26"/>
      <c r="O1050" s="26"/>
      <c r="P1050" s="26"/>
    </row>
    <row r="1051">
      <c r="A1051" s="90"/>
      <c r="B1051" s="82"/>
      <c r="C1051" s="83"/>
      <c r="D1051" s="82"/>
      <c r="E1051" s="84"/>
      <c r="F1051" s="85"/>
      <c r="G1051" s="86"/>
      <c r="H1051" s="84"/>
      <c r="I1051" s="86"/>
      <c r="J1051" s="87"/>
      <c r="K1051" s="91"/>
      <c r="L1051" s="89"/>
      <c r="M1051" s="26"/>
      <c r="N1051" s="26"/>
      <c r="O1051" s="26"/>
      <c r="P1051" s="26"/>
    </row>
    <row r="1052">
      <c r="A1052" s="90"/>
      <c r="B1052" s="82"/>
      <c r="C1052" s="83"/>
      <c r="D1052" s="82"/>
      <c r="E1052" s="84"/>
      <c r="F1052" s="85"/>
      <c r="G1052" s="86"/>
      <c r="H1052" s="84"/>
      <c r="I1052" s="86"/>
      <c r="J1052" s="87"/>
      <c r="K1052" s="91"/>
      <c r="L1052" s="89"/>
      <c r="M1052" s="26"/>
      <c r="N1052" s="26"/>
      <c r="O1052" s="26"/>
      <c r="P1052" s="26"/>
    </row>
    <row r="1053">
      <c r="A1053" s="90"/>
      <c r="B1053" s="82"/>
      <c r="C1053" s="83"/>
      <c r="D1053" s="82"/>
      <c r="E1053" s="84"/>
      <c r="F1053" s="85"/>
      <c r="G1053" s="86"/>
      <c r="H1053" s="84"/>
      <c r="I1053" s="86"/>
      <c r="J1053" s="87"/>
      <c r="K1053" s="91"/>
      <c r="L1053" s="89"/>
      <c r="M1053" s="26"/>
      <c r="N1053" s="26"/>
      <c r="O1053" s="26"/>
      <c r="P1053" s="26"/>
    </row>
    <row r="1054">
      <c r="A1054" s="90"/>
      <c r="B1054" s="82"/>
      <c r="C1054" s="83"/>
      <c r="D1054" s="82"/>
      <c r="E1054" s="84"/>
      <c r="F1054" s="85"/>
      <c r="G1054" s="86"/>
      <c r="H1054" s="84"/>
      <c r="I1054" s="86"/>
      <c r="J1054" s="87"/>
      <c r="K1054" s="91"/>
      <c r="L1054" s="89"/>
      <c r="M1054" s="26"/>
      <c r="N1054" s="26"/>
      <c r="O1054" s="26"/>
      <c r="P1054" s="26"/>
    </row>
    <row r="1055">
      <c r="A1055" s="90"/>
      <c r="B1055" s="82"/>
      <c r="C1055" s="83"/>
      <c r="D1055" s="82"/>
      <c r="E1055" s="84"/>
      <c r="F1055" s="85"/>
      <c r="G1055" s="86"/>
      <c r="H1055" s="84"/>
      <c r="I1055" s="86"/>
      <c r="J1055" s="87"/>
      <c r="K1055" s="91"/>
      <c r="L1055" s="89"/>
      <c r="M1055" s="26"/>
      <c r="N1055" s="26"/>
      <c r="O1055" s="26"/>
      <c r="P1055" s="26"/>
    </row>
    <row r="1056">
      <c r="A1056" s="90"/>
      <c r="B1056" s="82"/>
      <c r="C1056" s="83"/>
      <c r="D1056" s="82"/>
      <c r="E1056" s="84"/>
      <c r="F1056" s="85"/>
      <c r="G1056" s="86"/>
      <c r="H1056" s="84"/>
      <c r="I1056" s="86"/>
      <c r="J1056" s="87"/>
      <c r="K1056" s="91"/>
      <c r="L1056" s="89"/>
      <c r="M1056" s="26"/>
      <c r="N1056" s="26"/>
      <c r="O1056" s="26"/>
      <c r="P1056" s="26"/>
    </row>
    <row r="1057">
      <c r="A1057" s="90"/>
      <c r="B1057" s="82"/>
      <c r="C1057" s="83"/>
      <c r="D1057" s="82"/>
      <c r="E1057" s="84"/>
      <c r="F1057" s="85"/>
      <c r="G1057" s="86"/>
      <c r="H1057" s="84"/>
      <c r="I1057" s="86"/>
      <c r="J1057" s="87"/>
      <c r="K1057" s="91"/>
      <c r="L1057" s="89"/>
      <c r="M1057" s="26"/>
      <c r="N1057" s="26"/>
      <c r="O1057" s="26"/>
      <c r="P1057" s="26"/>
    </row>
    <row r="1058">
      <c r="A1058" s="90"/>
      <c r="B1058" s="82"/>
      <c r="C1058" s="83"/>
      <c r="D1058" s="82"/>
      <c r="E1058" s="84"/>
      <c r="F1058" s="85"/>
      <c r="G1058" s="86"/>
      <c r="H1058" s="84"/>
      <c r="I1058" s="86"/>
      <c r="J1058" s="87"/>
      <c r="K1058" s="91"/>
      <c r="L1058" s="89"/>
      <c r="M1058" s="26"/>
      <c r="N1058" s="26"/>
      <c r="O1058" s="26"/>
      <c r="P1058" s="26"/>
    </row>
    <row r="1059">
      <c r="A1059" s="90"/>
      <c r="B1059" s="82"/>
      <c r="C1059" s="83"/>
      <c r="D1059" s="82"/>
      <c r="E1059" s="84"/>
      <c r="F1059" s="85"/>
      <c r="G1059" s="86"/>
      <c r="H1059" s="84"/>
      <c r="I1059" s="86"/>
      <c r="J1059" s="87"/>
      <c r="K1059" s="91"/>
      <c r="L1059" s="89"/>
      <c r="M1059" s="26"/>
      <c r="N1059" s="26"/>
      <c r="O1059" s="26"/>
      <c r="P1059" s="26"/>
    </row>
    <row r="1060">
      <c r="A1060" s="90"/>
      <c r="B1060" s="82"/>
      <c r="C1060" s="83"/>
      <c r="D1060" s="82"/>
      <c r="E1060" s="84"/>
      <c r="F1060" s="85"/>
      <c r="G1060" s="86"/>
      <c r="H1060" s="84"/>
      <c r="I1060" s="86"/>
      <c r="J1060" s="87"/>
      <c r="K1060" s="91"/>
      <c r="L1060" s="89"/>
      <c r="M1060" s="26"/>
      <c r="N1060" s="26"/>
      <c r="O1060" s="26"/>
      <c r="P1060" s="26"/>
    </row>
    <row r="1061">
      <c r="A1061" s="90"/>
      <c r="B1061" s="82"/>
      <c r="C1061" s="83"/>
      <c r="D1061" s="82"/>
      <c r="E1061" s="84"/>
      <c r="F1061" s="85"/>
      <c r="G1061" s="86"/>
      <c r="H1061" s="84"/>
      <c r="I1061" s="86"/>
      <c r="J1061" s="87"/>
      <c r="K1061" s="91"/>
      <c r="L1061" s="89"/>
      <c r="M1061" s="26"/>
      <c r="N1061" s="26"/>
      <c r="O1061" s="26"/>
      <c r="P1061" s="26"/>
    </row>
    <row r="1062">
      <c r="A1062" s="90"/>
      <c r="B1062" s="82"/>
      <c r="C1062" s="83"/>
      <c r="D1062" s="82"/>
      <c r="E1062" s="84"/>
      <c r="F1062" s="85"/>
      <c r="G1062" s="86"/>
      <c r="H1062" s="84"/>
      <c r="I1062" s="86"/>
      <c r="J1062" s="87"/>
      <c r="K1062" s="91"/>
      <c r="L1062" s="89"/>
      <c r="M1062" s="26"/>
      <c r="N1062" s="26"/>
      <c r="O1062" s="26"/>
      <c r="P1062" s="26"/>
    </row>
    <row r="1063">
      <c r="A1063" s="90"/>
      <c r="B1063" s="82"/>
      <c r="C1063" s="83"/>
      <c r="D1063" s="82"/>
      <c r="E1063" s="84"/>
      <c r="F1063" s="85"/>
      <c r="G1063" s="86"/>
      <c r="H1063" s="84"/>
      <c r="I1063" s="86"/>
      <c r="J1063" s="87"/>
      <c r="K1063" s="91"/>
      <c r="L1063" s="89"/>
      <c r="M1063" s="26"/>
      <c r="N1063" s="26"/>
      <c r="O1063" s="26"/>
      <c r="P1063" s="26"/>
    </row>
    <row r="1064">
      <c r="A1064" s="90"/>
      <c r="B1064" s="82"/>
      <c r="C1064" s="83"/>
      <c r="D1064" s="82"/>
      <c r="E1064" s="84"/>
      <c r="F1064" s="85"/>
      <c r="G1064" s="86"/>
      <c r="H1064" s="84"/>
      <c r="I1064" s="86"/>
      <c r="J1064" s="87"/>
      <c r="K1064" s="91"/>
      <c r="L1064" s="89"/>
      <c r="M1064" s="26"/>
      <c r="N1064" s="26"/>
      <c r="O1064" s="26"/>
      <c r="P1064" s="26"/>
    </row>
    <row r="1065">
      <c r="A1065" s="90"/>
      <c r="B1065" s="82"/>
      <c r="C1065" s="83"/>
      <c r="D1065" s="82"/>
      <c r="E1065" s="84"/>
      <c r="F1065" s="85"/>
      <c r="G1065" s="86"/>
      <c r="H1065" s="84"/>
      <c r="I1065" s="86"/>
      <c r="J1065" s="87"/>
      <c r="K1065" s="91"/>
      <c r="L1065" s="89"/>
      <c r="M1065" s="26"/>
      <c r="N1065" s="26"/>
      <c r="O1065" s="26"/>
      <c r="P1065" s="26"/>
    </row>
    <row r="1066">
      <c r="A1066" s="90"/>
      <c r="B1066" s="82"/>
      <c r="C1066" s="83"/>
      <c r="D1066" s="82"/>
      <c r="E1066" s="84"/>
      <c r="F1066" s="85"/>
      <c r="G1066" s="86"/>
      <c r="H1066" s="84"/>
      <c r="I1066" s="86"/>
      <c r="J1066" s="87"/>
      <c r="K1066" s="91"/>
      <c r="L1066" s="89"/>
      <c r="M1066" s="26"/>
      <c r="N1066" s="26"/>
      <c r="O1066" s="26"/>
      <c r="P1066" s="26"/>
    </row>
    <row r="1067">
      <c r="A1067" s="90"/>
      <c r="B1067" s="82"/>
      <c r="C1067" s="83"/>
      <c r="D1067" s="82"/>
      <c r="E1067" s="84"/>
      <c r="F1067" s="85"/>
      <c r="G1067" s="86"/>
      <c r="H1067" s="84"/>
      <c r="I1067" s="86"/>
      <c r="J1067" s="87"/>
      <c r="K1067" s="91"/>
      <c r="L1067" s="89"/>
      <c r="M1067" s="26"/>
      <c r="N1067" s="26"/>
      <c r="O1067" s="26"/>
      <c r="P1067" s="26"/>
    </row>
    <row r="1068">
      <c r="A1068" s="90"/>
      <c r="B1068" s="82"/>
      <c r="C1068" s="83"/>
      <c r="D1068" s="82"/>
      <c r="E1068" s="84"/>
      <c r="F1068" s="85"/>
      <c r="G1068" s="86"/>
      <c r="H1068" s="84"/>
      <c r="I1068" s="86"/>
      <c r="J1068" s="87"/>
      <c r="K1068" s="91"/>
      <c r="L1068" s="89"/>
      <c r="M1068" s="26"/>
      <c r="N1068" s="26"/>
      <c r="O1068" s="26"/>
      <c r="P1068" s="26"/>
    </row>
    <row r="1069">
      <c r="A1069" s="90"/>
      <c r="B1069" s="82"/>
      <c r="C1069" s="83"/>
      <c r="D1069" s="82"/>
      <c r="E1069" s="84"/>
      <c r="F1069" s="85"/>
      <c r="G1069" s="86"/>
      <c r="H1069" s="84"/>
      <c r="I1069" s="86"/>
      <c r="J1069" s="87"/>
      <c r="K1069" s="91"/>
      <c r="L1069" s="89"/>
      <c r="M1069" s="26"/>
      <c r="N1069" s="26"/>
      <c r="O1069" s="26"/>
      <c r="P1069" s="26"/>
    </row>
    <row r="1070">
      <c r="A1070" s="90"/>
      <c r="B1070" s="82"/>
      <c r="C1070" s="83"/>
      <c r="D1070" s="82"/>
      <c r="E1070" s="84"/>
      <c r="F1070" s="85"/>
      <c r="G1070" s="86"/>
      <c r="H1070" s="84"/>
      <c r="I1070" s="86"/>
      <c r="J1070" s="87"/>
      <c r="K1070" s="91"/>
      <c r="L1070" s="89"/>
      <c r="M1070" s="26"/>
      <c r="N1070" s="26"/>
      <c r="O1070" s="26"/>
      <c r="P1070" s="26"/>
    </row>
    <row r="1071">
      <c r="A1071" s="90"/>
      <c r="B1071" s="82"/>
      <c r="C1071" s="83"/>
      <c r="D1071" s="82"/>
      <c r="E1071" s="84"/>
      <c r="F1071" s="85"/>
      <c r="G1071" s="86"/>
      <c r="H1071" s="84"/>
      <c r="I1071" s="86"/>
      <c r="J1071" s="87"/>
      <c r="K1071" s="91"/>
      <c r="L1071" s="89"/>
      <c r="M1071" s="26"/>
      <c r="N1071" s="26"/>
      <c r="O1071" s="26"/>
      <c r="P1071" s="26"/>
    </row>
    <row r="1072">
      <c r="A1072" s="90"/>
      <c r="B1072" s="82"/>
      <c r="C1072" s="83"/>
      <c r="D1072" s="82"/>
      <c r="E1072" s="84"/>
      <c r="F1072" s="85"/>
      <c r="G1072" s="86"/>
      <c r="H1072" s="84"/>
      <c r="I1072" s="86"/>
      <c r="J1072" s="87"/>
      <c r="K1072" s="91"/>
      <c r="L1072" s="89"/>
      <c r="M1072" s="26"/>
      <c r="N1072" s="26"/>
      <c r="O1072" s="26"/>
      <c r="P1072" s="26"/>
    </row>
    <row r="1073">
      <c r="A1073" s="90"/>
      <c r="B1073" s="82"/>
      <c r="C1073" s="83"/>
      <c r="D1073" s="82"/>
      <c r="E1073" s="84"/>
      <c r="F1073" s="85"/>
      <c r="G1073" s="86"/>
      <c r="H1073" s="84"/>
      <c r="I1073" s="86"/>
      <c r="J1073" s="87"/>
      <c r="K1073" s="91"/>
      <c r="L1073" s="89"/>
      <c r="M1073" s="26"/>
      <c r="N1073" s="26"/>
      <c r="O1073" s="26"/>
      <c r="P1073" s="26"/>
    </row>
    <row r="1074">
      <c r="A1074" s="90"/>
      <c r="B1074" s="82"/>
      <c r="C1074" s="83"/>
      <c r="D1074" s="82"/>
      <c r="E1074" s="84"/>
      <c r="F1074" s="85"/>
      <c r="G1074" s="86"/>
      <c r="H1074" s="84"/>
      <c r="I1074" s="86"/>
      <c r="J1074" s="87"/>
      <c r="K1074" s="91"/>
      <c r="L1074" s="89"/>
      <c r="M1074" s="26"/>
      <c r="N1074" s="26"/>
      <c r="O1074" s="26"/>
      <c r="P1074" s="26"/>
    </row>
    <row r="1075">
      <c r="A1075" s="90"/>
      <c r="B1075" s="82"/>
      <c r="C1075" s="83"/>
      <c r="D1075" s="82"/>
      <c r="E1075" s="84"/>
      <c r="F1075" s="85"/>
      <c r="G1075" s="86"/>
      <c r="H1075" s="84"/>
      <c r="I1075" s="86"/>
      <c r="J1075" s="87"/>
      <c r="K1075" s="91"/>
      <c r="L1075" s="89"/>
      <c r="M1075" s="26"/>
      <c r="N1075" s="26"/>
      <c r="O1075" s="26"/>
      <c r="P1075" s="26"/>
    </row>
    <row r="1076">
      <c r="A1076" s="90"/>
      <c r="B1076" s="82"/>
      <c r="C1076" s="83"/>
      <c r="D1076" s="82"/>
      <c r="E1076" s="84"/>
      <c r="F1076" s="85"/>
      <c r="G1076" s="86"/>
      <c r="H1076" s="84"/>
      <c r="I1076" s="86"/>
      <c r="J1076" s="87"/>
      <c r="K1076" s="91"/>
      <c r="L1076" s="89"/>
      <c r="M1076" s="26"/>
      <c r="N1076" s="26"/>
      <c r="O1076" s="26"/>
      <c r="P1076" s="26"/>
    </row>
    <row r="1077">
      <c r="A1077" s="90"/>
      <c r="B1077" s="82"/>
      <c r="C1077" s="83"/>
      <c r="D1077" s="82"/>
      <c r="E1077" s="84"/>
      <c r="F1077" s="85"/>
      <c r="G1077" s="86"/>
      <c r="H1077" s="84"/>
      <c r="I1077" s="86"/>
      <c r="J1077" s="87"/>
      <c r="K1077" s="91"/>
      <c r="L1077" s="89"/>
      <c r="M1077" s="26"/>
      <c r="N1077" s="26"/>
      <c r="O1077" s="26"/>
      <c r="P1077" s="26"/>
    </row>
    <row r="1078">
      <c r="A1078" s="90"/>
      <c r="B1078" s="82"/>
      <c r="C1078" s="83"/>
      <c r="D1078" s="82"/>
      <c r="E1078" s="84"/>
      <c r="F1078" s="85"/>
      <c r="G1078" s="86"/>
      <c r="H1078" s="84"/>
      <c r="I1078" s="86"/>
      <c r="J1078" s="87"/>
      <c r="K1078" s="91"/>
      <c r="L1078" s="89"/>
      <c r="M1078" s="26"/>
      <c r="N1078" s="26"/>
      <c r="O1078" s="26"/>
      <c r="P1078" s="26"/>
    </row>
    <row r="1079">
      <c r="A1079" s="90"/>
      <c r="B1079" s="82"/>
      <c r="C1079" s="83"/>
      <c r="D1079" s="82"/>
      <c r="E1079" s="84"/>
      <c r="F1079" s="85"/>
      <c r="G1079" s="86"/>
      <c r="H1079" s="84"/>
      <c r="I1079" s="86"/>
      <c r="J1079" s="87"/>
      <c r="K1079" s="91"/>
      <c r="L1079" s="89"/>
      <c r="M1079" s="26"/>
      <c r="N1079" s="26"/>
      <c r="O1079" s="26"/>
      <c r="P1079" s="26"/>
    </row>
    <row r="1080">
      <c r="A1080" s="90"/>
      <c r="B1080" s="82"/>
      <c r="C1080" s="83"/>
      <c r="D1080" s="82"/>
      <c r="E1080" s="84"/>
      <c r="F1080" s="85"/>
      <c r="G1080" s="86"/>
      <c r="H1080" s="84"/>
      <c r="I1080" s="86"/>
      <c r="J1080" s="87"/>
      <c r="K1080" s="91"/>
      <c r="L1080" s="89"/>
      <c r="M1080" s="26"/>
      <c r="N1080" s="26"/>
      <c r="O1080" s="26"/>
      <c r="P1080" s="26"/>
    </row>
    <row r="1081">
      <c r="A1081" s="90"/>
      <c r="B1081" s="82"/>
      <c r="C1081" s="83"/>
      <c r="D1081" s="82"/>
      <c r="E1081" s="84"/>
      <c r="F1081" s="85"/>
      <c r="G1081" s="86"/>
      <c r="H1081" s="84"/>
      <c r="I1081" s="86"/>
      <c r="J1081" s="87"/>
      <c r="K1081" s="91"/>
      <c r="L1081" s="89"/>
      <c r="M1081" s="26"/>
      <c r="N1081" s="26"/>
      <c r="O1081" s="26"/>
      <c r="P1081" s="26"/>
    </row>
    <row r="1082">
      <c r="A1082" s="90"/>
      <c r="B1082" s="82"/>
      <c r="C1082" s="83"/>
      <c r="D1082" s="82"/>
      <c r="E1082" s="84"/>
      <c r="F1082" s="85"/>
      <c r="G1082" s="86"/>
      <c r="H1082" s="84"/>
      <c r="I1082" s="86"/>
      <c r="J1082" s="87"/>
      <c r="K1082" s="91"/>
      <c r="L1082" s="89"/>
      <c r="M1082" s="26"/>
      <c r="N1082" s="26"/>
      <c r="O1082" s="26"/>
      <c r="P1082" s="26"/>
    </row>
    <row r="1083">
      <c r="A1083" s="90"/>
      <c r="B1083" s="82"/>
      <c r="C1083" s="83"/>
      <c r="D1083" s="82"/>
      <c r="E1083" s="84"/>
      <c r="F1083" s="85"/>
      <c r="G1083" s="86"/>
      <c r="H1083" s="84"/>
      <c r="I1083" s="86"/>
      <c r="J1083" s="87"/>
      <c r="K1083" s="91"/>
      <c r="L1083" s="89"/>
      <c r="M1083" s="26"/>
      <c r="N1083" s="26"/>
      <c r="O1083" s="26"/>
      <c r="P1083" s="26"/>
    </row>
    <row r="1084">
      <c r="A1084" s="90"/>
      <c r="B1084" s="82"/>
      <c r="C1084" s="83"/>
      <c r="D1084" s="82"/>
      <c r="E1084" s="84"/>
      <c r="F1084" s="85"/>
      <c r="G1084" s="86"/>
      <c r="H1084" s="84"/>
      <c r="I1084" s="86"/>
      <c r="J1084" s="87"/>
      <c r="K1084" s="91"/>
      <c r="L1084" s="89"/>
      <c r="M1084" s="26"/>
      <c r="N1084" s="26"/>
      <c r="O1084" s="26"/>
      <c r="P1084" s="26"/>
    </row>
    <row r="1085">
      <c r="A1085" s="90"/>
      <c r="B1085" s="82"/>
      <c r="C1085" s="83"/>
      <c r="D1085" s="82"/>
      <c r="E1085" s="84"/>
      <c r="F1085" s="85"/>
      <c r="G1085" s="86"/>
      <c r="H1085" s="84"/>
      <c r="I1085" s="86"/>
      <c r="J1085" s="87"/>
      <c r="K1085" s="91"/>
      <c r="L1085" s="89"/>
      <c r="M1085" s="26"/>
      <c r="N1085" s="26"/>
      <c r="O1085" s="26"/>
      <c r="P1085" s="26"/>
    </row>
    <row r="1086">
      <c r="A1086" s="90"/>
      <c r="B1086" s="82"/>
      <c r="C1086" s="83"/>
      <c r="D1086" s="82"/>
      <c r="E1086" s="84"/>
      <c r="F1086" s="85"/>
      <c r="G1086" s="86"/>
      <c r="H1086" s="84"/>
      <c r="I1086" s="86"/>
      <c r="J1086" s="87"/>
      <c r="K1086" s="91"/>
      <c r="L1086" s="89"/>
      <c r="M1086" s="26"/>
      <c r="N1086" s="26"/>
      <c r="O1086" s="26"/>
      <c r="P1086" s="26"/>
    </row>
    <row r="1087">
      <c r="A1087" s="90"/>
      <c r="B1087" s="82"/>
      <c r="C1087" s="83"/>
      <c r="D1087" s="82"/>
      <c r="E1087" s="84"/>
      <c r="F1087" s="85"/>
      <c r="G1087" s="86"/>
      <c r="H1087" s="84"/>
      <c r="I1087" s="86"/>
      <c r="J1087" s="87"/>
      <c r="K1087" s="91"/>
      <c r="L1087" s="89"/>
      <c r="M1087" s="26"/>
      <c r="N1087" s="26"/>
      <c r="O1087" s="26"/>
      <c r="P1087" s="26"/>
    </row>
    <row r="1088">
      <c r="A1088" s="90"/>
      <c r="B1088" s="82"/>
      <c r="C1088" s="83"/>
      <c r="D1088" s="82"/>
      <c r="E1088" s="84"/>
      <c r="F1088" s="85"/>
      <c r="G1088" s="86"/>
      <c r="H1088" s="84"/>
      <c r="I1088" s="86"/>
      <c r="J1088" s="87"/>
      <c r="K1088" s="91"/>
      <c r="L1088" s="89"/>
      <c r="M1088" s="26"/>
      <c r="N1088" s="26"/>
      <c r="O1088" s="26"/>
      <c r="P1088" s="26"/>
    </row>
    <row r="1089">
      <c r="A1089" s="90"/>
      <c r="B1089" s="82"/>
      <c r="C1089" s="83"/>
      <c r="D1089" s="82"/>
      <c r="E1089" s="84"/>
      <c r="F1089" s="85"/>
      <c r="G1089" s="86"/>
      <c r="H1089" s="84"/>
      <c r="I1089" s="86"/>
      <c r="J1089" s="87"/>
      <c r="K1089" s="91"/>
      <c r="L1089" s="89"/>
      <c r="M1089" s="26"/>
      <c r="N1089" s="26"/>
      <c r="O1089" s="26"/>
      <c r="P1089" s="26"/>
    </row>
    <row r="1090">
      <c r="A1090" s="90"/>
      <c r="B1090" s="82"/>
      <c r="C1090" s="83"/>
      <c r="D1090" s="82"/>
      <c r="E1090" s="84"/>
      <c r="F1090" s="85"/>
      <c r="G1090" s="86"/>
      <c r="H1090" s="84"/>
      <c r="I1090" s="86"/>
      <c r="J1090" s="87"/>
      <c r="K1090" s="91"/>
      <c r="L1090" s="89"/>
      <c r="M1090" s="26"/>
      <c r="N1090" s="26"/>
      <c r="O1090" s="26"/>
      <c r="P1090" s="26"/>
    </row>
    <row r="1091">
      <c r="A1091" s="90"/>
      <c r="B1091" s="82"/>
      <c r="C1091" s="83"/>
      <c r="D1091" s="82"/>
      <c r="E1091" s="84"/>
      <c r="F1091" s="85"/>
      <c r="G1091" s="86"/>
      <c r="H1091" s="84"/>
      <c r="I1091" s="86"/>
      <c r="J1091" s="87"/>
      <c r="K1091" s="91"/>
      <c r="L1091" s="89"/>
      <c r="M1091" s="26"/>
      <c r="N1091" s="26"/>
      <c r="O1091" s="26"/>
      <c r="P1091" s="26"/>
    </row>
    <row r="1092">
      <c r="A1092" s="90"/>
      <c r="B1092" s="82"/>
      <c r="C1092" s="83"/>
      <c r="D1092" s="82"/>
      <c r="E1092" s="84"/>
      <c r="F1092" s="85"/>
      <c r="G1092" s="86"/>
      <c r="H1092" s="84"/>
      <c r="I1092" s="86"/>
      <c r="J1092" s="87"/>
      <c r="K1092" s="91"/>
      <c r="L1092" s="89"/>
      <c r="M1092" s="26"/>
      <c r="N1092" s="26"/>
      <c r="O1092" s="26"/>
      <c r="P1092" s="26"/>
    </row>
    <row r="1093">
      <c r="A1093" s="90"/>
      <c r="B1093" s="82"/>
      <c r="C1093" s="83"/>
      <c r="D1093" s="82"/>
      <c r="E1093" s="84"/>
      <c r="F1093" s="85"/>
      <c r="G1093" s="86"/>
      <c r="H1093" s="84"/>
      <c r="I1093" s="86"/>
      <c r="J1093" s="87"/>
      <c r="K1093" s="91"/>
      <c r="L1093" s="89"/>
      <c r="M1093" s="26"/>
      <c r="N1093" s="26"/>
      <c r="O1093" s="26"/>
      <c r="P1093" s="26"/>
    </row>
    <row r="1094">
      <c r="A1094" s="90"/>
      <c r="B1094" s="82"/>
      <c r="C1094" s="83"/>
      <c r="D1094" s="82"/>
      <c r="E1094" s="84"/>
      <c r="F1094" s="85"/>
      <c r="G1094" s="86"/>
      <c r="H1094" s="84"/>
      <c r="I1094" s="86"/>
      <c r="J1094" s="87"/>
      <c r="K1094" s="91"/>
      <c r="L1094" s="89"/>
      <c r="M1094" s="26"/>
      <c r="N1094" s="26"/>
      <c r="O1094" s="26"/>
      <c r="P1094" s="26"/>
    </row>
    <row r="1095">
      <c r="A1095" s="90"/>
      <c r="B1095" s="82"/>
      <c r="C1095" s="83"/>
      <c r="D1095" s="82"/>
      <c r="E1095" s="84"/>
      <c r="F1095" s="85"/>
      <c r="G1095" s="86"/>
      <c r="H1095" s="84"/>
      <c r="I1095" s="86"/>
      <c r="J1095" s="87"/>
      <c r="K1095" s="91"/>
      <c r="L1095" s="89"/>
      <c r="M1095" s="26"/>
      <c r="N1095" s="26"/>
      <c r="O1095" s="26"/>
      <c r="P1095" s="26"/>
    </row>
    <row r="1096">
      <c r="A1096" s="90"/>
      <c r="B1096" s="82"/>
      <c r="C1096" s="83"/>
      <c r="D1096" s="82"/>
      <c r="E1096" s="84"/>
      <c r="F1096" s="85"/>
      <c r="G1096" s="86"/>
      <c r="H1096" s="84"/>
      <c r="I1096" s="86"/>
      <c r="J1096" s="87"/>
      <c r="K1096" s="91"/>
      <c r="L1096" s="89"/>
      <c r="M1096" s="26"/>
      <c r="N1096" s="26"/>
      <c r="O1096" s="26"/>
      <c r="P1096" s="26"/>
    </row>
    <row r="1097">
      <c r="A1097" s="90"/>
      <c r="B1097" s="82"/>
      <c r="C1097" s="83"/>
      <c r="D1097" s="82"/>
      <c r="E1097" s="84"/>
      <c r="F1097" s="85"/>
      <c r="G1097" s="86"/>
      <c r="H1097" s="84"/>
      <c r="I1097" s="86"/>
      <c r="J1097" s="87"/>
      <c r="K1097" s="91"/>
      <c r="L1097" s="89"/>
      <c r="M1097" s="26"/>
      <c r="N1097" s="26"/>
      <c r="O1097" s="26"/>
      <c r="P1097" s="26"/>
    </row>
    <row r="1098">
      <c r="A1098" s="90"/>
      <c r="B1098" s="82"/>
      <c r="C1098" s="83"/>
      <c r="D1098" s="82"/>
      <c r="E1098" s="84"/>
      <c r="F1098" s="85"/>
      <c r="G1098" s="86"/>
      <c r="H1098" s="84"/>
      <c r="I1098" s="86"/>
      <c r="J1098" s="87"/>
      <c r="K1098" s="91"/>
      <c r="L1098" s="89"/>
      <c r="M1098" s="26"/>
      <c r="N1098" s="26"/>
      <c r="O1098" s="26"/>
      <c r="P1098" s="26"/>
    </row>
    <row r="1099">
      <c r="A1099" s="90"/>
      <c r="B1099" s="82"/>
      <c r="C1099" s="83"/>
      <c r="D1099" s="82"/>
      <c r="E1099" s="84"/>
      <c r="F1099" s="85"/>
      <c r="G1099" s="86"/>
      <c r="H1099" s="84"/>
      <c r="I1099" s="86"/>
      <c r="J1099" s="87"/>
      <c r="K1099" s="91"/>
      <c r="L1099" s="89"/>
      <c r="M1099" s="26"/>
      <c r="N1099" s="26"/>
      <c r="O1099" s="26"/>
      <c r="P1099" s="26"/>
    </row>
    <row r="1100">
      <c r="A1100" s="90"/>
      <c r="B1100" s="82"/>
      <c r="C1100" s="83"/>
      <c r="D1100" s="82"/>
      <c r="E1100" s="84"/>
      <c r="F1100" s="85"/>
      <c r="G1100" s="86"/>
      <c r="H1100" s="84"/>
      <c r="I1100" s="86"/>
      <c r="J1100" s="87"/>
      <c r="K1100" s="91"/>
      <c r="L1100" s="89"/>
      <c r="M1100" s="26"/>
      <c r="N1100" s="26"/>
      <c r="O1100" s="26"/>
      <c r="P1100" s="26"/>
    </row>
    <row r="1101">
      <c r="A1101" s="90"/>
      <c r="B1101" s="82"/>
      <c r="C1101" s="83"/>
      <c r="D1101" s="82"/>
      <c r="E1101" s="84"/>
      <c r="F1101" s="85"/>
      <c r="G1101" s="86"/>
      <c r="H1101" s="84"/>
      <c r="I1101" s="86"/>
      <c r="J1101" s="87"/>
      <c r="K1101" s="91"/>
      <c r="L1101" s="89"/>
      <c r="M1101" s="26"/>
      <c r="N1101" s="26"/>
      <c r="O1101" s="26"/>
      <c r="P1101" s="26"/>
    </row>
    <row r="1102">
      <c r="A1102" s="90"/>
      <c r="B1102" s="82"/>
      <c r="C1102" s="83"/>
      <c r="D1102" s="82"/>
      <c r="E1102" s="84"/>
      <c r="F1102" s="85"/>
      <c r="G1102" s="86"/>
      <c r="H1102" s="84"/>
      <c r="I1102" s="86"/>
      <c r="J1102" s="87"/>
      <c r="K1102" s="91"/>
      <c r="L1102" s="89"/>
      <c r="M1102" s="26"/>
      <c r="N1102" s="26"/>
      <c r="O1102" s="26"/>
      <c r="P1102" s="26"/>
    </row>
    <row r="1103">
      <c r="A1103" s="90"/>
      <c r="B1103" s="82"/>
      <c r="C1103" s="83"/>
      <c r="D1103" s="82"/>
      <c r="E1103" s="84"/>
      <c r="F1103" s="85"/>
      <c r="G1103" s="86"/>
      <c r="H1103" s="84"/>
      <c r="I1103" s="86"/>
      <c r="J1103" s="87"/>
      <c r="K1103" s="91"/>
      <c r="L1103" s="89"/>
      <c r="M1103" s="26"/>
      <c r="N1103" s="26"/>
      <c r="O1103" s="26"/>
      <c r="P1103" s="26"/>
    </row>
    <row r="1104">
      <c r="A1104" s="90"/>
      <c r="B1104" s="82"/>
      <c r="C1104" s="83"/>
      <c r="D1104" s="82"/>
      <c r="E1104" s="84"/>
      <c r="F1104" s="85"/>
      <c r="G1104" s="86"/>
      <c r="H1104" s="84"/>
      <c r="I1104" s="86"/>
      <c r="J1104" s="87"/>
      <c r="K1104" s="91"/>
      <c r="L1104" s="89"/>
      <c r="M1104" s="26"/>
      <c r="N1104" s="26"/>
      <c r="O1104" s="26"/>
      <c r="P1104" s="26"/>
    </row>
    <row r="1105">
      <c r="A1105" s="90"/>
      <c r="B1105" s="82"/>
      <c r="C1105" s="83"/>
      <c r="D1105" s="82"/>
      <c r="E1105" s="84"/>
      <c r="F1105" s="85"/>
      <c r="G1105" s="86"/>
      <c r="H1105" s="84"/>
      <c r="I1105" s="86"/>
      <c r="J1105" s="87"/>
      <c r="K1105" s="91"/>
      <c r="L1105" s="89"/>
      <c r="M1105" s="26"/>
      <c r="N1105" s="26"/>
      <c r="O1105" s="26"/>
      <c r="P1105" s="26"/>
    </row>
    <row r="1106">
      <c r="A1106" s="90"/>
      <c r="B1106" s="82"/>
      <c r="C1106" s="83"/>
      <c r="D1106" s="82"/>
      <c r="E1106" s="84"/>
      <c r="F1106" s="85"/>
      <c r="G1106" s="86"/>
      <c r="H1106" s="84"/>
      <c r="I1106" s="86"/>
      <c r="J1106" s="87"/>
      <c r="K1106" s="91"/>
      <c r="L1106" s="89"/>
      <c r="M1106" s="26"/>
      <c r="N1106" s="26"/>
      <c r="O1106" s="26"/>
      <c r="P1106" s="26"/>
    </row>
    <row r="1107">
      <c r="A1107" s="90"/>
      <c r="B1107" s="82"/>
      <c r="C1107" s="83"/>
      <c r="D1107" s="82"/>
      <c r="E1107" s="84"/>
      <c r="F1107" s="85"/>
      <c r="G1107" s="86"/>
      <c r="H1107" s="84"/>
      <c r="I1107" s="86"/>
      <c r="J1107" s="87"/>
      <c r="K1107" s="91"/>
      <c r="L1107" s="89"/>
      <c r="M1107" s="26"/>
      <c r="N1107" s="26"/>
      <c r="O1107" s="26"/>
      <c r="P1107" s="26"/>
    </row>
    <row r="1108">
      <c r="A1108" s="90"/>
      <c r="B1108" s="82"/>
      <c r="C1108" s="83"/>
      <c r="D1108" s="82"/>
      <c r="E1108" s="84"/>
      <c r="F1108" s="85"/>
      <c r="G1108" s="86"/>
      <c r="H1108" s="84"/>
      <c r="I1108" s="86"/>
      <c r="J1108" s="87"/>
      <c r="K1108" s="91"/>
      <c r="L1108" s="89"/>
      <c r="M1108" s="26"/>
      <c r="N1108" s="26"/>
      <c r="O1108" s="26"/>
      <c r="P1108" s="26"/>
    </row>
    <row r="1109">
      <c r="A1109" s="90"/>
      <c r="B1109" s="82"/>
      <c r="C1109" s="83"/>
      <c r="D1109" s="82"/>
      <c r="E1109" s="84"/>
      <c r="F1109" s="85"/>
      <c r="G1109" s="86"/>
      <c r="H1109" s="84"/>
      <c r="I1109" s="86"/>
      <c r="J1109" s="87"/>
      <c r="K1109" s="91"/>
      <c r="L1109" s="89"/>
      <c r="M1109" s="26"/>
      <c r="N1109" s="26"/>
      <c r="O1109" s="26"/>
      <c r="P1109" s="26"/>
    </row>
    <row r="1110">
      <c r="A1110" s="90"/>
      <c r="B1110" s="82"/>
      <c r="C1110" s="83"/>
      <c r="D1110" s="82"/>
      <c r="E1110" s="84"/>
      <c r="F1110" s="85"/>
      <c r="G1110" s="86"/>
      <c r="H1110" s="84"/>
      <c r="I1110" s="86"/>
      <c r="J1110" s="87"/>
      <c r="K1110" s="91"/>
      <c r="L1110" s="89"/>
      <c r="M1110" s="26"/>
      <c r="N1110" s="26"/>
      <c r="O1110" s="26"/>
      <c r="P1110" s="26"/>
    </row>
    <row r="1111">
      <c r="A1111" s="90"/>
      <c r="B1111" s="82"/>
      <c r="C1111" s="83"/>
      <c r="D1111" s="82"/>
      <c r="E1111" s="84"/>
      <c r="F1111" s="85"/>
      <c r="G1111" s="86"/>
      <c r="H1111" s="84"/>
      <c r="I1111" s="86"/>
      <c r="J1111" s="87"/>
      <c r="K1111" s="91"/>
      <c r="L1111" s="89"/>
      <c r="M1111" s="26"/>
      <c r="N1111" s="26"/>
      <c r="O1111" s="26"/>
      <c r="P1111" s="26"/>
    </row>
    <row r="1112">
      <c r="A1112" s="90"/>
      <c r="B1112" s="82"/>
      <c r="C1112" s="83"/>
      <c r="D1112" s="82"/>
      <c r="E1112" s="84"/>
      <c r="F1112" s="85"/>
      <c r="G1112" s="86"/>
      <c r="H1112" s="84"/>
      <c r="I1112" s="86"/>
      <c r="J1112" s="87"/>
      <c r="K1112" s="91"/>
      <c r="L1112" s="89"/>
      <c r="M1112" s="26"/>
      <c r="N1112" s="26"/>
      <c r="O1112" s="26"/>
      <c r="P1112" s="26"/>
    </row>
    <row r="1113">
      <c r="A1113" s="90"/>
      <c r="B1113" s="82"/>
      <c r="C1113" s="83"/>
      <c r="D1113" s="82"/>
      <c r="E1113" s="84"/>
      <c r="F1113" s="85"/>
      <c r="G1113" s="86"/>
      <c r="H1113" s="84"/>
      <c r="I1113" s="86"/>
      <c r="J1113" s="87"/>
      <c r="K1113" s="91"/>
      <c r="L1113" s="89"/>
      <c r="M1113" s="26"/>
      <c r="N1113" s="26"/>
      <c r="O1113" s="26"/>
      <c r="P1113" s="26"/>
    </row>
    <row r="1114">
      <c r="A1114" s="90"/>
      <c r="B1114" s="82"/>
      <c r="C1114" s="83"/>
      <c r="D1114" s="82"/>
      <c r="E1114" s="84"/>
      <c r="F1114" s="85"/>
      <c r="G1114" s="86"/>
      <c r="H1114" s="84"/>
      <c r="I1114" s="86"/>
      <c r="J1114" s="87"/>
      <c r="K1114" s="91"/>
      <c r="L1114" s="89"/>
      <c r="M1114" s="26"/>
      <c r="N1114" s="26"/>
      <c r="O1114" s="26"/>
      <c r="P1114" s="26"/>
    </row>
    <row r="1115">
      <c r="A1115" s="90"/>
      <c r="B1115" s="82"/>
      <c r="C1115" s="83"/>
      <c r="D1115" s="82"/>
      <c r="E1115" s="84"/>
      <c r="F1115" s="85"/>
      <c r="G1115" s="86"/>
      <c r="H1115" s="84"/>
      <c r="I1115" s="86"/>
      <c r="J1115" s="87"/>
      <c r="K1115" s="91"/>
      <c r="L1115" s="89"/>
      <c r="M1115" s="26"/>
      <c r="N1115" s="26"/>
      <c r="O1115" s="26"/>
      <c r="P1115" s="26"/>
    </row>
    <row r="1116">
      <c r="A1116" s="90"/>
      <c r="B1116" s="82"/>
      <c r="C1116" s="83"/>
      <c r="D1116" s="82"/>
      <c r="E1116" s="84"/>
      <c r="F1116" s="85"/>
      <c r="G1116" s="86"/>
      <c r="H1116" s="84"/>
      <c r="I1116" s="86"/>
      <c r="J1116" s="87"/>
      <c r="K1116" s="91"/>
      <c r="L1116" s="89"/>
      <c r="M1116" s="26"/>
      <c r="N1116" s="26"/>
      <c r="O1116" s="26"/>
      <c r="P1116" s="26"/>
    </row>
    <row r="1117">
      <c r="A1117" s="90"/>
      <c r="B1117" s="82"/>
      <c r="C1117" s="83"/>
      <c r="D1117" s="82"/>
      <c r="E1117" s="84"/>
      <c r="F1117" s="85"/>
      <c r="G1117" s="86"/>
      <c r="H1117" s="84"/>
      <c r="I1117" s="86"/>
      <c r="J1117" s="87"/>
      <c r="K1117" s="91"/>
      <c r="L1117" s="89"/>
      <c r="M1117" s="26"/>
      <c r="N1117" s="26"/>
      <c r="O1117" s="26"/>
      <c r="P1117" s="26"/>
    </row>
    <row r="1118">
      <c r="A1118" s="90"/>
      <c r="B1118" s="82"/>
      <c r="C1118" s="83"/>
      <c r="D1118" s="82"/>
      <c r="E1118" s="84"/>
      <c r="F1118" s="85"/>
      <c r="G1118" s="86"/>
      <c r="H1118" s="84"/>
      <c r="I1118" s="86"/>
      <c r="J1118" s="87"/>
      <c r="K1118" s="91"/>
      <c r="L1118" s="89"/>
      <c r="M1118" s="26"/>
      <c r="N1118" s="26"/>
      <c r="O1118" s="26"/>
      <c r="P1118" s="26"/>
    </row>
    <row r="1119">
      <c r="A1119" s="90"/>
      <c r="B1119" s="82"/>
      <c r="C1119" s="83"/>
      <c r="D1119" s="82"/>
      <c r="E1119" s="84"/>
      <c r="F1119" s="85"/>
      <c r="G1119" s="86"/>
      <c r="H1119" s="84"/>
      <c r="I1119" s="86"/>
      <c r="J1119" s="87"/>
      <c r="K1119" s="91"/>
      <c r="L1119" s="89"/>
      <c r="M1119" s="26"/>
      <c r="N1119" s="26"/>
      <c r="O1119" s="26"/>
      <c r="P1119" s="26"/>
    </row>
    <row r="1120">
      <c r="A1120" s="90"/>
      <c r="B1120" s="82"/>
      <c r="C1120" s="83"/>
      <c r="D1120" s="82"/>
      <c r="E1120" s="84"/>
      <c r="F1120" s="85"/>
      <c r="G1120" s="86"/>
      <c r="H1120" s="84"/>
      <c r="I1120" s="86"/>
      <c r="J1120" s="87"/>
      <c r="K1120" s="91"/>
      <c r="L1120" s="89"/>
      <c r="M1120" s="26"/>
      <c r="N1120" s="26"/>
      <c r="O1120" s="26"/>
      <c r="P1120" s="26"/>
    </row>
    <row r="1121">
      <c r="A1121" s="90"/>
      <c r="B1121" s="82"/>
      <c r="C1121" s="83"/>
      <c r="D1121" s="82"/>
      <c r="E1121" s="84"/>
      <c r="F1121" s="85"/>
      <c r="G1121" s="86"/>
      <c r="H1121" s="84"/>
      <c r="I1121" s="86"/>
      <c r="J1121" s="87"/>
      <c r="K1121" s="91"/>
      <c r="L1121" s="89"/>
      <c r="M1121" s="26"/>
      <c r="N1121" s="26"/>
      <c r="O1121" s="26"/>
      <c r="P1121" s="26"/>
    </row>
    <row r="1122">
      <c r="A1122" s="90"/>
      <c r="B1122" s="82"/>
      <c r="C1122" s="83"/>
      <c r="D1122" s="82"/>
      <c r="E1122" s="84"/>
      <c r="F1122" s="85"/>
      <c r="G1122" s="86"/>
      <c r="H1122" s="84"/>
      <c r="I1122" s="86"/>
      <c r="J1122" s="87"/>
      <c r="K1122" s="91"/>
      <c r="L1122" s="89"/>
      <c r="M1122" s="26"/>
      <c r="N1122" s="26"/>
      <c r="O1122" s="26"/>
      <c r="P1122" s="26"/>
    </row>
    <row r="1123">
      <c r="A1123" s="90"/>
      <c r="B1123" s="82"/>
      <c r="C1123" s="83"/>
      <c r="D1123" s="82"/>
      <c r="E1123" s="84"/>
      <c r="F1123" s="85"/>
      <c r="G1123" s="86"/>
      <c r="H1123" s="84"/>
      <c r="I1123" s="86"/>
      <c r="J1123" s="87"/>
      <c r="K1123" s="91"/>
      <c r="L1123" s="89"/>
      <c r="M1123" s="26"/>
      <c r="N1123" s="26"/>
      <c r="O1123" s="26"/>
      <c r="P1123" s="26"/>
    </row>
    <row r="1124">
      <c r="A1124" s="90"/>
      <c r="B1124" s="82"/>
      <c r="C1124" s="83"/>
      <c r="D1124" s="82"/>
      <c r="E1124" s="84"/>
      <c r="F1124" s="85"/>
      <c r="G1124" s="86"/>
      <c r="H1124" s="84"/>
      <c r="I1124" s="86"/>
      <c r="J1124" s="87"/>
      <c r="K1124" s="91"/>
      <c r="L1124" s="89"/>
      <c r="M1124" s="26"/>
      <c r="N1124" s="26"/>
      <c r="O1124" s="26"/>
      <c r="P1124" s="26"/>
    </row>
    <row r="1125">
      <c r="A1125" s="90"/>
      <c r="B1125" s="82"/>
      <c r="C1125" s="83"/>
      <c r="D1125" s="82"/>
      <c r="E1125" s="84"/>
      <c r="F1125" s="85"/>
      <c r="G1125" s="86"/>
      <c r="H1125" s="84"/>
      <c r="I1125" s="86"/>
      <c r="J1125" s="87"/>
      <c r="K1125" s="91"/>
      <c r="L1125" s="89"/>
      <c r="M1125" s="26"/>
      <c r="N1125" s="26"/>
      <c r="O1125" s="26"/>
      <c r="P1125" s="26"/>
    </row>
    <row r="1126">
      <c r="A1126" s="90"/>
      <c r="B1126" s="82"/>
      <c r="C1126" s="83"/>
      <c r="D1126" s="82"/>
      <c r="E1126" s="84"/>
      <c r="F1126" s="85"/>
      <c r="G1126" s="86"/>
      <c r="H1126" s="84"/>
      <c r="I1126" s="86"/>
      <c r="J1126" s="87"/>
      <c r="K1126" s="91"/>
      <c r="L1126" s="89"/>
      <c r="M1126" s="26"/>
      <c r="N1126" s="26"/>
      <c r="O1126" s="26"/>
      <c r="P1126" s="26"/>
    </row>
    <row r="1127">
      <c r="A1127" s="90"/>
      <c r="B1127" s="82"/>
      <c r="C1127" s="83"/>
      <c r="D1127" s="82"/>
      <c r="E1127" s="84"/>
      <c r="F1127" s="85"/>
      <c r="G1127" s="86"/>
      <c r="H1127" s="84"/>
      <c r="I1127" s="86"/>
      <c r="J1127" s="87"/>
      <c r="K1127" s="91"/>
      <c r="L1127" s="89"/>
      <c r="M1127" s="26"/>
      <c r="N1127" s="26"/>
      <c r="O1127" s="26"/>
      <c r="P1127" s="26"/>
    </row>
    <row r="1128">
      <c r="A1128" s="90"/>
      <c r="B1128" s="82"/>
      <c r="C1128" s="83"/>
      <c r="D1128" s="82"/>
      <c r="E1128" s="84"/>
      <c r="F1128" s="85"/>
      <c r="G1128" s="86"/>
      <c r="H1128" s="84"/>
      <c r="I1128" s="86"/>
      <c r="J1128" s="87"/>
      <c r="K1128" s="91"/>
      <c r="L1128" s="89"/>
      <c r="M1128" s="26"/>
      <c r="N1128" s="26"/>
      <c r="O1128" s="26"/>
      <c r="P1128" s="26"/>
    </row>
    <row r="1129">
      <c r="A1129" s="90"/>
      <c r="B1129" s="82"/>
      <c r="C1129" s="83"/>
      <c r="D1129" s="82"/>
      <c r="E1129" s="84"/>
      <c r="F1129" s="85"/>
      <c r="G1129" s="86"/>
      <c r="H1129" s="84"/>
      <c r="I1129" s="86"/>
      <c r="J1129" s="87"/>
      <c r="K1129" s="91"/>
      <c r="L1129" s="89"/>
      <c r="M1129" s="26"/>
      <c r="N1129" s="26"/>
      <c r="O1129" s="26"/>
      <c r="P1129" s="26"/>
    </row>
    <row r="1130">
      <c r="A1130" s="90"/>
      <c r="B1130" s="82"/>
      <c r="C1130" s="83"/>
      <c r="D1130" s="82"/>
      <c r="E1130" s="84"/>
      <c r="F1130" s="85"/>
      <c r="G1130" s="86"/>
      <c r="H1130" s="84"/>
      <c r="I1130" s="86"/>
      <c r="J1130" s="87"/>
      <c r="K1130" s="91"/>
      <c r="L1130" s="89"/>
      <c r="M1130" s="26"/>
      <c r="N1130" s="26"/>
      <c r="O1130" s="26"/>
      <c r="P1130" s="26"/>
    </row>
    <row r="1131">
      <c r="A1131" s="90"/>
      <c r="B1131" s="82"/>
      <c r="C1131" s="83"/>
      <c r="D1131" s="82"/>
      <c r="E1131" s="84"/>
      <c r="F1131" s="85"/>
      <c r="G1131" s="86"/>
      <c r="H1131" s="84"/>
      <c r="I1131" s="86"/>
      <c r="J1131" s="87"/>
      <c r="K1131" s="91"/>
      <c r="L1131" s="89"/>
      <c r="M1131" s="26"/>
      <c r="N1131" s="26"/>
      <c r="O1131" s="26"/>
      <c r="P1131" s="26"/>
    </row>
    <row r="1132">
      <c r="A1132" s="90"/>
      <c r="B1132" s="82"/>
      <c r="C1132" s="83"/>
      <c r="D1132" s="82"/>
      <c r="E1132" s="84"/>
      <c r="F1132" s="85"/>
      <c r="G1132" s="86"/>
      <c r="H1132" s="84"/>
      <c r="I1132" s="86"/>
      <c r="J1132" s="87"/>
      <c r="K1132" s="91"/>
      <c r="L1132" s="89"/>
      <c r="M1132" s="26"/>
      <c r="N1132" s="26"/>
      <c r="O1132" s="26"/>
      <c r="P1132" s="26"/>
    </row>
    <row r="1133">
      <c r="A1133" s="90"/>
      <c r="B1133" s="82"/>
      <c r="C1133" s="83"/>
      <c r="D1133" s="82"/>
      <c r="E1133" s="84"/>
      <c r="F1133" s="85"/>
      <c r="G1133" s="86"/>
      <c r="H1133" s="84"/>
      <c r="I1133" s="86"/>
      <c r="J1133" s="87"/>
      <c r="K1133" s="91"/>
      <c r="L1133" s="89"/>
      <c r="M1133" s="26"/>
      <c r="N1133" s="26"/>
      <c r="O1133" s="26"/>
      <c r="P1133" s="26"/>
    </row>
    <row r="1134">
      <c r="A1134" s="90"/>
      <c r="B1134" s="82"/>
      <c r="C1134" s="83"/>
      <c r="D1134" s="82"/>
      <c r="E1134" s="84"/>
      <c r="F1134" s="85"/>
      <c r="G1134" s="86"/>
      <c r="H1134" s="84"/>
      <c r="I1134" s="86"/>
      <c r="J1134" s="87"/>
      <c r="K1134" s="91"/>
      <c r="L1134" s="89"/>
      <c r="M1134" s="26"/>
      <c r="N1134" s="26"/>
      <c r="O1134" s="26"/>
      <c r="P1134" s="26"/>
    </row>
    <row r="1135">
      <c r="A1135" s="90"/>
      <c r="B1135" s="82"/>
      <c r="C1135" s="83"/>
      <c r="D1135" s="82"/>
      <c r="E1135" s="84"/>
      <c r="F1135" s="85"/>
      <c r="G1135" s="86"/>
      <c r="H1135" s="84"/>
      <c r="I1135" s="86"/>
      <c r="J1135" s="87"/>
      <c r="K1135" s="91"/>
      <c r="L1135" s="89"/>
      <c r="M1135" s="26"/>
      <c r="N1135" s="26"/>
      <c r="O1135" s="26"/>
      <c r="P1135" s="26"/>
    </row>
    <row r="1136">
      <c r="A1136" s="90"/>
      <c r="B1136" s="82"/>
      <c r="C1136" s="83"/>
      <c r="D1136" s="82"/>
      <c r="E1136" s="84"/>
      <c r="F1136" s="85"/>
      <c r="G1136" s="86"/>
      <c r="H1136" s="84"/>
      <c r="I1136" s="86"/>
      <c r="J1136" s="87"/>
      <c r="K1136" s="91"/>
      <c r="L1136" s="89"/>
      <c r="M1136" s="26"/>
      <c r="N1136" s="26"/>
      <c r="O1136" s="26"/>
      <c r="P1136" s="26"/>
    </row>
    <row r="1137">
      <c r="A1137" s="90"/>
      <c r="B1137" s="82"/>
      <c r="C1137" s="83"/>
      <c r="D1137" s="82"/>
      <c r="E1137" s="84"/>
      <c r="F1137" s="85"/>
      <c r="G1137" s="86"/>
      <c r="H1137" s="84"/>
      <c r="I1137" s="86"/>
      <c r="J1137" s="87"/>
      <c r="K1137" s="91"/>
      <c r="L1137" s="89"/>
      <c r="M1137" s="26"/>
      <c r="N1137" s="26"/>
      <c r="O1137" s="26"/>
      <c r="P1137" s="26"/>
    </row>
    <row r="1138">
      <c r="A1138" s="90"/>
      <c r="B1138" s="82"/>
      <c r="C1138" s="83"/>
      <c r="D1138" s="82"/>
      <c r="E1138" s="84"/>
      <c r="F1138" s="85"/>
      <c r="G1138" s="86"/>
      <c r="H1138" s="84"/>
      <c r="I1138" s="86"/>
      <c r="J1138" s="87"/>
      <c r="K1138" s="91"/>
      <c r="L1138" s="89"/>
      <c r="M1138" s="26"/>
      <c r="N1138" s="26"/>
      <c r="O1138" s="26"/>
      <c r="P1138" s="26"/>
    </row>
    <row r="1139">
      <c r="A1139" s="90"/>
      <c r="B1139" s="82"/>
      <c r="C1139" s="83"/>
      <c r="D1139" s="82"/>
      <c r="E1139" s="84"/>
      <c r="F1139" s="85"/>
      <c r="G1139" s="86"/>
      <c r="H1139" s="84"/>
      <c r="I1139" s="86"/>
      <c r="J1139" s="87"/>
      <c r="K1139" s="91"/>
      <c r="L1139" s="89"/>
      <c r="M1139" s="26"/>
      <c r="N1139" s="26"/>
      <c r="O1139" s="26"/>
      <c r="P1139" s="26"/>
    </row>
    <row r="1140">
      <c r="A1140" s="90"/>
      <c r="B1140" s="82"/>
      <c r="C1140" s="83"/>
      <c r="D1140" s="82"/>
      <c r="E1140" s="84"/>
      <c r="F1140" s="85"/>
      <c r="G1140" s="86"/>
      <c r="H1140" s="84"/>
      <c r="I1140" s="86"/>
      <c r="J1140" s="87"/>
      <c r="K1140" s="91"/>
      <c r="L1140" s="89"/>
      <c r="M1140" s="26"/>
      <c r="N1140" s="26"/>
      <c r="O1140" s="26"/>
      <c r="P1140" s="26"/>
    </row>
    <row r="1141">
      <c r="A1141" s="90"/>
      <c r="B1141" s="82"/>
      <c r="C1141" s="83"/>
      <c r="D1141" s="82"/>
      <c r="E1141" s="84"/>
      <c r="F1141" s="85"/>
      <c r="G1141" s="86"/>
      <c r="H1141" s="84"/>
      <c r="I1141" s="86"/>
      <c r="J1141" s="87"/>
      <c r="K1141" s="91"/>
      <c r="L1141" s="89"/>
      <c r="M1141" s="26"/>
      <c r="N1141" s="26"/>
      <c r="O1141" s="26"/>
      <c r="P1141" s="26"/>
    </row>
    <row r="1142">
      <c r="A1142" s="90"/>
      <c r="B1142" s="82"/>
      <c r="C1142" s="83"/>
      <c r="D1142" s="82"/>
      <c r="E1142" s="84"/>
      <c r="F1142" s="85"/>
      <c r="G1142" s="86"/>
      <c r="H1142" s="84"/>
      <c r="I1142" s="86"/>
      <c r="J1142" s="87"/>
      <c r="K1142" s="91"/>
      <c r="L1142" s="89"/>
      <c r="M1142" s="26"/>
      <c r="N1142" s="26"/>
      <c r="O1142" s="26"/>
      <c r="P1142" s="26"/>
    </row>
    <row r="1143">
      <c r="A1143" s="90"/>
      <c r="B1143" s="82"/>
      <c r="C1143" s="83"/>
      <c r="D1143" s="82"/>
      <c r="E1143" s="84"/>
      <c r="F1143" s="85"/>
      <c r="G1143" s="86"/>
      <c r="H1143" s="84"/>
      <c r="I1143" s="86"/>
      <c r="J1143" s="87"/>
      <c r="K1143" s="91"/>
      <c r="L1143" s="89"/>
      <c r="M1143" s="26"/>
      <c r="N1143" s="26"/>
      <c r="O1143" s="26"/>
      <c r="P1143" s="26"/>
    </row>
    <row r="1144">
      <c r="A1144" s="90"/>
      <c r="B1144" s="82"/>
      <c r="C1144" s="83"/>
      <c r="D1144" s="82"/>
      <c r="E1144" s="84"/>
      <c r="F1144" s="85"/>
      <c r="G1144" s="86"/>
      <c r="H1144" s="84"/>
      <c r="I1144" s="86"/>
      <c r="J1144" s="87"/>
      <c r="K1144" s="91"/>
      <c r="L1144" s="89"/>
      <c r="M1144" s="26"/>
      <c r="N1144" s="26"/>
      <c r="O1144" s="26"/>
      <c r="P1144" s="26"/>
    </row>
    <row r="1145">
      <c r="A1145" s="90"/>
      <c r="B1145" s="82"/>
      <c r="C1145" s="83"/>
      <c r="D1145" s="82"/>
      <c r="E1145" s="84"/>
      <c r="F1145" s="85"/>
      <c r="G1145" s="86"/>
      <c r="H1145" s="84"/>
      <c r="I1145" s="86"/>
      <c r="J1145" s="87"/>
      <c r="K1145" s="91"/>
      <c r="L1145" s="89"/>
      <c r="M1145" s="26"/>
      <c r="N1145" s="26"/>
      <c r="O1145" s="26"/>
      <c r="P1145" s="26"/>
    </row>
    <row r="1146">
      <c r="A1146" s="90"/>
      <c r="B1146" s="82"/>
      <c r="C1146" s="83"/>
      <c r="D1146" s="82"/>
      <c r="E1146" s="84"/>
      <c r="F1146" s="85"/>
      <c r="G1146" s="86"/>
      <c r="H1146" s="84"/>
      <c r="I1146" s="86"/>
      <c r="J1146" s="87"/>
      <c r="K1146" s="91"/>
      <c r="L1146" s="89"/>
      <c r="M1146" s="26"/>
      <c r="N1146" s="26"/>
      <c r="O1146" s="26"/>
      <c r="P1146" s="26"/>
    </row>
    <row r="1147">
      <c r="A1147" s="90"/>
      <c r="B1147" s="82"/>
      <c r="C1147" s="83"/>
      <c r="D1147" s="82"/>
      <c r="E1147" s="84"/>
      <c r="F1147" s="85"/>
      <c r="G1147" s="86"/>
      <c r="H1147" s="84"/>
      <c r="I1147" s="86"/>
      <c r="J1147" s="87"/>
      <c r="K1147" s="91"/>
      <c r="L1147" s="89"/>
      <c r="M1147" s="26"/>
      <c r="N1147" s="26"/>
      <c r="O1147" s="26"/>
      <c r="P1147" s="26"/>
    </row>
    <row r="1148">
      <c r="A1148" s="90"/>
      <c r="B1148" s="82"/>
      <c r="C1148" s="83"/>
      <c r="D1148" s="82"/>
      <c r="E1148" s="84"/>
      <c r="F1148" s="85"/>
      <c r="G1148" s="86"/>
      <c r="H1148" s="84"/>
      <c r="I1148" s="86"/>
      <c r="J1148" s="87"/>
      <c r="K1148" s="91"/>
      <c r="L1148" s="89"/>
      <c r="M1148" s="26"/>
      <c r="N1148" s="26"/>
      <c r="O1148" s="26"/>
      <c r="P1148" s="26"/>
    </row>
    <row r="1149">
      <c r="A1149" s="90"/>
      <c r="B1149" s="82"/>
      <c r="C1149" s="83"/>
      <c r="D1149" s="82"/>
      <c r="E1149" s="84"/>
      <c r="F1149" s="85"/>
      <c r="G1149" s="86"/>
      <c r="H1149" s="84"/>
      <c r="I1149" s="86"/>
      <c r="J1149" s="87"/>
      <c r="K1149" s="91"/>
      <c r="L1149" s="89"/>
      <c r="M1149" s="26"/>
      <c r="N1149" s="26"/>
      <c r="O1149" s="26"/>
      <c r="P1149" s="26"/>
    </row>
    <row r="1150">
      <c r="A1150" s="90"/>
      <c r="B1150" s="82"/>
      <c r="C1150" s="83"/>
      <c r="D1150" s="82"/>
      <c r="E1150" s="84"/>
      <c r="F1150" s="85"/>
      <c r="G1150" s="86"/>
      <c r="H1150" s="84"/>
      <c r="I1150" s="86"/>
      <c r="J1150" s="87"/>
      <c r="K1150" s="91"/>
      <c r="L1150" s="89"/>
      <c r="M1150" s="26"/>
      <c r="N1150" s="26"/>
      <c r="O1150" s="26"/>
      <c r="P1150" s="26"/>
    </row>
    <row r="1151">
      <c r="A1151" s="90"/>
      <c r="B1151" s="82"/>
      <c r="C1151" s="83"/>
      <c r="D1151" s="82"/>
      <c r="E1151" s="84"/>
      <c r="F1151" s="85"/>
      <c r="G1151" s="86"/>
      <c r="H1151" s="84"/>
      <c r="I1151" s="86"/>
      <c r="J1151" s="87"/>
      <c r="K1151" s="91"/>
      <c r="L1151" s="89"/>
      <c r="M1151" s="26"/>
      <c r="N1151" s="26"/>
      <c r="O1151" s="26"/>
      <c r="P1151" s="26"/>
    </row>
    <row r="1152">
      <c r="A1152" s="90"/>
      <c r="B1152" s="82"/>
      <c r="C1152" s="83"/>
      <c r="D1152" s="82"/>
      <c r="E1152" s="84"/>
      <c r="F1152" s="85"/>
      <c r="G1152" s="86"/>
      <c r="H1152" s="84"/>
      <c r="I1152" s="86"/>
      <c r="J1152" s="87"/>
      <c r="K1152" s="91"/>
      <c r="L1152" s="89"/>
      <c r="M1152" s="26"/>
      <c r="N1152" s="26"/>
      <c r="O1152" s="26"/>
      <c r="P1152" s="26"/>
    </row>
    <row r="1153">
      <c r="A1153" s="90"/>
      <c r="B1153" s="82"/>
      <c r="C1153" s="83"/>
      <c r="D1153" s="82"/>
      <c r="E1153" s="84"/>
      <c r="F1153" s="85"/>
      <c r="G1153" s="86"/>
      <c r="H1153" s="84"/>
      <c r="I1153" s="86"/>
      <c r="J1153" s="87"/>
      <c r="K1153" s="91"/>
      <c r="L1153" s="89"/>
      <c r="M1153" s="26"/>
      <c r="N1153" s="26"/>
      <c r="O1153" s="26"/>
      <c r="P1153" s="26"/>
    </row>
    <row r="1154">
      <c r="A1154" s="90"/>
      <c r="B1154" s="82"/>
      <c r="C1154" s="83"/>
      <c r="D1154" s="82"/>
      <c r="E1154" s="84"/>
      <c r="F1154" s="85"/>
      <c r="G1154" s="86"/>
      <c r="H1154" s="84"/>
      <c r="I1154" s="86"/>
      <c r="J1154" s="87"/>
      <c r="K1154" s="91"/>
      <c r="L1154" s="89"/>
      <c r="M1154" s="26"/>
      <c r="N1154" s="26"/>
      <c r="O1154" s="26"/>
      <c r="P1154" s="26"/>
    </row>
    <row r="1155">
      <c r="A1155" s="90"/>
      <c r="B1155" s="82"/>
      <c r="C1155" s="83"/>
      <c r="D1155" s="82"/>
      <c r="E1155" s="84"/>
      <c r="F1155" s="85"/>
      <c r="G1155" s="86"/>
      <c r="H1155" s="84"/>
      <c r="I1155" s="86"/>
      <c r="J1155" s="87"/>
      <c r="K1155" s="91"/>
      <c r="L1155" s="89"/>
      <c r="M1155" s="26"/>
      <c r="N1155" s="26"/>
      <c r="O1155" s="26"/>
      <c r="P1155" s="26"/>
    </row>
    <row r="1156">
      <c r="A1156" s="90"/>
      <c r="B1156" s="82"/>
      <c r="C1156" s="83"/>
      <c r="D1156" s="82"/>
      <c r="E1156" s="84"/>
      <c r="F1156" s="85"/>
      <c r="G1156" s="86"/>
      <c r="H1156" s="84"/>
      <c r="I1156" s="86"/>
      <c r="J1156" s="87"/>
      <c r="K1156" s="91"/>
      <c r="L1156" s="89"/>
      <c r="M1156" s="26"/>
      <c r="N1156" s="26"/>
      <c r="O1156" s="26"/>
      <c r="P1156" s="26"/>
    </row>
    <row r="1157">
      <c r="A1157" s="90"/>
      <c r="B1157" s="82"/>
      <c r="C1157" s="83"/>
      <c r="D1157" s="82"/>
      <c r="E1157" s="84"/>
      <c r="F1157" s="85"/>
      <c r="G1157" s="86"/>
      <c r="H1157" s="84"/>
      <c r="I1157" s="86"/>
      <c r="J1157" s="87"/>
      <c r="K1157" s="91"/>
      <c r="L1157" s="89"/>
      <c r="M1157" s="26"/>
      <c r="N1157" s="26"/>
      <c r="O1157" s="26"/>
      <c r="P1157" s="26"/>
    </row>
    <row r="1158">
      <c r="A1158" s="90"/>
      <c r="B1158" s="82"/>
      <c r="C1158" s="83"/>
      <c r="D1158" s="82"/>
      <c r="E1158" s="84"/>
      <c r="F1158" s="85"/>
      <c r="G1158" s="86"/>
      <c r="H1158" s="84"/>
      <c r="I1158" s="86"/>
      <c r="J1158" s="87"/>
      <c r="K1158" s="91"/>
      <c r="L1158" s="89"/>
      <c r="M1158" s="26"/>
      <c r="N1158" s="26"/>
      <c r="O1158" s="26"/>
      <c r="P1158" s="26"/>
    </row>
    <row r="1159">
      <c r="A1159" s="90"/>
      <c r="B1159" s="82"/>
      <c r="C1159" s="83"/>
      <c r="D1159" s="82"/>
      <c r="E1159" s="84"/>
      <c r="F1159" s="85"/>
      <c r="G1159" s="86"/>
      <c r="H1159" s="84"/>
      <c r="I1159" s="86"/>
      <c r="J1159" s="87"/>
      <c r="K1159" s="91"/>
      <c r="L1159" s="89"/>
      <c r="M1159" s="26"/>
      <c r="N1159" s="26"/>
      <c r="O1159" s="26"/>
      <c r="P1159" s="26"/>
    </row>
    <row r="1160">
      <c r="A1160" s="90"/>
      <c r="B1160" s="82"/>
      <c r="C1160" s="83"/>
      <c r="D1160" s="82"/>
      <c r="E1160" s="84"/>
      <c r="F1160" s="85"/>
      <c r="G1160" s="86"/>
      <c r="H1160" s="84"/>
      <c r="I1160" s="86"/>
      <c r="J1160" s="87"/>
      <c r="K1160" s="91"/>
      <c r="L1160" s="89"/>
      <c r="M1160" s="26"/>
      <c r="N1160" s="26"/>
      <c r="O1160" s="26"/>
      <c r="P1160" s="26"/>
    </row>
    <row r="1161">
      <c r="A1161" s="90"/>
      <c r="B1161" s="82"/>
      <c r="C1161" s="83"/>
      <c r="D1161" s="82"/>
      <c r="E1161" s="84"/>
      <c r="F1161" s="85"/>
      <c r="G1161" s="86"/>
      <c r="H1161" s="84"/>
      <c r="I1161" s="86"/>
      <c r="J1161" s="87"/>
      <c r="K1161" s="91"/>
      <c r="L1161" s="89"/>
      <c r="M1161" s="26"/>
      <c r="N1161" s="26"/>
      <c r="O1161" s="26"/>
      <c r="P1161" s="26"/>
    </row>
    <row r="1162">
      <c r="A1162" s="90"/>
      <c r="B1162" s="82"/>
      <c r="C1162" s="83"/>
      <c r="D1162" s="82"/>
      <c r="E1162" s="84"/>
      <c r="F1162" s="85"/>
      <c r="G1162" s="86"/>
      <c r="H1162" s="84"/>
      <c r="I1162" s="86"/>
      <c r="J1162" s="87"/>
      <c r="K1162" s="91"/>
      <c r="L1162" s="89"/>
      <c r="M1162" s="26"/>
      <c r="N1162" s="26"/>
      <c r="O1162" s="26"/>
      <c r="P1162" s="26"/>
    </row>
    <row r="1163">
      <c r="A1163" s="90"/>
      <c r="B1163" s="82"/>
      <c r="C1163" s="83"/>
      <c r="D1163" s="82"/>
      <c r="E1163" s="84"/>
      <c r="F1163" s="85"/>
      <c r="G1163" s="86"/>
      <c r="H1163" s="84"/>
      <c r="I1163" s="86"/>
      <c r="J1163" s="87"/>
      <c r="K1163" s="91"/>
      <c r="L1163" s="89"/>
      <c r="M1163" s="26"/>
      <c r="N1163" s="26"/>
      <c r="O1163" s="26"/>
      <c r="P1163" s="26"/>
    </row>
    <row r="1164">
      <c r="A1164" s="90"/>
      <c r="B1164" s="82"/>
      <c r="C1164" s="83"/>
      <c r="D1164" s="82"/>
      <c r="E1164" s="84"/>
      <c r="F1164" s="85"/>
      <c r="G1164" s="86"/>
      <c r="H1164" s="84"/>
      <c r="I1164" s="86"/>
      <c r="J1164" s="87"/>
      <c r="K1164" s="91"/>
      <c r="L1164" s="89"/>
      <c r="M1164" s="26"/>
      <c r="N1164" s="26"/>
      <c r="O1164" s="26"/>
      <c r="P1164" s="26"/>
    </row>
    <row r="1165">
      <c r="A1165" s="90"/>
      <c r="B1165" s="82"/>
      <c r="C1165" s="83"/>
      <c r="D1165" s="82"/>
      <c r="E1165" s="84"/>
      <c r="F1165" s="85"/>
      <c r="G1165" s="86"/>
      <c r="H1165" s="84"/>
      <c r="I1165" s="86"/>
      <c r="J1165" s="87"/>
      <c r="K1165" s="91"/>
      <c r="L1165" s="89"/>
      <c r="M1165" s="26"/>
      <c r="N1165" s="26"/>
      <c r="O1165" s="26"/>
      <c r="P1165" s="26"/>
    </row>
    <row r="1166">
      <c r="A1166" s="90"/>
      <c r="B1166" s="82"/>
      <c r="C1166" s="83"/>
      <c r="D1166" s="82"/>
      <c r="E1166" s="84"/>
      <c r="F1166" s="85"/>
      <c r="G1166" s="86"/>
      <c r="H1166" s="84"/>
      <c r="I1166" s="86"/>
      <c r="J1166" s="87"/>
      <c r="K1166" s="91"/>
      <c r="L1166" s="89"/>
      <c r="M1166" s="26"/>
      <c r="N1166" s="26"/>
      <c r="O1166" s="26"/>
      <c r="P1166" s="26"/>
    </row>
    <row r="1167">
      <c r="A1167" s="90"/>
      <c r="B1167" s="82"/>
      <c r="C1167" s="83"/>
      <c r="D1167" s="82"/>
      <c r="E1167" s="84"/>
      <c r="F1167" s="85"/>
      <c r="G1167" s="86"/>
      <c r="H1167" s="84"/>
      <c r="I1167" s="86"/>
      <c r="J1167" s="87"/>
      <c r="K1167" s="91"/>
      <c r="L1167" s="89"/>
      <c r="M1167" s="26"/>
      <c r="N1167" s="26"/>
      <c r="O1167" s="26"/>
      <c r="P1167" s="26"/>
    </row>
    <row r="1168">
      <c r="A1168" s="90"/>
      <c r="B1168" s="82"/>
      <c r="C1168" s="83"/>
      <c r="D1168" s="82"/>
      <c r="E1168" s="84"/>
      <c r="F1168" s="85"/>
      <c r="G1168" s="86"/>
      <c r="H1168" s="84"/>
      <c r="I1168" s="86"/>
      <c r="J1168" s="87"/>
      <c r="K1168" s="91"/>
      <c r="L1168" s="89"/>
      <c r="M1168" s="26"/>
      <c r="N1168" s="26"/>
      <c r="O1168" s="26"/>
      <c r="P1168" s="26"/>
    </row>
    <row r="1169">
      <c r="A1169" s="90"/>
      <c r="B1169" s="82"/>
      <c r="C1169" s="83"/>
      <c r="D1169" s="82"/>
      <c r="E1169" s="84"/>
      <c r="F1169" s="85"/>
      <c r="G1169" s="86"/>
      <c r="H1169" s="84"/>
      <c r="I1169" s="86"/>
      <c r="J1169" s="87"/>
      <c r="K1169" s="91"/>
      <c r="L1169" s="89"/>
      <c r="M1169" s="26"/>
      <c r="N1169" s="26"/>
      <c r="O1169" s="26"/>
      <c r="P1169" s="26"/>
    </row>
    <row r="1170">
      <c r="A1170" s="90"/>
      <c r="B1170" s="82"/>
      <c r="C1170" s="83"/>
      <c r="D1170" s="82"/>
      <c r="E1170" s="84"/>
      <c r="F1170" s="85"/>
      <c r="G1170" s="86"/>
      <c r="H1170" s="84"/>
      <c r="I1170" s="86"/>
      <c r="J1170" s="87"/>
      <c r="K1170" s="91"/>
      <c r="L1170" s="89"/>
      <c r="M1170" s="26"/>
      <c r="N1170" s="26"/>
      <c r="O1170" s="26"/>
      <c r="P1170" s="26"/>
    </row>
    <row r="1171">
      <c r="A1171" s="90"/>
      <c r="B1171" s="82"/>
      <c r="C1171" s="83"/>
      <c r="D1171" s="82"/>
      <c r="E1171" s="84"/>
      <c r="F1171" s="85"/>
      <c r="G1171" s="86"/>
      <c r="H1171" s="84"/>
      <c r="I1171" s="86"/>
      <c r="J1171" s="87"/>
      <c r="K1171" s="91"/>
      <c r="L1171" s="89"/>
      <c r="M1171" s="26"/>
      <c r="N1171" s="26"/>
      <c r="O1171" s="26"/>
      <c r="P1171" s="26"/>
    </row>
    <row r="1172">
      <c r="A1172" s="90"/>
      <c r="B1172" s="82"/>
      <c r="C1172" s="83"/>
      <c r="D1172" s="82"/>
      <c r="E1172" s="84"/>
      <c r="F1172" s="85"/>
      <c r="G1172" s="86"/>
      <c r="H1172" s="84"/>
      <c r="I1172" s="86"/>
      <c r="J1172" s="87"/>
      <c r="K1172" s="91"/>
      <c r="L1172" s="89"/>
      <c r="M1172" s="26"/>
      <c r="N1172" s="26"/>
      <c r="O1172" s="26"/>
      <c r="P1172" s="26"/>
    </row>
    <row r="1173">
      <c r="A1173" s="90"/>
      <c r="B1173" s="82"/>
      <c r="C1173" s="83"/>
      <c r="D1173" s="82"/>
      <c r="E1173" s="84"/>
      <c r="F1173" s="85"/>
      <c r="G1173" s="86"/>
      <c r="H1173" s="84"/>
      <c r="I1173" s="86"/>
      <c r="J1173" s="87"/>
      <c r="K1173" s="91"/>
      <c r="L1173" s="89"/>
      <c r="M1173" s="26"/>
      <c r="N1173" s="26"/>
      <c r="O1173" s="26"/>
      <c r="P1173" s="26"/>
    </row>
    <row r="1174">
      <c r="A1174" s="90"/>
      <c r="B1174" s="82"/>
      <c r="C1174" s="83"/>
      <c r="D1174" s="82"/>
      <c r="E1174" s="84"/>
      <c r="F1174" s="85"/>
      <c r="G1174" s="86"/>
      <c r="H1174" s="84"/>
      <c r="I1174" s="86"/>
      <c r="J1174" s="87"/>
      <c r="K1174" s="91"/>
      <c r="L1174" s="89"/>
      <c r="M1174" s="26"/>
      <c r="N1174" s="26"/>
      <c r="O1174" s="26"/>
      <c r="P1174" s="26"/>
    </row>
    <row r="1175">
      <c r="A1175" s="90"/>
      <c r="B1175" s="82"/>
      <c r="C1175" s="83"/>
      <c r="D1175" s="82"/>
      <c r="E1175" s="84"/>
      <c r="F1175" s="85"/>
      <c r="G1175" s="86"/>
      <c r="H1175" s="84"/>
      <c r="I1175" s="86"/>
      <c r="J1175" s="87"/>
      <c r="K1175" s="91"/>
      <c r="L1175" s="89"/>
      <c r="M1175" s="26"/>
      <c r="N1175" s="26"/>
      <c r="O1175" s="26"/>
      <c r="P1175" s="26"/>
    </row>
    <row r="1176">
      <c r="A1176" s="90"/>
      <c r="B1176" s="82"/>
      <c r="C1176" s="83"/>
      <c r="D1176" s="82"/>
      <c r="E1176" s="84"/>
      <c r="F1176" s="85"/>
      <c r="G1176" s="86"/>
      <c r="H1176" s="84"/>
      <c r="I1176" s="86"/>
      <c r="J1176" s="87"/>
      <c r="K1176" s="91"/>
      <c r="L1176" s="89"/>
      <c r="M1176" s="26"/>
      <c r="N1176" s="26"/>
      <c r="O1176" s="26"/>
      <c r="P1176" s="26"/>
    </row>
    <row r="1177">
      <c r="A1177" s="90"/>
      <c r="B1177" s="82"/>
      <c r="C1177" s="83"/>
      <c r="D1177" s="82"/>
      <c r="E1177" s="84"/>
      <c r="F1177" s="85"/>
      <c r="G1177" s="86"/>
      <c r="H1177" s="84"/>
      <c r="I1177" s="86"/>
      <c r="J1177" s="87"/>
      <c r="K1177" s="91"/>
      <c r="L1177" s="89"/>
      <c r="M1177" s="26"/>
      <c r="N1177" s="26"/>
      <c r="O1177" s="26"/>
      <c r="P1177" s="26"/>
    </row>
    <row r="1178">
      <c r="A1178" s="90"/>
      <c r="B1178" s="82"/>
      <c r="C1178" s="83"/>
      <c r="D1178" s="82"/>
      <c r="E1178" s="84"/>
      <c r="F1178" s="85"/>
      <c r="G1178" s="86"/>
      <c r="H1178" s="84"/>
      <c r="I1178" s="86"/>
      <c r="J1178" s="87"/>
      <c r="K1178" s="91"/>
      <c r="L1178" s="89"/>
      <c r="M1178" s="26"/>
      <c r="N1178" s="26"/>
      <c r="O1178" s="26"/>
      <c r="P1178" s="26"/>
    </row>
    <row r="1179">
      <c r="A1179" s="90"/>
      <c r="B1179" s="82"/>
      <c r="C1179" s="83"/>
      <c r="D1179" s="82"/>
      <c r="E1179" s="84"/>
      <c r="F1179" s="85"/>
      <c r="G1179" s="86"/>
      <c r="H1179" s="84"/>
      <c r="I1179" s="86"/>
      <c r="J1179" s="87"/>
      <c r="K1179" s="91"/>
      <c r="L1179" s="89"/>
      <c r="M1179" s="26"/>
      <c r="N1179" s="26"/>
      <c r="O1179" s="26"/>
      <c r="P1179" s="26"/>
    </row>
    <row r="1180">
      <c r="A1180" s="90"/>
      <c r="B1180" s="82"/>
      <c r="C1180" s="83"/>
      <c r="D1180" s="82"/>
      <c r="E1180" s="84"/>
      <c r="F1180" s="85"/>
      <c r="G1180" s="86"/>
      <c r="H1180" s="84"/>
      <c r="I1180" s="86"/>
      <c r="J1180" s="87"/>
      <c r="K1180" s="91"/>
      <c r="L1180" s="89"/>
      <c r="M1180" s="26"/>
      <c r="N1180" s="26"/>
      <c r="O1180" s="26"/>
      <c r="P1180" s="26"/>
    </row>
    <row r="1181">
      <c r="A1181" s="90"/>
      <c r="B1181" s="82"/>
      <c r="C1181" s="83"/>
      <c r="D1181" s="82"/>
      <c r="E1181" s="84"/>
      <c r="F1181" s="85"/>
      <c r="G1181" s="86"/>
      <c r="H1181" s="84"/>
      <c r="I1181" s="86"/>
      <c r="J1181" s="87"/>
      <c r="K1181" s="91"/>
      <c r="L1181" s="89"/>
      <c r="M1181" s="26"/>
      <c r="N1181" s="26"/>
      <c r="O1181" s="26"/>
      <c r="P1181" s="26"/>
    </row>
    <row r="1182">
      <c r="A1182" s="90"/>
      <c r="B1182" s="82"/>
      <c r="C1182" s="83"/>
      <c r="D1182" s="82"/>
      <c r="E1182" s="84"/>
      <c r="F1182" s="85"/>
      <c r="G1182" s="86"/>
      <c r="H1182" s="84"/>
      <c r="I1182" s="86"/>
      <c r="J1182" s="87"/>
      <c r="K1182" s="91"/>
      <c r="L1182" s="89"/>
      <c r="M1182" s="26"/>
      <c r="N1182" s="26"/>
      <c r="O1182" s="26"/>
      <c r="P1182" s="26"/>
    </row>
    <row r="1183">
      <c r="A1183" s="90"/>
      <c r="B1183" s="82"/>
      <c r="C1183" s="83"/>
      <c r="D1183" s="82"/>
      <c r="E1183" s="84"/>
      <c r="F1183" s="85"/>
      <c r="G1183" s="86"/>
      <c r="H1183" s="84"/>
      <c r="I1183" s="86"/>
      <c r="J1183" s="87"/>
      <c r="K1183" s="91"/>
      <c r="L1183" s="89"/>
      <c r="M1183" s="26"/>
      <c r="N1183" s="26"/>
      <c r="O1183" s="26"/>
      <c r="P1183" s="26"/>
    </row>
    <row r="1184">
      <c r="A1184" s="90"/>
      <c r="B1184" s="82"/>
      <c r="C1184" s="83"/>
      <c r="D1184" s="82"/>
      <c r="E1184" s="84"/>
      <c r="F1184" s="85"/>
      <c r="G1184" s="86"/>
      <c r="H1184" s="84"/>
      <c r="I1184" s="86"/>
      <c r="J1184" s="87"/>
      <c r="K1184" s="91"/>
      <c r="L1184" s="89"/>
      <c r="M1184" s="26"/>
      <c r="N1184" s="26"/>
      <c r="O1184" s="26"/>
      <c r="P1184" s="26"/>
    </row>
    <row r="1185">
      <c r="A1185" s="90"/>
      <c r="B1185" s="82"/>
      <c r="C1185" s="83"/>
      <c r="D1185" s="82"/>
      <c r="E1185" s="84"/>
      <c r="F1185" s="85"/>
      <c r="G1185" s="86"/>
      <c r="H1185" s="84"/>
      <c r="I1185" s="86"/>
      <c r="J1185" s="87"/>
      <c r="K1185" s="91"/>
      <c r="L1185" s="89"/>
      <c r="M1185" s="26"/>
      <c r="N1185" s="26"/>
      <c r="O1185" s="26"/>
      <c r="P1185" s="26"/>
    </row>
    <row r="1186">
      <c r="A1186" s="90"/>
      <c r="B1186" s="82"/>
      <c r="C1186" s="83"/>
      <c r="D1186" s="82"/>
      <c r="E1186" s="84"/>
      <c r="F1186" s="85"/>
      <c r="G1186" s="86"/>
      <c r="H1186" s="84"/>
      <c r="I1186" s="86"/>
      <c r="J1186" s="87"/>
      <c r="K1186" s="91"/>
      <c r="L1186" s="89"/>
      <c r="M1186" s="26"/>
      <c r="N1186" s="26"/>
      <c r="O1186" s="26"/>
      <c r="P1186" s="26"/>
    </row>
    <row r="1187">
      <c r="A1187" s="90"/>
      <c r="B1187" s="82"/>
      <c r="C1187" s="83"/>
      <c r="D1187" s="82"/>
      <c r="E1187" s="84"/>
      <c r="F1187" s="85"/>
      <c r="G1187" s="86"/>
      <c r="H1187" s="84"/>
      <c r="I1187" s="86"/>
      <c r="J1187" s="87"/>
      <c r="K1187" s="91"/>
      <c r="L1187" s="89"/>
      <c r="M1187" s="26"/>
      <c r="N1187" s="26"/>
      <c r="O1187" s="26"/>
      <c r="P1187" s="26"/>
    </row>
    <row r="1188">
      <c r="A1188" s="90"/>
      <c r="B1188" s="82"/>
      <c r="C1188" s="83"/>
      <c r="D1188" s="82"/>
      <c r="E1188" s="84"/>
      <c r="F1188" s="85"/>
      <c r="G1188" s="86"/>
      <c r="H1188" s="84"/>
      <c r="I1188" s="86"/>
      <c r="J1188" s="87"/>
      <c r="K1188" s="91"/>
      <c r="L1188" s="89"/>
      <c r="M1188" s="26"/>
      <c r="N1188" s="26"/>
      <c r="O1188" s="26"/>
      <c r="P1188" s="26"/>
    </row>
    <row r="1189">
      <c r="A1189" s="90"/>
      <c r="B1189" s="82"/>
      <c r="C1189" s="83"/>
      <c r="D1189" s="82"/>
      <c r="E1189" s="84"/>
      <c r="F1189" s="85"/>
      <c r="G1189" s="86"/>
      <c r="H1189" s="84"/>
      <c r="I1189" s="86"/>
      <c r="J1189" s="87"/>
      <c r="K1189" s="91"/>
      <c r="L1189" s="89"/>
      <c r="M1189" s="26"/>
      <c r="N1189" s="26"/>
      <c r="O1189" s="26"/>
      <c r="P1189" s="26"/>
    </row>
    <row r="1190">
      <c r="A1190" s="90"/>
      <c r="B1190" s="82"/>
      <c r="C1190" s="83"/>
      <c r="D1190" s="82"/>
      <c r="E1190" s="84"/>
      <c r="F1190" s="85"/>
      <c r="G1190" s="86"/>
      <c r="H1190" s="84"/>
      <c r="I1190" s="86"/>
      <c r="J1190" s="87"/>
      <c r="K1190" s="91"/>
      <c r="L1190" s="89"/>
      <c r="M1190" s="26"/>
      <c r="N1190" s="26"/>
      <c r="O1190" s="26"/>
      <c r="P1190" s="26"/>
    </row>
    <row r="1191">
      <c r="A1191" s="90"/>
      <c r="B1191" s="82"/>
      <c r="C1191" s="83"/>
      <c r="D1191" s="82"/>
      <c r="E1191" s="84"/>
      <c r="F1191" s="85"/>
      <c r="G1191" s="86"/>
      <c r="H1191" s="84"/>
      <c r="I1191" s="86"/>
      <c r="J1191" s="87"/>
      <c r="K1191" s="91"/>
      <c r="L1191" s="89"/>
      <c r="M1191" s="26"/>
      <c r="N1191" s="26"/>
      <c r="O1191" s="26"/>
      <c r="P1191" s="26"/>
    </row>
    <row r="1192">
      <c r="A1192" s="90"/>
      <c r="B1192" s="82"/>
      <c r="C1192" s="83"/>
      <c r="D1192" s="82"/>
      <c r="E1192" s="84"/>
      <c r="F1192" s="85"/>
      <c r="G1192" s="86"/>
      <c r="H1192" s="84"/>
      <c r="I1192" s="86"/>
      <c r="J1192" s="87"/>
      <c r="K1192" s="91"/>
      <c r="L1192" s="89"/>
      <c r="M1192" s="26"/>
      <c r="N1192" s="26"/>
      <c r="O1192" s="26"/>
      <c r="P1192" s="26"/>
    </row>
    <row r="1193">
      <c r="A1193" s="90"/>
      <c r="B1193" s="82"/>
      <c r="C1193" s="83"/>
      <c r="D1193" s="82"/>
      <c r="E1193" s="84"/>
      <c r="F1193" s="85"/>
      <c r="G1193" s="86"/>
      <c r="H1193" s="84"/>
      <c r="I1193" s="86"/>
      <c r="J1193" s="87"/>
      <c r="K1193" s="91"/>
      <c r="L1193" s="89"/>
      <c r="M1193" s="26"/>
      <c r="N1193" s="26"/>
      <c r="O1193" s="26"/>
      <c r="P1193" s="26"/>
    </row>
    <row r="1194">
      <c r="A1194" s="90"/>
      <c r="B1194" s="82"/>
      <c r="C1194" s="83"/>
      <c r="D1194" s="82"/>
      <c r="E1194" s="84"/>
      <c r="F1194" s="85"/>
      <c r="G1194" s="86"/>
      <c r="H1194" s="84"/>
      <c r="I1194" s="86"/>
      <c r="J1194" s="87"/>
      <c r="K1194" s="91"/>
      <c r="L1194" s="89"/>
      <c r="M1194" s="26"/>
      <c r="N1194" s="26"/>
      <c r="O1194" s="26"/>
      <c r="P1194" s="26"/>
    </row>
    <row r="1195">
      <c r="A1195" s="90"/>
      <c r="B1195" s="82"/>
      <c r="C1195" s="83"/>
      <c r="D1195" s="82"/>
      <c r="E1195" s="84"/>
      <c r="F1195" s="85"/>
      <c r="G1195" s="86"/>
      <c r="H1195" s="84"/>
      <c r="I1195" s="86"/>
      <c r="J1195" s="87"/>
      <c r="K1195" s="91"/>
      <c r="L1195" s="89"/>
      <c r="M1195" s="26"/>
      <c r="N1195" s="26"/>
      <c r="O1195" s="26"/>
      <c r="P1195" s="26"/>
    </row>
    <row r="1196">
      <c r="A1196" s="90"/>
      <c r="B1196" s="82"/>
      <c r="C1196" s="83"/>
      <c r="D1196" s="82"/>
      <c r="E1196" s="84"/>
      <c r="F1196" s="85"/>
      <c r="G1196" s="86"/>
      <c r="H1196" s="84"/>
      <c r="I1196" s="86"/>
      <c r="J1196" s="87"/>
      <c r="K1196" s="91"/>
      <c r="L1196" s="89"/>
      <c r="M1196" s="26"/>
      <c r="N1196" s="26"/>
      <c r="O1196" s="26"/>
      <c r="P1196" s="26"/>
    </row>
    <row r="1197">
      <c r="A1197" s="90"/>
      <c r="B1197" s="82"/>
      <c r="C1197" s="83"/>
      <c r="D1197" s="82"/>
      <c r="E1197" s="84"/>
      <c r="F1197" s="85"/>
      <c r="G1197" s="86"/>
      <c r="H1197" s="84"/>
      <c r="I1197" s="86"/>
      <c r="J1197" s="87"/>
      <c r="K1197" s="91"/>
      <c r="L1197" s="89"/>
      <c r="M1197" s="26"/>
      <c r="N1197" s="26"/>
      <c r="O1197" s="26"/>
      <c r="P1197" s="26"/>
    </row>
    <row r="1198">
      <c r="A1198" s="90"/>
      <c r="B1198" s="82"/>
      <c r="C1198" s="83"/>
      <c r="D1198" s="82"/>
      <c r="E1198" s="84"/>
      <c r="F1198" s="85"/>
      <c r="G1198" s="86"/>
      <c r="H1198" s="84"/>
      <c r="I1198" s="86"/>
      <c r="J1198" s="87"/>
      <c r="K1198" s="91"/>
      <c r="L1198" s="89"/>
      <c r="M1198" s="26"/>
      <c r="N1198" s="26"/>
      <c r="O1198" s="26"/>
      <c r="P1198" s="26"/>
    </row>
    <row r="1199">
      <c r="A1199" s="90"/>
      <c r="B1199" s="82"/>
      <c r="C1199" s="83"/>
      <c r="D1199" s="82"/>
      <c r="E1199" s="84"/>
      <c r="F1199" s="85"/>
      <c r="G1199" s="86"/>
      <c r="H1199" s="84"/>
      <c r="I1199" s="86"/>
      <c r="J1199" s="87"/>
      <c r="K1199" s="91"/>
      <c r="L1199" s="89"/>
      <c r="M1199" s="26"/>
      <c r="N1199" s="26"/>
      <c r="O1199" s="26"/>
      <c r="P1199" s="26"/>
    </row>
    <row r="1200">
      <c r="A1200" s="90"/>
      <c r="B1200" s="82"/>
      <c r="C1200" s="83"/>
      <c r="D1200" s="82"/>
      <c r="E1200" s="84"/>
      <c r="F1200" s="85"/>
      <c r="G1200" s="86"/>
      <c r="H1200" s="84"/>
      <c r="I1200" s="86"/>
      <c r="J1200" s="87"/>
      <c r="K1200" s="91"/>
      <c r="L1200" s="89"/>
      <c r="M1200" s="26"/>
      <c r="N1200" s="26"/>
      <c r="O1200" s="26"/>
      <c r="P1200" s="26"/>
    </row>
    <row r="1201">
      <c r="A1201" s="90"/>
      <c r="B1201" s="82"/>
      <c r="C1201" s="83"/>
      <c r="D1201" s="82"/>
      <c r="E1201" s="84"/>
      <c r="F1201" s="85"/>
      <c r="G1201" s="86"/>
      <c r="H1201" s="84"/>
      <c r="I1201" s="86"/>
      <c r="J1201" s="87"/>
      <c r="K1201" s="91"/>
      <c r="L1201" s="89"/>
      <c r="M1201" s="26"/>
      <c r="N1201" s="26"/>
      <c r="O1201" s="26"/>
      <c r="P1201" s="26"/>
    </row>
    <row r="1202">
      <c r="A1202" s="90"/>
      <c r="B1202" s="82"/>
      <c r="C1202" s="83"/>
      <c r="D1202" s="82"/>
      <c r="E1202" s="84"/>
      <c r="F1202" s="85"/>
      <c r="G1202" s="86"/>
      <c r="H1202" s="84"/>
      <c r="I1202" s="86"/>
      <c r="J1202" s="87"/>
      <c r="K1202" s="91"/>
      <c r="L1202" s="89"/>
      <c r="M1202" s="26"/>
      <c r="N1202" s="26"/>
      <c r="O1202" s="26"/>
      <c r="P1202" s="26"/>
    </row>
    <row r="1203">
      <c r="A1203" s="90"/>
      <c r="B1203" s="82"/>
      <c r="C1203" s="83"/>
      <c r="D1203" s="82"/>
      <c r="E1203" s="84"/>
      <c r="F1203" s="85"/>
      <c r="G1203" s="86"/>
      <c r="H1203" s="84"/>
      <c r="I1203" s="86"/>
      <c r="J1203" s="87"/>
      <c r="K1203" s="91"/>
      <c r="L1203" s="89"/>
      <c r="M1203" s="26"/>
      <c r="N1203" s="26"/>
      <c r="O1203" s="26"/>
      <c r="P1203" s="26"/>
    </row>
    <row r="1204">
      <c r="A1204" s="90"/>
      <c r="B1204" s="82"/>
      <c r="C1204" s="83"/>
      <c r="D1204" s="82"/>
      <c r="E1204" s="84"/>
      <c r="F1204" s="85"/>
      <c r="G1204" s="86"/>
      <c r="H1204" s="84"/>
      <c r="I1204" s="86"/>
      <c r="J1204" s="87"/>
      <c r="K1204" s="91"/>
      <c r="L1204" s="89"/>
      <c r="M1204" s="26"/>
      <c r="N1204" s="26"/>
      <c r="O1204" s="26"/>
      <c r="P1204" s="26"/>
    </row>
    <row r="1205">
      <c r="A1205" s="90"/>
      <c r="B1205" s="82"/>
      <c r="C1205" s="83"/>
      <c r="D1205" s="82"/>
      <c r="E1205" s="84"/>
      <c r="F1205" s="85"/>
      <c r="G1205" s="86"/>
      <c r="H1205" s="84"/>
      <c r="I1205" s="86"/>
      <c r="J1205" s="87"/>
      <c r="K1205" s="91"/>
      <c r="L1205" s="89"/>
      <c r="M1205" s="26"/>
      <c r="N1205" s="26"/>
      <c r="O1205" s="26"/>
      <c r="P1205" s="26"/>
    </row>
    <row r="1206">
      <c r="A1206" s="90"/>
      <c r="B1206" s="82"/>
      <c r="C1206" s="83"/>
      <c r="D1206" s="82"/>
      <c r="E1206" s="84"/>
      <c r="F1206" s="85"/>
      <c r="G1206" s="86"/>
      <c r="H1206" s="84"/>
      <c r="I1206" s="86"/>
      <c r="J1206" s="87"/>
      <c r="K1206" s="91"/>
      <c r="L1206" s="89"/>
      <c r="M1206" s="26"/>
      <c r="N1206" s="26"/>
      <c r="O1206" s="26"/>
      <c r="P1206" s="26"/>
    </row>
    <row r="1207">
      <c r="A1207" s="90"/>
      <c r="B1207" s="82"/>
      <c r="C1207" s="83"/>
      <c r="D1207" s="82"/>
      <c r="E1207" s="84"/>
      <c r="F1207" s="85"/>
      <c r="G1207" s="86"/>
      <c r="H1207" s="84"/>
      <c r="I1207" s="86"/>
      <c r="J1207" s="87"/>
      <c r="K1207" s="91"/>
      <c r="L1207" s="89"/>
      <c r="M1207" s="26"/>
      <c r="N1207" s="26"/>
      <c r="O1207" s="26"/>
      <c r="P1207" s="26"/>
    </row>
    <row r="1208">
      <c r="A1208" s="90"/>
      <c r="B1208" s="82"/>
      <c r="C1208" s="83"/>
      <c r="D1208" s="82"/>
      <c r="E1208" s="84"/>
      <c r="F1208" s="85"/>
      <c r="G1208" s="86"/>
      <c r="H1208" s="84"/>
      <c r="I1208" s="86"/>
      <c r="J1208" s="87"/>
      <c r="K1208" s="91"/>
      <c r="L1208" s="89"/>
      <c r="M1208" s="26"/>
      <c r="N1208" s="26"/>
      <c r="O1208" s="26"/>
      <c r="P1208" s="26"/>
    </row>
    <row r="1209">
      <c r="A1209" s="90"/>
      <c r="B1209" s="82"/>
      <c r="C1209" s="83"/>
      <c r="D1209" s="82"/>
      <c r="E1209" s="84"/>
      <c r="F1209" s="85"/>
      <c r="G1209" s="86"/>
      <c r="H1209" s="84"/>
      <c r="I1209" s="86"/>
      <c r="J1209" s="87"/>
      <c r="K1209" s="91"/>
      <c r="L1209" s="89"/>
      <c r="M1209" s="26"/>
      <c r="N1209" s="26"/>
      <c r="O1209" s="26"/>
      <c r="P1209" s="26"/>
    </row>
    <row r="1210">
      <c r="A1210" s="90"/>
      <c r="B1210" s="82"/>
      <c r="C1210" s="83"/>
      <c r="D1210" s="82"/>
      <c r="E1210" s="84"/>
      <c r="F1210" s="85"/>
      <c r="G1210" s="86"/>
      <c r="H1210" s="84"/>
      <c r="I1210" s="86"/>
      <c r="J1210" s="87"/>
      <c r="K1210" s="91"/>
      <c r="L1210" s="89"/>
      <c r="M1210" s="26"/>
      <c r="N1210" s="26"/>
      <c r="O1210" s="26"/>
      <c r="P1210" s="26"/>
    </row>
    <row r="1211">
      <c r="A1211" s="90"/>
      <c r="B1211" s="82"/>
      <c r="C1211" s="83"/>
      <c r="D1211" s="82"/>
      <c r="E1211" s="84"/>
      <c r="F1211" s="85"/>
      <c r="G1211" s="86"/>
      <c r="H1211" s="84"/>
      <c r="I1211" s="86"/>
      <c r="J1211" s="87"/>
      <c r="K1211" s="91"/>
      <c r="L1211" s="89"/>
      <c r="M1211" s="26"/>
      <c r="N1211" s="26"/>
      <c r="O1211" s="26"/>
      <c r="P1211" s="26"/>
    </row>
    <row r="1212">
      <c r="A1212" s="90"/>
      <c r="B1212" s="82"/>
      <c r="C1212" s="83"/>
      <c r="D1212" s="82"/>
      <c r="E1212" s="84"/>
      <c r="F1212" s="85"/>
      <c r="G1212" s="86"/>
      <c r="H1212" s="84"/>
      <c r="I1212" s="86"/>
      <c r="J1212" s="87"/>
      <c r="K1212" s="91"/>
      <c r="L1212" s="89"/>
      <c r="M1212" s="26"/>
      <c r="N1212" s="26"/>
      <c r="O1212" s="26"/>
      <c r="P1212" s="26"/>
    </row>
    <row r="1213">
      <c r="A1213" s="90"/>
      <c r="B1213" s="82"/>
      <c r="C1213" s="83"/>
      <c r="D1213" s="82"/>
      <c r="E1213" s="84"/>
      <c r="F1213" s="85"/>
      <c r="G1213" s="86"/>
      <c r="H1213" s="84"/>
      <c r="I1213" s="86"/>
      <c r="J1213" s="87"/>
      <c r="K1213" s="91"/>
      <c r="L1213" s="89"/>
      <c r="M1213" s="26"/>
      <c r="N1213" s="26"/>
      <c r="O1213" s="26"/>
      <c r="P1213" s="26"/>
    </row>
    <row r="1214">
      <c r="A1214" s="90"/>
      <c r="B1214" s="82"/>
      <c r="C1214" s="83"/>
      <c r="D1214" s="82"/>
      <c r="E1214" s="84"/>
      <c r="F1214" s="85"/>
      <c r="G1214" s="86"/>
      <c r="H1214" s="84"/>
      <c r="I1214" s="86"/>
      <c r="J1214" s="87"/>
      <c r="K1214" s="91"/>
      <c r="L1214" s="89"/>
      <c r="M1214" s="26"/>
      <c r="N1214" s="26"/>
      <c r="O1214" s="26"/>
      <c r="P1214" s="26"/>
    </row>
    <row r="1215">
      <c r="A1215" s="90"/>
      <c r="B1215" s="82"/>
      <c r="C1215" s="83"/>
      <c r="D1215" s="82"/>
      <c r="E1215" s="84"/>
      <c r="F1215" s="85"/>
      <c r="G1215" s="86"/>
      <c r="H1215" s="84"/>
      <c r="I1215" s="86"/>
      <c r="J1215" s="87"/>
      <c r="K1215" s="91"/>
      <c r="L1215" s="89"/>
      <c r="M1215" s="26"/>
      <c r="N1215" s="26"/>
      <c r="O1215" s="26"/>
      <c r="P1215" s="26"/>
    </row>
    <row r="1216">
      <c r="A1216" s="90"/>
      <c r="B1216" s="82"/>
      <c r="C1216" s="83"/>
      <c r="D1216" s="82"/>
      <c r="E1216" s="84"/>
      <c r="F1216" s="85"/>
      <c r="G1216" s="86"/>
      <c r="H1216" s="84"/>
      <c r="I1216" s="86"/>
      <c r="J1216" s="87"/>
      <c r="K1216" s="91"/>
      <c r="L1216" s="89"/>
      <c r="M1216" s="26"/>
      <c r="N1216" s="26"/>
      <c r="O1216" s="26"/>
      <c r="P1216" s="26"/>
    </row>
    <row r="1217">
      <c r="A1217" s="90"/>
      <c r="B1217" s="82"/>
      <c r="C1217" s="83"/>
      <c r="D1217" s="82"/>
      <c r="E1217" s="84"/>
      <c r="F1217" s="85"/>
      <c r="G1217" s="86"/>
      <c r="H1217" s="84"/>
      <c r="I1217" s="86"/>
      <c r="J1217" s="87"/>
      <c r="K1217" s="91"/>
      <c r="L1217" s="89"/>
      <c r="M1217" s="26"/>
      <c r="N1217" s="26"/>
      <c r="O1217" s="26"/>
      <c r="P1217" s="26"/>
    </row>
    <row r="1218">
      <c r="A1218" s="90"/>
      <c r="B1218" s="82"/>
      <c r="C1218" s="83"/>
      <c r="D1218" s="82"/>
      <c r="E1218" s="84"/>
      <c r="F1218" s="85"/>
      <c r="G1218" s="86"/>
      <c r="H1218" s="84"/>
      <c r="I1218" s="86"/>
      <c r="J1218" s="87"/>
      <c r="K1218" s="91"/>
      <c r="L1218" s="89"/>
      <c r="M1218" s="26"/>
      <c r="N1218" s="26"/>
      <c r="O1218" s="26"/>
      <c r="P1218" s="26"/>
    </row>
    <row r="1219">
      <c r="A1219" s="90"/>
      <c r="B1219" s="82"/>
      <c r="C1219" s="83"/>
      <c r="D1219" s="82"/>
      <c r="E1219" s="84"/>
      <c r="F1219" s="85"/>
      <c r="G1219" s="86"/>
      <c r="H1219" s="84"/>
      <c r="I1219" s="86"/>
      <c r="J1219" s="87"/>
      <c r="K1219" s="91"/>
      <c r="L1219" s="89"/>
      <c r="M1219" s="26"/>
      <c r="N1219" s="26"/>
      <c r="O1219" s="26"/>
      <c r="P1219" s="26"/>
    </row>
    <row r="1220">
      <c r="A1220" s="90"/>
      <c r="B1220" s="82"/>
      <c r="C1220" s="83"/>
      <c r="D1220" s="82"/>
      <c r="E1220" s="84"/>
      <c r="F1220" s="85"/>
      <c r="G1220" s="86"/>
      <c r="H1220" s="84"/>
      <c r="I1220" s="86"/>
      <c r="J1220" s="87"/>
      <c r="K1220" s="91"/>
      <c r="L1220" s="89"/>
      <c r="M1220" s="26"/>
      <c r="N1220" s="26"/>
      <c r="O1220" s="26"/>
      <c r="P1220" s="26"/>
    </row>
    <row r="1221">
      <c r="A1221" s="90"/>
      <c r="B1221" s="82"/>
      <c r="C1221" s="83"/>
      <c r="D1221" s="82"/>
      <c r="E1221" s="84"/>
      <c r="F1221" s="85"/>
      <c r="G1221" s="86"/>
      <c r="H1221" s="84"/>
      <c r="I1221" s="86"/>
      <c r="J1221" s="87"/>
      <c r="K1221" s="91"/>
      <c r="L1221" s="89"/>
      <c r="M1221" s="26"/>
      <c r="N1221" s="26"/>
      <c r="O1221" s="26"/>
      <c r="P1221" s="26"/>
    </row>
    <row r="1222">
      <c r="A1222" s="90"/>
      <c r="B1222" s="82"/>
      <c r="C1222" s="83"/>
      <c r="D1222" s="82"/>
      <c r="E1222" s="84"/>
      <c r="F1222" s="85"/>
      <c r="G1222" s="86"/>
      <c r="H1222" s="84"/>
      <c r="I1222" s="86"/>
      <c r="J1222" s="87"/>
      <c r="K1222" s="91"/>
      <c r="L1222" s="89"/>
      <c r="M1222" s="26"/>
      <c r="N1222" s="26"/>
      <c r="O1222" s="26"/>
      <c r="P1222" s="26"/>
    </row>
    <row r="1223">
      <c r="A1223" s="90"/>
      <c r="B1223" s="82"/>
      <c r="C1223" s="83"/>
      <c r="D1223" s="82"/>
      <c r="E1223" s="84"/>
      <c r="F1223" s="85"/>
      <c r="G1223" s="86"/>
      <c r="H1223" s="84"/>
      <c r="I1223" s="86"/>
      <c r="J1223" s="87"/>
      <c r="K1223" s="91"/>
      <c r="L1223" s="89"/>
      <c r="M1223" s="26"/>
      <c r="N1223" s="26"/>
      <c r="O1223" s="26"/>
      <c r="P1223" s="26"/>
    </row>
    <row r="1224">
      <c r="A1224" s="90"/>
      <c r="B1224" s="82"/>
      <c r="C1224" s="83"/>
      <c r="D1224" s="82"/>
      <c r="E1224" s="84"/>
      <c r="F1224" s="85"/>
      <c r="G1224" s="86"/>
      <c r="H1224" s="84"/>
      <c r="I1224" s="86"/>
      <c r="J1224" s="87"/>
      <c r="K1224" s="91"/>
      <c r="L1224" s="89"/>
      <c r="M1224" s="26"/>
      <c r="N1224" s="26"/>
      <c r="O1224" s="26"/>
      <c r="P1224" s="26"/>
    </row>
    <row r="1225">
      <c r="A1225" s="90"/>
      <c r="B1225" s="82"/>
      <c r="C1225" s="83"/>
      <c r="D1225" s="82"/>
      <c r="E1225" s="84"/>
      <c r="F1225" s="85"/>
      <c r="G1225" s="86"/>
      <c r="H1225" s="84"/>
      <c r="I1225" s="86"/>
      <c r="J1225" s="87"/>
      <c r="K1225" s="91"/>
      <c r="L1225" s="89"/>
      <c r="M1225" s="26"/>
      <c r="N1225" s="26"/>
      <c r="O1225" s="26"/>
      <c r="P1225" s="26"/>
    </row>
    <row r="1226">
      <c r="A1226" s="90"/>
      <c r="B1226" s="82"/>
      <c r="C1226" s="83"/>
      <c r="D1226" s="82"/>
      <c r="E1226" s="84"/>
      <c r="F1226" s="85"/>
      <c r="G1226" s="86"/>
      <c r="H1226" s="84"/>
      <c r="I1226" s="86"/>
      <c r="J1226" s="87"/>
      <c r="K1226" s="91"/>
      <c r="L1226" s="89"/>
      <c r="M1226" s="26"/>
      <c r="N1226" s="26"/>
      <c r="O1226" s="26"/>
      <c r="P1226" s="26"/>
    </row>
    <row r="1227">
      <c r="A1227" s="90"/>
      <c r="B1227" s="82"/>
      <c r="C1227" s="83"/>
      <c r="D1227" s="82"/>
      <c r="E1227" s="84"/>
      <c r="F1227" s="85"/>
      <c r="G1227" s="86"/>
      <c r="H1227" s="84"/>
      <c r="I1227" s="86"/>
      <c r="J1227" s="87"/>
      <c r="K1227" s="91"/>
      <c r="L1227" s="89"/>
      <c r="M1227" s="26"/>
      <c r="N1227" s="26"/>
      <c r="O1227" s="26"/>
      <c r="P1227" s="26"/>
    </row>
    <row r="1228">
      <c r="A1228" s="90"/>
      <c r="B1228" s="82"/>
      <c r="C1228" s="83"/>
      <c r="D1228" s="82"/>
      <c r="E1228" s="84"/>
      <c r="F1228" s="85"/>
      <c r="G1228" s="86"/>
      <c r="H1228" s="84"/>
      <c r="I1228" s="86"/>
      <c r="J1228" s="87"/>
      <c r="K1228" s="91"/>
      <c r="L1228" s="89"/>
      <c r="M1228" s="26"/>
      <c r="N1228" s="26"/>
      <c r="O1228" s="26"/>
      <c r="P1228" s="26"/>
    </row>
    <row r="1229">
      <c r="A1229" s="90"/>
      <c r="B1229" s="82"/>
      <c r="C1229" s="83"/>
      <c r="D1229" s="82"/>
      <c r="E1229" s="84"/>
      <c r="F1229" s="85"/>
      <c r="G1229" s="86"/>
      <c r="H1229" s="84"/>
      <c r="I1229" s="86"/>
      <c r="J1229" s="87"/>
      <c r="K1229" s="91"/>
      <c r="L1229" s="89"/>
      <c r="M1229" s="26"/>
      <c r="N1229" s="26"/>
      <c r="O1229" s="26"/>
      <c r="P1229" s="26"/>
    </row>
    <row r="1230">
      <c r="A1230" s="90"/>
      <c r="B1230" s="82"/>
      <c r="C1230" s="83"/>
      <c r="D1230" s="82"/>
      <c r="E1230" s="84"/>
      <c r="F1230" s="85"/>
      <c r="G1230" s="86"/>
      <c r="H1230" s="84"/>
      <c r="I1230" s="86"/>
      <c r="J1230" s="87"/>
      <c r="K1230" s="91"/>
      <c r="L1230" s="89"/>
      <c r="M1230" s="26"/>
      <c r="N1230" s="26"/>
      <c r="O1230" s="26"/>
      <c r="P1230" s="26"/>
    </row>
    <row r="1231">
      <c r="A1231" s="90"/>
      <c r="B1231" s="82"/>
      <c r="C1231" s="83"/>
      <c r="D1231" s="82"/>
      <c r="E1231" s="84"/>
      <c r="F1231" s="85"/>
      <c r="G1231" s="86"/>
      <c r="H1231" s="84"/>
      <c r="I1231" s="86"/>
      <c r="J1231" s="87"/>
      <c r="K1231" s="91"/>
      <c r="L1231" s="89"/>
      <c r="M1231" s="26"/>
      <c r="N1231" s="26"/>
      <c r="O1231" s="26"/>
      <c r="P1231" s="26"/>
    </row>
    <row r="1232">
      <c r="A1232" s="90"/>
      <c r="B1232" s="82"/>
      <c r="C1232" s="83"/>
      <c r="D1232" s="82"/>
      <c r="E1232" s="84"/>
      <c r="F1232" s="85"/>
      <c r="G1232" s="86"/>
      <c r="H1232" s="84"/>
      <c r="I1232" s="86"/>
      <c r="J1232" s="87"/>
      <c r="K1232" s="91"/>
      <c r="L1232" s="89"/>
      <c r="M1232" s="26"/>
      <c r="N1232" s="26"/>
      <c r="O1232" s="26"/>
      <c r="P1232" s="26"/>
    </row>
    <row r="1233">
      <c r="A1233" s="90"/>
      <c r="B1233" s="82"/>
      <c r="C1233" s="83"/>
      <c r="D1233" s="82"/>
      <c r="E1233" s="84"/>
      <c r="F1233" s="85"/>
      <c r="G1233" s="86"/>
      <c r="H1233" s="84"/>
      <c r="I1233" s="86"/>
      <c r="J1233" s="87"/>
      <c r="K1233" s="91"/>
      <c r="L1233" s="89"/>
      <c r="M1233" s="26"/>
      <c r="N1233" s="26"/>
      <c r="O1233" s="26"/>
      <c r="P1233" s="26"/>
    </row>
    <row r="1234">
      <c r="A1234" s="90"/>
      <c r="B1234" s="82"/>
      <c r="C1234" s="83"/>
      <c r="D1234" s="82"/>
      <c r="E1234" s="84"/>
      <c r="F1234" s="85"/>
      <c r="G1234" s="86"/>
      <c r="H1234" s="84"/>
      <c r="I1234" s="86"/>
      <c r="J1234" s="87"/>
      <c r="K1234" s="91"/>
      <c r="L1234" s="89"/>
      <c r="M1234" s="26"/>
      <c r="N1234" s="26"/>
      <c r="O1234" s="26"/>
      <c r="P1234" s="26"/>
    </row>
    <row r="1235">
      <c r="A1235" s="90"/>
      <c r="B1235" s="82"/>
      <c r="C1235" s="83"/>
      <c r="D1235" s="82"/>
      <c r="E1235" s="84"/>
      <c r="F1235" s="85"/>
      <c r="G1235" s="86"/>
      <c r="H1235" s="84"/>
      <c r="I1235" s="86"/>
      <c r="J1235" s="87"/>
      <c r="K1235" s="91"/>
      <c r="L1235" s="89"/>
      <c r="M1235" s="26"/>
      <c r="N1235" s="26"/>
      <c r="O1235" s="26"/>
      <c r="P1235" s="26"/>
    </row>
    <row r="1236">
      <c r="A1236" s="90"/>
      <c r="B1236" s="82"/>
      <c r="C1236" s="83"/>
      <c r="D1236" s="82"/>
      <c r="E1236" s="84"/>
      <c r="F1236" s="85"/>
      <c r="G1236" s="86"/>
      <c r="H1236" s="84"/>
      <c r="I1236" s="86"/>
      <c r="J1236" s="87"/>
      <c r="K1236" s="91"/>
      <c r="L1236" s="89"/>
      <c r="M1236" s="26"/>
      <c r="N1236" s="26"/>
      <c r="O1236" s="26"/>
      <c r="P1236" s="26"/>
    </row>
    <row r="1237">
      <c r="A1237" s="90"/>
      <c r="B1237" s="82"/>
      <c r="C1237" s="83"/>
      <c r="D1237" s="82"/>
      <c r="E1237" s="84"/>
      <c r="F1237" s="85"/>
      <c r="G1237" s="86"/>
      <c r="H1237" s="84"/>
      <c r="I1237" s="86"/>
      <c r="J1237" s="87"/>
      <c r="K1237" s="91"/>
      <c r="L1237" s="89"/>
      <c r="M1237" s="26"/>
      <c r="N1237" s="26"/>
      <c r="O1237" s="26"/>
      <c r="P1237" s="26"/>
    </row>
    <row r="1238">
      <c r="A1238" s="90"/>
      <c r="B1238" s="82"/>
      <c r="C1238" s="83"/>
      <c r="D1238" s="82"/>
      <c r="E1238" s="84"/>
      <c r="F1238" s="85"/>
      <c r="G1238" s="86"/>
      <c r="H1238" s="84"/>
      <c r="I1238" s="86"/>
      <c r="J1238" s="87"/>
      <c r="K1238" s="91"/>
      <c r="L1238" s="89"/>
      <c r="M1238" s="26"/>
      <c r="N1238" s="26"/>
      <c r="O1238" s="26"/>
      <c r="P1238" s="26"/>
    </row>
    <row r="1239">
      <c r="A1239" s="90"/>
      <c r="B1239" s="82"/>
      <c r="C1239" s="83"/>
      <c r="D1239" s="82"/>
      <c r="E1239" s="84"/>
      <c r="F1239" s="85"/>
      <c r="G1239" s="86"/>
      <c r="H1239" s="84"/>
      <c r="I1239" s="86"/>
      <c r="J1239" s="87"/>
      <c r="K1239" s="91"/>
      <c r="L1239" s="89"/>
      <c r="M1239" s="26"/>
      <c r="N1239" s="26"/>
      <c r="O1239" s="26"/>
      <c r="P1239" s="26"/>
    </row>
    <row r="1240">
      <c r="A1240" s="90"/>
      <c r="B1240" s="82"/>
      <c r="C1240" s="83"/>
      <c r="D1240" s="82"/>
      <c r="E1240" s="84"/>
      <c r="F1240" s="85"/>
      <c r="G1240" s="86"/>
      <c r="H1240" s="84"/>
      <c r="I1240" s="86"/>
      <c r="J1240" s="87"/>
      <c r="K1240" s="91"/>
      <c r="L1240" s="89"/>
      <c r="M1240" s="26"/>
      <c r="N1240" s="26"/>
      <c r="O1240" s="26"/>
      <c r="P1240" s="26"/>
    </row>
    <row r="1241">
      <c r="A1241" s="90"/>
      <c r="B1241" s="82"/>
      <c r="C1241" s="83"/>
      <c r="D1241" s="82"/>
      <c r="E1241" s="84"/>
      <c r="F1241" s="85"/>
      <c r="G1241" s="86"/>
      <c r="H1241" s="84"/>
      <c r="I1241" s="86"/>
      <c r="J1241" s="87"/>
      <c r="K1241" s="91"/>
      <c r="L1241" s="89"/>
      <c r="M1241" s="26"/>
      <c r="N1241" s="26"/>
      <c r="O1241" s="26"/>
      <c r="P1241" s="26"/>
    </row>
    <row r="1242">
      <c r="A1242" s="90"/>
      <c r="B1242" s="82"/>
      <c r="C1242" s="83"/>
      <c r="D1242" s="82"/>
      <c r="E1242" s="84"/>
      <c r="F1242" s="85"/>
      <c r="G1242" s="86"/>
      <c r="H1242" s="84"/>
      <c r="I1242" s="86"/>
      <c r="J1242" s="87"/>
      <c r="K1242" s="91"/>
      <c r="L1242" s="89"/>
      <c r="M1242" s="26"/>
      <c r="N1242" s="26"/>
      <c r="O1242" s="26"/>
      <c r="P1242" s="26"/>
    </row>
    <row r="1243">
      <c r="A1243" s="90"/>
      <c r="B1243" s="82"/>
      <c r="C1243" s="83"/>
      <c r="D1243" s="82"/>
      <c r="E1243" s="84"/>
      <c r="F1243" s="85"/>
      <c r="G1243" s="86"/>
      <c r="H1243" s="84"/>
      <c r="I1243" s="86"/>
      <c r="J1243" s="87"/>
      <c r="K1243" s="91"/>
      <c r="L1243" s="89"/>
      <c r="M1243" s="26"/>
      <c r="N1243" s="26"/>
      <c r="O1243" s="26"/>
      <c r="P1243" s="26"/>
    </row>
    <row r="1244">
      <c r="A1244" s="90"/>
      <c r="B1244" s="82"/>
      <c r="C1244" s="83"/>
      <c r="D1244" s="82"/>
      <c r="E1244" s="84"/>
      <c r="F1244" s="85"/>
      <c r="G1244" s="86"/>
      <c r="H1244" s="84"/>
      <c r="I1244" s="86"/>
      <c r="J1244" s="87"/>
      <c r="K1244" s="91"/>
      <c r="L1244" s="89"/>
      <c r="M1244" s="26"/>
      <c r="N1244" s="26"/>
      <c r="O1244" s="26"/>
      <c r="P1244" s="26"/>
    </row>
    <row r="1245">
      <c r="A1245" s="90"/>
      <c r="B1245" s="82"/>
      <c r="C1245" s="83"/>
      <c r="D1245" s="82"/>
      <c r="E1245" s="84"/>
      <c r="F1245" s="85"/>
      <c r="G1245" s="86"/>
      <c r="H1245" s="84"/>
      <c r="I1245" s="86"/>
      <c r="J1245" s="87"/>
      <c r="K1245" s="91"/>
      <c r="L1245" s="89"/>
      <c r="M1245" s="26"/>
      <c r="N1245" s="26"/>
      <c r="O1245" s="26"/>
      <c r="P1245" s="26"/>
    </row>
    <row r="1246">
      <c r="A1246" s="90"/>
      <c r="B1246" s="82"/>
      <c r="C1246" s="83"/>
      <c r="D1246" s="82"/>
      <c r="E1246" s="84"/>
      <c r="F1246" s="85"/>
      <c r="G1246" s="86"/>
      <c r="H1246" s="84"/>
      <c r="I1246" s="86"/>
      <c r="J1246" s="87"/>
      <c r="K1246" s="91"/>
      <c r="L1246" s="89"/>
      <c r="M1246" s="26"/>
      <c r="N1246" s="26"/>
      <c r="O1246" s="26"/>
      <c r="P1246" s="26"/>
    </row>
    <row r="1247">
      <c r="A1247" s="90"/>
      <c r="B1247" s="82"/>
      <c r="C1247" s="83"/>
      <c r="D1247" s="82"/>
      <c r="E1247" s="84"/>
      <c r="F1247" s="85"/>
      <c r="G1247" s="86"/>
      <c r="H1247" s="84"/>
      <c r="I1247" s="86"/>
      <c r="J1247" s="87"/>
      <c r="K1247" s="91"/>
      <c r="L1247" s="89"/>
      <c r="M1247" s="26"/>
      <c r="N1247" s="26"/>
      <c r="O1247" s="26"/>
      <c r="P1247" s="26"/>
    </row>
    <row r="1248">
      <c r="A1248" s="90"/>
      <c r="B1248" s="82"/>
      <c r="C1248" s="83"/>
      <c r="D1248" s="82"/>
      <c r="E1248" s="84"/>
      <c r="F1248" s="85"/>
      <c r="G1248" s="86"/>
      <c r="H1248" s="84"/>
      <c r="I1248" s="86"/>
      <c r="J1248" s="87"/>
      <c r="K1248" s="91"/>
      <c r="L1248" s="89"/>
      <c r="M1248" s="26"/>
      <c r="N1248" s="26"/>
      <c r="O1248" s="26"/>
      <c r="P1248" s="26"/>
    </row>
    <row r="1249">
      <c r="A1249" s="90"/>
      <c r="B1249" s="82"/>
      <c r="C1249" s="83"/>
      <c r="D1249" s="82"/>
      <c r="E1249" s="84"/>
      <c r="F1249" s="85"/>
      <c r="G1249" s="86"/>
      <c r="H1249" s="84"/>
      <c r="I1249" s="86"/>
      <c r="J1249" s="87"/>
      <c r="K1249" s="91"/>
      <c r="L1249" s="89"/>
      <c r="M1249" s="26"/>
      <c r="N1249" s="26"/>
      <c r="O1249" s="26"/>
      <c r="P1249" s="26"/>
    </row>
    <row r="1250">
      <c r="A1250" s="90"/>
      <c r="B1250" s="82"/>
      <c r="C1250" s="83"/>
      <c r="D1250" s="82"/>
      <c r="E1250" s="84"/>
      <c r="F1250" s="85"/>
      <c r="G1250" s="86"/>
      <c r="H1250" s="84"/>
      <c r="I1250" s="86"/>
      <c r="J1250" s="87"/>
      <c r="K1250" s="91"/>
      <c r="L1250" s="89"/>
      <c r="M1250" s="26"/>
      <c r="N1250" s="26"/>
      <c r="O1250" s="26"/>
      <c r="P1250" s="26"/>
    </row>
    <row r="1251">
      <c r="A1251" s="90"/>
      <c r="B1251" s="82"/>
      <c r="C1251" s="83"/>
      <c r="D1251" s="82"/>
      <c r="E1251" s="84"/>
      <c r="F1251" s="85"/>
      <c r="G1251" s="86"/>
      <c r="H1251" s="84"/>
      <c r="I1251" s="86"/>
      <c r="J1251" s="87"/>
      <c r="K1251" s="91"/>
      <c r="L1251" s="89"/>
      <c r="M1251" s="26"/>
      <c r="N1251" s="26"/>
      <c r="O1251" s="26"/>
      <c r="P1251" s="26"/>
    </row>
    <row r="1252">
      <c r="A1252" s="90"/>
      <c r="B1252" s="82"/>
      <c r="C1252" s="83"/>
      <c r="D1252" s="82"/>
      <c r="E1252" s="84"/>
      <c r="F1252" s="85"/>
      <c r="G1252" s="86"/>
      <c r="H1252" s="84"/>
      <c r="I1252" s="86"/>
      <c r="J1252" s="87"/>
      <c r="K1252" s="91"/>
      <c r="L1252" s="89"/>
      <c r="M1252" s="26"/>
      <c r="N1252" s="26"/>
      <c r="O1252" s="26"/>
      <c r="P1252" s="26"/>
    </row>
    <row r="1253">
      <c r="A1253" s="90"/>
      <c r="B1253" s="82"/>
      <c r="C1253" s="83"/>
      <c r="D1253" s="82"/>
      <c r="E1253" s="84"/>
      <c r="F1253" s="85"/>
      <c r="G1253" s="86"/>
      <c r="H1253" s="84"/>
      <c r="I1253" s="86"/>
      <c r="J1253" s="87"/>
      <c r="K1253" s="91"/>
      <c r="L1253" s="89"/>
      <c r="M1253" s="26"/>
      <c r="N1253" s="26"/>
      <c r="O1253" s="26"/>
      <c r="P1253" s="26"/>
    </row>
    <row r="1254">
      <c r="A1254" s="90"/>
      <c r="B1254" s="82"/>
      <c r="C1254" s="83"/>
      <c r="D1254" s="82"/>
      <c r="E1254" s="84"/>
      <c r="F1254" s="85"/>
      <c r="G1254" s="86"/>
      <c r="H1254" s="84"/>
      <c r="I1254" s="86"/>
      <c r="J1254" s="87"/>
      <c r="K1254" s="91"/>
      <c r="L1254" s="89"/>
      <c r="M1254" s="26"/>
      <c r="N1254" s="26"/>
      <c r="O1254" s="26"/>
      <c r="P1254" s="26"/>
    </row>
    <row r="1255">
      <c r="A1255" s="90"/>
      <c r="B1255" s="82"/>
      <c r="C1255" s="83"/>
      <c r="D1255" s="82"/>
      <c r="E1255" s="84"/>
      <c r="F1255" s="85"/>
      <c r="G1255" s="86"/>
      <c r="H1255" s="84"/>
      <c r="I1255" s="86"/>
      <c r="J1255" s="87"/>
      <c r="K1255" s="91"/>
      <c r="L1255" s="89"/>
      <c r="M1255" s="26"/>
      <c r="N1255" s="26"/>
      <c r="O1255" s="26"/>
      <c r="P1255" s="26"/>
    </row>
    <row r="1256">
      <c r="A1256" s="90"/>
      <c r="B1256" s="82"/>
      <c r="C1256" s="83"/>
      <c r="D1256" s="82"/>
      <c r="E1256" s="84"/>
      <c r="F1256" s="85"/>
      <c r="G1256" s="86"/>
      <c r="H1256" s="84"/>
      <c r="I1256" s="86"/>
      <c r="J1256" s="87"/>
      <c r="K1256" s="91"/>
      <c r="L1256" s="89"/>
      <c r="M1256" s="26"/>
      <c r="N1256" s="26"/>
      <c r="O1256" s="26"/>
      <c r="P1256" s="26"/>
    </row>
    <row r="1257">
      <c r="A1257" s="90"/>
      <c r="B1257" s="82"/>
      <c r="C1257" s="83"/>
      <c r="D1257" s="82"/>
      <c r="E1257" s="84"/>
      <c r="F1257" s="85"/>
      <c r="G1257" s="86"/>
      <c r="H1257" s="84"/>
      <c r="I1257" s="86"/>
      <c r="J1257" s="87"/>
      <c r="K1257" s="91"/>
      <c r="L1257" s="89"/>
      <c r="M1257" s="26"/>
      <c r="N1257" s="26"/>
      <c r="O1257" s="26"/>
      <c r="P1257" s="26"/>
    </row>
    <row r="1258">
      <c r="A1258" s="90"/>
      <c r="B1258" s="82"/>
      <c r="C1258" s="83"/>
      <c r="D1258" s="82"/>
      <c r="E1258" s="84"/>
      <c r="F1258" s="85"/>
      <c r="G1258" s="86"/>
      <c r="H1258" s="84"/>
      <c r="I1258" s="86"/>
      <c r="J1258" s="87"/>
      <c r="K1258" s="91"/>
      <c r="L1258" s="89"/>
      <c r="M1258" s="26"/>
      <c r="N1258" s="26"/>
      <c r="O1258" s="26"/>
      <c r="P1258" s="26"/>
    </row>
    <row r="1259">
      <c r="A1259" s="90"/>
      <c r="B1259" s="82"/>
      <c r="C1259" s="83"/>
      <c r="D1259" s="82"/>
      <c r="E1259" s="84"/>
      <c r="F1259" s="85"/>
      <c r="G1259" s="86"/>
      <c r="H1259" s="84"/>
      <c r="I1259" s="86"/>
      <c r="J1259" s="87"/>
      <c r="K1259" s="91"/>
      <c r="L1259" s="89"/>
      <c r="M1259" s="26"/>
      <c r="N1259" s="26"/>
      <c r="O1259" s="26"/>
      <c r="P1259" s="26"/>
    </row>
    <row r="1260">
      <c r="A1260" s="90"/>
      <c r="B1260" s="82"/>
      <c r="C1260" s="83"/>
      <c r="D1260" s="82"/>
      <c r="E1260" s="84"/>
      <c r="F1260" s="85"/>
      <c r="G1260" s="86"/>
      <c r="H1260" s="84"/>
      <c r="I1260" s="86"/>
      <c r="J1260" s="87"/>
      <c r="K1260" s="91"/>
      <c r="L1260" s="89"/>
      <c r="M1260" s="26"/>
      <c r="N1260" s="26"/>
      <c r="O1260" s="26"/>
      <c r="P1260" s="26"/>
    </row>
    <row r="1261">
      <c r="A1261" s="90"/>
      <c r="B1261" s="82"/>
      <c r="C1261" s="83"/>
      <c r="D1261" s="82"/>
      <c r="E1261" s="84"/>
      <c r="F1261" s="85"/>
      <c r="G1261" s="86"/>
      <c r="H1261" s="84"/>
      <c r="I1261" s="86"/>
      <c r="J1261" s="87"/>
      <c r="K1261" s="91"/>
      <c r="L1261" s="89"/>
      <c r="M1261" s="26"/>
      <c r="N1261" s="26"/>
      <c r="O1261" s="26"/>
      <c r="P1261" s="26"/>
    </row>
    <row r="1262">
      <c r="A1262" s="90"/>
      <c r="B1262" s="82"/>
      <c r="C1262" s="83"/>
      <c r="D1262" s="82"/>
      <c r="E1262" s="84"/>
      <c r="F1262" s="85"/>
      <c r="G1262" s="86"/>
      <c r="H1262" s="84"/>
      <c r="I1262" s="86"/>
      <c r="J1262" s="87"/>
      <c r="K1262" s="91"/>
      <c r="L1262" s="89"/>
      <c r="M1262" s="26"/>
      <c r="N1262" s="26"/>
      <c r="O1262" s="26"/>
      <c r="P1262" s="26"/>
    </row>
    <row r="1263">
      <c r="A1263" s="90"/>
      <c r="B1263" s="82"/>
      <c r="C1263" s="83"/>
      <c r="D1263" s="82"/>
      <c r="E1263" s="84"/>
      <c r="F1263" s="85"/>
      <c r="G1263" s="86"/>
      <c r="H1263" s="84"/>
      <c r="I1263" s="86"/>
      <c r="J1263" s="87"/>
      <c r="K1263" s="91"/>
      <c r="L1263" s="89"/>
      <c r="M1263" s="26"/>
      <c r="N1263" s="26"/>
      <c r="O1263" s="26"/>
      <c r="P1263" s="26"/>
    </row>
    <row r="1264">
      <c r="A1264" s="90"/>
      <c r="B1264" s="82"/>
      <c r="C1264" s="83"/>
      <c r="D1264" s="82"/>
      <c r="E1264" s="84"/>
      <c r="F1264" s="85"/>
      <c r="G1264" s="86"/>
      <c r="H1264" s="84"/>
      <c r="I1264" s="86"/>
      <c r="J1264" s="87"/>
      <c r="K1264" s="91"/>
      <c r="L1264" s="89"/>
      <c r="M1264" s="26"/>
      <c r="N1264" s="26"/>
      <c r="O1264" s="26"/>
      <c r="P1264" s="26"/>
    </row>
    <row r="1265">
      <c r="A1265" s="90"/>
      <c r="B1265" s="82"/>
      <c r="C1265" s="83"/>
      <c r="D1265" s="82"/>
      <c r="E1265" s="84"/>
      <c r="F1265" s="85"/>
      <c r="G1265" s="86"/>
      <c r="H1265" s="84"/>
      <c r="I1265" s="86"/>
      <c r="J1265" s="87"/>
      <c r="K1265" s="91"/>
      <c r="L1265" s="89"/>
      <c r="M1265" s="26"/>
      <c r="N1265" s="26"/>
      <c r="O1265" s="26"/>
      <c r="P1265" s="26"/>
    </row>
    <row r="1266">
      <c r="A1266" s="90"/>
      <c r="B1266" s="82"/>
      <c r="C1266" s="83"/>
      <c r="D1266" s="82"/>
      <c r="E1266" s="84"/>
      <c r="F1266" s="85"/>
      <c r="G1266" s="86"/>
      <c r="H1266" s="84"/>
      <c r="I1266" s="86"/>
      <c r="J1266" s="87"/>
      <c r="K1266" s="91"/>
      <c r="L1266" s="89"/>
      <c r="M1266" s="26"/>
      <c r="N1266" s="26"/>
      <c r="O1266" s="26"/>
      <c r="P1266" s="26"/>
    </row>
    <row r="1267">
      <c r="A1267" s="90"/>
      <c r="B1267" s="82"/>
      <c r="C1267" s="83"/>
      <c r="D1267" s="82"/>
      <c r="E1267" s="84"/>
      <c r="F1267" s="85"/>
      <c r="G1267" s="86"/>
      <c r="H1267" s="84"/>
      <c r="I1267" s="86"/>
      <c r="J1267" s="87"/>
      <c r="K1267" s="91"/>
      <c r="L1267" s="89"/>
      <c r="M1267" s="26"/>
      <c r="N1267" s="26"/>
      <c r="O1267" s="26"/>
      <c r="P1267" s="26"/>
    </row>
    <row r="1268">
      <c r="A1268" s="90"/>
      <c r="B1268" s="82"/>
      <c r="C1268" s="83"/>
      <c r="D1268" s="82"/>
      <c r="E1268" s="84"/>
      <c r="F1268" s="85"/>
      <c r="G1268" s="86"/>
      <c r="H1268" s="84"/>
      <c r="I1268" s="86"/>
      <c r="J1268" s="87"/>
      <c r="K1268" s="91"/>
      <c r="L1268" s="89"/>
      <c r="M1268" s="26"/>
      <c r="N1268" s="26"/>
      <c r="O1268" s="26"/>
      <c r="P1268" s="26"/>
    </row>
    <row r="1269">
      <c r="A1269" s="90"/>
      <c r="B1269" s="82"/>
      <c r="C1269" s="83"/>
      <c r="D1269" s="82"/>
      <c r="E1269" s="84"/>
      <c r="F1269" s="85"/>
      <c r="G1269" s="86"/>
      <c r="H1269" s="84"/>
      <c r="I1269" s="86"/>
      <c r="J1269" s="87"/>
      <c r="K1269" s="91"/>
      <c r="L1269" s="89"/>
      <c r="M1269" s="26"/>
      <c r="N1269" s="26"/>
      <c r="O1269" s="26"/>
      <c r="P1269" s="26"/>
    </row>
    <row r="1270">
      <c r="A1270" s="90"/>
      <c r="B1270" s="82"/>
      <c r="C1270" s="83"/>
      <c r="D1270" s="82"/>
      <c r="E1270" s="84"/>
      <c r="F1270" s="85"/>
      <c r="G1270" s="86"/>
      <c r="H1270" s="84"/>
      <c r="I1270" s="86"/>
      <c r="J1270" s="87"/>
      <c r="K1270" s="91"/>
      <c r="L1270" s="89"/>
      <c r="M1270" s="26"/>
      <c r="N1270" s="26"/>
      <c r="O1270" s="26"/>
      <c r="P1270" s="26"/>
    </row>
    <row r="1271">
      <c r="A1271" s="90"/>
      <c r="B1271" s="82"/>
      <c r="C1271" s="83"/>
      <c r="D1271" s="82"/>
      <c r="E1271" s="84"/>
      <c r="F1271" s="85"/>
      <c r="G1271" s="86"/>
      <c r="H1271" s="84"/>
      <c r="I1271" s="86"/>
      <c r="J1271" s="87"/>
      <c r="K1271" s="91"/>
      <c r="L1271" s="89"/>
      <c r="M1271" s="26"/>
      <c r="N1271" s="26"/>
      <c r="O1271" s="26"/>
      <c r="P1271" s="26"/>
    </row>
    <row r="1272">
      <c r="A1272" s="90"/>
      <c r="B1272" s="82"/>
      <c r="C1272" s="83"/>
      <c r="D1272" s="82"/>
      <c r="E1272" s="84"/>
      <c r="F1272" s="85"/>
      <c r="G1272" s="86"/>
      <c r="H1272" s="84"/>
      <c r="I1272" s="86"/>
      <c r="J1272" s="87"/>
      <c r="K1272" s="91"/>
      <c r="L1272" s="89"/>
      <c r="M1272" s="26"/>
      <c r="N1272" s="26"/>
      <c r="O1272" s="26"/>
      <c r="P1272" s="26"/>
    </row>
    <row r="1273">
      <c r="A1273" s="90"/>
      <c r="B1273" s="82"/>
      <c r="C1273" s="83"/>
      <c r="D1273" s="82"/>
      <c r="E1273" s="84"/>
      <c r="F1273" s="85"/>
      <c r="G1273" s="86"/>
      <c r="H1273" s="84"/>
      <c r="I1273" s="86"/>
      <c r="J1273" s="87"/>
      <c r="K1273" s="91"/>
      <c r="L1273" s="89"/>
      <c r="M1273" s="26"/>
      <c r="N1273" s="26"/>
      <c r="O1273" s="26"/>
      <c r="P1273" s="26"/>
    </row>
    <row r="1274">
      <c r="A1274" s="90"/>
      <c r="B1274" s="82"/>
      <c r="C1274" s="83"/>
      <c r="D1274" s="82"/>
      <c r="E1274" s="84"/>
      <c r="F1274" s="85"/>
      <c r="G1274" s="86"/>
      <c r="H1274" s="84"/>
      <c r="I1274" s="86"/>
      <c r="J1274" s="87"/>
      <c r="K1274" s="91"/>
      <c r="L1274" s="89"/>
      <c r="M1274" s="26"/>
      <c r="N1274" s="26"/>
      <c r="O1274" s="26"/>
      <c r="P1274" s="26"/>
    </row>
    <row r="1275">
      <c r="A1275" s="90"/>
      <c r="B1275" s="82"/>
      <c r="C1275" s="83"/>
      <c r="D1275" s="82"/>
      <c r="E1275" s="84"/>
      <c r="F1275" s="85"/>
      <c r="G1275" s="86"/>
      <c r="H1275" s="84"/>
      <c r="I1275" s="86"/>
      <c r="J1275" s="87"/>
      <c r="K1275" s="91"/>
      <c r="L1275" s="89"/>
      <c r="M1275" s="26"/>
      <c r="N1275" s="26"/>
      <c r="O1275" s="26"/>
      <c r="P1275" s="26"/>
    </row>
    <row r="1276">
      <c r="A1276" s="90"/>
      <c r="B1276" s="82"/>
      <c r="C1276" s="83"/>
      <c r="D1276" s="82"/>
      <c r="E1276" s="84"/>
      <c r="F1276" s="85"/>
      <c r="G1276" s="86"/>
      <c r="H1276" s="84"/>
      <c r="I1276" s="86"/>
      <c r="J1276" s="87"/>
      <c r="K1276" s="91"/>
      <c r="L1276" s="89"/>
      <c r="M1276" s="26"/>
      <c r="N1276" s="26"/>
      <c r="O1276" s="26"/>
      <c r="P1276" s="26"/>
    </row>
    <row r="1277">
      <c r="A1277" s="90"/>
      <c r="B1277" s="82"/>
      <c r="C1277" s="83"/>
      <c r="D1277" s="82"/>
      <c r="E1277" s="84"/>
      <c r="F1277" s="85"/>
      <c r="G1277" s="86"/>
      <c r="H1277" s="84"/>
      <c r="I1277" s="86"/>
      <c r="J1277" s="87"/>
      <c r="K1277" s="91"/>
      <c r="L1277" s="89"/>
      <c r="M1277" s="26"/>
      <c r="N1277" s="26"/>
      <c r="O1277" s="26"/>
      <c r="P1277" s="26"/>
    </row>
    <row r="1278">
      <c r="A1278" s="90"/>
      <c r="B1278" s="82"/>
      <c r="C1278" s="83"/>
      <c r="D1278" s="82"/>
      <c r="E1278" s="84"/>
      <c r="F1278" s="85"/>
      <c r="G1278" s="86"/>
      <c r="H1278" s="84"/>
      <c r="I1278" s="86"/>
      <c r="J1278" s="87"/>
      <c r="K1278" s="91"/>
      <c r="L1278" s="89"/>
      <c r="M1278" s="26"/>
      <c r="N1278" s="26"/>
      <c r="O1278" s="26"/>
      <c r="P1278" s="26"/>
    </row>
    <row r="1279">
      <c r="A1279" s="90"/>
      <c r="B1279" s="82"/>
      <c r="C1279" s="83"/>
      <c r="D1279" s="82"/>
      <c r="E1279" s="84"/>
      <c r="F1279" s="85"/>
      <c r="G1279" s="86"/>
      <c r="H1279" s="84"/>
      <c r="I1279" s="86"/>
      <c r="J1279" s="87"/>
      <c r="K1279" s="91"/>
      <c r="L1279" s="89"/>
      <c r="M1279" s="26"/>
      <c r="N1279" s="26"/>
      <c r="O1279" s="26"/>
      <c r="P1279" s="26"/>
    </row>
    <row r="1280">
      <c r="A1280" s="90"/>
      <c r="B1280" s="82"/>
      <c r="C1280" s="83"/>
      <c r="D1280" s="82"/>
      <c r="E1280" s="84"/>
      <c r="F1280" s="85"/>
      <c r="G1280" s="86"/>
      <c r="H1280" s="84"/>
      <c r="I1280" s="86"/>
      <c r="J1280" s="87"/>
      <c r="K1280" s="91"/>
      <c r="L1280" s="89"/>
      <c r="M1280" s="26"/>
      <c r="N1280" s="26"/>
      <c r="O1280" s="26"/>
      <c r="P1280" s="26"/>
    </row>
    <row r="1281">
      <c r="A1281" s="90"/>
      <c r="B1281" s="82"/>
      <c r="C1281" s="83"/>
      <c r="D1281" s="82"/>
      <c r="E1281" s="84"/>
      <c r="F1281" s="85"/>
      <c r="G1281" s="86"/>
      <c r="H1281" s="84"/>
      <c r="I1281" s="86"/>
      <c r="J1281" s="87"/>
      <c r="K1281" s="91"/>
      <c r="L1281" s="89"/>
      <c r="M1281" s="26"/>
      <c r="N1281" s="26"/>
      <c r="O1281" s="26"/>
      <c r="P1281" s="26"/>
    </row>
    <row r="1282">
      <c r="A1282" s="90"/>
      <c r="B1282" s="82"/>
      <c r="C1282" s="83"/>
      <c r="D1282" s="82"/>
      <c r="E1282" s="84"/>
      <c r="F1282" s="85"/>
      <c r="G1282" s="86"/>
      <c r="H1282" s="84"/>
      <c r="I1282" s="86"/>
      <c r="J1282" s="87"/>
      <c r="K1282" s="91"/>
      <c r="L1282" s="89"/>
      <c r="M1282" s="26"/>
      <c r="N1282" s="26"/>
      <c r="O1282" s="26"/>
      <c r="P1282" s="26"/>
    </row>
    <row r="1283">
      <c r="A1283" s="90"/>
      <c r="B1283" s="82"/>
      <c r="C1283" s="83"/>
      <c r="D1283" s="82"/>
      <c r="E1283" s="84"/>
      <c r="F1283" s="85"/>
      <c r="G1283" s="86"/>
      <c r="H1283" s="84"/>
      <c r="I1283" s="86"/>
      <c r="J1283" s="87"/>
      <c r="K1283" s="91"/>
      <c r="L1283" s="89"/>
      <c r="M1283" s="26"/>
      <c r="N1283" s="26"/>
      <c r="O1283" s="26"/>
      <c r="P1283" s="26"/>
    </row>
    <row r="1284">
      <c r="A1284" s="90"/>
      <c r="B1284" s="82"/>
      <c r="C1284" s="83"/>
      <c r="D1284" s="82"/>
      <c r="E1284" s="84"/>
      <c r="F1284" s="85"/>
      <c r="G1284" s="86"/>
      <c r="H1284" s="84"/>
      <c r="I1284" s="86"/>
      <c r="J1284" s="87"/>
      <c r="K1284" s="91"/>
      <c r="L1284" s="89"/>
      <c r="M1284" s="26"/>
      <c r="N1284" s="26"/>
      <c r="O1284" s="26"/>
      <c r="P1284" s="26"/>
    </row>
    <row r="1285">
      <c r="A1285" s="90"/>
      <c r="B1285" s="82"/>
      <c r="C1285" s="83"/>
      <c r="D1285" s="82"/>
      <c r="E1285" s="84"/>
      <c r="F1285" s="85"/>
      <c r="G1285" s="86"/>
      <c r="H1285" s="84"/>
      <c r="I1285" s="86"/>
      <c r="J1285" s="87"/>
      <c r="K1285" s="91"/>
      <c r="L1285" s="89"/>
      <c r="M1285" s="26"/>
      <c r="N1285" s="26"/>
      <c r="O1285" s="26"/>
      <c r="P1285" s="26"/>
    </row>
    <row r="1286">
      <c r="A1286" s="90"/>
      <c r="B1286" s="82"/>
      <c r="C1286" s="83"/>
      <c r="D1286" s="82"/>
      <c r="E1286" s="84"/>
      <c r="F1286" s="85"/>
      <c r="G1286" s="86"/>
      <c r="H1286" s="84"/>
      <c r="I1286" s="86"/>
      <c r="J1286" s="87"/>
      <c r="K1286" s="91"/>
      <c r="L1286" s="89"/>
      <c r="M1286" s="26"/>
      <c r="N1286" s="26"/>
      <c r="O1286" s="26"/>
      <c r="P1286" s="26"/>
    </row>
    <row r="1287">
      <c r="A1287" s="90"/>
      <c r="B1287" s="82"/>
      <c r="C1287" s="83"/>
      <c r="D1287" s="82"/>
      <c r="E1287" s="84"/>
      <c r="F1287" s="85"/>
      <c r="G1287" s="86"/>
      <c r="H1287" s="84"/>
      <c r="I1287" s="86"/>
      <c r="J1287" s="87"/>
      <c r="K1287" s="91"/>
      <c r="L1287" s="89"/>
      <c r="M1287" s="26"/>
      <c r="N1287" s="26"/>
      <c r="O1287" s="26"/>
      <c r="P1287" s="26"/>
    </row>
    <row r="1288">
      <c r="A1288" s="90"/>
      <c r="B1288" s="82"/>
      <c r="C1288" s="83"/>
      <c r="D1288" s="82"/>
      <c r="E1288" s="84"/>
      <c r="F1288" s="85"/>
      <c r="G1288" s="86"/>
      <c r="H1288" s="84"/>
      <c r="I1288" s="86"/>
      <c r="J1288" s="87"/>
      <c r="K1288" s="91"/>
      <c r="L1288" s="89"/>
      <c r="M1288" s="26"/>
      <c r="N1288" s="26"/>
      <c r="O1288" s="26"/>
      <c r="P1288" s="26"/>
    </row>
    <row r="1289">
      <c r="A1289" s="90"/>
      <c r="B1289" s="82"/>
      <c r="C1289" s="83"/>
      <c r="D1289" s="82"/>
      <c r="E1289" s="84"/>
      <c r="F1289" s="85"/>
      <c r="G1289" s="86"/>
      <c r="H1289" s="84"/>
      <c r="I1289" s="86"/>
      <c r="J1289" s="87"/>
      <c r="K1289" s="91"/>
      <c r="L1289" s="89"/>
      <c r="M1289" s="26"/>
      <c r="N1289" s="26"/>
      <c r="O1289" s="26"/>
      <c r="P1289" s="26"/>
    </row>
    <row r="1290">
      <c r="A1290" s="90"/>
      <c r="B1290" s="82"/>
      <c r="C1290" s="83"/>
      <c r="D1290" s="82"/>
      <c r="E1290" s="84"/>
      <c r="F1290" s="85"/>
      <c r="G1290" s="86"/>
      <c r="H1290" s="84"/>
      <c r="I1290" s="86"/>
      <c r="J1290" s="87"/>
      <c r="K1290" s="91"/>
      <c r="L1290" s="89"/>
      <c r="M1290" s="26"/>
      <c r="N1290" s="26"/>
      <c r="O1290" s="26"/>
      <c r="P1290" s="26"/>
    </row>
    <row r="1291">
      <c r="A1291" s="90"/>
      <c r="B1291" s="82"/>
      <c r="C1291" s="83"/>
      <c r="D1291" s="82"/>
      <c r="E1291" s="84"/>
      <c r="F1291" s="85"/>
      <c r="G1291" s="86"/>
      <c r="H1291" s="84"/>
      <c r="I1291" s="86"/>
      <c r="J1291" s="87"/>
      <c r="K1291" s="91"/>
      <c r="L1291" s="89"/>
      <c r="M1291" s="26"/>
      <c r="N1291" s="26"/>
      <c r="O1291" s="26"/>
      <c r="P1291" s="26"/>
    </row>
    <row r="1292">
      <c r="A1292" s="90"/>
      <c r="B1292" s="82"/>
      <c r="C1292" s="83"/>
      <c r="D1292" s="82"/>
      <c r="E1292" s="84"/>
      <c r="F1292" s="85"/>
      <c r="G1292" s="86"/>
      <c r="H1292" s="84"/>
      <c r="I1292" s="86"/>
      <c r="J1292" s="87"/>
      <c r="K1292" s="91"/>
      <c r="L1292" s="89"/>
      <c r="M1292" s="26"/>
      <c r="N1292" s="26"/>
      <c r="O1292" s="26"/>
      <c r="P1292" s="26"/>
    </row>
    <row r="1293">
      <c r="A1293" s="90"/>
      <c r="B1293" s="82"/>
      <c r="C1293" s="83"/>
      <c r="D1293" s="82"/>
      <c r="E1293" s="84"/>
      <c r="F1293" s="85"/>
      <c r="G1293" s="86"/>
      <c r="H1293" s="84"/>
      <c r="I1293" s="86"/>
      <c r="J1293" s="87"/>
      <c r="K1293" s="91"/>
      <c r="L1293" s="89"/>
      <c r="M1293" s="26"/>
      <c r="N1293" s="26"/>
      <c r="O1293" s="26"/>
      <c r="P1293" s="26"/>
    </row>
    <row r="1294">
      <c r="A1294" s="90"/>
      <c r="B1294" s="82"/>
      <c r="C1294" s="83"/>
      <c r="D1294" s="82"/>
      <c r="E1294" s="84"/>
      <c r="F1294" s="85"/>
      <c r="G1294" s="86"/>
      <c r="H1294" s="84"/>
      <c r="I1294" s="86"/>
      <c r="J1294" s="87"/>
      <c r="K1294" s="91"/>
      <c r="L1294" s="89"/>
      <c r="M1294" s="26"/>
      <c r="N1294" s="26"/>
      <c r="O1294" s="26"/>
      <c r="P1294" s="26"/>
    </row>
    <row r="1295">
      <c r="A1295" s="90"/>
      <c r="B1295" s="82"/>
      <c r="C1295" s="83"/>
      <c r="D1295" s="82"/>
      <c r="E1295" s="84"/>
      <c r="F1295" s="85"/>
      <c r="G1295" s="86"/>
      <c r="H1295" s="84"/>
      <c r="I1295" s="86"/>
      <c r="J1295" s="87"/>
      <c r="K1295" s="91"/>
      <c r="L1295" s="89"/>
      <c r="M1295" s="26"/>
      <c r="N1295" s="26"/>
      <c r="O1295" s="26"/>
      <c r="P1295" s="26"/>
    </row>
    <row r="1296">
      <c r="A1296" s="90"/>
      <c r="B1296" s="82"/>
      <c r="C1296" s="83"/>
      <c r="D1296" s="82"/>
      <c r="E1296" s="84"/>
      <c r="F1296" s="85"/>
      <c r="G1296" s="86"/>
      <c r="H1296" s="84"/>
      <c r="I1296" s="86"/>
      <c r="J1296" s="87"/>
      <c r="K1296" s="91"/>
      <c r="L1296" s="89"/>
      <c r="M1296" s="26"/>
      <c r="N1296" s="26"/>
      <c r="O1296" s="26"/>
      <c r="P1296" s="26"/>
    </row>
    <row r="1297">
      <c r="A1297" s="90"/>
      <c r="B1297" s="82"/>
      <c r="C1297" s="83"/>
      <c r="D1297" s="82"/>
      <c r="E1297" s="84"/>
      <c r="F1297" s="85"/>
      <c r="G1297" s="86"/>
      <c r="H1297" s="84"/>
      <c r="I1297" s="86"/>
      <c r="J1297" s="87"/>
      <c r="K1297" s="91"/>
      <c r="L1297" s="89"/>
      <c r="M1297" s="26"/>
      <c r="N1297" s="26"/>
      <c r="O1297" s="26"/>
      <c r="P1297" s="26"/>
    </row>
    <row r="1298">
      <c r="A1298" s="90"/>
      <c r="B1298" s="82"/>
      <c r="C1298" s="83"/>
      <c r="D1298" s="82"/>
      <c r="E1298" s="84"/>
      <c r="F1298" s="85"/>
      <c r="G1298" s="86"/>
      <c r="H1298" s="84"/>
      <c r="I1298" s="86"/>
      <c r="J1298" s="87"/>
      <c r="K1298" s="91"/>
      <c r="L1298" s="89"/>
      <c r="M1298" s="26"/>
      <c r="N1298" s="26"/>
      <c r="O1298" s="26"/>
      <c r="P1298" s="26"/>
    </row>
    <row r="1299">
      <c r="A1299" s="90"/>
      <c r="B1299" s="82"/>
      <c r="C1299" s="83"/>
      <c r="D1299" s="82"/>
      <c r="E1299" s="84"/>
      <c r="F1299" s="85"/>
      <c r="G1299" s="86"/>
      <c r="H1299" s="84"/>
      <c r="I1299" s="86"/>
      <c r="J1299" s="87"/>
      <c r="K1299" s="91"/>
      <c r="L1299" s="89"/>
      <c r="M1299" s="26"/>
      <c r="N1299" s="26"/>
      <c r="O1299" s="26"/>
      <c r="P1299" s="26"/>
    </row>
    <row r="1300">
      <c r="A1300" s="90"/>
      <c r="B1300" s="82"/>
      <c r="C1300" s="83"/>
      <c r="D1300" s="82"/>
      <c r="E1300" s="84"/>
      <c r="F1300" s="85"/>
      <c r="G1300" s="86"/>
      <c r="H1300" s="84"/>
      <c r="I1300" s="86"/>
      <c r="J1300" s="87"/>
      <c r="K1300" s="91"/>
      <c r="L1300" s="89"/>
      <c r="M1300" s="26"/>
      <c r="N1300" s="26"/>
      <c r="O1300" s="26"/>
      <c r="P1300" s="26"/>
    </row>
    <row r="1301">
      <c r="A1301" s="90"/>
      <c r="B1301" s="82"/>
      <c r="C1301" s="83"/>
      <c r="D1301" s="82"/>
      <c r="E1301" s="84"/>
      <c r="F1301" s="85"/>
      <c r="G1301" s="86"/>
      <c r="H1301" s="84"/>
      <c r="I1301" s="86"/>
      <c r="J1301" s="87"/>
      <c r="K1301" s="91"/>
      <c r="L1301" s="89"/>
      <c r="M1301" s="26"/>
      <c r="N1301" s="26"/>
      <c r="O1301" s="26"/>
      <c r="P1301" s="26"/>
    </row>
    <row r="1302">
      <c r="A1302" s="90"/>
      <c r="B1302" s="82"/>
      <c r="C1302" s="83"/>
      <c r="D1302" s="82"/>
      <c r="E1302" s="84"/>
      <c r="F1302" s="85"/>
      <c r="G1302" s="86"/>
      <c r="H1302" s="84"/>
      <c r="I1302" s="86"/>
      <c r="J1302" s="87"/>
      <c r="K1302" s="91"/>
      <c r="L1302" s="89"/>
      <c r="M1302" s="26"/>
      <c r="N1302" s="26"/>
      <c r="O1302" s="26"/>
      <c r="P1302" s="26"/>
    </row>
    <row r="1303">
      <c r="A1303" s="90"/>
      <c r="B1303" s="82"/>
      <c r="C1303" s="83"/>
      <c r="D1303" s="82"/>
      <c r="E1303" s="84"/>
      <c r="F1303" s="85"/>
      <c r="G1303" s="86"/>
      <c r="H1303" s="84"/>
      <c r="I1303" s="86"/>
      <c r="J1303" s="87"/>
      <c r="K1303" s="91"/>
      <c r="L1303" s="89"/>
      <c r="M1303" s="26"/>
      <c r="N1303" s="26"/>
      <c r="O1303" s="26"/>
      <c r="P1303" s="26"/>
    </row>
    <row r="1304">
      <c r="A1304" s="90"/>
      <c r="B1304" s="82"/>
      <c r="C1304" s="83"/>
      <c r="D1304" s="82"/>
      <c r="E1304" s="84"/>
      <c r="F1304" s="85"/>
      <c r="G1304" s="86"/>
      <c r="H1304" s="84"/>
      <c r="I1304" s="86"/>
      <c r="J1304" s="87"/>
      <c r="K1304" s="91"/>
      <c r="L1304" s="89"/>
      <c r="M1304" s="26"/>
      <c r="N1304" s="26"/>
      <c r="O1304" s="26"/>
      <c r="P1304" s="26"/>
    </row>
    <row r="1305">
      <c r="A1305" s="90"/>
      <c r="B1305" s="82"/>
      <c r="C1305" s="83"/>
      <c r="D1305" s="82"/>
      <c r="E1305" s="84"/>
      <c r="F1305" s="85"/>
      <c r="G1305" s="86"/>
      <c r="H1305" s="84"/>
      <c r="I1305" s="86"/>
      <c r="J1305" s="87"/>
      <c r="K1305" s="91"/>
      <c r="L1305" s="89"/>
      <c r="M1305" s="26"/>
      <c r="N1305" s="26"/>
      <c r="O1305" s="26"/>
      <c r="P1305" s="26"/>
    </row>
    <row r="1306">
      <c r="A1306" s="90"/>
      <c r="B1306" s="82"/>
      <c r="C1306" s="83"/>
      <c r="D1306" s="82"/>
      <c r="E1306" s="84"/>
      <c r="F1306" s="85"/>
      <c r="G1306" s="86"/>
      <c r="H1306" s="84"/>
      <c r="I1306" s="86"/>
      <c r="J1306" s="87"/>
      <c r="K1306" s="91"/>
      <c r="L1306" s="89"/>
      <c r="M1306" s="26"/>
      <c r="N1306" s="26"/>
      <c r="O1306" s="26"/>
      <c r="P1306" s="26"/>
    </row>
    <row r="1307">
      <c r="A1307" s="90"/>
      <c r="B1307" s="82"/>
      <c r="C1307" s="83"/>
      <c r="D1307" s="82"/>
      <c r="E1307" s="84"/>
      <c r="F1307" s="85"/>
      <c r="G1307" s="86"/>
      <c r="H1307" s="84"/>
      <c r="I1307" s="86"/>
      <c r="J1307" s="87"/>
      <c r="K1307" s="91"/>
      <c r="L1307" s="89"/>
      <c r="M1307" s="26"/>
      <c r="N1307" s="26"/>
      <c r="O1307" s="26"/>
      <c r="P1307" s="26"/>
    </row>
    <row r="1308">
      <c r="A1308" s="90"/>
      <c r="B1308" s="82"/>
      <c r="C1308" s="83"/>
      <c r="D1308" s="82"/>
      <c r="E1308" s="84"/>
      <c r="F1308" s="85"/>
      <c r="G1308" s="86"/>
      <c r="H1308" s="84"/>
      <c r="I1308" s="86"/>
      <c r="J1308" s="87"/>
      <c r="K1308" s="91"/>
      <c r="L1308" s="89"/>
      <c r="M1308" s="26"/>
      <c r="N1308" s="26"/>
      <c r="O1308" s="26"/>
      <c r="P1308" s="26"/>
    </row>
    <row r="1309">
      <c r="A1309" s="90"/>
      <c r="B1309" s="82"/>
      <c r="C1309" s="83"/>
      <c r="D1309" s="82"/>
      <c r="E1309" s="84"/>
      <c r="F1309" s="85"/>
      <c r="G1309" s="86"/>
      <c r="H1309" s="84"/>
      <c r="I1309" s="86"/>
      <c r="J1309" s="87"/>
      <c r="K1309" s="91"/>
      <c r="L1309" s="89"/>
      <c r="M1309" s="26"/>
      <c r="N1309" s="26"/>
      <c r="O1309" s="26"/>
      <c r="P1309" s="26"/>
    </row>
    <row r="1310">
      <c r="A1310" s="90"/>
      <c r="B1310" s="82"/>
      <c r="C1310" s="83"/>
      <c r="D1310" s="82"/>
      <c r="E1310" s="84"/>
      <c r="F1310" s="85"/>
      <c r="G1310" s="86"/>
      <c r="H1310" s="84"/>
      <c r="I1310" s="86"/>
      <c r="J1310" s="87"/>
      <c r="K1310" s="91"/>
      <c r="L1310" s="89"/>
      <c r="M1310" s="26"/>
      <c r="N1310" s="26"/>
      <c r="O1310" s="26"/>
      <c r="P1310" s="26"/>
    </row>
    <row r="1311">
      <c r="A1311" s="90"/>
      <c r="B1311" s="82"/>
      <c r="C1311" s="83"/>
      <c r="D1311" s="82"/>
      <c r="E1311" s="84"/>
      <c r="F1311" s="85"/>
      <c r="G1311" s="86"/>
      <c r="H1311" s="84"/>
      <c r="I1311" s="86"/>
      <c r="J1311" s="87"/>
      <c r="K1311" s="91"/>
      <c r="L1311" s="89"/>
      <c r="M1311" s="26"/>
      <c r="N1311" s="26"/>
      <c r="O1311" s="26"/>
      <c r="P1311" s="26"/>
    </row>
    <row r="1312">
      <c r="A1312" s="90"/>
      <c r="B1312" s="82"/>
      <c r="C1312" s="83"/>
      <c r="D1312" s="82"/>
      <c r="E1312" s="84"/>
      <c r="F1312" s="85"/>
      <c r="G1312" s="86"/>
      <c r="H1312" s="84"/>
      <c r="I1312" s="86"/>
      <c r="J1312" s="87"/>
      <c r="K1312" s="91"/>
      <c r="L1312" s="89"/>
      <c r="M1312" s="26"/>
      <c r="N1312" s="26"/>
      <c r="O1312" s="26"/>
      <c r="P1312" s="26"/>
    </row>
    <row r="1313">
      <c r="A1313" s="90"/>
      <c r="B1313" s="82"/>
      <c r="C1313" s="83"/>
      <c r="D1313" s="82"/>
      <c r="E1313" s="84"/>
      <c r="F1313" s="85"/>
      <c r="G1313" s="86"/>
      <c r="H1313" s="84"/>
      <c r="I1313" s="86"/>
      <c r="J1313" s="87"/>
      <c r="K1313" s="91"/>
      <c r="L1313" s="89"/>
      <c r="M1313" s="26"/>
      <c r="N1313" s="26"/>
      <c r="O1313" s="26"/>
      <c r="P1313" s="26"/>
    </row>
    <row r="1314">
      <c r="A1314" s="90"/>
      <c r="B1314" s="82"/>
      <c r="C1314" s="83"/>
      <c r="D1314" s="82"/>
      <c r="E1314" s="84"/>
      <c r="F1314" s="85"/>
      <c r="G1314" s="86"/>
      <c r="H1314" s="84"/>
      <c r="I1314" s="86"/>
      <c r="J1314" s="87"/>
      <c r="K1314" s="91"/>
      <c r="L1314" s="89"/>
      <c r="M1314" s="26"/>
      <c r="N1314" s="26"/>
      <c r="O1314" s="26"/>
      <c r="P1314" s="26"/>
    </row>
    <row r="1315">
      <c r="A1315" s="90"/>
      <c r="B1315" s="82"/>
      <c r="C1315" s="83"/>
      <c r="D1315" s="82"/>
      <c r="E1315" s="84"/>
      <c r="F1315" s="85"/>
      <c r="G1315" s="86"/>
      <c r="H1315" s="84"/>
      <c r="I1315" s="86"/>
      <c r="J1315" s="87"/>
      <c r="K1315" s="91"/>
      <c r="L1315" s="89"/>
      <c r="M1315" s="26"/>
      <c r="N1315" s="26"/>
      <c r="O1315" s="26"/>
      <c r="P1315" s="26"/>
    </row>
    <row r="1316">
      <c r="A1316" s="90"/>
      <c r="B1316" s="82"/>
      <c r="C1316" s="83"/>
      <c r="D1316" s="82"/>
      <c r="E1316" s="84"/>
      <c r="F1316" s="85"/>
      <c r="G1316" s="86"/>
      <c r="H1316" s="84"/>
      <c r="I1316" s="86"/>
      <c r="J1316" s="87"/>
      <c r="K1316" s="91"/>
      <c r="L1316" s="89"/>
      <c r="M1316" s="26"/>
      <c r="N1316" s="26"/>
      <c r="O1316" s="26"/>
      <c r="P1316" s="26"/>
    </row>
    <row r="1317">
      <c r="A1317" s="90"/>
      <c r="B1317" s="82"/>
      <c r="C1317" s="83"/>
      <c r="D1317" s="82"/>
      <c r="E1317" s="84"/>
      <c r="F1317" s="85"/>
      <c r="G1317" s="86"/>
      <c r="H1317" s="84"/>
      <c r="I1317" s="86"/>
      <c r="J1317" s="87"/>
      <c r="K1317" s="91"/>
      <c r="L1317" s="89"/>
      <c r="M1317" s="26"/>
      <c r="N1317" s="26"/>
      <c r="O1317" s="26"/>
      <c r="P1317" s="26"/>
    </row>
    <row r="1318">
      <c r="A1318" s="90"/>
      <c r="B1318" s="82"/>
      <c r="C1318" s="83"/>
      <c r="D1318" s="82"/>
      <c r="E1318" s="84"/>
      <c r="F1318" s="85"/>
      <c r="G1318" s="86"/>
      <c r="H1318" s="84"/>
      <c r="I1318" s="86"/>
      <c r="J1318" s="87"/>
      <c r="K1318" s="91"/>
      <c r="L1318" s="89"/>
      <c r="M1318" s="26"/>
      <c r="N1318" s="26"/>
      <c r="O1318" s="26"/>
      <c r="P1318" s="26"/>
    </row>
    <row r="1319">
      <c r="A1319" s="90"/>
      <c r="B1319" s="82"/>
      <c r="C1319" s="83"/>
      <c r="D1319" s="82"/>
      <c r="E1319" s="84"/>
      <c r="F1319" s="85"/>
      <c r="G1319" s="86"/>
      <c r="H1319" s="84"/>
      <c r="I1319" s="86"/>
      <c r="J1319" s="87"/>
      <c r="K1319" s="91"/>
      <c r="L1319" s="89"/>
      <c r="M1319" s="26"/>
      <c r="N1319" s="26"/>
      <c r="O1319" s="26"/>
      <c r="P1319" s="26"/>
    </row>
  </sheetData>
  <autoFilter ref="$A$2:$N$779">
    <filterColumn colId="1">
      <filters>
        <filter val="PS4/Vita"/>
        <filter val="PS4/PS3/Vita"/>
        <filter val="PS3/Vita"/>
        <filter val="Vita"/>
        <filter val="PSP"/>
        <filter val="Vita/PSP"/>
      </filters>
    </filterColumn>
    <sortState ref="A2:N779">
      <sortCondition descending="1" ref="J2:J779"/>
    </sortState>
  </autoFilter>
  <conditionalFormatting sqref="B1">
    <cfRule type="cellIs" dxfId="1" priority="1" operator="equal">
      <formula>"Xbox"</formula>
    </cfRule>
  </conditionalFormatting>
  <conditionalFormatting sqref="A3:A1319">
    <cfRule type="expression" dxfId="2" priority="2">
      <formula>MATCH(A3,INDIRECT("'Xbox Game Studios'!A:A"),0)</formula>
    </cfRule>
  </conditionalFormatting>
  <conditionalFormatting sqref="A3:A1319">
    <cfRule type="expression" dxfId="3" priority="3">
      <formula>MATCH(A3,INDIRECT("'EA Play'!A:A"),0)</formula>
    </cfRule>
  </conditionalFormatting>
  <conditionalFormatting sqref="A3:A1319 D3:D1319">
    <cfRule type="expression" dxfId="4" priority="4">
      <formula>$D3="Coming Soon"</formula>
    </cfRule>
  </conditionalFormatting>
  <conditionalFormatting sqref="A3:A1319 D3:D1319">
    <cfRule type="expression" dxfId="5" priority="5">
      <formula>$D3="Removed"</formula>
    </cfRule>
  </conditionalFormatting>
  <conditionalFormatting sqref="A3:A1319 D3:D1319">
    <cfRule type="expression" dxfId="6" priority="6">
      <formula>$D3="Leaving Soon"</formula>
    </cfRule>
  </conditionalFormatting>
  <conditionalFormatting sqref="E3:E1319 I3:I1319">
    <cfRule type="expression" dxfId="1" priority="7">
      <formula>AND($E3&lt;&gt;"",(($E3-$H3)/365*12)&lt;1)</formula>
    </cfRule>
  </conditionalFormatting>
  <conditionalFormatting sqref="J3:J1319">
    <cfRule type="cellIs" dxfId="3" priority="8" operator="between">
      <formula>75</formula>
      <formula>90</formula>
    </cfRule>
  </conditionalFormatting>
  <conditionalFormatting sqref="J3:J1319">
    <cfRule type="cellIs" dxfId="2" priority="9" operator="between">
      <formula>50</formula>
      <formula>75</formula>
    </cfRule>
  </conditionalFormatting>
  <conditionalFormatting sqref="J3:J1319">
    <cfRule type="cellIs" dxfId="5" priority="10" operator="between">
      <formula>1</formula>
      <formula>50</formula>
    </cfRule>
  </conditionalFormatting>
  <conditionalFormatting sqref="B3:B1319">
    <cfRule type="expression" dxfId="7" priority="11">
      <formula>AND(MATCH(A3,INDIRECT("'Cross Play'!D2:D"),0),MATCH(A3,INDIRECT("'Cross Play'!A2:A"),0))</formula>
    </cfRule>
  </conditionalFormatting>
  <conditionalFormatting sqref="B3:B1319">
    <cfRule type="expression" dxfId="8" priority="12">
      <formula>MATCH(A3,INDIRECT("'Cross Play'!A2:A"),0)</formula>
    </cfRule>
  </conditionalFormatting>
  <conditionalFormatting sqref="B3:B1319">
    <cfRule type="expression" dxfId="9" priority="13">
      <formula>MATCH(A3,INDIRECT("'Cross Play'!D2:D"),0)</formula>
    </cfRule>
  </conditionalFormatting>
  <conditionalFormatting sqref="I3:I1319">
    <cfRule type="colorScale" priority="14">
      <colorScale>
        <cfvo type="min"/>
        <cfvo type="percentile" val="50"/>
        <cfvo type="max"/>
        <color rgb="FFB6D7A8"/>
        <color rgb="FFFFE599"/>
        <color rgb="FFEA9999"/>
      </colorScale>
    </cfRule>
  </conditionalFormatting>
  <conditionalFormatting sqref="A366">
    <cfRule type="notContainsBlanks" dxfId="3" priority="15">
      <formula>LEN(TRIM(A366))&gt;0</formula>
    </cfRule>
  </conditionalFormatting>
  <conditionalFormatting sqref="J3:J1319">
    <cfRule type="cellIs" dxfId="10" priority="16" operator="between">
      <formula>90</formula>
      <formula>100</formula>
    </cfRule>
  </conditionalFormatting>
  <conditionalFormatting sqref="G3:G1319">
    <cfRule type="expression" dxfId="11" priority="17">
      <formula>MATCH(A3,INDIRECT("'Xbox Game Studios'!A:A"),0)</formula>
    </cfRule>
  </conditionalFormatting>
  <conditionalFormatting sqref="G3:G1319">
    <cfRule type="expression" dxfId="11" priority="18">
      <formula>MATCH(A3,INDIRECT("'EA Play'!A:A"),0)</formula>
    </cfRule>
  </conditionalFormatting>
  <conditionalFormatting sqref="G3:G1319">
    <cfRule type="expression" dxfId="6" priority="19">
      <formula>AND(D3="Active",OR(AND(G3&gt;10.5,G3&lt;13),AND(G3&gt;22.5,G3&lt;25),AND(G3&gt;34.5,G3&lt;37),AND(G3&gt;46.5,G3&lt;49),AND(G3&gt;58.5,G3&lt;61)),)</formula>
    </cfRule>
  </conditionalFormatting>
  <conditionalFormatting sqref="K13">
    <cfRule type="notContainsBlanks" dxfId="3" priority="20">
      <formula>LEN(TRIM(K13))&gt;0</formula>
    </cfRule>
  </conditionalFormatting>
  <drawing r:id="rId1"/>
</worksheet>
</file>